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Dashboard Column" sheetId="2" r:id="rId5"/>
    <sheet state="visible" name="Dashboard Line" sheetId="3" r:id="rId6"/>
    <sheet state="visible" name="Calculations" sheetId="4" r:id="rId7"/>
  </sheets>
  <definedNames>
    <definedName hidden="1" localSheetId="0" name="Z_56CEABED_A2A3_4858_BF6E_6ED85DBC3552_.wvu.FilterData">Data!$A$1:$K$9419</definedName>
  </definedNames>
  <calcPr/>
  <customWorkbookViews>
    <customWorkbookView activeSheetId="0" maximized="1" windowHeight="0" windowWidth="0" guid="{56CEABED-A2A3-4858-BF6E-6ED85DBC3552}" name="Filter 1"/>
  </customWorkbookViews>
</workbook>
</file>

<file path=xl/sharedStrings.xml><?xml version="1.0" encoding="utf-8"?>
<sst xmlns="http://schemas.openxmlformats.org/spreadsheetml/2006/main" count="50561" uniqueCount="26021">
  <si>
    <t>Title</t>
  </si>
  <si>
    <t>Authors</t>
  </si>
  <si>
    <t>Publication Year</t>
  </si>
  <si>
    <t>Publication Date</t>
  </si>
  <si>
    <t>Citation</t>
  </si>
  <si>
    <t>Journal</t>
  </si>
  <si>
    <t>Author Pub ID</t>
  </si>
  <si>
    <t>Number of Citations</t>
  </si>
  <si>
    <t>Pub URL</t>
  </si>
  <si>
    <t>Abstract</t>
  </si>
  <si>
    <t>Department</t>
  </si>
  <si>
    <t>Are Dutch adults equally susceptible to nudging and pricing strategies? Secondary analyses of the Supreme Nudge parallel cluster-randomised controlled supermarket trial.</t>
  </si>
  <si>
    <t>Stuber, Josine M; Beulens, Joline W J; van Lierop, Juul J E; Schuurman, Esmee; Lakerveld, Jeroen; Mackenbach, Joreintje D; ,</t>
  </si>
  <si>
    <t>bmc medicine</t>
  </si>
  <si>
    <t>https://pubmed.ncbi.nlm.nih.gov/38853270</t>
  </si>
  <si>
    <t>Supermarket interventions are promising to promote healthier dietary patterns, but not all individuals may be equally susceptible. We explored whether the effectiveness of nudging and pricing strategies on diet quality differs by psychological and grocery shopping characteristics. We used data of the 12-month Supreme Nudge parallel cluster-randomised controlled supermarket trial, testing nudging and pricing strategies to promote healthier diets. Participants were Dutch speaking adults aged 30-80 years and regular shoppers of participating supermarkets (n = 12) in socially disadvantaged neighbourhoods. Data on psychological characteristics (food-related behaviours; price sensitivity; food decision styles; social cognitive factors; self-control) and grocery shopping characteristics (time spent in the supermarket; moment of the day; average supermarket visits; shopping at other retailers; supermarket proximity) were self-reported at baseline. These characteristics were tested for their moderating effects of the intervention on diet quality (scored 0-150) in linear mixed models. We included 162 participants from intervention supermarkets and 199 from control supermarkets (73% female, 58 (± 10.8) years old, 42% highly educated). The interventions had no overall effect on diet quality. Only five out of 23 potential moderators were statistically significant. Yet, stratified analyses of these significant moderators showed no significant effects on diet quality for one of the subgroups and statistically non-significant negative effects for the other. Negative effects were suggested for individuals with lower baseline levels of meal planning (β - 2.6, 95% CI - 5.9; 0.8), healthy shopping convenience (β - 3.0, 95% CI - 7.2; 1.3), and healthy food attractiveness (β - 3.5, 95% CI - 8.3; 1.3), and with higher levels of price consciousness (β - 2.6, 95% CI - 6.2; 1.0) and weekly supermarket visits (β - 2.4, 95% CI - 6.8; 1.9). Adults with varying psychological and grocery shopping characteristics largely seem equally (un)susceptible to nudging and pricing strategies. It might be that certain characteristics lead to adverse effects, but this is not plausible, and the observed negative effects were small and statistically non-significant and may be explained by chance findings. Verification of these findings is needed in real-world trials based on larger sample sizes and with the use of more comprehensive interventions. Dutch Trial Register ID NL7064, 30th of May, 2018, https://onderzoekmetmensen.nl/en/trial/20990.</t>
  </si>
  <si>
    <t>Global Health and Bioethics</t>
  </si>
  <si>
    <t>Upfront resection versus no resection of the primary tumor in patients with synchronous metastatic colorectal cancer: the randomized phase 3 CAIRO4 study conducted by the Dutch Colorectal Cancer Group and the Danish Colorectal Cancer Group.</t>
  </si>
  <si>
    <t>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Hadj, J Oulad; van der Hoeven, J A B; Trajkovic, M; de Wilt, J H W; Koopman, M; ,</t>
  </si>
  <si>
    <t>annals of oncology official journal of the european society for medical oncology</t>
  </si>
  <si>
    <t>https://pubmed.ncbi.nlm.nih.gov/38852675</t>
  </si>
  <si>
    <t>Upfront primary tumor resection (PTR) has been associated with longer overall survival (OS) in patients with synchronous unresectable metastatic colorectal cancer (mCRC) in retrospective analyses. The aim of the CAIRO4 study was to investigate whether the addition of upfront PTR to systemic therapy resulted in a survival benefit in patients with synchronous mCRC without severe symptoms of their primary tumor. This randomized phase 3 trial was conducted in 45 hospitals in The Netherlands and Denmark. Eligibility criteria included previously untreated mCRC, unresectable metastases, and no severe symptoms of the primary tumor. Patients were randomized (1:1) to upfront PTR followed by systemic therapy or systemic therapy without upfront PTR. Systemic therapy consisted of first-line fluoropyrimidine-based chemotherapy with bevacizumab in both arms. Primary endpoint was OS in the intention-to-treat population. The study was registered at ClinicalTrials.gov, NCT01606098. Between August 2012 and February 2021, 206 patients were randomized. In the intention-to-treat analysis, 204 patients were included (n= 103 without upfront PTR, n=101 with upfront PTR) of whom 116 were men (57%) with median age of 65 years (IQR 59-71). Median follow-up was 69.4 months. Median OS in the arm without upfront PTR was 18.3 months (95% CI 16.0-22.2) compared to 20.1 months (95% CI 17.0-25.1) in the upfront PTR arm (p = 0.32). The number of grade 3-4 events was 71 (72%) in the arm without upfront PTR and 61 (65%) in the upfront PTR arm (p=0.33). Three deaths (3%) possibly related to treatment were reported in the arm without upfront PTR and four (4%) in the upfront PTR arm. of upfront PTR to palliative systemic therapy in patients with synchronous mCRC without severe symptoms of the primary tumor does not result in a survival benefit. This practice should no longer be considered standard of care.</t>
  </si>
  <si>
    <t>Data Science and Biostatistics; Epidemiology and Health Economics; General Practice and Nursing Science; General Practice and Nursing Science; Data Science and Biostatistics; Epidemiology and Health Economics</t>
  </si>
  <si>
    <t>Addressing current limitations of household transmission studies by collecting contact data.</t>
  </si>
  <si>
    <t>Layan, Maylis; Hens, Niel; de Hoog, Marieke L A; Bruijning-Verhagen, Patricia C J L; Cowling, Benjamin J; Cauchemez, Simon</t>
  </si>
  <si>
    <t>american journal of epidemiology</t>
  </si>
  <si>
    <t>https://pubmed.ncbi.nlm.nih.gov/38844610</t>
  </si>
  <si>
    <t>Modeling studies of household transmission data have helped characterize the role of children in influenza and COVID-19 epidemics. However, estimates from these studies may be biased since they do not account for the heterogeneous nature of household contacts. Here, we quantified the impact of contact heterogeneity between household members on the estimation of child relative susceptibility and infectivity. We simulated epidemics of SARS-CoV-2-like and influenza-like infections in a synthetic population of 1,000 households assuming heterogeneous contact levels. Relative contact frequencies were derived from a household contact study according to which contacts are more frequent in the father-mother pair, followed by the child-mother, child-child, and finally child-father pairs. Child susceptibility and infectivity were then estimated while accounting for heterogeneous contacts or not. When ignoring contact heterogeneity, child relative susceptibility was underestimated by approximately 20% in the two disease scenarios. Child relative infectivity was underestimated by 20% when children and adults had different infectivity levels. These results are sensitive to our assumptions of European-style household contact patterns; but they highlight that household studies collecting both disease and contact data are needed to assess the role of complex household contact behavior on disease transmission and improve estimation of key biological parameters.</t>
  </si>
  <si>
    <t>Epidemiology and Health Economics</t>
  </si>
  <si>
    <t>Prescribed Drug Use and Aneurysmal Subarachnoid Hemorrhage Incidence: A Drug-Wide Association Study.</t>
  </si>
  <si>
    <t>Kanning, Jos P; Abtahi, Shahab; Schnier, Christian; Klungel, Olaf H; Geerlings, Mirjam I; Ruigrok, Ynte M</t>
  </si>
  <si>
    <t>neurology</t>
  </si>
  <si>
    <t>https://pubmed.ncbi.nlm.nih.gov/38838229</t>
  </si>
  <si>
    <t>Current benefits of invasive intracranial aneurysm treatment to prevent aneurysmal subarachnoid hemorrhage (aSAH) rarely outweigh treatment risks. Most intracranial aneurysms thus remain untreated. Commonly prescribed drugs reducing aSAH incidence may provide leads for drug repurposing. We performed a drug-wide association study (DWAS) to systematically investigate the association between commonly prescribed drugs and aSAH incidence. We defined all aSAH cases between 2000 and 2020 using &lt;i&gt;International Classification of Diseases&lt;/i&gt; codes from the Secure Anonymised Information Linkage databank. Each case was matched with 9 controls based on age, sex, and year of database entry. We investigated commonly prescribed drugs (&gt;2% in study population) and defined 3 exposure windows relative to the most recent prescription before index date (i.e., occurrence of aSAH): current (within 3 months), recent (3-12 months), and past (&gt;12 months). A logistic regression model was fitted to compare drug use across these exposure windows vs never use, controlling for age, sex, known aSAH risk factors, and health care utilization. The family-wise error rate was kept at &lt;i&gt;p&lt;/i&gt; &lt; 0.05 through Bonferroni correction. We investigated exposure to 205 commonly prescribed drugs between 4,879 aSAH cases (mean age 61.4, 61.2% women) and 43,911 matched controls. We found similar trends for lisinopril and amlodipine, with a decreased aSAH risk for current use (lisinopril odds ratio [OR] 0.63, 95% CI 0.44-0.90, amlodipine OR 0.82, 95% CI 0.65-1.04) and an increased aSAH risk for recent use (lisinopril OR 1.30, 95% CI 0.61-2.78, amlodipine OR 1.61, 95% CI 1.04-2.48). A decreased aSAH risk in current use was also found for simvastatin (OR 0.78, 95% CI 0.64-0.96), metformin (OR 0.58, 95% CI 0.43-0.78), and tamsulosin (OR 0.55, 95% CI 0.32-0.93). By contrast, an increased aSAH risk was found for current use of warfarin (OR 1.35, 95% CI 1.02-1.79), venlafaxine (OR 1.67, 95% CI 1.01-2.75), prochlorperazine (OR 2.15, 95% CI 1.45-3.18), and co-codamol (OR 1.31, 95% CI 1.10-1.56). We identified several drugs associated with aSAH, of which 5 drugs (lisinopril and possibly amlodipine, simvastatin, metformin, and tamsulosin) showed a decreased aSAH risk. Future research should build on these signals to further assess the effectiveness of these drugs in reducing aSAH incidence. This study provides Class III evidence that some commonly prescribed drugs are associated with subsequent development of aSAH.</t>
  </si>
  <si>
    <t>Global Health and Bioethics; Epidemiology and Health Economics; Epidemiology and Health Economics; Global Health and Bioethics</t>
  </si>
  <si>
    <t>Validity of Mobility-Based Exposure Assessment of Air Pollution: A Comparative Analysis with Home-Based Exposure Assessment.</t>
  </si>
  <si>
    <t>Wei, Lai; Donaire-Gonzalez, David; Helbich, Marco; van Nunen, Erik; Hoek, Gerard; Vermeulen, Roel C H</t>
  </si>
  <si>
    <t>environmental science technology</t>
  </si>
  <si>
    <t>https://pubmed.ncbi.nlm.nih.gov/38839422</t>
  </si>
  <si>
    <t>Air pollution exposure is typically assessed at the front door where people live in large-scale epidemiological studies, overlooking individuals' daily mobility out-of-home. However, there is limited evidence that incorporating mobility data into personal air pollution assessment improves exposure assessment compared to home-based assessments. This study aimed to compare the agreement between mobility-based and home-based assessments with personal exposure measurements. We measured repeatedly particulate matter (PM&lt;sub&gt;2.5&lt;/sub&gt;) and black carbon (BC) using a sample of 41 older adults in the Netherlands. In total, 104 valid 24 h average personal measurements were collected. Home-based exposures were estimated by combining participants' home locations and temporal-adjusted air pollution maps. Mobility-based estimates of air pollution were computed based on smartphone-based tracking data, temporal-adjusted air pollution maps, indoor-outdoor penetration, and travel mode adjustment. Intraclass correlation coefficients (ICC) revealed that mobility-based estimates significantly improved agreement with personal measurements compared to home-based assessments. For PM&lt;sub&gt;2.5&lt;/sub&gt;, agreement increased by 64% (ICC: 0.39-0.64), and for BC, it increased by 21% (ICC: 0.43-0.52). Our findings suggest that adjusting for indoor-outdoor pollutant ratios in mobility-based assessments can provide more valid estimates of air pollution than the commonly used home-based assessments, with no added value observed from travel mode adjustments.</t>
  </si>
  <si>
    <t>Understanding random resampling techniques for class imbalance correction and their consequences on calibration and discrimination of clinical risk prediction models.</t>
  </si>
  <si>
    <t>Piccininni, Marco; Wechsung, Maximilian; Van Calster, Ben; Rohmann, Jessica L; Konigorski, Stefan; van Smeden, Maarten</t>
  </si>
  <si>
    <t>journal of biomedical informatics</t>
  </si>
  <si>
    <t>https://pubmed.ncbi.nlm.nih.gov/38848886</t>
  </si>
  <si>
    <t>Class imbalance is sometimes considered a problem when developing clinical prediction models and assessing their performance. To address it, correction strategies involving manipulations of the training dataset, such as random undersampling or oversampling, are frequently used. The aim of this article is to illustrate the consequences of these class imbalance correction strategies on clinical prediction models' internal validity in terms of calibration and discrimination performances. We used both heuristic intuition and formal mathematical reasoning to characterize the relations between conditional probabilities of interest and probabilities targeted when using random undersampling or oversampling. We propose a plug-in estimator that represents a natural correction for predictions obtained from models that have been trained on artificially balanced datasets ("naïve" models). We conducted a Monte Carlo simulation with two different data generation processes and present a real-world example using data from the International Stroke Trial database to empirically demonstrate the consequences of applying random resampling techniques for class imbalance correction on calibration and discrimination (in terms of Area Under the ROC, AUC) for logistic regression and tree-based prediction models. Across our simulations and in the real-world example, calibration of the naïve models was very poor. The models using the plug-in estimator generally outperformed the models relying on class imbalance correction in terms of calibration while achieving the same discrimination performance. Random resampling techniques for class imbalance correction do not generally improve discrimination performance (i.e., AUC), and their use is hard to justify when aiming at providing calibrated predictions. Improper use of such class imbalance correction techniques can lead to suboptimal data usage and less valid risk prediction models.</t>
  </si>
  <si>
    <t>Data Science and Biostatistics</t>
  </si>
  <si>
    <t>The epidemiology of drug-related hospital admissions in paediatrics - a systematic review.</t>
  </si>
  <si>
    <t>Eberl, Sonja; Heus, Pauline; Toni, Irmgard; Bachmat, Igor; Neubert, Antje</t>
  </si>
  <si>
    <t>archives of public health archives belges de sante publique</t>
  </si>
  <si>
    <t>https://pubmed.ncbi.nlm.nih.gov/38835105</t>
  </si>
  <si>
    <t>Despite previous efforts, medication safety in paediatrics remains a major concern. To inform improvement strategies and further research especially in outpatient care, we systematically reviewed the literature on the frequency and nature of drug-related hospital admissions in children. Searches covered Embase, Medline, Web of Science, grey literature sources and relevant article citations. Studies reporting epidemiological data on paediatric drug-related hospital admissions published between 01/2000 and 01/2024 were eligible. Study identification, data extraction, and critical appraisal were conducted independently in duplicate using templates based on the 'Joanna Briggs Institute' recommendations. The review included data from 45 studies reporting &gt; 24,000 hospitalisations for adverse drug events (ADEs) or adverse drug reactions (ADRs). Due to different reference groups, a total of 52 relative frequency values were provided. We stratified these results by study characteristics. As a percentage of inpatients, the highest frequency of drug-related hospitalisation was found with 'intensive ADE monitoring', ranging from 3.1% to 5.8% (5 values), whereas with 'routine ADE monitoring', it ranged from 0.2% to 1.0% (3 values). The relative frequencies of 'ADR-related hospitalisations' ranged from 0.2% to 6.9% for 'intensive monitoring' (23 values) and from 0.04% to 3.8% for 'routine monitoring' (8 values). Per emergency department visits, five relative frequency values ranged from 0.1% to 3.8% in studies with 'intensive ADE monitoring', while all other eight values were ≤ 0.1%. Heterogeneity prevented pooled estimates. Studies rarely reported on the nature of the problems, or studies with broader objectives lacked disaggregated data. Limited data indicated that one in three (median) drug-related admissions could have been prevented, especially by more attentive prescribing. Besides polypharmacy and oncological therapy, no other risk factors could be clearly identified. Insufficient information and a high risk of bias, especially in retrospective and routine observational studies, hampered the assessment. Given the high frequency of drug-related hospitalisations, medication safety in paediatrics needs to be further improved. As routine identification appears unreliable, clinical awareness needs to be raised. To gain more profound insights especially for generating improvement strategies, we have to address under-reporting and methodological issues in future research. PROSPERO (CRD42021296986).</t>
  </si>
  <si>
    <t>Validation of the BOADICEA model in a prospective cohort of &lt;i&gt;BRCA1/2&lt;/i&gt; pathogenic variant carriers.</t>
  </si>
  <si>
    <t>Yang, Xin; Mooij, Thea M; Leslie, Goska; Ficorella, Lorenzo; Andrieu, Nadine; Kast, Karin; Singer, Christian F; Jakubowska, Anna; van Gils, Carla H; Tan, Yen Y; Engel, Christoph; Adank, Muriel A; van Asperen, Christi J; Ausems, Margreet G E M; Berthet, Pascaline; ,; Collee, Margriet J; Cook, Jackie A; Eason, Jacqueline; Spaendonck-Zwarts, Karin Y van; Evans, D Gareth; Gómez García, Encarna B; Hanson, Helen; Izatt, Louise; Kemp, Zoe; Lalloo, Fiona; Lasset, Christine; Lesueur, Fabienne; Musgrave, Hannah; Nambot, Sophie; Noguès, Catherine; Oosterwijk, Jan C; Stoppa-Lyonnet, Dominique; Tischkowitz, Marc; Tripathi, Vishakha; Wevers, Marijke R; Zhao, Emily; van Leeuwen, Flora E; Schmidt, Marjanka K; Easton, Douglas F; Rookus, Matti A; Antoniou, Antonis C</t>
  </si>
  <si>
    <t>journal of medical genetics</t>
  </si>
  <si>
    <t>https://pubmed.ncbi.nlm.nih.gov/38834293</t>
  </si>
  <si>
    <t>No validation has been conducted for the BOADICEA multifactorial breast cancer risk prediction model specifically in &lt;i&gt;BRCA1/2&lt;/i&gt; pathogenic variant (PV) carriers to date. Here, we evaluated the performance of BOADICEA in predicting 5-year breast cancer risks in a prospective cohort of &lt;i&gt;BRCA1/2&lt;/i&gt; PV carriers ascertained through clinical genetic centres. We evaluated the model calibration and discriminatory ability in the prospective TRANsIBCCS cohort study comprising 1614 &lt;i&gt;BRCA1&lt;/i&gt; and 1365 &lt;i&gt;BRCA2&lt;/i&gt; PV carriers (209 incident cases). Study participants had lifestyle, reproductive, hormonal, anthropometric risk factor information, a polygenic risk score based on 313 SNPs and family history information. The full multifactorial model considering family history together with all other risk factors was well calibrated overall (E/O=1.07, 95% CI: 0.92 to 1.24) and in quintiles of predicted risk. Discrimination was maximised when all risk factors were considered (Harrell's C-index=0.70, 95% CI: 0.67 to 0.74; area under the curve=0.79, 95% CI: 0.76 to 0.82). The model performance was similar when evaluated separately in &lt;i&gt;BRCA1&lt;/i&gt; or &lt;i&gt;BRCA2&lt;/i&gt; PV carriers. The full model identified 5.8%, 12.9% and 24.0% of &lt;i&gt;BRCA1/2&lt;/i&gt; PV carriers with 5-year breast cancer risks of &lt;1.65%, &lt;3% and &lt;5%, respectively, risk thresholds commonly used for different management and risk-reduction options. BOADICEA may be used to aid personalised cancer risk management and decision-making for &lt;i&gt;BRCA1&lt;/i&gt; and &lt;i&gt;BRCA2&lt;/i&gt; PV carriers. It is implemented in the free-access CanRisk tool (https://www.canrisk.org/).</t>
  </si>
  <si>
    <t>Global Health and Bioethics; General Practice and Nursing Science; Epidemiology and Health Economics; Global Health and Bioethics; Epidemiology and Health Economics; General Practice and Nursing Science</t>
  </si>
  <si>
    <t>Ideal cardiovascular health and cardiovascular-related events: a systematic review and meta-analysis.</t>
  </si>
  <si>
    <t>Te Hoonte, Femke; Spronk, Merve; Sun, Qi; Wu, Kangrui; Fan, Shiqi; Wang, Ziyi; Bots, Michiel L; Van der Schouw, Yvonne T; Uijl, Alicia; Vernooij, Robin W M</t>
  </si>
  <si>
    <t>european journal of preventive cardiology</t>
  </si>
  <si>
    <t>https://pubmed.ncbi.nlm.nih.gov/38149986</t>
  </si>
  <si>
    <t>The aim of this study was to systematically review and quantitatively summarize the evidence on the association between Life Simple's 7 (LS7) and multiple cardiovascular diseases (CVDs) and cardiometabolic diseases (CMDs). EMBASE and PubMed were searched from January 2010 to March 2022 for observational studies that investigated the association between ideal cardiovascular health (CVH) with CVD or CMD outcomes in an adult population. Two reviewers independently selected studies according to the eligibility criteria, extracted data, and evaluated risk of bias. Data were analysed with a random-effects meta-analysis. This meta-analysis included 59 studies (1 881 382 participants). Participants with ideal CVH had a considerably lower risk of a variety of CVDs and CMDs as compared with those with poor CVH, varying from 40% lower risk for atrial fibrillation (AF) {hazard ratio [HR] = 0.60 [95% confidence interval (CI) 0.44-0.83]} to 82% lower risk for myocardial infarction [HR = 0.18 (95% CI 0.12-0.28)]. Intermediate CVH was associated with 27-57% lower risk in CVDs and CMDs compared with poor CVH, with the highest hazard for AF [HR = 0.73 (95% CI 0.59-0.91)] and the lowest hazard for peripheral arterial disease [HR = 0.43 (95% CI 0.30-0.60)]. Ideal and moderate CVH were associated with a lower incidence of CVDs and CMDs than poor CVH. Life Simple's 7 holds significant potential for promoting overall CVH and thereby contributing to the prevention of CVDs.</t>
  </si>
  <si>
    <t>Global Health and Bioethics; Global Health and Bioethics; Epidemiology and Health Economics; Epidemiology and Health Economics</t>
  </si>
  <si>
    <t>Characteristics and preventability of medication-related admissions for acute kidney injury and dehydration in elderly patients.</t>
  </si>
  <si>
    <t>Coppes, Tristan; Hazen, Ankie C M; Zwart, Dorien L M; Koster, Ellen S; van Gelder, Teun; Bouvy, Marcel L</t>
  </si>
  <si>
    <t>european journal of clinical pharmacology</t>
  </si>
  <si>
    <t>https://pubmed.ncbi.nlm.nih.gov/38831143</t>
  </si>
  <si>
    <t>Patients with impaired renal function using medication that affects glomerular filtration rate are at increased risk of developing acute kidney injury (AKI) leading to hospital admissions. The risk increases during periods of dehydration due to diarrhoea, vomiting or fever (so-called "sick days"), or high environmental temperatures (heat wave). This study aims to gain insight into the characteristics and preventability of medication-related admissions for AKI and dehydration in elderly patients. Retrospective case series study in patients aged ≥ 65 years with admission for acute kidney injury, dehydration or electrolyte imbalance related to dehydration that was defined as medication-related. General practitioner's (GP) patient records including medication history and hospital discharge letters were available. For each admission, patient and admission characteristics were collected to review the patient journey. A case-by-case assessment of preventability of hospital admissions was performed. In total, 75 admissions were included. Most prevalent comorbidities were hypertension, diabetes, and known impaired renal function. Diuretics and RAS-inhibitors were the most prevalent medication combination. Eighty percent of patients experienced non-acute onset of symptoms and 60% had contacted their GP within 2 weeks prior to admission. Around 40% (n = 29) of admissions were considered potentially preventable if pharmacotherapy had been timely and adequately adjusted. A substantial proportion of patients admitted with AKI or dehydration experience non-acute onset of symptoms and had contacted their GP within 2 weeks prior to admission. Timely adjusting of medication in these patients could have potentially prevented a considerable number of admissions.</t>
  </si>
  <si>
    <t>General Practice and Nursing Science</t>
  </si>
  <si>
    <t>Prediction of aneurysmal subarachnoid hemorrhage in comparison with other stroke types using routine care data.</t>
  </si>
  <si>
    <t>Kanning, Jos P; van Os, Hendrikus J A; Rakers, Margot; Wermer, Marieke J H; Geerlings, Mirjam I; Ruigrok, Ynte M</t>
  </si>
  <si>
    <t>plos one</t>
  </si>
  <si>
    <t>https://pubmed.ncbi.nlm.nih.gov/38820263</t>
  </si>
  <si>
    <t>Aneurysmal subarachnoid hemorrhage (aSAH) can be prevented by early detection and treatment of intracranial aneurysms in high-risk individuals. We investigated whether individuals at high risk of aSAH in the general population can be identified by developing an aSAH prediction model with electronic health records (EHR) data. To assess the aSAH model's relative performance, we additionally developed prediction models for acute ischemic stroke (AIS) and intracerebral hemorrhage (ICH) and compared the discriminative performance of the models. We included individuals aged ≥35 years without history of stroke from a Dutch routine care database (years 2007-2020) and defined outcomes aSAH, AIS and ICH using International Classification of Diseases (ICD) codes. Potential predictors included sociodemographic data, diagnoses, medications, and blood measurements. We cross-validated a Cox proportional hazards model with an elastic net penalty on derivation cohorts and reported the c-statistic and 10-year calibration on validation cohorts. We examined 1,040,855 individuals (mean age 54.6 years, 50.9% women) for a total of 10,173,170 person-years (median 11 years). 17,465 stroke events occurred during follow-up: 723 aSAH, 14,659 AIS, and 2,083 ICH. The aSAH model's c-statistic was 0.61 (95%CI 0.57-0.65), which was lower than the c-statistic of the AIS (0.77, 95%CI 0.77-0.78) and ICH models (0.77, 95%CI 0.75-0.78). All models were well-calibrated. The aSAH model identified 19 predictors, of which the 10 strongest included age, female sex, population density, socioeconomic status, oral contraceptive use, gastroenterological complaints, obstructive airway medication, epilepsy, childbirth complications, and smoking. Discriminative performance of the aSAH prediction model was moderate, while it was good for the AIS and ICH models. We conclude that it is currently not feasible to accurately identify individuals at increased risk for aSAH using EHR data.</t>
  </si>
  <si>
    <t>Diagnostic accuracy of supplemental three-dimensional breast ultrasound in the work-up of BI-RADS 0 screening recalls.</t>
  </si>
  <si>
    <t>den Dekker, Bianca M; Broeders, Mireille J M; Meeuwis, Carla; Setz-Pels, Wikke; Venmans, Alexander; van Gils, Carla H; Pijnappel, Ruud M</t>
  </si>
  <si>
    <t>insights into imaging</t>
  </si>
  <si>
    <t>https://pubmed.ncbi.nlm.nih.gov/38816526</t>
  </si>
  <si>
    <t>To evaluate the diagnostic accuracy of supplemental 3D automated breast ultrasound (ABUS) in the diagnostic work-up of BI-RADS 0 recalls. We hypothesized that 3D ABUS may reduce the benign biopsy rate. In this prospective multicenter diagnostic study, screening participants recalled after a BI-RADS 0 result underwent bilateral 3D ABUS supplemental to usual care: digital breast tomosynthesis (DBT) and targeted hand-held ultrasound (HHUS). Sensitivity, specificity, positive predictive value, and negative predictive value of 3D ABUS, and DBT plus HHUS, were calculated. New 3D ABUS findings and changes of management (biopsy or additional imaging) were recorded. A total of 501 women (median age 55 years, IQR [51-64]) with 525 BI-RADS 0 lesions were included between April 2018 and March 2020. Cancer was diagnosed in 45 patients. 3D ABUS sensitivity was 72.1% (95% CI [57.2-83.4%]), specificity 84.4% (95% CI [80.8-87.4%]), PPV 29.2% (95% CI [21.4-38.5%]), and NPV 97.1% 95.0-98.4%). Sensitivity of DBT plus HHUS was 100% (95% CI [90.2-100%]), specificity 71.4% (95% CI [67.2-75.2%]), PPV 23.8% (95% CI [18.1-30.5%]) and NPV 100% (95% CI [98.7-100%]). Twelve out of 43 (27.9%) malignancies in BI-RADS 0 lesions were missed on 3D ABUS, despite being detected on DBT and/or HHUS. Supplemental 3D ABUS resulted in the detection of 57 new lesions and six extra biopsy procedures, all were benign. 3D ABUS in the diagnostic work-up of BI-RADS 0 recalls may miss over a quarter of cancers detected with HHUS and/or DBT and should not be used to omit biopsy. Supplemental 3D ABUS increases the benign biopsy rate. Dutch Trial Register, available via https://www.onderzoekmetmensen.nl/en/trial/29659 CRITICAL RELEVANCE STATEMENT: Supplemental 3D automated breast ultrasound in the work-up of BI-RADS 0 recalls may miss over a quarter of cancers detected with other methods and should not be used to omit biopsy; ABUS findings did increase benign biopsy rate. Automated breast ultrasound (ABUS) may miss over 25% of cancers detectable by alternative methods. Don't rely solely on 3D ABUS to assess indication for biopsy. New findings with supplemental 3D ABUS increase the benign biopsy rate.</t>
  </si>
  <si>
    <t>The NOS1AP gene rs10494366 common genetic variant does not modify the risk of sudden cardiac death in users of digoxin.</t>
  </si>
  <si>
    <t>Soroush, Negin; Aarnoudse, Albert-Jan; Kavousi, Maryam; Kors, Jan A; Ikram, M Arfan; Stricker, Bruno H; Ahmadizar, Fariba</t>
  </si>
  <si>
    <t>british journal of clinical pharmacology</t>
  </si>
  <si>
    <t>https://pubmed.ncbi.nlm.nih.gov/38822495</t>
  </si>
  <si>
    <t>Common genetic variations in the nitric oxide synthase-1 adaptor protein (NOS1AP) gene are associated with QT-interval prolongation. In a previous study, we observed an association between the rs10494366 variant of this gene and an increased QT-interval shortening in digoxin users. As QT-interval shortening is a risk factor for sudden cardiac death (SCD), in this study, we investigated whether the association between digoxin use and risk of SCD differs in participants with different NOS1AP rs10494366 genotypes. We included 11 377 individuals from the prospective population-based cohort of the Rotterdam Study. We used Cox proportional hazard regression analysis with digoxin as time-dependent exposure to estimate the associations between current digoxin use and the risk of SCD among different rs10494366 genotype groups in the adjusted models. We also studied whether such an association was dose-dependent, comparing high dosage (≥ 0.250 mg), moderate dosage (0.125 mg ≤ dose&lt; 0.250 mg) and low dosage (&lt; 0.125 mg) digoxin users with non-users. The median baseline age of the total study population was 62 (interquartile range [IQR] 58-71) years. The cumulative incidence of SCD was 4.1% (469 cases), and among them, 74 (15.7%) individuals were current digoxin users at the time of death, during a median follow-up of 11.5 (IQR 6.5-17) years. Current digoxin users had an increased risk of SCD (multivariable adjusted model hazard ratio [HR]: 3.07; 95% confidence interval [CI]: 2.38-3.98), with no significant differences between the three genotype groups. The adjusted HRs were 4.03 [95% CI: 1.98-8.21] in the minor homozygous GG, 3.46 [95% CI: 2.37-5.04] in the heterozygous TG and 2.56 [95%CI: 1.70-3.86] in the homozygous TT genotype groups. Compared to low- and moderate-dose, high-dose digoxin users with GG genotype had the highest risk of SCD (HR: 5.61 [95% CI: 1.34-23.47]). Current use of digoxin is associated with a significantly increased risk of SCD. The NOS1AP gene rs10494366 variant did not modify the digoxin-associated risk of SCD in a population of European ancestry.</t>
  </si>
  <si>
    <t>AmiA and AliA peptide ligands, found in Klebsiella pneumoniae, are imported into pneumococci and alter the transcriptome.</t>
  </si>
  <si>
    <t>Lux, Janine; Sánchez García, Lucía; Chaparro Fernández, Patricia; Laloli, Laura; Licheri, Manon F; Gallay, Clement; Hermans, Peter W M; Croucher, Nicholas J; Veening, Jan-Willem; Dijkman, Ronald; Straume, Daniel; Hathaway, Lucy J</t>
  </si>
  <si>
    <t>scientific reports</t>
  </si>
  <si>
    <t>https://pubmed.ncbi.nlm.nih.gov/38816440</t>
  </si>
  <si>
    <t>Klebsiella pneumoniae releases the peptides AKTIKITQTR and FNEMQPIVDRQ, which bind the pneumococcal proteins AmiA and AliA respectively, two substrate-binding proteins of the ABC transporter Ami-AliA/AliB oligopeptide permease. Exposure to these peptides alters pneumococcal phenotypes such as growth. Using a mutant in which a permease domain of the transporter was disrupted, by growth analysis and epifluorescence microscopy, we confirmed peptide uptake via the Ami permease and intracellular location in the pneumococcus. By RNA-sequencing we found that the peptides modulated expression of genes involved in metabolism, as pathways affected were mostly associated with energy or synthesis and transport of amino acids. Both peptides downregulated expression of genes involved in branched-chain amino acid metabolism and the Ami permease; and upregulated fatty acid biosynthesis genes but differed in their regulation of genes involved in purine and pyrimidine biosynthesis. The transcriptomic changes are consistent with growth suppression by peptide treatment. The peptides inhibited growth of pneumococcal isolates of serotypes 3, 8, 9N, 12F and 19A, currently prevalent in Switzerland, and caused no detectable toxic effect to primary human airway epithelial cells. We conclude that pneumococci take up K. pneumoniae peptides from the environment via binding and transport through the Ami permease. This changes gene expression resulting in altered phenotypes, particularly reduced growth.</t>
  </si>
  <si>
    <t>Working on differentiated nursing practices in hospitals: A learning history on enacting new nursing roles.</t>
  </si>
  <si>
    <t>Martini, Dieke; Schalkwijk, Hugo; Schoonhoven, Lisette; Noordegraaf, Mirko; Lalleman, Pieterbas</t>
  </si>
  <si>
    <t>journal of advanced nursing</t>
  </si>
  <si>
    <t>https://pubmed.ncbi.nlm.nih.gov/38808499</t>
  </si>
  <si>
    <t>This study aims to better understand how new future-oriented nursing roles are enacted in a general hospital. A learning history, that is, a participatory action-oriented research design to explore and foster organizational learning. Data collection consisted of a (historical) document analysis, the shadowing of differentiated nursing practices (36 h), 22 open interviews, 4 oral history interviews, 2 focus groups and a podcast series (7 h) created with participants. The data gathered revealed three important themes regarding enacting new nursing roles: (1) stretching the nature of nursing work, (2) using earlier experiences and (3) collectively tackling taboos. Differentiated nursing practices and enacting new nursing roles have long and complex histories. Attempts to differentiate are often met with resistance from within the nursing profession. This study shows how the new role of nurse coordinator was negotiated in nursing teams. With a bottom-up approach focused on collective responsibilities. By acknowledging and reflecting on the past, spaces were enacted in which the role of nurse coordinator became one role, among others, in the delivery of patient care. This study provides an innovative perspective on differentiated nursing practices by focusing on the past, the present and the future. We found that local, situated conditions can be taken as starting points when new nursing roles are enacted. In addition, shifting focus from individual nursing roles to nursing team development, emphasizing collective responsibilities, softens strong (historically) grown emotions and creates spaces in which new roles become negotiable. No patient or public contribution.</t>
  </si>
  <si>
    <t>Impact of green space exposure on blood pressure in Guangzhou, China: Mediation by air pollution, mental health, physical activity, and weight status.</t>
  </si>
  <si>
    <t>Liu, Mingwei; Timmermans, Erik J; Zou, Dan; Grobbee, Diederick E; Zhou, Suhong; Vaartjes, Ilonca</t>
  </si>
  <si>
    <t>environmental pollution barking essex</t>
  </si>
  <si>
    <t>https://pubmed.ncbi.nlm.nih.gov/38821340</t>
  </si>
  <si>
    <t>Green space exposure has been inversely associated with blood pressure (BP) levels and hypertension risk. However, empirical evidence on the underlying mechanisms are lacking. This study examined the association of green space exposure with BP and hypertension, and assessed the mediating effects by air pollution, mental health, physical activity, and weight status. Survey data from 719 adults, who lived in Guangzhou (China) in 2016, were used. Three area-level green space indicators, including network distance to the nearest park, percentage of green space and Normalized Difference Vegetation Index within a 1 km Euclidean buffer around residence and workplace, were calculated and linked to individual-level BP measurements. Structural equation models were applied to estimate the direct and indirect associations of the various green space indicators on systolic BP (SBP), diastolic BP (DBP), and hypertension, respectively. After adjusting for multiple covariates, longer network distance to green space was directly associated with higher SBP. Compared to the reference group (0-500m), the differences were 0.11 mmHg (95% CI = 0.03 to 0.19, P = 0.006) for 500-1000m, 0.03 mmHg (95% CI = -0.05 to 0.12, P = 0.45) for 1000-1500m, and 0.16 mmHg (95% CI = 0.09 to 0.23, P &lt; 0.001) for &gt;1500m, respectively. The overall and direct associations were significant for all three indicators (distance or density) with or without considering workplace exposure. The association between network distance to green and SBP was partially (18.4%, 95% CI = 0-42.1%) mediated by mental health. There was no statistical evidence that air pollution, physical activity, or weight status mediate the association. Secondary analyses for other indicators and other outcomes showed similar results. Both distance to green space and more green space around residence and workplace were associated with lower BP and lower risk of hypertension in adults living in a Chinese metropolitan. Mental health partly mediated the association.</t>
  </si>
  <si>
    <t>Examining pancreatic stone protein response in ICU-acquired bloodstream infections: a matched event analysis.</t>
  </si>
  <si>
    <t>Verlaan, Diede; Derde, Lennie P G; van der Poll, Tom; Bonten, Marc J M; Cremer, Olaf L</t>
  </si>
  <si>
    <t>intensive care medicine experimental</t>
  </si>
  <si>
    <t>https://pubmed.ncbi.nlm.nih.gov/38805144</t>
  </si>
  <si>
    <t>Pancreatic stone protein (PSP) exhibits potential as a plasma biomarker for infection diagnosis and risk stratification in critically ill patients, but its significance in nosocomial infection and intensive care unit (ICU)-acquired bloodstream infection (BSI) remains unclear. This study explores the temporal responses of PSP in ICU-acquired BSI caused by different pathogens. From a large cohort of ICU patients, we selected episodes of ICU-acquired BSI caused by Gram-negative rods (GNRs), enterococci, or Candida species. Events were matched on length of ICU stay at infection onset, Severe Organ Failure Assessment (SOFA) score, presence of immune deficiency, and use of renal replacement therapy. PSP concentrations were measured at infection onset (T0) and at 24, 48 and 72 h prior to infection onset as defined by the first occurrence of a positive blood culture. Absolute and trend differences in PSP levels between pathogen groups were analysed using one-way analysis of variance. Sensitivity analyses were performed in events with a new or worsening systematic inflammatory response based on C-reactive protein, white cell count and fever. We analysed 30 BSI cases per pathogen group. Median (IQR) BSI onset was on day 9 (6-12). Overall, PSP levels were high (381 (237-539) ng/ml), with 18% of values exceeding the assay's measurement range. Across all 90 BSI cases, there was no clear trend over time (median change 34 (- 75-189) ng/ml from T-72 to T0). PSP concentrations at infection onset were 406 (229-497), 350 (223-608), and 480 (327-965) ng/ml, for GNR, enterococci, and Candida species, respectively (p = 0.32). At every time point, absolute PSP levels and trends did not differ significantly between pathogens. PSP values at T0 correlated with SOFA scores. Eighteen (20%) of 90 BSI events did not exhibit a systemic inflammatory response, primarily in Candida species. No clear change in PSP concentration before BSI onset or between-group differences were found in sensitivity analyses of 72 cases. Against a background of overall (very) high plasma PSP levels in critically ill patients, we did not find clear temporal patterns or any pathogen-specific differences in PSP response in the days preceding onset of ICU-acquired BSI.</t>
  </si>
  <si>
    <t>The Effect of Artificial Intelligence on Patient-Physician Trust: Cross-Sectional Vignette Study.</t>
  </si>
  <si>
    <t>Zondag, Anna G M; Rozestraten, Raoul; Grimmelikhuijsen, Stephan G; Jongsma, Karin R; van Solinge, Wouter W; Bots, Michiel L; Vernooij, Robin W M; Haitjema, Saskia</t>
  </si>
  <si>
    <t>journal of medical internet research</t>
  </si>
  <si>
    <t>https://pubmed.ncbi.nlm.nih.gov/38805702</t>
  </si>
  <si>
    <t>Clinical decision support systems (CDSSs) based on routine care data, using artificial intelligence (AI), are increasingly being developed. Previous studies focused largely on the technical aspects of using AI, but the acceptability of these technologies by patients remains unclear. We aimed to investigate whether patient-physician trust is affected when medical decision-making is supported by a CDSS. We conducted a vignette study among the patient panel (N=860) of the University Medical Center Utrecht, the Netherlands. Patients were randomly assigned into 4 groups-either the intervention or control groups of the high-risk or low-risk cases. In both the high-risk and low-risk case groups, a physician made a treatment decision with (intervention groups) or without (control groups) the support of a CDSS. Using a questionnaire with a 7-point Likert scale, with 1 indicating "strongly disagree" and 7 indicating "strongly agree," we collected data on patient-physician trust in 3 dimensions: competence, integrity, and benevolence. We assessed differences in patient-physician trust between the control and intervention groups per case using Mann-Whitney U tests and potential effect modification by the participant's sex, age, education level, general trust in health care, and general trust in technology using multivariate analyses of (co)variance. In total, 398 patients participated. In the high-risk case, median perceived competence and integrity were lower in the intervention group compared to the control group but not statistically significant (5.8 vs 5.6; P=.16 and 6.3 vs 6.0; P=.06, respectively). However, the effect of a CDSS application on the perceived competence of the physician depended on the participant's sex (P=.03). Although no between-group differences were found in men, in women, the perception of the physician's competence and integrity was significantly lower in the intervention compared to the control group (P=.009 and P=.01, respectively). In the low-risk case, no differences in trust between the groups were found. However, increased trust in technology positively influenced the perceived benevolence and integrity in the low-risk case (P=.009 and P=.04, respectively). We found that, in general, patient-physician trust was high. However, our findings indicate a potentially negative effect of AI applications on the patient-physician relationship, especially among women and in high-risk situations. Trust in technology, in general, might increase the likelihood of embracing the use of CDSSs by treating professionals.</t>
  </si>
  <si>
    <t>Advancing collaboration in health professions education in the general practice domain, developing a national research agenda.</t>
  </si>
  <si>
    <t>de Groot, Esther; der Vossen, Marianne Mak-van; Slootweg, Irene; Çorum, Meryem; Kramer, Anneke; Muris, Jean; Scherpbier, Nynke; Thoonen, Bart; Damoiseaux, Roger</t>
  </si>
  <si>
    <t>advances in health sciences education theory and practice</t>
  </si>
  <si>
    <t>https://pubmed.ncbi.nlm.nih.gov/38801544</t>
  </si>
  <si>
    <t>Health professions education (HPE) research in the General Practice domain (GP-HPE) is vital for high-quality healthcare. Collaboration among GP-HPE researchers is crucial but challenging. Formulating a research agenda, involving stakeholders, and fostering inter-institutional collaboration can address these challenges and connect educational research and practice. We used Q-methodology to explore perspectives on GP-HPE research of participants from all Dutch postgraduate GP training institutes. Participants individually sorted statements based on the relevance of future GP-HPE research for educational practice. Data analysis comprised inverted factor analysis, rotation, and qualitative interpretation of configurations of all statements. The National Meeting on Educational Research took a participatory approach. We included 73 participants with diverse involvement in GP-HPE research. We identified five distinct perspectives, each representing a research focus area for developing and innovating GP education: the clinician scientist, the socially engaged GP, the specific GP identity, the GP as an entrepreneur, and the GP engaged in lifelong learning. The resulting five perspectives align with General Practice hallmarks. Q-methodology and a participatory approach facilitated collaboration among stakeholders. Successful inter-institutional collaboration requires a common goal, neutral leadership, participant commitment, regular meetings, audit trail support, process transparency, and reflexivity. Future research should address evidence gaps within these perspectives. Using Q-methodology turned out to be valuable for compiling a national research agenda for GP-HPE research. The research process helped to cross boundaries between researchers in different institutions, thus putting inter-institutional collaborative advantage center stage. Our approach could provide a conceivable procedure for HPE researchers worldwide.</t>
  </si>
  <si>
    <t>Dietary habits and compliance with dietary guidelines in patients with established cardiovascular disease.</t>
  </si>
  <si>
    <t>Bonekamp, Nadia E; Geleijnse, Johanna M; van der Schouw, Yvonne T; Dorresteijn, Jannick A N; van der Meer, Manon G; Ruigrok, Ynte M; Teraa, Martin; Visseren, Frank L J; Koopal, Charlotte; ,</t>
  </si>
  <si>
    <t>european journal of clinical nutrition</t>
  </si>
  <si>
    <t>https://pubmed.ncbi.nlm.nih.gov/38802604</t>
  </si>
  <si>
    <t>Unhealthy dietary habits are an important risk factor for cardiovascular disease (CVD) and adopting a healthy diet is a central recommendation in CVD prevention. This study assessed the dietary habits of patients with established CVD, their compliance to dietary guidelines, and the relationship between guideline-compliance and recurrent cardiovascular event risk. 2656 patients with established CVD from the Utrecht Cardiovascular Cohort-Secondary Manifestations of ARTerial disease (UCC-SMART) prospective cohort study, were included between 1996 and 2022. Data on dietary intake was retrospectively collected for all participants in December 2022 using a 160-item food frequency questionnaire. Compliance with dietary guidelines was quantified using an amended version of the Dutch Healthy Diet 2015 (DHD-15) index (range: 0-135). Cox proportional hazard models were used to quantify the relationship with cardiovascular events (stroke and myocardial infarction). Among 2656 CVD patients (77% male, mean age 59 ± 9 years), median energy intake was 1922 [IQR: 1536-2351] kcal/day. The median DHD-15 index was 81.7 [IQR 71.2-92.0], with high compliance scores for recommendations on legumes and fish, and low scores for recommendations on whole grains, red meat, processed meat, and dairy. A higher DHD-15 score was associated with lower stroke risk (HR 0.78, 95% CI 0.66-0.92 per 10-point increase) but not with myocardial infarction. Compliance with dietary guidelines was suboptimal in patients with established CVD. High compliance was associated with a clinically significant reduction in stroke risk in patients with established CVD, emphasizing the importance of dietary counseling.</t>
  </si>
  <si>
    <t>Data Science and Biostatistics; Global Health and Bioethics; Data Science and Biostatistics; Global Health and Bioethics</t>
  </si>
  <si>
    <t>Data harmonization and federated learning for multi-cohort dementia research using the OMOP common data model: A Netherlands consortium of dementia cohorts case study.</t>
  </si>
  <si>
    <t>Mateus, Pedro; Moonen, Justine; Beran, Magdalena; Jaarsma, Eva; van der Landen, Sophie M; Heuvelink, Joost; Birhanu, Mahlet; Harms, Alexander G J; Bron, Esther; Wolters, Frank J; Cats, Davy; Mei, Hailiang; Oomens, Julie; Jansen, Willemijn; Schram, Miranda T; Dekker, Andre; Bermejo, Inigo</t>
  </si>
  <si>
    <t>https://pubmed.ncbi.nlm.nih.gov/38806105</t>
  </si>
  <si>
    <t>Establishing collaborations between cohort studies has been fundamental for progress in health research. However, such collaborations are hampered by heterogeneous data representations across cohorts and legal constraints to data sharing. The first arises from a lack of consensus in standards of data collection and representation across cohort studies and is usually tackled by applying data harmonization processes. The second is increasingly important due to raised awareness for privacy protection and stricter regulations, such as the GDPR. Federated learning has emerged as a privacy-preserving alternative to transferring data between institutions through analyzing data in a decentralized manner. In this study, we set up a federated learning infrastructure for a consortium of nine Dutch cohorts with appropriate data available to the etiology of dementia, including an extract, transform, and load (ETL) pipeline for data harmonization. Additionally, we assessed the challenges of transforming and standardizing cohort data using the Observational Medical Outcomes Partnership (OMOP) common data model (CDM) and evaluated our tool in one of the cohorts employing federated algorithms. We successfully applied our ETL tool and observed a complete coverage of the cohorts' data by the OMOP CDM. The OMOP CDM facilitated the data representation and standardization, but we identified limitations for cohort-specific data fields and in the scope of the vocabularies available. Specific challenges arise in a multi-cohort federated collaboration due to technical constraints in local environments, data heterogeneity, and lack of direct access to the data. In this article, we describe the solutions to these challenges and limitations encountered in our study. Our study shows the potential of federated learning as a privacy-preserving solution for multi-cohort studies that enhance reproducibility and reuse of both data and analyses.</t>
  </si>
  <si>
    <t>Patient Satisfaction and Experience with Same-Day Discharge After Laparoscopic Roux-en-Y Gastric Bypass: A Mixed-Methods study.</t>
  </si>
  <si>
    <t>Kleipool, Suzanne C; Willinge, Gijs J A; Mathijssen, Elke G E; Romijnders, Kim A G J; de Castro, Steve M M; Marsman, Hendrik A; van Rutte, Pim W J; van Veen, Ruben N</t>
  </si>
  <si>
    <t>obesity surgery</t>
  </si>
  <si>
    <t>https://pubmed.ncbi.nlm.nih.gov/38795202</t>
  </si>
  <si>
    <t>Same-day discharge (SDD) after laparoscopic Roux-en-Y gastric bypass (RYGB) is a safe and effective healthcare pathway. However, there is limited understanding of the patient perspective on SDD. The aim of this study was to explore patient satisfaction and experience with SDD after RYGB. A mixed-methods study with a concurrent design was conducted in a Dutch teaching hospital, using questionnaires and interviews. Patients who underwent RYGB and were discharged on the day of the surgery completed four questionnaires of the BODY-Q (satisfaction with the surgeon, satisfaction with the medical team, satisfaction with the office staff, and satisfaction with information provision) ± 4 months postoperative. The results of the questionnaires were compared with pre-existing data from a cohort of patients who stayed overnight after surgery (i.e., control group). A subset of patients was individually interviewed for an in-depth understanding of the patient perspective on SDD. In the questionnaires, median scores for the control group (n = 158) versus the present group of patients (n = 51) were as follows: 92/100 vs. 92/100 (p = 0.331) for the surgeon, 100/100 vs. 92/100 (p = 0.775) for the medical team, 100/100 vs. 100/100 (p = 0.616) for the office staff, and 90/100 vs. 73/100 (p = 0.015) for information provision. Interviews with 14 patients revealed seven themes, describing high satisfaction, along with several points of interest. Patient satisfaction with SDD after RYGB is high, although information provision regarding the day of surgery could be improved. However, not every medically eligible patient might be suitable for this healthcare pathway, as responsibilities are shifted.</t>
  </si>
  <si>
    <t>The association of obesogenic environments with weight status, blood pressure, and blood lipids: A cross-sectional pooled analysis across five cohorts.</t>
  </si>
  <si>
    <t>Meijer, Paul; Lam, Thao Minh; Vaartjes, Ilonca; Moll van Charante, Eric; Galenkamp, Henrike; Koster, Annemarie; van den Hurk, Katja; den Braver, Nicole R; Blom, Marieke T; de Jong, Trynke; Grobbee, Diederick E; Beulens, Joline Wj; Lakerveld, Jeroen; ,</t>
  </si>
  <si>
    <t>environmental research</t>
  </si>
  <si>
    <t>https://pubmed.ncbi.nlm.nih.gov/38797463</t>
  </si>
  <si>
    <t>In this observational cross-sectional study, we investigated the relationship between combined obesogenic neighbourhood characteristics and various cardiovascular disease risk factors in adults, including BMI, systolic blood pressure, and blood lipids, as well as the prevalence of overweight/obesity, hypertension, and dyslipidaemia. We conducted a large-scale pooled analysis, comprising data from five Dutch cohort studies (n = 183,871). Neighbourhood obesogenicity was defined according to the Obesogenic Built-environmental CharacterisTics (OBCT) index. The index was calculated for 1000m circular buffers around participants' home addresses. For each cohort, the association between the OBCT index and prevalence of overweight/obesity, hypertension and dyslipidaemia was analysed using robust Poisson regression models. Associations with continuous measures of BMI, systolic blood pressure, LDL-cholesterol, HDL-cholesterol, and triglycerides were analysed using linear regression. All models were adjusted for age, sex, education level and area-level socio-economic status. Cohort-specific estimates were pooled using random-effects meta-analyses. The pooled results show that a 10 point higher OBCT index score was significantly associated with a 0.17 higher BMI (95%CI: 0.10 to 0.24), a 0.01 higher LDL-cholesterol (95% CI: 0.01 to 0.02), a 0.01 lower HDL cholesterol (95% CI: -0.02 to -0.01), and non-significantly associated with a 0.36 mmHg higher systolic blood pressure (95%CI: -0.14 to 0.65). A 10 point higher OBCT index score was also associated with a higher prevalence of overweight/obesity (PR = 1.03; 95% CI: 1.02 to 1.05), obesity (PR = 1.04; 95% CI: 1.01 to 1.08) and hypertension (PR = 1.02; 95% CI: 1.00 to 1.04), but not with dyslipidaemia. This large-scale pooled analysis of five Dutch cohort studies shows that higher neighbourhood obesogenicity, as measured by the OBCT index, was associated with higher BMI, higher prevalence of overweight/obesity, obesity, and hypertension. These findings highlight the importance of considering the obesogenic environment as a potential determinant of cardiovascular health.</t>
  </si>
  <si>
    <t>Prognostic Factors and Models to Predict Mortality Outcomes in Patients with Peripheral Arterial Disease: A Systematic Review.</t>
  </si>
  <si>
    <t>Porras, Cindy P; Teraa, Martin; Damen, Johanna A A; Hazenberg, Constantijn E V B; Bots, Michiel L; Verhaar, Marianne C; Vernooij, Robin W M</t>
  </si>
  <si>
    <t>european journal of vascular and endovascular surgery the official journal of the european society for vascular surgery</t>
  </si>
  <si>
    <t>https://pubmed.ncbi.nlm.nih.gov/38795905</t>
  </si>
  <si>
    <t>Predicting adverse outcomes in patients with peripheral arterial disease (PAD) is a complex task owing to the heterogeneity in patient and disease characteristics. This systematic review aimed to identify prognostic factors and prognostic models to predict mortality outcomes in patients with PAD Fontaine stage I - III or Rutherford category 0 - 4. PubMed, Embase, and Cochrane Database of Systematic Reviews were searched to identify studies examining individual prognostic factors or studies aiming to develop or validate a prognostic model for mortality outcomes in patients with PAD. Information on study design, patient population, prognostic factors, and prognostic model characteristics was extracted, and risk of bias was evaluated. Sixty nine studies investigated prognostic factors for mortality outcomes in PAD. Over 80 single prognostic factors were identified, with age as a predictor of mortality in most of the studies. Other common factors included sex, diabetes, and smoking status. Six studies had low risk of bias in all domains, and the remainder had an unclear or high risk of bias in at least one domain. Eight studies developed or validated a prognostic model. All models included age in their primary model, but not sex. All studies had similar discrimination levels of &gt; 70%. Five of the studies on prognostic models had an overall high risk of bias, whereas two studies had an overall unclear risk of bias. This systematic review shows that a large number of prognostic studies have been published, with heterogeneity in patient population, outcomes, and risk of bias. Factors such as sex, age, diabetes, hypertension, and smoking are significant in predicting mortality risk among patients with PAD Fontaine stage I - III or Rutherford category 0 - 4.</t>
  </si>
  <si>
    <t>Global Health and Bioethics; Global Health and Bioethics; Data Science and Biostatistics; Epidemiology and Health Economics; Epidemiology and Health Economics; Data Science and Biostatistics</t>
  </si>
  <si>
    <t>Cardiac organoids do not warrant additional moral scrutiny.</t>
  </si>
  <si>
    <t>Simons, Jannieke N; van der Graaf, Rieke; van Delden, Johannes Jm</t>
  </si>
  <si>
    <t>bmc medical ethics</t>
  </si>
  <si>
    <t>https://pubmed.ncbi.nlm.nih.gov/38773517</t>
  </si>
  <si>
    <t>Certain organoid subtypes are particularly sensitive. We explore whether moral intuitions about the heartbeat warrant unique moral consideration for newly advanced contracting cardiac organoids. Despite the heartbeat's moral significance in organ procurement and abortion discussions, we argue that this significance should not translate into moral implications for cardiac organoids.</t>
  </si>
  <si>
    <t>Variation of resection margins in oral cancer in dependence of tumor stage and subsite - a retrospective cohort study.</t>
  </si>
  <si>
    <t>Moratin, Julius; Horn, Dominik; Oehme, Marcel; Semmelmayer, Karl; Flechtenmacher, Christa; Ristow, Oliver; Held, Thomas; Engel, Michael; Hoffmann, Jürgen; Freudlsperger, Christian</t>
  </si>
  <si>
    <t>clinical oral investigations</t>
  </si>
  <si>
    <t>https://pubmed.ncbi.nlm.nih.gov/38764079</t>
  </si>
  <si>
    <t>Surgical resection is a key component of the treatment of head and neck cancer and the achievement of free surgical margins are essential for the patients' outcome in terms of survival. While there is a general recommendation for a free resection range of 5 mm, up to date, there is a lack of investigations on the quality of tumor resection in dependence of affected subsite and tumor stage. In the presented study, predictors for the achieved resection margins in surgically treated oral squamous cell carcinomas were analyzed. A cohort of 567 patients was included in a retrospective analysis and resection status with exact margin ranges were analysed. Tumor stage, affected subsite and the results of the intraoperative frozen section analysis were assessed. Primary endpoint was the achieved resection margin in mm, secondary endpoints were overall and progression-free survival. The observed mean values of minimal resection margins differed significantly between the investigated subsites (p = 0.042),pathological tumor stages (p &lt; 0.001) and in tumors which demonstrated perineural infiltration (Pn1, p = 0.002). Furthermore, there was a significant impact of the results of the intraoperative frozen section analysis on progression-free and overall survival (p &lt; 0.001). Our data clearly indicate that resection status differs between tumors of different subsites and tumor stages. Clinical procedures should be adapted in order to achieve similar certainty in all resections, and, thus to improve patients' outcome.</t>
  </si>
  <si>
    <t>The Ethics of Decentralized Clinical Trials and Informed Consent: Taking Technologies' Soft Impacts into Account.</t>
  </si>
  <si>
    <t>van Rijssel, Tessa I; van Thiel, Ghislaine J M W; van Delden, Johannes J M; ,</t>
  </si>
  <si>
    <t>health care analysis hca journal of health philosophy and policy</t>
  </si>
  <si>
    <t>https://pubmed.ncbi.nlm.nih.gov/38764063</t>
  </si>
  <si>
    <t>Decentralized clinical trials (DCTs) have the potential to advance the conduct of clinical trials, but raise several ethical issues, including obtaining valid informed consent. The debate on the ethical issues resulting from digitalization is predominantly focused on direct risks relating to for example data protection, safety, and data quality. We submit however, that a broader view on ethical aspects of DCTs is needed to touch upon the new challenges that come with the DCT practice. Digitalization has impacts that go beyond its direct purposes, by shaping behaviors, experiences, social relations, and values. We examine four elements of the informed consent procedure that are affected by DCTs, while taking these soft impacts of technologies into account: (i) informing participants and testing understanding, (ii) freedoms in relation to responsibilities and burdens, (iii) trust in participant-researcher relations, and (iv) impacts on the concept of privacy. Our analysis reveals that a broad view is key for optimal conduct of DCTs. In addition, it provides insight into the ethical impacts of DCTs on informed consent. Technologies such as DCTs potentially have profound impacts which are not immediately addressed by the existing regulatory frameworks, but nonetheless important to recognize. These findings can guide future practices of DCTs to foster the important values of clinical research in this novel approach for conducting clinical trials.</t>
  </si>
  <si>
    <t>Azimuthal Angle Correlations of Muons Produced via Heavy-Flavor Decays in 5.02 TeV Pb+Pb and pp Collisions with the ATLAS Detector.</t>
  </si>
  <si>
    <t>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t>
  </si>
  <si>
    <t>physical review letters</t>
  </si>
  <si>
    <t>https://pubmed.ncbi.nlm.nih.gov/38829073</t>
  </si>
  <si>
    <t>Angular correlations between heavy quarks provide a unique probe of the quark-gluon plasma created in ultrarelativistic heavy-ion collisions. Results are presented of a measurement of the azimuthal angle correlations between muons originating from semileptonic decays of heavy quarks produced in 5.02 TeV Pb+Pb and pp collisions at the LHC. The muons are measured with transverse momenta and pseudorapidities satisfying p_{T}^{μ}&gt;4  GeV and |η^{μ}|&lt;2.4, respectively. The distributions of azimuthal angle separation Δϕ for muon pairs having pseudorapidity separation |Δη|&gt;0.8, are measured in different Pb+Pb centrality intervals and compared to the same distribution measured in pp collisions at the same center-of-mass energy. Results are presented separately for muon pairs with opposite-sign charges, same-sign charges, and all pairs. A clear peak is observed in all Δϕ distributions at Δϕ∼π, consistent with the parent heavy-quark pairs being produced via hard-scattering processes. The widths of that peak, characterized using Cauchy-Lorentz fits to the Δϕ distributions, are found to not vary significantly as a function of Pb+Pb collision centrality and are similar for pp and Pb+Pb collisions. This observation will provide important constraints on theoretical descriptions of heavy-quark interactions with the quark-gluon plasma.</t>
  </si>
  <si>
    <t>Global Health and Bioethics; Epidemiology and Health Economics; Global Health and Bioethics</t>
  </si>
  <si>
    <t>Dutch cardio-oncology cohort: Incident cardiovascular disease predisposes to a higher cancer mortality rate.</t>
  </si>
  <si>
    <t>Koop, Yvonne; Yousif, Laura; de Boer, Rudolf A; Bots, Michiel L; Meijers, Wouter C; Vaartjes, Ilonca</t>
  </si>
  <si>
    <t>european journal of clinical investigation</t>
  </si>
  <si>
    <t>https://pubmed.ncbi.nlm.nih.gov/38757646</t>
  </si>
  <si>
    <t>Cardiovascular disease (CVD) and cancer are the two leading causes of death worldwide. Given their high prevalence, it is important to understand the disease burden of cancer mortality in CVD patients. We aimed to evaluate whether patients with incident CVD have a higher risk of malignancy-related mortality, compared to the general population without CVD. We performed a national population-based cohort study selecting patients with incident CVD in the Netherlands between 01 April 2000 and 31 December 2005. A reference cohort was selected from the Dutch population using age, sex and ethnicity. Mortality follow-up data were evaluated after data linkage of national registries from Statistics Netherlands until 31 December 2020. A total of 2,240,879 individuals were selected with a mean follow-up of 12 years (range 0.4-21.0), of which 738,666 patients with incident CVD with a mean age of 71 ± 15 years. Malignancy mortality per 1000 person years was 84 for the reference group and 118 for patients with CVD, with the highest rate of 258 in patients with heart failure. Patients with CVD had a higher malignancy mortality risk, compared to the reference group: HR 1.35 (95%CI 1.33-1.36). Highest risks were observed in patients with venous diseases (HR 2.27, 95%CI 2.17-2.36) and peripheral artery disease (HR 1.87, 95%CI 1.84-2.01). Results show that CVD predisposes to a higher cancer mortality rate. Of all CVD subtypes, HF patients have the highest cancer mortality rate and the hazards were highest in patients with venous diseases and peripheral artery disease.</t>
  </si>
  <si>
    <t>It's not all about residual confounding: a plea for QBA for epidemiologic researchers and educators.</t>
  </si>
  <si>
    <t>Fox, Matthew P; Adrien, Nedghie; van Smeden, Maarten; Suarez, Elizabeth</t>
  </si>
  <si>
    <t>https://pubmed.ncbi.nlm.nih.gov/38754869</t>
  </si>
  <si>
    <t>We spend a great deal of time on confounding in our teaching, in our methods development and in our assessment of study results. This may give the impression that uncontrolled confounding is the biggest problem that observational epidemiology faces, when in fact, other sources of bias such as selection bias, measurement error, missing data, and misalignment of zero time may often (especially if they are all present in a single study) lead to a stronger deviation from the truth. Compared to the amount of time we spend teaching how to address confounding in a data analysis, we spend relatively little time teaching methods for simulating confounding (and other sources of bias) to learn their impact and develop plans to mitigate or quantify the bias. We review a paper by Desai et al that uses simulation methods to quantify the impact of an unmeasured confounder when it is completely missing or when a proxy of the confounder is measured. We use this article to discuss how we can use simulations of sources of bias to ensure we generate better and more valid study estimates, and we discuss the importance of simulating realistic datasets with plausible bias structures to guide data collection. If an advanced life form exists outside of our current universe and they came to earth with the goal of scouring the published epidemiologic literature to understand what the biggest problem epidemiologists have, they would quickly discover that the limitations section of publications would provide them with all the information they needed. And most likely what they would conclude is that the biggest problem that we face is uncontrolled confounding. It seems to be an obsession of ours.</t>
  </si>
  <si>
    <t>Potential Mediating Role of Iron Biomarkers in the Association of Sex With Glucose, Insulin, and Type 2 Diabetes.</t>
  </si>
  <si>
    <t>Khatami, Farnaz; Lange, Theis; Groothof, Dion; Ahanchi, Noushin Sadat; Quezada-Pinedo, Hugo G; Raeisi-Dehkordi, Hamidreza; De Borst, Martin H; Vidal, Pedro-Marques; Sailesh, Mohan; Prabhakaran, Dorairaj; Bano, Arjola; Bakker, Stephan J L; Muka, Taulant; Eisenga, Michele F</t>
  </si>
  <si>
    <t>journal of the endocrine society</t>
  </si>
  <si>
    <t>https://pubmed.ncbi.nlm.nih.gov/38840960</t>
  </si>
  <si>
    <t>Sex-specific prevalence and incidence of type 2 diabetes (T2D) have been reported, but the underlying mechanisms are uncertain. In this study, we aimed to investigate whether iron biomarkers mediate the association between biological sex and glucose metabolism and the incidence of T2D. We used data from the general population enrolled in the prospective Prevention of REnal and Vascular ENd-stage Disease study in Groningen, The Netherlands. We measured ferritin, transferrin saturation (TSAT), hepcidin, soluble transferrin receptor (sTfR), fasting plasma glucose (FPG), fasting plasma insulin (FPI) levels, and incidence of T2D. We used multivariable regression and mediation analyses to investigate our hypothesis. All iron biomarkers, FPG, and FPI were log-transformed. The mean (SD) age of the 5312 (51.3% female) individuals was 52.2 (11.6) years. Compared with males, females had lower FPG (β = -.01; 95% CI -0.02, -0.01) and FPI (β = -.03; 95% CI -0.05, -0.02) levels. Ferritin, hepcidin, and sTfR showed potential mediating effects on the association between sex and FPG, 21%, 5%, and 7.1%, respectively. Furthermore, these variables mediated 48.6%, 5.7%, and 3.1% of the association between sex and FPI, respectively. Alternatively, TSAT had a suppressive mediating role in the association of sex with FPG and FPI. The incidence of T2D was lower in females than in males (hazard ratio 0.58; 95% CI 0.44, 0.77), with 19.2% of this difference being mediated by ferritin. Iron biomarkers may partially mediate the association between sex and glucose homeostasis. Future studies addressing the causality of our findings are needed.</t>
  </si>
  <si>
    <t>General Practice and Nursing Science; Global Health and Bioethics; Data Science and Biostatistics; General Practice and Nursing Science; Data Science and Biostatistics</t>
  </si>
  <si>
    <t>Safety and efficacy of active blood-pressure reduction to the recommended thresholds for intravenous thrombolysis in patients with acute ischaemic stroke in the Netherlands (TRUTH): a prospective, observational, cluster-based, parallel-group study.</t>
  </si>
  <si>
    <t>Zonneveld, Thomas P; Vermeer, Sarah E; van Zwet, Erik W; Groot, Adrien E D; Algra, Ale; Aerden, Leo A M; Alblas, Kees C L; de Beer, Frank; Brouwers, Paul J A M; de Gans, Koen; van Gemert, H Maarten A; van Ginneken, Bart C A M; Grooters, Gerke S; Halkes, Patricia H A; van der Heijden-Montfroy, Tonny A M H G; Jellema, Korné; de Jong, Sonja W; Lövenich-Ciccarello, Harry; van der Meulen, Willem D M; Peters, Edwin W; van der Ree, Taco C; Remmers, Michel J M; Richard, Edo; Rovers, Jörgen M P; Saxena, Ritu; van Schaik, Sander M; Schonewille, Wouter J; Schreuder, Tobien A H C M L; de Schryver, Els L L M; Schuiling, Wouter J; Spaander, Fianne H; van Tuijl, Julia H; Visser, Marieke C; Zinkstok, Sanne M; Zock, Elles; Dippel, Diederik W J; Kappelle, L Jaap; van Oostenbrugge, Robert J; Roos, Yvo B W E M; Vermeij, Frederique H; Wermer, Marieke J H; van der Worp, H Bart; Nederkoorn, Paul J; Kruyt, Nyika D</t>
  </si>
  <si>
    <t>the lancet neurology</t>
  </si>
  <si>
    <t>https://pubmed.ncbi.nlm.nih.gov/38763149</t>
  </si>
  <si>
    <t>Intravenous thrombolysis is contraindicated in patients with ischaemic stroke with blood pressure higher than 185/110 mm Hg. Prevailing guidelines recommend to actively lower blood pressure with intravenous antihypertensive agents to allow for thrombolysis; however, there is no robust evidence for this strategy. Because rapid declines in blood pressure can also adversely affect clinical outcomes, several Dutch stroke centres use a conservative strategy that does not involve the reduction of blood pressure. We aimed to compare the clinical outcomes of both strategies. Thrombolysis and Uncontrolled Hypertension (TRUTH) was a prospective, observational, cluster-based, parallel-group study conducted across 37 stroke centres in the Netherlands. Participating centres had to strictly adhere to an active blood-pressure-lowering strategy or to a non-lowering strategy. Eligible participants were adults (≥18 years) with ischaemic stroke who had blood pressure higher than 185/110 mm Hg but were otherwise eligible for intravenous thrombolysis. The primary outcome was functional status at 90 days, measured using the modified Rankin Scale and assessed through telephone interviews by trained research nurses. Secondary outcomes were symptomatic intracranial haemorrhage, the proportion of patients treated with intravenous thrombolysis, and door-to-needle time. All ordinal logistic regression analyses were adjusted for age, sex, stroke severity, endovascular thrombectomy, and baseline imbalances as fixed-effect variables and centre as a random-effect variable to account for the clustered design. Analyses were done according to the intention-to-treat principle, whereby all patients were analysed according to the treatment strategy of the participating centre at which they were treated. Recruitment began on Jan 1, 2015, and was prematurely halted because of a declining inclusion rate and insufficient funding on Jan 5, 2022. Between these dates, we recruited 853 patients from 27 centres that followed an active blood-pressure-lowering strategy and 199 patients from ten centres that followed a non-lowering strategy. Baseline characteristics of participants from the two groups were similar. The 90-day mRS score was missing for 15 patients. The adjusted odds ratio (aOR) for a shift towards a worse 90-day functional outcome was 1·27 (95% CI 0·96-1·68) for active blood-pressure reduction compared with no active blood-pressure reduction. 798 (94%) of 853 patients in the active blood-pressure-lowering group were treated with intravenous thrombolysis, with a median door-to-needle time of 35 min (IQR 25-52), compared with 104 (52%) of 199 patients treated in the non-lowering group with a median time of 47 min (29-78). 42 (5%) of 852 patients in the active blood-pressure-lowering group had a symptomatic intracranial haemorrhage compared with six (3%) of 199 of those in the non-lowering group (aOR 1·28 [95% CI 0·62-2·62]). Insufficient evidence was available to establish a difference between an active blood-pressure-lowering strategy-in which antihypertensive agents were administered to reduce blood pressure below 185/110 mm Hg-and a non-lowering strategy for the functional outcomes of patients with ischaemic stroke, despite higher intravenous thrombolysis rates and shorter door-to-needle times among those in the active blood-pressure-lowering group. Randomised controlled trials are needed to inform the use of an active blood-pressure-lowering strategy. Fonds NutsOhra.</t>
  </si>
  <si>
    <t>Antihypertensive medication classes and risk of incident dementia in primary care patients: a longitudinal cohort study in the Netherlands.</t>
  </si>
  <si>
    <t>Schroevers, Jakob L; Hoevenaar-Blom, Marieke P; Busschers, Wim B; Hollander, Monika; Van Gool, Willem A; Richard, Edo; Van Dalen, Jan Willem; Moll van Charante, Eric P</t>
  </si>
  <si>
    <t>the lancet regional health europe</t>
  </si>
  <si>
    <t>https://pubmed.ncbi.nlm.nih.gov/38800111</t>
  </si>
  <si>
    <t>Hypertension is a modifiable risk factor for dementia affecting over 70% of individuals older than 60. Lowering dementia risk through preferential treatment with antihypertensive medication (AHM) classes that are otherwise equivalent in indication could offer a cost-effective, safe, and accessible approach to reducing dementia incidence globally. Certain AHM-classes have been associated with lower dementia risk, potentially attributable to angiotensin-II-receptor (Ang-II) stimulating properties. Previous study results have been inconclusive, possibly due to heterogeneous methodology and limited power. We aimed to comprehensively investigate associations between AHM (sub-)classes and dementia risk using large-scale continuous, real-world prescription and outcome data from primary care. We used data from three Dutch General Practice Registration Networks. Primary endpoints were clinical diagnosis of incident all-cause dementia and mortality. Using Cox regression analysis with time-dependent covariates, we compared the use of angiotensin-converting enzyme inhibitors (ACEi) to angiotensin receptor blockers (ARBs), beta blockers, calcium channel blockers (CCBs), and diuretics; and Ang-II-stimulating- to Ang-II-inhibiting AHM. Of 133,355 AHM-using participants, 5877 (4.4%) developed dementia, and 14,079 (10.6%) died during a median follow-up of 7.6 [interquartile range = 4.1-11.0] years. Compared to ACEi, ARBs [HR = 0.86 (95% CI = 0.80-0.92)], beta blockers [HR = 0.81 (95% CI = 0.75-0.87)], CCBs [HR = 0.77 (95% CI = 0.71-0.84)], and diuretics [HR = 0.65 (95% CI = 0.61-0.70)] were associated with significantly lower dementia risks. Regarding competing risk of death, beta blockers [HR = 1.21 (95% CI = 1.15-1.27)] and diuretics [HR = 1.69 (95% CI = 1.60-1.78)] were associated with higher, CCBs with similar, and ARBs with lower [HR = 0.83 (95% CI = 0.80-0.87)] mortality risk. Dementia [HR = 0.88 (95% CI = 0.82-0.95)] and mortality risk [HR = 0.86 (95% CI = 0.82-0.91)] were lower for Ang-II-stimulating versus Ang-II-inhibiting AHM. There were no interactions with sex, diabetes, cardiovascular disease, and number of AHM used. Among patients receiving AHM, ARBs, CCBs, and Ang-II-stimulating AHM were associated with lower dementia risk, without excess mortality explaining these results. Extensive subgroup and sensitivity analyses suggested that confounding by indication did not importantly influence our findings. Dementia risk may be influenced by AHM-classes' angiotensin-II-receptor stimulating properties. An RCT comparing BP treatment with different AHM classes with dementia as outcome is warranted. Netherlands Organisation for Health, Research and Development (ZonMw); Stoffels-Hornstra Foundation.</t>
  </si>
  <si>
    <t>Re: External Validation of the Rotterdam Prostate Cancer Risk Calculator and Comparison with Stockholm3 for Prostate Cancer Diagnosis in a Swedish Population-based Screening Cohort.</t>
  </si>
  <si>
    <t>Fankhauser, Christian D; Wettstein, Marian S; Würnschimmel, Christoph; van Smeden, Maarten; Clarke, Noel W</t>
  </si>
  <si>
    <t>european urology</t>
  </si>
  <si>
    <t>https://pubmed.ncbi.nlm.nih.gov/38755049</t>
  </si>
  <si>
    <t>Repeatability and reproducibility of the Forskolin-induced swelling (FIS) assay on intestinal organoids from people with Cystic Fibrosis.</t>
  </si>
  <si>
    <t>Bierlaagh, Marlou C; Ramalho, Anabela S; Silva, Iris A L; Vonk, Annelotte M; van den Bor, Rutger M; van Mourik, Peter; Pott, Johanna; Suen, Sylvia W F; Boj, Sylvia F; Vries, Robert G J; Lammertyn, Elise; Vermeulen, François; Amaral, Margarida D; de Boeck, Kris; van der Ent, Cornelis K; Beekman, Jeffrey M</t>
  </si>
  <si>
    <t>journal of cystic fibrosis official journal of the european cystic fibrosis society</t>
  </si>
  <si>
    <t>https://pubmed.ncbi.nlm.nih.gov/38749892</t>
  </si>
  <si>
    <t>The forskolin-induced swelling (FIS) assay measures CFTR function on patient-derived intestinal organoids (PDIOs) and may guide treatment selection for individuals with Cystic Fibrosis (CF). The aim of this study is to demonstrate the repeatability and reproducibility of the FIS assay following a detailed Standard Operating Procedure (SOP), thus advancing the validation of the assay for precision medicine (theranostic) applications. Over a 2-year period, FIS responses to CFTR modulators were measured in four European labs. PDIOs from six subjects with CF carrying different CFTR genotypes were used to assess the repeatability and reproducibility across the dynamic range of the assay. Technical, intra-assay repeatability was high (Lin's concordance correlation coefficient (CCC) 0.95-0.98). Experimental, within-subject repeatability was also high within each lab (CCCs all &gt;0.9). Longer-term repeatability (&gt;1 year) showed more variability (CCCs from 0.67 to 0.95). The reproducibility between labs was also high (CCC ranging from 0.92 to 0.97). Exploratory analysis also found that between-lab percentage of agreement of dichotomized CFTR modulator outcomes for predefined FIS thresholds ranged between 78 and 100 %. The observed repeatability and reproducibility of the FIS assay within and across different labs is high and support the use of FIS as biomarker of CFTR function in the presence or absence of CFTR modulators.</t>
  </si>
  <si>
    <t>Data Science and Biostatistics; Global Health and Bioethics; Global Health and Bioethics; Data Science and Biostatistics; Epidemiology and Health Economics; General Practice and Nursing Science; General Practice and Nursing Science; Epidemiology and Health Economics</t>
  </si>
  <si>
    <t>Bacille Calmette-Guérin vaccination to prevent febrile and respiratory illness in adults (BRACE): secondary outcomes of a randomised controlled phase 3 trial.</t>
  </si>
  <si>
    <t>Pittet, Laure F; Messina, Nicole L; McDonald, Ellie; Orsini, Francesca; Barry, Simone; Bonten, Marc; Campbell, John; Croda, Julio; Croda, Mariana G; Dalcolmo, Margareth; Gardiner, Kaya; Gwee, Amanda; Jardim, Bruno; Lacerda, Marcus V G; Lucas, Michaela; Lynn, David J; Manning, Laurens; Perrett, Kirsten P; Post, Jeffrey J; Prat-Aymerich, Cristina; Richmond, Peter C; Rocha, Jorge L; Rodriguez-Baño, Jesus; Warris, Adilia; Wood, Nicholas J; Davidson, Andrew; Curtis, Nigel; ,</t>
  </si>
  <si>
    <t>eclinicalmedicine</t>
  </si>
  <si>
    <t>https://pubmed.ncbi.nlm.nih.gov/38774675</t>
  </si>
  <si>
    <t>Bacille Calmette-Guérin (BCG) vaccination has off-target (non-specific) effects that are associated with protection against unrelated infections and decreased all-cause mortality in infants. We aimed to determine whether BCG vaccination prevents febrile and respiratory infections in adults. This randomised controlled phase 3 trial was done in 36 healthcare centres in Australia, Brazil, the Netherlands, Spain, and the United Kingdom. Healthcare workers were randomised to receive BCG-Denmark (single 0.1 ml intradermal injection) or no BCG in a 1:1 ratio using a web-based procedure, stratified by stage, site, age, and presence of co-morbidity. The difference in occurrence of febrile or respiratory illness were measured over 12 months (prespecified secondary outcome) using the intention-to-treat (ITT) population. This trial is registered with ClinicalTrials.gov, NCT04327206. Between March 30, 2020, and April 1, 2021, 6828 healthcare workers were randomised to BCG-Denmark (n = 3417) or control (n = 3411; no intervention or placebo) groups. The 12-month adjusted estimated risk of ≥1 episode of febrile or respiratory illness was 66.8% in the BCG group (95% CI 65.3%-68.2%), compared with 63.4% in the control group (95% CI 61.8%-65.0%), a difference of +3.4 percentage points (95% CI +1.3% to +5.5%; p 0.002). The adjusted estimated risk of a severe episode (defined as being incapacitated for ≥3 consecutive days or hospitalised) was 19.4% in the BCG group (95% CI 18.0%-20.7%), compared with 18.8% in the control group (95% CI 17.4%-20.2%) a difference of +0.6 percentage points (95% CI -1.3% to +2.5%; p 0.6). Both groups had a similar number of episodes of illness, pneumonia, and hospitalisation. There were three deaths, all in the control group. There were no safety concerns following BCG vaccination. In contrast to the beneficial off-target effects reported following neonatal BCG in infants, a small increased risk of symptomatic febrile or respiratory illness was observed in the 12 months following BCG vaccination in adults. There was no evidence of a difference in the risk of severe disease. Bill &amp; Melinda Gates Foundation, Minderoo Foundation, Sarah and Lachlan Murdoch, the Royal Children's Hospital Foundation, Health Services Union NSW, the Peter Sowerby Foundation, SA Health, the Insurance Advisernet Foundation, the NAB Foundation, the Calvert-Jones Foundation, the Modara Pines Charitable Foundation, the UHG Foundation Pty Ltd, Epworth Healthcare, the National Health and Medical Research Council, the Swiss National Science Foundation and individual donors.</t>
  </si>
  <si>
    <t>Multiomic Signatures of Traffic-Related Air Pollution in London Reveal Potential Short-Term Perturbations in Gut Microbiome-Related Pathways.</t>
  </si>
  <si>
    <t>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t>
  </si>
  <si>
    <t>https://pubmed.ncbi.nlm.nih.gov/38728551</t>
  </si>
  <si>
    <t>This randomized crossover study investigated the metabolic and mRNA alterations associated with exposure to high and low traffic-related air pollution (TRAP) in 50 participants who were either healthy or were diagnosed with chronic pulmonary obstructive disease (COPD) or ischemic heart disease (IHD). For the first time, this study combined transcriptomics and serum metabolomics measured in the same participants over multiple time points (2 h before, and 2 and 24 h after exposure) and over two contrasted exposure regimes to identify potential multiomic modifications linked to TRAP exposure. With a multivariate normal model, we identified 78 metabolic features and 53 mRNA features associated with at least one TRAP exposure. Nitrogen dioxide (NO&lt;sub&gt;2&lt;/sub&gt;) emerged as the dominant pollutant, with 67 unique associated metabolomic features. Pathway analysis and annotation of metabolic features consistently indicated perturbations in the tryptophan metabolism associated with NO&lt;sub&gt;2&lt;/sub&gt; exposure, particularly in the gut-microbiome-associated indole pathway. Conditional multiomics networks revealed complex and intricate mechanisms associated with TRAP exposure, with some effects persisting 24 h after exposure. Our findings indicate that exposure to TRAP can alter important physiological mechanisms even after a short-term exposure of a 2 h walk. We describe for the first time a potential link between NO&lt;sub&gt;2&lt;/sub&gt; exposure and perturbation of the microbiome-related pathways.</t>
  </si>
  <si>
    <t>General Practice and Nursing Science; Global Health and Bioethics; General Practice and Nursing Science; Global Health and Bioethics</t>
  </si>
  <si>
    <t>Don't be misled: Three misconceptions about external validation of clinical prediction models.</t>
  </si>
  <si>
    <t>la Roi-Teeuw, Hannah M; van Royen, Florien S; de Hond, Anne; Zahra, Anum; de Vries, Sjoerd; Bartels, Richard; Carriero, Alex J; van Doorn, Sander; Dunias, Zoë S; Kant, Ilse; Leeuwenberg, Tuur; Peters, Ruben; Veerhoek, Laura; van Smeden, Maarten; Luijken, Kim</t>
  </si>
  <si>
    <t>journal of clinical epidemiology</t>
  </si>
  <si>
    <t>https://pubmed.ncbi.nlm.nih.gov/38729274</t>
  </si>
  <si>
    <t>Clinical prediction models provide risks of health outcomes that can inform patients and support medical decisions. However, most models never make it to actual implementation in practice. A commonly heard reason for this lack of implementation is that prediction models are often not externally validated. While we generally encourage external validation, we argue that an external validation is often neither sufficient nor required as an essential step before implementation. As such, any available external validation should not be perceived as a license for model implementation. We clarify this argument by discussing three common misconceptions about external validation. We argue that there is not one type of recommended validation design, not always a necessity for external validation, and sometimes a need for multiple external validations. The insights from this paper can help readers to consider, design, interpret, and appreciate external validation studies.</t>
  </si>
  <si>
    <t>Charting a new course in healthcare: early-stage AI algorithm registration to enhance trust and transparency.</t>
  </si>
  <si>
    <t>van Genderen, Michel E; van de Sande, Davy; Hooft, Lotty; Reis, Andreas Alois; Cornet, Alexander D; Oosterhoff, Jacobien H F; van der Ster, Björn J P; Huiskens, Joost; Townsend, Reggie; van Bommel, Jasper; Gommers, Diederik; van den Hoven, Jeroen</t>
  </si>
  <si>
    <t>npj digital medicine</t>
  </si>
  <si>
    <t>https://pubmed.ncbi.nlm.nih.gov/38720011</t>
  </si>
  <si>
    <t>AI holds the potential to transform healthcare, promising improvements in patient care. Yet, realizing this potential is hampered by over-reliance on limited datasets and a lack of transparency in validation processes. To overcome these obstacles, we advocate the creation of a detailed registry for AI algorithms. This registry would document the development, training, and validation of AI models, ensuring scientific integrity and transparency. Additionally, it would serve as a platform for peer review and ethical oversight. By bridging the gap between scientific validation and regulatory approval, such as by the FDA, we aim to enhance the integrity and trustworthiness of AI applications in healthcare.</t>
  </si>
  <si>
    <t>Factors influencing presentation delay among cancer patients: a cross-sectional study in Malaysia.</t>
  </si>
  <si>
    <t>Gyeltshen, Tshewang; Teh, Hoon Shien; Loo, Ching Ee; Hing, Nicholas Yee Liang; Lim, Wei Yin; Subramaniam, Shridevi; Wong, Wen Jun; Wong, Zoie Shui-Yee; Hwong, Wen Yea</t>
  </si>
  <si>
    <t>bmc public health</t>
  </si>
  <si>
    <t>https://pubmed.ncbi.nlm.nih.gov/38720253</t>
  </si>
  <si>
    <t>Cancer represents a significant global public health challenge, with escalating incidence rates straining healthcare systems. Malaysia, like many nations, has witnessed a rise in cancer cases, particularly among the younger population. This study aligns with Malaysia's National Strategic Plan for Cancer Control Programme 2021-2025, emphasizing primary prevention and early detection to address cancer's impact. Therefore, we aim to describe the timeliness of cancer care for symptom presentation, socio-demographic, patient, as well as organizational-related factors among patients in Malaysia diagnosed with breast, colorectal, nasopharyngeal, and cervical cancer. This cross-sectional study enrolled adult cancer patients diagnosed with breast, cervical, colorectal, or nasopharyngeal cancer from 2015 to 2020 in seven public hospitals/oncology centres across Malaysia. Data were collected through patient-administered surveys and medical records. Presentation delay, defined as the duration between symptom onset and the patient's first visit to a healthcare professional exceeding 30 days, was the primary outcome. Statistical analysis included descriptive statistics and chi-square tests. The study included 476 cancer patients, with breast cancer (41.6%), colorectal cancer (26.9%), nasopharyngeal cancer (22.1%), and cervical cancer (9.5%). Over half (54.2%) experienced presentation delays with a median interval of 60 days. Higher proportions of presentation delay were observed among nasopharyngeal cancer patients, employed patients with lower socioeconomic statuses, and those without family history of cancer. Most patients self-discovered their first cancer symptoms (80%), while only one-third took immediate action for medical check-ups. Emotional and organizational factors, such as long waiting times during doctor's visits (47%), were potential barriers to seeking cancer care. This study highlights the significant problem of presentation delay among cancer patients in Malaysia. The delay is influenced by various factors encompassing sociodemographic characteristics, health-seeking behaviours, and healthcare system-related issues. A comprehensive approach addressing both individual barriers and institutional obstacles is imperative to mitigate this presentation delay and improve cancer outcomes.</t>
  </si>
  <si>
    <t>Co-creation of a toolkit to assist risk communication and clinical decision-making in severe preeclampsia: SPOT-Impact study design.</t>
  </si>
  <si>
    <t>Amoakoh, Hannah Brown; De Kok, Bregje C; Yevoo, Linda Lucy; Olde Loohuis, Klaartje M; Srofenyoh, Emmanuel K; Arhinful, Daniel K; Koi-Larbi, Koiwah; Adu-Bonsaffoh, Kwame; Amoakoh-Coleman, Mary; Browne, Joyce L</t>
  </si>
  <si>
    <t>global health action</t>
  </si>
  <si>
    <t>https://pubmed.ncbi.nlm.nih.gov/38717819</t>
  </si>
  <si>
    <t>Globally, the incidence of hypertensive disorders of pregnancy, especially preeclampsia, remains high, particularly in low- and middle-income countries. The burden of adverse maternal and perinatal outcomes is particularly high for women who develop a hypertensive disorder remote from term (&lt;34 weeks). In parallel, many women have a suboptimal experience of care. To improve the quality of care in terms of provision and experience, there is a need to support the communication of risks and making of treatment decision in ways that promote respectful maternity care. Our study objective &lt;u&gt;is&lt;/u&gt; to co-create a tool(kit) to support clinical decision-making, communication of risks and shared decision-making in preeclampsia with relevant stakeholders, incorporating respectful maternity care, justice, and equity principles. This qualitative study detailing the exploratory phase of co-creation takes place over 17 months (Nov 2021-March 2024) in the Greater Accra and Eastern Regions of Ghana. Informed by ethnographic observations of care interactions, in-depth interviews and focus group and group discussions, the tool(kit) will be developed with survivors and women with hypertensive disorders of pregnancy and their families, health professionals, policy makers, and researchers. The tool(kit) will consist of three components: quantitative predicted risk (based on external validated risk models or absolute risk of adverse outcomes), risk communication, and shared decision-making support. We expect to co-create a user-friendly tool(kit) to improve the quality of care for women with preeclampsia remote from term which will contribute to better maternal and perinatal health outcomes as well as better maternity care experience for women in Ghana.</t>
  </si>
  <si>
    <t>Global variations in funding and use of hemodialysis accesses: an international report using the ISN Global Kidney Health Atlas.</t>
  </si>
  <si>
    <t>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t>
  </si>
  <si>
    <t>bmc nephrology</t>
  </si>
  <si>
    <t>https://pubmed.ncbi.nlm.nih.gov/38720263</t>
  </si>
  <si>
    <t>There is a lack of contemporary data describing global variations in vascular access for hemodialysis (HD). We used the third iteration of the International Society of Nephrology Global Kidney Health Atlas (ISN-GKHA) to highlight differences in funding and availability of hemodialysis accesses used for initiating HD across world regions. Survey questions were directed at understanding the funding modules for obtaining vascular access and types of accesses used to initiate dialysis. An electronic survey was sent to national and regional key stakeholders affiliated with the ISN between June and September 2022. Countries that participated in the survey were categorized based on World Bank Income Classification (low-, lower-middle, upper-middle, and high-income) and by their regional affiliation with the ISN. Data on types of vascular access were available from 160 countries. Respondents from 35 countries (22% of surveyed countries) reported that &gt; 50% of patients started HD with an arteriovenous fistula or graft (AVF or AVG). These rates were higher in Western Europe (n = 14; 64%), North &amp; East Asia (n = 4; 67%), and among high-income countries (n = 24; 38%). The rates of &gt; 50% of patients starting HD with a tunneled dialysis catheter were highest in North America &amp; Caribbean region (n = 7; 58%) and lowest in South Asia and Newly Independent States and Russia (n = 0 in both regions). Respondents from 50% (n = 9) of low-income countries reported that &gt; 75% of patients started HD using a temporary catheter, with the highest rates in Africa (n = 30; 75%) and Latin America (n = 14; 67%). Funding for the creation of vascular access was often through public funding and free at the point of delivery in high-income countries (n = 42; 67% for AVF/AVG, n = 44; 70% for central venous catheters). In low-income countries, private and out of pocket funding was reported as being more common (n = 8; 40% for AVF/AVG, n = 5; 25% for central venous catheters). High income countries exhibit variation in the use of AVF/AVG and tunneled catheters. In low-income countries, there is a higher use of temporary dialysis catheters and private funding models for access creation.</t>
  </si>
  <si>
    <t>Integrative multi-omics analyses to identify the genetic and functional mechanisms underlying ovarian cancer risk regions.</t>
  </si>
  <si>
    <t>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t>
  </si>
  <si>
    <t>american journal of human genetics</t>
  </si>
  <si>
    <t>https://pubmed.ncbi.nlm.nih.gov/38723632</t>
  </si>
  <si>
    <t>To identify credible causal risk variants (CCVs) associated with different histotypes of epithelial ovarian cancer (EOC), we performed genome-wide association analysis for 470,825 genotyped and 10,163,797 imputed SNPs in 25,981 EOC cases and 105,724 controls of European origin. We identified five histotype-specific EOC risk regions (p value &lt;5 × 10&lt;sup&gt;-8&lt;/sup&gt;) and confirmed previously reported associations for 27 risk regions. Conditional analyses identified an additional 11 signals independent of the primary signal at six risk regions (p value &lt;10&lt;sup&gt;-5&lt;/sup&gt;). Fine mapping identified 4,008 CCVs in these regions, of which 1,452 CCVs were located in ovarian cancer-related chromatin marks with significant enrichment in active enhancers, active promoters, and active regions for CCVs from each EOC histotype. Transcriptome-wide association and colocalization analyses across histotypes using tissue-specific and cross-tissue datasets identified 86 candidate susceptibility genes in known EOC risk regions and 32 genes in 23 additional genomic regions that may represent novel EOC risk loci (false discovery rate &lt;0.05). Finally, by integrating genome-wide HiChIP interactome analysis with transcriptome-wide association study (TWAS), variant effect predictor, transcription factor ChIP-seq, and motifbreakR data, we identified candidate gene-CCV interactions at each locus. This included risk loci where TWAS identified one or more candidate susceptibility genes (e.g., HOXD-AS2, HOXD8, and HOXD3 at 2q31) and other loci where no candidate gene was identified (e.g., MYC and PVT1 at 8q24) by TWAS. In summary, this study describes a functional framework and provides a greater understanding of the biological significance of risk alleles and candidate gene targets at EOC susceptibility loci identified by a genome-wide association study.</t>
  </si>
  <si>
    <t>SARS-CoV-2-specific T cell responses: a comparative analysis between QuantiFERON SARS-CoV-2, T-SPOT.COVID, and an in-house Omicron ELISpot.</t>
  </si>
  <si>
    <t>Mak, Willem A; Visser, Wendy; Koeleman, Johannes G M; Ong, David S Y</t>
  </si>
  <si>
    <t>journal of virological methods</t>
  </si>
  <si>
    <t>https://pubmed.ncbi.nlm.nih.gov/38710307</t>
  </si>
  <si>
    <t>T cell immunity plays a pivotal role in mitigating the severity of coronavirus disease 2019 (COVID-19). Therefore, reliable functional T cell assays are required to evaluate severe acute respiratory syndrome coronavirus 2 (SARS-CoV-2)-specific T cell immunity in specific patient populations. We recruited a cohort of 23 healthcare workers who received their bivalent Omicron BA.1 / ancestral mRNA booster vaccination or were infected with the Omicron variant at a median of 144 days and 227 days before blood collection, respectively. In this cohort, we compared the performances of two widely utilized commercial SARS-CoV-2 interferon-gamma release assays (IGRAs), i.e., QuantiFERON SARS-CoV-2 and T-SPOT.COVID, and an in-house designed Omicron enzyme-linked immunospot (ELISpot). The QuantiFERON SARS-CoV-2 and T-SPOT.COVID assays detected SARS-CoV-2 spike-specific T cells in 34.8 % and 21.7 % of participants, respectively. Moreover, our in-house designed ELISpot that included Omicron BA.4 and BA.5 full-spike peptides detected T cell responses in 47.8 % of participants and was strongly associated with the T-SPOT.COVID. The evaluation of SARS-CoV-2 T cell immunity using commercially accessible assays may yield disparate outcomes as results from different assays are not directly comparable. A specific Omicron ELISpot should be considered to assess Omicron-specific T cell immunity.</t>
  </si>
  <si>
    <t>Associations between low- and high-fat dairy intake and recurrence risk in people with stage I-III colorectal cancer differ by sex and primary tumour location.</t>
  </si>
  <si>
    <t>van Lanen, Anne-Sophie; Kok, Dieuwertje E; Wesselink, Evertine; Derksen, Jeroen W G; May, Anne M; Smit, Karel C; Koopman, Miriam; de Wilt, Johannes; Kampman, Ellen; van Duijnhoven, Fränzel J B; ,</t>
  </si>
  <si>
    <t>international journal of cancer</t>
  </si>
  <si>
    <t>https://pubmed.ncbi.nlm.nih.gov/38700376</t>
  </si>
  <si>
    <t>We previously demonstrated that intake of low-fat dairy, but not high-fat dairy, was associated with a decreased colorectal cancer (CRC) recurrence risk. These risks, however, may differ by sex, primary tumour location, and disease stage. Combining data from two similar prospective cohort studies of people with stage I-III CRC enabled these subgroup analyses. Participants completed a food frequency questionnaire at diagnosis (n = 2283). We examined associations between low- and high-fat dairy intake and recurrence risk using multivariable Cox proportional hazard models, stratified by sex, and primary tumour location (colon and rectum), and disease stage (I/II and III). Upper quartiles were compared to lower quartiles of intake, and recurrence was defined as a locoregional recurrence and/or metastasis. During a median follow-up of 5.0 years, 331 recurrences were detected. A higher intake of low-fat dairy was associated with a reduced risk of recurrence (hazard ratio [HR]: 0.60, 95% confidence interval [CI]: 0.43-0.83), which seemed more pronounced in men (HR: 0.51, 95% CI: 0.34-0.77) than in women (HR: 0.84, 95% CI: 0.47-1.49). A higher intake of high-fat dairy was associated with an increased risk of recurrence in participants with colon cancer (HR: 1.60, 95% CI: 1.03-2.50), but not rectal cancer (HR: 0.88, 95% CI: 0.54-1.45). No differences in associations were observed between strata of disease stage. Concluding, our findings imply that dietary advice regarding low-fat dairy intake may be especially important for men with CRC, and that dietary advice regarding high-fat dairy intake may be specifically important in people with colon cancer.</t>
  </si>
  <si>
    <t>Respiratory syncytial virus vaccination during pregnancy for improving infant outcomes.</t>
  </si>
  <si>
    <t>Phijffer, Emily Wem; de Bruin, Odette; Ahmadizar, Fariba; Bont, Louis J; Van der Maas, Nicoline At; Sturkenboom, Miriam Cjm; Wildenbeest, Joanne G; Bloemenkamp, Kitty Wm</t>
  </si>
  <si>
    <t>the cochrane database of systematic reviews</t>
  </si>
  <si>
    <t>https://pubmed.ncbi.nlm.nih.gov/38695784</t>
  </si>
  <si>
    <t>Respiratory syncytial virus (RSV) is a major cause of lower respiratory tract infections (LRTIs) in infants. Maternal RSV vaccination is a preventive strategy of great interest, as it could have a substantial impact on infant RSV disease burden. In recent years, the clinical development of maternal RSV vaccines has advanced rapidly. To assess the efficacy and safety of maternal respiratory syncytial virus (RSV) vaccination for preventing RSV disease in infants. We searched Cochrane Pregnancy and Childbirth's Trials Register and two other trials registries on 21 October 2022. We updated the search on 27 July 2023, when we searched MEDLINE, Embase, CENTRAL, CINAHL, and two trials registries. Additionally, we searched the reference lists of retrieved studies and conference proceedings. There were no language restrictions on our searches. We included randomised controlled trials (RCTs) comparing maternal RSV vaccination with placebo or no intervention in pregnant women of any age. The primary outcomes were hospitalisation with clinically confirmed or laboratory-confirmed RSV disease in infants. The secondary outcomes covered adverse pregnancy outcomes (intrauterine growth restriction, stillbirth, and maternal death) and adverse infant outcomes (preterm birth, congenital abnormalities, and infant death). We used standard Cochrane methods and assessed the certainty of evidence using the GRADE approach. We included six RCTs (25 study reports) involving 17,991 pregnant women. The intervention was an RSV pre-F protein vaccine in four studies, and an RSV F protein nanoparticle vaccine in two studies. In all studies, the comparator was a placebo (saline, formulation buffer, or sterile water). We judged four studies at overall low risk of bias and two studies at overall high risk (mainly due to selection bias). All studies were funded by pharmaceutical companies. Maternal RSV vaccination compared with placebo reduces infant hospitalisation with laboratory-confirmed RSV disease (risk ratio (RR) 0.50, 95% confidence interval (CI) 0.31 to 0.82; 4 RCTs, 12,216 infants; high-certainty evidence). Based on an absolute risk with placebo of 22 hospitalisations per 1000 infants, our results represent 11 fewer hospitalisations per 1000 infants from vaccinated pregnant women (15 fewer to 4 fewer). No studies reported infant hospitalisation with clinically confirmed RSV disease. Maternal RSV vaccination compared with placebo has little or no effect on the risk of congenital abnormalities (RR 0.96, 95% CI 0.88 to 1.04; 140 per 1000 with placebo, 5 fewer per 1000 with RSV vaccination (17 fewer to 6 more); 4 RCTs, 12,304 infants; high-certainty evidence). Maternal RSV vaccination likely has little or no effect on the risk of intrauterine growth restriction (RR 1.32, 95% CI 0.75 to 2.33; 3 per 1000 with placebo, 1 more per 1000 with RSV vaccination (1 fewer to 4 more); 4 RCTs, 12,545 pregnant women; moderate-certainty evidence). Maternal RSV vaccination may have little or no effect on the risk of stillbirth (RR 0.81, 95% CI 0.38 to 1.72; 3 per 1000 with placebo, no difference with RSV vaccination (2 fewer to 3 more); 5 RCTs, 12,652 pregnant women). There may be a safety signal warranting further investigation related to preterm birth. This outcome may be more likely with maternal RSV vaccination, although the 95% CI includes no effect, and the evidence is very uncertain (RR 1.16, 95% CI 0.99 to 1.36; 6 RCTs, 17,560 infants; very low-certainty evidence). Based on an absolute risk of 51 preterm births per 1000 infants from pregnant women who received placebo, there may be 8 more per 1000 infants from pregnant women with RSV vaccination (1 fewer to 18 more). There was one maternal death in the RSV vaccination group and none in the placebo group. Our meta-analysis suggests that RSV vaccination compared with placebo may have little or no effect on the risk of maternal death (RR 3.00, 95% CI 0.12 to 73.50; 3 RCTs, 7977 pregnant women; low-certainty evidence). The effect of maternal RSV vaccination on the risk of infant death is very uncertain (RR 0.81, 95% CI 0.36 to 1.81; 6 RCTs, 17,589 infants; very low-certainty evidence). The findings of this review suggest that maternal RSV vaccination reduces laboratory-confirmed RSV hospitalisations in infants. There are no safety concerns about intrauterine growth restriction and congenital abnormalities. We must be careful in drawing conclusions about other safety outcomes owing to the low and very low certainty of the evidence. The evidence available to date suggests RSV vaccination may have little or no effect on stillbirth, maternal death, and infant death (although the evidence for infant death is very uncertain). However, there may be a safety signal warranting further investigation related to preterm birth. This is driven by data from one trial, which is not fully published yet. The evidence base would be much improved by more RCTs with substantial sample sizes and well-designed observational studies with long-term follow-up for assessment of safety outcomes. Future studies should aim to use standard outcome measures, collect data on concomitant vaccines, and stratify data by timing of vaccination, gestational age at birth, race, and geographical setting.</t>
  </si>
  <si>
    <t>Data Science and Biostatistics; General Practice and Nursing Science; General Practice and Nursing Science; Data Science and Biostatistics</t>
  </si>
  <si>
    <t>Post-diagnosis adiposity and colorectal cancer prognosis: A Global Cancer Update Programme (CUP Global) systematic literature review and meta-analysis.</t>
  </si>
  <si>
    <t>Becerra-Tomás, Nerea; Markozannes, Georgios; Cariolou, Margarita; Balducci, Katia; Vieira, Rita; Kiss, Sonia; Aune, Dagfinn; Greenwood, Darren C; Dossus, Laure;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t>
  </si>
  <si>
    <t>https://pubmed.ncbi.nlm.nih.gov/38692659</t>
  </si>
  <si>
    <t>The adiposity influence on colorectal cancer prognosis remains poorly characterised. We performed a systematic review and meta-analysis on post-diagnosis adiposity measures (body mass index [BMI], waist circumference, waist-to-hip ratio, weight) or their changes and colorectal cancer outcomes. PubMed and Embase were searched through 28 February 2022. Random-effects meta-analyses were conducted when at least three studies had sufficient information. The quality of evidence was interpreted and graded by the Global Cancer Update Programme (CUP Global) independent Expert Committee on Cancer Survivorship and Expert Panel. We reviewed 124 observational studies (85 publications). Meta-analyses were possible for BMI and all-cause mortality, colorectal cancer-specific mortality, and cancer recurrence/disease-free survival. Non-linear meta-analysis indicated a reverse J-shaped association between BMI and colorectal cancer outcomes (nadir at BMI 28 kg/m&lt;sup&gt;2&lt;/sup&gt;). The highest risk, relative to the nadir, was observed at both ends of the BMI distribution (18 and 38 kg/m&lt;sup&gt;2&lt;/sup&gt;), namely 60% and 23% higher risk for all-cause mortality; 95% and 26% for colorectal cancer-specific mortality; and 37% and 24% for cancer recurrence/disease-free survival, respectively. The higher risk with low BMI was attenuated in secondary analyses of RCTs (compared to cohort studies), among studies with longer follow-up, and in women suggesting potential methodological limitations and/or altered physiological state. Descriptively synthesised studies on other adiposity-outcome associations of interest were limited in number and methodological quality. All the associations were graded as limited (likelihood of causality: no conclusion) due to potential methodological limitations (reverse causation, confounding, selection bias). Additional well-designed observational studies and interventional trials are needed to provide further clarification.</t>
  </si>
  <si>
    <t>Post-diagnosis physical activity and sedentary behaviour and colorectal cancer prognosis: A Global Cancer Update Programme (CUP Global) systematic literature review and meta-analysis.</t>
  </si>
  <si>
    <t>Markozannes, Georgios; Becerra-Tomás, Nerea; Cariolou, Margarita; Balducci, Katia; Vieira, Rita; Kiss, Sonia; Aune, Dagfinn; Greenwood, Darren C; Gunter, Marc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t>
  </si>
  <si>
    <t>https://pubmed.ncbi.nlm.nih.gov/38692650</t>
  </si>
  <si>
    <t>Low physical activity and high sedentary behaviour have been clearly linked with colorectal cancer development, yet data on their potential role in colorectal cancer survival is limited. Better characterisation of these relationships is needed for the development of post-diagnosis physical activity and sedentary behaviour guidance for colorectal cancer survivors. We searched PubMed and Embase through 28 February 2022 for studies assessing post-diagnosis physical activity, and/or sedentary behaviour in relation to all-cause and cause-specific mortality and recurrence after colorectal cancer diagnosis. Total and recreational physical activity were assessed overall and by frequency, duration, intensity, and volume using categorical, linear, and non-linear dose-response random-effects meta-analyses. The Global Cancer Update Programme (CUP Global) independent Expert Committee on Cancer Survivorship and Expert Panel interpreted and graded the likelihood of causality. We identified 16 observational studies on 82,220 non-overlapping patients from six countries. Physical activity was consistently inversely associated with colorectal cancer morbidity and mortality outcomes, with 13%-60% estimated reductions in risk. Sedentary behaviour was positively associated with all-cause mortality. The evidence had methodological limitations including potential confounding, selection bias and reverse causation, coupled with a limited number of studies for most associations. The CUP Global Expert panel concluded limited-suggestive evidence for recreational physical activity with all-cause mortality and cancer recurrence. Total physical activity and its specific domains and dimensions, and sedentary behaviour were all graded as limited-no conclusion for all outcomes. Future research should focus on randomised trials, while observational studies should obtain objective and repeated physical activity measures and better adjustment for confounders.</t>
  </si>
  <si>
    <t>Post-diagnosis dietary factors, supplement use and colorectal cancer prognosis: A Global Cancer Update Programme (CUP Global) systematic literature review and meta-analysis.</t>
  </si>
  <si>
    <t>Chan, Doris S M; Cariolou, Margarita; Markozannes, Georgios; Balducci, Katia; Vieira, Rita; Kiss, Sonia; Becerra-Tomás, Nerea; Aune, Dagfinn; Greenwood, Darren C; González-Gil, Esther M;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t>
  </si>
  <si>
    <t>https://pubmed.ncbi.nlm.nih.gov/38692645</t>
  </si>
  <si>
    <t>The role of diet in colorectal cancer prognosis is not well understood and specific lifestyle recommendations are lacking. We searched for randomised controlled trials (RCTs) and longitudinal observational studies on post-diagnosis dietary factors, supplement use and colorectal cancer survival outcomes in PubMed and Embase from inception until 28th February 2022. Random-effects dose-response meta-analyses were conducted when at least three studies had sufficient information. The evidence was interpreted and graded by the CUP Global independent Expert Committee on Cancer Survivorship and Expert Panel. Five RCTs and 35 observational studies were included (30,242 cases, over 8700 all-cause and 2100 colorectal cancer deaths, 3700 progression, recurrence, or disease-free events). Meta-analyses, including 3-10 observational studies each, were conducted for: whole grains, nuts/peanuts, red and processed meat, dairy products, sugary drinks, artificially sweetened beverages, coffee, alcohol, dietary glycaemic load/index, insulin load/index, marine omega-3 polyunsaturated fatty acids, supplemental calcium, circulating 25-hydroxyvitamin D (25[OH]D) and all-cause mortality; for alcohol, supplemental calcium, circulating 25(OH)D and colorectal cancer-specific mortality; and for circulating 25(OH)D and recurrence/disease-free survival. The overall evidence was graded as 'limited'. The inverse associations between healthy dietary and/or lifestyle patterns (including diets that comprised plant-based foods), whole grains, total, caffeinated, or decaffeinated coffee and all-cause mortality and the positive associations between unhealthy dietary patterns, sugary drinks and all-cause mortality provided 'limited-suggestive' evidence. All other exposure-outcome associations provided 'limited-no conclusion' evidence. Additional, well-conducted cohort studies and carefully designed RCTs are needed to develop specific lifestyle recommendations for colorectal cancer survivors.</t>
  </si>
  <si>
    <t>Post-diagnosis adiposity, physical activity, sedentary behaviour, dietary factors, supplement use and colorectal cancer prognosis: Global Cancer Update Programme (CUP Global) summary of evidence grading.</t>
  </si>
  <si>
    <t>Tsilidis, Konstantinos K; Markozannes, Georgios; Becerra-Tomás, Nerea; Cariolou, Margarita; Balducci, Katia; Vieira, Rita; Kiss, Sonia; Aune, Dagfinn; Greenwood, Darren C; Dossus, Laure; González-Gil, Esther M; Gunter, Marc J; Allen, Kate; Brockton, Nigel T; Croker, Helen; Gordon-Dseagu, Vanessa L; Mitrou, Panagiota; Musuwo, Nicole; Wiseman, Martin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Chan, Doris S M</t>
  </si>
  <si>
    <t>https://pubmed.ncbi.nlm.nih.gov/38692587</t>
  </si>
  <si>
    <t>Based on the World Cancer Research Fund Global Cancer Update Programme, we performed systematic reviews and meta-analyses to investigate the association of post-diagnosis adiposity, physical activity, sedentary behaviour, and dietary factors with colorectal cancer prognosis. We searched PubMed and Embase until 28th February, 2022. An independent expert committee and expert panel graded the quality of evidence. A total of 167 unique publications were reviewed, and all but five were observational studies. The quality of the evidence was graded conservatively due to the high risk of several biases. There was evidence of non-linearity in the associations between body mass index and colorectal cancer prognosis. The associations appeared reverse J-shaped, and the quality of this evidence was graded as limited (likelihood of causality: limited-no conclusion). The evidence on recreational physical activity and lower risk of all-cause mortality (relative risk [RR] highest vs. lowest: 0.69, 95% confidence interval [CI]: 0.62-0.77) and recurrence/disease-free survival (RR: 0.80, 95% CI: 0.70-0.92) was graded as limited-suggestive. There was limited-suggestive evidence for the associations between healthy dietary and/or lifestyle patterns (including diets that comprised plant-based foods), intake of whole grains and coffee with lower risk of all-cause mortality, and between unhealthy dietary patterns and intake of sugary drinks with higher risk of all-cause mortality. The evidence for other exposures on colorectal cancer outcomes was sparse and graded as limited-no conclusion. Analyses were conducted excluding cancer patients with metastases without substantial changes in the findings. Well-designed intervention and cohort studies are needed to support the development of lifestyle recommendations for colorectal cancer patients.</t>
  </si>
  <si>
    <t>Data Science and Biostatistics; Global Health and Bioethics; Data Science and Biostatistics; Epidemiology and Health Economics; Epidemiology and Health Economics; Global Health and Bioethics</t>
  </si>
  <si>
    <t>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t>
  </si>
  <si>
    <t>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t>
  </si>
  <si>
    <t>bmj open</t>
  </si>
  <si>
    <t>https://pubmed.ncbi.nlm.nih.gov/38692732</t>
  </si>
  <si>
    <t>A prototype lateral flow device detecting cytokine biomarkers interleukin (IL)-1α and IL-1β has been developed as a point-of-care test-called the Genital InFlammation Test (GIFT)-for detecting genital inflammation associated with sexually transmitted infections (STIs) and/or bacterial vaginosis (BV) in women. In this paper, we describe the rationale and design for studies that will be conducted in South Africa, Zimbabwe and Madagascar to evaluate the performance of GIFT and how it could be integrated into routine care. We will conduct a prospective, multidisciplinary, multicentre, cross-sectional and observational clinical study comprising two distinct components: a biomedical ('diagnostic study') and a qualitative, modelling and economic ('an integration into care study') part. The diagnostic study aims to evaluate GIFT's performance in identifying asymptomatic women with discharge-causing STIs (&lt;i&gt;Chlamydia trachomatis&lt;/i&gt; (CT), &lt;i&gt;Neisseria gonorrhoeae&lt;/i&gt; (NG), &lt;i&gt;Trichomonas vaginalis&lt;/i&gt; (TV) and &lt;i&gt;Mycoplasma genitalium&lt;/i&gt; (MG)) and BV. Study participants will be recruited from women attending research sites and family planning services. Several vaginal swabs will be collected for the evaluation of cytokine concentrations (ELISA), STIs (nucleic acid amplification tests), BV (Nugent score) and vaginal microbiome characteristics (16S rRNA gene sequencing). The first collected vaginal swab will be used for the GIFT assay which will be performed in parallel by a healthcare worker in the clinic near the participant, and by a technician in the laboratory. The integration into care study aims to explore how GIFT could be integrated into routine care. Four activities will be conducted: user experiences and/or perceptions of the GIFT device involving qualitative focus group discussions and in-depth interviews with key stakeholders; discrete choice experiments; development of a decision tree classification algorithm; and economic evaluation of defined management algorithms. Findings will be reported to participants, collaborators and local government for the three sites, presented at national and international conferences, and disseminated in peer-reviewed publications.The protocol and all study documents such as informed consent forms were reviewed and approved by the University of Cape Town Human Research Ethics Committee (HREC reference 366/2022), Medical Research Council of Zimbabwe (MRCZ/A/2966), Comité d'Ethique pour la Recherche Biomédicale de Madagascar (N° 143 MNSAP/SG/AMM/CERBM) and the London School of Hygiene and Tropical Medicine ethics committee (LSHTM reference 28046).Before the start, this study was submitted to the Clinicaltrials.gov public registry (NCT05723484). NCT05723484.</t>
  </si>
  <si>
    <t>Do efficacy results obtained from randomized controlled trials translate to effectiveness data from observational studies for relapsing-remitting multiple sclerosis?</t>
  </si>
  <si>
    <t>Verweij, Stefan; Ahmed, Wouter; Zhou, Guiling; Mavridis, Dimitris; Nikolakopoulos, Stavros; Elferink, Andre J; Rengerink, Katrien Oude; Bijlsma, Maarten J; Mol, Peter G M; Hak, Eelko</t>
  </si>
  <si>
    <t>pharmacoepidemiology and drug safety</t>
  </si>
  <si>
    <t>https://pubmed.ncbi.nlm.nih.gov/38720409</t>
  </si>
  <si>
    <t>Randomized controlled trials are considered the gold standard in regulatory decision making, as observational studies are known to have important methodological limitations. However, real-world evidence may be helpful in specific situations. This review investigates how the effect estimates obtained from randomized controlled trials compare to those obtained from observational studies, using drug therapy for relapsing-remitting multiple sclerosis as an example. A systematic review of randomized controlled trials and observational studies was conducted. The primary outcome was the annualized relapse rate. Using (network) meta-analysis together with posterior predictive distributions, the drug-specific rate ratios from the network of randomized controlled trials were compared with those from the network of observational studies. Effect estimates from 26 observational studies showed greater magnitudes and were less precise compared to estimates obtained from 21 randomized controlled trials. Twenty of the 28 treatment comparisons between designs had similar rate ratios. Seven inconsistencies in observed rate ratios could be attributed to two specific disease-modifying therapies. In this case study, estimates from observational studies predominantly agreed with estimates from randomized controlled trials given their posterior predictive distributions. Multiple observational studies together may therefore supplement additional pivotal randomized controlled trials in relapsing-remitting multiple sclerosis, for instance facilitating the extrapolation of trial results to the broader patient population.</t>
  </si>
  <si>
    <t>Sex Differences in Mortality Risk after the First Hospitalisation with Lower Extremity Peripheral Arterial Disease.</t>
  </si>
  <si>
    <t>Porras, Cindy P; de Boer, Annemarijn R; Koop, Yvonne; Vaartjes, Ilonca; Teraa, Martin; Hazenberg, Constantijn E V B; Verhaar, Marianne C; Vernooij, Robin W M</t>
  </si>
  <si>
    <t>https://pubmed.ncbi.nlm.nih.gov/38697256</t>
  </si>
  <si>
    <t>Lower extremity peripheral arterial disease (PAD) is a severe condition that increases the risk of major adverse cardiovascular events, major adverse limb events, and all cause mortality. This study aimed to investigate the mortality risk among females and males hospitalised for the first time with lower extremity PAD. Three cohorts of patients who were admitted for the first time with lower extremity PAD in 2007 - 2010, 2011 - 2014, and 2015 - 2018 were constructed. For the 2007 - 2010 and 2011 - 2014 cohorts, the 28 day, one year, and five year mortality rates were calculated, assessing survival time from date of hospital admission until date of death, end of study period, or censoring. For the 2015 - 2018 cohort, only 28 day and one year mortality were investigated due to lack of follow up data. Mortality rates of these cohorts were compared with the general population using standardised mortality rates (SMRs), and the risk of death between sexes was evaluated using Cox proportional hazards models. Cox models were adjusted for age, cardiovascular disease, and diabetes mellitus to account for potential confounding factors. In total, 7 950, 9 670, and 13 522 patients were included in the 2007 - 2010, 2011 - 2014, and 2015 - 2018 cohorts, respectively. Over 60% of individuals in each cohort were males. Mortality rates at 28 day and one year remained stable across all cohorts, while the five year mortality rate increased for both males and females in the 2011 - 2014 cohort. The SMRs both of females and males with PAD were significantly higher than in the general population. Multivariable regression analyses found no significant differences in mortality risk between sexes at 28 day and one year. However, the five year mortality risk was lower in females, with a hazard ratio of 0.89 (95% confidence interval [CI] 0.83 - 0.97) in the 2007 - 2010 cohort and 0.88 (95% CI 0.82 - 0.94) in the 2011 - 2014 cohort. The five year mortality risk has increased, and females face a lower mortality risk than males. Lower extremity PAD still carries unfavourable long term consequences compared with the general population.</t>
  </si>
  <si>
    <t>Data Science and Biostatistics; Global Health and Bioethics; Global Health and Bioethics; Data Science and Biostatistics; Epidemiology and Health Economics; Epidemiology and Health Economics</t>
  </si>
  <si>
    <t>Diabetes and risk of acute coronary syndrome in callers with chest discomfort: Cross-sectional study in out-of-hours primary care.</t>
  </si>
  <si>
    <t>Spek, Michelle; Erkelens, Daphne C A; van Het Goor-van Wezep, Coralie; van Smeden, Maarten; Den Ruijter, Hester M; Wouters, Loes T C M; Venekamp, Roderick P; Rutten, Frans H; Zwart, Dorien L</t>
  </si>
  <si>
    <t>diabetes research and clinical practice</t>
  </si>
  <si>
    <t>https://pubmed.ncbi.nlm.nih.gov/38697299</t>
  </si>
  <si>
    <t>We investigated the differences in prevalence of acute coronary syndrome (ACS) by presence versus absence of diabetes in males and females with chest discomfort who called out-of-hours primary care (OHS-PC). A cross-sectional study performed in the Netherlands. Patients who called the OHS-PC in the Utrecht region, the Netherlands between 2014 and 2017 with acute chest discomfort were included. We compared those with diabetes with those without diabetes. Multivariable logistic regression was used to determine the relation between diabetes and (i) high urgency allocation and (ii) ACS. Of the 2,195 callers with acute chest discomfort, 180 (8.2%) reported having diabetes. ACS was present in 15.3% of males (22.0% in those with diabetes) and 8.4% of females (18.8% in those with diabetes). Callers with diabetes did not receive a high urgency more frequently (74.4% vs. 67.8% (OR: 1.38; 95% CI 0.98-1.96). However, such callers had a higher odds for ACS (OR: 2.17; 95% CI 1.47-3.19). These differences were similar for females and males. Diabetes holds promise as diagnostic factor in callers to OHS-PC with chest discomfort. It might help triage in this setting given the increased risk of ACS in those with diabetes.</t>
  </si>
  <si>
    <t>Global Health and Bioethics; General Practice and Nursing Science; Global Health and Bioethics; Data Science and Biostatistics; General Practice and Nursing Science; Data Science and Biostatistics</t>
  </si>
  <si>
    <t>The mediating role of health behaviors in the association between depression, anxiety and cancer incidence: an individual participant data meta-analysis.</t>
  </si>
  <si>
    <t>Pan, Kuan-Yu; van Tuijl, Lonneke; Basten, Maartje; Rijnhart, Judith J M; de Graeff, Alexander; Dekker, Joost; Geerlings, Mirjam I; Hoogendoorn, Adriaan; Ranchor, Adelita V; Vermeulen, Roel; Portengen, Lützen; Voogd, Adri C; Abell, Jessica; Awadalla, Philip; Beekman, Aartjan T F; Bjerkeset, Ottar; Boyd, Andy; Cui, Yunsong; Frank, Philipp; Galenkamp, Henrike; Garssen, Bert; Hellingman, Sean; Hollander, Monika; Huisman, Martijn; Huss, Anke; Keats, Melanie R; Kok, Almar A L; Krokstad, Steinar; van Leeuwen, Flora E; Luik, Annemarie I; Noisel, Nolwenn; Payette, Yves; Penninx, Brenda W J H; Picavet, Susan; Rissanen, Ina; Roest, Annelieke M; Rosmalen, Judith G M; Ruiter, Rikje; Schoevers, Robert A; Soave, David; Spaan, Mandy; Steptoe, Andrew; Stronks, Karien; Sund, Erik R; Sweeney, Ellen; Teyhan, Alison; Twait, Emma L; van der Willik, Kimberly D; Lamers, Femke</t>
  </si>
  <si>
    <t>psychological medicine</t>
  </si>
  <si>
    <t>https://pubmed.ncbi.nlm.nih.gov/38680088</t>
  </si>
  <si>
    <t>Although behavioral mechanisms in the association among depression, anxiety, and cancer are plausible, few studies have empirically studied mediation by health behaviors. We aimed to examine the mediating role of several health behaviors in the associations among depression, anxiety, and the incidence of various cancer types (overall, breast, prostate, lung, colorectal, smoking-related, and alcohol-related cancers). Two-stage individual participant data meta-analyses were performed based on 18 cohorts within the Psychosocial Factors and Cancer Incidence consortium that had a measure of depression or anxiety (&lt;i&gt;N&lt;/i&gt; = 319 613, cancer incidence = 25 803). Health behaviors included smoking, physical inactivity, alcohol use, body mass index (BMI), sedentary behavior, and sleep duration and quality. In stage one, path-specific regression estimates were obtained in each cohort. In stage two, cohort-specific estimates were pooled using random-effects multivariate meta-analysis, and natural indirect effects (i.e. mediating effects) were calculated as hazard ratios (HRs). Smoking (HRs range 1.04-1.10) and physical inactivity (HRs range 1.01-1.02) significantly mediated the associations among depression, anxiety, and lung cancer. Smoking was also a mediator for smoking-related cancers (HRs range 1.03-1.06). There was mediation by health behaviors, especially smoking, physical inactivity, alcohol use, and a higher BMI, in the associations among depression, anxiety, and overall cancer or other types of cancer, but effects were small (HRs generally below 1.01). Smoking constitutes a mediating pathway linking depression and anxiety to lung cancer and smoking-related cancers. Our findings underline the importance of smoking cessation interventions for persons with depression or anxiety.</t>
  </si>
  <si>
    <t>Global Health and Bioethics; General Practice and Nursing Science; Epidemiology and Health Economics; Global Health and Bioethics; Global Health and Bioethics; Epidemiology and Health Economics; Epidemiology and Health Economics; General Practice and Nursing Science; Global Health and Bioethics; General Practice and Nursing Science; Epidemiology and Health Economics; General Practice and Nursing Science; General Practice and Nursing Science; Global Health and Bioethics; Epidemiology and Health Economics</t>
  </si>
  <si>
    <t>Development and validation of a risk prediction model for hospital admission in COVID-19 patients presenting to primary care.</t>
  </si>
  <si>
    <t>Wynants, Laure; Broers, Natascha Jh; Platteel, Tamara N; Venekamp, Roderick P; Barten, Dennis G; Leers, Mathie Pg; Verheij, Theo Jm; Stassen, Patricia M; Cals, Jochen Wl; de Bont, Eefje Gpm</t>
  </si>
  <si>
    <t>the european journal of general practice</t>
  </si>
  <si>
    <t>https://pubmed.ncbi.nlm.nih.gov/38682305</t>
  </si>
  <si>
    <t>There is a paucity of prognostic models for COVID-19 that are usable for in-office patient assessment in general practice (GP). To develop and validate a risk prediction model for hospital admission with readily available predictors. A retrospective cohort study linking GP records from 8 COVID-19 centres and 55 general practices in the Netherlands to hospital admission records. The development cohort spanned March to June 2020, the validation cohort March to June 2021. The primary outcome was hospital admission within 14 days. We used geographic leave-region-out cross-validation in the development cohort and temporal validation in the validation cohort. In the development cohort, 4,806 adult patients with COVID-19 consulted their GP (median age 56, 56% female); in the validation cohort 830 patients did (median age 56, 52% female). In the development and validation cohort respectively, 292 (6.1%) and 126 (15.2%) were admitted to the hospital within 14 days, respectively. A logistic regression model based on sex, smoking, symptoms, vital signs and comorbidities predicted hospital admission with a c-index of 0.84 (95% CI 0.83 to 0.86) at geographic cross-validation and 0.79 (95% CI 0.74 to 0.83) at temporal validation, and was reasonably well calibrated (intercept -0.08, 95% CI -0.98 to 0.52, slope 0.89, 95% CI 0.71 to 1.07 at geographic cross-validation and intercept 0.02, 95% CI -0.21 to 0.24, slope 0.82, 95% CI 0.64 to 1.00 at temporal validation). We derived a risk model using readily available variables at GP assessment to predict hospital admission for COVID-19. It performed accurately across regions and waves. Further validation on cohorts with acquired immunity and newer SARS-CoV-2 variants is recommended.</t>
  </si>
  <si>
    <t>Paving the path for implementation of clinical genomic sequencing globally: Are we ready?</t>
  </si>
  <si>
    <t>Marshall, Deborah A; Hua, Nicolle; Buchanan, James; Christensen, Kurt D; Frederix, Geert W J; Goranitis, Ilias; Ijzerman, Maarten; Jansen, Jeroen P; Lavelle, Tara A; Regier, Dean A; Smith, Hadley S; Ungar, Wendy J; Weymann, Deirdre; Wordsworth, Sarah; Phillips, Kathryn A</t>
  </si>
  <si>
    <t>health affairs scholar</t>
  </si>
  <si>
    <t>https://pubmed.ncbi.nlm.nih.gov/38783891</t>
  </si>
  <si>
    <t>Despite the emerging evidence in recent years, successful implementation of clinical genomic sequencing (CGS) remains limited and is challenged by a range of barriers. These include a lack of standardized practices, limited economic assessments for specific indications, limited meaningful patient engagement in health policy decision-making, and the associated costs and resource demand for implementation. Although CGS is gradually becoming more available and accessible worldwide, large variations and disparities remain, and reflections on the lessons learned for successful implementation are sparse. In this commentary, members of the Global Economics and Evaluation of Clinical Genomics Sequencing Working Group (GEECS) describe the global landscape of CGS in the context of health economics and policy and propose evidence-based solutions to address existing and future barriers to CGS implementation. The topics discussed are reflected as two overarching themes: (1) system readiness for CGS and (2) evidence, assessments, and approval processes. These themes highlight the need for health economics, public health, and infrastructure and operational considerations; a robust patient- and family-centered evidence base on CGS outcomes; and a comprehensive, collaborative, interdisciplinary approach.</t>
  </si>
  <si>
    <t>Vaccine effectiveness against COVID-19 related hospital admission in the Netherlands by medical risk condition: A test-negative case-control study.</t>
  </si>
  <si>
    <t>Niessen, F A; Bruijning-Verhagen, P C J L; Bonten, M J M; ,; Knol, M J</t>
  </si>
  <si>
    <t>vaccine</t>
  </si>
  <si>
    <t>https://pubmed.ncbi.nlm.nih.gov/38688804</t>
  </si>
  <si>
    <t>Vaccination remains crucial in reducing COVID-19 hospitalizations and mitigating the strain on healthcare systems. We conducted a multicenter study to assess vaccine effectiveness (VE) of primary and booster vaccination against hospitalization and to identify subgroups with reduced VE. From March to July 2021 and October 2021 to January 2022, a test-negative case-control study was conducted in nine Dutch hospitals. The study included adults eligible for COVID-19 vaccination who were hospitalized with respiratory symptoms. Cases tested positive for SARS-CoV-2 within 14 days prior to or 48 h after admission, while controls tested negative. Logistic regression was used to calculate VE, adjusting for calendar week, sex, age, nursing home residency and comorbidity. We explored COVID-19 case characteristics and whether there are subgroups with less effective protection by vaccination against COVID-19 hospitalization. Between October 2021 to January 2022, when the Delta variant was dominant, 335 cases and 277 controls were included. VE of primary and booster vaccination was 78 % (95 % CI: 65-86), and 89 % (95 % CI: 69-96), respectively. Using data from both study periods, including 700 cases and 511 controls, VE of primary vaccination was significantly reduced in those aged 60+ and patients with malignancy, chronic cardiac disease or an immunocompromising condition. Although VE against hospitalization was 78% and increased to 89% after boosting during the Delta-dominant study period, VE was lower in certain high risk groups, for which indirect protection or other protective measures might be of added importance.</t>
  </si>
  <si>
    <t>Epidemiology and Health Economics; General Practice and Nursing Science; Epidemiology and Health Economics; General Practice and Nursing Science; General Practice and Nursing Science; Epidemiology and Health Economics</t>
  </si>
  <si>
    <t>From algorithms to action: improving patient care requires causality.</t>
  </si>
  <si>
    <t>van Amsterdam, Wouter A C; de Jong, Pim A; Verhoeff, Joost J C; Leiner, Tim; Ranganath, Rajesh</t>
  </si>
  <si>
    <t>bmc medical informatics and decision making</t>
  </si>
  <si>
    <t>https://pubmed.ncbi.nlm.nih.gov/38664664</t>
  </si>
  <si>
    <t>In cancer research there is much interest in building and validating outcome prediction models to support treatment decisions. However, because most outcome prediction models are developed and validated without regard to the causal aspects of treatment decision making, many published outcome prediction models may cause harm when used for decision making, despite being found accurate in validation studies. Guidelines on prediction model validation and the checklist for risk model endorsement by the American Joint Committee on Cancer do not protect against prediction models that are accurate during development and validation but harmful when used for decision making. We explain why this is the case and how to build and validate models that are useful for decision making.</t>
  </si>
  <si>
    <t>Global Health and Bioethics; Global Health and Bioethics; Data Science and Biostatistics; Global Health and Bioethics; Data Science and Biostatistics; Epidemiology and Health Economics; Global Health and Bioethics; Data Science and Biostatistics; Epidemiology and Health Economics; Epidemiology and Health Economics; Data Science and Biostatistics; Global Health and Bioethics; Epidemiology and Health Economics; Epidemiology and Health Economics; Data Science and Biostatistics</t>
  </si>
  <si>
    <t>Polypharmacy in Patients with Chronic Kidney Disease.</t>
  </si>
  <si>
    <t>Oosting, Ilse J; Colombijn, Julia M T; Kaasenbrood, Lotte; Liabeuf, Sophie; Laville, Solène M; Hooft, Lotty; Bots, Michiel L; Verhaar, Marianne C; Vernooij, Robin W M</t>
  </si>
  <si>
    <t>kidney</t>
  </si>
  <si>
    <t>https://pubmed.ncbi.nlm.nih.gov/38661553</t>
  </si>
  <si>
    <t>Despite the high prevalence of polypharmacy in patients with chronic kidney disease (CKD), the extent of polypharmacy across patients with (different stages of) CKD, as well as the association with clinical outcomes remains unknown. This systematic review aimed to evaluate the prevalence of polypharmacy in (different subgroups of) patients with CKD and assess the association between polypharmacy and patient-important outcomes. Medline, Embase, and the Cochrane Library were searched from inception until July 2022. Studies that reported the prevalence of polypharmacy, medication use, or pill burden in patients with CKD (including patients receiving dialysis and kidney transplant recipients) and their association with patient-important outcomes (i.e. mortality, kidney failure, quality of life, and medication non-adherence) were included. Two reviewers independently screened title and abstract and full texts, extracted data, and assessed risk of bias. Data were pooled in a random-effects single-arm meta-analysis. In total, 127 studies were included (CKD 3-5 n=39, dialysis: n=38, kidney transplant n=13, different CKD stages n=37). The pooled prevalence of polypharmacy, based on 63 studies with 484,915 patients, across all patients with CKD was 82% (95% confidence interval [CI]: 76-86%) and the pooled mean number of prescribed medications 9.7 (95%CI: 8.4-11.0). The prevalence of polypharmacy was higher in patients who received dialysis or a kidney transplant compared to patients with CKD 3-5, but did not differ between studies with regards to region, or patients' mean age or sex. In patients with CKD, polypharmacy was associated with a higher risk of all-cause mortality, kidney failure, faster eGFR decline, lower quality of life (QoL), and higher medication non-adherence, adverse drug reactions, and potentially inappropriate medications. The prevalence of polypharmacy in patients with CKD was over 80%, and highest in patients with a kidney transplant and those receiving dialysis. No causes of heterogeneity were identified, indicating that polypharmacy is an issue for all patients with CKD. Polypharmacy is associated with worse clinical outcomes, lower QoL, and medication-related problems in patients with CKD.</t>
  </si>
  <si>
    <t>Epidemiology and Health Economics; Epidemiology and Health Economics; General Practice and Nursing Science; Epidemiology and Health Economics; General Practice and Nursing Science; Epidemiology and Health Economics; General Practice and Nursing Science; General Practice and Nursing Science; General Practice and Nursing Science; Epidemiology and Health Economics</t>
  </si>
  <si>
    <t>Training in optical diagnosis in community hospitals is associated with improved recognition and treatment of T1 CRC: a prospective multicenter intervention study (OPTICAL II).</t>
  </si>
  <si>
    <t>Meulen, Lonne W T; Haasnoot, Krijn Jan Cornelis; Vlug, Marije S; Wolfhagen, Frank H J; Baven-Pronk, Martine A M C; van der Voorn, Michael P J A; Schwartz, M P; Vogelaar, Lauran; de Vos Tot Nederveen Cappel, Wouter H; Seerden, Tom C J; Hazen, W L; Schrauwen, R W M; Alvarez Herrero, Lorenza; Schreuder, Ramon Michel; van Nunen, Annick B; Stoop, Esther; de Bruin, Gijs J; Bos, Philip; Marsman, Willem A; Kuiper, Edith; de Bièvre, Marc; Roomer, Robert; Groen, John; Bigirwamungu-Bargeman, Marloes; Siersema, Peter D; Elias, Sjoerd G; Masclee, Ad; Moons, Leon Mg</t>
  </si>
  <si>
    <t>endoscopy</t>
  </si>
  <si>
    <t>https://pubmed.ncbi.nlm.nih.gov/38657659</t>
  </si>
  <si>
    <t>Recognition of T1 colorectal cancer (CRC) is difficult, with sensitivities of 35-60% in Western countries. We evaluated the real-life effects of the implementation of the OPTICAL model, a recently developed structured and validated prediction model, in Dutch community hospitals. In this prospective multicenter study, 383 endoscopists from 40 hospitals were invited to follow an e-learning on the OPTICAL-model, to increase sensitivity for detecting T1CRC in non-pedunculated polyps. Next, real-life recognition of T1CRC was evaluated in 25 hospitals. Endoscopic and pathologic reports of T1CRCs detected during the next year were collected retrospectively while endoscopists were unaware of this evaluation. Sensitivity for recognition of T1CRC, R0 resection rate, and treatment modality were compared for trained vs. untrained endoscopists and for recognised vs. unrecognised T1CRCs. Within 1 year after the e-learning 251 endoscopists detected 528 non-pedunculated T1CRCs, 118 (47%) of the endoscopist were trained. T1CRCs had a median size of 20mm and were mainly located in the distal colorectum (66%). Trained endoscopists recognised T1CRCs more frequently than untrained endoscopists (sensitivity 74% vs. 62%; mixed model analysis OR 2.90; 95%CI 1.54-5.45. A higher rate of R0 resection was seen for T1CRCs detected by trained endoscopists (69% vs. 56%, OR 1.73; 95%CI 1.03-2.91). Training in optical recognition of T1CRCs in community hospitals was associated with an increase in sensitivity for T1CRCs. Recognition led to a higher rate of en bloc local excision, resulting in higher R0-resection rates. This may be an important step towards more organ-preserving strategies.</t>
  </si>
  <si>
    <t>Global Health and Bioethics; Data Science and Biostatistics; General Practice and Nursing Science; Epidemiology and Health Economics; Epidemiology and Health Economics; Data Science and Biostatistics; Epidemiology and Health Economics; Data Science and Biostatistics; General Practice and Nursing Science; Global Health and Bioethics; General Practice and Nursing Science; Global Health and Bioethics; Epidemiology and Health Economics; Data Science and Biostatistics; General Practice and Nursing Science; Global Health and Bioethics; Data Science and Biostatistics; General Practice and Nursing Science; Global Health and Bioethics; Epidemiology and Health Economics</t>
  </si>
  <si>
    <t>Early life ambient air pollution, household fuel use, and under-5 mortality in Ghana.</t>
  </si>
  <si>
    <t>Moro, Ali; Nonterah, Engelbert A; Klipstein-Grobusch, Kerstin; Oladokun, Samuel; Welaga, Paul; Ansah, Patrick O; Hystad, Perry; Vermeulen, Roel; Oduro, Abraham R; Downward, George</t>
  </si>
  <si>
    <t>environment international</t>
  </si>
  <si>
    <t>https://pubmed.ncbi.nlm.nih.gov/38705093</t>
  </si>
  <si>
    <t>Environmental exposures, such as ambient air pollution and household fuel use affect health and under-5 mortality (U5M) but there is a paucity of data in the Global South. This study examined early-life exposure to ambient particulate matter with a diameter of 2.5 µm or less (PM&lt;sub&gt;2.5&lt;/sub&gt;), alongside household characteristics (including self-reported household fuel use), and their relationship with U5M in the Navrongo Health and Demographic Surveillance Site (HDSS) in northern Ghana. We employed Satellite-based spatiotemporal models to estimate the annual average PM&lt;sub&gt;2.5&lt;/sub&gt; concentrations with the Navrongo HDSS area (1998 to 2016). Early-life exposure levels were determined by pollution estimates at birth year. Socio-demographic and household data, including cooking fuel, were gathered during routine surveillance. Cox proportional hazards models were applied to assess the link between early-life PM2.5 exposure and U5M, accounting for child, maternal, and household factors. We retrospectively studied 48,352 children born between 2007 and 2017, with 1872 recorded deaths, primarily due to malaria, sepsis, and acute respiratory infection. Mean early-life PM&lt;sub&gt;2.5&lt;/sub&gt; was 39.3 µg/m&lt;sup&gt;3&lt;/sup&gt;, and no significant association with U5M was observed. However, Children from households using "unclean" cooking fuels (wood, charcoal, dung, and agricultural waste) faced a 73 % higher risk of death compared to those using clean fuels (adjusted HR = 1.73; 95 % CI: 1.29, 2.33). Being born female or to mothers aged 20-34 years were linked to increased survival probabilities. The use of "unclean" cooking fuel in the Navrongo HDSS was associated with under-5 mortality, highlighting the need to improve indoor air quality by introducing cleaner fuels.</t>
  </si>
  <si>
    <t>Time-to-Event Genome-Wide Association Study for Incident Cardiovascular Disease in People With Type 2 Diabetes.</t>
  </si>
  <si>
    <t>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t>
  </si>
  <si>
    <t>diabetes care</t>
  </si>
  <si>
    <t>https://pubmed.ncbi.nlm.nih.gov/38652672</t>
  </si>
  <si>
    <t>To identify genetic risk factors for incident cardiovascular disease (CVD) among people with type 2 diabetes (T2D). We conducted a multiancestry time-to-event genome-wide association study for incident CVD among people with T2D. We also tested 204 known coronary artery disease (CAD) variants for association with incident CVD. Among 49,230 participants with T2D, 8,956 had incident CVD events (event rate 18.2%). We identified three novel genetic loci for incident CVD: rs147138607 (near CACNA1E/ZNF648, hazard ratio [HR] 1.23, P = 3.6 × 10-9), rs11444867 (near HS3ST1, HR 1.89, P = 9.9 × 10-9), and rs335407 (near TFB1M/NOX3, HR 1.25, P = 1.5 × 10-8). Among 204 known CAD loci, 5 were associated with incident CVD in T2D (multiple comparison-adjusted P &lt; 0.00024, 0.05/204). A standardized polygenic score of these 204 variants was associated with incident CVD with HR 1.14 (P = 1.0 × 10-16). The data point to novel and known genomic regions associated with incident CVD among individuals with T2D.</t>
  </si>
  <si>
    <t>Global Health and Bioethics; Data Science and Biostatistics; Global Health and Bioethics; Data Science and Biostatistics; Data Science and Biostatistics; General Practice and Nursing Science; Global Health and Bioethics; Data Science and Biostatistics; Global Health and Bioethics; General Practice and Nursing Science; General Practice and Nursing Science; General Practice and Nursing Science; Global Health and Bioethics; General Practice and Nursing Science; Data Science and Biostatistics</t>
  </si>
  <si>
    <t>Non-specific effects of the inactivated influenza vaccine. A test-negative study: The inactivated influenza vaccine and SARS-CoV-2 infections.</t>
  </si>
  <si>
    <t>Sellies, Anne Jasmijn; Knol, Mirjam J; de Melker, Hester E; Bruijning-Verhagen, Patricia C J L; de Boer, Annemarijn R</t>
  </si>
  <si>
    <t>https://pubmed.ncbi.nlm.nih.gov/38658205</t>
  </si>
  <si>
    <t>Previous research suggested that the inactivated influenza vaccine (IIV) may protect against SARS-CoV-2 infection or a severe course of COVID-19. These findings were however based on cohort studies, that are prone to confounding by indication. We examined the association between IIV and SARS-Cov-2 infection in a Dutch population using a test-negative design. This test-negative case-control study was conducted in adults (≥60) who tested because of COVID-19 like symptoms at community SARS-CoV-2 testing locations in the Netherlands during the period of November 8th 2021-March 11th 2022. Information on receipt of IIV in October-November 2021 was routinely collected at each visit. Logistic regression was used to calculate unadjusted, partially (sex, age, education level) and fully adjusted (COVID-19 vaccination, IIV 2020) odds ratios (ORs) for receipt of IIV in SARS-CoV-2 positive versus negative subjects. Differential effects on SARS-CoV-2 risk by time since IIV were investigated by including an interaction term for calendar time: November 2021-January 2022 vs February-March 2022. In total, 1,832 participants were included in the main analysis, of whom 336 (18.3 %) had a positive SARS-CoV-2 test. No significant association between IIV and SARS-CoV-2 infection was found; fully adjusted OR of 1.07 (95 % CI: 0.78-1.49). The interaction term for time periods was not significant (1.04 [95 % CI: 0.51-2.15], p = 0.91). Results were robust in sensitivity analyses. While earlier observational studies suggested a protective non-specific effect of IIV and SARS-CoV-2 infections, this smaller, but well controlled test-negative design study does not suggest an effect, either positive or negative. Larger test-negative design studies, or alternative designs such as the self-controlled case series design are needed to confirm these findings and provide more definite answers on the topic.</t>
  </si>
  <si>
    <t>Non-dispensing pharmacists integrated into general practices as a new interprofessional model: a qualitative evaluation of general practitioners' experiences and views.</t>
  </si>
  <si>
    <t>Hazen, A C M; Sloeserwij, V M; de Groot, E; de Gier, J J; de Wit, N J; de Bont, A A; Zwart, D L M</t>
  </si>
  <si>
    <t>bmc health services research</t>
  </si>
  <si>
    <t>https://pubmed.ncbi.nlm.nih.gov/38654340</t>
  </si>
  <si>
    <t>A new interprofessional model incorporating non-dispensing pharmacists in general practice teams can improve the quality of pharmaceutical care. However, results of the model are dependent on the context. Understanding when, why and how the model works may increase chances of successful broader implementation in other general practices. Earlier theories suggested that the results of the model are achieved by bringing pharmacotherapeutic knowledge into general practices. This mechanism may not be enough for successful implementation of the model. We wanted to understand better how establishing new interprofessional models in existing healthcare organisations takes place. An interview study, with a realist informed evaluation was conducted. This qualitative study was part of the Pharmacotherapy Optimisation through Integration of a Non-dispensing pharmacist in primary care Teams (POINT) project. We invited the general practitioners of the 9 general practices who (had) worked closely with a non-dispensing pharmacist for an interview. Interview data were analysed through discussions about the coding with the research team where themes were developed over time. We interviewed 2 general practitioners in each general practice (18 interviews in total). In a context where general practitioners acknowledge the need for improvement and are willing to work with a non-dispensing pharmacist as a new team member, the following mechanisms are triggered. Non-dispensing pharmacists add new knowledge to current general practice. Through everyday talk (discursive actions) both general practitioners and non-dispensing pharmacists evolve in what they consider appropriate, legitimate and imaginable in their work situations. They align their professional identities. Not only the addition of new knowledge of non-dispensing pharmacist to the general practice team is crucial for the success of this interprofessional healthcare model, but also alignment of the general practitioners' and non-dispensing pharmacists' professional identities. This is essentially different from traditional pharmaceutical care models, in which pharmacists and GPs work in separate organisations. To induce the process of identity alignment, general practitioners need to acknowledge the need to improve the quality of pharmaceutical care interprofessionally. By acknowledging the aspect of interprofessionality, both general practitioners and non-dispensing pharmacists will explore and reflect on what they consider appropriate, legitimate and imaginable in carrying out their professional roles. The POINT project was pre-registered in The Netherlands National Trial Register, with Trial registration number NTR-4389.</t>
  </si>
  <si>
    <t>Correction to: Second primary squamous cell carcinoma of the oral cavity - a retrospective cohort study of therapeutic procedures and oncological outcome.</t>
  </si>
  <si>
    <t>Moratin, Julius; Maas, Theresa; Horn, Dominik; Semmelmayer, Karl; Zittel, Sven; Oehme, Marcel; Engel, Michael; Hoffmann, Jürgen; Freudlsperger, Christian; Freier, Kolja; Ristow, Oliver</t>
  </si>
  <si>
    <t>https://pubmed.ncbi.nlm.nih.gov/38652328</t>
  </si>
  <si>
    <t>Trends in body mass index in the pre-dolutegravir period in South Africa.</t>
  </si>
  <si>
    <t>van Ginkel, Florian; Barth, Roos E; Tempelman, Hugo; Klipstein-Grobusch, Kerstin; Grobbee, Diederick E; Scheuermaier, Karine; Venter, Francois W D; Vos-Seda, Alinda G</t>
  </si>
  <si>
    <t>southern african journal of hiv medicine</t>
  </si>
  <si>
    <t>https://pubmed.ncbi.nlm.nih.gov/38725702</t>
  </si>
  <si>
    <t>Antiretroviral therapy (ART) is associated with weight gain, but this has been shown to be more marked with dolutegravir and other integrase strand transfer inhibitors. We studied weight gain in people living with HIV (PLWH) on ART compared to the general population in the period before dolutegravir was introduced in a rural South African cohort. Longitudinal analysis of the Ndlovu Cohort Study including 36-48 months' follow-up data. From 2014 to 2019, data were collected annually in Limpopo, rural South Africa. Linear mixed models using HIV status, demographics, ART use and cardiovascular risk factors were used to estimate trends in body mass index (BMI) over time. In total, 1518 adult, non-pregnant participants were included, of whom 518 were PLWH on ART (79.8%), 135 PLWH not yet on ART (20.2%) and 865 HIV-negative. HIV-negative participants had significantly higher BMIs than PLWH on ART at all study visits. There was a significant increase in BMI in all subgroups after 36 months (PLWH on ART, BMI +1.2 kg/m&lt;sup&gt;2&lt;/sup&gt;, &lt;i&gt;P&lt;/i&gt; &lt; 0.001; PLWH not on ART, BMI +1.8 kg/m&lt;sup&gt;2&lt;/sup&gt;, &lt;i&gt;P&lt;/i&gt; &lt; 0.001 and HIV-negative, BMI +1.3 kg/m&lt;sup&gt;2&lt;/sup&gt;, &lt;i&gt;P&lt;/i&gt; &lt; 0.001). The increase in BMI in PLWH and HIV-negative participants is a serious warning signal as obesity results in morbidity and mortality.</t>
  </si>
  <si>
    <t>The effect of immunosuppressive therapies on the endothelial host response in critically ill COVID-19 patients.</t>
  </si>
  <si>
    <t>Slim, M A; Lim, E H T; van Vught, L A; Boer, A M Tuip-de; Rademaker, E; Mulier, J L G Haitsma; Engel, J J; ,; ,; Pickkers, P; van de Veerdonk, F L; Vlaar, A P J; Derde, L P G; Juffermans, N P</t>
  </si>
  <si>
    <t>https://pubmed.ncbi.nlm.nih.gov/38643179</t>
  </si>
  <si>
    <t>While several effective therapies for critically ill patients with COVID-19 have been identified in large, well-conducted trials, the mechanisms underlying these therapies have not been investigated in depth. Our aim is to investigate the association between various immunosuppressive therapies (corticosteroids, tocilizumab and anakinra) and the change in endothelial host response over time in critically ill COVID-19 patients. We conducted a pre-specified multicenter post-hoc analysis in a Dutch cohort of COVID-19 patients admitted to the ICU between March 2020 and September 2021 due to hypoxemic respiratory failure. A panel of 18 immune response biomarkers in the complement, coagulation and endothelial function domains were measured using ELISA or Luminex. Biomarkers were measured on day 0-1, day 2-4 and day 6-8 after start of COVID-19 treatment. Patients were categorized into four treatment groups: no immunomodulatory treatment, corticosteroids, anakinra plus corticosteroids, or tocilizumab plus corticosteroids. The association between treatment group and the change in concentrations of biomarkers was estimated with linear mixed-effects models, using no immunomodulatory treatment as reference group. 109 patients with a median age of 62 years [IQR 54-70] of whom 72% (n = 78) was male, were included in this analysis. Both anakinra plus corticosteroids (n = 22) and tocilizumab plus corticosteroids (n = 38) were associated with an increase in angiopoietin-1 compared to no immune modulator (n = 23) (beta of 0.033 [0.002-0.064] and 0.041 [0.013-0.070] per day, respectively). These treatments, as well as corticosteroids alone (n = 26), were further associated with a decrease in the ratio of angiopoietin-2/angiopoietin-1 (beta of 0.071 [0.034-0.107], 0.060 [0.030-0.091] and 0.043 [0.001-0.085] per day, respectively). Anakinra plus corticosteroids and tocilizumab plus corticosteroids were associated with a decrease in concentrations of complement complex 5b-9 compared to no immunomodulatory treatment (0.038 [0.006-0.071] and 0.023 [0.000-0.047], respectively). Currently established treatments for critically ill COVID-19 patients are associated with a change in biomarkers of the angiopoietin and complement pathways, possibly indicating a role for stability of the endothelium. These results increase the understanding of the mechanisms of interventions and are possibly useful for stratification of patients with other inflammatory conditions which may potentially benefit from these treatments.</t>
  </si>
  <si>
    <t>Unfair knowledge practices in global health: a realist synthesis.</t>
  </si>
  <si>
    <t>Abimbola, Seye; van de Kamp, Judith; Lariat, Joni; Rathod, Lekha; Klipstein-Grobusch, Kerstin; van der Graaf, Rieke; Bhakuni, Himani</t>
  </si>
  <si>
    <t>health policy and planning</t>
  </si>
  <si>
    <t>https://pubmed.ncbi.nlm.nih.gov/38642401</t>
  </si>
  <si>
    <t>Unfair knowledge practices easily beset our efforts to achieve health equity within and between countries. Enacted by people from a distance and from a position of power ('the centre') on behalf of and alongside people with less power ('the periphery'), these unfair practices have generated a complex literature of complaints across various axes of inequity. We identified a sample of this literature from 12 journals, and systematised it using the realist approach to explanation. We framed the outcome to be explained as 'manifestations of unfair knowledge practices'; their generative mechanisms as 'the reasoning of individuals or rationale of institutions'; and context that enable them as 'conditions that give knowledge practices their structure'. We identified four categories of unfair knowledge practices, each triggered by three mechanisms: 1. credibility deficit related to pose (mechanisms: 'the periphery's cultural knowledge, technical knowledge, and 'articulation' of knowledge do not matter); 2. credibility deficit related to gaze (mechanisms: 'the centre's learning needs, knowledge platforms, and scholarly standards must drive collective knowledge-making'); 3.interpretive marginalisation related to pose (mechanisms: 'the periphery's sensemaking of partnerships, problems, and social reality do not matter'); and 4. interpretive marginalisation related to gaze (mechanisms: 'the centre's learning needs, social sensitivities and status-preservation must drive collective sensemaking'). Together, six mutually overlapping, reinforcing and dependent categories of context influence all 12 mechanisms: mislabelling (the periphery as inferior); miseducation (on structural origins of disadvantage); under-representation (of the periphery on knowledge platforms); compounded spoils (enjoyed by the centre); under-governance (in making, changing, monitoring, enforcing, and applying rules for fair engagement); and colonial mentality (of/at the periphery). These context-mechanism-outcome links can inform efforts to redress unfair knowledge practices; investigations of unfair knowledge practices across disciplines and axes of inequity; and ethics guidelines for health system research and practice when working at a social or physical distance.</t>
  </si>
  <si>
    <t>Application of causal inference methods in individual-participant data meta-analyses in medicine: addressing data handling and reporting gaps with new proposed reporting guidelines.</t>
  </si>
  <si>
    <t>Hufstedler, Heather; Mauer, Nicole; Yeboah, Edmund; Carr, Sinclair; Rahman, Sabahat; Danzer, Alexander M; Debray, Thomas P A; de Jong, Valentijn M T; Campbell, Harlan; Gustafson, Paul; Maxwell, Lauren; Jaenisch, Thomas; Matthay, Ellicott C; Bärnighausen, Till</t>
  </si>
  <si>
    <t>bmc medical research methodology</t>
  </si>
  <si>
    <t>https://pubmed.ncbi.nlm.nih.gov/38641771</t>
  </si>
  <si>
    <t>Observational data provide invaluable real-world information in medicine, but certain methodological considerations are required to derive causal estimates. In this systematic review, we evaluated the methodology and reporting quality of individual-level patient data meta-analyses (IPD-MAs) conducted with non-randomized exposures, published in 2009, 2014, and 2019 that sought to estimate a causal relationship in medicine. We screened over 16,000 titles and abstracts, reviewed 45 full-text articles out of the 167 deemed potentially eligible, and included 29 into the analysis. Unfortunately, we found that causal methodologies were rarely implemented, and reporting was generally poor across studies. Specifically, only three of the 29 articles used quasi-experimental methods, and no study used G-methods to adjust for time-varying confounding. To address these issues, we propose stronger collaborations between physicians and methodologists to ensure that causal methodologies are properly implemented in IPD-MAs. In addition, we put forward a suggested checklist of reporting guidelines for IPD-MAs that utilize causal methods. This checklist could improve reporting thereby potentially enhancing the quality and trustworthiness of IPD-MAs, which can be considered one of the most valuable sources of evidence for health policy.</t>
  </si>
  <si>
    <t>Data Science and Biostatistics; Global Health and Bioethics; Global Health and Bioethics; Data Science and Biostatistics; Global Health and Bioethics; Data Science and Biostatistics; Epidemiology and Health Economics; Global Health and Bioethics; Data Science and Biostatistics; Epidemiology and Health Economics; Epidemiology and Health Economics; Data Science and Biostatistics; Global Health and Bioethics; Epidemiology and Health Economics; Epidemiology and Health Economics</t>
  </si>
  <si>
    <t>Re-attendance in supplemental breast MRI screening rounds of the DENSE trial for women with extremely dense breasts.</t>
  </si>
  <si>
    <t>Veenhuizen, Stefanie G A; van Grinsven, Sophie E L; Laseur, Isabelle L; Bakker, Marije F; Monninkhof, Evelyn M; de Lange, Stéphanie V; Pijnappel, Ruud M; Mann, Ritse M; Lobbes, Marc B I; Duvivier, Katya M; de Jong, Mathijn D F; Loo, Claudette E; Karssemeijer, Nico; van Diest, Paul J; Veldhuis, Wouter B; van Gils, Carla H; ,</t>
  </si>
  <si>
    <t>european radiology</t>
  </si>
  <si>
    <t>https://pubmed.ncbi.nlm.nih.gov/38639912</t>
  </si>
  <si>
    <t>Supplemental MRI screening improves early breast cancer detection and reduces interval cancers in women with extremely dense breasts in a cost-effective way. Recently, the European Society of Breast Imaging recommended offering MRI screening to women with extremely dense breasts, but the debate on whether to implement it in breast cancer screening programs is ongoing. Insight into the participant experience and willingness to re-attend is important for this discussion. We calculated the re-attendance rates of the second and third MRI screening rounds of the DENSE trial. Moreover, we calculated age-adjusted odds ratios (ORs) to study the association between characteristics and re-attendance. Women who discontinued MRI screening were asked to provide one or more reasons for this. The re-attendance rates were 81.3% (3458/4252) and 85.2% (2693/3160) in the second and third MRI screening round, respectively. A high age (&gt; 65 years), a very low BMI, lower education, not being employed, smoking, and no alcohol consumption were correlated with lower re-attendance rates. Moderate or high levels of pain, discomfort, or anxiety experienced during the previous MRI screening round were correlated with lower re-attendance rates. Finally, a plurality of women mentioned an examination-related inconvenience as a reason to discontinue screening (39.1% and 34.8% in the second and third screening round, respectively). The willingness of women with dense breasts to re-attend an ongoing MRI screening study is high. However, emphasis should be placed on improving the MRI experience to increase the re-attendance rate if widespread supplemental MRI screening is implemented. For many women, MRI is an acceptable screening method, as re-attendance rates were high - even for screening in a clinical trial setting. To further enhance the (re-)attendance rate, one possible approach could be improving the overall MRI experience. • The willingness to re-attend in an ongoing MRI screening study is high. • Pain, discomfort, and anxiety in the previous MRI screening round were related to lower re-attendance rates. • Emphasis should be placed on improving MRI experience to increase the re-attendance rate in supplemental MRI screening.</t>
  </si>
  <si>
    <t>The Value of Warning Signs From the WHO 2009 Dengue Classification in Detecting Severe Dengue in Children.</t>
  </si>
  <si>
    <t>Karyanti, Mulya Rahma; Uiterwaal, Cuno S P M; Hadinegoro, Sri Rezeki; Widyahening, Indah Suci; Saldi, Siti Rizny F; Heesterbeek, J A P Hans; Hoes, Arno W; Bruijning-Verhagen, Patricia</t>
  </si>
  <si>
    <t>the pediatric infectious disease journal</t>
  </si>
  <si>
    <t>https://pubmed.ncbi.nlm.nih.gov/38652064</t>
  </si>
  <si>
    <t>World Health Organization proposed 7 warning signs to identify the risk of severe dengue in 2009. This study aimed to evaluate the value of these warning signs in detecting severe dengue in children. A cross-sectional study was conducted utilizing data of children with clinical dengue infection obtained from medical records between January 2009 and December 2018 in Jakarta. Children with confirmed dengue were analyzed and stratified into 3 age groups: infants less than 1 year old, children 1-14 years and adolescents 15-18 years of age. Positive predictive value, negative predictive value (NPV), sensitivity and specificity of each warning sign present or absent on admission in detecting severe dengue were computed. Six hundred ninety-nine children with clinical dengue infection were enrolled, among whom 614 (87.8%) had confirmed dengue infection, either by antigen or antibody serological tests. Severe dengue occurred in 211/614 (34.4%) cases. In infants, important warning signs on admission to detect or exclude severe dengue were liver enlargement (NPV 80.8%) and clinical fluid accumulation (NPV 75%). In children and adolescents, warning sign with highest NPV (in children 76.6% and in adolescents 91.9%) was increase in hematocrit concurrent with a rapid decrease in platelet count. Other warning signs with high NPV values in children were abdominal pain (72%), vomiting (70%), clinical fluid accumulation (69.3%), and in adolescents' abdominal pain (80.7%), vomiting (75.7%), clinical fluid accumulation (82.7%). NPVs increase with more than 1 warning sign in all age groups. In infants, liver enlargement or clinical fluid accumulation are important warning signs for severe dengue, when both are absent, severe dengue is unlikely. In older children and adolescents, an increase in hematocrit with the concurrent rapid decrease in platelet count is most discriminative; followed by the absence of abdominal pain, vomiting or fluid accumulation are unlikely severe dengue.</t>
  </si>
  <si>
    <t>Global Health and Bioethics; Global Health and Bioethics; Global Health and Bioethics; Epidemiology and Health Economics; Epidemiology and Health Economics; Global Health and Bioethics; Epidemiology and Health Economics; Epidemiology and Health Economics; Epidemiology and Health Economics; Global Health and Bioethics</t>
  </si>
  <si>
    <t>Atherosclerotic Plaque Epigenetic Age Acceleration Predicts a Poor Prognosis and Is Associated With Endothelial-to-Mesenchymal Transition in Humans.</t>
  </si>
  <si>
    <t>Diez Benavente, Ernest; Hartman, Robin J G; Sakkers, Tim R; Wesseling, Marian; Sloots, Yannicke; Slenders, Lotte; Boltjes, Arjan; Mol, Barend M; de Borst, Gert J; de Kleijn, Dominique P V; Prange, Koen H M; de Winther, Menno P J; Kuiper, Johan; Civelek, Mete; van der Laan, Sander W; Horvath, Steve; Onland-Moret, N Charlotte; Mokry, Michal; Pasterkamp, Gerard; den Ruijter, Hester M</t>
  </si>
  <si>
    <t>arteriosclerosis thrombosis and vascular biology</t>
  </si>
  <si>
    <t>https://pubmed.ncbi.nlm.nih.gov/38634280</t>
  </si>
  <si>
    <t>Epigenetic age estimators (clocks) are predictive of human mortality risk. However, it is not yet known whether the epigenetic age of atherosclerotic plaques is predictive for the risk of cardiovascular events. Whole-genome DNA methylation of human carotid atherosclerotic plaques (n=485) and of blood (n=93) from the Athero-Express endarterectomy cohort was used to calculate epigenetic age acceleration (EAA). EAA was linked to clinical characteristics, plaque histology, and future cardiovascular events (n=136). We studied whole-genome DNA methylation and bulk and single-cell transcriptomics to uncover molecular mechanisms of plaque EAA. We experimentally confirmed our in silico findings using in vitro experiments in primary human coronary endothelial cells. Male and female patients with severe atherosclerosis had a median chronological age of 69 years. The median epigenetic age was 65 years in females (median EAA, -2.2 [interquartile range, -4.3 to 2.2] years) and 68 years in males (median EAA, -0.3 [interquartile range, -2.9 to 3.8] years). Patients with diabetes and a high body mass index had higher plaque EAA. Increased EAA of plaque predicted future events in a 3-year follow-up in a Cox regression model (univariate hazard ratio, 1.7; &lt;i&gt;P&lt;/i&gt;=0.0034) and adjusted multivariate model (hazard ratio, 1.56; &lt;i&gt;P&lt;/i&gt;=0.02). Plaque EAA predicted outcome independent of blood EAA (hazard ratio, 1.3; &lt;i&gt;P&lt;/i&gt;=0.018) and of plaque hemorrhage (hazard ratio, 1.7; &lt;i&gt;P&lt;/i&gt;=0.02). Single-cell RNA sequencing in plaque samples from 46 patients in the same cohort revealed smooth muscle and endothelial cells as important cell types in plaque EAA. Endothelial-to-mesenchymal transition was associated with EAA, which was experimentally confirmed by &lt;i&gt;TGFβ&lt;/i&gt;-triggered endothelial-to-mesenchymal transition inducing rapid epigenetic aging in coronary endothelial cells. Plaque EAA is a strong and independent marker of poor outcome in patients with severe atherosclerosis. Plaque EAA was linked to mesenchymal endothelial and smooth muscle cells. Endothelial-to-mesenchymal transition was associated with EAA, which was experimentally validated. Epigenetic aging mechanisms may provide new targets for treatments that reduce atherosclerosis complications.</t>
  </si>
  <si>
    <t>Perinatal exposure to traffic related air pollutants and the risk of infection in the first six months of life: a cohort study from a low-middle income country.</t>
  </si>
  <si>
    <t>Soesanti, Frida; Hoek, Gerard; Brunekreef, Bert; Meliefste, Kees; Chen, Jie; Idris, Nikmah S; Putri, Nina D; Uiterwaal, Cuno S P M; Grobbee, Diederick E; Klipstein-Grobusch, Kerstin</t>
  </si>
  <si>
    <t>international archives of occupational and environmental health</t>
  </si>
  <si>
    <t>https://pubmed.ncbi.nlm.nih.gov/38632139</t>
  </si>
  <si>
    <t>There is limited study from low-and-middle income countries on the effect of perinatal exposure to air pollution and the risk of infection in infant. We assessed the association between perinatal exposure to traffic related air pollution and the risk of infection in infant during their first six months of life. A prospective cohort study was performed in Jakarta, March 2016-September 2020 among 298 mother-infant pairs. PM&lt;sub&gt;2.5&lt;/sub&gt;, soot, NO&lt;sub&gt;x&lt;/sub&gt;, and NO&lt;sub&gt;2&lt;/sub&gt; concentrations were assessed using land use regression models (LUR) at individual level. Repeated interviewer-administered questionnaires were used to obtain data on infection at 1, 2, 4 and 6 months of age. The infections were categorized as upper respiratory tract (runny nose, cough, wheezing or shortness of breath), lower respiratory tract (pneumonia, bronchiolitis) or gastrointestinal tract infection. Logistic regression models adjusted for covariates were used to assess the association between perinatal exposure to air pollution and the risk of infection in the first six months of life. The average concentrations of PM&lt;sub&gt;2.5&lt;/sub&gt; and NO&lt;sub&gt;2&lt;/sub&gt; were much higher than the WHO recommended levels. Upper respiratory tract infections (URTI) were much more common in the first six months of life than diagnosed lower respiratory tract or gastro-intestinal infections (35.6%, 3.5% and 5.8% respectively). Perinatal exposure to PM&lt;sub&gt;2.5&lt;/sub&gt; and soot suggested increase cumulative risk of upper respiratory tract infection (URTI) in the first 6 months of life per IQR increase with adjusted OR of 1.50 (95% CI 0.91; 2.47) and 1.14 (95% CI 0.79; 1.64), respectively. Soot was significantly associated with the risk of URTI at 4-6 months age interval (aOR of 1.45, 95%CI 1.02; 2.09). All air pollutants were also positively associated with lower respiratory tract infection, but all CIs include unity because of relatively small samples. Adjusted odds ratios for gastrointestinal infections were close to unity. Our study adds to the evidence that perinatal exposure to fine particles is associated with respiratory tract infection in infants in a low-middle income country.</t>
  </si>
  <si>
    <t>TRIPOD+AI statement: updated guidance for reporting clinical prediction models that use regression or machine learning methods.</t>
  </si>
  <si>
    <t>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t>
  </si>
  <si>
    <t>bmj clinical research ed</t>
  </si>
  <si>
    <t>https://pubmed.ncbi.nlm.nih.gov/38626948</t>
  </si>
  <si>
    <t>The TRIPOD (Transparent Reporting of a multivariable prediction model for Individual Prognosis Or Diagnosis) statement was published in 2015 to provide the minimum reporting recommendations for studies developing or evaluating the performance of a prediction model. Methodological advances in the field of prediction have since included the widespread use of artificial intelligence (AI) powered by machine learning methods to develop prediction models. An update to the TRIPOD statement is thus needed. TRIPOD+AI provides harmonised guidance for reporting prediction model studies, irrespective of whether regression modelling or machine learning methods have been used. The new checklist supersedes the TRIPOD 2015 checklist, which should no longer be used. This article describes the development of TRIPOD+AI and presents the expanded 27 item checklist with more detailed explanation of each reporting recommendation, and the TRIPOD+AI for Abstracts checklist. TRIPOD+AI aims to promote the complete, accurate, and transparent reporting of studies that develop a prediction model or evaluate its performance. Complete reporting will facilitate study appraisal, model evaluation, and model implementation.</t>
  </si>
  <si>
    <t>Predictive factors of clot propagation in patients with superficial venous thrombosis towards deep venous thrombosis and pulmonary embolism: a systematic review and meta-analysis.</t>
  </si>
  <si>
    <t>van Royen, Florien Sophie-Anne; van Smeden, Maarten; van Doorn, Sander; Rutten, Frans H; Geersing, Geert-Jan</t>
  </si>
  <si>
    <t>https://pubmed.ncbi.nlm.nih.gov/38626964</t>
  </si>
  <si>
    <t>A subset of patients with superficial venous thrombosis (SVT) experiences clot propagation towards deep venous thrombosis (DVT) and/or pulmonary embolism (PE). The aim of this systematic review is to identify all clinically relevant cross-sectional and prognostic factors for predicting thrombotic complications in patients with SVT. Systematic review. PubMed/MEDLINE and Embase were systematically searched until 3 March 2023. Original research studies with patients with SVT, DVT and/or PE as the outcome and presenting cross-sectional or prognostic predictive factors. The CHecklist for critical Appraisal and data extraction for systematic Reviews of prediction Modelling (CHARMS) checklist for prognostic factor studies was used for systematic extraction of study characteristics. Per identified predictive factor, relevant estimates of univariable and multivariable predictor-outcome associations were extracted, such as ORs and HRs. Estimates of association for the most frequently reported predictors were summarised in forest plots, and meta-analyses with heterogeneity were presented. The Quality in Prognosis Studies (QUIPS) tool was used for risk of bias assessment and Grading of Recommendations, Assessment, Development and Evaluations (GRADE) for assessing the certainty of evidence. Twenty-two studies were included (n=10 111 patients). The most reported predictive factors were high age, male sex, history of venous thromboembolism (VTE), absence of varicose veins and cancer. Pooled effect estimates were heterogenous and ranged from OR 3.12 (95% CI 1.75 to 5.59) for the cross-sectional predictor cancer to OR 0.92 (95% CI 0.56 to 1.53) for the prognostic predictor high age. The level of evidence was rated very low to low. Most studies were scored high or moderate risk of bias. Although the pooled estimates of the predictors high age, male sex, history of VTE, cancer and absence of varicose veins showed predictive potential in isolation, variability in study designs, lack of multivariable adjustment and high risk of bias prevent firm conclusions. High-quality, multivariable studies are necessary to be able to identify individual SVT risk profiles. CRD42021262819.</t>
  </si>
  <si>
    <t>General Practice and Nursing Science; Data Science and Biostatistics; General Practice and Nursing Science; Data Science and Biostatistics; General Practice and Nursing Science; Data Science and Biostatistics; General Practice and Nursing Science; Data Science and Biostatistics; General Practice and Nursing Science; Data Science and Biostatistics</t>
  </si>
  <si>
    <t>Health effects of holistic housing renovation in a disadvantaged neighbourhood in the Netherlands: a qualitative exploration among residents and professionals.</t>
  </si>
  <si>
    <t>Koops-Van Hoffen, H E; Vendrig-De Punder, Y M R; Van Lenthe, F J; Borlée, F; Jambroes, M; Kamphuis, C B M</t>
  </si>
  <si>
    <t>https://pubmed.ncbi.nlm.nih.gov/38622675</t>
  </si>
  <si>
    <t>Holistic housing renovations combine physical housing improvements with social and socioeconomic interventions (e.g. referral to social services, debt counselling, involvement in decision-making, promoting social cohesion). In a deprived neighbourhood in Utrecht, the Netherlands, this paper examined residents' and professionals' experiences, ideas, and perceptions regarding holistic housing renovation, its health effects, and underlying mechanisms explaining those effects. Semi-structured in-depth interviews were conducted with 21 social housing residents exposed to holistic housing renovation, and 12 professionals involved in either the physical renovation or social interventions implemented. Residents were interviewed in various renovation stages (before, during, after renovation). Transcripts were deductively and inductively coded using qualitative software. Residents experienced and professionals acknowledged renovation stress caused by nuisance from construction work (noise, dust), having to move stuff around, and temporary moving; lack of information and control; and perceived violation of privacy. Involvement in design choices was appreciated, and mental health improvement was expected on the long term due to improved housing quality and visual amenity benefits. Social contact between residents increased as the renovation became topic for small talk. Few comments were made regarding physical health effects. The interviews revealed a certain amount of distrust in and dissatisfaction with the housing corporation, construction company, and other authorities. Renovation stress, aggravated by lack of information and poor accessibility of housing corporation and construction company, negatively affects mental health and sense of control. Potential stress relievers are practical help with packing and moving furniture, and increased predictability by good and targeted communication. Social interventions can best be offered after renovation, when residents live in their renovated apartment and the nuisance and stress from the renovation is behind them. Social partners can use the period leading up to the renovation to show their faces, offer practical help to reduce renovation stress, and increase residents' trust in their organization and authorities in general. This might also contribute to residents' willingness to accept help with problems in the social domain after renovation.</t>
  </si>
  <si>
    <t>Trajectories of clinical characteristics, complications and treatment choices in data-driven subgroups of type 2 diabetes.</t>
  </si>
  <si>
    <t>Li, Xinyu; Donnelly, Louise A; Slieker, Roderick C; Beulens, Joline W J; 't Hart, Leen M; Elders, Petra J M; Pearson, Ewan R; van Giessen, Anoukh; Leal, Jose; Feenstra, Talitha</t>
  </si>
  <si>
    <t>diabetologia</t>
  </si>
  <si>
    <t>https://pubmed.ncbi.nlm.nih.gov/38625583</t>
  </si>
  <si>
    <t>This study aimed to explore the added value of subgroups that categorise individuals with type 2 diabetes by k-means clustering for two primary care registries (the Netherlands and Scotland), inspired by Ahlqvist's novel diabetes subgroups and previously analysed by Slieker et al. METHODS: We used two Dutch and Scottish diabetes cohorts (N=3054 and 6145; median follow-up=11.2 and 12.3 years, respectively) and defined five subgroups by k-means clustering with age at baseline, BMI, HbA&lt;sub&gt;1c&lt;/sub&gt;, HDL-cholesterol and C-peptide. We investigated differences between subgroups by trajectories of risk factor values (random intercept models), time to diabetes-related complications (logrank tests and Cox models) and medication patterns (multinomial logistic models). We also compared directly using the clustering indicators as predictors of progression vs the k-means discrete subgroups. Cluster consistency over follow-up was assessed. Subgroups' risk factors were significantly different, and these differences remained generally consistent over follow-up. Among all subgroups, individuals with severe insulin resistance faced a significantly higher risk of myocardial infarction both before (HR 1.65; 95% CI 1.40, 1.94) and after adjusting for age effect (HR 1.72; 95% CI 1.46, 2.02) compared with mild diabetes with high HDL-cholesterol. Individuals with severe insulin-deficient diabetes were most intensively treated, with more than 25% prescribed insulin at 10 years of diagnosis. For severe insulin-deficient diabetes relative to mild diabetes, the relative risks for using insulin relative to no common treatment would be expected to increase by a factor of 3.07 (95% CI 2.73, 3.44), holding other factors constant. Clustering indicators were better predictors of progression variation relative to subgroups, but prediction accuracy may improve after combining both. Clusters were consistent over 8 years with an accuracy ranging from 59% to 72%. Data-driven subgroup allocations were generally consistent over follow-up and captured significant differences in risk factor trajectories, medication patterns and complication risks. Subgroups serve better as a complement rather than as a basis for compressing clustering indicators.</t>
  </si>
  <si>
    <t>General Practice and Nursing Science; Global Health and Bioethics; Global Health and Bioethics; Global Health and Bioethics; General Practice and Nursing Science; Global Health and Bioethics; General Practice and Nursing Science; General Practice and Nursing Science; General Practice and Nursing Science; Global Health and Bioethics</t>
  </si>
  <si>
    <t>SPIN-PM: A consensus framework to evaluate the presence of spin in studies on prediction models.</t>
  </si>
  <si>
    <t>Andaur Navarro, Constanza L; Damen, Johanna Aa; Ghannad, Mona; Dhiman, Paula; van Smeden, Maarten; Reitsma, Johannes B; Collins, Gary S; Riley, Richard D; Moons, Karel Gm; Hooft, Lotty</t>
  </si>
  <si>
    <t>https://pubmed.ncbi.nlm.nih.gov/38631529</t>
  </si>
  <si>
    <t>To develop a framework to identify and evaluate spin practices and its facilitators in studies on clinical prediction model, regardless of the modelling technique. We followed a three-phase consensus process: (1) pre-meeting literature review to generate items to be included; (2) a series of structured meetings to provide comments, discussed and exchanged viewpoints on items to be included with a panel of experienced researchers; and (3) post-meeting review on final list of items and examples to be included. Through this iterative consensus process, a framework was derived after all panel's researchers agreed. This consensus process involved a panel of eight researchers and resulted in SPIN-PM which consists of two categories of spin (misleading interpretation and misleading transportability), and within these categories, two forms of spin (spin practices and facilitators of spin). We provide criteria and examples. We proposed this guidance aiming to facilitate not only the accurate reporting but also an accurate interpretation and extrapolation of clinical prediction models which will likely improve the reporting quality of subsequent research, as well as reduce research waste.</t>
  </si>
  <si>
    <t>Data Science and Biostatistics; Epidemiology and Health Economics; Data Science and Biostatistics; Epidemiology and Health Economics; Epidemiology and Health Economics; Data Science and Biostatistics; Data Science and Biostatistics; Epidemiology and Health Economics; Data Science and Biostatistics; Epidemiology and Health Economics</t>
  </si>
  <si>
    <t>SPIN-PM: a consensus framework to evaluate the presence of spin in studies on prediction models.</t>
  </si>
  <si>
    <t>Andaur Navarro, Constanza L; Damen, Johanna A A; Ghannad, Mona; Dhiman, Paula; van Smeden, Maarten; Reitsma, Johannes B; Collins, Gary S; Riley, Richard D; Moons, Karel G M; Hooft, Lotty</t>
  </si>
  <si>
    <t>To develop a framework to identify and evaluate spin practices and its facilitators in studies on clinical prediction model regardless of the modeling technique. We followed a three-phase consensus process: (1) premeeting literature review to generate items to be included; (2) a series of structured meetings to provide comments discussed and exchanged viewpoints on items to be included with a panel of experienced researchers; and (3) postmeeting review on final list of items and examples to be included. Through this iterative consensus process, a framework was derived after all panel's researchers agreed. This consensus process involved a panel of eight researchers and resulted in SPIN-Prediction Models which consists of two categories of spin (misleading interpretation and misleading transportability), and within these categories, two forms of spin (spin practices and facilitators of spin). We provide criteria and examples. We proposed this guidance aiming to facilitate not only the accurate reporting but also an accurate interpretation and extrapolation of clinical prediction models which will likely improve the reporting quality of subsequent research, as well as reduce research waste.</t>
  </si>
  <si>
    <t>Data Science and Biostatistics; Epidemiology and Health Economics; Epidemiology and Health Economics; Data Science and Biostatistics</t>
  </si>
  <si>
    <t>A Blueprint for Multi-use Disease Modeling in Health Economics: Results from Two Expert-Panel Consultations.</t>
  </si>
  <si>
    <t>Wang, Junfeng; Pouwels, Xavier; Ramaekers, Bram; Frederix, Geert; van Lieshout, Chris; Hoogenveen, Rudolf; Li, Xinyu; de Wit, G Ardine; Joore, Manuela; Koffijberg, Hendrik; van Giessen, Anoukh; Knies, Saskia; Feenstra, Talitha; ,</t>
  </si>
  <si>
    <t>pharmacoeconomics</t>
  </si>
  <si>
    <t>https://pubmed.ncbi.nlm.nih.gov/38613660</t>
  </si>
  <si>
    <t>The current use of health economic decision models in HTA is mostly confined to single use cases, which may be inefficient and result in little consistency over different treatment comparisons, and consequently inconsistent health policy decisions, for the same disorder. Multi-use disease models (MUDMs) (other terms: generic models, whole disease models, disease models) may offer a solution. However, much is uncertain about their definition and application. The current research aimed to develop a blueprint for the application of MUDMs. We elicited expert opinion using a two-round modified Delphi process. The panel consisted of experts and stakeholders in health economic modelling from various professional backgrounds. The first questionnaire concerned definition, terminology, potential applications, issues and recommendations for MUDMs and was based on an exploratory scoping review. In the second round, the panel members were asked to reconsider their input, based on feedback regarding first-round results, and to score issues and recommendations for priority. Finally, adding input from external advisors and policy makers in a structured way, an overview of issues and challenges was developed during two team consensus meetings. In total, 54 respondents contributed to the panel results. The term 'multi-use disease models' was proposed and agreed upon, and a definition was provided. The panel prioritized 10 potential applications (with comparing alternative policies and supporting resource allocation decisions as the top 2), while 20 issues (with model transparency and stakeholders' roles as the top 2) were identified as challenges. Opinions on potential features concerning operationalization of multi-use models were given, with 11 of these subsequently receiving high priority scores (regular updates and revalidation after updates were the top 2). MUDMs would improve on current decision support regarding cost-effectiveness information. Given feasibility challenges, this would be most relevant for diseases with multiple treatments, large burden of disease and requiring more complex models. The current overview offers policy makers a starting point to organize the development, use, and maintenance of MUDMs and to support choices concerning which diseases and policy decisions they will be helpful for.</t>
  </si>
  <si>
    <t>High adherence to intermittent and continuous use of a contraceptive vaginal ring among women in a randomized controlled trial in Kigali, Rwanda.</t>
  </si>
  <si>
    <t>Kestelyn, Evelyne; Van Nuil, Jennifer Ilo; Umulisa, Marie Michelle; Umutoni, Grace; Uwingabire, Alice; De Baetselier, Irith; Uwineza, Mireille; Agaba, Stephen; Crucitti, Tania; Delvaux, Thérèse; van de Wijgert, Janneke H H M</t>
  </si>
  <si>
    <t>frontiers in global womens health</t>
  </si>
  <si>
    <t>https://pubmed.ncbi.nlm.nih.gov/38680542</t>
  </si>
  <si>
    <t>The introduction of female-initiated drug-delivery methods, including vaginal rings, have proven to be a promising avenue to address sexually transmitted infections and unintended pregnancies, which disproportionally affects women and girls in sub-Saharan Africa. Efficient uptake of existing and new technologies such as vaginal rings requires in depth understanding of product adherence. This remains a major challenge as data on adherence to vaginal rings from African countries is limited. In this study, we explored adherence of contraceptive vaginal ring (NuvaRing®) use in Kigali, Rwanda using a mixed methods approach. We collected quantitative and qualitative data at multiple time points from women participating in a clinical trial exploring the safety and acceptability of either intermittent or continuous use of the NuvaRing®. Various adherence categories were used including monthly and cumulative adherence measurement. The quantitative data were analysed using R and the qualitative data were analysed using a deductive, content-analytical approach based on categories related to the quantitative adherence measures. All data were compared and triangulated. Data from 120 enrolled participants showed that self-reported adherence was high at every study visit in both study groups. At first study visit 80% of the intermittent ring users and 79.7% of the continuous ring users reported perfect adherence (assessed as "the ring was never out"). Reporting of ring expulsions and removals were highest (28.3%) at the beginning of the trial. Self-reported perfect ring adherence increased during the study and reports of ring expulsions and removals declined as familiarity with this contraceptive method increased. The percentage of women with perfect cumulative adherence was non-significantly higher in the intermittent (61.7%) than in the continuous use group (54.3%). The low rate of discrepant adherence data after triangulation (6%) is in line with the perception of the participants as adherent throughout the study. Self-reported adherence in both study groups was high with removals and expulsions being within the expected product range. Comprehensive adherence data triangulation allowed for a deeper understanding of context-driven behaviour that shaped adherence patterns and challenges. Our data categorisation and triangulation approach has shown potential for implementation in future vaginal ring studies aiming to better understand and measure adherence.</t>
  </si>
  <si>
    <t>Rationale and design for the randomized placebo-controlled double-blind trial studying the effect of single antiplatelet therapy (clopidogrel) versus dual antiplatelet therapy (clopidogrel/acetylsalicylic acid) on the occurrence of atherothrombotic events following lower extremity peripheral transluminal angioplasty (CLEAR-PATH).</t>
  </si>
  <si>
    <t>Wegerif, Emilien C J; Ünlü, Çağdaş; Generaal, Manon I; van den Bor, Rutger; van de Ven, Peter M; Bots, Michiel L; de Borst, Gert J</t>
  </si>
  <si>
    <t>american heart journal</t>
  </si>
  <si>
    <t>https://pubmed.ncbi.nlm.nih.gov/38608997</t>
  </si>
  <si>
    <t>Antiplatelet therapy (APT) is the standard of care after endovascular revascularization (EVR) in patients with peripheral artery disease (PAD). APT aims to prevent both major adverse cardiovascular events (MACE) and major adverse limb events (MALE). Nonetheless, the rates of MACE and MALE after EVR remain high. In coronary artery and cerebrovascular disease, dual APT (DAPT)compared to acetylsalicylic acid alone has proven to reduce MACE without increasing the risk of major bleeding when applied for a restricted number of weeks. However, within the PAD population, insufficient data are available to understand the potential attributable effect of DAPT over single APT (SAPT). Therefore, prospective randomized studies in targeted study populations are warranted. CLEAR-PATH is a Dutch multicenter, double-blind, placebo-controlled, randomized trial comparing SAPT (clopidogrel 75mg plus placebo) with DAPT (clopidogrel 75mg plus acetylsalicylic acid 80mg) in patients with PAD undergoing EVR. CLEAR-PATH includes a time-to-event analysis with a follow-up of one year. The primary composite efficacy endpoint consists of all-cause mortality, nonfatal stroke, nonfatal myocardial infarction, severe limb ischemia, (indication for) re-intervention due to any symptomatic restenosis, re-occlusion, or due to acute limb ischemia, and major amputation. The primary safety endpoint contains major bleeding following the Thrombolysis In Myocardial Infarction classification. The enrolment started in August 2022. In total 450 primary efficacy outcome events are required which expectedly amounts to 1696 subjects. Recruitment will take approximately 36 months. CLEAR-PATH will assess the efficacy and safety of DAPT compared to SAPT following EVR in PAD patients.</t>
  </si>
  <si>
    <t>The Utility of Risk Factors to Define Complicated Staphylococcus aureus Bacteremia in a Setting With Low Methicillin-Resistant S. aureus Prevalence.</t>
  </si>
  <si>
    <t>van der Vaart, Thomas W; Prins, Jan M; Goorhuis, Abraham; Lemkes, Bregtje A; Sigaloff, Kim C E; Spoorenberg, Veroniek; Stijnis, Cornelis; Bonten, Marc J M; van der Meer, Jan T M</t>
  </si>
  <si>
    <t>clinical infectious diseases an official publication of the infectious diseases society of america</t>
  </si>
  <si>
    <t>https://pubmed.ncbi.nlm.nih.gov/38157401</t>
  </si>
  <si>
    <t>Recommended duration of antibiotic treatment of Staphylococcus aureus bacteremia (SAB) is frequently based on distinguishing uncomplicated and complicated SAB, and several risk factors at the onset of infection have been proposed to define complicated SAB. Predictive values of risk factors for complicated SAB have not been validated, and consequences of their use on antibiotic prescriptions are unknown. In a prospective cohort, patients with SAB were categorized as complicated or uncomplicated through adjudication (reference definition). Associations and predictive values of 9 risk factors were determined, compared with the reference definition, as was accuracy of Infectious Diseases Society of America (IDSA) criteria that include 4 risk factors, and the projected consequences of applying IDSA criteria on antibiotic use. Among 490 patients, 296 (60%) had complicated SAB. In multivariable analysis, persistent bacteremia (odds ratio [OR], 6.8; 95% confidence interval [CI], 3.9-12.0), community acquisition of SAB (OR, 2.9; 95% CI, 1.9-4.7) and presence of prosthetic material (OR, 2.3; 95% CI, 1.5-3.6) were associated with complicated SAB. Presence of any of the 4 risk factors in the IDSA definition of complicated SAB had a positive predictive value of 70.9% (95% CI, 65.5-75.9) and a negative predictive value of 57.5% (95% CI, 49.1-64.8). Compared with the reference, IDSA criteria yielded 24 (5%) false-negative and 90 (18%) false-positive classifications of complicated SAB. Median duration of antibiotic treatment of these 90 patients was 16 days (interquartile range, 14-19), all with favorable clinical outcome. Risk factors have low to moderate predictive value to identify complicated SAB and their use may lead to unnecessary prolonged antibiotic use.</t>
  </si>
  <si>
    <t>Global Health and Bioethics; Global Health and Bioethics; Global Health and Bioethics; Global Health and Bioethics; Epidemiology and Health Economics; Epidemiology and Health Economics; Global Health and Bioethics; Epidemiology and Health Economics; Epidemiology and Health Economics; Epidemiology and Health Economics</t>
  </si>
  <si>
    <t>Noncommunicable Disease Conditions and HIV in Rural and Urban South Africa: 2005-2015.</t>
  </si>
  <si>
    <t>Lammertyn, Leandi; Klipstein-Grobusch, Kerstin; Kruger, Herculina S; Kruger, Iolanthe M; Fourie, Carla M T</t>
  </si>
  <si>
    <t>ethnicity disease</t>
  </si>
  <si>
    <t>https://pubmed.ncbi.nlm.nih.gov/38845740</t>
  </si>
  <si>
    <t>Hypertension, obesity, hyperlipidemia, and type 2 diabetes contribute primarily to noncommunicable disease deaths and together with human immunodeficiency virus contribute largely to mortality in South Africa. Our longitudinal study provides the necessary data and insights over a 10-year period to highlight the areas where improved management is required in urban and rural localities. This study included 536 rural and 387 urban Black participants aged 32 to 93 years from the North-West province, South Africa. Disease prevalence, treatment, and control were determined in 2005 and were re-evaluated in 2015. Multiple measures analyses were used to determine the trends of blood pressure and waist circumference. The initial prevalence of hypertension was 53.2%, obesity was 23.6%, hyperlipidemia was 5.1%, diabetes was 2.9%, and human immunodeficiency virus was 10.7% in 2005. By 2015, the rural population had higher rates of hypertension (63.7% versus 58.5%) and lower rates diabetes (4.3% versus 7.9%) and hyperlipidemia (6.6% versus 18.0%) with similar obesity rates (41.7% versus 42.4%). The average blood pressure levels of urban hypertensives decreased (P&lt;sub&gt;trend&lt;/sub&gt;&lt;.001), whereas levels were maintained in the rural group (P&lt;sub&gt;trend&lt;/sub&gt;=.52). In both locations, treatment and control rates increased from 2005 to 2015 for all conditions (all ≥6.7%), except for diabetes in which a decrease in control was observed. Waist circumference increased (P&lt;sub&gt;trend&lt;/sub&gt;&gt;.001) in both sex and locality groups over the 10-year period. Although average blood pressure of urban hypertensive individuals decreased, urgent measures focused on early identification, treatment, and control of the respective conditions should be implemented to decrease the burden of noncommunicable diseases.</t>
  </si>
  <si>
    <t>Capacity for the management of kidney failure in the International Society of Nephrology Africa region: report from the 2023 ISN Global Kidney Atlas (ISN-GKHA).</t>
  </si>
  <si>
    <t>Tannor, Elliot Koranteng; Davidson, Bianca; Nlandu, Yannick; Bagasha, Peace; Bilchut, Workagegnehu Hailu; Davids, M Razeen; Diongole, Hassane M; Ekrikpo, Udeme E; Hafiz, Ehab O A; Ibrahim, Kwaifa Salihu; Kalyesubula, Robert; Nalado, Aisha M; Olanrewaju, Timothy O; Onu, Ugochi Chika; Pereira-Kamath, Nikhil; Sakajiki, Aminu Muhammad; Salah, Mohamed; Vincent, Lloyd; Arruebo, Silvia; Bello, Aminu K; Caskey, Fergus J; Damster, Sandrine; Donner, Jo-Ann; Jha, Vivekanand; Johnson, David W; Levin, Adeera; Malik, Charu; Nangaku, Masaomi; Okpechi, Ikechi G; Tonelli, Marcello; Ye, Feng; Ashuntantang, Gloria Enow; Arogundade, Fatiu Abiola; ,</t>
  </si>
  <si>
    <t>kidney international supplements</t>
  </si>
  <si>
    <t>https://pubmed.ncbi.nlm.nih.gov/38618494</t>
  </si>
  <si>
    <t>The burden of chronic kidney disease and associated risk of kidney failure are increasing in Africa. The management of people with chronic kidney disease is fraught with numerous challenges because of limitations in health systems and infrastructures for care delivery. From the third iteration of the International Society of Nephrology Global Kidney Health Atlas, we describe the status of kidney care in the ISN Africa region using the World Health Organization building blocks for health systems. We identified limited government health spending, which in turn led to increased out-of-pocket costs for people with kidney disease at the point of service delivery. The health care workforce across Africa was suboptimal and further challenged by the exodus of trained health care workers out of the continent. Medical products, technologies, and services for the management of people with nondialysis chronic kidney disease and for kidney replacement therapy were scarce due to limitations in health infrastructure, which was inequitably distributed. There were few kidney registries and advocacy groups championing kidney disease management in Africa compared with the rest of the world. Strategies for ensuring improved kidney care in Africa include focusing on chronic kidney disease prevention and early detection, improving the effectiveness of the available health care workforce (e.g., multidisciplinary teams, task substitution, and telemedicine), augmenting kidney care financing, providing quality, up-to-date health information data, and improving the accessibility, affordability, and delivery of quality treatment (kidney replacement therapy or conservative kidney management) for all people living with kidney failure.</t>
  </si>
  <si>
    <t>Capacity for the management of kidney failure in the International Society of Nephrology Western Europe region: report from the 2023 ISN Global Kidney Health Atlas (ISN-GKHA).</t>
  </si>
  <si>
    <t>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t>
  </si>
  <si>
    <t>https://pubmed.ncbi.nlm.nih.gov/38618502</t>
  </si>
  <si>
    <t>Western Europe boasts advanced health care systems, robust kidney care guidelines, and a well-established health care workforce. Despite this, significant disparities in kidney replacement therapy incidence, prevalence, and transplant access exist. This paper presents the third International Society of Nephrology Global Kidney Health Atlas's findings on kidney care availability, accessibility, affordability, and quality in 22 Western European countries, representing 99% of the region's population. The known chronic kidney disease (CKD) prevalence across Western Europe averages 10.6%, slightly above the global median. Cardiovascular diseases account for a substantial portion of CKD-related deaths. Kidney failure incidence varies. Government health expenditure differs; however, most countries offer government-funded acute kidney injury, dialysis, and kidney transplantation care. Hemodialysis and peritoneal dialysis are universally available, with variations in the number of dialysis centers. Kidney transplantation is available in all countries (except for 3 microstates), with variable transplant center prevalence. Conservative kidney management (CKM) is increasingly accessible. The region's kidney care workforce is substantial, exceeding global averages; however, workforce shortages are reported. Barriers to optimal kidney care include limited workforce capacity, lack of surveillance mechanisms, and suboptimal integration into national noncommunicable disease (NCD) strategies. Policy recognition of CKD as a health priority varies across countries. Although Western Europe exhibits strong kidney care infrastructure, opportunities for improvement exist, particularly in CKD prevention, surveillance, awareness, and policy implementation. Efforts to improve CKD care should include automated detection, educational support, and enhanced workflows. Based on these findings, health care professionals, stakeholders, and policymakers are called to act to enhance kidney care across the region.</t>
  </si>
  <si>
    <t>Development and validation of a lifetime prediction model for incident type 2 diabetes in patients with established cardiovascular disease: the CVD2DM model.</t>
  </si>
  <si>
    <t>Helmink, Marga A G; Peters, Sanne A E; Westerink, Jan; Harris, Katie; Tillmann, Taavi; Woodward, Mark; van Sloten, Thomas T; van der Meer, Manon G; Teraa, Martin; Dorresteijn, Jannick A N; Ruigrok, Ynte M; Visseren, Frank L J; Hageman, Steven H J; ,</t>
  </si>
  <si>
    <t>https://pubmed.ncbi.nlm.nih.gov/38584392</t>
  </si>
  <si>
    <t>Identifying patients with established cardiovascular disease (CVD) who are at high risk of type 2 diabetes (T2D) may allow for early interventions, reducing the development of T2D and associated morbidity. The aim of this study was to develop and externally validate the CVD2DM model to estimate the 10-year and lifetime risks of T2D in patients with established CVD. Sex-specific, competing risk-adjusted Cox proportional hazard models were derived in 19 281 participants with established CVD and without diabetes at baseline from the UK Biobank. The core model's pre-specified predictors were age, current smoking, family history of diabetes mellitus, body mass index, systolic blood pressure, fasting plasma glucose, and HDL cholesterol. The extended model also included HbA1c. The model was externally validated in 3481 patients from the UCC-SMART study. During a median follow-up of 12.2 years (interquartile interval 11.3-13.1), 1628 participants with established CVD were diagnosed with T2D in the UK Biobank. External validation c-statistics were 0.79 [95% confidence interval (CI) 0.76-0.82] for the core model and 0.81 (95% CI 0.78-0.84) for the extended model. Calibration plots showed agreement between predicted and observed 10-year risk of T2D. The 10-year and lifetime risks of T2D can be estimated with the CVD2DM model in patients with established CVD, using readily available clinical predictors. The model would benefit from further validation across diverse ethnic groups to enhance its applicability. Informing patients about their T2D risk could motivate them further to adhere to a healthy lifestyle.</t>
  </si>
  <si>
    <t>Data Science and Biostatistics; Global Health and Bioethics; Global Health and Bioethics; Data Science and Biostatistics; Global Health and Bioethics; Data Science and Biostatistics; Global Health and Bioethics; Data Science and Biostatistics; Global Health and Bioethics; Data Science and Biostatistics</t>
  </si>
  <si>
    <t>Mobile Technology Use in Clinical Research Examining Challenges and Implications for Health Promotion in South Africa: Mixed Methods Study.</t>
  </si>
  <si>
    <t>Mabetha, Khuthala; Soepnel, Larske M; Mabena, Gugulethu; Motlhatlhedi, Molebogeng; Nyati, Lukhanyo; Norris, Shane A; Draper, Catherine E</t>
  </si>
  <si>
    <t>jmir formative research</t>
  </si>
  <si>
    <t>https://pubmed.ncbi.nlm.nih.gov/38588527</t>
  </si>
  <si>
    <t>The use of mobile technologies in fostering health promotion and healthy behaviors is becoming an increasingly common phenomenon in global health programs. Although mobile technologies have been effective in health promotion initiatives and follow-up research in higher-income countries and concerns have been raised within clinical practice and research in low- and middle-income settings, there is a lack of literature that has qualitatively explored the challenges that participants experience in terms of being contactable through mobile technologies. This study aims to explore the challenges that participants experience in terms of being contactable through mobile technologies in a trial conducted in Soweto, South Africa. A convergent parallel mixed methods research design was used. In the quantitative phase, 363 young women in the age cohorts 18 to 28 years were contacted telephonically between August 2019 and January 2022 to have a session delivered to them or to be booked for a session. Call attempts initiated by the study team were restricted to only 1 call attempt, and participants who were reached at the first call attempt were classified as contactable (189/363, 52.1%), whereas those whom the study team failed to contact were classified as hard to reach (174/363, 47.9%). Two outcomes of interest in the quantitative phase were "contactability of the participants" and "participants' mobile number changes," and these outcomes were analyzed at a univariate and bivariate level using descriptive statistics and a 2-way contingency table. In the qualitative phase, a subsample of young women (20 who were part of the trial for ≥12 months) participated in in-depth interviews and were recruited using a convenience sampling method. A reflexive thematic analysis approach was used to analyze the data using MAXQDA software (version 20; VERBI GmbH). Of the 363 trial participants, 174 (47.9%) were hard to reach telephonically, whereas approximately 189 (52.1%) were easy to reach telephonically. Most participants (133/243, 54.7%) who were contactable did not change their mobile number. The highest percentage of mobile number changes was observed among participants who were hard to reach, with three-quarters of the participants (12/16, 75%) being reported to have changed their mobile number ≥2 times. Eight themes were generated following the analysis of the transcripts, which provided an in-depth account of the reasons why some participants were hard to reach. These included mobile technical issues, coverage issues, lack of ownership of personal cell phones, and unregistered number. Remote data collection remains an important tool in public health research. It could, thus, serve as a hugely beneficial mechanism in connecting with participants while actively leveraging the established relationships with participants or community-based organizations to deliver health promotion and practice.</t>
  </si>
  <si>
    <t>Malaria risk mapping among children under five in Togo.</t>
  </si>
  <si>
    <t>Kombate, Gountante; Kone, Issouf; Douti, Bili; Soubeiga, Kamba André-Marie; Grobbee, Diederick E; van der Sande, Marianne A B</t>
  </si>
  <si>
    <t>https://pubmed.ncbi.nlm.nih.gov/38589576</t>
  </si>
  <si>
    <t>Malaria is a major health threat in sub-Sahara Africa, especially for children under five. However, there is considerable heterogeneity between areas in malaria risk reported, associated with environmental and climatic. We used data from Togo to explore spatial patterns of malaria incidence. Geospatial covariate datasets, including climatic and environmental variables from the 2017 Malaria Indicator Survey in Togo, were used for this study. The association between malaria incidence and ecological predictors was assessed using three regression techniques, namely the Ordinary Least Squares (OLS), spatial lag model (SLM), and spatial error model (SEM). A total of 171 clusters were included in the survey and provided data on environmental and climate variables. Spatial autocorrelation showed that the distribution of malaria incidence was not random and revealed significant spatial clustering. Mean temperature, precipitation, aridity and proximity to water bodies showed a significant and direct association with malaria incidence rate in the SLM model, which best fitted the data according to AIC. Five malaria incidence hotspots were identified. Malaria incidence is spatially clustered in Togo associated with climatic and environmental factors. The results can contribute to the development of specific malaria control plans taking geographical variation into consideration and targeting transmission hotspots.</t>
  </si>
  <si>
    <t>Being Seen as a Unique Person is Essential in Palliative Care at Home and Nursing Homes: A Qualitative Study With Patients and Relatives.</t>
  </si>
  <si>
    <t>Kochems, Katrin; de Graaf, Everlien; Hesselmann, Ginette M; Teunissen, Saskia C C M</t>
  </si>
  <si>
    <t>the american journal of hospice palliative care</t>
  </si>
  <si>
    <t>https://pubmed.ncbi.nlm.nih.gov/38581256</t>
  </si>
  <si>
    <t>Incorporation of a palliative care approach is increasingly needed in primary care and nursing home care because most people with a life-limiting illness or frailty live there. To explore patients' and relatives' experiences of palliative care at home and in nursing homes. Generic qualitative research in a purposive sample of patients with an estimated life expectancy of &lt;1 year, receiving care at home or in a nursing home, and their relatives. Data is collected through semi-structured interviews and thematically analyzed by a multidisciplinary research team. Seven patients and five relatives participated. Three essential elements of palliative care and their contributing factors emerged: 1) &lt;b&gt;be seen&lt;/b&gt; (personal attention, alignment to who the patient is as a person, and feeling connected) 2) &lt;b&gt;information needs&lt;/b&gt; (illness trajectory and multidimensional symptoms and concerns, and 3) &lt;b&gt;ensuring continuity&lt;/b&gt; (single point of contact, availability of HCPs, and coordination of care). Patients and relatives experienced loss of control and safety if these essentials were not met, which depended largely on the practices of the individual health care professional. In both primary care and nursing home care, patients and relatives expressed the same essential elements of palliative care. They emphasized the importance of being recognized as a unique person beyond their patient status, receiving honest and clear information aligned with their preferences, and having care organized to ensure continuity. Adequate competence and skills are needed, together with a care organization that enables continuity to provide safe and person-centered care.</t>
  </si>
  <si>
    <t>Global Health and Bioethics; General Practice and Nursing Science; Epidemiology and Health Economics; Global Health and Bioethics; Epidemiology and Health Economics; General Practice and Nursing Science; Global Health and Bioethics; Global Health and Bioethics; Epidemiology and Health Economics; Epidemiology and Health Economics; General Practice and Nursing Science; Global Health and Bioethics; General Practice and Nursing Science; Epidemiology and Health Economics; General Practice and Nursing Science</t>
  </si>
  <si>
    <t>Introducing re-weighted range voting in clinical practice guideline prioritization: Development and testing of the re-weighted priority-setting (REPS) tool.</t>
  </si>
  <si>
    <t>Oerbekke, Michiel S; Gaasterland, Charlotte M W; van der Laan, Maarten J; Hooft, Lotty</t>
  </si>
  <si>
    <t>https://pubmed.ncbi.nlm.nih.gov/38578723</t>
  </si>
  <si>
    <t>We aimed to develop and test a tool based on the re-weighted range voting mechanism to prioritize items (i.e. key questions) in a priority-setting assessment for clinical practice guidelines. The secondary aim was to provide methodological context of the tool. We iteratively developed the tool and used qualitative methods (i.e. think-aloud and semi-structured interviews) to test the tool's usability and make adjustments accordingly. An observational approach was used to test the tool's outcome satisfaction in a real-world priority-setting assessment within a rare-disease guideline of a European Reference Network and under four different conditions in the tool. Four guideline methodologists tested the usability of the tool. The real-world testing was performed with a guideline panel consisting of a core working group, five expertise working groups, and a working group with patient representatives. Thirty-one panel members assigned scores in the priority-setting assessment. Seventeen panel members rated the priority-setting outcome, and sixteen panel members rated the outputs generated under the four conditions. Upon initial use, guideline methodologists found the tool to be quite overwhelming. However, with some initial effort they were able to easily identify the tool's structure. Based on observations and feedback, the tool was further refined and user guidance was developed. Guideline panel members expressed (high) satisfaction with the priority-setting outcome. They particularly preferred the condition when using mean subgroup scores as input or employing aggressive penalties in the weighting method to determine the outputs. The tool generates a ranked list of items and offers flexibility for different choices in priority-setting assessments as long as its input format requirements are met. Although it is not a consensus method, the tool assists in narrowing down a set of priority items. Additional steps in the priority-setting assessment can lead to a consensus being reached regarding the final outcome.</t>
  </si>
  <si>
    <t>Physical activity and checkpoint inhibition: association with toxicity and survival.</t>
  </si>
  <si>
    <t>Verheijden, Rik J; Cabané Ballester, Anna; Smit, Karel C; van Eijs, Mick J M; Bruijnen, Cheryl P; van Lindert, Anne S R; Suijkerbuijk, Karijn P M; May, Anne M</t>
  </si>
  <si>
    <t>journal of the national cancer institute</t>
  </si>
  <si>
    <t>https://pubmed.ncbi.nlm.nih.gov/38001030</t>
  </si>
  <si>
    <t>Although animal experiments suggest beneficial effects of physical activity (PA) on antitumor immunity, little is known about the effects of PA on immune checkpoint inhibitor (ICI) toxicity and effectiveness in humans. We assessed the association of PA with immune-related adverse events (irAE) and survival in patients undergoing ICI. Patients receiving ICI who completed the Dutch short questionnaire to assess health enhancing physical activity (SQUASH) questionnaire at the start of treatment as part of the prospective UNICIT study in an academic hospital were included. PA was quantified by calculating total metabolic equivalent task hours per week (total PA) and hours per week of moderate- to vigorous-intensity PA during sport and leisure time (MVPA-SL). Associations of PA with severe irAE occurrence within 1 year and overall survival (OS) were evaluated using logistic regression and Cox proportional hazard regression, respectively, with adjustment for probable confounders. In total, 251 patients were included, with a median follow-up of 20 months. Moderate and high levels of total PA were associated with lower odds of severe irAE occurrence compared to low levels of total PA (adjusted OR: 0.34 [95% CI = 0.12 to 0.90] and 0.19 [95% CI = 0.05 to 0.55], respectively). Moderate and high levels of total PA were also associated with prolonged survival (adjusted HR: 0.58 [95% CI = 0.32 to 1.04] and 0.48 [95% CI = 0.27 to 0.89], respectively). Similar associations were observed in patients who performed more MVPA-SL. Higher physical activity levels at the start of ICI treatment are associated with lower risk of severe irAEs and probably prolonged survival. Randomized controlled trials are needed to investigate whether patients indeed benefit from increasing PA levels after diagnosis.</t>
  </si>
  <si>
    <t>Sex differences in the intensity of statin prescriptions at initiation in a primary care setting.</t>
  </si>
  <si>
    <t>Kiss, Pauline A J; Uijl, Alicia; de Boer, Annemarijn R; Duk, Tessa C X; Grobbee, Diederick E; Hollander, Monika; Smits, Elisabeth; Sturkenboom, Miriam C J M; Peters, Sanne A E</t>
  </si>
  <si>
    <t>heart british cardiac society</t>
  </si>
  <si>
    <t>https://pubmed.ncbi.nlm.nih.gov/38580433</t>
  </si>
  <si>
    <t>Current guidelines for the prevention and management of cardiovascular diseases (CVD) provide similar recommendations for the use of statins in both women and men. In this study, we assessed sex differences in the intensity of statin prescriptions at initiation and in the achievement of treatment targets, among individuals without and with CVD, in a primary care setting. Electronic health record data from statin users were extracted from the PHARMO Data Network. Poisson regressions were used to investigate sex differences in statin intensity and in the achievement of treatment targets. Analyses were stratified by age group, disease status and/or CVD risk category. We included 82 714 individuals (46% women) aged 40-99 years old. In both sexes, the proportion of individuals with a dispensed prescription for high-intensity statin at initiation increased between 2011 and 2020. Women were less likely to be prescribed high-intensity statins as compared with men, both in the subgroups without a history of CVD (risk ratio (RR) 0.69 (95% CI: 0.63 to 0.75)) and with CVD (RR 0.77 (95% CI: 0.74 to 0.81)). Women were less likely than men to achieve target levels of low-density lipoprotein cholesterol following statin initiation in the subgroup without CVD (RR 0.98 (95% CI: 0.97 to 1.00)) and with a history of CVD (RR 0.94 (95% CI: 0.89 to 0.98)). Compared with men, women were less likely to be prescribed high-intensity statins at initiation and to achieve treatment targets, both in people without and with a history of CVD, and independent of differences in other individual and clinical characteristics.</t>
  </si>
  <si>
    <t>Data Science and Biostatistics; Global Health and Bioethics; General Practice and Nursing Science; Epidemiology and Health Economics; Epidemiology and Health Economics; Data Science and Biostatistics; Epidemiology and Health Economics; Data Science and Biostatistics; General Practice and Nursing Science; Global Health and Bioethics; General Practice and Nursing Science; Global Health and Bioethics; Epidemiology and Health Economics; Data Science and Biostatistics; General Practice and Nursing Science; Global Health and Bioethics; Data Science and Biostatistics; General Practice and Nursing Science; Global Health and Bioethics; Epidemiology and Health Economics</t>
  </si>
  <si>
    <t>Polyploidisation pleiotropically buffers ageing in hepatocytes.</t>
  </si>
  <si>
    <t>Yin, Kelvin; Büttner, Maren; Deligiannis, Ioannis K; Strzelecki, Mateusz; Zhang, Liwei; Talavera-López, Carlos; Theis, Fabian; Odom, Duncan T; Martinez-Jimenez, Celia P</t>
  </si>
  <si>
    <t>journal of hepatology</t>
  </si>
  <si>
    <t>https://pubmed.ncbi.nlm.nih.gov/38583492</t>
  </si>
  <si>
    <t>Polyploidy in hepatocytes has been proposed as a genetic mechanism to buffer against transcriptional dysregulation. Here, we aim to demonstrate the role of polyploidy in modulating gene regulatory networks in hepatocytes during ageing. We performed single-nucleus RNA-sequencing in hepatocyte nuclei of different ploidy levels isolated from young and old wild-type mice. Changes in the gene expression and regulatory network were compared to three independent haploinsufficient strains for HNF4A, CEBPA or CTCF, representing non-deleterious perturbations. Phenotypic characteristics of the liver section were additionally evaluated histologically, whereas the genomic allele composition of hepatocytes was analysed by BaseScope. We observed that ageing in wild-type mice results in nuclei polyploidy and marked increase in steatosis. Haploinsufficiency of liver-specific master regulators (HFN4A or CEBPA) results in the enrichment of hepatocytes with tetraploid nuclei at a young age, affecting the genomic regulatory network, and dramatically suppressing ageing-related steatosis tissue-wide. Notably, these phenotypes are not the result of subtle disruption to liver-specific transcriptional networks, since haploinsufficiency in CTCF insulator protein resulted in the same phenotype. Further quantification of genotypes of tetraploid hepatocytes in young and old HFN4A haploinsufficient mice revealed that during ageing, tetraploid hepatocytes lead to the selection of wild-type alleles, restoring non-deleterious genetic perturbation. ConclusionsOur results suggest a model whereby polyploidisation leads to fundamentally different cell states. Polyploid conversion enables pleiotropic buffering against age-related decline via non-random allelic segregation to restore a wild-type genome.</t>
  </si>
  <si>
    <t>Qualitative study on shared decision making in cystitis management in general practice.</t>
  </si>
  <si>
    <t>van Horrik, Tessa Mzxk; Colliers, Annelies; Blanker, Marco H; de Bont, Eefje Gpm; van Driel, Antoinette A; Laan, Bart J; Geerlings, Suzanne E; Venekamp, Roderick P; Anthierens, Sibyl; Platteel, Tamara N</t>
  </si>
  <si>
    <t>bjgp open</t>
  </si>
  <si>
    <t>https://pubmed.ncbi.nlm.nih.gov/38580388</t>
  </si>
  <si>
    <t>Cystitis are commonly treated with antibiotics, although non-antibiotic options could be considered for healthy non-pregnant women. Shared decision making (SDM) can be used in cystitis management to discuss the various treatment options but is not frequently applied in general practice. Identifying barriers and facilitators for applying SDM in cystitis management in general practice. Qualitative explorative research in general practice with healthcare professionals (HCPs; general practitioners (GPs) and GP assistants) and healthy non-pregnant women with a recent history of cystitis (patients). Individual semi-structured interviews were conducted between May and October 2022. We applied a combination of thematic and framework analysis. Ten GPs, seven GP assistants, and fifteen patients were interviewed. We identified three main barriers and one key facilitator: 1) applying SDM is deemed inefficient; 2) HCPs presume that patients expect antibiotic treatment and some HCPs consider non-antibiotic treatment inferior; 3) Patients are largely unaware of the various non-antibiotic treatment options for cystitis; 4) HCPs recognise some benefits of applying SDM in cystitis management, including reduced antibiotic use and improved patient empowerment, and patients appreciate involvement in treatment decisions, but preferences for SDM vary. SDM is infrequently applied in cystitis treatment in general practice due to the current efficient cystitis management, HCPs' perceptions, and patient unawareness. Nevertheless, both HCPs and patients recognise the long-term benefits of applying SDM in cystitis management. Our findings facilitate the development of tailored interventions to increase the application of SDM which should be co-created with HCPs and patients and fit into the current efficient cystitis management.</t>
  </si>
  <si>
    <t>Wearable wireless continuous vital signs monitoring on the general ward.</t>
  </si>
  <si>
    <t>Leenen, Jobbe Pl; Schoonhoven, Lisette; Patijn, Gijs A</t>
  </si>
  <si>
    <t>current opinion in critical care</t>
  </si>
  <si>
    <t>https://pubmed.ncbi.nlm.nih.gov/38690957</t>
  </si>
  <si>
    <t>Wearable wireless sensors for continuous vital signs monitoring (CVSM) offer the potential for early identification of patient deterioration, especially in low-intensity care settings like general wards. This study aims to review advances in wearable CVSM - with a focus on the general ward - highlighting the technological characteristics of CVSM systems, user perspectives and impact on patient outcomes by exploring recent evidence. The accuracy of wearable sensors measuring vital signs exhibits variability, especially notable in ambulatory patients within hospital settings, and standard validation protocols are lacking. Usability of CMVS systems is critical for nurses and patients, highlighting the need for easy-to-use wearable sensors, and expansion of the number of measured vital signs. Current software systems lack integration with hospital IT infrastructures and workflow automation. Imperative enhancements involve nurse-friendly, less intrusive alarm strategies, and advanced decision support systems. Despite observed reductions in ICU admissions and Rapid Response Team calls, the impact on patient outcomes lacks robust statistical significance. Widespread implementation of CVSM systems on the general ward and potentially outside the hospital seems inevitable. Despite the theoretical benefits of CVSM systems in improving clinical outcomes, and supporting nursing care by optimizing clinical workflow efficiency, the demonstrated effects in clinical practice are mixed. This review highlights the existing challenges related to data quality, usability, implementation, integration, interpretation, and user perspectives, as well as the need for robust evidence to support their impact on patient outcomes, workflow and cost-effectiveness.</t>
  </si>
  <si>
    <t>Automated, Point-of-Care mobile flow cytometry: Bringing the laboratory to the sample.</t>
  </si>
  <si>
    <t>Jukema, B N; Pelgrim, T C; Spoelder, M; Bongers, C C W G; Hopman, M T E; Smit, K; Rijk, M H; Venekamp, R P; Vrisekoop, N; Koenderman, L</t>
  </si>
  <si>
    <t>heliyon</t>
  </si>
  <si>
    <t>https://pubmed.ncbi.nlm.nih.gov/38628748</t>
  </si>
  <si>
    <t>Innate effector cells are very responsive to infectious and inflammatory cues found in damaged and inflamed tissues. Their activation is a potential target to assess the state of the immune system. Unfortunately, these cells are very susceptible for ex-vivo activation, hampering accurate interpretation of flow cytometry data. Whether a brief window exists before ex-vivo activation starts to occur is currently unknown. 1) This study extensively investigated ex-vivo activation of innate effector cells over time. 2) We tested the feasibility of applying a mobile, automated, flow cytometry laboratory for out-of-hospital Point-of-Care analyses to minimize ex-vivo activation bias. 1) Ex-vivo neutrophil, eosinophil and monocyte activation in a blood collection tube over time and the reactivity to a formyl-peptide was investigated in a healthy cohort. 2) To facilitate fast, out-of-hospital analysis, application of the mobile flow cytometry was tested by placing an automated flow cytometer into a van. The stability of the setup was assessed by repetitively measuring laser alignment and fluorescence verification beads. 1) Immediately after venipuncture activation marker expression on neutrophils, eosinophils and monocyte subsets started to change in a time-dependent manner. 2) The mobile flow cytometry laboratory travelled over 3000 km, performing measurements at 19 locations with a median single-person-set-up time of 14 min. The laser alignment and fluorescence were stable during all experiments. Accurate flow data of innate immune cells are only obtained when ex-vivo activation is kept to minimum. The use of a mobile, fast, automated, flow cytometry laboratory for out-of-hospital Point-of-Care analyses provides new investigational and diagnostic possibilities outside major hospital flow cytometry laboratories.</t>
  </si>
  <si>
    <t>Developer perspectives on the ethics of AI-driven neural implants: a qualitative study.</t>
  </si>
  <si>
    <t>van Stuijvenberg, Odile C; Broekman, Marike L D; Wolff, Samantha E C; Bredenoord, Annelien L; Jongsma, Karin R</t>
  </si>
  <si>
    <t>https://pubmed.ncbi.nlm.nih.gov/38570593</t>
  </si>
  <si>
    <t>Convergence of neural implants with artificial intelligence (AI) presents opportunities for the development of novel neural implants and improvement of existing neurotechnologies. While such technological innovation carries great promise for the restoration of neurological functions, they also raise ethical challenges. Developers of AI-driven neural implants possess valuable knowledge on the possibilities, limitations and challenges raised by these innovations; yet their perspectives are underrepresented in academic literature. This study aims to explore perspectives of developers of neurotechnology to outline ethical implications of three AI-driven neural implants: a cochlear implant, a visual neural implant, and a motor intention decoding speech-brain-computer-interface. We conducted semi-structured focus groups with developers (n = 19) of AI-driven neural implants. Respondents shared ethically relevant considerations about AI-driven neural implants that we clustered into three themes: (1) design aspects; (2) challenges in clinical trials; (3) impact on users and society. Developers considered accuracy and reliability of AI-driven neural implants conditional for users' safety, authenticity, and mental privacy. These needs were magnified by the convergence with AI. Yet, the need for accuracy and reliability may also conflict with potential benefits of AI in terms of efficiency and complex data interpretation. We discuss strategies to mitigate these challenges.</t>
  </si>
  <si>
    <t>Diagnosis-linked antibiotic prescribing quality indicators: demonstrating feasibility using practice-based routine primary care data, reliability, validity and their potential in antimicrobial stewardship.</t>
  </si>
  <si>
    <t>van den Eijnde, Sharon E J D; van der Linden, Paul D; van der Velden, Alike W</t>
  </si>
  <si>
    <t>the journal of antimicrobial chemotherapy</t>
  </si>
  <si>
    <t>https://pubmed.ncbi.nlm.nih.gov/38334365</t>
  </si>
  <si>
    <t>Quality indicators (QIs) can be used to obtain valuable insights into prescribing quality. Five quantitative and nine diagnosis-linked QIs, aiming to provide general practitioners (GP) with feedback on their antibiotic prescribing quantity and quality, were previously developed and evaluated in a controlled study. To confirm, in a larger non-controlled study, the feasibility of using routinely collected and extracted electronic patient records to calculate the diagnosis-linked QI outcomes for antibiotic prescribing, and their reliability and validity. Retrospective study involving 299 Dutch general practices using routine care data (2018-2020). QIs describe total antibiotic and subgroup prescribing, prescribing percentages and first-choice prescribing for several clinical diagnoses. Practice variation in QI outcomes, inter-QI outcome correlations and sensitivity of QI outcomes to pandemic-induced change were determined. QI outcomes were successfully obtained for 278/299 practices. With respect to reliability, outcomes for 2018 and 2019 were comparable, between-practice variation in outcomes was similar to the controlled pilot, and inter-QI outcome correlations were as expected, for example: high prescribing of second choice antibiotics with low first-choice prescribing for clinical diagnoses. Validity was confirmed by their sensitivity to pandemic-induced change: total antibiotic prescribing decreased from 282 prescriptions/1000 registered patients in 2018 to 216 in 2020, with a decrease in prescribing percentages for upper and lower respiratory infections, from 26% to 18.5%, and from 28% to 16%. This study confirmed the fit-for-purpose (feasibility, reliability and validity) of the antibiotic prescribing QIs (including clinical diagnosis-linked ones) using routinely registered primary health care data as a source. This feedback can therefore be used in antibiotic stewardship programmes to improve GPs' prescribing routines.</t>
  </si>
  <si>
    <t>Hyperbaric Oxygen Therapy and Late Local Toxic Effects in Patients With Irradiated Breast Cancer: A Randomized Clinical Trial.</t>
  </si>
  <si>
    <t>Mink van der Molen, Dieuwke R; Batenburg, Marilot C T; Maarse, Wiesje; van den Bongard, Desiree H J G; Doeksen, Annemiek; de Lange, Marjoleine Y; van der Pol, Carmen C; Evers, Daniel J; Lansdorp, Corine A; van der Laan, Jacco; van de Ven, Peter M; van der Leij, Femke; Verkooijen, Helena M</t>
  </si>
  <si>
    <t>jama oncology</t>
  </si>
  <si>
    <t>https://pubmed.ncbi.nlm.nih.gov/38329746</t>
  </si>
  <si>
    <t>Hyperbaric oxygen therapy (HBOT) is proposed as treatment for late local toxic effects after breast irradiation. Strong evidence of effectiveness is lacking. To assess effectiveness of HBOT for late local toxic effects in women who received adjuvant radiotherapy for breast cancer. This was a hospital-based, pragmatic, 2-arm, randomized clinical trial nested within the prospective UMBRELLA cohort following the trials within cohorts design in the Netherlands. Participants included 189 women with patient-reported moderate or severe breast, chest wall, and/or shoulder pain in combination with mild, moderate, or severe edema, fibrosis, or movement restriction 12 months or longer after breast irradiation. Data analysis was performed from May to September 2023. Receipt of 30 to 40 HBOT sessions over a period of 6 to 8 consecutive weeks. Breast, chest wall, and/or shoulder pain 6 months postrandomization measured by the European Organization for Research and Treatment of Cancer QLQ-BR23 questionnaire. Secondary end points were patient-reported fibrosis, edema, movement restriction, and overall quality of life. Data were analyzed according to intention-to-treat (ITT) and complier average causal effect (CACE) principles. Between November 2019 and August 2022, 125 women (median [range] age at randomization, 56 [37-85] years) with late local toxic effects were offered to undergo HBOT (intervention arm), and 61 women (median [range] age at randomization, 60 [36-80] years) were randomized to the control arm. Of those offered HBOT, 31 (25%) accepted and completed treatment. The most common reason for not accepting HBOT was high treatment intensity. In ITT, moderate or severe pain at follow-up was reported by 58 of 115 women (50%) in the intervention arm and 32 of 52 women (62%) in the control arm (odds ratio [OR], 0.63; 95% CI, 0.32-1.23; P = .18). In CACE, the proportion of women reporting moderate or severe pain at follow-up was 32% (10 of 31) among those completing HBOT and 75% (9.7 of 12.9) among control participants expected to complete HBOT if offered (adjusted OR, 0.34; 95% CI, 0.15-0.80; P = .01). In ITT, moderate or severe fibrosis was reported by 35 of 107 (33%) in the intervention arm and 25 of 49 (51%) in the control arm (OR, 0.36; 95% CI, 0.15-0.81; P = .02). There were no significant differences in breast edema, movement restriction, and quality of life between groups in ITT and CACE. In this randomized clinical trial, offering HBOT to women with late local toxic effects was not effective for reducing pain, but was effective for reducing fibrosis. In the subgroup of women who completed HBOT, a significant reduction in pain and fibrosis was observed. A smaller than anticipated proportion of women with late local toxic effects was prepared to undergo HBOT. ClinicalTrials.gov Identifier: NCT04193722.</t>
  </si>
  <si>
    <t>Data Science and Biostatistics; Global Health and Bioethics; Data Science and Biostatistics; Global Health and Bioethics; Data Science and Biostatistics; Data Science and Biostatistics; General Practice and Nursing Science; Global Health and Bioethics; Data Science and Biostatistics; Global Health and Bioethics; General Practice and Nursing Science; General Practice and Nursing Science; General Practice and Nursing Science; General Practice and Nursing Science; Global Health and Bioethics</t>
  </si>
  <si>
    <t>Implementation of Best Practices in Pancreatic Cancer Care in the Netherlands: A Stepped-Wedge Randomized Clinical Trial.</t>
  </si>
  <si>
    <t>Mackay, Tara M; Latenstein, Anouk E J; Augustinus, Simone; van der Geest, Lydia G; Bogte, Auke; Bonsing, Bert A; Cirkel, Geert A; Hol, Lieke; Busch, Olivier R; den Dulk, Marcel; van Driel, Lydi M J W; Festen, Sebastiaan; de Groot, Derk-Jan A; de Groot, Jan-Willem B; Groot Koerkamp, Bas; Haj Mohammad, Nadia; Haver, Joyce T; van der Harst, Erwin; de Hingh, Ignace H; Homs, Marjolein Y V; Los, Maartje; Luelmo, Saskia A C; de Meijer, Vincent E; Mekenkamp, Leonie; Molenaar, I Quintus; Patijn, Gijs A; Quispel, Rutger; Römkens, Tessa E H; van Santvoort, Hjalmar C; Stommel, Martijn W J; Venneman, Niels G; Verdonk, Robert C; van Vilsteren, Frederike G I; de Vos-Geelen, Judith; van Werkhoven, C Henri; van Hooft, Jeanin E; van Eijck, Casper H J; Wilmink, Johanna W; van Laarhoven, Hanneke W M; Besselink, Marc G; ,</t>
  </si>
  <si>
    <t>jama surgery</t>
  </si>
  <si>
    <t>https://pubmed.ncbi.nlm.nih.gov/38353966</t>
  </si>
  <si>
    <t>Implementation of new cancer treatment strategies as recommended by evidence-based guidelines is often slow and suboptimal. To improve the implementation of guideline-based best practices in the Netherlands in pancreatic cancer care and assess the impact on survival. This multicenter, stepped-wedge cluster randomized trial compared enhanced implementation of best practices with usual care in consecutive patients with all stages of pancreatic cancer. It took place from May 22, 2018 through July 9, 2020. Data were analyzed from April 1, 2022, through February 1, 2023. It included all patients in the Netherlands with pathologically or clinically diagnosed pancreatic ductal adenocarcinoma. This study reports 1-year follow-up (or shorter in case of deceased patients). The 5 best practices included optimal use of perioperative chemotherapy, palliative chemotherapy, pancreatic enzyme replacement therapy (PERT), referral to a dietician, and use of metal stents in patients with biliary obstruction. A 6-week implementation period was completed, in a randomized order, in all 17 Dutch networks for pancreatic cancer care. The primary outcome was 1-year survival. Secondary outcomes included adherence to best practices and quality of life (European Organisation for Research and Treatment of Cancer [EORTC] global health score). Overall, 5887 patients with pancreatic cancer (median age, 72.0 [IQR, 64.0-79.0] years; 50% female) were enrolled, 2641 before and 2939 after implementation of best practices (307 during wash-in period). One-year survival was 24% vs 23% (hazard ratio, 0.98, 95% CI, 0.88-1.08). There was no difference in the use of neoadjuvant chemotherapy (11% vs 11%), adjuvant chemotherapy (48% vs 51%), and referral to a dietician (59% vs 63%), while the use of palliative chemotherapy (24% vs 30%; odds ratio [OR], 1.38; 95% CI, 1.10-1.74), PERT (34% vs 45%; OR, 1.64; 95% CI, 1.28-2.11), and metal biliary stents increased (74% vs 83%; OR, 1.78; 95% CI, 1.13-2.80). The EORTC global health score did not improve (area under the curve, 43.9 vs 42.8; median difference, -1.09, 95% CI, -3.05 to 0.94). In this randomized clinical trial, implementation of 5 best practices in pancreatic cancer care did not improve 1-year survival and quality of life. The finding that most patients received no tumor-directed treatment paired with the poor survival highlights the need for more personalized treatment options. ClinicalTrials.gov Identifier: NCT03513705.</t>
  </si>
  <si>
    <t>Evaluating the introduction of positive health on the amount of received home care among older patients: A pre-post study.</t>
  </si>
  <si>
    <t>Klein Holte, Yvanka N; Bleijenberg, Nienke</t>
  </si>
  <si>
    <t>geriatric nursing new york ny</t>
  </si>
  <si>
    <t>https://pubmed.ncbi.nlm.nih.gov/38555708</t>
  </si>
  <si>
    <t>The increasing demand for home care services can be attributed to demographic shifts. Positive Health can be defined as the capacity to adapt and promote self-reliance in social, physical, and emotional challenges. This study aimed to explore the influence of introducing Positive Health on the amount of home care nursing for older patients, measured in minutes per week over a six-week period. A pretest-posttest study involving 176 randomly selected patients in each group. Data was extracted from the Electronic Health Record of a large home care organization in the Netherlands. Post-introduction of Positive Health, the median weekly home care amount significantly decreased (176.25 minutes, IQR=111.7-287.9) compared to pre-introduction (180.67 minutes, IQR=83.8-248.7, p=0.005). Significant differences in nursing diagnoses per patient group were observed (p&lt;0.001). Further research is needed to observe the long-term impact of working with Positive Health concept on patient outcomes in home care setting.</t>
  </si>
  <si>
    <t>Quality of life endpoints in cancer cachexia clinical trials: Systematic review 3 of the cachexia endpoints series.</t>
  </si>
  <si>
    <t>Hjermstad, Marianne J; Jakobsen, Gunnhild; Arends, Jann; Balstad, Trude; Brown, Leo R; Bye, Asta; Coats, Andrew J S; Dajani, Olav F; Dolan, Ross D; Fallon, Marie T; Greil, Christine; Grzyb, Alexandra; Kaasa, Stein; Koteng, Lisa H; May, Anne M; McDonald, James; Ottestad, Inger; Philips, Iain; Roeland, Eric J; Sayers, Judith; Simpson, Melanie R; Skipworth, Richard J E; Solheim, Tora S; Sousa, Mariana S; Vagnildhaug, Ola M; Laird, Barry J A; ,</t>
  </si>
  <si>
    <t>journal of cachexia sarcopenia and muscle</t>
  </si>
  <si>
    <t>https://pubmed.ncbi.nlm.nih.gov/38553255</t>
  </si>
  <si>
    <t>The use of patient-reported outcomes (PROMs) of quality of life (QOL) is common in cachexia trials. Patients' self-report on health, functioning, wellbeing, and perceptions of care, represent important measures of efficacy. This review describes the frequency, variety, and reporting of QOL endpoints used in cancer cachexia clinical trials. Electronic literature searches were performed in Medline, Embase, and Cochrane (1990-2023). Seven thousand four hundred thirty-five papers were retained for evaluation. Eligibility criteria included QOL as a study endpoint using validated measures, controlled design, adults (&gt;18 years), ≥40 participants randomized, and intervention exceeding 2 weeks. The Covidence software was used for review procedures and data extractions. Four independent authors screened all records for consensus. Papers were screened by titles and abstracts, prior to full-text reading. PRISMA guidance for systematic reviews was followed. The protocol was prospectively registered via PROSPERO (CRD42022276710). Fifty papers focused on QOL. Twenty-four (48%) were double-blind randomized controlled trials. Sample sizes varied considerably (n = 42 to 469). Thirty-nine trials (78%) included multiple cancer types. Twenty-seven trials (54%) featured multimodal interventions with various drugs and dietary supplements, 11 (22%) used nutritional interventions alone and 12 (24%) used a single pharmacological intervention only. The median duration of the interventions was 12 weeks (4-96). The most frequent QOL measure was the EORTC QLQ-C30 (60%), followed by different FACIT questionnaires (34%). QOL was a primary, secondary, or exploratory endpoint in 15, 31 and 4 trials respectively, being the single primary in six. Statistically significant results on one or more QOL items favouring the intervention group were found in 18 trials. Eleven of these used a complete multidimensional measure. Adjustments for multiple testing when using multicomponent QOL measures were not reported. Nine trials (18%) defined a statistically or clinically significant difference for QOL, five with QOL as a primary outcome, and four with QOL as a secondary outcome. Correlation statistics with other study outcomes were rarely performed. PROMs including QOL are important endpoints in cachexia trials. We recommend using well-validated QOL measures, including cachexia-specific items such as weight history, appetite loss, and nutritional intake. Appropriate statistical methods with definitions of clinical significance, adjustment for multiple testing and few co-primary endpoints are encouraged, as is an understanding of how interventions may relate to changes in QOL endpoints. A strategic and scientific-based approach to PROM research in cachexia trials is warranted, to improve the research base in this field and avoid the use of QOL as supplementary measures.</t>
  </si>
  <si>
    <t>Study of High-Transverse-Momentum Higgs Boson Production in Association with a Vector Boson in the qqbb Final State with the ATLAS Detector.</t>
  </si>
  <si>
    <t>https://pubmed.ncbi.nlm.nih.gov/38613283</t>
  </si>
  <si>
    <t>This Letter presents the first study of Higgs boson production in association with a vector boson (V=W or Z) in the fully hadronic qqbb final state using data recorded by the ATLAS detector at the LHC in proton-proton collisions at sqrt[s]=13  TeV and corresponding to an integrated luminosity of 137  fb^{-1}. The vector bosons and Higgs bosons are each reconstructed as large-radius jets and tagged using jet substructure techniques. Dedicated tagging algorithms exploiting b-tagging properties are used to identify jets consistent with Higgs bosons decaying into bb[over ¯]. Dominant backgrounds from multijet production are determined directly from the data, and a likelihood fit to the jet mass distribution of Higgs boson candidates is used to extract the number of signal events. The VH production cross section is measured inclusively and differentially in several ranges of Higgs boson transverse momentum: 250-450, 450-650, and greater than 650 GeV. The inclusive signal yield relative to the standard model expectation is observed to be μ=1.4_{-0.9}^{+1.0} and the corresponding cross section is 3.1±1.3(stat)_{-1.4}^{+1.8}(syst)  pb.</t>
  </si>
  <si>
    <t>Global Health and Bioethics; Global Health and Bioethics; Global Health and Bioethics; Epidemiology and Health Economics; Global Health and Bioethics; Global Health and Bioethics</t>
  </si>
  <si>
    <t>Rheumatoid arthritis patients' perspective on the use of prediction models in clinical decision-making.</t>
  </si>
  <si>
    <t>Messelink, Marianne A; Fadaei, Sina; Verhoef, Lise M; Welsing, Paco; Nijhof, Nienke C; Westland, Heleen</t>
  </si>
  <si>
    <t>rheumatology oxford england</t>
  </si>
  <si>
    <t>https://pubmed.ncbi.nlm.nih.gov/38547392</t>
  </si>
  <si>
    <t>A rapidly expanding number of prediction models is being developed aiming to improve rheumatoid arthritis (RA) diagnosis and treatment. However, few are actually implemented in clinical practice. This study explores factors influencing the acceptance of prediction models in clinical decision-making by RA patients. A qualitative study design was used with thematic analysis of semi-structured interviews. Purposive sampling was applied to capture a complete overview of influencing factors. The interview topic list was based on pilot data. Data saturation was reached after 12 interviews. Patients were generally positive about the use of prediction models in clinical decision-making. Six key themes were identified from the interviews. First, patients have the need for information on prediction models. Second, factors influencing trust in model-supported treatment are described. Third, patients envision the model to have a supportive role in clinical decision-making. Fourth, patients hope to personally benefit from model-supported treatment in various ways. Fifth, patients are willing to contribute time and effort to contribute to model input. And lastly, we discuss the theme on effects of the relationship with the caregiver in model-supported treatment. Within this study RA patients were generally positive about the use of prediction models in their treatment given some conditions were met and concerns addressed. The results of this study can be used during the development and implementation in RA care of prediction models in order to enhance patient acceptability.</t>
  </si>
  <si>
    <t>Cost-effectiveness of Mediterranean diet and physical activity in secondary CVD prevention: results from the UCC-SMART cohort study.</t>
  </si>
  <si>
    <t>Bonekamp, Nadia E; Visseren, Frank L J; van der Schouw, Yvonne T; van der Meer, Manon G; Teraa, Martin; Ruigrok, Ynte; Geleijnse, Johanna M; Koopal, Charlotte; ,</t>
  </si>
  <si>
    <t>https://pubmed.ncbi.nlm.nih.gov/38547043</t>
  </si>
  <si>
    <t>The efficacy of a healthy lifestyle in secondary prevention of cardiovascular disease (CVD) is well established and a first-line recommendation in CVD prevention guidelines. The aim of this study was to assess if they are also cost-effective in patients with established CVD. A cost-utility analysis (CUA) was performed comparing a combined Mediterranean diet and physical activity intervention to usual care in CVD patients. The CUA had a healthcare perspective and lifetime horizon. Costs and utilities were estimated using a microsimulation on a cohort of 100,000 CVD patients sampled from the UCC-SMART study (N = 8,947, mean age 62 ±8.7 years and 74% male). Cost-effectiveness was expressed as incrementalcost-effectiveness ratio (ICER), incremental net health benefit (INHB) and incremental net monetary benefit (INMB). Mediterranean diet and physical activity yielded 2.0 incremental quality-adjusted life years (QALYs) and cost reductions of €1,236 per person compared to usual care, resulting in an ICER of €-626/QALY (95%CI -1,929 to 2,673). At a willingness-to-pay of €20,000/QALY, INHB was 2.04 (95%CI 0.99-3.58) QALY and INMB was €40,757 (95%CI 19,819-71,605). The interventions remained cost-effective in a wide range of sensitivity analyses, including worst-case scenarios and scenarios with reimbursement for food and physical activity costs. In patients with established CVD, a combined Mediterranean diet and physical activity intervention was cost-saving and highly cost-effective compared to usual care. These findings strongly advocate for the incorporation of lifestyle interventions as integral components of care for all CVD patients.</t>
  </si>
  <si>
    <t>Increased interleukin-6 is associated with higher risk of heart failure in people with type 2 diabetes.</t>
  </si>
  <si>
    <t>Remmelzwaal, Sharon; Yeung, Stanley M H; Blom, Marieke T; de Borst, Martin H; Elders, Petra J M; Beulens, Joline W J</t>
  </si>
  <si>
    <t>esc heart failure</t>
  </si>
  <si>
    <t>https://pubmed.ncbi.nlm.nih.gov/38549190</t>
  </si>
  <si>
    <t>We aimed to determine the association between serum interleukin-6 (IL-6) concentrations and new-onset heart failure (HF) in persons with type 2 diabetes (T2D). We performed a case-control study nested in the Diabetes Care System Cohort, a prospective cohort of persons with T2D in primary care. We included 724 participants, of whom 141 developed HF during 5 years of follow-up and 583 were age- and sex-matched controls. IL-6 was measured at baseline and categorized into four groups: Group 1 was composed of participants with IL-6 below the detection limit of 1.5 pg/mL, and the remainder were divided into tertiles. We performed logistic regression analyses with categorized IL-6 or continuous IL-6 as the determinant and new-onset HF as the outcome adjusted for follow-up time, age, sex, glycated haemoglobin, estimated glomerular filtration rate, albumin/creatinine ratio, and cardiovascular disease at baseline. Effect modification by sex was tested. Participants were 70.7 ± 9.0 years, and 38% were women. In comparison with Group 1, all tertiles were associated with an increased risk of HF with odds ratios of 2.1 [95% confidence interval (CI): 1.2-2.9], 2.8 (95% CI: 2.0-3.7), and 2.1 (95% CI: 1.3-3.0), respectively, for Tertiles 1-3. Continuous IL-6 was associated with the development of HF with an odds ratio of 1.2 (95% CI: 1.0-1.5). No effect modification by sex was observed. Higher IL-6 levels are associated with the development of HF in persons with T2D. Further research should determine whether IL-6-lowering interventions could prevent the development of HF.</t>
  </si>
  <si>
    <t>Gut barrier dysfunction and the risk of ICU-acquired bacteremia- a case-control study.</t>
  </si>
  <si>
    <t>Varkila, Meri R J; Verboom, Diana M; Derde, Lennie P G; van der Poll, Tom; Bonten, Marc J M; Cremer, Olaf L; ,</t>
  </si>
  <si>
    <t>annals of intensive care</t>
  </si>
  <si>
    <t>https://pubmed.ncbi.nlm.nih.gov/38536623</t>
  </si>
  <si>
    <t>Impaired intestinal barrier function can enable passage of enteric microorganisms into the bloodstream and lead to nosocomial bloodstream infections during critical illness. We aimed to determine the relative importance of gut translocation as a source for ICU-acquired enterococcal bacteremia of unknown origin. We conducted a nested case-control study in two mixed medical-surgical tertiary ICUs in the Netherlands among patients enrolled between 2011 and 2018. We selected 72 cases with ICU-acquired bacteremia due to enterococci (which are known gastrointestinal tract commensals) and 137 matched controls with bacteremia due to coagulase-negative staphylococci (CoNS) (which are of non-intestinal origin). We measured intestinal fatty acid-binding protein, trefoil factor-3, and citrulline 48 h before bacteremia onset. A composite measure for Gut Barrier Injury (GBI) was calculated as the sum of standardized z-scores for each biomarker plus a clinical gastrointestinal failure score. No single biomarker yielded statistically significant differences between cases and controls. Median composite GBI was higher in cases than in controls (0.58, IQR - 0.36-1.69 vs. 0.32, IQR - 0.53-1.57, p = 0.33) and higher composite measures of GBI correlated with higher disease severity and ICU mortality (p &lt; 0.001). In multivariable analysis, higher composite GBI was not significantly associated with increased occurrence of enterococcal bacteremia relative to CoNS bacteremia (adjusted OR 1.12 95% CI 0.93-1.34, p = 0.22). We could not demonstrate an association between biomarkers of gastrointestinal barrier dysfunction and an increased occurrence of bacteremia due to gut compared to skin flora during critical illness, suggesting against bacterial translocation as a major vector for acquisition of nosocomial bloodstream infections in the ICU.</t>
  </si>
  <si>
    <t>Accuracy of urgency allocation in patients with shortness of breath calling out-of-hours primary care: a cross-sectional study.</t>
  </si>
  <si>
    <t>Spek, Michelle; Venekamp, Roderick P; de Groot, Esther; Geersing, Geert-Jan; Erkelens, Daphne C A; van Smeden, Maarten; Dobbe, Anna S M; Delissen, Mathé; Rutten, Frans H; Zwart, Dorien L</t>
  </si>
  <si>
    <t>bmc primary care</t>
  </si>
  <si>
    <t>https://pubmed.ncbi.nlm.nih.gov/38539092</t>
  </si>
  <si>
    <t>In out-of-hours primary care (OHS-PC), semi-automatic decision support tools are often used during telephone triage. In the Netherlands, the Netherlands Triage Standard (NTS) is used. The NTS is mainly expert-based and evidence on the diagnostic accuracy of the NTS' urgency allocation against clinically relevant outcomes for patients calling with shortness of breath (SOB) is lacking. We included data from adults (≥18 years) who contacted two large Dutch OHS-PC centres for SOB between 1 September 2020 and 31 August 2021 and whose follow-up data about final diagnosis could be retrieved from their own general practitioner (GP). The diagnostic accuracy (sensitivity and specificity with corresponding 95% confidence intervals (CI)) of the NTS' urgency levels (high (U1/U2) versus low (U3/U4/U5) and 'final' urgency levels (including overruling of the urgency by triage nurses or supervising general practitioners (GPs)) was determined with life-threatening events (LTEs) as the reference. LTEs included, amongst others, acute coronary syndrome, pulmonary embolism, acute heart failure and severe pneumonia. Out of 2012 eligible triage calls, we could include 1833 adults with SOB who called the OHS-PC, mean age 53.3 (SD 21.5) years, 55.5% female, and 16.6% showed to have had a LTE. Most often severe COVID-19 infection (6.0%), acute heart failure (2.6%), severe COPD exacerbation (2.1%) or severe pneumonia (1.9%). The NTS urgency level had a sensitivity of 0.56 (95% CI 0.50-0.61) and specificity of 0.61 (95% CI 0.58-0.63). Overruling of the NTS' urgency allocation by triage nurses and/or supervising GPs did not impact sensitivity (0.56 vs. 0.54, p = 0.458) but slightly improved specificity (0.61 vs. 0.65, p &lt; 0.001). The semi-automatic decision support tool NTS performs poorly with respect to safety (sensitivity) and efficiency (specificity) of urgency allocation in adults calling Dutch OHS-PC with SOB. There is room for improvement of telephone triage in patients calling OHS-PC with SOB. The Netherlands Trial Register, number: NL9682 .</t>
  </si>
  <si>
    <t>Epidemiology and Health Economics; Data Science and Biostatistics; General Practice and Nursing Science; Data Science and Biostatistics; Epidemiology and Health Economics; General Practice and Nursing Science; Data Science and Biostatistics; Epidemiology and Health Economics; General Practice and Nursing Science; Data Science and Biostatistics; Epidemiology and Health Economics; General Practice and Nursing Science; General Practice and Nursing Science; Data Science and Biostatistics; Epidemiology and Health Economics</t>
  </si>
  <si>
    <t>The effect of preprandial versus postprandial physical activity on glycaemia: Meta-analysis of human intervention studies.</t>
  </si>
  <si>
    <t>Slebe, Romy; Wenker, Eva; Schoonmade, Linda J; Bouman, Emma J; Blondin, Denis P; Campbell, David J T; Carpentier, André C; Hoeks, Joris; Raina, Parminder; Schrauwen, Patrick; Serlie, Mireille J; Stenvers, Dirk Jan; de Mutsert, Renée; Beulens, Joline W J; Rutters, Femke</t>
  </si>
  <si>
    <t>https://pubmed.ncbi.nlm.nih.gov/38548105</t>
  </si>
  <si>
    <t>This meta-analysis aims to investigate the effect of preprandial physical activity (PA) versus postprandial PA on glycaemia in human intervention studies. Medline and Embase.com were searched until February 2023 for intervention studies in adults, directly comparing preprandial PA versus postprandial PA on glycaemia. Studies were screened using ASReview (34,837) and full texts were read by two independent reviewers (42 full text, 28 included). Results were analysed using pooled mean differences in random-effects models. Studies were either acute response studies (n = 21) or Randomized Controlled Trials (RCTs) over multiple weeks (n = 7). In acute response studies, postprandial outcomes followed the expected physiological patterns, and outcomes measured over 24 h showed no significant differences. For the RCTs, glucose area under the curve during a glucose tolerance test was slightly, but not significantly lower in preprandial PA vs postprandial PA (-0.29 [95 %CI:-0.66, 0.08] mmol/L, I&lt;sup&gt;2&lt;/sup&gt; = 64.36 %). Subgroup analyses (quality, health status, etc.) did not significantly change the outcomes. In conclusion, we found no differences between preprandial PA versus postprandial PA on glycaemia both after one PA bout as well as after multiple weeks of PA. The studies were of low to moderate quality of evidence as assessed by GRADE, showed contradictive results, included no long-term studies and used various designs and populations. We therefore need better RCTs, with more similar designs, in larger populations and longer follow-up periods (≥12 weeks) to have a final answer on the questions eat first, then exercise, or the reverse?</t>
  </si>
  <si>
    <t>Clonal Expansion of a Streptococcus pneumoniae Serotype 3 Capsule Variant Sequence Type 700 With Enhanced Vaccine Escape Potential After 13-Valent Pneumococcal Conjugate Vaccine Introduction.</t>
  </si>
  <si>
    <t>Kalizang'oma, Akuzike; Swarthout, Todd D; Mwalukomo, Thandie S; Kamng'ona, Arox; Brown, Comfort; Msefula, Jacquline; Demetriou, Hayley; Chan, Jia Mun; Roalfe, Lucy; Obolski, Uri; Lourenço, Jose; Goldblatt, David; Chaguza, Chrispin; French, Neil; Heyderman, Robert S</t>
  </si>
  <si>
    <t>the journal of infectious diseases</t>
  </si>
  <si>
    <t>https://pubmed.ncbi.nlm.nih.gov/38530917</t>
  </si>
  <si>
    <t>Streptococcus pneumoniae serotype 3 remains a problem globally. Malawi introduced 13-valent pneumococcal conjugate vaccine (PCV13) in 2011, but there has been no direct protection against serotype 3 carriage. We explored whether vaccine escape by serotype 3 is due to clonal expansion of a lineage with a competitive advantage. The distribution of serotype 3 Global Pneumococcal Sequence Clusters (GPSCs) and sequence types (STs) globally was assessed using sequences from the Global Pneumococcal Sequencing Project. Whole-genome sequences of 135 serotype 3 carriage isolates from Blantyre, Malawi (2015-2019) were analyzed. Comparative analysis of the capsule locus, entire genomes, antimicrobial resistance, and phylogenetic reconstructions were undertaken. Opsonophagocytosis was evaluated using serum samples from vaccinated adults and children. Serotype 3 GPSC10-ST700 isolates were most prominent in Malawi. Compared with the prototypical serotype 3 capsular polysaccharide locus sequence, 6 genes are absent, with retention of capsule polysaccharide biosynthesis. This lineage is characterized by increased antimicrobial resistance and lower susceptibility to opsonophagocytic killing. A serotype 3 variant in Malawi has genotypic and phenotypic characteristics that could enhance vaccine escape and clonal expansion after post-PCV13 introduction. Genomic surveillance among high-burden populations is essential to improve the effectiveness of next-generation pneumococcal vaccines.</t>
  </si>
  <si>
    <t>Cost-effectiveness of treating advanced melanoma with tumor-infiltrating lymphocytes based on an international randomized phase 3 clinical trial.</t>
  </si>
  <si>
    <t>Ten Ham, Renske M T; Rohaan, Maartje W; Jedema, Inge; Kessels, Rob; Stegeman, Wim; Scheepmaker, Walter; Nuijen, Bastiaan; Nijenhuis, Cynthia; Lindenberg, Melanie; Borch, Troels Holz; Monberg, Tine; Donia, Marco; Marie Svane, Inge; van Harten, Wim; Haanen, John; Retel, Valesca P</t>
  </si>
  <si>
    <t>journal for immunotherapy of cancer</t>
  </si>
  <si>
    <t>https://pubmed.ncbi.nlm.nih.gov/38531663</t>
  </si>
  <si>
    <t>In a multicenter, open-label randomized phase 3 clinical trial conducted in the Netherlands and Denmark, treatment with ex vivo-expanded tumor-infiltrating lymphocytes (TIL-NKI/CCIT) from autologous melanoma tumor compared with ipilimumab improved progression-free survival in patients with unresectable stage IIIC-IV melanoma after failure of first-line or second-line treatment. Based on this trial, we conducted a cost-utility analysis. A Markov decision model was constructed to estimate expected costs (expressed in 2021€) and outcomes (quality-adjusted life years (QALYs)) of TIL-NKI/CCIT versus ipilimumab in the Netherlands. The Danish setting was assessed in a scenario analysis. A modified societal perspective was applied over a lifetime horizon. TIL-NKI/CCIT production costs were estimated via activity-based costing. Through sensitivity analyses, uncertainties and their impact on the incremental cost-effectiveness ratio (ICER) were assessed. Mean total undiscounted lifetime benefits were 4.47 life years (LYs) and 3.52 QALYs for TIL-NKI/CCIT and 3.33 LYs and 2.46 QALYs for ipilimumab. Total lifetime undiscounted costs in the Netherlands were €347,168 for TIL-NKI/CCIT (including €67,547 for production costs) compared with €433,634 for ipilimumab. Undiscounted lifetime cost in the Danish scenario were €337,309 and €436,135, respectively. This resulted in a dominant situation for TIL-NKI/CCIT compared with ipilimumab in both countries, meaning incremental QALYs were gained at lower costs. Survival probabilities, and utility in progressive disease affected the ICER most. Based on the data of a randomized phase 3 trial, treatment with TIL-NKI/CCIT in patients with unresectable stage IIIC-IV melanoma is cost-effective and cost-saving, both in the current Dutch and Danish setting. These findings led to inclusion of TIL-NKI/CCIT as insured care and treatment guidelines. Publicly funded development of the TIL-NKI/CCIT cell therapy shows realistic promise to further explore development of effective personalized treatment while warranting economic sustainability of healthcare systems.</t>
  </si>
  <si>
    <t>Second primary squamous cell carcinoma of the oral cavity - a retrospective cohort study of therapeutic procedures and oncological outcome.</t>
  </si>
  <si>
    <t>https://pubmed.ncbi.nlm.nih.gov/38530421</t>
  </si>
  <si>
    <t>In the presented study, the occurrence rates of second primary oral carcinomas and their prognostic relevance were analyzed. All patients with surgically treated oral squamous cell carcinomas within the years 2010 and 2022 in our department were included in this retrospective cohort study. Two groups were designed including patients with second primary carcinomas and patients with local tumor recurrences. Occurrence rates, tumor stages and applied therapies were assessed. Primary outcome was overall survival in dependence of the index tumor. Secondary outcomes were overall survival in dependence of local recurrences or second primary tumors. An overall number of 908 patients was included in the analysis. 98 patients (10.8%) developed a second primary oral squamous cell carcinoma. Patients with second primary tumors presented significantly (p &lt; 0.001) better overall survival in dependence of the index tumor compared to patients suffering from local recurrences. There was no significant difference in overall survival (p = 0.4) in dependence of the date of second primary tumor or local recurrence. Patients with second primary tumors were more likely to receive surgery-based therapy compared to patients with local recurrences who more frequently received definitive radiotherapy. Our data indicates different clinical courses in terms of therapy and survival of patients suffering from second primary tumors compared to patients with local tumor recurrences. This may be due to a more aggressive biology of local recurrences and earlier detection of second primaries due to oncological follow-up of the index tumor. The differentiation of local tumor recurrences and second primary tumors is of clinical relevance, as applicable therapies and resulting prognosis may differ significantly.</t>
  </si>
  <si>
    <t>Impact of &lt;sup&gt;18F&lt;/sup&gt;FDG-PET/CT and Laparoscopy in Staging of Locally Advanced Gastric Cancer: A Cost Analysis in the Prospective Multicenter PLASTIC-Study.</t>
  </si>
  <si>
    <t>de Jongh, Cas; van der Meulen, Miriam P; Gertsen, Emma C; Brenkman, Hylke J F; van Sandick, Johanna W; van Berge Henegouwen, Mark I; Gisbertz, Suzanne S; Luyer, Misha D P; Nieuwenhuijzen, Grard A P; van Lanschot, Jan J B; Lagarde, Sjoerd M; Wijnhoven, Bas P L; de Steur, Wobbe O; Hartgrink, Henk H; Stoot, Jan H M B; Hulsewe, Karel W E; Spillenaar Bilgen, Ernst Jan; van Det, Marc J; Kouwenhoven, Ewout A; Daams, Freek; van der Peet, Donald L; van Grieken, Nicole C T; Heisterkamp, Joos; van Etten, Boudewijn; van den Berg, Jan-Willem; Pierie, Jean-Pierre; Eker, Hasan H; Thijssen, Annemieke Y; Belt, Eric J T; van Duijvendijk, Peter; Wassenaar, Eelco; Wevers, Kevin P; Hol, Lieke; Wessels, Frank J; Haj Mohammad, Nadia; Frederix, Geert W J; van Hillegersberg, Richard; Siersema, Peter D; Vegt, Erik; Ruurda, Jelle P; ,</t>
  </si>
  <si>
    <t>annals of surgical oncology</t>
  </si>
  <si>
    <t>https://pubmed.ncbi.nlm.nih.gov/38526832</t>
  </si>
  <si>
    <t>Unnecessary D2-gastrectomy and associated costs can be prevented after detecting non-curable gastric cancer, but impact of staging on treatment costs is unclear. This study determined the cost impact of &lt;sup&gt;18&lt;/sup&gt;F-fluorodeoxyglucose positron emission tomography/computed tomography (&lt;sup&gt;18F&lt;/sup&gt;FDG-PET/CT) and staging laparoscopy (SL) in gastric cancer staging. In this cost analysis, four staging strategies were modeled in a decision tree: (1) &lt;sup&gt;18F&lt;/sup&gt;FDG-PET/CT first, then SL, (2) SL only, (3) &lt;sup&gt;18F&lt;/sup&gt;FDG-PET/CT only, and (4) neither SL nor &lt;sup&gt;18F&lt;/sup&gt;FDG-PET/CT. Costs were assessed on the basis of the prospective PLASTIC-study, which evaluated adding &lt;sup&gt;18F&lt;/sup&gt;FDG-PET/CT and SL to staging advanced gastric cancer (cT3-4 and/or cN+) in 18 Dutch hospitals. The Dutch Healthcare Authority provided &lt;sup&gt;18F&lt;/sup&gt;FDG-PET/CT unit costs. SL unit costs were calculated bottom-up. Gastrectomy-associated costs were collected with hospital claim data until 30 days postoperatively. Uncertainty was assessed in a probabilistic sensitivity analysis (1000 iterations). &lt;sup&gt;18F&lt;/sup&gt;FDG-PET/CT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&lt;sup&gt;18F&lt;/sup&gt;FDG-PET/CT to SL increased costs by €1058 per patient; IQR €870-1253 in the sensitivity analysis. For advanced gastric cancer, performing SL resulted in substantial cost savings by reducing unnecessary gastrectomies. In contrast, routine &lt;sup&gt;18F&lt;/sup&gt;FDG-PET/CT increased costs without substantially reducing unnecessary gastrectomies, and is not recommended due to limited impact with major costs. NCT03208621. This trial was registered prospectively on 30-06-2017.</t>
  </si>
  <si>
    <t>Automated rating of background parenchymal enhancement in MRI of extremely dense breasts without compromising the association with breast cancer in the DENSE trial.</t>
  </si>
  <si>
    <t>Wang, Hui; H M van der Velden, Bas; Verburg, Erik; Bakker, Marije F; Pijnappel, Ruud M; Veldhuis, Wouter B; van Gils, Carla H; Gilhuijs, Kenneth G A</t>
  </si>
  <si>
    <t>european journal of radiology</t>
  </si>
  <si>
    <t>https://pubmed.ncbi.nlm.nih.gov/38583349</t>
  </si>
  <si>
    <t>Background parenchymal enhancement (BPE) on dynamic contrast-enhanced MRI (DCE-MRI) as rated by radiologists is subject to inter- and intrareader variability. We aim to automate BPE category from DCE-MRI. This study represents a secondary analysis of the Dense Tissue and Early Breast Neoplasm Screening trial. 4553 women with extremely dense breasts who received supplemental breast MRI screening in eight hospitals were included. Minimal, mild, moderate and marked BPE rated by radiologists were used as reference. Fifteen quantitative MRI features of the fibroglandular tissue were extracted to predict BPE using Random Forest, Naïve Bayes, and KNN classifiers. Majority voting was used to combine the predictions. Internal-external validation was used for training and validation. The inverse-variance weighted mean accuracy was used to express mean performance across the eight hospitals. Cox regression was used to verify non inferiority of the association between automated rating and breast cancer occurrence compared to the association for manual rating. The accuracy of majority voting ranged between 0.56 and 0.84 across the eight hospitals. The weighted mean prediction accuracy for the four BPE categories was 0.76. The hazard ratio (HR) of BPE for breast cancer occurrence was comparable between automated rating and manual rating (HR = 2.12 versus HR = 1.97, P = 0.65 for mild/moderate/marked BPE relative to minimal BPE). It is feasible to rate BPE automatically in DCE-MRI of women with extremely dense breasts without compromising the underlying association between BPE and breast cancer occurrence. The accuracy for minimal BPE is superior to that for other BPE categories.</t>
  </si>
  <si>
    <t>Prognostic factors and prediction models for hospitalisation and all-cause mortality in adults presenting to primary care with a lower respiratory tract infection: a systematic review.</t>
  </si>
  <si>
    <t>Rijk, Merijn H; Platteel, Tamara N; van den Berg, Teun M C; Geersing, Geert-Jan; Little, Paul; Rutten, Frans H; van Smeden, Maarten; Venekamp, Roderick P</t>
  </si>
  <si>
    <t>https://pubmed.ncbi.nlm.nih.gov/38521534</t>
  </si>
  <si>
    <t>To identify and synthesise relevant existing prognostic factors (PF) and prediction models (PM) for hospitalisation and all-cause mortality within 90 days in primary care patients with acute lower respiratory tract infections (LRTI). Systematic review. Systematic searches of MEDLINE, Embase and the Cochrane Library were performed. All PF and PM studies on the risk of hospitalisation or all-cause mortality within 90 days in adult primary care LRTI patients were included. The risk of bias was assessed using the Quality in Prognostic Studies tool and Prediction Model Risk Of Bias Assessment Tool tools for PF and PM studies, respectively. The results of included PF and PM studies were descriptively summarised. Of 2799 unique records identified, 16 were included: 9 PF studies, 6 PM studies and 1 combination of both. The risk of bias was judged high for all studies, mainly due to limitations in the analysis domain. Based on reported multivariable associations in PF studies, increasing age, sex, current smoking, diabetes, a history of stroke, cancer or heart failure, previous hospitalisation, influenza vaccination (negative association), current use of systemic corticosteroids, recent antibiotic use, respiratory rate ≥25/min and diagnosis of pneumonia were identified as most promising candidate predictors. One newly developed PM was externally validated (c statistic 0.74, 95% CI 0.71 to 0.78) whereas the previously hospital-derived CRB-65 was externally validated in primary care in five studies (c statistic ranging from 0.72 (95% CI 0.63 to 0.81) to 0.79 (95% CI 0.65 to 0.92)). None of the PM studies reported measures of model calibration. Implementation of existing models for individualised risk prediction of 90-day hospitalisation or mortality in primary care LRTI patients in everyday practice is hampered by incomplete assessment of model performance. The identified candidate predictors provide useful information for clinicians and warrant consideration when developing or updating PMs using state-of-the-art development and validation techniques. CRD42022341233.</t>
  </si>
  <si>
    <t>Association between work sick-leave absenteeism and SARS-CoV-2 notifications in the Netherlands during the COVID-19 epidemic.</t>
  </si>
  <si>
    <t>Keet, Martijn G; Boudewijns, Bronke; Jongenotter, Femke; van Iersel, Senna; van Werkhoven, Cornelis H; van Gageldonk-Lafeber, Rianne B; Wisse, Bram W; van Asten, Liselotte</t>
  </si>
  <si>
    <t>european journal of public health</t>
  </si>
  <si>
    <t>https://pubmed.ncbi.nlm.nih.gov/38513295</t>
  </si>
  <si>
    <t>Alternative data sources for surveillance have gained importance in maintaining coronavirus disease 2019 (COVID-19) situational awareness as nationwide testing has drastically decreased. Therefore, we explored whether rates of sick-leave from work are associated with severe acute respiratory syndrome coronavirus 2 (SARS-CoV-2) notification trends and at which lag, to indicate the usefulness of sick-leave data for COVID-19 surveillance. We explored trends during the COVID-19 epidemic of weekly sick-leave rates and SARS-CoV-2 notification rates from 1 June 2020 to 10 April 2022. Separate time series were inspected visually. Then, Spearman correlation coefficients were calculated at different lag and lead times of zero to four weeks between sick-leave and SARS-CoV-2 notification rates. We distinguished between four SARS-CoV-2 variant periods, two labour sectors and overall, and all-cause sick-leave versus COVID-19-specific sick-leave. The correlation coefficients between weekly all-cause sick-leave and SARS-CoV-2 notification rate at optimal lags were between 0.58 and 0.93, varying by the variant period and sector (overall: 0.83, lag -1; 95% CI [0.76, 0.88]). COVID-19-specific sick-leave correlations were higher than all-cause sick-leave correlations. Correlations were slightly lower in healthcare and education than overall. The highest correlations were mostly at lag -2 and -1 for all-cause sick-leave, meaning that sick-leave preceded SARS-CoV-2 notifications. Correlations were highest mostly at lag zero for COVID-19-specific sick-leave (coinciding with SARS-CoV-2 notifications). All-cause sick-leave might offer an earlier indication and evolution of trends in SARS-CoV-2 rates, especially when testing is less available. Sick-leave data may complement COVID-19 and other infectious disease surveillance systems as a syndromic data source.</t>
  </si>
  <si>
    <t>Interprofessional education for healthcare professionals. A BEME realist review of what works, why, for whom and in what circumstances in undergraduate health sciences education: BEME Guide No. 83.</t>
  </si>
  <si>
    <t>Krystallidou, Demi; Kersbergen, Maria J; de Groot, Esther; Fluit, Cornelia R M G; Kuijer-Siebelink, Wietske; Mertens, Fien; Oosterbaan-Lodder, Saskia C M; Scherpbier, Nynke; Versluis, Marco A C; Pype, Peter</t>
  </si>
  <si>
    <t>medical teacher</t>
  </si>
  <si>
    <t>https://pubmed.ncbi.nlm.nih.gov/38513054</t>
  </si>
  <si>
    <t>To provide an evidence-informed program theory (PT) for Interprofessional Education (IPE) that adds to the knowledge base of how IPE in undergraduate health sciences education works. We undertook a realist review of the literature and synthesis of the evidence combined with stakeholder experience. Our initial program theory (IPT), built around development, delivery and evaluation of IPE interventions, was tested and refined following an in-depth search of the literature and consultation with stakeholders. The literature (2010-2022) was selected based on the realist criteria of &lt;i&gt;relevance&lt;/i&gt; and &lt;i&gt;rigor&lt;/i&gt;, as well as on conceptual richness of the studies. Our PT is built upon 124 CMOs (Context of IPE interventions, Mechanisms that fired within that context, and IPE Outcomes), from 58 studies. Our PT comprises an array of elements found in the Context, including traits and behavioral displays of students and facilitators, and discusses four Mechanisms (&lt;i&gt;feeling responsible, feeling enthusiastic/excited, feeling safe to take risks&lt;/i&gt;, and &lt;i&gt;feeling ready)&lt;/i&gt;, which are likely to lead to outcomes related to the Interprofessional Education Collaborative (sub)competencies. Results were linked to learning theories to further build our understanding. The PT can serve as a guide for the development, delivery, and evaluation of IPE interventions.</t>
  </si>
  <si>
    <t>Economic evaluations in medical technological innovations a mapping review of methodologies.</t>
  </si>
  <si>
    <t>van Lieshout, C; Frederix, G W J; Schoonhoven, L</t>
  </si>
  <si>
    <t>cost effectiveness and resource allocation ce</t>
  </si>
  <si>
    <t>https://pubmed.ncbi.nlm.nih.gov/38504303</t>
  </si>
  <si>
    <t>Economic evaluations play an important role in the development and implementation of healthcare innovations. For pharmaceutical products, the methodologies used are laid down in guidelines, whereas for medical technologies the guidelines are not as strenuous. The aim of this review was therefore to analyze what types of methodologies are used in economic evaluations of medical technologies. We performed a mapping review to identify economic evaluations for medical technologies. We decided to limit our search to one year (2022) and included cost utility and cost effectiveness analyses in which health technologies were evaluated. For each included study we identified the main methodological characteristics. A total of 364 papers were included in the analysis, 268 (74%) contained cost-utility analyses and 91 (25%) cost-effectiveness analyses. A model was used in 236 (64%) analyses, 117 analyses were trial based evaluations. Probabilistic sensitivity analyses and/or bootstrapping was performed in 266 (73%) analyses. Deterministic sensitivity analyses were used in 306 (84%). Time horizon and perspective were underreported in 15-25% of the included studies. This review shows the wide range of methodologies used in economic evaluations as well as the extent and rigor in which these methodologies are used. Many of the included papers did no use or did not sufficiently report the use of appropriate standard methods. This may lead to research waste, a delay in successful implementation of valuable innovations and in the end may delay improvement patient outcomes.</t>
  </si>
  <si>
    <t>Health-related quality of life during the COVID-19 pandemic: The impact of restrictive measures using data from two Dutch population-based cohort studies.</t>
  </si>
  <si>
    <t>van Hagen, Cheyenne C E; Huiberts, Anne J; Mutubuki, Elizabeth N; de Melker, Hester E; Vos, Eric R A; van de Wijgert, Janneke H H M; van den Hof, Susan; Knol, Mirjam J; van Hoek, Albert Jan</t>
  </si>
  <si>
    <t>https://pubmed.ncbi.nlm.nih.gov/38498510</t>
  </si>
  <si>
    <t>We describe health-related quality of life during the COVID-19 pandemic in the general Dutch population and correlations with restrictive measures. Data were obtained from 18-85 year-old participants of two population-based cohort studies (February 2021-July 2022): PIENTER Corona (n = 8,019) and VASCO (n = 45,413). Per cohort, mean scores of mental and physical health and health utility from the SF-12 were calculated by age group, sex and presence of a medical risk condition. Spearman correlations with stringency of measures were calculated. Both cohorts showed comparable results. Participants &lt;30 years had lowest health utility and mental health score, and highest physical health score. Health utility and mental health score increased with age (up to 79 years), while physical health score decreased with age. Women and participants with a medical risk condition scored lower than their counterparts. Fluctuations were small over time but most pronounced among participants &lt;60 years, and correlated weakly, but mostly positively with measure stringency. During the Dutch COVID-19 epidemic, health utility and mental health scores were lower and fluctuated strongest among young adults compared to older adults. In our study population, age, sex and presence of a medical risk condition seemed to have more impact on health scores than stringency of COVID-19 non-pharmaceutical interventions.</t>
  </si>
  <si>
    <t>Genomics Research of Lifetime Depression in the Netherlands: The BIObanks Netherlands Internet Collaboration (BIONIC) Project.</t>
  </si>
  <si>
    <t>Huider, Floris; Milaneschi, Yuri; Hottenga, Jouke-Jan; Bot, Mariska; Rietman, M Liset; Kok, Almar A L; Galesloot, Tessel E; 't Hart, Leen M; Rutters, Femke; Blom, Marieke T; Rhebergen, Didi; Visser, Marjolein; Brouwer, Ingeborg; Feskens, Edith; Hartman, Catharina A; Oldehinkel, Albertine J; de Geus, Eco J C; Kiemeney, Lambertus A; Huisman, Martijn; Picavet, H Susan J; Verschuren, W M Monique; van Loo, Hanna M; Penninx, Brenda W J H; Boomsma, Dorret I</t>
  </si>
  <si>
    <t>twin research and human genetics the official journal of the international society for twin studies</t>
  </si>
  <si>
    <t>https://pubmed.ncbi.nlm.nih.gov/38497097</t>
  </si>
  <si>
    <t>In this cohort profile article we describe the lifetime major depressive disorder (MDD) database that has been established as part of the BIObanks Netherlands Internet Collaboration (BIONIC). Across the Netherlands we collected data on &lt;i&gt;Diagnostic and Statistical Manual of Mental Disorders, Fifth Edition&lt;/i&gt; (&lt;i&gt;DSM-5&lt;/i&gt;) lifetime MDD diagnosis in 132,850 Dutch individuals. Currently, &lt;i&gt;N&lt;/i&gt; = 66,684 of these also have genomewide single nucleotide polymorphism (SNP) data. We initiated this project because the complex genetic basis of MDD requires large population-wide studies with uniform in-depth phenotyping. For standardized phenotyping we developed the LIDAS (LIfetime Depression Assessment Survey), which then was used to measure MDD in 11 Dutch cohorts. Data from these cohorts were combined with diagnostic interview depression data from 5 clinical cohorts to create a dataset of &lt;i&gt;N&lt;/i&gt; = 29,650 lifetime MDD cases (22%) meeting &lt;i&gt;DSM-5&lt;/i&gt; criteria and 94,300 screened controls. In addition, genomewide genotype data from the cohorts were assembled into a genomewide association study (GWAS) dataset of &lt;i&gt;N&lt;/i&gt; = 66,684 Dutch individuals (25.3% cases). Phenotype data include &lt;i&gt;DSM-5&lt;/i&gt;-based MDD diagnoses, sociodemographic variables, information on lifestyle and BMI, characteristics of depressive symptoms and episodes, and psychiatric diagnosis and treatment history. We describe the establishment and harmonization of the BIONIC phenotype and GWAS datasets and provide an overview of the available information and sample characteristics. Our next step is the GWAS of lifetime MDD in the Netherlands, with future plans including fine-grained genetic analyses of depression characteristics, international collaborations and multi-omics studies.</t>
  </si>
  <si>
    <t>Sex differences in modifiable risk factors for stroke incidence and recurrence: the UCC-SMART study.</t>
  </si>
  <si>
    <t>Rissanen, Ina; Basten, Maartje; Exalto, Lieza G; Peters, Sanne A E; Visseren, Frank L J; Geerlings, Mirjam I; ,</t>
  </si>
  <si>
    <t>journal of neurology</t>
  </si>
  <si>
    <t>https://pubmed.ncbi.nlm.nih.gov/38493278</t>
  </si>
  <si>
    <t>Risk factors for stroke differ between women and men in general populations. However, little is known about sex differences in secondary prevention. We investigated if sex interacted with modifiable risk factors for stroke in a large arterial disease cohort. Within the prospective UCC-SMART study, 13,898 patients (35% women) with atherosclerotic disease or high-risk factor profile were followed up to 23 years for stroke incidence or recurrence. Hypertension, smoking, diabetes, overweight, dyslipidemia, high alcohol use, and physical inactivity were studied as risk factors. Association between these factors and ischemic and hemorrhagic stroke incidence or recurrence was studied in women and men using Cox proportional hazard models and Poisson regression models. Women-to-men relative hazard ratios (RHR) and rate differences (RD) were estimated for each risk factor. Left-truncated age was used as timescale. The age-adjusted stroke incidence rate was lower in women than men (3.9 vs 4.4 per 1000 person-years), as was the age-adjusted stroke recurrence rate (10.0 vs 11.7). Hypertension and smoking were associated with stroke risk in both sexes. HDL cholesterol was associated with lower stroke incidence in women but not in men (RHR 0.49; CI 0.27-0.88; and RD 1.39; CI - 1.31 to 4.10). Overweight was associated with a lower stroke recurrence in women but not in men (RHR 0.42; CI 0.23-0.80; and RD 9.05; CI 2.78-15.32). In high-risk population, sex modifies the association of HDL cholesterol on stroke incidence, and the association of overweight on stroke recurrence. Our findings highlight the importance of sex-specific secondary prevention.</t>
  </si>
  <si>
    <t>Embodiment and regenerative implants: a proposal for entanglement.</t>
  </si>
  <si>
    <t>van Daal, Manon; de Kanter, Anne-Floor J; Jongsma, Karin R; Bredenoord, Annelien L; de Graeff, Nienke</t>
  </si>
  <si>
    <t>medicine health care and philosophy</t>
  </si>
  <si>
    <t>https://pubmed.ncbi.nlm.nih.gov/38492184</t>
  </si>
  <si>
    <t>Regenerative Medicine promises to develop treatments to regrow healthy tissues and cure the physical body. One of the emerging developments within this field is regenerative implants, such as jawbone or heart valve implants, that can be broken down by the body and are gradually replaced with living tissue. Yet challenges for embodiment are to be expected, given that the implants are designed to integrate deeply into the tissue of the living body, so that implant and body become one. In this paper, we explore how regenerative implants may affect the embodied experience of implant recipients. To this end, we take a phenomenological approach. First, we explore what insights the existing phenomenological and empirical literature on embodiment offers regarding the experience of illness and of living with regular (non-regenerative) implants and organ transplants. Second, we apply these insights to better understand how future implant recipients might experience living with regenerative implants. Third, we conclude that concepts and considerations from the existing phenomenological literature do not sufficiently address what it might be like to live with an implantable technology that, over time, becomes one with the living body. We argue that the interwovenness and intimate relationship of people living with regenerative implants should be understood in terms of 'entanglement'. Entanglement allows us to explore the complexities of human-technology relations, acknowledging the inseparability of humans and implantable technologies. Our theoretical foundations regarding the role of embodiment may be tested empirically once more people will be living with regenerative implants.</t>
  </si>
  <si>
    <t>Machine learning-based models to predict the conversion of normal blood pressure to hypertension within 5-year follow-up.</t>
  </si>
  <si>
    <t>Andishgar, Aref; Bazmi, Sina; Tabrizi, Reza; Rismani, Maziyar; Keshavarzian, Omid; Pezeshki, Babak; Ahmadizar, Fariba</t>
  </si>
  <si>
    <t>https://pubmed.ncbi.nlm.nih.gov/38483860</t>
  </si>
  <si>
    <t>Factors contributing to the development of hypertension exhibit significant variations across countries and regions. Our objective was to predict individuals at risk of developing hypertension within a 5-year period in a rural Middle Eastern area. This longitudinal study utilized data from the Fasa Adults Cohort Study (FACS). The study initially included 10,118 participants aged 35-70 years in rural districts of Fasa, Iran, with a follow-up of 3,000 participants after 5 years using random sampling. A total of 160 variables were included in the machine learning (ML) models, and feature scaling and one-hot encoding were employed for data processing. Ten supervised ML algorithms were utilized, namely logistic regression (LR), support vector machine (SVM), random forest (RF), Gaussian naive Bayes (GNB), linear discriminant analysis (LDA), k-nearest neighbors (KNN), gradient boosting machine (GBM), extreme gradient boosting (XGB), cat boost (CAT), and light gradient boosting machine (LGBM). Hyperparameter tuning was performed using various combinations of hyperparameters to identify the optimal model. Synthetic Minority Over-sampling Technology (SMOTE) was used to balance the training data, and feature selection was conducted using SHapley Additive exPlanations (SHAP). Out of 2,288 participants who met the criteria, 251 individuals (10.9%) were diagnosed with new hypertension. The LGBM model (determined to be the optimal model) with the top 30 features achieved an AUC of 0.67, an f1-score of 0.23, and an AUC-PR of 0.26. The top three predictors of hypertension were baseline systolic blood pressure (SBP), gender, and waist-to-hip ratio (WHR), with AUCs of 0.66, 0.58, and 0.63, respectively. Hematuria in urine tests and family history of hypertension ranked fourth and fifth. ML models have the potential to be valuable decision-making tools in evaluating the need for early lifestyle modification or medical intervention in individuals at risk of developing hypertension.</t>
  </si>
  <si>
    <t>A qualitative analysis of community health worker perspectives on the implementation of the preconception and pregnancy phases of the Bukhali randomised controlled trial.</t>
  </si>
  <si>
    <t>Soepnel, Larske M; Norris, Shane A; Mabetha, Khuthala; Motlhatlhedi, Molebogeng; Nkosi, Nokuthula; Lye, Stephen; Draper, Catherine E</t>
  </si>
  <si>
    <t>plos global public health</t>
  </si>
  <si>
    <t>https://pubmed.ncbi.nlm.nih.gov/38483881</t>
  </si>
  <si>
    <t>Community health workers (CHWs) play an important role in health systems in low- and middle-income countries, including South Africa. Bukhali is a CHW-delivered intervention as part of a randomised controlled trial, to improve the health trajectories of young women in Soweto, South Africa. This study aimed to qualitatively explore factors influencing implementation of the preconception and pregnancy phases of Bukhali, from the perspective of the CHWs (Health Helpers, HHs) delivering the intervention. As part of the Bukhali trial process evaluation, three focus group discussions were conducted with the 13 HHs employed by the trial. A thematic approach was used to analyse the data, drawing on elements of a reflexive thematic and codebook approach. The following six themes were developed, representing factors impacting implementation of the HH roles: interaction with the existing public healthcare sector; participant perceptions of health; health literacy and language barriers; participants' socioeconomic constraints; family, partner, and community views of trial components; and the HH-participant relationship. HHs reported uses of several trial-based tools to overcome implementation challenges, increasing their ability to implement their roles as planned. The relationship of trust between the HH and participants seemed to function as one important mechanism for impact. The findings supported a number of adaptations to the implementation of Bukhali, such as intensified trial-based follow-up of referrals that do not receive management at clinics, continued HH training and community engagement parallel to trial implementation, with an increased emphasis on health-related stigma and education. HH perspectives on intervention implementation highlighted adaptations across three broad strategic areas: navigating and bridging healthcare systems, adaptability to individual participant needs, and navigating stigma around disease. These findings provide recommendations for the next phases of Bukhali, for other CHW-delivered preconception and pregnancy trials, and for the strengthening of CHW roles in clinical settings with similar implementation challenges. Trial registration: Pan African Clinical Trials Registry; PACTR201903750173871, Registered March 27, 2019.</t>
  </si>
  <si>
    <t>Oncologic outcomes of screen-detected and non-screen-detected T1 colorectal cancers.</t>
  </si>
  <si>
    <t>van der Schee, Lisa; Haasnoot, Krijn J C; Elias, Sjoerd G; Gijsbers, Kim M; Alderlieste, Yasser A; Backes, Yara; van Berkel, Anne-Marie; Boersma, Femke; Ter Borg, Frank; Breekveldt, Emilie C H; Kessels, Koen; Koopman, Miriam; Lansdorp-Vogelaar, Iris; van Leerdam, Monique E; Rasschaert, Gertjan; Schreuder, Ramon-Michel; Schrauwen, Ruud W M; Seerden, Tom C J; Spanier, Marcel B W; Terhaar Sive Droste, Jochim S; Toes-Zoutendijk, Esther; Tuynman, Jurriaan B; Vink, Geraldine R; de Vos Tot Nederveen Cappel, Wouter H; Vleggaar, Frank P; Laclé, Miangela M; Moons, Leon M G</t>
  </si>
  <si>
    <t>https://pubmed.ncbi.nlm.nih.gov/38325403</t>
  </si>
  <si>
    <t>The incidence of T1 colorectal cancer (CRC) has increased with the implementation of CRC screening programs. It is unknown whether the outcomes and risk models for T1 CRC based on non-screen-detected patients can be extrapolated to screen-detected T1 CRC. This study aimed to compare the stage distribution and oncologic outcomes of T1 CRC patients within and outside the screening program. Data from T1 CRC patients diagnosed between 2014 and 2017 were collected from 12 hospitals in the Netherlands. The presence of lymph node metastasis (LNM) at diagnosis was compared between screen-detected and non-screen-detected patients using multivariable logistic regression. Cox proportional hazard regression was used to analyze differences in the time to recurrence (TTR), metastasis-free survival (MFS), cancer-specific survival (CSS), and overall survival. Additionally, the performance of conventional risk factors for LNM was evaluated across the groups. 1803 patients were included (1114 [62%] screen-detected), with median follow-up of 51 months (interquartile range 30). The proportion of LNM did not significantly differ between screen- and non-screen-detected patients (12.6% vs. 8.9%; odds ratio 1.41; 95%CI 0.89-2.23); a prediction model for LNM performed equally in both groups. The 3- and 5-year TTR, MFS, and CSS were similar for patients within and outside the screening program. However, overall survival was significantly longer in screen-detected T1 CRC patients (adjusted hazard ratio 0.51; 95%CI 0.38-0.68). Screen-detected and non-screen-detected T1 CRCs have similar stage distributions and oncologic outcomes and can therefore be treated equally. However, screen-detected T1 CRC patients exhibit a lower rate of non-CRC-related mortality, resulting in longer overall survival.</t>
  </si>
  <si>
    <t>Practice visitations in primary care to improve performance of cardiovascular risk management.</t>
  </si>
  <si>
    <t>Smits, Geert Hjm; Bots, Michiel L; Hollander, Monika; Wit, Ardine de; van Doorn, Sander</t>
  </si>
  <si>
    <t>https://pubmed.ncbi.nlm.nih.gov/38479757</t>
  </si>
  <si>
    <t>Despite programmatic protocolized care and structured support, considerable variation is observed in completeness of registration and achieving targets of cardiovascular risk management between individual general practitioners in the Netherlands. To determine whether completeness of registration and achieved targets of cardiovascular risk factors improves with practice visitation. Observational study utilizing the care groups' database (2016-2019) comparing changes in registration and achieved targets in non-visited practices and visited practices. We compared completeness scores of registration and scores of targets achieved before visitation and 1 year after visitation. Data were analyzed on patient level and on general practitioners level. Separate analyses were performed among general practitioners who were ranked in the lower 25% of score distributions. We observed no clinically relevant improvements in completeness of registration and targets achieved in 2017, 2018 and 2019 that could be attributed to visitations in the previous year, both on individual patient level as on aggregated level per general practice.In practices ranked in the lower 25% of the distribution, improvements over time were clinically relevant and larger than the overall changes. Yet, these findings were irrespective of the number of practice visitations. Practice visitations in our setting did not seem to lead to improvements in practice performance, nor in completeness of registration of risk factors or in reaching predefined target goals for cardiovascular risk factors.</t>
  </si>
  <si>
    <t>Healthy ageing in a multi-ethnic population: A descriptive cross-sectional analysis from the HELIUS study.</t>
  </si>
  <si>
    <t>Menassa, Marilyne; Franco, Oscar H; Galenkamp, Henrike; Moll van Charante, Eric P; van den Born, Bert-Jan H; Vriend, Esther M C; Vidal, Pedro Marques; Stronks, Karien</t>
  </si>
  <si>
    <t>maturitas</t>
  </si>
  <si>
    <t>https://pubmed.ncbi.nlm.nih.gov/38507885</t>
  </si>
  <si>
    <t>We investigated ethnic health disparities in the Healthy Life in an Urban Setting multi-ethnic cohort using the multidimensional Healthy Ageing Score. We conducted a cross-sectional analysis of the study baseline data (2011-2015) collected through questionnaires/physical examinations for 17,091 participants (54.8 % women, mean (SD) age = 44.5 (12.8) years) from South-Asian Surinamese (14.8 %), African Surinamese (20.5 %), Dutch (24.3 %), Moroccan (15.5 %), Turkish (14.9 %), and Ghanaian (10.1 %) origins, living in Amsterdam, the Netherlands. We computed the Healthy Ageing Score developed in the Rotterdam Study, which has seven biopsychosocial domains: chronic diseases, mental health, cognitive function, physical function, pain, social support, and quality of life. That score was used to discern between healthy, moderate, and poor ageing. We explored differences in healthy ageing by ethnicity, sex, and age group using multinomial logistic regression. The Healthy Ageing Score [overall: poor (69.0 %), moderate (24.8 %), and healthy (6.2 %)] differed between ethnicities and was poorer in women and after midlife (cut-off 45 years) across ethnicities (all p &lt; 0.001). In the fully adjusted models in men and women, poor ageing (vs. healthy ageing) was highest in the South-Asian Surinamese [adjusted odds ratios (95 % confidence intervals)] [2.96 (2.24-3.90) and 6.88 (3.29-14.40), respectively] and Turkish [2.80 (2.11-3.73) and 7.10 (3.31-15.24), respectively] vs. Dutch, in the oldest [5.89 (3.62-9.60) and 13.17 (1.77-98.01), respectively] vs. youngest, and in the divorced [1.48 (1.10-2.01) and 2.83 (1.39-5.77), respectively] vs. married. Poor ageing was inversely associated with educational and occupational levels, mainly in men. Compared with those of Dutch ethnic origin, ethnic minorities displayed less healthy ageing, which was more pronounced in women, before and after midlife, and was associated with sociodemographic factors.</t>
  </si>
  <si>
    <t>Machine Learning Did Not Outperform Conventional Competing Risk Modeling to Predict Revision Arthroplasty.</t>
  </si>
  <si>
    <t>Oosterhoff, Jacobien H F; de Hond, Anne A H; Peters, Rinne M; van Steenbergen, Liza N; Sorel, Juliette C; Zijlstra, Wierd P; Poolman, Rudolf W; Ring, David; Jutte, Paul C; Kerkhoffs, Gino M M J; Putter, Hein; Steyerberg, Ewout W; Doornberg, Job N; ,</t>
  </si>
  <si>
    <t>clinical orthopaedics and related research</t>
  </si>
  <si>
    <t>https://pubmed.ncbi.nlm.nih.gov/38470976</t>
  </si>
  <si>
    <t>Estimating the risk of revision after arthroplasty could inform patient and surgeon decision-making. However, there is a lack of well-performing prediction models assisting in this task, which may be due to current conventional modeling approaches such as traditional survivorship estimators (such as Kaplan-Meier) or competing risk estimators. Recent advances in machine learning survival analysis might improve decision support tools in this setting. Therefore, this study aimed to assess the performance of machine learning compared with that of conventional modeling to predict revision after arthroplasty. Does machine learning perform better than traditional regression models for estimating the risk of revision for patients undergoing hip or knee arthroplasty? Eleven datasets from published studies from the Dutch Arthroplasty Register reporting on factors associated with revision or survival after partial or total knee and hip arthroplasty between 2018 and 2022 were included in our study. The 11 datasets were observational registry studies, with a sample size ranging from 3038 to 218,214 procedures. We developed a set of time-to-event models for each dataset, leading to 11 comparisons. A set of predictors (factors associated with revision surgery) was identified based on the variables that were selected in the included studies. We assessed the predictive performance of two state-of-the-art statistical time-to-event models for 1-, 2-, and 3-year follow-up: a Fine and Gray model (which models the cumulative incidence of revision) and a cause-specific Cox model (which models the hazard of revision). These were compared with a machine-learning approach (a random survival forest model, which is a decision tree-based machine-learning algorithm for time-to-event analysis). Performance was assessed according to discriminative ability (time-dependent area under the receiver operating curve), calibration (slope and intercept), and overall prediction error (scaled Brier score). Discrimination, known as the area under the receiver operating characteristic curve,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A scaled version of the Brier score, 1 - (model Brier score/null model Brier score), can be interpreted as the amount of overall prediction error. Using machine learning survivorship analysis, we found no differences between the competing risks estimator and traditional regression models for patients undergoing arthroplasty in terms of discriminative ability (patients who received a revision compared with those who did not). We found no consistent differences between the validated performance (time-dependent area under the receiver operating characteristic curve) of different modeling approaches because these values ranged between -0.04 and 0.03 across the 11 datasets (the time-dependent area under the receiver operating characteristic curve of the models across 11 datasets ranged between 0.52 to 0.68). In addition, the calibration metrics and scaled Brier scores produced comparable estimates, showing no advantage of machine learning over traditional regression models. Machine learning did not outperform traditional regression models. Neither machine learning modeling nor traditional regression methods were sufficiently accurate in order to offer prognostic information when predicting revision arthroplasty. The benefit of these modeling approaches may be limited in this context.</t>
  </si>
  <si>
    <t>Five pathways into one profession: Fifty years of debate on differentiated nursing practice.</t>
  </si>
  <si>
    <t>Schalkwijk, Hugo; Felder, Martijn; Lalleman, Pieterbas; Parry, Manon S; Schoonhoven, Lisette; Wallenburg, Iris</t>
  </si>
  <si>
    <t>nursing inquiry</t>
  </si>
  <si>
    <t>https://pubmed.ncbi.nlm.nih.gov/38470567</t>
  </si>
  <si>
    <t>The persistence of multiple educational pathways into the nursing profession continues to occupy scholars internationally. In the Netherlands, various groups within the Dutch healthcare sector have tried to differentiate nursing practice on the basis of educational backgrounds for over 50 years. Proponents argue that such reforms are needed to retain bachelor-trained nurses, improve quality of care and strengthen nurses' position in the sector. Opponents have actively resisted reforms because they would mainly benefit bachelor-trained nurses and neglect practical experience and technical skills. This historical case study aims to provide insight in this apparent stalemate. Our analysis of this debate is informed by literature on institutional work and current debates within the historiography of nursing. This study contributes to a better understanding of this contemporary debate by examining a broader timeframe than is usually studied, and by highlighting nurses' roles in complex processes of change. We argue that, rather than being stuck in their professional development, different groups of nurses have forged their own path forward in their professional development, albeit via different strategies.</t>
  </si>
  <si>
    <t>Depressive Symptoms and Plasma Markers of Alzheimer's Disease and Neurodegeneration: A Coordinated Meta-Analysis of 8 Cohort Studies.</t>
  </si>
  <si>
    <t>Twait, Emma L; Kamarioti, Maria; Verberk, Inge M W; Teunissen, Charlotte E; Nooyens, Astrid C J; Monique Verschuren, W M; Visser, Pieter Jelle; Huisman, Martijn; Kok, Almar A L; Eline Slagboom, P; Beekman, Marian; Vojinovic, Dina; Lakenberg, Nico; Arfan Ikram, M; Schuurmans, Isabel K; Wolters, Frank J; Moonen, Justine E F; Gerritsen, Lotte; van der Flier, Wiesje M; Geerlings, Mirjam I; ,</t>
  </si>
  <si>
    <t>the american journal of geriatric psychiatry official journal of the american association for geriatric psychiatry</t>
  </si>
  <si>
    <t>https://pubmed.ncbi.nlm.nih.gov/38553327</t>
  </si>
  <si>
    <t>Depressive symptoms are associated with an increased risk of Alzheimer's disease (AD). There has been a recent emergence in plasma biomarkers for AD pathophysiology, such as amyloid-beta (Aβ) and phosphorylated tau (p-tau), as well as for axonal damage (neurofilament light, NfL) and astrocytic activation (glial fibrillary acidic protein, GFAP). Hypothesizing that depressive symptoms may occur along the AD process, we investigated associations between plasma biomarkers of AD with depressive symptoms in individuals without dementia. A two-stage meta-analysis was performed on 2 clinic-based and 6 population-based cohorts (N = 7210) as part of the Netherlands Consortium of Dementia Cohorts. Plasma markers (Aβ42/40, p-tau181, NfL, and GFAP) were measured using Single Molecular Array (Simoa; Quanterix) assays. Depressive symptoms were measured with validated questionnaires. We estimated the cross-sectional association of each standardized plasma marker (determinants) with standardized depressive symptoms (outcome) using linear regressions, correcting for age, sex, education, and APOE ε4 allele presence, as well as subgrouping by sex and APOE ε4 allele. Effect estimates were entered into a random-effects meta-analysis. Mean age of participants was 71 years. The prevalence of clinically relevant depressive symptoms ranged from 1% to 22%. None of the plasma markers were associated with depressive symptoms in the meta-analyses. However, NfL was associated with depressive symptoms only in APOE ε4 carriers (β 0.11; 95% CI: 0.05-0.17). Late-life depressive symptoms did not show an association to plasma biomarkers of AD pathology. However, in APOE ε4 allele carriers, a more profound role of neurodegeneration was suggested with depressive symptoms.</t>
  </si>
  <si>
    <t>Dietary intake of plant- and animal-derived protein and incident cardiovascular diseases: the pan-European EPIC-CVD case-cohort study.</t>
  </si>
  <si>
    <t>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t>
  </si>
  <si>
    <t>the american journal of clinical nutrition</t>
  </si>
  <si>
    <t>https://pubmed.ncbi.nlm.nih.gov/38479550</t>
  </si>
  <si>
    <t>Epidemiological evidence suggests that a potential association between dietary protein intake and cardiovascular disease (CVD) may depend on the protein source, that is, plant- or animal-derived, but past research was limited and inconclusive. To evaluate the association of dietary plant- or animal-derived protein consumption with risk of CVD, and its components ischemic heart disease (IHD) and stroke. This analysis in the European Prospective Investigation into Cancer and Nutrition (EPIC)-CVD case-cohort study included 16,244 incident CVD cases (10,784 IHD and 6423 stroke cases) and 15,141 subcohort members from 7 European countries. We investigated the association of estimated dietary protein intake with CVD, IHD, and stroke (total, fatal, and nonfatal) using multivariable-adjusted Prentice-weighted Cox regression. We estimated isocaloric substitutions of replacing fats and carbohydrates with plant- or animal-derived protein and replacing food-specific animal protein with plant protein. Multiplicative interactions between dietary protein and prespecified variables were tested. Neither plant- nor animal-derived protein intake was associated with incident CVD, IHD, or stroke in adjusted analyses without or with macronutrient-specified substitution analyses. Higher plant-derived protein intake was associated with 22% lower total stroke incidence among never smokers [HR 0.78, 95% confidence intervals (CI): 0.62, 0.99], but not among current smokers (HR 1.08, 95% CI: 0.83, 1.40, P-interaction = 0.004). Moreover, higher plant-derived protein (per 3% total energy) when replacing red meat protein (HR 0.52, 95% CI: 0.31, 0.88), processed meat protein (HR 0.39, 95% CI: 0.17, 0.90), and dairy protein (HR 0.54, 95% CI: 0.30, 0.98) was associated with lower incidence of fatal stroke. Plant- or animal-derived protein intake was not associated with overall CVD. However, the association of plant-derived protein consumption with lower total stroke incidence among nonsmokers, and with lower incidence of fatal stroke highlights the importance of investigating CVD subtypes and potential interactions. These observations warrant further investigation in diverse populations with varying macronutrient intakes and dietary patterns.</t>
  </si>
  <si>
    <t>Within-episode repeat antibiotic prescriptions in patients with respiratory tract infections: A population-based cohort study.</t>
  </si>
  <si>
    <t>Lalmohamed, Arief; Venekamp, Roderick P; Bolhuis, Albert; Souverein, Patrick C; van de Wijgert, Janneke H H M; Gulliford, Martin C; Hay, Alastair D</t>
  </si>
  <si>
    <t>the journal of infection</t>
  </si>
  <si>
    <t>https://pubmed.ncbi.nlm.nih.gov/38462077</t>
  </si>
  <si>
    <t>Antimicrobial stewardship interventions mainly focus on initial antibiotic prescriptions, with few considering within-episode repeat prescriptions. We aimed to describe the magnitude, type and determinants of within-episode repeat antibiotic prescriptions in patients presenting to primary care with respiratory tract infections (RTIs). We conducted a population-based cohort study among 530 sampled English general practices within the Clinical Practice Research Datalink (CPRD). All individuals with a primary care RTI consultation for which an antibiotic was prescribed between March 2018 and February 2022. Main outcome measurement was repeat antibiotic prescriptions within 28 days of a RTI visit stratified by age (children vs. adults) and RTI type (lower vs. upper RTI). Multivariable logistic regression and principal components analyses were used to identify risk factors and patient clusters at risk for within-episode repeat prescriptions. 905,964 RTI episodes with at least one antibiotic prescription were identified. In adults, 19.9% (95% CI 19.3-20.5%) had at least one within-episode repeat prescription for a lower RTI, compared to 10.5% (95% CI 10.3-10.8%) for an upper RTI. In children, this was around 10% irrespective of RTI type. The majority of repeat prescriptions occurred a median of 10 days after the initial prescription and was the same antibiotic class in 48.3% of cases. Frequent RTI related GP visits and prior within-RTI-episode repeat antibiotic prescriptions were main factors associated with repeat prescriptions in both adults and children irrespective of RTI type. Young (&lt;2 years) and older (65+) age were associated with repeat prescriptions. Among those aged 2-64 years, allergic rhinitis, COPD and oral corticosteroids were associated with repeat prescriptions. Repeat within-episode antibiotic use accounts for a significant proportion of all antibiotics prescribed for RTIs, with same class antibiotics unlikely to confer clinical benefit and is therefore a prime target for future antimicrobial stewardship interventions.</t>
  </si>
  <si>
    <t>Measurement of the Centrality Dependence of the Dijet Yield in p+Pb Collisions at sqrt[s_{NN}]=8.16  TeV with the ATLAS Detector.</t>
  </si>
  <si>
    <t>https://pubmed.ncbi.nlm.nih.gov/38518341</t>
  </si>
  <si>
    <t>ATLAS measured the centrality dependence of the dijet yield using 165  nb^{-1} of p+Pb data collected at sqrt[s_{NN}]=8.16  TeV in 2016. The event centrality, which reflects the p+Pb impact parameter, is characterized by the total transverse energy registered in the Pb-going side of the forward calorimeter. The central-to-peripheral ratio of the scaled dijet yields, R_{CP}, is evaluated, and the results are presented as a function of variables that reflect the kinematics of the initial hard parton scattering process. The R_{CP} shows a scaling with the Bjorken x of the parton originating from the proton, x_{p}, while no such trend is observed as a function of x_{Pb}. This analysis provides unique input to understanding the role of small proton spatial configurations in p+Pb collisions by covering parton momentum fractions from the valence region down to x_{p}∼10^{-3} and x_{Pb}∼4×10^{-4}.</t>
  </si>
  <si>
    <t>Lifetime and 10-year cardiovascular risk prediction in individuals with type 1 diabetes: The LIFE-T1D model.</t>
  </si>
  <si>
    <t>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t>
  </si>
  <si>
    <t>diabetes obesity metabolism</t>
  </si>
  <si>
    <t>https://pubmed.ncbi.nlm.nih.gov/38456579</t>
  </si>
  <si>
    <t>To develop and externally validate the LIFE-T1D model for the estimation of lifetime and 10-year risk of cardiovascular disease (CVD) in individuals with type 1 diabetes. A sex-specific competing risk-adjusted Cox proportional hazards model was derived in individuals with type 1 diabetes without prior CVD from the Swedish National Diabetes Register (NDR), using age as the time axis. Predictors included age at diabetes onset, smoking status, body mass index, systolic blood pressure, glycated haemoglobin level, estimated glomerular filtration rate, non-high-density lipoprotein cholesterol, albuminuria and retinopathy. The model was externally validated in the Danish Funen Diabetes Database (FDDB) and the UK Biobank. During a median follow-up of 11.8 years (interquartile interval 6.1-17.1 years), 4608 CVD events and 1316 non-CVD deaths were observed in the NDR (n = 39 756). The internal validation c-statistic was 0.85 (95% confidence interval [CI] 0.84-0.85) and the external validation c-statistics were 0.77 (95% CI 0.74-0.81) for the FDDB (n = 2709) and 0.73 (95% CI 0.70-0.77) for the UK Biobank (n = 1022). Predicted risks were consistent with the observed incidence in the derivation and both validation cohorts. The LIFE-T1D model can estimate lifetime risk of CVD and CVD-free life expectancy in individuals with type 1 diabetes without previous CVD. This model can facilitate individualized CVD prevention among individuals with type 1 diabetes. Validation in additional cohorts will improve future clinical implementation.</t>
  </si>
  <si>
    <t>Frequency and timing of adverse reactions to COVID-19 vaccines; A multi-country cohort event monitoring study.</t>
  </si>
  <si>
    <t>Raethke, Monika; van Hunsel, Florence; Luxi, Nicoletta; Lieber, Thomas; Bellitto, Chiara; Mulder, Erik; Ciccimarra, Francesco; Riefolo, Fabio; Thurin, Nicolas H; Roy, Debabrata; Morton, Kathryn; Villalobos, Felipe; Batel Marques, Francisco; Farcas, Andreea; Sonderlichová, Simona; Belitser, Svetlana; Klungel, Olaf; Trifirò, Gianluca; Sturkenboom, Miriam C</t>
  </si>
  <si>
    <t>https://pubmed.ncbi.nlm.nih.gov/38448322</t>
  </si>
  <si>
    <t>During the COVID-19 pandemic, EMA set-up a large-scale cohort event monitoring (CEM) system to estimate incidence rates of patient-reported adverse drug reactions (ADRs) of different COVID-19 vaccines across the participating countries. This study aims to give an up to date and in-depth analysis of the frequency of patient-reported ADRs after the 1st, 2nd, and booster vaccination, to identify potential predictors in developing ADRs and to describe time-to-onset (TTO) and time-to-recovery (TTR) of ADRs. A CEM study was rolled out in a period ranging from February 2021 to February 2023 across multiple European countries; The Netherlands, Belgium, France, the United Kingdom, Italy, Portugal, Romania, Slovakia and Spain. Analysis consisted of a descriptive analyses of frequencies of COVID-19 vaccine-related ADRs for 1st, 2nd and booster vaccination, analysis of potential predictors in developing ADRs with a generalized linear mixed-effects model, analysis of TTO and TTR of ADRs and a sensitivity analysis for loss to follow-up (L2FU). A total of 29,837 participants completed at least the baseline and the first follow-up questionnaire for 1st and 2nd vaccination and 7,250 participants for the booster. The percentage of participants who reported at least one ADR is 74.32% (95%CI 73.82-74.81). Solicited ADRs, including injection site reactions, are very common across vaccination moments. Potential predictors for these reactions are the brand of vaccine used, the patient's age, sex and prior SARS-CoV-2 infection. The percentage of serious ADRs in the study is low for 1st and 2nd vaccination (0.24%, 95%CI 0.19--0.31) and booster (0.26%, 95%CI 0.15, 0.41). The TTO was 14 h (median) for dose 1 and slightly longer for dose 2 and booster dose. TTR is generally also within a few days. The effect of L2FU on estimations of frequency is limited. Despite some limitations due to study design and study-roll out, CEM studies can allow prompt and almost real-time observations of the safety of medications directly from a patient-centered perspective, which can play a crucial role for regulatory bodies during an emergency setting such as the COVID-19 pandemic.</t>
  </si>
  <si>
    <t>Antithrombotic Therapy for VTE Disease: Compendium and Review of CHEST Guidelines 2012-2021.</t>
  </si>
  <si>
    <t>Stevens, Scott M; Woller, Scott C; Baumann Kreuziger, Lisa; Doerschug, Kevin; Geersing, Geert-Jan; Klok, Frederikus A; King, Christopher S; Murin, Susan; Vintch, Janine R E; Wells, Philip S; Wasan, Suman; Moores, Lisa K</t>
  </si>
  <si>
    <t>chest</t>
  </si>
  <si>
    <t>https://pubmed.ncbi.nlm.nih.gov/38458430</t>
  </si>
  <si>
    <t>The CHEST Antithrombotic Therapy for Venous Thromboembolism Disease evidence-based guidelines are now updated in a more frequent, focused manner. Guidance statements from the most recent full guidelines and two subsequent updates have not been gathered into a single source. An international panel of experts with experience in prior antithrombotic therapy guideline development reviewed the 2012 CHEST antithrombotic therapy guidelines and its two subsequent updates. All guideline statements and their associated patient, intervention, comparator, and outcome questions were assembled. A modified Delphi process was used to select statements considered relevant to current clinical care. The panel further endorsed minor phrasing changes to match the standard language for guidance statements using the modified Grading of Recommendations, Assessment, Development, and Evaluations (GRADE) format endorsed by the CHEST Guidelines Oversight Committee. The panel appended comments after statements deemed as relevant, including suggesting that statements be updated in future guidelines because of interval evidence. We include 58 guidance statements from prior versions of the antithrombotic therapy guidelines, with updated phrasing as needed to adhere to contemporary nomenclature. Statements were classified as strong or weak recommendations based on high-certainty, moderate-certainty, and low-certainty evidence using GRADE methodology. The panel suggested that five statements are no longer relevant to current practice. As CHEST continues to update guidance statements relevant to antithrombotic therapy for VTE disease, this article serves as a unified collection of currently relevant statements from the preceding three guidelines. Suggestions have been made to update specific statements in future publications.</t>
  </si>
  <si>
    <t>Sex-specific differences in physiological parameters related to SARS-CoV-2 infections among a national cohort (COVI-GAPP study).</t>
  </si>
  <si>
    <t>Grossmann, Kirsten; Risch, Martin; Markovic, Andjela; Aeschbacher, Stefanie; Weideli, Ornella C; Velez, Laura; Kovac, Marc; Pereira, Fiona; Wohlwend, Nadia; Risch, Corina; Hillmann, Dorothea; Lung, Thomas; Renz, Harald; Twerenbold, Raphael; Rothenbühler, Martina; Leibovitz, Daniel; Kovacevic, Vladimir; Klaver, Paul; Brakenhoff, Timo B; Franks, Billy; Mitratza, Marianna; Downward, George S; Dowling, Ariel; Montes, Santiago; Veen, Duco; Grobbee, Diederick E; Cronin, Maureen; Conen, David; Goodale, Brianna M; Risch, Lorenz; ,</t>
  </si>
  <si>
    <t>https://pubmed.ncbi.nlm.nih.gov/38446766</t>
  </si>
  <si>
    <t>Considering sex as a biological variable in modern digital health solutions, we investigated sex-specific differences in the trajectory of four physiological parameters across a COVID-19 infection. A wearable medical device measured breathing rate, heart rate, heart rate variability, and wrist skin temperature in 1163 participants (mean age = 44.1 years, standard deviation [SD] = 5.6; 667 [57%] females). Participants reported daily symptoms and confounders in a complementary app. A machine learning algorithm retrospectively ingested daily biophysical parameters to detect COVID-19 infections. COVID-19 serology samples were collected from all participants at baseline and follow-up. We analysed potential sex-specific differences in physiology and antibody titres using multilevel modelling and t-tests. Over 1.5 million hours of physiological data were recorded. During the symptomatic period of infection, men demonstrated larger increases in skin temperature, breathing rate, and heart rate as well as larger decreases in heart rate variability than women. The COVID-19 infection detection algorithm performed similarly well for men and women. Our study belongs to the first research to provide evidence for differential physiological responses to COVID-19 between females and males, highlighting the potential of wearable technology to inform future precision medicine approaches.</t>
  </si>
  <si>
    <t>Survival trends among people living with human immunodeficiency virus on antiretroviral treatment in two rural districts in Ghana.</t>
  </si>
  <si>
    <t>Sackeya, Eugene; Beru, Martin Muonibe; Angmortey, Richard Nomo; Opoku, Douglas Aninng; Boakye, Kingsley; Baatira, Musah; Yakubu, Mohammed Sheriff; Mohammed, Aliyu; Ayisi-Boateng, Nana Kwame; Boateng, Daniel; Nakua, Emmanuel Kweku; Edusei, Anthony Kweku</t>
  </si>
  <si>
    <t>https://pubmed.ncbi.nlm.nih.gov/38446777</t>
  </si>
  <si>
    <t>The human immunodeficiency virus (HIV) has caused a lot of havoc since the early 1970s, affecting 37.6 million people worldwide. The 90-90-90 treatment policy was adopted in Ghana in 2015 with the overall aim to end new infections by 2030, and to improve the life expectancy of HIV seropositive individuals. With the scale-up of Highly Active Antiretroviral Therapy, the lifespan of People Living with HIV (PLWH) on antiretrovirals (ARVs) is expected to improve. In rural districts in Ghana, little is known about the survival probabilities of PLWH on ARVs. Hence, this study was conducted to estimate the survival trends of PLWH on ARVs. A retrospective evaluation of data gathered across ARV centres within Tatale and Zabzugu districts in Ghana from 2016 to 2020 among PLWH on ARVs. A total of 261 participants were recruited for the study. The data was analyzed using STATA software version 16.0. Lifetable analysis and Kaplan-Meier graph were used to assess the survival probabilities. "Stptime" per 1000 person-years and the competing risk regression were used to evaluate mortality rates and risk. The cumulative survival probability was 0.8847 (95% CI: 0.8334-0.9209). The overall mortality rate was 51.89 (95% CI: 36.89-72.97) per 1000 person-years. WHO stage III and IV [AHR: 4.25 (95%CI: 1.6-9.71) p = 0.001] as well as age group (50+ years) [AHR: 5.02 (95% CI: 1.78-14.13) p = 0.002] were associated with mortality. Survival probabilities were high among the population of PLWH in Tatale and Zabzugu with declining mortality rates. Clinicians should provide critical attention and care to patients at HIV WHO stages III and IV and intensify HIV screening at all entry points since early diagnosis is associated with high survival probabilities.</t>
  </si>
  <si>
    <t>A reference standard for urinary tract infection research: a multidisciplinary Delphi consensus study.</t>
  </si>
  <si>
    <t>Bilsen, Manu P; Conroy, Simon P; Schneeberger, Caroline; Platteel, Tamara N; van Nieuwkoop, Cees; Mody, Lona; Caterino, Jeffrey M; Geerlings, Suzanne E; Köves, Bela; Wagenlehner, Florian; Kunneman, Marleen; Visser, Leo G; Lambregts, Merel M C; ,</t>
  </si>
  <si>
    <t>the lancet infectious diseases</t>
  </si>
  <si>
    <t>https://pubmed.ncbi.nlm.nih.gov/38458204</t>
  </si>
  <si>
    <t>The absence of a consensus-based reference standard for urinary tract infection (UTI) research adversely affects the internal and external validity of diagnostic and therapeutic studies. This omission hinders the accumulation of evidence for a disease that imposes a substantial burden on patients and society, particularly in an era of increasing antimicrobial resistance. We did a three-round Delphi study involving an international, multidisciplinary panel of UTI experts (n=46) and achieved a high degree of consensus (94%) on the final reference standard. New-onset dysuria, urinary frequency, and urinary urgency were considered major symptoms, and non-specific symptoms in older patients were not deemed indicative of UTI. The reference standard distinguishes between UTI with and without systemic involvement, abandoning the term complicated UTI. Moreover, different levels of pyuria were incorporated in the reference standard, encouraging quantification of pyuria in studies done in all health-care settings. The traditional bacteriuria threshold (10&lt;sup&gt;5&lt;/sup&gt; colony-forming units per mL) was lowered to 10&lt;sup&gt;4&lt;/sup&gt; colony-forming units per mL. This new reference standard can be used for UTI research across many patient populations and has the potential to increase homogeneity between studies.</t>
  </si>
  <si>
    <t>Nature-versus-nurture considered harmful: Actionability as an alternative tool for understanding the exposome from an ethical perspective.</t>
  </si>
  <si>
    <t>Safarlou, Caspar W; Bredenoord, Annelien L; Vermeulen, Roel; Jongsma, Karin R</t>
  </si>
  <si>
    <t>bioethics</t>
  </si>
  <si>
    <t>https://pubmed.ncbi.nlm.nih.gov/38441318</t>
  </si>
  <si>
    <t>Exposome research is put forward as a major tool for solving the nature-versus-nurture debate because the exposome is said to represent "the nature of nurture." Against this influential idea, we argue that the adoption of the nature-versus-nurture debate into the exposome research program is a mistake that needs to be undone to allow for a proper bioethical assessment of exposome research. We first argue that this adoption is originally based on an equivocation between the traditional nature-versus-nurture debate and a debate about disease prediction/etiology. Second, due to this mistake, exposome research is pushed to adopt a limited conception of agential control that is harmful to one's thinking about the good that exposome research can do for human health and wellbeing. To fully excise the nature-versus-nurture debate from exposome research, we argue that exposome researchers and bioethicists need to think about the exposome afresh from the perspective of actionability. We define the concept of actionability and related concepts and show how these can be used to analyze the ethical aspects of the exposome. In particular, we focus on refuting the popular "gun analogy" in exposome research, returning results to study participants and risk-taking in the context of a well-lived life.</t>
  </si>
  <si>
    <t>The role of a community health worker-delivered preconception and pregnancy intervention in achieving a more positive pregnancy experience: the Bukhali trial in Soweto, South Africa.</t>
  </si>
  <si>
    <t>Soepnel, Larske M; Mabetha, Khuthala; Norris, Shane A; Motlhatlhedi, Molebogeng; Nkosi, Nokuthula; Klingberg, Sonja; Lye, Stephen; Draper, Catherine E</t>
  </si>
  <si>
    <t>bmc womens health</t>
  </si>
  <si>
    <t>https://pubmed.ncbi.nlm.nih.gov/38443924</t>
  </si>
  <si>
    <t>A patient-centered, human-rights based approach to maternal care moves past merely reducing maternal mortality and morbidity, towards achieving a positive pregnancy experience. When evaluating an intervention, particularly in the context of the complex challenges facing maternal care in South Africa, it is therefore important to understand how intervention components are experienced by women. We aimed to qualitatively explore (i) factors influencing the pregnancy and postpartum experience amongst young women in Soweto, South Africa, and (ii) the influence of Bukhali, a preconception, pregnancy, and early childhood intervention delivered by community health workers (CHWs), on these experiences. Semi-structured, in-depth interviews were conducted with 15 purposively sampled participants. Participants were 18-28-year-old women who (i) were enrolled in the intervention arm of the Bukhali randomized controlled trial; (ii) were pregnant and delivered a child while being enrolled in the trial; and (iii) had at least one previous pregnancy prior to participation in the trial. Thematic analysis, informed by the positive pregnancy experiences framework and drawing on a codebook analysis approach, was used. The themes influencing participants' pregnancy experiences (aim 1) were participants' feelings about being pregnant, the responsibilities of motherhood, physical and mental health challenges, unstable social support and traumatic experiences, and the pressures of socioeconomic circumstances. In terms of how support, information, and care practices influenced these factors (aim 2), four themes were generated: acceptance and mother/child bonding, growing and adapting in their role as mothers, receiving tools for their health, and having ways to cope in difficult circumstances. These processes were found to be complementary and closely linked to participant context and needs. Our findings suggest that, among women aged 18-28, a CHW-delivered intervention combining support, information, and care practices has the potential to positively influence women's pregnancy experience in South Africa. In particular, emotional support and relevant information were key to better meeting participant needs. These findings can help define critical elements of CHW roles in maternal care and highlight the importance of patient-centred solutions to challenges within antenatal care. Pan African Clinical Trials Registry PACTR201903750173871, 27/03/2019.</t>
  </si>
  <si>
    <t>Diagnostic Stewardship in Community-Acquired Pneumonia With Syndromic Molecular Testing: A Randomized Clinical Trial.</t>
  </si>
  <si>
    <t>Markussen, Dagfinn L; Serigstad, Sondre; Ritz, Christian; Knoop, Siri T; Ebbesen, Marit H; Faurholt-Jepsen, Daniel; Heggelund, Lars; van Werkhoven, Cornelis H; Clark, Tristan W; Bjørneklett, Rune O; Kommedal, Øyvind; Ulvestad, Elling; Grewal, Harleen M S</t>
  </si>
  <si>
    <t>jama network open</t>
  </si>
  <si>
    <t>https://pubmed.ncbi.nlm.nih.gov/38446481</t>
  </si>
  <si>
    <t>Lower respiratory tract (LRT) infections, including community-acquired pneumonia (CAP), are a leading cause of hospital admissions and mortality. Molecular tests have the potential to optimize treatment decisions and management of CAP, but limited evidence exists to support their routine use. To determine whether the judicious use of a syndromic polymerase chain reaction (PCR)-based panel for rapid testing of CAP in the emergency department (ED) leads to faster, more accurate microbiological test result-based treatment. This parallel-arm, single-blinded, single-center, randomized clinical superiority trial was conducted between September 25, 2020, and June 21, 2022, in the ED of Haukeland University Hospital, a large tertiary care hospital in Bergen, Norway. Adult patients who presented to the ED with suspected CAP were recruited. Participants were randomized 1:1 to either the intervention arm or standard-of-care arm. The primary outcomes were analyzed according to the intention-to-treat principle. Patients randomized to the intervention arm received rapid syndromic PCR testing (BioFire FilmArray Pneumonia plus Panel; bioMérieux) of LRT samples and standard of care. Patients randomized to the standard-of-care arm received standard microbiological diagnostics alone. The 2 primary outcomes were the provision of pathogen-directed treatment based on a microbiological test result and the time to provision of pathogen-directed treatment (within 48 hours after randomization). There were 374 patients (221 males [59.1%]; median (IQR) age, 72 [60-79] years) included in the trial, with 187 in each treatment arm. Analysis of primary outcomes showed that 66 patients (35.3%) in the intervention arm and 25 (13.4%) in the standard-of-care arm received pathogen-directed treatment, corresponding to a reduction in absolute risk of 21.9 (95% CI, 13.5-30.3) percentage points and an odds ratio for the intervention arm of 3.53 (95% CI, 2.13-6.02; P &lt; .001). The median (IQR) time to provision of pathogen-directed treatment within 48 hours was 34.5 (31.6-37.3) hours in the intervention arm and 43.8 (42.0-45.6) hours in the standard-of-care arm (mean difference, -9.4 hours; 95% CI, -12.7 to -6.0 hours; P &lt; .001). The corresponding hazard ratio for intervention compared with standard of care was 3.08 (95% CI, 1.95-4.89). Findings remained significant after adjustment for season. Results of this randomized clinical trial indicated that routine deployment of PCR testing for LRT pathogens led to faster and more targeted microbial treatment for patients with suspected CAP. Rapid molecular testing could complement or replace selected standard, time-consuming, laboratory-based diagnostics. ClinicalTrials.gov Identifier: NCT04660084.</t>
  </si>
  <si>
    <t>Representation of Patients With Chronic Kidney Disease in Clinical Trials of Cardiovascular Disease Medications: A Systematic Review.</t>
  </si>
  <si>
    <t>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t>
  </si>
  <si>
    <t>https://pubmed.ncbi.nlm.nih.gov/38451526</t>
  </si>
  <si>
    <t>Patients with chronic kidney disease (CKD) are at high risk for cardiovascular disease, but their systematic underrepresentation in cardiovascular randomized clinical trials (RCTs) limits the generation of appropriate evidence to guide cardiovascular risk management (CVRM). To evaluate the underrepresentation of patients with CKD in cardiovascular RCTs, and to highlight evidence gaps in CVRM medications in this population. A systematic search was conducted in ClinicalTrials.gov from February 2000 through October 2021 for RCTs with full-text publications. If no full-text publications were found in ClinicalTrials.gov, MEDLINE, Embase, and Google Scholar were also searched. Eligible RCTs were those evaluating the effectiveness of antiplatelets, anticoagulants, blood pressure-lowering drugs, glucose-lowering drugs, or cholesterol-lowering drugs in adults with cardiovascular disease or cardiovascular risk factors. Trials with a sample size of fewer than 100 patients were excluded. In total, 1194 RCTs involving 2 207 677 participants (mean [SD] age, 63 [6] years; 1 343 970 males [64%]) were included. Since 2000, the percentage of cardiovascular RCTs excluding patients with CKD has increased from 66% to 79% (74% overall [884 RCTs]). In 864 RCTs (72%), more patients were excluded than anticipated on safety grounds (63% [306] of trials required no dose adjustment, and 79% [561] required dose adjustment). In total, 158 RCTs (13%) reported results for patients with CKD separately (eg, in subgroup analyses). Significant evidence gaps exist in most CVRM interventions for patients with CKD, particularly for those with CKD stages 4 to 5. Twenty-three RCTs (2%) reported results for patients with an estimated glomerular filtration rate less than 30 mL/min/1.73 m2, 15 RCTs (1%) reported for patients receiving dialysis, and 1 RCT (0.1%) reported for recipients of kidney transplant. Results of this systematic review suggest that representation of patients with CKD in cardiovascular RCTs has not improved in the past 2 decades and that these RCTs excluded more patients with CKD than expected on safety grounds. Lack of reporting or underreporting of results for this patient population is associated with evidence gaps in the effectiveness of most CVRM medications in patients with all stages of CKD, particularly CKD stages 4 to 5.</t>
  </si>
  <si>
    <t>Epidemiology and risk factors for hyperkalaemia in heart failure.</t>
  </si>
  <si>
    <t>Grobbee, Diederick E; Filippatos, Gerasimos; Desai, Nihar R; Coats, Andrew J S; Pinto, Fausto; Rosano, Giuseppe M C; Cleland, John G F; Kammerer, Jennifer; de Arellano, Antonio Ramirez</t>
  </si>
  <si>
    <t>https://pubmed.ncbi.nlm.nih.gov/38439165</t>
  </si>
  <si>
    <t>Patients with heart failure (HF), particularly those with impaired renal function receiving renin-angiotensin-aldosterone system inhibitors (RAASis), are at risk of hyperkalaemia; when hyperkalaemia is severe, this can have serious clinical consequences. The incidence, prevalence, and risk factors for hyperkalaemia reported in randomized trials of RAASis may not reflect clinical practice due to exclusion of patients with elevated serum potassium (sK&lt;sup&gt;+&lt;/sup&gt; ) or severe renal impairment: information on patients managed in routine clinical care is important to understanding the actual burden of hyperkalaemia. This paper reviews the available clinical epidemiology data on hyperkalaemia in HF and considers areas requiring further research. Observational studies published since 2017 that focused on hyperkalaemia, included patients with HF, and had ≥1000 participants were considered. Hyperkalaemia occurrence in HF varied widely from 7% to 39% depending on the setting, HF severity, follow-up length, and concomitant medications. Rates were lowest in patients with newly diagnosed HF and highest in patients with greater disease severity; comorbidities, such as chronic kidney disease and diabetes, and RAASi use, reflected commonly identified risk factors for hyperkalaemia in patients with HF. Hyperkalaemia was most often mild; however, from the limited data available, persistence of mild hyperkalaemia was associated with an increased risk of mortality and major adverse cardiovascular events. There were also limited data available on the progression of hyperkalaemia. Recurrence was common, occurring in one-quarter to two-fifths of hyperkalaemia cases. Despite HF guidelines recommending close monitoring of sK&lt;sup&gt;+&lt;/sup&gt; , 55-93% of patients did not receive appropriate testing before or after initiation of RAASi or in follow-up to moderate/severe hyperkalaemia detection. Many of the observational studies were retrospective and from a single country. There is a need for international, prospective, longitudinal, observational studies, such as the CARE-HK in HF study (NCT04864795), to understand hyperkalaemia's prevalence, incidence, and severity; to identify and characterize cases that persist, progress, and recur; to highlight the importance of sK&lt;sup&gt;+&lt;/sup&gt; monitoring when using RAASi; and to assess the impact of newer HF therapies and potassium binders in clinical practice. Data from both clinical trials and observational studies with adjustments for confounding variables will be needed to assess the contribution of hyperkalaemia to clinical outcomes.</t>
  </si>
  <si>
    <t>Why we should not mistake accuracy of medical AI for efficiency.</t>
  </si>
  <si>
    <t>Jongsma, Karin Rolanda; Sand, Martin; Milota, Megan</t>
  </si>
  <si>
    <t>https://pubmed.ncbi.nlm.nih.gov/38438477</t>
  </si>
  <si>
    <t>In the medical literature, promising results regarding accuracy of medical AI are presented as claims for its potential to increase efficiency. This elision of concepts is misleading and incorrect. First, the promise that AI will reduce human workload rests on a too narrow assessment of what constitutes workload in the first place. Human operators need new skills and deal with new responsibilities, these systems need an elaborate infrastructure and support system that all contribute to an increased amount of human work and short-term efficiency wins may become sources of long-term inefficiency. Second, for the realization of increased efficiency, the human-side of technology implementation is determinate. Human knowledge, competencies and trust can foster or undermine efficiency. We conclude that is important to remain conscious and critical about how we talk about expected benefits of AI, especially when referring to systemic changes based on single studies.</t>
  </si>
  <si>
    <t>Towards a conceptualization of nurses' support of hospitalised patients' self-management-A modified Delphi study'.</t>
  </si>
  <si>
    <t>Otter, Caroline E M; de Man-van Ginkel, Janneke M; Keers, Joost C; Smit, Jakobus; Schoonhoven, Lisette</t>
  </si>
  <si>
    <t>journal of clinical nursing</t>
  </si>
  <si>
    <t>https://pubmed.ncbi.nlm.nih.gov/38433362</t>
  </si>
  <si>
    <t>To determine patients', nurses' and researchers' opinions on the appropriateness and completeness of the proposed conceptualization of nurses' support of hospitalised patients' self-management. A modified Delphi study. We conducted a two-round Delphi survey. The panel group consisted of patients, nurses and researchers. The conceptualization of nurses' support of hospitalised patients' self-management presented in the first Delphi round was based on previous research, including a scoping review of the literature. Data was analysed between both rounds and after the second round. Results are reported in accordance with the guidance on Conducting and Reporting Delphi Studies (CREDES). In the first round all activities of the proposed conceptualization were considered appropriate to support the patients' self-management. Panel members' comments led to the textual adjustment of 19 activities, the development of 15 new activities, and three general questions related to self-management support during hospitalisation. In the second round the modified and the newly added activities were also deemed appropriate. The clarification statements raised in the first Delphi round were accepted, although questions remained about the wording of the activities and about what is and what is not self-management support. After textual adjustments and the addition of some activities, the proposed conceptualization of nurses' support in patients' self-management while hospitalised have been considered appropriate and complete. Nevertheless, questions about the scope of this concept still remains. The results provide a starting point for further discussion and the development of self-management programs aimed at the hospitalised patient. The results can be considered as a starting point for practice to discuss the concept of nurses' support for hospitalised patients' self-management and develop, implement and research self-management programs specific for their patient population. Results are reported in accordance with the guidance on Conducting and Reporting Delphi Studies (CREDES). Patients were involved as expert panellist in this Delphi study. Impact statement What problem did the study address? Self-management support during hospitalisation is understudied, which undermines the development of evidence-based interventions. What were the main findings? A panel, consisting of patients, nurses and researchers, agreed on the appropriateness of a conceptualization of nurses' support of inpatients' self-management, and identified some points for discussion, mainly related to the boundaries of the concept self-management. Where and on whom will the research have an impact? This study is crucial for generating conceptual understanding of how nurses support patients' self-management during hospitalisation. This is necessary for policy, clinical practice, education, and research on this topic.</t>
  </si>
  <si>
    <t>Machine-learning algorithms in screening for type 2 diabetes mellitus: Data from Fasa Adults Cohort Study.</t>
  </si>
  <si>
    <t>Karmand, Hanieh; Andishgar, Aref; Tabrizi, Reza; Sadeghi, Alireza; Pezeshki, Babak; Ravankhah, Mahdi; Taherifard, Erfan; Ahmadizar, Fariba</t>
  </si>
  <si>
    <t>endocrinology diabetes metabolism</t>
  </si>
  <si>
    <t>https://pubmed.ncbi.nlm.nih.gov/38411386</t>
  </si>
  <si>
    <t>The application of machine learning (ML) is increasingly growing in biomedical sciences. This study aimed to evaluate factors associated with type 2 diabetes mellitus (T2DM) and compare the performance of ML methods in identifying individuals with the disease in an Iranian setting. Using the baseline data from Fasa Adult Cohort Study (FACS) and in a sex-stratified manner, we studied factors associated with T2DM by applying seven different ML methods including Logistic Regression (LR), Support Vector Machine (SVM), Random Forest (RF), K-Nearest Neighbours (KNN), Gradient Boosting Machine (GBM), Extreme Gradient Boosting (XGB) and Bagging classifier (BAG). We further compared the performance of these methods; for each algorithm, accuracy, precision, sensitivity, specificity, F1 score, and Area Under Curve (AUC) were calculated. 10,112 participants were recruited between 2014 and 2016, of whom 1246 had T2DM at baseline. 4566 (45%) participants were males, aged between 35 and 70 years. For males, age, sugar consumption, and history of hospitalization were the most weighted variables regarding their importance in screening for T2DM using the GBM model, respectively; these variables were sugar consumption, urine blood, and age for females. GBM outperformed other models for both males and females with AUC of 0.75 (0.69-0.82) and 0.76 (0.71-0.80), and F1 score of 0.33 (0.27-0.39) and 0.42 (0.38-0.46), respectively. GBM also showed a sensitivity of 0.24 (0.19-0.29) and a specificity of 0.98 (0.96-1.0) in males and a sensitivity of 0.38 (0.34-0.42) and specificity of 0.92 (0.89-0.95) in females. Notably, close performance characteristics were detected among other ML models. GBM model might achieve better performance in screening for T2DM in a south Iranian population.</t>
  </si>
  <si>
    <t>Substantial Burden of Nonmedically Attended RSV Infection in Healthy-Term Infants: An International Prospective Birth Cohort Study.</t>
  </si>
  <si>
    <t>Hak, Sarah F; Venekamp, Roderick P; Billard, Marie-Noëlle; van Houten, Marlies A; Pollard, Andrew J; Heikkinen, Terho; Cunningham, Steve; Millar, Margaret; Martinón-Torres, Federico; Dacosta-Urbieta, Ana; Bont, Louis J; Wildenbeest, Joanne G; ,</t>
  </si>
  <si>
    <t>https://pubmed.ncbi.nlm.nih.gov/38424744</t>
  </si>
  <si>
    <t>During the first year of life, 1 in 4 infants develops a symptomatic respiratory syncytial virus (RSV) infection, yet only half seek medical attention. The current focus on medically attended RSV therefore underrepresents the true societal burden of RSV. We assessed the burden of nonmedically attended RSV infections and compared with medically attended RSV. We performed active RSV surveillance until the age of 1 year in a cohort (n = 993) nested within the Respiratory Syncytial Virus Consortium in EUrope (RESCEU) prospective birth cohort study enrolling healthy term-born infants in 5 European countries. Symptoms, medication use, wheezing, and impact on family life were analyzed. For 97 of 120 (80.1%) nonmedically attended RSV episodes, sufficient data were available for analysis. In 50.5% (49/97), symptoms lasted ≥15 days. Parents reported impairment in usual daily activities in 59.8% (58/97) of episodes; worries, 75.3% (73/97); anxiety, 34.0% (33/97); and work absenteeism, 10.8% (10/93). Compared with medically attended RSV (n = 102, 9 hospital admissions), Respiratory Syncytial Virus NETwork (ReSViNET) severity scores were lower (3.5 vs 4.6, P &lt; .001), whereas duration of respiratory symptoms and was comparable. Even when medical attendance is not required, RSV infection poses a substantial burden to infants, families, and society. These findings are important for policy makers when considering the implementation of RSV immunization. Clinical Trials Registration. ClinicalTrials.gov (NCT03627572).</t>
  </si>
  <si>
    <t>Effectiveness of Omicron XBB.1.5 vaccine against infection with SARS-CoV-2 Omicron XBB and JN.1 variants, prospective cohort study, the Netherlands, October 2023 to January 2024.</t>
  </si>
  <si>
    <t>Huiberts, Anne J; Hoeve, Christina E; de Gier, Brechje; Cremer, Jeroen; van der Veer, Bas; de Melker, Hester E; van de Wijgert, Janneke Hhm; van den Hof, Susan; Eggink, Dirk; Knol, Mirjam J</t>
  </si>
  <si>
    <t>euro surveillance bulletin europeen sur les maladies transmissibles european communicable disease bulletin</t>
  </si>
  <si>
    <t>https://pubmed.ncbi.nlm.nih.gov/38456217</t>
  </si>
  <si>
    <t>We estimated vaccine effectiveness (VE) of SARS-CoV-2 Omicron XBB.1.5 vaccination against self-reported infection between 9 October 2023 and 9 January 2024 in 23,895 XBB.1.5 vaccine-eligible adults who had previously received at least one booster. VE was 41% (95% CI: 23-55) in 18-59-year-olds and 50% (95% CI: 44-56) in 60-85-year-olds. Sequencing data suggest lower protection against the BA.2.86 (including JN.1) variant from recent prior infection (OR = 2.8; 95% CI:1.2-6.5) and, not statistically significant, from XBB.1.5 vaccination (OR = 1.5; 95% CI:0.8-2.6).</t>
  </si>
  <si>
    <t>Finding the balance between person-centred and treatment-centred discussions in advance care planning-a qualitative analysis of conversations within the MUTUAL (Multidisciplinary Timely Undertaken Advance Care Planning conversations) intervention using a narrative analysis.</t>
  </si>
  <si>
    <t>van Lummel, Eline V T J; Ietswaard, Larissa; Rigter, Marloes; Tjan, Dave H T; van Delden, Johannes J M; Milota, Megan</t>
  </si>
  <si>
    <t>age and ageing</t>
  </si>
  <si>
    <t>https://pubmed.ncbi.nlm.nih.gov/38452194</t>
  </si>
  <si>
    <t>Advance care planning (ACP) aims to create conditions for more person-centred care. We aimed to explore variations in person-centred care discussions and treatment-centred care discussions within ACP conversations in the Multidisciplinary Timely Undertaken Advance Care Planning (MUTUAL) intervention and how person-centred care discussions could be encouraged. The MUTUAL intervention consists of the following: (i) timely patient selection, (ii) the patient and healthcare professionals preparing for the conversation, (iii) a scripted ACP conversation in a multidisciplinary setting and (iv) documentation. We conducted a narrative analysis of ACP conversations. A narrative summary template was created and used to analyse 18 audio-recordings. We noticed variations in person-centred and treatment-centred focus within the ACP conversations. We identified three important strategies that facilitated person-centred care discussions within ACP conversations. First, healthcare professionals' acceptance that ACP is an individual process. We believe it is important that healthcare professionals recognise and accept where the patient is in his or her individual ACP process; not making decisions right away can also be part of a decisional process. Secondly, exploring the underlying motivation for treatment wishes can give insights into patient's wishes, values and needs. Lastly, healthcare professionals who demonstrated an adaptive, curious and engaged attitude throughout the ACP process achieved more person-centred ACP conversations. This coincided with elaborating on the patient's emotions, fears and worries. Person-centred and treatment-centred focus varied within the ACP conversations in the MUTUAL intervention. Certain strategies by healthcare professionals facilitated a more person-centred focus.</t>
  </si>
  <si>
    <t>Dynamic Prediction of Advanced Colorectal Neoplasia in Inflammatory Bowel Disease.</t>
  </si>
  <si>
    <t>Wijnands, Anouk M; Penning de Vries, Bas B L; Lutgens, Maurice W M D; Bakhshi, Zeinab; Al Bakir, Ibrahim; Beaugerie, Laurent; Bernstein, Charles N; Chang-Ho Choi, Ryan; Coelho-Prabhu, Nayantara; Graham, Trevor A; Hart, Ailsa L; Ten Hove, Joren R; Itzkowitz, Steven H; Kirchgesner, Julien; Mooiweer, Erik; Shaffer, Seth R; Shah, Shailja C; Elias, Sjoerd G; Oldenburg, Bas; ,</t>
  </si>
  <si>
    <t>clinical gastroenterology and hepatology the official clinical practice journal of the american gastroenterological association</t>
  </si>
  <si>
    <t>https://pubmed.ncbi.nlm.nih.gov/38431223</t>
  </si>
  <si>
    <t>Colonoscopic surveillance is recommended in patients with colonic inflammatory bowel disease (IBD) given their increased risk of colorectal cancer (CRC). We aimed to develop and validate a dynamic prediction model for the occurrence of advanced colorectal neoplasia (aCRN, including high-grade dysplasia and CRC) in IBD. We pooled data from 6 existing cohort studies from Canada, The Netherlands, the United Kingdom, and the United States. Patients with IBD and an indication for CRC surveillance were included if they underwent at least 1 follow-up procedure. Exclusion criteria included prior aCRN, prior colectomy, or an unclear indication for surveillance. Predictor variables were selected based on the literature. A dynamic prediction model was developed using a landmarking approach based on Cox proportional hazard modeling. Model performance was assessed with Harrell's concordance-statistic (discrimination) and by calibration curves. Generalizability across surveillance cohorts was evaluated by internal-external cross-validation. The surveillance cohorts comprised 3731 patients, enrolled and followed-up in the time period from 1973 to 2021, with a median follow-up period of 5.7 years (26,336 patient-years of follow-up evaluation); 146 individuals were diagnosed with aCRN. The model contained 8 predictors, with a cross-validation median concordance statistic of 0.74 and 0.75 for a 5- and 10-year prediction window, respectively. Calibration plots showed good calibration. Internal-external cross-validation results showed medium discrimination and reasonable to good calibration. The new prediction model showed good discrimination and calibration, however, generalizability results varied. Future research should focus on formal external validation and relate predicted aCRN risks to surveillance intervals before clinical application.</t>
  </si>
  <si>
    <t>Geospatial and multilevel clustering of zero-dose children in Kikwit, Democratic Republic of the Congo in 2022.</t>
  </si>
  <si>
    <t>Mutwadi, Armand Malembe; Madinga, Joule Ntwan; Vanlerberghe, Veerle; Mbala, Placide K; van der Sande, Marianne A B</t>
  </si>
  <si>
    <t>https://pubmed.ncbi.nlm.nih.gov/38422098</t>
  </si>
  <si>
    <t>Zero-dose children remain highly vulnerable to vaccine-preventable diseases and can sustain transmission even in highly vaccinated populations. The WHO Immunization Agenda 2030 has prioritised reaching out to these children. We assessed the spatial distribution of zero-dose children together with the associated risk factors in a provincial capital in the Democratic Republic of Congo. A cross sectional survey was conducted in the city of Kikwit between September 28 and October 14, 2022. Data were collected both at household and health area level. QGIS and SATscan were used to describe and identify hotspots among zero-dose children, and a mixed effect logistic regression model was used to identify risk factors. Overall, 1,863 children aged 12-23 months were enrolled. Kikwit city had a 16.3% zero-dose prevalence, with significant variation between and within health zones. Two hotspots were identified through geospatial analysis, each spanning multiple health areas. Multilevel analysis revealed significant clustering at health area level and found six associated risk factors. These include the absence of home visits by community health workers (aOR = 1.90), living more than a kilometre from a health centre (aOR = 1.95), the mother's lack of tetanus vaccination (aOR = 3.16), and inability to name a vaccine-preventable disease (aOR = 3.20). However, secondary (aOR = 0.56) or tertiary (aOR = 0.21) education of mothers/guardians and belonging to Bunda (aOR = 0.36) or Mbala (aOR = 0.52) ethnicity reduced the risk of zero-dose. We observed a high prevalence of zero-dose children with a heterogeneous spatial distribution of epidemiological importance. Due to sub-zonal diversity, a health zone approach to reduce zero-dose immunization appears very limited. Zero-dose prevalence was related to the community health workers' home visit, to the distance of residence to a health centre and to household-level factors. Geospatial results could help in targeting priority health areas and communities for vaccination.</t>
  </si>
  <si>
    <t>Evaluation of Less Invasive Sampling Tools for the Diagnosis of Cutaneous Leishmaniasis.</t>
  </si>
  <si>
    <t>van Henten, Saskia; Kassa, Mekibib; Fikre, Helina; Melkamu, Roma; Mekonnen, Tigist; Dessie, Dilargachew; Mulaw, Tadele; Bogale, Tadfe; Engidaw, Asinakew; Yeshanew, Arega; Cnops, Lieselotte; Vogt, Florian; Moons, Karel G M; van Griensven, Johan; Pareyn, Myrthe</t>
  </si>
  <si>
    <t>open forum infectious diseases</t>
  </si>
  <si>
    <t>https://pubmed.ncbi.nlm.nih.gov/38560600</t>
  </si>
  <si>
    <t>Diagnosis of cutaneous leishmaniasis (CL) usually relies on invasive samples, but it is unclear whether more patient-friendly tools are good alternatives for diverse lesions when used with polymerase chain reaction (PCR). Patients with suspected CL were enrolled consecutively in a prospective diagnostic accuracy study. We compared dental broach, tape disc, and microbiopsy samples with PCR as index tests, using PCR with skin slit samples as reference test. Subsequently, we constructed a composite reference test including microscopy, the 3 index tests and skin slit PCR, and we compared these same tests with the composite reference test. We assessed diagnostic accuracy parameters with 95% confidence intervals for all comparisons. Among 344 included patients, 282 (82.0%) had CL diagnosed, and 62 (18.0%) CL absence, by skin slit PCR. The sensitivity and specificity by PCR were 89.0% (95% confidence interval, 84.8%-92.1%) and 58.1% (45.7%-69.5%), respectively, for dental broach, 96.1% (93.2%-97.8%) and 27.4% (17.9%-39.6%) for tape disc, and 74.8% (66.3%-81.7%) and 72.7% (51.8%-86.8%) for microbiopsy. Several reference test-negative patients were consistently positive with the index tests. Using the composite reference test, dental broach, and skin slit had similar diagnostic performance. Dental broach seems a less invasive but similarly accurate alternative to skin slit for diagnosing CL when using PCR. Tape discs lack specificity and seem unsuitable for CL diagnosis without cutoff. Reference tests for CL are problematic, since using a single reference test is likely to miss true cases, while composite reference tests are often biased and impractical as they require multiple tests.</t>
  </si>
  <si>
    <t>Two cosmoses, one universe: a narrative review exploring the gut microbiome's role in the effect of urban risk factors on vascular ageing.</t>
  </si>
  <si>
    <t>Bridge, Lara Anne; Hernández Vargas, Juliana Alexandra; Trujillo-Cáceres, Silvia Juliana; Beigrezaei, Sara; Chatelan, Angeline; Salehi-Abargouei, Amin; Muka, Taulant; Uriza-Pinzón, Julieth Pilar; Raeisi-Dehkordi, Hamidreza; Franco, Oscar H; Grompone, Gianfranco; Artola Arita, Vicente</t>
  </si>
  <si>
    <t>https://pubmed.ncbi.nlm.nih.gov/38471294</t>
  </si>
  <si>
    <t>In the face of rising global urbanisation, understanding how the associated environment and lifestyle impact public health is a cornerstone for prevention, research, and clinical practice. Cardiovascular disease is the leading cause of morbidity and mortality worldwide, with urban risk factors contributing greatly to its burden. The current narrative review adopts an exposome approach to explore the effect of urban-associated physical-chemical factors (such as air pollution) and lifestyle on cardiovascular health and ageing. In addition, we provide new insights into how these urban-related factors alter the gut microbiome, which has been associated with an increased risk of cardiovascular disease. We focus on vascular ageing, before disease onset, to promote preventative research and practice. We also discuss how urban ecosystems and social factors may interact with these pathways and provide suggestions for future research, precision prevention and management of vascular ageing. Most importantly, future research and decision-making would benefit from adopting an exposome approach and acknowledging the diverse and boundless universe of the microbiome.</t>
  </si>
  <si>
    <t>Organoids as a biomarker for personalized treatment in metastatic colorectal cancer: drug screen optimization and correlation with patient response.</t>
  </si>
  <si>
    <t>Smabers, Lidwien P; Wensink, Emerens; Verissimo, Carla S; Koedoot, Esmee; Pitsa, Katerina-Chara; Huismans, Maarten A; Higuera Barón, Celia; Doorn, Mayke; Valkenburg-van Iersel, Liselot B; Cirkel, Geert A; Brousali, Anneta; Overmeer, René; Koopman, Miriam; Braat, Manon N; Penning de Vries, Bas; Elias, Sjoerd G; Vries, Robert G; Kranenburg, Onno; Boj, Sylvia F; Roodhart, Jeanine M</t>
  </si>
  <si>
    <t>journal of experimental clinical cancer research cr</t>
  </si>
  <si>
    <t>https://pubmed.ncbi.nlm.nih.gov/38414064</t>
  </si>
  <si>
    <t>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Our study emphasizes the critical impact of the screening methods for determining correlation between PDO drug screens and mCRC patient outcomes. Our 5-step optimization strategy provides a basis for future research on the clinical utility of PDO screens.</t>
  </si>
  <si>
    <t>Safety Monitoring of COVID-19 Vaccines in Persons with Prior SARS-CoV-2 Infection: A European Multi-Country Study.</t>
  </si>
  <si>
    <t>Ciccimarra, Francesco; Luxi, Nicoletta; Bellitto, Chiara; L'Abbate, Luca; Raethke, Monika; van Hunsel, Florence; Lieber, Thomas; Mulder, Erik; Riefolo, Fabio; Dureau-Pournin, Caroline; Farcas, Andreea; Batel Marques, Francisco; Morton, Kathryn; Roy, Debabrata; Sonderlichová, Simona; Thurin, Nicolas H; Villalobos, Felipe; Sturkenboom, Miriam C; Trifirò, Gianluca</t>
  </si>
  <si>
    <t>vaccines</t>
  </si>
  <si>
    <t>https://pubmed.ncbi.nlm.nih.gov/38543875</t>
  </si>
  <si>
    <t>In all pivotal trials of COVID-19 vaccines, the history of previous SARS-CoV-2 infection was mentioned as one of the main exclusion criteria. In the absence of clinical trials, observational studies are the primary source for evidence generation. This study aims to describe the patient-reported adverse drug reactions (ADRs) following the first COVID-19 vaccination cycle, as well as the administration of booster doses of different vaccine brands, in people with prior SARS-CoV-2 infection, as compared to prior infection-free matched cohorts of vaccinees. A web-based prospective study was conducted collecting vaccinee-reported outcomes through electronic questionnaires from eleven European countries in the period February 2021-February 2023. A baseline questionnaire and up to six follow-up questionnaires collected data on the vaccinee's characteristics, as well as solicited and unsolicited adverse reactions. Overall, 3886 and 902 vaccinees with prior SARS-CoV-2 infection and having received the first dose or a booster dose, respectively, were included in the analysis. After the first dose or booster dose, vaccinees with prior SARS-CoV-2 infection reported at least one ADR at a higher frequency than those matched without prior infection (3470 [89.6%] vs. 2916 [75.3%], and 614 [68.2%] vs. 546 [60.6%], respectively). On the contrary side, after the second dose, vaccinees with a history of SARS-CoV-2 infection reported at least one ADR at a lower frequency, compared to matched controls (1443 [85.0%] vs. 1543 [90.9%]). The median time to onset and the median time to recovery were similar across all doses and cohorts. The frequency of adverse reactions was higher in individuals with prior SARS-CoV-2 infection who received Vaxzevria as the first dose and Spikevax as the second and booster doses. The frequency of serious ADRs was low for all doses and cohorts. Data from this large-scale prospective study of COVID-19 vaccinees could be used to inform people as to the likelihood of adverse effects based on their history of SARS-CoV-2 infection, age, sex, and the type of vaccine administered. In line with pivotal trials, the safety profile of COVID-19 vaccines was also confirmed in people with prior SARS-CoV-2 infection.</t>
  </si>
  <si>
    <t>Both clinical trial register and electronic bibliographic database searches were needed to identify randomized clinical trials for systematic reviews: an evaluation study.</t>
  </si>
  <si>
    <t>Kaul, Tabea; Colombijn, Julia M T; Vernooij, Robin W M; Spijker, Rene; Idema, Demy L; Huis In 't Veld, Linde F; Damen, Johanna A A; Hooft, Lotty</t>
  </si>
  <si>
    <t>https://pubmed.ncbi.nlm.nih.gov/38402998</t>
  </si>
  <si>
    <t>To determine whether clinical trial register (CTR) searches can accurately identify a greater number of completed randomized clinical trials (RCTs) than electronic bibliographic database (EBD) searches for systematic reviews of interventions, and to quantify the number of eligible ongoing trials. We performed an evaluation study and based our search for RCTs on the eligibility criteria of a systematic review that focused on the underrepresentation of people with chronic kidney disease in cardiovascular RCTs. We conducted a combined search of ClinicalTrials.gov and the WHO International Clinical Trials Registry Platform through the Cochrane Central Register of Controlled Trials to identify eligible RCTs registered up to June 1, 2023. We searched Cochrane Central Register of Controlled Trials, EMBASE, and MEDLINE for publications of eligible RCTs published up to June 5, 2023. Finally, we compared the search results to determine the extent to which the two sources identified the same RCTs. We included 92 completed RCTs. Of these, 81 had results available. Sixty-six completed RCTs with available results were identified by both sources (81% agreement [95% CI: 71-88]). We identified seven completed RCTs with results exclusively by CTR search (9% [95% CI: 4-17]) and eight exclusively by EBD search (10% [95% CI: 5-18]). Eleven RCTs were completed but lacked results (four identified by both sources (36% [95% CI: 15-65]), one exclusively by EBD search (9% [95% CI: 1-38]), and six exclusively by CTR search (55% [95% CI: 28-79])). Also, we identified 42 eligible ongoing RCTs: 16 by both sources (38% [95% CI: 25-53]) and 26 exclusively by CTR search (62% [95% CI: 47-75]). Lastly, we identified four RCTs of unknown status by both sources. CTR searches identify a greater number of completed RCTs than EBD searches. Both searches missed some included RCTs. Based on our case study, researchers (eg, information specialists, systematic reviewers) aiming to identify all available RCTs should continue to search both sources. Once the barriers to performing CTR searches alone are targeted, CTR searches may be a suitable alternative.</t>
  </si>
  <si>
    <t>A systematic review of the association between modifiable lifestyle factors and circulating anti-Müllerian hormone.</t>
  </si>
  <si>
    <t>Werner, Lotte; van der Schouw, Yvonne T; de Kat, Annelien C</t>
  </si>
  <si>
    <t>human reproduction update</t>
  </si>
  <si>
    <t>https://pubmed.ncbi.nlm.nih.gov/38402486</t>
  </si>
  <si>
    <t>Levels of anti-Müllerian hormone (AMH) are known to be associated with lifestyle determinants such as smoking and oral contraception (OC) use. When measuring AMH in clinical practice, it is essential to know which factors may influence circulating levels or ovarian reserve in general. To date, there is no systematic review or summarizing consensus of the nature and magnitude of the relation between AMH and modifiable lifestyle factors. The purpose of this review was to systematically assess the evidence on association of lifestyle behaviors with circulating AMH levels. We performed a pre-registered systematic review of publications in Embase and PubMed on the lifestyle factors BMI, smoking, OC use, alcohol consumption, caffeine consumption, physical activity, and waist-hip ratio (WHR) in relation to circulating AMH levels up to 1 November 2023. The search strategy included terms such as 'Anti-Mullerian hormone', 'lifestyle', and 'women'. Studies were considered eligible if the association between at least one of the lifestyle factors of interest and AMH was assessed in adult women. The quality of included studies was assessed using the Study Quality Assessment Tools of the National Heart, Lung, and Blood Institute. The results were presented as ranges of the most frequently used association measure for studies that found a significant association in the same direction. A total of 15 072 records were identified, of which 65 studies were eligible for inclusion, and 66.2% of the studies used a cross-sectional design. The majority of studies investigating BMI, smoking, OC use, and physical activity reported significant inverse associations with AMH levels. For WHR, alcohol, and caffeine use, the majority of studies did not find an association with AMH. For all determinants, the effect measures of the reported associations were heterogeneous. The mean difference in AMH levels per unit increase in BMI ranged from -0.015 to -0.2 ng/ml in studies that found a significant inverse association. The mean difference in AMH levels for current smokers versus non-smokers ranged from -0.4 to -1.1 ng/ml, and -4% to -44%, respectively. For current OC use, results included a range in relative mean differences in AMH levels of -17% to -31.1%, in addition to a decrease of 11 age-standardized percentiles, and an average decrease of 1.97 ng/ml after 9 weeks of OC use. Exercise interventions led to a decrease in AMH levels of 2.8 pmol/l to 13.2 pmol/l after 12 weeks in women with polycystic ovary syndrome or a sedentary lifestyle. Lifestyle factors are associated with differences in AMH levels and thus should be taken into account when interpreting individual AMH measurements. Furthermore, AMH levels can be influenced by the alteration of lifestyle behaviors. While this can be a helpful tool for clinical and lifestyle counseling, the nature of the relation between the observed differences in AMH and the true ovarian reserve remains to be assessed. PROSPERO registration ID: CRD42022322575.</t>
  </si>
  <si>
    <t>Limited incremental predictive value of the frailty index and other vulnerability measures from routine care data for mortality risk prediction in older patients with COVID-19 in primary care.</t>
  </si>
  <si>
    <t>la Roi-Teeuw, Hannah M; Luijken, Kim; Blom, Marieke T; Gussekloo, Jacobijn; Mooijaart, Simon P; Polinder-Bos, Harmke A; van Smeden, Maarten; Geersing, Geert-Jan; van den Dries, Carline J</t>
  </si>
  <si>
    <t>https://pubmed.ncbi.nlm.nih.gov/38395766</t>
  </si>
  <si>
    <t>During the COVID-19 pandemic, older patients in primary care were triaged based on their frailty or assumed vulnerability for poor outcomes, while evidence on the prognostic value of vulnerability measures in COVID-19 patients in primary care was lacking. Still, knowledge on the role of vulnerability is pivotal in understanding the resilience of older people during acute illness, and hence important for future pandemic preparedness. Therefore, we assessed the predictive value of different routine care-based vulnerability measures in addition to age and sex for 28-day mortality in an older primary care population of patients with COVID-19. From primary care medical records using three routinely collected Dutch primary care databases, we included all patients aged 70 years or older with a COVID-19 diagnosis registration in 2020 and 2021. All-cause mortality was predicted using logistic regression based on age and sex only (basic model), and separately adding six vulnerability measures: renal function, cognitive impairment, number of chronic drugs, Charlson Comorbidity Index, Chronic Comorbidity Score, and a Frailty Index. Predictive performance of the basic model and the six vulnerability models was compared in terms of area under the receiver operator characteristic curve (AUC), index of prediction accuracy and the distribution of predicted risks. Of the 4,065 included patients, 9% died within 28 days after COVID-19 diagnosis. Predicted mortality risk ranged between 7-26% for the basic model including age and sex, changing to 4-41% by addition of comorbidity-based vulnerability measures (Charlson Comorbidity Index, Chronic Comorbidity Score), more reflecting impaired organ functioning. Similarly, the AUC of the basic model slightly increased from 0.69 (95%CI 0.66 - 0.72) to 0.74 (95%CI 0.71 - 0.76) by addition of either of these comorbidity scores. Addition of a Frailty Index, renal function, the number of chronic drugs or cognitive impairment yielded no substantial change in predictions. In our dataset of older COVID-19 patients in primary care, the 28-day mortality fraction was substantial at 9%. Six different vulnerability measures had little incremental predictive value in addition to age and sex in predicting short-term mortality.</t>
  </si>
  <si>
    <t>Real-World Evidence to Inform Regulatory Decision Making: A Scoping Review.</t>
  </si>
  <si>
    <t>Jansen, Marieke S; Dekkers, Olaf M; le Cessie, Saskia; Hooft, Lotty; Gardarsdottir, Helga; de Boer, Anthonius; Groenwold, Rolf H H</t>
  </si>
  <si>
    <t>clinical pharmacology and therapeutics</t>
  </si>
  <si>
    <t>https://pubmed.ncbi.nlm.nih.gov/38390633</t>
  </si>
  <si>
    <t>Real-world evidence (RWE) is increasingly considered in regulatory decision making. When, and to which extent, RWE is considered relevant by regulators likely depends on many factors. This review aimed to identify factors that make RWE necessary or desirable to inform regulatory decision making. A scoping review was conducted using literature databases (PubMed, Embase, Emcare, Web of Science, and Cochrane Library) and websites of regulatory agencies, health technology assessment agencies, research institutes, and professional organizations involved with RWE. Articles were included if: (1) they discussed factors or contexts that impact whether RWE could be necessary or desirable in regulatory decision making; (2) focused on pharmacological or biological interventions in humans; and (3) considered decision making in Europe or North America, or without a focus on a specific region. We included 118 articles in the scoping review. Two major themes and six subthemes were identified. The first theme concerns questions addressable with RWE, with subthemes epidemiology and benefit-risk assessment. The second theme concerns contextual factors, with subthemes feasibility, ethical considerations, limitations of available evidence, and disease and treatment-specific aspects. Collectively, these themes encompassed 43 factors influencing the need for RWE in regulatory decisions. Although single factors may not make RWE fully necessary, their cumulative influence could make RWE essential and pivotal in regulatory decision making. This overview contributes to ongoing discussions emphasizing the nuanced interplay of factors influencing the necessity or desirability of RWE to inform regulatory decision making.</t>
  </si>
  <si>
    <t>Search for New Phenomena in Two-Body Invariant Mass Distributions Using Unsupervised Machine Learning for Anomaly Detection at sqrt[s]=13  TeV with the ATLAS Detector.</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</si>
  <si>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t>
  </si>
  <si>
    <t>https://pubmed.ncbi.nlm.nih.gov/38457710</t>
  </si>
  <si>
    <t>Searches for new resonances are performed using an unsupervised anomaly-detection technique. Events with at least one electron or muon are selected from 140  fb^{-1} of pp collisions at sqrt[s]=13  TeV recorded by ATLAS at the Large Hadron Collider. The approach involves training an autoencoder on data, and subsequently defining anomalous regions based on the reconstruction loss of the decoder. Studies focus on nine invariant mass spectra that contain pairs of objects consisting of one light jet or b jet and either one lepton (e,μ), photon, or second light jet or b jet in the anomalous regions. No significant deviations from the background hypotheses are observed. Limits on contributions from generic Gaussian signals with various widths of the resonance mass are obtained for nine invariant masses in the anomalous regions.</t>
  </si>
  <si>
    <t>Shortness of breath as a diagnostic factor for acute coronary syndrome in male and female callers to out-of-hours primary care.</t>
  </si>
  <si>
    <t>Spek, Michelle; Venekamp, Roderick P; Erkelens, Daphne C A; van Smeden, Maarten; Wouters, Loes T C M; den Ruijter, Hester M; Rutten, Frans H; Zwart, Dorien L</t>
  </si>
  <si>
    <t>https://pubmed.ncbi.nlm.nih.gov/37827560</t>
  </si>
  <si>
    <t>Chest discomfort and shortness of breath (SOB) are key symptoms in patients with acute coronary syndrome (ACS). It is, however, unknown whether SOB is valuable for recognising ACS during telephone triage in the out-of-hours primary care (OHS-PC) setting. A cross-sectional study performed in the Netherlands. Telephone triage conversations were analysed of callers with chest discomfort who contacted the OHS-PC between 2014 and 2017, comparing patients with SOB with those who did not report SOB. We determine the relation between SOB and (1) High urgency allocation, (2) ACS and (3) ACS or other life-threatening diseases. Of the 2195 callers with chest discomfort, 1096 (49.9%) reported SOB (43.7% men, 56.3% women). In total, 15.3% men (13.2% in those with SOB) and 8.4% women (9.2% in those with SOB) appeared to have ACS. SOB compared with no SOB was associated with high urgency allocation (75.9% vs 60.8%, OR: 2.03; 95% CI 1.69 to 2.44, multivariable OR (mOR): 2.03; 95% CI 1.69 to 2.44), but not with ACS (10.9% vs 12.0%; OR: 0.90; 95% CI 0.69 to 1.17, mOR: 0.91; 95% CI 0.70 to 1.19) or 'ACS or other life-threatening diseases' (15.0% vs 14.1%; OR: 1.07; 95% CI 0.85 to 1.36, mOR: 1.09; 95% CI 0.86 to 1.38). For women the relation with ACS was 9.2% vs 7.5%, OR: 1.25; 95% CI 0.83 to 1.88, and for men 13.2% vs 17.4%, OR: 0.72; 95% CI 0.51 to 1.02. For 'ACS or other life-threatening diseases', this was 13.0% vs 8.5%, OR: 1.60; 95% CI 1.10 to 2.32 for women, and 7.5% vs 20.8%, OR: 0.81; 95% CI 0.59 to 1.12 for men. Men and women with chest discomfort and SOB who contact the OHS-PC more often receive high urgency than those without SOB. This seems to be adequate in women, but not in men when considering the risk of ACS or other life-threatening diseases.</t>
  </si>
  <si>
    <t>Lipocalin-2 expression identifies an intestinal regulatory neutrophil population during acute graft-versus-host disease.</t>
  </si>
  <si>
    <t>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t>
  </si>
  <si>
    <t>science translational medicine</t>
  </si>
  <si>
    <t>https://pubmed.ncbi.nlm.nih.gov/38381845</t>
  </si>
  <si>
    <t>Acute graft-versus-host disease (aGVHD) is a life-threatening complication of allogeneic hematopoietic cell transplantation (allo-HCT), for which therapeutic options are limited. Strategies to promote intestinal tissue tolerance during aGVHD may improve patient outcomes. Using single-cell RNA sequencing, we identified a lipocalin-2 (LCN2)-expressing neutrophil population in mice with intestinal aGVHD. Transfer of LCN2-overexpressing neutrophils or treatment with recombinant LCN2 reduced aGVHD severity, whereas the lack of epithelial or hematopoietic LCN2 enhanced aGVHD severity and caused microbiome alterations. Mechanistically, LCN2 induced insulin-like growth factor 1 receptor (IGF-1R) signaling in macrophages through the LCN2 receptor SLC22A17, which increased interleukin-10 (IL-10) production and reduced major histocompatibility complex class II (MHCII) expression. Transfer of LCN2-pretreated macrophages reduced aGVHD severity but did not reduce graft-versus-leukemia effects. Furthermore, LCN2 expression correlated with IL-10 expression in intestinal biopsies in multiple cohorts of patients with aGVHD, and LCN2 induced IGF-1R signaling in human macrophages. Collectively, we identified a LCN2-expressing intestinal neutrophil population that reduced aGVHD severity by decreasing MHCII expression and increasing IL-10 production in macrophages. This work provides the foundation for administration of LCN2 as a therapeutic approach for aGVHD.</t>
  </si>
  <si>
    <t>An omics-based machine learning approach to predict diabetes progression: a RHAPSODY study.</t>
  </si>
  <si>
    <t>Slieker, Roderick C; Münch, Magnus; Donnelly, Louise A; Bouland, Gerard A; Dragan, Iulian; Kuznetsov, Dmitry; Elders, Petra J M; Rutter, Guy A; Ibberson, Mark; Pearson, Ewan R; 't Hart, Leen M; van de Wiel, Mark A; Beulens, Joline W J</t>
  </si>
  <si>
    <t>https://pubmed.ncbi.nlm.nih.gov/38374450</t>
  </si>
  <si>
    <t>People with type 2 diabetes are heterogeneous in their disease trajectory, with some progressing more quickly to insulin initiation than others. Although classical biomarkers such as age, HbA&lt;sub&gt;1c&lt;/sub&gt; and diabetes duration are associated with glycaemic progression, it is unclear how well such variables predict insulin initiation or requirement and whether newly identified markers have added predictive value. In two prospective cohort studies as part of IMI-RHAPSODY, we investigated whether clinical variables and three types of molecular markers (metabolites, lipids, proteins) can predict time to insulin requirement using different machine learning approaches (lasso, ridge, GRridge, random forest). Clinical variables included age, sex, HbA&lt;sub&gt;1c&lt;/sub&gt;, HDL-cholesterol and C-peptide. Models were run with unpenalised clinical variables (i.e. always included in the model without weights) or penalised clinical variables, or without clinical variables. Model development was performed in one cohort and the model was applied in a second cohort. Model performance was evaluated using Harrel's C statistic. Of the 585 individuals from the Hoorn Diabetes Care System (DCS) cohort, 69 required insulin during follow-up (1.0-11.4 years); of the 571 individuals in the Genetics of Diabetes Audit and Research in Tayside Scotland (GoDARTS) cohort, 175 required insulin during follow-up (0.3-11.8 years). Overall, the clinical variables and proteins were selected in the different models most often, followed by the metabolites. The most frequently selected clinical variables were HbA&lt;sub&gt;1c&lt;/sub&gt; (18 of the 36 models, 50%), age (15 models, 41.2%) and C-peptide (15 models, 41.2%). Base models (age, sex, BMI, HbA&lt;sub&gt;1c&lt;/sub&gt;) including only clinical variables performed moderately in both the DCS discovery cohort (C statistic 0.71 [95% CI 0.64, 0.79]) and the GoDARTS replication cohort (C 0.71 [95% CI 0.69, 0.75]). A more extensive model including HDL-cholesterol and C-peptide performed better in both cohorts (DCS, C 0.74 [95% CI 0.67, 0.81]; GoDARTS, C 0.73 [95% CI 0.69, 0.77]). Two proteins, lactadherin and proto-oncogene tyrosine-protein kinase receptor, were most consistently selected and slightly improved model performance. Using machine learning approaches, we show that insulin requirement risk can be modestly well predicted by predominantly clinical variables. Inclusion of molecular markers improves the prognostic performance beyond that of clinical variables by up to 5%. Such prognostic models could be useful for identifying people with diabetes at high risk of progressing quickly to treatment intensification. Summary statistics of lipidomic, proteomic and metabolomic data are available from a Shiny dashboard at https://rhapdata-app.vital-it.ch .</t>
  </si>
  <si>
    <t>Is the association between social jetlag and BMI mediated by lifestyle? A cross-sectional survey study in the Dutch general population.</t>
  </si>
  <si>
    <t>Bouman, Emma J; Mackenbach, Joreintje D; Twisk, Jos W R; Raimondo, Laura; Beulens, Joline W J; Elders, Petra J M; Rutters, Femke</t>
  </si>
  <si>
    <t>preventive medicine</t>
  </si>
  <si>
    <t>https://pubmed.ncbi.nlm.nih.gov/38382765</t>
  </si>
  <si>
    <t>Social jetlag is a discordance between the social and biological rhythm and is associated with higher HbA1c, higher BMI, and higher odds of obesity. The pathways that could explain these associations are still debated. This study aims to assess the mediating role of several lifestyle factors in the cross-sectional association between social jetlag and BMI. We used cross-sectional data from 1784 adults from urban areas in the Netherlands, collected in 2019. Social jetlag (difference in midpoint of sleep between week and weekend nights) was categorized as low(&lt;1 h), moderate(1-2h), and high(&gt;2 h). BMI(kg/m&lt;sup&gt;2&lt;/sup&gt;) was calculated from self-reported height and weight. The association between social jetlag and BMI was assessed using linear regression, adjusted for sex, age, education, and sleep duration and stratified for the effect modifier stress (high vs. low). Mediation analysis was performed for self-reported smoking, physical activity, alcohol consumption, and adherence to a healthy diet. High social jetlag was associated with higher BMI (0.69 kg/m&lt;sup&gt;2&lt;/sup&gt;,95%CI 0.05;1.33). This association was stronger in people with high stress (0.93 kg/m&lt;sup&gt;2&lt;/sup&gt;,95%CI 0.09;1.76). Social jetlag was also associated with higher odds of smoking, lower physical activity, higher alcohol consumption, and lower healthy diet adherence. In people with high stress, these factors mediated 10-15% of the association between social jetlag and BMI. Social jetlag is associated with higher BMI and this association is stronger in people with high stress. In people with high stress, healthy diet adherence mediated 12% of this association. Other pathways involved in this association should be further investigated.</t>
  </si>
  <si>
    <t>Response to letter to the editor regarding "External validation of a lung cancer-based prediction model for two-year mortality in esophageal cancer patient cohorts" by M. Berbée et al.</t>
  </si>
  <si>
    <t>Berbée, M; Muijs, C T; Schuit, E</t>
  </si>
  <si>
    <t>radiotherapy and oncology journal of the european society for therapeutic radiology and oncology</t>
  </si>
  <si>
    <t>https://pubmed.ncbi.nlm.nih.gov/38373573</t>
  </si>
  <si>
    <t>Harnessing the Potential of Real-World Evidence in the Treatment of Colorectal Cancer: Where Do We Stand?</t>
  </si>
  <si>
    <t>van Nassau, Sietske C M W; Bol, Guus M; van der Baan, Frederieke H; Roodhart, Jeanine M L; Vink, Geraldine R; Punt, Cornelis J A; May, Anne M; Koopman, Miriam; Derksen, Jeroen W G</t>
  </si>
  <si>
    <t>current treatment options in oncology</t>
  </si>
  <si>
    <t>https://pubmed.ncbi.nlm.nih.gov/38367182</t>
  </si>
  <si>
    <t>Treatment guidelines for colorectal cancer (CRC) are primarily based on the results of randomized clinical trials (RCTs), the gold standard methodology to evaluate safety and efficacy of oncological treatments. However, generalizability of trial results is often limited due to stringent eligibility criteria, underrepresentation of specific populations, and more heterogeneity in clinical practice. This may result in an efficacy-effectiveness gap and uncertainty regarding meaningful benefit versus treatment harm. Meanwhile, conduct of traditional RCTs has become increasingly challenging due to identification of a growing number of (small) molecular subtypes. These challenges-combined with the digitalization of health records-have led to growing interest in use of real-world data (RWD) to complement evidence from RCTs. RWD is used to evaluate epidemiological trends, quality of care, treatment effectiveness, long-term (rare) safety, and quality of life (QoL) measures. In addition, RWD is increasingly considered in decision-making by clinicians, regulators, and payers. In this narrative review, we elaborate on these applications in CRC, and provide illustrative examples. As long as the quality of RWD is safeguarded, ongoing developments, such as common data models, federated learning, and predictive modelling, will further unfold its potential. First, whenever possible, we recommend conducting pragmatic trials, such as registry-based RCTs, to optimize generalizability and answer clinical questions that are not addressed in registrational trials. Second, we argue that marketing approval should be conditional for patients who would have been ineligible for the registrational trial, awaiting planned (non) randomized evaluation of outcomes in the real world. Third, high-quality effectiveness results should be incorporated in treatment guidelines to aid in patient counseling. We believe that a coordinated effort from all stakeholders is essential to improve the quality of RWD, create a learning healthcare system with optimal use of trials and real-world evidence (RWE), and ultimately ensure personalized care for every CRC patient.</t>
  </si>
  <si>
    <t>How do patients with rheumatoid arthritis perceive their self-care and self-care support? A mixed-method study.</t>
  </si>
  <si>
    <t>Westland, Heleen; Kuiper, Stefan; van den Bovenkamp, Cheryl; Blaas, Etienne; Jaarsma, Tiny</t>
  </si>
  <si>
    <t>https://pubmed.ncbi.nlm.nih.gov/38366696</t>
  </si>
  <si>
    <t>To explore self-care and needs and preferences towards tailored self-care support of patients with rheumatoid arthritis at the outpatient clinic. A sequential explanatory mixed method design. The Self-Care of Chronic Illness Inventory questionnaire, two focus groups and six semi-structured interviews were conducted between November 2021 and April 2023. Questionnaires of 107 patients were descriptively analysed. Subsequently, 11 patients and 2 healthcare professionals participated in the focus groups and 6 patients in the interviews, which were thematically analysed. Quantitative and qualitative data corresponded and showed that patients perform various self-care activities at an adequate level and have strategies to exert control and reduce symptoms. One key theme emerged: 'Not only being the person with rheumatoid arthritis' (RA) as patients primarily aim to get on with their lives. Nine subthemes covered self-care activities for maintaining health including staying physically active, finding the right medication and dose and adapting their diet. Patients differed in how they self-monitored their symptoms. Recognizing symptoms and finding strategies to manage symptoms included the process of body listening in which patient seek and try different strategies to find what works for them and incorporate routines. Patients experienced positive effects of a warm or cold environment. Patients felt the need for practical and emotional support from others and preferred having credible information. Patients perform adequate self-care including a diversity of self-care activities to get on with their lives and have strategies to reduce and control the symptoms and impact of RA. Tailoring self-care support to patients' individual needs and preferences is necessary to help patients cope with the erratic nature of the disease and maintain their quality of life. Healthcare providers need to provide practical and emotional support and use credible information to allow patients to make self-care decisions to manage their lives. Quantitative finding are reported according to the STROBE guidelines and qualitative finding are reported according to the COREQ guidelines. Patients perform various self-care activities at an adequate level and have strategies to exert control and reduce symptoms. Patients primarily aim to continue their lives and not being seen as the person with rheumatoid arthritis. Healthcare professionals need to provide practical and emotional support and use credible information to inform patients' self-care decision-making. No patient or public contribution.</t>
  </si>
  <si>
    <t>Hope, but never expect? Comparing parents' pre- and post-disclosure attitudes toward return of results from diagnostic exome sequencing for their child.</t>
  </si>
  <si>
    <t>Cornelis, Candice; Tibben, Aad; Brilstra, Eva; Bolt, Ineke; van Summeren, Marieke; Knoers, Nine; Bredenoord, Annelien L</t>
  </si>
  <si>
    <t>molecular genetics genomic medicine</t>
  </si>
  <si>
    <t>https://pubmed.ncbi.nlm.nih.gov/38366804</t>
  </si>
  <si>
    <t>Counseling for whole-exome sequencing (WES) could benefit from aligning parents' pre- and post-disclosure attitudes. A few studies have qualitatively compared parents' pre- and post-disclosure attitudes toward receiving WES results for their child in a diagnostic setting. This study explored these attitudes in the context of children with a developmental delay. Semi-structured interviews were conducted with parents (n = 27) of 16 children undergoing diagnostic WES in trio-analysis, both before and after receiving results. Three key insights emerged. First, the distinction between hoping and expecting was relevant for shaping parents' experiences with receiving results related to the primary indication. Second, parents of young children whose development of autonomous capacities was uncertain sometimes found themselves in a situation resembling a Catch-22 when confronted with decisions about unsolicited findings (UFs): an important reason for consenting to WES was to gain a better picture of how the child might develop, but in order to make responsible choices about UFs, some ideas of their child's development is needed. Third, default opt-ins and opt-outs helped parents fathom new kinds of considerations for accepting or declining UFs in different categories, thereby aiding decision-making. Results from this study are relevant for counseling and policy development.</t>
  </si>
  <si>
    <t>A Federated Database for Obesity Research: An IMI-SOPHIA Study.</t>
  </si>
  <si>
    <t>Delfin, Carl; Dragan, Iulian; Kuznetsov, Dmitry; Tajes, Juan Fernandez; Smit, Femke; Coral, Daniel E; Farzaneh, Ali; Haugg, André; Hungele, Andreas; Niknejad, Anne; Hall, Christopher; Jacobs, Daan; Marek, Diana; Fraser, Diane P; Thuillier, Dorothee; Ahmadizar, Fariba; Mehl, Florence; Pattou, Francois; Burdet, Frederic; Hawkes, Gareth; Arts, Ilja C W; Blanch, Jordi; Van Soest, Johan; Fernández-Real, José-Manuel; Boehl, Juergen; Fink, Katharina; van Greevenbroek, Marleen M J; Kavousi, Maryam; Minten, Michiel; Prinz, Nicole; Ipsen, Niels; Franks, Paul W; Ramos, Rafael; Holl, Reinhard W; Horban, Scott; Duarte-Salles, Talita; Tran, Van Du T; Raverdy, Violeta; Leal, Yenny; Lenart, Adam; Pearson, Ewan; Sparsø, Thomas; Giordano, Giuseppe N; Ioannidis, Vassilios; Soh, Keng; Frayling, Timothy M; Le Roux, Carel W; Ibberson, Mark</t>
  </si>
  <si>
    <t>life basel switzerland</t>
  </si>
  <si>
    <t>https://pubmed.ncbi.nlm.nih.gov/38398771</t>
  </si>
  <si>
    <t>Obesity is considered by many as a lifestyle choice rather than a chronic progressive disease. The Innovative Medicines Initiative (IMI) SOPHIA (Stratification of Obesity Phenotypes to Optimize Future Obesity Therapy) project is part of a momentum shift aiming to provide better tools for the stratification of people with obesity according to disease risk and treatment response. One of the challenges to achieving these goals is that many clinical cohorts are siloed, limiting the potential of combined data for biomarker discovery. In SOPHIA, we have addressed this challenge by setting up a federated database building on open-source DataSHIELD technology. The database currently federates 16 cohorts that are accessible via a central gateway. The database is multi-modal, including research studies, clinical trials, and routine health data, and is accessed using the R statistical programming environment where statistical and machine learning analyses can be performed at a distance without any disclosure of patient-level data. We demonstrate the use of the database by providing a proof-of-concept analysis, performing a federated linear model of BMI and systolic blood pressure, pooling all data from 16 studies virtually without any analyst seeing individual patient-level data. This analysis provided similar point estimates compared to a meta-analysis of the 16 individual studies. Our approach provides a benchmark for reproducible, safe federated analyses across multiple study types provided by multiple stakeholders.</t>
  </si>
  <si>
    <t>Higher-valency pneumococcal conjugate vaccines in older adults, taking into account indirect effects from childhood vaccination: a cost-effectiveness study for the Netherlands.</t>
  </si>
  <si>
    <t>de Boer, Pieter T; van Werkhoven, Cornelis H; van Hoek, Albert Jan; Knol, Mirjam J; Sanders, Elisabeth A M; Wallinga, Jacco; de Melker, Hester E; Steens, Anneke</t>
  </si>
  <si>
    <t>https://pubmed.ncbi.nlm.nih.gov/38360645</t>
  </si>
  <si>
    <t>New 15- and 20-valent pneumococcal vaccines (PCV15, PCV20) are available for both children and adults, while PCV21 for adults is in development. However, their cost-effectiveness for older adults, taking into account indirect protection and serotype replacement from a switch to PCV15 and PCV20 in childhood vaccination, remains unexamined. We used a static model for the Netherlands to assess the cost-effectiveness of different strategies with 23-valent pneumococcal polysaccharide vaccine (PPV23), PCV15, PCV20, and PCV21 for a 65-year-old cohort from a societal perspective, over a 15-year time horizon. Childhood vaccination was varied from PCV10 to PCV13, PCV15, and PCV20. Indirect protection was assumed to reduce the incidence of vaccine serotypes in older adults by 80% (except for serotype 3, no effect), completely offset by an increase in non-vaccine serotype incidence due to serotype replacement. Indirect effects from childhood vaccination reduced the cost-effectiveness of vaccination of older adults, depending on the serotype overlap between the vaccines. With PCV10, PCV13, or PCV15 in children, PCV20 was more effective and less costly for older adults than PPV23 and PCV15. PCV20 costs approximately €10,000 per quality-adjusted life year (QALY) gained compared to no pneumococcal vaccination, which falls below the conventional Dutch €20,000/QALY gained threshold. However, with PCV20 in children, PCV20 was no longer considered cost-effective for older adults, costing €22,550/QALY gained. As indirect effects progressed over time, the cost-effectiveness of PCV20 for older adults further diminished for newly vaccinated cohorts. PPV23 was more cost-effective than PCV20 for cohorts vaccinated 3 years after the switch to PCV20 in children. PCV21 offered the most QALY gains, and its cost-effectiveness was minimally affected by indirect effects due to its coverage of 11 different serotypes compared to PCV20. For long-term cost-effectiveness in the Netherlands, the pneumococcal vaccine for older adults should either include invasive serotypes not covered by childhood vaccination or become more affordable than its current pricing for individual use.</t>
  </si>
  <si>
    <t>Imaging of intracranial arterial disease: a comparison between MRI and unenhanced CT.</t>
  </si>
  <si>
    <t>Lucci, Carlo; Rissanen, Ina; Takx, Richard A P; van der Kolk, Anja G; Harteveld, Anita A; Dankbaar, Jan W; Geerlings, Mirjam I; de Jong, Pim A; Hendrikse, Jeroen</t>
  </si>
  <si>
    <t>frontiers in radiology</t>
  </si>
  <si>
    <t>https://pubmed.ncbi.nlm.nih.gov/38426079</t>
  </si>
  <si>
    <t>Arterial calcifications on unenhanced CT scans and vessel wall lesions on MRI are often used interchangeably to portray intracranial arterial disease. However, the extent of pathology depicted with each technique is unclear. We investigated the presence and distribution of these two imaging findings in patients with a history of cerebrovascular disease. We analyzed CT and MRI data from 78 patients admitted for stroke or TIA at our institution. Vessel wall lesions were assessed on 7 T MRI sequences, while arterial calcifications were assessed on CT scans. The number of vessel wall lesions, severity of intracranial internal carotid artery (iICA) calcifications, and overall presence and distribution of the two imaging findings were visually assessed in the intracranial arteries. At least one vessel wall lesion or arterial calcification was assessed in 69 (88%) patients. Only the iICA and vertebral arteries (VA) showed a substantial number of both calcifications and vessel wall lesions. The other vessels showed almost exclusively vessel wall lesions. The number of vessel wall lesions was associated with the severity of iICA calcification (&lt;i&gt;p&lt;/i&gt; = 0.013). The number of vessel wall lesions increases with the severity of iICA calcifications. Nonetheless, the distribution of vessel wall lesions on MRI and arterial calcifications on CT shows remarkable differences. These findings support the need for a combined approach to examine intracranial arterial disease.</t>
  </si>
  <si>
    <t>Correlation between Histopathological Prognostic Tumor Characteristics and [&lt;sup&gt;18&lt;/sup&gt;F]FDG Uptake in Corresponding Metastases in Newly Diagnosed Metastatic Breast Cancer.</t>
  </si>
  <si>
    <t>Boers, Jorianne; Eisses, Bertha; Zwager, Mieke C; van Geel, Jasper J L; Bensch, Frederike; de Vries, Erik F J; Hospers, Geke A P; Glaudemans, Andor W J M; Brouwers, Adrienne H; den Dekker, Martijn A M; Elias, Sjoerd G; Kuip, Evelien J M; van Herpen, Carla M L; Jager, Agnes; van der Veldt, Astrid A M; Oprea-Lager, Daniela E; de Vries, Elisabeth G E; van der Vegt, Bert; Menke-van der Houven van Oordt, Willemien C; Schröder, Carolina P; ,</t>
  </si>
  <si>
    <t>diagnostics basel switzerland</t>
  </si>
  <si>
    <t>https://pubmed.ncbi.nlm.nih.gov/38396455</t>
  </si>
  <si>
    <t>In metastatic breast cancer (MBC), [&lt;sup&gt;18&lt;/sup&gt;F]fluorodeoxyglucose positron emission tomography/computed tomography ([&lt;sup&gt;18&lt;/sup&gt;F]FDG-PET/CT) can be used for staging. We evaluated the correlation between BC histopathological characteristics and [&lt;sup&gt;18&lt;/sup&gt;F]FDG uptake in corresponding metastases. Patients with non-rapidly progressive MBC of all subtypes prospectively underwent a baseline histological metastasis biopsy and [&lt;sup&gt;18&lt;/sup&gt;F]FDG-PET. Biopsies were assessed for estrogen, progesterone, and human epidermal growth factor receptor 2 (ER, PR, HER2); Ki-67; and histological subtype. [&lt;sup&gt;18&lt;/sup&gt;F]FDG uptake was expressed as maximum standardized uptake value (SUV&lt;sub&gt;max&lt;/sub&gt;) and results were expressed as geometric means. Of 200 patients, 188 had evaluable metastasis biopsies, and 182 of these contained tumor. HER2 positivity and Ki-67 ≥ 20% were correlated with higher [&lt;sup&gt;18&lt;/sup&gt;F]FDG uptake (estimated geometric mean SUV&lt;sub&gt;max&lt;/sub&gt; 10.0 and 8.8, respectively; &lt;i&gt;p&lt;/i&gt; = 0.0064 and &lt;i&gt;p&lt;/i&gt; = 0.014). [&lt;sup&gt;18&lt;/sup&gt;F]FDG uptake was lowest in ER-positive/HER2-negative BC and highest in HER2-positive BC (geometric mean SUV&lt;sub&gt;max&lt;/sub&gt; 6.8 and 10.0, respectively; &lt;i&gt;p&lt;/i&gt; = 0.0058). Although [&lt;sup&gt;18&lt;/sup&gt;F]FDG uptake was lower in invasive lobular carcinoma (&lt;i&gt;n&lt;/i&gt; = 31) than invasive carcinoma NST (&lt;i&gt;n&lt;/i&gt; = 146) (estimated geometric mean SUV&lt;sub&gt;max&lt;/sub&gt; 5.8 versus 7.8; &lt;i&gt;p&lt;/i&gt; = 0.014), the metastasis detection rate was similar. [&lt;sup&gt;18&lt;/sup&gt;F]FDG-PET is a powerful tool to detect metastases, including invasive lobular carcinoma. Although BC histopathological characteristics are related to [&lt;sup&gt;18&lt;/sup&gt;F]FDG uptake, [&lt;sup&gt;18&lt;/sup&gt;F]FDG-PET and biopsy remain complementary in MBC staging (NCT01957332).</t>
  </si>
  <si>
    <t>Determinants of Dutch public health professionals' intention to use digital contact tracing support tools: A cross-sectional online questionnaire study.</t>
  </si>
  <si>
    <t>Helms, Yannick B; Stein, Mart L; Hamdiui, Nora; van der Meer, Akke; Ferreira, José A; Crutzen, Rik; Timen, Aura; Kretzschmar, Mirjam E E</t>
  </si>
  <si>
    <t>plos digital health</t>
  </si>
  <si>
    <t>https://pubmed.ncbi.nlm.nih.gov/38354119</t>
  </si>
  <si>
    <t>Contact tracing (CT) can be a resource intensive task for public health services. To alleviate their workload and potentially accelerate the CT-process, public health professionals (PHPs) may transfer some tasks in the identification, notification, and monitoring of contacts to cases and their contacts themselves, using 'digital contact tracing support tools' (DCTS-tools). In this study, we aimed to identify determinants of PHPs' intention to use DCTS-tools. Between February and April 2022, we performed a cross-sectional online questionnaire study among PHPs involved in CT for COVID-19 in the Netherlands. We built three random forest models to identify determinants of PHPs' intention to use DCTS-tools for the identification, notification, and monitoring of contacts, respectively. The online questionnaire was completed by 641 PHPs. Most respondents had a positive intention towards using DCTS-tools for the identification (64.5%), notification (58%), and monitoring (55.2%) of contacts. Random forest models were able to correctly predict the intention of 81%, 80%, and 81% of respondents to use DCTS-tools for the identification, notification, and monitoring of contacts, respectively. Top-determinants of having a positive intention are the anticipated effect of DCTS-tools on the feasibility and efficiency of CT (speed, workload, difficulty), the degree to which PHPs anticipated that cases and contacts may find it pleasant and may be willing to participate in CT using DCTS-tools, and the degree to which PHPs anticipated that cases and contacts are sufficiently supported in CT when using DCTS-tools. Most PHPs have a positive intention to involve cases and their contacts in the identification, notification, and monitoring stages of the CT-process through DCTS-tools. The identified top-determinants should be prioritized in the (future) development and implementation of DCTS-tools in public health practice. Citizens' perspectives on the use of DCTS-tools should be investigated in future research.</t>
  </si>
  <si>
    <t>Plasma Markers of Alzheimer's Disease Pathology, Neuronal Injury, and Astrocytic Activation and MRI Load of Vascular Pathology and Neurodegeneration: The SMART-MR Study.</t>
  </si>
  <si>
    <t>Twait, Emma L; Gerritsen, Lotte; Moonen, Justine E F; Verberk, Inge M W; Teunissen, Charlotte E; Visser, Pieter Jelle; van der Flier, Wiesje M; Geerlings, Mirjam I; ,</t>
  </si>
  <si>
    <t>journal of the american heart association</t>
  </si>
  <si>
    <t>https://pubmed.ncbi.nlm.nih.gov/38353228</t>
  </si>
  <si>
    <t>Two of the main causes for dementia are Alzheimer's disease (AD) and vascular pathology, with most patients showing mixed pathology. Plasma biomarkers for Alzheimer's disease-related pathology have recently emerged, including Aβ (amyloid-beta), p-tau (phosphorylated tau), NfL (neurofilament light), and GFAP (glial fibrillary acidic protein). There is a current gap in the literature regarding whether there is an association between these plasma biomarkers with vascular pathology and neurodegeneration. Cross-sectional data from 594 individuals (mean [SD] age: 64 [8] years; 17% female) were included from the SMART-MR (Second Manifestations of Arterial Disease-Magnetic Resonance) study, a prospective cohort study of individuals with a history of arterial disease. Plasma markers were assessed using single molecular array assays (Quanterix). Magnetic resonance imaging markers included white matter hyperintensity volume, presence of infarcts (yes/no), total brain volume, and hippocampal volume assessed on 1.5T magnetic resonance imaging. Linear regressions were performed for each standardized plasma marker with white matter hyperintensity volume, total brain volume, and hippocampal volume as separate outcomes, correcting for age, sex, education, and intracranial volume. Logistic regressions were performed for the presence of lacunar and cortical infarcts. Higher p-tau181 was associated with larger white matter hyperintensity volume (&lt;i&gt;b&lt;/i&gt; per SD increase=0.16 [95% CI, 0.06-0.26], &lt;i&gt;P&lt;/i&gt;=0.015). Higher NfL (&lt;i&gt;b&lt;/i&gt;=-5.63, [95% CI, -8.95 to -2.31], &lt;i&gt;P&lt;/i&gt;=0.015) was associated with lower total brain volume and the presence of infarcts (odds ratio [OR], 1.42 [95% CI, 1.13-1.78], &lt;i&gt;P&lt;/i&gt;=0.039). Higher GFAP levels were associated with cortical infarcts (OR, 1.45 [95% CI, 1.09-1.92], &lt;i&gt;P&lt;/i&gt;=0.010). Plasma biomarkers that have been associated with tau pathology, axonal injury, and astrocytic activation are related to magnetic resonance imagingmarkers of vascular pathology and neurodegeneration in patients with manifest arterial disease.</t>
  </si>
  <si>
    <t>Heart failure with preserved ejection fraction: everything the clinician needs to know.</t>
  </si>
  <si>
    <t>Campbell, Patricia; Rutten, Frans H; Lee, Matthew My; Hawkins, Nathaniel M; Petrie, Mark C</t>
  </si>
  <si>
    <t>lancet london england</t>
  </si>
  <si>
    <t>https://pubmed.ncbi.nlm.nih.gov/38367642</t>
  </si>
  <si>
    <t>Heart failure with preserved ejection fraction (HFpEF) is increasingly recognised and diagnosed in clinical practice, a trend driven by an ageing population and a rise in contributing comorbidities, such as obesity and diabetes. Representing at least half of all heart failure cases, HFpEF is recognised as a complex clinical syndrome. Its diagnosis and management are challenging due to its diverse pathophysiology, varied epidemiological patterns, and evolving diagnostic and treatment approaches. This Seminar synthesises the latest insights on HFpEF, integrating findings from recent clinical trials, epidemiological research, and the latest guideline recommendations. We delve into the definition, pathogenesis, epidemiology, diagnostic criteria, and management strategies (non-pharmacological and pharmacological) for HFpEF. We highlight ongoing clinical trials and future developments in the field. Specifically, this Seminar offers practical guidance tailored for primary care practitioners, generalists, and cardiologists who do not specialise in heart failure, simplifying the complexities in the diagnosis and management of HFpEF. We provide practical, evidence-based recommendations, emphasising the importance of addressing comorbidities and integrating the latest pharmacological treatments, such as SGLT2 inhibitors.</t>
  </si>
  <si>
    <t>Nutri-Score 2023 update.</t>
  </si>
  <si>
    <t>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t>
  </si>
  <si>
    <t>nature food</t>
  </si>
  <si>
    <t>https://pubmed.ncbi.nlm.nih.gov/38356074</t>
  </si>
  <si>
    <t>In 2023, the algorithm underlying the Nutri-Score front-of-pack label was updated to better align with food-based dietary guidelines (FBDGs) across countries engaged in the system. On the basis of a comparison of FBDGs and literature reviews with the current Nutri-Score classification, modification scenarios were developed and tested in nutritional composition databases of branded products in four countries. The updated Nutri-Score nutrient profile model allows a better discrimination between products, in closer alignment with FBDGs, while the updated algorithm adopts a stricter approach for products that are high in components of concern (including non-nutritive sweeteners) and low in favourable dietary components. The updated Nutri-Score algorithm increases the alignment between the front-of-pack label system and FBDGs, strengthening its potential as a complementary public health tool in an international perspective.</t>
  </si>
  <si>
    <t>Breaking the chains of lipoprotein lipase deficiency: A pediatric perspective on the efficacy and safety of Volanesorsen.</t>
  </si>
  <si>
    <t>den Hollander, Bibiche; Brands, Marion M; Nijhuis, Ilse J M; Doude van Troostwijk, Lous J A E; van Essen, Peter; Hofsteenge, Ageeth H; Koot, Bart G; Müller, Annelieke R; Tseng, Laura A; Stroes, Erik S G; van de Ven, Peter M; Wiegman, Albert; van Karnebeek, Clara D M</t>
  </si>
  <si>
    <t>molecular genetics and metabolism</t>
  </si>
  <si>
    <t>https://pubmed.ncbi.nlm.nih.gov/38401382</t>
  </si>
  <si>
    <t>Lipoprotein lipase (LPL) deficiency, a rare inherited metabolic disorder, is characterized by high triglyceride (TG) levels and life-threatening acute pancreatitis. Current treatment for pediatric patients involves a lifelong severely fat-restricted diet, posing adherence challenges. Volanesorsen, an EMA-approved RNA therapy for adults, effectively reduces TG levels by decreasing the production of apolipoprotein C-III. This 96-week observational open-label study explores Volanesorsen's safety and efficacy in a 13-year-old female with LPL deficiency. The patient, with a history of severe TG elevations, 53 hospital admissions, and life-threatening recurrent pancreatitis despite dietary restrictions, received weekly subcutaneous Volanesorsen injections. We designed a protocol for this investigator-initiated study, primarily focusing on changes in fasting TG levels and hospital admissions. While the injections caused occasional pain and swelling, no other adverse events were observed. TG levels decreased during treatment, with more measurements below the pancreatitis risk threshold compared to pre-treatment. No hospital admissions occurred in the initial 14 months of treatment, contrasting with 21 admissions in the 96 weeks before. In the past 10 months, two pancreatitis episodes may have been linked to dietary noncompliance. Dietary restrictions were relaxed, increasing fat intake by 65% compared to baseline. While not fully reflected in the PedsQL, both parents and the patient narratively reported an improved quality of life. This study demonstrates, for the first time, that Volanesorsen is tolerated in a pediatric patient with severe LPL deficiency and effectively lowers TG levels, preventing life-threatening complications. This warrants consideration for expanded access in this population.</t>
  </si>
  <si>
    <t>Substituting Low-Calorie Sweetened Beverages for Sugar-Sweetened Beverages to Prevent Obesity and Cardiometabolic Diseases: Still a Good Idea?</t>
  </si>
  <si>
    <t>Chatelan, Angeline; Raeisi-Dehkordi, Hamidreza; Salehi-Abargouei, Amin</t>
  </si>
  <si>
    <t>current developments in nutrition</t>
  </si>
  <si>
    <t>https://pubmed.ncbi.nlm.nih.gov/38440361</t>
  </si>
  <si>
    <t>Low-calorie sweeteners (LCSs) and LCS-containing beverages have been proposed as appropriate substitutes for caloric sugars in recent years. In this Perspective, we highlight the recent findings from observational and interventional studies, focusing on obesity, gut microbiome, and cardiometabolic health. We provide public health actors and health care professionals with an insightful overview of recent evidence to bridge the gap between research and practice.</t>
  </si>
  <si>
    <t>COVID-19 and pregnancy: A European study on pre- and post-infection medication use.</t>
  </si>
  <si>
    <t>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t>
  </si>
  <si>
    <t>https://pubmed.ncbi.nlm.nih.gov/38347228</t>
  </si>
  <si>
    <t>The COVID-19 pandemic has impacted medication needs and prescribing practices, including those affecting pregnant women. Our goal was to investigate patterns of medication use among pregnant women with COVID-19, focusing on variations by trimester of infection and location. We conducted an observational study using six electronic healthcare databases from six European regions (Aragon/Spain; France; Norway; Tuscany, Italy; Valencia/Spain; and Wales/UK). The prevalence of primary care prescribing or dispensing was compared in the 30-day periods before and after a positive COVID-19 test or diagnosis. The study included 294,126 pregnant women, of whom 8943 (3.0%) tested positive for, or were diagnosed with, COVID-19 during their pregnancy. A significantly higher use of antithrombotic medications was observed particularly after COVID-19 infection in the second and third trimesters. The highest increase was observed in the Valencia region where use of antithrombotic medications in the third trimester increased from 3.8% before COVID-19 to 61.9% after the infection. Increases in other countries were lower; for example, in Norway, the prevalence of antithrombotic medication use changed from around 1-2% before to around 6% after COVID-19 in the third trimester. Smaller and less consistent increases were observed in the use of other drug classes, such as antimicrobials and systemic corticosteroids. Our findings highlight the substantial impact of COVID-19 on primary care medication use among pregnant women, with a marked increase in the use of antithrombotic medications post-COVID-19. These results underscore the need for further research to understand the broader implications of these patterns on maternal and neonatal/fetal health outcomes.</t>
  </si>
  <si>
    <t>Metrics reloaded: recommendations for image analysis validation.</t>
  </si>
  <si>
    <t xml:space="preserve">Maier-Hein, Lena; Reinke, Annika; Godau, Patrick; Tizabi, Minu D; Buettner, Florian; Christodoulou, Evangelia; Glocker, Ben; Isensee, Fabian; Kleesiek, Jens; Kozubek, Michal; Reyes, Mauricio; Riegler, Michael A; Wiesenfarth, Manuel; Kavur, A Emre; Sudre, Carole H; Baumgartner, Michael; Eisenmann, Matthias; Heckmann-Nötzel, Doreen; Rädsch, Tim; Acion, Laura; Antonelli, Michela; Arbel, Tal; Bakas, Spyridon; Benis, Arriel; Blaschko, Matthew B; Cardoso, M Jorge; Cheplygina, Veronika; Cimini, Beth A; Collins, Gary S; Farahani, Keyvan; Ferrer, Luciana; Galdran, Adrian; van Ginneken, Bram; Haase, Robert; Hashimoto, Daniel A; Hoffman, Michael M; Huisman, Merel; Jannin, Pierre; Kahn, Charles E; Kainmueller, Dagmar; Kainz, Bernhard; Karargyris, Alexandros; Karthikesalingam, Alan; Kofler, Florian; Kopp-Schneider, Annette; Kreshuk, Anna; Kurc, Tahsin; Landman, Bennett A; Litjens, Geert; Madani, Amin; Maier-Hein, Klaus; Martel, Anne L; Mattson, Peter; Meijering, Erik; Menze, Bjoern; Moons, Karel G </t>
  </si>
  <si>
    <t>nature methods</t>
  </si>
  <si>
    <t>https://pubmed.ncbi.nlm.nih.gov/38347141</t>
  </si>
  <si>
    <t>Increasing evidence shows that flaws in machine learning (ML) algorithm validation are an underestimated global problem. In biomedical image analysis, chosen performance metrics often do not reflect the domain interest, and thus fail to adequately measure scientific progress and hinder translation of ML techniques into practice. To overcome this, we created Metrics Reloaded, a comprehensive framework guiding researchers in the problem-aware selection of metrics. Developed by a large international consortium in a multistage Delphi process, it is based on the novel concept of a problem fingerprint-a structured representation of the given problem that captures all aspects that are relevant for metric selection, from the domain interest to the properties of the target structure(s), dataset and algorithm output. On the basis of the problem fingerprint, users are guided through the process of choosing and applying appropriate validation metrics while being made aware of potential pitfalls. Metrics Reloaded targets image analysis problems that can be interpreted as classification tasks at image, object or pixel level, namely image-level classification, object detection, semantic segmentation and instance segmentation tasks. To improve the user experience, we implemented the framework in the Metrics Reloaded online tool. Following the convergence of ML methodology across application domains, Metrics Reloaded fosters the convergence of validation methodology. Its applicability is demonstrated for various biomedical use cases.</t>
  </si>
  <si>
    <t>Understanding metric-related pitfalls in image analysis validation.</t>
  </si>
  <si>
    <t>Reinke, Annika; Tizabi, Minu D; Baumgartner, Michael; Eisenmann, Matthias; Heckmann-Nötzel, Doreen; Kavur, A Emre; Rädsch, Tim; Sudre, Carole H; Acion, Laura; Antonelli, Michela; Arbel, Tal; Bakas, Spyridon; Benis, Arriel; Buettner, Florian; Cardoso, M Jorge; Cheplygina, Veronika; Chen, Jianxu; Christodoulou, Evangelia; Cimini, Beth A; Farahani, Keyvan; Ferrer, Luciana; Galdran, Adrian; van Ginneken, Bram; Glocker, Ben; Godau, Patrick; Hashimoto, Daniel A; Hoffman, Michael M; Huisman, Merel; Isensee, Fabian; Jannin, Pierre; Kahn, Charles E; Kainmueller, Dagmar; Kainz, Bernhard; Karargyris, Alexandros; Kleesiek, Jens; Kofler, Florian; Kooi, Thijs; Kopp-Schneider, Annette; Kozubek, Michal; Kreshuk, Anna; Kurc, Tahsin; Landman, Bennett A; Litjens, Geert; Madani, Amin; Maier-Hein, Klaus; Martel, Anne L; Meijering, Erik; Menze, Bjoern; Moons, Karel G M; Müller, Henning; Nichyporuk, Brennan; Nickel, Felix; Petersen, Jens; Rafelski, Susanne M; Rajpoot, Nasir; Reyes, Mauricio; Riegler, Michael</t>
  </si>
  <si>
    <t>https://pubmed.ncbi.nlm.nih.gov/38347140</t>
  </si>
  <si>
    <t>Validation metrics are key for tracking scientific progress and bridging the current chasm between artificial intelligence research and its translation into practice. However, increasing evidence shows that, particularly in image analysis, metrics are often chosen inadequately. Although taking into account the individual strengths, weaknesses and limitations of validation metrics is a critical prerequisite to making educated choices, the relevant knowledge is currently scattered and poorly accessible to individual researchers. Based on a multistage Delphi process conducted by a multidisciplinary expert consortium as well as extensive community feedback, the present work provides a reliable and comprehensive common point of access to information on pitfalls related to validation metrics in image analysis. Although focused on biomedical image analysis, the addressed pitfalls generalize across application domains and are categorized according to a newly created, domain-agnostic taxonomy. The work serves to enhance global comprehension of a key topic in image analysis validation.</t>
  </si>
  <si>
    <t>Patient characteristics and reasons for discontinuation in a cardiovascular risk management programme in The Netherlands.</t>
  </si>
  <si>
    <t>Smits, Geert H J M; van Doorn, Sander; Bots, Michiel L; Hollander, Monika</t>
  </si>
  <si>
    <t>https://pubmed.ncbi.nlm.nih.gov/38342918</t>
  </si>
  <si>
    <t>Since 2010, an increasing number of patients have participated in a nurse-led integrated cardiovascular risk management programme in the Netherlands. Because it is important to understand which patients discontinue and why, when evaluating the effectiveness of the care programme, the aim was to identify the reasons for discontinuation. Electronic health records of 3997 patients enrolled in a nurse-led integrated cardiovascular risk management programme that started on April 1&lt;sup&gt;st,&lt;/sup&gt; 2010, were manually scrutinized for reasons for discontinuation between April 1&lt;sup&gt;st,&lt;/sup&gt; 2010, and April 1&lt;sup&gt;st,&lt;/sup&gt; 2018. In addition to death and moving to a diabetes care programme, we describe 7 different reasons why patients discontinued the programme and compared the patient characteristics of those who discontinued the programme without specific reasons with those who remained in the care programme for 8 years. Between April 1&lt;sup&gt;st,&lt;/sup&gt; 2010, and April 1&lt;sup&gt;st,&lt;/sup&gt; 2018, 1,190 participants (29.8%) discontinued the CVRM care programme, of whom 271 participants died (6.8%) and 195 were transferred to a diabetes care programme (4.9%). The remaining 724 patients (18.1%) participated 5 years before discontinuation. Of these, 67 (9.3%) had a previous cardiovascular event at the start of the programme. In 355 patients, a specific reason for discontinuation was not found. At baseline, these patients less frequently had a history of CVD than those who continued the programme for 8 years (1.7 vs. 22.6%), were younger (62 vs. 67 years), had less registered cardiovascular comorbidity (atrial fibrillation: 1.1 vs. 7.2%; congestive heart failure 0.3 vs. 1.2%; chronic kidney disease 0.0 vs. 4.5%), were more often smokers (13.0% vs. 4.3%) and took blood pressure- and lipid-lowering drugs twice as often. In our study we observed that participants who discontinued the nurse-led integrated CVRM care programme between 2010 and 2018 without specific reason or on request were younger, without previous CVD, had less cardiovascular comorbidity and were better adjusted to medication. Exploring the patients' reasons for discontinuation can contribute to an individualized approach to prevent or reduce discontinuation.</t>
  </si>
  <si>
    <t>Epidemiology of heart failure in diabetes: a disease in disguise.</t>
  </si>
  <si>
    <t>Hoek, Anna G; Dal Canto, Elisa; Wenker, Eva; Bindraban, Navin; Handoko, M Louis; Elders, Petra J M; Beulens, Joline W J</t>
  </si>
  <si>
    <t>https://pubmed.ncbi.nlm.nih.gov/38334818</t>
  </si>
  <si>
    <t>Left ventricular diastolic dysfunction (LVDD) without symptoms, and heart failure (HF) with preserved ejection fraction (HFpEF) represent the most common phenotypes of HF in individuals with type 2 diabetes mellitus, and are more common than HF with reduced ejection fraction (HFrEF), HF with mildly reduced ejection fraction (HFmrEF) and left ventricular systolic dysfunction (LVSD) in these individuals. However, diagnostic criteria for HF have changed over the years, resulting in heterogeneity in the prevalence/incidence rates reported in different studies. We aimed to give an overview of the diagnosis and epidemiology of HF in type 2 diabetes, using both a narrative and systematic review approach; we focus narratively on diagnosing (using the 2021 European Society of Cardiology [ESC] guidelines) and screening for HF in type 2 diabetes. We performed an updated (2016-October 2022) systematic review and meta-analysis of studies reporting the prevalence and incidence of HF subtypes in adults ≥18 years with type 2 diabetes, using echocardiographic data. Embase and MEDLINE databases were searched and data were assessed using random-effects meta-analyses, with findings presented as forest plots. From the 5015 studies found, 209 were screened using the full-text article. In total, 57 studies were included, together with 29 studies that were identified in a prior meta-analysis; these studies reported on the prevalence of LVSD (n=25 studies, 24,460 individuals), LVDD (n=65 studies, 25,729 individuals), HFrEF (n=4 studies, 4090 individuals), HFmrEF (n=2 studies, 2442 individuals) and/or HFpEF (n=8 studies, 5292 individuals), and on HF incidence (n=7 studies, 17,935 individuals). Using Hoy et al's risk-of-bias tool, we found that the studies included generally had a high risk of bias. They showed a prevalence of 43% (95% CI 37%, 50%) for LVDD, 17% (95% CI 7%, 35%) for HFpEF, 6% (95% CI 3%, 10%) for LVSD, 7% (95% CI 3%, 15%) for HFrEF, and 12% (95% CI 7%, 22%) for HFmrEF. For LVDD, grade I was found to be most prevalent. Additionally, we reported a higher incidence rate of HFpEF (7% [95% CI 4%, 11%]) than HFrEF 4% [95% CI 3%, 7%]). The evidence is limited by the heterogeneity of the diagnostic criteria over the years. The systematic section of this review provides new insights on the prevalence/incidence of HF in type 2 diabetes, unveiling a large pre-clinical target group with LVDD/HFpEF in which disease progression could be halted by early recognition and treatment.Registration PROSPERO ID CRD42022368035.</t>
  </si>
  <si>
    <t>Competing risk analysis of cardiovascular disease risk in breast cancer patients receiving a radiation boost.</t>
  </si>
  <si>
    <t>Koop, Yvonne; Atsma, Femke; Batenburg, Marilot C T; Meijer, Hanneke; van der Leij, Femke; Gal, Roxanne; van Velzen, Sanne G M; Išgum, Ivana; Vermeulen, Hester; Maas, Angela H E M; Messaoudi, Saloua El; Verkooijen, Helena M</t>
  </si>
  <si>
    <t>cardiooncology london england</t>
  </si>
  <si>
    <t>https://pubmed.ncbi.nlm.nih.gov/38336705</t>
  </si>
  <si>
    <t>Thoracic radiotherapy may damage the myocardium and arteries, increasing cardiovascular disease (CVD) risk. Women with a high local breast cancer (BC) recurrence risk may receive an additional radiation boost to the tumor bed. We aimed to evaluate the CVD risk and specifically ischemic heart disease (IHD) in BC patients treated with a radiation boost, and investigated whether this was modified by age. We identified 5260 BC patients receiving radiotherapy between 2005 and 2016 without a history of CVD. Boost data were derived from hospital records and the national cancer registry. Follow-up data on CVD events were obtained from Statistics Netherlands until December 31, 2018. The relation between CVD and boost was evaluated with competing risk survival analysis. 1917 (36.4%) received a boost. Mean follow-up was 80.3 months (SD37.1) and the mean age 57.8 years (SD10.7). Interaction between boost and age was observed for IHD: a boost was significantly associated with IHD incidence in patients younger than 40 years but not in patients over 40 years. The subdistribution hazard ratio (sHR) was calculated for ages from 25 to 75 years, showing a sHR range from 5.1 (95%CI 1.2-22.6) for 25-year old patients to sHR 0.5 (95%CI 0.2-1.02) for 75-year old patients. In patients younger than 40, a radiation boost is significantly associated with an increased risk of CVD. In absolute terms, the increased risk was low. In older patients, there was no association between boost and CVD risk, which is likely a reflection of appropriate patient selection.</t>
  </si>
  <si>
    <t>General Practice and Nursing Science; Global Health and Bioethics; Epidemiology and Health Economics; Global Health and Bioethics; Epidemiology and Health Economics; Epidemiology and Health Economics; General Practice and Nursing Science; Global Health and Bioethics; General Practice and Nursing Science; General Practice and Nursing Science; Global Health and Bioethics; Epidemiology and Health Economics; General Practice and Nursing Science; Epidemiology and Health Economics; Global Health and Bioethics</t>
  </si>
  <si>
    <t>Empowering Tomorrow's Cancer Specialists: Evaluating the Co-creation and Impact of Malawi's First Surgical Oncology Summerschool.</t>
  </si>
  <si>
    <t>van Egmond, Remco; van Kesteren, Jurre; Kaomba, Lucy; Philipo, Godfrey Sama; Borgstein, Eric; Rinkes, Inne Borel; Rijken, Marcus; Kruijff, Schelto; Stortelder, Eva</t>
  </si>
  <si>
    <t>journal of cancer education the official journal of the american association for cancer education</t>
  </si>
  <si>
    <t>https://pubmed.ncbi.nlm.nih.gov/38334895</t>
  </si>
  <si>
    <t>Annually more than 1 million newly diagnosed cancer cases and 500,000 cancer-related deaths occur in Sub Saharan Africa (SSA). By 2030, the cancer burden in Africa is expected to double accompanied by low survival rates. Surgery remains the primary treatment for solid tumours especially where other treatment modalities are lacking. However, in SSA, surgical residents lack sufficient training in cancer treatment. In 2022, Malawian and Dutch specialists co-designed a training course focusing on oncologic diseases and potential treatment options tailored to the Malawian context. The aim of this study was to describe the co-creation process of a surgical oncology education activity in a low resource setting, at the same time attempting to evaluate the effectiveness of this training program. The course design was guided and evaluated conform Kirkpatrick's requirements for an effective training program. Pre-and post-course questionnaires were conducted to evaluate the effectiveness. Thirty-five surgical and gynaecological residents from Malawi participated in the course. Eighty-six percent of respondents (n = 24/28) were highly satisfied at the end of the course. After a 2-month follow-up, 84% (n = 16/19) frequently applied the newly acquired knowledge, and 74% (n = 14/19) reported to have changed their patient care. The course costs were approximately 119 EUR per attendee per day. This course generally received generally positively feedback, had high satisfaction rates, and enhanced knowledge and confidence in the surgical treatment of cancer. Its effectiveness should be further evaluated using the same co-creation model in different settings. Integrating oncology into the regular curriculum of surgical residents is recommended.</t>
  </si>
  <si>
    <t>Perspectives and Concerns on Late Effects Regarding Sexuality among Adolescents and Young Adults Treated for Testicular Germ Cell Tumor: The PRICELESS-Study-A Qualitative Study.</t>
  </si>
  <si>
    <t>Kuiper, Stefan T; Zweers, Daniëlle; Suelmann, Britt B M; Meijer, Richard P; Vervoort, Sigrid C J M</t>
  </si>
  <si>
    <t>cancers</t>
  </si>
  <si>
    <t>https://pubmed.ncbi.nlm.nih.gov/38398106</t>
  </si>
  <si>
    <t>This study aimed to explore perspectives and concerns regarding sexuality among adolescents and young adults (AYAs) possibly experiencing late effects after testicular germ cell tumor (TGCT) treatment. A qualitative study was performed in which semi-structured interviews were held with thirteen AYAs from a center of expertise for TGCT in the Netherlands. Data were analyzed using Braun and Clark's thematic analysis method. Seven interacting and interconnected themes were found: desire to have children, rediscovering sexuality, insecurity about sexual performance, acceptance of physical change, loss of masculinity, burden on relationship, and openness in discussing sexuality. Concerns about the desire to have children seem to play a significant role. In conclusion, TGCT patients face multiple changes (physical, emotional, relational, and sexual), followed by a difficult period of acceptance, after which a new phase of rediscovering sexuality appeared. These findings can help to make healthcare professionals aware of the underlying mechanisms and concerns about sexuality. Furthermore, insights can help to develop sexuality-themed items for a broader monitoring tool to structurally assess the late effects to support discussing sexuality.</t>
  </si>
  <si>
    <t>Pulmonary embolism.</t>
  </si>
  <si>
    <t>Maughan, Brandon C; Jarman, Angela F; Redmond, Alexa; Geersing, Geert-Jan; Kline, Jeffrey A</t>
  </si>
  <si>
    <t>https://pubmed.ncbi.nlm.nih.gov/38331462</t>
  </si>
  <si>
    <t>Building a Sustainable Learning Health Care System for Pregnant and Lactating People: Interview Study Among Data Access Providers.</t>
  </si>
  <si>
    <t>Hollestelle, Marieke J; van der Graaf, Rieke; Sturkenboom, Miriam C J M; Cunnington, Marianne; van Delden, Johannes J M</t>
  </si>
  <si>
    <t>jmir pediatrics and parenting</t>
  </si>
  <si>
    <t>https://pubmed.ncbi.nlm.nih.gov/38329780</t>
  </si>
  <si>
    <t>In many areas of health care, learning health care systems (LHSs) are seen as promising ways to accelerate research and outcomes for patients by reusing health and research data. For example, considering pregnant and lactating people, for whom there is still a poor evidence base for medication safety and efficacy, an LHS presents an interesting way forward. Combining unique data sources across Europe in an LHS could help clarify how medications affect pregnancy outcomes and lactation exposures. In general, a remaining challenge of data-intensive health research, which is at the core of an LHS, has been obtaining meaningful access to data. These unique data sources, also called data access providers (DAPs), are both public and private organizations and are important stakeholders in the development of a sustainable and ethically responsible LHS. Sustainability is often discussed as a challenge in LHS development. Moreover, DAPs are increasingly expected to move beyond regulatory compliance and are seen as moral agents tasked with upholding ethical principles, such as transparency, trustworthiness, responsibility, and community engagement. This study aims to explore the views of people working for DAPs who participate in a public-private partnership to build a sustainable and ethically responsible LHS. Using a qualitative interview design, we interviewed 14 people involved in the Innovative Medicines Initiative (IMI) ConcePTION (Continuum of Evidence from Pregnancy Exposures, Reproductive Toxicology and Breastfeeding to Improve Outcomes Now) project, a public-private collaboration with the goal of building an LHS for pregnant and lactating people. The pseudonymized transcripts were analyzed thematically. A total of 3 themes were identified: opportunities and responsibilities, conditions for participation and commitment, and challenges for a knowledge-generating ecosystem. The respondents generally regarded the collaboration as an opportunity for various reasons beyond the primary goal of generating knowledge about medication safety during pregnancy and lactation. Respondents had different interpretations of responsibility in the context of data-intensive research in a public-private network. Respondents explained that resources (financial and other), scientific output, motivation, agreements collaboration with the pharmaceutical industry, trust, and transparency are important conditions for participating in and committing to the ConcePTION LHS. Respondents also discussed the challenges of an LHS, including the limitations to (real-world) data analyses and governance procedures. Our respondents were motivated by diverse opportunities to contribute to an LHS for pregnant and lactating people, primarily centered on advancing knowledge on medication safety. Although a shared responsibility for enabling real-world data analyses is acknowledged, their focus remains on their work and contribution to the project rather than on safeguarding ethical data handling. The results of our interviews underline the importance of a transparent governance structure, emphasizing the trust between DAPs and the public for the success and sustainability of an LHS.</t>
  </si>
  <si>
    <t>Identification and development of implementation strategies: the important role of codesign.</t>
  </si>
  <si>
    <t>van der Laag, Patricia J; Dorhout, Berber G; Heeren, Aaron A; Veenhof, Cindy; Barten, Di-Janne J A; Schoonhoven, Lisette</t>
  </si>
  <si>
    <t>frontiers in health services</t>
  </si>
  <si>
    <t>https://pubmed.ncbi.nlm.nih.gov/38385048</t>
  </si>
  <si>
    <t>To date, implementation strategies reported in the literature are commonly poorly described and take the implementation context insufficiently into account. To unravel the black box of implementation strategy development, insight is needed into effective theory-based and practical-informed strategies. The current study aims to describe the stepwise development of a practical-informed and theory-based implementation strategy bundle to implement ProMuscle, a nutrition and exercise intervention for community-dwelling older adults, in multiple settings in primary care. The first four steps of Implementation Mapping were adopted to develop appropriate implementation strategies. First, previously identified barriers to implementation were categorized into the constructs of the Consolidated Framework for Implementation Research (CFIR). Second, the CFIR-ERIC matching tool linked barriers to existing implementation strategies. Behavioral change strategies were added from the literature where necessary. Third, evidence for implementation strategies was sought. Fourth, in codesign with involved healthcare professionals and implementation experts, implementation strategies were operationalized to practical implementation activities following the guidance provided by Proctor et al. These practical implementation activities were processed into an implementation toolbox, which can be tailored to a specific context and presents prioritized implementation activities in a chronological order. A previous study identified and categorized a total of 654 barriers for the implementation of a combined lifestyle intervention within the CFIR framework. Subsequently, the barriers were linked to 40 strategies. Due to the fact that many strategies impacted multiple barriers, seven overarching themes emerged based on the strategies: assessing the context, network internally, network externally, costs, knowledge, champions, and patient needs and resources. Codesign sessions with professionals and implementation experts resulted in the development of supported and tangible implementation activities for the final 20 strategies. The implementation activities were processed into a web-based implementation toolbox, which allows healthcare professionals to tailor the implementation activities to their specific context and guides healthcare professionals to prioritize implementation activities chronologically during their implementation. A theory-based approach in combination with codesign sessions with stakeholders is a usable Implementation Strategy Mapping Method for developing a practical implementation strategy bundle to implement ProMuscle across multiple settings in primary care. The next step involves evaluating the developed implementation strategies, including the implementation toolbox, to assess their impact on the implementation and adoption of ProMuscle.</t>
  </si>
  <si>
    <t>Global positioning system-based food environment exposures, diet-related, and cardiometabolic health outcomes: a systematic review and research agenda.</t>
  </si>
  <si>
    <t>Siddiqui, Noreen Z; Wei, Lai; Mackenbach, Joreintje D; Pinho, Maria G M; Helbich, Marco; Schoonmade, Linda J; Beulens, Joline W J</t>
  </si>
  <si>
    <t>international journal of health geographics</t>
  </si>
  <si>
    <t>https://pubmed.ncbi.nlm.nih.gov/38321477</t>
  </si>
  <si>
    <t>Geographic access to food may affect dietary choices and health outcomes, but the strength and direction of associations may depend on the operationalization of exposure measures. We aimed to systematically review the literature on up-to-date evidence on the association between food environment exposures based on Global Positioning System (GPS) and diet-related and cardiometabolic health outcomes. The databases PubMed, Embase.com, APA PsycInfo (via Ebsco), Cinahl (via Ebsco), the Web of Science Core Collection, Scopus, and the International Bibliography of the Social Sciences (via ProQuest) were searched from inception to October 31, 2022. We included studies that measured the activity space through GPS tracking data to identify exposure to food outlets and assessed associations with either diet-related or cardiometabolic health outcomes. Quality assessment was evaluated using the criteria from a modified version of the Newcastle-Ottawa Scale (NOS) for cross-sectional studies. We additionally used four items from a quality assessment tool to specifically assess the quality of GPS measurements. Of 2949 studies retrieved, 14 studies fulfilled our inclusion criteria. They were heterogeneous and represent inconsistent evidence. Yet, three studies found associations between food outlets and food purchases, for example, more exposure to junk food outlets was associated with higher odds of junk food purchases. Two studies found associations between greater exposure to fast food outlets and higher fast food consumption and out of three studies that investigated food environment in relation to metabolic outcomes, two studies found that higher exposure to an unhealthy food environment was associated with higher odds of being overweight. The current and limited evidence base does not provide strong evidence for consistent associations of GPS-based exposures of the food environment with diet-related and cardiometabolic health outcomes.</t>
  </si>
  <si>
    <t>Maternal history of Alzheimer's disease predisposes to altered serum cholesterol levels in adult offspring.</t>
  </si>
  <si>
    <t>Liang, Yuehui; Deng, Ming-Gang; Jian, Qinghong; Liu, Mingwei; Fang, Kui; Chen, Shuai</t>
  </si>
  <si>
    <t>journal of neurochemistry</t>
  </si>
  <si>
    <t>https://pubmed.ncbi.nlm.nih.gov/38316937</t>
  </si>
  <si>
    <t>Controversial findings regarding the association between serum cholesterol levels and Alzheimer's disease (AD) have been identified through observational studies. The genetic basis shared by both factors and the causality between them remain largely unknown. The objective of this study is to examine the causal impact of maternal history of AD on changes in serum cholesterol levels in adult offspring. By retrieving genetic variants from summary statistics of large-scale genome-wide association study of maternal history of AD (European-based: Ncase = 27 696, Ncontrol = 260 980). The causal association between genetically predicted maternal history of AD and changes in serum cholesterol levels in adult offspring was examined using the two-sample Mendelian randomization (MR) method. Causal impact estimates were calculated using single-nucleotide polymorphisms in both univariable MR (UMR) and multivariable MR (MVMR) analyses. Additionally, other approaches, such as Cochran's Q test and leave-one-out variant analysis, were employed to correct for potential biases. The results of UMR presented that genetically predicted maternal history of AD was positively associated with hypercholesterolemia (OR = 1.014; 95% CI: 1.009-1.018; p &lt; 0.001), total cholesterol (OR = 1.29; 95% CI: 1.134-1.466; p &lt; 0.001) and low-density lipoprotein (OR = 1.525; 95% CI: 1.272-1.828; p &lt; 0.001) among adult offspring. Genetic predisposition for maternal history of AD to be negatively associated with high-density lipoprotein (OR = 0.889; 95% CI: 0.861-0.917; p &lt; 0.001). The MVMR analysis remained robust and significant after adjusting for diabetes and obesity in offspring. Sufficient evidence was provided in this study to support the putative causal impact of maternal history of AD on the change of serum cholesterol profile in adult offspring. In clinical practice, priority should be given to the detection and monitoring of cholesterol levels in individuals with a maternal history of AD, particularly in the early stages.</t>
  </si>
  <si>
    <t>Expectations and Experiences of Participating in a Supervised and Home-Based Physical Exercise Intervention in Patients with Head and Neck Cancer during Chemoradiotherapy: A Qualitative Study.</t>
  </si>
  <si>
    <t>Kok, Annemieke; Passchier, Ellen; May, Anne M; Jager-Wittenaar, Harriët; Veenhof, Cindy; de Bree, Remco; Stuiver, Martijn M; Speksnijder, Caroline M</t>
  </si>
  <si>
    <t>current oncology toronto ont</t>
  </si>
  <si>
    <t>https://pubmed.ncbi.nlm.nih.gov/38392060</t>
  </si>
  <si>
    <t>(1) Background: Chemoradiotherapy (CRT) for head and neck cancer (HNC) is associated with severe toxicity resulting in fatigue and weight loss, including loss of skeletal muscle mass. Exercise interventions might positively affect physical fitness and quality of life. Sufficient adherence and compliance rates are necessary for optimal effects. This study aimed to gain insight into expectations and experiences and factors influencing adherence, retention and compliance of HNC patients participating in exercise intervention during CRT. (2) Methods: Consecutive participants were invited for semi-structured interviews, conducted pre- and post-intervention. A deductive approach was used to identify themes and factors influencing adherence, retention and compliance. (3) Results: Thematic saturation was reached after interviewing 14 patients pre-intervention. Five themes were identified: planning and time management, treatment toxicity, motivation to exercise, exercise intervention and supervision by a physiotherapist. The intensity of the treatment schedule and treatment toxicity were important barriers. Facilitators mentioned were physical and emotional benefits, social support as well as the simplicity and home-based setting of the intervention. (4) Conclusions: A personalised approach, considering the individual facilitators and barriers of HNC patients, is important to increase adherence, retention and compliance to exercise intervention and to reap the optimal effects of the program.</t>
  </si>
  <si>
    <t>Designing tailored maintenance strategies for systematic reviews and clinical practice guidelines using the Portfolio Maintenance by Test-Treatment (POMBYTT) framework.</t>
  </si>
  <si>
    <t>Oerbekke, Michiel S; Elbers, Roy G; van der Laan, Maarten J; Hooft, Lotty</t>
  </si>
  <si>
    <t>https://pubmed.ncbi.nlm.nih.gov/38308228</t>
  </si>
  <si>
    <t>Organizations face diverse contexts and requirements when updating and maintaining their portfolio, or pool, of systematic reviews or clinical practice guidelines they need to manage. We aimed to develop a comprehensive, theoretical framework that might enable the design and tailoring of maintenance strategies for portfolios containing systematic reviews and guidelines. We employed a conceptual approach combined with a literature review. Components of the diagnostic test-treatment pathway used in clinical healthcare were transferred to develop a framework specifically for systematic review and guideline portfolio maintenance strategies. We developed the Portfolio Maintenance by Test-Treatment (POMBYTT) framework comprising diagnosis, staging, management, and monitoring components. To illustrate the framework's components and their elements, we provided examples from both a clinical healthcare test-treatment pathway and a clinical practice guideline maintenance scenario. Additionally, our literature review provided possible examples for the elements in the framework, such as detection variables, detection tests, and detection thresholds. We furthermore provide three example strategies using the framework, of which one was based on living recommendations strategies. The developed framework might support the design of maintenance strategies that could contain multiple options besides updating to manage a portfolio (e.g. withdrawing and archiving), even in the absence of the target condition. By making different choices for variables, tests, test protocols, indications, management options, and monitoring, organizations might tailor their maintenance strategy to suit specific contexts and needs. The framework's elements could potentially aid in the design by being explicit about the operational aspects of maintenance strategies. This might also be helpful for end-users and other stakeholders of systematic reviews and clinical practice guidelines.</t>
  </si>
  <si>
    <t>External validation of six COVID-19 prognostic models for predicting mortality risk in older populations in a hospital, primary care, and nursing home setting.</t>
  </si>
  <si>
    <t>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t>
  </si>
  <si>
    <t>https://pubmed.ncbi.nlm.nih.gov/38311188</t>
  </si>
  <si>
    <t>To systematically evaluate the performance of COVID-19 prognostic models and scores for mortality risk in older populations across three health-care settings: hospitals, primary care, and nursing homes. This retrospective external validation study included 14,092 older individuals of ≥70 years of age with a clinical or polymerase chain reaction-confirmed COVID-19 diagnosis from March 2020 to December 2020. The six validation cohorts include three hospital-based (CliniCo, COVID-OLD, COVID-PREDICT), two primary care-based (Julius General Practitioners Network/Academisch network huisartsgeneeskunde/Network of Academic general Practitioners, PHARMO), and one nursing home cohort (YSIS) in the Netherlands. Based on a living systematic review of COVID-19 prediction models using Prediction model Risk Of Bias ASsessment Tool for quality and risk of bias assessment and considering predictor availability in validation cohorts, we selected six prognostic models predicting mortality risk in adults with COVID-19 infection (GAL-COVID-19 mortality, 4C Mortality Score, National Early Warning Score 2-extended model, Xie model, Wang clinical model, and CURB65 score). All six prognostic models were validated in the hospital cohorts and the GAL-COVID-19 mortality model was validated in all three healthcare settings. The primary outcome was in-hospital mortality for hospitals and 28-day mortality for primary care and nursing home settings. Model performance was evaluated in each validation cohort separately in terms of discrimination, calibration, and decision curves. An intercept update was performed in models indicating miscalibration followed by predictive performance re-evaluation. In-hospital mortality for hospitals and 28-day mortality for primary care and nursing home setting. All six prognostic models performed poorly and showed miscalibration in the older population cohorts. In the hospital settings, model performance ranged from calibration-in-the-large -1.45 to 7.46, calibration slopes 0.24-0.81, and C-statistic 0.55-0.71 with 4C Mortality Score performing as the most discriminative and well-calibrated model. Performance across health-care settings was similar for the GAL-COVID-19 model, with a calibration-in-the-large in the range of -2.35 to -0.15 indicating overestimation, calibration slopes of 0.24-0.81 indicating signs of overfitting, and C-statistic of 0.55-0.71. Our results show that most prognostic models for predicting mortality risk performed poorly in the older population with COVID-19, in each health-care setting: hospital, primary care, and nursing home settings. Insights into factors influencing predictive model performance in the older population are needed for pandemic preparedness and reliable prognostication of health-related outcomes in this demographic.</t>
  </si>
  <si>
    <t>Real-world nudging, pricing, and mobile physical activity coaching was insufficient to improve lifestyle behaviours and cardiometabolic health: the Supreme Nudge parallel cluster-randomised controlled supermarket trial.</t>
  </si>
  <si>
    <t>Stuber, Josine M; Mackenbach, Joreintje D; de Bruijn, Gert-Jan; Gillebaart, Marleen; Hoenink, Jody C; Middel, Cédric N H; de Ridder, Denise T D; van der Schouw, Yvonne T; Smit, Edith G; Velema, Elizabeth; Vos, Anne L; Waterlander, Wilma E; Lakerveld, Jeroen; Beulens, Joline W J; ,</t>
  </si>
  <si>
    <t>https://pubmed.ncbi.nlm.nih.gov/38303069</t>
  </si>
  <si>
    <t>Context-specific interventions may contribute to sustained behaviour change and improved health outcomes. We evaluated the real-world effects of supermarket nudging and pricing strategies and mobile physical activity coaching on diet quality, food-purchasing behaviour, walking behaviour, and cardiometabolic risk markers. This parallel cluster-randomised controlled trial included supermarkets in socially disadvantaged neighbourhoods across the Netherlands with regular shoppers aged 30-80 years. Supermarkets were randomised to receive co-created nudging and pricing strategies promoting healthier purchasing (N = 6) or not (N = 6). Nudges targeted 9% of supermarket products and pricing strategies 3%. Subsequently, participants were individually randomised to a control (step counter app) or intervention arm (step counter and mobile coaching app) to promote walking. The primary outcome was the average change in diet quality (low (0) to high (150)) over all follow-up time points measured with a validated 40-item food frequency questionnaire at baseline and 3, 6, and 12 months. Secondary outcomes included healthier food purchasing (loyalty card-derived), daily step count (step counter app), cardiometabolic risk markers (lipid profile and HbA1c via finger prick, and waist circumference via measuring tape), and supermarket customer satisfaction (questionnaire-based: very unsatisfied (1) to very satisfied (7)), evaluated using linear mixed-models. Healthy supermarket sales (an exploratory outcome) were analysed via controlled interrupted time series analyses. Of 361 participants (162 intervention, 199 control), 73% were female, the average age was 58 (SD 11) years, and 42% were highly educated. Compared to the control arm, the intervention arm showed no statistically significant average changes over time in diet quality (β ﻿- 1.1 (95% CI ﻿- 3.8 to 1.7)), percentage healthy purchasing (β 0.7 ( ﻿- 2.7 to 4.0)), step count (β ﻿- 124.0 (﻿- 723.1 to 475.1), or any of the cardiometabolic risk markers. Participants in the intervention arm scored 0.3 points (0.1 to 0.5) higher on customer satisfaction on average over time. Supermarket-level sales were unaffected (β - 0.0 (- 0.0 to 0.0)). Co-created nudging and pricing strategies that predominantly targeted healthy products via nudges were unable to increase healthier food purchases and intake nor improve cardiometabolic health. The mobile coaching intervention did not affect step count. Governmental policy measures are needed to ensure more impactful supermarket modifications that promote healthier purchases. Dutch Trial Register ID NL7064, 30 May 2018, https://www.onderzoekmetmensen.nl/en/trial/20990.</t>
  </si>
  <si>
    <t>Corrigendum to "Effectiveness of L-serine supplementation in children with a GRIN2B loss-of-function mutation: Rationale and protocol for single patient (n-of-1) multiple cross-over trials" [Contemp. Clin. Trials Commun. 36 (2023)/ DOI: 10.1016/j.conctc.2023.101233].</t>
  </si>
  <si>
    <t>Hollander, Bibiche den; Rothuizen-Lindenschot, Marieke; Geertjens, Lisa; Vaz, Frédéric M; Brands, Marion M; Le, Hoang Lan; van Eeghen, Agnies M; van de Ven, Peter M; Cornel, Martina C; Jacobs, Bart A W; Bruining, Hilgo; van Karnebeek, Clara D</t>
  </si>
  <si>
    <t>contemporary clinical trials communications</t>
  </si>
  <si>
    <t>https://pubmed.ncbi.nlm.nih.gov/38533474</t>
  </si>
  <si>
    <t>[This corrects the article DOI: 10.1016/j.conctc.2023.101233.].</t>
  </si>
  <si>
    <t>Correction to: Comparative effectiveness of β-lactams for empirical treatment of methicillin-susceptible Staphylococcus aureus bacteraemia: a prospective cohort study.</t>
  </si>
  <si>
    <t>Buis, D T P; van der Vaart, T W; Prins, J M; van der Meer, J T M; Bonten, M J M; Sieswerda, E; van Werkhoven, C H; Sigaloff, K C E</t>
  </si>
  <si>
    <t>https://pubmed.ncbi.nlm.nih.gov/38078830</t>
  </si>
  <si>
    <t>Dropout from exercise trials among cancer survivors-An individual patient data meta-analysis from the POLARIS study.</t>
  </si>
  <si>
    <t>Western, Benedikte; Ivarsson, Andreas; Vistad, Ingvild; Demmelmaier, Ingrid; Aaronson, Neil K; Radcliffe, Gillian; van Beurden, Marc; Bohus, Martin; Courneya, Kerry S; Daley, Amanda J; Galvão, Daniel A; Garrod, Rachel; Goedendorp, Martine M; Griffith, Kathleen A; van Harten, Wim H; Hayes, Sandi C; Herrero-Roman, Fernando; Hiensch, Anouk E; Irwin, Melinda L; James, Erica; Kenkhuis, Marlou-Floor; Kersten, Marie José; Knoop, Hans; Lucia, Alejandro; May, Anne M; McConnachie, Alex; van Mechelen, Willem; Mutrie, Nanette; Newton, Robert U; Nollet, Frans; Oldenburg, Hester S; Plotnikoff, Ron; Schmidt, Martina E; Schmitz, Katie H; Schulz, Karl-Heinz; Short, Camille E; Sonke, Gabe S; Steindorf, Karen; Stuiver, Martijn M; Taaffe, Dennis R; Thorsen, Lene; Velthuis, Miranda J; Wenzel, Jennifer; Winters-Stone, Kerri M; Wiskemann, Joachim; Berntsen, Sveinung; Buffart, Laurien M</t>
  </si>
  <si>
    <t>scandinavian journal of medicine science in sports</t>
  </si>
  <si>
    <t>https://pubmed.ncbi.nlm.nih.gov/38339809</t>
  </si>
  <si>
    <t>The number of randomized controlled trials (RCTs) investigating the effects of exercise among cancer survivors has increased in recent years; however, participants dropping out of the trials are rarely described. The objective of the present study was to assess which combinations of participant and exercise program characteristics were associated with dropout from the exercise arms of RCTs among cancer survivors. This study used data collected in the Predicting OptimaL cAncer RehabIlitation and Supportive care (POLARIS) study, an international database of RCTs investigating the effects of exercise among cancer survivors. Thirty-four exercise trials, with a total of 2467 patients without metastatic disease randomized to an exercise arm were included. Harmonized studies included a pre and a posttest, and participants were classified as dropouts when missing all assessments at the post-intervention test. Subgroups were identified with a conditional inference tree. Overall, 9.6% of the participants dropped out. Five subgroups were identified in the conditional inference tree based on four significant associations with dropout. Most dropout was observed for participants with BMI &gt;28.4 kg/m&lt;sup&gt;2&lt;/sup&gt; , performing supervised resistance or unsupervised mixed exercise (19.8% dropout) or had low-medium education and performed aerobic or supervised mixed exercise (13.5%). The lowest dropout was found for participants with BMI &gt;28.4 kg/m&lt;sup&gt;2&lt;/sup&gt; and high education performing aerobic or supervised mixed exercise (5.1%), and participants with BMI ≤28.4 kg/m&lt;sup&gt;2&lt;/sup&gt; exercising during (5.2%) or post (9.5%) treatment. There are several systematic differences between cancer survivors completing and dropping out from exercise trials, possibly affecting the external validity of exercise effects.</t>
  </si>
  <si>
    <t>Branched-chain amino acid levels are inversely associated with incident and prevalent chronic kidney disease in people with type 2 diabetes.</t>
  </si>
  <si>
    <t>de Klerk, Juliette A; Bijkerk, Roel; Beulens, Joline W J; van Zonneveld, Anton Jan; Muilwijk, Mirte; Harms, Peter P; Blom, Marieke T; 't Hart, Leendert M; Slieker, Roderick C</t>
  </si>
  <si>
    <t>https://pubmed.ncbi.nlm.nih.gov/38303102</t>
  </si>
  <si>
    <t>To investigate the association of plasma metabolites with incident and prevalent chronic kidney disease (CKD) in people with type 2 diabetes and establish whether this association is causal. The Hoorn Diabetes Care System cohort is a large prospective cohort consisting of individuals with type 2 diabetes from the northwest part of the Netherlands. In this cohort we assessed the association of baseline plasma levels of 172 metabolites with incident (N&lt;sub&gt;total&lt;/sub&gt; = 462/N&lt;sub&gt;case&lt;/sub&gt; = 81) and prevalent (N&lt;sub&gt;total&lt;/sub&gt; = 1247/N&lt;sub&gt;case&lt;/sub&gt; = 120) CKD using logistic regression. Additionally, replication in the UK Biobank, body mass index (BMI) mediation and causality of the association with Mendelian randomization was performed. Elevated levels of total and individual branched-chain amino acids (BCAAs)-valine, leucine and isoleucine-were associated with an increased risk of incident CKD, but with reduced odds of prevalent CKD, where BMI was identified as an effect modifier. The observed inverse effects were replicated in the UK Biobank. Mendelian randomization analysis did not provide evidence for a causal relationship between BCAAs and prevalent CKD. Our study shows the intricate relationship between plasma BCAA levels and CKD in individuals with type 2 diabetes. While an association exists, its manifestation varies based on disease status and BMI, with no definitive evidence supporting a causal link between BCAAs and prevalent CKD.</t>
  </si>
  <si>
    <t>I am proud of how I handled it'. Exploring the impact of the COVID-19 pandemic and related restrictions on well-being of adults with severe mental illness using qualitative methods.</t>
  </si>
  <si>
    <t>van Rijn, L; Metz, M J; van der Velden, P R; Mathijsen, P; Swildens, W E; Schellekens, A F A; Cahn, W; Milota, M M; Zinkstok, J R</t>
  </si>
  <si>
    <t>health expectations an international journal of public participation in health care and health policy</t>
  </si>
  <si>
    <t>https://pubmed.ncbi.nlm.nih.gov/38348759</t>
  </si>
  <si>
    <t>The coronavirus disease 2019 (COVID-19) pandemic and related restrictions globally impacted mental health, particularly for those with pre-existing severe mental illness (SMI). This qualitative study examined how adults with SMI perceived the effects of the COVID-19 pandemic and related restrictions in the Netherlands, focusing on their personal recovery, well-being and daily life, including an exploration of factors influencing these effects. Semi-structured interviews were conducted, audio-recorded and transcribed verbatim. Reflexive thematic analysis was applied. Purposive sampling was used to ensure diversity of individuals with SMI (i.e., age, gender, diagnosis, cultural background and mental healthcare institution). Twenty participants (median age: 45 years [SD: 12, 8]; 11 females) were interviewed between May and July 2023. Findings revealed a wide range of experiences: while some individuals reported a negative impact on their existing psychiatric symptoms, others described adaptability, resilience and even positive effects of COVID-19 restrictions on their mental health and well-being. Factors influencing the heterogeneic perceptions of the COVID-19 pandemic and related restrictions include the availability of trusted social relationships and enduring interactions with health professionals. Personalised support, both socially and professionally, is crucial for addressing fears, building resilience, reducing isolation and encouraging positive coping strategies for individuals with SMI during external crises. In this project, a participatory research approach that integrated the lived experience perspective helped uncover the unique perceptions of people with SMI with regard to the pandemic and related restrictions. The study used a participatory action research approach, with experts-by-experience involved in every stage of the project as part of the research team. This included engagement with the funding application process, recruitment strategies for interviews, developing the interview guide, piloting the interview, interpreting findings, and knowledge dissemination activities.</t>
  </si>
  <si>
    <t>Past or Present; Which Exposures Predict Metabolomic Aging Better? The Doetinchem Cohort Study.</t>
  </si>
  <si>
    <t>Smit, Annelot P; Herber, Gerrie-Cor M; Kuiper, Lieke M; Loef, Bette; Picavet, H Susan J; Verschuren, W M Monique</t>
  </si>
  <si>
    <t>the journals of gerontology series a biological sciences and medical sciences</t>
  </si>
  <si>
    <t>https://pubmed.ncbi.nlm.nih.gov/37642222</t>
  </si>
  <si>
    <t>People age differently. Differences in aging might be reflected by metabolites, also known as metabolomic aging. Predicting metabolomic aging is of interest in public health research. However, the added value of longitudinal over cross-sectional predictors of metabolomic aging is unknown. We studied exposome-related exposures as potential predictors of metabolomic aging, both cross-sectionally and longitudinally in men and women. We used data from 4 459 participants, aged 36-75 of Round 4 (2003-2008) of the long-running Doetinchem Cohort Study (DCS). Metabolomic age was calculated with the MetaboHealth algorithm. Cross-sectional exposures were demographic, biological, lifestyle, and environmental at Round 4. Longitudinal exposures were based on the average exposure over 15 years (Round 1 [1987-1991] to 4), and trend in these exposure over time. Random Forest was performed to identify model performance and important predictors. Prediction performances were similar for cross-sectional and longitudinal exposures in both men (R2 6.8 and 5.8, respectively) and women (R2 14.8 and 14.4, respectively). Biological and diet exposures were most predictive for metabolomic aging in both men and women. Other important predictors were smoking behavior for men and contraceptive use and menopausal status for women. Taking into account history of exposure levels (longitudinal) had no added value over cross-sectionally measured exposures in predicting metabolomic aging in the current study. However, the prediction performances of both models were rather low. The most important predictors for metabolomic aging were from the biological and lifestyle domain and differed slightly between men and women.</t>
  </si>
  <si>
    <t>ANOCA patients with and without coronary vasomotor dysfunction present with limited electrocardiographic remodeling.</t>
  </si>
  <si>
    <t>Schipaanboord, Diantha J M; Jansen, Tijn P J; Crooijmans, Caïa; Onland-Moret, N Charlotte; Elias-Smale, Suzette E; Dimitriu-Leen, Aukelien C; van der Harst, Pim; van de Hoef, Tim P; van Es, René; Damman, Peter; den Ruijter, Hester M; ,</t>
  </si>
  <si>
    <t>international journal of cardiology heart vasculature</t>
  </si>
  <si>
    <t>https://pubmed.ncbi.nlm.nih.gov/38322017</t>
  </si>
  <si>
    <t>Coronary vasomotor dysfunction (CVDys) comprises coronary vasospasm (CVS) and/or coronary microvascular dysfunction (CMD) and is highly prevalent in patients with angina and non-obstructive coronary artery disease (ANOCA). Invasive coronary function testing (CFT) to diagnose CVDys is becoming more common, enabling pathophysiologic research of CVDys. This study aims to explore the electrophysiological characteristics of ANOCA patients with CVDys. We collected pre-procedural 12-lead electrocardiograms of ANOCA patients with CVS (n = 35), CMD (n = 24), CVS/CMD (n = 26) and patients without CVDys (CFT-, n = 23) who participated in the NL-CFT registry and underwent CFT. Heart axis and conduction times were compared between patients with CVS, CMD or CVS/CMD and patients without CVDys. Heart axis, heart rate, PQ interval and QRS duration were comparable between the groups. A small prolongation of the QT-interval corrected with Bazett (QTcB) and Fridericia (QTcF) was observed in patients with CVDys compared to patients without CVDys (CVS vs CFT-: QTcB = 422 ± 18 vs 414 ± 18 ms (p = 0.14), QTcF = 410 ± 14 vs 406 ± 12 ms (p = 0.21); CMD vs CFT-: QTcB = 426 ± 17 vs 414 ± 18 ms (p = 0.03), QTcF = 413 ± 11 vs 406 ± 12 ms (p = 0.04); CVS/CMD vs CFT-: QTcB = 424 ± 17 vs 414 ± 18 ms (p = 0.05), QTcF = 414 ± 14 vs 406 ± 12 ms (p = 0.04)). Pre-procedural 12-lead electrocardiograms were comparable between patients with and without CVDys undergoing CFT except for a slightly longer QTc interval in patients with CVDys compared to patients without CVDys, suggesting limited cardiac remodeling in patients with CVDys.</t>
  </si>
  <si>
    <t>A prediction model for response to immune checkpoint inhibition in advanced melanoma.</t>
  </si>
  <si>
    <t>van Duin, Isabella A J; Verheijden, Rik J; van Diest, Paul J; Blokx, Willeke A M; El-Sharouni, Mary-Ann; Verhoeff, Joost J C; Leiner, Tim; van den Eertwegh, Alfonsus J M; de Groot, Jan Willem B; van Not, Olivier J; Aarts, Maureen J B; van den Berkmortel, Franchette W P J; Blank, Christian U; Haanen, John B A G; Hospers, Geke A P; Piersma, Djura; van Rijn, Rozemarijn S; van der Veldt, Astrid A M; Vreugdenhil, Gerard; Wouters, Michel W J M; Stevense-den Boer, Marion A M; Boers-Sonderen, Marye J; Kapiteijn, Ellen; Suijkerbuijk, Karijn P M; Elias, Sjoerd G</t>
  </si>
  <si>
    <t>https://pubmed.ncbi.nlm.nih.gov/38296842</t>
  </si>
  <si>
    <t>Predicting who will benefit from treatment with immune checkpoint inhibition (ICI) in patients with advanced melanoma is challenging. We developed a multivariable prediction model for response to ICI, using routinely available clinical data including primary melanoma characteristics. We used a population-based cohort of 3525 patients with advanced cutaneous melanoma treated with anti-PD-1-based therapy. Our prediction model for predicting response within 6 months after ICI initiation was internally validated with bootstrap resampling. Performance evaluation included calibration, discrimination and internal-external cross-validation. Included patients received anti-PD-1 monotherapy (n = 2366) or ipilimumab plus nivolumab (n = 1159) in any treatment line. The model included serum lactate dehydrogenase, World Health Organization performance score, type and line of ICI, disease stage and time to first distant recurrence-all at start of ICI-, and location and type of primary melanoma, the presence of satellites and/or in-transit metastases at primary diagnosis and sex. The over-optimism adjusted area under the receiver operating characteristic was 0.66 (95% CI: 0.64-0.66). The range of predicted response probabilities was 7%-81%. Based on these probabilities, patients were categorized into quartiles. Compared to the lowest response quartile, patients in the highest quartile had a significantly longer median progression-free survival (20.0 vs 2.8 months; P &lt; .001) and median overall survival (62.0 vs 8.0 months; P &lt; .001). Our prediction model, based on routinely available clinical variables and primary melanoma characteristics, predicts response to ICI in patients with advanced melanoma and discriminates well between treated patients with a very good and very poor prognosis.</t>
  </si>
  <si>
    <t>Age-specific transmission dynamics of SARS-CoV-2 during the first 2 years of the pandemic.</t>
  </si>
  <si>
    <t>Boldea, Otilia; Alipoor, Amir; Pei, Sen; Shaman, Jeffrey; Rozhnova, Ganna</t>
  </si>
  <si>
    <t>pnas nexus</t>
  </si>
  <si>
    <t>https://pubmed.ncbi.nlm.nih.gov/38312225</t>
  </si>
  <si>
    <t>During its first 2 years, the SARS-CoV-2 pandemic manifested as multiple waves shaped by complex interactions between variants of concern, non-pharmaceutical interventions, and the immunological landscape of the population. Understanding how the age-specific epidemiology of SARS-CoV-2 has evolved throughout the pandemic is crucial for informing policy decisions. In this article, we aimed to develop an inference-based modeling approach to reconstruct the burden of true infections and hospital admissions in children, adolescents, and adults over the seven waves of four variants (wild-type, Alpha, Delta, and Omicron BA.1) during the first 2 years of the pandemic, using the Netherlands as the motivating example. We find that reported cases are a considerable underestimate and a generally poor predictor of true infection burden, especially because case reporting differs by age. The contribution of children and adolescents to total infection and hospitalization burden increased with successive variants and was largest during the Omicron BA.1 period. However, the ratio of hospitalizations to infections decreased with each subsequent variant in all age categories. Before the Delta period, almost all infections were primary infections occurring in naive individuals. During the Delta and Omicron BA.1 periods, primary infections were common in children but relatively rare in adults who experienced either reinfections or breakthrough infections. Our approach can be used to understand age-specific epidemiology through successive waves in other countries where random community surveys uncovering true SARS-CoV-2 dynamics are absent but basic surveillance and statistics data are available.</t>
  </si>
  <si>
    <t>The prognostic potential of mammographic growth rate of invasive breast cancer in the Nijmegen breast cancer screening cohort.</t>
  </si>
  <si>
    <t>Peters, Jim; van Dijck, Jos A A M; Elias, Sjoerd G; Otten, Johannes D M; Broeders, Mireille J M</t>
  </si>
  <si>
    <t>journal of medical screening</t>
  </si>
  <si>
    <t>https://pubmed.ncbi.nlm.nih.gov/38295359</t>
  </si>
  <si>
    <t>Insight into the aggressiveness of potential breast cancers found in screening may optimize recall decisions. Specific growth rate (SGR), measured on mammograms, may provide valuable prognostic information. This study addresses the association of SGR with prognostic factors and overall survival in patients with invasive carcinoma of no special type (NST) from a screened population. In this historic cohort study, 293 women with NST were identified from all participants in the Nijmegen screening program (2003-2007). Information on clinicopathological factors was retrieved from patient files and follow-up on vital status through municipalities. On consecutive mammograms, tumor volumes were estimated. After comparing five growth functions, SGR was calculated using the best-fitting function. Regression and multivariable survival analyses described associations between SGR and prognostic factors as well as overall survival. Each one standard deviation increase in SGR was associated with an increase in the Nottingham prognostic index by 0.34 [95% confidence interval (CI): 0.21-0.46]. Each one standard deviation increase in SGR increased the odds of a tumor with an unfavorable subtype (based on histologic grade and hormone receptors; odds ratio 2.14 [95% CI: 1.45-3.15]) and increased the odds of diagnosis as an interval cancer (versus screen-detected; odds ratio 1.57 [95% CI: 1.20-2.06]). After a median of 12.4 years of follow-up, 78 deaths occurred. SGR was not associated with overall survival (hazard ratio 1.12 [95% CI: 0.87-1.43]). SGR may indicate prognostically relevant differences in tumor aggressiveness if serial mammograms are available. A potential association with cause-specific survival could not be determined and is of interest for future research.</t>
  </si>
  <si>
    <t>Psychosocial factors, health behaviors and risk of cancer incidence: Testing interaction and effect modification in an individual participant data meta-analysis.</t>
  </si>
  <si>
    <t>Basten, Maartje; Pan, Kuan-Yu; van Tuijl, Lonneke A; de Graeff, Alexander; Dekker, Joost; Hoogendoorn, Adriaan W; Lamers, Femke; Ranchor, Adelita V; Vermeulen, Roel; Portengen, Lützen; Voogd, Adri C; Abell, Jessica; Awadalla, Philip; Beekman, Aartjan T F; Bjerkeset, Ottar; Boyd, Andy; Cui, Yunsong; Frank, Philipp; Galenkamp, Henrike; Garssen, Bert; Hellingman, Sean; Huisman, Martijn; Huss, Anke; Keats, Melanie R; Kok, Almar A L; Krokstad, Steinar; van Leeuwen, Flora E; Luik, Annemarie I; Noisel, Nolwenn; Payette, Yves; Penninx, Brenda W J H; Rissanen, Ina; Roest, Annelieke M; Rosmalen, Judith G M; Ruiter, Rikje; Schoevers, Robert A; Soave, David; Spaan, Mandy; Steptoe, Andrew; Stronks, Karien; Sund, Erik R; Sweeney, Ellen; Twait, Emma L; Teyhan, Alison; Verschuren, W M Monique; van der Willik, Kimberly D; Geerlings, Mirjam I</t>
  </si>
  <si>
    <t>https://pubmed.ncbi.nlm.nih.gov/38289012</t>
  </si>
  <si>
    <t>Depression, anxiety and other psychosocial factors are hypothesized to be involved in cancer development. We examined whether psychosocial factors interact with or modify the effects of health behaviors, such as smoking and alcohol use, in relation to cancer incidence. Two-stage individual participant data meta-analyses were performed based on 22 cohorts of the PSYchosocial factors and CAncer (PSY-CA) study. We examined nine psychosocial factors (depression diagnosis, depression symptoms, anxiety diagnosis, anxiety symptoms, perceived social support, loss events, general distress, neuroticism, relationship status), seven health behaviors/behavior-related factors (smoking, alcohol use, physical activity, body mass index, sedentary behavior, sleep quality, sleep duration) and seven cancer outcomes (overall cancer, smoking-related, alcohol-related, breast, lung, prostate, colorectal). Effects of the psychosocial factor, health behavior and their product term on cancer incidence were estimated using Cox regression. We pooled cohort-specific estimates using multivariate random-effects meta-analyses. Additive and multiplicative interaction/effect modification was examined. This study involved 437,827 participants, 36,961 incident cancer diagnoses, and 4,749,481 person years of follow-up. Out of 744 combinations of psychosocial factors, health behaviors, and cancer outcomes, we found no evidence of interaction. Effect modification was found for some combinations, but there were no clear patterns for any particular factors or outcomes involved. In this first large study to systematically examine potential interaction and effect modification, we found no evidence for psychosocial factors to interact with or modify health behaviors in relation to cancer incidence. The behavioral risk profile for cancer incidence is similar in people with and without psychosocial stress.</t>
  </si>
  <si>
    <t>Home-based management of hypoxaemic COVID-19 patients: design of the Therapy@Home pilot study.</t>
  </si>
  <si>
    <t>Boeijen, Josi A; van de Pol, Alma C; van Uum, Rick T; Venekamp, Roderick P; Smit, Karin; Kaasjager, Karin A H; van den Broek, Robert; Bijsterbosch, Wilma; Schoonhoven, Lisette; Rutten, Frans H; Zwart, Dorien L M</t>
  </si>
  <si>
    <t>https://pubmed.ncbi.nlm.nih.gov/38296291</t>
  </si>
  <si>
    <t>During the COVID-19 pandemic, hospital capacity was strained. Home-based care could relieve the hospital care system and improve patient well-being if safely organised.We designed an intervention embedded in a regional collaborative healthcare network for the home-based management of acutely ill COVID-19 patients requiring oxygen treatment. Here, we describe the design and pilot protocol for the evaluation of the feasibility of this complex intervention. Following a participatory action research approach, the intervention was designed in four consecutive steps: (1) literature review and establishment of an expert panel; (2) concept design of essential intervention building blocks (acute medical care, acute nursing care, remote monitoring, equipment and technology, organisation and logistics); (3) safety assessments (prospective risk analysis and a simulation patient evaluation) and (4) description of the design of the pilot (feasibility) study aimed at including approximately 15-30 patients, sufficient for fine-tuning for a large-scale randomised intervention. All patients will provide written, informed consent. The study was approved by the Medical Ethics Review Committee of the University Medical Center Utrecht, the Netherlands (protocol NL77421.041.21). The preparatory steps (1-4) needed to perform the pilot are executed and described in this paper. The findings of the pilot will be published in academic journals. If we consider the complex intervention feasible, we aim to continue with a large-scale randomised controlled study evaluating the clinical effectiveness, safety and implementation of the complex intervention.</t>
  </si>
  <si>
    <t>"What should be next in lifelong posterior hypospadias: Conclusions from the 2023 ERN eUROGEN and EJP-RD networking meeting".</t>
  </si>
  <si>
    <t>Lammers, Rianne J M; Tsachouridis, George; Andersson, Marie K; Dormeus, Sarah; Ekerhult, Teresa O; Frankiewicz, Mikołaj; Gunn, Callum J; Matuszewski, Marcin; de Mooij, Keetje L; Schroeder, Rogier P J; Wyndaele, Michel I A; Xing, Zhentao; De Kort, Laetitia M O; de Graaf, Petra</t>
  </si>
  <si>
    <t>neurourology and urodynamics</t>
  </si>
  <si>
    <t>https://pubmed.ncbi.nlm.nih.gov/38289328</t>
  </si>
  <si>
    <t>A congenital disease is for life. Posterior hypospadias, the severe form of hypospadias with a penoscrotal, scrotal, or perineal meatus, is a challenging condition with a major impact on lifelong quality of life. Our network meeting is aimed to identify what is currently missing in the lifelong treatment of posterior hypospadias, to improve care, quality of life, and awareness for these patients. The network meeting "Lifelong Posterior Hypospadias" in Utrecht, The Netherlands was granted by the European Joint Programme on Rare Diseases-Networking Support Scheme. There was a combination of interactive sessions (hackathons) and lectures. This paper can be regarded as the last phase of the hackathon. Surgery for hypospadias remains challenging and complications may occur until adulthood. Posterior hypospadias affects sexual function, fertility, and hormonal status. Transitional care from childhood into adulthood is currently insufficiently established. Patients should be more involved in defining desired treatment approach and outcome measures. For optimal outcome evaluation standardization of data collection and registration at European level is necessary. Tissue engineering may provide a solution to the shortage of healthy tissue in posterior hypospadias. For optimal results, cooperation between basic researchers from different centers, as well as involving clinicians and patients is necessary. To improve outcomes for patients with posterior hypospadias, patient voices should be included and lifelong care by dedicated healthcare professionals guaranteed. Other requirements are joining forces at European level in uniform registration of outcome data and cooperation in basic research.</t>
  </si>
  <si>
    <t>Global Health and Bioethics; Epidemiology and Health Economics; General Practice and Nursing Science; Global Health and Bioethics; Epidemiology and Health Economics; Epidemiology and Health Economics; General Practice and Nursing Science; Global Health and Bioethics; General Practice and Nursing Science; Epidemiology and Health Economics; Global Health and Bioethics; General Practice and Nursing Science; General Practice and Nursing Science; Epidemiology and Health Economics; Global Health and Bioethics</t>
  </si>
  <si>
    <t>What should be next in lifelong posterior hypospadias: Conclusions from the 2023 ERN eUROGEN and EJP-RD networking meeting.</t>
  </si>
  <si>
    <t>Effects of physical exercise during adjuvant chemotherapy for breast cancer on long-term tested and perceived cognition: results of a pragmatic follow-up study.</t>
  </si>
  <si>
    <t>Naaktgeboren, Willeke R; Koevoets, Emmie W; Stuiver, Martijn M; van Harten, Wim H; Aaronson, Neil K; van der Wall, Elsken; Velthuis, Miranda; Sonke, Gabe; Schagen, Sanne B; Groen, Wim G; May, Anne M</t>
  </si>
  <si>
    <t>breast cancer research and treatment</t>
  </si>
  <si>
    <t>https://pubmed.ncbi.nlm.nih.gov/38285111</t>
  </si>
  <si>
    <t>Cancer-related cognitive impairment (CRCI) following chemotherapy is commonly reported in breast cancer survivors, even years after treatment. Data from preclinical studies suggest that exercise during chemotherapy may prevent or diminish cognitive problems; however, clinical data are scarce. This is a pragmatic follow-up study of two original randomized trials, which compares breast cancer patients randomized to exercise during chemotherapy to non-exercise controls 8.5 years post-treatment. Cognitive outcomes include an online neuropsychological test battery and self-reported cognitive complaints. Cognitive performance was compared to normative data and expressed as age-adjusted z-scores. A total of 143 patients participated in the online cognitive testing. Overall, cognitive performance was mildly impaired on some, but not all, cognitive domains, with no significant differences between groups. Clinically relevant cognitive impairment was present in 25% to 40% of all participants, regardless of study group. We observed no statistically significant effect of exercise, or being physically active during chemotherapy, on long-term cognitive performance or self-reported cognition, except for the task reaction time, which favored the control group (β = -2.04, 95% confidence interval: -38.48; -2.38). We observed no significant association between self-reported higher physical activity levels during chemotherapy or at follow-up and better cognitive outcomes. In this pragmatic follow-up study, exercising and being overall more physically active during or after adjuvant chemotherapy for breast cancer was not associated with better tested or self-reported cognitive functioning, on average, 8.5 years after treatment. Future prospective studies are needed to document the complex relationship between exercise and CRCI in cancer survivors.</t>
  </si>
  <si>
    <t>Estimation of introduction and transmission rates of SARS-CoV-2 in a prospective household study.</t>
  </si>
  <si>
    <t>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t>
  </si>
  <si>
    <t>plos computational biology</t>
  </si>
  <si>
    <t>https://pubmed.ncbi.nlm.nih.gov/38285727</t>
  </si>
  <si>
    <t>Household studies provide an efficient means to study transmission of infectious diseases, enabling estimation of susceptibility and infectivity by person-type. A main inclusion criterion in such studies is usually the presence of an infected person. This precludes estimation of the hazards of pathogen introduction into the household. Here we estimate age- and time-dependent household introduction hazards together with within household transmission rates using data from a prospective household-based study in the Netherlands. A total of 307 households containing 1,209 persons were included from August 2020 until March 2021. Follow-up of households took place between August 2020 and August 2021 with maximal follow-up per household mostly limited to 161 days. Almost 1 out of 5 households (59/307) had evidence of an introduction of SARS-CoV-2. We estimate introduction hazards and within-household transmission rates in our study population with penalized splines and stochastic epidemic models, respectively. The estimated hazard of introduction of SARS-CoV-2 in the households was lower for children (0-12 years) than for adults (relative hazard: 0.62; 95%CrI: 0.34-1.0). Estimated introduction hazards peaked in mid October 2020, mid December 2020, and mid April 2021, preceding peaks in hospital admissions by 1-2 weeks. Best fitting transmission models included increased infectivity of children relative to adults and adolescents, such that the estimated child-to-child transmission probability (0.62; 95%CrI: 0.40-0.81) was considerably higher than the adult-to-adult transmission probability (0.12; 95%CrI: 0.057-0.19). Scenario analyses indicate that vaccination of adults can strongly reduce household infection attack rates and that adding adolescent vaccination offers limited added benefit.</t>
  </si>
  <si>
    <t>[Coumarin or DOAC in frail elderly patients with atrial fibrillation?].</t>
  </si>
  <si>
    <t>Joosten, Linda P T; van Doorn, Sander; Hemels, Martin E W; Huisman, Menno V; Rutten, Frans H; Geersing, Geert-Jan</t>
  </si>
  <si>
    <t>nederlands tijdschrift voor geneeskunde</t>
  </si>
  <si>
    <t>https://pubmed.ncbi.nlm.nih.gov/38525862</t>
  </si>
  <si>
    <t>To investigate whether frail elderly people with atrial fibrillation (AF) who are currently using a vitamin K antagonist (VKA) should be switched to a direct-acting oral anticoagulant (DOAC). Randomized clinical trial. 662 frail elderly AF patients were switched to a DOAC, and 661 patients continued their VKA. The primary endpoint was a major or clinically relevant non-major bleeding during 1 year of follow-up. Secondary endpoints included thrombo-embolic events. The mean age of the included patients was 83 years. In the 'switch to DOAC arm', 101 bleeding events (15.3%) occurred and in the 'continue with VKA arm', 62 bleeding events (9.4%); an increase of 69% more bleeding events (P-value 0.001). The number of thrombo-embolic events was not significantly different between both groups. Switching from a VKA to a DOAC in frail elderly people with AF leads to 69% more bleeding, without a difference in thrombo-embolic events.</t>
  </si>
  <si>
    <t>Trends in cataract surgery and healthcare system response during the COVID-19 lockdown in Malaysia: Lessons to be learned.</t>
  </si>
  <si>
    <t>Lim, Amanda Wei-Yin; Leong, Chin Tho; Salowi, Mohamad Aziz; Lim, Yvonne Mei Fong; Wong, Wen Jun; Hwong, Wen Yea</t>
  </si>
  <si>
    <t>public health in practice oxford england</t>
  </si>
  <si>
    <t>https://pubmed.ncbi.nlm.nih.gov/38323125</t>
  </si>
  <si>
    <t>Elective surgeries were suspended during the national lockdown in March 2020 to curb the spread of the COVID-19 pandemic in Malaysia. We sought to evaluate the impact of the lockdown on cataract surgeries and suggest lessons for future outbreaks. We conducted an interrupted time series analysis to examine rates of cataract surgery before and during the lockdown. We used national cataract surgical data between 2015 and 2021 from the Malaysian Cataract Surgery Registry. Segmented regression with a seasonally adjusted Poisson model was used for the analysis. Stratified analyses were performed to establish whether the effect of the lockdown on cataract surgeries varied by hospital designation, type of cataract service, sex, and age groups. Cataract surgeries began falling in March 2020 at the onset of the lockdown, reached a trough in April 2020, and subsequently increased but never recovered to pre-lockdown levels. Cataract surgical rates in December 2021 were still 43 % below the expected surgical volume, equivalent to 2513 lost cataract surgeries. There was no evidence of a differential effect of the lockdown between COVID-19 designated and non-COVID-19 designated hospitals. The relative decrease in cataract surgical rates appears to have been greatest in outreach services and in people 40 years and older. The lockdown caused an immediate reduction in cataract surgical rates to nearly half of its baseline rate. Despite its gradual recovery, further delays remain to be expected should there be no redistribution or increase in resources to support backlogs and incoming new cases.</t>
  </si>
  <si>
    <t>Corrigendum: Diabetes-Tuberculosis Care in Eswatini: A Qualitative Study of Opportunities and Recommendations for Effective Services Integration.</t>
  </si>
  <si>
    <t>Williams, Victor; Vos-Seda, Alinda G; Haumba, Samson; Mdluli-Dlamini, Lindiwe; Calnan, Marianne; Grobbee, Diederick E; Otwombe, Kennedy; Klipstein-Grobusch, Kerstin</t>
  </si>
  <si>
    <t>international journal of public health</t>
  </si>
  <si>
    <t>https://pubmed.ncbi.nlm.nih.gov/38328434</t>
  </si>
  <si>
    <t>[This corrects the article DOI: 10.3389/ijph.2023.1605551.].</t>
  </si>
  <si>
    <t>Impact of age on the predictive value of NT-proBNP in patients with diabetes mellitus stabilised after an acute coronary syndrome.</t>
  </si>
  <si>
    <t>Savonitto, Stefano; Morici, Nuccia; Pancani, Silvia; Nozza, Anna; Cosentino, Francesco; Perrone Filardi, Pasquale; Cavallini, Claudio; Angeli, Fabio; Stähli, Barbara E; Heerspink, Hiddo J L; Mannini, Andrea; Schwartz, Gregory G; Lincoff, A Michael; Tardif, Jean-Claude; Grobbee, Diederick E</t>
  </si>
  <si>
    <t>https://pubmed.ncbi.nlm.nih.gov/38278494</t>
  </si>
  <si>
    <t>To assess the impact of age on the prognostic value of NT-proBNP concentration in patients with type-2 diabetes mellitus (T2DM) stabilised after an Acute Coronary Syndrome (ACS). The AleCardio study compared aleglitazar with placebo in 7226 patients with T2DM and recent ACS. Patients with heart failure were excluded. Median follow-up was 104 weeks. Baseline NT-proBNP plasma concentration was measured centrally. Multivariable Cox regression was used to determine the mortality predictive information provided by NT-proBNP across age groups. Median age was 61y (IQR 54, 67). NT-proBNP concentration increased by quartile (Q) of age (median 264, 318, 391, and 588 pg/ml). Compared to Q1, patients in Q4 of NT-proBNP had higher (p &lt; 0.001) adjusted HR for all-cause (aHR 6.9; 95 % CI 4.0-12) and cardiovascular (11; 5.4-23) death. Within each age Q, baseline NT-proBNP in patients who died was 3 times higher than in survivors (all p &lt; 0.001). When age and NT-proBNP levels were modeled as continuous variables, their interaction term was nonsignificant. The relative prognostic information provided by NT-proBNP (percent of total X&lt;sup&gt;2&lt;/sup&gt;) increased from 38 % in age Q1 to 75 % in age Q4 for mortality, and from 50 % to 88 % for CV death. Among patients with T2DM stabilised after an ACS, NT-proBNP level predicts death irrespective of age.</t>
  </si>
  <si>
    <t>Modest performance of text mining to extract health outcomes may be almost sufficient for high-quality prognostic model development.</t>
  </si>
  <si>
    <t>Grotenhuis, Zwierd; Mosteiro, Pablo J; Leeuwenberg, Artuur M</t>
  </si>
  <si>
    <t>computers in biology and medicine</t>
  </si>
  <si>
    <t>https://pubmed.ncbi.nlm.nih.gov/38301515</t>
  </si>
  <si>
    <t>Across medicine, prognostic models are used to estimate patient risk of certain future health outcomes (e.g., cardiovascular or mortality risk). To develop (or train) prognostic models, historic patient-level training data is needed containing both the predictive factors (i.e., features) and the relevant health outcomes (i.e., labels). Sometimes, when the health outcomes are not recorded in structured data, these are first extracted from textual notes using text mining techniques. Because there exist many studies utilizing text mining to obtain outcome data for prognostic model development, our aim is to study the impact of the text mining quality on downstream prognostic model performance. We conducted a simulation study charting the relationship between text mining quality and prognostic model performance using an illustrative case study about in-hospital mortality prediction in intensive care unit patients. We repeatedly developed and evaluated a prognostic model for in-hospital mortality, using outcome data extracted by multiple text mining models of varying quality. Interestingly, we found in our case study that a relatively low-quality text mining model (F1 score ≈ 0.50) could already be used to train a prognostic model with quite good discrimination (area under the receiver operating characteristic curve of around 0.80). The calibration of the risks estimated by the prognostic model seemed unreliable across the majority of settings, even when text mining models were of relatively high quality (F1 ≈ 0.80). Developing prognostic models on text-extracted outcomes using imperfect text mining models seems promising. However, it is likely that prognostic models developed using this approach may not produce well-calibrated risk estimates, and require recalibration in (possibly a smaller amount of) manually extracted outcome data.</t>
  </si>
  <si>
    <t>Communication training for general practitioners aimed at improving antibiotic prescribing: a controlled before-after study in multicultural Dutch cities.</t>
  </si>
  <si>
    <t>Lescure, Dominique L A; Erdem, Özcan; Nieboer, Daan; Huijser van Reenen, Natascha; Tjon-A-Tsien, Aimée M L; van Oorschot, Wilbert; Brouwer, Rob; Vos, Margreet C; van der Velden, Alike W; Richardus, Jan Hendrik; Voeten, Hélène A C M</t>
  </si>
  <si>
    <t>frontiers in medicine</t>
  </si>
  <si>
    <t>https://pubmed.ncbi.nlm.nih.gov/38323031</t>
  </si>
  <si>
    <t>Evaluation of clinical prediction models (part 3): calculating the sample size required for an external validation study.</t>
  </si>
  <si>
    <t>Riley, Richard D; Snell, Kym I E; Archer, Lucinda; Ensor, Joie; Debray, Thomas P A; van Calster, Ben; van Smeden, Maarten; Collins, Gary S</t>
  </si>
  <si>
    <t>https://pubmed.ncbi.nlm.nih.gov/38253388</t>
  </si>
  <si>
    <t>Predicting response to neoadjuvant chemotherapy with liquid biopsies and multiparametric MRI in patients with breast cancer.</t>
  </si>
  <si>
    <t>Janssen, L M; Janse, M H A; Penning de Vries, B B L; van der Velden, B H M; Wolters-van der Ben, E J M; van den Bosch, S M; Sartori, A; Jovelet, C; Agterof, M J; Ten Bokkel Huinink, D; Bouman-Wammes, E W; van Diest, P J; van der Wall, E; Elias, S G; Gilhuijs, K G A</t>
  </si>
  <si>
    <t>npj breast cancer</t>
  </si>
  <si>
    <t>https://pubmed.ncbi.nlm.nih.gov/38245552</t>
  </si>
  <si>
    <t>Accurate prediction of response to neoadjuvant chemotherapy (NAC) can help tailor treatment to individual patients' needs. Little is known about the combination of liquid biopsies and computer extracted features from multiparametric magnetic resonance imaging (MRI) for the prediction of NAC response in breast cancer. Here, we report on a prospective study with the aim to explore the predictive potential of this combination in adjunct to standard clinical and pathological information before, during and after NAC. The study was performed in four Dutch hospitals. Patients without metastases treated with NAC underwent 3 T multiparametric MRI scans before, during and after NAC. Liquid biopsies were obtained before every chemotherapy cycle and before surgery. Prediction models were developed using penalized linear regression to forecast residual cancer burden after NAC and evaluated for pathologic complete response (pCR) using leave-one-out-cross-validation (LOOCV). Sixty-one patients were included. Twenty-three patients (38%) achieved pCR. Most prediction models yielded the highest estimated LOOCV area under the curve (AUC) at the post-treatment timepoint. A clinical-only model including tumor grade, nodal status and receptor subtype yielded an estimated LOOCV AUC for pCR of 0.76, which increased to 0.82 by incorporating post-treatment radiological MRI assessment (i.e., the "clinical-radiological" model). The estimated LOOCV AUC was 0.84 after incorporation of computer-extracted MRI features, and 0.85 when liquid biopsy information was added instead of the radiological MRI assessment. Adding liquid biopsy information to the clinical-radiological resulted in an estimated LOOCV AUC of 0.86. In conclusion, inclusion of liquid biopsy-derived markers in clinical-radiological prediction models may have potential to improve prediction of pCR after NAC in breast cancer.</t>
  </si>
  <si>
    <t>Evaluation of a New Standardized Nasal Sampling Method for Detection of SARS-CoV-2 RNA via RT-PCR.</t>
  </si>
  <si>
    <t>Koeleman, Johannes G M; Mol, Sander; Brand, Henk; Ong, David S Y</t>
  </si>
  <si>
    <t>microorganisms</t>
  </si>
  <si>
    <t>https://pubmed.ncbi.nlm.nih.gov/38276195</t>
  </si>
  <si>
    <t>The aim of this study was to compare the diagnostic accuracy of nasal sampling using a novel anterior nasal swab (ANS) (Rhinoswab) versus combined oro-nasopharyngeal (OP/NP) sampling in COVID-19 suspected patients. This prospective observational study was performed from 11 November to 2 December 2021 (part 1), and from 16 January to 22 February 2022 (part 2). Adult patients who attended the emergency room with suspected COVID-19 were asked to participate. One ANS and one OP/NP sample were consecutively collected, and both were analyzed via reverse transcription polymerase chain reaction (RT-PCR). The result of the OP/NP sample was considered to be the reference standard. A total of 412 patients were included, of whom 171 (41.5%) had a positive RT-PCR of the OP/NP swab, whereas 139 (33.7%) were positive on the ANS sample. The overall diagnostic accuracy for ANS sampling in terms of sensitivity, specificity, positive predictive value, and negative predictive value was 80.7% (95% CI 73.8-86.2), 99.6% (95% CI 97.3-100), 99.3% (95% CI 95.5-100), and 87.9% (95% CI 83.3-91.4), respectively. In conclusion, ANS sampling with the Rhinoswab identified 80.7% of all presented COVID-19 patients in an emergency department. Future studies should investigate if nasal Rhinoswab self-sampling is suitable for reliable diagnosis of COVID-19 in an outpatient setting.</t>
  </si>
  <si>
    <t>Microvascular Dysfunction and Whole-Brain White Matter Connectivity: The Maastricht Study.</t>
  </si>
  <si>
    <t>Beran, Magdalena; van Gennip, April C E; Stehouwer, Coen D A; Jansen, Jacobus F A; Gupta, Monideepa D; Houben, Alfons J H M; Berendschot, Tos T J M; Webers, Carroll A B; Wesselius, Anke; Schalkwijk, Casper G; Backes, Walter H; de Jong, Joost J A; van der Kallen, Carla J H; van Greevenbroek, Marleen M J; Köhler, Sebastian; Vonk, Jet M J; Geerlings, Mirjam I; Schram, Miranda T; van Sloten, Thomas T</t>
  </si>
  <si>
    <t>https://pubmed.ncbi.nlm.nih.gov/38240213</t>
  </si>
  <si>
    <t>Microvascular dysfunction is involved in the development of various cerebral disorders. It may contribute to these disorders by disrupting white matter tracts and altering brain connectivity, but evidence is scarce. We investigated the association between multiple biomarkers of microvascular function and whole-brain white matter connectivity. Cross-sectional data from The Maastricht Study, a Dutch population-based cohort (n=4326; age, 59.4±8.6 years; 49.7% women). Measures of microvascular function included urinary albumin excretion, central retinal arteriolar and venular calibers, composite scores of flicker light-induced retinal arteriolar and venular dilation, and plasma biomarkers of endothelial dysfunction (intercellular adhesion molecule-1, vascular cell adhesion molecule-1, E-selectin, and von Willebrand factor). White matter connectivity was calculated from 3T diffusion magnetic resonance imaging to quantify the number (average node degree) and organization (characteristic path length, global efficiency, clustering coefficient, and local efficiency) of white matter connections. A higher plasma biomarkers of endothelial dysfunction composite score was associated with a longer characteristic path length (β per SD, 0.066 [95% CI, 0.017-0.114]) after adjustment for sociodemographic, lifestyle, and cardiovascular factors but not with any of the other white matter connectivity measures. After multiple comparison correction, this association was nonsignificant. None of the other microvascular function measures were associated with any of the connectivity measures. These findings suggest that microvascular dysfunction as measured by indirect markers is not associated with whole-brain white matter connectivity.</t>
  </si>
  <si>
    <t>Sex Differences in the Primary Prevention of Cardiovascular Diseases in a Dutch Primary Care Setting.</t>
  </si>
  <si>
    <t>Kiss, Pauline A J; Uijl, Alicia; Betancur, Estefania; de Boer, Annemarijn R; Grobbee, Diederick E; Hollander, Monika; Onland-Moret, Charlotte N; Sturkenboom, Miriam C J M; Peters, Sanne A E</t>
  </si>
  <si>
    <t>global heart</t>
  </si>
  <si>
    <t>https://pubmed.ncbi.nlm.nih.gov/38250702</t>
  </si>
  <si>
    <t>Sex differences in the primary prevention of cardiovascular diseases (CVD) have been shown, but the evidence is mixed and fragmented. In this study, we assessed sex differences in cardiovascular risk factors assessment, risk factor levels, treatment, and meeting of treatment targets, within a Dutch primary care setting. Data were obtained from individuals aged 40 to 70 years old, without prior CVD, registered during the entire year in 2018 at one of the 51 general practices participating in the Julius General Practitioner's Network (JGPN). History of CVD was defined based on the International Classification of Primary Care (ICPC). Linear and Poisson regressions were used to investigate sex differences in risk factor assessment, risk factor levels, treatment, and meeting of treatment targets. We included 83,903 individuals (50% women). With the exception of glycated hemoglobin (HbA1c), all risk factors for CVD were more often measured in women than in men. Lipid measurements and body mass index values were higher in women, while blood pressure (BP) and HbA1c levels were higher in men, along with estimated glomerular filtration rate (eGFR) levels. Among individuals with elevated BP or cholesterol levels, no sex difference was observed in the prescription of antihypertensive medications (RR 1.00, 95% CI: 0.94-1.06) but women were less likely than men to receive lipid-lowering medications (RR 0.87, 95% CI: 0.79-0.95). Among treated individuals, women were more likely than men to meet adequate levels of blood pressure (RR 1.17, 95% CI: 1.09-1.25) and less likely to meet target levels of cholesterol (RR 0.90, 95% CI: 0.83-0.98). While women were more likely to have their CVD risk factors measured, they were less likely to be prescribed lipid-lowering medications and to meet target levels. When treated, men were less likely to achieve adequate blood pressure control.</t>
  </si>
  <si>
    <t>Potential impact of a new sepsis prediction model for the primary care setting: early health economic evaluation using an observational cohort.</t>
  </si>
  <si>
    <t>Loots, Feike J; van der Meulen, Miriam P; Smits, Marleen; Hopstaken, Rogier M; de Bont, Eefje Gpm; van Bussel, Bas Ct; Latten, Gideon Hp; Oosterheert, Jan Jelrik; van Zanten, Arthur Rh; Verheij, Theo Jm; Frederix, Geert Wj</t>
  </si>
  <si>
    <t>https://pubmed.ncbi.nlm.nih.gov/38233050</t>
  </si>
  <si>
    <t>To estimate the potential referral rate and cost impact at different cut-off points of a recently developed sepsis prediction model for general practitioners (GPs). Prospective observational study with decision tree modelling. Four out-of-hours GP services in the Netherlands. 357 acutely ill adult patients assessed during home visits. The primary outcome is the cost per patient from a healthcare perspective in four scenarios based on different cut-off points for referral of the sepsis prediction model. Second, the number of hospital referrals for the different scenarios is estimated. The potential impact of referral of patients with sepsis on mortality and hospital admission was estimated by an expert panel. Using these study data, a decision tree with a time horizon of 1 month was built to estimate the referral rate and cost impact in case the model would be implemented. Referral rates at a low cut-off (score 2 or 3 on a scale from 0 to 6) of the prediction model were higher than observed for patients with sepsis (99% and 91%, respectively, compared with 88% observed). However, referral was also substantially higher for patients who did not need hospital assessment. As a consequence, cost-savings due to referral of patients with sepsis were offset by increased costs due to unnecessary referral for all cut-offs of the prediction model. Guidance for referral of adult patients with suspected sepsis in the primary care setting using any cut-off point of the sepsis prediction model is not likely to save costs. The model should only be incorporated in sepsis guidelines for GPs if improvement of care can be demonstrated in an implementation study. Dutch Trial Register (NTR 7026).</t>
  </si>
  <si>
    <t>Replicability of simulation studies for the investigation of statistical methods: the RepliSims project.</t>
  </si>
  <si>
    <t>Luijken, K; Lohmann, A; Alter, U; Claramunt Gonzalez, J; Clouth, F J; Fossum, J L; Hesen, L; Huizing, A H J; Ketelaar, J; Montoya, A K; Nab, L; Nijman, R C C; Penning de Vries, B B L; Tibbe, T D; Wang, Y A; Groenwold, R H H</t>
  </si>
  <si>
    <t>royal society open science</t>
  </si>
  <si>
    <t>https://pubmed.ncbi.nlm.nih.gov/38234442</t>
  </si>
  <si>
    <t>Results of simulation studies evaluating the performance of statistical methods can have a major impact on the way empirical research is implemented. However, so far there is limited evidence of the replicability of simulation studies. Eight highly cited statistical simulation studies were selected, and their replicability was assessed by teams of replicators with formal training in quantitative methodology. The teams used information in the original publications to write simulation code with the aim of replicating the results. The primary outcome was to determine the feasibility of replicability based on reported information in the original publications and supplementary materials. Replicasility varied greatly: some original studies provided detailed information leading to almost perfect replication of results, whereas other studies did not provide enough information to implement any of the reported simulations. Factors facilitating replication included availability of code, detailed reporting or visualization of data-generating procedures and methods, and replicator expertise. Replicability of statistical simulation studies was mainly impeded by lack of information and sustainability of information sources. We encourage researchers publishing simulation studies to transparently report all relevant implementation details either in the research paper itself or in easily accessible supplementary material and to make their simulation code publicly available using permanent links.</t>
  </si>
  <si>
    <t>The Impact of Hospice Care Structures on Care Processes: A Retrospective Cohort Study.</t>
  </si>
  <si>
    <t>de Graaf, Everlien; Grant, Matthew; van der Baan, Frederieke; Ausems, Marieke; Leget, Carlo; Teunissen, Saskia</t>
  </si>
  <si>
    <t>https://pubmed.ncbi.nlm.nih.gov/38234063</t>
  </si>
  <si>
    <t>&lt;b&gt;Background:&lt;/b&gt; Palliative care is subject to substantial variations in care, which may be shaped through adapting the organisational structures through which care is provided. Whilst the goal of these structures is to improve patient care, there is a lack of evidence regarding their effect on care processes and patient outcomes. &lt;b&gt;Aims:&lt;/b&gt; This study aims to describe the relationship between care structures and the quantity and domains of care processes in hospice care. &lt;b&gt;Design:&lt;/b&gt; Retrospective cohort study. &lt;b&gt;Settings/Participants:&lt;/b&gt; Data were collected from Dutch hospice patient's clinical records and hospice surveys, detailing hospice structures, patient clinical characteristics and care processes. &lt;b&gt;Results:&lt;/b&gt; 662 patients were included from 42 hospices, mean age 76.1 years. Hospices were categorised according to their care structures - structured clinical documentation and multidisciplinary meetings. Patients receiving care in hospices with structured multidisciplinary meetings had an increased quantity of documented care processes per patient on admission through identification (median 4 vs 3, &lt;i&gt;P&lt;/i&gt; &lt; .001), medication (2 vs 1, &lt;i&gt;P&lt;/i&gt; = .004) and non-medication (1 vs 0, &lt;i&gt;P&lt;/i&gt; &lt; .001) interventions, monitoring (2 vs 1, &lt;i&gt;P&lt;/i&gt; &lt; .001) and evaluation (0 vs 0, &lt;i&gt;P&lt;/i&gt; = .014), and prior to death. Similar increases were identified for patients who received care in hospices with structured documentation upon admission, but these changes were not consistent prior to death. &lt;b&gt;Conclusions:&lt;/b&gt; This study details that the care structures of documentation and multidisciplinary meetings are associated with increased quantity and breadth of documentation of care processes in hospice care. Employing these existing structures may result in improvements in the documentation of patient care processes, and thus better communication around patient care.</t>
  </si>
  <si>
    <t>Methodology for biomarker discovery with reproducibility in microbiome data using machine learning.</t>
  </si>
  <si>
    <t>Rojas-Velazquez, David; Kidwai, Sarah; Kraneveld, Aletta D; Tonda, Alberto; Oberski, Daniel; Garssen, Johan; Lopez-Rincon, Alejandro</t>
  </si>
  <si>
    <t>bmc bioinformatics</t>
  </si>
  <si>
    <t>https://pubmed.ncbi.nlm.nih.gov/38225565</t>
  </si>
  <si>
    <t>In recent years, human microbiome studies have received increasing attention as this field is considered a potential source for clinical applications. With the advancements in omics technologies and AI, research focused on the discovery for potential biomarkers in the human microbiome using machine learning tools has produced positive outcomes. Despite the promising results, several issues can still be found in these studies such as datasets with small number of samples, inconsistent results, lack of uniform processing and methodologies, and other additional factors lead to lack of reproducibility in biomedical research. In this work, we propose a methodology that combines the DADA2 pipeline for 16s rRNA sequences processing and the Recursive Ensemble Feature Selection (REFS) in multiple datasets to increase reproducibility and obtain robust and reliable results in biomedical research. Three experiments were performed analyzing microbiome data from patients/cases in Inflammatory Bowel Disease (IBD), Autism Spectrum Disorder (ASD), and Type 2 Diabetes (T2D). In each experiment, we found a biomarker signature in one dataset and applied to 2 other as further validation. The effectiveness of the proposed methodology was compared with other feature selection methods such as K-Best with F-score and random selection as a base line. The Area Under the Curve (AUC) was employed as a measure of diagnostic accuracy and used as a metric for comparing the results of the proposed methodology with other feature selection methods. Additionally, we use the Matthews Correlation Coefficient (MCC) as a metric to evaluate the performance of the methodology as well as for comparison with other feature selection methods. We developed a methodology for reproducible biomarker discovery for 16s rRNA microbiome sequence analysis, addressing the issues related with data dimensionality, inconsistent results and validation across independent datasets. The findings from the three experiments, across 9 different datasets, show that the proposed methodology achieved higher accuracy compared to other feature selection methods. This methodology is a first approach to increase reproducibility, to provide robust and reliable results.</t>
  </si>
  <si>
    <t>Association of amyloid-beta with depression or depressive symptoms in older adults without dementia: a systematic review and meta-analysis.</t>
  </si>
  <si>
    <t>Twait, Emma L; Wu, Jen-Hao; Kamarioti, Maria; Basten, Maartje; van der Flier, Wiesje M; Gerritsen, Lotte; Geerlings, Mirjam I</t>
  </si>
  <si>
    <t>translational psychiatry</t>
  </si>
  <si>
    <t>https://pubmed.ncbi.nlm.nih.gov/38225253</t>
  </si>
  <si>
    <t>Several lines of evidence have indicated that depression might be a prodromal symptom of Alzheimer's disease (AD). This systematic review and meta-analysis investigated the cross-sectional association between amyloid-beta, one of the key pathologies defining AD, and depression or depressive symptoms in older adults without dementia. A systematic search in PubMed yielded 689 peer-reviewed articles. After full-text screening, nine CSF studies, 11 PET studies, and five plasma studies were included. No association between amyloid-beta and depression or depressive symptoms were found using cerebrospinal fluid (CSF) (0.15; 95% CI: -0.08; 0.37), positron emission topography (PET) (Cohen's d: 0.09; 95% CI: -0.05; 0.24), or plasma (-0.01; 95% CI: -0.23; 0.22). However, subgroup analyses revealed an association in plasma studies of individuals with cognitive impairment. A trend of an association was found in the studies using CSF and PET. This systematic review and meta-analysis suggested that depressive symptoms may be part of the prodromal stage of dementia.</t>
  </si>
  <si>
    <t>Prophylactic pectoralis major flap to compensate for increased risk of pharyngocutaneous fistula in laryngectomy patients with low skeletal muscle mass (PECTORALIS): study protocol for a randomized controlled trial.</t>
  </si>
  <si>
    <t>van Beers, Maartje A; Speksnijder, Caroline M; van Gils, Carla H; Frederix, Geert W J; Dankbaar, Jan Willem; de Bree, Remco</t>
  </si>
  <si>
    <t>bmc cancer</t>
  </si>
  <si>
    <t>https://pubmed.ncbi.nlm.nih.gov/38225572</t>
  </si>
  <si>
    <t>Total laryngectomy (TL) is a surgical procedure commonly performed on patients with advanced laryngeal or hypopharyngeal carcinoma. One of the most common postoperative complications following TL is the development of a pharyngocutaneous fistula (PCF), characterized by a communication between the neopharynx and the skin. PCF can lead to extended hospital stays, delayed oral feeding, and compromised quality of life. The use of a myofascial pectoralis major flap (PMMF) as an onlay technique during pharyngeal closure has shown potential in reducing PCF rates in high risk patients for development of PCF such as patients undergoing TL after chemoradiation and low skeletal muscle mass (SMM). Its impact on various functional outcomes, such as shoulder and neck function, swallowing function, and voice quality, remains less explored. This study aims to investigate the effectiveness of PMMF in reducing PCF rates in patients with low SMM and its potential consequences on patient well-being. This multicenter study adopts a randomized clinical trial (RCT) design and is funded by the Dutch Cancer Society. Eligible patients for TL, aged ≥ 18 years, mentally competent, and proficient in Dutch, will be enrolled. One hundred and twenty eight patients with low SMM will be centrally randomized to receive TL with or without PMMF, while those without low SMM will undergo standard TL. Primary outcome measurement involves assessing PCF rates within 30 days post-TL. Secondary objectives include evaluating quality of life, shoulder and neck function, swallowing function, and voice quality using standardized questionnaires and functional tests. Data will be collected through electronic patient records. This study's significance lies in its exploration of the potential benefits of using PMMF as an onlay technique during pharyngeal closure to reduce PCF rates in TL patients with low SMM. By assessing various functional outcomes, the study aims to provide a comprehensive understanding of the impact of PMMF deployment. The anticipated results will contribute valuable insights into optimizing surgical techniques to enhance patient outcomes and inform future treatment strategies for TL patients. NL8605, registered on 11-05-2020; International Clinical Trials Registry Platform (ICTRP).</t>
  </si>
  <si>
    <t>Embedding routine health care data in clinical trials: with great power comes great responsibility.</t>
  </si>
  <si>
    <t>Handoko, M Louis; de Man, Frances S; Brugts, Jasper J; van der Meer, Peter; Rhodius-Meester, Hanneke F M; Schaap, Jeroen; van de Kamp, H J Rik; Houterman, Saskia; van Veghel, Dennis; Uijl, Alicia; Asselbergs, Folkert W</t>
  </si>
  <si>
    <t>netherlands heart journal monthly journal of the netherlands society of cardiology and the netherlands heart foundation</t>
  </si>
  <si>
    <t>https://pubmed.ncbi.nlm.nih.gov/38224411</t>
  </si>
  <si>
    <t>Randomised clinical trials (RCTs) are vital for medical progress. Unfortunately, 'traditional' RCTs are expensive and inherently slow. Moreover, their generalisability has been questioned. There is considerable overlap in routine health care data (RHCD) and trial-specific data. Therefore, integration of RHCD in an RCT has great potential, as it would reduce the effort and costs required to collect data, thereby overcoming some of the major downsides of a traditional RCT. However, use of RHCD comes with other challenges, such as privacy issues, as well as technical and practical barriers. Here, we give a current overview of related initiatives on national cardiovascular registries (Netherlands Heart Registration, Heart4Data), showcasing the interrelationships between and the relevance of the different registries for the practicing physician. We then discuss the benefits and limitations of RHCD use in the setting of a pragmatic RCT from a cardiovascular perspective, illustrated by a case study in heart failure.</t>
  </si>
  <si>
    <t>Cross-institution natural language processing for reliable clinical association studies: a methodological exploration.</t>
  </si>
  <si>
    <t>Sushil, Madhumita; Butte, Atul J; Schuit, Ewoud; van Smeden, Maarten; Leeuwenberg, Artuur M</t>
  </si>
  <si>
    <t>https://pubmed.ncbi.nlm.nih.gov/38219811</t>
  </si>
  <si>
    <t>Natural language processing (NLP) of clinical notes in electronic medical records is increasingly used to extract otherwise sparsely available patient characteristics, to assess their association with relevant health outcomes. Manual data curation is resource intensive and NLP methods make these studies more feasible. However, the methodology of using NLP methods reliably in clinical research is understudied. The objective of this study is to investigate how NLP models could be used to extract study variables (specifically exposures) to reliably conduct exposure-outcome association studies. In a convenience sample of patients admitted to the intensive care unit of a US academic health system, multiple association studies are conducted, comparing the association estimates based on NLP-extracted vs. manually extracted exposure variables. The association studies varied in NLP model architecture (Bidirectional Encoder Decoder from Transformers, Long Short-Term Memory), training paradigm (training a new model, fine-tuning an existing external model), extracted exposures (employment status, living status, and substance use), health outcomes (having a do-not-resuscitate/intubate code, length of stay, and in-hospital mortality), missing data handling (multiple imputation vs. complete case analysis), and the application of measurement error correction (via regression calibration). The study was conducted on 1,174 participants (median [interquartile range] age, 61 [50, 73] years; 60.6% male). Additionally, up to 500 discharge reports of participants from the same health system and 2,528 reports of participants from an external health system were used to train the NLP models. Substantial differences were found between the associations based on NLP-extracted and manually extracted exposures under all settings. The error in association was only weakly correlated with the overall F1 score of the NLP models. Associations estimated using NLP-extracted exposures should be interpreted with caution. Further research is needed to set conditions for reliable use of NLP in medical association studies.</t>
  </si>
  <si>
    <t>Prevalence and determinants of self-reported low-fat-, low-salt-, and vegetarian diets in patients with cardiovascular disease between 1996 and 2019.</t>
  </si>
  <si>
    <t>Hoes, L L F; Geleijnse, J M; Bonekamp, N E; Dorresteijn, J A N; van der Meer, M G; van der Schouw, Yvonne T; Visseren, Frank L J; Koopal, Charlotte; ,</t>
  </si>
  <si>
    <t>nutrition metabolism and cardiovascular diseases nmcd</t>
  </si>
  <si>
    <t>https://pubmed.ncbi.nlm.nih.gov/38403481</t>
  </si>
  <si>
    <t>Guidelines no longer recommend low-fat diets and currently recommend more plant-based diets to reduce atherosclerotic cardiovascular disease (ASCVD) risk. Furthermore, these guidelines have consistently recommended salt-reduced diets. This article describes current self-reported use and time-trends in the self-reported use of low-fat, low-salt and vegetarian diets in ASCVD patients and examines patient characteristics associated with each diet. 9005 patients with ASCVD included between 1996 and 2019 in the UCC-SMART cohort were studied. The prevalence of self-reported diets was assessed and multi-variable logistic regression was used to identify the determinants of each diet. Between 1996-1997 and 2018-2019, low-fat diets declined from 22.4 % to 3.8 %, and low-salt diets from 14.7 % to 4.6 %. The prevalence of vegetarian diets increased from 1.1 % in 1996-1997 to 2.3 % in 2018-2019. Patients with cerebrovascular disease (CeVD) and peripheral artery disease or an abdominal aortic aneurysm (PAD/AAA) were less likely to report a low-salt diet than coronary artery disease (CAD) patients (OR 0.62 [95%CI 0.49-0.77] and 0.55 [95%CI 0.41-0.72]). In the period 1996 to 2019 amongst patients with ASCVD, the prevalence of self-reported low-fat diets was low and decreased in line with changes in recommendations in major guidelines. The prevalence of self-reported vegetarian diets was low but increased in line with societal and guideline changes. The prevalence of self-reported low-salt diets was low, especially in CeVD and PAD/AAA patients compared to CAD patients, and decreased over time. Renewed action is needed to promote low-salt diets in ASCVD patients.</t>
  </si>
  <si>
    <t>Observation of WZγ Production in pp Collisions at sqrt[s]=13  TeV with the ATLAS Detector.</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</si>
  <si>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t>
  </si>
  <si>
    <t>https://pubmed.ncbi.nlm.nih.gov/38277610</t>
  </si>
  <si>
    <t>This Letter reports the observation of WZγ production and a measurement of its cross section using 140.1±1.2  fb^{-1} of proton-proton collision data recorded at a center-of-mass energy of 13 TeV by the ATLAS detector at the Large Hadron Collider. The WZγ production cross section, with both the W and Z bosons decaying leptonically, pp→WZγ→ℓ^{'}^{±}νℓ^{+}ℓ^{-}γ (ℓ^{(^{'})}=e, μ), is measured in a fiducial phase-space region defined such that the leptons and the photon have high transverse momentum and the photon is isolated. The cross section is found to be 2.01±0.30(stat)±0.16(syst)  fb. The corresponding standard model predicted cross section calculated at next-to-leading order in perturbative quantum chromodynamics and at leading order in the electroweak coupling constant is 1.50±0.06  fb. The observed significance of the WZγ signal is 6.3σ, compared with an expected significance of 5.0σ.</t>
  </si>
  <si>
    <t>Evidence for the Higgs Boson Decay to a Z Boson and a Photon at the LHC.</t>
  </si>
  <si>
    <t>Aad, G; Abbott, B; Abeling, K; Abicht, N J; Abidi, S H; Aboulhorma, A; Abramowicz, H; Abreu, H; Abulaiti, Y;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t>
  </si>
  <si>
    <t>https://pubmed.ncbi.nlm.nih.gov/38277607</t>
  </si>
  <si>
    <t>The first evidence for the Higgs boson decay to a Z boson and a photon is presented, with a statistical significance of 3.4 standard deviations. The result is derived from a combined analysis of the searches performed by the ATLAS and CMS Collaborations with proton-proton collision datasets collected at the CERN Large Hadron Collider (LHC) from 2015 to 2018. These correspond to integrated luminosities of around 140  fb^{-1} for each experiment, at a center-of-mass energy of 13 TeV. The measured signal yield is 2.2±0.7 times the standard model prediction, and agrees with the theoretical expectation within 1.9 standard deviations.</t>
  </si>
  <si>
    <t>No Evidence for an Association of HIV and Antiviral Treatment With Changes in Framingham Cardiovascular Risk Score in the Ndlovu Cohort Study.</t>
  </si>
  <si>
    <t>Verstraeten, Rita; Vos-Seda, Alinda G; Boateng, Daniel; Scheuermaier, Karine; Tempelman, Hugo; Barth, Roos E; Devillé, Walter; Coutinho, Roel A; Venter, Francois; Grobbee, Diederick E; Klipstein-Grobusch, Kerstin</t>
  </si>
  <si>
    <t>https://pubmed.ncbi.nlm.nih.gov/38214319</t>
  </si>
  <si>
    <t>HIV and antiretroviral therapy (ART) have been associated with increased cardiovascular disease (CVD) risk in high-income countries. The authors studied the longitudinal association between HIV and ART and nonlaboratory Framingham Risk Score (FRS) in a middle-income country. This longitudinal analysis of the NCS (Ndlovu Cohort Study), South Africa used baseline to 36-month follow-up data. Demographics, HIV, ART status, and cardiometabolic measures were obtained. FRS was used as a CVD risk measure. Through linear mixed models, FRS trends over time and the association with HIV were studied. Analysis included 1136 participants, with 609 (54%) having HIV, and 495 (81%) taking ART. At baseline, 9.8% of participants had a high FRS. People living with HIV (PLHIV) had a 3.2% lower FRS than HIV-negative participants (&lt;i&gt;P&lt;/i&gt;&lt;0.001). FRS increased similarly for both groups over time. Other factors associated with FRS were secondary and higher education (ß value: -0.075, &lt;i&gt;P&lt;/i&gt;&lt;0.001; ß value: -0.084, &lt;i&gt;P&lt;/i&gt;&lt;0.001) and alcohol consumption (ß value: 0.011, &lt;i&gt;P&lt;/i&gt;&lt;0.001). CVD risk increased for all participants over 36 months, suggesting classic risk factors rather than HIV status or ART to be drivers of CVD risk. People living with HIV had a significantly lower FRS than their HIV-negative counterparts, possibly related to HIV itself or a more frequent interaction with healthcare services. No association of HIV and ART with changes in FRS over 36 months was observed, suggesting the need for research using clinical endpoints to elucidate the effects of HIV and ART on CVD risk. Population-based prevention of CVD risk factors in sub-Saharan Africa is warranted, regardless of HIV status.</t>
  </si>
  <si>
    <t>Non-pharmacological interventions feasible in the nursing scope of practice for pain relief in palliative care patients: a systematic review.</t>
  </si>
  <si>
    <t>van Veen, Suzan; Drenth, Hans; Hobbelen, Hans; Finnema, Evelyn; Teunissen, Saskia; de Graaf, Everlien</t>
  </si>
  <si>
    <t>palliative care and social practice</t>
  </si>
  <si>
    <t>https://pubmed.ncbi.nlm.nih.gov/38223744</t>
  </si>
  <si>
    <t>Palliative care patients desire more symptom management interventions that are complementary to their medical treatment. Within the multi-professional team, nurses could help support pain management with non-pharmacological interventions feasible for their practice and adaptable to palliative care patients' needs. The objective was to identify non-pharmacological interventions feasible in the nursing scope of practice affecting pain in palliative care patients. A systematic review. A defined search strategy was used in PubMed, CINAHL, PsycINFO, and Embase. Search results were screened double-blinded. Methodological quality was double-appraised with the Joanna Briggs Institute Critical Appraisal Tools. Data were extracted from selected studies and the findings were summarized. The methodological quality, quantity of studies evaluating the same intervention, and consistency in the findings were synthesized in a best-evidence synthesis to rank evidence as strong, moderate, limited, mixed, or insufficient. Out of 2385 articles, 22 studies highlighted non-pharmacological interventions in the nursing scope of practice. Interventions using massage therapy and virtual reality demonstrated most evidentiary support for pain management, while art therapy lacked sufficient evidence. Mindful breathing intervention showed no significant reduction in pain. Hypnosis, progressive muscle-relaxation-interactive-guided imagery, cognitive-behavioral audiotapes, wrapped warm footbath, reflexology, and music therapy exhibited promising results in pain reduction, whereas mindfulness-based stress reduction program, aromatherapy, and aroma-massage therapy did not. Despite not all studies reaching significant changes in pain scores, non-pharmacological interventions can be clinically relevant to palliative care patients. Its use should be discussed for its potential value and nurses to be trained for safe practice. Methodologically rigorous research for non-pharmacological interventions in nursing scope of practice for pain relief in palliative care patients is necessary. The protocol for this study is registered in the International Prospective Register of Systematic Review (PROSPERO registration number: CRD42020196781).</t>
  </si>
  <si>
    <t>Refining the role of reproductive factors on heart health.</t>
  </si>
  <si>
    <t>Peters, Sanne A E</t>
  </si>
  <si>
    <t>https://pubmed.ncbi.nlm.nih.gov/37879882</t>
  </si>
  <si>
    <t>Availability of evidence and comparative effectiveness for surgical versus drug interventions: an overview of systematic reviews and meta-analyses.</t>
  </si>
  <si>
    <t>Zavalis, Emmanuel A; Rameau, Anaïs; Saraswathula, Anirudh; Vist, Joachim; Schuit, Ewoud; Ioannidis, John P</t>
  </si>
  <si>
    <t>https://pubmed.ncbi.nlm.nih.gov/38195174</t>
  </si>
  <si>
    <t>This study aims to examine the prevalence of comparisons of surgery to drug regimens, the strength of evidence of such comparisons and whether surgery or the drug intervention was favoured. Systematic review of systematic reviews (umbrella review). Cochrane Database of Systematic Reviews. Systematic reviews attempt to compare surgical to drug interventions. We extracted whether the review found any randomised controlled trials (RCTs) for eligible comparisons. Individual trial results were extracted directly from the systematic review. The outcomes of each meta-analysis were resynthesised into random-effects meta-analyses. Egger's test and excess significance were assessed. Overall, 188 systematic reviews intended to compare surgery versus drugs. Only 41 included data from at least one RCT (total, 165 RCTs) and covered a total of 103 different outcomes of various comparisons of surgery versus drugs. A GRADE assessment was performed by the Cochrane reviewers for 87 (83%) outcomes in the reviews, indicating the strength of evidence was high in 4 outcomes (4%), moderate in 22 (21%), low in 27 (26%) and very low in 33 (32%). Based on 95% CIs, the surgical intervention was favoured in 38/103 (37%), and the drugs were favoured in 13/103 (13%) outcomes. Of the outcomes with high GRADE rating, only one showed conclusive superiority in our reanalysis (sphincterotomy was better than medical therapy for anal fissure). Of the 22 outcomes with moderate GRADE rating, 6 (27%) were inconclusive, 14 (64%) were in favour of surgery and 2 (9%) were in favour of drugs. There was no evidence of excess significance. Though the relative merits of surgical versus drug interventions are important to know for many diseases, high strength randomised evidence is rare. More randomised trials comparing surgery to drug interventions are needed.</t>
  </si>
  <si>
    <t>A robust microbiome signature for autism spectrum disorder across different studies using machine learning.</t>
  </si>
  <si>
    <t>Peralta-Marzal, Lucia N; Rojas-Velazquez, David; Rigters, Douwe; Prince, Naika; Garssen, Johan; Kraneveld, Aletta D; Perez-Pardo, Paula; Lopez-Rincon, Alejandro</t>
  </si>
  <si>
    <t>https://pubmed.ncbi.nlm.nih.gov/38191575</t>
  </si>
  <si>
    <t>Autism spectrum disorder (ASD) is a highly complex neurodevelopmental disorder characterized by deficits in sociability and repetitive behaviour, however there is a great heterogeneity within other comorbidities that accompany ASD. Recently, gut microbiome has been pointed out as a plausible contributing factor for ASD development as individuals diagnosed with ASD often suffer from intestinal problems and show a differentiated intestinal microbial composition. Nevertheless, gut microbiome studies in ASD rarely agree on the specific bacterial taxa involved in this disorder. Regarding the potential role of gut microbiome in ASD pathophysiology, our aim is to investigate whether there is a set of bacterial taxa relevant for ASD classification by using a sibling-controlled dataset. Additionally, we aim to validate these results across two independent cohorts as several confounding factors, such as lifestyle, influence both ASD and gut microbiome studies. A machine learning approach, recursive ensemble feature selection (REFS), was applied to 16S rRNA gene sequencing data from 117 subjects (60 ASD cases and 57 siblings) identifying 26 bacterial taxa that discriminate ASD cases from controls. The average area under the curve (AUC) of this specific set of bacteria in the sibling-controlled dataset was 81.6%. Moreover, we applied the selected bacterial taxa in a tenfold cross-validation scheme using two independent cohorts (a total of 223 samples-125 ASD cases and 98 controls). We obtained average AUCs of 74.8% and 74%, respectively. Analysis of the gut microbiome using REFS identified a set of bacterial taxa that can be used to predict the ASD status of children in three distinct cohorts with AUC over 80% for the best-performing classifiers. Our results indicate that the gut microbiome has a strong association with ASD and should not be disregarded as a potential target for therapeutic interventions. Furthermore, our work can contribute to use the proposed approach for identifying microbiome signatures across other 16S rRNA gene sequencing datasets.</t>
  </si>
  <si>
    <t>A comparison of hyperparameter tuning procedures for clinical prediction models: A simulation study.</t>
  </si>
  <si>
    <t>Dunias, Zoë S; Van Calster, Ben; Timmerman, Dirk; Boulesteix, Anne-Laure; van Smeden, Maarten</t>
  </si>
  <si>
    <t>statistics in medicine</t>
  </si>
  <si>
    <t>https://pubmed.ncbi.nlm.nih.gov/38189632</t>
  </si>
  <si>
    <t>Tuning hyperparameters, such as the regularization parameter in Ridge or Lasso regression, is often aimed at improving the predictive performance of risk prediction models. In this study, various hyperparameter tuning procedures for clinical prediction models were systematically compared and evaluated in low-dimensional data. The focus was on out-of-sample predictive performance (discrimination, calibration, and overall prediction error) of risk prediction models developed using Ridge, Lasso, Elastic Net, or Random Forest. The influence of sample size, number of predictors and events fraction on performance of the hyperparameter tuning procedures was studied using extensive simulations. The results indicate important differences between tuning procedures in calibration performance, while generally showing similar discriminative performance. The one-standard-error rule for tuning applied to cross-validation (1SE CV) often resulted in severe miscalibration. Standard non-repeated and repeated cross-validation (both 5-fold and 10-fold) performed similarly well and outperformed the other tuning procedures. Bootstrap showed a slight tendency to more severe miscalibration than standard cross-validation-based tuning procedures. Differences between tuning procedures were larger for smaller sample sizes, lower events fractions and fewer predictors. These results imply that the choice of tuning procedure can have a profound influence on the predictive performance of prediction models. The results support the application of standard 5-fold or 10-fold cross-validation that minimizes out-of-sample prediction error. Despite an increased computational burden, we found no clear benefit of repeated over non-repeated cross-validation for hyperparameter tuning. We warn against the potentially detrimental effects on model calibration of the popular 1SE CV rule for tuning prediction models in low-dimensional settings.</t>
  </si>
  <si>
    <t>Evaluation of clinical prediction models (part 1): from development to external validation.</t>
  </si>
  <si>
    <t>Collins, Gary S; Dhiman, Paula; Ma, Jie; Schlussel, Michael M; Archer, Lucinda; Van Calster, Ben; Harrell, Frank E; Martin, Glen P; Moons, Karel G M; van Smeden, Maarten; Sperrin, Matthew; Bullock, Garrett S; Riley, Richard D</t>
  </si>
  <si>
    <t>https://pubmed.ncbi.nlm.nih.gov/38191193</t>
  </si>
  <si>
    <t>Evaluating the performance of a clinical prediction model is crucial to establish its predictive accuracy in the populations and settings intended for use. In this article, the first in a three part series, Collins and colleagues describe the importance of a meaningful evaluation using internal, internal-external, and external validation, as well as exploring heterogeneity, fairness, and generalisability in model performance.</t>
  </si>
  <si>
    <t>Correction: COVID-19 Vaccine-Induced Myocarditis and Pericarditis: Towards Identification of Risk Factors.</t>
  </si>
  <si>
    <t>Zwiers, Laura C; Ong, David S Y; Grobbee, Diederick E</t>
  </si>
  <si>
    <t>https://pubmed.ncbi.nlm.nih.gov/38222096</t>
  </si>
  <si>
    <t>[This corrects the article DOI: 10.5334/gh.1252.].</t>
  </si>
  <si>
    <t>Identifying factors in the provision of intravenous stroke thrombolysis in Malaysia: a multiple case study from the healthcare providers' perspective.</t>
  </si>
  <si>
    <t>Hwong, Wen Yea; Ng, Sock Wen; Tong, Seng Fah; Ab Rahman, Norazida; Law, Wan Chung; Wong, Sing Keat; Puvanarajah, Santhi Datuk; Mohd Norzi, Aisyah; Lian, Fiona Suling; Sivasampu, Sheamini</t>
  </si>
  <si>
    <t>https://pubmed.ncbi.nlm.nih.gov/38183003</t>
  </si>
  <si>
    <t>Translation into clinical practice for use of intravenous thrombolysis (IVT) for the management of ischemic stroke remains a challenge especially across low- and middle-income countries, with regional inconsistencies in its rate. This study aimed at identifying factors that influenced the provision of IVT and the variation in its rates in Malaysia. A multiple case study underpinning the Tailored Implementation for Chronic Diseases framework was carried out in three public hospitals with differing rates of IVT using a multiple method design. Twenty-five in-depth interviews and 12 focus groups discussions were conducted among 89 healthcare providers, along with a survey on hospital resources and a medical records review to identify reasons for not receiving IVT. Qualitative data were analysed using reflective thematic method, before triangulated with quantitative findings. Of five factors identified, three factors that distinctively influenced the variation of IVT across the hospitals were: 1) leadership through quality stroke champions, 2) team cohesiveness which entailed team dynamics and its degree of alignment and, 3) facilitative work process which included workflow simplification and familiarity with IVT. Two other factors that were consistently identified as barriers in these hospitals included patient factors which largely encompassed delayed presentation, and resource constraints. About 50.0 - 67.6% of ischemic stroke patients missed the opportunity to receive IVT due to delayed presentation. In addition to the global effort to explore sustainable measures to improve patients' emergency response for stroke, attempts to improve the provision of IVT for stroke care should also consider the inclusion of interventions targeting on health systems perspectives such as promoting quality leadership, team cohesiveness and workflow optimisation.</t>
  </si>
  <si>
    <t>Smoking threats beyond being a smoker: a burden on children and adolescents' healthy living.</t>
  </si>
  <si>
    <t>Artola Arita, Vicente; Trujillo-Cáceres, Silvia Juliana; Menassa, Marilyne</t>
  </si>
  <si>
    <t>https://pubmed.ncbi.nlm.nih.gov/37862675</t>
  </si>
  <si>
    <t>Comparing Discrete Choice Experiment with Swing Weighting to Estimate Attribute Relative Importance: A Case Study in Lung Cancer Patient Preferences.</t>
  </si>
  <si>
    <t>Veldwijk, J; Smith, I P; Oliveri, S; Petrocchi, S; Smith, M Y; Lanzoni, L; Janssens, R; Huys, I; de Wit, G A; Groothuis-Oudshoorn, C G M</t>
  </si>
  <si>
    <t>medical decision making an international journal of the society for medical decision making</t>
  </si>
  <si>
    <t>https://pubmed.ncbi.nlm.nih.gov/38178591</t>
  </si>
  <si>
    <t>Discrete choice experiments (DCE) are commonly used to elicit patient preferences and to determine the relative importance of attributes but can be complex and costly to administer. Simpler methods that measure relative importance exist, such as swing weighting with direct rating (SW-DR), but there is little empirical evidence comparing the two. This study aimed to directly compare attribute relative importance rankings and weights elicited using a DCE and SW-DR. A total of 307 patients with non-small-cell lung cancer in Italy and Belgium completed an online survey assessing preferences for cancer treatment using DCE and SW-DR. The relative importance of the attributes was determined using a random parameter logit model for the DCE and rank order centroid method (ROC) for SW-DR. Differences in relative importance ranking and weights between the methods were assessed using Cohen's weighted kappa and Dirichlet regression. Feedback on ease of understanding and answering the 2 tasks was also collected. Most respondents (&gt;65%) found both tasks (very) easy to understand and answer. The same attribute, survival, was ranked most important irrespective of the methods applied. The overall ranking of the attributes on an aggregate level differed significantly between DCE and SW-ROC (&lt;i&gt;P&lt;/i&gt; &lt; 0.01). Greater differences in attribute weights between attributes were reported in DCE compared with SW-DR (&lt;i&gt;P&lt;/i&gt; &lt; 0.01). Agreement between the individual-level attribute ranking across methods was moderate (weighted Kappa 0.53-0.55). Significant differences in attribute importance between DCE and SW-DR were found. Respondents reported both methods being relatively easy to understand and answer. Further studies confirming these findings are warranted. Such studies will help to provide accurate guidance for methods selection when studying relative attribute importance across a wide array of preference-relevant decisions. Both DCEs and SW tasks can be used to determine attribute relative importance rankings and weights; however, little evidence exists empirically comparing these methods in terms of outcomes or respondent usability.Most respondents found the DCE and SW tasks very easy or easy to understand and answer.A direct comparison of DCE and SW found significant differences in attribute importance rankings and weights as well as a greater spread in the DCE-derived attribute relative importance weights.</t>
  </si>
  <si>
    <t>RELEASE-HF study: a protocol for an observational, registry-based study on the effectiveness of telemedicine in heart failure in the Netherlands.</t>
  </si>
  <si>
    <t>van Eijk, Jorna; Luijken, Kim; Jaarsma, Tiny; Reitsma, Johannes B; Schuit, Ewoud; Frederix, Geert W J; Derks, Lineke; Schaap, Jeroen; Rutten, Frans H; Brugts, Jasper; de Boer, Rudolf A; Asselbergs, Folkert W; Trappenburg, Jaap C A; ,</t>
  </si>
  <si>
    <t>https://pubmed.ncbi.nlm.nih.gov/38176879</t>
  </si>
  <si>
    <t>Meta-analyses show postive effects of telemedicine in heart failure (HF) management on hospitalisation, mortality and costs. However, these effects are heterogeneous due to variation in the included HF population, the telemedicine components and the quality of the comparator usual care. Still, telemedicine is gaining acceptance in HF management. The current nationwide study aims to identify (1) in which subgroup(s) of patients with HF telemedicine is (cost-)effective and (2) which components of telemedicine are most (cost-)effective. The RELEASE-HF ('REsponsible roLl-out of E-heAlth through Systematic Evaluation - Heart Failure') study is a multicentre, observational, registry-based cohort study that plans to enrol 6480 patients with HF using data from the HF registry facilitated by the Netherlands Heart Registration. Collected data include patient characteristics, treatment information and clinical outcomes, and are measured at HF diagnosis and at 6 and 12 months afterwards. The components of telemedicine are described at the hospital level based on closed-ended interviews with clinicians and at the patient level based on additional data extracted from electronic health records and telemedicine-generated data. The costs of telemedicine are calculated using registration data and interviews with clinicians and finance department staff. To overcome missing data, additional national databases will be linked to the HF registry if feasible. Heterogeneity of the effects of offering telemedicine compared with not offering on days alive without unplanned hospitalisations in 1 year is assessed across predefined patient characteristics using exploratory stratified analyses. The effects of telemedicine components are assessed by fitting separate models for component contrasts. The study has been approved by the Medical Ethics Committee 2021 of the University Medical Center Utrecht (the Netherlands). Results will be published in peer-reviewed journals and presented at (inter)national conferences. Effective telemedicine scenarios will be proposed among hospitals throughout the country and abroad, if applicable and feasible. NCT05654961.</t>
  </si>
  <si>
    <t>Impact of fatigue in surgeons on performance and patient outcome: systematic review.</t>
  </si>
  <si>
    <t>Reijmerink, Iris M; van der Laan, Maarten J; Wietasch, J K Götz; Hooft, Lotty; Cnossen, Fokie</t>
  </si>
  <si>
    <t>the british journal of surgery</t>
  </si>
  <si>
    <t>https://pubmed.ncbi.nlm.nih.gov/38097353</t>
  </si>
  <si>
    <t>While fatigue is an inevitable aspect of performing surgical procedures, lack of consensus remains on its effect on surgical performance. The aim of this systematic review was to assess the effect of non-muscular fatigue on surgical outcome. MEDLINE and Embase were searched up to 17 January 2023. Studies on students, learning, duty-hour restrictions, muscle fatigue, non-surgical or subjective outcome, the weekend effect, or time of admission were excluded. Studies were categorized based on real-life or simulated surgery. The Cochrane risk-of-bias tool was used to assess RCTs and the Newcastle-Ottawa scale was used to assess cohort studies. Due to heterogeneity among studies, data pooling was not feasible and study findings were synthesized narratively. From the 7251 studies identified, 134 studies (including 1 684 073 cases) were selected for analysis (110 real-life studies and 24 simulator studies). Of the simulator studies, 46% (11 studies) reported a deterioration in surgical outcome when fatigue was present, using direct measures of fatigue. In contrast, only 35.5% (39 studies) of real-life studies showed a deterioration, observed in only 12.5% of all outcome measures, specifically involving aggregated surgical outcomes. Almost half of simulator studies, along with one-third of real-life studies, consistently report negative effects of fatigue, highlighting a significant concern. The discrepancy between simulator/real-life studies may be explained by heightened motivation and effort investment in real-life studies. Currently, published fatigue and outcome measures, especially in real-life studies, are insufficient to fully define the impact of fatigue on surgical outcomes due to the absence of direct fatigue measures and crude, post-hoc outcome measures.</t>
  </si>
  <si>
    <t>Shared decision-making in pediatric palliative care in the Netherlands.</t>
  </si>
  <si>
    <t>Em, Michiels; Cy, Joren; Mc, Kars; Jl, Aris; Aae, Verhagen</t>
  </si>
  <si>
    <t>current problems in pediatric and adolescent health care</t>
  </si>
  <si>
    <t>https://pubmed.ncbi.nlm.nih.gov/38172033</t>
  </si>
  <si>
    <t>Shared decision-making (SDM) is a process in which health care professionals (HCPs) involve parents and children - when appropriate- to decide together on future treatment. These decisions are based on values that are important for the family, goals of care and preferences for future care and treatment. Elucidation of these values and preferences is preferably done early in the disease trajectory via so-called Advance Care Planning (ACP) conversations. In the Netherlands, ACP and SDM are being adopted by most health care professionals. This has happened only recently. Ten years ago, ACP and SDM were unknown concepts for the vast majority of Dutch HCPs. Today, interest in these conversational approaches is booming in both daily practice and in research. This rise has been reinforced by two recent major advancements in Dutch pediatric palliative care: the Individual Care Plan (ICP) and the Dutch Evidence-Based Guideline on Pediatric Palliative Care (DGPPC). Despite this positive evolution, a lot of work is still ahead. ACP and SDM demand a change in mindset from the traditional paternalistic approach by which the HCP 'knows what is best for this child' to a more humble and open approach in which (non-medical) factors that are important to the child and family and may influence the final treatment decision. Such changes in mindset don't happen overnight. In this article we describe the situation of pediatric palliative care in the Netherlands, with focus on the recent evolution of ACP and SDM.</t>
  </si>
  <si>
    <t>Impact of wearable wireless continuous vital sign monitoring in abdominal surgical patients: before-after study.</t>
  </si>
  <si>
    <t>Leenen, Jobbe P L; Ardesch, Vera; Kalkman, Cor J; Schoonhoven, Lisette; Patijn, Gijs A</t>
  </si>
  <si>
    <t>bjs open</t>
  </si>
  <si>
    <t>https://pubmed.ncbi.nlm.nih.gov/38235573</t>
  </si>
  <si>
    <t>Technological advances have enabled continuous monitoring of vital signs (CMVS) by wearable, wireless devices on general hospital wards to facilitate early detection of clinical deterioration, which could potentially improve clinical outcomes. However, evidence on the impact of these CMVS systems on patient outcomes is limited. This research aimed to explore the effect of CMVS on the clinical outcomes in major abdominal surgery patients in a general surgery ward. A single-centre before-after study was conducted from October 2019 to June 2022. Patients in the intervention group received CMVS in addition to conventional intermittent vital sign monitoring (standard care for control group). With CMVS, heart rate and respiratory rate were measured every 5 min by a patch sensor. Proactive vital signs trends assessments and, when necessary, subsequent nursing activities were performed every nursing shift. The primary outcome of interest was the length of hospital stay (LOS); also, 12 patient-related outcomes were analysed. In the CMVS group, follow-up nursing activities of deviating vital signs trends were described and patient acceptability was measured. Post-hoc subgroup analysis was performed for colorectal and hepatopancreatobiliary surgery. A total of 908 patients were included (colorectal: n = 650; hepatopancreatobiliary: n = 257). Overall, median LOS was lower in the CMVS group (5.0 versus 5.5 days; P = 0.012), respectively. Post-hoc subgroup analysis showed this reduction in LOS was mostly observed in the colorectal group and not in the hepatopancreatobiliary group. Apart from a decrease in nurse-to-house-officer calls (from 15.3% to 7.7%; P = 0.007), all secondary clinical outcomes were similar in CMVS and control groups. However, a non-significant trend towards less-severe complications and reduced ICU LOS was observed in the CMVS group. In CMVS patients, 109 additional nursing activities were performed and 83% of patients indicated CMVS was acceptable. CMVS was associated with a significant reduction in LOS, while other clinical outcomes were unchanged. CMVS triggered additional nursing activities such as extra patient assessments and therapeutic interventions.</t>
  </si>
  <si>
    <t>Associations between HbA1c Reduction and Change in Depressive Symptoms following Glucose-lowering Treatment in Adults: A Systematic Review of Intervention Studies.</t>
  </si>
  <si>
    <t>Schmitt, Andreas; Beran, Magdalena; Geraets, Anouk; Iversen, Marjolein M; Nefs, Giesje; Nouwen, Arie; Pouwer, Frans; Huber, Jörg W; Schram, Miranda T</t>
  </si>
  <si>
    <t>current diabetes reviews</t>
  </si>
  <si>
    <t>https://pubmed.ncbi.nlm.nih.gov/37278034</t>
  </si>
  <si>
    <t>Hyperglycemia constitutes a likely pathway linking diabetes and depressive symptoms; lowering glycemic levels may help reduce diabetes-comorbid depressive symptoms. Since randomized controlled trials can help understand temporal associations, we systematically reviewed the evidence regarding the potential association of hemoglobin HbA1c lowering interventions with depressive symptoms. PubMed, PsycINFO, CINAHL, and EMBASE databases were searched for randomized controlled trials evaluating HbA1c-lowering interventions and including assessment of depressive symptoms published between 01/2000-09/2020. Study quality was evaluated using the Cochrane Risk of Bias tool. PROSPERO registration: CRD42020215541. We retrieved 1,642 studies of which twelve met our inclusion criteria. Nine studies had high and three unclear risks of bias. Baseline depressive symptom scores suggest elevated depressive symptoms in five studies. Baseline HbA1c was &lt;8.0% (&lt;64 mmol/mol) in two, 8.0-9.0% (64-75 mmol/mol) in eight, and ≥10.0% (≥86 mmol/mol) in two studies. Five studies found greater HbA1c reduction in the treatment group; three of these found greater depressive symptom reduction in the treatment group. Of four studies analyzing whether the change in HbA1c was associated with the change in depressive symptoms, none found a significant association. The main limitation of these studies was relatively low levels of depressive symptoms at baseline, limiting the ability to show a lowering in depressive symptoms after HbA1c reduction. We found insufficient available data to estimate the association between HbA1c reduction and depressive symptom change following glucose-lowering treatment. Our findings point to an important gap in the diabetes treatment literature. Future clinical trials testing interventions to improve glycemic outcomes might consider measuring depressive symptoms as an outcome to enable analyses of this association.</t>
  </si>
  <si>
    <t>Determination of the clinical relevance of donor epitope-specific HLA-antibodies in kidney transplantation.</t>
  </si>
  <si>
    <t>Kardol-Hoefnagel, Tineke; Senejohnny, Danial Mohammadi; Kamburova, Elena G; Wisse, Bram W; Reteig, Leon; Gruijters, Maartje L;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Roelen, Dave L; Claas, Frans H; Bemelman, Frederike J; Senev, Aleksandar; Naesens, Maarten; Heidt, Sebastiaan; Otten,</t>
  </si>
  <si>
    <t>hla</t>
  </si>
  <si>
    <t>https://pubmed.ncbi.nlm.nih.gov/38239046</t>
  </si>
  <si>
    <t>In kidney transplantation, survival rates are still partly impaired due to the deleterious effects of donor specific HLA antibodies (DSA). However, not all luminex-defined DSA appear to be clinically relevant. Further analysis of DSA recognizing polymorphic amino acid configurations, called eplets or functional epitopes, might improve the discrimination between clinically relevant vs. irrelevant HLA antibodies. To evaluate which donor epitope-specific HLA antibodies (DESAs) are clinically important in kidney graft survival, relevant and irrelevant DESAs were discerned in a Dutch cohort of 4690 patients using Kaplan-Meier analysis and tested in a cox proportional hazard (CPH) model including nonimmunological variables. Pre-transplant DESAs were detected in 439 patients (9.4%). The presence of certain clinically relevant DESAs was significantly associated with increased risk on graft loss in deceased donor transplantations (p &lt; 0.0001). The antibodies recognized six epitopes of HLA Class I, 3 of HLA-DR, and 1 of HLA-DQ, and most antibodies were directed to HLA-B (47%). Fifty-three patients (69.7%) had DESA against one donor epitope (range 1-5). Long-term graft survival rate in patients with clinically relevant DESA was 32%, rendering DESA a superior parameter to classical DSA (60%). In the CPH model, the hazard ratio (95% CI) of clinically relevant DESAs was 2.45 (1.84-3.25) in deceased donation, and 2.22 (1.25-3.95) in living donation. In conclusion, the developed model shows the deleterious effect of clinically relevant DESAs on graft outcome which outperformed traditional DSA-based risk analysis on antigen level.</t>
  </si>
  <si>
    <t>Early COVID-19 vaccine effectiveness of XBB.1.5 vaccine against hospitalisation and admission to intensive care, the Netherlands, 9 October to 5 December 2023.</t>
  </si>
  <si>
    <t>van Werkhoven, C Henri; Valk, Anne-Wil; Smagge, Bente; de Melker, Hester E; Knol, Mirjam J; Hahné, Susan Jm; van den Hof, Susan; de Gier, Brechje</t>
  </si>
  <si>
    <t>https://pubmed.ncbi.nlm.nih.gov/38179623</t>
  </si>
  <si>
    <t>We present early vaccine effectiveness (VE) estimates of the 2023 seasonal COVID-19 XBB.1.5 vaccine against COVID-19 hospitalisation and admission to an intensive care unit (ICU) in previously vaccinated adults ≥ 60 years in the Netherlands. We compared vaccination status of 2,050 hospitalisations including 92 ICU admissions with age group-, sex-, region- and date-specific population vaccination coverage between 9 October and 5 December 2023. VE against hospitalisation was 70.7% (95% CI: 66.6-74.3), VE against ICU admission was 73.3% (95% CI: 42.2-87.6).</t>
  </si>
  <si>
    <t>Ethnic and socioeconomic inequalities in air pollution exposure: a cross-sectional analysis of nationwide individual-level data from the Netherlands.</t>
  </si>
  <si>
    <t>van den Brekel, Lieke; Lenters, Virissa; Mackenbach, Joreintje D; Hoek, Gerard; Wagtendonk, Alfred; Lakerveld, Jeroen; Grobbee, Diederick E; Vaartjes, Ilonca</t>
  </si>
  <si>
    <t>the lancet planetary health</t>
  </si>
  <si>
    <t>https://pubmed.ncbi.nlm.nih.gov/38199717</t>
  </si>
  <si>
    <t>Air pollution contributes to a large disease burden and some populations are disproportionately exposed. We aimed to evaluate ethnic and socioeconomic differences in exposure to air pollution in the Netherlands. We did a nationwide, cross-sectional analysis of all residents of the Netherlands on Jan 1, 2019. Sociodemographic information was centralised by Statistics Netherlands and mainly originated from the National Population Register, the tax register, and education registers. Concentrations of NO&lt;sub&gt;2&lt;/sub&gt;, PM&lt;sub&gt;2·5&lt;/sub&gt;, PM&lt;sub&gt;10&lt;/sub&gt;, and elemental carbon, modelled by the National Institute for Public Health and the Environment, were linked to the individual-level demographic data. We assessed differences in air pollution exposures across the 40 largest minority ethnic groups. Evaluation of how ethnicity intersected with socioeconomic position in relation to exposures was done for the ten largest ethnic groups, plus Chinese and Indian groups, in both urban and rural areas using multivariable linear regression analyses. The total study population consisted of 17 251 511 individuals. Minority ethnic groups were consistently exposed to higher levels of air pollution than the ethnic Dutch population. The magnitude of inequalities varied between the minority ethnic groups, with 3-44% higher exposures to NO&lt;sub&gt;2&lt;/sub&gt; and 1-9% higher exposures to PM&lt;sub&gt;2·5&lt;/sub&gt; compared with the ethnic Dutch group. Average exposures were highest for the lowest socioeconomic group. Ethnic inequalities in exposure remained after adjustment for socioeconomic position and were of similar magnitude in urban and rural areas. The variability in air pollution exposure across ethnic and socioeconomic subgroups in the Netherlands indicates environmental injustice at the intersection of social characteristics. The health consequences of the observed inequalities and the underlying processes driving them warrant further investigation. The Gravitation programme of the Dutch Ministry of Education, Culture, and Science, the Netherlands Organization for Scientific Research, the Netherlands Organisation for Health Research and Development, and Amsterdam University Medical Center.</t>
  </si>
  <si>
    <t>Involving older people in the preparedness, response, and recovery phases in humanitarian emergencies: a theoretical framework on ageism, epistemic injustice, and participation.</t>
  </si>
  <si>
    <t>van Boetzelaer, Elburg; van de Kamp, Judith; Keating, Patrick; Sharma, Sunita; Pellecchia, Umberto; Browne, Joyce L; Sheather, Julian; Franco, Oscar H</t>
  </si>
  <si>
    <t>the lancet healthy longevity</t>
  </si>
  <si>
    <t>https://pubmed.ncbi.nlm.nih.gov/38183999</t>
  </si>
  <si>
    <t>Humanitarian emergencies disproportionally affect older people. Although defining an older person by an age range can help alert us to emerging or changing needs and potential vulnerabilities during humanitarian emergencies, ageing is not necessarily synonymous with increasing vulnerability, and individual variations exist due to the heterogeneity of older people. In general, reduced access to safety, health services, clean water, and appropriate food puts older people at increased risk of poor health outcomes during humanitarian emergencies, including disability, injury, malnutrition, and mental health issues. The theoretical framework presented in this Personal View explains how ageism, further compounded by intersecting oppression, leads to the exclusion of older people from the preparedness, response, and recovery phases of humanitarian emergencies. The exclusion of older people is discriminatory, violates core humanitarian and bioethical principles, and leads to an epistemic injustice. We suggest that humanitarian actors implement participatory approaches with older people in humanitarian contexts. Through these approaches, solutions will be identified by and together with older people, leading to community-driven and context-appropriate ways to include the needs and strengths of older people in the preparedness, response, and recovery phases of humanitarian emergencies.</t>
  </si>
  <si>
    <t>Skewness and Staging: Does the Floor Effect Induce Bias in Multilevel AR(1) Models?</t>
  </si>
  <si>
    <t>Haqiqatkhah, MohammadHossein M; Ryan, Oisín; Hamaker, Ellen L</t>
  </si>
  <si>
    <t>multivariate behavioral research</t>
  </si>
  <si>
    <t>https://pubmed.ncbi.nlm.nih.gov/38160329</t>
  </si>
  <si>
    <t>Multilevel autoregressive models are popular choices for the analysis of intensive longitudinal data in psychology. Empirical studies have found a positive correlation between autoregressive parameters of affective time series and the between-person measures of psychopathology, a phenomenon known as the &lt;i&gt;staging effect&lt;/i&gt;. However, it has been argued that such findings may represent a statistical artifact: Although common models assume normal error distributions, empirical data (for instance, measurements of negative affect among healthy individuals) often exhibit the &lt;i&gt;floor effect&lt;/i&gt;, that is response distributions with high &lt;i&gt;skewness&lt;/i&gt;, low mean, and low variability. In this paper, we investigated whether-and to what extent-the floor effect leads to erroneous conclusions by means of a simulation study. We describe three dynamic models which have meaningful substantive interpretations and can produce floor-effect data. We simulate multilevel data from these models, varying skewness independent of individuals' autoregressive parameters, while also varying the number of time points and cases. Analyzing these data with the standard multilevel AR(1) model we found that positive bias only occurs when modeling with random residual variance, whereas modeling with fixed residual variance leads to negative bias. We discuss the implications of our study for data collection and modeling choices.</t>
  </si>
  <si>
    <t>Speech correcting surgery after primary palatoplasty: a systematic literature review and meta-analysis.</t>
  </si>
  <si>
    <t>Hofman, Lieke; van Dongen, Joris A; van Rees, Rosalie C M; Jenniskens, Kevin; Haverkamp, Sarah J; Beentjes, Yente S; van der Molen, Aebele B Mink; Paes, Emma C</t>
  </si>
  <si>
    <t>https://pubmed.ncbi.nlm.nih.gov/38157017</t>
  </si>
  <si>
    <t>In cleft palate patients, the soft palate is commonly closed using straight-line palatoplasty, Z-palatoplasty, or palatoplasty with buccal flaps. Currently, it is unknown which surgical technique is superior regarding speech outcomes. The aim of this review is to study the incidence of speech correcting surgery (SCS) per soft palatoplasty technique and to identify variables which are associated with this outcome. A systematic literature search was carried out according to the PRISMA guidelines. Inclusion and exclusion criteria were applied to focus on the incidence of SCS after soft palatoplasty. Additional variables like surgical modification, cleft morphology, syndrome, age at palatoplasty, fistula and assessment of velopharyngeal function were reported. A modified New-Ottawa Scale (NOS) was used for quality appraisal. Pooled estimates from the meta-analysis were calculated using a random-effects model. One thousand twenty-nine studies were found of which 54 were included in the analysis. The pooled estimate proportion of SCS after straight-line palatoplasty was 19% (95% CI 15-24), after Z-palatoplasty 6% (95% CI 4-9), and after palatoplasty with buccal flaps 7% (95% CI 4-11). A lower SCS rate was found in patients receiving Z-palatoplasty when compared to straight-line palatoplasty. We propose a minimum set of outcome parameters which ideally should be included in future studies regarding speech outcomes after cleft palate repair. Current literature reports highly heterogenous data regarding cleft palate repair. Our recommended set of parameters may address this inconsistency and could make intercenter comparison possible and of better quality.</t>
  </si>
  <si>
    <t>The epidemiological impact of digital and manual contact tracing on the SARS-CoV-2 epidemic in the Netherlands: Empirical evidence.</t>
  </si>
  <si>
    <t>Ter Haar, Wianne; Bosdriesz, Jizzo; Venekamp, Roderick P; Schuit, Ewoud; van den Hof, Susan; Ebbers, Wolfgang; Kretzschmar, Mirjam; Kluijtmans, Jan; Moons, Carl; Schim van der Loeff, Maarten; Matser, Amy; van de Wijgert, Janneke H H M</t>
  </si>
  <si>
    <t>https://pubmed.ncbi.nlm.nih.gov/38157381</t>
  </si>
  <si>
    <t>The Dutch government introduced the CoronaMelder smartphone application for digital contact tracing (DCT) to complement manual contact tracing (MCT) by Public Health Services (PHS) during the 2020-2022 SARS-CoV-2 epidemic. Modelling studies showed great potential but empirical evidence of DCT and MCT impact is scarce. We determined reasons for testing, and mean exposure-testing intervals by reason for testing, using routine data from PHS Amsterdam (1 December 2020 to 31 May 2021) and data from two SARS-CoV-2 rapid diagnostic test accuracy studies at other PHS sites in the Netherlands (14 December 2020 to 18 June 2021). Throughout the study periods, notification of DCT-identified contacts was via PHS contact-tracers, and self-testing was not yet widely available. The most commonly reported reason for testing was having symptoms. In asymptomatic individuals, it was having been warned by an index case. Only around 2% and 2-5% of all tests took place after DCT or MCT notification, respectively. About 20-36% of those who had received a DCT or MCT notification had symptoms at the time of test request. Test positivity after a DCT notification was significantly lower, and exposure-test intervals after a DCT or MCT notification were longer, than for the above-mentioned other reasons for testing. Our data suggest that the impact of DCT and MCT on the SARS-CoV-2 epidemic in the Netherlands was limited. However, DCT impact might be enlarged if app use coverage is improved, contact-tracers are eliminated from the digital notification process to minimise delays, and DCT is combined with self-testing.</t>
  </si>
  <si>
    <t>Genital tract infections, the vaginal microbiome and gestational age at birth among pregnant women in South Africa: a cohort study protocol.</t>
  </si>
  <si>
    <t>Gigi, Ranjana M S; Mdingi, Mandisa M; Jung, Hyunsul; Claassen-Weitz, Shantelle; Bütikofer, Lukas; Klausner, Jeffrey D; Muzny, Christina A; Taylor, Christopher M; van de Wijgert, Janneke H H M; Peters, Remco P H; Low, Nicola</t>
  </si>
  <si>
    <t>https://pubmed.ncbi.nlm.nih.gov/38154893</t>
  </si>
  <si>
    <t>Preterm birth complications are the most common cause of death in children under 5 years. The presence of multiple microorganisms and genital tract inflammation could be the common mechanism driving early onset of labour. South Africa has high levels of preterm birth, genital tract infections and HIV infection among pregnant women. We plan to investigate associations between the presence of multiple lower genital tract microorganisms in pregnancy and gestational age at birth. This cohort study enrols around 600 pregnant women at one public healthcare facility in East London, South Africa. Eligible women are ≥18 years and at &lt;27 weeks of gestation, confirmed by ultrasound. At enrolment and 30-34 weeks of pregnancy, participants receive on-site tests for &lt;i&gt;Chlamydia trachomatis&lt;/i&gt; and &lt;i&gt;Neisseria gonorrhoeae&lt;/i&gt;, with treatment if test results are positive. At these visits, additional vaginal specimens are taken for: PCR detection and quantification of &lt;i&gt;Trichomonas vaginalis&lt;/i&gt;, &lt;i&gt;Candida&lt;/i&gt; spp., &lt;i&gt;Mycoplasma genitalium, M. hominis&lt;/i&gt;, &lt;i&gt;Ureaplasma urealyticum&lt;/i&gt; and &lt;i&gt;U. parvum&lt;/i&gt;; microscopy and Nugent scoring; and for 16S ribosomal RNA gene sequencing and quantification. Pregnancy outcomes are collected from a postnatal visit and birth registers. The primary outcome is gestational age at birth. Statistical analyses will explore associations between specific microorganisms and gestational age at birth. To explore the association with the quantity of microorganisms, we will construct an index of microorganism load and use mixed-effects regression models and classification and regression tree analysis to examine which combinations of microorganisms contribute to earlier gestational age at birth. This protocol has approvals from the University of Cape Town Research Ethics Committee and the Canton of Bern Ethics Committee. Results from this study will be uploaded to preprint servers, submitted to open access peer-reviewed journals and presented at regional and international conferences. NCT06131749; Pre-results.</t>
  </si>
  <si>
    <t>Ideal cardiovascular health and cardiovascular related events: a systematic review and meta-analysis.</t>
  </si>
  <si>
    <t>The aim of this study was to systematically review and quantitatively summarise the evidence on the association between Life Simple's 7 (LS7) and multiple cardiovascular diseases (CVD) and cardiometabolic diseases (CMD). EMBASE and PubMed were searched from January 2010 to March 2022 for observational studies that investigated the association between ideal cardiovascular health (CVH) with CVD or CMD outcomes in an adult population. Two reviewers independently selected studies according to the eligibility criteria, extracted data, and evaluated risk of bias. Data were analysed with a random-effect meta-analysis. This meta-analysis included 59 studies (1,881,382 participants). Participants with ideal CVH had a considerably lower risk of a variety of CVDs and CMDs as compared to those with poor CVH, varying from 40% lower risk for atrial fibrillation (AF) (HR = 0.60 [95% CI 0.44-0.83]) to 82% lower risk for myocardial infarction (HR = 0.18 [95% CI 0.12-0.28]). Intermediate CVH was associated with 27%-57% lower risk in CVDs and CMDs compared to poor CVH, with the highest hazard for AF (HR = 0.73 [95% CI 0.59-0.91]), and the lowest hazard for peripheral arterial disease (HR = 0.43 [95% CI 0.30-0.60]). Ideal and moderate CVH were associated with a lower incidence of CVDs and CMDs than poor CVH. LS7 holds significant potential for promoting overall CVH and thereby contributing to the prevention of CVDs.</t>
  </si>
  <si>
    <t>Hypertensive disorders of pregnancy and cardiovascular disease risk: a Mendelian randomisation study.</t>
  </si>
  <si>
    <t>Tschiderer, Lena; van der Schouw, Yvonne T; Burgess, Stephen; Bloemenkamp, Kitty W M; Seekircher, Lisa; Willeit, Peter; Onland-Moret, Charlotte; Peters, Sanne A E</t>
  </si>
  <si>
    <t>https://pubmed.ncbi.nlm.nih.gov/38148158</t>
  </si>
  <si>
    <t>Observational studies show that hypertensive disorders of pregnancy (HDPs) are related to unfavourable maternal cardiovascular disease (CVD) risk profiles later in life. We investigated whether genetic liability to pre-eclampsia/eclampsia and gestational hypertension is associated with CVD risk factors and occurrence of CVD events. We obtained genetic associations with HDPs from a genome-wide association study and used individual participant data from the UK Biobank to obtain genetic associations with CVD risk factors and CVD events (defined as myocardial infarction or stroke). In our primary analysis, we applied Mendelian randomisation using inverse-variance weighted regression analysis in ever pregnant women. In sensitivity analyses, we studied men and nulligravidae to investigate genetic liability to HDPs and CVD risk without the ability to experience the underlying phenotype. Our primary analysis included 221 155 ever pregnant women (mean age 56.8 (SD 7.9) years) with available genetic data. ORs for CVD were 1.20 (1.02 to 1.41) and 1.24 (1.12 to 1.38) per unit increase in the log odds of genetic liability to pre-eclampsia/eclampsia and gestational hypertension, respectively. Furthermore, genetic liability to HDPs was associated with higher levels of systolic and diastolic blood pressure and younger age at hypertension diagnosis. Sensitivity analyses revealed no statistically significant differences when comparing the findings with those of nulligravidae and men. Genetic liability to HDPs is associated with higher CVD risk, lower blood pressure levels and earlier hypertension diagnosis. Our study suggests similar findings in ever pregnant women, nulligravidae and men, implying biological mechanisms relating to HDPs are causally related to CVD risk.</t>
  </si>
  <si>
    <t>Healthcare professionals' perceived barriers in providing palliative care in primary care and nursing homes: a survey study.</t>
  </si>
  <si>
    <t>Kochems, Katrin; de Graaf, Everlien; Hesselmann, Ginette M; Ausems, Marieke J E; Teunissen, Saskia C C M</t>
  </si>
  <si>
    <t>https://pubmed.ncbi.nlm.nih.gov/38148895</t>
  </si>
  <si>
    <t>Palliative care in primary care and nursing home settings is becoming increasingly important. A multidimensional palliative care approach, provided by a multiprofessional team, is essential to meeting patients' and relatives' values, wishes, and needs. Factors that hamper the provision of palliative care in this context have not yet been fully explored. To identify the barriers to providing palliative care for patients at home or in nursing homes as perceived by healthcare professionals. Cross-sectional survey study. A convenience sample of nurses, doctors, chaplains, and rehabilitation therapists working in primary care and at nursing homes in the Netherlands is used. The primary outcome is barriers, defined as statements with ⩾20% negative response. The survey contained 56 statements on palliative reasoning, communication, and multiprofessional collaboration. Data were analyzed using descriptive statistics. In total, 249 healthcare professionals completed the survey (66% completion rate). The main barriers identified in the provision of palliative care were the use of measurement tools (43%), consultation of an expert (31%), estimation of life expectancy (29%), and documentation in the electronic health record (21% and 37%). In primary care, mainly organizational barriers were identified, whereas in nursing homes, most barriers were related to care content. Chaplains and rehabilitation therapists perceived the most barriers. In primary care and nursing homes, there are barriers to the provision of palliative care. The provision of palliative care depends on the identification of patients with palliative care needs and is influenced by individual healthcare professionals, possibilities for consultation, and the electronic health record. An unambiguous and systematic approach within the multiprofessional team is needed, which should be patient-driven and tailored to the setting.</t>
  </si>
  <si>
    <t>Metabolic dysfunction-associated steatotic liver disease and the heart.</t>
  </si>
  <si>
    <t>Driessen, Stan; Francque, Sven M; Anker, Stefan D; Castro Cabezas, Manuel; Grobbee, Diederick E; Tushuizen, Maarten E; Holleboom, Adriaan G</t>
  </si>
  <si>
    <t>hepatology baltimore md</t>
  </si>
  <si>
    <t>https://pubmed.ncbi.nlm.nih.gov/38147315</t>
  </si>
  <si>
    <t>The prevalence and severity of metabolic dysfunction-associated steatotic liver disease (MASLD) are increasing. Physicians who treat patients with MASLD may acknowledge the strong coincidence with cardiometabolic disease, including atherosclerotic cardiovascular disease (asCVD). This raises questions on co-occurrence, causality, and the need for screening and multidisciplinary care for MASLD in patients with asCVD, and vice versa. Here, we review the interrelations of MASLD and heart disease and formulate answers to these matters. Epidemiological studies scoring proxies for atherosclerosis and actual cardiovascular events indicate increased atherosclerosis in patients with MASLD, yet no increased risk of asCVD mortality. MASLD and asCVD share common drivers: obesity, insulin resistance and type 2 diabetes mellitus (T2DM), smoking, hypertension, and sleep apnea syndrome. In addition, Mendelian randomization studies support that MASLD may cause atherosclerosis through mixed hyperlipidemia, while such evidence is lacking for liver-derived procoagulant factors. In the more advanced fibrotic stages, MASLD may contribute to heart failure with preserved ejection fraction by reduced filling of the right ventricle, which may induce fatigue upon exertion, often mentioned by patients with MASLD. Some evidence points to an association between MASLD and cardiac arrhythmias. Regarding treatment and given the strong co-occurrence of MASLD and asCVD, pharmacotherapy in development for advanced stages of MASLD would ideally also reduce cardiovascular events, as has been demonstrated for T2DM treatments. Given the common drivers, potential causal factors and especially given the increased rate of cardiovascular events, comprehensive cardiometabolic risk management is warranted in patients with MASLD, preferably in a multidisciplinary approach.</t>
  </si>
  <si>
    <t>Search for Dark Photons in Rare Z Boson Decays with the ATLAS Detector.</t>
  </si>
  <si>
    <t>https://pubmed.ncbi.nlm.nih.gov/38181367</t>
  </si>
  <si>
    <t>A search for events with a dark photon produced in association with a dark Higgs boson via rare decays of the standard model Z boson is presented, using 139  fb^{-1} of sqrt[s]=13  TeV proton-proton collision data recorded by the ATLAS detector at the Large Hadron Collider. The dark boson decays into a pair of dark photons, and at least two of the three dark photons must each decay into a pair of electrons or muons, resulting in at least two same-flavor opposite-charge lepton pairs in the final state. The data are found to be consistent with the background prediction, and upper limits are set on the dark photon's coupling to the dark Higgs boson times the kinetic mixing between the standard model photon and the dark photon, α_{D}ϵ^{2}, in the dark photon mass range of [5, 40] GeV except for the ϒ mass window [8.8, 11.1] GeV. This search explores new parameter space not previously excluded by other experiments.</t>
  </si>
  <si>
    <t>Combined Measurement of the Higgs Boson Mass from the H→γγ and H→ZZ^{*}→4ℓ Decay Channels with the ATLAS Detector Using sqrt[s]=7, 8, and 13 TeV pp Collision Data.</t>
  </si>
  <si>
    <t>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 Ames, C G;</t>
  </si>
  <si>
    <t>https://pubmed.ncbi.nlm.nih.gov/38181336</t>
  </si>
  <si>
    <t>A measurement of the mass of the Higgs boson combining the H→ZZ^{*}→4ℓ and H→γγ decay channels is presented. The result is based on 140  fb^{-1} of proton-proton collision data collected by the ATLAS detector during LHC run 2 at a center-of-mass energy of 13 TeV combined with the run 1 ATLAS mass measurement, performed at center-of-mass energies of 7 and 8 TeV, yielding a Higgs boson mass of 125.11±0.09(stat)±0.06(syst)=125.11±0.11  GeV. This corresponds to a 0.09% precision achieved on this fundamental parameter of the Standard Model of particle physics.</t>
  </si>
  <si>
    <t>Omega-3 Blood Levels and Stroke Risk: A Pooled and Harmonized Analysis of 183 291 Participants From 29 Prospective Studies.</t>
  </si>
  <si>
    <t>O'Keefe, James H; Tintle, Nathan L; Harris, William S; O'Keefe, Evan L; Sala-Vila, Aleix; Attia, John; Garg, G Manohar; Hure, Alexis; Bork, Christian Sørensen; Schmidt, Erik Berg; Venø, Stine Krogh; Chien, Kuo-Liong; Chen, Yun-Yu Amelia; Egert, Sarah; Feldreich, Tobias Rudholm; Ärnlöv, Johan; Lind, Lars; Forouhi, Nita G; Geleijnse, Johanna M; Pertiwi, Kamalita; Imamura, Fumiaki; de Mello Laaksonen, Vanessa; Uusitupa, W Matti; Tuomilehto, Jaakko; Laakso, Markku; Lankinen, Maria Anneli; Laurin, Danielle; Carmichael, Pierre-Hugues; Lindsay, Joan; Leander, Karin; Laguzzi, Federica; Swenson, Brenton R; Longstreth, William T; Manson, JoAnn E; Mora, Samia; Cook, Nancy R; Marklund, Matti; Melo van Lent, Debora; Murphy, Rachel; Gudnason, Vilmundur; Ninomiya, Toshihara; Hirakawa, Yoichiro; Qian, Frank; Sun, Qi; Hu, Frank; Ardisson Korat, Andres V; Risérus, Ulf; Lázaro, Iolanda; Samieri, Cecilia; Le Goff, Mélanie; Helmer, Catherine; Steur, Marinka; Voortman, Trudy; Ikram, M Kamran; Tanaka, Toshik</t>
  </si>
  <si>
    <t>stroke</t>
  </si>
  <si>
    <t>https://pubmed.ncbi.nlm.nih.gov/38134264</t>
  </si>
  <si>
    <t>The effect of marine omega-3 PUFAs on risk of stroke remains unclear. We investigated the associations between circulating and tissue omega-3 PUFA levels and incident stroke (total, ischemic, and hemorrhagic) in 29 international prospective cohorts. Each site conducted a de novo individual-level analysis using a prespecified analytical protocol with defined exposures, covariates, analytical methods, and outcomes; the harmonized data from the studies were then centrally pooled. Multivariable-adjusted HRs and 95% CIs across omega-3 PUFA quintiles were computed for each stroke outcome. Among 183 291 study participants, there were 10 561 total strokes, 8220 ischemic strokes, and 1142 hemorrhagic strokes recorded over a median of 14.3 years follow-up. For eicosapentaenoic acid, comparing quintile 5 (Q5, highest) with quintile 1 (Q1, lowest), total stroke incidence was 17% lower (HR, 0.83 [CI, 0.76-0.91]; &lt;i&gt;P&lt;/i&gt;&lt;0.0001), and ischemic stroke was 18% lower (HR, 0.82 [CI, 0.74-0.91]; &lt;i&gt;P&lt;/i&gt;&lt;0.0001). For docosahexaenoic acid, comparing Q5 with Q1, there was a 12% lower incidence of total stroke (HR, 0.88 [CI, 0.81-0.96]; &lt;i&gt;P&lt;/i&gt;=0.0001) and a 14% lower incidence of ischemic stroke (HR, 0.86 [CI, 0.78-0.95]; &lt;i&gt;P&lt;/i&gt;=0.0001). Neither eicosapentaenoic acid nor docosahexaenoic acid was associated with a risk for hemorrhagic stroke. These associations were not modified by either baseline history of AF or prevalent CVD. Higher omega-3 PUFA levels are associated with lower risks of total and ischemic stroke but have no association with hemorrhagic stroke.</t>
  </si>
  <si>
    <t>Diagnostic yield of a proactive strategy for early detection of cardiovascular disease versus usual care in adults with type 2 diabetes or chronic obstructive pulmonary disease in primary care in the Netherlands (RED-CVD): a multicentre, pragmatic, cluster-randomised, controlled trial.</t>
  </si>
  <si>
    <t>Groenewegen, Amy; Zwartkruis, Victor W; Rienstra, Michiel; Zuithoff, Nicolaas P A; Hollander, Monika; Koffijberg, Hendrik; Oude Wolcherink, Martijn; Cramer, Maarten J; van der Schouw, Yvonne T; Hoes, Arno W; Rutten, Frans H; de Boer, Rudolf A</t>
  </si>
  <si>
    <t>the lancet public health</t>
  </si>
  <si>
    <t>https://pubmed.ncbi.nlm.nih.gov/38134944</t>
  </si>
  <si>
    <t>Progressive cardiovascular diseases (eg, heart failure, atrial fibrillation, and coronary artery disease) are often diagnosed late in high-risk individuals with common comorbidities that might mimic or mask symptoms, such as chronic obstructive pulmonary disease (COPD) and type 2 diabetes. We aimed to assess whether a proactive diagnostic strategy consisting of a symptom and risk factor questionnaire and low-cost and accessible tests could increase diagnosis of progressive cardiovascular diseases in patients with COPD or type 2 diabetes in primary care. In this multicentre, pragmatic, cluster-randomised, controlled trial (RED-CVD), 25 primary care practices in the Netherlands were randomly assigned to usual care or a proactive diagnostic strategy conducted during routine consultations and consisting of a validated symptom questionnaire, followed by physical examination, N-terminal-pro-B-type natriuretic peptide measurement, and electrocardiography. We included adults (≥18 years) with type 2 diabetes, COPD, or both, who participated in a disease management programme. Patients with an established triple diagnosis of heart failure, atrial fibrillation, and coronary artery disease were excluded. In the case of abnormal findings, further work-up or treatment was done at the discretion of the general practitioner. The primary endpoint was the number of newly diagnosed cases of heart failure, atrial fibrillation, and coronary artery disease, adjudicated by an expert clinical outcome committee using international guidelines, at 1-year follow-up, in the intention-to-treat population. Between Jan 31, 2019, and Oct 7, 2021, we randomly assigned 25 primary care centres: 11 to usual care and 14 to the intervention. We included patients between June 21, 2019, and Jan 31, 2022. Following exclusion of ineligible patients and those who did not give informed consent, 1216 participants were included: 624 (51%) in the intervention group and 592 (49%) in the usual care group. The mean age of participants was 68·4 years (SD 9·4), 482 (40%) participants were female, and 734 (60%) were male. During 1 year of follow-up, 50 (8%) of 624 participants in the intervention group and 18 (3%) of 592 in the control group were newly diagnosed with heart failure, atrial fibrillation, or coronary artery disease (adjusted odds ratio 2·97 [95% CI 1·66-5·33]). This trial is registered with the Netherlands Trial Registry, NTR7360, and was completed on Jan 31, 2023. An easy-to-use, proactive, diagnostic strategy more than doubled the number of new diagnoses of heart failure, atrial fibrillation, and coronary artery disease in patients with type 2 diabetes or COPD in primary care compared with usual care. Although the effect on patient outcomes remains to be studied, our diagnostic strategy might contribute to improved early detection and timely initiation of treatment in individuals with cardiovascular disease. Dutch Heart Foundation.</t>
  </si>
  <si>
    <t>Development and Evaluation of an NTM-IGRA to Guide Pediatric Lymphadenitis Diagnosis.</t>
  </si>
  <si>
    <t>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t>
  </si>
  <si>
    <t>https://pubmed.ncbi.nlm.nih.gov/38113520</t>
  </si>
  <si>
    <t>Diagnosis of nontuberculous mycobacteria (NTM) infections remains a challenge. In this study, we describe the evaluation of an immunological NTM-interferon (IFN)-γ release assay (IGRA) that we developed using glycopeptidolipids (GPLs) as NTM-specific antigens. We tested the NTM-IGRA in 99 samples from pediatric patients. Seventy-five were patients with lymphadenitis: 25 were NTM confirmed, 45 were of unknown etiology but compatible with mycobacterial infection and 5 had lymphadenitis caused by an etiologic agent other than NTM. The remaining 24 samples were from control individuals without lymphadenitis (latently infected with M. tuberculosis , uninfected controls and active tuberculosis patients). Peripheral blood mononuclear cells were stimulated overnight with GPLs. Detection of IFN-γ producing cells was evaluated by enzyme-linked immunospot assay. NTM culture-confirmed lymphadenitis patient samples had a significantly higher response to GPLs than the patients with lymphadenitis of unknown etiology but compatible with mycobacterial infection ( P &lt; 0.001) and lymphadenitis not caused by NTM ( P &lt; 0.01). We analyzed the response against GPLs in samples from unknown etiology lymphadenitis but compatible with mycobacterial infection cases according to the tuberculin skin test (TST) response, and although not statistically significant, those with a TST ≥5 mm had a higher response to GPLs when compared with the TST &lt;5 mm group. Stimulation with GPLs yielded promising results in detecting NTM infection in pediatric patients with lymphadenitis. Our results indicate that the test could be useful to guide the diagnosis of pediatric lymphadenitis. This new NTM-IGRA could improve the clinical handling of NTM-infected patients and avoid unnecessary misdiagnosis and treatments.</t>
  </si>
  <si>
    <t>New methodology to assess the excess burden of antibiotic resistance using country-specific parameters: a case study regarding &lt;i&gt;E. coli&lt;/i&gt; urinary tract infections.</t>
  </si>
  <si>
    <t>Godijk, Noortje Grejanne; McDonald, Scott A; Altorf-van der Kuil, Wieke; Schoffelen, Annelot F; Franz, Eelco; Bootsma, Martin C J</t>
  </si>
  <si>
    <t>https://pubmed.ncbi.nlm.nih.gov/38110375</t>
  </si>
  <si>
    <t>Antimicrobial resistant (AMR) infections are a major public health problem and the burden on population level is not yet clear. We developed a method to calculate the &lt;i&gt;excess&lt;/i&gt; burden of resistance which uses country-specific parameter estimates and surveillance data to compare the mortality and morbidity due to resistant infection against a counterfactual (the expected burden if infection was antimicrobial susceptible). We illustrate this approach by estimating the excess burden for AMR (defined as having tested positive for extended-spectrum beta-lactamases) urinary tract infections (UTIs) caused by &lt;i&gt;E. coli&lt;/i&gt; in the Netherlands in 2018, which has a relatively low prevalence of AMR &lt;i&gt;E. coli&lt;/i&gt;, and in Italy in 2016, which has a relatively high prevalence. Excess burden was estimated using the incidence-based disability-adjusted life-years (DALYs) measure. Incidence of AMR &lt;i&gt;E. coli&lt;/i&gt; UTI in the Netherlands was derived from ISIS-AR, a national surveillance system that includes tested healthcare and community isolates, and the incidence in Italy was estimated using data reported in the literature. A systematic literature review was conducted to find country-specific parameter estimates for disability duration, risks of progression to bacteraemia and mortality. The annual excess burden of AMR &lt;i&gt;E. coli&lt;/i&gt; UTI was estimated at 3.89 and 99.27 DALY/100 0000 population and 39 and 2786 excess deaths for the Netherlands and Italy, respectively. For the first time, we use country-specific and pathogen-specific parameters to estimate the excess burden of resistant infections. Given the large difference in excess burden due to resistance estimated for Italy and for the Netherlands, we emphasise the importance of using country-specific parameters describing the incidence and disease progression following AMR and susceptible infections that are pathogen specific, and unfortunately currently difficult to locate.</t>
  </si>
  <si>
    <t>Research Priorities to Increase Confidence in and Acceptance of Health Preference Research: What Questions Should be Prioritized Now?</t>
  </si>
  <si>
    <t>DiSantostefano, Rachael L; Smith, Ian P; Falahee, Marie; Jiménez-Moreno, Aura Cecilia; Oliveri, Serena; Veldwijk, Jorien; de Wit, G Ardine; Janssen, Ellen M; Berlin, Conny; Groothuis-Oudshoorn, Catharina G M</t>
  </si>
  <si>
    <t>the patient</t>
  </si>
  <si>
    <t>https://pubmed.ncbi.nlm.nih.gov/38103109</t>
  </si>
  <si>
    <t>There has been an increase in the study and use of stated-preference methods to inform medicine development decisions. The objective of this study was to identify prioritized topics and questions relating to health preferences based on the perspective of members of the preference research community. Preference research stakeholders from industry, academia, consultancy, health technology assessment/regulatory, and patient organizations were recruited using professional networks and preference-targeted e-mail listservs and surveyed about their perspectives on 19 topics and questions for future studies that would increase acceptance of preference methods and their results by decision makers. The online survey consisted of an initial importance prioritization task, a best-worst scaling case 1 instrument, and open-ended questions. Rating counts were used for analysis. The best-worst scaling used a balanced incomplete block design. One hundred and one participants responded to the survey invitation with 66 completing the best-worst scaling. The most important research topics related to the synthesis of preferences across studies, transferability across populations or related diseases, and method topics including comparison of methods and non-discrete choice experiment methods. Prioritization differences were found between respondents whose primary affiliation was academia versus other stakeholders. Academic researchers prioritized methodological/less studied topics; other stakeholders prioritized applied research topics relating to consistency of practice. As the field of health preference research grows, there is a need to revisit and communicate previous work on preference selection and study design to ensure that new stakeholders are aware of this work and to update these works where necessary. These findings might encourage discussion and alignment among different stakeholders who might hold different research priorities. Research on the application of previous preference research to new contexts will also help increase the acceptance of health preference information by decision makers.</t>
  </si>
  <si>
    <t>Genome-wide association study meta-analysis of blood pressure traits and hypertension in sub-Saharan African populations: an AWI-Gen study.</t>
  </si>
  <si>
    <t>Singh, Surina; Choudhury, Ananyo; Hazelhurst, Scott; Crowther, Nigel J; Boua, Palwendé R; Sorgho, Hermann; Agongo, Godfred; Nonterah, Engelbert A; Micklesfield, Lisa K; Norris, Shane A; Kisiangani, Isaac; Mohamed, Shukri; Gómez-Olivé, Francesc X; Tollman, Stephen M; Choma, Solomon; Brandenburg, J-T; Ramsay, Michèle</t>
  </si>
  <si>
    <t>nature communications</t>
  </si>
  <si>
    <t>https://pubmed.ncbi.nlm.nih.gov/38104120</t>
  </si>
  <si>
    <t>Most hypertension-related genome-wide association studies (GWASs) focus on non-African populations, despite hypertension (a major risk factor for cardiovascular disease) being highly prevalent in Africa. The AWI-Gen study GWAS meta-analysis for blood pressure (BP)-related traits (systolic and diastolic BP, pulse pressure, mean-arterial pressure and hypertension) from three sub-Saharan African geographic regions (N = 10,775), identifies two novel genome-wide significant signals (p &lt; 5E-08): systolic BP near P2RY1 (rs77846204; intergenic variant, p = 4.95E-08) and pulse pressure near LINC01256 (rs80141533; intergenic variant, p = 1.76E-08). No genome-wide signals are detected for the AWI-Gen GWAS meta-analysis with previous African-ancestry GWASs (UK Biobank (African), Uganda Genome Resource). Suggestive signals (p &lt; 5E-06) are observed for all traits, with 29 SNPs associating with more than one trait and several replicating known associations. Polygenic risk scores (PRSs) developed from studies on different ancestries have limited transferability, with multi-ancestry PRS providing better prediction. This study provides insights into the genetics of BP variation in African populations.</t>
  </si>
  <si>
    <t>Perspectives on systematic review protocol registration: a survey amongst stakeholders in the clinical research publication process.</t>
  </si>
  <si>
    <t>van der Braak, Kim; Heus, Pauline; Orelio, Claudia; Netterström-Wedin, Fredh; Robinson, Karen A; Lund, Hans; Hooft, Lotty</t>
  </si>
  <si>
    <t>systematic reviews</t>
  </si>
  <si>
    <t>https://pubmed.ncbi.nlm.nih.gov/38098085</t>
  </si>
  <si>
    <t>As systematic reviews (SRs) inform healthcare decisions, it is key that they address relevant questions and use rigorous methodology. Registration of SR protocols helps researchers identify relevant topics for future reviews and aims to prevent bias and duplication of effort. However, most SRs protocols are currently not registered, despite its significance. To guide future recommendations to enhance preregistration of SRs, it is important to gain a comprehensive understanding of the perspectives within the research community. Therefore, this study aims to examine the experiences with and factors of influence (barriers and facilitators) on prospective SR registration amongst researchers, peer reviewers and journal editors. Two different surveys were distributed to two groups: researchers and journal editors both identified from an existing sample of SRs. Researchers who indicated to have peer reviewed a SR were surveyed on their perspectives as peer reviewers as well. Survey design and analysis were informed by the Consolidated Framework for Implementation Research (CFIR). Shared and unique subthemes from the perspectives of researchers, peer reviewers and journal editors were identified and linked to the SR registration process (Innovation), to team, organisation (Inner setting) and (inter)national research community (Outer setting), and to characteristics of researchers, peer reviewers or journal editors (Individuals). The survey's response rates were 65/727 (9%) for researchers, of which 37 were peer reviewers, and 22/308 (7%) for journal editors. Most respondents (n = 76, 94%) were familiar with SR protocol registration and 81% of researchers had registered minimally one SR protocol. Shared SR registration process subthemes were the importance and advantages of SR protocol registration, as well as barriers such as a high administrative burden. Shared subthemes regarding the inner and outer setting centred on journal processes, external standards and time. Shared individual factors were knowledge, skills and awareness. The majority of the respondents were familiar with SR protocol registration and had a positive attitude towards it. This study identified suboptimal registration process, administrative burden and lack of mandatory SR protocol registration as barriers. By overcoming these barriers, SR protocol registration could contribute more effectively to the goals of open science. osf.io/gmv6z.</t>
  </si>
  <si>
    <t>Risk factors for cardiovascular disease: the known unknown.</t>
  </si>
  <si>
    <t>Artola Arita, Vicente; Beigrezaei, Sara; Franco, Oscar H</t>
  </si>
  <si>
    <t>https://pubmed.ncbi.nlm.nih.gov/38099566</t>
  </si>
  <si>
    <t>Predicting sepsis-related mortality and ICU admissions from telephone triage information of patients presenting to out-of-hours GP cooperatives with acute infections: A cohort study of linked routine care databases.</t>
  </si>
  <si>
    <t>Loots, Feike J; Smits, Marleen; Jenniskens, Kevin; Leeuwenberg, Artuur M; Giesen, Paul H J; Ramerman, Lotte; Verheij, Robert; van Zanten, Arthur R H; Venekamp, Roderick P</t>
  </si>
  <si>
    <t>https://pubmed.ncbi.nlm.nih.gov/38091283</t>
  </si>
  <si>
    <t>General practitioners (GPs) often assess patients with acute infections. It is challenging for GPs to recognize patients needing immediate hospital referral for sepsis while avoiding unnecessary referrals. This study aimed to predict adverse sepsis-related outcomes from telephone triage information of patients presenting to out-of-hours GP cooperatives. A retrospective cohort study using linked routine care databases from out-of-hours GP cooperatives, general practices, hospitals and mortality registration. We included adult patients with complaints possibly related to an acute infection, who were assessed (clinic consultation or home visit) by a GP from a GP cooperative between 2017-2019. We used telephone triage information to derive a risk prediction model for sepsis-related adverse outcome (infection-related ICU admission within seven days or infection-related death within 30 days) using logistic regression, random forest, and neural network machine learning techniques. Data from 2017 and 2018 were used for derivation and from 2019 for validation. We included 155,486 patients (median age of 51 years; 59% females) in the analyses. The strongest predictors for sepsis-related adverse outcome were age, type of contact (home visit or clinic consultation), patients considered ABCD unstable during triage, and the entry complaints"general malaise", "shortness of breath" and "fever". The multivariable logistic regression model resulted in a C-statistic of 0.89 (95% CI 0.88-0.90) with good calibration. Machine learning models performed similarly to the logistic regression model. A "sepsis alert" based on a predicted probability &gt;1% resulted in a sensitivity of 82% and a positive predictive value of 4.5%. However, most events occurred in patients receiving home visits, and model performance was substantially worse in this subgroup (C-statistic 0.70). Several patient characteristics identified during telephone triage of patients presenting to out-of-hours GP cooperatives were associated with sepsis-related adverse outcomes. Still, on a patient level, predictions were not sufficiently accurate for clinical purposes.</t>
  </si>
  <si>
    <t>Lymphocyte and neutrophil count combined with intestinal bacteria abundance predict the severity of COVID-19.</t>
  </si>
  <si>
    <t>Chen, Liuying; Yin, Zhongwei; Zhou, Dan; Li, Xin; Yu, Cheng; Luo, Chang; Jin, Yu; Zhang, Lei; Song, Jun; Rasche, Leo; Einsele, Hermann; Tu, Lei; Zhou, Xiang; Bai, Tao; Hou, Xiaohua</t>
  </si>
  <si>
    <t>microbiology spectrum</t>
  </si>
  <si>
    <t>https://pubmed.ncbi.nlm.nih.gov/38088542</t>
  </si>
  <si>
    <t>The 2019 coronavirus disease (COVID-19) patients had a unique profile of gut bacteria. In this study, we characterized the intestinal bacteria in our COVID-19 cohorts and found that there was an increased incidence of severe cases in COVID-19 patients with decreased lymphocytes and increased neutrophils. Levels of lymphocytes and neutrophils and abundances of intestinal bacteria correlated with the severity of COVID-19.</t>
  </si>
  <si>
    <t>Topical and oral steroids for otitis media with effusion (OME) in children.</t>
  </si>
  <si>
    <t>Mulvaney, Caroline A; Galbraith, Kevin; Webster, Katie E; Rana, Mridul; Connolly, Rachel; Tudor-Green, Ben; Marom, Tal; Daniel, Mat; Venekamp, Roderick P; Schilder, Anne Gm; MacKeith, Samuel</t>
  </si>
  <si>
    <t>https://pubmed.ncbi.nlm.nih.gov/38088821</t>
  </si>
  <si>
    <t>Otitis media with effusion (OME) is an accumulation of fluid in the middle ear cavity, common amongst young children. The fluid may cause hearing loss. Although most episodes of OME in children resolve spontaneously within a few months, when persistent it may lead to behavioural problems and a delay in expressive language skills. Management of OME includes watchful waiting, medical, surgical and other treatments, such as autoinflation. Oral or topical steroids are sometimes used to reduce inflammation in the middle ear. To assess the effects (benefits and harms) of topical and oral steroids for OME in children. We searched the Cochrane ENT Register, CENTRAL, Ovid MEDLINE, Ovid Embase, Web of Science, ClinicalTrials.gov, ICTRP and additional sources for published and unpublished studies on 20 January 2023. We included randomised controlled trials (RCTs) and quasi-randomised trials in children aged 6 months to 12 years with unilateral or bilateral OME. We included studies that compared topical or oral steroids with either placebo or watchful waiting (no treatment). We used standard Cochrane methods. Our primary outcomes, determined by a multi-stakeholder prioritisation exercise, were: 1) hearing, 2) OME-specific quality of life and 3) systemic corticosteroid side effects. Secondary outcomes were: 1) presence/persistence of OME, 2) other adverse effects (including local nasal effects), 3) receptive language skills, 4) speech development, 5) cognitive development, 6) psychosocial outcomes, 7) listening skills, 8) generic health-related quality of life, 9) parental stress, 10) vestibular function and 11) episodes of acute otitis media. We used GRADE to assess the certainty of evidence. Although we included all measures of hearing assessment, the proportion of children who returned to normal hearing was our preferred method to assess hearing, due to challenges in interpreting the results of mean hearing thresholds. We included 26 studies in this review (2770 children). Most studies of oral steroids used prednisolone for 7 to 14 days. Studies of topical (nasal) steroids used various preparations (beclomethasone, fluticasone and mometasone) for between two weeks and three months. All studies had at least some concerns regarding risk of bias. Here we report our primary outcomes and main secondary outcome, at the longest reported follow-up. Oral steroids compared to placebo Oral steroids probably result in little or no difference in the proportion of children with normal hearing after 12 months (69.7% of children with steroids, compared to 61.1% of children receiving placebo, risk ratio (RR) 1.14, 95% confidence interval (CI) 0.97 to 1.33; 1 study, 332 participants; moderate-certainty evidence). There is probably little or no difference in OME-related quality of life (mean difference (MD) in OM8-30 score 0.07, 95% CI -0.2 to 0.34; 1 study, 304 participants; moderate-certainty evidence). Oral steroids may reduce the number of children with persistent OME at 6 to 12 months, but the size of the effect was uncertain (absolute risk reduction ranging from 13.3% to 45%, number needed to treat (NNT) of between 3 and 8; low-certainty evidence). The evidence was very uncertain regarding the risk of systemic corticosteroid side effects, and we were unable to conduct any meta-analysis for this outcome. Oral steroids compared to no treatment Oral steroids may result in little or no difference in the persistence of OME after three to nine months (74.5% children receiving steroids versus 73% of those receiving placebo; RR 1.02, 95% CI 0.89 to 1.17; 2 studies, 258 participants; low-certainty evidence). The evidence on adverse effects was very uncertain. We did not identify any evidence on hearing or disease-related quality of life. Topical (intranasal) steroids compared to placebo We did not identify data on the proportion of children who returned to normal hearing. However, the mean change in hearing threshold after two months was -0.3 dB lower (95% CI -6.05 to 5.45; 1 study, 78 participants; very low-certainty evidence). The evidence suggests that nasal steroids make little or no difference to disease-specific quality of life after nine months (OM8-30 score, MD 0.05 higher, 95% CI -0.36 to 0.46; 1 study, 82 participants; low-certainty evidence). The evidence is very uncertain regarding the effect of nasal steroids on persistence of OME at up to one year. Two studies reported this: one showed a potential benefit for nasal steroids, the other showed a benefit with placebo (2 studies, 206 participants). The evidence was also very uncertain regarding the risk of corticosteroid-related side effects, as we were unable to provide a pooled effect estimate. Topical (intranasal) steroids compared to no treatment We did not identify data on the proportion of children who returned to normal hearing. However, the mean difference in final hearing threshold after four weeks was 1.95 dB lower (95% CI -3.85 to -0.05; 1 study, 168 participants; low-certainty evidence). Nasal steroids may reduce the persistence of OME after eight weeks, but the evidence was very uncertain (58.5% of children receiving steroids, compared to 81.3% of children without treatment, RR 0.72, 95% CI 0.57 to 0.91; 2 studies, 134 participants). We did not identify any evidence on disease-related quality of life or adverse effects. Overall, oral steroids may have little effect in the treatment of OME, with little improvement in the number of children with normal hearing and no effect on quality of life. There may be a reduction in the proportion of children with persistent disease after 12 months. However, this benefit may be small and must be weighed against the potential for adverse effects associated with oral steroid use. The evidence for nasal steroids was all low- or very low-certainty. It is therefore less clear if nasal steroids have any impact on hearing, quality of life or persistence of OME. Evidence on adverse effects was very limited. OME is likely to resolve spontaneously for most children. The potential benefit of treatment may therefore be small and should be balanced with the risk of adverse effects. Future studies should aim to determine which children are most likely to benefit from treatment, rather than offering interventions to all children.</t>
  </si>
  <si>
    <t>What works in engaging communities? Prioritising nutrition interventions in Burkina Faso, Ghana and South Africa.</t>
  </si>
  <si>
    <t>Watson, Daniella; Barker, Mary; Boua, P Romuald; Chatio, Samuel; Compaoré, Adelaide; Danis, Marion; Dalaba, Maxwell; Erzse, Agnes; Hardy-Johnson, Polly; Kehoe, Sarah H; Hofman, Karen J; Lawrence, Wendy T; Nonterah, Engelbert A; Sorgho, Hermann; Rwafa-Ponela, Teurai; Ward, Kate A; Tugendhaft, Aviva; ,</t>
  </si>
  <si>
    <t>https://pubmed.ncbi.nlm.nih.gov/38091334</t>
  </si>
  <si>
    <t>"Choosing All Together" (CHAT), is a community engagement tool designed to give the public a voice in how best to allocate limited resources to improve population health. This process evaluation explored the mechanisms through which CHAT generates community engagement. The CHAT tool was adapted and implemented for use in two rural communities (Nanoro, Burkina Faso, and Navrongo, Ghana) and one urban township (Soweto, South Africa) to prioritize maternal and child nutrition interventions. Community discussions were audio-recorded, transcribed, and translated into English. Twenty-two transcripts, including six each from Navrongo and Soweto and 10 from Nanoro, were analysed thematically to generate data driven codes and themes to explain mechanisms underlying the CHAT process. The process evaluation was based on the UK MRC process evaluation guidance. Seven themes describing the functions and outcomes of CHAT were identified. Themes described participants deliberating trade-offs, working together, agreeing on priorities, having a shared vision, and increasing their knowledge, also the skills of the facilitator, and a process of power sharing between participants and researchers. Participants came to an agreement of priorities when they had a shared vision. Trained facilitators are important to facilitate meaningful discussion between participants and those with lower levels of literacy to participate fully. CHAT has been shown to be adaptable and useful in prioritising maternal and child nutrition interventions in communities in Burkina Faso, Ghana, and South Africa. Conducting CHAT in communities over a longer period and involving policy-makers would increase trust, mutual respect and develop partnerships.</t>
  </si>
  <si>
    <t>Fetal fraction of cell-free DNA in noninvasive prenatal testing and adverse pregnancy outcomes: a nationwide retrospective cohort study of 56,110 pregnant women.</t>
  </si>
  <si>
    <t>Becking, Ellis C; Scheffer, Peter G; Henrichs, Jens; Bax, Caroline J; Crombag, Neeltje M T H; Weiss, Marjan M; Macville, Merryn V E; Van Opstal, Diane; Boon, Elles M J; Sistermans, Erik A; Henneman, Lidewij; Schuit, Ewoud; Bekker, Mireille N</t>
  </si>
  <si>
    <t>american journal of obstetrics and gynecology</t>
  </si>
  <si>
    <t>https://pubmed.ncbi.nlm.nih.gov/38097030</t>
  </si>
  <si>
    <t>Noninvasive prenatal testing by cell-free DNA analysis is offered to pregnant women worldwide to screen for fetal aneuploidies. In noninvasive prenatal testing, the fetal fraction of cell-free DNA in the maternal circulation is measured as a quality control parameter. Given that fetal cell-free DNA originates from the placenta, the fetal fraction might also reflect placental health and maternal pregnancy adaptation. This study aimed to assess the association between the fetal fraction and adverse pregnancy outcomes. We performed a retrospective cohort study of women with singleton pregnancies opting for noninvasive prenatal testing between June 2018 and June 2019 within the Dutch nationwide implementation study (Trial by Dutch Laboratories for Evaluation of Non-Invasive Prenatal Testing [TRIDENT]-2). Multivariable logistic regression analysis was used to assess associations between fetal fraction and adverse pregnancy outcomes. Fetal fraction was assessed as a continuous variable and as &lt;10th percentile, corresponding to a fetal fraction &lt;2.5%. The cohort comprised 56,110 pregnancies. In the analysis of fetal fraction as a continuous variable, a decrease in fetal fraction was associated with increased risk of hypertensive disorders of pregnancy (adjusted odds ratio, 2.27 [95% confidence interval, 1.89-2.78]), small for gestational age neonates &lt;10th percentile (adjusted odds ratio, 1.37 [1.28-1.45]) and &lt;2.3rd percentile (adjusted odds ratio, 2.63 [1.96-3.57]), and spontaneous preterm birth from 24 to 37 weeks of gestation (adjusted odds ratio, 1.02 [1.01-1.03]). No association was found for fetal congenital anomalies (adjusted odds ratio, 1.02 [1.00-1.04]), stillbirth (adjusted odds ratio, 1.02 [0.96-1.08]), or neonatal death (adjusted odds ratio, 1.02 [0.96-1.08]). Similar associations were found for adverse pregnancy outcomes when fetal fraction was &lt;10th percentile. In early pregnancy, a low fetal fraction is associated with increased risk of adverse pregnancy outcomes. These findings can be used to expand the potential of noninvasive prenatal testing in the future, enabling the prediction of pregnancy complications and facilitating tailored pregnancy management through intensified monitoring or preventive measures.</t>
  </si>
  <si>
    <t>Outpatient respiratory syncytial virus infections and novel preventive interventions.</t>
  </si>
  <si>
    <t>Hak, Sarah F; Venekamp, Roderick P; Wildenbeest, Joanne G; Bont, Louis J</t>
  </si>
  <si>
    <t>current opinion in pediatrics</t>
  </si>
  <si>
    <t>https://pubmed.ncbi.nlm.nih.gov/38085019</t>
  </si>
  <si>
    <t>With interventions to prevent respiratory syncytial virus (RSV) infection within reach, this review aims to provide healthcare professionals with the latest information necessary to inform parents and assess the potential impact of RSV prevention on everyday practice. We address frequently asked questions for parental counseling. Numerous studies emphasize the major burden of RSV on young children, parents, healthcare and society. In the first year of life, about 14% of healthy term infants visit a doctor and 2% require hospitalization due to RSV. In older children (1--5 years), RSV infections and associated morbidity (wheeze, acute otitis media) are major drivers of outpatient visits. A novel maternal RSV vaccine and long-acting mAb can provide protection during infants' first months of life. This maternal vaccine showed 70.9% efficacy against severe RSV infection within 150 days after birth; the mAb nirsevimab reduces medically attended RSV infections by 79.5% within 150 days after administration. Both gained regulatory approval in the USA (FDA) and Europe (EMA). Novel RSV immunizations hold promise to reduce the RSV burden in infants, with substantial impact on everyday practice. Tailored parental guidance will be instrumental for successful implementation. Awaiting pediatric vaccines, RSV infections beyond infancy will still pose a significant outpatient burden.</t>
  </si>
  <si>
    <t>International Pooled Analysis of Leisure-Time Physical Activity and Premenopausal Breast Cancer in Women From 19 Cohorts.</t>
  </si>
  <si>
    <t>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t>
  </si>
  <si>
    <t>journal of clinical oncology official journal of the american society of clinical oncology</t>
  </si>
  <si>
    <t>https://pubmed.ncbi.nlm.nih.gov/38079601</t>
  </si>
  <si>
    <t>There is strong evidence that leisure-time physical activity is protective against postmenopausal breast cancer risk but the association with premenopausal breast cancer is less clear. The purpose of this study was to examine the association of physical activity with the risk of developing premenopausal breast cancer. We pooled individual-level data on self-reported leisure-time physical activity across 19 cohort studies comprising 547,601 premenopausal women, with 10,231 incident cases of breast cancer. Multivariable Cox regression was used to estimate hazard ratios (HRs) and 95% CIs for associations of leisure-time physical activity with breast cancer incidence. HRs for high versus low levels of activity were based on a comparison of risk at the 90th versus 10th percentiles of activity. We assessed the linearity of the relationship and examined subtype-specific associations and effect modification across strata of breast cancer risk factors, including adiposity. Over a median 11.5 years of follow-up (IQR, 8.0-16.1 years), high versus low levels of leisure-time physical activity were associated with a 6% (HR, 0.94 [95% CI, 0.89 to 0.99]) and a 10% (HR, 0.90 [95% CI, 0.85 to 0.95]) reduction in breast cancer risk, before and after adjustment for BMI, respectively. Tests of nonlinearity suggested an approximately linear relationship (&lt;i&gt;P&lt;/i&gt;&lt;sub&gt;nonlinearity&lt;/sub&gt; = .94). The inverse association was particularly strong for human epidermal growth factor receptor 2-enriched breast cancer (HR, 0.57 [95% CI, 0.39 to 0.84]; &lt;i&gt;P&lt;/i&gt;&lt;sub&gt;het&lt;/sub&gt; = .07). Associations did not vary significantly across strata of breast cancer risk factors, including subgroups of adiposity. This large, pooled analysis of cohort studies adds to evidence that engagement in higher levels of leisure-time physical activity may lead to reduced premenopausal breast cancer risk.</t>
  </si>
  <si>
    <t>Multiple imputation of incomplete multilevel data using Heckman selection models.</t>
  </si>
  <si>
    <t>Muñoz, Johanna; Efthimiou, Orestis; Audigier, Vincent; de Jong, Valentijn M T; Debray, Thomas P A</t>
  </si>
  <si>
    <t>https://pubmed.ncbi.nlm.nih.gov/38073512</t>
  </si>
  <si>
    <t>Missing data is a common problem in medical research, and is commonly addressed using multiple imputation. Although traditional imputation methods allow for valid statistical inference when data are missing at random (MAR), their implementation is problematic when the presence of missingness depends on unobserved variables, that is, the data are missing not at random (MNAR). Unfortunately, this MNAR situation is rather common, in observational studies, registries and other sources of real-world data. While several imputation methods have been proposed for addressing individual studies when data are MNAR, their application and validity in large datasets with multilevel structure remains unclear. We therefore explored the consequence of MNAR data in hierarchical data in-depth, and proposed a novel multilevel imputation method for common missing patterns in clustered datasets. This method is based on the principles of Heckman selection models and adopts a two-stage meta-analysis approach to impute binary and continuous variables that may be outcomes or predictors and that are systematically or sporadically missing. After evaluating the proposed imputation model in simulated scenarios, we illustrate it use in a cross-sectional community survey to estimate the prevalence of malaria parasitemia in children aged 2-10 years in five regions in Uganda.</t>
  </si>
  <si>
    <t>Patient preferences for disposable and reusable vaginal specula and their willingness to compromise in the era of climate change: A cross-sectional study.</t>
  </si>
  <si>
    <t>Ten Buuren, Amber A A; Poolman, Tessa B; Bongers, Marlies Y; Bullens, Lauren M; Van Hanegem, Nehalennia; Klerkx, Wenche M; Timmermans, Anne; Zuithoff, Nicolaas P A; Kwee, Anneke</t>
  </si>
  <si>
    <t>bjog an international journal of obstetrics and gynaecology</t>
  </si>
  <si>
    <t>https://pubmed.ncbi.nlm.nih.gov/38073255</t>
  </si>
  <si>
    <t>To evaluate patient satisfaction on gynaecological examination with metal, plastic and biobased plastic vaginal specula, and to investigate whether patients are willing to compromise on comfort for a more sustainable healthcare system. Cross-sectional study: population-based survey. Gynaecological outpatient clinics in five Dutch hospitals. Patients during general gynaecology consultation hours. A survey containing two questions about patient demographics, four about comfort and five about sustainability and healthcare was distributed. Comfort score (scale 1-10). (1) temperature, size and ease of insertion, (2) willingness to compromise for a more sustainable healthcare system. In all, 196 patients completed the survey. Biobased plastic vaginal specula scored significantly higher on comfort than the metal ones (mean 8.03 ± 1.65 versus 7.26 ± 1.51 respectively; P &lt; 0.001). The biobased plastic vaginal speculum is significantly the most comfortable on temperature, whereas the metal speculum is the least comfortable (P &lt; 0.007). Most patients are willing to compromise on comfort or are open to the reuse of disposables to contribute to a more sustainable healthcare. The majority of patients (77%) urge healthcare organisations to combat climate change. There is a small but statistically significant difference in favour of a biobased plastic speculum regarding comfort score, although it might be questioned whether this is clinically relevant. Furthermore, patients are willing to compromise on comfort for a more sustainable healthcare, which should be a contributing factor in speculum selection.</t>
  </si>
  <si>
    <t>DeltaScan for the Assessment of Acute Encephalopathy and Delirium in ICU and non-ICU Patients, a Prospective Cross-Sectional Multicenter Validation Study.</t>
  </si>
  <si>
    <t>Ditzel, Fienke L; Hut, Suzanne C A; van den Boogaard, Mark; Boonstra, Michel; Leijten, Frans S S; Wils, Evert-Jan; van Nesselrooij, Tim; Kromkamp, Marjan; Rood, Paul J T; Röder, Christian; Bouvy, Paul F; Coesmans, Michiel; Osse, Robert Jan; Pop-Purceleanu, Monica; van Dellen, Edwin; Krulder, Jaap W M; Milisen, Koen; Faaij, Richard; Vondeling, Ariël M; Kamper, Ad M; van Munster, Barbara C; de Jonghe, Annemarieke; Winters, Marian A M; van der Ploeg, Jeanette; van der Zwaag, Sanneke; Koek, Dineke H L; Drenth-van Maanen, Clara A C; Beishuizen, Albertus; van den Bos, Deirdre M; Cahn, Wiepke; Schuit, Ewoud; Slooter, Arjen J C</t>
  </si>
  <si>
    <t>https://pubmed.ncbi.nlm.nih.gov/38171949</t>
  </si>
  <si>
    <t>To measure the diagnostic accuracy of DeltaScan: a portable real-time brain state monitor for identifying delirium, a manifestation of acute encephalopathy (AE) detectable by polymorphic delta activity (PDA) in single-channel electroencephalograms (EEGs). Prospective cross-sectional study. Six Intensive Care Units (ICU's) and 17 non-ICU departments, including a psychiatric department across 10 Dutch hospitals. 494 patients, median age 75 (IQR:64-87), 53% male, 46% in ICUs, 29% delirious. DeltaScan recorded 4-minute EEGs, using an algorithm to select the first 96 seconds of artifact-free data for PDA detection. This algorithm was trained and calibrated on two independent datasets. Initial validation of the algorithm for AE involved comparing its output with an expert EEG panel's visual inspection. The primary objective was to assess DeltaScan's accuracy in identifying delirium against a delirium expert panel's consensus. DeltaScan had a 99% success rate, rejecting 6 of the 494 EEG's due to artifacts. Performance showed and an Area Under the Receiver Operating Characteristic Curve (AUC) of 0.86 (95% CI: 0.83-0.90) for AE (sensitivity: 0.75, 95%CI=0.68-0.81, specificity: 0.87 95%CI=0.83-0.91. The AUC was 0.71 for delirium (95%CI=0.66-0.75, sensitivity: 0.61 95%CI=0.52-0.69, specificity: 72, 95%CI=0.67-0.77). Our validation aim was an NPV for delirium above 0.80 which proved to be 0.82 (95%CI: 0.77-0.86). Among 84 non-delirious psychiatric patients, DeltaScan differentiated delirium from other disorders with a 94% (95%CI: 87-98%) specificity. DeltaScan can diagnose AE at bedside and shows a clear relationship with clinical delirium. Further research is required to explore its role in predicting delirium-related outcomes.</t>
  </si>
  <si>
    <t>Determining the effect of pneumococcal vaccination on antibiotic prescriptions: is prescription sequence symmetry analysis a valid approach?</t>
  </si>
  <si>
    <t>Niessen, Annabel F; de Boer, Annemarijn R; van Werkhoven, Cornelis H</t>
  </si>
  <si>
    <t>clinical microbiology and infection the official publication of the european society of clinical microbiology and infectious diseases</t>
  </si>
  <si>
    <t>https://pubmed.ncbi.nlm.nih.gov/38072193</t>
  </si>
  <si>
    <t>Incomplete and possibly selective recording of signs, symptoms, and measurements in free text fields of primary care electronic health records of adults with lower respiratory tract infections.</t>
  </si>
  <si>
    <t>Rijk, Merijn H; Platteel, Tamara N; Mulder, Marissa M M; Geersing, Geert-Jan; Rutten, Frans H; van Smeden, Maarten; Venekamp, Roderick P; Leeuwenberg, Tuur M</t>
  </si>
  <si>
    <t>https://pubmed.ncbi.nlm.nih.gov/38072176</t>
  </si>
  <si>
    <t>To assess the completeness of recording of relevant signs, symptoms, and measurements in Dutch free text fields of primary care electronic health records (EHR) of adults with lower respiratory tract infections (LRTI). Retrospective cohort study embedded in a prediction modeling project using routine health care data of the Julius General Practitioners' Network of adult patients with LRTI. Free text fields of 1,000 primary care consultations of LRTI episodes between 2016 and 2019 were manually annotated to retrieve data on the recording of sixteen relevant signs, symptoms, and measurements. For 12/16 (75%) of the relevant signs, symptoms, and measurements, more than 50% of the values was not recorded. The patterns of recorded values indicated selective recording of positive or abnormal values. Recording rates varied across consultation type (physical consultation vs. home visit), diagnosis (acute bronchitis vs. pneumonia), antibiotic prescription issued (yes vs. no), and between practices. In EHR of primary care LRTI patients, recording of signs, symptoms, and measurements in free text fields is incomplete and possibly selective. When using free text data in EHR-based research, careful consideration of its recording patterns and appropriate missing data handling techniques is therefore required.</t>
  </si>
  <si>
    <t>Five critical quality criteria for artificial intelligence-based prediction models.</t>
  </si>
  <si>
    <t>van Royen, Florien S; Asselbergs, Folkert W; Alfonso, Fernando; Vardas, Panos; van Smeden, Maarten</t>
  </si>
  <si>
    <t>european heart journal</t>
  </si>
  <si>
    <t>https://pubmed.ncbi.nlm.nih.gov/37897346</t>
  </si>
  <si>
    <t>To raise the quality of clinical artificial intelligence (AI) prediction modelling studies in the cardiovascular health domain and thereby improve their impact and relevancy, the editors for digital health, innovation, and quality standards of the European Heart Journal propose five minimal quality criteria for AI-based prediction model development and validation studies: complete reporting, carefully defined intended use of the model, rigorous validation, large enough sample size, and openness of code and software.</t>
  </si>
  <si>
    <t>Predicting adverse outcomes in adults with a community-acquired lower respiratory tract infection: a protocol for the development and validation of two prediction models for (i) all-cause hospitalisation and mortality and (ii) cardiovascular outcomes.</t>
  </si>
  <si>
    <t>Rijk, Merijn H; Platteel, Tamara N; Geersing, Geert-Jan; Hollander, Monika; Dalmolen, Bert L G P; Little, Paul; Rutten, Frans H; van Smeden, Maarten; Venekamp, Roderick P</t>
  </si>
  <si>
    <t>diagnostic and prognostic research</t>
  </si>
  <si>
    <t>https://pubmed.ncbi.nlm.nih.gov/38057921</t>
  </si>
  <si>
    <t>Community-acquired lower respiratory tract infections (LRTI) are common in primary care and patients at particular risk of adverse outcomes, e.g., hospitalisation and mortality, are challenging to identify. LRTIs are also linked to an increased incidence of cardiovascular diseases (CVD) following the initial infection, whereas concurrent CVD might negatively impact overall prognosis in LRTI patients. Accurate risk prediction of adverse outcomes in LRTI patients, while considering the interplay with CVD, can aid general practitioners (GP) in the clinical decision-making process, and may allow for early detection of deterioration. This paper therefore presents the design of the development and external validation of two models for predicting individual risk of all-cause hospitalisation or mortality (model 1) and short-term incidence of CVD (model 2) in adults presenting to primary care with LRTI. Both models will be developed using linked routine electronic health records (EHR) data from Dutch primary and secondary care, and the mortality registry. Adults aged ≥ 40 years with a GP-diagnosis of LRTI between 2016 and 2019 are eligible for inclusion. Relevant patient demographics, medical history, medication use, presenting signs and symptoms, and vital and laboratory measurements will be considered as candidate predictors. Outcomes of interest include 30-day all-cause hospitalisation or mortality (model 1) and 90-day CVD (model 2). Multivariable elastic net regression techniques will be used for model development. During the modelling process, the incremental predictive value of CVD for hospitalisation or all-cause mortality (model 1) will also be assessed. The models will be validated through internal-external cross-validation and external validation in an equivalent cohort of primary care LRTI patients. Implementation of currently available prediction models for primary care LRTI patients is hampered by limited assessment of model performance. While considering the role of CVD in LRTI prognosis, we aim to develop and externally validate two models that predict clinically relevant outcomes to aid GPs in clinical decision-making. Challenges that we anticipate include the possibility of low event rates and common problems related to the use of EHR data, such as candidate predictor measurement and missingness, how best to retrieve information from free text fields, and potential misclassification of outcome events.</t>
  </si>
  <si>
    <t>Predicting the next pandemic: VACCELERATE ranking of the WorldHealth Organization's Blueprint forAction toPreventEpidemics.</t>
  </si>
  <si>
    <t>Salmanton-García, Jon; Wipfler, Pauline; Leckler, Janina; Nauclér, Pontus; Mallon, Patrick W; Bruijning-Verhagen, Patricia C J L; Schmitt, Heinz-Joseph; Bethe, Ullrich; Olesen, Ole F; Stewart, Fiona A; Albus, Kerstin; Cornely, Oliver A; ,</t>
  </si>
  <si>
    <t>travel medicine and infectious disease</t>
  </si>
  <si>
    <t>https://pubmed.ncbi.nlm.nih.gov/38061408</t>
  </si>
  <si>
    <t>The World Health Organization (WHO)'s Research and Development (R&amp;D) Blueprint for Action to Prevent Epidemics, a plan of action, highlighted several infectious diseases as crucial targets for prevention. These infections were selected based on a thorough assessment of factors such as transmissibility, infectivity, severity, and evolutionary potential. In line with this blueprint, the VACCELERATE Site Network approached infectious disease experts to rank the diseases listed in the WHO R&amp;D Blueprint according to their perceived risk of triggering a pandemic. VACCELERATE is an EU-funded collaborative European network of clinical trial sites, established to respond to emerging pandemics and enhance vaccine development capabilities. Between February and June 2023, a survey was conducted using an online form to collect data from members of the VACCELERATE Site Network and infectious disease experts worldwide. Participants were asked to rank various pathogens based on their perceived risk of causing a pandemic, including those listed in the WHO R&amp;D Blueprint and additional pathogens. A total of 187 responses were obtained from infectious disease experts representing 57 countries, with Germany, Spain, and Italy providing the highest number of replies. Influenza viruses received the highest rankings among the pathogens, with 79 % of participants including them in their top rankings. Disease X, SARS-CoV-2, SARS-CoV, and Ebola virus were also ranked highly. Hantavirus, Lassa virus, Nipah virus, and henipavirus were among the bottom-ranked pathogens in terms of pandemic potential. Influenza, SARS-CoV, SARS-CoV-2, and Ebola virus were found to be the most concerning pathogens with pandemic potential, characterised by transmissibility through respiratory droplets and a reported history of epidemic or pandemic outbreaks.</t>
  </si>
  <si>
    <t>Adjuvant chemotherapy in patients with clinically node-negative but pathologically node-positive rectal cancer in the Netherlands: A retrospective analysis.</t>
  </si>
  <si>
    <t>Kwakman, Johannes J M; Bond, Marinde J G; Demichelis, Ramzi M; Koopman, Miriam; Hompes, Roel; Elferink, Marloes A G; Punt, Cornelis J A</t>
  </si>
  <si>
    <t>european journal of cancer oxford england</t>
  </si>
  <si>
    <t>https://pubmed.ncbi.nlm.nih.gov/38061213</t>
  </si>
  <si>
    <t>Accurate clinical staging of rectal cancer is hampered by suboptimal sensitivity of MRI in the detection of regional lymph node metastases. Consequently, some patients may be understaged and have been withheld neoadjuvant (chemo)radiotherapy in retrospect. Although Dutch guidelines do not advocate adjuvant chemotherapy (ACT) in rectal cancer, some of these clinically understaged patients receive ACT according to local policy. We aim to assess the benefit of ACT in these patients. Population-based data from patients with clinically node-negative (cN0) but pathologically node-positive (pN+) rectal cancer that underwent total mesorectal excision (TME) without neoadjuvant treatment between 2008 and 2018 were obtained from the Netherlands Cancer Registry. Missing data were handled by multiple imputation. Stabilised inverse probability treatment weighting (sIPTW) was used to balance clinical characteristics. Overall survival (OS) was compared in ACT and non-ACT patients. Of 34,724 patients, 13,861 had cN0 disease of whom 3016 were pN+ (21.8%). 1466 (48.6%) of these patients underwent upfront TME and were included. Median follow-up was 84 months (95% confidence interval [CI] 76-97) versus 79 months (95% CI 77-81) in patients that did (n = 290, 19.8%) and did not (n = 1176, 80.2%) receive ACT, respectively. After sIPTW adjustment, ACT was associated with improved OS (hazard ratio 0.70; 95% CI 0.49-0.99; p = 0.04). The estimated 5-year OS rate was 74.2% versus 65.3%, respectively. In this population-based cohort of patients with cN0 but pN+ rectal cancer who underwent upfront TME, ACT was associated with a significant OS benefit. These data support to discuss ACT in this population.</t>
  </si>
  <si>
    <t>Opportunities and Challenges for Decentralized Clinical Trial Approaches: European Health Technology Assessment Perspective.</t>
  </si>
  <si>
    <t>de Jong, Amos J; Shahid, Nadi; Zuidgeest, Mira G P; Santa-Ana-Tellez, Yared; Hogervorst, Milou; Goettsch, Wim; Traore, Hamidou; de Boer, Anthonius; Gardarsdottir, Helga; ,</t>
  </si>
  <si>
    <t>value in health the journal of the international society for pharmacoeconomics and outcomes research</t>
  </si>
  <si>
    <t>https://pubmed.ncbi.nlm.nih.gov/38043711</t>
  </si>
  <si>
    <t>Decentralized clinical trial (DCT) approaches are clinical trials in which some or all trial activities take place closer to participants' proximities instead of a traditional investigative site. Data from DCTs may be used for clinical and economic evaluations by health technology assessment (HTA) bodies to support reimbursement decision making. This study aimed to explore the opportunities and challenges for DCT approaches from an HTA perspective by interviewing representatives from European HTA bodies. We conducted semistructured interviews with 25 European HTA representatives between September 2022 and February 2023, and transcripts were analyzed after thematic analysis. Two main themes were identified from the data relating to (1) DCT approaches in HTA and (2) trial-level acceptance and relevance. Experience with assessing DCTs was limited and a variety of knowledge about DCTs was observed. The respondents recognized the opportunity of DCTs to reduce recall bias when participant-reported outcome data can be collected more frequently and conveniently from home. Concerns were expressed about the data quality when participants become responsible for data collection. Despite this challenge, the respondents recognized the potential of DCTs to increase the generalizability of results because data can be collected in a setting reflective of the everyday situation potentially from a more diverse participant group. DCTs could generate relevant results for HTA decision making when data are collected in a real-world setting from a diverse participant group. Increased awareness of the opportunities and challenges could help HTA assessors in their appraisal of DCT approaches.</t>
  </si>
  <si>
    <t>Deep learning models for automatic tumor segmentation and total tumor volume assessment in patients with colorectal liver metastases.</t>
  </si>
  <si>
    <t>Wesdorp, Nina J; Zeeuw, J Michiel; Postma, Sam C J; Roor, Joran; van Waesberghe, Jan Hein T M; van den Bergh, Janneke E; Nota, Irene M; Moos, Shira; Kemna, Ruby; Vadakkumpadan, Fijoy; Ambrozic, Courtney; van Dieren, Susan; van Amerongen, Martinus J; Chapelle, Thiery; Engelbrecht, Marc R W; Gerhards, Michael F; Grunhagen, Dirk; van Gulik, Thomas M; Hermans, John J; de Jong, Koert P; Klaase, Joost M; Liem, Mike S L; van Lienden, Krijn P; Molenaar, I Quintus; Patijn, Gijs A; Rijken, Arjen M; Ruers, Theo M; Verhoef, Cornelis; de Wilt, Johannes H W; Marquering, Henk A; Stoker, Jaap; Swijnenburg, Rutger-Jan; Punt, Cornelis J A; Huiskens, Joost; Kazemier, Geert</t>
  </si>
  <si>
    <t>european radiology experimental</t>
  </si>
  <si>
    <t>https://pubmed.ncbi.nlm.nih.gov/38038829</t>
  </si>
  <si>
    <t>We developed models for tumor segmentation to automate the assessment of total tumor volume (TTV) in patients with colorectal liver metastases (CRLM). In this prospective cohort study, pre- and post-systemic treatment computed tomography (CT) scans of 259 patients with initially unresectable CRLM of the CAIRO5 trial (NCT02162563) were included. In total, 595 CT scans comprising 8,959 CRLM were divided into training (73%), validation (6.5%), and test sets (21%). Deep learning models were trained with ground truth segmentations of the liver and CRLM. TTV was calculated based on the CRLM segmentations. An external validation cohort was included, comprising 72 preoperative CT scans of patients with 112 resectable CRLM. Image segmentation evaluation metrics and intraclass correlation coefficient (ICC) were calculated. In the test set (122 CT scans), the autosegmentation models showed a global Dice similarity coefficient (DSC) of 0.96 (liver) and 0.86 (CRLM). The corresponding median per-case DSC was 0.96 (interquartile range [IQR] 0.95-0.96) and 0.80 (IQR 0.67-0.87). For tumor segmentation, the intersection-over-union, precision, and recall were 0.75, 0.89, and 0.84, respectively. An excellent agreement was observed between the reference and automatically computed TTV for the test set (ICC 0.98) and external validation cohort (ICC 0.98). In the external validation, the global DSC was 0.82 and the median per-case DSC was 0.60 (IQR 0.29-0.76) for tumor segmentation. Deep learning autosegmentation models were able to segment the liver and CRLM automatically and accurately in patients with initially unresectable CRLM, enabling automatic TTV assessment in such patients. Automatic segmentation enables the assessment of total tumor volume in patients with colorectal liver metastases, with a high potential of decreasing radiologist's workload and increasing accuracy and consistency. • Tumor response evaluation is time-consuming, manually performed, and ignores total tumor volume. • Automatic models can accurately segment tumors in patients with colorectal liver metastases. • Total tumor volume can be accurately calculated based on automatic segmentations.</t>
  </si>
  <si>
    <t>Validation of spot urine in estimating 24-h urinary sodium, potassium and sodium-to-potassium ratio during three different sodium diets in healthy adults.</t>
  </si>
  <si>
    <t>Groenland, Eline H; Vendeville, Jean-Paul A C; Bots, Michiel L; Visseren, Frank L J; Musson, Ruben E A; Spiering, Wilko</t>
  </si>
  <si>
    <t>blood pressure</t>
  </si>
  <si>
    <t>https://pubmed.ncbi.nlm.nih.gov/36752063</t>
  </si>
  <si>
    <t>To evaluate the validity of spot urine assay methods in estimating the 24-h urinary sodium, potassium and sodium-to-potassium ratio during three different sodium diets. Twelve healthy volunteers were asked to adhere to 3 dietary sodium targets (3.3-5.0g/day,&lt;3.3 g/day and &gt;5.0 g/day) for three consecutive weeks and to measure salt excretion daily in spot urine samples using a self-monitoring device. On day 7 of each week, 24-h urine was collected to compare measured with estimated 24-h salt excretion (by the Kawasaki, Tanaka and INTERSALT equations). Correlation coefficients relating measured and estimated 24-h sodium excretion were low and not significant for Kawasaki and INTERSALT and moderate for the Tanaka equation (τ 0.56-0.64,&lt;i&gt;p&lt;/i&gt;&lt;.05). Bland-Altman plots showed considerable differences between estimated and measured sodium excretion across all salt diets. Over 40% of the participants showed an absolute difference between measured and estimated 24-h sodium of more than 1000 mg/day. The correlation coefficients between 24-h and spot Na/K ratio were 0.67, 0.94 and 0.85(&lt;i&gt;p&lt;/i&gt;&lt;.05), and mean differences were 0.59, 0.06 and 0.48 for the intermediate, low and high sodium diets, respectively. These findings do not support estimation of individual 24-h salt excretion from spot urine by the Kawasaki, Tanaka, or INTERSALT formula. Plain language summaryAccurate monitoring of salt intake is essential to improve BP control. At present, measurement of sodium and potassium excretion in multiple non-consecutive 24-h urinary collections is considered the gold standard for measuring dietary sodium intake. However, this method is burdensome, time-consuming and error prone.Therefore, we assessed and compared the validity of three formula-based approaches to estimate 24-h urinary sodium and potassium excretion and the Na/K ratio from spot urine samples measured by a self-monitoring device under three different sodium diets using 24-h urine collections as the reference.We conclude that use of three commonly used equations that estimate 24-h urinary sodium and potassium excretion result in substantial bias, poor precision and poor accuracy and are therefore not recommended. The Na/K ratio based on multiple casual urine samples may be a useful, low-burden, low-cost alternative method to 24-h urine collection for monitoring daily salt intake.</t>
  </si>
  <si>
    <t>Barriers and facilitators that hospital clinicians perceive to discuss the personal values, wishes, and needs of patients in palliative care: a mixed-methods systematic review.</t>
  </si>
  <si>
    <t>de Vries, Sita; Verhoef, Mary-Joanne; Vervoort, Sigrid Cornelia Johanna Maria; van der Linden, Yvette Milene; Teunissen, Saskia Cornelia Constantia Maria; de Graaf, Everlien</t>
  </si>
  <si>
    <t>https://pubmed.ncbi.nlm.nih.gov/38044932</t>
  </si>
  <si>
    <t>The exploration and monitoring of the personal values, wishes, and needs (VWN) of patients in the palliative phase by hospital clinicians is essential for guiding appropriate palliative care. To explore the barriers and facilitators concerning communication with patients in the palliative phase about their VWN as perceived by hospital clinicians. A mixed-methods systematic review following the Joanna Briggs Institute guidelines for mixed-method systematic reviews and Preferred Reporting Items for Systematic Reviews and Meta-Analysis (PRISMA) guidelines was conducted (PROSPERO ID: CRD42021216693). Eight databases, including PubMed, Embase, and CINAHL, were searched without time restrictions. The search string was built using the search Palliative cAre Literature rEview iTeraTive mEthod (PALETTE) framework. Eligible studies focused on (1) hospital clinicians and (2) perceived barriers and facilitators regarding the exploration and monitoring of the VWN of adult patients in the palliative phase. Two researchers independently selected articles and evaluated the quality. Findings were synthesized using a convergent integrated approach. In total, 29 studies were included: 14 quantitative, 13 qualitative, and 2 mixed methods. Five synthesized findings were identified: (1) the clinician's professional manners, (2) the image formed of the patient and loved ones, (3) the human aspect of being a clinician, (4) the multidisciplinary collaboration, and (5) the contextual preconditions. Most studies seemed focused on communication about treatment decision making. A patient-centered approach seems lacking when clinicians discuss the patient's VWN, since most studies focused on treatment decision making rather than on the exploration and monitoring of the multidimensional well-being of patients. This review emphasizes the need for the development and integration of a systematic approach to explore and monitor the patients' VWN to improve appropriate palliative care in hospitals.</t>
  </si>
  <si>
    <t>Clinical supervision under pressure: a qualitative study amongst health care professionals working on the ICU during COVID-19.</t>
  </si>
  <si>
    <t>van Dam, Marjel; van Hamersvelt, Hanneke; Schoonhoven, Lisette; Hoff, Reinier G; Ten Cate, Olle; Hennus, Marije P</t>
  </si>
  <si>
    <t>medical education online</t>
  </si>
  <si>
    <t>https://pubmed.ncbi.nlm.nih.gov/37403584</t>
  </si>
  <si>
    <t>The unprecedented influx of patients in 2020 with COVID-19 to intensive care units (ICU) required redeployment of healthcare professionals without adequate previous ICU-training. In these extraordinary circumstances, pivotal elements of effective clinical supervision emerged. This study sets out to explore the nature, aspects and key features of supervision under highly demanding circumstances among certified and redeployed health-care professionals on COVID-19 ICUs. A prospective qualitative, single center, semi-structured interview study among healthcare professionals at COVID-19 ICUs at University Medical Center Utrecht, the Netherlands between July and December 2020. Interview data were analyzed using an inductive coding style. A total of 13 certified and 13 redeployed health'hcare professionals, including physicians, nurses, and operation room technicians participated. Seven themes were identified as essential for both certified (supervisors) and redeployed (trainees) personnel: an open attitude, observing boundaries, gauging coworkers' capacities, being available, providing feedback, continuity in care and teams, and combining supervision with workload. This study provides seven recommendations for both supervisors and trainees to help optimize clinical supervision. They align with the known five factors determining entrustment and supervision (trainee, supervisor, task, context, and relationship). To ensure good clinical supervision, be it either during normal circumstances or under pressure, efforts should primarily focus on factors that are within a supervisor or trainee's span of control. Clinical supervision, interprofessional, COVID-19, Intensive Care.</t>
  </si>
  <si>
    <t>Patients' and GPs' views and expectations of home monitoring with a pulse oximeter: a mixed-methods process evaluation of a pilot randomised controlled trial.</t>
  </si>
  <si>
    <t>Smit, Karin; Venekamp, Roderick P; Geersing, Geert-Jan; Rutten, Frans H; Schoonhoven, Lisette; Zwart, Dorien Lm</t>
  </si>
  <si>
    <t>the british journal of general practice the journal of the royal college of general practitioners</t>
  </si>
  <si>
    <t>https://pubmed.ncbi.nlm.nih.gov/38035815</t>
  </si>
  <si>
    <t>Research on how home monitoring with a pulse oximeter is executed and experienced by patients with an acute illness such as COVID-19 and their GPs is scarce. To examine the process of structured home monitoring with a pulse oximeter for patients with COVID-19, their caregivers, and their GPs. This was a mixed-method process evaluation alongside a pilot feasibility randomised controlled trial. Patients drawn from a general practice setting, with COVID-19, and aged ≥40 years with cardiovascular comorbidities were included. Quantitative trial data from 21 intervention group participants (age 63.2 years) were used, plus qualitative data from semi-structured interviews with 15 patients (age 62.9 years), eight informal caregivers, and 10 GPs. Adherence to the intervention was very high; 97.6% of protocolised peripheral oxygen saturation (SpO&lt;sub&gt;2&lt;/sub&gt;) measurements in the first 14 days until admission to hospital were recorded (677/694, median daily per patient 2.7). Three identified themes from the interviews were: (a) user-friendliness of home monitoring: easy use of the pulse oximeter and patient preference of a three times daily measurement scheme; (b) patient empowerment: pulse oximeter use enhanced patient self-assurance and empowered patients and informal caregivers in disease management; and (c) added value to current clinical decision making. GPs perceived the pulse oximeter as a useful diagnostic tool and did not experience any additional workload. They felt more secure with remote monitoring with a pulse oximeter than only phone-based monitoring, but emphasised the need to keep an overall view on the patient's condition. Structured home monitoring by pulse oximetry supports patients and their informal caregivers in managing, and GPs in monitoring, acute COVID-19 disease. It appears suitable for use in acutely ill patients in general practice.</t>
  </si>
  <si>
    <t>Seroprevalence of SARS-CoV-2 antibodies among healthcare workers in Dutch hospitals after the 2020 first wave: a multicentre cross-sectional study with prospective follow-up.</t>
  </si>
  <si>
    <t>Recanatini, Claudia; GeurtsvanKessel, Corine H; Pas, Suzan D; Broens, Els M; Maas, Martje; van Mansfeld, Rosa; Mutsaers-van Oudheusden, Anne J G; van Rijen, Miranda; Schippers, Emile F; Stegeman, Arjan; Tami, Adriana; Veldkamp, Karin Ellen; Visser, Hannah; Voss, Andreas; Wegdam-Blans, Marjolijn C A; Wertheim, Heiman F L; Wever, Peter C; Koopmans, Marion P G; Kluytmans, Jan A J W; Kluytmans-van den Bergh, Marjolein F Q; ,</t>
  </si>
  <si>
    <t>antimicrobial resistance and infection control</t>
  </si>
  <si>
    <t>https://pubmed.ncbi.nlm.nih.gov/38031155</t>
  </si>
  <si>
    <t>We aimed to estimate the severe acute respiratory syndrome coronavirus 2 (SARS-CoV-2) seroprevalence and describe its determinants and associated symptoms among unvaccinated healthcare workers (HCWs) after the first wave of the pandemic. HCWs from 13 Dutch hospitals were screened for antibodies against the spike protein of SARS-CoV-2 in June-July 2020 and after three months. Participants completed a retrospective questionnaire on determinants for occupational and community exposure to SARS-CoV-2 and symptoms suggestive of COVID-19 experienced since January 2020. The seroprevalence was calculated per baseline characteristic and symptom at baseline and after follow-up. Adjusted odds ratios (aOR) for seropositivity were determined using logistic regression. Among 2328 HCWs, 323 (13.9%) were seropositive at enrolment, 49 of whom (15%) reported no previous symptoms suggestive of COVID-19. During follow-up, only 1% of the tested participants seroconverted. Seroprevalence was higher in younger HCWs compared to the mid-age category (aOR 1.53, 95% CI 1.07-2.18). Nurses (aOR 2.21, 95% CI 1.34-3.64) and administrative staff (aOR 1.87, 95% CI 1.02-3.43) had a higher seroprevalence than physicians. The highest seroprevalence was observed in HCWs in the emergency department (ED) (aOR 1.79, 95% CI 1.10-2.91), the lowest in HCWs in the intensive, high, or medium care units (aOR 0.47, 95% CI 0.31-0.71). Chronic respiratory disease, smoking, and having a dog were independently associated with a lower seroprevalence, while HCWs with diabetes mellitus had a higher seroprevalence. In a multivariable model containing all self-reported symptoms since January 2020, altered smell and taste, fever, general malaise/fatigue, and muscle aches were positively associated with developing antibodies, while sore throat and chills were negatively associated. The SARS-CoV-2 seroprevalence in unvaccinated HCWs of 13 Dutch hospitals was 14% in June-July 2020 and remained stable after three months. A higher seroprevalence was observed in the ED and among nurses, administrative and young staff, and those with diabetes mellitus, while a lower seroprevalence was found in HCWs in intensive, high, or medium care, and those with self-reported lung disease, smokers, and dog owners. A history of altered smell or taste, fever, muscle aches and fatigue were independently associated with the presence of SARS-CoV-2 antibodies in unvaccinated HCWs.</t>
  </si>
  <si>
    <t>Estimated causal effects of common respiratory infections on cardiovascular risk: a meta-analysis.</t>
  </si>
  <si>
    <t>la Roi-Teeuw, Hannah M; van Smeden, Maarten; Bos, Maureen; de Wilde, Sophie M; Yang, Bada; Rutten, Frans H; Geersing, Geert-Jan</t>
  </si>
  <si>
    <t>open heart</t>
  </si>
  <si>
    <t>https://pubmed.ncbi.nlm.nih.gov/38016788</t>
  </si>
  <si>
    <t>Literature supports associations between common respiratory tract infections (RTIs) and risk of cardiovascular diseases, yet the importance of RTIs for cardiovascular risk management remains less understood. This systematic review and meta-analysis aimed to estimate the causal effects of RTIs on occurrence of cardiovascular diseases in the general population. MEDLINE and EMBASE were systematically searched up to 4 November 2022. Eligible were all aetiological studies evaluating risk of cardiovascular outcomes after exposure to common RTIs within any follow-up duration. Evidence was pooled using random-effects models if data allowed. The ROBINS-E and GRADE approaches were used to rate risk of bias and certainty of evidence, respectively. All assessments were performed in duplicate. We included 34 studies (65 678 650 individuals). Most studies had a high risk of bias. COVID-19 likely increases relative risk (RR (95% CI)) of myocardial infarction (3.3 (1.0 to 11.0)), stroke (3.5 (1.2 to 10)), pulmonary embolism (24.6 (13.5 to 44.9)) and deep venous thrombosis (7.8 (4.3 to 14.4)) within 30 days after infection (GRADE: moderate) and about twofold within 1 year (GRADE: low to moderate). Other RTIs also likely increase the RR of myocardial infarction (2.9 (95% CI 1.8 to 4.9)) and stroke (2.6 (95% CI 1.1 to 6.4)) within 30 days (GRADE: moderate), and to a lesser extent with longer follow-up. RTIs likely increase the risk of cardiovascular diseases about 1.5-5 fold within 1 month after infection. RTIs may, therefore, have clinical relevance as target for cardiovascular risk management, especially in high-risk populations. CRD42023416277.</t>
  </si>
  <si>
    <t>Epidemiology and Health Economics; Data Science and Biostatistics; General Practice and Nursing Science; Data Science and Biostatistics; Epidemiology and Health Economics; General Practice and Nursing Science; Data Science and Biostatistics; Epidemiology and Health Economics; General Practice and Nursing Science; Data Science and Biostatistics; Epidemiology and Health Economics; General Practice and Nursing Science; General Practice and Nursing Science; Epidemiology and Health Economics; Data Science and Biostatistics</t>
  </si>
  <si>
    <t>[Blueprint of the 2035 specialty landscape in the Netherlands].</t>
  </si>
  <si>
    <t>Jambroes, Marielle; Van Veenendaal, Nadine; Damoiseaux, Roger A M J</t>
  </si>
  <si>
    <t>https://pubmed.ncbi.nlm.nih.gov/38175565</t>
  </si>
  <si>
    <t>The Medical Specialties council of the Royal Dutch medical association (CGS) has published an innovative perspective on the future landscape of specialisms in medicine. The proposal introduces generalism as the standard of training and professional practice, which represents a fundamental change from the current system. The envisioned new structure would consist of a number of broad core specialisms, emphasizing generalist knowledge and skills, and additional subspecialties for highly complex care. This is expected to enhance healthcare efficiency and improve patient treatment. The plan meets changing healthcare needs and accommodates the preference of young doctors regarding their residency training and careers.The CGS wants to further explore the new perspective with all parties involved.</t>
  </si>
  <si>
    <t>Towards Better Culturally Tailored Cardiometabolic Prevention Among the South-Asian Surinamese in the Netherlands.</t>
  </si>
  <si>
    <t>Voogdt-Pruis, Helene R; van den Brekel, Lieke; Wispelweij, Lian; Jawalapershad, Laxmie; Narain, Soerin; Vaartjes, Ilonca C H; Grobbee, Diederick E; Klipstein-Grobusch, Kerstin</t>
  </si>
  <si>
    <t>https://pubmed.ncbi.nlm.nih.gov/38090667</t>
  </si>
  <si>
    <t>&lt;b&gt;Objectives:&lt;/b&gt; To gain insight in the motives and determinants for the uptake of healthy lifestyles by South-Asian Surinamese people to identify needs and engagement strategies for healthy lifestyle support. &lt;b&gt;Methods:&lt;/b&gt; We used a mixed-method design: first, focus groups with South-Asian Surinamese women; second, a questionnaire directed at their social network, and third, interviews with health professionals. Qualitative content analysis, basic statistical analyses and triangulation of data were applied. &lt;b&gt;Results:&lt;/b&gt; Sixty people participated (&lt;i&gt;n&lt;/i&gt; = 30 women, &lt;i&gt;n&lt;/i&gt; = 20 social network, &lt;i&gt;n&lt;/i&gt; = 10 professionals). Respondent groups reported similar motives and determinants for healthy lifestyles. In general, cardiometabolic prevention was in line with the perspectives and needs of South-Asian Surinamese. However, there seems to be a mismatch too: South-Asian Surinamese people missed a culturally sensitive approach, whereas professionals experienced difficulty with patient adherence. Incremental changes to current lifestyles; including the social network, and an encouraging approach seem to be key points for improvement of professional cardiometabolic prevention. &lt;b&gt;Conclusion:&lt;/b&gt; Some key points for better culturally tailoring of preventive interventions would meet the needs and preferences of the South-Asian Surinamese living in the Netherlands.</t>
  </si>
  <si>
    <t>A Bayesian inference method to estimate transmission trees with multiple introductions; applied to SARS-CoV-2 in Dutch mink farms.</t>
  </si>
  <si>
    <t>Van der Roest, Bastiaan R; Bootsma, Martin C J; Fischer, Egil A J; Klinkenberg, Don; Kretzschmar, Mirjam E E</t>
  </si>
  <si>
    <t>https://pubmed.ncbi.nlm.nih.gov/38011266</t>
  </si>
  <si>
    <t>Knowledge of who infected whom during an outbreak of an infectious disease is important to determine risk factors for transmission and to design effective control measures. Both whole-genome sequencing of pathogens and epidemiological data provide useful information about the transmission events and underlying processes. Existing models to infer transmission trees usually assume that the pathogen is introduced only once from outside into the population of interest. However, this is not always true. For instance, SARS-CoV-2 is suggested to be introduced multiple times in mink farms in the Netherlands from the SARS-CoV-2 pandemic among humans. Here, we developed a Bayesian inference method combining whole-genome sequencing data and epidemiological data, allowing for multiple introductions of the pathogen in the population. Our method does not a priori split the outbreak into multiple phylogenetic clusters, nor does it break the dependency between the processes of mutation, within-host dynamics, transmission, and observation. We implemented our method as an additional feature in the R-package phybreak. On simulated data, our method correctly identifies the number of introductions, with an accuracy depending on the proportion of all observed cases that are introductions. Moreover, when a single introduction was simulated, our method produced similar estimates of parameters and transmission trees as the existing package. When applied to data from a SARS-CoV-2 outbreak in Dutch mink farms, the method provides strong evidence for independent introductions of the pathogen at 13 farms, infecting a total of 63 farms. Using the new feature of the phybreak package, transmission routes of a more complex class of infectious disease outbreaks can be inferred which will aid infection control in future outbreaks.</t>
  </si>
  <si>
    <t>Association of mild kidney dysfunction with diastolic dysfunction and heart failure with preserved ejection fraction.</t>
  </si>
  <si>
    <t>Vernooij, Robin W M; van Ommen, Anne-Mar L N; Valstar, Gideon B; Cramer, Maarten Jan; Teske, Arco J; Menken, Roxana; Hofstra, Leo; Rutten, Frans H; Bots, Michiel L; den Ruijter, Hester M; Verhaar, Marianne C</t>
  </si>
  <si>
    <t>https://pubmed.ncbi.nlm.nih.gov/38011017</t>
  </si>
  <si>
    <t>We aim to investigate the association between kidney dysfunction and left ventricular diastolic dysfunction parameters and heart failure with preserved ejection fraction (HFpEF) and whether this is sex-specific. We included participants from the HELPFul observational study. Outpatient clinical care data, including echocardiography, and an expert panel judgement on HFpEF was collected. Estimated glomerular filtration rate (eGFR) was calculated by creatinine and cystatin C without race. The association between eGFR with E/e', left ventricular mass index, relative wall thickness, and stage C/D heart failure was tested by multivariable adjusted regression models, stratified by sex, reporting odds ratios and 95% confidence intervals (95% confidence interval). We analysed 880 participants, mean age 62.9 (standard deviation: 9.3) years, 69% female. Four hundred six participants had mild (37.6%) kidney dysfunction (eGFR: 60-89 mL/min/1.73 m&lt;sup&gt;2&lt;/sup&gt; ) or moderate (8.5%) kidney dysfunction (eGFR: 30-59 mL/min/1.73 m&lt;sup&gt;2&lt;/sup&gt; ). HFpEF was significantly more prevalent in participants with mild and moderate kidney dysfunction (10.3% and 16.0%, respectively) than participants with normal kidney function (3.4%). A lower kidney function was associated with higher E/e' and higher relative wall thickness values. Participants with moderate kidney dysfunction had a higher likelihood of American College of Cardiology/American Heart Association stage C/D HF (odds ratio: 2.07, 95% confidence interval: 1.23, 3.49) than participants with normal kidney functions. Both mild and moderate kidney dysfunction are independently associated with left ventricular diastolic dysfunction parameters and HFpEF. This association is independent of sex and strongest for moderate kidney dysfunction. Considering mild-to-moderate kidney dysfunction as risk factor for HFpEF may help identify high-risk groups benefiting most from early intervention.</t>
  </si>
  <si>
    <t>Determinants of Physical Activity among Patients with Colorectal Cancer: From Diagnosis to 5 Years after Diagnosis.</t>
  </si>
  <si>
    <t>Smit, Karel C; Derksen, Jeroen W G; Stellato, Rebecca K; VAN Lanen, Anne-Sophie; Wesselink, Evertine; Belt, Eric J Th; Balen, Marissa Cloos-VAN; Coene, Peter Paul L O; Dekker, Jan Willem T; DE Groot, Jan Willem; Haringhuizen, Annebeth W; VAN Halteren, Henk K; VAN Heek, Tjarda T; Helgason, Helgi H; Hendriks, Mathijs P; DE Hingh, Ignace H J T; Hoekstra, Ronald; Houtsma, Danny; Janssen, Johan J B; Kok, Niels; Konsten, Joop L M; Los, Maartje; Meijerink, Martijn R; Mekenkamp, Leonie J M; Peeters, Koen C M J; Polée, Marco B; Rietbroek, Ron C; Schiphorst, Anandi H W; Schrauwen, Ruud W M; Schreinemakers, Jennifer; Sie, Mark P S; Simkens, Lieke; Sonneveld, Eric J A; Terheggen, Frederiek; Iersel, Liselot Valkenburg-VAN; Vles, Wouter J; Wasowicz-Kemps, Daria K; DE Wilt, Johannes H W; Kok, Dieuwertje E; Winkels, Renate M; Kampman, Ellen; VAN Duijnhoven, Fränzel J B; Koopman, Miriam; May, Anne M</t>
  </si>
  <si>
    <t>medicine and science in sports and exercise</t>
  </si>
  <si>
    <t>https://pubmed.ncbi.nlm.nih.gov/38079324</t>
  </si>
  <si>
    <t>Physical activity (PA) is associated with higher quality of life and probably better prognosis among colorectal cancer (CRC) patients. This study focuses on determinants of PA among CRC patients from diagnosis until 5 yr postdiagnosis. Sociodemographic and disease-related factors of participants of two large CRC cohort studies were combined. Moderate-to-vigorous PA during sport and leisure time (MVPA-SL) was measured at diagnosis (T0) and 6, 12, 24, and 60 months (T6 to T60) postdiagnosis, using the SQUASH questionnaire. Mixed-effects models were performed to identify sociodemographic and disease-related determinants of MVPA-SL, separately for stage I-III colon (CC), stage I-III rectal cancer (RC), and stage IV CRC (T0 and T6 only). Associations were defined as consistently present when significant at ≥4 timepoints for the stage I-III subsets. MVPA-SL levels were compared with an age- and sex-matched sample of the general Dutch population. In total, 2905 CC, 1459 RC and 436 stage IV CRC patients were included. Patients with higher fatigue scores, and women compared with men had consistently lower MVPA-SL levels over time, regardless of tumor type and stage. At T6, having a stoma was significantly associated with lower MVPA-SL among stage I-III RC patients. Systemic therapy and radiotherapy were not significantly associated with MVPA-SL changes at T6. Compared with the general population, MVPA-SL levels of CRC patients were lower at all timepoints, most notably at T6. Female sex and higher fatigue scores were consistent determinants of lower MVPA-SL levels among all CRC patients, and MVPA-SL levels were lowest at 6 months postdiagnosis. Our results can inform the design of intervention studies aimed at improving PA, and guide healthcare professionals in optimizing individualized support.</t>
  </si>
  <si>
    <t>Low dose cisplatin weekly versus high dose cisplatin every three weeks in primary chemoradiotherapy in head and neck cancer patients with low skeletal muscle mass: The CISLOW-study protocol.</t>
  </si>
  <si>
    <t>Schaeffers, Anouk W M A; Devriese, Lot A; van Gils, Carla H; Dankbaar, Jan Willem; Voortman, Jens; de Boer, Jan Paul; Slingerland, Marije; Hendriks, Mathijs P; Smid, Ernst J; Frederix, Geert W J; de Bree, Remco</t>
  </si>
  <si>
    <t>https://pubmed.ncbi.nlm.nih.gov/38011186</t>
  </si>
  <si>
    <t>Chemoradiotherapy with cisplatin in a triweekly regimen of 100 mg/m2 body surface area, is used to treat locally advanced head and neck squamous cell carcinoma (HNSCC) with curative intent. Cisplatin dose limiting toxicity (CDLT) occurs often and impedes obtaining the planned cumulative cisplatin dose. A cumulative cisplatin dose of 200 mg/m2 or more is warranted for better survival and locoregional control. Patients with a low skeletal muscle mass (SMM) have a three-fold higher risk of developing CDLT than patients with a normal SMM. SMM can be assessed through measurements on routinely performed diagnostic head and neck CT- or MRI-scans. A weekly regimen of 40 mg/m2 body surface area cisplatin is proposed as a less toxic schedule, which possibly decreases the risk of developing CDLT and enables reaching a higher cumulative cisplatin dose. The aim of this multicenter randomized clinical trial (NL76533.041.21, registered in the Netherlands Trial Register) is to identify whether a regimen of weekly cisplatin increases compliance to the planned chemotherapy scheme in HNSCC patients with low SMM. The primary outcome is the difference in compliance rate, defined as absence of CDLT, between low SMM patients receiving either the weekly or triweekly regimen. Secondary outcomes consist of toxicities, the cumulative cisplatin dose, time to recurrence, incidence of recurrence at two years of follow-up, location of recurrence, 2-year overall, disease free and disease specific survival, quality of life, patient's experiences, and cost-effectiveness.</t>
  </si>
  <si>
    <t>Using microbiological data to improve the use of antibiotics for respiratory tract infections: A protocol for an individual patient data meta-analysis.</t>
  </si>
  <si>
    <t>Boateng, Irene; Stuart, Beth; Becque, Taeko; Barrett, Bruce; Bostock, Jennifer; Bruyndonckx, Robin; Carr-Knox, Lucy; Ciccone, Emily J; Coenen, Samuel; Ebell, Mark; Gillespie, David; Hayward, Gail; Hedin, Katarina; Hood, Kerenza; Lau, Tin Man Mandy; Little, Paul; Merenstein, Dan; Mulogo, Edgar; Ordóñez-Mena, Jose; Muir, Peter; Samuel, Kirsty; Shaikh, Nader; Tonner, Sharon; van der Velden, Alike W; Verheij, Theo; Wang, Kay; Hay, Alastair D; Francis, Nick</t>
  </si>
  <si>
    <t>https://pubmed.ncbi.nlm.nih.gov/38011202</t>
  </si>
  <si>
    <t>Resistance to antibiotics is rising and threatens future antibiotic effectiveness. 'Antibiotic targeting' ensures patients who may benefit from antibiotics receive them, while being safely withheld from those who may not. Point-of-care tests may assist with antibiotic targeting by allowing primary care clinicians to establish if symptomatic patients have a viral, bacterial, combined, or no infection. However, because organisms can be harmlessly carried, it is important to know if the presence of the virus/bacteria is related to the illness for which the patient is being assessed. One way to do this is to look for associations with more severe/prolonged symptoms and test results. Previous research to answer this question for acute respiratory tract infections has given conflicting results with studies has not having enough participants to provide statistical confidence. To undertake a synthesis of IPD from both randomised controlled trials (RCTs) and observational cohort studies of respiratory tract infections (RTI) in order to investigate the prognostic value of microbiological data in addition to, or instead of, clinical symptoms and signs. A systematic search of Cochrane Central Register of Controlled Trials, Ovid Medline and Ovid Embase will be carried out for studies of acute respiratory infection in primary care settings. The outcomes of interest are duration of disease, severity of disease, repeated consultation with new/worsening illness and complications requiring hospitalisation. Authors of eligible studies will be contacted to provide anonymised individual participant data. The data will be harmonised and aggregated. Multilevel regression analysis will be conducted to determine key outcome measures for different potential pathogens and whether these offer any additional information on prognosis beyond clinical symptoms and signs. PROSPERO Registration number: CRD42023376769.</t>
  </si>
  <si>
    <t>Daily intranasal palivizumab to prevent respiratory syncytial virus infection in healthy preterm infants: a phase 1/2b randomized placebo-controlled trial.</t>
  </si>
  <si>
    <t>Mazur, Natalie I; Löwensteyn, Yvette N; Terstappen, Jonne; Leusen, Jeanette; Schobben, Fred; Cianci, Daniela; van de Ven, Peter M; Nierkens, Stefan; Bont, Louis J; ,</t>
  </si>
  <si>
    <t>https://pubmed.ncbi.nlm.nih.gov/38192587</t>
  </si>
  <si>
    <t>Mucosal administration of monoclonal antibodies (mAbs) against respiratory pathogens is a promising alternative for systemic administration because lower doses are required for protection. Clinical development of mucosal mAbs is a highly active field yet clinical proof-of-concept is lacking. In this investigator-initiated, double-blind, randomized placebo-controlled trial, we evaluated intranasal palivizumab for the prevention of RSV infection in preterm infants (Dutch Trial Register NTR7378 and NTR7403). We randomized infants 1:1 to receive intranasal palivizumab (1 mg/mL) or placebo once daily during the RSV season. Any RSV infection was the primary outcome and RSV hospitalization was the key secondary outcome. The primary outcome was analyzed with a mixed effect logistic regression on the modified intention-to-treat population. We recruited 268 infants between Jan 14, 2019 and Jan 28, 2021, after which the trial was stopped for futility following the planned interim analysis. Adverse events were similar in both groups (22/134 (16.4%) palivizumab arm versus 26/134 (19.4%) placebo arm). There were 6 dropouts and 168 infants were excluded from the efficacy analyses due to absent RSV circulation during the SARS-CoV-2 pandemic. Any RSV infection was similar in infants in both groups (18/47 (38.3%) palivizumab arm versus 11/47 (23.4%) placebo arm; aOR 2.2, 95% CI 0.7-6.5). Daily intranasal palivizumab did not prevent RSV infection in late preterm infants. Our findings have important implications for the clinical development of mucosal mAbs, namely the necessity of timely interim analyses and further research to understand mucosal antibody half-life. Funded by the Department of Pediatrics, University Medical Centre Utrecht, the Netherlands.</t>
  </si>
  <si>
    <t>Associations between dimensions of the social environment and cardiometabolic risk factors: Systematic review and meta-analysis.</t>
  </si>
  <si>
    <t>Abreu, Taymara C; Mackenbach, Joreintje D; Heuvelman, Fleur; Schoonmade, Linda J; Beulens, Joline W J</t>
  </si>
  <si>
    <t>ssm population health</t>
  </si>
  <si>
    <t>https://pubmed.ncbi.nlm.nih.gov/38148999</t>
  </si>
  <si>
    <t>The social environment (SE), including social contacts, norms and support, is an understudied element of the living environment which impacts health. We aim to comprehensively summarize the evidence on the association between the SE and risk factors of cardiometabolic disease (CMD). We performed a systematic review and meta-analysis based on studies published in PubMed, Scopus and Web of Science Core Collection from inception to 16 February 2021. Studies that used a risk factor of CMD, e.g., HbA1c or blood pressure, as outcome and social environmental factors such as area-level deprivation or social network size as independent variables were included. Titles and abstracts were screened in duplicate. Study quality was assessed using the Newcastle-Ottawa Scale. Data appraisal and extraction were based on the study protocol published in PROSPERO. Data were synthesized through vote counting and meta-analyses. From the 7521 records screened, 168 studies reported 1050 associations were included in this review. Four meta-analyses based on 24 associations suggested that an unfavorable social environment was associated with increased risk of cardiometabolic risk factors, with three of them being statistically significant. For example, individuals that experienced more economic and social disadvantage had a higher "CVD risk scores" (OR = 1.54, 95%CI: 1.35 to 1.84). Of the 458 associations included in the vote counting, 323 (71%) pointed towards unfavorable social environments being associated with higher CMD risk. Higher economic and social disadvantage seem to contribute to unfavorable CMD risk factor profiles, while evidence for other dimensions of the social environment is limited.</t>
  </si>
  <si>
    <t>Body mass index and cancer risk among adults with and without cardiometabolic diseases: evidence from the EPIC and UK Biobank prospective cohort studies.</t>
  </si>
  <si>
    <t>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t>
  </si>
  <si>
    <t>https://pubmed.ncbi.nlm.nih.gov/37993940</t>
  </si>
  <si>
    <t>Whether cancer risk associated with a higher body mass index (BMI), a surrogate measure of adiposity, differs among adults with and without cardiovascular diseases (CVD) and/or type 2 diabetes (T2D) is unclear. The primary aim of this study was to evaluate separate and joint associations of BMI and CVD/T2D with the risk of cancer. This is an individual participant data meta-analysis of two prospective cohort studies, the UK Biobank (UKB) and the European Prospective Investigation into Cancer and nutrition (EPIC), with a total of 577,343 adults, free of cancer, T2D, and CVD at recruitment. We used Cox proportional hazard regressions to estimate multivariable-adjusted hazard ratios (HRs) and 95% confidence intervals (CIs) for associations between BMI and incidence of obesity-related cancer and in turn overall cancer with a multiplicative interaction between BMI and the two cardiometabolic diseases (CMD). HRs and 95% CIs for separate and joint associations for categories of overweight/obesity and CMD status were estimated, and additive interaction was quantified through relative excess risk due to interaction (RERI). In the meta-analysis of both cohorts, BMI (per ~ 5 kg/m&lt;sup&gt;2&lt;/sup&gt;) was positively associated with the risk of obesity-related cancer among participants without a CMD (HR: 1.11, 95%CI: 1.07,1.16), among participants with T2D (HR: 1.11, 95% CI: 1.05,1.18), among participants with CVD (HR: 1.17, 95% CI: 1.11,1.24), and suggestively positive among those with both T2D and CVD (HR: 1.09, 95% CI: 0.94,1.25). An additive interaction between obesity (BMI ≥ 30 kg/m&lt;sup&gt;2&lt;/sup&gt;) and CVD with the risk of overall cancer translated into a meta-analytical RERI of 0.28 (95% CI: 0.09-0.47). Irrespective of CMD status, higher BMI increased the risk of obesity-related cancer among European adults. The additive interaction between obesity and CVD suggests that obesity prevention would translate into a greater cancer risk reduction among population groups with CVD than among the general population.</t>
  </si>
  <si>
    <t>Validation of prevalent diabetes risk scores based on non-invasively measured predictors in Ghanaian migrant and non-migrant populations - The RODAM study.</t>
  </si>
  <si>
    <t>Osei-Yeboah, James; Kengne, Andre-Pascal; Owusu-Dabo, Ellis; Schulze, Matthias B; Meeks, Karlijn A C; Klipstein-Grobusch, Kerstin; Smeeth, Liam; Bahendeka, Silver; Beune, Erik; Moll van Charante, Eric P; Agyemang, Charles</t>
  </si>
  <si>
    <t>https://pubmed.ncbi.nlm.nih.gov/38034345</t>
  </si>
  <si>
    <t>Non-invasive diabetes risk models are a cost-effective tool in large-scale population screening to identify those who need confirmation tests, especially in resource-limited settings. This study aimed to evaluate the ability of six non-invasive risk models (Cambridge, FINDRISC, Kuwaiti, Omani, Rotterdam, and SUNSET model) to identify screen-detected diabetes (defined by HbA1c) among Ghanaian migrants and non-migrants. A multicentered cross-sectional study. This analysis included 4843 Ghanaian migrants and non-migrants from the Research on Obesity and Diabetes among African Migrants (RODAM) Study. Model performance was assessed using the area under the receiver operating characteristic curves (AUC), Hosmer-Lemeshow statistics, and calibration plots. All six models had acceptable discrimination (0.70 ≤ AUC &lt;0.80) for screen-detected diabetes in the overall/combined population. Model performance did not significantly differ except for the Cambridge model, which outperformed Rotterdam and Omani models. Calibration was poor, with a consistent trend toward risk overestimation for screen-detected diabetes, but this was substantially attenuated by recalibration through adjustment of the original model intercept. Though acceptable discrimination was observed, the original models were poorly calibrated among populations of African ancestry. Recalibration of these models among populations of African ancestry is needed before use.</t>
  </si>
  <si>
    <t>Salivary concentrations of secretory leukocyte protease inhibitor and matrix metallopeptidase-9 following a single bout of exercise are associated with intensity and hydration status.</t>
  </si>
  <si>
    <t>Knipping, Karen; Kartaram, Shirley W; Teunis, Marc; Zuithoff, Nicolaas P A; Buurman, Nicole; M'Rabet, Laura; van Norren, Klaske; Witkamp, Renger; Pieters, Raymond; Garssen, Johan</t>
  </si>
  <si>
    <t>https://pubmed.ncbi.nlm.nih.gov/37992002</t>
  </si>
  <si>
    <t>To investigate the effects of exercise on salivary concentrations of inflammatory markers by analyzing a panel of 25 inflammatory markers in subjects who had participated in bicycle ergometer tests varying in workload and hydration status. Fifteen healthy young men (20-35 years) had performed 4 different exercise protocols of 1 hour duration in a randomly assigned cross-over design, preceded by a rest protocol. Individual workloads depended on participant's pre-assessed individual maximum workload (Wmax): rest (protocol 1), 70% Wmax in hydrated (protocol 2) and dehydrated (protocol 3) state, 50% Wmax (protocol 4) and intermittent 85%/55% Wmax in 2 min blocks (protocol 5). Saliva samples were collected before (T0) and immediately after exercise (T1), and at several time points after exercise (2 hours (T3), 3 hours (T4), 6 hours (T5) and 24 hours (T6)). Secretory Leukocyte Protease Inhibitor (SLPI), Matrix Metallopeptidase-9 (MMP-9) and lactoferrin was analyzed using a commercial ELISA kit, a panel of 22 cytokines and chemokines were analyzed using a commercial multiplex immunoassay. Data was analyzed using a multilevel mixed linear model, with multiple test correction. Among a panel of 25 inflammatory markers, SLPI concentrations were significantly elevated immediately after exercise in all protocols compared to rest and higher concentrations reflected the intensity of exercise and hydration status. MMP-9 showed a significant increase in the 70% Wmax dehydrated, 50% Wmax and intermittent protocols. Salivary concentrations of SLPI and MMP-9 seem associated with exercise intensity and hydration status and may offer non-invasive biomarkers to study (local) inflammatory responses to different exercise intensities in human studies.</t>
  </si>
  <si>
    <t>Low-value home-based nursing care: A national survey study.</t>
  </si>
  <si>
    <t>Wendt, Benjamin; Cremers, Milou; Ista, Erwin; van Dijk, Monique; Schoonhoven, Lisette; Nieuwboer, Minke S; Vermeulen, Hester; Van Dulmen, Simone A; Huisman-de Waal, Getty</t>
  </si>
  <si>
    <t>https://pubmed.ncbi.nlm.nih.gov/37983754</t>
  </si>
  <si>
    <t>To explore potential areas of low-value home-based nursing care practices, their prevalence and related influencing factors of nurses and nursing assistants working in home-based nursing care. A quantitative, cross-sectional design. An online survey with questions containing scaled frequencies on five-point Likert scales and open questions on possible related influencing factors of low-value nursing care. The data collection took place from February to April 2022. Descriptive statistics and linear regression were used to summarize and analyse the results. A nationwide sample of 776 certified nursing assistants, registered nurses and nurse practitioners responded to the survey. The top five most delivered low-value care practices reported were: (1) 'washing the client with water and soap by default', (2) 'application of zinc cream, powders or pastes when treating intertrigo', (3) 'washing the client from head to toe daily', (4) 're-use of a urinary catheter bag after removal/disconnection' and (5) 'bladder irrigation to prevent clogging of urinary tract catheter'. The top five related influencing factors reported were: (1) 'a (general) practitioner advices/prescribes it', (2) 'written in the client's care plan', (3) 'client asks for it', (4) 'wanting to offer the client something' and (5) 'it is always done like this in the team'. Higher educational levels and an age above 40 years were associated with a lower provision of low-value care. According to registered nurses and certified nursing assistants, a number of low-value nursing practices occurred frequently in home-based nursing care and they experienced multiple factors that influence the provision of low-value care such as (lack of) clinical autonomy and handling clients' requests, preferences and demands. The results can be used to serve as a starting point for a multifaceted de-implementation strategy. STROBE checklist for cross-sectional studies. No Patient or Public Contribution. Nursing care is increasingly shifting towards the home environment. Not all nursing care that is provided is effective or efficient and this type of care can therefore be considered of low-value. Reducing low-value care and increasing appropriate care will free up time, improve quality of care, work satisfaction, patient safety and contribute to a more sustainable healthcare system.</t>
  </si>
  <si>
    <t>Exploring infant and young child-feeding practices among mothers of well-nourished children in northern Ghana: An INPreP substudy.</t>
  </si>
  <si>
    <t>Dambayi, Edith; Nakua, Emmanuel; Aborigo, Raymond A; Chatio, Samuel T; Dalaba, Maxwell A; Sekwo, Enos; Adoctor, James K; Ofosu, Winfred; Oduro, Abraham R; Nonterah, Engelbert A; ,</t>
  </si>
  <si>
    <t>food science nutrition</t>
  </si>
  <si>
    <t>https://pubmed.ncbi.nlm.nih.gov/38370036</t>
  </si>
  <si>
    <t>This study investigated infant and young child-feeding (IYCF) practices among mothers of well-nourished children in northern Ghana. This was a qualitative study where in-depth individual interviews were conducted with participants. The interviews were audio recorded, transcribed, and QSR Nvivo software version 11 was used to organize the data before thematic analysis. It was observed that mothers of well-nourished children were likely to adhere to breastfeeding guidelines and also practice appropriate complementary feeding. Furthermore, these mothers mostly had some form of support from their husbands and mother-in-laws in feeding their infants. While adoption and adherence to appropriate IYCF practices contribute to improved nutrition outcomes in children, social support systems are needed to sustain the practice.</t>
  </si>
  <si>
    <t>Effectiveness of L-serine supplementation in children with a &lt;i&gt;GRIN2B&lt;/i&gt; loss-of-function mutation: Rationale and protocol for single patient (n-of-1) multiple cross-over trials.</t>
  </si>
  <si>
    <t>den Hollander, Bibiche; Rothuizen-Lindenschot, Marieke; Geertjens, Lisa; Vaz, Frédéric M; Brands, Marion M; Le, Hoang Lan; van Eeghen, Agnies M; van de Ven, Peter M; Cornel, Martina C; Jacobs, Bart A W; Bruining, Hilgo; van Karnebeek, Clara D</t>
  </si>
  <si>
    <t>https://pubmed.ncbi.nlm.nih.gov/38144875</t>
  </si>
  <si>
    <t>Loss-of-function (LoF) mutations in &lt;i&gt;GRIN2B&lt;/i&gt; result in neurologic abnormalities due to &lt;i&gt;N&lt;/i&gt;-methyl-D-aspartate receptor (NMDAR) dysfunction. Affected persons present with various symptoms, including intellectual developmental disability (IDD), hypotonia, communication deficits, motor impairment, complex behavior, seizures, sleep disorders and gastrointestinal disturbance. Recently, &lt;i&gt;in vitro&lt;/i&gt; experiments showed that D-serine mitigates function to GluN2B (mutation)-containing NMDARs. 11 previous case reports are published on (experimental) L-serine treatment of patients between 1.5 and 12 years old with GRIN2B missense or null mutations, some of whom showed notable improvement in motor and cognitive performance, communication, behavior and abnormalities on electro encephalography (EEG). Our objective is to further evaluate the effectiveness of L-serine for &lt;i&gt;GRIN2B&lt;/i&gt;-related neurodevelopmental disorder (&lt;i&gt;GRIN2B&lt;/i&gt;-NDD), using an n-of-1 trial design, increasing the level of evidence. These n-of-1 trials, consisting of 2 cycles of 6 months, will be performed to evaluate the effect of L-serine compared to placebo in 4 patients with a &lt;i&gt;GRIN2B&lt;/i&gt; LoF mutation. The aggregation of multiple n-of-1 trials will provide an estimate of the average treatment effects.The primary outcome is the Perceive-Recall-Plan-Perform of Task Analysis, assessing developmental skills. Secondary outcomes include Goal Attainment Scaling, seizure log books, EEGs, sleep log books, the irritability subscale of the Aberrant Behavior Checklist, the Bristol Stool Scale and the Pediatric Quality of Life Inventory. This study employs an innovative methodological approach to evaluate the effectiveness of L-serine for patients with a GRIN2B LoF mutation. The results will establish a foundation for implementing L-serine as a disease-modifying treatment in GRIN2B-NDD.</t>
  </si>
  <si>
    <t>The metabolic, virulence and antimicrobial resistance profiles of colonising Streptococcus pneumoniae shift after PCV13 introduction in urban Malawi.</t>
  </si>
  <si>
    <t>Obolski, Uri; Swarthout, Todd D; Kalizang'oma, Akuzike; Mwalukomo, Thandie S; Chan, Jia Mun; Weight, Caroline M; Brown, Comfort; Cave, Rory; Cornick, Jen; Kamng'ona, Arox Wadson; Msefula, Jacquline; Ercoli, Giuseppe; Brown, Jeremy S; Lourenço, José; Maiden, Martin C; French, Neil; Gupta, Sunetra; Heyderman, Robert S</t>
  </si>
  <si>
    <t>https://pubmed.ncbi.nlm.nih.gov/37978177</t>
  </si>
  <si>
    <t>Streptococcus pneumoniae causes substantial mortality among children under 5-years-old worldwide. Polysaccharide conjugate vaccines (PCVs) are highly effective at reducing vaccine serotype disease, but emergence of non-vaccine serotypes and persistent nasopharyngeal carriage threaten this success. We investigated the hypothesis that following vaccine, adapted pneumococcal genotypes emerge with the potential for vaccine escape. We genome sequenced 2804 penumococcal isolates, collected 4-8 years after introduction of PCV13 in Blantyre, Malawi. We developed a pipeline to cluster the pneumococcal population based on metabolic core genes into "Metabolic genotypes" (MTs). We show that S. pneumoniae population genetics are characterised by emergence of MTs with distinct virulence and antimicrobial resistance (AMR) profiles. Preliminary in vitro and murine experiments revealed that representative isolates from emerging MTs differed in growth, haemolytic, epithelial infection, and murine colonisation characteristics. Our results suggest that in the context of PCV13 introduction, pneumococcal population dynamics had shifted, a phenomenon that could further undermine vaccine control and promote spread of AMR.</t>
  </si>
  <si>
    <t>Antibiotics for acute otitis media in children.</t>
  </si>
  <si>
    <t>Venekamp, Roderick P; Sanders, Sharon L; Glasziou, Paul P; Rovers, Maroeska M</t>
  </si>
  <si>
    <t>https://pubmed.ncbi.nlm.nih.gov/37965923</t>
  </si>
  <si>
    <t>Acute otitis media (AOM) is one of the most common diseases in childhood for which antibiotics are commonly prescribed; a systematic review reported a pooled prevalence of 85.6% in high-income countries. This is an update of a Cochrane Review first published in the Cochrane Library in 1997 and updated in 1999, 2005, 2009, 2013 and 2015. To assess the effects of antibiotics for children with AOM. We searched CENTRAL, MEDLINE, Embase, Current Contents, CINAHL, LILACS and two trial registers. The date of the search was 14 February 2023. We included randomised controlled trials comparing 1) antimicrobial drugs with placebo, and 2) immediate antibiotic treatment with expectant observation (including delayed antibiotic prescribing) in children with AOM. Two review authors independently screened trials for inclusion and extracted data using the standard methodological procedures recommended by Cochrane. Our primary outcomes were: 1) pain at various time points (24 hours, two to three days, four to seven days, 10 to 14 days), and 2) adverse effects likely to be related to the use of antibiotics. Secondary outcomes were: 1) abnormal tympanometry findings, 2) tympanic membrane perforation, 3) contralateral otitis (in unilateral cases), 4) AOM recurrences, 5) serious complications related to AOM and 6) long-term effects (including the number of parent-reported AOM symptom episodes, antibiotic prescriptions and health care utilisation as assessed at least one year after randomisation). We used the GRADE approach to rate the overall certainty of evidence for each outcome of interest. Antibiotics versus placebo We included 13 trials (3401 children and 3938 AOM episodes) from high-income countries, which we assessed at generally low risk of bias. Antibiotics do not reduce pain at 24 hours (risk ratio (RR) 0.89, 95% confidence interval (CI) 0.78 to 1.01; 5 trials, 1394 children; high-certainty evidence), or at four to seven days (RR 0.76, 95% CI 0.50 to 1.14; 7 trials, 1264 children), but result in almost a third fewer children having pain at two to three days (RR 0.71, 95% CI 0.58 to 0.88; number needed to treat for an additional beneficial outcome (NNTB) 20; 7 trials, 2320 children; high-certainty evidence), and likely result in two-thirds fewer having pain at 10 to 12 days (RR 0.33, 95% CI 0.17 to 0.66; NNTB 7; 1 trial, 278 children; moderate-certainty evidence). Antibiotics increase the risk of adverse events such as vomiting, diarrhoea or rash (RR 1.38, 95% CI 1.16 to 1.63; number needed to treat for an additional harmful outcome (NNTH) 14; 8 trials, 2107 children; high-certainty evidence). Antibiotics reduce the risk of children having abnormal tympanometry findings at two to four weeks (RR 0.83, 95% CI 0.72 to 0.96; NNTB 11; 7 trials, 2138 children), slightly reduce the risk of experiencing tympanic membrane perforations (RR 0.43, 95% CI 0.21 to 0.89; NNTB 33; 5 trials, 1075 children) and halve the risk of contralateral otitis episodes (RR 0.49, 95% CI 0.25 to 0.95; NNTB 11; 4 trials, 906 children). However, antibiotics do not reduce the risk of abnormal tympanometry findings at six to eight weeks (RR 0.89, 95% CI 0.70 to 1.13; 3 trials, 953 children) and at three months (RR 0.94, 95% CI 0.66 to 1.34; 3 trials, 809 children) or late AOM recurrences (RR 0.94, 95% CI 0.79 to 1.11; 6 trials, 2200 children). Severe complications were rare, and the evidence suggests that serious complications do not differ between children treated with either antibiotics or placebo. Immediate antibiotics versus expectant observation We included six trials (1556 children) from high-income countries. The evidence suggests that immediate antibiotics may result in a reduction of pain at two to three days (RR 0.53, 95% CI 0.35 to 0.79; NNTB 8; 1 trial, 396 children; low-certainty evidence), but probably do not reduce the risk of pain at three to seven days (RR 0.75, 95% CI 0.50 to 1.12; 4 trials, 959 children; moderate-certainty evidence), and may not reduce the risk of pain at 11 to 14 days (RR 0.91, 95% CI 0.75 to 1.10; 1 trial, 247 children; low-certainty evidence). Immediate antibiotics increase the risk of vomiting, diarrhoea or rash (RR 1.87, 95% CI 1.39 to 2.51; NNTH 10; 3 trials, 946 children; high-certainty evidence). Immediate antibiotics probably do not reduce the proportion of children with abnormal tympanometry findings at four weeks and evidence suggests that immediate antibiotics may not reduce the risk of tympanic membrane perforation and AOM recurrences. No serious complications occurred in either group. This review reveals that antibiotics probably have no effect on pain at 24 hours, a slight effect on pain in the days following and only a modest effect on the number of children with tympanic perforations, contralateral otitis episodes and abnormal tympanometry findings at two to four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For most children with mild disease in high-income countries, an expectant observational approach seems justified. Therefore, clinical management should emphasise advice about adequate analgesia and the limited role for antibiotics.</t>
  </si>
  <si>
    <t>Home-based initiatives for acute management of COVID-19 patients needing oxygen: differences across The Netherlands.</t>
  </si>
  <si>
    <t>Boeijen, Josi A; van de Pol, Alma C; van Uum, Rick T; Smit, Karin; Ahmad, Abeer; van Rijswijk, Eric; van Apeldoorn, Marjan J; van Thiel, Eric; de Graaf, Netty; Menkveld, R Michiel; Mantingh, Martijn R; Geertman, Silke; Couzijn, Nicolette; van Groenendael, Leon; Schers, Henk; Bont, Jettie; Bonten, Tobias N; Rutten, Frans H; Zwart, Dorien L M</t>
  </si>
  <si>
    <t>https://pubmed.ncbi.nlm.nih.gov/37968634</t>
  </si>
  <si>
    <t>During the COVID-19 pandemic new collaborative-care initiatives were developed for treating and monitoring COVID-19 patients with oxygen at home. Aim was to provide a structured overview focused on differences and similarities of initiatives of acute home-based management in the Netherlands. Initiatives were eligible for evaluation if (i) COVID-19 patients received oxygen treatment at home; (ii) patients received structured remote monitoring; (iii) it was not an 'early hospital discharge' program; (iv) at least one patient was included. Protocols were screened, and additional information was obtained from involved physicians. Design choices were categorised into: eligible patient group, organization medical care, remote monitoring, nursing care, and devices used. Nine initiatives were screened for eligibility; five were included. Three initiatives included low-risk patients and two were designed specifically for frail patients. Emergency department (ED) visit for an initial diagnostic work-up and evaluation was mandatory in three initiatives before starting home management. Medical responsibility was either assigned to the general practitioner or hospital specialist, most often pulmonologist or internist. Pulse-oximetry was used in all initiatives, with additional monitoring of heart rate and respiratory rate in three initiatives. Remote monitoring staff's qualification and authority varied, and organization and logistics were covered by persons with various backgrounds. All initiatives offered remote monitoring via an application, two also offered a paper diary option. We observed differences in the organization of interprofessional collaboration for acute home management of hypoxemic COVID-19 patients. All initiatives used pulse-oximetry and an app for remote monitoring. Our overview may be of help to healthcare providers and organizations to set up and implement similar acute home management initiatives for critical episodes of COVID-19 (or other acute disorders) that would otherwise require hospital care.</t>
  </si>
  <si>
    <t>Ventilation tubes (grommets) for otitis media with effusion (OME) in children.</t>
  </si>
  <si>
    <t>MacKeith, Samuel; Mulvaney, Caroline A; Galbraith, Kevin; Webster, Katie E; Connolly, Rachel; Paing, Aye; Marom, Tal; Daniel, Mat; Venekamp, Roderick P; Rovers, Maroeska M; Schilder, Anne Gm</t>
  </si>
  <si>
    <t>https://pubmed.ncbi.nlm.nih.gov/37965944</t>
  </si>
  <si>
    <t>Otitis media with effusion (OME) is an accumulation of fluid in the middle ear cavity, common amongst young children. It may cause hearing loss which, when persistent, may lead to developmental delay, social difficulty and poor quality of life. Management includes watchful waiting, autoinflation, medical and surgical treatment. Insertion of ventilation tubes has often been used as the preferred treatment. To evaluate the effects (benefits and harms) of ventilation tubes (grommets) for OME in children. We searched the Cochrane ENT Register, CENTRAL, Ovid MEDLINE, Ovid Embase, Web of Science, ClinicalTrials.gov, ICTRP and additional sources for published and unpublished trials on 20 January 2023. We included randomised controlled trials (RCTs) and quasi-RCTs in children (6 months to 12 years) with OME for ≥ 3 months. We included studies that compared ventilation tube (VT) insertion with five comparators: no treatment, watchful waiting (ventilation tubes inserted later, if required), myringotomy, hearing aids and other non-surgical treatments. We used standard Cochrane methods. Our primary outcomes were determined following a multi-stakeholder prioritisation exercise and were: 1) hearing; 2) OME-specific quality of life; 3) persistent tympanic membrane perforation (as a severe adverse effect of the surgery). Secondary outcomes were: 1) persistence of OME; 2) other adverse effects (including tympanosclerosis, VT blockage and pain); 3) receptive language skills; 4) speech development; 5) cognitive development; 6) psychosocial skills; 7) listening skills; 8) generic health-related quality of life; 9) parental stress; 10) vestibular function; 11) episodes of acute otitis media. We used GRADE to assess the certainty of evidence for key outcomes. Although we included all measures of hearing assessment, the proportion of children who returned to normal hearing was our preferred method, due to challenges in interpreting the results of mean hearing thresholds. We included 19 RCTs (2888 children). We considered most of the evidence to be very uncertain, due to wide confidence intervals for the effect estimates, few participants, and a risk of performance and detection bias. Here we report our key outcomes at the longest reported follow-up. There were some limitations to the evidence. No studies investigated the comparison of ventilation tubes versus hearing aids. We did not identify any data on disease-specific quality of life; however, many studies were conducted before the development of specific tools to assess this in otitis media. Short-acting ventilation tubes were used in most studies and thus specific data on the use of long-acting VTs is limited. Finally, we did not identify specific data on the effects of VTs in children at increased risk of OME (e.g. with craniofacial syndromes). Ventilation tubes versus no treatment (four studies) The odds ratio (OR) for a return to normal hearing after 12 months was 1.13 with VTs (95% confidence interval (CI) 0.46 to 2.74; 54% versus 51%; 1 study, 72 participants; very low-certainty evidence). At six months, VTs may lead to a large reduction in persistent OME (risk ratio (RR) 0.30, 95% CI 0.14 to 0.65; 20.4% versus 68.0%; 1 study, 54 participants; low-certainty evidence). The evidence is very uncertain about the chance of persistent tympanic membrane perforation with VTs at 12 months (OR 0.85, 95% CI 0.38 to 1.91; 8.3% versus 9.7%; 1 RCT, 144 participants). Early ventilation tubes versus watchful waiting (six studies) There was little to no difference in the proportion of children whose hearing returned to normal after 8 to 10 years (i.e. by the age of 9 to 13 years) (RR for VTs 0.98, 95% CI 0.94 to 1.03; 93% versus 95%; 1 study, 391 participants; very low-certainty evidence). VTs may also result in little to no difference in the risk of persistent OME after 18 months to 6 years (RR 1.21, 95% CI 0.84 to 1.74; 15% versus 12%; 3 studies, 584 participants; very low-certainty evidence). We were unable to pool data on persistent perforation. One study showed that VTs may increase the risk of perforation after a follow-up duration of 3.75 years (RR 3.65, 95% CI 0.41 to 32.38; 1 study, 391 participants; very low-certainty evidence) but the actual number of children who develop persistent perforation may be low, as demonstrated by another study (1.26%; 1 study, 635 ears; very low-certainty evidence). Ventilation tubes versus non-surgical treatment (one study) One study compared VTs to six months of antibiotics (sulphisoxazole). No data were available on return to normal hearing, but final hearing thresholds were reported. At four months, the mean difference was -5.98 dB HL lower (better) for those receiving VTs, but the evidence is very uncertain (95% CI -9.21 to -2.75; 1 study, 125 participants; very low-certainty evidence). No evidence was identified regarding persistent OME. VTs may result in a low risk of persistent perforation at 18 months of follow-up (no events reported; narrative synthesis of 1 study, 60 participants; low-certainty evidence). Ventilation tubes versus myringotomy (nine studies) We are uncertain whether VTs may slightly increase the likelihood of returning to normal hearing at 6 to 12 months, since the confidence intervals were wide and included the possibility of no effect (RR 1.22, 95% CI 0.59 to 2.53; 74% versus 64%; 2 studies, 132 participants; very low-certainty evidence). After six months, persistent OME may be reduced for those who receive VTs compared to laser myringotomy, but the evidence is very uncertain (OR 0.27, 95% CI 0.19 to 0.38; 1 study, 272 participants; very low-certainty evidence). At six months, the risk of persistent perforation is probably similar with the use of VTs or laser myringotomy (narrative synthesis of 6 studies, 581 participants; moderate-certainty evidence). There may be small short- and medium-term improvements in hearing and persistence of OME with VTs, but it is unclear whether these persist after longer follow-up. The RCTs included do not allow us to say when (or how much) VTs improve hearing in any specific child. However, interpretation of the evidence is difficult: many children in the control groups recover spontaneously or receive VTs during follow-up, VTs may block or extrude, and OME may recur. The limited evidence in this review also affects the generalisability/applicability of our findings to situations involving children with underlying conditions (e.g. craniofacial syndromes) or the use of long-acting tubes. Consequently, RCTs may not be the best way to determine whether an intervention is likely to be effective in any individual child. Instead, we must better understand the different OME phenotypes to target interventions to children who will benefit most, and avoid over-treating when spontaneous resolution is likely.</t>
  </si>
  <si>
    <t>Intravenous Vitamin C for Patients Hospitalized With COVID-19: Two Harmonized Randomized Clinical Trials.</t>
  </si>
  <si>
    <t>,; Adhikari, Neill K J; Hashmi, Madiha; Tirupakuzhi Vijayaraghavan, Bharath Kumar; Haniffa, Rashan; Beane, Abi; Webb, Steve A; Angus, Derek C; Gordon, Anthony C; Cook, Deborah J; Guyatt, Gordon H; Berry, Lindsay R; Lorenzi, Elizabeth; Mouncey, Paul R; Au, Carly; Pinto, Ruxandra; Ménard, Julie; Sprague, Sheila; Masse, Marie-Hélène; Huang, David T; Heyland, Daren K; Nichol, Alistair D; McArthur, Colin J; de Man, Angelique; Al-Beidh, Farah; Annane, Djillali; Anstey, Matthew; Arabi, Yaseen M; Battista, Marie-Claude; Berry, Scott; Bhimani, Zahra; Bonten, Marc J M; Bradbury, Charlotte A; Brant, Emily B; Brunkhorst, Frank M; Burrell, Aidan; Buxton, Meredith; Cecconi, Maurizio; Cheng, Allen C; Cohen, Dian; Cove, Matthew E; Day, Andrew G; Derde, Lennie P G; Detry, Michelle A; Estcourt, Lise J; Fagbodun, Elizabeth O; Fitzgerald, Mark; Goossens, Herman; Green, Cameron; Higgins, Alisa M; Hills, Thomas E; Ichihara, Nao; Jayakumar, Devachandran; Kanji, Salmaan; Khoso, Muhammad Nasir; Lawler, Patrick</t>
  </si>
  <si>
    <t>jama</t>
  </si>
  <si>
    <t>https://pubmed.ncbi.nlm.nih.gov/37877585</t>
  </si>
  <si>
    <t>The efficacy of vitamin C for hospitalized patients with COVID-19 is uncertain. To determine whether vitamin C improves outcomes for patients with COVID-19. Two prospectively harmonized randomized clinical trials enrolled critically ill patients receiving organ support in intensive care units (90 sites) and patients who were not critically ill (40 sites) between July 23, 2020, and July 15, 2022, on 4 continents. Patients were randomized to receive vitamin C administered intravenously or control (placebo or no vitamin C) every 6 hours for 96 hours (maximum of 16 doses). The primary outcome was a composite of organ support-free days defined as days alive and free of respiratory and cardiovascular organ support in the intensive care unit up to day 21 and survival to hospital discharge. Values ranged from -1 organ support-free days for patients experiencing in-hospital death to 22 organ support-free days for those who survived without needing organ support. The primary analysis used a bayesian cumulative logistic model. An odds ratio (OR) greater than 1 represented efficacy (improved survival, more organ support-free days, or both), an OR less than 1 represented harm, and an OR less than 1.2 represented futility. Enrollment was terminated after statistical triggers for harm and futility were met. The trials had primary outcome data for 1568 critically ill patients (1037 in the vitamin C group and 531 in the control group; median age, 60 years [IQR, 50-70 years]; 35.9% were female) and 1022 patients who were not critically ill (456 in the vitamin C group and 566 in the control group; median age, 62 years [IQR, 51-72 years]; 39.6% were female). Among critically ill patients, the median number of organ support-free days was 7 (IQR, -1 to 17 days) for the vitamin C group vs 10 (IQR, -1 to 17 days) for the control group (adjusted proportional OR, 0.88 [95% credible interval {CrI}, 0.73 to 1.06]) and the posterior probabilities were 8.6% (efficacy), 91.4% (harm), and 99.9% (futility). Among patients who were not critically ill, the median number of organ support-free days was 22 (IQR, 18 to 22 days) for the vitamin C group vs 22 (IQR, 21 to 22 days) for the control group (adjusted proportional OR, 0.80 [95% CrI, 0.60 to 1.01]) and the posterior probabilities were 2.9% (efficacy), 97.1% (harm), and greater than 99.9% (futility). Among critically ill patients, survival to hospital discharge was 61.9% (642/1037) for the vitamin C group vs 64.6% (343/531) for the control group (adjusted OR, 0.92 [95% CrI, 0.73 to 1.17]) and the posterior probability was 24.0% for efficacy. Among patients who were not critically ill, survival to hospital discharge was 85.1% (388/456) for the vitamin C group vs 86.6% (490/566) for the control group (adjusted OR, 0.86 [95% CrI, 0.61 to 1.17]) and the posterior probability was 17.8% for efficacy. In hospitalized patients with COVID-19, vitamin C had low probability of improving the primary composite outcome of organ support-free days and hospital survival. ClinicalTrials.gov Identifiers: NCT04401150 (LOVIT-COVID) and NCT02735707 (REMAP-CAP).</t>
  </si>
  <si>
    <t>Consumption of ultra-processed foods and risk of multimorbidity of cancer and cardiometabolic diseases: a multinational cohort study.</t>
  </si>
  <si>
    <t>Cordova, Reynalda; Viallon, Vivian; Fontvieille, Emma; Peruchet-Noray, Laia; Jansana, Anna; Wagner, Karl-Heinz; Kyrø, Cecilie; Tjønneland, Anne; Katzke, Verena; Bajracharya, Rashmita; Schulze, Matthias B; Masala, Giovanna; Sieri, Sabina; Panico, Salvatore; Ricceri, Fulvio; Tumino, Rosario; Boer, Jolanda M A; Verschuren, W M Monique; van der Schouw, Yvonne T; Jakszyn, Paula; Redondo-Sánchez, Daniel; Amiano, Pilar; Huerta, José María; Guevara, Marcela; Borné, Yan; Sonestedt, Emily; Tsilidis, Konstantinos K; Millett, Christopher; Heath, Alicia K; Aglago, Elom K; Aune, Dagfinn; Gunter, Marc J; Ferrari, Pietro; Huybrechts, Inge; Freisling, Heinz</t>
  </si>
  <si>
    <t>https://pubmed.ncbi.nlm.nih.gov/38115963</t>
  </si>
  <si>
    <t>It is currently unknown whether ultra-processed foods (UPFs) consumption is associated with a higher incidence of multimorbidity. We examined the relationship of total and subgroup consumption of UPFs with the risk of multimorbidity defined as the co-occurrence of at least two chronic diseases in an individual among first cancer at any site, cardiovascular disease, and type 2 diabetes. This was a prospective cohort study including 266,666 participants (60% women) free of cancer, cardiovascular disease, and type 2 diabetes at recruitment from seven European countries in the European Prospective Investigation into Cancer and Nutrition (EPIC) study. Foods and drinks consumed over the previous 12 months were assessed at baseline by food-frequency questionnaires and classified according to their degree of processing using Nova classification. We used multistate modelling based on Cox regression to estimate cause-specific hazard ratios (HR) and their 95% confidence intervals (CI) for associations of total and subgroups of UPFs with the risk of multimorbidity of cancer and cardiometabolic diseases. After a median of 11.2 years of follow-up, 4461 participants (39% women) developed multimorbidity of cancer and cardiometabolic diseases. Higher UPF consumption (per 1 standard deviation increment, ∼260 g/day without alcoholic drinks) was associated with an increased risk of multimorbidity of cancer and cardiometabolic diseases (HR: 1.09, 95% CI: 1.05, 1.12). Among UPF subgroups, associations were most notable for animal-based products (HR: 1.09, 95% CI: 1.05, 1.12), and artificially and sugar-sweetened beverages (HR: 1.09, 95% CI: 1.06, 1.12). Other subgroups such as ultra-processed breads and cereals (HR: 0.97, 95% CI: 0.94, 1.00) or plant-based alternatives (HR: 0.97, 95% CI: 0.91, 1.02) were not associated with risk. Our findings suggest that higher consumption of UPFs increases the risk of cancer and cardiometabolic multimorbidity. Austrian Academy of Sciences, Fondation de France, Cancer Research UK, World Cancer Research Fund International, and the Institut National du Cancer.</t>
  </si>
  <si>
    <t>Perspectives of patients with metastatic breast cancer on physical exercise programs: results from a survey in five European countries.</t>
  </si>
  <si>
    <t>Sweegers, Maike G; Depenbusch, Johanna; Kampshoff, Caroline S; Aaronson, Neil K; Hiensch, Anouk; Wengström, Yvonne; Backman, Malin; Gunasekara, Nadira; Clauss, Dorothea; Pelaez, Mireia; Lachowicz, Milena; May, Anne M; Steindorf, Karen; Stuiver, Martijn M; ,</t>
  </si>
  <si>
    <t>supportive care in cancer official journal of the multinational association of supportive care in cancer</t>
  </si>
  <si>
    <t>https://pubmed.ncbi.nlm.nih.gov/37955790</t>
  </si>
  <si>
    <t>To successfully implement exercise programs for patients with metastatic breast cancer (MBC), services and patient education should consider patients' knowledge, preferences, values, and goals. Hence, gaining insight into their perspectives on exercise and exercise programming is important. In this cross-sectional survey, we recruited patients with MBC from the Netherlands, Germany, Poland, Spain, and Sweden. We collected data on patients' knowledge and skills about exercise and outcome expectations. We identified barriers to and facilitators of participation in exercise programs, and patients' preferences for program content and modes of exercise delivery. A total of 420 patients participated in the survey. Respondents were, on average, 56.5 years old (SD 10.8) and 70% had bone metastases. Sixty-eight percent reported sufficient skills to engage in aerobic exercise, but only 35% did so for resistance exercise. Respondents expected exercise to have multiple physical benefits, but a few patients expected exercise to worsen their pain (5%). Not having access to an exercise program for cancer patients (27%), feeling too tired (23%), and/or weak (23%) were the most often reported barriers. Facilitators for exercising regularly were previous positive physical (72%) and emotional (68%) experiences with exercising, and receiving personalized advice from a physiotherapist or sport/fitness instructor (62%). Patients were most interested in walking and preferred exercising at a public gym, although there were differences by country. Fifty-seven percent did not know whether their insurance company reimburses exercise programs and only 9% would be willing to pay more than €50 per month to participate. A large percentage of patients with MBC lack the skills to engage in regular exercise as recommended by exercise guidelines for people with cancer. Patients may benefit from personalized advice and appropriate training facilities to overcome barriers. When implementing exercise interventions, attention should be given to reimbursement and the relatively low willingness-to-pay.</t>
  </si>
  <si>
    <t>ISOM 2023 Research Panel 5: Interventions- Vaccines and prevention, medical and surgical treatment, and impact of COVID-19 pandemic.</t>
  </si>
  <si>
    <t>Pelton, Stephen I; Hullegie, Saskia; Leach, Amanda J; Marchisio, Paola; Marom, Tal; Sabharwal, Vishakha; Shaikh, Nader; Tähtinen, Paula A; Venekamp, Roderick P</t>
  </si>
  <si>
    <t>international journal of pediatric otorhinolaryngology</t>
  </si>
  <si>
    <t>https://pubmed.ncbi.nlm.nih.gov/38000342</t>
  </si>
  <si>
    <t>To identify and synthesize key research advances from the literature published between 2019 and 2023 on the advances in preventative measures, and medical and surgical treatment of uncomplicated otitis media (OM) including the impact of the COVID-19 pandemic on OM management. Medline (PubMed), Embase, and the Cochrane Library. All relevant original articles published in English between June 2019 and February 2023 were identified. Studies related to guideline adherence, impact of treatment on immune response and/or microbiology, tympanoplasty, Eustachian tube balloon dilatation, mastoidectomy procedures, and those focusing on children with Down's syndrome or cleft palate were excluded. Of the 9280 unique records screened, 64 were eligible for inclusion; 23 studies related to medical treatment, 20 to vaccines, 13 to surgical treatment, 6 to prevention (excl. vaccines) and 2 to the impact of COVID-19 on OM management. The level of evidence was judged 2 in 11 studies (17.2 %) and 3 or 4 in the remaining 53 studies (82.8 %) mainly due to the observational design, study limitations or low sample sizes. Some important advances in OM management have been made in recent years. Video discharge instructions detailing the identification and management of pain and fever for parents of children with acute otitis media (AOM) was more effective than paper instructions in reducing symptomatology; compared to placebo, levofloxacin solution was more effective for treating chronic suppurative otitis media, whereas AOM recurrences during two years of follow-up did not differ between children with recurrent AOM who received tympanostomy tube (TT) insertion or medical management. Further, novel pneumococcal conjugate vaccines (PCV) schedules for preventing OM in Aboriginal children appeared ineffective, and a protein-based pneumococcal vaccine had no added value over PCV13 for preventing AOM in native American infants. During the COVID-19 pandemic, a decline in OM and TT case volumes and complications was observed. Whether the observed impact of the COVID-19 pandemic on OM management extends to the post-pandemic era is uncertain. Furthermore, the impact of the pandemic on the conduct of urgently needed prospective methodologically rigorous interventional studies aimed at improving OM prevention and treatment remains to be elucidated since the current report consisted of studies predominantly conducted in the pre-pandemic era.</t>
  </si>
  <si>
    <t>Impact of colorectal cancer screening on survival after metachronous metastasis.</t>
  </si>
  <si>
    <t>Hamers, Patricia A H; Vink, Geraldine R; Elferink, Marloes A G; Moons, Leon M G; Punt, Cornelis J A; May, Anne M; Koopman, Miriam</t>
  </si>
  <si>
    <t>https://pubmed.ncbi.nlm.nih.gov/38006758</t>
  </si>
  <si>
    <t>An increasing proportion of colorectal cancer (CRC) cases in Europe are detected by screening with faecal immunochemical testing (FIT). Previous studies showed that population screening with FIT leads to a decrease in CRC incidence and to detection at an earlier stage. However, approximately twenty percent of patients with CRC without metastases at initial diagnosis still develop metachronous metastases. We investigated the association between detection mode of the primary tumor and overall survival (OS) after metachronous metastasis in patients with CRC. Nationwide registry-based data was obtained of 794 patients who developed metachronous metastases after being diagnosed with stage I-III CRC between January and June 2015. With multivariable Cox PH regression modelling, we analyzed the (causal) association between detection mode of the primary tumor (FIT screen-detected versus non-screen-detected) and OS after metachronous metastasis while adjusting for potential confounders. Median OS and five-year OS after metachronous metastasis were significantly higher for patients with screen-detected (n = 152) vs. non-screen-detected primary tumors (n = 642): 38.3 vs. 19.2 months, and 35.4% vs. 18.8%, respectively, p &lt; 0.0001). After adjustment for potential confounders, the association between detection mode and OS after metachronous metastasis remained significant (HR 0.70 [95% CI 0.56-0.89]). Screen-detection of the primary tumor was independently associated with longer OS after metachronous metastasis. This may support the clinical utility of the population screening program and it shows the prognostic value of detection mode of the primary tumor once metachronous metastasis is diagnosed.</t>
  </si>
  <si>
    <t>Barriers to the spiritual care of parents taking care of their child with a life-limiting condition at home.</t>
  </si>
  <si>
    <t>Brouwer, Marije A; Bas-Douw, Barbara C; Leget, Carlo J W; Engel, Marijanne; Teunissen, Saskia C C M; Kars, Marijke C</t>
  </si>
  <si>
    <t>european journal of pediatrics</t>
  </si>
  <si>
    <t>https://pubmed.ncbi.nlm.nih.gov/37950793</t>
  </si>
  <si>
    <t>The changes that parents face when caring for a child with a life-limiting condition at home can affect them on a spiritual level. Yet, indications remain that parents do not feel supported when dealing with spiritual issues related to caring for a severely ill child. This paper explores, from the perspectives of bereaved parents, chaplains, grief counselors, and primary health care providers, the barriers to supporting the spiritual needs of parents. We conducted a qualitative focus group study from a constructivist point with chaplains/grief counselors, primary care professionals, and bereaved parents. All groups participated in two consecutive focus group sessions. Data were thematically analyzed. Six chaplains/grief counselors, 6 care professionals, and 5 parents participated. We identified six barriers: (1) There were difficulties in identifying and communicating spiritual care needs. (2) The action-oriented approach to health care hinders the identification of spiritual care needs. (3) There is an existing prejudice that spiritual care needs are by nature confrontational or difficult to address. (4) Spiritual support is not structurally embedded in palliative care. (5) There is a lack of knowledge and misconceptions about existing support. (6) Seeking out spiritual support is seen as too demanding.  Parents of children with life-limiting conditions face existential challenges. However, care needs are often not identified, and existing support is not recognized as such. The main challenge is to provide care professionals and parents with the tools and terminology that suit existing care needs. • Spiritual care needs are an important aspect of pediatric palliative care. • Parents of children with life-limiting conditions feel unsupported when dealing with spiritual questions. • Parents and professionals mention barriers that hinder spiritual support for parents. • There is a disconnect between existing support and the care needs that parents have.</t>
  </si>
  <si>
    <t>Uncertain futures and unsolicited findings in pediatric genomic sequencing: guidelines for return of results in cases of developmental delay.</t>
  </si>
  <si>
    <t>Cornelis, Candice; Dondorp, Wybo; Bolt, Ineke; de Wert, Guido; van Summeren, Marieke; Brilstra, Eva; Knoers, Nine; Bredenoord, Annelien L</t>
  </si>
  <si>
    <t>https://pubmed.ncbi.nlm.nih.gov/37951889</t>
  </si>
  <si>
    <t>Massively parallel sequencing techniques, such as whole exome sequencing (WES) and whole genome sequencing (WGS), may reveal unsolicited findings (UFs) unrelated to the diagnostic aim. Such techniques are frequently used for diagnostic purposes in pediatric cases of developmental delay (DD). Yet policy guidelines for informed consent and return of UFs are not well equipped to address specific moral challenges that may arise in these children's situations. In previous empirical studies conducted by our research group, we found that it is sometimes uncertain how children with a DD will develop and whether they could come to possess capacities for autonomous decision-making in the future. Parents sometimes felt this brought them into a Catch-22 like situation when confronted with choices about UFs before undergoing WES in trio-analysis (both the parents' and child's DNA are sequenced). An important reason for choosing to consent to WES was to gain more insight into how their child might develop. However, to make responsible choices about receiving or declining knowledge of UFs, some idea of their child's future development of autonomous capacities is needed. This undesirable Catch-22 situation was created by the specific policy configuration in which parents were required to make choices about UFs before being sequencing (trio-analysis). We argue that this finding is relevant for reconfiguring current policies for return of UFs for WES/WGS and propose guidelines that encompass two features. First, the informed consent process ought to be staged. Second, differing guidelines are required for withholding/disclosing a UF in cases of DD appropriate to the level of confidence there is about the child's future developmental of autonomous capacities. When combined with a dynamic consent procedure, these two features of our guidelines could help overcome significant moral challenges that present themselves in the situations of children undergoing genomic sequencing for clarifying a DD.</t>
  </si>
  <si>
    <t>External validation of a lung cancer-based prediction model for two-year mortality in esophageal cancer patient cohorts.</t>
  </si>
  <si>
    <t>Berbée, M; Muijs, C T; Voncken, F E M; Wee, L; Sosef, M; van Etten, B; van Sandick, J W; Warmerdam, F A R M; de Haan, J J; Oldehinkel, E; van Dieren, J M; Boersma, L; Langendijk, J A; van der Schaaf, A; Reitsma, J B; Schuit, E</t>
  </si>
  <si>
    <t>https://pubmed.ncbi.nlm.nih.gov/37949374</t>
  </si>
  <si>
    <t>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The existing model for 2-year mortality prediction in lung cancer patients, based on the predictive factors MHD and GTV, showed good performance in EC patients after updating the intercept and/or slope of the original model.</t>
  </si>
  <si>
    <t>The relevance of competing risk adjustment in cardiovascular risk prediction models for clinical practice.</t>
  </si>
  <si>
    <t>Hageman, Steven H J; Dorresteijn, Jannick A N; Pennells, Lisa; van Smeden, Maarten; Bots, Michiel L; Di Angelantonio, Emanuele; Visseren, Frank L J</t>
  </si>
  <si>
    <t>https://pubmed.ncbi.nlm.nih.gov/37338108</t>
  </si>
  <si>
    <t>Many models developed for predicting the risk of cardiovascular disease (CVD) are adjusted for the competing risk of non-CVD mortality, which has been suggested to reduce potential overestimation of cumulative incidence in populations where the risk of competing events is high. The objective was to evaluate and illustrate the clinical impact of competing risk adjustment when deriving a CVD prediction model in a high-risk population. Individuals with established atherosclerotic CVD were included from the Utrecht Cardiovascular Cohort-Secondary Manifestations of ARTerial disease (UCC-SMART). In 8355 individuals, followed for a median of 8.2 years (IQR 4.2-12.5), two similar prediction models for the estimation of 10-year residual CVD risk were derived: with competing risk adjustment using a Fine and Gray model and without competing risk adjustment using a Cox proportional hazards model. On average, predictions were higher from the Cox model. The Cox model predictions overestimated the cumulative incidence [predicted-observed ratio 1.14 (95% CI 1.09-1.20)], which was most apparent in the highest risk quartiles and in older persons. Discrimination of both models was similar. When determining treatment eligibility on thresholds of predicted risks, more individuals would be treated based on the Cox model predictions. If, for example, individuals with a predicted risk &gt; 20% were considered eligible for treatment, 34% of the population would be treated according to the Fine and Gray model predictions and 44% according to the Cox model predictions. Individual predictions from the model unadjusted for competing risks were higher, reflecting the different interpretations of both models. For models aiming to accurately predict absolute risks, especially in high-risk populations, competing risk adjustment must be considered.</t>
  </si>
  <si>
    <t>Associations between the neighbourhood food environment and cardiovascular disease: a systematic review.</t>
  </si>
  <si>
    <t>Meijer, Paul; Numans, Hidser; Lakerveld, Jeroen</t>
  </si>
  <si>
    <t>https://pubmed.ncbi.nlm.nih.gov/37499177</t>
  </si>
  <si>
    <t>To systematically review the current evidence on the association between the neighbourhood food environment and cardiovascular disease (CVD) in adults. We searched the literature databases CINAHL, MEDLINE, and EMBASE for studies published between 1 January 2000 and 1 May 2022. Studies focusing on the indoor home, workplace, or school food environment were excluded. Two independent reviewers screened all records. Included studies were assessed for risk of bias using the shortened QUIPS tool, and relevant data were extracted. We summarized the findings using a narrative synthesis approach. We included 15 studies after screening 5915 original records. Most studies were published in the last 4 years and were predominantly conducted in North American or European countries. These studies focused on fast-food restaurant density in the residential neighbourhood. A higher fast-food restaurant density was most consistently associated with a higher prevalence and incidence of CVD and CVD mortality, but effect sizes were small. Evidence of an association between fast-food restaurant density and myocardial infarction, or stroke was inconsistent. The other aspects of the food environment were density of food service restaurants, unhealthy food outlets, and food access score. However, there was scant evidence for these aspects. We found evidence for associations between the neighbourhood food environment and CVD, suggesting that a higher fast-food restaurant density is associated with CVD and CVD mortality. Effect sizes were small but important, given the fact that a large population is exposed. Research is needed to assess the effects of other aspects of the food environment. PROSPERO CRD42022317407.</t>
  </si>
  <si>
    <t>The built environment and cardiovascular disease: an umbrella review and meta-meta-analysis.</t>
  </si>
  <si>
    <t>Liu, Mingwei; Meijer, Paul; Lam, Thao Minh; Timmermans, Erik J; Grobbee, Diederick E; Beulens, Joline W J; Vaartjes, Ilonca; Lakerveld, Jeroen</t>
  </si>
  <si>
    <t>https://pubmed.ncbi.nlm.nih.gov/37486178</t>
  </si>
  <si>
    <t>To provide a comprehensive overview of the current evidence on objectively measured neighbourhood built environment exposures in relation to cardiovascular disease (CVD) events in adults. We searched seven databases for systematic reviews on associations between objectively measured long-term built environmental exposures, covering at least one domain (i.e. outdoor air pollution, food environment, physical activity environment like greenspace and walkability, urbanization, light pollution, residential noise, and ambient temperature), and CVD events in adults. Two authors extracted summary data and assessed the risk of bias independently. Robustness of evidence was rated based on statistical heterogeneity, small-study effect, and excess significance bias. Meta-meta-analyses were conducted to combine the meta-analysis results from reviews with comparable exposure and outcome within each domain. From the 3304 initial hits, 51 systematic reviews were included, covering 5 domains and including 179 pooled estimates. There was strong evidence of the associations between increased air pollutants (especially PM2.5 exposure) and increased residential noise with greater risk of CVD. Highly suggestive evidence was found for an association between increased ambient temperature and greater risk of CVD. Systematic reviews on physical activity environment, food environment, light pollution, and urbanization in relation to CVD were scarce or lacking. Air pollutants, increased noise levels, temperature, and greenspace were associated with CVD outcomes. Standardizing design and exposure assessments may foster the synthesis of evidence. Other crucial research gaps concern the lack of prospective study designs and lack of evidence from low-to-middle-income countries (LMICs). PROSPERO: CRD42021246580.</t>
  </si>
  <si>
    <t>Hypertensive disorders of pregnancy and cardiovascular disease risk: A Mendelian Randomisation study.</t>
  </si>
  <si>
    <t>Tschiderer, Lena; van der Schouw, Yvonne T; Burgess, Stephen; Bloemenkamp, Kitty Wm; Seekircher, Lisa; Willeit, Peter; Onland-Moret, N Charlotte; Peters, Sanne Ae</t>
  </si>
  <si>
    <t>https://pubmed.ncbi.nlm.nih.gov/38304335</t>
  </si>
  <si>
    <t>Observational studies show that hypertensive disorders of pregnancy (HDPs) are related to unfavourable maternal cardiovascular disease (CVD) risk profiles later in life. We investigated whether genetic liability to pre-eclampsia/eclampsia and gestational hypertension is associated with CVD risk factors and occurrence of CVD events. We obtained genetic associations with HDPs from a genome-wide association study and used individual-participant-data from the UK Biobank to obtain genetic associations with CVD risk factors and CVD events (defined as myocardial infarction or stroke). In our primary analysis, we applied Mendelian Randomisation using inverse-variance weighted regression analysis in ever pregnant women. In sensitivity analyses, we studied men and nulligravidae to investigate genetic liability to HDPs and CVD risk without the ability to experience the underlying phenotype. Our primary analysis included 221,155 ever pregnant women (mean age 56.8 [SD 7.9]) with available genetic data. Odds ratios for CVD were 1.20 (1.02-1.41) and 1.24 (1.12-1.38) per unit increase in the log odds of genetic liability to pre-eclampsia/eclampsia and gestational hypertension, respectively. Furthermore, genetic liability to HDPs was associated with higher levels of systolic and diastolic blood pressure and younger age at hypertension diagnosis. Sensitivity analyses revealed no statistically significant differences when comparing the findings to those of nulligravidae and men. Genetic liability to HDPs is associated with higher CVD risk, lower blood pressure levels, and earlier hypertension diagnosis. Our study suggests similar findings in ever pregnant women, nulligravidae and men, implying biological mechanisms relating to HDPs are causally related to CVD risk.</t>
  </si>
  <si>
    <t>The effects of the COVID-19 pandemic on PICU admissions for severe asthma exacerbations: A single-center experience.</t>
  </si>
  <si>
    <t>Bazdar, Somayeh; van den Berg, Sarah; Rutjes, Niels W; Bloemsma, Lizan D; Downward, George S; De Weger, Letty A; Terheggen-Lagro, Suzanne W J; van Wijck, Yolanda; Maitland van der Zee, Anke H; Kapitein, Berber</t>
  </si>
  <si>
    <t>pediatric pulmonology</t>
  </si>
  <si>
    <t>https://pubmed.ncbi.nlm.nih.gov/37937901</t>
  </si>
  <si>
    <t>The incidence of severe asthma exacerbations (SAE) requiring a pediatric intensive care unit (PICU) admission during the coronavirus disease 2019 (COVID-19) pandemic (and its association with public restrictions) is largely unknown. We examined the trend of SAE requiring PICU admission before, during, and after COVID-19 restrictions in Amsterdam, the Netherlands, and its relationship with features such as environmental triggers and changes in COVID-19 restriction measures. In this single-center, retrospective cohort study, all PICU admissions of children aged ≥2 years for severe asthma at the Amsterdam UMC between 2018 and 2022 were included. The concentrations of ambient fine particulate matter (PM&lt;sub&gt;2.5&lt;/sub&gt; ) and pollen were obtained from official monitoring stations. Between January 2018 and December 2022, 228 children were admitted to the PICU of the Amsterdam UMC for SAE. While we observed a decrease in admissions during periods of more stringent restriction, there was an increase in the PICU admission rate for SAE in some periods following the lifting of restrictions. In particular, following the COVID-19 restrictions in 2021, we observed a peak incidence of admissions from August to November, which was higher than any other peak during the indicated years. No association with air pollution or pollen was observed. We hypothesize that an increase in clinically diagnosed viral infections after lockdown periods was the reason for the altered incidence of SAE at the PICU in late 2021, rather than air pollution and pollen concentrations.</t>
  </si>
  <si>
    <t>Effect of a Standardized Family Participation Program in the ICU: A Multicenter Stepped-Wedge Cluster Randomized Controlled Trial.</t>
  </si>
  <si>
    <t>Dijkstra, Boukje M; Rood, Paul J T; Teerenstra, Steven; Rutten, Anne M F; Leerentveld, Crista; Burgers-Bonthuis, Dominique C; Festen-Spanjer, Barbara; Klarenbeek, Toine; Van Den Boogaard, Mark; Ewalds, Esther; Schoonhoven, Lisette; Van Der Hoeven, Johannes G; Vloet, Lilian C M; ,</t>
  </si>
  <si>
    <t>critical care medicine</t>
  </si>
  <si>
    <t>https://pubmed.ncbi.nlm.nih.gov/37934138</t>
  </si>
  <si>
    <t>To determine the effect of a standardized program for family participation in essential care activities in the ICU on symptoms of anxiety, depression, posttraumatic stress and satisfaction among relatives, and perceptions and experiences of ICU healthcare providers (HCPs). Multicenter stepped-wedge cluster randomized controlled trial. Seven adult ICUs, one university, and six general teaching hospitals. Three hundred six relatives and 235 ICU HCPs. A standardized program to facilitate family participation inpatient communication, amusement/distraction, comfort, personal care, breathing, mobilization, and nutrition. Data were collected through surveys among relatives and ICU HCPs. There were no significant differences in symptoms of anxiety in relatives in the intervention period compared with the control period (median Hospital Anxiety and Depression Scale [HADS] 5 [interquartile range (IQR) 2-10] vs 6 [IQR 3-9]; median ratio [MR] 0.72; 95% CI, 0.46-1.13; p = 0.15), depression (median HADS 4 [IQR 2-6] vs 3 [IQR 1-6]; MR 0.85; 95% CI, 0.55-1.32; p = 0.47) or posttraumatic stress (median Impact of Event Scale-Revised score 0.45 [IQR 0.27-0.82] vs 0.41 [IQR 0.14-1]; MR 0.94; 95% CI, 0.78-1.14; p = 0.54). Reported satisfaction was slightly lower in the intervention period (mean 8.90 [ sd 1.10] vs mean 9.06 [ sd 1.10], difference -0.60; 95% CI, -1.07 to -0.12; p = 0.01). ICU HCPs perceived that more relatives knew how to participate: 47% in the intervention period versus 22% in the control period (odds ratio [OR] 3.15; 95% CI, 1.64-6.05; p &lt; 0.01). They also reported relatives having sufficient knowledge (41% vs 16%; OR 3.56; 95% CI, 1.75-7.25; p &lt; 0.01) and skills (44% vs 25%; OR 2.38; 95% CI, 1.22-4.63; p = 0.01) to apply family participation. Application of a standardized program to facilitate family participation did not change mental health symptoms in relatives of ICU patients 3 months after discharge. ICU HCPs reported increased clarity, knowledge, and skills among relatives and ICU HCPs.</t>
  </si>
  <si>
    <t>Utility of iron biomarkers in differentiating menopausal status: Findings from CoLaus and PREVEND.</t>
  </si>
  <si>
    <t>Kastrati, Lum; Groothof, Dion; Quezada-Pinedo, Hugo G; Raeisi-Dehkordi, Hamidreza; Bally, Lia; De Borst, Martin H; Bakker, Stephan J L; Vidal, Pedro-Marques; Eisenga, Michele F; Muka, Taulant</t>
  </si>
  <si>
    <t>https://pubmed.ncbi.nlm.nih.gov/37952488</t>
  </si>
  <si>
    <t>To examine the association of iron biomarkers with menopausal status and assess whether these biomarkers can help differentiate menopausal status beyond age. In this cross-sectional study we included 1679 women from the CoLaus and 2133 from the PREVEND cohorts, with CoLaus used as primary cohort and PREVEND for replication. Ferritin, transferrin, iron, and transferrin saturation (TSAT) were used to assess iron status. Hepcidin and soluble transferrin receptor were assessed only in PREVEND. Menopausal status was self-reported and defined as menopausal or non-menopausal. Logistic regressions were used to explore the association of these iron biomarkers with menopause status. Sensitivity, specificity, area under the receiver operating characteristic curves (AUC), positive and negative predictive values as well as cut-off points for the iron biomarkers were calculated. The model with the highest AUC was defined as the best. In the CoLaus and PREVEND cohorts, respectively, 513 (30.6 %) and 988 (46.3 %) women were postmenopausal. Ferritin (OR, 2.20; 95 % CI 1.72-2.90), transferrin (OR, 0.03; 95 % CI 0.01-0.10), and TSAT (OR, 1.28; 95 % CI 1.06-1.54) were significantly associated with menopausal status in CoLaus, with the findings replicated in PREVEND. AUC of age alone was 0.971. The best model resulted from combining age, ferritin, and transferrin, with an AUC of 0.976, and sensitivity and specificity of 87.1 % and 96.5 %, respectively. Adding transferrin and ferritin to a model with age improved menopause classification by up to 7.5 %. In PREVEND, a model with age and hepcidin outperformed a model with age, ferritin, and transferrin. Iron biomarkers were consistently associated with menopausal status in both cohorts, and modestly improved a model with age alone for differentiating menopause status. Our findings on hepcidin need replication.</t>
  </si>
  <si>
    <t>Data Science and Biostatistics; Global Health and Bioethics; Data Science and Biostatistics; Data Science and Biostatistics; Data Science and Biostatistics; Data Science and Biostatistics</t>
  </si>
  <si>
    <t>Adjuvant Hyperthermic Intraperitoneal Chemotherapy in Patients With Locally Advanced Colon Cancer (COLOPEC): 5-Year Results of a Randomized Multicenter Trial.</t>
  </si>
  <si>
    <t>Zwanenburg, Emma Sophia; El Klaver, Charlotte; Wisselink, Daniel D; Punt, Cornelis J A; Snaebjornsson, P; Crezee, Johannes; Aalbers, Arend G J; Brandt-Kerkhof, Alexandra R M; Bremers, Andre J A; Burger, Pim J W A; Fabry, Hans F J; Ferenschild, Floris T J; Festen, Sebastiaan; van Grevenstein, Wilhemina M U; Hemmer, Patrick H J; de Hingh, Ignace H J T; Kok, Niels F M; Kusters, M; Musters, G D; Schoonderwoerd, Lotte; Tuynman, J B; van de Ven, Anthony W H; van Westreenen, Henderik L; Wiezer, M J; Zimmerman, David D E; van Zweeden, Annette; Dijkgraaf, Marcel G W; Tanis, Pieter J; ,; ,</t>
  </si>
  <si>
    <t>https://pubmed.ncbi.nlm.nih.gov/37922442</t>
  </si>
  <si>
    <t>&lt;i&gt;Clinical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in&lt;/i&gt; JCO &lt;i&gt;or elsewhere, for which the primary end point has already been reported.&lt;/i&gt;Whether adjuvant hyperthermic intraperitoneal chemotherapy (HIPEC) might prevent peritoneal metastases after curative surgery for high-risk colon cancer is an ongoing debate. This study aimed to determine 5-year oncologic outcomes of the randomized multicenter COLOPEC trial, which included patients with clinical or pathologic T4N0-2M0 or perforated colon cancer and randomly assigned (1:1) to either adjuvant systemic chemotherapy and HIPEC (n = 100) or adjuvant systemic chemotherapy alone (n = 102). HIPEC was performed using a one-time administration of oxaliplatin (460 mg/m&lt;sup&gt;2&lt;/sup&gt;, 30 minutes, 42°C, concurrent fluorouracil/leucovorin intravenously), either simultaneously (9%) or within 5-8 weeks (91%) after primary tumor resection. Outcomes were analyzed according to the intention-to-treat principle. Long-term data were available of all 202 patients included in the COLOPEC trial, with a median follow-up of 59 months (IQR, 54.5-64.5). No significant difference was found in 5-year overall survival rate between patients assigned to adjuvant HIPEC followed by systemic chemotherapy or only adjuvant systemic chemotherapy (69.6% &lt;i&gt;v&lt;/i&gt; 70.9%, log-rank; &lt;i&gt;P&lt;/i&gt; = .692). Five-year peritoneal metastases rates were 63.9% and 63.2% (&lt;i&gt;P&lt;/i&gt; = .907) and 5-year disease-free survival was 55.7% and 52.3% (log-rank; &lt;i&gt;P&lt;/i&gt; = .875), respectively. No differences in quality-of-life outcomes were found. Our findings implicate that adjuvant HIPEC should still be performed in trial setting only.</t>
  </si>
  <si>
    <t>Observation of Single-Top-Quark Production in Association with a Photon Using the ATLAS Detector.</t>
  </si>
  <si>
    <t>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t>
  </si>
  <si>
    <t>https://pubmed.ncbi.nlm.nih.gov/37977601</t>
  </si>
  <si>
    <t>This Letter reports the observation of single top quarks produced together with a photon, which directly probes the electroweak coupling of the top quark. The analysis uses 139  fb^{-1} of 13 TeV proton-proton collision data collected with the ATLAS detector at the Large Hadron Collider. Requiring a photon with transverse momentum larger than 20 GeV and within the detector acceptance, the fiducial cross section is measured to be 688±23(stat) _{-71}^{+75}(syst)  fb, to be compared with the standard model prediction of 515_{-42}^{+36}  fb at next-to-leading order in QCD.</t>
  </si>
  <si>
    <t>Antioxidants for adults with chronic kidney disease.</t>
  </si>
  <si>
    <t>Colombijn, Julia Mt; Hooft, Lotty; Jun, Min; Webster, Angela C; Bots, Michiel L; Verhaar, Marianne C; Vernooij, Robin Wm</t>
  </si>
  <si>
    <t>https://pubmed.ncbi.nlm.nih.gov/37916745</t>
  </si>
  <si>
    <t>Chronic kidney disease (CKD) is a significant risk factor for cardiovascular disease (CVD) and death. Increased oxidative stress in people with CKD has been implicated as a potential causative factor. Antioxidant therapy decreases oxidative stress and may consequently reduce cardiovascular morbidity and death in people with CKD. This is an update of a Cochrane review first published in 2012. To examine the benefits and harms of antioxidant therapy on death and cardiovascular and kidney endpoints in adults with CKD stages 3 to 5, patients undergoing dialysis, and kidney transplant recipients. We searched the Cochrane Kidney and Transplant Register of Studies until 15 November 2022 using search terms relevant to this review. Studies in the Register are identified through searches of CENTRAL, MEDLINE, and EMBASE, conference proceedings, the International Clinical Trials Registry Platform (ICTRP) Search Portal, and ClinicalTrials.gov. We included all randomised controlled trials investigating the use of antioxidants, compared with placebo, usual or standard care, no treatment, or other antioxidants, for adults with CKD on cardiovascular and kidney endpoints. Titles and abstracts were screened independently by two authors who also performed data extraction using standardised forms. Results were pooled using random effects models and expressed as risk ratios (RR) or mean difference (MD) with 95% confidence intervals (CI). Confidence in the evidence was assessed using the Grading of Recommendations Assessment, Development and Evaluation (GRADE) approach. We included 95 studies (10,468 randomised patients) that evaluated antioxidant therapy in adults with non-dialysis-dependent CKD (31 studies, 5342 patients), dialysis-dependent CKD (41 studies, 3444 patients) and kidney transplant recipients (21 studies, 1529 patients). Two studies enrolled dialysis and non-dialysis patients (153 patients). Twenty-one studies assessed the effects of vitamin antioxidants, and 74 assessed the effects of non-vitamin antioxidants. Overall, the quality of included studies was moderate to low or very low due to unclear or high risk of bias for randomisation, allocation concealment, blinding, and loss to follow-up. Compared with placebo, usual care, or no treatment, antioxidant therapy may have little or no effect on cardiovascular death (8 studies, 3813 patients: RR 0.94, 95% CI 0.64 to 1.40; I² = 33%; low certainty of evidence) and probably has little to no effect on death (any cause) (45 studies, 7530 patients: RR 0.95, 95% CI 0.82 to 1.11; I² = 0%; moderate certainty of evidence), CVD (16 studies, 4768 patients: RR 0.79, 95% CI 0.63 to 0.99; I² = 23%; moderate certainty of evidence), or loss of kidney transplant (graft loss) (11 studies, 1053 patients: RR 0.88, 95% CI 0.67 to 1.17; I² = 0%; moderate certainty of evidence). Compared with placebo, usual care, or no treatment, antioxidants had little to no effect on the slope of urinary albumin/creatinine ratio (change in UACR) (7 studies, 1286 patients: MD -0.04 mg/mmol, 95% CI -0.55 to 0.47; I² = 37%; very low certainty of evidence) but the evidence is very uncertain. Antioxidants probably reduced the progression to kidney failure (10 studies, 3201 patients: RR 0.65, 95% CI 0.41 to 1.02; I² = 41%; moderate certainty of evidence), may improve the slope of estimated glomerular filtration rate (change in eGFR) (28 studies, 4128 patients: MD 3.65 mL/min/1.73 m², 95% CI 2.81 to 4.50; I² = 99%; low certainty of evidence), but had uncertain effects on the slope of serum creatinine (change in SCr) (16 studies, 3180 patients: MD -13.35 µmol/L, 95% CI -23.49 to -3.23; I² = 98%; very low certainty of evidence). Possible safety concerns are an observed increase in the risk of infection (14 studies, 3697 patients: RR 1.30, 95% CI 1.14 to 1.50; I² = 3%; moderate certainty of evidence) and heart failure (6 studies, 3733 patients: RR 1.40, 95% CI 1.11 to 1.75; I² = 0; moderate certainty of evidence) among antioxidant users. Results of studies with a low risk of bias or longer follow-ups generally were comparable to the main analyses. We found no evidence that antioxidants reduced death or improved kidney transplant outcomes or proteinuria in patients with CKD. Antioxidants likely reduce cardiovascular events and progression to kidney failure and may improve kidney function. Possible concerns are an increased risk of infections and heart failure among antioxidant users. However, most studies were of suboptimal quality and had limited follow-up, and few included people undergoing dialysis or kidney transplant recipients. Furthermore, the large heterogeneity in interventions hampers drawing conclusions on the efficacy and safety of individual agents.</t>
  </si>
  <si>
    <t>Risk of bias assessments in individual participant data meta-analyses of test accuracy and prediction models: a review shows improvements are needed.</t>
  </si>
  <si>
    <t>Levis, Brooke; Snell, Kym I E; Damen, Johanna A A; Hattle, Miriam; Ensor, Joie; Dhiman, Paula; Andaur Navarro, Constanza L; Takwoingi, Yemisi; Whiting, Penny F; Debray, Thomas P A; Reitsma, Johannes B; Moons, Karel G M; Collins, Gary S; Riley, Richard D</t>
  </si>
  <si>
    <t>https://pubmed.ncbi.nlm.nih.gov/37925059</t>
  </si>
  <si>
    <t>Risk of bias assessments are important in meta-analyses of both aggregate and individual participant data (IPD). There is limited evidence on whether and how risk of bias of included studies or datasets in IPD meta-analyses (IPDMAs) is assessed. We review how risk of bias is currently assessed, reported, and incorporated in IPDMAs of test accuracy and clinical prediction model studies and provide recommendations for improvement. We searched PubMed (January 2018-May 2020) to identify IPDMAs of test accuracy and prediction models, then elicited whether each IPDMA assessed risk of bias of included studies and, if so, how assessments were reported and subsequently incorporated into the IPDMAs. Forty-nine IPDMAs were included. Nineteen of 27 (70%) test accuracy IPDMAs assessed risk of bias, compared to 5 of 22 (23%) prediction model IPDMAs. Seventeen of 19 (89%) test accuracy IPDMAs used Quality Assessment of Diagnostic Accuracy Studies-2 (QUADAS-2), but no tool was used consistently among prediction model IPDMAs. Of IPDMAs assessing risk of bias, 7 (37%) test accuracy IPDMAs and 1 (20%) prediction model IPDMA provided details on the information sources (e.g., the original manuscript, IPD, primary investigators) used to inform judgments, and 4 (21%) test accuracy IPDMAs and 1 (20%) prediction model IPDMA provided information or whether assessments were done before or after obtaining the IPD of the included studies or datasets. Of all included IPDMAs, only seven test accuracy IPDMAs (26%) and one prediction model IPDMA (5%) incorporated risk of bias assessments into their meta-analyses. For future IPDMA projects, we provide guidance on how to adapt tools such as Prediction model Risk Of Bias ASsessment Tool (for prediction models) and QUADAS-2 (for test accuracy) to assess risk of bias of included primary studies and their IPD. Risk of bias assessments and their reporting need to be improved in IPDMAs of test accuracy and, especially, prediction model studies. Using recommended tools, both before and after IPD are obtained, will address this.</t>
  </si>
  <si>
    <t>Correction: Plasma protein biomarkers reflective of the host response in patients developing Intensive Care Unit-acquired pneumonia.</t>
  </si>
  <si>
    <t>van Engelen, Tjitske S R; Reijnders, Tom D Y; Paling, Fleur P; Bonten, Marc J M; Timbermont, Leen; Malhotra-Kumar, Surbhi; Kluytmans, Jan A J W; Peters-Sengers, Hessel; van der Poll, Tom; ,</t>
  </si>
  <si>
    <t>critical care london england</t>
  </si>
  <si>
    <t>https://pubmed.ncbi.nlm.nih.gov/37915039</t>
  </si>
  <si>
    <t>Prediction of fetal and neonatal outcomes after preterm manifestations of placental insufficiency: systematic review of prediction models.</t>
  </si>
  <si>
    <t>Kleuskens, D G; Van Veen, C M C; Groenendaal, F; Ganzevoort, W; Gordijn, S J; Van Rijn, B B; Lely, A T; Schuit, E; Kooiman, J</t>
  </si>
  <si>
    <t>ultrasound in obstetrics gynecology the official journal of the international society of ultrasound in obstetrics and gynecology</t>
  </si>
  <si>
    <t>https://pubmed.ncbi.nlm.nih.gov/37161550</t>
  </si>
  <si>
    <t>To identify all prediction models for fetal and neonatal outcomes in pregnancies with preterm manifestations of placental insufficiency (gestational hypertension, pre-eclampsia, HELLP syndrome or fetal growth restriction with its onset before 37 weeks' gestation) and to assess the quality of the models and their performance on external validation. A systematic literature search was performed in PubMed, Web of Science and EMBASE. Studies describing prediction models for fetal/neonatal mortality or significant neonatal morbidity in patients with preterm placental insufficiency disorders were included. Data extraction was performed using the CHARMS checklist. Risk of bias was assessed using PROBAST. Literature selection and data extraction were performed by two researchers independently. Our literature search yielded 22 491 unique publications. Fourteen were included after full-text screening of 218 articles that remained after initial exclusions. The studies derived a total of 41 prediction models, including four models in the setting of pre-eclampsia or HELLP, two models in the setting of fetal growth restriction and/or pre-eclampsia and 35 models in the setting of fetal growth restriction. None of the models was validated externally, and internal validation was performed in only two studies. The final models contained mainly ultrasound (Doppler) markers as predictors of fetal/neonatal mortality and neonatal morbidity. Discriminative properties were reported for 27/41 models (c-statistic between 0.6 and 0.9). Only two studies presented a calibration plot. The risk of bias was assessed as unclear in one model and high for all other models, mainly owing to the use of inappropriate statistical methods. We identified 41 prediction models for fetal and neonatal outcomes in pregnancies with preterm manifestations of placental insufficiency. All models were considered to be of low methodological quality, apart from one that had unclear methodological quality. Higher-quality models and external validation studies are needed to inform clinical decision-making based on prediction models. © 2023 The Authors. Ultrasound in Obstetrics &amp; Gynecology published by John Wiley &amp; Sons Ltd on behalf of International Society of Ultrasound in Obstetrics and Gynecology.</t>
  </si>
  <si>
    <t>Nosocomial SARS-CoV-2 Infections and Mortality During Unique COVID-19 Epidemic Waves.</t>
  </si>
  <si>
    <t>Dave, Nishi; Sjöholm, Daniel; Hedberg, Pontus; Ternhag, Anders; Granath, Fredrik; Verberk, Janneke D M; Johansson, Anders F; van der Werff, Suzanne D; Nauclér, Pontus</t>
  </si>
  <si>
    <t>https://pubmed.ncbi.nlm.nih.gov/37948082</t>
  </si>
  <si>
    <t>Quantifying the burden of nosocomial SARS-CoV-2 infections and associated mortality is necessary to assess the need for infection prevention and control measures. To investigate the occurrence of nosocomial SARS-CoV-2 infections and associated 30-day mortality among patients admitted to hospitals in Region Stockholm, Sweden. A retrospective, matched cohort study divided the period from March 1, 2020, until September 15, 2022, into a prevaccination period, early vaccination and pre-Omicron (period 1), and late vaccination and Omicron (period 2). From among 303 898 patients 18 years or older living in Region Stockholm, 538 951 hospital admissions across all hospitals were included. Hospitalized admissions with nosocomial SARS-CoV-2 infections were matched to as many as 5 hospitalized admissions without nosocomial SARS-CoV-2 by age, sex, length of stay, admission time, and hospital unit. Nosocomial SARS-CoV-2 infection defined as the first positive polymerase chain reaction test result at least 8 days after hospital admission or within 2 days after discharge. Primary outcome of 30-day mortality was analyzed using time-to-event analyses with a Cox proportional hazards regression model adjusted for age, sex, educational level, and comorbidities. Among 2193 patients with SARS-CoV-2 infections or reinfections (1107 women [50.5%]; median age, 80 [IQR, 71-87] years), 2203 nosocomial SARS-CoV-2 infections were identified. The incidence rate of nosocomial SARS-CoV-2 infections was 1.57 (95% CI, 1.51-1.64) per 1000 patient-days. In the matched cohort, 1487 hospital admissions with nosocomial SARS-CoV-2 infections were matched to 5044 hospital admissions without nosocomial SARS-CoV-2 infections. Thirty-day mortality was higher in the prevaccination period (adjusted hazard ratio [AHR], 2.97 [95% CI, 2.50-3.53]) compared with period 1 (AHR, 2.08 [95% CI, 1.50-2.88]) or period 2 (AHR, 1.22 [95% CI, 0.92-1.60]). Among patients with nosocomial SARS-CoV-2 infections, 30-day AHR comparing those with 2 or more doses of SARS-CoV-2 vaccination and those with less than 2 doses was 0.64 (95% CI, 0.46-0.88). In this matched cohort study, nosocomial SARS-CoV-2 infections were associated with higher 30-day mortality during the early phases of the pandemic and lower mortality during the Omicron variant wave and after the introduction of vaccinations. Mitigation of excess mortality risk from nosocomial transmission should be a strong focus when population immunity is low through implementation of adequate infection prevention and control measures.</t>
  </si>
  <si>
    <t>Ethnic Differences in the Association Between Age at Natural Menopause and Risk of Type 2 Diabetes Among Postmenopausal Women: A Pooled Analysis of Individual Data From 13 Cohort Studies.</t>
  </si>
  <si>
    <t>Chung, Hsin-Fang; Dobson, Annette J; Hayashi, Kunihiko; Hardy, Rebecca; Kuh, Diana; Anderson, Debra J; van der Schouw, Yvonne T; Greenwood, Darren C; Cade, Janet E; Demakakos, Panayotes; Brunner, Eric J; Eastwood, Sophie V; Sandin, Sven; Weiderpass, Elisabete; Mishra, Gita D</t>
  </si>
  <si>
    <t>https://pubmed.ncbi.nlm.nih.gov/37747341</t>
  </si>
  <si>
    <t>To investigate associations between age at natural menopause, particularly premature ovarian insufficiency (POI) (natural menopause before age 40 years), and incident type 2 diabetes (T2D) and identify any variations by ethnicity. We pooled individual-level data of 338,059 women from 13 cohort studies without T2D before menopause from six ethnic groups: White (n = 177,674), Chinese (n = 146,008), Japanese (n = 9,061), South/Southeast Asian (n = 2,228), Black (n = 1,838), and mixed/other (n = 1,250). Hazard ratios (HRs) of T2D associated with age at menopause were estimated in the overall sample and by ethnicity, with study as a random effect. For each ethnic group, we further stratified the association by birth year, education level, and BMI. Over 9 years of follow-up, 20,064 (5.9%) women developed T2D. Overall, POI (vs. menopause at age 50-51 years) was associated with an increased risk of T2D (HR 1.31; 95% CI 1.20-1.44), and there was an interaction between age at menopause and ethnicity (P &lt; 0.0001). T2D risk associated with POI was higher in White (1.53; 1.36-1.73), Japanese (4.04; 1.97-8.27), and Chinese women born in 1950 or later (2.79; 2.11-3.70); although less precise, the risk estimates were consistent in women of South/Southeast Asian (1.46; 0.89-2.40), Black (1.72; 0.95-3.12), and mixed/other (2.16; 0.83-5.57) ethnic groups. A similar pattern, but with a smaller increased risk of T2D, was observed with early menopause overall (1.16; 1.10-1.23) and for White, Japanese, and Chinese women born in 1950 or later. POI and early menopause are risk factors for T2D in postmenopausal women, with considerable variation across ethnic groups, and may need to be considered in risk assessments of T2D among women.</t>
  </si>
  <si>
    <t>Reducing the gap of chronic kidney disease in low- and middle-income countries: what is missing?</t>
  </si>
  <si>
    <t>López, Darío Sebastián; Hernández Vargas, Juliana Alexandra; Urina-Jassir, Manuel; Urina-Triana, Miguel; Franco, Oscar H</t>
  </si>
  <si>
    <t>lancet regional health americas</t>
  </si>
  <si>
    <t>https://pubmed.ncbi.nlm.nih.gov/37969876</t>
  </si>
  <si>
    <t>Patterns and drivers of atmospheric inorganic nitrogen deposition in Northeast Asia.</t>
  </si>
  <si>
    <t>Mgelwa, Abubakari Said; Zhu, Feifei; Huang, Dan; Song, Linlin; Wang, Yingying; Gurmesa, Geshere Abdisa; Wang, Ang; Liu, Miao; Huang, Shaonan; Qiu, Qingyan; Sase, Hiroyuki; Zhu, Weixing; Fang, Yunting</t>
  </si>
  <si>
    <t>journal of environmental management</t>
  </si>
  <si>
    <t>https://pubmed.ncbi.nlm.nih.gov/37918232</t>
  </si>
  <si>
    <t>Elevated nitrogen (N) deposition due to intensified emissions of NH&lt;sub&gt;3&lt;/sub&gt; and NO&lt;sub&gt;x&lt;/sub&gt; is a global problem with profound consequences on living organisms and the environment. Although N emission rates are currently considered to be high in East Asia, reports on the current N deposition level and composition are still limited, especially in northeastern China, where official N deposition monitoring sites are unavailable. This limits our understanding of the spatio-temporal N deposition patterns and their influencing factors at regional to continental scales. Here, we used data collected mostly during 2019 at 38 sites, comprising 7 sites in northeastern China and 31 EANET (Acid Deposition Monitoring Network in East Asia) sites in middle and east Russia, Mongolia, central and southern China, South Korea and Japan to explore the spatial-seasonal variations and drivers of ammonium and nitrate deposition across the Northeast Asia. Total bulk inorganic N (TIN) deposition was 3.7-24.5 kg N ha&lt;sup&gt;-1&lt;/sup&gt; yr&lt;sup&gt;-1&lt;/sup&gt; and NH&lt;sub&gt;4&lt;/sub&gt;&lt;sup&gt;+&lt;/sup&gt;-N/NO&lt;sub&gt;3&lt;/sub&gt;&lt;sup&gt;-&lt;/sup&gt;-N ratio in the TIN was 0.8-2.8 in northeastern China. The bulk/wet TIN deposition averaged 7.5 kg N ha&lt;sup&gt;-1&lt;/sup&gt; yr&lt;sup&gt;-1&lt;/sup&gt; (predominantly in the form of ammonium-N: NH&lt;sub&gt;4&lt;/sub&gt;&lt;sup&gt;+&lt;/sup&gt;-N/NO&lt;sub&gt;3&lt;/sub&gt;&lt;sup&gt;-&lt;/sup&gt;-N = 1.4) over the Northeast Asia region, with the highest rates being observed in northeastern China (11.6), as well as central and southern China (10.7), followed by east Russia, South Korea and Japan (5.6), and the lowest in middle Russia and Mongolia (1.5). This regional bulk/wet TIN deposition level is about twice of the wet TIN deposition level in Europe and the United States. The TIN deposition in summer and spring was 45-467% higher than in autumn and winter. Out of the ten land uses considered, only agricultural and urban land uses significantly positively correlated with NH&lt;sub&gt;4&lt;/sub&gt;&lt;sup&gt;+&lt;/sup&gt;-N and NO&lt;sub&gt;3&lt;/sub&gt;&lt;sup&gt;-&lt;/sup&gt;-N deposition rates across all monitored sites. This study suggests that the ongoing agricultural and urban expansions are likely to enhance N deposition and its associated effects across global ecosystems.</t>
  </si>
  <si>
    <t>Impact of the COVID-19 pandemic on breast cancer incidence and tumor stage in the Netherlands and Norway: A population-based study.</t>
  </si>
  <si>
    <t>Eijkelboom, Anouk H; de Munck, Linda; Larsen, Marthe; Bijlsma, Maarten J; Tjan-Heijnen, Vivianne C G; van Gils, Carla H; Broeders, Mireille J M; Nygård, Jan F; Lobbes, Marc B I; Helsper, Charles W; Pijnappel, Ruud M; Strobbe, Luc J A; Wesseling, Jelle; Hofvind, Solveig; Siesling, Sabine; ,</t>
  </si>
  <si>
    <t>cancer epidemiology</t>
  </si>
  <si>
    <t>https://pubmed.ncbi.nlm.nih.gov/37897970</t>
  </si>
  <si>
    <t>Comparing the impact of the COVID-19 pandemic on the incidence of newly diagnosed breast tumors and their tumor stage between the Netherlands and Norway will help us understand the effect of differences in governmental and social reactions towards the pandemic. Women newly diagnosed with breast cancer in 2017-2021 were selected from the Netherlands Cancer Registry and the Cancer Registry of Norway. The crude breast cancer incidence rate (tumors per 100,000 women) during the first (March-September 2020), second (October 2020-April 2021), and Delta COVID-19 wave (May-December 2021) was compared with the incidence rate in the corresponding periods in 2017, 2018, and 2019. Incidence rates were stratified by age group, method of detection, and clinical tumor stage. During the first wave breast cancer incidence declined to a larger extent in the Netherlands than in Norway (27.7% vs. 17.2% decrease, respectively). In both countries, incidence decreased in women eligible for screening. In the Netherlands, incidence also decreased in women not eligible for screening. During the second wave an increase in the incidence of stage IV tumors in women aged 50-69 years was seen in the Netherlands. During the Delta wave an increase in overall incidence and incidence of stage I tumors was seen in Norway. Alterations in breast cancer incidence and tumor stage seem related to a combined effect of the suspension of the screening program, health care avoidance due to the severity of the pandemic, and other unknown factors.</t>
  </si>
  <si>
    <t>Physical exercise in patients with testicular cancer treated with bleomycin, etoposide and cisplatin chemotherapy: pulmonary and vascular endothelial function-an exploratory analysis.</t>
  </si>
  <si>
    <t>van der Schoot, Gabriela G F; Ormel, Harm L; Westerink, Nico-Derk L; Wempe, Johan B; Lefrandt, Joop D; May, Anne M; Vrieling, Aline H; Meijer, Coby; Gietema, Jourik A; Walenkamp, Annemiek M E</t>
  </si>
  <si>
    <t>journal of cancer research and clinical oncology</t>
  </si>
  <si>
    <t>https://pubmed.ncbi.nlm.nih.gov/37889308</t>
  </si>
  <si>
    <t>Bleomycin, etoposide, and cisplatin combination chemotherapy (BEP) improves the survival of patients with testicular cancer, but is associated with potentially life-threatening toxicities like pneumonitis and thromboembolic events. This study explored the effects of physical exercise in patients with testicular cancer during or after BEP-chemotherapy on pulmonary and vascular endothelial toxicity. In this post hoc analysis of a multicenter randomized clinical trial (NCT01642680), patients with metastatic testicular cancer scheduled to receive BEP-chemotherapy were randomized to a 24-week exercise intervention, initiated during (group A) or after BEP-chemotherapy (group B). Endpoints were pulmonary function (forced vital capacity (FVC), forced expiratory volume in one second (FEV1), lung transfer-coefficient and transfer factor for carbon monoxide (KCO, DLCO) and markers of vascular endothelial dysfunction (von Willebrand factor (vWF) and factor VIII). Thirty patients were included. Post-chemotherapy, patients declined less in FVC, FEV1 and DLCO in group A compared to group B. Post-chemotherapy, vWF and factor VIII were significantly lower in group A compared to group B. After completion of exercise, started either during BEP-chemotherapy or thereafter, no between-group differences were found. At 1-year post-intervention, significant between-group differences were found in favour of group A in DLCO and KCO. Patients who exercised during BEP-chemotherapy better preserved FVC, FEV1 and DLCO, measured directly post-chemotherapy and 1-year post-intervention (DLCO, KCO). This coincided with less increase in vWF and factor VIII measured directly post-chemotherapy. These data support a beneficial role of a physical exercise intervention during BEP-chemotherapy on pulmonary and vascular damage in patients with testicular cancer. Optimal Timing of Physical Activity in Cancer Treatment (ACT) Registry URL: https://clinicaltrials.gov/ct2/show/NCT01642680 . NCT01642680.</t>
  </si>
  <si>
    <t>Measurement of Suppression of Large-Radius Jets and Its Dependence on Substructure in Pb+Pb Collisions at sqrt[s_{NN}]=5.02  TeV with the ATLAS Detector.</t>
  </si>
  <si>
    <t>Aad, G; Abbott, B; Abeling, K; Abidi, S H; Aboulhorma, A; Abramowicz, H; Abreu, H; Abulaiti, Y; Abusleme Hoffman, A C; Acharya, B S; Adam Bourdarios, C; Adamczyk, L; Adamek, L; Addepalli, S V; Adelman, J; Adiguzel, A; Adorni, S; Adye, T; Affolder, A A; Afik, Y; Agaras, M N; Agarwala, J; Aggarwal, A; Agheorghiesei, C; Aguilar-Saavedra, J A; Ahmad, A; Ahmadov, F; Ahmed, W S; Ahuja, S; Ai, X; Aielli, G; Ait Tamlihat, M; Aitbenchikh, B; Aizenberg, I; Akbiyik, M; Åkesson, T P A; Akimov, A V; Al Khoury, K; Alberghi, G L; Albert, J; Albicocco, P; Alderweireldt, S; Aleksa, M; Aleksandrov, I N; Alexa, C; Alexopoulos, T; Alfonsi, A; Alfonsi, F; Alhroob, M; Ali, B; Ali, S; Aliev, M; Alimonti, G; Alkakhi, W; Allaire, C; Allbrooke, B M M; Allendes Flores, C A; Allport, P P; Aloisio, A; Alonso, F; Alpigiani, C; Alvarez Estevez, M; Alvarez Fernandez, A; Alviggi, M G; Aly, M; Amaral Coutinho, Y; Ambler, A; Amelung, C; Amerl, M; Ames, C G; Amidei, D; Amor Dos Santos, S P; Amos, K R; Ananiev, V; Anastop</t>
  </si>
  <si>
    <t>https://pubmed.ncbi.nlm.nih.gov/37955510</t>
  </si>
  <si>
    <t>This letter presents a measurement of the nuclear modification factor of large-radius jets in sqrt[s_{NN}]=5.02  TeV Pb+Pb collisions by the ATLAS experiment. The measurement is performed using 1.72  nb^{-1} and 257  pb^{-1} of Pb+Pb and pp data, respectively. The large-radius jets are reconstructed with the anti-k_{t} algorithm using a radius parameter of R=1.0, by reclustering anti-k_{t} R=0.2 jets, and are measured over the transverse momentum (p_{T}) kinematic range of 158&lt;p_{T}&lt;1000  GeV and absolute pseudorapidity |y|&lt;2.0. The large-radius jet constituents are further reclustered using the k_{t} algorithm in order to obtain the splitting parameters, sqrt[d_{12}] and ΔR_{12}, which characterize the transverse momentum scale and angular separation for the hardest splitting in the jet, respectively. The nuclear modification factor, R_{AA}, obtained by comparing the Pb+Pb jet yields to those in pp collisions, is measured as a function of jet transverse momentum (p_{T}) and sqrt[d_{12}] or ΔR_{12}. A significant difference in the quenching of large-radius jets having single subjet and those with more complex substructure is observed. Systematic comparison of jet suppression in terms of R_{AA} for different jet definitions is also provided. Presented results support the hypothesis that jets with hard internal splittings lose more energy through quenching and provide a new perspective for understanding the role of jet structure in jet suppression.</t>
  </si>
  <si>
    <t>Sharing Medical Big Data While Preserving Patient Confidentiality in Innovative Medicines Initiative: A Summary and Case Report from BigData@Heart.</t>
  </si>
  <si>
    <t>Schröder, Megan; Muller, Sam H A; Vradi, Eleni; Mielke, Johanna; Lim, Yvonne M F; Couvelard, Fabrice; Mostert, Menno; Koudstaal, Stefan; Eijkemans, Marinus J C; Gerlinger, Christoph</t>
  </si>
  <si>
    <t>big data</t>
  </si>
  <si>
    <t>https://pubmed.ncbi.nlm.nih.gov/37889577</t>
  </si>
  <si>
    <t>Sharing individual patient data (IPD) is a simple concept but complex to achieve due to data privacy and data security concerns, underdeveloped guidelines, and legal barriers. Sharing IPD is additionally difficult in big data-driven collaborations such as Bigdata@Heart in the Innovative Medicines Initiative, due to competing interests between diverse consortium members. One project within BigData@Heart, case study 1, needed to pool data from seven heterogeneous data sets: five randomized controlled trials from three different industry partners, and two disease registries. Sharing IPD was not considered feasible due to legal requirements and the sensitive medical nature of these data. In addition, harmonizing the data sets for a federated data analysis was difficult due to capacity constraints and the heterogeneity of the data sets. An alternative option was to share summary statistics through contingency tables. Here it is demonstrated that this method along with anonymization methods to ensure patient anonymity had minimal loss of information. Although sharing IPD should continue to be encouraged and strived for, our approach achieved a good balance between data transparency while protecting patient privacy. It also allowed a successful collaboration between industry and academia.</t>
  </si>
  <si>
    <t>The augmented value of using clinical notes in semi-automated surveillance of deep surgical site infections after colorectal surgery.</t>
  </si>
  <si>
    <t>Verberk, Janneke D M; van der Werff, Suzanne D; Weegar, Rebecka; Henriksson, Aron; Richir, Milan C; Buchli, Christian; van Mourik, Maaike S M; Nauclér, Pontus</t>
  </si>
  <si>
    <t>https://pubmed.ncbi.nlm.nih.gov/37884948</t>
  </si>
  <si>
    <t>In patients who underwent colorectal surgery, an existing semi-automated surveillance algorithm based on structured data achieves high sensitivity in detecting deep surgical site infections (SSI), however, generates a significant number of false positives. The inclusion of unstructured, clinical narratives to the algorithm may decrease the number of patients requiring manual chart review. The aim of this study was to investigate the performance of this semi-automated surveillance algorithm augmented with a natural language processing (NLP) component to improve positive predictive value (PPV) and thus workload reduction (WR). Retrospective, observational cohort study in patients who underwent colorectal surgery from January 1, 2015, through September 30, 2020. NLP was used to detect keyword counts in clinical notes. Several NLP-algorithms were developed with different count input types and classifiers, and added as component to the original semi-automated algorithm. Traditional manual surveillance was compared with the NLP-augmented surveillance algorithms and sensitivity, specificity, PPV and WR were calculated. From the NLP-augmented models, the decision tree models with discretized counts or binary counts had the best performance (sensitivity 95.1% (95%CI 83.5-99.4%), WR 60.9%) and improved PPV and WR by only 2.6% and 3.6%, respectively, compared to the original algorithm. The addition of an NLP component to the existing algorithm had modest effect on WR (decrease of 1.4-12.5%), at the cost of sensitivity. For future implementation it will be a trade-off between optimal case-finding techniques versus practical considerations such as acceptability and availability of resources.</t>
  </si>
  <si>
    <t>Continuous deep sedation at the end of life: a qualitative interview-study among health care providers on an evolving practice.</t>
  </si>
  <si>
    <t>Heijltjes, Madelon T; van Thiel, Ghislaine Jmw; Rietjens, Judith Ac; van der Heide, Agnes; Hendriksen, Geeske; van Delden, Johannes Jm</t>
  </si>
  <si>
    <t>bmc palliative care</t>
  </si>
  <si>
    <t>https://pubmed.ncbi.nlm.nih.gov/37880650</t>
  </si>
  <si>
    <t>Continuous deep sedation (CDS) can be used for patients at the end of life who suffer intolerably from severe symptoms that cannot be relieved otherwise. In the Netherlands, the use of CDS is guided by an national guideline since 2005. The percentage of patients for whom CDS is used increased from 8% of all patients who died in 2005 to 18% in 2015. The aim of this study is to explore potential causes of the rise in the use of CDS in the Netherlands according to health care providers who have been participating in this practice. Semi-structured interviews were conducted and thematically analysed. Participants were Dutch health care providers (HCPs), working at patients' homes, hospices, elderly care facilities and in hospitals and experienced in providing CDS, who were recruited via purposeful sampling. 41 Health care providers participated in an interview. For these HCPs the reason to start CDS is often a combination of symptoms resulting in a refractory state. HCPs indicated that symptoms of non-physical origin are increasingly important in the decision to start CDS. Most HCPs felt that suffering at the end of life is less tolerated by patients, their relatives, and sometimes by HCPs; they report more requests to relieve suffering by using CDS. Some HCPs in our study have experienced increasing pressure to perform CDS. Some HCPs stated that they more often used intermittent sedation, sometimes resulting in CDS. This study provides insight into how participating HCPs perceive that their practice of CDS changed over time. The combination of a broader interpretation of refractory suffering by HCPs and a decreased tolerance of suffering at the end of life by patients, their relatives and HCPs, may have led to a lower threshold to start CDS. The Research Ethics Committee of University Medical Center Utrecht assessed that the study was exempt from ethical review according to Dutch law (Protocol number 19-435/C).</t>
  </si>
  <si>
    <t>Improving 10-year cardiovascular risk prediction in apparently healthy people: flexible addition of risk modifiers on top of SCORE2.</t>
  </si>
  <si>
    <t>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t>
  </si>
  <si>
    <t>https://pubmed.ncbi.nlm.nih.gov/37264679</t>
  </si>
  <si>
    <t>In clinical practice, factors associated with cardiovascular disease (CVD) like albuminuria, education level, or coronary artery calcium (CAC) are often known, but not incorporated in cardiovascular risk prediction models. The aims of the current study were to evaluate a methodology for the flexible addition of risk modifying characteristics on top of SCORE2 and to quantify the added value of several clinically relevant risk modifying characteristics. Individuals without previous CVD or DM were included from the UK Biobank; Atherosclerosis Risk in Communities (ARIC); Multi-Ethnic Study of Atherosclerosis (MESA); European Prospective Investigation into Cancer, The Netherlands (EPIC-NL); and Heinz Nixdorf Recall (HNR) studies (n = 409 757) in whom 16 166 CVD events and 19 149 non-cardiovascular deaths were observed over exactly 10.0 years of follow-up. The effect of each possible risk modifying characteristic was derived using competing risk-adjusted Fine and Gray models. The risk modifying characteristics were applied to individual predictions with a flexible method using the population prevalence and the subdistribution hazard ratio (SHR) of the relevant predictor. Risk modifying characteristics that increased discrimination most were CAC percentile with 0.0198 [95% confidence interval (CI) 0.0115; 0.0281] and hs-Troponin-T with 0.0100 (95% CI 0.0063; 0.0137). External validation was performed in the Clinical Practice Research Datalink (CPRD) cohort (UK, n = 518 015, 12 675 CVD events). Adjustment of SCORE2-predicted risks with both single and multiple risk modifiers did not negatively affect calibration and led to a modest increase in discrimination [0.740 (95% CI 0.736-0.745) vs. unimproved SCORE2 risk C-index 0.737 (95% CI 0.732-0.741)]. The current paper presents a method on how to integrate possible risk modifying characteristics that are not included in existing CVD risk models for the prediction of CVD event risk in apparently healthy people. This flexible methodology improves the accuracy of predicted risks and increases applicability of prediction models for individuals with additional risk known modifiers.</t>
  </si>
  <si>
    <t>Is our destiny written in our genes? A sentence or an opportunity to prevent cardiovascular diseases?</t>
  </si>
  <si>
    <t>Artola Arita, Vicente; Hernández Vargas, Juliana Alexandra; Franco, Oscar H</t>
  </si>
  <si>
    <t>https://pubmed.ncbi.nlm.nih.gov/37418636</t>
  </si>
  <si>
    <t>Potential determinants of antibody responses after vaccination against SARS-CoV-2 in older persons: the Doetinchem Cohort Study.</t>
  </si>
  <si>
    <t>Kuijpers, Yunus; Picavet, H Susan J; de Rond, Lia; de Zeeuw-Brouwer, Mary-Lène; Rutkens, Ryanne; Gijsbers, Esther; Slits, Irene; Engelfriet, Peter; Buisman, Anne-Marie; Verschuren, W M Monique</t>
  </si>
  <si>
    <t>immunity ageing i a</t>
  </si>
  <si>
    <t>https://pubmed.ncbi.nlm.nih.gov/37880758</t>
  </si>
  <si>
    <t>Immune responses to vaccination vary widely between individuals. The aim of this study was to identify health-related variables potentially underlying the antibody responses to SARS-CoV-2 vaccination in older persons. We recruited participants in the long-running Doetinchem Cohort Study (DCS) who underwent vaccination as part of the national COVID-19 program, and measured antibody concentrations to SARS-CoV-2 Spike protein (S1) and Nucleoprotein (N) at baseline (T0), and a month after both the first vaccination (T1), and the second vaccination (T2). Associations between the antibody concentrations and demographic variables, including age, sex, socio-economic status (SES), comorbidities (cardiovascular diseases and immune mediated diseases), various health parameters (cardiometabolic markers, inflammation markers, kidney- and lung function) and a composite measure of frailty ('frailty index', ranging from 0 to 1) were tested using multivariate models. We included 1457 persons aged 50 to 92 years old. Of these persons 1257 were infection naïve after their primary vaccination series. The majority (N = 954) of these individuals were vaccinated with two doses of BNT162b2 (Pfizer) and their data were used for further analysis. A higher frailty index was associated with lower anti-S1 antibody responses at T1 and T2 for both men (R&lt;sub&gt;T1&lt;/sub&gt; = -0.095, P&lt;sub&gt;T1&lt;/sub&gt; = 0.05; R&lt;sub&gt;T2&lt;/sub&gt; = -0.11, P&lt;sub&gt;T2&lt;/sub&gt; = 0.02) and women (R&lt;sub&gt;T1&lt;/sub&gt; = -0.24, P&lt;sub&gt;T1&lt;/sub&gt; &lt; 0.01; R&lt;sub&gt;T2&lt;/sub&gt; = -0.15, P&lt;sub&gt;T2&lt;/sub&gt; &lt; 0.01). After correcting for age and sex the frailty index was also associated with the relative increase in anti-S1 IgG concentrations between the two vaccinations (β = 1.6, P &lt; 0.01). Within the construct of frailty, history of a cardiac catheterization, diabetes, gastrointestinal disease, a cognitive speed in the lowest decile of the population distribution, and impaired lung function were associated with lower antibody responses after both vaccinations. Components of frailty play a key role in the primary vaccination response to the BNT162b2 vaccine within an ageing population. Older persons with various comorbidities have a lowered immune response after their first vaccination, and while frail and sick older persons see a stronger increase after their second vaccination compared to healthy people, they still have a lower antibody response after their second vaccination.</t>
  </si>
  <si>
    <t>Per- and polyfluoroalkyl substances (PFAS) exposure and thyroid cancer risk.</t>
  </si>
  <si>
    <t>van Gerwen, Maaike; Colicino, Elena; Guan, Haibin; Dolios, Georgia; Nadkarni, Girish N; Vermeulen, Roel C H; Wolff, Mary S; Arora, Manish; Genden, Eric M; Petrick, Lauren M</t>
  </si>
  <si>
    <t>ebiomedicine</t>
  </si>
  <si>
    <t>https://pubmed.ncbi.nlm.nih.gov/37884429</t>
  </si>
  <si>
    <t>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(OR&lt;sub&gt;adj&lt;/sub&gt;) and 95% confidence intervals (CI). There was a 56% increased rate of thyroid cancer diagnosis per doubling of linear perfluorooctanesulfonic acid (n-PFOS) intensity (OR&lt;sub&gt;adj&lt;/sub&gt;, 1.56, 95% CI: 1.17-2.15, P = 0.004); results were similar when including patients with papillary thyroid cancer only (OR&lt;sub&gt;adj&lt;/sub&gt;, 1.56, 95% CI: 1.13-2.21, P = 0.009). This positive association remained in subset analysis investigating exposure timing including 31 thyroid cancer cases diagnosed ≥1 year after plasma sample collection (OR&lt;sub&gt;adj&lt;/sub&gt;, 2.67, 95% CI: 1.59-4.88, P &lt; 0.001).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National Institutes of Health grants and The Andrea and Charles Bronfman Philanthropies.</t>
  </si>
  <si>
    <t>Digital Twins in Healthcare: Methodological Challenges and Opportunities.</t>
  </si>
  <si>
    <t>Meijer, Charles; Uh, Hae-Won; El Bouhaddani, Said</t>
  </si>
  <si>
    <t>journal of personalized medicine</t>
  </si>
  <si>
    <t>https://pubmed.ncbi.nlm.nih.gov/37888133</t>
  </si>
  <si>
    <t>One of the most promising advancements in healthcare is the application of digital twin technology, offering valuable applications in monitoring, diagnosis, and development of treatment strategies tailored to individual patients. Furthermore, digital twins could also be helpful in finding novel treatment targets and predicting the effects of drugs and other chemical substances in development. In this review article, we consider digital twins as virtual counterparts of real human patients. The primary aim of this narrative review is to give an in-depth look into the various data sources and methodologies that contribute to the construction of digital twins across several healthcare domains. Each data source, including blood glucose levels, heart MRI and CT scans, cardiac electrophysiology, written reports, and multi-omics data, comes with different challenges regarding standardization, integration, and interpretation. We showcase how various datasets and methods are used to overcome these obstacles and generate a digital twin. While digital twin technology has seen significant progress, there are still hurdles in the way to achieving a fully comprehensive patient digital twin. Developments in non-invasive and high-throughput data collection, as well as advancements in modeling and computational power will be crucial to improve digital twin systems. We discuss a few critical developments in light of the current state of digital twin technology. Despite challenges, digital twin research holds great promise for personalized patient care and has the potential to shape the future of healthcare innovation.</t>
  </si>
  <si>
    <t>Why the grass isn't always greener on the machine learning side.</t>
  </si>
  <si>
    <t>de Hond, Anne; Huisman, Menno; Van Smeden, Maarten</t>
  </si>
  <si>
    <t>european journal of internal medicine</t>
  </si>
  <si>
    <t>https://pubmed.ncbi.nlm.nih.gov/37879970</t>
  </si>
  <si>
    <t>Myopia progression in children during home confinement in the COVID-19 pandemic: A systematic review and meta-analysis.</t>
  </si>
  <si>
    <t>Laan, Daisy; Tan, Emily T C; Huis In Het Veld, Paulien I; Jellema, Hinke Marijke; Jenniskens, Kevin</t>
  </si>
  <si>
    <t>journal of optometry</t>
  </si>
  <si>
    <t>https://pubmed.ncbi.nlm.nih.gov/37879184</t>
  </si>
  <si>
    <t>Myopia is a growing pandemic, especially in children, who risk low vision later in life. Home confinement during the COVID-19 pandemic may have increased myopia progression through increased screentime, decreased time outdoors and increased near work activities. The aim of this study is to compare progression of myopia in children during home confinement period in the COVID-19 pandemic with pre-COVID-19 progression. On January 2023 PubMed, EMBASE and Cochrane were searched for relevant studies. Studies meeting the following criteria were eligible for inclusion: children (under 18 years), home confinement due to COVID-19, spherical equivalent refractive (SER) and axial length (AL) measurements and a follow-up period to measure progression. Quality appraisal was performed by two reviewers independently using the Joanna Briggs Institute tool for cohort studies. Outcomes for myopia were assessed through meta-analysis, analyzing SER (random effects) and AL (fixed effects). Hundred and two articles were identified in the search, of which five studies were included in the analysis. Risk of bias is moderate with a few critical flaws in the studies. Myopia progressed more rapidly during the COVID-19 pandemic compared to the pre-COVID-19 period, both in terms of SER (-0.83D [95 %CI, -1.22, -0.43] and AL (0.36 mm [95 %CI, 0.13, 0.39]). Progression of myopia during the COVID-19 pandemic accelerated more rapidly compared to the pre-COVID-19 period. Impact of home confinement on myopia may be considered when future lockdown measures are being contemplated.</t>
  </si>
  <si>
    <t>Adenoidectomy for otitis media with effusion (OME) in children.</t>
  </si>
  <si>
    <t>MacKeith, Samuel; Mulvaney, Caroline A; Galbraith, Kevin; Webster, Katie E; Paing, Aye; Connolly, Rachel; Marom, Tal; Daniel, Mat; Venekamp, Roderick P; Schilder, Anne Gm</t>
  </si>
  <si>
    <t>https://pubmed.ncbi.nlm.nih.gov/37870083</t>
  </si>
  <si>
    <t>Otitis media with effusion (OME) is an accumulation of fluid in the middle ear cavity, common amongst young children. The fluid may cause hearing loss. When persistent, it may lead to developmental delay, social difficulty and poor quality of life. Management of OME includes watchful waiting, autoinflation, medical and surgical treatment. Adenoidectomy has often been used as a potential treatment for this condition. To assess the benefits and harms of adenoidectomy, either alone or in combination with ventilation tubes (grommets), for OME in children. The Cochrane ENT Information Specialist searched the Cochrane ENT Register; Central Register of Controlled Trials (CENTRAL); Ovid MEDLINE; Ovid Embase; Web of Science; ClinicalTrials.gov; ICTRP and additional sources for published and unpublished trials. The date of the search was 20 January 2023. Randomised controlled trials and quasi-randomised trials in children aged 6 months to 12 years with unilateral or bilateral OME. We included studies that compared adenoidectomy (alone, or in combination with ventilation tubes) with either no treatment or non-surgical treatment. We used standard Cochrane methods. Primary outcomes (determined following a multi-stakeholder prioritisation exercise): 1) hearing, 2) otitis media-specific quality of life, 3) haemorrhage. 1) persistence of OME, 2) adverse effects, 3) receptive language skills, 4) speech development, 5) cognitive development, 6) psychosocial skills, 7) listening skills, 8) generic health-related quality of life, 9) parental stress, 10) vestibular function, 11)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included 10 studies (1785 children). Many of the studies used concomitant interventions for all participants, including insertion of ventilation tubes or myringotomy. All included studies had at least some concerns regarding the risk of bias. We report results for our main outcome measures at the longest available follow-up. We did not identify any data on disease-specific quality of life for any of the comparisons. Further details of additional outcomes and time points are reported in the review. 1) Adenoidectomy (with or without myringotomy) versus no treatment/watchful waiting (three studies) After 12 months there was little difference in the proportion of children whose hearing had returned to normal, but the evidence was very uncertain (adenoidectomy 68%, no treatment 70%; risk ratio (RR) 0.97, 95% confidence interval (CI) 0.65 to 1.46; number needed to treat to benefit (NNTB) 50; 1 study, 42 participants). There is a risk of haemorrhage from adenoidectomy, but the absolute risk appears small (1/251 receiving adenoidectomy compared to 0/229, Peto odds ratio (OR) 6.77, 95% CI 0.13 to 342.54; 1 study, 480 participants; moderate certainty evidence). The risk of persistent OME may be slightly lower after two years in those receiving adenoidectomy (65% versus 73%), but again the difference was small (RR 0.90, 95% CI 0.81 to 1.00; NNTB 13; 3 studies, 354 participants; very low-certainty evidence). 2) Adenoidectomy (with or without myringotomy) versus non-surgical treatment No studies were identified for this comparison. 3) Adenoidectomy and bilateral ventilation tubes versus bilateral ventilation tubes (four studies) There was a slight increase in the proportion of ears with a return to normal hearing after six to nine months (57% adenoidectomy versus 42% without, RR 1.36, 95% CI 0.98 to 1.89; NNTB 7; 1 study, 127 participants (213 ears); very low-certainty evidence). Adenoidectomy may give an increased risk of haemorrhage, but the absolute risk appears small, and the evidence was uncertain (2/416 with adenoidectomy compared to 0/375 in the control group, Peto OR 6.68, 95% CI 0.42 to 107.18; 2 studies, 791 participants). The risk of persistent OME was similar for both groups (82% adenoidectomy and ventilation tubes compared to 85% ventilation tubes alone, RR 0.96, 95% CI 0.86 to 1.07; very low-certainty evidence). 4) Adenoidectomy and unilateral ventilation tube versus unilateral ventilation tube (two studies) Slightly more children returned to normal hearing after adenoidectomy, but the confidence intervals were wide (57% versus 46%, RR 1.24, 95% CI 0.79 to 1.96; NNTB 9; 1 study, 72 participants; very low-certainty evidence). Fewer children may have persistent OME after 12 months, but again the confidence intervals were wide (27.2% compared to 40.5%, RR 0.67, 95% CI 0.35 to 1.29; NNTB 8; 1 study, 74 participants). We did not identify any data on haemorrhage. 5) Adenoidectomy and ventilation tubes versus no treatment/watchful waiting (two studies) We did not identify data on the proportion of children who returned to normal hearing. However, after two years, the mean difference in hearing threshold for those allocated to adenoidectomy was -3.40 dB (95% CI -5.54 to -1.26; 1 study, 211 participants; very low-certainty evidence). There may be a small reduction in the proportion of children with persistent OME after two years, but the evidence was very uncertain (82% compared to 90%, RR 0.91, 95% CI 0.82 to 1.01; NNTB 13; 1 study, 232 participants). We noted that many children in the watchful waiting group had also received surgery by this time point. 6) Adenoidectomy and ventilation tubes versus non-surgical treatment No studies were identified for this comparison. When assessed with the GRADE approach, the evidence for adenoidectomy in children with OME is very uncertain. Adenoidectomy may reduce the persistence of OME, although evidence about the effect of this on hearing is unclear. For patients and carers, a return to normal hearing is likely to be important, but few studies measured this outcome. We did not identify any evidence on disease-specific quality of life. There were few data on adverse effects, in particular postoperative bleeding. The risk of haemorrhage appears to be small, but should be considered when choosing a treatment strategy for children with OME. Future studies should aim to determine which children are most likely to benefit from treatment, rather than offering interventions to all children.</t>
  </si>
  <si>
    <t>Antibiotics for otitis media with effusion (OME) in children.</t>
  </si>
  <si>
    <t>Mulvaney, Caroline A; Galbraith, Kevin; Webster, Katie E; Rana, Mridul; Connolly, Rachel; Marom, Tal; Daniel, Mat; Venekamp, Roderick P; Schilder, Anne Gm; MacKeith, Samuel</t>
  </si>
  <si>
    <t>https://pubmed.ncbi.nlm.nih.gov/37870130</t>
  </si>
  <si>
    <t>Otitis media with effusion (OME) is an accumulation of fluid in the middle ear cavity, common amongst young children. The fluid may cause hearing loss. When persistent, it may lead to developmental delay, social difficulty and poor quality of life. Management of OME includes watchful waiting, autoinflation, medical and surgical treatment. Antibiotics are sometimes used to treat any bacteria present in the effusion, or associated biofilms. To assess the effects (benefits and harms) of oral antibiotics for otitis media with effusion (OME) in children. The Cochrane ENT Information Specialist searched the Cochrane ENT Register, CENTRAL, Ovid MEDLINE, Ovid Embase, Web of Science, ClinicalTrials.gov, ICTRP and additional sources for published and unpublished studies to 20 January 2023. We included randomised controlled trials and quasi-randomised trials in children aged 6 months to 12 years with unilateral or bilateral OME. We included studies that compared oral antibiotics with either placebo or no treatment. We used standard Cochrane methods. Our primary outcomes were determined following a multi-stakeholder prioritisation exercise and were: 1) hearing, 2) otitis media-specific quality of life and 3) anaphylaxis. Secondary outcomes were: 1) persistence of OME, 2) adverse effects, 3) receptive language skills, 4) speech development, 5) cognitive development, 6) psychosocial skills, 7) listening skills, 8) generic health-related quality of life, 9) parental stress, 10) vestibular function and 11)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identified 19 completed studies that met our inclusion criteria (2581 participants). They assessed a variety of oral antibiotics (including penicillins, cephalosporins, macrolides and trimethoprim), with most studies using a 10- to 14-day treatment course. We had some concerns about the risk of bias in all studies included in this review. Here we report our primary outcomes and main secondary outcome, at the longest reported follow-up time. Antibiotics versus placebo We included 11 studies for this comparison, but none reported all of our outcomes of interest and limited meta-analysis was possible. Hearing One study found that more children may return to normal hearing by two months (resolution of the air-bone gap) after receiving antibiotics as compared with placebo, but the evidence is very uncertain (Peto odds ratio (OR) 9.59, 95% confidence interval (CI) 3.51 to 26.18; 20/49 children who received antibiotics returned to normal hearing versus 0/37 who received placebo; 1 study, 86 participants; very low-certainty evidence). Disease-specific quality of life No studies assessed this outcome. Presence/persistence of OME At 6 to 12 months of follow-up, the use of antibiotics compared with placebo may slightly reduce the number of children with persistent OME, but the confidence intervals were wide, and the evidence is very uncertain (risk ratio (RR) 0.89, 95% CI 0.68 to 1.17; 48% versus 54%; number needed to treat (NNT) 17; 2 studies, 324 participants; very low-certainty evidence). Adverse event: anaphylaxis No studies provided specific data on anaphylaxis. Three of the included studies (448 children) did report adverse events in sufficient detail to assume that no anaphylactic reactions occurred, but the evidence is very uncertain (very low-certainty evidence). Antibiotics versus no treatment We included eight studies for this comparison, but very limited meta-analysis was possible. Hearing One study found that the use of antibiotics compared to no treatment may result in little to no difference in final hearing threshold at three months (mean difference (MD) -5.38 dB HL, 95% CI -9.12 to -1.64; 1 study, 73 participants; low-certainty evidence). The only data identified on the return to normal hearing were reported at 10 days of follow-up, which we considered to be too short to accurately reflect the efficacy of antibiotics. Disease-specific quality of life No studies assessed this outcome. Presence/persistence of OME Antibiotics may reduce the proportion of children who have persistent OME at up to three months of follow-up, when compared with no treatment (RR 0.64, 95% CI 0.50 to 0.80; 6 studies, 542 participants; low-certainty evidence). Adverse event: anaphylaxis No studies provided specific data on anaphylaxis. Two of the included studies (180 children) did report adverse events in sufficient detail to assume that no anaphylactic reactions occurred, but the evidence is very uncertain (very low-certainty evidence). The evidence for the use of antibiotics for OME is of low to very low certainty. Although the use of antibiotics compared to no treatment may have a slight beneficial effect on the resolution of OME at up to three months, the overall impact on hearing is very uncertain. The long-term effects of antibiotics are unclear and few of the studies included in this review reported on potential harms. These important endpoints should be considered when weighing up the potential short- and long-term benefits and harms of antibiotic treatment in a condition with a high spontaneous resolution rate.</t>
  </si>
  <si>
    <t>Clinical diagnosis of SARS-CoV-2 infection: An observational study of respiratory tract infection in primary care in the early phase of the pandemic.</t>
  </si>
  <si>
    <t>van der Velden, Alike W; Shanyinde, Milensu; Bongard, Emily; Böhmer, Femke; Chlabicz, Slawomir; Colliers, Annelies; García-Sangenís, Ana; Malania, Lile; Pauer, Jozsef; Tomacinschii, Angela; Yu, Ly-Mee; Loens, Katherine; Ieven, Margareta; Verheij, Theo J; Goossens, Herman; Vellinga, Akke; Butler, Christopher C</t>
  </si>
  <si>
    <t>https://pubmed.ncbi.nlm.nih.gov/37870070</t>
  </si>
  <si>
    <t>Early in the COVID-19 pandemic, GPs had to distinguish SARS-CoV-2 from other aetiologies in patients presenting with respiratory tract infection (RTI) symptoms on clinical grounds and adapt management accordingly. To test the diagnostic accuracy of GPs' clinical diagnosis of a SARS-CoV-2 infection in a period when COVID-19 was a new disease. To describe GPs' management of patients presenting with RTI for whom no confirmed diagnosis was available. To investigate associations between patient and clinical features with a SARS-CoV-2 infection. In April 2020-March 2021, 876 patients (9 countries) were recruited when they contacted their GP with symptoms of an RTI of unknown aetiology. A swab was taken at baseline for later analysis. Aetiology (PCR), diagnostic accuracy of GPs' clinical SARS-CoV-2 diagnosis, and patient management were explored. Factors related to SARS-CoV-2 infection were determined by logistic regression modelling. GPs suspected SARS-CoV-2 in 53% of patients whereas 27% of patients tested positive for SARS-CoV-2. True-positive patients (23%) were more intensively managed for follow-up, antiviral prescribing and advice than true-negatives (42%). False negatives (5%) were under-advised, particularly for social distancing and isolation. Older age (OR: 1.02 (1.01-1.03)), male sex (OR: 1.68 (1.16-2.41)), loss of taste/smell (OR: 5.8 (3.7-9)), fever (OR: 1.9 (1.3-2.8)), muscle aches (OR: 2.1 (1.5-3)), and a known risk factor for COVID-19 (travel, health care worker, contact with proven case; OR: 2.7 (1.8-4)) were predictive of SARS-CoV-2 infection. Absence of loss of taste/smell, fever, muscle aches and a known risk factor for COVID-19 correctly excluded SARS-CoV-2 in 92.3% of patients, whereas presence of 3, or 4 of these variables correctly classified SARS-CoV-2 in 57.7% and 87.1%. Correct clinical diagnosis of SARS-CoV-2 infection, without POC-testing available, appeared to be complicated.</t>
  </si>
  <si>
    <t>Immunoglobulin treatment for hospitalised infants and young children with respiratory syncytial virus infection.</t>
  </si>
  <si>
    <t>Sanders, Sharon L; Agwan, Sushil; Hassan, Mohamed; Bont, Louis J; Venekamp, Roderick P</t>
  </si>
  <si>
    <t>https://pubmed.ncbi.nlm.nih.gov/37870128</t>
  </si>
  <si>
    <t>Millions of children are hospitalised due to respiratory syncytial virus (RSV) infection every year. Treatment is supportive, and current therapies (e.g. inhaled bronchodilators, epinephrine, nebulised hypertonic saline, and corticosteroids) are ineffective or have limited effect. Respiratory syncytial virus immunoglobulin may be used prophylactically to prevent hospital admission from RSV-related illness. It may be considered for the treatment of established severe RSV infection or for treatment in an immunocompromised host, although it is not licensed for this purpose. It is unclear whether immunoglobulins improve outcomes when used as a treatment for established RSV infection in infants and young children admitted to hospital. This is an update of a review first published in 2019. To assess the effects of immunoglobulins for the treatment of RSV-proven lower respiratory tract infections (LRTIs) in children aged up to three years, admitted to hospital. For this 2022 update, we searched the Cochrane Central Register of Controlled Trials (CENTRAL), which contains the Cochrane Acute Respiratory Infections Specialised Register, Ovid MEDLINE, Embase, CINAHL, and Web of Science (from inception to 2 December 2022) with no restrictions. We searched two trial registries for ongoing trials (to 2 December 2022) and checked the reference lists of reviews and included articles for additional studies. Randomised controlled trials comparing immunoglobulins with placebo in hospitalised infants and children aged up to three years with laboratory-diagnosed RSV lower respiratory tract infection. Two review authors independently selected trials, assessed risk of bias, and extracted data. We assessed evidence certainty using GRADE. In total, we included eight trials involving 906 infants and children aged up to three years. We included one new trial in this update. The immunoglobulin preparations used in these trials included anti-RSV immunoglobulin and the monoclonal antibody preparations palivizumab and motavizumab. Five trials were conducted at single or multiple sites within a single high-income country (four in the USA, one in Qatar). Three trials included study sites in different countries. All three of these trials included study sites in one or more high-income countries (USA, Chile, New Zealand, Australia, Qatar), with two trials also including a study site in a middle-income country (Panama). Five of the eight trials were "supported" or "sponsored" by the trial drug manufacturers. The evidence is very uncertain about the effect of immunoglobulins on mortality (risk ratio (RR) 0.87, 95% confidence interval (CI) 0.14 to 5.27; 4 studies, 309 participants). There were four deaths - two amongst 98 children receiving immunoglobulins, and two amongst 98 children receiving placebo. One additional death occurred in a fourth trial, however the study group of the child was not known and the data were not included in the analysis (very low-certainty evidence). The use of immunoglobulins in infants and children admitted to hospital with RSV proven LRTI probably results in little to no difference in the length of hospitalisation (mean difference (MD) -0.13 days, 95% CI -0.37 to 0.12; 6 studies, 737 participants; moderate-certainty evidence). Immunoglobulins may result in little to no difference in the number of children who experience one or more adverse events of any severity or seriousness compared to placebo (RR 1.18, 95% CI 0.78 to 1.78; 5 studies, 340 participants; low-certainty evidence) or the number of children who experience one or more adverse events judged by study investigators to be serious in nature, compared to placebo (RR 1.08, 95% CI 0.65 to 1.79; 4 studies, 238 participants; low-certainty evidence). Certainty of evidence for secondary outcomes was low. This evidence suggests that use of immunoglobulins results in little to no difference in the need for, or duration of, mechanical ventilation and the need for, or duration of, supplemental oxygen. The use of immunoglobulins does not reduce the need for admission to the intensive care unit (ICU) and when children are admitted to the ICU results in little to no difference in the duration of ICU stay. We are very uncertain about the effect of immunoglobulins on mortality. We are moderately certain that use of immunoglobulins in hospitalised infants and children may result in little to no difference in the length of hospitalisation. Immunoglobulins may result in little to no difference in adverse events, the need for or duration of mechanical ventilation, supplemental oxygen, or admission to the intensive care unit, though we are less certain about this evidence and the true effect of immunoglobulins on these outcomes may differ markedly from the estimated effect observed in this review. All trials were conducted in high-income countries, and data from populations in which the rate of death from RSV infection is higher are lacking.</t>
  </si>
  <si>
    <t>A genomic appraisal of invasive Salmonella Typhimurium and associated antibiotic resistance in sub-Saharan Africa.</t>
  </si>
  <si>
    <t>Van Puyvelde, Sandra; de Block, Tessa; Sridhar, Sushmita; Bawn, Matt; Kingsley, Robert A; Ingelbeen, Brecht; Beale, Mathew A; Barbé, Barbara; Jeon, Hyon Jin; Mbuyi-Kalonji, Lisette; Phoba, Marie-France; Falay, Dadi; Martiny, Delphine; Vandenberg, Olivier; Affolabi, Dissou; Rutanga, Jean Pierre; Ceyssens, Pieter-Jan; Mattheus, Wesley; Cuypers, Wim L; van der Sande, Marianne A B; Park, Se Eun; Kariuki, Simon; Otieno, Kephas; Lusingu, John P A; Mbwana, Joyce R; Adjei, Samuel; Sarfo, Anima; Agyei, Seth O; Asante, Kwaku P; Otieno, Walter; Otieno, Lucas; Tahita, Marc C; Lompo, Palpouguini; Hoffman, Irving F; Mvalo, Tisungane; Msefula, Chisomo; Hassan-Hanga, Fatimah; Obaro, Stephen; Mackenzie, Grant; Deborggraeve, Stijn; Feasey, Nicholas; Marks, Florian; MacLennan, Calman A; Thomson, Nicholas R; Jacobs, Jan; Dougan, Gordon; Kariuki, Samuel; Lunguya, Octavie</t>
  </si>
  <si>
    <t>https://pubmed.ncbi.nlm.nih.gov/37872141</t>
  </si>
  <si>
    <t>Invasive non-typhoidal Salmonella (iNTS) disease manifesting as bloodstream infection with high mortality is responsible for a huge public health burden in sub-Saharan Africa. Salmonella enterica serovar Typhimurium (S. Typhimurium) is the main cause of iNTS disease in Africa. By analysing whole genome sequence data from 1303 S. Typhimurium isolates originating from 19 African countries and isolated between 1979 and 2017, here we show a thorough scaled appraisal of the population structure of iNTS disease caused by S. Typhimurium across many of Africa's most impacted countries. At least six invasive S. Typhimurium clades have already emerged, with ST313 lineage 2 or ST313-L2 driving the current pandemic. ST313-L2 likely emerged in the Democratic Republic of Congo around 1980 and further spread in the mid 1990s. We observed plasmid-borne as well as chromosomally encoded fluoroquinolone resistance underlying emergences of extensive-drug and pan-drug resistance. Our work provides an overview of the evolution of invasive S. Typhimurium disease, and can be exploited to target control measures.</t>
  </si>
  <si>
    <t>Measurement of the Sensitivity of Two-Particle Correlations in pp Collisions to the Presence of Hard Scatterings.</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</si>
  <si>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t>
  </si>
  <si>
    <t>https://pubmed.ncbi.nlm.nih.gov/37925689</t>
  </si>
  <si>
    <t>A key open question in the study of multiparticle production in high-energy pp collisions is the relationship between the "ridge"-i.e., the observed azimuthal correlations between particles in the underlying event that extend over all rapidities-and hard or semihard scattering processes. In particular, it is not known whether jets or their soft fragments are correlated with particles in the underlying event. To address this question, two-particle correlations are measured in pp collisions at sqrt[s]=13  TeV using data collected by the ATLAS experiment at the LHC, with an integrated luminosity of 15.8  pb^{-1}, in two different configurations. In the first case, charged particles associated with jets are excluded from the correlation analysis, while in the second case, correlations are measured between particles within jets and charged particles from the underlying event. Second-order flow coefficients, v_{2}, are presented as a function of event multiplicity and transverse momentum. These measurements show that excluding particles associated with jets does not affect the measured correlations. Moreover, particles associated with jets do not exhibit any significant azimuthal correlations with the underlying event, ruling out hard processes contributing to the ridge.</t>
  </si>
  <si>
    <t>Cardiovascular disease prevention: Community Based Asset Mapping within religious networks in a rural Sub-Saharan African neighbourhood.</t>
  </si>
  <si>
    <t>Willis, Andrew; Chatio, Samuel; Darko, Natalie; Nonterah, Engelbert A; Zakariah-Akoto, Sawudatu; Alale, Joseph; Jones, Ceri R; Curtis, Ffion; Kunutsor, Setor; Ansah, Patrick O; Seidu, Sam</t>
  </si>
  <si>
    <t>https://pubmed.ncbi.nlm.nih.gov/37862285</t>
  </si>
  <si>
    <t>Prevalence of conditions which raise cardiovascular risk, such as hypertension and type 2 diabetes are seeing a dramatic rise in Sub Saharan Africa. A large proportion of these cases remain undiagnosed and there is limited resource to provide patients with self-management support and education once diagnosed. This study aimed to identify and catalogue community-based assets for the purposes of developing and deploying a screening and education programme for cardiometabolic risk factors (diabetes and hypertension) within religious organisations in a local community in a rural Ghanaian context. We utilised a community-based form of participatory research made up of a number of different components including community-based asset mapping and stakeholder consultation, supplemented by 18 in-depth interviews and 10 focus groups with n = 115 service users, to map existing assets with relevance to cardiometabolic health in this setting and context. Thematic analysis of interview and focus group data was performed to identify themes related to successful implementation of health screening. Two stakeholder workshops with local healthcare professionals, faith leaders and health policy makers were delivered to co-produced a prioritised list of recommendations and 'asset map' to aid deployment of mass screening within faith organisations in this context. The findings of this research highlight a number of 'hidden' community assets and motivational mechanisms at an individual, community and institutional levels; these have informed a list of recommendations which have been co-developed with the stakeholder group and local community to support the development of effective screening strategies for cardiometabolic conditions within faith organisations in this context. We have identified key mechanisms and assets which would support a sustainable screening approach designed to engage an underserved community at high CVD risk to promote general community health and well-being.</t>
  </si>
  <si>
    <t>Integrated care in patients with atrial fibrillation- a predictive heterogeneous treatment effect analysis of the ALL-IN trial.</t>
  </si>
  <si>
    <t>Trinks-Roerdink, Emmy M; Geersing, Geert-Jan; van den Dries, Carline J; Hemels, Martin E W; Rienstra, Michiel; van Gelder, Isabelle C; van Smeden, Maarten; van Klaveren, David; Kent, David M; Rutten, Frans H; van Doorn, Sander</t>
  </si>
  <si>
    <t>https://pubmed.ncbi.nlm.nih.gov/37856486</t>
  </si>
  <si>
    <t>Integrated care is effective in reducing all-cause mortality in patients with atrial fibrillation (AF) in primary care, though time and resource intensive. The aim of the current study was to assess whether integrated care should be directed at all AF patients equally. The ALL-IN trial (n = 1,240 patients, median age 77 years) was a cluster-randomized trial in which primary care practices were randomized to provide integrated care or usual care to AF patients aged 65 years and older. Integrated care comprised of (i) anticoagulation monitoring, (ii) quarterly checkups and (iii) easy-access consultation with cardiologists. For the current analysis, cox proportional hazard analysis with all clinical variables from the CHA2DS2-VASc score was used to predict all-cause mortality in the ALL-IN trial. Subsequently, the hazard ratio and absolute risk reduction were plotted as a function of this predicted mortality risk to explore treatment heterogeneity. Under usual care, after a median of 2 years follow-up the absolute risk of all-cause mortality in the highest-risk quarter was 31.0%, compared to 4.6% in the lowest-risk quarter. On the relative scale, there was no evidence of treatment heterogeneity (p for interaction = 0.90). However, there was substantial treatment heterogeneity on the absolute scale: risk reduction in the lowest risk- quarter of risk 3.3% (95% CI -0.4% - 7.0) compared to 12.0% (95% CI 2.7% - 22.0) in the highest risk quarter. While the relative degree of benefit from integrated AF care is similar in all patients, patients with a high all-cause mortality risk have a greater benefit on an absolute scale and should therefore be prioritized when implementing integrated care.</t>
  </si>
  <si>
    <t>Ethical aspects of hemophilia gene therapy: a qualitative interview study with stakeholders.</t>
  </si>
  <si>
    <t>Baas, Lieke; Meijer, Karina; Driessens, Mariëtte; Bredenoord, Annelien L; van der Graaf, Rieke; ,; ,</t>
  </si>
  <si>
    <t>research and practice in thrombosis and haemostasis</t>
  </si>
  <si>
    <t>https://pubmed.ncbi.nlm.nih.gov/38077815</t>
  </si>
  <si>
    <t>There are great expectations for the potential role of gene therapy in the treatment of hemophilia. At the same time, developments in the field of hemophilia gene therapy have always raised ethical issues. It remains unknown how these ethical issues are perceived by stakeholders, particularly regarding the most recent developments in the field. To obtain insight into stakeholders' morally reasoned opinions on gene therapy for hemophilia. We conducted qualitative research with Dutch people with hemophilia (&lt;i&gt;n&lt;/i&gt; = 13), parents of children with hemophilia (&lt;i&gt;n&lt;/i&gt; = 5), physicians (&lt;i&gt;n&lt;/i&gt; = 4), nurses (&lt;i&gt;n&lt;/i&gt; = 3), a regulator (&lt;i&gt;n&lt;/i&gt; = 1), and a representative from a pharmaceutical company (&lt;i&gt;n&lt;/i&gt; = 1). We conducted semistructured interviews based on a topic list and reported the results according to the Consolidated Criteria for Reporting Qualitative Research guidelines. We identified 3 main themes. The theme &lt;i&gt;freedom and independence&lt;/i&gt; describes the hope people with hemophilia have of increasing their freedom through gene therapy, as well as concerns that gene therapy increases their dependence on their treatment center. The theme &lt;i&gt;trust and altruism&lt;/i&gt; describes how people with hemophilia have a high level of trust in their physician and treatment center as well as in scientific research. As a result of this trust, they are willing to participate in research to help other people with hemophilia. The theme &lt;i&gt;incremental benefits&lt;/i&gt; describes doubts respondents have about the added value of gene therapy compared to standard treatment. Stakeholders embrace the theoretical potential of gene therapy, while several people with hemophilia question the added value of the current gene transfer products for themselves.</t>
  </si>
  <si>
    <t>Sex differences in risk factors for incident peripheral artery disease hospitalisation or death: Cohort study of UK Biobank participants.</t>
  </si>
  <si>
    <t>Xu, Ying; Harris, Katie; Pouncey, Anna Louise; Carcel, Cheryl; Low, Gary; Peters, Sanne A E; Woodward, Mark</t>
  </si>
  <si>
    <t>https://pubmed.ncbi.nlm.nih.gov/37851596</t>
  </si>
  <si>
    <t>Women with peripheral artery disease (PAD) often have atypical symptoms, late hospital presentations, and worse prognosis. Risk factor identification and management are important. We assessed sex differences in associations of risk factors with PAD. 500,207 UK Biobank participants (54.5% women, mean age 56.5 years) without prior hospitalisation of PAD at baseline were included. Examined risk factors included blood pressure, smoking, diabetes, lipids, adiposity, history of stroke or myocardial infarction (MI), socioeconomic status, kidney function, C-reactive protein, and alcohol consumption. Poisson and Cox regressions were used to estimate sex-specific incidence of PAD hospitalisation or death, hazard ratios (HRs), and women-to-men ratios of HRs (RHR) with confidence intervals (CIs). Over a median of 12.6 years, 2658 women and 5002 men had a documented PAD. Age-adjusted incidence rates were higher in men. Most risk factors were associated with a higher risk of PAD in both sexes. Compared with men, women who were smokers or had a history of stroke or MI had a greater excess risk of PAD (relative to those who never smoked or had no history of stroke or MI): RHR 1.18 (95%CI 1.04, 1.34), 1.26 (1.02, 1.55), and 1.50 (1.25, 1.81), respectively. Higher high-density lipoprotein cholesterol (HDL-C) was more strongly associated with a lower risk of PAD in women than men, RHR 0.81 (0.68, 0.96). Compared to HDL-C at 40 to 60 mg/dL, the lowest level of HDL-C (≤40 mg/dL) was related to greater excess risk in women, RHR 1.20 (1.02, 1.41), whereas the highest level of HDL-C (&gt;80 mg/dL) was associated with lower risk of PAD in women, but higher risk in men, RHR 0.50 (0.38, 0.65). While the incidence of PAD was higher in men, smoking and a history of stroke or MI were more strongly associated with a higher risk of PAD in women than men. HDL-C was more strongly associated with a lower risk of PAD in women than men.</t>
  </si>
  <si>
    <t>Specific measures for data-intensive health research without consent: a systematic review of soft law instruments and academic literature.</t>
  </si>
  <si>
    <t>Smit, Julie-Anne R; Mostert, Menno; van der Graaf, Rieke; Grobbee, Diederick E; van Delden, Johannes J M</t>
  </si>
  <si>
    <t>european journal of human genetics ejhg</t>
  </si>
  <si>
    <t>https://pubmed.ncbi.nlm.nih.gov/37848609</t>
  </si>
  <si>
    <t>It is a common misunderstanding of current European data protection law that when consent is not being used as lawful basis, the processing of personal data is prohibited. Article 9(2)(j) of the European General Data Protection Regulation (GDPR) permits Member States to establish a legal basis in national law that allows for the processing of personal data for scientific research purposes without consent. However, the European legislator has formulated this "research exemption" as an opening clause, rendering the GDPR not specific as to what measures exactly are required to comply with the research exemption. This may have significant implications for both the protection of personal data and the advancement of data-intensive health research. We performed a systematic review of relevant soft law instruments and academic literature to identify what measures are mentioned in those documents. Our analysis resulted in the identification of four overarching themes of suggested measures: organizational measures; technical measures; oversight and review mechanisms; and public engagement and participation. Some of the suggested measures do not substantially contribute to the clarification of the GDPR's "suitable and specific measures" requirement because they remain vague or broad in nature and encompass all types of data processing. However, the themes oversight and review mechanisms and public engagement and participation provide valuable insights which can be put to practice. Nevertheless, further clarification of the measures and safeguards that should be installed when invoking the research exemption remains necessary.</t>
  </si>
  <si>
    <t>The effect of the urban exposome on COVID-19 health outcomes: A systematic review and meta-analysis.</t>
  </si>
  <si>
    <t>Houweling, Laura; Maitland-Van der Zee, Anke-Hilse; Holtjer, Judith C S; Bazdar, Somayeh; Vermeulen, Roel C H; Downward, George S; Bloemsma, Lizan D</t>
  </si>
  <si>
    <t>https://pubmed.ncbi.nlm.nih.gov/37852458</t>
  </si>
  <si>
    <t>The global severity of SARS-CoV-2 illness has been associated with various urban characteristics, including exposure to ambient air pollutants. This systematic review and meta-analysis aims to synthesize findings from ecological and non-ecological studies to investigate the impact of multiple urban-related features on a variety of COVID-19 health outcomes. On December 5, 2022, PubMed was searched to identify all types of observational studies that examined one or more urban exposome characteristics in relation to various COVID-19 health outcomes such as infection severity, the need for hospitalization, ICU admission, COVID pneumonia, and mortality. A total of 38 non-ecological and 241 ecological studies were included in this review. Non-ecological studies highlighted the significant effects of population density, urbanization, and exposure to ambient air pollutants, particularly PM&lt;sub&gt;2.5&lt;/sub&gt;. The meta-analyses revealed that a 1 μg/m&lt;sup&gt;3&lt;/sup&gt; increase in PM&lt;sub&gt;2.5&lt;/sub&gt; was associated with a higher likelihood of COVID-19 hospitalization (pooled OR 1.08 (95% CI:1.02-1.14)) and death (pooled OR 1.06 (95% CI:1.03-1.09)). Ecological studies, in addition to confirming the findings of non-ecological studies, also indicated that higher exposure to nitrogen dioxide (NO&lt;sub&gt;2&lt;/sub&gt;), ozone (O&lt;sub&gt;3&lt;/sub&gt;), sulphur dioxide (SO&lt;sub&gt;2&lt;/sub&gt;), and carbon monoxide (CO), as well as lower ambient temperature, humidity, ultraviolet (UV) radiation, and less green and blue space exposure, were associated with increased COVID-19 morbidity and mortality. This systematic review has identified several key vulnerability features related to urban areas in the context of the recent COVID-19 pandemic. The findings underscore the importance of improving policies related to urban exposures and implementing measures to protect individuals from these harmful environmental stressors.</t>
  </si>
  <si>
    <t>Increased endorsement of TRIPOD and other reporting guidelines by high impact factor journals: survey of instructions to authors.</t>
  </si>
  <si>
    <t>Heus, Pauline; Idema, Demy L; Kruithof, Emma; Damen, Johanna A A G; Verhoef-Jurgens, Maud S; Reitsma, Johannes B; Moons, Karel G M; Hooft, Lotty</t>
  </si>
  <si>
    <t>https://pubmed.ncbi.nlm.nih.gov/37852392</t>
  </si>
  <si>
    <t>To assess the endorsement of reporting guidelines by high impact factor journals over the period 2017-2022, with a specific focus on the Transparent Reporting of a multivariable prediction model for Individual Prognosis Or Diagnosis (TRIPOD) statement. We searched the online 'instructions to authors' of high impact factor medical journals in February 2017 and in January 2022 for any reference to reporting guidelines and TRIPOD in particular. In 2017, 205 out of 337 (61%) journals mentioned any reporting guideline in their instructions to authors and in 2022 this increased to 245 (73%) journals. A reference to TRIPOD was provided by 27 (8%) journals in 2017 and 67 (20%) in 2022. Of those journals mentioning TRIPOD in 2022, 22% provided a link to the TRIPOD website and 60% linked to TRIPOD information on the Enhancing the QUAlity and Transparency Of health Research (EQUATOR) Network website. Twenty-five percent of the journals required adherence to TRIPOD. About three-quarters of high-impact medical journals endorse the use of reporting guidelines and 20% endorse TRIPOD. Transparent reporting is important in enhancing the usefulness of health research and endorsement by journals plays a critical role in this.</t>
  </si>
  <si>
    <t>Personalized 3D printed scaffolds: The ethical aspects.</t>
  </si>
  <si>
    <t>van Daal, Manon; de Kanter, Anne-Floor J; Bredenoord, Annelien L; de Graeff, Nienke</t>
  </si>
  <si>
    <t>new biotechnology</t>
  </si>
  <si>
    <t>https://pubmed.ncbi.nlm.nih.gov/37848162</t>
  </si>
  <si>
    <t>Personalized 3D printed scaffolds are a new generation of implants for tissue engineering and regenerative medicine purposes. Scaffolds support cell growth, providing an artificial extracellular matrix for tissue repair and regeneration and can biodegrade once cells have assumed their physiological and structural roles. The ethical challenges and opportunities of these implants should be mapped in parallel with the life cycle of the scaffold to assist their development and implementation in a responsible, safe, and ethically sound manner. This article provides an overview of these relevant ethical aspects. We identified nine themes which were linked to three stages of the life cycle of the scaffold: the development process, clinical testing, and the implementation process. The described ethical issues are related to good research and clinical practices, such as privacy issues concerning digitalization, first-in-human trials, responsibility and commercialization. At the same time, this article also creates awareness for underexplored ethical issues, such as irreversibility, embodiment and the ontological status of these scaffolds. Moreover, it exemplifies how to include gender in the ethical assessment of new technologies. These issues are important for responsible development and implementation of personalized 3D printed scaffolds and in need of more attention within the additive manufacturing and tissue engineering field. Moreover, the insights of this review reveal unresolved qualitative empirical and normative questions that could further deepen the understanding and co-creation of the ethical implications of this new generation of implants.</t>
  </si>
  <si>
    <t>Observation of an Excess of Dicharmonium Events in the Four-Muon Final State with the ATLAS Detector.</t>
  </si>
  <si>
    <t>https://pubmed.ncbi.nlm.nih.gov/37897770</t>
  </si>
  <si>
    <t>A search is made for potential ccc[over ¯]c[over ¯] tetraquarks decaying into a pair of charmonium states in the four muon final state using proton-proton collision data at sqrt[s]=13  TeV, corresponding to an integrated luminosity of 140  fb^{-1} recorded by the ATLAS experiment at LHC. Two decay channels, J/ψ+J/ψ→4μ and J/ψ+ψ(2S)→4μ, are studied. Backgrounds are estimated based on a hybrid approach involving Monte Carlo simulations and data-driven methods. Statistically significant excesses with respect to backgrounds dominated by the single parton scattering are seen in the di-J/ψ channel consistent with a narrow resonance at 6.9 GeV and a broader structure at lower mass. A statistically significant excess is also seen in the J/ψ+ψ(2S) channel. The fitted masses and decay widths of the structures are reported.</t>
  </si>
  <si>
    <t>Observation of the γγ→ττ Process in Pb+Pb Collisions and Constraints on the τ-Lepton Anomalous Magnetic Moment with the ATLAS Detector.</t>
  </si>
  <si>
    <t>https://pubmed.ncbi.nlm.nih.gov/37897746</t>
  </si>
  <si>
    <t>This Letter reports the observation of τ-lepton-pair production in ultraperipheral lead-lead collisions Pb+Pb→Pb(γγ→ττ)Pb and constraints on the τ-lepton anomalous magnetic moment a_{τ}. The dataset corresponds to an integrated luminosity of 1.44  nb^{-1} of LHC Pb+Pb collisions at sqrt[s_{NN}]=5.02  TeV recorded by the ATLAS experiment in 2018. Selected events contain one muon from a τ-lepton decay, an electron or charged-particle track(s) from the other τ-lepton decay, little additional central-detector activity, and no forward neutrons. The γγ→ττ process is observed in Pb+Pb collisions with a significance exceeding 5 standard deviations and a signal strength of μ_{ττ}=1.03_{-0.05}^{+0.06} assuming the standard model value for a_{τ}. To measure a_{τ}, a template fit to the muon transverse-momentum distribution from τ-lepton candidates is performed, using a dimuon (γγ→μμ) control sample to constrain systematic uncertainties. The observed 95% confidence-level interval for a_{τ} is -0.057&lt;a_{τ}&lt;0.024.</t>
  </si>
  <si>
    <t>Barriers and facilitators for implementation of a combined lifestyle intervention in community-dwelling older adults: a scoping review.</t>
  </si>
  <si>
    <t>frontiers in public health</t>
  </si>
  <si>
    <t>https://pubmed.ncbi.nlm.nih.gov/37900029</t>
  </si>
  <si>
    <t>Lifestyle interventions, combining nutrition and exercise, are effective in improving the physical functioning of community-dwelling older adults and preventing healthcare risks due to loss in muscle mass. However, the potential of these types of interventions is not being fully exploited due to insufficient implementation. Having insight into the determinants that could hinder or facilitate the implementation of a combined lifestyle intervention could improve the development of matching implementation strategies and enhance the implementation of such lifestyle interventions. The aim of this study was to identify barriers and facilitators for the successful implementation of a combined lifestyle intervention for community-dwelling older adults. A scoping review was conducted. A literature search was conducted in four electronic databases, and references were checked for additional inclusion. Studies were screened if they met the inclusion criteria. Barriers and facilitators were extracted from the included studies. To validate the results of the literature search, healthcare professionals and community-dwelling older adults were interviewed. Barriers and facilitators were categorized by two researchers according to the constructs of the Consolidated Framework for Implementation Research (CFIR). The search identified 12,364 studies, and 23 were found eligible for inclusion in the review. Barriers and facilitators for 26 of the 39 constructs of the CFIR were extracted. The interviews with healthcare professionals and older adults yielded six extra barriers and facilitators for implementation, resulting in determinants for 32 of the 39 CFIR constructs. According to literature and healthcare professionals, cosmopolitanism (network with external organizations), patient needs and resources, readiness for implementation, costs, knowledge and beliefs about the intervention, network and communication, and engaging were found to be the most important determinants for implementation of a combined lifestyle intervention. A broad range of barriers and facilitators across all domains of the CFIR framework emerged in this study. The results of this review reflect on determinants that should be taken into account when planning for the implementation of a combined lifestyle intervention. A further step in the implementation process is the development of implementation strategies aiming at the identified determinants to enhance the implementation of a combined lifestyle intervention in community care.</t>
  </si>
  <si>
    <t>Experiences and perceptions of continuous deep sedation: An interview study among Dutch patients and relatives.</t>
  </si>
  <si>
    <t>Jonker, Louise Annemoon; Heijltjes, Madelon T; Rietjens, Judith A C; van der Heide, Agnes; Hendriksen, Geeske; van Delden, Johannes J M; van Thiel, Ghislaine J M W</t>
  </si>
  <si>
    <t>https://pubmed.ncbi.nlm.nih.gov/37822095</t>
  </si>
  <si>
    <t>The incidence of continuous deep sedation (CDS) has more than doubled over the last decade in The Netherlands, while reasons for this increase are not fully understood. Patients and relatives have an essential role in deciding on CDS. We hypothesize that the increase in CDS practice is related to the changing role of patients and relatives in deciding on CDS. To describe perceptions and experiences of patients and relatives with regard to CDS. This insight may help professionals and policymakers to better understand and respond to the evolving practice of CDS. Qualitative interviews were held with patients and relatives who had either personal experience with CDS as a relative or had contemplated CDS for themselves. The vast majority of respondents appreciated CDS as a palliative care option, and none of the respondents reported (moral) objections to CDS. The majority of respondents prioritized avoiding suffering at the end of life. The patients and families generally considered CDS a palliative care option for which they can choose. Likewise, according to our respondents, the decision to start CDS was made by them, instead of the physician. Negative experiences with CDS care were mostly related to loss of sense of agency, due to insufficient communication or information provision by healthcare professionals. Lack of continuity of care was also a source of distress. We observed a variety in the respondents' understanding of the distinction between CDS and other end-of-life care decisions, including euthanasia. Some perceived CDS as hastening death. The traditional view of CDS as a last resort option for a physician to relieve a patient's suffering at the end of life is not explicit among patients and relatives. Instead, our results show that they perceive CDS as a regular palliative care option. Along with this normalization of CDS, patients and relatives claim a substantial say in the decision-making and are mainly motivated by a wish to avoid suffering and exercise control at the end of life. These distinct views on CDS of patients, their relatives and healthcare providers should be reconciled in guidelines and protocols for CDS. One of the authors in our team (G. H.) has experience with CDS as a relative and ensured that the patient/relative viewpoint was adequately reflected in the design and conduct of our study. In the preliminary phase of our study, G. H. adjusted the topic list so it was better adapted to the current practice of CDS. During the data analysis, G. H. read several interviews and took part in the open and critical discussion on central themes and core concepts as an important member of the author team, thereby guaranteeing the central position of the patient/relative perspective in our final research outcome.</t>
  </si>
  <si>
    <t>Strategies to improve interpersonal communication along the continuum of maternal and newborn care: A scoping review and narrative synthesis.</t>
  </si>
  <si>
    <t>Olde Loohuis, Klaartje M; de Kok, Bregje C; Bruner, Winter; Jonker, Annemoon; Salia, Emmanuella; Tunçalp, Özge; Portela, Anayda; Mehrtash, Hedieh; Grobbee, Diederick E; Srofeneyoh, Emmanuel; Adu-Bonsaffoh, Kwame; Brown Amoakoh, Hannah; Amoakoh-Coleman, Mary; Browne, Joyce L</t>
  </si>
  <si>
    <t>https://pubmed.ncbi.nlm.nih.gov/37819950</t>
  </si>
  <si>
    <t>Effective interpersonal communication is essential to provide respectful and quality maternal and newborn care (MNC). This scoping review mapped, categorized, and analysed strategies implemented to improve interpersonal communication within MNC up to 42 days after birth. Twelve bibliographic databases were searched for quantitative and qualitative studies that evaluated interventions to improve interpersonal communication between health workers and women, their partners or newborns' families. Eligible studies were published in English between January 1st 2000 and July 1st 2020. In addition, communication studies in reproduction related domains in sexual and reproductive health and rights were included. Data extracted included study design, study population, and details of the communication intervention. Communication strategies were analysed and categorized based on existing conceptualizations of communication goals and interpersonal communication processes. A total of 138 articles were included. These reported on 128 strategies to improve interpersonal communication and were conducted in Europe and North America (n = 85), Sub-Saharan Africa (n = 12), Australia and New Zealand (n = 10), Central and Southern Asia (n = 9), Latin America and the Caribbean (n = 6), Northern Africa and Western Asia (n = 4) and Eastern and South-Eastern Asia (n = 2). Strategies addressed three communication goals: facilitating exchange of information (n = 97), creating a good interpersonal relationship (n = 57), and/or enabling the inclusion of women and partners in the decision making (n = 41). Two main approaches to strengthen interpersonal communication were identified: training health workers (n = 74) and using tools (n = 63). Narrative analysis of these interventions led to an update of an existing communication framework. The categorization of different forms of interpersonal communication strategy can inform the design, implementation and evaluation of communication improvement strategies. While most interventions focused on information provision, incorporating other communication goals (building a relationship, inclusion of women and partners in decision making) could further improve the experience of care for women, their partners and the families of newborns.</t>
  </si>
  <si>
    <t>The association of resilience with self-care and quality of life in people with chronic obstructive pulmonary disease: A cross-sectional study.</t>
  </si>
  <si>
    <t>Pouw, Tamara; de Man-van Ginkel, Janneke; Hardeman, Johannes A; Mager, Johannes-Jurgen; Trapman, Lian; Jaarsma, Tiny; Weldam, Saskia</t>
  </si>
  <si>
    <t>nursing open</t>
  </si>
  <si>
    <t>https://pubmed.ncbi.nlm.nih.gov/37817549</t>
  </si>
  <si>
    <t>To investigate the association of resilience with self-care and quality of life in people with chronic obstructive pulmonary disease. Cross-sectional study. Data were collected between February and May 2021. Self-care was measured with the self-care of chronic illness inventory, quality of life was measured with the clinical chronic obstructive pulmonary disease questionnaire and resilience was measured with the resilience evaluation scale. Possible confounders were included (sex, age, smoking, time since diagnosis of chronic obstructive pulmonary disease, educational level, social support and pulmonary function). Multiple regression analysis was performed among the determinants, confounders and both outcomes. Participants scored fairly well on resilience (mean 22.5). Self-care scored reasonably well (mean maintenance 65.9, mean monitoring 70.9, mean management 59.9 and mean confidence 71.5). Quality of life scored mediocre (mean 2.6). The results of the linear multiple regression were resilience, which is associated with self-care confidence and quality of life when adjusted for possible confounders. This means people with chronic obstructive pulmonary disease with higher resilience have better self-care confidence and higher quality of life. The outcome contributes to strengthening nursing care and further developing nurses' knowledge. The results can contribute to increasing awareness for healthcare professionals that resilience can potentially increase self-care and quality of life.</t>
  </si>
  <si>
    <t>Epigenetic and Metabolomic Biomarkers for Biological Age: A Comparative Analysis of Mortality and Frailty Risk.</t>
  </si>
  <si>
    <t>Kuiper, Lieke M; Polinder-Bos, Harmke A; Bizzarri, Daniele; Vojinovic, Dina; Vallerga, Costanza L; Beekman, Marian; Dollé, E T; Ghanbari, Mohsen; Voortman, Trudy; Reinders, Marcel J T; Verschuren, W M Monique; Slagboom, P Eline; van den Akker, Erik B; van Meurs, Joyce B J</t>
  </si>
  <si>
    <t>https://pubmed.ncbi.nlm.nih.gov/37303208</t>
  </si>
  <si>
    <t>Biological age captures a person's age-related risk of unfavorable outcomes using biophysiological information. Multivariate biological age measures include frailty scores and molecular biomarkers. These measures are often studied in isolation, but here we present a large-scale study comparing them. In 2 prospective cohorts (n = 3 222), we compared epigenetic (DNAm Horvath, DNAm Hannum, DNAm Lin, DNAm epiTOC, DNAm PhenoAge, DNAm DunedinPoAm, DNAm GrimAge, and DNAm Zhang) and metabolomic-based (MetaboAge and MetaboHealth) biomarkers in reflection of biological age, as represented by 5 frailty measures and overall mortality. Biomarkers trained on outcomes with biophysiological and/or mortality information outperformed age-trained biomarkers in frailty reflection and mortality prediction. DNAm GrimAge and MetaboHealth, trained on mortality, showed the strongest association with these outcomes. The associations of DNAm GrimAge and MetaboHealth with frailty and mortality were independent of each other and of the frailty score mimicking clinical geriatric assessment. Epigenetic, metabolomic, and clinical biological age markers seem to capture different aspects of aging. These findings suggest that mortality-trained molecular markers may provide novel phenotype reflecting biological age and strengthen current clinical geriatric health and well-being assessment.</t>
  </si>
  <si>
    <t>Author Correction: Enhancer hijacking at the ARHGAP36 locus is associated with connective tissue to bone transformation.</t>
  </si>
  <si>
    <t>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t>
  </si>
  <si>
    <t>https://pubmed.ncbi.nlm.nih.gov/37813867</t>
  </si>
  <si>
    <t>Dietary amino acids and risk of stroke subtypes: a prospective analysis of 356,000 participants in seven European countries.</t>
  </si>
  <si>
    <t>Tong, Tammy Y N; Clarke, Robert; Schmidt, Julie A; Huybrechts, Inge; Noor, Urwah; Forouhi, Nita G; Imamura, Fumiaki; Travis, Ruth C; Weiderpass, Elisabete; Aleksandrova, Krasimira; Dahm, Christina C; van der Schouw, Yvonne T; Overvad, Kim; Kyrø, Cecilie; Tjønneland, Anne; Kaaks, Rudolf; Katzke, Verena; Schiborn, Catarina; Schulze, Matthias B; Mayen-Chacon, Ana-Lucia; Masala, Giovanna; Sieri, Sabina; de Magistris, Maria Santucci; Tumino, Rosario; Sacerdote, Carlotta; Boer, Jolanda M A; Verschuren, W M Monique; Brustad, Magritt; Nøst, Therese Haugdahl; Crous-Bou, Marta; Petrova, Dafina; Amiano, Pilar; Huerta, José María; Moreno-Iribas, Conchi; Engström, Gunnar; Melander, Olle; Johansson, Kristina; Lindvall, Kristina; Aglago, Elom K; Heath, Alicia K; Butterworth, Adam S; Danesh, John; Key, Timothy J</t>
  </si>
  <si>
    <t>european journal of nutrition</t>
  </si>
  <si>
    <t>https://pubmed.ncbi.nlm.nih.gov/37804448</t>
  </si>
  <si>
    <t>Previously reported associations of protein-rich foods with stroke subtypes have prompted interest in the assessment of individual amino acids. We examined the associations of dietary amino acids with risks of ischaemic and haemorrhagic stroke in the EPIC study. We analysed data from 356,142 participants from seven European countries. Dietary intakes of 19 individual amino acids were assessed using validated country-specific dietary questionnaires, calibrated using additional 24-h dietary recalls. Multivariable-adjusted Cox regression models were used to estimate hazard ratios (HRs) and 95% confidence intervals (CIs) of ischaemic and haemorrhagic stroke in relation to the intake of each amino acid. The role of blood pressure as a potential mechanism was assessed in 267,642 (75%) participants. After a median follow-up of 12.9 years, 4295 participants had an ischaemic stroke and 1375 participants had a haemorrhagic stroke. After correction for multiple testing, a higher intake of proline (as a percent of total protein) was associated with a 12% lower risk of ischaemic stroke (HR per 1 SD higher intake 0.88; 95% CI 0.82, 0.94). The association persisted after mutual adjustment for all other amino acids, systolic and diastolic blood pressure. The inverse associations of isoleucine, leucine, valine, phenylalanine, threonine, tryptophan, glutamic acid, serine and tyrosine with ischaemic stroke were each attenuated with adjustment for proline intake. For haemorrhagic stroke, no statistically significant associations were observed in the continuous analyses after correcting for multiple testing. Higher proline intake may be associated with a lower risk of ischaemic stroke, independent of other dietary amino acids and blood pressure.</t>
  </si>
  <si>
    <t>Effect of Physical Exercise on MRI-Assessed Brain Perfusion in Chemotherapy-Treated Breast Cancer Patients: A Randomized Controlled Trial.</t>
  </si>
  <si>
    <t>Koevoets, Emmie W; Petr, Jan; Monninkhof, Evelyn M; Geerlings, Mirjam I; Witlox, Lenja; van der Wall, Elsken; Stuiver, Martijn M; Sonke, Gabe S; Velthuis, Miranda J; Jobsen, Jan J; van der Palen, Job; Mutsaerts, Henk J M M; de Ruiter, Michiel B; May, Anne M; Schagen, Sanne B; ,</t>
  </si>
  <si>
    <t>journal of magnetic resonance imaging jmri</t>
  </si>
  <si>
    <t>https://pubmed.ncbi.nlm.nih.gov/37801027</t>
  </si>
  <si>
    <t>Exercise is a promising intervention to alleviate cognitive problems in breast cancer patients, but studies on mechanisms underlying these effects are lacking. Investigating whether an exercise intervention can affect cerebral blood flow (CBF) in cognitively impaired breast cancer patients and to determine if CBF changes relate to memory function. Prospective. A total of 181 chemotherapy-treated stage I-III breast cancer patients with cognitive problems and relatively low physical activity levels (≤150 minutes moderate to vigorous physical activity per week), divided into an exercise (N = 91) or control group (N = 90). Two-dimensional echo planar pseudo-continuous arterial spin labeling CBF sequence at 3 T. The 6-month long intervention consisted of (supervised) aerobic and strength training, 4 × 1 hour/week. Measurements at baseline (2-4 years post-diagnosis) and after 6 months included gray matter CBF in the whole brain, hippocampus, anterior cingulate cortex, and posterior cingulate cortex. Physical fitness and memory function were also assessed. Subgroup analyses were performed in patients with high fatigue levels at baseline. Multiple regression analyses with a two-sided alpha of 0.05 for all analyses. There was a significant improvement in physical fitness (VO&lt;sub&gt;2peak&lt;/sub&gt; in mL/minute/kg) in the intervention group (N = 53) compared to controls (N = 51, β = 1.47 mL/minute/kg, 95% CI: 0.44-2.50). However, no intervention effects on CBF were found (eg, whole brain: P = 0.565). Highly fatigued patients showed larger but insignificant treatment effects on CBF (eg, whole brain: P = 0.098). Additionally, irrespective of group, a change in physical fitness was positively associated with changes in CBF (eg, whole brain: β = 0.75, 95% CI: 0.07-1.43). There was no significant relation between CBF changes and changes in memory performance. The exercise intervention did not affect CBF of cognitively affected breast cancer patients. A change in physical fitness was associated with changes in CBF, but changes in CBF were not associated with memory functioning. 1 TECHNICAL EFFICACY STAGE: 5.</t>
  </si>
  <si>
    <t>Individual mental health patterns and the role of lifestyle among ageing adults over 20 years - the Doetinchem Cohort Study.</t>
  </si>
  <si>
    <t>Menassa, M; Wesenhagen, Kej; Stronks, K; Franco, O H; Verschuren, Wmm; Picavet, Hsj</t>
  </si>
  <si>
    <t>archives of gerontology and geriatrics</t>
  </si>
  <si>
    <t>https://pubmed.ncbi.nlm.nih.gov/37839196</t>
  </si>
  <si>
    <t>We explored the prevalence of individual mental health patterns and the role of lifestyle factors over 20 years. We used data from the Doetinchem Cohort Study (1995-2019), a population-based study amongst adults (26-90 years) examined every five years in the Netherlands. Participants were classified in five pre-defined mental health patterns (persistent good, persistent poor, worsening, improving, varying) over 20 years (five rounds) using the MHI-5 questionnaire. BMI, sleep, smoking, alcohol consumption, and physical activity were dichotomised as healthy/unhealthy based on guidelines. The role of lifestyle at baseline (t1), 20 years later (t5), and longitudinally over 20 years (using pre-defined patterns) was explored using logistic regression. Most participants had good mental health at t1 (85 %) and t5 (88 %). Over 20 years, 67 % followed a persistent good mental health pattern, 30 % a changing pattern, and 3 % a persistent poor pattern. Persistent poor and changing patterns were associated with unhealthy sleep and smoking at t1, t5, and with the 20-year unhealthy patterns. Persistent poor mental health was associated with stable unhealthy and changing sleep (OR=5.58(2.48-12.54) and OR=2.07(1.14-3.74), respectively), and with stable unhealthy and changing smoking (OR=3.35(1.58-7.11) and OR=2.53(1.40-4.57), respectively). Changing mental health was associated with changing (OR=1.54(1.26-1.88) and OR=1.64(1.30-2.07), respectively) and stable unhealthy (OR=1.80(1.23-2.64) and OR=2.24(1.60-3.14), respectively) sleep and smoking, respectively. Persistent good and changing mental health patterns were more common than poor mental health in adults and were associated with smoking and sleep. Clarifying the underlying mechanisms and directionality between mental health and lifestyle could improve interventions.</t>
  </si>
  <si>
    <t>The effect of six-month oral vitamin K supplementation on calcification propensity time in individuals with type 2 diabetes mellitus: A post hoc analysis of a randomized, double-blind, placebo-controlled trial.</t>
  </si>
  <si>
    <t>Meer, R; Romero Prats, M L; Vervloet, M G; van der Schouw, Y T; de Jong, P A; Beulens, J W J</t>
  </si>
  <si>
    <t>atherosclerosis</t>
  </si>
  <si>
    <t>https://pubmed.ncbi.nlm.nih.gov/37852868</t>
  </si>
  <si>
    <t>Experimental studies suggested that vitamin K supplementation may retard arterial calcification. Recently, serum calcification propensity time (T&lt;sub&gt;50&lt;/sub&gt;) has been suggested as a functional biomarker for arterial wall calcification propensity. In this post-hoc analysis of a clinical trial, we evaluated the effect of six-month oral vitamin K supplementation on T&lt;sub&gt;50&lt;/sub&gt; and assessed the correlation between T&lt;sub&gt;50&lt;/sub&gt; and imaging arterial calcification parameters in people with type 2 diabetes (T2DM). This double-blind, randomized, placebo-controlled trial included 68 participants (age = 69 ± 8 years, 76% male) with T2DM. Participants were assigned to menaquinone-7 (360 μg/day; n = 35) or placebo (n = 33). T&lt;sub&gt;50&lt;/sub&gt; was measured via nephelometry in serum collected at baseline, three and six months. Arterial calcification was measured at baseline and six months via &lt;sup&gt;18&lt;/sup&gt;F-Na PET-CT and conventional CT using Target-to-Background ratio (TBR) and Agatston score. Longitudinal analysis of covariance adjusted for baseline T&lt;sub&gt;50&lt;/sub&gt; was used to study the treatment effect. Spearman's correlation was used to assess the correlation between T&lt;sub&gt;50&lt;/sub&gt; and imaging calcification parameters. Median baseline T&lt;sub&gt;50&lt;/sub&gt; was similar in the vitamin K (350 [321-394] minutes) and placebo groups (363 [320-398]). There was no significant difference in T&lt;sub&gt;50&lt;/sub&gt; between treatment arms over time (ẞ = 1.00, 95%C.I. = 0.94-1.07, p = 0.982). The correlation coefficient of T&lt;sub&gt;50&lt;/sub&gt; with TBR and Agatston score at baseline were -0.185 (p = 0.156) and -0.121 (p = 0.358), respectively. No effect of vitamin K supplementation on T&lt;sub&gt;50&lt;/sub&gt; was observed in T2DM. Moreover, T&lt;sub&gt;50&lt;/sub&gt; did not correlate with TBR and Agatston score. Further research on vitamin K in arterial calcification and on the validity of T&lt;sub&gt;50&lt;/sub&gt; as arterial calcification marker is warranted.</t>
  </si>
  <si>
    <t>Statin Use and Coronary Artery Calcification: a Systematic Review and Meta-analysis of Observational Studies and Randomized Controlled Trials.</t>
  </si>
  <si>
    <t>Shahraki, Mitra Nekouei; Jouabadi, Soroush Mohammadi; Bos, Daniel; Stricker, Bruno H; Ahmadizar, Fariba</t>
  </si>
  <si>
    <t>current atherosclerosis reports</t>
  </si>
  <si>
    <t>https://pubmed.ncbi.nlm.nih.gov/37796384</t>
  </si>
  <si>
    <t>This review aimed to determine the association between statin use and coronary artery calcification (CAC), as detected by computed tomography in the general population, in previously published observational studies (OSs) and randomized controlled trials (RCTs). A systematic search until February 2022 identified 41 relevant studies, comprising 29 OSs and 12 RCTs. We employed six meta-analysis models, stratifying studies based on design and effect metrics. For cohort studies, the pooled β of the association with CAC quantified by the Agatston score was 0.11 (95% CI = 0.05; 0.16), with an average follow-up time per person (AFTP) of 3.68 years. Cross-sectional studies indicated a pooled odds ratio of 2.11 (95% CI = 1.61; 2.78) for the presence of CAC. In RCTs, the pooled standardized mean differences (SMDs) for CAC, quantified by Agatston score or volume, over and AFTP of 1.25 years were not statistically significant (SMD =  - 0.06, 95% CI =  - 0.19; 0.06 and SMD = 0.26, 95% CI =  - 0.66; 1.19), but significantly different (p-value = 0.04). Meta-regression and subgroup analyses did not show any significant differences in pooled estimates across covariates. The effect of statins on CAC differs across study designs. OSs demonstrate associations between statin use and higher CAC scores and presence while being prone to confounding by indication. Effects from RCTs do not reach statistical significance and vary depending on the quantification method, hampering drawing conclusions. Further investigations are required to address the limitations inherent in each approach.</t>
  </si>
  <si>
    <t>How to support children to develop and express their coping preferences around minor invasive medical procedures: children's and parents' perspectives.</t>
  </si>
  <si>
    <t>Segers, Elisabeth W; Ketelaar, Marjolijn; de Man, Marjorie A C P; Schoonhoven, Lisette; van de Putte, Elise M; van den Hoogen, Agnes</t>
  </si>
  <si>
    <t>https://pubmed.ncbi.nlm.nih.gov/37787922</t>
  </si>
  <si>
    <t>Invasive medical procedures in hospitals are major sources of stress in children, causing pain and fear. Non-pharmacological interventions are indispensable in effective pain and fear management. However, these interventions must be personalized to be effective. This qualitative study aims to gain insight into children's and parents' experiences, needs, and wishes related to supporting children to develop and express their coping preferences for dealing with pain and fear during minor invasive medical procedures in order to decrease pain and fear. A qualitative study using thematic analysis was performed. Data were collected through semi-structured interviews with children and parents who had undergone at least five minor invasive medical procedures in the last year. Nineteen children (8-18 years) and fourteen parents were interviewed individually. The experiences, needs, and wishes expressed in the interviews could be classified into one overarching theme, that of the personal process, and two content-related sub-themes: feeling trust and gaining control. The personal process was divided into two different phases, that of developing and of expressing coping preferences. Children and parents both reported it as a continuous process, different for every child, with their own unique needs. Children and parents expected personalized attention and tailored support from professionals.     Conclusion: Professionals must combine clinical skills with child-tailored care. In the process of searching for and communicating about coping preferences, children's unique needs and personal boundaries will thereby be respected. This gives children and parents increased trust and control during invasive medical procedures. What is Known: • Untreated pain and stress caused by medical procedures can have severe and important short- and long-term consequences for children. Personalized non-pharmacological interventions are an essential element of procedural pain management. What is New: • A personalized coping strategy is important for children when undergoing medical procedures. Each individual child has a personal way of expressing their own coping strategy. Children and their parents need information and the space to develop and express their individual coping preferences. • Children and parents expect to receive child-tailored care from professionals including respect for their own, unique needs and boundaries. Professionals should build trustful relationships and provide appropriately tailored autonomy around medical procedures.</t>
  </si>
  <si>
    <t>Postoperative Staphylococcus aureus Infections in Patients With and Without Preoperative Colonization.</t>
  </si>
  <si>
    <t>Troeman, Darren P R; Hazard, Derek; Timbermont, Leen; Malhotra-Kumar, Surbhi; van Werkhoven, Cornelis H; Wolkewitz, Martin; Ruzin, Alexey; Goossens, Herman; Bonten, Marc J M; Harbarth, Stephan; Sifakis, Frangiscos; Kluytmans, Jan A J W; ,; Vlaeminck, Jelle; Vilken, Tuba; Xavier, Basil Britto; Lammens, Christine; van Esschoten, Marjolein; Paling, Fleur P; Recanatini, Claudia; Coenjaerts, Frank; Sellman, Bret; Tkaczyk, Christine; Weber, Susanne; Ekkelenkamp, Miquel Bart; van der Laan, Lijckle; Vierhout, Bastiaan P; Couvé-Deacon, Elodie; David, Miruna; Chadwick, David; Llewelyn, Martin J; Ustianowski, Andrew; Bateman, Antony; Mawer, Damian; Carevic, Biljana; Konstantinovic, Sonja; Djordjevic, Zorana; Del Toro-López, María Dolores; Gallego, Juan Pablo Horcajada; Escudero, Dolores; Rojo, Miquel Pujol; Torre-Cisneros, Julian; Castelli, Francesco; Nardi, Giuseppe; Barbadoro, Pamela; Altmets, Mait; Mitt, Piret; Todor, Adrian; Bubenek-Turconi, Serban-Ion; Corneci, Dan; Sandesc, Dorel; Gheorghit</t>
  </si>
  <si>
    <t>https://pubmed.ncbi.nlm.nih.gov/37906196</t>
  </si>
  <si>
    <t>Staphylococcus aureus surgical site infections (SSIs) and bloodstream infections (BSIs) are important complications of surgical procedures for which prevention remains suboptimal. Contemporary data on the incidence of and etiologic factors for these infections are needed to support the development of improved preventive strategies. To assess the occurrence of postoperative S aureus SSIs and BSIs and quantify its association with patient-related and contextual factors. This multicenter cohort study assessed surgical patients at 33 hospitals in 10 European countries who were recruited between December 16, 2016, and September 30, 2019 (follow-up through December 30, 2019). Enrolled patients were actively followed up for up to 90 days after surgery to assess the occurrence of S aureus SSIs and BSIs. Data analysis was performed between November 20, 2020, and April 21, 2022. All patients were 18 years or older and had undergone 11 different types of surgical procedures. They were screened for S aureus colonization in the nose, throat, and perineum within 30 days before surgery (source population). Both S aureus carriers and noncarriers were subsequently enrolled in a 2:1 ratio. Preoperative S aureus colonization. The main outcome was cumulative incidence of S aureus SSIs and BSIs estimated for the source population, using weighted incidence calculation. The independent association of candidate variables was estimated using multivariable Cox proportional hazards regression models. In total, 5004 patients (median [IQR] age, 66 [56-72] years; 2510 [50.2%] female) were enrolled in the study cohort; 3369 (67.3%) were S aureus carriers. One hundred patients developed S aureus SSIs or BSIs within 90 days after surgery. The weighted cumulative incidence of S aureus SSIs or BSIs was 2.55% (95% CI, 2.05%-3.12%) for carriers and 0.52% (95% CI, 0.22%-0.91%) for noncarriers. Preoperative S aureus colonization (adjusted hazard ratio [AHR], 4.38; 95% CI, 2.19-8.76), having nonremovable implants (AHR, 2.00; 95% CI, 1.15-3.49), undergoing mastectomy (AHR, 5.13; 95% CI, 1.87-14.08) or neurosurgery (AHR, 2.47; 95% CI, 1.09-5.61) (compared with orthopedic surgery), and body mass index (AHR, 1.05; 95% CI, 1.01-1.08 per unit increase) were independently associated with S aureus SSIs and BSIs. In this cohort study of surgical patients, S aureus carriage was associated with an increased risk of developing S aureus SSIs and BSIs. Both modifiable and nonmodifiable etiologic factors were associated with this risk and should be addressed in those at increased S aureus SSI and BSI risk.</t>
  </si>
  <si>
    <t>Apolipoprotein-CIII &lt;i&gt;O&lt;/i&gt;-Glycosylation, a Link between &lt;i&gt;GALNT2&lt;/i&gt; and Plasma Lipids.</t>
  </si>
  <si>
    <t>Naber, Annemieke; Demus, Daniel; Slieker, Roderick; Nicolardi, Simone; Beulens, Joline W J; Elders, Petra J M; Lieverse, Aloysius G; Sijbrands, Eric J G; 't Hart, Leen M; Wuhrer, Manfred; van Hoek, Mandy</t>
  </si>
  <si>
    <t>international journal of molecular sciences</t>
  </si>
  <si>
    <t>https://pubmed.ncbi.nlm.nih.gov/37834292</t>
  </si>
  <si>
    <t>Apolipoprotein-CIII (apo-CIII) is involved in triglyceride-rich lipoprotein metabolism and linked to beta-cell damage, insulin resistance, and cardiovascular disease. Apo-CIII exists in four main proteoforms: non-glycosylated (apo-CIII&lt;sub&gt;0a&lt;/sub&gt;), and glycosylated apo-CIII with zero, one, or two sialic acids (apo-CIII&lt;sub&gt;0c&lt;/sub&gt;, apo-CIII&lt;sub&gt;1&lt;/sub&gt; and apo-CIII&lt;sub&gt;2&lt;/sub&gt;). Our objective is to determine how apo-CIII glycosylation affects lipid traits and type 2 diabetes prevalence, and to investigate the genetic basis of these relations with a genome-wide association study (GWAS) on apo-CIII glycosylation. We conducted GWAS on the four apo-CIII proteoforms in the DiaGene study in people with and without type 2 diabetes (&lt;i&gt;n&lt;/i&gt; = 2318). We investigated the relations of the identified genetic loci and apo-CIII glycosylation with lipids and type 2 diabetes. The associations of the genetic variants with lipids were replicated in the Diabetes Care System (&lt;i&gt;n&lt;/i&gt; = 5409). Rs4846913-A, in the &lt;i&gt;GALNT2&lt;/i&gt;-gene, was associated with decreased apo-CIII&lt;sub&gt;0a&lt;/sub&gt;. This variant was associated with increased high-density lipoprotein cholesterol and decreased triglycerides, while high apo-CIII&lt;sub&gt;0a&lt;/sub&gt; was associated with raised high-density lipoprotein-cholesterol and triglycerides. Rs67086575-G, located in the &lt;i&gt;IFT172&lt;/i&gt;-gene, was associated with decreased apo-CIII&lt;sub&gt;2&lt;/sub&gt; and with hypertriglyceridemia. In line, apo-CIII&lt;sub&gt;2&lt;/sub&gt; was associated with low triglycerides. On a genome-wide scale, we confirmed that the &lt;i&gt;GALNT2&lt;/i&gt;-gene plays a major role i &lt;i&gt;O&lt;/i&gt;-glycosylation of apolipoprotein-CIII, with subsequent associations with lipid parameters. We newly identified the &lt;i&gt;IFT172&lt;/i&gt;/&lt;i&gt;NRBP1&lt;/i&gt; region, in the literature previously associated with hypertriglyceridemia, as involved in apolipoprotein-CIII sialylation and hypertriglyceridemia. These results link genomics, glycosylation, and lipid metabolism, and represent a key step towards unravelling the importance of &lt;i&gt;O&lt;/i&gt;-glycosylation in health and disease.</t>
  </si>
  <si>
    <t>Are maternal vaccines effective and safe for mothers and infants? A systematic review and meta-analysis of randomised controlled trials.</t>
  </si>
  <si>
    <t>de Bruin, Odette; Phijffer, Emily; Ahmadizar, Fariba; van der Maas, Nicoline; Wildenbeest, Joanne; Sturkenboom, Miriam; Bont, Louis; Bloemenkamp, Kitty</t>
  </si>
  <si>
    <t>bmj global health</t>
  </si>
  <si>
    <t>https://pubmed.ncbi.nlm.nih.gov/37899087</t>
  </si>
  <si>
    <t>Maternal vaccination is a promising strategy to reduce the burden of vaccine-preventable diseases for mothers and infants. We aimed to provide an up-to-date overview of the efficacy and safety of all available maternal vaccines. We searched PubMed, Embase, CENTRAL and ClinicalTrials.gov on 1 February 2022, for phase III and IV randomised controlled trials (RCTs) that compared maternal vaccination against any pathogen with placebo or no vaccination. Primary outcomes were laboratory-confirmed or clinically confirmed disease in mothers and infants. Secondary safety outcomes included intrauterine growth restriction, stillbirth, maternal death, preterm birth, congenital malformations and infant death. Random effects meta-analysis were used to calculate pooled risk ratio's (RR). Quality appraisal was performed using the Grading of Recommendations, Assessment, Development and Evaluation (GRADE). Six RCTs on four maternal vaccines, influenza, tetanus, diphtheria and pertussis (Tdap), pneumococcal and respiratory syncytial virus (RSV) were eligible. The overall risk of bias and certainty of evidence varied from low to high. Maternal influenza vaccination significantly reduced the number of laboratory-confirmed influenza cases (RR 0.58, 95% CI 0.42 to 0.79, event rate 57 vs 98, 2 RCTs, n=6003, I&lt;sup&gt;2&lt;/sup&gt;=0%), and clinically confirmed influenza cases in mothers (RR 0.88, 95% CI 0.78 to 0.99, event rate 418 vs 472, 2 RCTs, n=6003, I&lt;sup&gt;2&lt;/sup&gt;=0%), and laboratory-confirmed influenza in infants (RR 0.66, 95% CI 0.52 to 0.85, event rate 98 vs 148, 2 RCTs, n=5883, I&lt;sup&gt;2&lt;/sup&gt;=0%), although this was not significant for clinically confirmed influenza in infants (RR 0.99, 95% CI 0.94 to 1.05, event rate 1371 vs 1378, 2 RCTs, n=5883, I&lt;sup&gt;2&lt;/sup&gt;=0%). No efficacy data were available on maternal Tdap vaccination. Maternal pneumococcal vaccination did not reduce laboratory-confirmed and clinically confirmed middle ear disease (RR 0.49, 95% CI 0.24 to 1.02, event rate 9 vs 18, 1 RCT, n=133 and RR 0.88 95% CI 0.69 to 1.12, event rate 42 vs 47, 1 RCT, n=133, respectively), and clinically confirmed lower-respiratory tract infection (LRTI) (RR 1.08, 95% CI 0.82 to 1.43, event rate 18 vs 34, 1 RCT, n=70) in infants. Maternal RSV vaccination did not reduce laboratory-confirmed RSV LRTI in infants (RR 0.75, 95% CI 0.56 to 1.01, event rate 103 vs 71, 1 RCT, n=4527). There was no evidence of a significant effect of any of the maternal vaccines on the reported safety outcomes. The few RCTs with low event rates suggest that, depending on the type of maternal vaccine, the vaccine might effectively prevent disease and within its size does not show safety concerns in mothers and infants. CRD42021235115.</t>
  </si>
  <si>
    <t>Effects of exercise during chemotherapy for breast cancer on long-term cardiovascular toxicity.</t>
  </si>
  <si>
    <t>Naaktgeboren, Willeke R; Stuiver, Martijn M; van Harten, Wim H; Aaronson, Neil K; Scott, Jessica M; Sonke, Gabe; van der Wall, Elsken; Velthuis, Miranda; Leiner, Tim; Teske, Arco J; May, Anne M; Groen, Wim G</t>
  </si>
  <si>
    <t>https://pubmed.ncbi.nlm.nih.gov/37903570</t>
  </si>
  <si>
    <t>Animal data suggest that exercise during chemotherapy is cardioprotective, but clinical evidence to support this is limited. This study evaluated the effect of exercise during chemotherapy for breast cancer on long-term cardiovascular toxicity. This is a follow-up study of two previously performed randomised trials in patients with breast cancer allocated to exercise during chemotherapy or non-exercise controls. Cardiac imaging parameters, including T1 mapping (native T1, extracellular volume fraction (ECV)), left ventricular ejection fraction (LVEF) and global longitudinal strain (GLS), cardiorespiratory fitness, and physical activity levels, were acquired 8.5 years post-treatment. In total, 185 breast cancer survivors were included (mean age 58.9±7.8 years), of whom 99% and 18% were treated with anthracyclines and trastuzumab, respectively. ECV and Native T1 were 25.3%±2.5% and 1026±51 ms in the control group, and 24.6%±2.8% and 1007±44 ms in the exercise group, respectively. LVEF was borderline normal in both groups, with an LVEF&lt;50% prevalence of 22.5% (n=40/178) in all participants. Compared with control, native T1 was statistically significantly lower in the exercise group (β=-20.16, 95% CI -35.35 to -4.97). We found no effect of exercise on ECV (β=-0.69, 95% CI -1.62 to 0.25), LVEF (β=-1.36, 95% CI -3.45 to 0.73) or GLS (β=0.31, 95% CI -0.76 to 1.37). Higher self-reported physical activity levels during chemotherapy were significantly associated with better native T1 and ECV. In long-term breast cancer survivors, exercise and being more physically active during chemotherapy were associated with better structural but not functional cardiac parameters. The high prevalence of cardiac dysfunction calls for additional research on cardioprotective measures, including alternative exercise regimens. NTR7247.</t>
  </si>
  <si>
    <t>Effective communication in palliative care from the perspectives of patients and relatives: A systematic review.</t>
  </si>
  <si>
    <t>Engel, Marijanne; Kars, Marijke C; Teunissen, Saskia C C M; van der Heide, Agnes</t>
  </si>
  <si>
    <t>palliative supportive care</t>
  </si>
  <si>
    <t>https://pubmed.ncbi.nlm.nih.gov/37646464</t>
  </si>
  <si>
    <t>In palliative care, effective communication is essential to adequately meet the needs and preferences of patients and their relatives. Effective communication includes exchanging information, facilitates shared decision-making, and promotes an empathic care relationship. We explored the perspectives of patients with an advanced illness and their relatives on effective communication with health-care professionals. A systematic review was conducted. We searched Embase, Medline, Web of Science, CINAHL, and Cochrane for original empirical studies published between January 1, 2015 and March 4, 2021. In total, 56 articles on 53 unique studies were included. We found 7 themes that from the perspectives of patients and relatives contribute to effective communication: (1) open and honest information. However, this open and honest communication can also trigger anxiety, stress, and existential disruption. Patients and relatives also indicated that they preferred (2) health-care professionals aligning to the patient's and relative's process of uptake and coping with information; (3) empathy; (4) clear and understandable language; (5) leaving room for positive coping strategies, (6) committed health-care professionals taking responsibility; and (7) recognition of relatives in their role as caregiver. Most studies in this review concerned communication with physicians in a hospital setting. Most patients and relatives appreciate health-care professionals to not only pay attention to strictly medical issues but also to who they are as a person and the process they are going through. More research is needed on effective communication by nurses, in nonhospital settings and on communication by health-care professionals specialized in palliative care.</t>
  </si>
  <si>
    <t>Correction: Distinct germline genetic susceptibility profiles identified for common non-Hodgkin lymphoma subtypes.</t>
  </si>
  <si>
    <t>Berndt, Sonja I; Vijai, Joseph; Benavente, Yolanda; Camp, Nicola J; Nieters, Alexandra; Wang, Zhaoming; Smedby, Karin E; Kleinstern, Geffen; Hjalgrim, Henrik; Besson, Caroline; Skibola, Christine F; Morton, Lindsay M; Brooks-Wilson, Angela R; Teras, Lauren R; Breeze, Charles; Arias, Joshua; Adami, Hans-Olov; Albanes, Demetrius; Anderson, Kenneth C; Ansell, Stephen M; Bassig, Bryan; Becker, Nikolaus; Bhatti, Parveen; Birmann, Brenda M; Boffetta, Paolo; Bracci, Paige M; Brennan, Paul; Brown, Elizabeth E; Burdett, Laurie; Cannon-Albright, Lisa A; Chang, Ellen T; Chiu, Brian C H; Chung, Charles C; Clavel, Jacqueline; Cocco, Pierluigi; Colditz, Graham; Conde, Lucia; Conti, David V; Cox, David G; Curtin, Karen; Casabonne, Delphine; De Vivo, Immaculata; Diepstra, Arjan; Diver, W Ryan; Dogan, Ahmet; Edlund, Christopher K; Foretova, Lenka; Fraumeni, Joseph F; Gabbas, Attilio; Ghesquières, Hervé; Giles, Graham G; Glaser, Sally; Glenn, Martha; Glimelius, Bengt; Gu, Jian; Habermann, Thomas M; Haim</t>
  </si>
  <si>
    <t>leukemia</t>
  </si>
  <si>
    <t>https://pubmed.ncbi.nlm.nih.gov/37666943</t>
  </si>
  <si>
    <t>Symptomatic benefits of testosterone treatment in patient subgroups: a systematic review, individual participant data meta-analysis, and aggregate data meta-analysis.</t>
  </si>
  <si>
    <t>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t>
  </si>
  <si>
    <t>https://pubmed.ncbi.nlm.nih.gov/37804846</t>
  </si>
  <si>
    <t>Testosterone replacement therapy is known to improve sexual function in men younger than 40 years with pathological hypogonadism. However, the extent to which testosterone alleviates sexual dysfunction in older men and men with obesity is unclear, despite the fact that testosterone is being increasingly prescribed to these patient populations. We aimed to evaluate whether subgroups of men with low testosterone derive any symptomatic benefit from testosterone treatment. We did a systematic review and meta-analysis to evaluate characteristics associated with symptomatic benefit of testosterone treatment versus placebo in men aged 18 years and older with a baseline serum total testosterone concentration of less than 12 nmol/L. We searched major electronic databases (MEDLINE, Embase, Science Citation Index, and the Cochrane Central Register of Controlled Trials) and clinical trial registries for reports published in English between Jan 1, 1992, and Aug 27, 2018. Anonymised individual participant data were requested from the investigators of all identified trials. Primary (cardiovascular) outcomes from this analysis have been published previously. In this report, we present the secondary outcomes of sexual function, quality of life, and psychological outcomes at 12 months. We did a one-stage individual participant data meta-analysis with a random-effects linear regression model, and a two-stage meta-analysis integrating individual participant data with aggregated data from studies that did not provide individual participant data. This study is registered with PROSPERO, CRD42018111005. 9871 citations were identified through database searches. After exclusion of duplicates and publications not meeting inclusion criteria, 225 full texts were assessed for inclusion, of which 109 publications reporting 35 primary studies (with a total 5601 participants) were included. Of these, 17 trials provided individual participant data (3431 participants; median age 67 years [IQR 60-72]; 3281 [97%] of 3380 aged ≥40 years) Compared with placebo, testosterone treatment increased 15-item International Index of Erectile Function (IIEF-15) total score (mean difference 5·52 [95% CI 3·95-7·10]; τ&lt;sup&gt;2&lt;/sup&gt;=1·17; n=1412) and IIEF-15 erectile function subscore (2·14 [1·40-2·89]; τ&lt;sup&gt;2&lt;/sup&gt;=0·64; n=1436), reaching the minimal clinically important difference for mild erectile dysfunction. These effects were not found to be dependent on participant age, obesity, presence of diabetes, or baseline serum total testosterone. However, absolute IIEF-15 scores reached during testosterone treatment were subject to thresholds in patient age and baseline serum total testosterone. Testosterone significantly improved Aging Males' Symptoms score, and some 12-item or 36-item Short Form Survey quality of life subscores compared with placebo, but it did not significantly improve psychological symptoms (measured by Beck Depression Inventory). In men aged 40 years or older with baseline serum testosterone of less than 12 nmol/L, short-to-medium-term testosterone treatment could provide clinically meaningful treatment for mild erectile dysfunction, irrespective of patient age, obesity, or degree of low testosterone. However, due to more severe baseline symptoms, the absolute level of sexual function reached during testosterone treatment might be lower in older men and men with obesity. National Institute for Health and Care Research Health Technology Assessment Programme.</t>
  </si>
  <si>
    <t>The marginality principle revisited: Should "higher-order" terms always be accompanied by "lower-order" terms in regression analyses?</t>
  </si>
  <si>
    <t>Morris, Tim P; van Smeden, Maarten; Pham, Tra My</t>
  </si>
  <si>
    <t>biometrical journal biometrische zeitschrift</t>
  </si>
  <si>
    <t>https://pubmed.ncbi.nlm.nih.gov/37775940</t>
  </si>
  <si>
    <t>The marginality principle guides analysts to avoid omitting lower-order terms from models in which higher-order terms are included as covariates. Lower-order terms are viewed as "marginal" to higher-order terms. We consider how this principle applies to three cases: regression models that may include the ratio of two measured variables; polynomial transformations of a measured variable; and factorial arrangements of defined interventions. For each case, we show that which terms or transformations are considered to be lower-order, and therefore marginal, depends on the scale of measurement, which is frequently arbitrary. Understanding the implications of this point leads to an intuitive understanding of the curse of dimensionality. We conclude that the marginality principle may be useful to analysts in some specific cases but caution against invoking it as a context-free recipe.</t>
  </si>
  <si>
    <t>Regularized parametric survival modeling to improve risk prediction models.</t>
  </si>
  <si>
    <t>Hoogland, J; Debray, T P A; Crowther, M J; Riley, R D; IntHout, J; Reitsma, J B; Zwinderman, A H</t>
  </si>
  <si>
    <t>https://pubmed.ncbi.nlm.nih.gov/37775946</t>
  </si>
  <si>
    <t>We propose to combine the benefits of flexible parametric survival modeling and regularization to improve risk prediction modeling in the context of time-to-event data. Thereto, we introduce ridge, lasso, elastic net, and group lasso penalties for both log hazard and log cumulative hazard models. The log (cumulative) hazard in these models is represented by a flexible function of time that may depend on the covariates (i.e., covariate effects may be time-varying). We show that the optimization problem for the proposed models can be formulated as a convex optimization problem and provide a user-friendly R implementation for model fitting and penalty parameter selection based on cross-validation. Simulation study results show the advantage of regularization in terms of increased out-of-sample prediction accuracy and improved calibration and discrimination of predicted survival probabilities, especially when sample size was relatively small with respect to model complexity. An applied example illustrates the proposed methods. In summary, our work provides both a foundation for and an easily accessible implementation of regularized parametric survival modeling and suggests that it improves out-of-sample prediction performance.</t>
  </si>
  <si>
    <t>Prevalence, patterns, and determinants of multimorbidity among childhood and adult cancer survivors: A systematic review.</t>
  </si>
  <si>
    <t>Asogwa, Ogechukwu A; Quansah, Dan Yedu; Boakye, Daniel; Ezewuiro, Obiageli Ntukogu; Boateng, Daniel</t>
  </si>
  <si>
    <t>critical reviews in oncologyhematology</t>
  </si>
  <si>
    <t>https://pubmed.ncbi.nlm.nih.gov/37778707</t>
  </si>
  <si>
    <t>Development of multimorbidity is common among cancer survivors due to their previous cancer, treatments, or changes in lifestyle. We summarized evidence on the prevalence, patterns, and determinants of multimorbidity among childhood and adult cancer survivors. We searched PubMed and EMBASE databases for articles reporting prevalence, patterns, and determinants of multimorbidity in cancer survivors. Finally, 23/500 articles were included. There was a large variation in the prevalence of multimorbidity (13-89%) among cancer survivors. Bone marrow transplantation, radiation, female sex, lower level of physical activity, increasing age, minority ethnicity, low-income, and low-education were associated with a higher prevalence of multimorbidity. Patterns of multimorbidity were both concordant and discordant. In conclusion, multimorbidity is highly prevalent and a major concern among cancer survivors. A personalized care plan that takes into account the identified risk may be beneficial to reduce the burden of multimorbidity and improve the quality of life among cancer survivors.</t>
  </si>
  <si>
    <t>The impact of Bacillus Calmette-Guérin vaccination on antibody response after COVID-19 vaccination.</t>
  </si>
  <si>
    <t>Taks, Esther J M; Moorlag, Simone J C F M; Föhse, Konstantin; Simonetti, Elles; van der Gaast-de Jongh, Christa E; van Werkhoven, Cornelis H; Bonten, Marc J M; Oever, Jaap Ten; de Jonge, Marien I; van de Wijgert, Janneke H H M; Netea, Mihai G</t>
  </si>
  <si>
    <t>iscience</t>
  </si>
  <si>
    <t>https://pubmed.ncbi.nlm.nih.gov/37860692</t>
  </si>
  <si>
    <t>Earlier studies showed that BCG vaccination improves antibody responses of subsequent vaccinations. Similarly, in older volunteers we found an increased IgG receptor-binding domain (RBD) concentration after SARS-CoV-2 infection if they were recently vaccinated with BCG. This study aims to assess the effect of BCG on the serum antibody concentrations induced by COVID-19 vaccination in a population of adults older than 60 years. Serum was collected from 1,555 participants of the BCG-CORONA-ELDERLY trial a year after BCG or placebo, and we analyzed the anti-SARS-CoV-2 antibody concentrations using a fluorescent-microsphere-based multiplex immunoassay. Individuals who received the full primary COVID-19 vaccination series before serum collection and did not test positive for SARS-CoV-2 between inclusion and serum collection were included in analyses (n = 945). We found that BCG vaccination before first COVID-19 vaccine (median 347 days [IQR 329-359]) did not significantly impact the IgG RBD concentration after COVID-19 vaccination in an older European population.</t>
  </si>
  <si>
    <t>Incidence and individual risk prediction of post-COVID-19 cardiovascular disease in the general population: a multivariable prediction model development and validation study.</t>
  </si>
  <si>
    <t>la Roi-Teeuw, Hannah M; van Smeden, Maarten; Geersing, Geert-Jan; Klungel, Olaf H; Rutten, Frans H; Souverein, Patrick C; van Doorn, Sander</t>
  </si>
  <si>
    <t>european heart journal open</t>
  </si>
  <si>
    <t>https://pubmed.ncbi.nlm.nih.gov/38046622</t>
  </si>
  <si>
    <t>Previous studies suggest relatively increased cardiovascular risk after COVID-19 infection. This study assessed incidence and explored individual risk and timing of cardiovascular disease occurring post-COVID-19 in a large primary care database. Data were extracted from the UK's Clinical Practice Research Datalink. Incidence rates within 180 days post-infection were estimated for arterial or venous events, inflammatory heart disease, and new-onset atrial fibrillation or heart failure. Next, multivariable logistic regression models were developed on 220 751 adults with COVID-19 infection before 1 December 2020 using age, sex and traditional cardiovascular risk factors. All models were externally validated in (i) 138 034 vaccinated and (ii) 503 404 unvaccinated adults with a first COVID-19 infection after 1 December 2020. Discriminative performance and calibration were evaluated with internal and external validation. Increased incidence rates were observed up to 60 days after COVID-19 infection for venous and arterial cardiovascular events and new-onset atrial fibrillation, but not for inflammatory heart disease or heart failure, with the highest rate for venous events (13 per 1000 person-years). The best prediction models had &lt;i&gt;c&lt;/i&gt;-statistics of 0.90 or higher. However, &lt;5% of adults had a predicted 180-day outcome-specific risk larger than 1%. These rare outcomes complicated calibration. Risks of arterial and venous cardiovascular events and new-onset atrial fibrillation are increased within the first 60 days after COVID-19 infection in the general population. Models' &lt;i&gt;c&lt;/i&gt;-statistics suggest high discrimination, but because of the very low absolute risks, they are insufficient to inform individual risk management.</t>
  </si>
  <si>
    <t>Biomarker-confirmed suboptimal adherence to isoniazid preventive therapy among children with HIV in western Kenya.</t>
  </si>
  <si>
    <t>Onyango, Dickens Otieno; van der Sande, Marianne A B; Yuen, Courtney M; Were, Joyce; Mecha, Jerphason; Njagi, Lilian N; Panpradist, Nuttada; Matemo, Daniel; Leon, Daniel; Lutz, Barry; Kinuthia, John; John-Stewart, Grace; Lacourse, Sylvia M</t>
  </si>
  <si>
    <t>aids london england</t>
  </si>
  <si>
    <t>https://pubmed.ncbi.nlm.nih.gov/37773037</t>
  </si>
  <si>
    <t>The aim of this study was to assess the level and correlates of biomarker-confirmed adherence to isoniazid (INH) preventive therapy (IPT) among children with HIV (CLHIV). This prospective cohort study assessed adherence among CLHIV on IPT in public sector HIV clinics from 2019 through 2020. Adherence was assessed by pill counts or caregiver or self-reports, and urine biomarkers (in-house dipstick and Isoscreen). Both urine biomarker tests detect INH metabolites within 48 h of ingestion. Consistent adherence was defined as having positive results on either biomarker at all visits. Correlates of biomarker-confirmed nonadherence at each visit were evaluated using generalized estimating equations. The in-house dipstick was validated using Isoscreen as the reference. Among 97 CLHIV on IPT with adherence assessments, median age was 10 years (IQR 7-13). All were on ART at IPT initiation (median duration 46 months [IQR 4-89]); 81% were virally suppressed (&lt;1000 copies/ml). At all visits, 59% ( n  = 57) of CLHIV reported taking at least 80% of their doses, while 39% ( n  = 38) had biomarker-confirmed adherence. Viral nonsuppression (adjusted risk ratio [aRR] = 1.65; 95% confidence interval [95% CI] 1.09-2.49) and the sixth month of IPT use (aRR = 2.49; 95% CI 1.34-4.65) were independent correlates of biomarker-confirmed nonadherence at each visit. Sensitivity and specificity of the in-house dipstick were 98.1% ( 94.7 - 99.6%) and 94.7% ( 88.1 - 98.3%) , respectively, versus Isoscreen. Biomarker-confirmed adherence to IPT was sub-optimal and was associated with viral nonsuppression and duration of IPT. Urine dipstick testing may be useful in assessing adherence to IPT in clinical care.</t>
  </si>
  <si>
    <t>Neuropsychiatric sequelae following extracorporeal membrane oxygenation in the intensive care unit.</t>
  </si>
  <si>
    <t>Pladet, Lara C A; Luijken, Kim; Donker, Dirk W; Cremer, Olaf L; Meuwese, Christiaan L</t>
  </si>
  <si>
    <t>journal of critical care</t>
  </si>
  <si>
    <t>https://pubmed.ncbi.nlm.nih.gov/37758553</t>
  </si>
  <si>
    <t>Autoinflation for otitis media with effusion (OME) in children.</t>
  </si>
  <si>
    <t>Webster, Katie E; Mulvaney, Caroline A; Galbraith, Kevin; Rana, Mridul; Marom, Tal; Daniel, Mat; Venekamp, Roderick P; Schilder, Anne Gm; MacKeith, Samuel</t>
  </si>
  <si>
    <t>https://pubmed.ncbi.nlm.nih.gov/37750500</t>
  </si>
  <si>
    <t>Otitis media with effusion (OME) is an accumulation of fluid in the middle ear cavity, common amongst young children. The fluid may cause hearing loss. When persistent, it may lead to behavioural problems and a delay in expressive language skills. Management of OME includes watchful waiting, medical, surgical and mechanical treatment. Autoinflation is a self-administered technique, which aims to ventilate the middle ear and encourage middle ear fluid clearance by providing a positive pressure of air in the nose and nasopharynx (using a nasal balloon or other handheld device). This positive pressure (sometimes combined with simultaneous swallow) encourages opening of the Eustachian tube and may help ventilate the middle ear. To assess the efficacy (benefits and harms) of autoinflation for the treatment of otitis media with effusion in children. The Cochrane ENT Information Specialist searched the Cochrane ENT Register; Central Register of Controlled Trials (CENTRAL); Ovid MEDLINE; Ovid Embase; Web of Science; ClinicalTrials.gov; ICTRP and additional sources for published and unpublished trials. The date of the search was 20 January 2023. We included randomised controlled trials (RCTs) and quasi-randomised trials in children aged 6 months to 12 years with unilateral or bilateral OME. We included studies that compared autoinflation with either watchful waiting (no treatment), non-surgical treatment or ventilation tubes. We used standard Cochrane methods. Our primary outcomes were determined following a multi-stakeholder prioritisation exercise and were: 1) hearing, 2) OME-specific quality of life and 3) pain and distress. Secondary outcomes were: 1) persistence of OME, 2) other adverse effects (including eardrum perforation), 3) compliance or adherence to treatment, 4) receptive language skills, 5) speech development, 6) cognitive development, 7) psychosocial skills, 8) listening skills, 9) generic health-related quality of life, 10) parental stress, 11) vestibular function and 12)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identified 11 completed studies that met our inclusion criteria (1036 participants). The majority of studies included children aged between 3 and 11 years. Most were carried out in Europe or North America, and they were conducted in both hospital and community settings. All compared autoinflation (using a variety of different methods and devices) to no treatment. Most studies required children to carry out autoinflation two to three times per day, for between 2 and 12 weeks. The outcomes were predominantly assessed just after the treatment phase had been completed. Here we report the effects at the longest follow-up for our main outcome measures. Return to normal hearing The evidence was very uncertain regarding the effect of autoinflation on the return to normal hearing. The longest duration of follow-up was 11 weeks. At this time point, the risk ratio was 2.67 in favour of autoinflation (95% confidence interval (CI) 1.73 to 4.12; 85% versus 32%; number needed to treat to benefit (NNTB) 2; 1 study, 94 participants), but the certainty of the evidence was very low. Disease-specific quality of life Autoinflation may result in a moderate improvement in quality of life (related to otitis media) after short-term follow-up. One study assessed quality of life using the Otitis Media Questionnaire-14 (OMQ-14) at three months of follow-up. Results were reported as the number of standard deviations above or below zero difference, with a range from -3 (better) to +3 (worse). The mean difference was -0.42 lower (better) for those who received autoinflation (95% CI -0.62 to -0.22; 1 study, 247 participants; low-certainty evidence; the authors report a change of 0.3 as clinically meaningful). Pain and distress caused by the procedure Autoinflation may result in an increased risk of ear pain, but the evidence was very uncertain. One study assessed this outcome, and identified a risk ratio of 3.50 for otalgia in those who received autoinflation, although the overall occurrence of pain was low (95% CI 0.74 to 16.59; 4.4% versus 1.3%; number needed to treat to harm (NNTH) 32; 1 study, 320 participants; very low-certainty evidence). Persistence of OME The evidence suggests that autoinflation may slightly reduce the persistence of OME at three months. Four studies were included, and the risk ratio for persistence of OME was 0.88 for those receiving autoinflation (95% CI 0.80 to 0.97; 4 studies, 483 participants; absolute reduction of 89 people per 1000 with persistent OME; NNTB 12; low-certainty evidence). All the evidence we identified was of low or very low certainty, meaning that we have little confidence in the estimated effects. However, the data suggest that autoinflation may have a beneficial effect on OME-specific quality of life and persistence of OME in the short term, but the effect is uncertain for return to normal hearing and adverse effects. The potential benefits should be weighed against the inconvenience of regularly carrying out autoinflation, and the possible risk of ear pain.</t>
  </si>
  <si>
    <t>Endoscopic ultrasonography-guided gastroenterostomy versus surgical gastrojejunostomy for palliation of malignant gastric outlet obstruction (ENDURO): study protocol for a randomized controlled trial.</t>
  </si>
  <si>
    <t>Kastelijn, Janine B; van de Pavert, Yorick L; Besselink, Marc G; Fockens, Paul; Voermans, Rogier P; van Wanrooij, Roy L J; de Wijkerslooth, Thomas R; Curvers, Wouter L; de Hingh, Ignace H J T; Bruno, Marco J; Koerkamp, Bas Groot; Patijn, Gijs A; Poen, Alexander C; van Hooft, Jeanin E; Inderson, Akin; Mieog, J Sven D; Poley, Jan-Werner; Bijlsma, Alderina; Lips, Daan J; Venneman, Niels G; Verdonk, Robert C; van Dullemen, Hendrik M; Hoogwater, Frederik J H; Frederix, Geert W J; Molenaar, I Quintus; Welsing, Paco M J; Moons, Leon M G; van Santvoort, Hjalmar C; Vleggaar, Frank P; ,</t>
  </si>
  <si>
    <t>trials</t>
  </si>
  <si>
    <t>https://pubmed.ncbi.nlm.nih.gov/37749590</t>
  </si>
  <si>
    <t>Malignant gastric outlet obstruction (GOO) is a debilitating condition that frequently occurs in patients with malignancies of the distal stomach and (peri)ampullary region. The standard palliative treatment for patients with a reasonable life expectancy and adequate performance status is a laparoscopic surgical gastrojejunostomy (SGJ). Recently, endoscopic ultrasound-guided gastroenterostomy (EUS-GE) emerged as a promising alternative to the surgical approach. The present study aims to compare these treatment modalities in terms of efficacy, safety, and costs. The ENDURO-study is a multicentre, open-label, parallel-group randomized controlled trial. In total, ninety-six patients with gastric outlet obstruction caused by an irresectable or metastasized malignancy will be 1:1 randomized to either SGJ or EUS-GE. The primary endpoint is time to tolerate at least soft solids. The co-primary endpoint is the proportion of patients with persisting or recurring symptoms of gastric outlet obstruction for which a reintervention is required. Secondary endpoints are technical and clinical success, quality of life, gastroenterostomy dysfunction, reinterventions, time to reintervention, adverse events, quality of life, time to start chemotherapy, length of hospital stay, readmissions, weight, survival, and costs. The ENDURO-study assesses whether EUS-GE, as compared to SGJ, results in a faster resumption of solid oral intake and is non-inferior regarding reinterventions for persistent or recurrent obstructive symptoms in patients with malignant GOO. This trial aims to guide future treatment strategies and to improve quality of life in a palliative setting. International Clinical Trials Registry Platform (ICTRP): NL9592. Registered on 07 July 2021.</t>
  </si>
  <si>
    <t>Overcoming ethical and legal obstacles to data linkage in health research: stakeholder perspectives.</t>
  </si>
  <si>
    <t>Smit, Julie-Anne R; van der Graaf, Rieke; Mostert, Menno; Vaartjes, Ilonca; Zuidgeest, Mira; Grobbee, Diederik E; van Delden, Johannes J M</t>
  </si>
  <si>
    <t>international journal of population data science</t>
  </si>
  <si>
    <t>https://pubmed.ncbi.nlm.nih.gov/38414541</t>
  </si>
  <si>
    <t>Data linkage for health research purposes enables the answering of countless new research questions, is said to be cost effective and less intrusive than other means of data collection. Nevertheless, health researchers are currently dealing with a complicated, fragmented, and inconsistent regulatory landscape with regard to the processing of data, and progress in health research is hindered. We designed a qualitative study to assess what different stakeholders perceive as ethical and legal obstacles to data linkage for health research purposes, and how these obstacles could be overcome. Two focus groups and eighteen semi-structured in-depth interviews were held to collect opinions and insights of various stakeholders. An inductive thematic analysis approach was used to identify overarching themes. This study showed that the ambiguity regarding the 'correct' interpretation of the law, the fragmentation of policies governing the processing of personal health data, and the demandingness of legal requirements are experienced as causes for the impediment of data linkage for research purposes by the participating stakeholders. To remove or reduce these obstacles authoritative interpretations of the laws and regulations governing data linkage should be issued. The participants furthermore encouraged the harmonisation of data linkage policies, as well as promoting trust and transparency and the enhancement of technical and organisational measures. Lastly, there is a demand for legislative and regulatory modifications amongst the participants. To overcome the obstacles in data linkage for scientific research purposes, perhaps we should shift the focus from adapting the current laws and regulations governing data linkage, or even designing completely new laws, towards creating a more thorough understanding of the law and making better use of the flexibilities within the existing legislation. Important steps in achieving this shift could be clarification of the legal provisions governing data linkage by issuing authoritative interpretations, as well as the strengthening of ethical-legal oversight bodies.</t>
  </si>
  <si>
    <t>An Innovative AI-based primer design tool for precise and accurate detection of SARS-CoV-2 variants of concern.</t>
  </si>
  <si>
    <t>Perez-Romero, Carmina Angelica; Mendoza-Maldonado, Lucero; Tonda, Alberto; Coz, Etienne; Tabeling, Patrick; Vanhomwegen, Jessica; MacSharry, John; Szafran, Joanna; Bobadilla-Morales, Lucina; Corona-Rivera, Alfredo; Claassen, Eric; Garssen, Johan; Kraneveld, Aletta D; Lopez-Rincon, Alejandro</t>
  </si>
  <si>
    <t>https://pubmed.ncbi.nlm.nih.gov/37737287</t>
  </si>
  <si>
    <t>As the COVID-19 pandemic winds down, it leaves behind the serious concern that future, even more disruptive pandemics may eventually surface. One of the crucial steps in handling the SARS-CoV-2 pandemic was being able to detect the presence of the virus in an accurate and timely manner, to then develop policies counteracting the spread. Nevertheless, as the pandemic evolved, new variants with potentially dangerous mutations appeared. Faced by these developments, it becomes clear that there is a need for fast and reliable techniques to create highly specific molecular tests, able to uniquely identify VOCs. Using an automated pipeline built around evolutionary algorithms, we designed primer sets for SARS-CoV-2 (main lineage) and for VOC, B.1.1.7 (Alpha) and B.1.1.529 (Omicron). Starting from sequences openly available in the GISAID repository, our pipeline was able to deliver the primer sets for the main lineage and each variant in a matter of hours. Preliminary in-silico validation showed that the sequences in the primer sets featured high accuracy. A pilot test in a laboratory setting confirmed the results: the developed primers were favorably compared against existing commercial versions for the main lineage, and the specific versions for the VOCs B.1.1.7 and B.1.1.529 were clinically tested successfully.</t>
  </si>
  <si>
    <t>Bear in mind: the role of personal background in semantic animal fluency - The SMART-MR study.</t>
  </si>
  <si>
    <t>Smit, Annelot P; Beran, Magdalena; Twait, Emma L; Geerlings, Mirjam I; Vonk, Jet M J</t>
  </si>
  <si>
    <t>frontiers in psychology</t>
  </si>
  <si>
    <t>https://pubmed.ncbi.nlm.nih.gov/37809288</t>
  </si>
  <si>
    <t>Semantic fluency is a prominent neuropsychological task, typically administered within the category 'animals'. With the increasing development of novel item-level metrics of semantic fluency, a concern around the validity of item-level analyses could be that personal background factors (e.g., hobbies like birdwatching or fishing) may disproportionally influence performance. We analyzed animal fluency performance at the item level and investigated the prevalence of individuals with abundant knowledge in specific classes of animals (e.g., birds, fish, insects) and the relationship of such knowledge with personal background factors and other cognitive tasks (episodic memory and executive functioning). Participants included 736 Dutch middle-aged to older adults from the SMART-MR cohort (mean age 58 ± 9.4 years, 18% women). Individuals were asked to name as many animals as possible for 2 min. Number of people with abundant animal class knowledge was calculated for the ability to recall a series of minimum ≥5 and up to ≥15 animals within a specific class with at most one interruption by an animal from another class. Subsequent analyses to investigate relationships of abundant class knowledge with sociodemographic characteristics (&lt;i&gt;t&lt;/i&gt;-tests and chi-square tests) and cognitive performance (linear regressions) were performed for a cut-off of ≥10 animals within a specific class (90th percentile), with a sensitivity analysis for ≥7 animals (67th percentile). A total of 416 (56.2%) participants recalled a series of ≥5 animals from a specific class, 245 (33.3%) participants recalled ≥7, 78 (10.6%) participants recalled ≥10, and 8 (1.1%) participants recalled ≥15. Those who recalled a series of at least 10 animals within a class were older, more often men, and more often retired than those who did not. Moreover, they had a higher total score on animal fluency, letter fluency (i.e., executive functioning), and episodic memory tasks compared to those who did not. Our results suggest that the benefit of abundant animal class knowledge gained by personal background does not disproportionally influence animal fluency performance as individuals with such knowledge also performed better on other cognitive tasks unrelated to abundant knowledge of animal classes.</t>
  </si>
  <si>
    <t>Tuberculosis and immigration: the challenges in the Latin American and Colombian context.</t>
  </si>
  <si>
    <t>López, Darío Sebastián; Valderrama Vergara, José Fernando; Fernández-Niño, Julián Alfredo; Trujillo-Cáceres, Silvia Juliana</t>
  </si>
  <si>
    <t>https://pubmed.ncbi.nlm.nih.gov/37772070</t>
  </si>
  <si>
    <t>Comparing supervised and semi-supervised machine learning approaches in NTCP modeling to predict complications in head and neck cancer patients.</t>
  </si>
  <si>
    <t>Spiero, I; Schuit, E; Wijers, O B; Hoebers, F J P; Langendijk, J A; Leeuwenberg, A M</t>
  </si>
  <si>
    <t>clinical and translational radiation oncology</t>
  </si>
  <si>
    <t>https://pubmed.ncbi.nlm.nih.gov/37822705</t>
  </si>
  <si>
    <t>Head and neck cancer (HNC) patients treated with radiotherapy often suffer from radiation-induced toxicities. Normal Tissue Complication Probability (NTCP) modeling can be used to determine the probability to develop these toxicities based on patient, tumor, treatment and dose characteristics. Since the currently used NTCP models are developed using supervised methods that discard unlabeled patient data, we assessed whether the addition of unlabeled patient data by using semi-supervised modeling would gain predictive performance. The semi-supervised method of self-training was compared to supervised regression methods with and without prior multiple imputation by chained equation (MICE). The models were developed for the most common toxicity outcomes in HNC patients, xerostomia (dry mouth) and dysphagia (difficulty swallowing), measured at six months after treatment, in a development cohort of 750 HNC patients. The models were externally validated in a validation cohort of 395 HNC patients. Model performance was assessed by discrimination and calibration. MICE and self-training did not improve performance in terms of discrimination or calibration at external validation compared to current regression models. In addition, the relative performance of the different models did not change upon a decrease in the amount of (labeled) data available for model development. Models using ridge regression outperformed the logistic models for the dysphagia outcome. Since there was no apparent gain in the addition of unlabeled patient data by using the semi-supervised method of self-training or MICE, the supervised regression models would still be preferred in current NTCP modeling for HNC patients.</t>
  </si>
  <si>
    <t>[Treatment of traumatic rib fractures].</t>
  </si>
  <si>
    <t>Hoepelman, Ruben J; Kik, Charlotte C; Beeres, Frank J P; Zwart, Dorien L M; Groenwold, Rolf H H; Houwert, Roderick M</t>
  </si>
  <si>
    <t>https://pubmed.ncbi.nlm.nih.gov/37742123</t>
  </si>
  <si>
    <t>Patients with rib fractures are a heterogenous group of patients who are treated by general practitioners as well as by specialized trauma surgeons. We present three patients with rib fractures with different degrees of thoracic trauma and therefore treatments differ significantly. The cornerstone in the treatment of rib fractures remains attaining adequate analgesia and breathing exercises. The last decade, there has been an increase in the utilization of rib fixation, however, precise indications remain unknown. It has proven effective in patients with flail chest on mechanical ventilation in whom it decrease intensive care and hospital length and reduces mortality. In case of prolonged (&gt; 3 months) pain, dyspnea or a clicking sensation one could think of a nonunion of the rib fracture. Rib fixation can relieve these complaints in about 60% of the patients, however due to a high implant irritation rate and secondary operation to remove the osteosynthesis is common.</t>
  </si>
  <si>
    <t>Intima-media thickness at the near or far wall of the common carotid artery in cardiovascular risk assessment.</t>
  </si>
  <si>
    <t>Seekircher, Lisa; Tschiderer, Lena; Lind, Lars; Safarova, Maya S; Kavousi, Maryam; Ikram, M Arfan; Lonn, Eva; Yusuf, Salim; Grobbee, Diederick E; Kastelein, John J P; Visseren, Frank L J; Walters, Matthew; Dawson, Jesse; Higgins, Peter; Agewall, Stefan; Catapano, Alberico; de Groot, Eric; Espeland, Mark A; Klingenschmid, Gerhard; Magliano, Dianna; Olsen, Michael H; Preiss, David; Sander, Dirk; Skilton, Michael; Zozulińska-Ziółkiewicz, Dorota A; Grooteman, Muriel P C; Blankestijn, Peter J; Kitagawa, Kazuo; Okazaki, Shuhei; Manzi, Maria V; Mancusi, Costantino; Izzo, Raffaele; Desvarieux, Moise; Rundek, Tatjana; Gerstein, Hertzel C; Bots, Michiel L; Sweeting, Michael J; Lorenz, Matthias W; Willeit, Peter</t>
  </si>
  <si>
    <t>https://pubmed.ncbi.nlm.nih.gov/37840587</t>
  </si>
  <si>
    <t>Current guidelines recommend measuring carotid intima-media thickness (IMT) at the far wall of the common carotid artery (CCA). We aimed to precisely quantify associations of near vs. far wall CCA-IMT with the risk for atherosclerotic cardiovascular disease (CVD, defined as coronary heart disease or stroke) and their added predictive values. We analysed individual records of 41 941 participants from 16 prospective studies in the Proof-ATHERO consortium {mean age 61 years [standard deviation (SD) = 11]; 53% female; 16% prior CVD}. Mean baseline values of near and far wall CCA-IMT were 0.83 (SD = 0.28) and 0.82 (SD = 0.27) mm, differed by a mean of 0.02 mm (95% limits of agreement: -0.40 to 0.43), and were moderately correlated [&lt;i&gt;r&lt;/i&gt; = 0.44; 95% confidence interval (CI): 0.39-0.49). Over a median follow-up of 9.3 years, we recorded 10 423 CVD events. We pooled study-specific hazard ratios for CVD using random-effects meta-analysis. Near and far wall CCA-IMT values were approximately linearly associated with CVD risk. The respective hazard ratios per SD higher value were 1.18 (95% CI: 1.14-1.22; &lt;i&gt;I&lt;/i&gt;² = 30.7%) and 1.20 (1.18-1.23; &lt;i&gt;I&lt;/i&gt;² = 5.3%) when adjusted for age, sex, and prior CVD and 1.09 (1.07-1.12; &lt;i&gt;I&lt;/i&gt;² = 8.4%) and 1.14 (1.12-1.16; &lt;i&gt;I&lt;/i&gt;²=1.3%) upon multivariable adjustment (all &lt;i&gt;P&lt;/i&gt; &lt; 0.001). Assessing CCA-IMT at both walls provided a greater C-index improvement than assessing CCA-IMT at one wall only [+0.0046 vs. +0.0023 for near (&lt;i&gt;P&lt;/i&gt; &lt; 0.001), +0.0037 for far wall (&lt;i&gt;P&lt;/i&gt; = 0.006)]. The associations of near and far wall CCA-IMT with incident CVD were positive, approximately linear, and similarly strong. Improvement in risk discrimination was highest when CCA-IMT was measured at both walls.</t>
  </si>
  <si>
    <t>Sex hormones and the risk of myocardial infarction in women and men: a prospective cohort study in the UK Biobank.</t>
  </si>
  <si>
    <t>Harris, Katie; Peters, Sanne A E; Woodward, Mark</t>
  </si>
  <si>
    <t>biology of sex differences</t>
  </si>
  <si>
    <t>https://pubmed.ncbi.nlm.nih.gov/37730580</t>
  </si>
  <si>
    <t>There is conflicting evidence around the role of sex hormones with cardiovascular outcomes. The aim of this study was to examine the association of sex hormones with the risk of myocardial infarction (MI) in pre- and post-menopausal women, and men in the UK Biobank. The UK Biobank is a prospective population-based cohort study, that recruited over 500,000 (aged 40-69 years) women and men between 2006 and 2010. Sex specific cox regression models, estimating hazard ratios (HRs) and women to men ratio of HRs (RHR) with respective 95% confidence intervals (CI), were used to model the association of sex hormones [oestrogen, testosterone, oestrogen: testosterone (O/T) ratio, sex hormone-binding globulin (SHBG) and the free androgen index (FAI)], measured at study baseline, with incident MI for women and men. Data were from 479,797 participants [264,282 (55.1%) women] without a history of MI at study baseline. Over 12.5 years of follow-up, there were 4,908 MI events in women and 10,517 in men. Neither oestrogen nor testosterone were associated with MI in women and men after multiple adjustment. For men, but not women, a unit higher log-transformed O/T ratio was associated with a lower risk of MI 0.79 (0.65, 0.95) after adjustment for traditional CVD risk factors. The corresponding women to men RHR (95% CI) was 1.24 (0.99, 1.56). Higher SHBG (per unit) was also associated with a lower risk of MI in men 0.94 (0.89, 0.99), and not in women 1.02 (0.95, 1.09) after multiple adjustment, the corresponding women to men RHR (95% CI) was 1.09 (1.00, 1.18). Higher FAI was associated with a higher risk of MI in men 1.09 (1.02, 1.15), though not in women 0.97 (0.92, 1.02), the corresponding women to men RHR was 0.89 (0.82, 0.97). Finally, there were differential effects in the association of SHBG and FAI between pre- and post-menopausal women. A higher O/T ratio was associated with a lower risk of MI, and a higher FAI with a higher risk of MI after adjustment for CVD risk factors in men, but not in women. Thus, hormone ratios, rather than each alone, may play an important role in modulating the effect of MI.</t>
  </si>
  <si>
    <t>Risk Modeling for Individualization of the FLAME Focal Boost Approach in External Beam Radiation Therapy for Patients With Localized Prostate Cancer.</t>
  </si>
  <si>
    <t>Menne Guricová, Karolína; Groen, Veerle; Pos, Floris; Monninkhof, Evelyn; Elias, Sjoerd G; Haustermans, Karin; Smeenk, Robert J; van der Voort van Zyp, Jochem; Draulans, Cédric; Isebaert, Sofie; van Houdt, Petra J; Kerkmeijer, Linda G W; van der Heide, Uulke A</t>
  </si>
  <si>
    <t>international journal of radiation oncology biology physics</t>
  </si>
  <si>
    <t>https://pubmed.ncbi.nlm.nih.gov/37725026</t>
  </si>
  <si>
    <t>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</si>
  <si>
    <t>Heart Rate Variability and Incident Type 2 Diabetes in General Population.</t>
  </si>
  <si>
    <t>Wang, Kan; Ahmadizar, Fariba; Geurts, Sven; Arshi, Banafsheh; Kors, Jan A; Rizopoulos, Dimitris; Sijbrands, Eric J G; Ikram, M Arfan; Kavousi, Maryam</t>
  </si>
  <si>
    <t>the journal of clinical endocrinology and metabolism</t>
  </si>
  <si>
    <t>https://pubmed.ncbi.nlm.nih.gov/37022971</t>
  </si>
  <si>
    <t>Hyperglycemia and autonomic dysfunction are bidirectionally related. We investigated the association of longitudinal evolution of heart rate variability (HRV) with incident type 2 diabetes (T2D) among the general population. We included 7630 participants (mean age 63.7 years, 58% women) from the population-based Rotterdam Study who had no history of T2D and atrial fibrillation at baseline and had repeated HRV assessments at baseline and during follow-up. We used joint models to assess the association between longitudinal evolution of heart rate and different HRV metrics (including the heart rate-corrected SD of the normal-to-normal RR intervals [SDNNc], and root mean square of successive RR-interval differences [RMSSDc]) with incident T2D. Models were adjusted for cardiovascular risk factors. Bidirectional Mendelian randomization (MR) using summary-level data was also performed. During a median follow-up of 8.6 years, 871 individuals developed incident T2D. One SD increase in heart rate (hazard ratio [HR] 1.20; 95% CI, 1.09-1.33), and log(RMSSDc) (HR 1.16; 95% CI, 1.01-1.33) were independently associated with incident T2D. The HRs were 1.54 (95% CI, 1.08-2.06) for participants younger than 62 years and 1.15 (95% CI, 1.01-1.31) for those older than 62 years for heart rate (P for interaction &lt;.001). Results from bidirectional MR analyses suggested that HRV and T2D were not significantly related to each other. Autonomic dysfunction precedes development of T2D, especially among younger individuals, while MR analysis suggests no causal relationship. More studies are needed to further validate our findings.</t>
  </si>
  <si>
    <t>Citizen involvement in COVID-19 contact tracing with digital tools: a qualitative study to explore citizens' perspectives and needs.</t>
  </si>
  <si>
    <t>van der Meer, A; Helms, Y B; Baron, R; Crutzen, R; Timen, A; Kretzschmar, M E E; Stein, M L; Hamdiui, N</t>
  </si>
  <si>
    <t>https://pubmed.ncbi.nlm.nih.gov/37716982</t>
  </si>
  <si>
    <t>Contact tracing (CT) is a key strategy when dealing with outbreaks of infectious diseases such as COVID-19. The scale of the COVID-19 pandemic has often left public health professionals (PHPs), who are responsible for the execution of CT, unable to keep up with the rapid and largescale spread of the virus. To enhance or support its execution, and potentially lower the workload for PHPs, citizens may be more actively involved in CT-tasks that are commonly executed by PHPs (referred to as 'self-led CT'). There is limited insight into citizens' perspectives on and needs for self-led CT for COVID-19. This study aims to explore the perspectives and needs of Dutch citizens on taking more responsibilities in the execution of CT for COVID-19, potentially through the use of digital tools. An exploratory qualitative study was performed, in which online semi-structured interviews were conducted. Questions were based on the Reasoned Action Approach and Health Belief Model. Interviews were audio-recorded and transcribed verbatim. A thematic analysis was conducted to identify citizens' perspectives and needs to participate in self-led CT. We conducted 27 interviews with Dutch citizens. Seven main themes were identified from the interviews: 1) 'Citizens' perspectives on self-led CT are influenced by prior experiences with regular CT', 2) 'Citizens' felt responsibilities and the perceived responsibilities of the PHS in CT shape their perspectives on self-led CT', 3) 'Anticipated impacts of self-led CT on the CT-process', 4) 'Citizens' attitude towards the application of self-led CT depends on their own perceived skills and the willingness and skills of others', 5) 'Shame and social stigma may hamper participation in self-led CT', 6) 'Concerns about privacy and data security: a barrier for self-led CT', and 7) 'Citizens' perspectives and anticipated needs for the implementation and application of self-led CT in practice'. Most interviewees hold a positive attitude towards self-led CT and using digital tools for this purpose. However, their intention for self-led CT may depend on various factors, such as prior experiences with regular CT, and their perceived self-efficacy to participate. Perspectives and needs of citizens should be considered for the future implementation of self-led CT in practice.</t>
  </si>
  <si>
    <t>Separable mixing: The general formulation and a particular example focusing on mask efficiency.</t>
  </si>
  <si>
    <t>Bootsma, M C J; Chan, K M D; Diekmann, O; Inaba, H</t>
  </si>
  <si>
    <t>mathematical biosciences and engineering mbe</t>
  </si>
  <si>
    <t>https://pubmed.ncbi.nlm.nih.gov/38052531</t>
  </si>
  <si>
    <t>The aim of this short note is twofold. First, we formulate the general Kermack-McKendrick epidemic model incorporating static heterogeneity and show how it simplifies to a scalar Renewal Equation (RE) when separable mixing is assumed. A key general feature is that all information about the heterogeneity is encoded in one nonlinear real valued function of a real variable. Next, we specialize the model ingredients so that we can study the efficiency of mask wearing as a non-pharmaceutical intervention to reduce the spread of an infectious disease. Our main result affirms that the best way to protect the population as a whole is to protect yourself. This qualitative insight was recently derived in the context of an SIR network model. Here, we extend the conclusion to proportionate mixing models incorporating a general function describing expected infectiousness as a function of time since infection.</t>
  </si>
  <si>
    <t>Childhood infection burden, recent antibiotic exposure and vascular phenotypes in preschool children.</t>
  </si>
  <si>
    <t>Yu, Angela; Jansen, Maria A C; Dalmeijer, Geertje W; Bruijning-Verhagen, Patricia; van der Ent, Cornelis K; Grobbee, Diederick E; Burgner, David P; Uiterwaal, Cuno S P M</t>
  </si>
  <si>
    <t>https://pubmed.ncbi.nlm.nih.gov/37713433</t>
  </si>
  <si>
    <t>Severe childhood infection has a dose-dependent association with adult cardiovascular events and with adverse cardiometabolic phenotypes. The relationship between cardiovascular outcomes and less severe childhood infections is unclear. To investigate the relationship between common, non-hospitalised infections, antibiotic exposure, and preclinical vascular phenotypes in young children. A Dutch prospective population-derived birth cohort study. Participants were from the Wheezing-Illnesses-Study-Leidsche-Rijn (WHISTLER) birth cohort. We collected data from birth to 5 years on antibiotic prescriptions, general practitioner (GP)-diagnosed infections, and monthly parent-reported febrile illnesses (0-1 years). At 5 years, carotid intima-media thickness (CIMT), carotid artery distensibility, and blood pressure (BP) were measured. General linear regression models were adjusted for age, sex, smoke exposure, birth weight z-score, body mass index, and socioeconomic status. Recent antibiotic exposure was associated with adverse cardiovascular phenotypes; each antibiotic prescription in the 3 and 6 months prior to vascular assessment was associated with an 18.1 μm (95% confidence interval, 4.5-31.6, p = 0.01) and 10.7 μm (0.8-20.5, p = 0.03) increase in CIMT, respectively. Each additional antibiotic prescription in the preceding 6 months was associated with an 8.3 mPa-1 decrease in carotid distensibility (-15.6- -1.1, p = 0.02). Any parent-reported febrile episode (compared to none) showed weak evidence of association with diastolic BP (1.6 mmHg increase, 0.04-3.1, p = 0.04). GP-diagnosed infections were not associated with vascular phenotypes. Recent antibiotics are associated with adverse vascular phenotypes in early childhood. Mechanistic studies may differentiate antibiotic-related from infection-related effects and inform preventative strategies.</t>
  </si>
  <si>
    <t>Patient outcomes before and after implementation of a selective pre-hospital spinal immobilization protocol: A comparative cohort pilot study in a level 2 trauma center.</t>
  </si>
  <si>
    <t>van de Breevaart, Otto J; van der Waarden, Nancy W P L; Schoonhoven, Lisette; Ham, Wietske H W; Schep, Niels W L</t>
  </si>
  <si>
    <t>international emergency nursing</t>
  </si>
  <si>
    <t>https://pubmed.ncbi.nlm.nih.gov/37714056</t>
  </si>
  <si>
    <t>A new selective preventive spinal immobilization (PSI) protocol was introduced in the Netherlands. This may have led to an increase in non-immobilized spinal fractures (NISFs) and consequently adverse patient outcomes. A pilot study was conducted to describe the adverse patient outcomes in NISF of the PSI protocol change and assess the feasibility of a larger effect study. Retrospective comparative cohort pilot study including records of trauma patients with a presumed spinal injury who were presented at the emergency department of a level 2 trauma center by the emergency medical service (EMS). The pre-period 2013-2014 (strict PSI protocol), was compared to the post-period 2017-2018 (selective PSI protocol). Primary outcomes were the percentage of records with a NISF who had an adverse patient outcome such as neurological injuries and mortality before and after the protocol change. Secondary outcomes were the sample size calculation for a larger study and the feasibility of data collection. 1,147 records were included; 442 pre-period, and 705 post-period. The NISF-prevalence was 10% (95% CI 7-16, n = 19) and 8% (95% CI 6-11, n = 33), respectively. In both periods, no neurological injuries or mortality due to NISF were found, by which calculating a sample size is impossible. Data collection showed to be feasible. No neurological injuries or mortality due to NISF were found in a strict and a selective PSI protocol. Therefore, a larger study is discouraged. Future studies should focus on which patients really profit from PSI and which patients do not.</t>
  </si>
  <si>
    <t>A roadmap for sex- and gender-disaggregated health research.</t>
  </si>
  <si>
    <t>Peters, Sanne A E; Woodward, Mark</t>
  </si>
  <si>
    <t>https://pubmed.ncbi.nlm.nih.gov/37704983</t>
  </si>
  <si>
    <t>Sex and gender are fundamental aspects of health and wellbeing. Yet many research studies fail to consider sex or gender differences, and even when they do this is often limited to merely cataloguing such differences in the makeup of study populations. The evidence on sex and gender differences is thus incomplete in most areas of medicine. This article presents a roadmap for the systematic conduct of sex- and gender-disaggregated health research. We distinguish three phases: the exploration of sex and gender differences in disease risk, presentation, diagnosis, treatment, and outcomes; explaining any found differences by revealing the underlying mechanisms; and translation of the implications of such differences to policy and practice. For each phase, we provide critical methodological considerations and practical examples are provided, taken primarily from the field of cardiovascular disease. We also discuss key overarching themes and terminology that are at the essence of any study evaluating the relevance of sex and gender in health. Here, we limit ourselves to binary sex and gender in order to produce a coherent, succinct narrative. Further disaggregation by sex and gender separately and which recognises intersex, non-binary, and gender-diverse identities, as well as other aspects of intersectionality, can build on this basic minimum level of disaggregation. We envision that uptake of this roadmap, together with wider policy and educational activities, will aid researchers to systematically explore and explain relevant sex and gender differences in health and will aid educators, clinicians, and policymakers to translate the outcomes of research in the most effective and meaningful way, for the benefit of all.</t>
  </si>
  <si>
    <t>Simplified consent in cluster randomised trials: the new EU Clinical Trials Regulation does not provide sufficient guidance.</t>
  </si>
  <si>
    <t>Goldstein, Cory E; van der Graaf, Rieke</t>
  </si>
  <si>
    <t>https://pubmed.ncbi.nlm.nih.gov/37704224</t>
  </si>
  <si>
    <t>Bacillus Calmette-Guérin vaccination for protection against recurrent herpes labialis: a nested randomised controlled trial.</t>
  </si>
  <si>
    <t>Pittet, Laure F; Moore, Cecilia L; McDonald, Ellie; Barry, Simone; Bonten, Marc; Campbell, John; Croda, Julio; Dalcolmo, Margareth; Davidson, Andrew; Douglas, Mark W; Gardiner, Kaya; Gwee, Amanda; Jardim, Bruno; Lacerda, Marcus V G; Lucas, Michaela; Lynn, David J; Manning, Laurens; de Oliveira, Roberto D; Perrett, Kirsten P; Prat-Aymerich, Cristina; Richmond, Peter C; Rocha, Jorge L; Rodriguez-Baño, Jesus; Warris, Adilia; Wood, Nicholas J; Messina, Nicole L; Curtis, Nigel; ,</t>
  </si>
  <si>
    <t>https://pubmed.ncbi.nlm.nih.gov/37719417</t>
  </si>
  <si>
    <t>Recurrences of herpes simplex virus (HSV) in the orofacial region (herpes labialis or cold sores) impact quality-of-life. We aimed to study whether the bacille Calmette-Guérin (BCG) vaccine can attenuate cold sore recurrences through off-target immunomodulatory effects. In this nested randomised controlled trial within the multicentre, phase 3 BRACE trial, 6828 healthcare workers were randomised in 36 sites in Australia, the Netherlands, Spain, the United Kingdom and Brazil, to receive BCG-Denmark or no BCG (1:1 ratio using a web-based procedure) and followed for 12 months with 3-monthly questionnaires. Exclusion criteria included contraindication to BCG vaccine or previous vaccination with BCG within the past year, any other live-attenuated vaccine within the last month, or any COVID-specific vaccine. The intervention group received one intradermal dose of 0.1 mL of BCG-Denmark corresponding to 2-8 x 10&lt;sup&gt;5&lt;/sup&gt; colony forming units of &lt;i&gt;Mycobacterium bovis&lt;/i&gt;, Danish strain 1331. The primary outcome was the difference in restricted mean survival time (i.e., time to first cold-sore recurrence), in participants with frequent recurrent herpes labialis (≥4 recurrences/year), analysed by intention-to-treat. Secondary outcomes addressed additional questions, including analyses in other sub-populations. Adverse events were monitored closely during the first 3 months and were reported in all participants who received one dose of study drug according to intervention received. The BRACE trial is registered with ClinicalTrials.gov, NCT04327206. Between March 30, 2020 and February 18, 2021, 84 individuals with frequent recurrent cold sores were randomly assigned to BCG (n = 38) or control (n = 46). The average time to first cold-sore recurrence was 1.55 months longer in the BCG group (95% CI 0.27-2.82, p = 0.02) than the control group (hazard ratio 0.54, 95% CI 0.32-0.91; intention-to-treat). The beneficial effect of BCG was greater in the as-treated population (difference 1.91 months, 95% CI 0.69-3.12, p = 0.003; hazard ratio 0.45, 95% CI 0.26-0.76). In prespecified subgroup analyses, only sex modified the treatment effect (interaction p = 0.007), with benefit restricted to males. Over 12 months, a greater proportion of participants in the BCG group compared with the control group reported a decrease in duration (61% vs 21%), severity (74% vs 21%), frequency (55% vs 21%), and impact on quality of life (42% vs 15%) of cold sore recurrences. In participants who had ever had a cold sore, there was also a decrease in self-reported burden of recurrences in the BCG group. In participants who had never had a cold sore, there was an increased risk of a first episode in the BCG group (risk difference 1.4%; 95% CI 0.3-2.6%, p = 0.02). There were no safety concerns. BCG-Denmark vaccination had a beneficial effect on herpes labialis, particularly in males with frequent recurrences, but may increase the risk of a first cold sore. Bill &amp; Melinda Gates Foundation, the Minderoo Foundation, Sarah and Lachlan Murdoch, the Royal Children's Hospital Foundation, Health Services Union NSW, the Peter Sowerby Foundation, SA Health, the Insurance Advisernet Foundation, the NAB Foundation, the Calvert-Jones Foundation, the Modara Pines Charitable Foundation, the UHG Foundation Pty Ltd, Epworth Healthcare, and individual donors.</t>
  </si>
  <si>
    <t>Relative fat mass and prediction of incident atrial fibrillation, heart failure and coronary artery disease in the general population.</t>
  </si>
  <si>
    <t>Zwartkruis, Victor W; Suthahar, Navin; Idema, Demy L; Mahmoud, Belend; van Deutekom, Colinda; Rutten, Frans H; van der Schouw, Yvonne T; Rienstra, Michiel; de Boer, Rudolf A</t>
  </si>
  <si>
    <t>international journal of obesity</t>
  </si>
  <si>
    <t>https://pubmed.ncbi.nlm.nih.gov/37684330</t>
  </si>
  <si>
    <t>Relative fat mass (RFM) is an emerging marker of obesity that estimates body fat percentage using a sex-specific formula containing height and waist circumference (WC). We studied the association of RFM with incident atrial fibrillation (AF), heart failure (HF), and coronary artery disease (CAD) and explored RFM cutoffs for cardiovascular disease (CVD) prediction. We studied 95,003 participants (age 45 ± 13 years, 59% women) without prevalent AF, HF or CAD from the population-based Lifelines study. Outcomes were ascertained using electrocardiography and self-reported questionnaire data. We used logistic regression to study the association of RFM with individual outcomes and a composite outcome (incident AF, HF, and/or CAD). Multivariable models were adjusted for components of the SCORE risk model (age, sex, systolic blood pressure, cholesterol, and smoking). Optimal cutoffs were determined using the Youden index. During a median follow-up of 3.8 (3.0-4.6) years, 224 (0.2%) participants developed AF, 1003 (1.1%) HF and 657 (0.7%) CAD. After multivariable adjustment, RFM was significantly associated with all outcomes (standardised OR 1.26, 95% CI 1.18-1.34 for the composite outcome). Optimal RFM cutoffs ( ≥26 for men, ≥38 for women) were lower than previously proposed RFM cutoffs ( ≥30 for men, ≥40 for women). In general, overall discriminative ability of RFM and its cutoffs was at least similar (in women) or better (in men) compared to BMI and WC. Since RFM was substantially correlated with age, we additionally determined age-specific cutoffs, which ranged from 23 to 27 in men and 33 to 43 in women. RFM is associated with incident AF, HF, and CAD and may be used as a simple and intuitive marker of obesity and cardiovascular risk in the general population. This study provides potential RFM cutoffs for CVD prediction that may be used by future studies or preventive strategies targeting obesity and cardiovascular risk.</t>
  </si>
  <si>
    <t>External validation of semi-automated surveillance algorithms for deep surgical site infections after colorectal surgery in an independent country.</t>
  </si>
  <si>
    <t>van der Werff, Suzanne D; Verberk, Janneke D M; Buchli, Christian; van Mourik, Maaike S M; Nauclér, Pontus</t>
  </si>
  <si>
    <t>https://pubmed.ncbi.nlm.nih.gov/37679824</t>
  </si>
  <si>
    <t>Automated surveillance methods that re-use electronic health record data are considered an attractive alternative to traditional manual surveillance. However, surveillance algorithms need to be thoroughly validated before being implemented in a clinical setting. With semi-automated surveillance patients are classified as low or high probability of having developed infection, and only high probability patients subsequently undergo manual record review. The aim of this study was to externally validate two existing semi-automated surveillance algorithms for deep SSI after colorectal surgery, developed on Spanish and Dutch data, in a Swedish setting. The algorithms were validated in 225 randomly selected surgeries from Karolinska University Hospital from the period January 1, 2015 until August 31, 2020. Both algorithms were based on (re)admission and discharge data, mortality, reoperations, radiology orders, and antibiotic prescriptions, while one additionally used microbiology cultures. SSI was based on ECDC definitions. Sensitivity, specificity, positive predictive value, negative predictive value, and workload reduction were assessed compared to manual surveillance. Both algorithms performed well, yet the algorithm not relying on microbiological culture data had highest sensitivity (97.6, 95%CI: 87.4-99.6), which was comparable to previously published results. The latter algorithm aligned best with clinical practice and would lead to 57% records less to review. The results highlight the importance of thorough validation before implementation in other clinical settings than in which algorithms were originally developed: the algorithm excluding microbiology cultures had highest sensitivity in this new setting and has the potential to support large-scale semi-automated surveillance of SSI after colorectal surgery.</t>
  </si>
  <si>
    <t>Age at Menopause and the Risk of Stroke: Observational and Mendelian Randomization Analysis in 204 244 Postmenopausal Women.</t>
  </si>
  <si>
    <t>Tschiderer, Lena; Peters, Sanne A E; van der Schouw, Yvonne T; van Westing, Anniek C; Tong, Tammy Y N; Willeit, Peter; Seekircher, Lisa; Moreno-Iribas, Conchi; Huerta, José María; Crous-Bou, Marta; Söderholm, Martin; Schulze, Matthias B; Johansson, Cecilia; Själander, Sara; Heath, Alicia K; Macciotta, Alessandra; Dahm, Christina C; Ibsen, Daniel B; Pala, Valeria; Mellemkjær, Lene; Burgess, Stephen; Wood, Angela; Kaaks, Rudolf; Katzke, Verena; Amiano, Pilar; Rodriguez-Barranco, Miguel; Engström, Gunnar; Weiderpass, Elisabete; Tjønneland, Anne; Halkjær, Jytte; Panico, Salvatore; Danesh, John; Butterworth, Adam; Onland-Moret, N Charlotte</t>
  </si>
  <si>
    <t>https://pubmed.ncbi.nlm.nih.gov/37681566</t>
  </si>
  <si>
    <t>Background Observational studies have shown that women with an early menopause are at higher risk of stroke compared with women with a later menopause. However, associations with stroke subtypes are inconsistent, and the causality is unclear. Methods and Results We analyzed data of the UK Biobank and EPIC-CVD (European Prospective Investigation Into Cancer and Nutrition-Cardiovascular Diseases) study. A total of 204 244 postmenopausal women without a history of stroke at baseline were included (7883 from EPIC-CVD [5292 from the subcohort], 196 361 from the UK Biobank). Pooled mean baseline age was 58.9 years (SD, 5.8), and pooled mean age at menopause was 47.8 years (SD, 6.2). Over a median follow-up of 12.6 years (interquartile range, 11.8-13.3), 6770 women experienced a stroke (5155 ischemic strokes, 1615 hemorrhagic strokes, 976 intracerebral hemorrhages, and 639 subarachnoid hemorrhages). In multivariable adjusted observational Cox regression analyses, the pooled hazard ratios per 5 years younger age at menopause were 1.09 (95% CI, 1.07-1.12) for stroke, 1.09 (95% CI, 1.06-1.13) for ischemic stroke, 1.10 (95% CI, 1.04-1.16) for hemorrhagic stroke, 1.14 (95% CI, 1.08-1.20) for intracerebral hemorrhage, and 1.00 (95% CI, 0.84-1.20) for subarachnoid hemorrhage. When using 2-sample Mendelian randomization analysis, we found no statistically significant association between genetically proxied age at menopause and risk of any type of stroke. Conclusions In our study, earlier age at menopause was related to a higher risk of stroke. We found no statistically significant association between genetically proxied age at menopause and risk of stroke, suggesting no causal relationship.</t>
  </si>
  <si>
    <t>Dynamics in cardiac surgery: trends in population characteristics and the performance of the EuroSCORE II over time.</t>
  </si>
  <si>
    <t>van Dijk, Wouter B; Leeuwenberg, Artuur M; Grobbee, Diederick E; Siregar, Sabrina; Houterman, Saskia; Daeter, Edgar J; de Vries, Martine C; Groenwold, Rolf H H; Schuit, Ewoud; ,</t>
  </si>
  <si>
    <t>european journal of cardiothoracic surgery official journal of the european association for cardiothoracic surgery</t>
  </si>
  <si>
    <t>https://pubmed.ncbi.nlm.nih.gov/37672025</t>
  </si>
  <si>
    <t>The aim of this study was to investigate the performance of the EuroSCORE II over time and dynamics in values of predictors included in the model. A cohort study was performed using data from the Netherlands Heart Registration. All cardiothoracic surgical procedures performed between 1 January 2013 and 31 December 2019 were included for analysis. Performance of the EuroSCORE II was assessed across 3-month intervals in terms of calibration and discrimination. For subgroups of major surgical procedures, performance of the EuroSCORE II was assessed across 12-month time intervals. Changes in values of individual EuroSCORE II predictors over time were assessed graphically. A total of 103 404 cardiothoracic surgical procedures were included. Observed mortality risk ranged between 1.9% [95% confidence interval (CI) 1.6-2.4] and 3.6% (95% CI 2.6-4.4) across 3-month intervals, while the mean predicted mortality risk ranged between 3.4% (95% CI 3.3-3.6) and 4.2% (95% CI 3.9-4.6). The corresponding observed:expected ratios ranged from 0.50 (95% CI 0.46-0.61) to 0.95 (95% CI 0.74-1.16). Discriminative performance in terms of the c-statistic ranged between 0.82 (95% CI 0.78-0.89) and 0.89 (95% CI 0.87-0.93). The EuroSCORE II consistently overestimated mortality compared to observed mortality. This finding was consistent across all major cardiothoracic surgical procedures. Distributions of values of individual predictors varied broadly across predictors over time. Most notable trends were a decrease in elective surgery from 75% to 54% and a rise in patients with no or New York Heart Association I class heart failure from 27% to 33%. The EuroSCORE II shows good discriminative performance, but consistently overestimates mortality risks of all types of major cardiothoracic surgical procedures in the Netherlands.</t>
  </si>
  <si>
    <t>Longitudinal association of premature atrial contractions with atrial fibrillation and brain ischemia in people with type 2 diabetes: The Hoorn Diabetes Care System cohort.</t>
  </si>
  <si>
    <t>Harms, Peter P; Himmelreich, Jelle C L; Blom, Marieke T; Beulens, Joline W J; Nijpels, Giel; Elders, Petra; Lucassen, Wim A M</t>
  </si>
  <si>
    <t>american heart journal plus cardiology research and practice</t>
  </si>
  <si>
    <t>https://pubmed.ncbi.nlm.nih.gov/38510951</t>
  </si>
  <si>
    <t>Premature atrial contractions (PACs) are potential markers for imminent onset of both atrial fibrillation (AF) and brain ischemia (BI; transient ischemic attack [TIA] or ischemic stroke). We investigated the association of PACs with incident AF and BI events separately, and of incident AF with BI events in people with type 2 diabetes (T2D) without pre-existing AF or cerebrovascular disease. A prospective longitudinal study of 12,242 people with T2D without known AF or cerebrovascular disease from the Hoorn Diabetes Care System cohort. Annual measurements (1998-2018) included cardiovascular risk factors, over 85,000 ECGs, and self-reported cardiovascular events. We assessed the association of PACs with incident AF and BI events and of incident AF with BI events using time-dependent Cox-regression models, adjusted for time-varying cardiovascular risk factors and medication use (Hazard Ratios with 95%CIs). The baseline mean age was 62.2 ± 11.9 years. During a median follow-up of 7.0 (IQR 3.4-11.0) years, 1031 (8.4 %) participants had PACs, and 566 (4.6 %) had incident AF at any of the median 6 (IQR 3-10) annual ECG recordings. BI events occurred in 517 (4.2 %) people (304 TIAs, 213 ischemic strokes). After adjustment, PACs were associated with incident AF (Hazard Ratio, 1.96 (95%CI, 1.53-2.50)), but not with overall BI events (1.09 (0.76-1.56)), or with TIA (0.91 (0.57-1.46)) or ischemic stroke (1.50 (0.88-2.54)) separately. AF was not associated with BI events (0.95 (0.55-1.63)). In people with T2D without a history of AF or BI events, PACs are associated with a two-fold increased risk of incident AF.</t>
  </si>
  <si>
    <t>Prognosis and prediction of antibiotic benefit in adults with clinically diagnosed acute rhinosinusitis: an individual participant data meta-analysis.</t>
  </si>
  <si>
    <t>Hoogland, Jeroen; Takada, Toshihiko; van Smeden, Maarten; Rovers, Maroeska M; de Sutter, An I; Merenstein, Daniel; Kaiser, Laurent; Liira, Helena; Little, Paul; Bucher, Heiner C; Moons, Karel G M; Reitsma, Johannes B; Venekamp, Roderick P</t>
  </si>
  <si>
    <t>https://pubmed.ncbi.nlm.nih.gov/37667327</t>
  </si>
  <si>
    <t>A previous individual participant data meta-analysis (IPD-MA) of antibiotics for adults with clinically diagnosed acute rhinosinusitis (ARS) showed a marginal overall effect of antibiotics, but was unable to identify patients that are most likely to benefit from antibiotics when applying conventional (i.e. univariable or one-variable-at-a-time) subgroup analysis. We updated the systematic review and investigated whether multivariable prediction of patient-level prognosis and antibiotic treatment effect may lead to more tailored treatment assignment in adults presenting to primary care with ARS. An IPD-MA of nine double-blind placebo-controlled trials of antibiotic treatment (n=2539) was conducted, with the probability of being cured at 8-15 days as the primary outcome. A logistic mixed effects model was developed to predict the probability of being cured based on demographic characteristics, signs and symptoms, and antibiotic treatment assignment. Predictive performance was quantified based on internal-external cross-validation in terms of calibration and discrimination performance, overall model fit, and the accuracy of individual predictions. Results indicate that the prognosis with respect to risk of cure could not be reliably predicted (c-statistic 0.58 and Brier score 0.24). Similarly, patient-level treatment effect predictions did not reliably distinguish between those that did and did not benefit from antibiotics (c-for-benefit 0.50). In conclusion, multivariable prediction based on patient demographics and common signs and symptoms did not reliably predict the patient-level probability of cure and antibiotic effect in this IPD-MA. Therefore, these characteristics cannot be expected to reliably distinguish those that do and do not benefit from antibiotics in adults presenting to primary care with ARS.</t>
  </si>
  <si>
    <t>How Smart are Smart Materials? A Conceptual and Ethical Analysis of Smart Lifelike Materials for the Design of Regenerative Valve Implants.</t>
  </si>
  <si>
    <t>de Kanter, Anne-Floor J; Jongsma, Karin R; Bouten, Carlijn V C; Bredenoord, Annelien L</t>
  </si>
  <si>
    <t>science and engineering ethics</t>
  </si>
  <si>
    <t>https://pubmed.ncbi.nlm.nih.gov/37668955</t>
  </si>
  <si>
    <t>It may soon become possible not just to replace, but to re-grow healthy tissues after injury or disease, because of innovations in the field of Regenerative Medicine. One particularly promising innovation is a regenerative valve implant to treat people with heart valve disease. These implants are fabricated from so-called 'smart', 'lifelike' materials. Implanted inside a heart, these implants stimulate re-growth of a healthy, living heart valve. While the technological development advances, the ethical implications of this new technology are still unclear and a clear conceptual understanding of the notions 'smart' and 'lifelike' is currently lacking. In this paper, we explore the conceptual and ethical implications of the development of smart lifelike materials for the design of regenerative implants, by analysing heart valve implants as a showcase. In our conceptual analysis, we show that the materials are considered 'smart' because they can communicate with human tissues, and 'lifelike' because they are structurally similar to these tissues. This shows that regenerative valve implants become intimately integrated in the living tissues of the human body. As such, they manifest the ontological entanglement of body and technology. In our ethical analysis, we argue this is ethically significant in at least two ways: It exacerbates the irreversibility of the implantation procedure, and it might affect the embodied experience of the implant recipient. With our conceptual and ethical analysis, we aim to contribute to responsible development of smart lifelike materials and regenerative implants.</t>
  </si>
  <si>
    <t>Interaction of dietary patterns with rs28362491 on severity of coronary artery stenosis in patients undergoing coronary angiography.</t>
  </si>
  <si>
    <t>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t>
  </si>
  <si>
    <t>https://pubmed.ncbi.nlm.nih.gov/37669998</t>
  </si>
  <si>
    <t>Coronary artery disease (CAD) is one of the most important cardiovascular diseases. Lifestyle and genetic factors play important roles in the development of CAD. The aim of the study is to examine the interaction of dietary patterns and genes on the likelihood of abnormal lipid profile and coronary artery stenosis in Iranians undergoing coronary angiography. This cross-sectional study was performed on 440 patients who underwent coronary angiography. The factor analysis method was used to extract dietary patterns. Commercial kits have been used to assess biochemical parameters. The detection of the rs28362491 genotype was carried out by the method of restriction fragment length polymorphism. Traditional (TDP) and western dietary pattern (WDP) were extracted. We observed an interaction of adherence to TDP and rs28362491 on the odds of having a high Gensini score. These interactions indicated that higher adherence to TDP was associated with higher odds of having a high Gensini score for patients with DD genotype than for those with II genotype. (OR 2.33, 95%CI 1.00-5.44; P = 0.05). These interactions remained statistically significant even after confounder variables. We observed an interaction between higher adherence to TDP and rs28362491 variants on the odds of high low-density lipoprotein cholesterol levels (P = 0.04) in the unadjusted model. We found a significant interaction of this polymorphism and higher adherence to WDP on the odds of having a high Gensini score in the unadjusted model (P = 0.04). This study provides a basis for future research on NF-KB1 gene and diet interaction. More large-scale longitudinal studies are needed to validate these findings.</t>
  </si>
  <si>
    <t>Multimorbidity in Heart Failure: Leveraging Cluster Analysis to Guide Tailored Treatment Strategies.</t>
  </si>
  <si>
    <t>van de Veerdonk, Mariëlle C; Savarese, Gianluigi; Handoko, M Louis; Beulens, Joline W J; Asselbergs, Folkert; Uijl, Alicia</t>
  </si>
  <si>
    <t>current heart failure reports</t>
  </si>
  <si>
    <t>https://pubmed.ncbi.nlm.nih.gov/37658971</t>
  </si>
  <si>
    <t>This review summarises key findings on treatment effects within phenotypical clusters of patients with heart failure (HF), making a distinction between patients with preserved ejection fraction (HFpEF) and reduced ejection fraction (HFrEF). Treatment response differed among clusters; ACE inhibitors were beneficial in all HFrEF phenotypes, while only some studies show similar beneficial prognostic effects in HFpEF patients. Beta-blockers had favourable effects in all HFrEF patients but not in HFpEF phenotypes and tended to worsen prognosis in older, cardiorenal patients. Mineralocorticoid receptor antagonists had more favourable prognostic effects in young, obese males and metabolic HFpEF patients. While a phenotype-guided approach is a promising solution for individualised treatment strategies, there are several aspects that still require improvements before such an approach could be implemented in clinical practice. Stronger evidence from clinical trials and real-world data may assist in establishing a phenotype-guided treatment approach for patient with HF in the future.</t>
  </si>
  <si>
    <t>Correction: "The 5th edition of The World Health Organization Classification of Haematolymphoid Tumours: Lymphoid Neoplasms" Leukemia. 2022 Jul;36(7):1720-1748.</t>
  </si>
  <si>
    <t>Alaggio, Rita; Amador, Catalina; Anagnostopoulos, Ioannis; Attygalle, Ayoma D; de Oliveira Araujo, Iguaracyra Barreto; Berti, Emilio; Bhagat, Govind; Borges, Anita Maria; Boyer, Daniel; Calaminici, Mariarita; Chadburn, Amy; Chan, John K C; Cheuk, Wah; Chng, Wee-Joo; Choi, John K; Chuang, Shih-Sung; Coupland, Sarah E; Czader, Magdalena; Dave, Sandeep S; de Jong, Daphne; Di Napoli, Arianna;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t>
  </si>
  <si>
    <t>https://pubmed.ncbi.nlm.nih.gov/37468552</t>
  </si>
  <si>
    <t>Microvascular endothelial dysfunction in skin is associated with higher risk of heart failure with preserved ejection fraction in women with type 2 diabetes: the Hoorn Diabetes Care System Cohort.</t>
  </si>
  <si>
    <t>Canto, Elisa Dal; van Deursen, L; Hoek, A G; Elders, P J M; den Ruijter, H M; van der Velden, J; van Empel, V; Serné, E H; Eringa, E C; Beulens, J W J</t>
  </si>
  <si>
    <t>cardiovascular diabetology</t>
  </si>
  <si>
    <t>https://pubmed.ncbi.nlm.nih.gov/37658327</t>
  </si>
  <si>
    <t>Microvascular dysfunction plays a crucial role in complications of type 2 diabetes and might contribute to heart failure with preserved ejection fraction (HFpEF), a disease that disproportionally affects women. We aimed to investigate if presence and degree of microvascular dysfunction (MVD) in skin relates to markers of left ventricular diastolic dysfunction (LVDD) and HFpEF risk in adults with type 2 diabetes, and whether sex modifies this association. We recruited 154 participants (50% women) from the Hoorn Diabetes Care System Cohort, a prospective cohort study, for in vivo evaluation of skin MVD, echocardiography and blood sampling. MVD was assessed by laser speckle contrast analysis combined with iontophoresis of insulin, acetylcholine and sodium nitroprusside (SNP). We performed a cross-sectional analysis of the association between perfusion responses and echocardiographic and clinical markers of LVDD and the H2FPEF score by multivariable linear regression analysis adjusted for confounders. Sex was evaluated as a potential effect modifier and the analysis was stratified. Mean age was 67 ± 6y, mean HbA1c 7.6 ± 1.3%. Women were more frequently obese (54.5 vs. 35.1%), had higher NT-proBNP plasma levels (80, IQR:34-165 vs. 46, 27-117 pg/ml) and E/E'(13.3 ± 4.3 vs. 11.4 ± 3.0) than men. Eleven women and three men were diagnosed with HFpEF, and showed lower perfusion response to insulin than those without HFpEF. A lower perfusion response to insulin and acetylcholine was associated with higher HFpEF risk in women, but not men (10% decreased perfusion response was associated with 5.8% [95%CI: 2.3;9.4%] and 5.9% [1.7;10.1%] increase of the H2FPEF score, respectively). A lower perfusion response to SNP was associated with higher pulmonary arterial systolic pressure in men while a lower perfusion response to acetylcholine associated with higher LV mass index in women and with worse LV longitudinal strain in the total population. No significant associations were found between perfusion responses and conventional LVDD markers. Impaired microvascular responses to insulin and acetylcholine in skin confers a higher risk of HFpEF in women with type 2 diabetes. In vivo measures of systemic MVD could represent novel risk markers for HFpEF, opening new avenues for the prevention of HFpEF in type 2 diabetes.</t>
  </si>
  <si>
    <t>Using the multiple streams model to elicit an initial programme theory: from policy dialogues to a roadmap for scaling up integrated care.</t>
  </si>
  <si>
    <t>Martens, Monika; van Olmen, Josefien; Wouters, Edwin; Boateng, Daniel; Van Damme, Wim; Van Belle, Sara</t>
  </si>
  <si>
    <t>https://pubmed.ncbi.nlm.nih.gov/37730245</t>
  </si>
  <si>
    <t>The 'SCale-Up diaBetes and hYpertension care' Project aims to support the scale-up of integrated care for diabetes and hypertension in Cambodia, Slovenia and Belgium through the co-creation, implementation and evaluation of contextualised roadmaps. These roadmaps offer avenues for action and are built on evidence as well as stakeholder engagement in policy dialogues. Roadmaps and policy dialogues are very much intertwined and considered to be key elements for successful stakeholder-supported scale-up in integrated chronic care. Yet, little is known about how, why and under which conditions policy dialogue leads to successful roadmap implementation and scale-up of integrated care. Therefore, this study aims to use a realist approach to elicit an initial programme theory (IPT), using political science theories on the policy process. To develop the IPT, information from different sources was collected. First, an exploratory literature review on policy dialogue and scale-up definitions and success factors was performed, identifying theoretical frameworks, empirical (case) studies and realist studies (information gleaning). Second, research workshops on applying theory to the roadmap for scale-up (theory gleaning) were conducted with a multidisciplinary expert team. We used the intervention-context-actors-mechanism-outcome configuration to synthesise information from the sources into a configurational map. The information and theory gleaning resulted into an IPT, hypothesising how policy dialogues can contribute to roadmap success in different policy stages. The IPT draws on political science theory of the multiple streams model adapted by Howlett &lt;i&gt;et al&lt;/i&gt; to include five streams (problem, solution, politics, process and programme) that can emerge, converge and diverge across all five policy stages. This paper aims to extend the knowledge base on the use of policy dialogues to build a roadmap for scale-up. The IPT describes how (dynamics) and why (theories) co-created roadmaps are expected to work in different policy stages.</t>
  </si>
  <si>
    <t>Inconsistency identification in network meta-analysis via stochastic search variable selection.</t>
  </si>
  <si>
    <t>Seitidis, Georgios; Nikolakopoulos, Stavros; Ntzoufras, Ioannis; Mavridis, Dimitris</t>
  </si>
  <si>
    <t>https://pubmed.ncbi.nlm.nih.gov/37652462</t>
  </si>
  <si>
    <t>The reliability of the results of network meta-analysis (NMA) lies in the plausibility of the key assumption of transitivity. This assumption implies that the effect modifiers' distribution is similar across treatment comparisons. Transitivity is statistically manifested through the consistency assumption which suggests that direct and indirect evidence are in agreement. Several methods have been suggested to evaluate consistency. A popular approach suggests adding inconsistency factors to the NMA model. We follow a different direction by describing each inconsistency factor with a candidate covariate whose choice relies on variable selection techniques. Our proposed method, stochastic search inconsistency factor selection (SSIFS), evaluates the consistency assumption both locally and globally, by applying the stochastic search variable selection method to determine whether the inconsistency factors should be included in the model. The posterior inclusion probability of each inconsistency factor quantifies how likely is a specific comparison to be inconsistent. We use posterior model odds or the median probability model to decide on the importance of inconsistency factors. Differences between direct and indirect evidence can be incorporated into the inconsistency detection process. A key point of our proposed approach is the construction of a reasonable "informative" prior concerning network consistency. The prior is based on the elicitation of information derived historical data from 201 published network meta-analyses. The performance of our proposed method is evaluated in two published network meta-analyses. The proposed methodology is publicly available in an R package called ssifs, published on CRAN and developed and maintained by the authors of this work.</t>
  </si>
  <si>
    <t>Long-term peridialytic blood pressure changes are related to mortality.</t>
  </si>
  <si>
    <t>de Roij van Zuijdewijn, Camiel L M; Rootjes, Paul A; Nubé, Menso J; Bots, Michiel L; Canaud, Bernard; Blankestijn, Peter J; van Ittersum, Frans J; Maduell, Francisco; Morena, Marion; Peters, Sanne A E; Davenport, Andrew; Vernooij, Robin W M; Grooteman, Muriel P C; ,</t>
  </si>
  <si>
    <t>nephrology dialysis transplantation official publication of the european dialysis and transplant association european renal association</t>
  </si>
  <si>
    <t>https://pubmed.ncbi.nlm.nih.gov/36496176</t>
  </si>
  <si>
    <t>In chronic haemodialysis (HD) patients, the relationship between long-term peridialytic blood pressure (BP) changes and mortality has not been investigated. To evaluate whether long-term changes in peridialytic BP are related to mortality and whether treatment with HD or haemodiafiltration (HDF) differs in this respect, the combined individual participant data of three randomized controlled trials comparing HD with HDF were used. Time-varying Cox regression and joint models were applied. During a median follow-up of 2.94 years, 609 of 2011 patients died. As for pre-dialytic systolic BP (pre-SBP), a severe decline (≥21 mmHg) in the preceding 6 months was independently related to increased mortality [hazard ratio (HR) 1.61, P = .01] when compared with a moderate increase. Likewise, a severe decline in post-dialytic diastolic BP (DBP) was associated with increased mortality (adjusted HR 1.96, P &lt; .0005). In contrast, joint models showed that every 5-mmHg increase in pre-SBP and post-DBP during total follow-up was related to reduced mortality (adjusted HR 0.97, P = .01 and 0.94, P = .03, respectively). No interaction was observed between BP changes and treatment modality. Severe declines in pre-SBP and post-DBP in the preceding 6 months were independently related to mortality. Therefore peridialytic BP values should be interpreted in the context of their changes and not solely as an absolute value.</t>
  </si>
  <si>
    <t>Which trial do we need? A sequential multiple assignment randomized trial to determine the optimal Clostridioides difficile treatment sequence.</t>
  </si>
  <si>
    <t>van Prehn, Joffrey; van Werkhoven, Cornelis H; Skinner, Andrew M; Guery, Benoit; Dubberke, Erik R; Kuijper, Ed J</t>
  </si>
  <si>
    <t>https://pubmed.ncbi.nlm.nih.gov/37652123</t>
  </si>
  <si>
    <t>Dementia prediction in the general population using clinically accessible variables: a proof-of-concept study using machine learning. The AGES-Reykjavik study.</t>
  </si>
  <si>
    <t>Twait, Emma L; Andaur Navarro, Constanza L; Gudnason, Vilmunur; Hu, Yi-Han; Launer, Lenore J; Geerlings, Mirjam I</t>
  </si>
  <si>
    <t>https://pubmed.ncbi.nlm.nih.gov/37641038</t>
  </si>
  <si>
    <t>Early identification of dementia is crucial for prompt intervention for high-risk individuals in the general population. External validation studies on prognostic models for dementia have highlighted the need for updated models. The use of machine learning in dementia prediction is in its infancy and may improve predictive performance. The current study aimed to explore the difference in performance of machine learning algorithms compared to traditional statistical techniques, such as logistic and Cox regression, for prediction of all-cause dementia. Our secondary aim was to assess the feasibility of only using clinically accessible predictors rather than MRI predictors. Data are from 4,793 participants in the population-based AGES-Reykjavik Study without dementia or mild cognitive impairment at baseline (mean age: 76 years, % female: 59%). Cognitive, biometric, and MRI assessments (total: 59 variables) were collected at baseline, with follow-up of incident dementia diagnoses for a maximum of 12 years. Machine learning algorithms included elastic net regression, random forest, support vector machine, and elastic net Cox regression. Traditional statistical methods for comparison were logistic and Cox regression. Model 1 was fit using all variables and model 2 was after feature selection using the Boruta package. A third model explored performance when leaving out neuroimaging markers (clinically accessible model). Ten-fold cross-validation, repeated ten times, was implemented during training. Upsampling was used to account for imbalanced data. Tuning parameters were optimized for recalibration automatically using the caret package in R. 19% of participants developed all-cause dementia. Machine learning algorithms were comparable in performance to logistic regression in all three models. However, a slight added performance was observed in the elastic net Cox regression in the third model (c = 0.78, 95% CI: 0.78-0.78) compared to the traditional Cox regression (c = 0.75, 95% CI: 0.74-0.77). Supervised machine learning only showed added benefit when using survival techniques. Removing MRI markers did not significantly worsen our model's performance. Further, we presented the use of a nomogram using machine learning methods, showing transportability for the use of machine learning models in clinical practice. External validation is needed to assess the use of this model in other populations. Identifying high-risk individuals will amplify prevention efforts and selection for clinical trials.</t>
  </si>
  <si>
    <t>Safety of Switching From a Vitamin K Antagonist to a Non-Vitamin K Antagonist Oral Anticoagulant in Frail Older Patients With Atrial Fibrillation: Results of the FRAIL-AF Randomized Controlled Trial.</t>
  </si>
  <si>
    <t>Joosten, Linda P T; van Doorn, Sander; van de Ven, Peter M; Köhlen, Bart T G; Nierman, Melchior C; Koek, Huiberdina L; Hemels, Martin E W; Huisman, Menno V; Kruip, Marieke; Faber, Laura M; Wiersma, Nynke M; Buding, Wim F; Fijnheer, Rob; Adriaansen, Henk J; Roes, Kit C; Hoes, Arno W; Rutten, Frans H; Geersing, Geert-Jan</t>
  </si>
  <si>
    <t>circulation</t>
  </si>
  <si>
    <t>https://pubmed.ncbi.nlm.nih.gov/37634130</t>
  </si>
  <si>
    <t>There is ambiguity whether frail patients with atrial fibrillation managed with vitamin K antagonists (VKAs) should be switched to a non-vitamin K oral anticoagulant (NOAC). We conducted a pragmatic, multicenter, open-label, randomized controlled superiority trial. Older patients with atrial fibrillation living with frailty (≥75 years of age plus a Groningen Frailty Indicator score ≥3) were randomly assigned to switch from international normalized ratio-guided VKA treatment to an NOAC or to continued VKA treatment. Patients with a glomerular filtration rate &lt;30 mL·min&lt;sup&gt;-1&lt;/sup&gt;·1.73 m&lt;sup&gt;-2&lt;/sup&gt; or with valvular atrial fibrillation were excluded. Follow-up was 12 months. The cause-specific hazard ratio was calculated for occurrence of the primary outcome that was a major or clinically relevant nonmajor bleeding complication, whichever came first, accounting for death as a competing risk. Analyses followed the intention-to-treat principle. Secondary outcomes included thromboembolic events. Between January 2018 and June 2022, a total of 2621 patients were screened for eligibility and 1330 patients were randomly assigned (mean age 83 years, median Groningen Frailty Indicator score 4). After randomization, 6 patients in the switch-to-NOAC arm and 1 patient in the continue-with-VKA arm were excluded due to the presence of exclusion criteria, leaving 662 patients switched from a VKA to an NOAC and 661 patients continued VKAs in the intention-to-treat population. After 163 primary outcome events (101 in the switch arm, 62 in the continue arm), the trial was stopped for futility according to a prespecified futility analysis. The hazard ratio for our primary outcome was 1.69 (95% CI, 1.23-2.32). The hazard ratio for thromboembolic events was 1.26 (95% CI, 0.60-2.61). Switching international normalized ratio-guided VKA treatment to an NOAC in frail older patients with atrial fibrillation was associated with more bleeding complications compared with continuing VKA treatment, without an associated reduction in thromboembolic complications. URL: https://eudract.ema.europa.eu; Unique identifier: 2017-000393-11. URL: https://eudract.ema.europa.eu; Unique identifier: 6721 (FRAIL-AF study).</t>
  </si>
  <si>
    <t>Assessing the Well-Being at Work of Nurses and Doctors in Hospitals: Protocol for a Scoping Review of Monitoring Instruments.</t>
  </si>
  <si>
    <t>Boskma, Amber; van der Braak, Kim; Ansari, Neda; Hooft, Lotty; Wietasch, Götz; Franx, Arie; van der Laan, Maarten</t>
  </si>
  <si>
    <t>jmir research protocols</t>
  </si>
  <si>
    <t>https://pubmed.ncbi.nlm.nih.gov/37624632</t>
  </si>
  <si>
    <t>Well-being at work can be defined as "creating an environment to promote a state of contentment which allows an employee to flourish and achieve their full potential for the benefit of themselves and their organisation." In the health care context, well-being at work of nurses and doctors is important for good patient care. Moreover, it is strongly associated with individual- and organization-level consequences. Relevant literature presents models and concepts of physical, mental, and social well-being. This study uses the 6 elements of the job demands-resources (JD-R) model to interpret well-being at work (job demands, job resources, personal resources, leadership, well-being, and outcomes) as part of a Netherlands Federation of University Medical Hospitals program to find ways to improve and monitor health care professionals' well-being in Dutch hospitals. Many instruments exist to measure well-being at work in terms of population, setting, and other aspects. An overview of available and eligible instruments assessing and monitoring the well-being of nurses and doctors is currently missing. We will perform a scoping review aiming to provide an overview of validated instruments assessing and monitoring the well-being of nurses and doctors at work. We will perform a search of published literature in the following databases: Medline, Embase, and CINAHL. Studies will be eligible if they (1) assess well-being at work of nurses and doctors employed in hospitals; (2) describe an evaluation of an instrument or review an instrument; (3) measure well-being at work or aspects of well-being at work according to the elements of the JD-R model, and (4) were published in English from 2011 onwards. Title/abstract screening according to the eligibility criteria will be followed by full-text screening. Data extraction of included studies will be conducted by 3 reviewers independently. Reviewers will use standardized data extraction forms that include study characteristics, sample characteristics, measurement instrument details, and psychometric properties. The analysis will be descriptive. When synthesizing the data, a distinction will be made between comprehensive instruments and common instruments. This scoping review identifies instruments that have been developed and validated for monitoring the well-being of nurses and doctors at work. Studies were searched between September and December 2021 and screened between December 2021 and May 2022. A total of 739 studies were included. Timely screening of well-being at work may be beneficial for individual health care workers, the organization, and patients. There is often a substantial gap and mismatch between employer perceptions of well-being and well-being interventions. It is important to develop and implement suitable interventions adapted to the needs of nurses and doctors and their health or other problems. Well-being screening should be timely to gain insight into these needs and problems. Moreover, to determine the effectiveness of well-being interventions, measurement is mandatory. The results will be critical for organizations to select a monitoring instrument that best fits the needs of employees and organizations. DERR1-10.2196/43692.</t>
  </si>
  <si>
    <t>Does Heterogeneity Exist in Treatment Associations With Renin-Angiotensin-System Inhibitors or Beta-blockers According to Phenotype Clusters in Heart Failure with Preserved Ejection Fraction?</t>
  </si>
  <si>
    <t>Uijl, Alicia; Koudstaal, Stefan; Stolfo, Davide; Dahlström, Ulf; Vaartjes, Ilonca; Grobbee, Rick E; Asselbergs, Folkert W; Lund, Lars H; Savarese, Gianluigi</t>
  </si>
  <si>
    <t>journal of cardiac failure</t>
  </si>
  <si>
    <t>https://pubmed.ncbi.nlm.nih.gov/37634573</t>
  </si>
  <si>
    <t>We explored the association between use of renin-angiotensin system inhibitors and beta-blockers, with mortality/morbidity in 5 previously identified clusters of patients with heart failure with preserved ejection fraction (HFpEF). We analyzed 20,980 patients with HFpEF from the Swedish HF registry, phenotyped into young-low comorbidity burden (12%), atrial fibrillation-hypertensive (32%), older-atrial fibrillation (24%), obese-diabetic (15%), and a cardiorenal cluster (17%). In Cox proportional hazard models with inverse probability weighting, there was no heterogeneity in the association between renin-angiotensin system inhibitor use and cluster membership for any of the outcomes: cardiovascular (CV) mortality, all-cause mortality, HF hospitalisation, CV hospitalisation, or non-CV hospitalisation. In contrast, we found a statistical interaction between beta-blocker use and cluster membership for all-cause mortality (P = .03) and non-CV hospitalisation (P = .001). In the young-low comorbidity burden and atrial fibrillation-hypertensive cluster, beta-blocker use was associated with statistically significant lower all-cause mortality and non-CV hospitalisation and in the obese-diabetic cluster beta-blocker use was only associated with a statistically significant lower non-CV hospitalisation. The interaction between beta-blocker use and cluster membership for all-cause mortality could potentially be driven by patients with improved EF. However, patient numbers were diminished when excluding those with improved EF and the direction of the associations remained similar. In patients with HFpEF, the association with all-cause mortality and non-CV hospitalisation was heterogeneous across clusters for beta-blockers. It remains to be elucidated how heterogeneity in HFpEF could influence personalized medicine and future clinical trial design.</t>
  </si>
  <si>
    <t>Successful tapering of dupilumab in patients with atopic dermatitis with low disease activity: a large pragmatic daily practice study from the BioDay registry.</t>
  </si>
  <si>
    <t>Spekhorst, Lotte S; Boesjes, Celeste M; Loman, Laura; Zuithoff, Nicolaas P A; Bakker, Daphne S; Kamphuis, Esmé; Kamsteeg, Marijke; Haeck, Inge M; Oosting, Albert J; van Lumig, Paula P M; van Lynden-van Nes, Anneke M T; Tupker, Ron A; Flinterman, Annebeth; Garritsen, Floor M; Touwslager, Wouter R H; de Bruin-Weller, Marjolein S; Schuttelaar, Marie-Louise A; de Graaf, Marlies</t>
  </si>
  <si>
    <t>the british journal of dermatology</t>
  </si>
  <si>
    <t>https://pubmed.ncbi.nlm.nih.gov/37177895</t>
  </si>
  <si>
    <t>Limited data are available regarding patient-centred dosing of dupilumab for atopic dermatitis (AD) in daily practice. To evaluate our patient-centred dupilumab dosing regimen in daily practice, to assess prognostic factors for successful tapering and to estimate medication-related cost savings. This prospective multicentre study included adult patients with AD, participating in the BioDay registry, treated with dupilumab for ≥ 1.3 years. Interval prolongation was considered in the case of dupilumab standard dose for ≥ 1 year and persistent controlled AD [Eczema Area and Severity Index (EASI) ≤ 7; ≥ 6 months]. Primary endpoints were the mean EASI and Numeric Rating Scale (NRS)-pruritus after the start of tapering. Prognostic factors for successful tapering were analysed with logistic regression and a cost-savings analysis was performed. A total of 595 patients were included, of whom 401 patients [mean EASI 2.5 (SD 2.3); NRS-pruritus of 2.4 (SD 1.9) at the start of tapering] prolonged their dupilumab interval. In 83.3% of these patients tapering was successful; most patients used dupilumab every 3 or 4 weeks (Q3W/Q4W). A significant small increase was observed for EASI (highest mean 3.5) and NRS-pruritus (highest mean 3.2) (P &lt; 0.001); however, scores remained low. Predicting successful tapering showed nonsignificant odds ratios for all incorporated variables. The estimated cost savings was €3 977 033.98 for 401 patients between January 2019 and June 2022. This study showed successful tapering of dupilumab in 83.3% of patients with AD who attempted tapering, while maintaining controlled disease and with the majority using Q3W/Q4W. Interval prolongation can be beneficial both for the patient and from a socio-economic perspective.</t>
  </si>
  <si>
    <t>Dual hormone fully closed loop in type 1 diabetes: a randomised trial in the Netherlands - study protocol.</t>
  </si>
  <si>
    <t>Jancev, Milena; Snoek, Frank J; Frederix, Geert W J; Knottnerus, Heleen; Blauw, Helga; Witkop, Maureen; Moons, Karel G M; van Bon, Arianne C; DeVries, J Hans; Serné, Erik H; van Sloten, Thomas T; de Valk, Harold W; ,</t>
  </si>
  <si>
    <t>https://pubmed.ncbi.nlm.nih.gov/37612114</t>
  </si>
  <si>
    <t>The management of type 1 diabetes (T1DM) has undergone significant advancements with the availability of novel technologies, notably continuous and flash glucose monitoring (CGM and FGM, respectively) and hybrid closed loop (HCL) therapy. The dual hormone fully closed loop (DHFCL) approach with insulin and glucagon infusion has shown promising effects in small studies on glycaemic regulation and quality of life in T1DM. The Dual Hormone Fully Closed Loop for Type 1 Diabetes (DARE) study is a non-commercial 12-month open-label, two-arm randomised parallel-group trial. The primary aim of this study is to determine the long-term effects on glycaemic control, patient-reported outcome measurements and cost-effectiveness of the DHFCL compared with usual care, that is, HCL or treatment with multiple daily insulin injections+FGM/CGM. We will include 240 adult patients with T1DM in 14 hospitals in the Netherlands. Individuals will be randomised 1:1 to the DHFCL or continuation of their current care. Ethical approval has been obtained from the Medical Research Ethics Committee NedMec, Utrecht, the Netherlands. Findings will be disseminated through peer-reviewed publications and presentations at local, national and international conferences. NCT05669547.</t>
  </si>
  <si>
    <t>Developing a personalized remote patient monitoring algorithm: a proof-of-concept in heart failure.</t>
  </si>
  <si>
    <t>Moazeni, Mehran; Numan, Lieke; Brons, Maaike; Houtgraaf, Jaco; Rutten, Frans H; Oberski, Daniel L; van Laake, Linda W; Asselbergs, Folkert W; Aarts, Emmeke</t>
  </si>
  <si>
    <t>european heart journal digital health</t>
  </si>
  <si>
    <t>https://pubmed.ncbi.nlm.nih.gov/38045433</t>
  </si>
  <si>
    <t>Non-invasive remote patient monitoring is an increasingly popular technique to aid clinicians in the early detection of worsening heart failure (HF) alongside regular follow-ups. However, previous studies have shown mixed results in the performance of such systems. Therefore, we developed and evaluated a personalized monitoring algorithm aimed at increasing positive-predictive-value (PPV) (i.e. alarm quality) and compared performance with simple rule-of-thumb and moving average convergence-divergence algorithms (MACD). In this proof-of-concept study, the developed algorithm was applied to retrospective data of daily bodyweight, heart rate, and systolic blood pressure of 74 HF-patients with a median observation period of 327 days (IQR: 183 days), during which 31 patients experienced 64 clinical worsening HF episodes. The algorithm combined information on both the monitored patients and a group of stable HF patients, and is increasingly personalized over time, using linear mixed-effect modelling and statistical process control charts. Optimized on alarm quality, heart rate showed the highest PPV (Personalized: 92%, MACD: 2%, Rule-of-thumb: 7%) with an F1 score of (Personalized: 28%, MACD: 6%, Rule-of-thumb: 8%). Bodyweight demonstrated the lowest PPV (Personalized: 16%, MACD: 0%, Rule-of-thumb: 6%) and F1 score (Personalized: 10%, MACD: 3%, Rule-of-thumb: 7%) overall compared methods. The personalized algorithm with flexible patient-tailored thresholds led to higher PPV, and performance was more sensitive compared to common simple monitoring methods (rule-of-thumb and MACD). However, many episodes of worsening HF remained undetected. Heart rate and systolic blood pressure monitoring outperformed bodyweight in predicting worsening HF. The algorithm source code is publicly available for future validation and improvement.</t>
  </si>
  <si>
    <t>Associations between Fatty Acid Intakes and Plasma Phospholipid Fatty Acid Concentrations in the European Prospective Investigation into Cancer and Nutrition.</t>
  </si>
  <si>
    <t>Huybrechts, Inge; Jacobs, Inarie; Aglago, Elom K; Yammine, Sahar; Matta, Michèle; Schmidt, Julie A; Casagrande, Corinne; Nicolas, Geneviève; Biessy, Carine; Van Puyvelde, Heleen; Scalbert, Augustin; Derksen, Jeroen W G; van der Schouw, Yvonne T; Grioni, Sara; Amiano, Pilar; Halkjær, Jytte; Tjønneland, Anne; Huerta, José M; Luján-Barroso, Leila; Palli, Domenico; Gunter, Marc J; Perez-Cornago, Aurora; Chajès, Véronique</t>
  </si>
  <si>
    <t>nutrients</t>
  </si>
  <si>
    <t>https://pubmed.ncbi.nlm.nih.gov/37686727</t>
  </si>
  <si>
    <t>The aim of this study is to determine the correlations between dietary fatty acid (FA) intakes and plasma phospholipid (PL) FA levels in the European Prospective Investigation into Cancer and Nutrition (EPIC) cohort. The dietary intake of 60 individual FAs was estimated using centre-specific validated dietary questionnaires. Plasma PL FA concentrations of these FAs were measured in non-fasting venous plasma samples in nested case-control studies within the EPIC cohort (&lt;i&gt;n&lt;/i&gt; = 4923, using only non-cases). Spearman rank correlations were calculated to determine associations between FA intakes and plasma PL FA levels. Correlations between FA intakes and circulating levels were low to moderately high (-0.233 and 0.554). Moderate positive correlations were found for total long-chain &lt;i&gt;n&lt;/i&gt;-3 poly-unsaturated FA (PUFA) (r = 0.354) with the highest (r = 0.406) for &lt;i&gt;n&lt;/i&gt;-3 PUFA docosahexaenoic acid (DHA). Moderate positive correlations were also found for the non-endogenously synthesized trans-FA (r = 0.461 for total trans-FA C16-18; r = 0.479 for industrial trans-FA (elaidic acid)). Our findings indicate that dietary FA intakes might influence the plasma PL FA status to a certain extent for several specific FAs. The stronger positive correlations for health-enhancing long-chain PUFAs and the health-deteriorating trans-FA that are not endogenously produced are valuable for future cancer prevention public health interventions.</t>
  </si>
  <si>
    <t>Safety and pharmacodynamic efficacy of eculizumab in aneurysmal subarachnoid hemorrhage (CLASH): A phase 2a randomized clinical trial.</t>
  </si>
  <si>
    <t>Koopman, Inez; Tack, Reinier Wp; Wunderink, Herman F; Bruns, Anke Hw; van der Schaaf, Irene C; Cianci, Daniela; Gelderman, Kyra A; van de Ridder, Inge M; Hol, Elly M; Rinkel, Gabriel Je; Vergouwen, Mervyn DI</t>
  </si>
  <si>
    <t>european stroke journal</t>
  </si>
  <si>
    <t>https://pubmed.ncbi.nlm.nih.gov/37606053</t>
  </si>
  <si>
    <t>Complement C5 antibodies reduce brain injury after experimental subarachnoid hemorrhage. In this randomized, controlled, open-label, phase 2a clinical trial with blinded-outcome assessment, we included adult aneurysmal subarachnoid hemorrhage (aSAH) patients admitted to a tertiary referral center ⩽11 h after ictus. Patients were randomized (1:1) to eculizumab plus care as usual or to care as usual. Eculizumab (1200 mg) was administered &lt;12 h, and on days 3 and 7 after ictus. In the intervention group, all patients received prophylactic antibiotics and, after a protocol amendment, fluconazole if indicated. Primary outcome was C5a concentration in cerebrospinal fluid (CSF) on day 3 after ictus. Safety was monitored during 4 weeks. In each group, 13 patients with CSF assessments were needed to detect a 55% reduction in CSF C5a concentration. From October 2018 to May 2021, we enrolled 31 patients of whom 26 with CSF samples, 13 per group. Median C5a concentration in CSF on day 3 was 251 pg/ml [IQR: 103-402] in the intervention group and 371 pg/ml [IQR: 131-534] in the control group (&lt;i&gt;p&lt;/i&gt; = 0.29). Infections occurred in two patients in the intervention group and four patients in the control group. One patient in the intervention group developed a &lt;i&gt;C. albicans&lt;/i&gt; meningitis prior to the protocol amendment. One dose of eculizumab did not result in a ⩾ 55% decrease in C5a concentration in CSF on day 3 after aSAH. The study did not reveal new safety concerns, except for a &lt;i&gt;C. albicans&lt;/i&gt; drain-related infection prior to antifungal monitoring and treatment. EudraCT 2017-004307-51, https://www.clinicaltrialsregister.eu/.</t>
  </si>
  <si>
    <t>Diagnostic management of acute pulmonary embolism: a prediction model based on a patient data meta-analysis.</t>
  </si>
  <si>
    <t>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t>
  </si>
  <si>
    <t>https://pubmed.ncbi.nlm.nih.gov/37452732</t>
  </si>
  <si>
    <t>Risk stratification is used for decisions regarding need for imaging in patients with clinically suspected acute pulmonary embolism (PE). The aim was to develop a clinical prediction model that provides an individualized, accurate probability estimate for the presence of acute PE in patients with suspected disease based on readily available clinical items and D-dimer concentrations. An individual patient data meta-analysis was performed based on sixteen cross-sectional or prospective studies with data from 28 305 adult patients with clinically suspected PE from various clinical settings, including primary care, emergency care, hospitalized and nursing home patients. A multilevel logistic regression model was built and validated including ten a priori defined objective candidate predictors to predict objectively confirmed PE at baseline or venous thromboembolism (VTE) during follow-up of 30 to 90 days. Multiple imputation was used for missing data. Backward elimination was performed with a P-value &lt;0.10. Discrimination (c-statistic with 95% confidence intervals [CI] and prediction intervals [PI]) and calibration (outcome:expected [O:E] ratio and calibration plot) were evaluated based on internal-external cross-validation. The accuracy of the model was subsequently compared with algorithms based on the Wells score and D-dimer testing. The final model included age (in years), sex, previous VTE, recent surgery or immobilization, haemoptysis, cancer, clinical signs of deep vein thrombosis, inpatient status, D-dimer (in µg/L), and an interaction term between age and D-dimer. The pooled c-statistic was 0.87 (95% CI, 0.85-0.89; 95% PI, 0.77-0.93) and overall calibration was very good (pooled O:E ratio, 0.99; 95% CI, 0.87-1.14; 95% PI, 0.55-1.79). The model slightly overestimated VTE probability in the lower range of estimated probabilities. Discrimination of the current model in the validation data sets was better than that of the Wells score combined with a D-dimer threshold based on age (c-statistic 0.73; 95% CI, 0.70-0.75) or structured clinical pretest probability (c-statistic 0.79; 95% CI, 0.76-0.81). The present model provides an absolute, individualized probability of PE presence in a broad population of patients with suspected PE, with very good discrimination and calibration. Its clinical utility needs to be evaluated in a prospective management or impact study. PROSPERO ID 89366.</t>
  </si>
  <si>
    <t>Glial cell response and microthrombosis in aneurysmal subarachnoid hemorrhage patients: An autopsy study.</t>
  </si>
  <si>
    <t>Koopman, Inez; van Dijk, Bart J; Zuithoff, Nicolaas P A; Sluijs, Jacqueline A; van der Kamp, Marije J; Baldew, Zelonna A V; Frijns, Catharina J M; Rinkel, Gabriel J E; Hol, Elly M; Vergouwen, Mervyn D I</t>
  </si>
  <si>
    <t>journal of neuropathology and experimental neurology</t>
  </si>
  <si>
    <t>https://pubmed.ncbi.nlm.nih.gov/37478478</t>
  </si>
  <si>
    <t>Neuroinflammation and microthrombosis may be underlying mechanisms of brain injury after aneurysmal subarachnoid hemorrhage (aSAH), but they have not been studied in relation to each other. In postmortem brain tissue, we investigated neuroinflammation by studying the microglial and astrocyte response in the frontal cortex of 11 aSAH and 10 control patients. In a second study, we investigated the correlation between microthrombosis and microglia by studying the microglial surface area around vessels with and without microthrombosis in the frontal cortex and hippocampus of 8 other aSAH patients. In comparison with controls, we found increased numbers of microglia (mean ± SEM 50 ± 8 vs 20 ± 5 per 0.0026 mm³, p &lt; 0.01), an increased surface area (%) of microglia (mean ± SEM 4.2 ± 0.6 vs 2.2 ± 0.4, p &lt; 0.05), a higher intensity of the astrocytic intermediate filament protein glial fibrillary acidic protein (GFAP) (mean ± SEM 184 ± 28 vs 92 ± 23 arbitrary units, p &lt; 0.05), and an increased GFAP surface area (%) (mean ± SEM 21.2 ± 2.6 vs 10.7 ± 2.1, p &lt; 0.01) in aSAH tissue. Microglia surface area was approximately 40% larger around vessels with microthrombosis than those without microthrombosis (estimated marginal means [95% CI]; 6.1 [5.4-6.9] vs 4.3 [3.6-5.0], p &lt; 0.001). Our results show that the microglial and astrocyte surface areas increased after aSAH and that microthrombosis and microglia are interrelated.</t>
  </si>
  <si>
    <t>Data Science and Biostatistics; Global Health and Bioethics; Data Science and Biostatistics; Global Health and Bioethics; Data Science and Biostatistics; Epidemiology and Health Economics; Global Health and Bioethics; Data Science and Biostatistics; Epidemiology and Health Economics; Epidemiology and Health Economics; Data Science and Biostatistics; Global Health and Bioethics; Epidemiology and Health Economics; Epidemiology and Health Economics; Global Health and Bioethics</t>
  </si>
  <si>
    <t>Multi-part strategy for testing differential taxa abundance in sequencing data: A simulation study with an application to a microbiome study.</t>
  </si>
  <si>
    <t>Cianci, Daniela; Tims, Sebastian; Roeselers, Guus; El Galta, Rachid; Swinkels, Sophie</t>
  </si>
  <si>
    <t>journal of microbiological methods</t>
  </si>
  <si>
    <t>https://pubmed.ncbi.nlm.nih.gov/37607610</t>
  </si>
  <si>
    <t>Comparing the microbiome across study arms is a recurrent goal in many studies. Standard statistical methods are often used for this purpose, however, they do not always represent the best choice in this context given the characteristics of microbiota sequencing data, e.g., non-negative, highly skewed counts with a large number of zeros. A multi-part strategy, that combines a two-part test (as described by Wagner et al., 2011), a Wilcoxon sum-rank test, a Chi-square and a Barnard's test was explored to compare the taxa abundance between study arms. The choice of the test is based on the data structure. The type I error of the multi-part strategy was evaluated by using a simulation study and the method was applied to real data. The script to perform the analysis with the multi-part approach is provided in the statistical software SAS. Several scenarios were simulated and in all of them the type I error was not inflated. Based on the statistical differences resulting from the two-part test (as described by Wagner et al., 2011) and the multi-part strategy (as proposed in this article), different biological implications can be extracted from the same comparison in the same data set. In the comparison of taxa abundance between study arms, we showed that careful attention needs to be paid on the data structure, in order to be able to choose an appropriate analysis method. Our approach selects the most suitable test according to the type of data observed, maintains a good type I error and is easily applicable by using the SAS macro provided.</t>
  </si>
  <si>
    <t>Associations between prenatal maternal stress, maternal inflammation during pregnancy, and children's internalizing and externalizing symptoms throughout childhood.</t>
  </si>
  <si>
    <t>Clayborne, Zahra M; Zou, Runyu; Gilman, Stephen E; Khandaker, Golam M; Fell, Deshayne B; Colman, Ian; El Marroun, Hanan</t>
  </si>
  <si>
    <t>brain behavior and immunity</t>
  </si>
  <si>
    <t>https://pubmed.ncbi.nlm.nih.gov/37607663</t>
  </si>
  <si>
    <t>Maternal immune activation is a potential mechanism underlying associations between maternal stress during pregnancy and offspring mental health problems. This study examined associations between prenatal maternal stress, maternal inflammation during pregnancy, and children's internalizing and externalizing symptoms from 3 to 10 years of age, and whether maternal inflammation mediated the associations between prenatal maternal stress and children's internalizing and externalizing symptoms. This study comprised 4,902 mother-child dyads in the Generation R study. Prenatal maternal stress was assessed using self-reported data collected during pregnancy and analyzed as a latent variable consisting of four stress domains. Maternal inflammation during pregnancy was assessed using serum concentrations of C-reactive protein (CRP) measured at a median of 13.5 weeks' gestation. Child internalizing and externalizing symptoms were assessed using the Child Behavior Checklist (CBCL) by maternal report at ages 3 years, 5 years, and 10 years; paternal-reported CBCL data were also available at 3 years and 10 years. Prenatal maternal stress was associated with maternal-reported internalizing and externalizing symptoms of the child at 3, 5, and 10 years of age, and with paternal-reported internalizing and externalizing symptoms at 3 and 10 years. Prenatal maternal stress was associated with maternal CRP concentrations prior to, but not after, covariate adjustment. Maternal CRP concentrations during pregnancy were associated with paternal-reported internalizing symptoms of offspring at 10 years of age prior to, but not after, covariate adjustment. There was no evidence that CRP concentrations mediated the associations between prenatal maternal stress and children's internalizing or externalizing symptoms. Maternal stress during pregnancy is associated with higher levels of internalizing and externalizing symptoms in children, but this association is not because of differences in maternal immune activation linked to maternal stress. Replication of these findings in other cohorts is required; examination of other biomarkers or variation in immune activity during pregnancy would also benefit from further exploration.</t>
  </si>
  <si>
    <t>Macrovascular and renal microvascular complications in West Africans with intermediate hyperglycemia living in West Africa and Europe: The RODAM study.</t>
  </si>
  <si>
    <t>Bannerman-Williams, Emmanuel; Hayfron-Benjamin, Charles F; Atiase, Yacoba; Bahendeka, Silver; Meeks, Karlijn; Klipstein-Grobusch, Kerstin; Addo, Juliet; Mockenhaupt, Frank; Schulze, Matthias B; Beune, Erik; van den Born, Bert-Jan; Agyemang, Charles</t>
  </si>
  <si>
    <t>https://pubmed.ncbi.nlm.nih.gov/37664733</t>
  </si>
  <si>
    <t>Metabolic conditions, including intermediate hyperglycemia (IH), affect migrants to a greater extent than the populations of origin. Evidence suggests that IH increases the risk of vascular complications, but it is unclear whether the differences in IH between the non-migrant and migrant populations translate to differences in vascular complications between the two populations. We compared the prevalence of macrovascular and renal microvascular complications among West Africans with IH living in West Africa and their migrant compatriots in Europe. Data from the multicenter Research on Obesity and Diabetes among African Migrants(RODAM) study were analyzed. Ghanaians with IH(524 non-migrant and 1439 migrants) were included. Logistic regression analyses were used to determine the associations between migrant status and macrovascular [coronary artery disease(CAD) and peripheral artery disease(PAD)] and renal microvascular[nephropathy] complications with adjustment for age, sex, socioeconomic status, smoking, systolic blood pressure, BMI, total cholesterol, HbA1c, C-reactive protein, and serum uric acid. The prevalence of microvascular/macrovascular complications was higher in non-migrants than in migrants(nephropathy 15.3vs.9.7%; PAD 3.1%vs.1.3%; and CAD 15.8% vs. 5.0%). The differences persisted in the fully adjusted model: nephropathy [odds ratio, 2.12; 95% CI(1.46-3.08); PAD, 4.44(1.87-10.51); CAD 2.35(1.64-3.37)]. Non-migrant females had higher odds of nephropathy[2.14(1.34-3.43)], PAD[7.47(2.38-23.40)] and CAD [2.10(1.34-3.27)] compared to migrant females. Non-migrant males had higher odds of nephropathy[2.54(1.30-4.97)] and CAD[2.85(1.48-5.50)], but not PAD[1.81(0.32-10.29)],than their migrant peers. Macrovascular and renal microvascular complications were more prevalent in non-migrants than in migrant West Africans with IH. Further studies are needed to identify factors that increase the risk to aid preventive/treatment strategies.</t>
  </si>
  <si>
    <t>High-Target Hemodiafiltration Convective Dose Achieved in Most Patients in a 6-Month Intermediary Analysis of the CONVINCE Randomized Controlled Trial.</t>
  </si>
  <si>
    <t>Vernooij, Robin W M; Hockham, C; Barth, C; Canaud, B; Cromm, K; Davenport, A; Hegbrant, J; Rose, M; Strippoli, G F M; Török, M; Woodward, M; Bots, M L; Blankestijn, P J</t>
  </si>
  <si>
    <t>kidney international reports</t>
  </si>
  <si>
    <t>https://pubmed.ncbi.nlm.nih.gov/38025213</t>
  </si>
  <si>
    <t>High convection volumes in hemodiafiltration (HDF) result in improved survival; however, it remains unclear whether it is achievable in all patients. CONVINCE, a randomized controlled trial, randomized patients with end-stage kidney disease 1:1 to high-dose HDF versus high-flux hemodialysis (HD) continuation. We evaluated the proportion of patients achieving high-dose HDF target: convection volume per visit of ≥23 l (range ±1 l) at baseline, month 3, and month 6. We compared baseline characteristics in the following 2 ways: (i) patients on target for all 3 visits versus patients who missed target on ≥1 visits and (ii) patients on target for all 3 visits or missing it once versus patients who missed target on ≥2 visits. A total of 653 patients were randomized to HDF. Their mean age was 62.2 (SD 13.5) years, 36% were female, 81% had fistula vascular access, and 33% had diabetes. Across the 3 visits, 75 patients (11%), 27 patients (4%), and 11 patients (2%) missed the convection volume target once, twice, and thrice, respectively. Apart from diabetes, there were no apparent differences in patient characteristics between patients who always achieved the high-dose target (83%) and those who missed the target either once or more (17%) or twice or more (6%). Achieving high-dose HDF is feasible for nearly all patients in CONVINCE and could be maintained during the 6-month follow-up period. Apart from diabetes, there were no other indications for confounding by indication on multivariable analyses that may explain the potential survival advantage for patients receiving high-dose HDF.</t>
  </si>
  <si>
    <t>Variations across Europe in hospitalization and management of pregnant women with SARS-CoV-2 during the initial phase of the pandemic: Multi-national population-based cohort study using the International Network of Obstetric Survey Systems (INOSS).</t>
  </si>
  <si>
    <t>de Bruin, Odette; Engjom, Hilde; Vousden, Nicola; Ramakrishnan, Rema; Aabakke, Anna J M; Äyräs, Outi; Donati, Serena; Jónasdóttir, Eva; Knight, Marian; Overtoom, Evelien M; Salvatore, Michele A; Sturkenboom, Miriam C J M; Svanvik, Teresia; Varpula, Reetta; Vercoutere, An; Bloemenkamp, Kitty W M; ,</t>
  </si>
  <si>
    <t>acta obstetricia et gynecologica scandinavica</t>
  </si>
  <si>
    <t>https://pubmed.ncbi.nlm.nih.gov/37594175</t>
  </si>
  <si>
    <t>The majority of data on COVID-19 in pregnancy are not from sound population-based active surveillance systems. We conducted a multi-national study of population-based national or regional prospective cohorts using standardized definitions within the International Network of Obstetric Survey systems (INOSS). From a source population of women giving birth between March 1 and August 31, 2020, we included pregnant women admitted to hospital with a positive SARS-CoV-2 PCR test ≤7 days prior to or during admission and up to 2 days after birth. The admissions were further categorized as COVID-19-related or non-COVID-19-related. The primary outcome of interest was incidence of COVID-19-related hospital admission. Secondary outcomes included severe maternal disease (ICU admission and mechanical ventilation) and COVID-19-directed medical treatment. In a source population of 816 628 maternities, a total of 2338 pregnant women were admitted with SARS-CoV-2; among them 940 (40%) were COVID-19-related admissions. The pooled incidence estimate for COVID-19-related admission was 0.59 (95% confidence interval 0.27-1.02) per 1000 maternities, with notable heterogeneity across countries (I&lt;sup&gt;2&lt;/sup&gt;  = 97.3%, P = 0.00). In the COVID-19 admission group, between 8% and 17% of the women were admitted to intensive care, and 5%-13% needed mechanical ventilation. Thromboprophylaxis was the most frequent treatment given during COVID-19-related admission (range 14%-55%). Among 908 infants born to women in the COVID-19-related admission group, 5 (0.6%) stillbirths were reported. During the initial months of the pandemic, we found substantial variations in incidence of COVID-19-related admissions in nine European countries. Few pregnant women received COVID-19-directed medical treatment. Several barriers to rapid surveillance were identified. Investment in robust surveillance should be prioritized to prepare for future pandemics.</t>
  </si>
  <si>
    <t>Gene-environment interactions and the effect on obesity risk in low and middle-income countries: a scoping review.</t>
  </si>
  <si>
    <t>Pledger, Sophia L; Ahmadizar, Fariba</t>
  </si>
  <si>
    <t>frontiers in endocrinology</t>
  </si>
  <si>
    <t>https://pubmed.ncbi.nlm.nih.gov/37664850</t>
  </si>
  <si>
    <t>Obesity represents a major and preventable global health challenge as a complex disease and a modifiable risk factor for developing other non-communicable diseases. In recent years, obesity prevalence has risen more rapidly in low- and middle-income countries (LMICs) compared to high-income countries (HICs). Obesity traits are shown to be modulated by an interplay of genetic and environmental factors such as unhealthy diet and physical inactivity in studies from HICs focused on populations of European descent; however, genetic heterogeneity and environmental differences prevent the generalisation of study results to LMICs. Primary research investigating gene-environment interactions (GxE) on obesity in LMICs is limited but expanding. Synthesis of current research would provide an overview of the interactions between genetic variants and environmental factors that underlie the obesity epidemic and identify knowledge gaps for future studies. Three databases were searched systematically using a combination of keywords such as "genes", "obesity", "LMIC", "diet", and "physical activity" to find all relevant observational studies published before November 2022. Eighteen of the 1,373 articles met the inclusion criteria, of which one was a genome-wide association study (GWAS), thirteen used a candidate gene approach, and five were assigned as genetic risk score studies. Statistically significant findings were reported for 12 individual SNPs; however, most studies were small-scale and without replication. Although the results suggest significant GxE interactions on obesity in LMICs, updated robust statistical techniques with more precise and standardised exposure and outcome measurements are necessary for translatable results. Future research should focus on improved quality replication efforts, emphasising large-scale and long-term longitudinal study designs using multi-ethnic GWAS.</t>
  </si>
  <si>
    <t>Strong Constraints on Jet Quenching in Centrality-Dependent p+Pb Collisions at 5.02 TeV from ATLAS.</t>
  </si>
  <si>
    <t>https://pubmed.ncbi.nlm.nih.gov/37656838</t>
  </si>
  <si>
    <t>Jet quenching is the process of color-charged partons losing energy via interactions with quark-gluon plasma droplets created in heavy-ion collisions. The collective expansion of such droplets is well described by viscous hydrodynamics. Similar evidence of collectivity is consistently observed in smaller collision systems, including pp and p+Pb collisions. In contrast, while jet quenching is observed in Pb+Pb collisions, no evidence has been found in these small systems to date, raising fundamental questions about the nature of the system created in these collisions. The ATLAS experiment at the Large Hadron Collider has measured the yield of charged hadrons correlated with reconstructed jets in 0.36  nb^{-1} of p+Pb and 3.6  pb^{-1} of pp collisions at 5.02 TeV. The yields of charged hadrons with p_{T}^{ch}&gt;0.5  GeV near and opposite in azimuth to jets with p_{T}^{jet}&gt;30 or 60 GeV, and the ratios of these yields between p+Pb and pp collisions, I_{pPb}, are reported. The collision centrality of p+Pb events is categorized by the energy deposited by forward neutrons from the struck nucleus. The I_{pPb} values are consistent with unity within a few percent for hadrons with p_{T}^{ch}&gt;4  GeV at all centralities. These data provide new, strong constraints that preclude almost any parton energy loss in central p+Pb collisions.</t>
  </si>
  <si>
    <t>Exploring patients' and relatives' needs and perceptions regarding family participation in essential care in the intensive care unit: A qualitative study.</t>
  </si>
  <si>
    <t>Dijkstra, Boukje M; Felten-Barentsz, Karin M; van der Valk, Margriet J M; van der Hoeven, Johannes G; Schoonhoven, Lisette; Vloet, Lilian C M</t>
  </si>
  <si>
    <t>intensive critical care nursing</t>
  </si>
  <si>
    <t>https://pubmed.ncbi.nlm.nih.gov/37598505</t>
  </si>
  <si>
    <t>To examine the needs, perceptions and influencing factors according to former adult intensive care unit patients and relatives with regard to family participation in essential care in the unit. A qualitative interpretive descriptive study using inductive thematic analysis. Twelve pairs of former Dutch patients and their relatives were interviewed within two months after the patient's discharge from the unit between December 2017 and April 2018. Four themes emerged: the family's history, the patient's condition, supporting the patient and supporting the relative. The family's history, in particular the relationship with the patient and former experience with care, determined the level of participation in essential care. The level of participation was also influenced by the patient's condition, more specifically level of consciousness, stability of the patient's situation and length of the patient's stay. The third theme, supporting the patient, related to presence/being able to 'be there' for the patient and a mostly positive attitude towards family participation. The last theme was supporting the relative, with three subthemes associated with relatives' needs and perceptions: (dis)comfort with participation in essential care, need for invitation and support, and concern about the possible strain experienced by relatives. Supporting the patient and supporting the relative are reflecting the needs and perceptions of patients and relatives regarding family participation in essential care. Both the family's history and the patient's condition influence the relative's level of participation. Intensive care unit nurses and other healthcare providers could take these themes into account when encouraging family participation in essential care. Patients' and relatives' needs and perceptions of family participation in essential care in the intensive care unit vary. Family participation in essential care is influenced by the family's history and the patient's condition. Healthcare providers could take these findings into account when implementing family participation in essential care.</t>
  </si>
  <si>
    <t>Paracetamol (acetaminophen) or non-steroidal anti-inflammatory drugs, alone or combined, for pain relief in acute otitis media in children.</t>
  </si>
  <si>
    <t>de Sévaux, Joline L H; Damoiseaux, Roger Amj; van de Pol, Alma C; Lutje, Vittoria; Hay, Alastair D; Little, Paul; Schilder, Anne Gm; Venekamp, Roderick P</t>
  </si>
  <si>
    <t>https://pubmed.ncbi.nlm.nih.gov/37594020</t>
  </si>
  <si>
    <t>Acute otitis media (AOM) is one of the most common childhood infectious diseases. Pain is the key symptom of AOM and central to children's and parents' experience of the illness. Because antibiotics provide only marginal benefits, analgesic treatment including paracetamol (acetaminophen) and non-steroidal anti-inflammatory drugs (NSAIDs) is regarded as the cornerstone of AOM management. This is an update of a review first published in 2016. Our primary objective was to assess the effectiveness of paracetamol (acetaminophen) or NSAIDs, alone or combined, compared with placebo or no treatment in relieving pain in children with AOM. Our secondary objective was to assess the effectiveness of NSAIDs as compared with paracetamol in children with AOM. We searched the Cochrane Central Register of Controlled Trials (CENTRAL), Issue 5, April 2023; MEDLINE (Ovid, from 1946 to May 2023), Embase (from 1947 to May 2023), CINAHL (from 1981 to May 2023), LILACS (from 1982 to May 2023), and Web of Science Core Collection (from 1955 to May 2023). We searched the WHO ICTRP and ClinicalTrials.gov for completed and ongoing trials (23 May 2023). We included randomised controlled trials comparing the effectiveness of paracetamol or NSAIDs, alone or combined, for pain relief in non-hospitalised children aged six months to 16 years with AOM. We also included trials of paracetamol or NSAIDs, alone or combined, for children with fever or upper respiratory tract infections if we were able to extract subgroup data on pain relief in children with AOM either directly or after obtaining additional data from study authors. We extracted and summarised data for the following comparisons: paracetamol versus placebo, NSAIDs versus placebo, NSAIDs versus paracetamol, and NSAIDs plus paracetamol versus paracetamol alone. We used standard methodological procedures expected by Cochrane. We rated the overall certainty of evidence for each outcome of interest using the GRADE approach. We included four trials (411 children) which were assessed at low to high risk of bias. Paracetamol versus placebo Data from one trial (148 children) informed this comparison. Paracetamol may be more effective than placebo in relieving pain at 48 hours (proportion of children with pain 10% versus 25%, risk ratio (RR) 0.38, 95% confidence interval (CI) 0.17 to 0.85; number needed to treat for an additional beneficial outcome (NNTB) 7; low-certainty evidence). The evidence is very uncertain about the effects of paracetamol on fever at 48 hours (RR 1.03, 95% CI 0.07 to 16.12; very low-certainty evidence) and adverse events (RR 1.03, 95% CI 0.21 to 4.93; very low-certainty evidence). No data were available for our other outcomes of interest. NSAIDs versus placebo Data from one trial (146 children) informed this comparison. Ibuprofen may be more effective than placebo in relieving pain at 48 hours (proportion of children with pain 7% versus 25%, RR 0.28, 95% CI 0.11 to 0.70; NNTB 6; low-certainty evidence). The evidence is very uncertain about the effect of ibuprofen on fever at 48 hours (RR 1.06, 95% CI 0.07 to 16.57; very low-certainty evidence) and adverse events (RR 1.76, 95% CI 0.44 to 7.10; very low-certainty evidence). No data were available for our other outcomes of interest. NSAIDs versus paracetamol Data from four trials (411 children) informed this comparison. The evidence is very uncertain about the effect of ibuprofen versus paracetamol in relieving ear pain at 24 hours (RR 0.83, 95% CI 0.59 to 1.18; 2 RCTs, 39 children; very low-certainty evidence); 48 to 72 hours (RR 0.91, 95% CI 0.54 to 1.54; 3 RCTs, 183 children; low-certainty evidence); and four to seven days (RR 0.74, 95% CI 0.17 to 3.23; 2 RCTs, 38 children; very low-certainty evidence). The evidence is very uncertain about the effect of ibuprofen versus paracetamol on mean pain score at 24 hours (0.29 lower, 95% CI 0.79 lower to 0.20 higher; 3 RCTs, 111 children; very low-certainty evidence); 48 to 72 hours (0.25 lower, 95% CI 0.66 lower to 0.16 higher; 3 RCTs, 108 children; very low-certainty evidence); and four to seven days (0.30 higher, 95% CI 1.78 lower to 2.38 higher; 2 RCTs, 31 children; very low-certainty evidence). The evidence is very uncertain about the effect of ibuprofen versus paracetamol in resolving fever at 24 hours (RR 0.69, 95% CI 0.24 to 2.00; 2 RCTs, 39 children; very low-certainty evidence); 48 to 72 hours (RR 1.18, 95% CI 0.31 to 4.44; 3 RCTs, 182 children; low-certainty evidence); and four to seven days (RR 2.75, 95% CI 0.12 to 60.70; 2 RCTs, 39 children; very low-certainty evidence). The evidence is very uncertain about the effect of ibuprofen versus paracetamol on adverse events (RR 1.71, 95% CI 0.43 to 6.90; 3 RCTs, 281 children; very low-certainty evidence); reconsultations (RR 1.13, 95% CI 0.92 to 1.40; 1 RCT, 53 children; very low-certainty evidence); and delayed antibiotic prescriptions (RR 1.32, 95% CI 0.74 to 2.35; 1 RCT, 53 children; very low-certainty evidence). No data were available on time to resolution of pain. NSAIDs plus paracetamol versus paracetamol alone Data on the effectiveness of ibuprofen plus paracetamol versus paracetamol alone came from two trials that provided crude subgroup data for 71 children with AOM. The small sample provided imprecise effect estimates, therefore we were unable to draw any firm conclusions (very low-certainty evidence). Despite explicit guideline recommendations on the use of analgesics in children with AOM, the current evidence on the effectiveness of paracetamol or NSAIDs, alone or combined, in children with AOM is limited. Paracetamol and ibuprofen as monotherapies may be more effective than placebo in relieving short-term ear pain in children with AOM. The evidence is very uncertain for the effect of ibuprofen versus paracetamol on relieving short-term ear pain in children with AOM, as well as for the effectiveness of ibuprofen plus paracetamol versus paracetamol alone, thereby preventing any firm conclusions. Further research is needed to provide insights into the role of ibuprofen as adjunct to paracetamol, and other analgesics such as anaesthetic eardrops, for children with AOM.</t>
  </si>
  <si>
    <t>Screening over 100 000 patients in 39 general practices in the Netherlands for anticoagulation underprescription in atrial fibrillation: a descriptive, cross-sectional study.</t>
  </si>
  <si>
    <t>Voorhout, Leonard; Pisters, Ron; Geurts, Constants H P H; Oostindjer, Andrew; van Doorn, Sander; Rila, Harrie; Fuijkschot, Wessel W; Verheugt, Freek; Hemels, Martin E W</t>
  </si>
  <si>
    <t>https://pubmed.ncbi.nlm.nih.gov/37597862</t>
  </si>
  <si>
    <t>To investigate the underprescription of oral anticoagulation (OAC) in individual atrial fibrillation (AF) patients in primary care. Screening of patient records in 39 participating general practitioners (GPs) across the Netherlands. We screened 101 207 patient records identifying 2375 non-valvular AF patients. Using electronic patient files, we were able to screen the entire GP population for AF, CHA&lt;sub&gt;2&lt;/sub&gt;DS&lt;sub&gt;2&lt;/sub&gt;-VASc stroke risk scores, and the use of guidelines recommended OAC prescription. In case of a deviation from guidelines recommended OAC prescription, we checked the electronic patient file for any documented reason. Additionally, 6 weeks following the screening, we asked all GPs to provide information on any actions taken for the underprescribed patients. We found a mean CHA&lt;sub&gt;2&lt;/sub&gt;DS&lt;sub&gt;2&lt;/sub&gt;-VASc score of 3.2. OAC prescription consisted of direct OAC in 1342/1984 (68%) and vitamin K-antagonists in the remainder of patients. OAC underprescription was present in 93/944 (9.9%) females and 101/1374 (9.7%) in males, respectively. In 111/146 (76.0%) of the underprescribed AF patients, no reason to withhold OAC was reported. Reported reasons to withhold OAC were patient refusal (n=10), cardiologist advice (n=7) and high risk of bleeding (n=7). Data regarding actions following the identification of OAC underprescription were available for 92/194 (47%) of the OAC underprescribed cases. After consultation OAC was initiated in 9/92 (10%) only. In this large Dutch study among GPs, we observed 9.8% underprescription of OAC in AF patients. In 76% of the AF patients lacking a prescription for OAC, no documentation for deviating from the guidelines was found. Only in a minority of cases detection of OAC underprescription lead to OAC initiation.</t>
  </si>
  <si>
    <t>Impact of the 2018 revised Pregnancy Prevention Programme by the European Medicines Agency on the use of oral retinoids in females of childbearing age in Denmark, Italy, Netherlands, and Spain: an interrupted time series analysis.</t>
  </si>
  <si>
    <t>Durán, Carlos E; Riera-Arnau, Judit; Abtahi, Shahab; Pajouheshnia, Romin; Hoxhaj, Vjola; Gamba, Magdalena; Alsina, Ema; Martin-Perez, Mar; Garcia-Poza, Patricia; Llorente-Garcia, Ana; Gonzalez-Bermejo, Diana; Ibánez, Luisa; Sabaté, Mònica; Vidal, Xavier; Ballarín, Elena; Sanfélix-Gimeno, Gabriel; Rodríguez-Bernal, Clara; Peiró, Salvador; García-Sempere, Aníbal; Sanchez-Saez, Francisco; Ientile, Valentina; Ingrasciotta, Ylenia; Guarneri, Claudio; Tanaglia, Matilde; Tari, Michele; Herings, Ron; Houben, Eline; Swart-Polinder, Karin; Holthuis, Emily; Huerta, Consuelo; Gini, Rosa; Roberto, Giuseppe; Bartolini, Claudia; Paoletti, Olga; Limoncella, Giorgio; Girardi, Anna; Hyeraci, Giulia; Andersen, Morten; Kristiansen, Sarah Brøgger; Hallgreen, Christine Erikstrup; Klungel, Olaf; Sturkenboom, Miriam</t>
  </si>
  <si>
    <t>frontiers in pharmacology</t>
  </si>
  <si>
    <t>https://pubmed.ncbi.nlm.nih.gov/37663263</t>
  </si>
  <si>
    <t>&lt;b&gt;Background:&lt;/b&gt; In March 2018, the European pregnancy prevention programme for oral retinoids was updated as part of risk minimisation measures (RMM), emphasising their contraindication in pregnant women. &lt;b&gt;Objective:&lt;/b&gt; To measure the impact of the 2018 revision of the RMMs in Europe by assessing the utilisation patterns of isotretinoin, alitretinoin and acitretin, contraceptive measures, pregnancy testing, discontinuation, and pregnancy occurrence concomitantly with a retinoid prescription. &lt;b&gt;Methods:&lt;/b&gt; An interrupted time series (ITS) analysis to compare level and trend changes after the risk minimisation measures implementation was conducted on a cohort of females of childbearing age (12-55 years of age) from January 2010 to December 2020, derived from six electronic health data sources in four countries: Denmark, Netherlands, Spain, and Italy. Monthly utilisation figures (incidence rates [IR], prevalence rates [PR] and proportions) of oral retinoids were calculated, as well as discontinuation rates, contraception coverage, pregnancy testing, and rates of exposed pregnancies to oral retinoids, before and after the 2018 RMMs. &lt;b&gt;Results:&lt;/b&gt; From 10,714,182 females of child-bearing age, 88,992 used an oral retinoid at any point during the study period (mean age 18.9-22.2 years old). We found non-significant level and trend changes in incidence or prevalence of retinoid use in females of child-bearing age after the 2018 RMMs. The reason of discontinuation was unknown in &gt;95% of cases. Contraception use showed a significant increase trend in Spain; for other databases this information was limited. Pregnancy testing was hardly recorded thus was not possible to model ITS analyses. After the 2018 RMM, rates of pregnancy occurrence during retinoid use, and start of a retinoid during a pregnancy varied from 0.0 to 0.4, and from 0.2 to 0.8, respectively. &lt;b&gt;Conclusion:&lt;/b&gt; This study shows a limited impact of the 2018 RMMs on oral retinoids utilisation patterns among females of child-bearing age in four European countries. Pregnancies still occur during retinoid use, and oral retinoids are still prescribed to pregnant women. Contraception and pregnancy testing information was limited in most databases. Regulators, policymakers, prescribers, and researchers must rethink implementation strategies to avoid any pregnancy becoming temporarily related to retinoid use.</t>
  </si>
  <si>
    <t>EGFR-targeted fluorescence molecular imaging for intraoperative margin assessment in oral cancer patients: a phase II trial.</t>
  </si>
  <si>
    <t>de Wit, Jaron G; Vonk, Jasper; Voskuil, Floris J; de Visscher, Sebastiaan A H J; Schepman, Kees-Pieter; Hooghiemstra, Wouter T R; Linssen, Matthijs D; Elias, Sjoerd G; Halmos, Gyorgy B; Plaat, Boudewijn E C; Doff, Jan J; Rosenthal, Eben L; Robinson, Dominic; van der Vegt, Bert; Nagengast, Wouter B; van Dam, Gooitzen M; Witjes, Max J H</t>
  </si>
  <si>
    <t>https://pubmed.ncbi.nlm.nih.gov/37587149</t>
  </si>
  <si>
    <t>Inadequate surgical margins occur frequently in oral squamous cell carcinoma surgery. Fluorescence molecular imaging (FMI) has been explored for intraoperative margin assessment, but data are limited to phase-I studies. In this single-arm phase-II study (NCT03134846), our primary endpoints were to determine the sensitivity, specificity and positive predictive value of cetuximab-800CW for tumor-positive margins detection. Secondary endpoints were safety, close margin detection rate and intrinsic cetuximab-800CW fluorescence. In 65 patients with 66 tumors, cetuximab-800CW was well-tolerated. Fluorescent spots identified in the surgical margin with signal-to-background ratios (SBR) of ≥2 identify tumor-positive margins with 100% sensitivity, 85.9% specificity, 58.3% positive predictive value, and 100% negative predictive value. An SBR of ≥1.5 identifies close margins with 70.3% sensitivity, 76.1% specificity, 60.5% positive predictive value, and 83.1% negative predictive value. Performing frozen section analysis aimed at the fluorescent spots with an SBR of ≥1.5 enables safe, intraoperative adjustment of surgical margins.</t>
  </si>
  <si>
    <t>Dynamic consent, communication and return of results in large-scale health data reuse: Survey of public preferences.</t>
  </si>
  <si>
    <t>Muller, Sam Ha; van Thiel, Ghislaine Jmw; Mostert, Menno; van Delden, Johannes Jm</t>
  </si>
  <si>
    <t>digital health</t>
  </si>
  <si>
    <t>https://pubmed.ncbi.nlm.nih.gov/37599899</t>
  </si>
  <si>
    <t>Dynamic consent forms a comprehensive, tailored approach for interacting with research participants. We conducted a survey study to inquire how research participants evaluate the elements of consent, information provision, communication and return of results within dynamic consent in a hypothetical health data reuse scenario. We distributed a digital questionnaire among a purposive sample of patient panel members. Data were analysed using descriptive and nonparametric inferential statistics. Respondents favoured the potential to manage changing consent preferences over time. There was much agreement between people favouring closer and more specific control over data reuse approval and those in favour of broader approval, facilitated by an opt-out system or an independent data reuse committee. People want to receive more information about reuse, outcomes and return of results. Respondents supported an interactive model of research participation, welcoming regular, diverse and interactive forms of communication, like a digital communication platform. Approval for reuse and providing meaningful information, including meaningful return of results, are intricately related to facilitating better communication. Respondents favoured return of actionable research results. These findings emphasize the potential of dynamic consent for enabling participants to maintain control over &lt;i&gt;how&lt;/i&gt; their data are being used for &lt;i&gt;which&lt;/i&gt; purposes by &lt;i&gt;whom&lt;/i&gt;. Allowing different options to shape a dynamic consent interface in health data reuse in a personalized manner is pivotal to accommodate plurality in a flexible though robust manner. Interaction via dynamic consent enables participants to tailor the elements of participation they deem relevant to their own preferences, engaging diverse perspectives, interests and preferences.</t>
  </si>
  <si>
    <t>Evaluation of Intratumoral Response Heterogeneity in Metastatic Colorectal Cancer and Its Impact on Patient Overall Survival: Findings from 10,551 Patients in the ARCAD Database.</t>
  </si>
  <si>
    <t>Ou, Fang-Shu; Ahn, Daniel H; Dixon, Jesse G; Grothey, Axel; Lou, Yiyue; Kasi, Pashtoon M; Hubbard, Joleen M; Van Cutsem, Eric; Saltz, Leonard B; Schmoll, Hans-Joachim; Goldberg, Richard M; Venook, Alan P; Hoff, Paulo; Douillard, Jean-Yves; Hecht, J Randolph; Hurwitz, Herbert; Punt, Cornelis J A; Koopman, Miriam; Bokemeyer, Carsten; Fuchs, Charles S; Diaz-Rubio, Eduardo; Tebbutt, Niall C; Cremolini, Chiara; Kabbinavar, Fairooz F; Bekaii-Saab, Tanios; Chibaudel, Benoist; Yoshino, Takayuki; Zalcberg, John; Adams, Richard A; de Gramont, Aimery; Shi, Qian</t>
  </si>
  <si>
    <t>https://pubmed.ncbi.nlm.nih.gov/37627145</t>
  </si>
  <si>
    <t>Metastatic colorectal cancer (mCRC) is a heterogeneous disease that can evoke discordant responses to therapy among different lesions in individual patients. The Response Evaluation Criteria in Solid Tumors (RECIST) criteria do not take into consideration response heterogeneity. We explored and developed lesion-based measurement response criteria to evaluate their prognostic effect on overall survival (OS). Patients enrolled in 17 first-line clinical trials, who had mCRC with ≥ 2 lesions at baseline, and a restaging scan by 12 weeks were included. For each patient, lesions were categorized as a progressing lesion (PL: &gt; 20% increase in the longest diameter (LD)), responding lesion (RL: &gt; 30% decrease in LD), or stable lesion (SL: neither PL nor RL) based on the 12-week scan. Lesion-based response criteria were defined for each patient as follows: PL only, SL only, RL only, and varied responses (mixture of RL, SL, and PL). Lesion-based response criteria and OS were correlated using stratified multivariable Cox models. The concordance between OS and classifications was measured using the C statistic. Among 10,551 patients with mCRC from 17 first-line studies, varied responses were noted in 51.6% of patients, among whom, 3.3% had RL/PL at 12 weeks. Among patients with RL/SL, 52% had stable disease (SD) by RECIST 1.1, and they had a longer OS (median OS (mOS) = 19.9 months) than those with SL only (mOS = 16.8 months, HR (95% CI) = 0.81 (0.76, 0.85), &lt;i&gt;p&lt;/i&gt; &lt; 0.001), although a shorter OS than those with RL only (mOS = 25.8 months, HR (95% CI) = 1.42 (1.32, 1.53), &lt;i&gt;p&lt;/i&gt; &lt; 0.001). Among patients with SL/PL, 74% had SD by RECIST 1.1, and they had a longer OS (mOS = 9.0 months) than those with PL only (mOS = 8.0 months, HR (95% CI) = 0.75 (0.57, 0.98), &lt;i&gt;p&lt;/i&gt; = 0.040), yet a shorter OS than those with SL only (mOS = 16.8 months, HR (95% CI) = 1.98 (1.80, 2.18), &lt;i&gt;p&lt;/i&gt; &lt; 0.001). These associations were consistent across treatment regimen subgroups. The lesion-based response criteria showed slightly higher concordance than RECIST 1.1, although it was not statistically significant. Varied responses at first restaging are common among patients receiving first-line therapy for mCRC. Our lesion-based measurement criteria allowed for better mortality discrimination, which could potentially be informative for treatment decision-making and influence patient outcomes.</t>
  </si>
  <si>
    <t>Impact of antenatal care on severe maternal and neonatal outcomes in pregnancies complicated by preeclampsia and eclampsia in Ghana.</t>
  </si>
  <si>
    <t>Beyuo, Titus K; Lawrence, Emma R; Oppong, Samuel A; Kobernik, Emily K; Amoakoh-Coleman, Mary; Grobbee, Diederick E; Browne, Joyce L; Bloemenkamp, K W M</t>
  </si>
  <si>
    <t>pregnancy hypertension</t>
  </si>
  <si>
    <t>https://pubmed.ncbi.nlm.nih.gov/37586135</t>
  </si>
  <si>
    <t>To explore how specific measures of antenatal care utilization are associated with outcomes in pregnancies complicated by preeclampsia and eclampsia in Ghana. Participants were adult pregnant women with preeclampsia or eclampsia at a tertiary hospital in Ghana. Antenatal care utilization measures included timing of first visit, total visits, facility and provider type, and referral status. Antenatal visits were characterized by former and current World Health Organization recommendations, and by gestational age-based adequacy. Composites of maternal complications and poor neonatal outcomes. Multivariate logistic regressions identified associations with antenatal care factors. Among 1176 participants, median number of antenatal visits was 5.0 (IQR 3.0-7.0), with 72.9% attending ≥4 visits, 19.4% attending ≥8 visits, and 54.9% attending adequate visits adjusted for gestational age. Care was most frequently provided in a government polyclinic (n = 522, 47.2%) and by a midwife (n = 704, 65.1%). Odds of the composite maternal complications were lower in women receiving antenatal care at a tertiary hospital (aOR 0.47, p = 0.01). Odds of poor neonatal outcomes were lower in women receiving antenatal care at a tertiary hospital (aOR 0.56, p &lt; 0.001), by a specialist Obstetrician/Gynecologist (aOR 0.58, p &lt; 0.001), and who attended ≥8 visits (aOR 0.67, p = 0.04). Referred women had twice the odds of a maternal complication (aOR 2.12, p = 0.007) and poor neonatal outcome (aOR 1.68, p = 0.002). Fewer complications are seen after receiving antenatal care at tertiary facilities. Attending ≥8 visits reduced poor neonatal outcomes, but didn't impact maternal complications. Quality, not just quantity, of antenatal care is essential.</t>
  </si>
  <si>
    <t>Test of CP Invariance in Higgs Boson Vector-Boson-Fusion Production Using the H→γγ Channel with the ATLAS Detector.</t>
  </si>
  <si>
    <t>Aad, G; Abbott, B; Abbott, D C; Abeling, K; Abidi, S H; Aboulhorma, A; Abramowicz, H; Abreu, H; Abulaiti, Y; Abusleme Hoffman, A C; Acharya, B S; Achkar, B;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Alderweireldt, S; Aleksa, M; Aleksandrov, I N; Alexa, C; Alexopoulos, T; Alfonsi, A; Alfonsi, F; Alhroob, M; Ali, B; Ali, S; Aliev, M; Alimonti, G; Alkakhi, W; Allaire, C; Allbrooke, B M M; Allport, P P; Aloisio, A; Alonso, F; Alpigiani, C; Alunno Camelia, E; Alvarez Estevez, M; Alviggi, M G; Aly, M; Amaral Coutinho, Y; Ambler, A; Amelung, C; Amerl, M; Ames, C G; Amidei, D; Amor Dos Santos, S P; Amoroso, S; Amos, K R; Ananiev, V; Anastopoulos, C; Andeen, T; A</t>
  </si>
  <si>
    <t>https://pubmed.ncbi.nlm.nih.gov/37625052</t>
  </si>
  <si>
    <t>A test of CP invariance in Higgs boson production via vector-boson fusion has been performed in the H→γγ channel using 139  fb^{-1} of proton-proton collision data at sqrt[s]=13  TeV collected by the ATLAS detector at the LHC. The optimal observable method is used to probe the CP structure of interactions between the Higgs boson and electroweak gauge bosons, as described by an effective field theory. No sign of CP violation is observed in the data. Constraints are set on the parameters describing the strength of the CP-odd component in the coupling between the Higgs boson and the electroweak gauge bosons in two effective field theory bases: d[over ˜] in the HISZ basis and c_{HW[over ˜]} in the Warsaw basis. The results presented are the most stringent constraints on CP violation in the coupling between Higgs and weak bosons. The 95% C.L. constraint on d[over ˜] is derived for the first time and the 95% C.L. constraint on c_{HW[over ˜]} has been improved by a factor of 5 compared to the previous measurement.</t>
  </si>
  <si>
    <t>Search for Heavy Neutral Leptons in Decays of W Bosons Using a Dilepton Displaced Vertex in sqrt[s]=13  TeV pp Collisions with the ATLAS Detector.</t>
  </si>
  <si>
    <t>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Amrouche, C S; A</t>
  </si>
  <si>
    <t>https://pubmed.ncbi.nlm.nih.gov/37625051</t>
  </si>
  <si>
    <t>A search for a long-lived, heavy neutral lepton (N) in 139  fb^{-1} of sqrt[s]=13  TeV pp collision data collected by the ATLAS detector at the Large Hadron Collider is reported. The N is produced via W→Nμ or W→Ne and decays into two charged leptons and a neutrino, forming a displaced vertex. The N mass is used to discriminate between signal and background. No signal is observed, and limits are set on the squared mixing parameters of the N with the left-handed neutrino states for the N mass range 3  GeV&lt;m_{N}&lt;15  GeV. For the first time, limits are given for both single-flavor and multiflavor mixing scenarios motivated by neutrino flavor oscillation results for both the normal and inverted neutrino-mass hierarchies.</t>
  </si>
  <si>
    <t>Recruitment and retention challenges and strategies in randomized controlled trials of psychosocial interventions for children with cancer and their parents: a collective case study.</t>
  </si>
  <si>
    <t>van Driessche, Anne; Beernaert, Kim; Deliens, Luc; Kars, Marijke C; Lyon, Maureen E; Barrera, Maru; Dussel, Veronica; Bidstrup, Pernille; Rosenberg, Abby R; Akard, Terrah F; Cohen, Joachim; De Vleminck, Aline</t>
  </si>
  <si>
    <t>https://pubmed.ncbi.nlm.nih.gov/37561196</t>
  </si>
  <si>
    <t>In pediatric oncology there are few examples of successful recruitment and retention strategies in psychosocial care research. This study aims to summarize experiences, challenges, and strategies for conducting randomized controlled trials (RCTs) of psychosocial intervention studies among children with cancer and their parent(s). We conducted a collective case study. To identify the cases, Pubmed and two trial registries were searched for ongoing and finished RCTs of psychosocial intervention studies for children with cancer and their parents. Online semi-structured expert interviews discussing recruitment and retention challenges and strategies were performed with principal investigators and research staff members of the identified cases. Nine studies were identified. Investigators and staff from seven studies participated, highlighting challenges and strategies within three major themes: eligibility, enrollment and retention. Regarding eligibility, collaborating constructively with healthcare professionals and involving them before the start of the study were essential. Being flexible, training the research staff, enabling alignment with the participants' situation, and providing consistency in contact between the research staff member and the families were important strategies for optimizing enrollment and retention. All studies followed a stepped process in recruitment.  Conclusion: Although recruitment and retention in some selected studies were successful, there is a paucity of evidence on experienced recruitment and retention challenges in pediatric psychosocial research and best practices on optimizing them. The strategies outlined in this study can help researchers optimize their protocol and trial-implementation, and contribute to better psychosocial care for children with cancer and their parents.  Trial Registration: This study is not a clinical trial. What is Known: • Performing RCTs is challenging, particularly in pediatric psychosocial research when both the child and parent are targeted. Recruitment and retention are common concerns. In pediatric oncology, there are few examples of successful recruitment and retention strategies in psychosocial care research. What is New: • Key strategies to collaborate constructively with healthcare professionals were outlined. Being flexible, training the research staff, alignment with the participant's situations and providing consistency in contact between the research staff member and the families were considered as essential strategies.</t>
  </si>
  <si>
    <t>The experiences of doctorally prepared nurses and doctoral nursing students with being mentored in the Nurse-Lead programme: A focus group study.</t>
  </si>
  <si>
    <t>van Dongen, L J C; Leino-Kilpi, H; Jónsdóttir, H; Meyer, G; Henriques, M A; Schoonhoven, L; Suhonen, R; Hafsteinsdóttir, T B</t>
  </si>
  <si>
    <t>nurse education in practice</t>
  </si>
  <si>
    <t>https://pubmed.ncbi.nlm.nih.gov/37591035</t>
  </si>
  <si>
    <t>to explore experiences of being mentored and the contribution of the mentoring to leadership and professional development of doctorally prepared nurses and doctoral nursing students participating in the Nurse-Lead programme. Mentoring is considered important for career development of academic nurses. Doctorally prepared nurses need a wide range of professional competences to develop sustainable careers. Therefore, they may benefit from a larger network of mentors, outside their own organization, to support their professional development. Therefore, a web-based leadership and mentoring programme was developed - the Nurse Lead programme. A descriptive study with semi-structured focus groups. Three focus groups were conducted during an on-site programme meeting in 2019 with twenty-one doctorally prepared nurses and doctoral nursing students. The interview guide included questions about mentoring relationships and meaning of mentoring for leadership and professional development. The interviews were thematically analysed. Five themes were identified: "Preferred characteristics of mentors", "Developing trusting relationships", "Engagement of the mentors", "Becoming a proficient researcher and team leader" and "Becoming an empowered and confident professional". Mentoring supported the leadership and professional development of doctorally prepared nurses and doctoral nursing students. Participants were engaged in rewarding mentoring trajectories. The results indicate that a similar approach could be followed when developing mentoring programmes in the future.</t>
  </si>
  <si>
    <t>A global survey of health care workers' awareness of non-alcoholic fatty liver disease: The AwareNASH survey.</t>
  </si>
  <si>
    <t>Driessen, Stan; de Jong, Vivian D; van Son, Koen C; Klompenhouwer, Tatiana; Colardelle, Yann; Alings, Marco; Moreno, Cristophe; Anker, Stefan D; Castro Cabezas, Manuel; Holleboom, Adriaan G; Grobbee, Diederick E; Tushuizen, Maarten E</t>
  </si>
  <si>
    <t>united european gastroenterology journal</t>
  </si>
  <si>
    <t>https://pubmed.ncbi.nlm.nih.gov/37563849</t>
  </si>
  <si>
    <t>The estimated global prevalence and burden of non-alcoholic fatty liver disease (NAFLD) and its advanced stage, non-alcoholic steatohepatitis (NASH), is increasing. Yet, NAFLD remains largely underdiagnosed. In addition to hepatic morbidity and mortality, NAFLD is associated with increased cardiovascular complications, warranting a multidisciplinary approach. Despite its rapidly increasing prevalence, knowledge of NAFLD among healthcare workers is limited, especially with specialists outside the field of hepatology and gastroenterology. To investigate knowledge, practice and opinions/attitudes of healthcare workers towards diagnosis and management of NAFLD/NASH. The survey was designed in collaboration with a multidisciplinary scientific committee established especially for this study. The survey was disseminated to healthcare workers from seven different disciplines through four collaborating societies, social media and at a cardiology-themed conference from February to June 2022. Median and interquartile range were mentioned for numeric responses and proportions for categorical responses or responses on a Likert scale. Likert scale responses were treated as ordinal data and analysed with the appropriate tests. The full dataset included 613 respondents from 88 different countries (including 488 physicians). 64% of the surveyed physicians underestimated the prevalence of NAFLD. General practitioners and cardiologists underestimated the prevalence most often (74% and 77%, respectively). Compared to the other disciplines, cardiologists were least familiar with the symptoms and diagnostic criteria and felt least confident in diagnosing and managing NAFLD. Overall, 65% of physicians reported regularly using evidence-based guidelines for managing NAFLD, yet 72% reported challenges in providing lifestyle recommendations. A lack of awareness was the most common reported reason for the lack of screening for NAFLD (68% respectively). Despite the growing burden of NAFLD, there is a significant gap in awareness, knowledge, and management among physicians treating patients with cardiometabolic comorbidities, particularly cardiologists. Hepatologists and gastroenterologists could play a role in educating their fellow physicians.</t>
  </si>
  <si>
    <t>Exposure to smoky coal combustion emissions and leukocyte Alu retroelement copy number.</t>
  </si>
  <si>
    <t>Blechter, Batel; Wong, Jason Y Y; Hu, Wei; Cawthon, Richard; Downward, George S; Portengen, Lützen; Zhang, Yongliang; Ning, Bofu; Rahman, Mohammad L; Ji, Bu-Tian; Li, Jihua; Yang, Kaiyun; Dean Hosgood, H; Silverman, Debra T; Huang, Yunchao; Rothman, Nathaniel; Vermeulen, Roel; Lan, Qing</t>
  </si>
  <si>
    <t>carcinogenesis</t>
  </si>
  <si>
    <t>https://pubmed.ncbi.nlm.nih.gov/37119119</t>
  </si>
  <si>
    <t>Household air pollution (HAP) from indoor combustion of solid fuel is a global health burden that has been linked to multiple diseases including lung cancer. In Xuanwei, China, lung cancer rate for non-smoking women is among the highest in the world and largely attributed to high levels of polycyclic aromatic hydrocarbons (PAHs) that are produced from combustion of smoky (bituminous) coal. Alu retroelements, repetitive mobile DNA sequences that can somatically multiply and promote genomic instability have been associated with risk of lung cancer and diesel engine exhaust exposure. We conducted analyses for 160 non-smoking women in an exposure assessment study in Xuanwei, China with a repeat sample from 49 subjects. Quantitative PCR was used to measure Alu repeat copy number relative to albumin gene copy number (Alu/ALB ratio). Associations between clusters derived from predicted levels of 43 HAP constituents, 5-methylchrysene (5-MC), a PAH previously associated with lung cancer in Xuanwei and was selected a priori for analysis, and Alu repeats were analyzed using generalized estimating equations. A cluster of 31 PAHs reflecting current exposure was associated with increased Alu copy number (β:0.03 per standard deviation change; 95% confidence interval (CI):0.01,0.04; P-value = 2E-04). One compound within this cluster, 5-MC, was also associated with increased Alu copy number (P-value = 0.02). Our findings suggest that exposure to PAHs due to indoor smoky coal combustion may contribute to genomic instability. Additionally, our study provides further support for 5-MC as a prominent carcinogenic component of smoky coal emissions. Further studies are needed to replicate our findings.</t>
  </si>
  <si>
    <t>Missing values and inconclusive results in diagnostic studies - A scoping review of methods.</t>
  </si>
  <si>
    <t>Stahlmann, Katharina; Reitsma, Johannes B; Zapf, Antonia</t>
  </si>
  <si>
    <t>statistical methods in medical research</t>
  </si>
  <si>
    <t>https://pubmed.ncbi.nlm.nih.gov/37559474</t>
  </si>
  <si>
    <t>Most diagnostic studies exclude missing values and inconclusive results from the analysis or apply simple methods resulting in biased accuracy estimates. This may be due to the lack of availability or awareness of appropriate methods. This scoping review aimed to provide an overview of strategies to handle missing values and inconclusive results in the reference standard or index test in diagnostic accuracy studies. Conducting a systematic literature search in MEDLINE, Cochrane Library, and Web of Science, we could identify many articles proposing methods for addressing missing values in the reference standard. There are also several articles describing methods regarding missing values or inconclusive results in the index test. The latter encompass imputation, frequentist and Bayesian likelihood, model-based, and latent class methods. While methods for missing values in the reference standard are regularly applied in practice, this is not true for methods addressing missing values and inconclusive results in the index test. Our comprehensive overview and description of available methods may raise further awareness of these methods and will enhance their application. Future research is needed to compare the performance of these methods under different conditions to give valid and robust recommendations for their usage in various diagnostic accuracy research scenarios.</t>
  </si>
  <si>
    <t>Effects of COVID-19 vaccination and previous infection on Omicron SARS-CoV-2 infection and relation with serology.</t>
  </si>
  <si>
    <t>de Gier, Brechje; Huiberts, Anne J; Hoeve, Christina E; den Hartog, Gerco; van Werkhoven, Henri; van Binnendijk, Rob; Hahné, Susan J M; de Melker, Hester E; van den Hof, Susan; Knol, Mirjam J</t>
  </si>
  <si>
    <t>https://pubmed.ncbi.nlm.nih.gov/37558656</t>
  </si>
  <si>
    <t>An increasing proportion of the population has acquired immunity through COVID-19 vaccination and previous SARS-CoV-2 infection, i.e., hybrid immunity, possibly affecting the risk of new infection. We aim to estimate the protective effect of previous infections and vaccinations on SARS-CoV-2 Omicron infection, using data from 43,257 adult participants in a prospective community-based cohort study in the Netherlands, collected between 10 January 2022 and 1 September 2022. Our results show that, for participants with 2, 3 or 4 prior immunizing events (vaccination or previous infection), hybrid immunity is more protective against infection with SARS-CoV-2 Omicron than vaccine-induced immunity, up to at least 30 weeks after the last immunizing event. Differences in risk of infection are partly explained by differences in anti-Spike RBD (S) antibody concentration, which is associated with risk of infection in a dose-response manner. Among participants with hybrid immunity, with one previous pre-Omicron infection, we do not observe a relevant difference in risk of Omicron infection by sequence of vaccination(s) and infection. Additional immunizing events increase the protection against infection, but not above the level of the first weeks after the previous event.</t>
  </si>
  <si>
    <t>[Acute chest pain in out-of-hours primary care].</t>
  </si>
  <si>
    <t>Manten, Amy; van den Bulk, Simone; Rutten, Frans H; Willemsen, Robert T A; Bonten, Tobias N; Harskamp, Ralf E</t>
  </si>
  <si>
    <t>https://pubmed.ncbi.nlm.nih.gov/37565468</t>
  </si>
  <si>
    <t>Out-of-hours primary care (OOH-PC) facilities act as a first point of contact in acute care in the Netherlands, including acute chest pain. The facilities perform initial triage to assess the patient's urgency using standardized triage protocols (Netherlands Triage Standard). The performance of the current protocol for chest pain assessment was recently evaluated and showed only moderate discriminatory properties. Although final triage decision-making is improved by the clinical experience of triage assistants and general practitioners, substantial over- and under-triage persists. Improving the care of patients with chest pain in OOH-PC should primarily be sought in improving the triage software, followed by the use of innovative diagnostic tools (such as troponine measurements).</t>
  </si>
  <si>
    <t>Self-efficacy of advanced cancer patients for participation in treatment-related decision-making in six European countries: the ACTION study.</t>
  </si>
  <si>
    <t>Yildiz, Berivan; Korfage, Ida J; Deliens, Luc; Preston, Nancy J; Miccinesi, Guido; Kodba-Ceh, Hana; Pollock, Kristian; Johnsen, Anna Thit; van Delden, Johannes J M; Rietjens, Judith A C; van der Heide, Agnes</t>
  </si>
  <si>
    <t>https://pubmed.ncbi.nlm.nih.gov/37552324</t>
  </si>
  <si>
    <t>Many patients prefer an active role in making decisions about their care and treatment, but participating in such decision-making is challenging. The aim of this study was to explore whether patient-reported outcomes (quality of life and patient satisfaction), patients' coping strategies, and sociodemographic and clinical characteristics were associated with self-efficacy for participation in decision-making among patients with advanced cancer. We used baseline data from the ACTION trial of patients with advanced colorectal or lung cancer from six European countries, including scores on the decision-making participation self-efficacy (DEPS) scale, EORTC QLQ-C15-PAL questionnaire, and the EORTC IN-PATSAT32 questionnaire. Multivariable linear regression analyses were used to examine associations with self-efficacy scores. The sample included 660 patients with a mean age of 66 years (SD 10). Patients had a mean score of 73 (SD 24) for self-efficacy. Problem-focused coping (B 1.41 (95% CI 0.77 to 2.06)), better quality of life (B 2.34 (95% CI 0.89 to 3.80)), and more patient satisfaction (B 7.59 (95% CI 5.61 to 9.56)) were associated with a higher level of self-efficacy. Patients in the Netherlands had a higher level of self-efficacy than patients in Belgium ((B 7.85 (95% CI 2.28 to 13.42)), whereas Italian patients had a lower level ((B -7.50 (95% CI -13.04 to -1.96)) than those in Belgium. Coping style, quality of life, and patient satisfaction with care were associated with self-efficacy for participation in decision-making among patients with advanced cancer. These factors are important to consider for healthcare professionals when supporting patients in decision-making processes.</t>
  </si>
  <si>
    <t>Depression, anxiety, and the risk of cancer: An individual participant data meta-analysis.</t>
  </si>
  <si>
    <t>van Tuijl, Lonneke A; Basten, Maartje; Pan, Kuan-Yu; Vermeulen, Roel; Portengen, Lützen; de Graeff, Alexander; Dekker, Joost; Geerlings, Mirjam I; Hoogendoorn, Adriaan; Lamers, Femke; Voogd, Adri C; Abell, Jessica; Awadalla, Philip; Beekman, Aartjan T F; Bjerkeset, Ottar; Boyd, Andy; Cui, Yunsong; Frank, Philipp; Galenkamp, Henrike; Garssen, Bert; Hellingman, Sean; Huisman, Martijn; Huss, Anke; de Jong, Trynke R; Keats, Melanie R; Kok, Almar A L; Krokstad, Steinar; van Leeuwen, Flora E; Luik, Annemarie I; Noisel, Nolwenn; Onland-Moret, N Charlotte; Payette, Yves; Penninx, Brenda W J H; Rissanen, Ina; Roest, Annelieke M; Ruiter, Rikje; Schoevers, Robert A; Soave, David; Spaan, Mandy; Steptoe, Andrew; Stronks, Karien; Sund, Erik R; Sweeney, Ellen; Twait, Emma L; Teyhan, Alison; Verschuren, W M Monique; van der Willik, Kimberly D; Rosmalen, Judith G M; Ranchor, Adelita V</t>
  </si>
  <si>
    <t>cancer</t>
  </si>
  <si>
    <t>https://pubmed.ncbi.nlm.nih.gov/37545248</t>
  </si>
  <si>
    <t>Depression and anxiety have long been hypothesized to be related to an increased cancer risk. Despite the great amount of research that has been conducted, findings are inconclusive. To provide a stronger basis for addressing the associations between depression, anxiety, and the incidence of various cancer types (overall, breast, lung, prostate, colorectal, alcohol-related, and smoking-related cancers), individual participant data (IPD) meta-analyses were performed within the Psychosocial Factors and Cancer Incidence (PSY-CA) consortium. The PSY-CA consortium includes data from 18 cohorts with measures of depression or anxiety (up to N = 319,613; cancer incidences, 25,803; person-years of follow-up, 3,254,714). Both symptoms and a diagnosis of depression and anxiety were examined as predictors of future cancer risk. Two-stage IPD meta-analyses were run, first by using Cox regression models in each cohort (stage 1), and then by aggregating the results in random-effects meta-analyses (stage 2). No associations were found between depression or anxiety and overall, breast, prostate, colorectal, and alcohol-related cancers. Depression and anxiety (symptoms and diagnoses) were associated with the incidence of lung cancer and smoking-related cancers (hazard ratios [HRs], 1.06-1.60). However, these associations were substantially attenuated when additionally adjusting for known risk factors including smoking, alcohol use, and body mass index (HRs, 1.04-1.23). Depression and anxiety are not related to increased risk for most cancer outcomes, except for lung and smoking-related cancers. This study shows that key covariates are likely to explain the relationship between depression, anxiety, and lung and smoking-related cancers. PREREGISTRATION NUMBER: https://www.crd.york.ac.uk/prospero/display_record.php?RecordID=157677.</t>
  </si>
  <si>
    <t>Development and internal validation of a prediction model for the presence of tinnitus in a Dutch population-based cohort.</t>
  </si>
  <si>
    <t>Rademaker, Maaike M; Smit, Adriana L; Stokroos, Robert J; van Smeden, Maarten; Stegeman, Inge</t>
  </si>
  <si>
    <t>frontiers in neurology</t>
  </si>
  <si>
    <t>https://pubmed.ncbi.nlm.nih.gov/37602261</t>
  </si>
  <si>
    <t>In this study we aim to develop and internally validate a prediction model on tinnitus experience in a representative sample of the Dutch general population. We developed a multivariable prediction model using elastic net logistic regression with data from the Dutch Lifelines Cohort Study. This is a multigenerational cohort study on adults who are located in the northern parts of the Netherlands. The model was internally validated using 10-fold cross-validation. The outcome of the model was tinnitus presence, for which we used 24 candidate predictors on different domains (among others demographic, hearing specific, and mental health variables). We assessed the overall predictive performance, discrimination, and calibration of the model. Data on 122.884 different participants were included, of which 7,965 (6.5%, 0 missing) experienced tinnitus. Nine variables were included in the final model: sex, hearing aids, hearing limitations, arterial blood pressure, quality of sleep, general health, symptom checklist of somatic complaints, cardiovascular risk factors, and age. In the final model, the Brier score was 0.056 and 0.787 in internal validation. We developed and internally validated a prediction model on tinnitus presence in a multigenerational cohort of the Dutch general population. From the 24 candidate predictors, the final model included nine predictors.</t>
  </si>
  <si>
    <t>Poor handling of continuous predictors in clinical prediction models using logistic regression: a systematic review.</t>
  </si>
  <si>
    <t>Ma, Jie; Dhiman, Paula; Qi, Cathy; Bullock, Garrett; van Smeden, Maarten; Riley, Richard D; Collins, Gary S</t>
  </si>
  <si>
    <t>https://pubmed.ncbi.nlm.nih.gov/37536504</t>
  </si>
  <si>
    <t>When developing a clinical prediction model, assuming a linear relationship between the continuous predictors and outcome is not recommended. Incorrect specification of the functional form of continuous predictors could reduce predictive accuracy. We examine how continuous predictors are handled in studies developing a clinical prediction model. We searched PubMed for clinical prediction model studies developing a logistic regression model for a binary outcome, published between July 01, 2020, and July 30, 2020. In total, 118 studies were included in the review (18 studies (15%) assessed the linearity assumption or used methods to handle nonlinearity, and 100 studies (85%) did not). Transformation and splines were commonly used to handle nonlinearity, used in 7 (n = 7/18, 39%) and 6 (n = 6/18, 33%) studies, respectively. Categorization was most often used method to handle continuous predictors (n = 67/118, 56.8%) where most studies used dichotomization (n = 40/67, 60%). Only ten models included nonlinear terms in the final model (n = 10/18, 56%). Though widely recommended not to categorize continuous predictors or assume a linear relationship between outcome and continuous predictors, most studies categorize continuous predictors, few studies assess the linearity assumption, and even fewer use methodology to account for nonlinearity. Methodological guidance is provided to guide researchers on how to handle continuous predictors when developing a clinical prediction model.</t>
  </si>
  <si>
    <t>[COPD: working with treatable traits].</t>
  </si>
  <si>
    <t>van Dijk, Marlies; Sachs, Alfred P E; Kerstjens, Huib A M</t>
  </si>
  <si>
    <t>https://pubmed.ncbi.nlm.nih.gov/37609922</t>
  </si>
  <si>
    <t>COPD is the third most common chronic disease in the Netherlands and the number of patients is still rising. This article reviews causes of COPD, assesses the role of spirometry in diagnosing COPD, and considers ways to differentiate between COPD and heart failure, which can be difficult due to overlapping symptoms. To avoid a 'one size fits all' treatment, we elaborate on treatable traits - patient characteristics leading to specific treatment options- in order to optimize treatment for each individual patient. This applies both during stable disease and during exacerbations.</t>
  </si>
  <si>
    <t>Bi-Directional Interactions between Glucose-Lowering Medications and Gut Microbiome in Patients with Type 2 Diabetes Mellitus: A Systematic Review.</t>
  </si>
  <si>
    <t>Li, Ruolin; Shokri, Fereshteh; Rincon, Alejandro Lopez; Rivadeneira, Fernando; Medina-Gomez, Carolina; Ahmadizar, Fariba</t>
  </si>
  <si>
    <t>genes</t>
  </si>
  <si>
    <t>https://pubmed.ncbi.nlm.nih.gov/37628624</t>
  </si>
  <si>
    <t>&lt;i&gt;Background&lt;/i&gt;: Although common drugs for treating type 2 diabetes (T2D) are widely used, their therapeutic effects vary greatly. The interaction between the gut microbiome and glucose-lowering drugs is one of the main contributors to the variability in T2D progression and response to therapy. On the one hand, glucose-lowering drugs can alter gut microbiome components. On the other hand, specific gut microbiota can influence glycemic control as the therapeutic effects of these drugs. Therefore, this systematic review assesses the bi-directional relationships between common glucose-lowering drugs and gut microbiome profiles. &lt;i&gt;Methods:&lt;/i&gt; A systematic search of Embase, Web of Science, PubMed, and Google Scholar databases was performed. Observational studies and randomised controlled trials (RCTs), published from inception to July 2023, comprising T2D patients and investigating bi-directional interactions between glucose-lowering drugs and gut microbiome, were included. &lt;i&gt;Results:&lt;/i&gt; Summarised findings indicated that glucose-lowering drugs could increase metabolic-healthy promoting taxa (e.g., &lt;i&gt;Bifidobacterium)&lt;/i&gt; and decrease harmful taxa (e.g., &lt;i&gt;Bacteroides&lt;/i&gt; and &lt;i&gt;Intestinibacter&lt;/i&gt;). Our findings also showed a significantly different abundance of gut microbiome taxa (e.g., &lt;i&gt;Enterococcus faecium&lt;/i&gt; (i.e., &lt;i&gt;E. faecium&lt;/i&gt;)) in T2D patients with poor compared to optimal glycemic control. &lt;i&gt;Conclusions:&lt;/i&gt; This review provides evidence for glucose-lowering drug and gut microbiome interactions, highlighting the potential of gut microbiome modulators as co-adjuvants for T2D treatment.</t>
  </si>
  <si>
    <t>Assessing Quantitative Parenchymal Features at Baseline Dynamic Contrast-enhanced MRI and Cancer Occurrence in Women with Extremely Dense Breasts.</t>
  </si>
  <si>
    <t>Wang, Hui; van der Velden, Bas H M; Verburg, Erik; Bakker, Marije F; Pijnappel, Ruud M; Veldhuis, Wouter B; van Gils, Carla H; Gilhuijs, Kenneth G A</t>
  </si>
  <si>
    <t>radiology</t>
  </si>
  <si>
    <t>https://pubmed.ncbi.nlm.nih.gov/37552061</t>
  </si>
  <si>
    <t>Background Automated identification of quantitative breast parenchymal enhancement features on dynamic contrast-enhanced (DCE) MRI scans could provide added value in assessment of breast cancer risk in women with extremely dense breasts. Purpose To automatically identify quantitative properties of the breast parenchyma on baseline DCE MRI scans and assess their association with breast cancer occurrence in women with extremely dense breasts. Materials and Methods This study represents a secondary analysis of the Dense Tissue and Early Breast Neoplasm Screening trial. MRI was performed in eight hospitals between December 2011 and January 2016. After segmentation of fibroglandular tissue, quantitative features (including volumetric density, volumetric morphology, and enhancement characteristics) of the parenchyma were extracted from baseline MRI scans. Principal component analysis was used to identify parenchymal measures with the greatest variance. Multivariable Cox proportional hazards regression was applied to assess the association between breast cancer occurrence and quantitative parenchymal features, followed by stratification of significant features into tertiles. Results A total of 4553 women (mean age, 55.7 years ± 6 [SD]) with extremely dense breasts were included; of these women, 122 (3%) were diagnosed with breast cancer. Five principal components representing 96% of the variance were identified, and the component explaining the greatest independent variance (42%) consisted of MRI features relating to volume of enhancing parenchyma. Multivariable analysis showed that volume of enhancing parenchyma was associated with breast cancer occurrence (hazard ratio [HR], 1.09; 95% CI: 1.01, 1.18; &lt;i&gt;P&lt;/i&gt; = .02). Additionally, women in the high tertile of volume of enhancing parenchyma showed a breast cancer occurrence twice that of women in the low tertile (HR, 2.09; 95% CI: 1.25, 3.61; &lt;i&gt;P&lt;/i&gt; = .005). Conclusion In women with extremely dense breasts, a high volume of enhancing parenchyma on baseline DCE MRI scans was associated with increased occurrence of breast cancer as compared with a low volume of enhancing parenchyma. © RSNA, 2023 &lt;i&gt;Supplemental material is available for this article&lt;/i&gt;. See also the editorial by Grimm in this issue.</t>
  </si>
  <si>
    <t>Safety of BCG vaccination and revaccination in healthcare workers.</t>
  </si>
  <si>
    <t>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t>
  </si>
  <si>
    <t>human vaccines immunotherapeutics</t>
  </si>
  <si>
    <t>https://pubmed.ncbi.nlm.nih.gov/37551885</t>
  </si>
  <si>
    <t>BCG vaccination and revaccination are increasingly being considered for the protection of adolescents and adults against tuberculosis and, more broadly, for the off-target protective immunological effects against other infectious and noninfectious diseases. Within an international randomized controlled trial of BCG vaccination in healthcare workers (the BRACE trial), we evaluated the incidence of local and serious adverse events, as well as the impact of previous BCG vaccination on local injection site reactions (BCG revaccination). Prospectively collected data from 99% (5351/5393) of participants in Australia, Brazil, Spain, The Netherlands and the UK was available for analysis. Most BCG recipients experienced the expected self-limiting local injection site reactions (pain, tenderness, erythema, swelling). BCG injection site itch was an additional common initial local symptom reported in 49% of BCG recipients. Compared to BCG vaccination in BCG-naïve individuals, BCG revaccination was associated with increased frequency of mild injection site reactions, as well as earlier onset and shorter duration of erythema and swelling, which were generally self-limiting. Injection site abscess and regional lymphadenopathy were the most common adverse events and had a benign course. Self-resolution occurred within a month in 80% of abscess cases and 100% of lymphadenopathy cases. At a time when BCG is being increasingly considered for its off-target effects, our findings indicate that BCG vaccination and revaccination have an acceptable safety profile in adults.</t>
  </si>
  <si>
    <t>Survival of Patients with Deficient Mismatch Repair Versus Proficient Mismatch Repair Metastatic Colorectal Cancer Receiving Curative-Intent Local Treatment of Metastases in a Nationwide Cohort.</t>
  </si>
  <si>
    <t>Zwart, Koen; van der Baan, Frederieke H; Punt, Cornelis J A; Wensink, G Emerens; Bolhuis, Karen; Laclé, Miangela M; van Grevenstein, Wilhelmina M U; Hagendoorn, Jeroen; de Hingh, Ignace H; Koopman, Miriam; Vink, Geraldine; Roodhart, Jeanine</t>
  </si>
  <si>
    <t>https://pubmed.ncbi.nlm.nih.gov/37528303</t>
  </si>
  <si>
    <t>It is unclear whether curative-intent local therapy of metastases is of similar benefit for the biological distinct subgroup of patients with deficient mismatch repair (dMMR) metastatic colorectal cancer (mCRC) compared with proficient mismatch repair (pMMR) mCRC. In this nationwide study, recurrence-free (RFS) and overall survival (OS) were analyzed in patients with dMMR versus pMMR mCRC who underwent curative-intent local treatment of metastases between 2015 and 2018. Subgroup analyses were performed for resection of colorectal liver metastases (CRLM) and cytoreductive surgery ± hyperthermic intraperitoneal chemotherapy (CRS ± HIPEC). Multivariable regression was conducted. Median RFS was 11.1 months [95% confidence interval (CI) 8.5-41.1 months] for patients with dMMR tumors compared with 8.9 months (95% CI 8.1-9.8 months) for pMMR tumors. Two-year RFS was higher in patients with dMMR versus pMMR (43% vs. 21%). Results were similar within subgroups of local treatment (CRLM and CRS ± HIPEC). Characteristics differed significantly between patients with dMMR and pMMR mCRC; however, multivariable analysis continued to demonstrate dMMR as independent factor for improved RFS [hazard ratio (HR): 0.57, 95% CI 0.38-0.87]. Median OS was 33.3 months for dMMR mCRC compared with 43.5 months for pMMR mCRC, mainly due to poor survival of patients with dMMR in cases of recurrence in the preimmunotherapy era. Patients with dMMR eligible for curative-intent local treatment of metastases showed a comparable to more favorable RFS compared with patients with pMMR, with a clinically relevant proportion of patients remaining free of recurrence. This supports local treatment as a valuable treatment option in patients with dMMR mCRC and can aid in shared decision-making regarding upfront local therapy versus immunotherapy.</t>
  </si>
  <si>
    <t>What matters most: Exploring the everyday lives of people with dementia.</t>
  </si>
  <si>
    <t>Huizenga, Jacoba; Scheffelaar, Aukelien; Bleijenberg, Nienke; Wilken, Jean Pierre; Keady, John; Van Regenmortel, Tine</t>
  </si>
  <si>
    <t>international journal of geriatric psychiatry</t>
  </si>
  <si>
    <t>https://pubmed.ncbi.nlm.nih.gov/37565538</t>
  </si>
  <si>
    <t>Research on what matters most to people with dementia is crucial for developing tailored interventions and support. This study explored how people with dementia experience their everyday lives, providing insight into what is important to them to live the best they can at home. Inspired by a phenomenological approach, open interviews were conducted with 15 people with dementia, supplemented by home tours and walking interviews. Data collection included one to three sessions per participant. Data were analysed using descriptive content analysis and followed the phases of open, axial, and selective coding. A co-researcher group of seven people with dementia was consulted during the analysis to help interpret the emergent findings. Six dimensions of what matters most in everyday life were identified: 1) Engaging in meaningful activities, which included routines, household chores, leisure, day activities, and volunteering or work; 2) Keeping a sense of connection, in relationships within the home, with family, friends, groups, and the neighbourhood; 3) Having a sense of belonging, which included attachments inside and outside the home, and to cherished objects; 4) Connecting to self, which included the ability to reflect on past experiences, live in the present moment and anticipate the future; 5) Adjusting to ongoing changes, which included alterations in sensory perceptions, perceptions of the physical environment, and navigating shifts in interpersonal dynamics; 6) Being open to help and support, from professionals, community and society. For people with dementia, everyday life is a continuous balancing act between what matters most and what can be achieved daily. This is not only related to dementia but is also embedded in the wider perspective of life history, relational networks, and the physical environment. This study highlights the importance of identifying what matters most to people with dementia to provide person-centred support.</t>
  </si>
  <si>
    <t>Ancestral SARS-CoV-2 and Omicron BA.5-specific neutralizing antibody and T-cell responses after Omicron bivalent booster vaccination in previously infected and infection-naive individuals.</t>
  </si>
  <si>
    <t>Mak, Willem A; Visser, Wendy; van der Vliet, Marijke; Markus, Hilde Y; Koeleman, Johannes G M; Ong, David S Y</t>
  </si>
  <si>
    <t>journal of medical virology</t>
  </si>
  <si>
    <t>https://pubmed.ncbi.nlm.nih.gov/37565645</t>
  </si>
  <si>
    <t>Coronavirus disease-2019 (COVID-19) bivalent ancestral/Omicron messenger RNA (mRNA) booster vaccinations became available to boost and expand the immunity against severe acute respiratory syndrome coronavirus 2 (SARS-CoV-2) Omicron infections. In a prospective cohort study including 59 healthcare workers, we assessed SARS-CoV-2 ancestral and Omicron BA.5-specific neutralizing antibody and T-cell responses in previously infected and infection-naive individuals. Also, we assessed the effect of an ancestral/Omicron BA.1 bivalent mRNA booster vaccination on these immune responses. 10 months after previous monovalent mRNA vaccinations, ancestral SARS-CoV-2 S1-specific T-cell and anti-RBD IgG responses remained detectable in most individuals and a previous SARS-CoV-2 infection was associated with increased T-cell responses. T-cell responses, anti-RBD IgG, and Omicron BA.5 neutralization activity increased after receiving an ancestral/Omicron BA.1 bivalent booster mRNA vaccination. An Omicron BA.5 infection in addition to bivalent vaccination, led to a higher ratio of Omicron BA.5 to ancestral strain neutralization activity compared to no bivalent vaccination and no recent SARS-CoV-2 infection. In conclusion, SARS-CoV-2 T-cell and antibody responses persist for up to 10 months after a monovalent booster mRNA vaccination. An ancestral/Omicron BA.1 bivalent booster mRNA vaccination increases these immune responses and also induces Omicron BA.5 cross-neutralization antibody activity. Finally, our data indicate that hybrid immunity is associated with improved preservation of T-cell immunity.</t>
  </si>
  <si>
    <t>Should we all die asleep? The problem of the normalization of palliative sedation.</t>
  </si>
  <si>
    <t>van Delden, Johannes J M; Heijltjes, Madelon T; Harwood, Rowan H</t>
  </si>
  <si>
    <t>https://pubmed.ncbi.nlm.nih.gov/37603842</t>
  </si>
  <si>
    <t>Palliative sedation is a medical intervention to manage distress in dying patients, by reducing consciousness when symptom-directed therapies fail. Continuous deep sedation is ethically sensitive because it may shorten life and completely prevents communication. But sedation short of this is also common. There has been a steady increase in the use of sedation over recent decades. Sedation may have become a means to die while sleeping, rather than a method of last resort to alleviate suffering. Sedation may be requested or expected by patients, families or staff. The need for sedation may be being interpreted more loosely. The acceptance of a 'tolerable amount of discomfort' may have lost ground to a desire to get the final phase over with quickly. Sedation is not always a bad thing. Medical care is otherwise unable to completely control all distressing symptoms in every patient. Sedation may result from other necessary symptom control drugs. Dying when sedated can be seen by as 'peaceful'. We feel it is necessary, however, to highlight three caveats: the need to manage expectations, the cost in terms of loss of communication, and the grey area between continuous deep sedation and euthanasia. We conclude that there may be good grounds for sedation in palliative care, and in some cases, continuous deep sedation may be used as a last resort. But the criteria of necessary and proportionate drug treatment should remain. The normalisation of sedation into dying while sleeping should be resisted.</t>
  </si>
  <si>
    <t>COVID-19 Vaccine-Induced Myocarditis and Pericarditis: Towards Identification of Risk Factors.</t>
  </si>
  <si>
    <t>https://pubmed.ncbi.nlm.nih.gov/38533475</t>
  </si>
  <si>
    <t>Are monoclonals the way forward to prevent or to treat ventilator-associated pneumonia in the intensive care unit?</t>
  </si>
  <si>
    <t>Hernandez Padilla, Ana Catalina; Meyer, Sylvain; Van Werkhoven, C H; de Kraker, Marlieke Ea; François, Bruno</t>
  </si>
  <si>
    <t>expert opinion on biological therapy</t>
  </si>
  <si>
    <t>https://pubmed.ncbi.nlm.nih.gov/37498223</t>
  </si>
  <si>
    <t>Direct-to-participant investigational medicinal product supply in clinical trials in Europe: Exploring the experiences of sponsors, site staff and couriers.</t>
  </si>
  <si>
    <t>de Jong, Amos J; Santa-Ana-Tellez, Yared; Zuidgeest, Mira G P; Grupstra, Renske J; Jami, Fatemeh; de Boer, Anthonius; Gardarsdottir, Helga; ,</t>
  </si>
  <si>
    <t>https://pubmed.ncbi.nlm.nih.gov/37438875</t>
  </si>
  <si>
    <t>Insights into the current practice of direct-to-participant (DtP) supply of investigational medicinal product (IMP) in the context of clinical trials conducted in Europe are needed, as regulations are unharmonized. This study is set out to explore how DtP IMP supply has been employed in Europe and what the advantages and disadvantages and barriers and facilitators of its implementation are. We conducted semi-structured interviews with representatives from sponsor companies, courier services and site study staff involved in the IMP dispensing and delivery process in Europe. Interviews were conducted between May and November 2021, and data were analysed following thematic analysis. Sixteen respondents participated in one of the 12 interviews. Respondents had experience with different models of DtP IMP supply including shipment from the investigative site, a central pharmacy (a depot under the control of a pharmacist) and a local pharmacy-aiming to reduce trial participation burden. The respondents indicated that investigative site-to-participant shipment is not affected by regulatory barriers, but could burden site staff. Shipment from central locations was considered most efficient, but possible regulatory barriers related to maintaining participants' privacy and investigator oversight were identified. The respondents indicated that the involvement of local pharmacies to dispense IMP can be considered when the IMP is authorized. Several DtP IMP supply models are implemented in clinical trials conducted in Europe. In this study, three main DtP IMP models were identified, which can be referenced when describing these approaches for regulatory approval.</t>
  </si>
  <si>
    <t>Time-to-Event Genome-Wide Association Study for Incident Cardiovascular Disease in People with Type 2 Diabetes Mellitus.</t>
  </si>
  <si>
    <t>medrxiv the preprint server for health sciences</t>
  </si>
  <si>
    <t>https://pubmed.ncbi.nlm.nih.gov/37546893</t>
  </si>
  <si>
    <t>Type 2 diabetes mellitus (T2D) confers a two- to three-fold increased risk of cardiovascular disease (CVD). However, the mechanisms underlying increased CVD risk among people with T2D are only partially understood. We hypothesized that a genetic association study among people with T2D at risk for developing incident cardiovascular complications could provide insights into molecular genetic aspects underlying CVD. From 16 studies of the Cohorts for Heart &amp; Aging Research in Genomic Epidemiology (CHARGE) Consortium, we conducted a multi-ancestry time-to-event genome-wide association study (GWAS) for incident CVD among people with T2D using Cox proportional hazards models. Incident CVD was defined based on a composite of coronary artery disease (CAD), stroke, and cardiovascular death that occurred at least one year after the diagnosis of T2D. Cohort-level estimated effect sizes were combined using inverse variance weighted fixed effects meta-analysis. We also tested 204 known CAD variants for association with incident CVD among patients with T2D. A total of 49,230 participants with T2D were included in the analyses (31,118 European ancestries and 18,112 non-European ancestries) which consisted of 8,956 incident CVD cases over a range of mean follow-up duration between 3.2 and 33.7 years (event rate 18.2%). We identified three novel, distinct genetic loci for incident CVD among individuals with T2D that reached the threshold for genome-wide significance (&lt;i&gt;P&lt;/i&gt;&lt;5.0×10&lt;sup&gt;-8&lt;/sup&gt;): rs147138607 (intergenic variant between &lt;i&gt;CACNA1E&lt;/i&gt; and &lt;i&gt;ZNF648&lt;/i&gt;) with a hazard ratio (HR) 1.23, 95% confidence interval (CI) 1.15 - 1.32, &lt;i&gt;P&lt;/i&gt;=3.6×10&lt;sup&gt;-9&lt;/sup&gt;, rs11444867 (intergenic variant near &lt;i&gt;HS3ST1&lt;/i&gt;) with HR 1.89, 95% CI 1.52 - 2.35, &lt;i&gt;P&lt;/i&gt;=9.9×10&lt;sup&gt;-9&lt;/sup&gt;, and rs335407 (intergenic variant between &lt;i&gt;TFB1M&lt;/i&gt; and &lt;i&gt;NOX3&lt;/i&gt;) HR 1.25, 95% CI 1.16 - 1.35, &lt;i&gt;P&lt;/i&gt;=1.5×10&lt;sup&gt;-8&lt;/sup&gt;. Among 204 known CAD loci, 32 were associated with incident CVD in people with T2D with &lt;i&gt;P&lt;/i&gt;&lt;0.05, and 5 were significant after Bonferroni correction (&lt;i&gt;P&lt;/i&gt;&lt;0.00024, 0.05/204). A polygenic score of these 204 variants was significantly associated with incident CVD with HR 1.14 (95% CI 1.12 - 1.16) per 1 standard deviation increase (&lt;i&gt;P&lt;/i&gt;=1.0×10&lt;sup&gt;-16&lt;/sup&gt;). The data point to novel and known genomic regions associated with incident CVD among individuals with T2D.</t>
  </si>
  <si>
    <t>Smoking and colorectal neoplasia in patients with inflammatory bowel disease: Dose-effect relationship.</t>
  </si>
  <si>
    <t>Wijnands, Anouk M; Elias, Sjoerd G; Dekker, Evelien; Fidder, Herma H; Hoentjen, Frank; Ten Hove, Joren R; Maljaars, P W Jeroen; van der Meulen-de Jong, Andrea E; Mooiweer, Erik; Ouwehand, Renske J; Penning de Vries, Bas B L; Ponsioen, Cyriel Y; van Schaik, Fiona D M; Oldenburg, Bas; ,</t>
  </si>
  <si>
    <t>https://pubmed.ncbi.nlm.nih.gov/37505117</t>
  </si>
  <si>
    <t>Prior studies on the effect of smoking on the risk of colitis-associated colorectal neoplasia (CRN) have reported conflicting results. We aimed to further elucidate the association between smoking, including possible dose-effects, and the development of colorectal neoplasia in patients with inflammatory bowel disease (IBD). We performed a prospective multicenter cohort study including patients with colonic IBD enrolled in a surveillance program in four academic hospitals between 2011 and 2021. The effects of smoking status and pack-years at study entry on subsequent recurrent events of CRN (including indefinite, low- and high-grade dysplasia, and colorectal cancer [CRC]) were evaluated using uni- and multivariable Prentice, Williams, and Peterson total-time Cox proportional hazard models. Adjustment was performed for extensive disease, prior/index dysplasia, sex, age, first-degree relative with CRC, primary sclerosing cholangitis, and endoscopic inflammation. In 501 of the enrolled 576 patients, at least one follow-up surveillance was performed after the study index (median follow-up 5 years). CRN occurred at least once in 105 patients. Ever smoking was not associated with recurrent CRN risk (adjusted hazard ratio [aHR] 1.04, 95% confidence interval [CI] 0.75-1.44), but an increasing number of pack-years was associated with an increased risk of recurrent CRN (aHR per 10 pack-years 1.17, 95% CI 1.03-1.32; p &lt; 0.05). Separate analyses per IBD type did not reveal differences. This study found that an increase in pack-years is associated with a higher risk of recurrent CRN in patients with IBD, independent of established CRN risk factors (NCT01464151).</t>
  </si>
  <si>
    <t>Discrete choice experiment versus swing-weighting: A head-to-head comparison of diabetic patient preferences for glucose-monitoring devices.</t>
  </si>
  <si>
    <t>Whichello, Chiara; Smith, Ian; Veldwijk, Jorien; de Wit, G Ardine; Rutten-van Molken, Maureen P M H; de Bekker-Grob, Esther W</t>
  </si>
  <si>
    <t>https://pubmed.ncbi.nlm.nih.gov/37506078</t>
  </si>
  <si>
    <t>Limited evidence exists for how patient preference elicitation methods compare directly. This study compares a discrete choice experiment (DCE) and swing-weighting (SW) by eliciting preferences for glucose-monitoring devices in a population of diabetes patients. A sample of Dutch adults with type 1 or 2 diabetes (n = 459) completed an online survey assessing their preferences for glucose-monitoring devices, consisting of both a DCE and a SW exercise. Half the sample completed the DCE first; the other half completed the SW first. For the DCE, the relative importance of the attributes of the devices was determined using a mixed-logit model. For the SW, the relative importance of the attributes was based on ranks and points allocated to the 'swing' from the worst to the best level of the attribute. The preference outcomes and self-reported response burden were directly compared between the two methods. Participants reported they perceived the DCE to be easier to understand and answer compared to the SW. Both methods revealed that cost and precision of the device were the most important attributes. However, the DCE had a 14.9-fold difference between the most and least important attribute, while the SW had a 1.4-fold difference. The weights derived from the SW were almost evenly distributed between all attributes. The DCE was better received by participants, and generated larger weight differences between each attribute level, making it the more informative method in our case study. This method comparison provides further evidence of the degree of method suitability and trustworthiness.</t>
  </si>
  <si>
    <t>"From Nares to Wound: Exploring the mechanisms for Staphylococcal surgical site infections, implications for infection prevention".</t>
  </si>
  <si>
    <t>Troeman, Darren P R; Kluytmans, Jan A J W</t>
  </si>
  <si>
    <t>antimicrobial stewardship healthcare epidemiology ashe</t>
  </si>
  <si>
    <t>https://pubmed.ncbi.nlm.nih.gov/37592968</t>
  </si>
  <si>
    <t>Surgical site infections (SSIs) are important healthcare-associated infections, leading to increased morbidity and mortality, healthcare costs, and prolonged hospital stays. &lt;i&gt;Staphylococcus aureus&lt;/i&gt; is an important and common microbial cause of SSI. Nasal carriage of &lt;i&gt;S. aureus&lt;/i&gt; has been shown to be an important determinant for the development of SSI, and interventions aimed at eradicating preoperative nasal carriage are associated with a reduced risk of infection. Yet, it is not entirely clear how the nasally residing &lt;i&gt;S. aureus&lt;/i&gt; causes SSI at distant body sites. In this commentary, we describe our view on how &lt;i&gt;S. aureus&lt;/i&gt; can be transported from the nares to the incision site during surgery. In addition, we shed light on the implications of our view for infection prevention research.</t>
  </si>
  <si>
    <t>What Drives Task Performance in Animal Fluency in Individuals Without Dementia? The SMART-MR Study.</t>
  </si>
  <si>
    <t>Rofes, Adrià; Beran, Magdalena; Jonkers, Roel; Geerlings, Mirjam I; Vonk, Jet M J</t>
  </si>
  <si>
    <t>journal of speech language and hearing research jslhr</t>
  </si>
  <si>
    <t>https://pubmed.ncbi.nlm.nih.gov/37494924</t>
  </si>
  <si>
    <t>In this study, we aim to understand whether and how performance in animal fluency (i.e., total correct word count) relates to linguistic levels and/or executive functions by looking at sequence information and item-level metrics (i.e., clusters, switches, and word properties). Seven hundred thirty-one Dutch-speaking individuals without dementia from the Second Manifestations of ARTerial disease-Magnetic Resonance study responded to an animal fluency task (120 s). We obtained cluster size and number of switches for the task, and eight different word properties for each correct word produced. We detected variables that determine total word count with random forests, and used conditional inference trees to assess points along the scales of such variables, at which total word count changes significantly. Number of switches, average cluster size, lexical decision response times, word frequency, and concreteness determined total correct word count in animal fluency. People who produced more correct words produced more switches and bigger clusters. People who produced fewer words produced fewer switches and more frequent words. Concurrent with existing literature, individuals without dementia rely on language and executive functioning to produce words in animal fluency. The novelty of our work is that such results were shown based on a data-driven approach using sequence information and item-level metrics. https://doi.org/10.23641/asha.23713269.</t>
  </si>
  <si>
    <t>Risk factors in cardiovascular patients: Challenges and opportunities to improve secondary prevention.</t>
  </si>
  <si>
    <t>Gabulova, Rahima; Marzà-Florensa, Anna; Rahimov, Uzeyir; Isayeva, Mahluga; Alasgarli, Shahana; Musayeva, Afag; Gahramanova, Sona; Ibrahimov, Firdovsi; Aliyev, Farid; Imanov, Galib; Rasulova, Rahmana; Vaartjes, Ilonca; Klipstein-Grobusch, Kerstin; Graham, Ian; Grobbee, Diederick E</t>
  </si>
  <si>
    <t>world journal of cardiology</t>
  </si>
  <si>
    <t>https://pubmed.ncbi.nlm.nih.gov/37576543</t>
  </si>
  <si>
    <t>Effective management of major cardiovascular risk factors is of great importance to reduce mortality from cardiovascular disease (CVD). The Survey of Risk Factors in Coronary Heart Disease (SURF CHD) II study is a clinical audit of the recording and management of CHD risk factors. It was developed in collaboration with the European Association of Preventive Cardiology and the European Society of Cardiology (ESC). Previous studies have shown that control of major cardiovascular risk factors in patients with established atherosclerotic CVD is generally inadequate. Azerbaijan is a country in the South Caucasus, a region at a very high risk for CVD. To assess adherence to ESC recommendations for secondary prevention of CVD based on the measurement of both modifiable major risk factors and their therapeutic management in patients with confirmed CHD at different hospitals in Baku (Azerbaijan). Six tertiary health care centers participated in the SURF CHD II study between 2019 and 2021. Information on demographics, risk factors, physical and laboratory data, and medications was collected using a standard questionnaire in consecutive patients aged ≥ 18 years with established CHD during outpatient visits. Data from 687 patients (mean age 59.6 ± 9.58 years; 24.9% female) were included in the study. Only 15.1% of participants were involved in cardiac rehabilitation programs. The rate of uncontrolled risk factors was high: Systolic blood pressure (BP) (SBP) (54.6%), low-density lipoprotein cholesterol (LDL-C) (86.8%), diabetes mellitus (DM) (60.6%), as well as overweight (66.6%) and obesity (25%). In addition, significant differences in the prevalence and control of some risk factors [smoking, body mass index (BMI), waist circumference, blood glucose (BG), and SBP] between female and male participants were found. The cardiovascular health index score (CHIS) was calculated from the six risk factors: Non- or ex-smoker, BMI &lt; 25 kg/m&lt;sup&gt;2&lt;/sup&gt;, moderate/vigorous physical activity, controlled BP (&lt; 140/90 mmHg; 140/80 mmHg for patients with DM), controlled LDL-C (&lt; 70 mg/dL), and controlled BG (glycohemoglobin &lt; 7% or BG &lt; 126 mg/dL). Good, intermediate, and poor categories of CHIS were identified in 6%, 58.3%, and 35.7% of patients, respectively (without statistical differences between female and male patients). Implementation of the current ESC recommendations for CHD secondary prevention and, in particular, the control rate of BP, are insufficient. Given the fact that patients with different comorbid pathologies are at a very high risk, this is of great importance in the management of such patients. This should be taken into account by healthcare organizers when planning secondary prevention activities and public health protection measures, especially in the regions at a high risk for CVD. A wide range of educational products based on the Clinical Practice Guidelines should be used to improve the adherence of healthcare professionals and patients to the management of CVD risk factors.</t>
  </si>
  <si>
    <t>The healthy beverage index is not associated with insulin resistance, prediabetes and type 2 diabetes risk in the Rotterdam Study.</t>
  </si>
  <si>
    <t>Jacobo Cejudo, Maria G; Ochoa-Rosales, Carolina; Ahmadizar, Fariba; Kavousi, Maryam; Geleijnse, Johanna M; Voortman, Trudy</t>
  </si>
  <si>
    <t>https://pubmed.ncbi.nlm.nih.gov/37488428</t>
  </si>
  <si>
    <t>Whether beverage quality affects changes in glycaemic traits and type 2 diabetes (T2D) risk is unknown. We examined associations of a previously developed Healthy Beverage Index (HBI) with insulin resistance, and risk of prediabetes and T2D. We included 6769 participants (59% female, 62.0 ± 7.8 years) from the Rotterdam Study cohort free of diabetes at baseline. Diet was assessed using food-frequency questionnaires at baseline. The HBI included 10 components (energy from beverages, meeting fluid requirements, water, coffee and tea, low-fat milk, diet drinks, juices, alcohol, full-fat milk, and sugar-sweetened beverages), with a total score ranging from 0 to 100. A higher score represents a healthier beverage pattern. Data on study outcomes were available from 1993 to 2015. Multivariable linear mixed models and Cox proportional-hazards regression models were used to examine associations of the HBI (per 10 points increment) with two measurements of HOMA-IR (a proxy for insulin resistance), and risk of prediabetes and T2D. During follow-up, we documented 1139 prediabetes and 784 T2D cases. Mean ± SD of the HBI was 66.8 ± 14.4. Higher HBI score was not associated with HOMA-IR (β: 0.003; 95% CI - 0.007, 0.014), or with risk of prediabetes (HR: 1.01; 95% CI 0.97, 1.06), or T2D (HR: 1.01; 95% CI 0.96, 1.07). Our findings suggest no major role for overall beverage intake quality assessed with the HBI in insulin resistance, prediabetes and T2D incidence. The HBI may not be an adequate tool to assess beverage intake quality in our population.</t>
  </si>
  <si>
    <t>Association of perceived and objective neighborhood walkability with accelerometer-measured physical activity and sedentary time in the Maastricht Study.</t>
  </si>
  <si>
    <t>Chan, Jeffrey Alexander; Bosma, Hans; Drosinou, Connie; Timmermans, Erik J; Savelberg, Hans; Schaper, Nicolaas; Schram, Miranda T; Stehouwer, Coen D A; Lakerveld, Jeroen; Koster, Annemarie</t>
  </si>
  <si>
    <t>https://pubmed.ncbi.nlm.nih.gov/37489093</t>
  </si>
  <si>
    <t>We investigated the association of neighborhood walkability with accelerometer-measured physical activity (PA) and sedentary behavior (SB) and examined whether objective and subjective measures of walkability resulted in similar findings. PA and SB from the first 7689 Maastricht Study participants ages 40-75 from 2010 to 2017 were measured using accelerometers for 7 days. Mean daily step count, light-intensity PA, moderate- to vigorous- intensity PA (MVPA), and SB were calculated. Objective walkability was measured by the 7-component Dutch Walkability Index within 500 m Euclidean buffers around residential addresses of participants. Subjective walkability was obtained from the Abbreviated Neighborhood Environment Walkability Scale. Linear regression models analyzed the associations of walkability with PA and SB, controlling for potential confounders. Objective walkability was negatively associated with light intensity PA in the most walkable quartile (b = -14.58, 95% CI = -20.94, -8.23). Compared to participants living in the least walkable neighborhoods, those in the most walkable quartile had statistically significantly higher SB levels (b = 11.64, 95% CI = 4.95, 18.32). For subjective walkability, mean daily step count was significantly higher in the most walkable quartile (b = 509.60, 95% CI = 243.38, 775.81). Higher subjective walkability was positively associated with MVPA (b = 4.40, 95% CI = 2.56, 6.23). Living in a neighborhood with higher objective walkability was associated with lower levels of PA and higher SB levels while higher subjective walkability was associated with higher levels of PA. These results show discordant findings and thus, the effect of walkability on participant PA and SB within our sample is to be determined.</t>
  </si>
  <si>
    <t>Advance Care Planning in the Netherlands.</t>
  </si>
  <si>
    <t>van der Steen, Jenny T; Engels, Yvonne; Touwen, Dorothea P; Kars, Marijke C; Reyners, Anna K L; van der Linden, Yvette M; Korfage, Ida J</t>
  </si>
  <si>
    <t>zeitschrift fur evidenz fortbildung und qualitat im gesundheitswesen</t>
  </si>
  <si>
    <t>https://pubmed.ncbi.nlm.nih.gov/37482528</t>
  </si>
  <si>
    <t>The Dutch health care system fosters a strong public health sector offering accessible generalist care including generalist palliative care. General practitioners are well positioned to conduct ACP, for example, to continue or initiate conversations after hospitalization. However, research shows that ACP conversations are often ad hoc and in frail patients, ACP is often only initiated when admitted to a nursing home by elderly care physicians who are on the staff. Tools that raise awareness of triggers to initiate ACP, screening tools, information brochures, checklists and training have been developed and implemented with funding by national programs which currently focus on implementation projects rather than or in addition to, research. The programs commonly require educational deliverables, patient and public involvement and addressing diversity in patient groups. A major challenge is how to implement ACP systematically and continuously across sectors and disciplines in a way that supports a proactive yet person-centered approach rather than an approach with an exclusive focus on medical procedures. Digital solutions can support continuity of care and communication about care plans. Solutions should fit a culture that prefers trust-based, informal deliberative approaches. This may be supported by involving disciplines other than medicine, such as nursing and spiritual caregiving, and public health approaches.</t>
  </si>
  <si>
    <t>Discovering Distinct Phenotypical Clusters in Heart Failure Across the Ejection Fraction Spectrum: a Systematic Review.</t>
  </si>
  <si>
    <t>Meijs, Claartje; Handoko, M Louis; Savarese, Gianluigi; Vernooij, Robin W M; Vaartjes, Ilonca; Banerjee, Amitava; Koudstaal, Stefan; Brugts, Jasper J; Asselbergs, Folkert W; Uijl, Alicia</t>
  </si>
  <si>
    <t>https://pubmed.ncbi.nlm.nih.gov/37477803</t>
  </si>
  <si>
    <t>This systematic review aims to summarise clustering studies in heart failure (HF) and guide future clinical trial design and implementation in routine clinical practice. 34 studies were identified (n = 19 in HF with preserved ejection fraction (HFpEF)). There was significant heterogeneity invariables and techniques used. However, 149/165 described clusters could be assigned to one of nine phenotypes: 1) young, low comorbidity burden; 2) metabolic; 3) cardio-renal; 4) atrial fibrillation (AF); 5) elderly female AF; 6) hypertensive-comorbidity; 7) ischaemic-male; 8) valvular disease; and 9) devices. There was room for improvement on important methodological topics for all clustering studies such as external validation and transparency of the modelling process. The large overlap between the phenotypes of the clustering studies shows that clustering is a robust approach for discovering clinically distinct phenotypes. However, future studies should invest in a phenotype model that can be implemented in routine clinical practice and future clinical trial design. HF = heart failure, EF = ejection fraction, HFpEF = heart failure with preserved ejection fraction, HFrEF = heart failure with reduced ejection fraction, CKD = chronic kidney disease, AF = atrial fibrillation, IHD = ischaemic heart disease, CAD = coronary artery disease, ICD = implantable cardioverter-defibrillator, CRT = cardiac resynchronization therapy, NT-proBNP = N-terminal pro b-type natriuretic peptide, BMI = Body Mass Index, COPD = Chronic obstructive pulmonary disease.</t>
  </si>
  <si>
    <t>Toward Transplantation of Liver Organoids: From Biology and Ethics to Cost-effective Therapy.</t>
  </si>
  <si>
    <t>Ten Dam, Marjolein J M; Frederix, Geert W J; Ten Ham, Renske M T; van der Laan, Luc J W; Schneeberger, Kerstin</t>
  </si>
  <si>
    <t>transplantation</t>
  </si>
  <si>
    <t>https://pubmed.ncbi.nlm.nih.gov/36757819</t>
  </si>
  <si>
    <t>Liver disease is a common cause of morbidity and mortality, and many patients would benefit from liver transplantation. However, because of a shortage of suitable donor livers, even of those patients who are placed on the donor liver waiting list, many do not survive the waiting time for transplantation. Therefore, alternative treatments for end-stage liver disease need to be explored. Recent advances in organoid technology might serve as a solution to overcome the donor liver shortage in the future. In this overview, we highlight the potential of organoid technology for cell therapy and tissue engineering approaches. Both organoid-based approaches could be used as treatment for end-stage liver disease patients. Additionally, organoid-based cell therapy can also be used to repair liver grafts ex vivo to increase the supply of transplantable liver tissue. The potential of both approaches to become clinically available is carefully assessed, including their clinical, ethical, and economic implications. We provide insight into what aspects should be considered further to allow alternatives to donor liver transplantation to be successfully clinically implemented.</t>
  </si>
  <si>
    <t>A systematic review of the intercontinental movement of unregulated African meat imports into and through European border checkpoints.</t>
  </si>
  <si>
    <t>Morrison-Lanjouw, S; Spijker, R; Mughini-Gras, L; Coutinho, R A; Chaber, A L; Leeflang, M</t>
  </si>
  <si>
    <t>one health amsterdam netherlands</t>
  </si>
  <si>
    <t>https://pubmed.ncbi.nlm.nih.gov/37545542</t>
  </si>
  <si>
    <t>There is an urgent need for biosurveillance of unregulated African meat imports at border points of entry in destination markets. This is underscored by recent pandemics linked to exotic wildlife products. Our objective was to catalog the quantity of meat that is informally transported from Africa into and through Europe often without any veterinary or sanitary checks. We searched and included peer-reviewed studies that contained data on the intercontinental movement of unregulated meat from the African continent. This was followed by an investigation of the reported contamination of such meat. We included fifteen airport studies with limited data on this topic. The references included in this review describe the quantity of meat found at border inspection posts and the presence of pathogens. Disease-causing pathogens were found to be present, and the results are organized into bacteria, virus, and parasite categories. The species of animal meat found in this review were linked to CITES-protected species some of which are known reservoir hosts for infectious diseases. This represents a potential and unquantified human health risk to populations along the supply chain, and a loss to biodiversity in supply countries. Meat samples described in this review were primarily found opportunistically by Customs officials, indicating that any estimate of the total quantities passing undetected through border checkpoints must remain tentative, and cannot rule out the possibility that it is indeed considerably higher. We propose a template for future studies regarding African meat imports at border points of entry. The result of this review illustrates a gap in knowledge and lacunae regarding the amount of unregulated African meat imports worldwide, the pathogens it may contain, and the resulting biodiversity loss that occurs from the intercontinental movement of this meat.</t>
  </si>
  <si>
    <t>Interventions to Prevent Intimate Partner Violence: A Systematic Review and Meta-Analysis.</t>
  </si>
  <si>
    <t>Alsina, Ema; Browne, Joyce L; Gielkens, Desi; Noorman, Maaike A J; de Wit, John B F</t>
  </si>
  <si>
    <t>violence against women</t>
  </si>
  <si>
    <t>https://pubmed.ncbi.nlm.nih.gov/37475456</t>
  </si>
  <si>
    <t>Intimate partner violence (IPV) remains a global health and human rights problem. This systematic review assesses the effects of preventive interventions on the occurrence of IPV experience or perpetration. Twenty-six studies published between January 1, 2008 and March 31, 2022 were included, contributing 91 effect sizes. Multilevel meta-analysis showed a protective pooled effect (risk ratio = 0.85, 95% CI [0.77, 0.99]). Interventions (also) including men were more effective than interventions for women only. No other moderators were found. Findings underscore that various IPV prevention interventions are now available that can improve the health and rights of women in diverse settings.</t>
  </si>
  <si>
    <t>Exploring Metabolomic Patterns in Type 2 Diabetes Mellitus and Response to Glucose-Lowering Medications-Review.</t>
  </si>
  <si>
    <t>Shahisavandi, Mina; Wang, Kan; Ghanbari, Mohsen; Ahmadizar, Fariba</t>
  </si>
  <si>
    <t>https://pubmed.ncbi.nlm.nih.gov/37510368</t>
  </si>
  <si>
    <t>The spectrum of information related to precision medicine in diabetes generally includes clinical data, genetics, and omics-based biomarkers that can guide personalized decisions on diabetes care. Given the remarkable progress in patient risk characterization, there is particular interest in using molecular biomarkers to guide diabetes management. Metabolomics is an emerging molecular approach that helps better understand the etiology and promises the identification of novel biomarkers for complex diseases. Both targeted or untargeted metabolites extracted from cells, biofluids, or tissues can be investigated by established high-throughput platforms, like nuclear magnetic resonance (NMR) and mass spectrometry (MS) techniques. Metabolomics is proposed as a valuable tool in precision diabetes medicine to discover biomarkers for diagnosis, prognosis, and management of the progress of diabetes through personalized phenotyping and individualized drug-response monitoring. This review offers an overview of metabolomics knowledge as potential biomarkers in type 2 diabetes mellitus (T2D) diagnosis and the response to glucose-lowering medications.</t>
  </si>
  <si>
    <t>Pain and Opioid Consumption After Laparoscopic Versus Open Gastrectomy for Gastric Cancer: A Secondary Analysis of a Multicenter Randomized Clinical Trial (LOGICA-Trial).</t>
  </si>
  <si>
    <t>van der Veen, Arjen; Ramaekers, Mark; Marsman, Marije; Brenkman, Hylke J F; Seesing, Maarten F J; Luyer, Misha D P; Nieuwenhuijzen, Grard A P; Stoot, Jan H M B; Tegels, Juul J W; Wijnhoven, Bas P L; de Steur, Wobbe O; Kouwenhoven, Ewout A; Wassenaar, Eelco B; Draaisma, Werner A; Gisbertz, Suzanne S; van der Peet, Donald L; May, Anne M; Ruurda, Jelle P; van Hillegersberg, Richard; ,</t>
  </si>
  <si>
    <t>journal of gastrointestinal surgery official journal of the society for surgery of the alimentary tract</t>
  </si>
  <si>
    <t>https://pubmed.ncbi.nlm.nih.gov/37464143</t>
  </si>
  <si>
    <t>Laparoscopic gastrectomy could reduce pain and opioid consumption, compared to open gastrectomy. However, it is difficult to judge the clinical relevance of this reduction, since these outcomes are reported in few randomized trials and in limited detail.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In this multicenter randomized trial, postoperative pain was comparable between laparoscopic and open gastrectomy. After laparoscopic gastrectomy, this was generally achieved without epidural analgesia and with fewer opioids. NCT02248519.</t>
  </si>
  <si>
    <t>The spiritual dimension of parenting a child with a life-limiting or life-threatening condition: A mixed-methods systematic review.</t>
  </si>
  <si>
    <t>Engel, Marijanne; Brouwer, Marije A; Jansen, Nienke; Leget, Carlo; Teunissen, Saskia Ccm; Kars, Marijke C</t>
  </si>
  <si>
    <t>palliative medicine</t>
  </si>
  <si>
    <t>https://pubmed.ncbi.nlm.nih.gov/37461310</t>
  </si>
  <si>
    <t>Spirituality refers to the dynamic dimension of human life that relates to the way that persons experience meaning, purpose, and transcendence. The complex task of parenting a child with a life-limiting condition may raise existential questions, which are easily overlooked by healthcare professionals. We explored how the spiritual dimension becomes manifest in parents of children in pediatric palliative care. A mixed-methods systematic review was conducted, registered in Prospero (2021 CRD42021285318). PubMed, CINAHL, Embase, PsycInfo, and Cochrane were searched for articles published between January 1, 2015 and January 1, 2023. We included original empirical studies that reported on spirituality of parents of seriously ill children, from parents' perspectives. Sixty-three studies were included: 22 North-American, 19 Asian, 13 European, 9 other. Studies varied in defining spirituality. We identified five different aspects of spirituality: religion, hope, parental identity, personal development, and feeling connected with others. All aspects could function as source of spirituality or cause of spiritual concern. Sources of spirituality helped parents to give meaning to their experiences and made them feel supported. However, parents also reported struggling with spiritual concerns. Several parents highlighted their need for professional support. Although studies vary in defining spirituality, reports on spirituality focus on how parents connect to their faith, others, and themselves as parents. Healthcare professionals can support parents by paying attention to the spiritual process parents are going through. More research is needed into how healthcare professionals can support parents of seriously ill children in this process.</t>
  </si>
  <si>
    <t>Elderly people in humanitarian crises, a forgotten population: A call for action.</t>
  </si>
  <si>
    <t>van Boetzelaer, Elburg; Browne, Joyce L; Vaid, Sonali; Pellecchia, Umberto; van de Kamp, Judith; Franco, Oscar H; Baidjoe, Amrish Y</t>
  </si>
  <si>
    <t>https://pubmed.ncbi.nlm.nih.gov/37459290</t>
  </si>
  <si>
    <t>Diabetes self-management education interventions and self-management in low-resource settings; a mixed methods study.</t>
  </si>
  <si>
    <t>Lamptey, Roberta; Amoakoh-Coleman, Mary; Djobalar, Babbel; Grobbee, Diederick E; Adjei, George Obeng; Klipstein-Grobusch, Kerstin</t>
  </si>
  <si>
    <t>https://pubmed.ncbi.nlm.nih.gov/37450431</t>
  </si>
  <si>
    <t>Diabetes is largely a self-managed disease; thus, care outcomes are closely linked to self-management behaviours. Structured self-management education (DSME) interventions are, however, largely unavailable in Africa. We sought to characterise DSME interventions in two urban low-resource primary settings; and to explore diabetes self-management knowledge and behaviours, of persons living with diabetes (PLD). A convergent parallel mixed-methods study was conducted between January and February 2021 in Accra, Ghana. The sampling methods used for selecting participants were total enumeration, consecutive sampling, purposive and judgemental sampling. Multivariable regression models were used to study the association between diabetes self-management knowledge and behaviours. We employed inductive content analysis of informants' experiences and context, to complement the quantitative findings. In total, 425 PLD (70.1% (n = 298) females, mean age 58 years (SD 12), with a mean blood glucose of 9.4 mmol/l (SD 6.4)) participated in the quantitative study. Two managers, five professionals, two diabetes experts and 16 PLD participated in in-depth interviews. Finally, 24 PLD were involved in four focus group discussions. The median diabetes self-management knowledge score was 40% ((IQR 20-60). For every one unit increase in diabetes self-management knowledge, there were corresponding increases in the diet (5%;[95% CI: 2%-9%, p&lt;0.05]), exercise (5%; [95% CI:2%-8%, p&lt;0.05]) and glucose monitoring (4%;[95% CI:2%-5%, p&lt;0.05]) domains of the diabetes self-care activities scale respectively. The DSME interventions studied, were unstructured and limited by resources. Financial constraints, conflicting messages, beliefs, and stigma were the themes underpinning self-management behaviour. The DSME interventions studied were under-resourced, and unstructured. Diabetes self-management knowledge though limited, was associated with self-management behaviour. DSME interventions in low resource settings should be culturally tailored and should incorporate sessions on mitigating financial constraints. Future studies should focus on creating structured DSME interventions suited to resource-constrained settings.</t>
  </si>
  <si>
    <t>The quality of OpenStreetMap food-related point-of-interest data for use in epidemiological research.</t>
  </si>
  <si>
    <t>Pinho, Maria Gabriela M; Flueckiger, Benjamin; Valentin, Antonia; Kasdagli, Maria-Iosifina; Kyriakou, Kalliopi; Lakerveld, Jeroen; Mackenbach, Joreintje D; Beulens, Joline W J; de Hoogh, Kees</t>
  </si>
  <si>
    <t>health place</t>
  </si>
  <si>
    <t>https://pubmed.ncbi.nlm.nih.gov/37454481</t>
  </si>
  <si>
    <t>We assessed the quality of food-related OpenStreetMap (OSM) data in urban areas of five European countries. We calculated agreement statistics between point-of-interests (POIs) from OSM and from Google Street View (GSV) in five European regions. We furthermore assessed correlations between exposure measures (distance and counts) from OSM data and administrative data from local data sources on food environment data in three European countries. Agreement between POI data in OSM compared to GSV was poor, but correlations were moderate to high between exposures from OSM and local data sources. OSM data downloaded in 2020 seems to be an acceptable source of data for generating count-based food exposure measures for research in selected European regions.</t>
  </si>
  <si>
    <t>Mixed strain pathogen populations accelerate the evolution of antibiotic resistance in patients.</t>
  </si>
  <si>
    <t>Diaz Caballero, Julio; Wheatley, Rachel M; Kapel, Natalia; López-Causapé, Carla; Van der Schalk, Thomas; Quinn, Angus; Shaw, Liam P; Ogunlana, Lois; Recanatini, Claudia; Xavier, Basil Britto; Timbermont, Leen; Kluytmans, Jan; Ruzin, Alexey; Esser, Mark; Malhotra-Kumar, Surbhi; Oliver, Antonio; MacLean, R Craig</t>
  </si>
  <si>
    <t>https://pubmed.ncbi.nlm.nih.gov/37438338</t>
  </si>
  <si>
    <t>Antibiotic resistance poses a global health threat, but the within-host drivers of resistance remain poorly understood. Pathogen populations are often assumed to be clonal within hosts, and resistance is thought to emerge due to selection for de novo variants. Here we show that mixed strain populations are common in the opportunistic pathogen P. aeruginosa. Crucially, resistance evolves rapidly in patients colonized by multiple strains through selection for pre-existing resistant strains. In contrast, resistance evolves sporadically in patients colonized by single strains due to selection for novel resistance mutations. However, strong trade-offs between resistance and growth rate occur in mixed strain populations, suggesting that within-host diversity can also drive the loss of resistance in the absence of antibiotic treatment. In summary, we show that the within-host diversity of pathogen populations plays a key role in shaping the emergence of resistance in response to treatment.</t>
  </si>
  <si>
    <t>Effects of exercise after oesophagectomy on body composition and adequacy of energy and protein intake: PERFECT multicentre randomized controlled trial.</t>
  </si>
  <si>
    <t>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t>
  </si>
  <si>
    <t>https://pubmed.ncbi.nlm.nih.gov/37527034</t>
  </si>
  <si>
    <t>NOS inhibition reverses TLR2-induced chondrocyte dysfunction and attenuates age-related osteoarthritis.</t>
  </si>
  <si>
    <t>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t>
  </si>
  <si>
    <t>proceedings of the national academy of sciences of the united states of america</t>
  </si>
  <si>
    <t>https://pubmed.ncbi.nlm.nih.gov/37428931</t>
  </si>
  <si>
    <t>Osteoarthritis (OA) is a joint disease featuring cartilage breakdown and chronic pain. Although age and joint trauma are prominently associated with OA occurrence, the trigger and signaling pathways propagating their pathogenic aspects are ill defined. Following long-term catabolic activity and traumatic cartilage breakdown, debris accumulates and can trigger Toll-like receptors (TLRs). Here we show that TLR2 stimulation suppressed the expression of matrix proteins and induced an inflammatory phenotype in human chondrocytes. Further, TLR2 stimulation impaired chondrocyte mitochondrial function, resulting in severely reduced adenosine triphosphate (ATP) production. RNA-sequencing analysis revealed that TLR2 stimulation upregulated nitric oxide synthase 2 (&lt;i&gt;NOS2&lt;/i&gt;) expression and downregulated mitochondria function-associated genes. NOS inhibition partially restored the expression of these genes, and rescued mitochondrial function and ATP production. Correspondingly, &lt;i&gt;Nos2&lt;/i&gt;&lt;sup&gt;-/-&lt;/sup&gt; mice were protected from age-related OA development. Taken together, the TLR2-NOS axis promotes human chondrocyte dysfunction and murine OA development, and targeted interventions may provide therapeutic and preventive approaches in OA.</t>
  </si>
  <si>
    <t>IgG N-glycans are associated with prevalent and incident complications of type 2 diabetes.</t>
  </si>
  <si>
    <t>Memarian, Elham; Heijmans, Ralph; Slieker, Roderick C; Sierra, Adriana; Gornik, Olga; Beulens, Joline W J; Hanic, Maja; Elders, Petra; Pascual, Julio; Sijbrands, Eric; Lauc, Gordan; Dotz, Viktoria; Barrios, Clara; 't Hart, Leen M; Wuhrer, Manfred; van Hoek, Mandy</t>
  </si>
  <si>
    <t>diabetesmetabolism research and reviews</t>
  </si>
  <si>
    <t>https://pubmed.ncbi.nlm.nih.gov/37422864</t>
  </si>
  <si>
    <t>Inflammation is important in the development of type 2 diabetes complications. The N-glycosylation of IgG influences its role in inflammation. To date, the association of plasma IgG N-glycosylation with type 2 diabetes complications has not been extensively investigated. We hypothesised that N-glycosylation of IgG may be related to the development of complications of type 2 diabetes. In three independent type 2 diabetes cohorts, plasma IgG N-glycosylation was measured using ultra performance liquid chromatography (DiaGene n = 1815, GenodiabMar n = 640) and mass spectrometry (Hoorn Diabetes Care Study n = 1266). We investigated the associations of IgG N-glycosylation (fucosylation, galactosylation, sialylation and bisection) with incident and prevalent nephropathy, retinopathy and macrovascular disease using Cox- and logistic regression, followed by meta-analyses. The models were adjusted for age and sex and additionally for clinical risk factors. IgG galactosylation was negatively associated with prevalent and incident nephropathy and macrovascular disease after adjustment for clinical risk factors. Sialylation was negatively associated with incident diabetic nephropathy after adjustment for clinical risk factors. For incident retinopathy, similar associations were found for galactosylation, adjusted for age and sex. We showed that IgG N-glycosylation, particularly galactosylation and to a lesser extent sialylation, is associated with a higher prevalence and future development of macro- and microvascular complications of diabetes. These findings indicate the predictive potential of IgG N-glycosylation in diabetes complications and should be analysed further in additional large cohorts to obtain the power to solidify these conclusions.</t>
  </si>
  <si>
    <t>Leadership moments: Understanding nurse clinician-scientists' leadership as embedded sociohistorical practices.</t>
  </si>
  <si>
    <t>Martini, Dieke; Noordegraaf, Mirko; Schoonhoven, Lisette; Lalleman, Pieterbas; ,</t>
  </si>
  <si>
    <t>https://pubmed.ncbi.nlm.nih.gov/37420320</t>
  </si>
  <si>
    <t>Nurse clinician-scientists are increasingly expected to show leadership aimed at transforming healthcare. However, research on nurse clinician-scientists' leadership (integrating researcher and practitioner roles) is scarce and hardly embedded in sociohistorical contexts. This study introduces leadership moments, that is, concrete events in practices that are perceived as acts of empowerment, in order to understand leadership in the daily work of newly appointed nurse clinician-scientists. Following the learning history method we gathered data using multiple (qualitative) methods to get close to their daily practices. A document analysis provided us with insight into the history of nursing science to illustrate how leadership moments in the everyday work of nurse clinician-scientists in the "here and now" can be related to the particular histories from which they emerged. A qualitative analysis led to three acts of empowerment: (1) becoming visible, (2) building networks, and (3) getting wired in. These acts are illustrated with three series of events in which nurse clinician-scientists' leadership becomes visible. This study contributes to a more socially embedded understanding of nursing leadership, enables us to get a grip on crucial leadership moments, and provides academic and practical starting points for strengthening nurse clinician-scientists' leadership practices. Transformations in healthcare call for transformed notions of leadership.</t>
  </si>
  <si>
    <t>Completion of the Continuum of Maternity Care in the Emerging Regions of Ethiopia: Analysis of the 2019 Demographic and Health Survey.</t>
  </si>
  <si>
    <t>Hussen, Abdulaziz Mohammed; Ibrahim, Ibrahim Mohammed; Tilahun, Binyam; Tunçalp, Özge; Grobbee, Diederick E; Browne, Joyce L</t>
  </si>
  <si>
    <t>international journal of environmental research and public health</t>
  </si>
  <si>
    <t>https://pubmed.ncbi.nlm.nih.gov/37444167</t>
  </si>
  <si>
    <t>Maternal mortality in Ethiopia was estimated to be 267 per 100,000 live births in 2020. A significant number of maternal deaths occur in the emerging regions of the country: Afar, Somali, Gambela, and Benishangul-Gumuz. Achieving the Sustainable Development Goal (SDG) target requires a dramatic increase in maternal healthcare utilisation during pregnancy, childbirth, and the postpartum period. Yet, there is a paucity of evidence on the continuum of maternity care utilisation in Ethiopia, particularly in the emerging regions. Therefore, this study aimed to assess completion and factors associated with the continuum of maternity care in the emerging regions of Ethiopia. This study used the 2019 Ethiopian Demographic and Health Survey data (n = 1431). Bivariable and multivariable logistic regression analyses were carried out to identify factors associated with the completion of the continuum of maternity care. An adjustment was made to the survey design (weight, stratification, and clustering). 9.5% (95% Confidence Interval (CI): 7.0-13.0) of women completed the continuum of maternity care (four or more antenatal care, institutional delivery, and postnatal care within 24 h). Living in Somali (adjusted Odds Ratio (aOR): 0.23, 95%CI: 0.07-0.78) and Benishangul-Gumuz (aOR 3.41, 95%CI: 1.65-7.04) regions, having a secondary and higher educational level (aOR 2.12, 95%CI: 1.13-4.00), and being in the richest wealth quintile (aOR 4.55, 95%CI: 2.04-10.15) were factors associated with completion of the continuum of maternity care. Although nearly half of the women had one antenatal care, fewer than 10% completed the continuum of maternity care. This indicates that women in these regions are not getting the maximum health benefits from maternal healthcare services, and this might contribute to the high maternal death in the regions. Moreover, the completion of the continuum of maternity care was skewed toward women who are more educated (secondary or higher education) and in the richest quintile.</t>
  </si>
  <si>
    <t>Aneurysm Prevalence and Quality of Life During Screening in Relatives of Patients With Unruptured Intracranial Aneurysms: A Prospective Study.</t>
  </si>
  <si>
    <t>Mensing, Liselore A; van Tuijl, Rick J; Greving, Jacoba P; Velthuis, Birgitta K; van der Schaaf, Irene C; Wermer, Marieke J H; Verbaan, Dagmar; Vandertop, W Peter; Zuithoff, Nicolaas P A; Rinkel, Gabriël J E; Ruigrok, Ynte M</t>
  </si>
  <si>
    <t>https://pubmed.ncbi.nlm.nih.gov/37414571</t>
  </si>
  <si>
    <t>Screening for unruptured intracranial aneurysms (UIAs) is effective for first-degree relatives (FDRs) of patients with aneurysmal subarachnoid hemorrhage (aSAH). Whether screening is also effective for FDRs of patients with UIA is unknown. We determined the yield of screening in such FDRs, assessed rupture risk and treatment decisions of aneurysms that were found, identified potential high-risk subgroups, and studied the effects of screening on quality of life (QoL). In this prospective cohort study, we included FDRs, aged 20-70 years, of patients with UIA without a family history of aSAH who visited the Neurology outpatient clinic in 1 of 3 participating tertiary referral centers in the Netherlands. FDRs were screened for UIA with magnetic resonance angiography between 2017 and 2021. We determined UIA prevalence and developed a prediction model for UIA risk at screening using multivariable logistic regression. QoL was evaluated with questionnaires 6 times during the first year after screening and assessed with a linear mixed-effects model. We detected 24 UIAs in 23 of 461 screened FDRs, resulting in a 5.0% prevalence (95% CI 3.2-7.4). The median aneurysm size was 3 mm (interquartile range [IQR] 2-4 mm), and the median 5-year rupture risk assessed with the PHASES score was 0.7% (IQR 0.4%-0.9%). All UIAs received follow-up imaging, and none were treated preventively. After a median follow-up of 24 months (IQR 13-38 months), no UIA had changed. Predicted UIA risk at screening ranged between 2.3% and 14.7% with the highest risk in FDRs who smoke and have excessive alcohol consumption (&lt;i&gt;c&lt;/i&gt;-statistic: 0.76; 95% CI 0.65-0.88). At all survey moments, health-related QoL and emotional functioning were comparable with those in a reference group from the general population. One FDR with a positive screening result expressed regret about screening. Based on the current data, we do not advise screening FDRs of patients with UIA because all identified UIAs had a low rupture risk. We observed no negative effect of screening on QoL. A longer follow-up should determine the risk of aneurysm growth requiring preventive treatment.</t>
  </si>
  <si>
    <t>Plasma protein biomarkers reflective of the host response in patients developing Intensive Care Unit-acquired pneumonia.</t>
  </si>
  <si>
    <t>https://pubmed.ncbi.nlm.nih.gov/37415223</t>
  </si>
  <si>
    <t>Immune suppression has been implicated in the occurrence of pneumonia in critically ill patients. We tested the hypothesis that Intensive Care Unit (ICU)-acquired pneumonia is associated with broad host immune aberrations in the trajectory to pneumonia, encompassing inflammatory, endothelial and coagulation responses. We compared plasma protein biomarkers reflecting the systemic host response in critically ill patients who acquire a new pneumonia (cases) with those who do not (controls). We performed a nested case-control study in patients undergoing mechanical ventilation at ICU admission with an expected stay of at least 48 h enrolled in 30 hospitals in 11 European countries. Nineteen host response biomarkers reflective of key pathophysiological domains were measured in plasma obtained on study inclusion and day 7, and-in cases-on the day of pneumonia diagnosis. Of 1997 patients, 316 developed pneumonia (15.8%) and 1681 did not (84.2%). Plasma protein biomarker analyses, performed in cases and a randomly selected subgroup of controls (1:2 ratio to cases, n = 632), demonstrated considerable variation across time points and patient groups. Yet, cases showed biomarker concentrations suggestive of enhanced inflammation and a more disturbed endothelial barrier function, both at study enrollment (median 2 days after ICU admission) and in the path to pneumonia diagnosis (median 5 days after ICU admission). Baseline host response biomarker aberrations were most profound in patients who developed pneumonia either shortly (&lt; 5 days, n = 105) or late (&gt; 10 days, n = 68) after ICU admission. Critically ill patients who develop an ICU-acquired pneumonia, compared with those who do not, display alterations in plasma protein biomarker concentrations indicative of stronger proinflammatory, procoagulant and (injurious) endothelial cell responses. ClinicalTrials.gov Identifier: NCT02413242, posted April 9th, 2015.</t>
  </si>
  <si>
    <t>Routine vaccination for influenza and pneumococcal disease and its effect on COVID-19 in a population of Dutch older adults.</t>
  </si>
  <si>
    <t>Taks, Esther J M; Föhse, Konstantin; J C F M Moorlag, Simone; Hoogerwerf, Jacobien; van Crevel, Reinout; van Werkhoven, Cornelis H; Netea, Mihai G; Ten Oever, Jaap</t>
  </si>
  <si>
    <t>vaccine x</t>
  </si>
  <si>
    <t>https://pubmed.ncbi.nlm.nih.gov/37484869</t>
  </si>
  <si>
    <t>Protective heterologous beneficial effects of vaccines have been reported, and in this study we aimed to assess the impact of routine pneumococcal and influenza vaccination on the incidence and symptom duration of COVID-19 in a population of Dutch older adults. This cohort study is a secondary analysis of the BCG-CORONA-ELDERLY study, a randomised controlled trial on the effect of BCG vaccination on the cumulative incidence of respiratory tract infections requiring medical intervention in adults ≥60 years. The primary outcome was the cumulative incidence of a self-reported positive SARS-CoV-2 PCR test, and was assessed using a Fine-Gray competing risks model adjusted for baseline characteristics at enrolment. We analysed data from November 1st 2020 until the end of the main study in May 2021. Routine vaccination data 2020/2021 were available for 1963/2014 (97.5 %) participants; 44/1963 (2.2 %) were excluded due to COVID-19 before vaccination. 1076/1919 (56.1 %) had received the influenza vaccine and 289/1919 (15.1 %) the pneumococcal vaccine. The cumulative incidence of COVID-19 was 0.030 (95 %CI 0.021-0.041) in those vaccinated against influenza compared to 0.029 (95 %CI 0.019-0.041) in the unvaccinated group (subdistribution hazard ratio (SDHR) 1.018; 95 %CI 0.602-1.721). For pneumococcal vaccination the cumulative incidence was 0.031 (95 %CI 0.015-0.056) for the vaccinated and 0.029 (95 %CI 0.022-0.038) for non-vaccinated individuals (SDHR 0.961; 95 %CI 0.443-2.085). BCG vaccination in the previous year and sex were not significant effect modifiers in the primary analysis. Duration of fever, cough and dyspnoea was also not significantly different between treatment arms. Neither influenza nor pneumococcal vaccination was associated with a lower incidence or shorter duration of COVID-19 symptoms in older adults.</t>
  </si>
  <si>
    <t>Personalised electronic health programme for recovery after major abdominal surgery: a multicentre, single-blind, randomised, placebo-controlled trial.</t>
  </si>
  <si>
    <t>den Bakker, Chantal M; Schaafsma, Frederieke G; Consten, Esther C J; Schraffordt Koops, Steven E; van der Meij, Eva; van de Ven, Peter M; Bonjer, Hendrik J; Huirne, Judith A F; Anema, Johannes R</t>
  </si>
  <si>
    <t>the lancet digital health</t>
  </si>
  <si>
    <t>https://pubmed.ncbi.nlm.nih.gov/37419843</t>
  </si>
  <si>
    <t>Despite the adoption of minimally invasive techniques, recovery after abdominal surgery takes a long time. Electronic health (eHealth) modalities can provide guidance to patients, facilitating early return to normal activities. We aimed to assess the impact of a personalised eHealth programme on patients' return to normal activities after major abdominal surgery. This single-blind, randomised, placebo-controlled trial was done at 11 teaching hospitals in the Netherlands. Eligible participants were aged 18-75 years who underwent a laparoscopic or open colectomy or hysterectomy. An independent researcher randomly allocated participants (in a 1:1 ratio) to either the intervention or control group by use of computer-based randomisation lists, with stratification by sex, type of surgery, and hospital. Participants in the intervention group had access to a perioperative, personalised eHealth programme consisting of both standard face-to-face care and eHealth, that comprised interactive tools offering goal attainment and a personalised outcome measurement, which managed recovery expectations and provided postoperative guidance tailored to each patient. Patients were provided with an activity tracker and had access to a website and mobile app with an electronic consultation (eConsult) functionality. The control group received standard care and access to a placebo website containing recovery advice provided by the hospital. The primary outcome was the number of days between surgery and personalised return to normal activities, assessed with Kaplan-Meier curves. Intention-to-treat and per-protocol analyses were done with a Cox regression model. This trial is registered with the Netherlands National Trial Register (NTR5686). Between Feb 11, 2016, and Aug 9, 2017, 355 participants were randomly assigned to the intervention (n=178) or control (n=177) groups. 342 participants were included in the intention-to-treat analysis. The median time until return to normal activities was 52 days (IQR 33-111) in the intervention group, and 65 days (39-152) in the control group (adjusted hazard ratio 1·30 [95% CI 1·03-1·64]; p=0·027). The frequency of postoperative complications did not differ between groups. This eHealth programme, delivering personalised care based on goal attainment scaling, enabled patients to return to their normal activities 13 days earlier than those who received standard care. ZonMw.</t>
  </si>
  <si>
    <t>Positive Impact of [18F]FDG-PET/CT on Mortality in Patients With Staphylococcus aureus Bacteremia Explained by Immortal Time Bias.</t>
  </si>
  <si>
    <t>van der Vaart, Thomas W; Prins, Jan M; van Werkhoven, Cornelis H; Ten Doesschate, Thijs; Soetekouw, Robin; van Twillert, Gitte; Veenstra, Jan; Herpers, Bjorn L; Rozemeijer, Wouter; Jansen, Rogier R; Bonten, Marc J M; van der Meer, Jan T M</t>
  </si>
  <si>
    <t>https://pubmed.ncbi.nlm.nih.gov/36869816</t>
  </si>
  <si>
    <t>Several studies have suggested that in patients with Staphylococcus aureus bacteremia (SAB) [18F] fluorodeoxyglucose positron emission tomography/computed tomography ([18F]FDG-PET/CT) improves outcome. However, these studies often ignored possible immortal time bias. Prospective multicenter cohort study in 2 university and 5 non-university hospitals, including all patients with SAB. [18F]FDG-PET/CT was performed on clinical indication as part of usual care. Primary outcome was 90-day all-cause mortality. Effect of [18F]FDG-PET/CT was modeled with a Cox proportional hazards model using [18F]FDG-PET/CT as a time-varying variable and corrected for confounders for mortality (age, Charlson score, positive follow-up cultures, septic shock, and endocarditis). Secondary outcome was 90-day infection-related mortality (assessed by adjudication committee) using the same analysis. In a subgroup-analysis, we determined the effect of [18F]FDG-PET/CT in patients with high risk of metastatic infection. Of 476 patients, 178 (37%) underwent [18F]FDG-PET/CT. Day-90 all-cause mortality was 31% (147 patients), and infection-related mortality was 17% (83 patients). The confounder adjusted hazard ratio (aHR) for all-cause mortality was 0.50 (95% confidence interval [CI]: .34-.74) in patients that underwent [18F]FDG-PET/CT. Adjustment for immortal time bias changed the aHR to 1.00 (95% CI .68-1.48). Likewise, after correction for immortal time bias, [18F]FDG-PET/CT had no effect on infection-related mortality (cause specific aHR 1.30 [95% CI .77-2.21]), on all-cause mortality in patients with high-risk SAB (aHR 1.07 (95% CI .63-1.83) or on infection-related mortality in high-risk SAB (aHR for 1.24 [95% CI .67-2.28]). After adjustment for immortal time bias [18F]FDG-PET/CT was not associated with day-90 all-cause or infection-related mortality in patients with SAB.</t>
  </si>
  <si>
    <t>Understanding rebel nurse leadership-as-practice: Challenging and changing the status quo in hospitals.</t>
  </si>
  <si>
    <t>de Kok, Eline; Schoonhoven, Lisette; Lalleman, Pieterbas; Weggelaar, Anne M</t>
  </si>
  <si>
    <t>https://pubmed.ncbi.nlm.nih.gov/37408336</t>
  </si>
  <si>
    <t>Some nurses are responding rebelliously to the changing healthcare landscape by challenging the status quo and deviating from suboptimal practices, professional norms, and organizational rules. While some view rebel nurse leadership as challenging traditional structures to improve patient care, others see it as disruptive and harmful. These diverging opinions create dilemmas for nurses and nurse managers in daily practice. To understand the context, dilemmas, and interactions in rebel nurse leadership, we conducted a multiple case study in two Dutch hospitals. We delved into the mundane practices to expand the concept of leadership-as-practice. By shadowing rebel nurse practices, we identified three typical leadership practices which present the most common "lived" experiences and dilemmas of nurses and nurse managers. Overall, we noticed that deviating acts were more often quick fixes rather than sustainable changes. Our research points to what is needed to change the status quo in a sustainable manner. To change unworkable practices, nurses need to share their experienced dilemmas with their managers. In addition, nurse managers must build relationships with other nurses, value different perspectives, and support experimenting to promote collective learning.</t>
  </si>
  <si>
    <t>Compliance with the DASH diet and risk of all-cause and cardiovascular mortality in patients with myocardial infarction.</t>
  </si>
  <si>
    <t>Bonekamp, Nadia E; Cruijsen, Esther; Visseren, Frank Lj; van der Schouw, Yvonne T; Geleijnse, Johanna M; Koopal, Charlotte</t>
  </si>
  <si>
    <t>clinical nutrition edinburgh scotland</t>
  </si>
  <si>
    <t>https://pubmed.ncbi.nlm.nih.gov/37433229</t>
  </si>
  <si>
    <t>The Dietary Approaches to Stop Hypertension (DASH) diet has been shown to effectively reduce blood pressure and body weight, but its effectiveness for reducing (cardiovascular) mortality rates has never been assessed in a clinical trial. Causal effects of dietary interventions are difficult to measure, due to practical limitations of randomized controlled diet trials. Target trial emulation can be used to improve causal inference in observational data. The aim of this study was to emulate a target trial assessing the relationship between compliance with the DASH diet and cardiovascular and all-cause mortality risk in patients with established CVD. Using data from the Alpha Omega Cohort, we emulated a DASH diet trial in patients with a history of myocardial infarction (MI). Inverse probability of treatment weighting (IPTW) was used to balance confounders over DASH-compliant and non-DASH-compliant participants. Hazard ratios (HRs) were estimated with IPT-weighted Cox models. Of 4365 patients (79% male, median age 69 years, &gt;80% treated with lipid- and blood pressure-lowering medication), 598 were classified as DASH-compliant (compliance score ≥5 out of 9). During a median follow-up of 12.4 years, 2035 deaths occurred of which 903 (44%) were of cardiovascular origin. DASH compliance was not associated with all-cause mortality (HR 0.92, 95%CI 0.0.80-1.06) and cardiovascular mortality (HR 0.90, 95%CI 0.72-1.11). In an emulated target trial on the DASH diet in the Alpha Omega cohort no relation was found between DASH compliance and risk of all-cause and cardiovascular mortality in patients with a history of MI. The DASH diet's effects may have been modified in this population by concomitant use of blood pressure-lowering medications.</t>
  </si>
  <si>
    <t>Subgroups of adult-onset diabetes: a data-driven cluster analysis in a Ghanaian population.</t>
  </si>
  <si>
    <t>Danquah, Ina; Mank, Isabel; Hampe, Christiane S; Meeks, Karlijn A C; Agyemang, Charles; Owusu-Dabo, Ellis; Smeeth, Liam; Klipstein-Grobusch, Kerstin; Bahendeka, Silver; Spranger, Joachim; Mockenhaupt, Frank P; Schulze, Matthias B; Rolandsson, Olov</t>
  </si>
  <si>
    <t>https://pubmed.ncbi.nlm.nih.gov/37402743</t>
  </si>
  <si>
    <t>Adult-onset diabetes mellitus (here: aDM) is not a uniform disease entity. In European populations, five diabetes subgroups have been identified by cluster analysis using simple clinical variables; these may elucidate diabetes aetiology and disease prognosis. We aimed at reproducing these subgroups among Ghanaians with aDM, and establishing their importance for diabetic complications in different health system contexts. We used data of 541 Ghanaians with aDM (age: 25-70 years; male sex: 44%) from the multi-center, cross-sectional Research on Obesity and Diabetes among African Migrants (RODAM) Study. Adult-onset DM was defined as fasting plasma glucose (FPG) ≥ 7.0 mmol/L, documented use of glucose-lowering medication or self-reported diabetes, and age of onset ≥ 18 years. We derived subgroups by cluster analysis using (i) a previously published set of variables: age at diabetes onset, HbA1c, body mass index, HOMA-beta, HOMA-IR, positivity of glutamic acid decarboxylase autoantibodies (GAD65Ab), and (ii) Ghana-specific variables: age at onset, waist circumference, FPG, and fasting insulin. For each subgroup, we calculated the clinical, treatment-related and morphometric characteristics, and the proportions of objectively measured and self-reported diabetic complications. We reproduced the five subgroups: cluster 1 (obesity-related, 73%) and cluster 5 (insulin-resistant, 5%) with no dominant diabetic complication patterns; cluster 2 (age-related, 10%) characterized by the highest proportions of coronary artery disease (CAD, 18%) and stroke (13%); cluster 3 (autoimmune-related, 5%) showing the highest proportions of kidney dysfunction (40%) and peripheral artery disease (PAD, 14%); and cluster 4 (insulin-deficient, 7%) characterized by the highest proportion of retinopathy (14%). The second approach yielded four subgroups: obesity- and age-related (68%) characterized by the highest proportion of CAD (9%); body fat-related and insulin-resistant (18%) showing the highest proportions of PAD (6%) and stroke (5%); malnutrition-related (8%) exhibiting the lowest mean waist circumference and the highest proportion of retinopathy (20%); and ketosis-prone (6%) with the highest proportion of kidney dysfunction (30%) and urinary ketones (6%). With the same set of clinical variables, the previously published aDM subgroups can largely be reproduced by cluster analysis in this Ghanaian population. This method may generate in-depth understanding of the aetiology and prognosis of aDM, particularly when choosing variables that are clinically relevant for the target population.</t>
  </si>
  <si>
    <t>Effect of bariatric surgery on NAFLD/NASH: a single-centre observational prospective cohort study.</t>
  </si>
  <si>
    <t>Theel, Willy B; Boxma-de Klerk, Bianca M; Dirksmeier-Harinck, Femme; van Rossum, Elisabeth Fc; Kanhai, Danny A; Apers, Jan A; van Dalen, Bas M; De Knegt, Robert J; Neecke, Bojou; van der Zwan, Ellen M; Grobbee, Diederick E; Hankemeier, Thomas; Wiebolt, Janneke; Castro Cabezas, Manuel</t>
  </si>
  <si>
    <t>https://pubmed.ncbi.nlm.nih.gov/37400234</t>
  </si>
  <si>
    <t>The prevalence of non-alcoholic fatty liver disease (NAFLD) ranges from 25% in the general population to 90% in patients with obesity scheduled for bariatric surgery. NAFLD can progress towards non-alcoholic steatohepatitis (NASH) associated with complications such as cirrhosis, hepatocellular carcinoma and cardiovascular disease. To date, losing weight and lifestyle modifications are the best known treatments for NASH. Bariatric surgery significantly improves NAFLD/NASH in the short term. However, the extent of this improvement is not yet clear and long-term data on the natural course of NAFLD/NASH after bariatric surgery are lacking. The factors involved in NAFLD/NASH regression after bariatric surgery have not been elucidated. This is an observational prospective cohort study including patients scheduled for bariatric surgery. Extensive metabolic and cardiovascular analyses will be carried out including measurements of carotid intima media thickness and pulse wave velocity. Genomic, proteomic, lipidomic and metabolomic studies will be done. Microbioma analyses before and 1 year after surgery will be done. Transient elastography measurements will be performed before and at 1, 3 and 5 years after surgery. For those with an elevated preoperative transient elastography measurement by Fibroscan, a laparoscopic liver biopsy will be performed during surgery. Primary outcome measures are the change of steatosis and liver fibrosis 5 years after surgery. Secondary outcome measure is the comparison of the transient elastography measurements with the NAFLD Activity Score from the biopsies. The protocol has been approved by the Medical Research Ethics Committees United, Nieuwegein, on 1 March 2022 (registration code R21.103/NL79423.100.21). The study results will be submitted for publication in peer-reviewed journals and data will be presented at scientific meetings. NCT05499949.</t>
  </si>
  <si>
    <t>Clinically Established Temporomandibular Involvement in Adults With Juvenile Idiopathic Arthritis.</t>
  </si>
  <si>
    <t>de Sonnaville, Willemijn F C; Speksnijder, Caroline M; Zuithoff, Nicolaas P A; Heijstek, Marloes W; Wulffraat, Nico M; Steenks, Michel H; Rosenberg, Antoine J W P</t>
  </si>
  <si>
    <t>the journal of rheumatology</t>
  </si>
  <si>
    <t>https://pubmed.ncbi.nlm.nih.gov/37399466</t>
  </si>
  <si>
    <t>To study clinical variables defining temporomandibular function in adults with juvenile idiopathic arthritis (JIA) and healthy controls. In this cross-sectional study, the temporomandibular joint (TMJ) screening protocol, mandibular range of motion (MROM), and anterior maximum voluntary bite force (AMVBF) were compared between adults with JIA and healthy controls. Unadjusted and adjusted models with corrections for sex and disease duration were constructed for active maximum interincisal mouth opening (AMIO) and AMVBF. A total of 100 adults with JIA and 59 healthy adults were included in this study. In adults with JIA, 56% had clinically established TMJ involvement. AMIO was the MROM variable most reduced by TMJ involvement; AMIO was 8.8 mm (95% CI -11.40 to -6.12; &lt;i&gt;P&lt;/i&gt; &lt; 0.001) less in adults with JIA with TMJ involvement compared to JIA without TMJ involvement. No differences of AMIO were found between healthy adults and adults with JIA without TMJ involvement (-2.52, 95% CI -5.13 to 0.10; &lt;i&gt;P&lt;/i&gt; = 0.06). Male sex was associated with a higher AMIO, and disease duration was associated with a decreased AMIO. Collinearity between the subtype prebiologic era and disease duration was found. AMVBF did not differ between adults with JIA and healthy adults. The high prevalence of clinically established TMJ involvement in adults with JIA indicates the need for awareness of TMJ problems in adults with JIA. TMJ involvement negatively influenced AMIO and should therefore be part of the TMJ screening in adults with JIA. AMVBF seems to have less utility for TMJ screening in adult populations.</t>
  </si>
  <si>
    <t>The use of environmental scenarios to project future health effects: a scoping review.</t>
  </si>
  <si>
    <t>Weber, Eartha; Downward, George S; Ebi, Kristie L; Lucas, Paul L; van Vuuren, Detlef</t>
  </si>
  <si>
    <t>https://pubmed.ncbi.nlm.nih.gov/37438002</t>
  </si>
  <si>
    <t>Environmental risks are a substantial factor in the current burden of disease, and their role is likely to increase in the future. Model-based scenario analysis is used extensively in environmental sciences to explore the potential effects of human activities on the environment. In this Review, we examine the literature on scenarios modelling environmental effects on health to identify the most relevant findings, common methods used, and important research gaps. Health outcomes and measures related to climate change (n=106) and air pollution (n=30) were most frequently studied. Studies examining future disease burden due to changes or policies related to dietary risks were much less common (n=10). Only a few studies assessed more than two environmental risks (n=3), even though risks can accumulate and interact with each other. Studies predominantly covered high-income countries and Asia. Sociodemographic, vulnerability, and health-system changes were rarely accounted for; thus, assessing the full effect of future environmental changes in an integrative way is not yet possible. We recommend that future models incorporate a broader set of determinants of health to more adequately capture their effect, as well as the effect of mitigation and adaptation efforts.</t>
  </si>
  <si>
    <t>Tuberculosis services during the COVID-19 pandemic: A qualitative study on the impact of COVID-19 and practices for continued services delivery in Eswatini.</t>
  </si>
  <si>
    <t>Williams, Victor; Vos-Seda, Alinda G; Calnan, Marianne; Mdluli-Dlamini, Lindiwe; Haumba, Samson; Grobbee, Diederick E; Klipstein-Grobusch, Kerstin; Otwombe, Kennedy</t>
  </si>
  <si>
    <t>https://pubmed.ncbi.nlm.nih.gov/38099086</t>
  </si>
  <si>
    <t>To describe the impact of the COVID-19 pandemic on tuberculosis services and the different approaches healthcare workers adopted to ensure continued tuberculosis service delivery in Eswatini. This is a qualitative study with a cross-sectional design. Thirteen nurses and 9 doctors who provide tuberculosis care from 10 health facilities participated in an in-depth interview to describe how the COVID-19 pandemic affected tuberculosis services and the approaches adopted to ensure continued patient care. Twenty in-person and 2 telephone interviews were conducted. The participating facilities were selected based on a ranking criterion of the number of patients seen. Data were analyzed using thematic content analysis. NVivo 12 software was used for qualitative analysis, and the Consolidated Criteria guided the study for Reporting Qualitative research (COREQ). Two major themes emerged: COVID-19 impacted services delivery and access; and best practices that ensured healthcare services delivery. Six sub-themes describe how COVID-19 impacted services: all attention focused on COVID-19; COVID worsened the health system challenges; COVID hindered patients from accessing care; patients defaulted due to the lockdown; COVID impacted the quality of care and increased the risk of infection among healthcare workers. Five sub-themes describe best practices that ensure continued service delivery: Home-based care, Patient support, Patient Education, Integrated Services, and Staff rotation. While various strategies were adopted globally to mitigate the impact of the COVID-19 pandemic, these strategies need contextualization to be effective and sustainably incorporated into routine care to ensure continuity of and access to TB and other healthcare services.</t>
  </si>
  <si>
    <t>Plasma Proteomic Patterns Show Sex Differences in Early Concentric Left Ventricular Remodeling.</t>
  </si>
  <si>
    <t>van Ommen, Anne-Mar; Diez Benavente, Ernest; Onland-Moret, N Charlotte; Valstar, Gideon B; Cramer, Maarten J; Rutten, Frans H; Teske, Arco J; Menken, Roxana; Hofstra, Leonard; Tulevski, Igor I; Sweitzer, Nancy; Somsen, G Aernout; den Ruijter, Hester M</t>
  </si>
  <si>
    <t>circulation heart failure</t>
  </si>
  <si>
    <t>https://pubmed.ncbi.nlm.nih.gov/37381923</t>
  </si>
  <si>
    <t>Concentric remodeling (cRM) can precede heart failure with preserved ejection fraction (HFpEF), a condition prevalent in women. Patients (n=60 593, 54.2% women) visiting outpatient clinics of Cardiology Centers of the Netherlands were analyzed for cRM, HFpEF development, and mortality risk. We studied risk factors for relative wall thickness both sex-stratified and in women and men combined. Biomarker profiling was performed (4534 plasma proteins) in a substudy involving 557 patients (65.4% women) to identify pathways involved in cRM. cRM was present in 23.5% of women and 27.6% of men and associated with developing HFpEF (HR, 2.15 [95% CI, 1.51-2.99]) and mortality risk (HR, 1.09 [95% CI, 1.00-1.19]) in both sexes. Age, heart rate, and hypertension were statistically significantly stronger risk factors for relative wall thickness in women than men. Higher circulating levels of IFNA5 (interferon alpha-5) were associated with higher relative wall thickness in women only. Pathway analysis revealed differential pathway activation by sex and increased expression of inflammatory pathways in women. cRM is prevalent in approximately 1 in 4 women and men visiting outpatient cardiology clinics and associated with HFpEF development and mortality risk in both sexes. Known risk factors for cRM were more strongly associated in women than men. Proteomic analysis revealed inflammatory pathway activation in women, with a central role for IFNA5. Differential biologic pathway activation by sex in cRM may contribute to the female predominance of HFpEF and holds promise for identification of new therapeutic avenues for prevention and treatment of HFpEF. URL: https://www. gov; Unique identifier: NCT001747.</t>
  </si>
  <si>
    <t>Long term sequelae after SARS-CoV-2 infection in children: a household study.</t>
  </si>
  <si>
    <t>Sluiter-Post, Judith G C; Fourie, Elandri; Wildenbeest, Joanne G; van Lelyveld, Steven F L; Bruijning-Verhagen, Patricia C J L; van Houten, Marianne A</t>
  </si>
  <si>
    <t>virology journal</t>
  </si>
  <si>
    <t>https://pubmed.ncbi.nlm.nih.gov/37380990</t>
  </si>
  <si>
    <t>In children persistent symptoms after SARS-CoV-2 infection have been reported, however, duration and characteristics of symptoms in previously healthy children remain unclear. Therefore this study aimed to evaluate persisting symptoms in children at 6 and 12 months after a SARS-CoV-2 infection. In this prospective cohort study households with a confirmed SARS-CoV-2 positive outbreak were matched 1:1 to household controls from SARS-CoV-2 negative outbreaks. These households completed questionnaires at 6 and 12 months on the presence and severity of SARS-CoV-2 related symptoms, general well-being/functioning, cognition, persisting symptoms and quality of life. None of the children who had a SARS-CoV-2 infection during the study reported persistent symptoms at 6 and 12 months after infection, whereas almost 8% of the children with a negative RT-PCR test during the study reported symptoms such as coughing and mild fever, however, no significant differences were found. In addition, for all other outcomes, no differences were observed between the two groups. Post-acute sequelae of mild SARS-CoV-2 infections appears to be uncommon in previously healthy children.</t>
  </si>
  <si>
    <t>Precision Medicine for More Oxygen (P4O2)-Study Design and First Results of the Long COVID-19 Extension.</t>
  </si>
  <si>
    <t>Baalbaki, Nadia; Blankestijn, Jelle M; Abdel-Aziz, Mahmoud I; de Backer, Jan; Bazdar, Somayeh; Beekers, Inés; Beijers, Rosanne J H C G; van den Bergh, Joop P; Bloemsma, Lizan D; Bogaard, Harm Jan; van Bragt, Job J M H; van den Brink, Vera; Charbonnier, Jean Paul; Cornelissen, Merel E B; Dagelet, Yennece; Davies, Elin Haf; van der Does, Anne M; Downward, George S; van Drunen, Cornelis M; Gach, Debbie; Geelhoed, J J Miranda; Glastra, Jorrit; Golebski, Kornel; Heijink, Irene H; Holtjer, Judith C S; Holverda, Sebastiaan; Houweling, Laura; Jacobs, John J L; Jonker, Renée; Kos, Renate; Langen, Ramon C J; van der Lee, Ivo; Leliveld, Asabi; Mohamed Hoesein, Firdaus A A; Neerincx, Anne H; Noij, Lieke; Olsson, Johan; van de Pol, Marianne; Pouwels, Simon D; Rolink, Emiel; Rutgers, Michael; Șahin, Havva; Schaminee, Daphne; Schols, Annemie M W J; Schuurman, Lisanne; Slingers, Gitte; Smeenk, Olie; Sondermeijer, Brigitte; Skipp, Paul J; Tamarit, Marisca; Verkouter, Inge; Vermeulen, Roel; de Vries, Ri</t>
  </si>
  <si>
    <t>https://pubmed.ncbi.nlm.nih.gov/37511673</t>
  </si>
  <si>
    <t>&lt;b&gt;Introduction&lt;/b&gt;: The coronavirus disease 2019 (COVID-19) pandemic has led to the death of almost 7 million people, however, with a cumulative incidence of 0.76 billion, most people survive COVID-19. Several studies indicate that the acute phase of COVID-19 may be followed by persistent symptoms including fatigue, dyspnea, headache, musculoskeletal symptoms, and pulmonary functional-and radiological abnormalities. However, the impact of COVID-19 on long-term health outcomes remains to be elucidated. &lt;b&gt;Aims&lt;/b&gt;: The Precision Medicine for more Oxygen (P4O2) consortium COVID-19 extension aims to identify long COVID patients that are at risk for developing chronic lung disease and furthermore, to identify treatable traits and innovative personalized therapeutic strategies for prevention and treatment. This study aims to describe the study design and first results of the P4O2 COVID-19 cohort. &lt;b&gt;Methods&lt;/b&gt;: The P4O2 COVID-19 study is a prospective multicenter cohort study that includes nested personalized counseling intervention trial. Patients, aged 40-65 years, were recruited from outpatient post-COVID clinics from five hospitals in The Netherlands. During study visits at 3-6 and 12-18 months post-COVID-19, data from medical records, pulmonary function tests, chest computed tomography scans and biological samples were collected and questionnaires were administered. Furthermore, exposome data was collected at the patient's home and state-of-the-art imaging techniques as well as multi-omics analyses will be performed on collected data. &lt;b&gt;Results&lt;/b&gt;: 95 long COVID patients were enrolled between May 2021 and September 2022. The current study showed persistence of clinical symptoms and signs of pulmonary function test/radiological abnormalities in post-COVID patients at 3-6 months post-COVID. The most commonly reported symptoms included respiratory symptoms (78.9%), neurological symptoms (68.4%) and fatigue (67.4%). Female sex and infection with the Delta, compared with the Beta, SARS-CoV-2 variant were significantly associated with more persisting symptom categories. &lt;b&gt;Conclusions&lt;/b&gt;: The P4O2 COVID-19 study contributes to our understanding of the long-term health impacts of COVID-19. Furthermore, P4O2 COVID-19 can lead to the identification of different phenotypes of long COVID patients, for example those that are at risk for developing chronic lung disease. Understanding the mechanisms behind the different phenotypes and identifying these patients at an early stage can help to develop and optimize prevention and treatment strategies.</t>
  </si>
  <si>
    <t>SARS-CoV-2 incidence in secondary schools; the role of national and school-initiated COVID-19 measures.</t>
  </si>
  <si>
    <t>Jonker, L; Linde, K J; de Boer, A R; Ding, E; Zhang, D; de Hoog, M L A; Herfst, S; Heederik, D J J; Fraaij, P L A; Bluyssen, P M; Wouters, I M; Bruijning-Verhagen, P C J L</t>
  </si>
  <si>
    <t>https://pubmed.ncbi.nlm.nih.gov/37370045</t>
  </si>
  <si>
    <t>Our aim was to gain insight into the effect of COVID-19 measures on SARS-CoV-2 incidence in secondary schools and the association with classroom CO&lt;sub&gt;2&lt;/sub&gt; concentration and airborne contamination. Between October 2020-June 2021, 18 schools weekly reported SARS-CoV-2 incidence and completed surveys on school-initiated COVID-19 measures (e.g. improving hygiene or minimizing contacts). CO&lt;sub&gt;2&lt;/sub&gt; was measured in occupied classrooms twice, and SARS-CoV-2 air contamination longitudinally using electrostatic dust collectors (EDC) and analyzed using RT-qPCR. National COVID-19 policy measures varied during pre-lockdown, lockdown and post-lockdown periods. During the entire study, schools were recommended to improve ventilation. SARS-CoV-2 incidence rate ratios (IRR) were estimated by Generalized Estimating Equation (GEE) models. During 18 weeks follow-up (range: 10-22) SARS-CoV-2 school-incidence decreased during national lockdown (adjusted IRR: 0.41, 95%CI: 0.21-0.80) and post-lockdown (IRR: 0.60, 0.39-0.93) compared to pre-lockdown. School-initiated COVID-19 measures had no additional effect. Pre-lockdown, IRRs per 10% increase in time CO&lt;sub&gt;2&lt;/sub&gt; exceeded 400, 550 and 800 ppm above outdoor level respectively, were 1.08 (1.00-1.16), 1.10 (1.02-1.19), and 1.08 (0.95-1.22). Post-lockdown, CO&lt;sub&gt;2-&lt;/sub&gt;concentrations were considerably lower and not associated with SARS-CoV-2 incidence. No SARS-CoV-2 RNA was detected in any of the EDC samples. During a period with low SARS-CoV-2 population immunity and increased attention to ventilation, with CO&lt;sub&gt;2&lt;/sub&gt; levels most of the time below acceptable thresholds, only the national policy during and post-lockdown of reduced class-occupancy, stringent quarantine, and contact testing reduced SARS-CoV-2 incidence in Dutch secondary schools. Widespread SARS-CoV-2 air contamination could not be demonstrated in schools under the prevailing conditions during the study.</t>
  </si>
  <si>
    <t>Definitions of Urinary Tract Infection in Current Research: A Systematic Review.</t>
  </si>
  <si>
    <t>Bilsen, Manu P; Jongeneel, Rosa M H; Schneeberger, Caroline; Platteel, Tamara N; van Nieuwkoop, Cees; Mody, Lona; Caterino, Jeffrey M; Geerlings, Suzanne E; Köves, Bela; Wagenlehner, Florian; Conroy, Simon P; Visser, Leo G; Lambregts, Merel M C</t>
  </si>
  <si>
    <t>https://pubmed.ncbi.nlm.nih.gov/37426954</t>
  </si>
  <si>
    <t>Defining urinary tract infection (UTI) is complex, as numerous clinical and diagnostic parameters are involved. In this systematic review, we aimed to gain insight into how UTI is defined across current studies. We included 47 studies, published between January 2019 and May 2022, investigating therapeutic or prophylactic interventions in adult patients with UTI. Signs and symptoms, pyuria, and a positive urine culture were required in 85%, 28%, and 55% of study definitions, respectively. Five studies (11%) required all 3 categories for the diagnosis of UTI. Thresholds for significant bacteriuria varied from 10&lt;sup&gt;3&lt;/sup&gt; to 10&lt;sup&gt;5&lt;/sup&gt; colony-forming units/mL. None of the 12 studies including acute cystitis and 2 of 12 (17%) defining acute pyelonephritis used identical definitions. Complicated UTI was defined by both host factors and systemic involvement in 9 of 14 (64%) studies. In conclusion, UTI definitions are heterogeneous across recent studies, highlighting the need for a consensus-based, research reference standard for UTI.</t>
  </si>
  <si>
    <t>Stimulating solidarity to improve knowledge on medications used during pregnancy : A contribution from the ConcePTION project.</t>
  </si>
  <si>
    <t>Hollestelle, Marieke J; van der Graaf, Rieke; Sturkenboom, Miriam Cjm; van Delden, Johannes Jm</t>
  </si>
  <si>
    <t>https://pubmed.ncbi.nlm.nih.gov/37370079</t>
  </si>
  <si>
    <t>Pregnant people have been overlooked or excluded from clinical research, resulting in a lack of scientific knowledge on medication safety and efficacy during pregnancy. Thus far, both the opportunities to generate evidence-based knowledge beyond clinical trials and the role of pregnant people in changing their status quo have not been discussed. Some scholars have argued that for rare disease patients, for whom, just like pregnant people, a poor evidence base exists regarding treatments, solidarity has played an important role in addressing the evidence gap. This paper explores whether and how the enactment of solidarity among pregnant people can be stimulated to help address the poor evidence base on medications used during pregnancy. We use the concept of solidarity formulated by Prainsack and Buyx and enrich their concept by providing an account for stimulating the enactment of solidarity. Then we apply this account to the case of pregnant people who use medication. Solidarity means enacted commitment on the part of an individual to assisting others with whom the person recognizes a similarity in a relevant respect. Although solidarity cannot be imposed, we argue that the empowerment of people is a crucial concept in understanding how solidarity can be stimulated. Empowerment in the context of pregnant people means creating awareness about their status quo, explaining how scientific research can help close the knowledge gap, and how pregnant people can themselves contribute. In particular, how pregnant people can contribute to the collection of health data to strengthen the evidence base for medications used during pregnancy. We conclude that acting in solidarity can help change the status quo for pregnant people. Furthermore, we argue that the empowerment of pregnant people and other relevant stakeholders is a way to stimulate the enactment of solidarity. The process of empowerment starts by raising awareness about the lack of evidence on medications used during prengnacy and by explaining to pregnant people how they can contribute to changing the way knowledge is being generated by, for example, sharing data on the health effects of medications.</t>
  </si>
  <si>
    <t>Lower haemoglobin concentrations are associated with impaired cognition in patients with carotid artery occlusion.</t>
  </si>
  <si>
    <t>Kuipers, Sanne; Willemse, Sean W; Greving, Jacoba P; Bron, Esther E; van Oostenbrugge, Robert J; van Osch, Matthias J P; Biessels, Geert Jan; Kappelle, L Jaap; ,</t>
  </si>
  <si>
    <t>cerebral circulation cognition and behavior</t>
  </si>
  <si>
    <t>https://pubmed.ncbi.nlm.nih.gov/37404564</t>
  </si>
  <si>
    <t>Patients with carotid artery occlusion (CAO) are vulnerable to cognitive impairment (CI). Anaemia is associated with CI in the general population. We hypothesized that lower haemoglobin is associated with cognitive impairment (CI) in patients with CAO and that this association is accentuated by cerebral blood flow (CBF). 104 patients (mean age 66±8 years, 77% men) with complete CAO from the Heart-Brain Connection study were included. Anaemia was defined as haemoglobin &lt; 12 g/dL for women and &lt; 13 g/dL for men. Cognitive test results were standardized into z-scores (using a reference group) in four cognitive domains. Patients were classified as cognitively impaired when ≥ one domain was impaired. The association between lower haemoglobin and both cognitive domain z-scores and the presence of CI was assessed with adjusted (age, sex, education and ischaemic stroke) regression models. Total CBF (measured with phase contrast MRI) and the interaction term haemoglobin*CBF were additionally added to the analyses. Anaemia was present in 6 (6%) patients and was associated with CI (RR 2.54, 95% CI 1.36; 4.76). Lower haemoglobin was associated with the presence of CI (RR per minus 1 g/dL haemoglobin 1.15, 95% CI 1.02; 1.30). This association was strongest for the attention-psychomotor speed domain (RR for impaired attention-psychomotor speed functioning per minus 1 g/dL haemoglobin 1.27, 95% CI 1.09;1.47) and ß for attention-psychomotor speed z-scores per minus 1 g/dL haemoglobin -0.19, 95% CI -0.33; -0.05). Adjustment for CBF did not affect these results and we found no interaction between haemoglobin and CBF in relation to cognition. Lower haemoglobin concentrations are associated with CI in patients with complete CAO, particularly in the domain attention-psychomotor speed. CBF did not accentuate this association. If validated in longitudinal studies, haemoglobin might be a viable target to prevent cognitive deterioration in patients with CAO.</t>
  </si>
  <si>
    <t>Balancing benefits and risks in lung cancer therapies: patient preferences for lung cancer treatment alternatives.</t>
  </si>
  <si>
    <t>Oliveri, Serena; Lanzoni, Lucilla; Veldwijk, Jorien; de Wit, G Ardine; Petrocchi, Serena; Janssens, Rosanne; Schoefs, Elise; Smith, Meredith Y; Smith, Ian; Nackaerts, Kristiaan; Vandevelde, Marie; Louis, Evelyne; Decaluwé, Herbert; De Leyn, Paul; Declerck, Hanne; Petrella, Francesco; Casiraghi, Monica; Galli, Giulia; Garassino, Marina Chiara; Girvalaki, Charis; Huys, Isabelle; Pravettoni, Gabriella</t>
  </si>
  <si>
    <t>https://pubmed.ncbi.nlm.nih.gov/37425173</t>
  </si>
  <si>
    <t>In the treatment of Non-Small Cell Lung Cancer (NSCLC) the combination of Immuno- Oncotherapy (IO) and chemotherapy (CT) has been found to be superior to IO or CT alone for patients' survival. Patients and clinicians are confronted with a preference sensitive choice between a more aggressive treatment with a greater negative effect on quality of life versus alternatives that are less effective but have fewer side effects. The aims of this study were to: (a) quantify patients' preferences for relevant attributes related to Immuno-Oncotherapy treatment alternatives, and (b) evaluate the maximum acceptable risk (MAR)/Minimum acceptable benefit (MAB) that patients would accept for treatment alternatives. An online preference survey using discrete-choice experiment (DCE) was completed by NSCLC patients from two hospitals in Italy and Belgium. The survey asked patients' preferences for five patient- relevant treatment attributes. The DCE was developed using a Bayesian D-efficient design. DCE analyses were performed using mixed logit models. Information regarding patient demographics, health literacy, locus of control, and quality of life was also collected. 307 patients (158 Italian, 149 Belgian), stage I to IV, completed the survey. Patients preferred treatments with a higher 5-year survival chance as the most important attribute over all the other attributes. Preference heterogeneity for the attribute weights depended on health literacy, patients' age and locus of control. Patients were willing to accept a substantially increased risks of developing side effects in exchange for the slightest increase (1%) in the chance of surviving at least 5 years from the diagnosis of cancer. Similarly, patients were willing to accept a switch in the mode of administration or complete loss of hair to obtain an increase in survival. In this study, the proportion of respondents who systematically preferred survival over all other treatment attributes was particularly high. Age, objective health literacy and locus of control accounted for heterogeneity in patients' preferences. Evidence on how NSCLC patients trade between survival and other NSCLC attributes can support regulators and other stakeholders on assessing clinical trial evidence and protocols, based on patients' conditions and socio-demographic parameters.</t>
  </si>
  <si>
    <t>Health economic evaluation of nation-wide screening programmes for atrial fibrillation in the Netherlands.</t>
  </si>
  <si>
    <t>van Hulst, Marinus; Tieleman, Robert G; Zwart, Lennaert A R; Pomp, Marc; Jacobs, Maartje S; Meeder, Joan G; van Ofwegen-Hanekamp, Clara E E; Hollander, Monika; Smits, Paul; Hemels, Martin E W</t>
  </si>
  <si>
    <t>european heart journal quality of care clinical outcomes</t>
  </si>
  <si>
    <t>https://pubmed.ncbi.nlm.nih.gov/35881482</t>
  </si>
  <si>
    <t>Screening for atrial fibrillation (AF) is recommended by the European Society of Cardiology guidelines to prevent strokes. Cost-effectiveness analyses of different screening programmes for AF are difficult to compare because of varying settings and models used. We compared the impact and cost-effectiveness of various AF screening programmes in the Netherlands. The base case economic analysis was conducted from the societal perspective. Health effects and costs were analysed using a Markov model. The main model inputs were derived from the ARISTOTLE, RE-LY, and ROCKET AF trials combined with Dutch observational data. Univariate, probabilistic sensitivity, and various scenario analyses were performed. The maximum number of newly detected AF patients in the Netherlands ranged from 4554 to 39 270, depending on the screening strategy used. Adequate treatment with anticoagulation would result in a maximum of &gt;3000 strokes prevented using single-time point AF screening. Compared with no screening, screening 100 000 people provided a gain in QALYs ranging from 984 to 8727 and a mean cost difference ranging from -6650 000€ to 898 000€, depending on the screening strategy used. The probabilistic sensitivity analysis (PSA) demonstrated a 100% likelihood that screening all patients ≥75 years visiting the geriatric outpatient clinic was cost-saving. Four out of six strategies were cost-saving in ≥74% of the PSA simulations. Out of these, opportunistic screening of all patients ≥65 years visiting the GPs office had the highest impact on strokes prevented. Most single-time point AF screening strategies are cost-saving and have an important impact on stroke prevention.</t>
  </si>
  <si>
    <t>A body shape index (ABSI) is associated inversely with post-menopausal progesterone-receptor-negative breast cancer risk in a large European cohort.</t>
  </si>
  <si>
    <t>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t>
  </si>
  <si>
    <t>https://pubmed.ncbi.nlm.nih.gov/37337133</t>
  </si>
  <si>
    <t>Associations of body shape with breast cancer risk, independent of body size, are unclear because waist and hip circumferences are correlated strongly positively with body mass index (BMI). We evaluated body shape with the allometric "a body shape index" (ABSI) and hip index (HI), which compare waist and hip circumferences, correspondingly, among individuals with the same weight and height. We examined associations of ABSI, HI, and BMI (per one standard deviation increment) with breast cancer overall, and according to menopausal status at baseline, age at diagnosis, and oestrogen and progesterone receptor status (ER+/-PR+/-) in multivariable Cox proportional hazards models using data from the European Prospective Investigation into Cancer and Nutrition (EPIC) cohort. During a mean follow-up of 14.0 years, 9011 incident breast cancers were diagnosed among 218,276 women. Although there was little evidence for association of ABSI with breast cancer overall (hazard ratio HR = 0.984; 95% confidence interval: 0.961-1.007), we found borderline inverse associations for post-menopausal women (HR = 0.971; 0.942-1.000; n = 5268 cases) and breast cancers diagnosed at age ≥ 55 years (HR = 0.976; 0.951-1.002; n = 7043) and clear inverse associations for ER + PR- subtypes (HR = 0.894; 0.822-0.971; n = 726) and ER-PR- subtypes (HR = 0.906; 0.835-0.983 n = 759). There were no material associations with HI. BMI was associated strongly positively with breast cancer overall (HR = 1.074; 1.049-1.098), for post-menopausal women (HR = 1.117; 1.085-1.150), for cancers diagnosed at age ≥ 55 years (HR = 1.104; 1.076-1.132), and for ER + PR + subtypes (HR = 1.122; 1.080-1.165; n = 3101), but not for PR- subtypes. In the EPIC cohort, abdominal obesity evaluated with ABSI was not associated with breast cancer risk overall but was associated inversely with the risk of post-menopausal PR- breast cancer. Our findings require validation in other cohorts and with a larger number of PR- breast cancer cases.</t>
  </si>
  <si>
    <t>Evolutionary implications of SARS-CoV-2 vaccination for the future design of vaccination strategies.</t>
  </si>
  <si>
    <t>Rouzine, Igor M; Rozhnova, Ganna</t>
  </si>
  <si>
    <t>communications medicine</t>
  </si>
  <si>
    <t>https://pubmed.ncbi.nlm.nih.gov/37336956</t>
  </si>
  <si>
    <t>Once the first SARS-CoV-2 vaccine became available, mass vaccination was the main pillar of the public health response to the COVID-19 pandemic. It was very effective in reducing hospitalizations and deaths. Here, we discuss the possibility that mass vaccination might accelerate SARS-CoV-2 evolution in antibody-binding regions compared to natural infection at the population level. Using the evidence of strong genetic variation in antibody-binding regions and taking advantage of the similarity between the envelope proteins of SARS-CoV-2 and influenza, we assume that immune selection pressure acting on these regions of the two viruses is similar. We discuss the consequences of this assumption for SARS-CoV-2 evolution in light of mathematical models developed previously for influenza. We further outline the implications of this phenomenon, if our assumptions are confirmed, for the future design of SARS-CoV-2 vaccination strategies.</t>
  </si>
  <si>
    <t>Household air pollution and epigenetic aging in Xuanwei, China.</t>
  </si>
  <si>
    <t>Blechter, Batel; Cardenas, Andres; Shi, Junming; Wong, Jason Y Y; Hu, Wei; Rahman, Mohammad L; Breeze, Charles; Downward, George S; Portengen, Lützen; Zhang, Yongliang; Ning, Bofu; Ji, Bu-Tian; Cawthon, Richard; Li, Jihua; Yang, Kaiyun; Bozack, Anne; Dean Hosgood, H; Silverman, Debra T; Huang, Yunchao; Rothman, Nathaniel; Vermeulen, Roel; Lan, Qing</t>
  </si>
  <si>
    <t>https://pubmed.ncbi.nlm.nih.gov/37354880</t>
  </si>
  <si>
    <t>Household air pollution (HAP) from indoor combustion of solid fuel is a global health burden linked to lung cancer. In Xuanwei, China, lung cancer rate for nonsmoking women is among the highest in the world and largely attributed to high levels of polycyclic aromatic hydrocarbons (PAHs) that are produced from combustion of smoky (bituminous) coal used for cooking and heating. Epigenetic age acceleration (EAA), a DNA methylation-based biomarker of aging, has been shown to be highly correlated with biological processes underlying the susceptibility of age-related diseases. We aim to assess the association between HAP exposure and EAA. We analyzed data from 106 never-smoking women from Xuanwei, China. Information on fuel type was collected using a questionnaire, and validated exposure models were used to predict levels of 43 HAP constituents. Exposure clusters were identified using hierarchical clustering. EAA was derived for five epigenetic clocks defined as the residuals resulting from regressing each clock on chronological age. We used generalized estimating equations to test associations between exposure clusters derived from predicted levels of HAP exposure, ambient 5-methylchrysene (5-MC), a PAH previously found to be associated with risk of lung cancer, and EAA, while accounting for repeated-measurements and confounders. We observed an increase in GrimAge EAA for clusters with 31 and 33 PAHs reflecting current (β = 0.77 y per standard deviation (SD) increase, 95 % CI:0.36,1.19) and childhood (β = 0.92 y per SD, 95 % CI:0.40,1.45) exposure, respectively. 5-MC (ng/m&lt;sup&gt;3&lt;/sup&gt;-year) was found to be associated with GrimAge EAA for current (β = 0.15 y, 95 % CI:0.05,0.25) and childhood (β = 0.30 y, 95 % CI:0.13,0.47) exposure. Our findings suggest that exposure to PAHs from indoor smoky coal combustion, particularly 5-MC, is associated with GrimAge EAA, a biomarker of mortality.</t>
  </si>
  <si>
    <t>Effect of Hemodiafiltration or Hemodialysis on Mortality in Kidney Failure.</t>
  </si>
  <si>
    <t>Blankestijn, Peter J; Vernooij, Robin W M; Hockham, Carinna; Strippoli, Giovanni F M; Canaud, Bernard; Hegbrant, Jörgen; Barth, Claudia; Covic, Adrian; Cromm, Krister; Cucui, Andrea; Davenport, Andrew; Rose, Matthias; Török, Marietta; Woodward, Mark; Bots, Michiel L; ,</t>
  </si>
  <si>
    <t>the new england journal of medicine</t>
  </si>
  <si>
    <t>https://pubmed.ncbi.nlm.nih.gov/37326323</t>
  </si>
  <si>
    <t>Several studies have suggested that patients with kidney failure may benefit from high-dose hemodiafiltration as compared with standard hemodialysis. However, given the limitations of the various published studies, additional data are needed. We conducted a pragmatic, multinational, randomized, controlled trial involving patients with kidney failure who had received high-flux hemodialysis for at least 3 months. All the patients were deemed to be candidates for a convection volume of at least 23 liters per session (as required for high-dose hemodiafiltration) and were able to complete patient-reported outcome assessments. The patients were assigned to receive high-dose hemodiafiltration or continuation of conventional high-flux hemodialysis. The primary outcome was death from any cause. Key secondary outcomes were cause-specific death, a composite of fatal or nonfatal cardiovascular events, kidney transplantation, and recurrent all-cause or infection-related hospitalizations. A total of 1360 patients underwent randomization: 683 to receive high-dose hemodiafiltration and 677 to receive high-flux hemodialysis. The median follow-up was 30 months (interquartile range, 27 to 38). The mean convection volume during the trial in the hemodiafiltration group was 25.3 liters per session. Death from any cause occurred in 118 patients (17.3%) in the hemodiafiltration group and in 148 patients (21.9%) in the hemodialysis group (hazard ratio, 0.77; 95% confidence interval, 0.65 to 0.93). In patients with kidney failure resulting in kidney-replacement therapy, the use of high-dose hemodiafiltration resulted in a lower risk of death from any cause than conventional high-flux hemodialysis. (Funded by the European Commission Research and Innovation; CONVINCE Dutch Trial Register number, NTR7138.).</t>
  </si>
  <si>
    <t>Prognostic value of Lynch syndrome, BRAF&lt;sup&gt;V600E&lt;/sup&gt; , and RAS mutational status in dMMR/MSI-H metastatic colorectal cancer in a pooled analysis of Dutch and French cohorts.</t>
  </si>
  <si>
    <t>Zwart, Koen; van der Baan, Frederieke H; Cohen, Romain; Aparicio, Thomas; de la Fouchardiére, Christelle; Lecomte, Thierry; Punt, Cornelis J A; Sefrioui, David; Verheijden, Rik J; Vink, Geraldine R; Wensink, G Emerens; Zaanan, Aziz; Koopman, Miriam; Tougeron, David; Roodhart, Jeanine M L</t>
  </si>
  <si>
    <t>cancer medicine</t>
  </si>
  <si>
    <t>https://pubmed.ncbi.nlm.nih.gov/37326121</t>
  </si>
  <si>
    <t>Current knowledge on prognostic biomarkers (especially BRAF&lt;sup&gt;V600E&lt;/sup&gt; /RAS mutations) in metastatic colorectal cancer (mCRC) is mainly based on mCRC patients with proficient mismatch repair (pMMR) tumors. It is uncertain whether these biomarkers have the same prognostic value in mCRC patients with deficient mismatch repair (dMMR) tumors. This observational cohort study combined a population-based Dutch cohort (2014-2019) and a large French multicenter cohort (2007-2017). All mCRC patients with a histologically proven dMMR tumor were included. In our real-world data cohort of 707 dMMR mCRC patients, 438 patients were treated with first-line palliative systemic chemotherapy. Mean age of first-line treated patients was 61.9 years, 49% were male, and 40% had Lynch syndrome. BRAF&lt;sup&gt;V600E&lt;/sup&gt; mutation was present in 47% of tumors and 30% harbored a RAS mutation. Multivariable regression analysis on OS showed significant hazard rates (HR) for known prognostic factors as age and performance status, however showed no significance for Lynch syndrome (HR: 1.07, 95% CI: 0.66-1.72), BRAF&lt;sup&gt;V600E&lt;/sup&gt; mutational status (HR: 1.02, 95% CI: 0.67-1.54), and RAS mutational status (HR: 1.01, 95% CI: 0.64-1.59), with similar results for PFS. BRAF&lt;sup&gt;V600E&lt;/sup&gt; and RAS mutational status are not associated with prognosis in dMMR mCRC patients, in contrast to pMMR mCRC patients. Lynch syndrome is also not an independent prognostic factor for survival. These findings underline that prognostic factors of patients with dMMR mCRC are different of those with pMMR, which could be taken into consideration when prognosis is used for clinical decision-making in dMMR mCRC patients and underline the complex heterogeneity of mCRC.</t>
  </si>
  <si>
    <t>Towards Response ADAptive Radiotherapy for organ preservation for intermediate-risk rectal cancer (preRADAR): protocol of a phase I dose-escalation trial.</t>
  </si>
  <si>
    <t>Verweij, Maaike E; Tanaka, Max D; Kensen, Chavelli M; van der Heide, Uulke A; Marijnen, Corrie A M; Janssen, Tomas; Vijlbrief, Tineke; van Grevenstein, Wilhelmina M U; Moons, Leon M G; Koopman, Miriam; Lacle, Miangela M; Braat, Manon N G J A; Chalabi, Myriam; Maas, Monique; Huibregtse, Inge L; Snaebjornsson, Petur; Grotenhuis, Brechtje A; Fijneman, Remond; Consten, Esther; Pronk, Apollo; Smits, Anke B; Heikens, Joost T; Eijkelenkamp, Hidde; Elias, Sjoerd G; Verkooijen, Helena M; Schoenmakers, Maartje M C; Meijer, Gert J; Intven, Martijn; Peters, Femke P</t>
  </si>
  <si>
    <t>https://pubmed.ncbi.nlm.nih.gov/37321815</t>
  </si>
  <si>
    <t>Organ preservation is associated with superior functional outcome and quality of life (QoL) compared with total mesorectal excision (TME) for rectal cancer. Only 10% of patients are eligible for organ preservation following short-course radiotherapy (SCRT, 25 Gy in five fractions) and a prolonged interval (4-8 weeks) to response evaluation. The organ preservation rate could potentially be increased by dose-escalated radiotherapy. Online adaptive magnetic resonance-guided radiotherapy (MRgRT) is anticipated to reduce radiation-induced toxicity and enable radiotherapy dose escalation. This trial aims to establish the maximum tolerated dose (MTD) of dose-escalated SCRT using online adaptive MRgRT. The preRADAR is a multicentre phase I trial with a 6+3 dose-escalation design. Patients with intermediate-risk rectal cancer (cT3c-d(MRF-)N1M0 or cT1-3(MRF-)N1M0) interested in organ preservation are eligible. Patients are treated with a radiotherapy boost of 2×5 Gy (level 0), 3×5 Gy (level 1), 4×5 Gy (level 2) or 5×5 Gy (level 3) on the gross tumour volume in the week following standard SCRT using online adaptive MRgRT. The trial starts on dose level 1. The primary endpoint is the MTD based on the incidence of dose-limiting toxicity (DLT) per dose level. DLT is a composite of maximum one in nine severe radiation-induced toxicities and maximum one in three severe postoperative complications, in patients treated with TME or local excision within 26 weeks following start of treatment. Secondary endpoints include the organ preservation rate, non-DLT, oncological outcomes, patient-reported QoL and functional outcomes up to 2 years following start of treatment. Imaging and laboratory biomarkers are explored for early response prediction. The trial protocol has been approved by the Medical Ethics Committee of the University Medical Centre Utrecht. The primary and secondary trial results will be published in international peer-reviewed journals. WHO International Clinical Trials Registry (NL8997; https://trialsearch.who.int).</t>
  </si>
  <si>
    <t>First-line systemic treatment strategies in patients with initially unresectable colorectal cancer liver metastases (CAIRO5): an open-label, multicentre, randomised, controlled, phase 3 study from the Dutch Colorectal Cancer Group.</t>
  </si>
  <si>
    <t>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Molenaar, I Quintus; de Valk, Bart; Haberkorn, Brigitte C M; Kerver, Emile D; Erdkamp, Frans; van Alphen, Robbert J; Mathijssen-van Stein, Daniëlle; Komurcu, Aysun; Lopez-Yurda, Marta; Swijnenburg, Rutger-Jan; Punt, Cornelis J A; ,</t>
  </si>
  <si>
    <t>the lancet oncology</t>
  </si>
  <si>
    <t>https://pubmed.ncbi.nlm.nih.gov/37329889</t>
  </si>
  <si>
    <t>Patients with initially unresectable colorectal cancer liver metastases might qualify for local treatment with curative intent after reducing the tumour size by induction systemic treatment. We aimed to compare the currently most active induction regimens. In this open-label, multicentre, randomised, phase 3 study (CAIRO5), patients aged 18 years or older with histologically confirmed colorectal cancer, known RAS/BRAF&lt;sup&gt;V600E&lt;/sup&gt; mutation status, WHO performance status of 0-1, and initially unresectable colorectal cancer liver metastases were enrolled at 46 Dutch and one Belgian secondary and tertiary centres. Resectability or unresectability of colorectal cancer liver metastases was assessed centrally by an expert panel of liver surgeons and radiologists, at baseline and every 2 months thereafter by predefined criteria. Randomisation was done centrally with the minimisation technique via a masked web-based allocation procedure. Patients with right-sided primary tumour site or RAS or BRAF&lt;sup&gt;V600E&lt;/sup&gt; mutated tumours were randomly assigned (1:1) to receive FOLFOX or FOLFIRI plus bevacizumab (group A) or FOLFOXIRI plus bevacizumab (group B). Patients with left-sided and RAS and BRAF&lt;sup&gt;V600E&lt;/sup&gt; wild-type tumours were randomly assigned (1:1) to receive FOLFOX or FOLFIRI plus bevacizumab (group C) or FOLFOX or FOLFIRI plus panitumumab (group D), every 14 days for up to 12 cycles. Patients were stratified by resectability of colorectal cancer liver metastases, serum lactate dehydrogenase concentration, choice of irinotecan versus oxaliplatin, and BRAF&lt;sup&gt;V600E&lt;/sup&gt; mutation status (for groups A and B). Bevacizumab was administered intravenously at 5 mg/kg. Panitumumab was administered intravenously at 6 mg/kg. FOLFIRI consisted of intravenous infusion of irinotecan at 180 mg/m&lt;sup&gt;2&lt;/sup&gt; with folinic acid at 400 mg/m&lt;sup&gt;2&lt;/sup&gt;, followed by bolus fluorouracil at 400 mg/m&lt;sup&gt;2&lt;/sup&gt; intravenously, followed by continuous infusion of fluorouracil at 2400 mg/m&lt;sup&gt;2&lt;/sup&gt;. FOLFOX consisted of oxaliplatin at 85 mg/m&lt;sup&gt;2&lt;/sup&gt; intravenously together with the same schedule of folinic acid and fluorouracil as in FOLFIRI. FOLFOXIRI consisted of irinotecan at 165 mg/m&lt;sup&gt;2&lt;/sup&gt; intravenously, followed by intravenous infusion of oxaliplatin at 85 mg/m&lt;sup&gt;2&lt;/sup&gt; with folinic acid at 400 mg/m&lt;sup&gt;2&lt;/sup&gt;, followed by continuous infusion of fluorouracil at 3200 mg/m&lt;sup&gt;2&lt;/sup&gt;. Patients and investigators were not masked to treatment allocation. The primary outcome was progression-free survival, analysed on a modified intention-to-treat basis, excluding patients who withdrew consent before starting study treatment or violated major entry criteria (no metastatic colorectal cancer, or previous liver surgery for colorectal cancer liver metastases). The study is registered with ClinicalTrials.gov, NCT02162563, and accrual is complete. Between Nov 13, 2014, and Jan 31, 2022, 530 patients (327 [62%] male and 203 [38%] female; median age 62 years [IQR 54-69]) were randomly assigned: 148 (28%) patients to group A, 146 (28%) patients to group B, 118 (22%) patients to group C, and 118 (22%) patients to group D. Groups C and D were prematurely closed for futility. 521 patients were included in the modified intention-to-treat population (147 in group A, 144 in group B, 114 in group C, and 116 in group D). The median follow-up at the time of this analysis was 51·1 months (95% CI 47·7-53·1) in groups A and B and 49·9 months (44·5-52·5) in in groups C and D. Median progression-free survival was 9·0 months (95% CI 7·7-10·5) in group A versus 10·6 months (9·9-12·1) in group B (stratified hazard ratio [HR] 0·76 [95% CI 0·60-0·98]; p=0·032), and 10·8 months (95% CI 9·9-12·6) in group C versus 10·4 months (9·8-13·0) in group D (stratified HR 1·11 [95% CI 0·84-1·48]; p=0·46). The most frequent grade 3-4 events in groups A and B were neutropenia (19 [13%] patients in group A vs 57 [40%] in group B; p&lt;0·0001), hypertension (21 [14%] vs 20 [14%]; p=1·00), and diarrhoea (five [3%] vs 28 [19%]; p&lt;0·0001), and in groups C and D were neutropenia (29 [25%] vs 24 [21%]; p=0·44), skin toxicity (one [1%] vs 29 [25%]; p&lt;0·0001), hypertension (20 [18%] vs eight [7%]; p=0·016), and diarrhoea (five [4%] vs 18 [16%]; p=0·0072). Serious adverse events occurred in 46 (31%) patients in group A, 75 (52%) patients in group B, 41 (36%) patients in group C, and 49 (42%) patients in group D. Seven treatment-related deaths were reported in group B (two due to multiorgan failure, and one each due to sepsis, pneumonia, portal vein thrombosis, septic shock and liver failure, and sudden death), one in group C (multiorgan failure), and three in group D (cardiac arrest, pulmonary embolism, and abdominal sepsis). In patients with initially unresectable colorectal cancer liver metastases, FOLFOXIRI-bevacizumab was the preferred treatment in patients with a right-sided or RAS or BRAF&lt;sup&gt;V600E&lt;/sup&gt; mutated primary tumour. In patients with a left-sided and RAS and BRAF&lt;sup&gt;V600E&lt;/sup&gt; wild-type tumour, the addition of panitumumab to FOLFOX or FOLFIRI showed no clinical benefit over bevacizumab, but was associated with more toxicity. Roche and Amgen.</t>
  </si>
  <si>
    <t>Physical exercise volume, type, and intensity and risk of all-cause mortality and cardiovascular events in patients with cardiovascular disease: a mediation analysis.</t>
  </si>
  <si>
    <t>Bonekamp, Nadia E; May, Anne M; Halle, Martin; Dorresteijn, Jannick A N; van der Meer, Manon G; Ruigrok, Ynte M; de Borst, Gert J; Geleijnse, Johanna M; Visseren, Frank L J; Koopal, Charlotte</t>
  </si>
  <si>
    <t>https://pubmed.ncbi.nlm.nih.gov/37351547</t>
  </si>
  <si>
    <t>To estimate the relation between physical exercise volume, type, and intensity with all-cause mortality and recurrent vascular events in patients with cardiovascular disease (CVD) and to quantify to what extent traditional cardiovascular risk factors mediate these relations. In the prospective UCC-SMART cohort (&lt;i&gt;N&lt;/i&gt; = 8660), the associations of clinical endpoints and physical exercise volume (metabolic equivalent of task hours per week, METh/wk), type (endurance vs. endurance + resistance), and intensity (moderate vs. vigorous) were estimated using multivariable-adjusted Cox models. The proportion mediated effect (PME) through body mass index, systolic blood pressure, low-density lipoprotein cholesterol, insulin sensitivity, and systemic inflammation was assessed using structural equation models. Sixty-one percent of patients (73% male, age 61 ± 10 years, &gt;70% receiving lipid-lowering and blood pressure-lowering medications) reported that they did not exercise. Over a median follow-up of 9.5 years [interquartile range (IQR) 5.1-14.0], 2256 deaths and 1828 recurrent vascular events occurred. The association between exercise volume had a reverse J-shape with a nadir at 29 (95% CI 24-29) METh/wk, corresponding with a HR 0.56 (95% CI 0.48-0.64) for all-cause mortality and HR 0.63 (95% CI 0.55-0.73) for recurrent vascular events compared with no exercise. Up to 38% (95% CI 24-61) of the association was mediated through the assessed risk factors of which insulin sensitivity (PME up to 12%, 95% CI 5-25) and systemic inflammation (PME up to 18%, 95% CI 9-37) were the most important. Regular physical exercise is significantly related with reduced risks of all-cause mortality and recurrent vascular events in patients with CVD. In this population with high rates of lipid-lowering and blood pressure--lowering medication use, exercise benefits were mainly mediated through systemic inflammation and insulin resistance.</t>
  </si>
  <si>
    <t>Propensity-based standardization to enhance the validation and interpretation of prediction model discrimination for a target population.</t>
  </si>
  <si>
    <t>de Jong, Valentijn M T; Hoogland, Jeroen; Moons, Karel G M; Riley, Richard D; Nguyen, Tri-Long; Debray, Thomas P A</t>
  </si>
  <si>
    <t>https://pubmed.ncbi.nlm.nih.gov/37311563</t>
  </si>
  <si>
    <t>External validation of the discriminative ability of prediction models is of key importance. However, the interpretation of such evaluations is challenging, as the ability to discriminate depends on both the sample characteristics (ie, case-mix) and the generalizability of predictor coefficients, but most discrimination indices do not provide any insight into their respective contributions. To disentangle differences in discriminative ability across external validation samples due to a lack of model generalizability from differences in sample characteristics, we propose propensity-weighted measures of discrimination. These weighted metrics, which are derived from propensity scores for sample membership, are standardized for case-mix differences between the model development and validation samples, allowing for a fair comparison of discriminative ability in terms of model characteristics in a target population of interest. We illustrate our methods with the validation of eight prediction models for deep vein thrombosis in 12 external validation data sets and assess our methods in a simulation study. In the illustrative example, propensity score standardization reduced between-study heterogeneity of discrimination, indicating that between-study variability was partially attributable to case-mix. The simulation study showed that only flexible propensity-score methods (allowing for non-linear effects) produced unbiased estimates of model discrimination in the target population, and only when the positivity assumption was met. Propensity score-based standardization may facilitate the interpretation of (heterogeneity in) discriminative ability of a prediction model as observed across multiple studies, and may guide model updating strategies for a particular target population. Careful propensity score modeling with attention for non-linear relations is recommended.</t>
  </si>
  <si>
    <t>Temporal Trends and Determinants of Stroke Risk in Patients With Medically Treated Asymptomatic Carotid Stenosis.</t>
  </si>
  <si>
    <t>Poorthuis, Michiel H F; Solomon, Yoel; Herings, Reinier A R; Visseren, Frank L J; Kappelle, L Jaap; Bots, Michiel L; Rissanen, Ina; de Borst, Gert J</t>
  </si>
  <si>
    <t>https://pubmed.ncbi.nlm.nih.gov/37309688</t>
  </si>
  <si>
    <t>Effectiveness of carotid procedures (surgery and stenting) in patients with asymptomatic carotid artery stenosis (ACAS) depends on the absolute risk reduction that patients might receive from these procedures. We aimed to quantify the risk of ipsilateral ischemic stroke and examined temporal trends and determinants of these risks in patients with ACAS treated conservatively. We conducted a systematic review from inception to March 9, 2023, of peer-reviewed trials and cohort studies describing ipsilateral ischemic stroke risk in medically treated patients with ACAS of ≥50%. Risk of bias was assessed with an adapted version of the Quality in Prognosis Studies tool. We calculated the annual incidence rates of ipsilateral ischemic stroke. We explored temporal trends and associations of sex and degree of stenosis with ipsilateral ischemic stroke using Poisson metaregression analysis and incidence rate ratios, respectively. After screening 5915 reports, 73 studies describing ipsilateral ischemic stroke rates of 28 625 patients with midyear of recruitment ranging from 1976 to 2014 were included. The incidence of ipsilateral ischemic stroke was 0.98 (95% CI, 0.93-1.04) per 100 patient-years (median duration of follow-up, 3.3 years). The incidence decreased 24% with every 5 years more recent midyear of recruitment (rate ratio, 0.76 [95% CI, 0.73-0.78]). Incidence rates of ipsilateral ischemic stroke were lower in female patients (rate ratio, 0.74 [95% CI, 0.63-0.87]) and in patients with moderate versus severe stenosis when assessed in cohort studies, with incidence rate ratios of 0.41 ([95% CI, 0.35-0.49] cutoff, 70%) and 0.42 ([95% CI, 0.30-0.59] cutoff, 80%). Reported risks of ipsilateral ischemic stroke in patients with ACAS have declined 24% every 5 years from mid-1970s onward, further challenging the routine use of carotid procedures. Risks were lower in female patients and more than twice as high with severe compared with moderate ACAS. Inclusion of these findings in individualized risk assessment can help to determine the benefit of carotid procedures in selected individual patients with ACAS. URL: https://www.crd.york.ac.uk/PROSPERO/; Unique identifier: CRD42021222940.</t>
  </si>
  <si>
    <t>Prolongation of the QTc interval is associated with an increased risk of cardiovascular diseases: The Hoorn study.</t>
  </si>
  <si>
    <t>Welten, Sabrina J G C; van der Heijden, Amber A; Remmelzwaal, Sharon; Blom, Marieke T; Nijpels, Giel; Rutters, Femke; Beulens, Joline W J; Elders, Petra J M; ,</t>
  </si>
  <si>
    <t>journal of electrocardiology</t>
  </si>
  <si>
    <t>https://pubmed.ncbi.nlm.nih.gov/37352635</t>
  </si>
  <si>
    <t>Prolonged heart rate-corrected QT interval (QTc) on the electrocardiogram (ECG) is maybe associated with the occurrence of cardiovascular diseases (CVD), but the evidence is inconsistent. Therefore, we investigated whether baseline prolongation of the QTc interval is associated with CVD morbidity and mortality and its subtypes and whether glucose tolerance modifies this association in a population-based cohort study with a mean follow-up of 10.8 years. We analyzed a glucose tolerance stratified sample (N = 487) from the longitudinal population-based Hoorn Study cohort (age 64 ± 7 years, 48% female). Cox regression was used to investigate the association between sex-specific baseline QTc quartiles and CVD morbidity and mortality. The risk was also estimated per 10 ms increase in QTc. All analyses were adjusted for age, sex, smoking status, systolic blood pressure, prevalent CVD, glucose tolerance status, hypertension and total cholesterol. In addition, stratified analyses were conducted for glucose tolerance status. During a mean follow-up of 10.8 years, 351 CVD events were observed. The adjusted hazard ratios (95% CI) for each 10 ms increase in QTc interval were 1.06 (95% CI: 1.02-1.10) for CVD, 1.06 (95% CI: 0.97-1.15) for acute myocardial infarction, 1.07 (95% CI: 1.01-1.13) for stroke, 1.12 (95% CI: 1.06-1.19) for heart failure, 1.04 (95% CI: 0.96-1.12) for peripheral arterial disease and 1.01 (95% CI:0.95-1.08) for coronary heart disease. Glucose tolerance status did not modify the association (P &gt; 0.2). Prolongation of the QTc interval is associated with morbidity and mortality due to general CVD. Glucose tolerance status did not modify these associations.</t>
  </si>
  <si>
    <t>The RISE study protocol: resilience impacted by positive stressful events for people with cystic fibrosis.</t>
  </si>
  <si>
    <t>van der Heijden, Els; van den Bor, Rutger M; van der Ent, Cornelis K; Nijhof, Sanne L; van der Laan, Sabine E I</t>
  </si>
  <si>
    <t>erj open research</t>
  </si>
  <si>
    <t>https://pubmed.ncbi.nlm.nih.gov/37313395</t>
  </si>
  <si>
    <t>For people with cystic fibrosis (CF), gaining access to elexacaftor/tezacaftor/ivacaftor (ETI) therapy, a new modulator drug combination, is perceived as a positive life event. ETI leads to a strong improvement of disease symptoms. However, some people with CF experience a deterioration in mental wellbeing after starting ETI therapy. The primary objective of this study is to investigate if and in which direction mental wellbeing of people with CF changes after starting ETI therapy. Our secondary objectives include, among others, investigation of underlying biological and psychosocial factors associated with a change in mental wellbeing of people with CF after starting ETI therapy. The Resilience lmpacted by Positive Stressful Events (RISE) study is a single-arm, observational, prospective longitudinal cohort. It has a timeframe of 60 weeks: 12 weeks before, 12 weeks after, 24 weeks after and 48 weeks after the start of ETI therapy. The primary outcome is mental well-being, measured at each of these four time points. Patients aged ≥12 years at the University Medical Center Utrecht qualifying for ETI therapy based on their CF mutation are eligible. Data will be analysed using a covariance pattern model with a general variance covariance matrix. The RISE study was classified by the institutional review board as exempt from the Medical Research Involving Human Subjects Act. Informed consent was obtained by both the children (12-16 years) and their caregivers, or only provided by the participants themselves when aged ≥16 years.</t>
  </si>
  <si>
    <t>Association of Intima-Media Thickness Measured at the Common Carotid Artery With Incident Carotid Plaque: Individual Participant Data Meta-Analysis of 20 Prospective Studies.</t>
  </si>
  <si>
    <t>Tschiderer, Lena; Seekircher, Lisa; Izzo, Raffaele; Mancusi, Costantino; Manzi, Maria V; Baldassarre, Damiano; Amato, Mauro; Tremoli, Elena; Veglia, Fabrizio; Tuomainen, Tomi-Pekka; Kauhanen, Jussi; Voutilainen, Ari; Iglseder, Bernhard; Lind, Lars; Rundek, Tatjana; Desvarieux, Moise; Kato, Akihiko; de Groot, Eric; Aşçi, Gülay; Ok, Ercan; Agewall, Stefan; Beulens, Joline W J; Byrne, Christopher D; Calder, Philip C; Gerstein, Hertzel C; Gresele, Paolo; Klingenschmid, Gerhard; Nagai, Michiaki; Olsen, Michael H; Parraga, Grace; Safarova, Maya S; Sattar, Naveed; Skilton, Michael; Stehouwer, Coen D A; Uthoff, Heiko; van Agtmael, Michiel A; van der Heijden, Amber A; Zozulińska-Ziółkiewicz, Dorota A; Park, Hyun-Woong; Lee, Moo-Sik; Bae, Jang-Ho; Beloqui, Oscar; Landecho, Manuel F; Plichart, Matthieu; Ducimetiere, Pierre; Empana, Jean Philippe; Bokemark, Lena; Bergström, Göran; Schmidt, Caroline; Castelnuovo, Samuela; Calabresi, Laura; Norata, Giuseppe D; Grigore, Liliana; Catapano, Alberico; Z</t>
  </si>
  <si>
    <t>https://pubmed.ncbi.nlm.nih.gov/37301757</t>
  </si>
  <si>
    <t>Background The association between common carotid artery intima-media thickness (CCA-IMT) and incident carotid plaque has not been characterized fully. We therefore aimed to precisely quantify the relationship between CCA-IMT and carotid plaque development. Methods and Results We undertook an individual participant data meta-analysis of 20 prospective studies from the Proof-ATHERO (Prospective Studies of Atherosclerosis) consortium that recorded baseline CCA-IMT and incident carotid plaque involving 21 494 individuals without a history of cardiovascular disease and without preexisting carotid plaque at baseline. Mean baseline age was 56 years (SD, 9 years), 55% were women, and mean baseline CCA-IMT was 0.71 mm (SD, 0.17 mm). Over a median follow-up of 5.9 years (5th-95th percentile, 1.9-19.0 years), 8278 individuals developed first-ever carotid plaque. We combined study-specific odds ratios (ORs) for incident carotid plaque using random-effects meta-analysis. Baseline CCA-IMT was approximately log-linearly associated with the odds of developing carotid plaque. The age-, sex-, and trial arm-adjusted OR for carotid plaque per SD higher baseline CCA-IMT was 1.40 (95% CI, 1.31-1.50; &lt;i&gt;I&lt;/i&gt;&lt;sup&gt;2&lt;/sup&gt;=63.9%). The corresponding OR that was further adjusted for ethnicity, smoking, diabetes, body mass index, systolic blood pressure, low- and high-density lipoprotein cholesterol, and lipid-lowering and antihypertensive medication was 1.34 (95% CI, 1.24-1.45; &lt;i&gt;I&lt;/i&gt;&lt;sup&gt;2&lt;/sup&gt;=59.4%; 14 studies; 16 297 participants; 6381 incident plaques). We observed no significant effect modification across clinically relevant subgroups. Sensitivity analysis restricted to studies defining plaque as focal thickening yielded a comparable OR (1.38 [95% CI, 1.29-1.47]; &lt;i&gt;I&lt;/i&gt;&lt;sup&gt;2&lt;/sup&gt;=57.1%; 14 studies; 17 352 participants; 6991 incident plaques). Conclusions Our large-scale individual participant data meta-analysis demonstrated that CCA-IMT is associated with the long-term risk of developing first-ever carotid plaque, independent of traditional cardiovascular risk factors.</t>
  </si>
  <si>
    <t>Cost-Effectiveness of SGLT2 Inhibitors in a Real-World Population: A MICADO Model-Based Analysis Using Routine Data from a GP Registry.</t>
  </si>
  <si>
    <t>Li, Xinyu; Hoogenveen, Rudolf; El Alili, Mohamed; Knies, Saskia; Wang, Junfeng; Beulens, Joline W J; Elders, Petra J M; Nijpels, Giel; van Giessen, Anoukh; Feenstra, Talitha L</t>
  </si>
  <si>
    <t>https://pubmed.ncbi.nlm.nih.gov/37300652</t>
  </si>
  <si>
    <t>Sodium-glucose cotransporter 2 inhibitors (SGLT2i) have been shown to reduce the risk of cardiovascular complications, which largely drive diabetes' health and economic burdens. Trial results indicated that SGLT2i are cost effective. However, these findings may not be generalizable to the real-world target population. This study aims to evaluate the cost effectiveness of SGLT2i in a routine care type 2 diabetes population that meets Dutch reimbursement criteria using the MICADO model. Individuals from the Hoorn Diabetes Care System cohort (N = 15,392) were filtered to satisfy trial inclusion criteria (including EMPA-REG, CANVAS, and DECLARE-TIMI58) or satisfy the current Dutch reimbursement criteria for SGLT2i. We validated a health economic model (MICADO) by comparing simulated and observed outcomes regarding the relative risks of events in the intervention and comparator arm from three trials, and used the validated model to evaluate the long-term health outcomes using the filtered cohorts' baseline characteristics and treatment effects from trials and a review of observational studies. The incremental cost-effectiveness ratio (ICER) of SGLT2i, compared with care-as-usual, was assessed from a third-party payer perspective, measured in euros (2021 price level), using a discount rate of 4% for costs and 1.5% for effects. From Dutch individuals with diabetes in routine care, 15.8% qualify for the current Dutch reimbursement criteria for SGLT2i. Their characteristics were significantly different (lower HbA1c, higher age, and generally more preexisting complications) than trial populations. After validating the MICADO model, we found that lifetime ICERs of SGLT2i, when compared with usual care, were favorable (&lt; €20,000/QALY) for all filtered cohorts, resulting in an ICER of €5440/QALY using trial-based treatment effect estimates in reimbursed population. Several pragmatic scenarios were tested, the ICERs remained favorable. Although the Dutch reimbursement indications led to a target group that deviates from trial populations, SGLT2i are likely to be cost effective when compared with usual care.</t>
  </si>
  <si>
    <t>Interaction between plasma phospholipid odd-chain fatty acids and GAD65 autoantibodies on the incidence of adult-onset diabetes: the EPIC-InterAct case-cohort study.</t>
  </si>
  <si>
    <t>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t>
  </si>
  <si>
    <t>https://pubmed.ncbi.nlm.nih.gov/37301794</t>
  </si>
  <si>
    <t>Islet autoimmunity may progress to adult-onset diabetes. We investigated whether circulating odd-chain fatty acids (OCFA) 15:0 and 17:0, which are inversely associated with type 2 diabetes, interact with autoantibodies against GAD65 (GAD65Ab) on the incidence of adult-onset diabetes. We used the European EPIC-InterAct case-cohort study including 11,124 incident adult-onset diabetes cases and a subcohort of 14,866 randomly selected individuals. Adjusted Prentice-weighted Cox regression estimated HRs and 95% CIs of diabetes in relation to 1 SD lower plasma phospholipid 15:0 and/or 17:0 concentrations or their main contributor, dairy intake, among GAD65Ab-negative and -positive individuals. Interactions between tertiles of OCFA and GAD65Ab status were estimated by proportion attributable to interaction (AP). Low concentrations of OCFA, particularly 17:0, were associated with a higher incidence of adult-onset diabetes in both GAD65Ab-negative (HR 1.55 [95% CI 1.48, 1.64]) and GAD65Ab-positive (HR 1.69 [95% CI 1.34, 2.13]) individuals. The combination of low 17:0 and high GAD65Ab positivity vs high 17:0 and GAD65Ab negativity conferred an HR of 7.51 (95% CI 4.83, 11.69), with evidence of additive interaction (AP 0.25 [95% CI 0.05, 0.45]). Low dairy intake was not associated with diabetes incidence in either GAD65Ab-negative (HR 0.98 [95% CI 0.94, 1.02]) or GAD65Ab-positive individuals (HR 0.97 [95% CI 0.79, 1.18]). Low plasma phospholipid 17:0 concentrations may promote the progression from GAD65Ab positivity to adult-onset diabetes.</t>
  </si>
  <si>
    <t>Impact of 2018 EU Risk Minimisation Measures and Revised Pregnancy Prevention Programme on Utilisation and Prescribing Trends of Medicinal Products Containing Valproate: An Interrupted Time Series Study.</t>
  </si>
  <si>
    <t>Abtahi, Shahab; Pajouheshnia, Romin; Durán, Carlos E; Riera-Arnau, Judit; Gamba, Magdalena; Alsina, Ema; Hoxhaj, Vjola; Andersen, Morten; Bartolini, Claudia; Kristiansen, Sarah Brøgger; Brown, Jeremy; Hallgreen, Christine Erikstrup; Garcia-Poza, Patricia; Gardarsdottir, Helga; Gini, Rosa; Girardi, Anna; Holthuis, Emily; Huerta, Consuelo; Ibánez, Luisa; Limoncella, Giorgio; Martín-Pérez, Mar; Paoletti, Olga; Roberto, Giuseppe; Souverein, Patrick; Swart, Karin M A; Wing, Kevin; Sturkenboom, Miriam; Klungel, Olaf</t>
  </si>
  <si>
    <t>drug safety</t>
  </si>
  <si>
    <t>https://pubmed.ncbi.nlm.nih.gov/37294532</t>
  </si>
  <si>
    <t>Due to established teratogenicity of valproates, the EU risk minimisation measures (RMMs) with a pregnancy prevention programme (PPP) for valproate were updated in March 2018. To investigate the effectiveness of the 2018 EU RMMs on valproate utilisation in five European countries/regions. A multi-database, times series study of females of childbearing potential (12-55 years) was conducted using electronic medical records from five countries/regions (01.01.2010-31.12.2020): Denmark, Tuscany (Italy), Spain, the Netherlands, and the UK. Clinical and demographic information from each database was transformed to the ConcePTION Common Data Model, quality checks were conducted and a distributed analysis was performed using common scripts. Incident and prevalent use of valproate, proportion of discontinuers and switchers to alternative medicine, frequency of contraception coverage during valproate use, and occurrence of pregnancies during valproate exposure were estimated per month. Interrupted time series analyses were conducted to estimate the level or trend change in the outcome measures. We included 69,533 valproate users from 9,699,371 females of childbearing potential from the five participating centres. A significant decline in prevalent use of valproates was observed in Tuscany, Italy (mean difference post-intervention -7.7%), Spain (-11.3%), and UK (-5.9%) and a non-significant decline in the Netherlands (-3.3%), but no decline in incident use after the 2018 RMMs compared to the period before. The monthly proportion of compliant valproate prescriptions/dispensings with a contraceptive coverage was low (&lt;25%), with an increase after the 2018 RMMs only in the Netherlands (mean difference post-intervention 12%). There was no significant increase in switching rates from valproates to alternative medicine after the 2018 intervention in any of the countries/regions. We observed a substantial number of concurrent pregnancies during valproate exposure, but with a declining rate after the 2018 RMMs in Tuscany, Italy (0.70 per 1000 valproate users pre- and 0.27 post-intervention), Spain (0.48 and 0.13), the Netherlands (0.34 and 0.00), and an increasing rate in UK (1.13 and 5.07). There was a small impact of the 2018 RMMs on valproate use in the studied European countries/regions. The substantial number of concurrent pregnancies with valproate exposure warrants a careful monitoring of implementation of the existing PPP for valproate in clinical practice in Europe, to see if there is any need for additional measures in the future.</t>
  </si>
  <si>
    <t>Effectiveness of FeNO-guided treatment in adult asthma patients: A systematic review and meta-analysis.</t>
  </si>
  <si>
    <t>Korevaar, Daniël A; Damen, Johanna A; Heus, Pauline; Moen, Maaike J; Spijker, René; van Veen, Ilonka H; Weersink, Els J; van Kemenade, Geert-Jan; van Hal, Peter Th W; Hooft, Lotty</t>
  </si>
  <si>
    <t>clinical and experimental allergy journal of the british society for allergy and clinical immunology</t>
  </si>
  <si>
    <t>https://pubmed.ncbi.nlm.nih.gov/37293870</t>
  </si>
  <si>
    <t>Asthma control is generally monitored by assessing symptoms and lung function. However, optimal treatment is also dependent on the type and extent of airway inflammation. Fraction of exhaled Nitric Oxide (FeNO) is a noninvasive biomarker of type 2 airway inflammation, but its effectiveness in guiding asthma treatment remains disputed. We performed a systematic review and meta-analysis to obtain summary estimates of the effectiveness of FeNO-guided asthma treatment. We updated a Cochrane systematic review from 2016. Cochrane Risk of Bias tool was used to assess risk of bias. Inverse-variance random-effects meta-analysis was performed. Certainty of evidence was assessed using GRADE. Subgroup analyses were performed based on asthma severity, asthma control, allergy/atopy, pregnancy and obesity. The Cochrane Airways Group Trials Register was searched on 9 May 2023. We included randomized controlled trials (RCTs) comparing the effectiveness of a FeNO-guided treatment versus usual (symptom-guided) treatment in adult asthma patients. We included 12 RCTs (2,116 patients), all showing high or unclear risk of bias in at least one domain. Five RCTs reported support from a FeNO manufacturer. FeNO-guided treatment probably reduces the number of patients having ≥1 exacerbation (OR = 0.61; 95%CI 0.44 to 0.83; six RCTs; GRADE moderate certainty) and exacerbation rate (RR = 0.67; 95%CI 0.54 to 0.82; six RCTs; moderate certainty), and may slightly improve Asthma Control Questionnaire score (MD = -0.10; 95%CI -0.18 to -0.02, six RCTs; low certainty), however, this change is unlikely to be clinically important. An effect on severe exacerbations, quality of life, FEV1, treatment dosage and FeNO values could not be demonstrated. There were no indications that effectiveness is different in subgroups of patients, although evidence for subgroup analysis was limited. FeNO-guided asthma treatment probably results in fewer exacerbations but may not have clinically important effects on other asthma outcomes.</t>
  </si>
  <si>
    <t>Effect of COVID-19 vaccination on mortality by COVID-19 and on mortality by other causes, the Netherlands, January 2021-January 2022.</t>
  </si>
  <si>
    <t>de Gier, Brechje; van Asten, Liselotte; Boere, Tjarda M; van Roon, Annika; van Roekel, Caren; Pijpers, Joyce; van Werkhoven, C H Henri; van den Ende, Caroline; Hahné, Susan J M; de Melker, Hester E; Knol, Mirjam J; van den Hof, Susan</t>
  </si>
  <si>
    <t>https://pubmed.ncbi.nlm.nih.gov/37328352</t>
  </si>
  <si>
    <t>We aimed to estimate vaccine effectiveness (VE) against COVID-19 mortality, and to explore whether an increased risk of non-COVID-19 mortality exists in the weeks following a COVID-19 vaccine dose. National registries of causes of death, COVID-19 vaccination, specialized health care and long-term care reimbursements were linked by a unique person identifier using data from 1 January 2021 to 31 January 2022. We used Cox regression with calendar time as underlying time scale to, firstly, estimate VE against COVID-19 mortality after primary and first booster vaccination, per month since vaccination and, secondly, estimate risk of non-COVID-19 mortality in the 5 or 8 weeks following a first, second or first booster dose, adjusting for birth year, sex, medical risk group and country of origin. VE against COVID-19 mortality was &gt; 90 % for all age groups two months after completion of the primary series. VE gradually decreased thereafter, to around 80 % at 7-8 months post-primary series for most groups, and around 60 % for elderly receiving a high level of long-term care and for people aged 90+ years. Following a first booster dose, the VE increased to &gt; 85 % in all groups. The risk of non-COVID-19 mortality was lower or similar in the 5 or 8 weeks following a first dose compared to no vaccination, as well as following a second dose compared to one dose and a booster compared to two doses, for all age and long-term care groups. At the population level, COVID-19 vaccination greatly reduced the risk of COVID-19 mortality and no increased risk of death from other causes was observed.</t>
  </si>
  <si>
    <t>Covariate-specific ROC curve analysis can accommodate differences between covariate subgroups in the evaluation of diagnostic accuracy.</t>
  </si>
  <si>
    <t>Lee, Jenny; van Es, Nick; Takada, Toshihiko; Klok, Frederikus A; Geersing, Geert-Jan; Blume, Jeffrey; Bossuyt, Patrick M; ,</t>
  </si>
  <si>
    <t>https://pubmed.ncbi.nlm.nih.gov/37295733</t>
  </si>
  <si>
    <t>We present an illustrative application of methods that account for covariates in receiver operating characteristic (ROC) curve analysis, using individual patient data on D-dimer testing for excluding pulmonary embolism. Bayesian nonparametric covariate-specific ROC curves were constructed to examine the performance/positivity thresholds in covariate subgroups. Standard ROC curves were constructed. Three scenarios were outlined based on comparison between subgroups and standard ROC curve conclusion: (1) identical distribution/identical performance, (2) different distribution/identical performance, and (3) different distribution/different performance. Scenarios were illustrated using clinical covariates. Covariate-adjusted ROC curves were also constructed. Age groups had prominent differences in D-dimer concentration, paired with differences in performance (Scenario 3). Different positivity thresholds were required to achieve the same level of sensitivity. D-dimer had identical performance, but different distributions for YEARS algorithm items (Scenario 2), and similar distributions for sex (Scenario 1). For the later covariates, comparable positivity thresholds achieved the same sensitivity. All covariate-adjusted models had AUCs comparable to the standard approach. Subgroup differences in performance and distribution of results can indicate that the conventional ROC curve is not a fair representation of test performance. Estimating conditional ROC curves can improve the ability to select thresholds with greater applicability.</t>
  </si>
  <si>
    <t>Exploring the shared decision making process of caesarean sections at a teaching hospital in Ghana: a mixed methods study.</t>
  </si>
  <si>
    <t>Asah-Opoku, Kwaku; Onisarotu, Aisha N; Nuamah, Mercy A; Syurina, Elena; Bloemenkamp, Kitty; Browne, Joyce L; Rijken, Marcus J</t>
  </si>
  <si>
    <t>bmc pregnancy and childbirth</t>
  </si>
  <si>
    <t>https://pubmed.ncbi.nlm.nih.gov/37291483</t>
  </si>
  <si>
    <t>Caesarean section (CS) rates are rising. Shared decision making (SDM) is a component of patient-centered communication which requires adequate information and awareness. Women in Ghana have varying perceptions about the procedure. We sought to explore mothers' knowledge. perceptions and SDM-influencing factors about CSs. A transdisciplinary mixed-methods study was conducted at the maternity unit of Korle-Bu Teaching Hospital in Accra, Ghana from March to May, 2019. Data collection was done in four phases: in-depth interviews (n = 38), pretesting questionnaires (n = 15), three focus group discussions (n = 18) and 180 interviewer administered questionnaires about SDM preferences. Factors associated with SDM were analyzed using Pearson's Chi-square test and multiple logistic regression. Mothers depicted a high level of knowledge regarding medical indications for their CS but had low level of awareness of SDM. The perception of a CS varied from dangerous, unnatural and taking away their strength to a life-saving procedure. The mothers had poor knowledge about pain relief in labour and at Caesarean section. Health care professionals attributed the willingness of mothers to be involved in SDM to their level of education. Husbands and religious leaders are key stakeholders in SDM. Insufficient consultation time was a challenge to SDM according to health care professionals and post-partum mothers. Women with parity ≥ 5 have a reduced desire to be more involved in shared decision making for Caesarean section. AOR = 0.09, CI (0.02-0.46). There is a high knowledge about the indications for CS but low level of awareness of and barriers to SDM. The fewer antenatal care visits mothers had, the more likely they were to desire more involvement in decision making. Aligned to respectful maternity care principles, greater involvement of pregnant women and their partners in decision making process could contribute to a positive pregnancy experience. Education, including religious leaders and decision- making tools could contribute to the process of SDM.</t>
  </si>
  <si>
    <t>[Diagnosis and therapeutic options in atrial fibrillation].</t>
  </si>
  <si>
    <t>Tieleman, Robert G; Geersing, Geert-Jan</t>
  </si>
  <si>
    <t>https://pubmed.ncbi.nlm.nih.gov/37345622</t>
  </si>
  <si>
    <t>For the diagnosis of atrial fibrillation, it is mandatory to make an ECG during the arrhythmia. In patients with paroxysmal atrial fibrillation this can be challenging. Consumer wearables such as smart watches with automated AF detection can be helpful for diagnosing even asymptomatic AF, as long as they offer the possibility to record a one lead ECG rhythm strip. Once AF is diagnosed, therapeutic decisions, such as rate-control versus rhythm-control and start of oral anticoagulation therapy need to be made on an individual basis in each patient. The present manuscript deals with frequently asked questions encountered in daily practice of treating patients with AF.</t>
  </si>
  <si>
    <t>From Surviving Cancer to Getting on With Life: Adult Testicular Germ Cell Tumor Survivors' Perspectives on Transition From Follow-Up Care to Long-Term Survivorship.</t>
  </si>
  <si>
    <t>Weda, Sandrien; Zweers, Danielle; Suelmann, Britt B M; Meijer, Richard P; Vervoort, Sigrid C J M</t>
  </si>
  <si>
    <t>qualitative health research</t>
  </si>
  <si>
    <t>https://pubmed.ncbi.nlm.nih.gov/37272758</t>
  </si>
  <si>
    <t>With an increasing incidence and a high cure rate, a growing number of testicular germ cell tumor (TGCT) survivors require specialized follow-up care. However, knowledge of these patients' needs is lacking, leaving TGCT survivors with unmet care needs at risk of symptom burden when transitioning to long-term survivorship. This grounded theory study aimed to understand the perspectives of TGCT survivors' transition from follow-up care to long-term survivorship. A total of 12 adult TGCT survivors in follow-up care or completion less than a year were in-depth semi-structured interviewed. Interviews were audiotaped and transcribed verbatim. Transcripts were analyzed by constant comparison, and the core category &lt;i&gt;"Dealing with back-and-forth forces"&lt;/i&gt; emerged in the integrated concepts. Two comparative processes in dealing with those forces were identified: the process of &lt;i&gt;Living beyond the sword of Damocles&lt;/i&gt; involved the transition from feeling threatened by cancer to overcoming those threats; the process of &lt;i&gt;Getting on with one's life&lt;/i&gt; can be described as transitioning from a period where cancer overruled their lives to carrying on with everyday life. The processes toward long-term survivorship follow general characteristics; the transition itself is an individual journey that depends on (life) experiences. The constructed model can guide healthcare professionals and researchers involved in TGCT survivorship to understand TGCT survivors' individual and ensuing needs. When TGCT survivors receive individualized and tailored follow-up care, it can assist in preventing and reducing long-term and late effects on long-term survivorship.</t>
  </si>
  <si>
    <t>Impact of physical activity on healthcare costs: a systematic review.</t>
  </si>
  <si>
    <t>Duijvestijn, Marjolein; de Wit, G Ardine; van Gils, Paul F; Wendel-Vos, G C Wanda</t>
  </si>
  <si>
    <t>https://pubmed.ncbi.nlm.nih.gov/37268930</t>
  </si>
  <si>
    <t>This systematic review aims to describe the relation between physical inactivity and healthcare costs, by taking into account healthcare costs of physical-inactivity-related diseases (common practice), including physical-activity-related injuries (new) and costs in life-years gained due to avoiding diseases (new), whenever available. Moreover, the association between physical inactivity and healthcare costs may both be negatively and positively impacted by increased physical activity. A systematic review was conducted, including records reporting on physical (in)activity in relation to healthcare costs for a general population. Studies were required to report sufficient information to calculate the percentage of total healthcare costs potentially attributable to physical inactivity. Of the 264 records identified, 25 were included in this review. Included studies showed substantial variation in the assessment methods of physical activity and in type of costs included. Overall, studies showed that physical inactivity is related to higher healthcare costs. Only one study included costs of healthcare resources used in prolonged life when physical-inactivity-related diseases were averted, showing net higher healthcare costs. No study included healthcare costs for physical-activity-related injuries. Physical inactivity is associated with higher healthcare costs in the general population in the short-term. However, in the long-term aversion of diseases related with physical inactivity may increase longevity and, as a consequence, healthcare costs in life-years gained. Future studies should use a broad definition of costs, including costs in life-years gained and costs related to physical-activity-related injuries.</t>
  </si>
  <si>
    <t>Colistin plus meropenem versus colistin alone for invasive infections caused by carbapenem-resistant Acinetobacter baumannii: a rapid systematic review of randomized controlled trials using Bayesian meta-analysis.</t>
  </si>
  <si>
    <t>Maraolo, Alberto E; Ong, David S Y</t>
  </si>
  <si>
    <t>https://pubmed.ncbi.nlm.nih.gov/37277093</t>
  </si>
  <si>
    <t>Realizing the value of complex medical technology: Demonstrating cost-effectiveness is not enough.</t>
  </si>
  <si>
    <t>Hehakaya, C; Frederix, G W J; van der Voort van Zyp, J Rn; Grobbee, D E; Verkooijen, H M</t>
  </si>
  <si>
    <t>https://pubmed.ncbi.nlm.nih.gov/37304169</t>
  </si>
  <si>
    <t>The main factors driving the value of medical treatments are proven effectiveness and cost-effectiveness. This is different for complex medical technologies that combine scientific disciplines, functions or tools in a single solution-oriented method. This short communication provides three recommendations to realize the value of complex medical technologies. It is important to engage stakeholders before technology implementation to promote its relevance from multiple perspectives, to explore opportunities for professional development and collaboration, and to demonstrate the societal effects over the entire life-cycle.</t>
  </si>
  <si>
    <t>Author Correction: The power of genetic diversity in genome-wide association studies of lipids.</t>
  </si>
  <si>
    <t>Graham, Sarah E; Clarke, Shoa L; Wu, Kuan-Han H; Kanoni, Stavroula; Zajac, Greg J M; Ramdas, Shweta; Surakka, Ida; Ntalla, Ioanna; Vedantam, Sailaja; Winkler, Thomas W; Locke, Adam E; Marouli, Eirini; Hwang, Mi Yeong; Han, Sohee; Narita, Akira; Choudhury, Ananyo; Bentley, Amy R; Ekoru, Kenneth; Verma, Anurag; Trivedi, Bhavi; Martin, Hilary C; Hunt, Karen A; Hui, Qin; Klarin, Derek; Zhu, Xiang; Thorleifsson, Gudmar; Helgadottir, Anna; Gudbjartsson, Daniel F; Holm, Hilma; Olafsson, Isleifur; Akiyama, Masato; Sakaue, Saori; Terao, Chikashi; Kanai, Masahiro; Zhou, Wei; Brumpton, Ben M; Rasheed, Humaira; Ruotsalainen, Sanni E; Havulinna, Aki S; Veturi, Yogasudha; Feng, QiPing; Rosenthal, Elisabeth A; Lingren, Todd; Pacheco, Jennifer Allen; Pendergrass, Sarah A; Haessler, Jeffrey; Giulianini, Franco; Bradford, Yuki; Miller, Jason E; Campbell, Archie; Lin, Kuang; Millwood, Iona Y; Hindy, George; Rasheed, Asif; Faul, Jessica D; Zhao, Wei; Weir, David R; Turman, Constance; Huang, Hongyan; Graff</t>
  </si>
  <si>
    <t>nature</t>
  </si>
  <si>
    <t>https://pubmed.ncbi.nlm.nih.gov/37237109</t>
  </si>
  <si>
    <t>Data Science and Biostatistics; Data Science and Biostatistics; Data Science and Biostatistics; General Practice and Nursing Science; Data Science and Biostatistics; Data Science and Biostatistics</t>
  </si>
  <si>
    <t>Longitudinal association of electrocardiogram abnormalities with major adverse cardiac events in people with Type 2 diabetes: the Hoorn Diabetes Care System cohort.</t>
  </si>
  <si>
    <t>Harms, Peter P; Elders, Petra P J M; Rutters, Femke; Lissenberg-Witte, Birgit I; Tan, Hanno L; Beulens, Joline W J; Nijpels, Giel; van der Heijden, Amber A; ,</t>
  </si>
  <si>
    <t>https://pubmed.ncbi.nlm.nih.gov/36625405</t>
  </si>
  <si>
    <t>To investigate the association of (changes in) electrocardiogram (ECG) abnormalities with incident major adverse cardiac events (MACE) in people with Type 2 diabetes (T2D) without pre-existing cardiovascular disease (CVD). A prospective longitudinal study of 11 993 people with T2D without known CVD from the Hoorn Diabetes Care System cohort. Annually repeated measurements (1998-2018), included cardiovascular risk factors, over 70 000 ECG, and self-reported cardiovascular events. ECG abnormalities were classified according to the Minnesota Classification as prolonged PR duration, prolonged QRS duration, left QRS-axis, QS pattern, ST-segment/T-wave abnormalities, or tall R-wave. The association of ECG abnormalities with MACEs was assessed using time-dependent Cox-regression models, adjusted for time-varying cardiovascular risk factors, and medication use [hazard ratios (HRs) with 95% confidence intervals (CIs)]. During a median follow-up of 6.6 (IQR, 3.1-10.7) years, 5445 (45.4%) of the participants had an ECG abnormality (prevalent or incident) at any of the median 6 (IQR, 3-10) annual ECG recordings, and 905 people (7.5%) had a MACE (529 coronary heart disease (CHD), 250 heart failure (HF), and 126 sudden cardiac arrest (SCA)). After adjustment, most ECG abnormalities were associated with HF: prolonged QRS duration [HR, 4.01 (95% CI, 2.67-6.03)], QS pattern [2.68 (0.85-8.49)], ST-segment/T-wave abnormalities [4.26 (2.67-6.80)], and tall R-wave [2.23 (1.33-3.76)]. Only QS pattern [2.69 (1.20-6.03)] and ST-segment/T-wave abnormalities [2.11 (1.48-3.02)] were associated with CHD. These associations were robust across age, sex, hypertension, or estimated CVD risk subgroups. In people with T2D without pre-existing CVD, ECG abnormalities related to decelerated conduction, ischaemia, and hypertrophy are predominantly early signs of emerging HF, while only abnormalities related to ischaemic disorders are signs of CHD.</t>
  </si>
  <si>
    <t>Anticoagulants in frail elderly patients with atrial fibrillation: a delicate balance.</t>
  </si>
  <si>
    <t>Trinks-Roerdink, Emmy M; Geersing, Geert-Jan</t>
  </si>
  <si>
    <t>https://pubmed.ncbi.nlm.nih.gov/37449054</t>
  </si>
  <si>
    <t>Predicting self-perceived general health status using machine learning: an external exposome study.</t>
  </si>
  <si>
    <t>Hoekstra, Jurriaan; Lenssen, Esther S; Wong, Albert; Loef, Bette; Herber, Gerrie-Cor M; Boshuizen, Hendriek C; Strak, Maciek; Verschuren, W M Monique; Janssen, Nicole A H</t>
  </si>
  <si>
    <t>https://pubmed.ncbi.nlm.nih.gov/37259056</t>
  </si>
  <si>
    <t>Self-perceived general health (SPGH) is a general health indicator commonly used in epidemiological research and is associated with a wide range of exposures from different domains. However, most studies on SPGH only investigated a limited set of exposures and did not take the entire external exposome into account. We aimed to develop predictive models for SPGH based on exposome datasets using machine learning techniques and identify the most important predictors of poor SPGH status. Random forest (RF) was used on two datasets based on personal characteristics from the 2012 and 2016 editions of the Dutch national health survey, enriched with environmental and neighborhood characteristics. Model performance was determined using the area under the curve (AUC) score. The most important predictors were identified using a variable importance procedure and individual effects of exposures using partial dependence and accumulated local effect plots. The final 2012 dataset contained information on 199,840 individuals and 81 variables, whereas the final 2016 dataset had 244,557 individuals with 91 variables. Our RF models had overall good predictive performance (2012: AUC = 0.864 (CI: 0.852-0.876); 2016: AUC = 0.890 (CI: 0.883-0.896)) and the most important predictors were "Control of own life", "Physical activity", "Loneliness" and "Making ends meet". Subjects who felt insufficiently in control of their own life, scored high on the De Jong-Gierveld loneliness scale or had difficulty in making ends meet were more likely to have poor SPGH status, whereas increased physical activity per week reduced the probability of poor SPGH. We observed associations between some neighborhood and environmental characteristics, but these variables did not contribute to the overall predictive strength of the models. This study identified that within an external exposome dataset, the most important predictors for SPGH status are related to mental wellbeing, physical exercise, loneliness, and financial status.</t>
  </si>
  <si>
    <t>[Inequal distribution of cause and effects of climate crisis: a global matter of equity and justice].</t>
  </si>
  <si>
    <t>Browne, Joyce L; Baidjoe, Amrish; Bousema, Teun</t>
  </si>
  <si>
    <t>https://pubmed.ncbi.nlm.nih.gov/37289848</t>
  </si>
  <si>
    <t>The impact of climate change on health in low- and middle-income countries is large and disproportionate to these countries' contribution to total greenhouse gas emissions. These health effects are both direct and indirect through climate change impact on food security, migration and political stability. In this commentary, we argue that a health equity and justice lens should be applied in climate policies.</t>
  </si>
  <si>
    <t>Accuracy of physicians' intuitive risk estimation in the diagnostic management of pulmonary embolism: an individual patient data meta-analysis.</t>
  </si>
  <si>
    <t>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t>
  </si>
  <si>
    <t>journal of thrombosis and haemostasis jth</t>
  </si>
  <si>
    <t>https://pubmed.ncbi.nlm.nih.gov/37263381</t>
  </si>
  <si>
    <t>In patients clinically suspected of having pulmonary embolism (PE), physicians often rely on intuitive estimation ("gestalt") of PE presence. Although shown to be predictive, gestalt is criticized for its assumed variation across physicians and lack of standardization. To assess the diagnostic accuracy of gestalt in the diagnosis of PE and gain insight into its possible variation. We performed an individual patient data meta-analysis including patients suspected of having PE. The primary outcome was diagnostic accuracy of gestalt for the diagnosis of PE, quantified as risk ratio (RR) between gestalt and PE based on 2-stage random-effect log-binomial meta-analysis regression as well as gestalts' sensitivity and specificity. The variability of these measures was explored across different health care settings, publication period, PE prevalence, patient subgroups (sex, heart failure, chronic lung disease, and items of the Wells score other than gestalt), and age. We analyzed 20 770 patients suspected of having PE from 16 original studies. The prevalence of PE in patients with and without a positive gestalt was 28.8% vs 9.1%, respectively. The overall RR was 3.02 (95% CI, 2.35-3.87), and the overall sensitivity and specificity were 74% (95% CI, 68%-79%) and 61% (95% CI, 53%-68%), respectively. Although variation was observed across individual studies (I&lt;sup&gt;2&lt;/sup&gt;, 90.63%), the diagnostic accuracy was consistent across all subgroups and health care settings. A positive gestalt was associated with a 3-fold increased risk of PE in suspected patients. Although variation was observed across studies, the RR of gestalt was similar across prespecified subgroups and health care settings, exemplifying its diagnostic value for all patients suspected of having PE.</t>
  </si>
  <si>
    <t>Impacts of an advance care planning intervention on close relationships.</t>
  </si>
  <si>
    <t>Bulli, Francesco; Toccafondi, Alessandro; Kars, Marijke C; Caswell, Glenys; Kodba-Čeh, Hana; Lunder, Urska; Pollock, Kristian; Seymour, Jane; van Delden, Johannes J M; Zwakman, Marieke; Korfage, Ida J; Van der Heide, Agnes; Miccinesi, Guido</t>
  </si>
  <si>
    <t>https://pubmed.ncbi.nlm.nih.gov/37249086</t>
  </si>
  <si>
    <t>To examine how an advance care planning (ACP) intervention based on structured conversations impacts the relationship between patients with advanced cancer and their nominated Personal Representatives (PRs). Within the ACTION research project, a qualitative study was carried out in 4 countries (Italy, United Kingdom, the Netherlands, and Slovenia) to explore the lived experience of engagement with the ACTION Respecting Choices&lt;sup&gt;®&lt;/sup&gt; ACP intervention from the perspectives of patients and their PRs. A phenomenological approach was undertaken. Our findings show that taking part in the ACTION ACP intervention provides a communicative space for patients and their PRs to share their understanding and concerns about the illness and its consequences. In some cases, this may strengthen relationships by &lt;i&gt;realigning&lt;/i&gt; patients' and PRs' understanding and expectations and affirming their mutual commitment and support. The most significant consequence of the ACP process in our study was the deepening of mutual understanding and relationship between some patients and PRs and the enhancement of their sense of mutuality and connectedness in the present. However, being a relational intervention, ACP may raise some challenging and distressing issues. The interpersonal dynamics of the discussion require skilled and careful professional facilitation.</t>
  </si>
  <si>
    <t>COVID-19 Vaccine Safety Monitoring Studies in Low- and Middle-Income Countries (LMICs)-A Systematic Review of Study Designs and Methods.</t>
  </si>
  <si>
    <t>Sisay, Malede Mequanent; Montesinos-Guevara, Camila; Osman, Alhadi Khogali; Saraswati, Putri Widi; Tilahun, Binyam; Ayele, Tadesse Awoke; Ahmadizar, Fariba; Durán, Carlos E; Sturkenboom, Miriam C J M; van de Ven, Peter; Weibel, Daniel</t>
  </si>
  <si>
    <t>https://pubmed.ncbi.nlm.nih.gov/37376424</t>
  </si>
  <si>
    <t>Post-marketing vaccine safety surveillance aims to monitor and quantify adverse events following immunization in a population, but little is known about their implementation in low- and middle-income countries (LMICs). We aimed to synthesize methodological approaches used to assess adverse events following COVID-19 vaccination in LMICs. For this systematic review, we searched articles published from 1 December 2019 to 18 February 2022 in main databases, including MEDLINE and Embase. We included all peer-reviewed observational COVID-19 vaccine safety monitoring studies. We excluded randomized controlled trials and case reports. We extracted data using a standardized extraction form. Two authors assessed study quality using the modified Newcastle-Ottawa Quality Assessment Scale. All findings were summarized narratively using frequency tables and figures. Our search found 4254 studies, of which 58 were eligible for analysis. Many of the studies included in this review were conducted in middle-income countries, with 26 studies (45%) in lower-middle-income and 28 (48%) in upper-middle-income countries. More specifically, 14 studies were conducted in the Middle East region, 16 in South Asia, 8 in Latin America, 8 in Europe and Central Asia, and 4 in Africa. Only 3% scored 7-8 points (good quality) on the Newcastle-Ottawa Scale methodological quality assessment, while 10% got 5-6 points (medium). About 15 studies (25.9%) used a cohort study design and the rest were cross-sectional. In half of them (50%), vaccination data were gathered from the participants' self-reporting methods. Seventeen studies (29.3%) used multivariable binary logistic regression and three (5.2%) used survival analyses. Only 12 studies (20.7%) performed model diagnostics and validity checks (e.g., the goodness of fit, identification of outliers, and co-linearity). Published studies on COVID-19 vaccine safety surveillance in LMICs are limited in number and the methods used do not often address potential confounders. Active surveillance of vaccines in LMICs are needed to advocate vaccination programs. Implementing training programs in pharmacoepidemiology in LMICs is essential.</t>
  </si>
  <si>
    <t>A Bayesian-adaptive decision-theoretic approach can reduce the sample sizes for multiarm exercise oncology trials.</t>
  </si>
  <si>
    <t>Buffart, Laurien M; Bassi, Andrea; Stuiver, Martijn M; Aaronson, Neil K; Sonke, Gabe S; Berkhof, Johannes; van de Ven, Peter M</t>
  </si>
  <si>
    <t>https://pubmed.ncbi.nlm.nih.gov/37245703</t>
  </si>
  <si>
    <t>Adaptive designs may reduce trial sample sizes and costs. This study illustrates a Bayesian-adaptive decision-theoretic design applied to a multiarm exercise oncology trial. In the Physical exercise during Adjuvant Chemotherapy Effectiveness Study (PACES) trial, 230 breast cancer patients receiving chemotherapy were randomized to supervised resistance and aerobic exercise (OnTrack), home-based physical activity (OncoMove) or usual care (UC). Data were reanalyzed as an adaptive trial using both Bayesian decision-theoretic and a frequentist group-sequential approach incorporating interim analyses after every 36 patients. Endpoint was chemotherapy treatment modifications (any vs. none). Bayesian analyses were performed for different continuation thresholds and settings with and without arm dropping and both in a 'pick-the-winner' and a 'pick-all-treatments-superior-to-control' setting. Treatment modifications occurred in 34% of patients in UC and OncoMove vs. 12% in OnTrack (P = 0.002). Using a Bayesian-adaptive decision-theoretic design, OnTrack was identified as most effective after 72 patients in the 'pick-the-winner' setting and after 72-180 patients in the 'pick-all-treatments-superior-to-control' setting. In a frequentist setting, the trial would have been stopped after 180 patients, and the proportion of patients with treatment modifications was significantly lower for OnTrack than UC. A Bayesian-adaptive decision-theoretic approach substantially reduced the sample size required for this three-arm exercise trial, especially in the 'pick-the-winner' setting.</t>
  </si>
  <si>
    <t>Quality Improvement with Outcome Data in Integrated Obstetric Care Networks: Evaluating Collaboration and Learning Across Organizational Boundaries with an Action Research Approach.</t>
  </si>
  <si>
    <t>Depla, Anne Louise; Kersten, Anna W; Ruiter, Marije Lamain-de; Jambroes, Marielle; Franx, Arie; Evers, Inge M; Pluut, Bettine; Bekker, Mireille N</t>
  </si>
  <si>
    <t>international journal of integrated care</t>
  </si>
  <si>
    <t>https://pubmed.ncbi.nlm.nih.gov/37250763</t>
  </si>
  <si>
    <t>Patient-reported outcome and experience measures (PROM and PREM) are used to guide individual care and quality improvement (QI). QI with patient-reported data is preferably organized around patients, which is challenging across organisations. We aimed to investigate network-broad learning for QI with outcome data. In three obstetric care networks using individual-level PROM/PREM, a learning strategy for cyclic QI based on aggregated outcome data was developed, implemented and evaluated. The strategy included clinical, patient-reported, and professional-reported data; together translated into cases for interprofessional discussion. This study's data generation (including focus groups, surveys, observations) and analysis were guided by a theoretical model for network collaboration. The learning sessions identified opportunities and actions to improve quality and continuity of perinatal care. Professionals valued the data (especially patient-reported) combined with in-dept interprofessional discussion. Main challenges were professionals' time constraints, data infrastructure, and embedding improvement actions. Network-readiness for QI depended on trustful collaboration through connectivity and consensual leadership. Joint QI required information exchange and support including time and resources. Current fragmented healthcare organization poses barriers for network-broad QI with outcome data, but also offers opportunities for learning strategies. Furthermore, joint learning could improve collaboration to catalyse the journey towards integrated, value-based care.</t>
  </si>
  <si>
    <t>Interpretation of continuously measured vital signs data of COVID-19 patients by nurses and physicians at the general ward: A mixed methods study.</t>
  </si>
  <si>
    <t>van Goor, Harriët M R; Breteler, Martine J M; Schoonhoven, Lisette; Kalkman, Cor J; van Loon, Kim; Kaasjager, Karin A H</t>
  </si>
  <si>
    <t>https://pubmed.ncbi.nlm.nih.gov/37228047</t>
  </si>
  <si>
    <t>Continuous monitoring of vital signs is introduced at general hospital wards to detect patient deterioration. Interpretation and response currently rely on experience and expert opinion. This study aims to determine whether consensus exist among hospital professionals regarding the interpretation of vital signs of COVID-19 patients. In addition, we assessed the ability to recognise respiratory insufficiency and evaluated the interpretation process. We performed a mixed methods study including 24 hospital professionals (6 nurses, 6 junior physicians, 6 internal medicine specialists, 6 ICU nurses). Each participant was presented with 20 cases of COVID-19 patients, including 4 or 8 hours of continuously measured vital signs data. Participants estimated the patient's situation ('improving', 'stable', or 'deteriorating') and the possibility of developing respiratory insufficiency. Subsequently, a semi-structured interview was held focussing on the interpretation process. Consensus was assessed using Krippendorff's alpha. For the estimation of respiratory insufficiency, we calculated the mean positive/negative predictive value. Interviews were analysed using inductive thematic analysis. We found no consensus regarding the patient's situation (α 0.41, 95%CI 0.29-0.52). The mean positive predictive value for respiratory insufficiency was high (0.91, 95%CI 0.86-0.97), but the negative predictive value was 0.66 (95%CI 0.44-0.88). In the interviews, two themes regarding the interpretation process emerged. "Interpretation of deviations" included the strategies participants use to determine stability, focused on finding deviations in data. "Inability to see the patient" entailed the need of hospital professionals to perform a patient evaluation when estimating a patient's situation. The interpretation of continuously measured vital signs by hospital professionals, and recognition of respiratory insufficiency using these data, is variable, which might be the result of different interpretation strategies, uncertainty regarding deviations, and not being able to see the patient. Protocols and training could help to uniform interpretation, but decision support systems might be necessary to find signs of deterioration that might otherwise go unnoticed.</t>
  </si>
  <si>
    <t>Corrigendum: The impact of circadian rhythm on Bacillus Calmette-Guérin vaccination effects on SARS-CoV-2 infections.</t>
  </si>
  <si>
    <t>Föhse, Konstantin; Taks, Esther J M; Moorlag, Simone J C F M; Bonten, Marc J M; van Crevel, Reinout; Ten Oever, Jaap; van Werkhoven, Cornelis H; Netea, Mihai G; van de Maat, Josephine S; Hoogerwerf, Jacobien J</t>
  </si>
  <si>
    <t>frontiers in immunology</t>
  </si>
  <si>
    <t>https://pubmed.ncbi.nlm.nih.gov/37292214</t>
  </si>
  <si>
    <t>[This corrects the article DOI: 10.3389/fimmu.2023.980711.].</t>
  </si>
  <si>
    <t>Lancet Commission on synergies between universal health coverage, health security, and health promotion.</t>
  </si>
  <si>
    <t>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t>
  </si>
  <si>
    <t>https://pubmed.ncbi.nlm.nih.gov/37224836</t>
  </si>
  <si>
    <t>Guidelines for Reporting Observational Research in Urology: The Importance of Clear Reference to Causality.</t>
  </si>
  <si>
    <t>Vickers, Andrew J; Assel, Melissa; Dunn, Rodney L; Zabor, Emily C; Kattan, Michael W; van Smeden, Maarten; Dahly, Darren</t>
  </si>
  <si>
    <t>the journal of urology</t>
  </si>
  <si>
    <t>https://pubmed.ncbi.nlm.nih.gov/37209013</t>
  </si>
  <si>
    <t>Perspective; recommendations for improved patient participation in decision-making for geriatric patients in acute surgical settings.</t>
  </si>
  <si>
    <t>Schuijt, H J; Smeeing, D P J; Verberne, W R; Groenwold, R H H; van Delden, J J M; Leenen, L P H; van der Velde, D</t>
  </si>
  <si>
    <t>injury</t>
  </si>
  <si>
    <t>https://pubmed.ncbi.nlm.nih.gov/37217400</t>
  </si>
  <si>
    <t>Geriatric patients often present to the hospital in acute surgical settings. In these settings, shared decision-making as equal partners can be challenging. Surgeons should recognize that geriatric patients, and frail patients in particular, may sometimes benefit from de-escalation of care in a palliative setting rather than curative treatment. To provide more person-centred care, better strategies for improved shared decision-making need to be developed and implemented in clinical practice. A shift in thinking from a disease-oriented paradigm to a patient-goal-oriented paradigm is required to provide better person-centred care for older patients. We may greatly improve the collaboration with patients if we move parts of the decision-making process to the pre-acute phase. In the pre-acute phase appointing legal representatives, having goals of care conversations, and advance care planning can help give physicians an idea of what is important to the patient in acute settings. When making decisions as equal partners is not possible, a greater degree of physician responsibility may be appropriate. Physicians should tailor the "sharedness" of the decision-making process to the needs of the patient and their family.</t>
  </si>
  <si>
    <t>Comparison of likelihood penalization and variance decomposition approaches for clinical prediction models: A simulation study.</t>
  </si>
  <si>
    <t>Lohmann, Anna; Groenwold, Rolf H H; van Smeden, Maarten</t>
  </si>
  <si>
    <t>https://pubmed.ncbi.nlm.nih.gov/37199142</t>
  </si>
  <si>
    <t>Logistic regression is one of the most commonly used approaches to develop clinical risk prediction models. Developers of such models often rely on approaches that aim to minimize the risk of overfitting and improve predictive performance of the logistic model, such as through likelihood penalization and variance decomposition techniques. We present an extensive simulation study that compares the out-of-sample predictive performance of risk prediction models derived using the elastic net, with Lasso and ridge as special cases, and variance decomposition techniques, namely, incomplete principal component regression and incomplete partial least squares regression. We varied the expected events per variable, event fraction, number of candidate predictors, presence of noise predictors, and the presence of sparse predictors in a full-factorial design. Predictive performance was compared on measures of discrimination, calibration, and prediction error. Simulation metamodels were derived to explain the performance differences within model derivation approaches. Our results indicate that, on average, prediction models developed using penalization and variance decomposition approaches outperform models developed using ordinary maximum likelihood estimation, with penalization approaches being consistently superior over the variance decomposition approaches. Differences in performance were most pronounced on the calibration of the model. Performance differences regarding prediction error and concordance statistic outcomes were often small between approaches. The use of likelihood penalization and variance decomposition techniques methods was illustrated in the context of peripheral arterial disease.</t>
  </si>
  <si>
    <t>Different Levels of Ultraprocessed Food and Beverage Consumption and Associations with Environmental Sustainability and All-cause Mortality in EPIC-NL.</t>
  </si>
  <si>
    <t>Vellinga, Reina E; van den Boomgaard, Iris; M A Boer, Jolanda; van der Schouw, Yvonne T; Harbers, Marjolein C; Verschuren, W M Monique; van 't Veer, Pieter; H M Temme, Elisabeth; Biesbroek, Sander</t>
  </si>
  <si>
    <t>https://pubmed.ncbi.nlm.nih.gov/37207984</t>
  </si>
  <si>
    <t>The adverse health effects of high ultraprocessed food and drink (UPFD) consumption are well documented. However, the environmental impact remains unclear, and the separate effects of ultraprocessed foods (UPFs) and drinks (UPDs) on all-cause mortality have not been studied previously. To assess the association between levels of UPFD, UPF, and UPD consumption and diet-related environmental impacts and all-cause mortality in Dutch adults. Habitual diets were assessed by a Food Frequency Questionnaire (FFQ) from 1993-1997 in 38,261 participants of the Dutch European Prospective Investigation into Cancer and Nutrition cohort. The mean follow-up time was 18.2 y (SD = 4.1); 4,697 deaths occurred. FFQ items were categorized according to the NOVA classification. Associations between quartiles of UPFD, UPF, and UPD consumption and environmental impact indicators were analyzed using general linear models and all-cause mortality by Cox proportional hazard models. The lowest UPFD, UPF, and UPD consumption quartiles were used as comparator. The average UPFD consumption was 181 (SD = 88) g/1000 kcal. High UPF consumption was statistically significantly inversely associated with all environmental impact indicators (Q4vsQ1: -13.6% to -3.0%), whereas high UPD consumption was, except for land use, statistically significant positively associated with all environmental impact indicators (Q4vsQ1: 1.2% to 5.9%). High UPFD consumption was heterogeneously associated with environmental impacts (Q4vsQ1: -4.0% to 2.6%). After multivariable adjustment, the highest quartiles of UPFD and UPD consumption were significantly associated with all-cause mortality (HR&lt;sub&gt;Q4vsQ1&lt;/sub&gt;: 1.17, 95%CI: 1.08, 1.28 and HR&lt;sub&gt;Q4vsQ1&lt;/sub&gt;: 1.16, 95%CI: 1.07, 1.26, respectively). UPF consumption of Q2 and Q3 were associated with a borderline significant lower risk of all-cause mortality (HR&lt;sub&gt;Q2vsQ1&lt;/sub&gt;: 0.93, 95% CI: 0.85, 1.00; HR&lt;sub&gt;Q3vsQ1&lt;/sub&gt;: 0.91, 95% CI: 0.84, 0.99) whereas Q4 was not statistically significant (HR&lt;sub&gt;Q4vsQ1&lt;/sub&gt;: 1.06, 95% CI: 0.97, 1.15). Reducing UPD consumption may lower environmental impact and all-cause mortality risk; however, this is not shown for UPFs. When categorizing food consumption by their degree of processing, trade-offs are observed for human and planetary health aspects.</t>
  </si>
  <si>
    <t>Sex differences in the generalizability of randomized clinical trials in heart failure with reduced ejection fraction.</t>
  </si>
  <si>
    <t>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t>
  </si>
  <si>
    <t>european journal of heart failure</t>
  </si>
  <si>
    <t>https://pubmed.ncbi.nlm.nih.gov/37101398</t>
  </si>
  <si>
    <t>In order to understand how sex differences impact the generalizability of randomized clinical trials (RCTs) in patients with heart failure (HF) and reduced ejection fraction (HFrEF), we sought to compare clinical characteristics and clinical outcomes between RCTs and HF observational registries stratified by sex. Data from two HF registries and five HFrEF RCTs were used to create three subpopulations: one RCT population (n = 16 917; 21.7% females), registry patients eligible for RCT inclusion (n = 26 104; 31.8% females), and registry patients ineligible for RCT inclusion (n = 20 810; 30.2% females). Clinical endpoints included all-cause mortality, cardiovascular mortality, and first HF hospitalization at 1 year. Males and females were equally eligible for trial enrolment (56.9% of females and 55.1% of males in the registries). One-year mortality rates were 5.6%, 14.0%, and 28.6% for females and 6.9%, 10.7%, and 24.6% for males in the RCT, RCT-eligible, and RCT-ineligible groups, respectively. After adjusting for 11 HF prognostic variables, RCT females showed higher survival compared to RCT-eligible females (standardized mortality ratio [SMR] 0.72; 95% confidence interval [CI] 0.62-0.83), while RCT males showed higher adjusted mortality rates compared to RCT-eligible males (SMR 1.16; 95% CI 1.09-1.24). Similar results were also found for cardiovascular mortality (SMR 0.89; 95% CI 0.76-1.03 for females, SMR 1.43; 95% CI 1.33-1.53 for males). Generalizability of HFrEF RCTs differed substantially between the sexes, with females having lower trial participation and female trial participants having lower mortality rates compared to similar females in the registries, while males had higher than expected cardiovascular mortality rates in RCTs compared to similar males in registries.</t>
  </si>
  <si>
    <t>Association between low fetal fraction in cell-free DNA screening and fetal chromosomal aberrations: A systematic review and meta-analysis.</t>
  </si>
  <si>
    <t>Becking, Ellis C; Schuit, Ewoud; van Baar de Knegt, Sophie M E; Sistermans, Erik A; Henneman, Lidewij; Bekker, Mireille N; Scheffer, Peter G</t>
  </si>
  <si>
    <t>prenatal diagnosis</t>
  </si>
  <si>
    <t>https://pubmed.ncbi.nlm.nih.gov/37143173</t>
  </si>
  <si>
    <t>To perform a systematic review and meta-analysis of the available literature on low fetal fraction (LFF) in cell-free DNA (cfDNA) screening and the risk of fetal chromosomal aberrations. We searched articles published between January 2010 and May 2021 in PubMed and EMBASE databases. Risk of bias was assessed using QUADAS-2. Twenty-seven studies met the inclusion criteria, comprising data of 243,700 singleton pregnancies. Compared to normal fetal fraction, LFF was associated with a higher risk of trisomy 13 (OR 5.99 [3.61-9.95], I &lt;sup&gt;2&lt;/sup&gt; of heterogeneity = 0%, n = 22 studies), trisomy 18 (OR 4.46 [3.07-6.47], I &lt;sup&gt;2&lt;/sup&gt;  = 0%, n = 22 studies), monosomy X (OR 5.88 [2.34-14.78], I &lt;sup&gt;2&lt;/sup&gt;  = 18%, n = 10 studies), and triploidy (OR 36.39 [9.83-134.68], I &lt;sup&gt;2&lt;/sup&gt;  = 61%, n = 6 studies), but not trisomy 21 (OR 1.25 [0.76-2.03], I &lt;sup&gt;2&lt;/sup&gt;  = 36%, n = 23 studies). LFF was also associated with a higher risk of various other types of fetal chromosomal aberrations (OR 4.00 [1.78-9.00], I &lt;sup&gt;2&lt;/sup&gt;  = 2%, n = 11 studies). Meta-analysis of proportions showed that absolute rates of fetal chromosomal aberrations ranged between 1% and 2% in women with LFF. A limitation of this review is the potential risk of ascertainment bias because of differences in outcome assessment between pregnancies with LFF and those with normal fetal fraction. Heterogeneity in population characteristics or applied technologies across included studies may not have been fully addressed. An LFF test result in cfDNA screening is associated with an increased risk of fetal trisomy 13, trisomy 18, monosomy X, and triploidy, but not trisomy 21. Further research is needed to assess the association between LFF and other specific types of fetal chromosomal aberrations.</t>
  </si>
  <si>
    <t>Associations between dietary inflammatory scores and biomarkers of inflammation in the European Prospective Investigation into Cancer and Nutrition (EPIC) cohort.</t>
  </si>
  <si>
    <t>Lécuyer, Lucie; Laouali, Nasser; Viallon, Vivian; Artaud, Fanny; Hébert, James R; Shivappa, Nitin; Agudo, Antonio; Tjønneland, Anne; Mellemkjær, Lene; Kaaks, Rudolf; Katzke, Verena A; Schulze, Matthias B; Frenoy, Pauline; Mancini, Francesca Romana; De Magistris, Maria Santucci; Macciotta, Alessandra; Masala, Giovanna; Agnoli, Claudia; Tumino, Rosario; Boer, Jolanda M A; Verschuren, W M Monique; Enget Jensen, Torill M; Olsen, Karina Standahl; Skeie, Guri; Chirlaque, María-Dolores; Petrova, Dafina; Castro-Espin, Carlota; Quirós, J Ramón; Guevara, Marcela; Amiano, Pilar; Borné, Yan; Sandström, Maria; Nilsson, Lena Maria; Heath, Alicia K; Mayen, Ana-Lucia; Huybrechts, Inge; Weiderpass, Elisabete; Boutron-Ruault, Marie-Christine; Dossus, Laure; Rinaldi, Sabina; Truong, Thérèse</t>
  </si>
  <si>
    <t>https://pubmed.ncbi.nlm.nih.gov/37271707</t>
  </si>
  <si>
    <t>Since the first version of the dietary inflammatory index (DII®) developed in the past decade, several other versions have been developed. However, to date no study has attempted to compare these versions with respect to their associations with biomarkers of inflammation. We aimed to investigate the relationship between four dietary inflammatory scores [DII, two energy-adjusted derivatives (E-DII and E-DII&lt;sub&gt;r&lt;/sub&gt;), and the Inflammatory Score of the Diet (ISD)], and circulating levels of several inflammatory markers and adipokines. This study included 17 637 participants from the European Prospective Investigation into Cancer and Nutrition (EPIC) cohort with at least one marker of inflammation measured in blood. Associations between the four scores and C-reactive protein (CRP), interleukin (IL)6, IL10, IL1RA, tumor necrosis factor-α (TNFα), soluble tumor necrosis factor receptor-1 (sTNFR1), sTNFR2, leptin, soluble leptin receptor (sLeptin R), adiponectin, and High Molecular Weight (HMW) adiponectin were evaluated using multivariable linear regressions adjusted for potential confounders. Positive associations were observed between the four dietary inflammatory scores and levels of CRP, IL6, sTNFR1, sTNFR2 and leptin. However, only the DII and the ISD were positively associated with IL1RA levels and only the DII and the E-DII&lt;sub&gt;r&lt;/sub&gt; were positively associated with TNFα levels. The proportion of variance of each biomarker explained by the scores was lower than 2%, which was equivalent to the variance explained by smoking status but much lower than that explained by body mass index. Our results suggest that the four dietary inflammatory scores were associated with some biomarkers of inflammation and could be used to assess the inflammatory potential of diet in European adults but are not sufficient to capture the inflammatory status of an individual. These findings can help to better understand the inflammatory potential of diet, but they need to be replicated in studies with repeated dietary measurements.</t>
  </si>
  <si>
    <t>Co-cultures of colon cancer cells and cancer-associated fibroblasts recapitulate the aggressive features of mesenchymal-like colon cancer.</t>
  </si>
  <si>
    <t>Strating, Esther; Verhagen, Mathijs P; Wensink, Emerens; Dünnebach, Ester; Wijler, Liza; Aranguren, Itziar; De la Cruz, Alberto Sanchez; Peters, Niek A; Hageman, Joris H; van der Net, Mirjam M C; van Schelven, Susanne; Laoukili, Jamila; Fodde, Riccardo; Roodhart, Jeanine; Nierkens, Stefan; Snippert, Hugo; Gloerich, Martijn; Rinkes, Inne Borel; Elias, Sjoerd G; Kranenburg, Onno</t>
  </si>
  <si>
    <t>https://pubmed.ncbi.nlm.nih.gov/37261365</t>
  </si>
  <si>
    <t>Poor prognosis in colon cancer is associated with a high content of cancer-associated fibroblasts (CAFs) and an immunosuppressive tumor microenvironment. The relationship between these two features is incompletely understood. Here, we aimed to generate a model system for studying the interaction between cancer cells and CAFs and their effect on immune-related cytokines and T cell proliferation. CAFs were isolated from colon cancer liver metastases and were immortalized to prolong lifespan and improve robustness and reproducibility. Established medium and matrix compositions that support the growth of patient-derived organoids were adapted to also support CAF growth. Changes in growth pattern and cellular re-organization were assessed by confocal microscopy, live cell imaging, and immunofluorescence. Single cell RNA sequencing was used to study CAF/organoid co-culture-induced phenotypic changes in both cell types. Conditioned media were used to quantify the production of immunosuppressive factors and to assess their effect on T cell proliferation. We developed a co-culture system in which colon cancer organoids and CAFs spontaneously organize into superstructures with a high capacity to contract and stiffen the extracellular matrix (ECM). CAF-produced collagen IV provided a basement membrane supporting cancer cell organization into glandular structures, reminiscent of human cancer histology. Single cell RNA sequencing analysis showed that CAFs induced a partial epithelial-to-mesenchymal-transition in a subpopulation of cancer cells, similar to what is observed in the mesenchymal-like consensus molecular subtype 4 (CMS4) colon cancer. CAFs in co-culture were characterized by high expression of ECM components, ECM-remodeling enzymes, glycolysis, hypoxia, and genes involved in immunosuppression. An expression signature derived from CAFs in co-culture identified a subpopulation of glycolytic myofibroblasts specifically residing in CMS1 and CMS4 colon cancer. Medium conditioned by co-cultures contained high levels of the immunosuppressive factors TGFβ1, VEGFA and lactate, and potently inhibited T cell proliferation. Co-cultures of organoids and immortalized CAFs recapitulate the histological, biophysical, and immunosuppressive features of aggressive mesenchymal-like human CRC. The model can be used to study the mechanisms of immunosuppression and to test therapeutic strategies targeting the cross-talk between CAFs and cancer cells. It can be further modified to represent distinct colon cancer subtypes and (organ-specific) microenvironments.</t>
  </si>
  <si>
    <t>Corrigendum: Characterization of the degree of food processing in the European Prospective Investigation into Cancer and Nutrition: application of the Nova classification and validation using selected biomarkers of food processing.</t>
  </si>
  <si>
    <t>Huybrechts, Inge; Rauber, Fernanda; Nicolas, Geneviève; Casagrande, Corinne; Kliemann, Nathalie; Wedekind, Roland; Biessy, Carine; Scalbert, Augustin; Touvier, Mathilde; Aleksandrova, Krasimira; Jakszyn, Paula; Skeie, Guri; Bajracharya, Rashmita; Boer, Jolanda M A; Borné, Yan; Chajes, Veronique; Dahm, Christina C; Dansero, Lucia; Guevara, Marcela; Heath, Alicia K; Ibsen, Daniel B; Papier, Keren; Katzke, Verena; Kyrø, Cecilie; Masala, Giovanna; Molina-Montes, Esther; Robinson, Oliver J K; Santiuste de Pablos, Carmen; Schulze, Matthias B; Simeon, Vittorio; Sonestedt, Emily; Tjønneland, Anne; Tumino, Rosario; van der Schouw, Yvonne T; Verschuren, W M Monique; Vozar, Beatrice; Winkvist, Anna; Gunter, Marc J; Monteiro, Carlos A; Millett, Christopher; Levy, Renata Bertazzi</t>
  </si>
  <si>
    <t>frontiers in nutrition</t>
  </si>
  <si>
    <t>https://pubmed.ncbi.nlm.nih.gov/37260516</t>
  </si>
  <si>
    <t>[This corrects the article DOI: 10.3389/fnut.2022.1035580.].</t>
  </si>
  <si>
    <t>Identifying distinct clinical clusters in heart failure with mildly reduced ejection fraction.</t>
  </si>
  <si>
    <t>Meijs, Claartje; Brugts, Jasper J; Lund, Lars H; Linssen, Gerard C M; Rocca, Hans-Peter Brunner-La; Dahlström, Ulf; Vaartjes, Ilonca; Koudstaal, Stefan; Asselbergs, Folkert W; Savarese, Gianluigi; Uijl, Alicia</t>
  </si>
  <si>
    <t>international journal of cardiology</t>
  </si>
  <si>
    <t>https://pubmed.ncbi.nlm.nih.gov/37201609</t>
  </si>
  <si>
    <t>Heart failure (HF) is a heterogeneous syndrome, and the specific sub-category HF with mildly reduced ejection fraction (EF) range (HFmrEF; 41-49% EF) is only recently recognised as a distinct entity. Cluster analysis can characterise heterogeneous patient populations and could serve as a stratification tool in clinical trials and for prognostication. The aim of this study was to identify clusters in HFmrEF and compare cluster prognosis. Latent class analysis to cluster HFmrEF patients based on their characteristics was performed in the Swedish HF registry (n = 7316). Identified clusters were validated in a Dutch cross-sectional HF registry-based dataset CHECK-HF (n = 1536). In Sweden, mortality and hospitalisation across the clusters were compared using a Cox proportional hazard model, with a Fine-Gray sub-distribution for competing risks and adjustment for age and sex. Six clusters were discovered with the following prevalence and hazard ratio with 95% confidence intervals (HR [95%CI]) vs. cluster 1: 1) low-comorbidity (17%, reference), 2) ischaemic-male (13%, HR 0.9 [95% CI 0.7-1.1]), 3) atrial fibrillation (20%, HR 1.5 [95% CI 1.2-1.9]), 4) device/wide QRS (9%, HR 2.7 [95% CI 2.2-3.4]), 5) metabolic (19%, HR 3.1 [95% CI 2.5-3.7]) and 6) cardio-renal phenotype (22%, HR 2.8 [95% CI 2.2-3.6]). The cluster model was robust between both datasets. We found robust clusters with potential clinical meaning and differences in mortality and hospitalisation. Our clustering model could be valuable as a clinical differentiation support and prognostic tool in clinical trial design.</t>
  </si>
  <si>
    <t>The Trial within Cohorts (TwiCs) study design in oncology: experience and methodological reflections.</t>
  </si>
  <si>
    <t>Kessels, Rob; May, Anne M; Koopman, Miriam; Roes, Kit C B</t>
  </si>
  <si>
    <t>https://pubmed.ncbi.nlm.nih.gov/37179306</t>
  </si>
  <si>
    <t>A Trial within Cohorts (TwiCs) study design is a trial design that uses the infrastructure of an observational cohort study to initiate a randomized trial. Upon cohort enrollment, the participants provide consent for being randomized in future studies without being informed. Once a new treatment is available, eligible cohort participants are randomly assigned to the treatment or standard of care. Patients randomized to the treatment arm are offered the new treatment, which they can choose to refuse. Patients who refuse will receive standard of care instead. Patients randomized to the standard of care arm receive no information about the trial and continue receiving standard of care as part of the cohort study. Standard cohort measures are used for outcome comparisons. The TwiCs study design aims to overcome some issues encountered in standard Randomized Controlled Trials (RCTs). An example of an issue in standard RCTs is the slow patient accrual. A TwiCs study aims to improve this by selecting patients using a cohort and only offering the intervention to patients in the intervention arm. In oncology, the TwiCs study design has gained increasing interest during the last decade. Despite its potential advantages over RCTs, the TwiCs study design has several methodological challenges that need careful consideration when planning a TwiCs study. In this article, we focus on these challenges and reflect on them using experiences from TwiCs studies initiated in oncology. Important methodological challenges that are discussed are the timing of randomization, the issue of non-compliance (refusal) after randomization in the intervention arm, and the definition of the intention-to-treat effect in a TwiCs study and how this effect is related to its counterpart in standard RCTs.</t>
  </si>
  <si>
    <t>Towards optimal use of antithrombotic therapy of people with cancer at the end of life: A research protocol for the development and implementation of the SERENITY shared decision support tool.</t>
  </si>
  <si>
    <t>Goedegebuur, J; Abbel, D; Accassat, S; Achterberg, W P; Akbari, A; Arfuch, V M; Baddeley, E; Bax, J J; Becker, D; Bergmeijer, B; Bertoletti, L; Blom, J W; Calvetti, A; Cannegieter, S C; Castro, L; Chavannes, N H; Coma-Auli, N; Couffignal, C; Edwards, A; Edwards, M; Enggaard, H; Font, C; Gava, A; Geersing, G J; Geijteman, E C T; Greenley, S; Gregory, C; Gussekloo, J; Hoffmann, I; Højen, A A; van den Hout, W B; Huisman, M V; Jacobsen, S; Jagosh, J; Johnson, M J; Jørgensen, L; Juffermans, C C M; Kempers, E K; Konstantinides, S; Kroder, A F; Kruip, M J H A; Lafaie, L; Langendoen, J W; Larsen, T B; Lifford, K; van der Linden, Y M; Mahé, I; Maiorana, L; Maraveyas, A; Martens, E S L; Mayeur, D; van Mens, T E; Mohr, K; Mooijaart, S P; Murtagh, F E M; Nelson, A; Nielsen, P B; Ording, A G; Ørskov, M; Pearson, M; Poenou, G; Portielje, J E A; Raczkiewicz, D; Rasmussen, K; Trinks-Roerdink, E; Schippers, I; Seddon, K; Sexton, K; Sivell, S; Skjøth, F; Søgaard, M; Szmit, S; Trompet, S; Vassal, P; Viss</t>
  </si>
  <si>
    <t>thrombosis research</t>
  </si>
  <si>
    <t>https://pubmed.ncbi.nlm.nih.gov/37276718</t>
  </si>
  <si>
    <t>Even though antithrombotic therapy has probably little or even negative effects on the well-being of people with cancer during their last year of life, deprescribing antithrombotic therapy at the end of life is rare in practice. It is often continued until death, possibly resulting in excess bleeding, an increased disease burden and higher healthcare costs. The SERENITY consortium comprises researchers and clinicians from eight European countries with specialties in different clinical fields, epidemiology and psychology. SERENITY will use a comprehensive approach combining a realist review, flash mob research, epidemiological studies, and qualitative interviews. The results of these studies will be used in a Delphi process to reach a consensus on the optimal design of the shared decision support tool. Next, the shared decision support tool will be tested in a randomised controlled trial. A targeted implementation and dissemination plan will be developed to enable the use of the SERENITY tool across Europe, as well as its incorporation in clinical guidelines and policies. The entire project is funded by Horizon Europe. SERENITY will develop an information-driven shared decision support tool that will facilitate treatment decisions regarding the appropriate use of antithrombotic therapy in people with cancer at the end of life. We aim to develop an intervention that guides the appropriate use of antithrombotic therapy, prevents bleeding complications, and saves healthcare costs. Hopefully, usage of the tool leads to enhanced empowerment and improved quality of life and treatment satisfaction of people with advanced cancer and their care givers.</t>
  </si>
  <si>
    <t>Cross-sectional health centre and community-based evaluation of the impact of pneumococcal and malaria vaccination on antibiotic prescription and usage, febrile illness and antimicrobial resistance in young children in Malawi: the IVAR study protocol.</t>
  </si>
  <si>
    <t>Singleton, David; Ibarz-Pavon, Ana; Swarthout, Todd D; Bonomali, Farouck; Cornick, Jennifer; Kalizang'oma, Akuzike; Ntiza, Noah; Brown, Comfort; Chipatala, Raphael; Nyangulu, Wongani; Chirombo, James; Kawalazira, Gift; Chibowa, Henry; Mwansambo, Charles; Maleta, Kenneth Mphatso; French, Neil; Heyderman, Robert S</t>
  </si>
  <si>
    <t>https://pubmed.ncbi.nlm.nih.gov/37173105</t>
  </si>
  <si>
    <t>Vaccination is a potentially critical component of efforts to arrest development and dissemination of antimicrobial resistance (AMR), though little is known about vaccination impact within low-income and middle-income countries. This study will evaluate the impact of vaccination on reducing carriage prevalence of resistant &lt;i&gt;Streptococcus pneumoniae&lt;/i&gt; and extended spectrum beta-lactamase-producing &lt;i&gt;Escherichia coli&lt;/i&gt; and &lt;i&gt;Klebsiella&lt;/i&gt; species. We will leverage two large ongoing cluster-randomised vaccine evaluations in Malawi assessing; first, adding a booster dose to the 13-valent pneumococcal conjugate vaccine (PCV13) schedule, and second, introduction of the RTS,S/AS01 malaria vaccine. Six cross-sectional surveys will be implemented within primary healthcare centres (n=3000 users of outpatient facilities per survey) and their local communities (n=700 healthy children per survey): three surveys in Blantyre district (PCV13 component) and three surveys in Mangochi district (RTS,S/AS01 component). We will evaluate antibiotic prescription practices and AMR carriage in children ≤3 years. For the PCV13 component, surveys will be conducted 9, 18 and 33 months following a 3+0 to 2+1 schedule change. For the RTS,S/AS01 component, surveys will be conducted 32, 44 and 56 months post-RTS,S/AS01 introduction. Six health centres in each study component will be randomly selected for study inclusion. Between intervention arms, the primary outcome will be the difference in penicillin non-susceptibility prevalence among &lt;i&gt;S. pneumoniae&lt;/i&gt; nasopharyngeal carriage isolates in healthy children. The study is powered to detect an absolute change of 13 percentage points (ie, 35% vs 22% penicillin non-susceptibility). This study has been approved by the Kamuzu University of Health Sciences (Ref: P01-21-3249), University College London (Ref: 18331/002) and University of Liverpool (Ref: 9908) Research Ethics Committees. Parental/caregiver verbal or written informed consent will be obtained prior to inclusion or recruitment in the health centre-based and community-based activities, respectively. Results will be disseminated via the Malawi Ministry of Health, WHO, peer-reviewed publications and conference presentations.</t>
  </si>
  <si>
    <t>Early Detection of Brain Metastases in a Supervised Exercise Program for Patients with Advanced Breast Cancer: A Case Report.</t>
  </si>
  <si>
    <t>Pelaez, Mireia; Stuiver, Martijn M; Broekman, Marike; Schmitz, Kathryn H; Zopf, Eva M; Clauss, Dorothea; Wengström, Yvonne; Rosenberger, Friederike; Steindorf, Karen; Urruticoechea, Ander; May, Anne M</t>
  </si>
  <si>
    <t>https://pubmed.ncbi.nlm.nih.gov/37170950</t>
  </si>
  <si>
    <t>Around 25% of metastatic breast cancer (mBC) patients develop brain metastases, which vastly affects their overall survival and quality of life. According to the current clinical guidelines, regular magnetic resonance imaging screening is not recommended unless patients have recognized central nervous system-related symptoms. The patient participated in the EFFECT study, a randomized controlled trial aimed to assess the effects of a 9-month structured, individualized and supervised exercise intervention on quality of life, fatigue and other cancer and treatment-related side effects in patients with mBC. She attended the training sessions regularly and was supervised by the same trainer throughout the exercise program. In month 7 of participation, her exercise trainer detected subtle symptoms (e.g., changes in movement pattern, eye movement or balance), which had not been noticed or reported by the patient herself or her family, and which were unlikely to have been detected by the oncologist or other health care providers at that point since symptoms were exercise related. When suspicion of brain metastases was brought to the attention of the oncologist by the exercise trainer, the response was immediate, and led to early detection and treatment of brain metastases. The brain metastases of this patient were detected earlier due to the recognition of subtle symptoms detected by her exercise trainer and the trust and rapid action by the clinician. The implementation of physical exercise programs for cancer patients requires well-trained professionals who know how to recognize possible alterations in patients and also, good communication between trainers and the medical team to enable the necessary actions to be taken.</t>
  </si>
  <si>
    <t>Immunosuppression for immune-related adverse events during checkpoint inhibition: an intricate balance.</t>
  </si>
  <si>
    <t>Verheijden, Rik J; van Eijs, Mick J M; May, Anne M; van Wijk, Femke; Suijkerbuijk, Karijn P M</t>
  </si>
  <si>
    <t>npj precision oncology</t>
  </si>
  <si>
    <t>https://pubmed.ncbi.nlm.nih.gov/37173424</t>
  </si>
  <si>
    <t>Immune checkpoint inhibitors (ICIs) have changed perspectives for patients with cancer, but come with severe immune-related adverse events (irAEs). To prevent fatality or chronicity, these irAEs are often promptly treated with high-dose immunosuppressants. Until recently, evidence on the effects of irAE management on ICI efficacy has been sparse. As a result, algorithms for irAE management are mostly expert-opinion based and barely consider possible detrimental effects of immunosuppressants on ICI efficacy. However, recent growing evidence suggests that vigorous immunosuppressive management of irAEs comes with unfavourable effects on ICI efficacy and survival. With expansion of the indications of ICIs, evidence-based treatment of irAEs without hampering tumour control becomes more and more important. In this review, we discuss novel evidence from pre-clinical and clinical studies on the effects of different irAE management regimens including corticosteroids, TNF inhibition and tocilizumab on cancer control and survival. We provide recommendations for pre-clinical research, cohort studies and clinical trials that can help clinicians in tailored irAE management, minimising patients' burden while maintaining ICI efficacy.</t>
  </si>
  <si>
    <t>Patient-derived head and neck cancer organoids allow treatment stratification and serve as a tool for biomarker validation and identification.</t>
  </si>
  <si>
    <t>Millen, Rosemary; De Kort, Willem W B; Koomen, Mandy; van Son, Gijs J F; Gobits, Roán; Penning de Vries, Bas; Begthel, Harry; Zandvliet, Maurice; Doornaert, Patricia; Raaijmakers, Cornelis P J; Geurts, Maarten H; Elias, Sjoerd G; van Es, Robert J J; de Bree, Remco; Devriese, Lot A; Willems, Stefan M; Kranenburg, Onno; Driehuis, Else; Clevers, Hans</t>
  </si>
  <si>
    <t>med new york ny</t>
  </si>
  <si>
    <t>https://pubmed.ncbi.nlm.nih.gov/37178682</t>
  </si>
  <si>
    <t>Organoids are in vitro three-dimensional structures that can be grown from patient tissue. Head and neck cancer (HNC) is a collective term used for multiple tumor types including squamous cell carcinomas and salivary gland adenocarcinomas. Organoids were established from HNC patient tumor tissue and characterized using immunohistochemistry and DNA sequencing. Organoids were exposed to chemo- and radiotherapy and a panel of targeted agents. Organoid response was correlated with patient clinical response. CRISPR-Cas9-based gene editing of organoids was applied for biomarker validation. A HNC biobank consisting of 110 models, including 65 tumor models, was generated. Organoids retained DNA alterations found in HNC. Comparison of organoid and patient response to radiotherapy (primary [n = 6] and adjuvant [n = 15]) indicated potential for guiding treatment options in the adjuvant setting. In organoids, the radio-sensitizing potential of cisplatin and carboplatin could be validated. However, cetuximab conveyed radioprotection in most models. HNC-targeted treatments were tested on 31 models, indicating possible novel treatment options with the potential for treatment stratification in the future. Activating PIK3CA mutations did not predict alpelisib response in organoids. Protein arginine methyltransferase 5 (PRMT5) inhibitors were identified as a potential treatment option for cyclin-dependent kinase inhibitor 2A (CDKN2A) null HNC. Organoids hold potential as a diagnostic tool in personalized medicine for HNC. In vitro organoid response to radiotherapy (RT) showed a trend that mimics clinical response, indicating the predictive potential of patient-derived organoids. Moreover, organoids could be used for biomarker discovery and validation. This work was funded by Oncode PoC 2018-P0003.</t>
  </si>
  <si>
    <t>Social and physical neighbourhood characteristics and 10-year incidence of depression and anxiety in older adults: Results from the Longitudinal Aging Study Amsterdam.</t>
  </si>
  <si>
    <t>Motoc, Irina; Hoogendijk, Emiel O; Timmermans, Erik J; Deeg, Dorly; Penninx, Brenda W J H; Huisman, Martijn</t>
  </si>
  <si>
    <t>social science medicine</t>
  </si>
  <si>
    <t>https://pubmed.ncbi.nlm.nih.gov/37207380</t>
  </si>
  <si>
    <t>A growing literature suggests that neighbourhood characteristics are associated with mental health outcomes, but the evidence in older adults is inconsistent. We investigated the association of neighbourhood characteristics, pertaining to demographic, socio-economic, social and physical environment domains, with the subsequent 10-year incidence of depression and anxiety, in Dutch older adults. In the Longitudinal Aging Study Amsterdam depressive and anxiety symptoms were assessed four times between 2005/2006 and 2015/2016, using the Center for Epidemiological Studies Depression Scale (n = 1365) and the Anxiety subscale of the Hospital Anxiety and Depression Scale (n = 1420). Neighbourhood-level data on urban density, percent population over 65 years of age, percent immigrants, average house price, average income, percent low-income earners, social security beneficiaries, social cohesion, safety, proximity to retail facilities, housing quality, percent green space, percent water coverage, air pollution (particulate matter (PM2.5)), and traffic noise, were obtained for study baseline years 2005/2006. Cox proportional hazard regression models, clustered within neighbourhood, were used to estimate the association between each neighbourhood-level characteristic and the incidence of depression and anxiety. The incidence of depression and anxiety was 19.9 and 13.2 per 1000 person-years, respectively. Neighbourhood characteristics were not associated with the incidence of depression. However, various neighbourhood characteristics were associated with an increased incidence of anxiety, including: higher urban density level, higher percent immigrants, greater proximity to retail facilities, lower housing quality score, lower safety score, higher PM2.5 levels and less green space. Our results indicate that several neighbourhood characteristics are associated with anxiety but not with depression incidence in older age. Several of these characteristics have the potential to be modifiable and thus could serve as a target for interventions at the neighbourhood-level in improving anxiety, provided that future studies replicate our findings and provide further evidence for a causal effect.</t>
  </si>
  <si>
    <t>The cross-sectional association between amyloid burden and white matter hyperintensities in older adults without cognitive impairment: A systematic review and meta-analysis.</t>
  </si>
  <si>
    <t>Twait, Emma L; Min, Britt; Beran, Magdalena; Vonk, Jet M J; Geerlings, Mirjam I</t>
  </si>
  <si>
    <t>ageing research reviews</t>
  </si>
  <si>
    <t>https://pubmed.ncbi.nlm.nih.gov/37178806</t>
  </si>
  <si>
    <t>Alzheimer's disease (AD) is the most common cause of dementia, characterized by the aggregation of amyloid-beta (Aβ) proteins into plaques. Individuals with AD frequently show mixed pathologies, often caused by cerebral small vessel disease (CSVD), resulting in lesions such as white matter hyperintensities (WMH). The current systematic review and meta-analysis investigated the cross-sectional relationship between amyloid burden and WMH in older adults without objective cognitive impairment. A systematic search performed in PubMed, Embase, and PsycINFO yielded 13 eligible studies. Aβ was assessed using PET, CSF, or plasma measurements. Two meta-analyses were performed: one on Cohen's d metrics and one on correlation coefficients. The meta-analyses revealed an overall weighted small-to-medium Cohen's d of 0.55 (95% CI: 0.31-0.78) in CSF, an overall correlation of 0.31 (0.09-0.50) in CSF, and a large Cohen's d of 0.96 (95% CI: 0.66-1.27) in PET. Only two studies assessed this relationship in plasma, with an effect size of - 0.20 (95% CI: -0.75 to 0.34). These findings indicate a relationship between both amyloid and vascular pathologies in cognitively normal adults in PET and CSF. Future studies should assess the possible relationship of blood amyloid-beta and WMH for broader identification of at risk individuals showing mixed pathology in preclinical stages.</t>
  </si>
  <si>
    <t>Moderators of exercise effects on self-reported cognitive functioning in cancer survivors: an individual participant data meta-analysis.</t>
  </si>
  <si>
    <t>Hiensch, Anouk E; Beckhaus, Julia; Witlox, Lenja; Monninkhof, Evelyn M; Schagen, Sanne B; van Vulpen, Jonna K; Sweegers, Maike G; Newton, Robert U; Aaronson, Neil K; Galvão, Daniel A; Steindorf, Karen; Stuiver, Martijn M; Mesters, Ilse; Knoop, Hans; Goedendorp, Martine M; Bohus, Martin; Thorsen, Lene; Schulz, Karl-Heinz; Schmidt, Martina E; Ulrich, Cornelia M; Sonke, Gabe S; van Harten, Wim H; Winters-Stone, Kerri M; Velthuis, Miranda J; Taaffe, Dennis R; van Mechelen, Willem; Kersten, Marie José; Nollet, Frans; Wiskemann, Joachim; Buffart, Laurien M; May, Anne M</t>
  </si>
  <si>
    <t>journal of cancer survivorship research and practice</t>
  </si>
  <si>
    <t>https://pubmed.ncbi.nlm.nih.gov/37160571</t>
  </si>
  <si>
    <t>This individual participant data meta-analysis (IPD-MA) assesses exercise effects on self-reported cognitive functioning (CF) and investigates whether effects differ by patient-, intervention-, and exercise-related characteristics. IPD from 16 exercise RCTs, including 1987 patients across multiple types of non-metastatic cancer, was pooled. A one-stage IPD-MA using linear mixed-effect models was performed to assess exercise effects on self-reported CF (z-score) and to identify whether the effect was moderated by sociodemographic, clinical, intervention- and exercise-related characteristics, or fatigue, depression, anxiety, and self-reported CF levels at start of the intervention (i.e., baseline). Models were adjusted for baseline CF and included a random intercept at study level to account for clustering of patients within studies. A sensitivity analysis was performed in patients who reported cognitive problems at baseline. Minimal significant beneficial exercise effects on self-reported CF (β=-0.09 [-0.16; -0.02]) were observed, with slightly larger effects when the intervention was delivered post-treatment (n=745, β=-0.13 [-0.24; -0.02]), and no significant effect during cancer treatment (n=1,162, β=-0.08 [-0.18; 0.02]). Larger effects were observed in interventions of 12 weeks or shorter (β=-0.14 [-0.25; -0.04]) or 24 weeks or longer (β=-0.18 [-0.32; -0.02]), whereas no effects were observed in interventions of 12-24 weeks (β=0.01 [-0.13; 0.15]). Exercise interventions were most beneficial when provided to patients without anxiety symptoms (β=-0.10 [-0.19; -0.02]) or after completion of treatment in patients with cognitive problems (β=-0.19 [-0.31; -0.06]). No other significant moderators were identified. This cross-cancer IPD meta-analysis observed small beneficial exercise effects on self-reported CF when the intervention was delivered post-treatment, especially in patients who reported cognitive problems at baseline. This study provides some evidence to support the prescription of exercise to improve cognitive functioning. Sufficiently powered trials are warranted to make more definitive recommendations and include these in the exercise guidelines for cancer survivors.</t>
  </si>
  <si>
    <t>Assessing heterogeneity of electronic health-care databases: A case study of background incidence rates of venous thromboembolism.</t>
  </si>
  <si>
    <t>Russek, Martin; Quinten, Chantal; de Jong, Valentijn M T; Cohet, Catherine; Kurz, Xavier</t>
  </si>
  <si>
    <t>https://pubmed.ncbi.nlm.nih.gov/37068170</t>
  </si>
  <si>
    <t>Heterogeneous results from multi-database studies have been observed, for example, in the context of generating background incidence rates (IRs) for adverse events of special interest for SARS-CoV-2 vaccines. In this study, we aimed to explore different between-database sources of heterogeneity influencing the estimated background IR of venous thromboembolism (VTE). Through forest plots and random-effects models, we performed a qualitative and quantitative assessment of heterogeneity of VTE background IR derived from 11 databases from 6 European countries, using age and gender stratified background IR for the years 2017-2019 estimated in two studies. Sensitivity analyses were performed to assess the impact of selection criteria on the variability of the reported IR. A total of 54 257 284 subjects were included in this study. Age-gender pooled VTE IR varied from 5 to 421/100 000 person-years and IR increased with increasing age for both genders. Wide confidence intervals (CIs) demonstrated considerable within-data-source heterogeneity. Selecting databases with similar characteristics had only a minor impact on the variability as shown in forest plots and the magnitude of the I&lt;sup&gt;2&lt;/sup&gt; statistic, which remained large. Solely including databases with primary care and hospital data resulted in a noticeable decrease in heterogeneity. Large variability in IR between data sources and within age group and gender strata warrants the need for stratification and limits the feasibility of a meaningful pooled estimate. A more detailed knowledge of the data characteristics, operationalisation of case definitions and cohort population might support an informed choice of the adequate databases to calculate reliable estimates.</t>
  </si>
  <si>
    <t>Perceived facilitators and barriers by esophageal cancer survivors participating in a post-treatment exercise program.</t>
  </si>
  <si>
    <t>van Vulpen, Jonna K; Witlox, Lenja; Methorst-de Haan, Alida C; Hiensch, Anouk E; van Hillegersberg, Richard; Ruurda, Jelle P; Nieuwenhuijzen, Grard A P; Kouwenhoven, Ewout A; Siersema, Peter D; May, Anne M</t>
  </si>
  <si>
    <t>https://pubmed.ncbi.nlm.nih.gov/37148366</t>
  </si>
  <si>
    <t>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When implementing postoperative exercise programs in clinical care, it can be useful to be aware of perceived facilitators and barriers of cancer survivors in order to achieve optimal exercise adherence and maximize beneficial exercise effects. Dutch Trial Register NTR 5045.</t>
  </si>
  <si>
    <t>Prediction of Radiation-Induced Parotid Gland-Related Xerostomia in Patients With Head and Neck Cancer: Regeneration-Weighted Dose.</t>
  </si>
  <si>
    <t>van Rijn-Dekker, Maria I; van Luijk, Peter; Schuit, Ewoud; van der Schaaf, Arjen; Langendijk, Johannes A; Steenbakkers, Roel J H M</t>
  </si>
  <si>
    <t>https://pubmed.ncbi.nlm.nih.gov/37150262</t>
  </si>
  <si>
    <t>Despite improvements to treatment, patients with head and neck cancer (HNC) still experience radiation-induced xerostomia due to salivary gland damage. The stem cells of the parotid gland (PG), concentrated in the gland's main ducts (stem cell rich [SCR] region), play a critical role in the PG's response to radiation. Treatment optimization requires a dose metric that properly accounts for the relative contributions of dose to this SCR region and the PG's remainder (non-SCR region) to the risk of xerostomia in normal tissue complication probability (NTCP) models for xerostomia. Treatment and toxicity data of 1013 prospectively followed patients with HNC treated with definitive radiation therapy (RT) were used. The regeneration-weighted dose, enabling accounting for the hypothesized different effects of dose to the SCR and non-SCR region on the risk of xerostomia, was defined as D&lt;sub&gt;reg&lt;/sub&gt; PG = D&lt;sub&gt;mean&lt;/sub&gt; SCR region + r × D&lt;sub&gt;mean&lt;/sub&gt; non-SCR region, where D&lt;sub&gt;reg&lt;/sub&gt; is the regeneration-weighted dose, D&lt;sub&gt;mean&lt;/sub&gt; is the mean dose, and r is the weighting factor. Considering the different volumes of these regions, r &gt; 3.6 in D&lt;sub&gt;reg&lt;/sub&gt; PG demonstrates an enhanced effect of the SCR region. The most predictive value of r was estimated in 102 patients of a previously published trial testing stem cell sparing RT. For each endpoint, D&lt;sub&gt;reg&lt;/sub&gt; PG, dose to other organs, and clinical factors were used to develop NTCP models using multivariable logistic regression analysis in 663 patients. The models were validated in 350 patients. Dose to the contralateral PG was associated with daytime, eating-related, and physician-rated grade ≥2 xerostomia. Consequently, r was estimated and found to be smaller than 3.6 for most PG function-related endpoints. Therefore, the contribution of D&lt;sub&gt;mean&lt;/sub&gt; SCR region to the risk of xerostomia was larger than predicted by D&lt;sub&gt;mean&lt;/sub&gt; PG. Other frequently selected predictors were pretreatment xerostomia and D&lt;sub&gt;mean&lt;/sub&gt; oral cavity. The validation showed good discrimination and calibration. Tools for clinical implementation of stem cell sparing RT were developed: regeneration-weighted dose to the parotid gland that accounted for regional differences in radiosensitivity within the gland and NTCP models that included this new dose metric and other prognostic factors.</t>
  </si>
  <si>
    <t>Displaying concerns within telephone triage conversations of callers with chest discomfort in out-of-hours primary care: A conversation analytic study.</t>
  </si>
  <si>
    <t>Spek, Michelle; van Charldorp, Tessa C; Vinck, Vera V; Venekamp, Roderick P; Rutten, Frans H; Zwart, Dorien L; de Groot, Esther</t>
  </si>
  <si>
    <t>patient education and counseling</t>
  </si>
  <si>
    <t>https://pubmed.ncbi.nlm.nih.gov/37150153</t>
  </si>
  <si>
    <t>In primary care out of hours service (OHS-PC), triage nurses ask questions to assign urgency level for medical assessment. A semi-automatic decision tool (the Netherlands Triage Standard, NTS) facilitates triage nurses with key questions, but does not leave much room for paying attention to callers' concerns. We wanted to understand how callers with chest pain formulate their concerns and are helped further during telephone triage. We conducted a conversation analytic study of 68 triage calls from callers with chest discomfort who contacted OHS-PC of which we selected 35 transcripts in which concerns were raised. We analyzed expressions of concerns and the corresponding triage nurse response. Due to the task-oriented nature of the NTS, callers' concerns were overlooked. For callers, however, discussing concerns was relevant, stressed by the finding that the majority of callers with chest discomfort expressed concerns. Interactional difficulties in concern-related discussions arised directly after expressed concerns if not handled adequately, or during the switch to the counseling phase. When callers display concerns during telephone triage, we recommend triage nurses to explore them briefly and then return to the sequence of tasks described in the NTS-assisted triage process.</t>
  </si>
  <si>
    <t>Process Evaluation of a Wireless Wearable Continuous Vital Signs Monitoring Intervention in 2 General Hospital Wards: Mixed Methods Study.</t>
  </si>
  <si>
    <t>Leenen, Jobbe P L; Rasing, Henriëtte J M; Kalkman, Cor J; Schoonhoven, Lisette; Patijn, Gijsbert A</t>
  </si>
  <si>
    <t>jmir nursing</t>
  </si>
  <si>
    <t>https://pubmed.ncbi.nlm.nih.gov/37140977</t>
  </si>
  <si>
    <t>Continuous monitoring of vital signs (CMVS) using wearable wireless sensors is increasingly available to patients in general wards and can improve outcomes and reduce nurse workload. To assess the potential impact of such systems, successful implementation is important. We developed a CMVS intervention and implementation strategy and evaluated its success in 2 general wards. We aimed to assess and compare intervention fidelity in 2 wards (internal medicine and general surgery) of a large teaching hospital. A mixed methods sequential explanatory design was used. After thorough training and preparation, CMVS was implemented-in parallel with the standard intermittent manual measurements-and executed for 6 months in each ward. Heart rate and respiratory rate were measured using a chest-worn wearable sensor, and vital sign trends were visualized on a digital platform. Trends were routinely assessed and reported each nursing shift without automated alarms. The primary outcome was intervention fidelity, defined as the proportion of written reports and related nurse activities in case of deviating trends comparing early (months 1-2), mid- (months 3-4), and late (months 5-6) implementation periods. Explanatory interviews with nurses were conducted. The implementation strategy was executed as planned. A total of 358 patients were included, resulting in 45,113 monitored hours during 6142 nurse shifts. In total, 10.3% (37/358) of the sensors were replaced prematurely because of technical failure. Mean intervention fidelity was 70.7% (SD 20.4%) and higher in the surgical ward (73.6%, SD 18.1% vs 64.1%, SD 23.7%; P&lt;.001). Fidelity decreased over the implementation period in the internal medicine ward (76%, 57%, and 48% at early, mid-, and late implementation, respectively; P&lt;.001) but not significantly in the surgical ward (76% at early implementation vs 74% at midimplementation [P=.56] vs 70.7% at late implementation [P=.07]). No nursing activities were needed based on vital sign trends for 68.7% (246/358) of the patients. In 174 reports of 31.3% (112/358) of the patients, observed deviating trends led to 101 additional bedside assessments of patients and 73 consultations by physicians. The main themes that emerged during interviews (n=21) included the relative priority of CMVS in nurse work, the importance of nursing assessment, the relatively limited perceived benefits for patient care, and experienced mediocre usability of the technology. We successfully implemented a system for CMVS at scale in 2 hospital wards, but our results show that intervention fidelity decreased over time, more in the internal medicine ward than in the surgical ward. This decrease appeared to depend on multiple ward-specific factors. Nurses' perceptions regarding the value and benefits of the intervention varied. Implications for optimal implementation of CMVS include engaging nurses early, seamless integration into electronic health records, and sophisticated decision support tools for vital sign trend interpretation.</t>
  </si>
  <si>
    <t>Stereotactic Body radiotherapy and pedicLE screw fixatioN During one hospital visit for patients with symptomatic unstable spinal metastases: a randomized trial (BLEND RCT) using the Trials within Cohorts (TwiCs) design.</t>
  </si>
  <si>
    <t>Huele, E H; van der Velden, J M; Kasperts, N; Eppinga, W S C; Grutters, J P C; Suelmann, B B M; Weening, A A; Delawi, D; Teunissen, S C C M; Verkooijen, H M; Verlaan, J J; Gal, R</t>
  </si>
  <si>
    <t>https://pubmed.ncbi.nlm.nih.gov/37143158</t>
  </si>
  <si>
    <t>Spinal metastases can lead to unremitting pain and neurological deficits, which substantially impair daily functioning and quality of life. Patients with unstable spinal metastases receive surgical stabilization followed by palliative radiotherapy as soon as wound healing allows. The time between surgery and radiotherapy delays improvement of mobility, radiotherapy-induced pain relief, local tumor control, and restart of systemic oncological therapy. Stereotactic body radiotherapy (SBRT) enables delivery of preoperative high-dose radiotherapy while dose-sparing the surgical field, allowing stabilizing surgery within only hours. Patients may experience earlier recovery of mobility, regression of pain, and return to systemic oncological therapy. The BLEND RCT evaluates the effectiveness of SBRT followed by surgery within 24 h for the treatment of symptomatic, unstable spinal metastases. This phase III randomized controlled trial is embedded within the PRospective Evaluation of interventional StudiEs on boNe meTastases (PRESENT) cohort. Patients with symptomatic, unstable spinal metastases requiring stabilizing surgery and radiotherapy will be randomized (1:1). The intervention group (n = 50) will be offered same-day SBRT and surgery, which they can accept or refuse. According to the Trial within Cohorts (TwiCs) design, the control group (n = 50) will not be informed and receive standard treatment (surgery followed by conventional radiotherapy after 1-2 weeks when wound healing allows). Baseline characteristics and outcome measures will be captured within PRESENT. The primary outcome is physical functioning (EORTC-QLQ-C15-PAL) 4 weeks after start of treatment. Secondary endpoints include pain response, time until return to systemic oncological therapy, quality of life, local tumor control, and adverse events up to 3 months post-treatment. The BLEND RCT evaluates the effect of same-day SBRT and stabilizing surgery for the treatment of symptomatic, unstable spinal metastases compared with standard of care. We expect better functional outcomes, faster pain relief, and continuation of systemic oncological therapy. The TwiCs design enables efficient recruitment within an ongoing cohort, as well as prevention of disappointment bias and drop-out as control patients will not be informed about the trial. ClinicalTrials.gov NCT05575323. Registered on October 11, 2022.</t>
  </si>
  <si>
    <t>Sex comparisons in the association of prediabetes and type 2 diabetes with cognitive function, depression, and quality of life: The Maastricht study.</t>
  </si>
  <si>
    <t>de Ritter, Rianneke; Sep, Simone J S; van der Kallen, Carla J H; van Greevenbroek, Marleen M J; Koster, Annemarie; Eussen, Simone J P M; Dagnelie, Pieter C; van Boxtel, Martin; Schram, Miranda T; Köhler, Sebastian; Martens, Jordi A J; Snobl, Lucia; Vos, Rimke C; Stehouwer, Coen D A; Peters, Sanne A E</t>
  </si>
  <si>
    <t>diabetic medicine a journal of the british diabetic association</t>
  </si>
  <si>
    <t>https://pubmed.ncbi.nlm.nih.gov/37052591</t>
  </si>
  <si>
    <t>There are sex differences in the excess risk of diabetes-associated cardiovascular disease. However, it is not clear whether these sex differences exist with regard to other complications like mental health aspects. Therefore, we investigated sex differences in the association of prediabetes and type 2 diabetes (T2D) with cognitive function, depression, and quality of life (QoL). In a population-based cross-sectional cohort study (n = 7639; age 40-75 years, 50% women, 25% T2D), we estimated sex-specific associations, and differences therein, of prediabetes and T2D (reference: normal glucose metabolism) with measures of cognitive function, depression, and physical and mental QoL. Sex differences were analysed using multiple regression models with interaction terms. In general, T2D, but not prediabetes, was associated with higher odds of cognitive impairment, major depressive disorder, and poorer QoL. The odds ratio (OR) of cognitive impairment associated with T2D was 1.29 (95% CI: 0.96-1.72) for women and 1.39 (1.10-1.75) for men. The OR of major depressive disorder associated with T2D was 1.19 (0.69-2.04) for women and 1.68 (1.02-2.75) for men. The mean difference of the physical QoL score (ranging from 0 to 100, with 100 indicating the best possible QoL) associated with T2D was -2.09 (-2.92 to -1.25) for women and -1.81 (-2.48 to -1.13) for men. The mean difference of the mental QoL score associated with T2D was -0.90 (-1.79 to -0.02) for women and -0.52 (-1.23 to 0.20) for men. There was no clear pattern of sex differences in the associations of either prediabetes or T2D with measures of cognitive function, depression, or QoL. In general, T2D was associated with worse cognitive function, depression, and poorer QoL. The strength of these associations was similar among women and men.</t>
  </si>
  <si>
    <t>Comparative effectiveness of β-lactams for empirical treatment of methicillin-susceptible Staphylococcus aureus bacteraemia: a prospective cohort study.</t>
  </si>
  <si>
    <t>Buis, D T P; van der Vaart, T W; Prins, J M; van der Meer, J T M; Bonten, M J M; Sieswerda, E; van Werkhoven, C H; Sigaloff, K C E; Herpers, B L; Jansen, R R; Rozemeijer, W; Soetekouw, R; van Twillert, G; Veenstra, J</t>
  </si>
  <si>
    <t>https://pubmed.ncbi.nlm.nih.gov/36897327</t>
  </si>
  <si>
    <t>Standard once-daily dosing of ceftriaxone may not lead to adequate antibiotic exposure in all cases of Staphylococcus aureus bacteraemia (SAB). Therefore, we compared clinical effectiveness of empirical antibiotic treatment with flucloxacillin, cefuroxime and ceftriaxone in adult patients with MSSA bacteraemia. We analysed data from the Improved Diagnostic Strategies in Staphylococcus aureus bacteraemia (IDISA) study, a multicentre prospective cohort study of adult patients with MSSA bacteraemia. Duration of bacteraemia and 30 day SAB-related mortality were compared between the three groups using multivariable mixed-effects Cox regression analyses. In total, 268 patients with MSSA bacteraemia were included in the analyses. Median duration of empirical antibiotic therapy was 3 (IQR 2-3) days in the total study population. Median duration of bacteraemia was 1.0 (IQR 1.0-3.0) day in the flucloxacillin, cefuroxime and ceftriaxone groups. In multivariable analyses, neither ceftriaxone nor cefuroxime was associated with increased duration of bacteraemia compared with flucloxacillin (HR 1.08, 95% CI 0.73-1.60 and HR 1.22, 95% CI 0.88-1.71). In multivariable analysis, neither cefuroxime nor ceftriaxone was associated with higher 30 day SAB-related mortality compared with flucloxacillin [subdistribution HR (sHR) 1.37, 95% CI 0.42-4.52 and sHR 1.93, 95% CI 0.67-5.60]. In this study, we could not demonstrate a difference in duration of bacteraemia and 30 day SAB-related mortality between patients with SAB empirically treated with flucloxacillin, cefuroxime or ceftriaxone. Since sample size was limited, it is possible the study was underpowered to find a clinically relevant effect.</t>
  </si>
  <si>
    <t>Managing the Increasing Burden of Atrial Fibrillation through Integrated Care in Primary Care: A Cost-Effectiveness Analysis.</t>
  </si>
  <si>
    <t>van den Dries, Carline J; van der Meulen, Miriam P; Frederix, Geert W J; Hoes, Arno W; Moons, Karel G M; Geersing, Geert-Jan</t>
  </si>
  <si>
    <t>https://pubmed.ncbi.nlm.nih.gov/37151778</t>
  </si>
  <si>
    <t>Integrated care for patients with atrial fibrillation (AF) in primary care reduced mortality compared to usual care. We assessed the cost-effectiveness of this approach. Dutch primary care practices were randomised to provide integrated care for AF patients or usual care. A cost-effectiveness analysis was performed from a societal perspective with a 2-year time horizon to estimate incremental costs and Quality Adjusted Life Years (QALYs). A sensitivity analysis was performed, imputing missing questionnaires for a large group of usual care patients. 522 patients from 15 intervention practices were compared to 425 patients from 11 usual care practices. No effect on QALYs was seen, while mean costs indicated a cost reduction between €865 (95% percentile interval (PI) -€5730 to €3641) and €1343 (95% PI -€6534 to €3109) per patient per 2 years. The cost-effectiveness probability ranged between 36% and 54%. In the sensitivity analysis, this increased to 95%-99%. Results should be interpreted with caution due to missing information for a large proportion of usual care patients. The higher costs from extra primary care consultations were likely outweighed by cost reductions for other resources, yet this study doesn't give sufficient clarity on the cost-effectiveness of integrated AF care.</t>
  </si>
  <si>
    <t>Transparent reporting of multivariable prediction models for individual prognosis or diagnosis: checklist for systematic reviews and meta-analyses (TRIPOD-SRMA).</t>
  </si>
  <si>
    <t>Snell, Kym I E; Levis, Brooke; Damen, Johanna A A; Dhiman, Paula; Debray, Thomas P A; Hooft, Lotty; Reitsma, Johannes B; Moons, Karel G M; Collins, Gary S; Riley, Richard D</t>
  </si>
  <si>
    <t>https://pubmed.ncbi.nlm.nih.gov/37137496</t>
  </si>
  <si>
    <t>Most clinical specialties have a plethora of studies that develop or validate one or more prediction models, for example, to inform diagnosis or prognosis. Having many prediction model studies in a particular clinical field motivates the need for systematic reviews and meta-analyses, to evaluate and summarise the overall evidence available from prediction model studies, in particular about the predictive performance of existing models. Such reviews are fast emerging, and should be reported completely, transparently, and accurately. To help ensure this type of reporting, this article describes a new reporting guideline for systematic reviews and meta-analyses of prediction model research.</t>
  </si>
  <si>
    <t>Point prevalence audit surveys of respiratory tract infection consultations and antibiotic prescribing in primary care before and during the COVID-19 pandemic in Ireland.</t>
  </si>
  <si>
    <t>Shah, M; Fleming, A; Barbosa, T M; van der Velden, A W; Parveen, S; Vellinga, A</t>
  </si>
  <si>
    <t>https://pubmed.ncbi.nlm.nih.gov/36974983</t>
  </si>
  <si>
    <t>Respiratory tract infections (RTIs) are the most common reason for prescribing antibiotics in general practice. The COVID-19 pandemic has impacted on antibiotic prescribing and delivery of primary care in Ireland. To assess the quality of antibiotic prescribing, the impact of the COVID-19 pandemic and identify opportunities for antimicrobial stewardship (AMS) in Ireland. Point prevalence audit surveys for RTI consultations were conducted as part of a European study at three time periods: January-February 2020, March-May 2020 and March-May 2021. Antibiotic prescribing was assessed and comparisons made between the three time periods. In total, 765 consultations were recorded, which were mainly face to face before the pandemic, but changed to predominantly remote consultations during the pandemic surveys in 2020 and 2021 (82% and 75%). Antibiotics were prescribed in 54% of RTI consultations before the pandemic. During pandemic surveys, this dropped to 23% in 2020 and 21% in 2021. There was a decrease in prescribing of Red (reserve) agents in 2021. Assessment against indication-specific quality indicators showed a high proportion of consultations for bronchitis and tonsillitis resulting in an antibiotic prescription (67% and 85%). Point-of-care testing (POCT) to aid diagnosis of RTIs were utilized in less than 1% of consultations. During the COVID-19 pandemic, there was a reduction in antibiotic prescribing. Opportunities identified to support AMS in primary care in Ireland are targeted initiatives to reduce antibiotic prescribing for bronchitis and tonsillitis and introducing POCT to support appropriate antibiotic prescribing.</t>
  </si>
  <si>
    <t>Identification of biomarkers for glycaemic deterioration in type 2 diabetes.</t>
  </si>
  <si>
    <t>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t>
  </si>
  <si>
    <t>https://pubmed.ncbi.nlm.nih.gov/37137910</t>
  </si>
  <si>
    <t>We identify biomarkers for disease progression in three type 2 diabetes cohorts encompassing 2,973 individuals across three molecular classes, metabolites, lipids and proteins. Homocitrulline, isoleucine and 2-aminoadipic acid, eight triacylglycerol species, and lowered sphingomyelin 42:2;2 levels are predictive of faster progression towards insulin requirement. Of ~1,300 proteins examined in two cohorts, levels of GDF15/MIC-1, IL-18Ra, CRELD1, NogoR, FAS, and ENPP7 are associated with faster progression, whilst SMAC/DIABLO, SPOCK1 and HEMK2 predict lower progression rates. In an external replication, proteins and lipids are associated with diabetes incidence and prevalence. NogoR/RTN4R injection improved glucose tolerance in high fat-fed male mice but impaired it in male db/db mice. High NogoR levels led to islet cell apoptosis, and IL-18R antagonised inflammatory IL-18 signalling towards nuclear factor kappa-B in vitro. This comprehensive, multi-disciplinary approach thus identifies biomarkers with potential prognostic utility, provides evidence for possible disease mechanisms, and identifies potential therapeutic avenues to slow diabetes progression.</t>
  </si>
  <si>
    <t>Identifying risk factors for COPD and adult-onset asthma: an umbrella review.</t>
  </si>
  <si>
    <t>Holtjer, Judith C S; Bloemsma, Lizan D; Beijers, Rosanne J H C G; Cornelissen, Merel E B; Hilvering, Bart; Houweling, Laura; Vermeulen, Roel C H; Downward, George S; Maitland-Van der Zee, Anke-Hilse; ,</t>
  </si>
  <si>
    <t>european respiratory review an official journal of the european respiratory society</t>
  </si>
  <si>
    <t>https://pubmed.ncbi.nlm.nih.gov/37137510</t>
  </si>
  <si>
    <t>COPD and adult-onset asthma (AOA) are the most common noncommunicable respiratory diseases. To improve early identification and prevention, an overview of risk factors is needed. We therefore aimed to systematically summarise the nongenetic (exposome) risk factors for AOA and COPD. Additionally, we aimed to compare the risk factors for COPD and AOA. In this umbrella review, we searched PubMed for articles from inception until 1 February 2023 and screened the references of relevant articles. We included systematic reviews and meta-analyses of observational epidemiological studies in humans that assessed a minimum of one lifestyle or environmental risk factor for AOA or COPD. In total, 75 reviews were included, of which 45 focused on risk factors for COPD, 28 on AOA and two examined both. For asthma, 43 different risk factors were identified while 45 were identified for COPD. For AOA, smoking, a high body mass index (BMI), wood dust exposure and residential chemical exposures, such as formaldehyde exposure or exposure to volatile organic compounds, were amongst the risk factors found. For COPD, smoking, ambient air pollution including nitrogen dioxide, a low BMI, indoor biomass burning, childhood asthma, occupational dust exposure and diet were amongst the risk factors found. Many different factors for COPD and asthma have been found, highlighting the differences and similarities. The results of this systematic review can be used to target and identify people at high risk for COPD or AOA.</t>
  </si>
  <si>
    <t>The boundary problem: Defining and delineating the community in field trials with gene drive organisms.</t>
  </si>
  <si>
    <t>de Graeff, Nienke; Pirson, Isabelle; van der Graaf, Rieke; Bredenoord, Annelien L; Jongsma, Karin R</t>
  </si>
  <si>
    <t>https://pubmed.ncbi.nlm.nih.gov/37133893</t>
  </si>
  <si>
    <t>Despite widespread and worldwide efforts to eradicate vector-borne diseases such as malaria, these diseases continue to have an enormous negative impact on public health. For this reason, scientists are working on novel control strategies, such as gene drive technologies (GDTs). As GDT research advances, researchers are contemplating the potential next step of conducting field trials. An important point of discussion regarding these field trials relates to who should be informed, consulted, and involved in decision-making about their design and launch. It is generally argued that community members have a particularly strong claim to be engaged, and yet, disagreement and lack of clarity exist about how this "community" should be defined and delineated. In this paper, we shed light on this "boundary problem": the problem of determining how boundaries of inclusion and exclusion in (GDT) community engagement should be drawn. As our analysis demonstrates, the process of defining and delineating a community is itself normative. First, we explicate why it is important to define and delineate the community. Second, we demonstrate that different definitions of community are used and intermingled in the debate on GDTs, and argue in favor of distinguishing geographical, affected, cultural, and political communities. Finally, we propose initial guidance for deciding who should (not) be engaged in decision-making about GDT field trials, by arguing that the definition and delineation of the community should depend on the rationale for engagement and that the characteristics of the community itself can guide the effective design of community engagement strategies.</t>
  </si>
  <si>
    <t>Machine Learning and Statistics in Clinical Research Articles-Moving Past the False Dichotomy.</t>
  </si>
  <si>
    <t>Finlayson, Samuel G; Beam, Andrew L; van Smeden, Maarten</t>
  </si>
  <si>
    <t>jama pediatrics</t>
  </si>
  <si>
    <t>https://pubmed.ncbi.nlm.nih.gov/36939696</t>
  </si>
  <si>
    <t>Clinical consequences of off-label reduced dosing of non-vitamin K antagonist oral anticoagulants in patients with atrial fibrillation: a systematic review and meta-analysis.</t>
  </si>
  <si>
    <t>Joosten, Linda P T; van Maanen, Rosanne; van den Dries, Carline J; Rutten, Frans H; Hoes, Arno W; Granger, Christopher B; Hemels, Martin E W; Geersing, Geert-Jan; van Doorn, Sander</t>
  </si>
  <si>
    <t>https://pubmed.ncbi.nlm.nih.gov/37169490</t>
  </si>
  <si>
    <t>Postmarketing observational studies report that a substantial percentage of patients with atrial fibrillation (AF) receive a reduced non-vitamin K antagonist oral anticoagulant (NOAC) dose without a clear indication. Recently, increasing evidence has become available to explore the clinical consequences of such off-label reduced dosing (OLRD). This study aims to systematically review and meta-analyse observational studies that report clinical outcomes associated with OLRD of NOACs compared with on-label non-reduced dosing (OLNRD) of NOACs in patients with AF. We performed a systematic literature review and meta-analysis of observational studies reporting clinical outcomes in AF patients with OLRD of an NOAC compared with AF patients with OLNRD of an NOAC. Using random effects meta-analyses, we estimated the risk of stroke/thromboembolism, bleeding and all-cause mortality. We included 19 studies with a total of 170 394 NOAC users. In these studies, the percentage of OLRD among patients with an indication for an on-label non-reduced NOAC dose ranged between 9% and 53%. 7 of these 19 studies met the predefined criteria for meta-analysis (n=80 725 patients). The pooled HR associated with OLRD of NOACs was 1.04 (95% CI 0.83 to 1.29; 95% prediction interval (PI) 0.60 to 1.79) for stroke/thromboembolism, 1.10 (95% CI 0.95 to 1.29; 95% PI 0.81 to 1.50) for bleeding and 1.22 (95% CI 0.81 to 1.84; 95% PI 0.55 to 2.70) for all-cause mortality. This meta-analysis shows no statistically significant increased risk of stroke/thromboembolism, nor a decreased bleeding risk, nor a difference in risk of all-cause mortality in patients with OLRD of NOACs. Future research may focus on differences between NOACs.</t>
  </si>
  <si>
    <t>Ambient Air Pollution and All-Cause and Cause-Specific Mortality in an Analysis of Asian Cohorts.</t>
  </si>
  <si>
    <t>Downward, G S; Vermeulen, R; ,</t>
  </si>
  <si>
    <t>research report health effects institute</t>
  </si>
  <si>
    <t>https://pubmed.ncbi.nlm.nih.gov/37424069</t>
  </si>
  <si>
    <t>Much of what is currently known about the adverse effects of ambient air pollution comes from studies conducted in high-income regions, with relatively low air pollution levels. The aim of the current project is to examine the relationship between exposure to ambient air pollution (as predicted from satellite-based models) and all-cause and cause-specific mortality in several Asian cohorts. Cohorts were recruited from the Asia Cohort Consortium (ACC). The geocoded residences of participants were assigned levels of ambient particulate material with aerodynamic diameter of 2.5 μm or less (PM&lt;sub&gt;2.5&lt;/sub&gt;) and nitrogen dioxide (NO&lt;sub&gt;2&lt;/sub&gt;) utilizing global satellite-derived models and assigned for the year of enrollment (or closest available year). The association between ambient exposure and mortality was established with Cox proportional hazard models, after adjustment for common confounders. Both single- and two-pollutant models were generated. Model robustness was evaluated, and hazard ratios were calculated for each cohort separately and combined via random effect meta-analysis for pooled risk estimates. Six cohort studies from the ACC participated: the Community-based Cancer Screening Program (CBCSCP, Taiwan), the Golestan Cohort Study (Iran), the Health Effects for Arsenic Longitudinal Study (HEALS, Bangladesh), the Japan Public Health Center-based Prospective Study (JPHC), the Korean Multi-center Cancer Cohort Study (KMCC), and the Mumbai Cohort Study (MCS, India). The cohorts represented over 340,000 participants. Mean exposures to PM&lt;sub&gt;2.5&lt;/sub&gt; ranged from 8 to 58 μg/m&lt;sup&gt;3&lt;/sup&gt;. Mean exposures to NO&lt;sub&gt;2&lt;/sub&gt; ranged from 7 to 23 ppb. For PM&lt;sub&gt;2.5&lt;/sub&gt;, a positive, borderline nonsignificant relationship was observed between PM&lt;sub&gt;2.5&lt;/sub&gt; and cardiovascular mortality. Other relationships with PM&lt;sub&gt;2.5&lt;/sub&gt; tended toward the null in meta-analysis. For NO&lt;sub&gt;2&lt;/sub&gt;, an overall positive relationship was observed between exposure to NO&lt;sub&gt;2&lt;/sub&gt; and all cancers and lung cancer. A borderline association between NO&lt;sub&gt;2&lt;/sub&gt; and nonmalignant lung disease was also observed. The findings within individual cohorts remained consistent across a variety of subgroups and alternative analyses, including two-pollutant models. In a pooled examination of cohort studies across Asia, ambient PM&lt;sub&gt;2.5&lt;/sub&gt; exposure appears to be associated with an increased risk of cardiovascular mortality and ambient NO&lt;sub&gt;2&lt;/sub&gt; exposure is associated with an increased cancer (and lung cancer) mortality. This project has shown that satellite-derived models of pollution can be used in examinations of mortality risk in areas with either incomplete or missing air pollution monitoring.</t>
  </si>
  <si>
    <t>Intersurgeon Variability in Local Treatment Planning for Patients with Initially Unresectable Colorectal Cancer Liver Metastases: Analysis of the Liver Expert Panel of the Dutch Colorectal Cancer Group.</t>
  </si>
  <si>
    <t>Bond, Marinde J G; Kuiper, Babette I; Bolhuis, Karen; Komurcu, Aysun; van Amerongen, Martinus J; Chapelle, Thiery; Dejong, Cornelis H C; Engelbrecht, Marc R W; Gerhards, Michael F; Grünhagen, Dirk J; van Gulik, Thomas; Hermans, John J; de Jong, Koert P; Klaase, Joost M; Kok, Niels F M; Leclercq, Wouter K G; Liem, Mike S L; van Lienden, Krijn P; Molenaar, I Quintus; Neumann, Ulf P; Patijn, Gijs A; Rijken, Arjen M; Ruers, Theo M; Verhoef, Cornelis; de Wilt, Johannes H W; Kazemier, Geert; May, Anne M; Punt, Cornelis J A; Swijnenburg, Rutger-Jan</t>
  </si>
  <si>
    <t>https://pubmed.ncbi.nlm.nih.gov/37118612</t>
  </si>
  <si>
    <t>Consensus on resectability criteria for colorectal cancer liver metastases (CRLM) is lacking, resulting in differences in therapeutic strategies. This study evaluated variability of resectability assessments and local treatment plans for patients with initially unresectable CRLM by the liver expert panel from the randomised phase III CAIRO5 study. The liver panel, comprising surgeons and radiologists, evaluated resectability by predefined criteria at baseline and 2-monthly thereafter. If surgeons judged CRLM as resectable, detailed local treatment plans were provided. The panel chair determined the conclusion of resectability status and local treatment advice, and forwarded it to local surgeons. A total of 1149 panel evaluations of 496 patients were included. Intersurgeon disagreement was observed in 50% of evaluations and was lower at baseline than follow-up (36% vs. 60%, p &lt; 0.001). Among surgeons in general, votes for resectable CRLM at baseline and follow-up ranged between 0-12% and 27-62%, and for permanently unresectable CRLM between 3-40% and 6-47%, respectively. Surgeons proposed different local treatment plans in 77% of patients. The most pronounced intersurgeon differences concerned the advice to proceed with hemihepatectomy versus parenchymal-preserving approaches. Eighty-four percent of patients judged by the panel as having resectable CRLM indeed received local treatment. Local surgeons followed the technical plan proposed by the panel in 40% of patients. Considerable variability exists among expert liver surgeons in assessing resectability and local treatment planning of initially unresectable CRLM. This stresses the value of panel-based decisions, and the need for consensus guidelines on resectability criteria and technical approach to prevent unwarranted variability in clinical practice.</t>
  </si>
  <si>
    <t>Imputation and missing indicators for handling missing data in the development and deployment of clinical prediction models: A simulation study.</t>
  </si>
  <si>
    <t>Sisk, Rose; Sperrin, Matthew; Peek, Niels; van Smeden, Maarten; Martin, Glen Philip</t>
  </si>
  <si>
    <t>https://pubmed.ncbi.nlm.nih.gov/37105540</t>
  </si>
  <si>
    <t>&lt;b&gt;Background:&lt;/b&gt; In clinical prediction modelling, missing data can occur at any stage of the model pipeline; development, validation or deployment. Multiple imputation is often recommended yet challenging to apply at deployment; for example, the outcome cannot be in the imputation model, as recommended under multiple imputation. Regression imputation uses a fitted model to impute the predicted value of missing predictors from observed data, and could offer a pragmatic alternative at deployment. Moreover, the use of missing indicators has been proposed to handle informative missingness, but it is currently unknown how well this method performs in the context of clinical prediction models. &lt;b&gt;Methods&lt;/b&gt;: We simulated data under various missing data mechanisms to compare the predictive performance of clinical prediction models developed using both imputation methods. We consider deployment scenarios where missing data is permitted or prohibited, imputation models that use or omit the outcome, and clinical prediction models that include or omit missing indicators. We assume that the missingness mechanism remains constant across the model pipeline. We also apply the proposed strategies to critical care data. &lt;b&gt;Results&lt;/b&gt;: With complete data available at deployment, our findings were in line with existing recommendations; that the outcome should be used to impute development data when using multiple imputation and omitted under regression imputation. When missingness is allowed at deployment, omitting the outcome from the imputation model at the development was preferred. Missing indicators improved model performance in many cases but can be harmful under outcome-dependent missingness. &lt;b&gt;Conclusion&lt;/b&gt;: We provide evidence that commonly taught principles of handling missing data via multiple imputation may not apply to clinical prediction models, particularly when data can be missing at deployment. We observed comparable predictive performance under multiple imputation and regression imputation. The performance of the missing data handling method must be evaluated on a study-by-study basis, and the most appropriate strategy for handling missing data at development should consider whether missing data are allowed at deployment. Some guidance is provided.</t>
  </si>
  <si>
    <t>Safety of COVID-19 Vaccines Among the Paediatric Population: Analysis of the European Surveillance Systems and Pivotal Clinical Trials.</t>
  </si>
  <si>
    <t>Ahmadizar, Fariba; Luxi, Nicoletta; Raethke, Monika; Schmikli, Sandor; Riefolo, Fabio; Saraswati, Putri Widi; Bucsa, Camelia; Osman, Alhadi; Liddiard, Megan; Maques, Francisco Batel; Petrelli, Giuliana; Sonderlichová, Simona; Thurin, Nicolas H; Villalobos, Felipe; Trifirò, Gianluca; Sturkenboom, Miriam; ,</t>
  </si>
  <si>
    <t>https://pubmed.ncbi.nlm.nih.gov/37103643</t>
  </si>
  <si>
    <t>The European Medicine Agency extended the use of Comirnaty, Spikevax, and Nuvaxovid in paediatrics; thus, these vaccines require additional real-world safety evidence. Herein, we aimed to monitor the safety of COVID-19 vaccines through Covid-19 Vaccine Monitor (CVM) and EudraVigilance surveillance systems and the published pivotal clinical trials. In a prospective cohort of vaccinees aged between 5 and 17 years, we measured the frequency of commonly reported (local/systemic solicited) and serious adverse drug events (ADRs) following the first and second doses of COVID-19 vaccines in Europe using data from the CVM cohort until April 2022. The results of previous pivotal clinical trials and data in the EudraVigilance were also analysed. The CVM study enrolled 658 first-dose vaccinees (children aged 5-11 years; n = 250 and adolescents aged 12-17 years; n = 408). Local/systemic solicited ADRs were common, whereas serious ADRs were uncommon. Among Comirnaty first and second dose recipients, 28.8% and 17.1% of children and 54.2% and 52.2% of adolescents experienced at least one ADR, respectively; injection-site pain (29.2% and 20.7%), fatigue (16.1% and 12.8%), and headache (22.1% and 19.3%) were the most frequent local and systemic ADRs. Results were consistent but slightly lower than in pivotal clinical trials. Reporting rates in Eudravigilance were lower by a factor of 1000. The CVM study showed high frequencies of local solicited reactions after vaccination but lower rates than in pivotal clinical trials. Injection-site pain, fatigue, and headache were the most commonly reported ADRs for clinical trials, but higher than spontaneously reported data.</t>
  </si>
  <si>
    <t>Randomized Trial of BCG Vaccine to Protect against Covid-19 in Health Care Workers.</t>
  </si>
  <si>
    <t>Pittet, Laure F; Messina, Nicole L; Orsini, Francesca; Moore, Cecilia L; Abruzzo, Veronica; Barry, Simone; Bonnici, Rhian; Bonten, Marc; Campbell, John; Croda, Julio; Dalcolmo, Margareth; Gardiner, Kaya; Gell, Grace; Germano, Susie; Gomes-Silva, Adriano; Goodall, Casey; Gwee, Amanda; Jamieson, Tenaya; Jardim, Bruno; Kollmann, Tobias R; Lacerda, Marcus V G; Lee, Katherine J; Lucas, Michaela; Lynn, David J; Manning, Laurens; Marshall, Helen S; McDonald, Ellie; Munns, Craig F; Nicholson, Suellen; O'Connell, Abby; de Oliveira, Roberto D; Perlen, Susan; Perrett, Kirsten P; Prat-Aymerich, Cristina; Richmond, Peter C; Rodriguez-Baño, Jesus; Dos Santos, Glauce; da Silva, Patricia V; Teo, Jia Wei; Villanueva, Paola; Warris, Adilia; Wood, Nicholas J; Davidson, Andrew; Curtis, Nigel; ,</t>
  </si>
  <si>
    <t>https://pubmed.ncbi.nlm.nih.gov/37099341</t>
  </si>
  <si>
    <t>The bacille Calmette-Guérin (BCG) vaccine has immunomodulatory "off-target" effects that have been hypothesized to protect against coronavirus disease 2019 (Covid-19). In this international, double-blind, placebo-controlled trial, we randomly assigned health care workers to receive the BCG-Denmark vaccine or saline placebo and followed them for 12 months. Symptomatic Covid-19 and severe Covid-19, the primary outcomes, were assessed at 6 months; the primary analyses involved the modified intention-to-treat population, which was restricted to participants with a negative test for severe acute respiratory syndrome coronavirus 2 at baseline. A total of 3988 participants underwent randomization; recruitment ceased before the planned sample size was reached owing to the availability of Covid-19 vaccines. The modified intention-to-treat population included 84.9% of the participants who underwent randomization: 1703 in the BCG group and 1683 in the placebo group. The estimated risk of symptomatic Covid-19 by 6 months was 14.7% in the BCG group and 12.3% in the placebo group (risk difference, 2.4 percentage points; 95% confidence interval [CI], -0.7 to 5.5; P = 0.13). The risk of severe Covid-19 by 6 months was 7.6% in the BCG group and 6.5% in the placebo group (risk difference, 1.1 percentage points; 95% CI, -1.2 to 3.5; P = 0.34); the majority of participants who met the trial definition of severe Covid-19 were not hospitalized but were unable to work for at least 3 consecutive days. In supplementary and sensitivity analyses that used less conservative censoring rules, the risk differences were similar but the confidence intervals were narrower. There were five hospitalizations due to Covid-19 in each group (including one death in the placebo group). The hazard ratio for any Covid-19 episode in the BCG group as compared with the placebo group was 1.23 (95% CI, 0.96 to 1.59). No safety concerns were identified. Vaccination with BCG-Denmark did not result in a lower risk of Covid-19 among health care workers than placebo. (Funded by the Bill and Melinda Gates Foundation and others; BRACE ClinicalTrials.gov number, NCT04327206.).</t>
  </si>
  <si>
    <t>Home monitoring by pulse oximetry of primary care patients with COVID-19: a pilot randomised controlled trial.</t>
  </si>
  <si>
    <t>Smit, Karin; Venekamp, Roderick P; Krol, Loeke A; Geersing, Geert-Jan; Schoonhoven, Lisette; Kaasjager, Karin Ah; Rutten, Frans H; Zwart, Dorien Lm</t>
  </si>
  <si>
    <t>https://pubmed.ncbi.nlm.nih.gov/37105736</t>
  </si>
  <si>
    <t>Pulse oximetry as a home or remote monitoring tool accelerated during the pandemic for patients with COVID-19, but evidence on its use is lacking. To assess the feasibility of home monitoring by pulse oximetry of patients aged ≥40 years with cardiovascular comorbidity and moderate-to-severe COVID-19. A primary care-based, open, pilot randomised controlled trial, with nested process evaluation, was undertaken in the Netherlands. From November 2020 to June 2021, eligible patients presenting to one of 14 participating Dutch general practices were randomly allocated to regular measurement of peripheral oxygen saturation (at least three SpO&lt;sub&gt;2&lt;/sub&gt; measurements per day for 14 days) with a validated pulse oximeter or usual care. All 41 participants (21 intervention, 20 usual care) completed the 45-day follow-up period. Overall, the intervention group performed 97.6% of protocolised measurements; the median daily measurement per participant was 2.7 (interquartile range 1-4). Hypoxemia (SpO&lt;sub&gt;2&lt;/sub&gt; &lt;94%) was reported in 10 participants (in 52 measurements); of those, six consulted the GP as instructed. Participants reported a high feeling of safety (0-100 visual analogue scale): 71.8 for the intervention group versus 59.8 for the control (&lt;i&gt;P&lt;/i&gt; = 0.09). Primary care consultations were similar across groups: 50 for the intervention versus 51 for the control. Eleven visits by 10 participants were made to the emergency department (eight from the intervention group versus three from usual care), of which six participants were hospitalised (five intervention versus one usual care). No participants were admitted to the intensive care unit or died during follow-up. Home monitoring of patients with moderate-to-severe COVID-19 by pulse oximetry appeared feasible; adherence was high, patients reported a high feeling of safety, while the number of primary care consultations remained similar to usual care.</t>
  </si>
  <si>
    <t>A nutritional biomarker score of the Mediterranean diet and incident type 2 diabetes: Integrated analysis of data from the MedLey randomised controlled trial and the EPIC-InterAct case-cohort study.</t>
  </si>
  <si>
    <t>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t>
  </si>
  <si>
    <t>plos medicine</t>
  </si>
  <si>
    <t>https://pubmed.ncbi.nlm.nih.gov/37104291</t>
  </si>
  <si>
    <t>Self-reported adherence to the Mediterranean diet has been modestly inversely associated with incidence of type 2 diabetes (T2D) in cohort studies. There is uncertainty about the validity and magnitude of this association due to subjective reporting of diet. The association has not been evaluated using an objectively measured biomarker of the Mediterranean diet. We derived a biomarker score based on 5 circulating carotenoids and 24 fatty acids that discriminated between the Mediterranean or habitual diet arms of a parallel design, 6-month partial-feeding randomised controlled trial (RCT) conducted between 2013 and 2014, the MedLey trial (128 participants out of 166 randomised). We applied this biomarker score in an observational study, the European Prospective Investigation into Cancer and Nutrition (EPIC)-InterAct case-cohort study, to assess the association of the score with T2D incidence over an average of 9.7 years of follow-up since the baseline (1991 to 1998). We included 22,202 participants, of whom 9,453 were T2D cases, with relevant biomarkers from an original case-cohort of 27,779 participants sampled from a cohort of 340,234 people. As a secondary measure of the Mediterranean diet, we used a score estimated from dietary-self report. Within the trial, the biomarker score discriminated well between the 2 arms; the cross-validated C-statistic was 0.88 (95% confidence interval (CI) 0.82 to 0.94). The score was inversely associated with incident T2D in EPIC-InterAct: the hazard ratio (HR) per standard deviation of the score was 0.71 (95% CI: 0.65 to 0.77) following adjustment for sociodemographic, lifestyle and medical factors, and adiposity. In comparison, the HR per standard deviation of the self-reported Mediterranean diet was 0.90 (95% CI: 0.86 to 0.95). Assuming the score was causally associated with T2D, higher adherence to the Mediterranean diet in Western European adults by 10 percentiles of the score was estimated to reduce the incidence of T2D by 11% (95% CI: 7% to 14%). The study limitations included potential measurement error in nutritional biomarkers, unclear specificity of the biomarker score to the Mediterranean diet, and possible residual confounding. These findings suggest that objectively assessed adherence to the Mediterranean diet is associated with lower risk of T2D and that even modestly higher adherence may have the potential to reduce the population burden of T2D meaningfully. Australian New Zealand Clinical Trials Registry (ANZCTR) ACTRN12613000602729 https://www.anzctr.org.au/Trial/Registration/TrialReview.aspx?id=363860.</t>
  </si>
  <si>
    <t>Erratum: Factors influencing scar formation following Bacille Calmette-Guérin (BCG) vaccination.</t>
  </si>
  <si>
    <t>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t>
  </si>
  <si>
    <t>https://pubmed.ncbi.nlm.nih.gov/37484338</t>
  </si>
  <si>
    <t>[This corrects the article DOI: 10.1016/j.heliyon.2023.e15241.].</t>
  </si>
  <si>
    <t>Physical performance tasks were linked to the PROMIS physical function metric in patients undergoing hemodialysis.</t>
  </si>
  <si>
    <t>Liegl, Gregor; Fischer, Felix H; Woodward, Mark; Török, Marietta; Strippoli, Giovanni F M; Hegbrant, Jörgen; Davenport, Andrew; Cromm, Krister; Canaud, Bernard; Bots, Michiel L; Blankestijn, Peter J; Barth, Claudia; Fischer, Kathrin I; Rose, Matthias</t>
  </si>
  <si>
    <t>https://pubmed.ncbi.nlm.nih.gov/37105321</t>
  </si>
  <si>
    <t>To investigate whether a multi-item performance outcome measure, the physical performance test (PPT), can be calibrated to a common scale with patient-reported outcome measures, using the Patient-Reported Outcomes Measurement Information System (PROMIS) physical function (PF) metric. We analyzed baseline data (N = 1,113) from the CONVINCE study, an international trial in end-stage kidney disease patients comparing high-dose hemodiafiltration with high-flux hemodialysis. Assumptions of item response theory (IRT) modelling were investigated for the combined set of the nine-item PPT and a four-item PROMIS PF short form (PROMIS-PF4a). We applied unidimensional IRT linking for calibrating the PPT to the PROMIS PF metric. Although some evidence for multidimensionality was found, classical test statistics (Cronbach's Alpha = 0.93), Mokken (Loevinger's H = 0.50), and bifactor analysis (explained common variance = 0.65) indicated that PPT and PROMIS-PF4a items can be used to assess a common PF construct. On the group level, the agreement between PROMIS-PF4a and linked PPT scores was stable across several subsamples. On the individual level, scores differed considerably. We found preliminary evidence that the PPT can be linked to the PROMIS PF metric in hemodialysis patients, enabling group comparisons across patient-reported outcome and performance outcome measures. Alternative linking methods should be applied in future studies using a more comprehensive PROMIS PF item set.</t>
  </si>
  <si>
    <t>Prevention and Screening for Cardiometabolic Disease Following Hypertensive Disorders in Pregnancy in Low-Resource Settings: A Systematic Review and Delphi Study.</t>
  </si>
  <si>
    <t>Ishaku, Salisu Mohammed; Adu-Bonsaffoh, Kwame; Housseine, Natasha; Lamptey, Roberta; Franx, Arie; Grobbee, Diederick; Warren, Charlotte E; Browne, Joyce L</t>
  </si>
  <si>
    <t>https://pubmed.ncbi.nlm.nih.gov/37125389</t>
  </si>
  <si>
    <t>Hypertensive disorders in pregnancy (HDP) and cardiometabolic and kidney diseases are rising in low- and middle-income countries (LMICs). While HDP are risk factors for cardiometabolic and kidney diseases, cost-effective, scalable strategies for screening and prevention in women with a history of HDP are lacking. Existing guidelines and recommendations require adaptation to LMIC settings. This article aims to generate consensus-based recommendations for the prevention and screening of cardiometabolic and kidney diseases tailored for implementation in LMICs. We conducted a systematic review of guidelines and recommendations for prevention and screening strategies for cardiometabolic and chronic kidney diseases following HDP. We searched PubMed/Medline, Embase and Cochrane Library for relevant articles and guidelines published from 2010 to 2021 from both high-income countries (HICs) and LMICs. No other filters were applied. References of included articles were also assessed for eligibility. Findings were synthesized narratively. The summary of guiding recommendations was subjected to two rounds of Delphi consensus surveys with experts experienced in LMIC settings. Fifty-four articles and 9 guidelines were identified, of which 25 were included. Thirty-five clinical recommendations were synthesized from these and classified into six domains: identification of women with HDP (4 recommendations), timing of first counseling and provision of health education (2 recommendations), structure and care setting (12 recommendations), information and communication needs (5 recommendations), cardiometabolic biomarkers (8 recommendations) and biomarkers thresholds (4 recommendations). The Delphi panel reached consensus on 33 final recommendations. These recommendations for health workers in LMICs provide practical and scalable approaches for effective screening and prevention of cardiometabolic disease following HDP. Monitoring and evaluation of implementation of these recommendations provide opportunities for reducing the escalating burden of noncommunicable diseases in LMICs.</t>
  </si>
  <si>
    <t>Bias in observational studies on the effectiveness of in hospital use of hydroxychloroquine in COVID-19.</t>
  </si>
  <si>
    <t>Hempenius, Mirjam; Bots, Sophie H; Groenwold, Rolf H H; de Boer, Anthonius; Klungel, Olaf H; Gardarsdottir, Helga</t>
  </si>
  <si>
    <t>https://pubmed.ncbi.nlm.nih.gov/37070758</t>
  </si>
  <si>
    <t>During the first waves of the coronavirus pandemic, evidence on potential effective treatments was urgently needed. Results from observational studies on the effectiveness of hydroxychloroquine (HCQ) were conflicting, potentially due to biases. We aimed to assess the quality of observational studies on HCQ and its relation to effect sizes. PubMed was searched on 15 March 2021 for observational studies on the effectiveness of in-hospital use of HCQ in COVID-19 patients, published between 01/01/2020 and 01/03/2021 on. Study quality was assessed using the ROBINS-I tool. Association between study quality and study characteristics (journal ranking, publication date, and time between submission and publication) and differences between effects sizes found in observational studies compared to those found in RCTs, were assessed using Spearman's correlation. Eighteen of the 33 (55%) included observational studies were scored as critical risk of bias, eleven (33%) as serious risk and only four (12%) as moderate risk of bias. Biases were most often scored as critical in the domains related to selection of participants (n = 13, 39%) and bias due to confounding (n = 8, 24%). There were no significant associations found between the study quality and the characteristics nor between the study quality and the effect estimates. Overall, the quality of observational HCQ studies was heterogeneous. Synthesis of evidence of effectiveness of HCQ in COVID-19 should focus on RCTs and carefully consider the added value and quality of observational evidence.</t>
  </si>
  <si>
    <t>Defining practice variation and exploring influencing factors on needs assessment in home care nursing: A Delphi study.</t>
  </si>
  <si>
    <t>Van Dorst, Johanna Jose Isabella Elisabeth; Schwenke, Marit; Bleijenberg, Nienke; De Jong, Judith Daniëlle; Brabers, Adriana Anne Elisabeth Maria; Zwakhalen, Sandra M G</t>
  </si>
  <si>
    <t>https://pubmed.ncbi.nlm.nih.gov/37089061</t>
  </si>
  <si>
    <t>To describe a Delphi study regarding practice variation in needs assessment by Dutch home care nurses, to define practice variation in home care nursing and explore which factors may have a role in this needs assessment. A Delphi study was conducted with the participation of home care representatives. A Delphi questionnaire was developed, preceded by literature research and an expert meeting. The Delphi study took place between December 2020 and February 2021. The goal was to achieve a consensus level of at least 70%. After three rounds, 32 experts reached a consensus about definitions regarding variation in needs assessment, warranted and unwarranted variation. In total, 59 factors were determined related to (1) the client and health, (2) the clients' context, (3) nurses and (4) the nurses' context. Thirty-four factors scored warranted of influence and 18 (of 34) were client related. Most of the factors that scored unwarranted influencing needs assessment (17 of 26) were related to the home care nurses' context. Having a consensus about the definition of practice variation in needs assessment and possible influencing factors support the professionals to discuss and improve the unity and quality of their decision-making process in home care. This may contribute to more righteous care for clients in need of home care. Since 2015, home care nurses in the Netherlands are responsible for determining the amount, type and duration of care for clients in need of home care. This so-called needs assessment legitimizes the payment by health insurers. Signals of practice variation in needs assessment are heard in home care field. Although practice variation may be justified, it can lead to over or underuse of care, which may affect clients' outcomes. If we can identify influencing factors and find patterns that contribute to practice variation, we might gain a better understanding of the process and improve home care. In this study, there was no patient or public involvement. Client representatives were included in this research as experts in the home care field, and they participated in three rounds of the Delphi study. They contributed by sharing their expert opinion on the definitions presented and the factors possibly influencing needs assessment.</t>
  </si>
  <si>
    <t>Asking informed consent may lead to significant participation bias and suboptimal cardiovascular risk management in learning healthcare systems.</t>
  </si>
  <si>
    <t>Zondag, Anna G M; Groenhof, T Katrien J; van der Graaf, Rieke; van Solinge, Wouter W; Bots, Michiel L; Haitjema, Saskia; ,</t>
  </si>
  <si>
    <t>https://pubmed.ncbi.nlm.nih.gov/37087415</t>
  </si>
  <si>
    <t>The Utrecht Cardiovascular Cohort - CardioVascular Risk Management (UCC-CVRM) was set up as a learning healthcare system (LHS), aiming at guideline based cardiovascular risk factor measurement in all patients in routine clinical care. However, not all patients provided informed consent, which may lead to participation bias. We aimed to study participation bias in a LHS by assessing differences in and completeness of cardiovascular risk management (CVRM) indicators in electronic health records (EHRs) of consenting, non-consenting, and non-responding patients, using the UCC-CVRM as an example. All patients visiting the University Medical Center Utrecht for first time evaluation of a(n) (a)symptomatic vascular disease or condition were invited to participate. Routine care data was collected in the EHR and an informed consent was asked. Differences in patient characteristics were compared between consent groups. We performed multivariable logistic regression to identify determinants of non-consent. We used multinomial regression for an exploratory analysis for the determinants of non-response. Presence of CVRM indicators were compared between consent groups. A waiver (19/641) was obtained from our ethics committee. Out of 5730 patients invited, 2378 were consenting, 1907 non-consenting, and 1445 non-responding. Non-consent was related to young and old age, lower education level, lower BMI, physical activity and haemoglobin levels, higher heartrate, cardiovascular disease history and absence of proteinuria. Non-response increased with young and old age, higher education level, physical activity, HbA1c and decreased with lower levels of haemoglobin, BMI, and systolic blood pressure. Presence of CVRM indicators was 5-30% lower in non-consenting patients and even lower in non-responding patients, compared to consenting patients. Non-consent and non-response varied across specialisms. A traditional informed consent procedure in a LHS may lead to participation bias and potentially to suboptimal CVRM, which is detrimental for feedback on findings in a LHS. This underlines the importance of reassessing the informed consent procedure in a LHS.</t>
  </si>
  <si>
    <t>Development and Evaluation of a Simulation-Based Algorithm to Optimize the Planning of Interim Analyses for Clinical Trials in ALS.</t>
  </si>
  <si>
    <t>van Unnik, Jordi W J; Nikolakopoulos, Stavros; Eijkemans, Marinus J C; Gonzalez-Bermejo, Jésus; Bruneteau, Gaelle; Morelot-Panzini, Capucine; van den Berg, Leonard H; Cudkowicz, Merit E; McDermott, Christopher J; Similowski, Thomas; van Eijk, Ruben P A; ,</t>
  </si>
  <si>
    <t>https://pubmed.ncbi.nlm.nih.gov/37085329</t>
  </si>
  <si>
    <t>Late-phase clinical trials for neurodegenerative diseases have a low probability of success. In this study, we introduce an algorithm that optimizes the planning of interim analyses for clinical trials in amyotrophic lateral sclerosis (ALS) to better use the time and resources available and minimize the exposure of patients to ineffective or harmful drugs. A simulation-based algorithm was developed to determine the optimal interim analysis scheme by integrating prior knowledge about the success rate of ALS clinical trials with drug-specific information obtained in early-phase studies. Interim analysis schemes were optimized by varying the number and timing of interim analyses, together with their decision rules about when to stop a trial. The algorithm was applied retrospectively to 3 clinical trials that investigated the efficacy of diaphragm pacing or ceftriaxone on survival in patients with ALS. Outcomes were additionally compared with conventional interim designs. We evaluated 183-1,351 unique interim analysis schemes for each trial. Application of the optimal designs correctly established lack of efficacy, would have concluded all studies 1.2-19.4 months earlier (reduction of 4.6%-57.7% in trial duration), and could have reduced the number of randomized patients by 1.7%-58.1%. By means of simulation, we illustrate the efficiency for other treatment scenarios. The optimized interim analysis schemes outperformed conventional interim designs in most scenarios. Our algorithm uses prior knowledge to determine the uncertainty of the expected treatment effect in ALS clinical trials and optimizes the planning of interim analyses. Improving futility monitoring in ALS could minimize the exposure of patients to ineffective or harmful treatments and result in significant ethical and efficiency gains.</t>
  </si>
  <si>
    <t>Safe shortening of antibiotic treatment duration for complicated &lt;i&gt;Staphylococcus aureus&lt;/i&gt; bacteraemia (SAFE trial): protocol for a randomised, controlled, open-label, non-inferiority trial comparing 4 and 6 weeks of antibiotic treatment.</t>
  </si>
  <si>
    <t>Buis, Dtp; van Werkhoven, C H; van Agtmael, M A; Bax, H I; Berrevoets, M; de Boer, Mgj; Bonten, Mjm; Bosmans, J E; Branger, J; Douiyeb, S; Gelinck, Lbs; Jong, E; Lammers, Ajj; Van der Meer, Jtm; Oosterheert, J J; Sieswerda, E; Soetekouw, R; Stalenhoef, J E; Van der Vaart, T W; Bij de Vaate, E A; Verkaik, N J; Van Vonderen, Mga; De Vries, P J; Prins, J M; Sigaloff, Kce; ,</t>
  </si>
  <si>
    <t>https://pubmed.ncbi.nlm.nih.gov/37085305</t>
  </si>
  <si>
    <t>A major knowledge gap in the treatment of complicated &lt;i&gt;Staphylococcus aureus&lt;/i&gt; bacteraemia (SAB) is the optimal duration of antibiotic therapy. Safe shortening of antibiotic therapy has the potential to reduce adverse drug events, length of hospital stay and costs. The objective of the SAFE trial is to evaluate whether 4 weeks of antibiotic therapy is non-inferior to 6 weeks in patients with complicated SAB. The SAFE-trial is a multicentre, non-inferiority, open-label, parallel group, randomised controlled trial evaluating 4 versus 6 weeks of antibiotic therapy for complicated SAB. The study is performed in 15 university hospitals and general hospitals in the Netherlands. Eligible patients are adults with methicillin-susceptible SAB with evidence of deep-seated or metastatic infection and/or predictors of complicated SAB. Only patients with a satisfactory clinical response to initial antibiotic treatment are included. Patients with infected prosthetic material or an undrained abscess of 5 cm or more at day 14 of adequate antibiotic treatment are excluded. Primary outcome is success of therapy after 180 days, a combined endpoint of survival without evidence of microbiologically confirmed disease relapse. Assuming a primary endpoint occurrence of 90% in the 6 weeks group, a non-inferiority margin of 7.5% is used. Enrolment of 396 patients in total is required to demonstrate non-inferiority of shorter antibiotic therapy with a power of 80%. Currently, 152 patients are enrolled in the study. This is the first randomised controlled trial evaluating duration of antibiotic therapy for complicated SAB. Non-inferiority of 4 weeks of treatment would allow shortening of treatment duration in selected patients with complicated SAB. This study is approved by the Medical Ethics Committee VUmc (Amsterdam, the Netherlands) and registered under NL8347 (the Netherlands Trial Register). Results of the study will be published in a peer-reviewed journal. NL8347 (the Netherlands Trial Register).</t>
  </si>
  <si>
    <t>ASO Author Reflections: Towards Consensus on Resectability Assessments and Local Treatment Planning for Patients with Initially Unresectable Colorectal Cancer Liver Metastases.</t>
  </si>
  <si>
    <t>Bond, Marinde J G; Punt, Cornelis J A; Swijnenburg, Rutger-Jan</t>
  </si>
  <si>
    <t>https://pubmed.ncbi.nlm.nih.gov/37085656</t>
  </si>
  <si>
    <t>Clinical decision support for ExtraCorporeal Membrane Oxygenation: Will we fly by wire?</t>
  </si>
  <si>
    <t>Pladet, Lara; Luijken, Kim; Fresiello, Libera; Miranda, Dinis Dos Reis; Hermens, Jeannine A; Smeden, Maarten van; Cremer, Olaf; Donker, Dirk W; Meuwese, Christiaan L</t>
  </si>
  <si>
    <t>perfusion</t>
  </si>
  <si>
    <t>https://pubmed.ncbi.nlm.nih.gov/37078916</t>
  </si>
  <si>
    <t>Prognostic modelling techniques have rapidly evolved over the past decade and may greatly benefit patients supported with ExtraCorporeal Membrane Oxygenation (ECMO). Epidemiological and computational physiological approaches aim to provide more accurate predictive assessments of ECMO-related risks and benefits. Implementation of these approaches may produce predictive tools that can improve complex clinical decisions surrounding ECMO allocation and management. This Review describes current applications of prognostic models and elaborates on upcoming directions for their clinical applicability in decision support tools directed at improved allocation and management of ECMO patients. The discussion of these new developments in the field will culminate in a futuristic perspective leaving ourselves and the readers wondering whether we may "&lt;i&gt;fly ECMO by wire&lt;/i&gt;" someday.</t>
  </si>
  <si>
    <t>Vaccine effectiveness of primary and booster COVID-19 vaccinations against SARS-CoV-2 infection in the Netherlands from July 12, 2021 to June 6, 2022: A prospective cohort study.</t>
  </si>
  <si>
    <t>Huiberts, Anne J; de Gier, Brechje; Hoeve, Christina E; de Melker, Hester E; Hahné, Susan J M; den Hartog, Gerco; Grobbee, Diederick E; van de Wijgert, Janneke H H M; van den Hof, Susan; Knol, Mirjam J</t>
  </si>
  <si>
    <t>international journal of infectious diseases ijid official publication of the international society for infectious diseases</t>
  </si>
  <si>
    <t>https://pubmed.ncbi.nlm.nih.gov/37086863</t>
  </si>
  <si>
    <t>We estimated vaccine effectiveness (VE) of primary and booster vaccinations against SARS-CoV-2 infection overall and in four risk groups defined by age and medical risk condition during the Delta and Omicron BA.1/BA.2 periods. VAccine Study COvid-19 is an ongoing prospective cohort study among Dutch adults. The primary end point was a self-reported positive SARS-CoV-2 test from July 12, 2021 to June 06, 2022. The analyses included only participants without a previous SARS-CoV-2 infection based on a positive test or serology. We used Cox proportional hazard models with vaccination status as the time-varying exposure and adjustment for age, sex, educational level, and medical risk condition. A total of 37,170 participants (mean age 57 years) were included. In the Delta period, VE &lt;6 weeks after the primary vaccination was 80% (95% confidence interval 69-87) and decreased to 71% (65-77) after 6 months. VE increased to 96% (86-99) shortly after the first booster vaccination. In the Omicron period, these estimates were 46% (22-63), 25% (8-39), and 57% (52-62), respectively. For the Omicron period, an interaction term between vaccination status and risk group significantly improved the model (P &lt;0.001), with generally lower VEs for those with a medical risk condition. Our results show the benefit of booster vaccinations against infection, also in risk groups; although, the additional protection wanes quite rapidly.</t>
  </si>
  <si>
    <t>Cohort profile of PLUTO: a perioperative biobank focusing on prediction and early diagnosis of postoperative complications.</t>
  </si>
  <si>
    <t>de Mul, Nikki; Verlaan, Diede; Ruurda, Jelle P; van Grevenstein, Wilhelmina M U; Hagendoorn, Jeroen; de Borst, Gert-Jan; Vriens, Menno R; de Bree, Remco; Zweemer, Ronald P; Vogely, Charles; Haitsma Mulier, Jelle L G; Vernooij, Lisette M; Reitsma, Johannes B; de Zoete, Marcel R; Top, Janetta; Kluijtmans, Jan A J; Hoefer, Imo E; Noordzij, Peter; Rettig, Thijs; Marsman, Marije; de Smet, Anne Marie G A; Derde, Lennie; van Waes, Judith; Rijsdijk, Mienke; Schellekens, Willem Jan M; Bonten, Marc J M; Slooter, Arjen J C; Cremer, Olaf L</t>
  </si>
  <si>
    <t>https://pubmed.ncbi.nlm.nih.gov/37076142</t>
  </si>
  <si>
    <t>Although elective surgery is generally safe, some procedures remain associated with an increased risk of complications. Improved preoperative risk stratification and earlier recognition of these complications may ameliorate postoperative recovery and improve long-term outcomes. The perioperative longitudinal study of complications and long-term outcomes (PLUTO) cohort aims to establish a comprehensive biorepository that will facilitate research in this field. In this profile paper, we will discuss its design rationale and opportunities for future studies. Patients undergoing elective intermediate to high-risk non-cardiac surgery are eligible for enrolment. For the first seven postoperative days, participants are subjected to daily bedside visits by dedicated observers, who adjudicate clinical events and perform non-invasive physiological measurements (including handheld spirometry and single-channel electroencephalography). Blood samples and microbiome specimens are collected at preselected time points. Primary study outcomes are the postoperative occurrence of nosocomial infections, major adverse cardiac events, pulmonary complications, acute kidney injury and delirium/acute encephalopathy. Secondary outcomes include mortality and quality of life, as well as the long-term occurrence of psychopathology, cognitive dysfunction and chronic pain. Enrolment of the first participant occurred early 2020. During the inception phase of the project (first 2 years), 431 patients were eligible of whom 297 patients consented to participate (69%). Observed event rate was 42% overall, with the most frequent complication being infection. The main purpose of the PLUTO biorepository is to provide a framework for research in the field of perioperative medicine and anaesthesiology, by storing high-quality clinical data and biomaterials for future studies. In addition, PLUTO aims to establish a logistical platform for conducting embedded clinical trials. NCT05331118.</t>
  </si>
  <si>
    <t>Diagnostic yield and safety of navigation bronchoscopy: A systematic review and meta-analysis.</t>
  </si>
  <si>
    <t>Kops, Stephan E P; Heus, Pauline; Korevaar, Daniël A; Damen, Johanna A A; Idema, Demy L; Verhoeven, Roel L J; Annema, Jouke T; Hooft, Lotty; van der Heijden, Erik H F M</t>
  </si>
  <si>
    <t>lung cancer amsterdam netherlands</t>
  </si>
  <si>
    <t>https://pubmed.ncbi.nlm.nih.gov/37130440</t>
  </si>
  <si>
    <t>Navigation bronchoscopy has seen rapid development in the past decade in terms of new navigation techniques and multi-modality approaches utilizing different techniques and tools. This systematic review analyses the diagnostic yield and safety of navigation bronchoscopy for the diagnosis of peripheral pulmonary nodules suspected of lung cancer. An extensive search was performed in Embase, Medline and Cochrane CENTRAL in May 2022. Eligible studies used cone-beam CT-guided navigation (CBCT), electromagnetic navigation (EMN), robotic navigation (RB) or virtual bronchoscopy (VB) as the primary navigation technique. Primary outcomes were diagnostic yield and adverse events. Quality of studies was assessed using QUADAS-2. Random effects meta-analysis was performed, with subgroup analyses for different navigation techniques, newer versus older techniques, nodule size, publication year, and strictness of diagnostic yield definition. Explorative analyses of subgroups reported by studies was performed for nodule size and bronchus sign. A total of 95 studies (n = 10,381 patients; n = 10,682 nodules) were included. The majority (n = 63; 66.3%) had high risk of bias or applicability concerns in at least one QUADAS-2 domain. Summary diagnostic yield was 70.9% (95%-CI 68.4%-73.2%). Overall pneumothorax rate was 2.5%. Newer navigation techniques using advanced imaging and/or robotics(CBCT, RB, tomosynthesis guided EMN; n = 24 studies) had a statistically significant higher diagnostic yield compared to longer established techniques (EMN, VB; n = 82 studies): 77.5% (95%-CI 74.7%-80.1%) vs 68.8% (95%-CI 65.9%-71.6%) (p &lt; 0.001).Explorative subgroup analyses showed that larger nodule size and bronchus sign presence were associated with a statistically significant higher diagnostic yield. Other subgroup analyses showed no significant differences. Navigation bronchoscopy is a safe procedure, with the potential for high diagnostic yield, in particular using newer techniques such as RB, CBCT and tomosynthesis-guided EMN. Studies showed a large amount of heterogeneity, making comparisons difficult. Standardized definitions for outcomes with relevant clinical context will improve future comparability.</t>
  </si>
  <si>
    <t>PERSPECTIVEs on supervised exercise programs in people with metastatic breast cancer- a qualitative study in four European countries.</t>
  </si>
  <si>
    <t>Depenbusch, Johanna; Sweegers, Maike G; Aaronson, Neil K; Wengström, Yvonne; Backman, Malin; Arraras, Juan I; Schranz, Melanie; Büchler, Britta; Lachowicz, Milena; May, Anne M; Steindorf, Karen; Stuiver, Martijn M</t>
  </si>
  <si>
    <t>https://pubmed.ncbi.nlm.nih.gov/37074497</t>
  </si>
  <si>
    <t>Supervised exercise is a potentially promising supportive care intervention for people with metastatic breast cancer (MBC), but research on the patients' perspective is limited. The aim of the current focus group study was to gain an in-depth understanding of MBC patients' perceived barriers, facilitators, and preferences for supervised exercise programs. Eleven online focus groups with, in total, 44 MBC patients were conducted in four European countries (Germany, Poland, Spain, Sweden). Main topics of the semi-structured discussions covered attitudes towards participation in supervised exercise programs, perceived facilitators, experienced barriers, and exercise preferences. Interviews were transcribed verbatim, translated into English, and coded based on a preliminary coding framework, supplemented by themes emerging during the sessions. The codes were subsequently examined for interrelations and re-organized into overarching clusters. Participants had positive attitudes towards exercise, but experienced physical limitations and insecurities that inhibited their participation. They expressed a strong desire for exercise tailored to their needs, and supervision by an exercise professional. Participants also highlighted the social nature of group training as an important facilitator. They had no clear preference for exercise type, but rather favored a mixture of different activities. Flexible training modules were considered helpful to increase exercise program adherence. MBC patients were generally interested in supervised exercise programs. They preferred group exercise that facilitates social interaction, but also expressed a need for individualized exercise programs. This suggests the relevance to develop flexible exercise programs that are adjusted to the individual's needs, abilities, and preferences.</t>
  </si>
  <si>
    <t>Progestogen maintenance therapy for prolongation of pregnancy after an episode of preterm labour: A systematic review and meta-analysis.</t>
  </si>
  <si>
    <t>Breuking, Sofie H; De Ruigh, Annemijn A; Hermans, Frederik J R; Schuit, Ewoud; Combs, C Andrew; de Tejada, Begoña Martinez; Oudijk, Martijn A; Mol, Ben W; Pajkrt, Eva</t>
  </si>
  <si>
    <t>https://pubmed.ncbi.nlm.nih.gov/37077041</t>
  </si>
  <si>
    <t>Evidence for progestogen maintenance therapy after an episode of preterm labour (PTL) is contradictory. To assess effectiveness of progestogen maintenance therapy after an episode of PTL. An electronic search in Central Cochrane, Ovid Embase, Ovid Medline and clinical trial databases was performed. Randomised controlled trials (RCT) investigating women between 16&lt;sup&gt;+0&lt;/sup&gt; and 37&lt;sup&gt;+0&lt;/sup&gt;  weeks of gestation with an episode of PTL who were treated with progestogen maintenance therapy compared with a control group. Systematic review and meta-analysis were conducted. The primary outcome was latency time in days. Secondary neonatal and maternal outcomes are consistent with the core outcome set for preterm birth studies. Studies were extensively assessed for data trustworthiness (integrity) and risk of bias. Thirteen RCT (1722 women) were included. Progestogen maintenance therapy demonstrated a longer latency time of 4.32 days compared with controls (mean difference [MD] 4.32, 95% CI 0.40-8.24) and neonates were born with a higher birthweight (MD 124.25 g, 95% CI 8.99-239.51). No differences were found for other perinatal outcomes. However, when analysing studies with low risk of bias only (five RCT, 591 women), a significantly longer latency time could not be shown (MD 2.44 days; 95% CI -4.55 to 9.42). Progestogen maintenance therapy after PTL might have a modest effect on prolongation of latency time. When analysing low risk of bias studies only, this effect was not demonstrated. Validation through further research, preferably by an individual patient data meta-analysis is highly recommended.</t>
  </si>
  <si>
    <t>The circadian clock remains intact, but with dampened hormonal output in heart failure.</t>
  </si>
  <si>
    <t>Crnko, Sandra; Printezi, Markella I; Zwetsloot, Peter-Paul M; Leiteris, Laurynas; Lumley, Andrew I; Zhang, Lu; Ernens, Isabelle; Jansen, Tijn P J; Homsma, Lilian; Feyen, Dries; van Faassen, Martijn; du Pré, Bastiaan C; Gaillard, Carlo A J M; Kemperman, Hans; Oerlemans, Marish I F J; Doevendans, Pieter A F M; May, Anne M; Zuithoff, Nicolaas P A; Sluijter, Joost P G; Devaux, Yvan; van Laake, Linda W</t>
  </si>
  <si>
    <t>https://pubmed.ncbi.nlm.nih.gov/37075492</t>
  </si>
  <si>
    <t>Circadian (24-h) rhythms are important regulators in physiology and disease, but systemic disease may disrupt circadian rhythmicity. Heart failure (HF) is a systemic disease affecting hormonal regulation. We investigate whether HF affects the rhythmic expression of melatonin and cortisol, main endocrine products of the central clock, and cardiac-specific troponin in patients. We corroborate the functionality of the peripheral clock directly in the organs of translational models, inaccessible in human participants. We included 46 HF patients (71.7% male, median age of 60 years, NYHA class II (32.6%) or III (67.4%), ischemic cardiomyopathy (43.5%), comorbidities: diabetes 21.7%, atrial fibrillation 30.4%), and 24 matched controls. Blood was collected at seven time-points during a 24-h period (totalling 320 HF and 167 control samples) for melatonin, cortisol, and cardiac troponin T (cTnT) measurements after which circadian rhythms were assessed through cosinor analyses, both on the individual and the group level. Next, we analysed peripheral circadian clock functionality using cosinor analysis in male animal HF models: nocturnal mice and diurnal zebrafish, based on expression of core clock genes in heart, kidneys, and liver, every 4 h during a 24-h period in a light/darkness synchronised environment. Melatonin and cortisol concentrations followed a physiological 24-h pattern in both patients and controls. For melatonin, acrophase occurred during the night for both groups, with significantly decreased amplitude (median 5.2 vs 8.8, P = 0.0001) and circadian variation ([maximum]/[minimum]) in heart failure patients. For cortisol, mesor showed a significant increase for HF patients (mean 331.9 vs 275.1, P = 0.017) with a difference of 56.8 (95% CI 10.3-103.3) again resulting in a relatively lower variation: median 3.9 vs 6.3 (P = 0.0058). A nocturnal blood pressure dip was absent in 77.8% of HF patients. Clock gene expression profiles (Bmal, Clock, Per, Cry) were similar and with expected phase relations in animal HF models and controls, demonstrating preserved peripheral clock functionality in HF. Furthermore, oscillations in diurnal zebrafish were expectedly in opposite phases to those of nocturnal mice. Concordantly, cTnT concentrations in HF patients revealed significant circadian oscillations. Central clock output is dampened in HF patients while the molecular peripheral clock, as confirmed in animal models, remains intact. This emphasises the importance of taking timing into account in research and therapy for HF, setting the stage for another dimension of diagnostic, prognostic and therapeutic approaches. Hartstichting.</t>
  </si>
  <si>
    <t>Adherence to the EAT-Lancet Healthy Reference Diet in Relation to Risk of Cardiovascular Events and Environmental Impact: Results From the EPIC-NL Cohort.</t>
  </si>
  <si>
    <t>Colizzi, Chiara; Harbers, Marjolein C; Vellinga, Reina E; Verschuren, W M Monique; Boer, Jolanda M A; Biesbroek, Sander; Temme, Elisabeth H M; van der Schouw, Yvonne T</t>
  </si>
  <si>
    <t>https://pubmed.ncbi.nlm.nih.gov/37066787</t>
  </si>
  <si>
    <t>Background The Healthy Reference Diet (HRD) was created to formulate dietary guidelines that would be healthy and sustainable. We aimed to construct a diet score measuring adherence to the HRD and to explore its association with cardiovascular events and environmental impact. Methods and Results We included 35 496 participants from the population-based EPIC-NL (European Prospective Investigation into Cancer and Nutrition-Netherlands) study. HRD scores were calculated using data from food frequency questionnaires (0-140). Data on morbidity and mortality were retrieved through linkage with national and death registries. Data on environmental impact indicators were obtained from life cycle assessments. Associations between adherence to the HRD and cardiovascular events were estimated with Cox proportional hazard models. Linear regression analysis was conducted for the adherence to the HRD and each environmental indicator. High adherence to the HRD was associated with 14%, 12%, and 11% lower risks of cardiovascular disease (hazard ratio [HR]&lt;sub&gt;Q4vsQ1&lt;/sub&gt;, 0.86 [95% CI, 0.78-0.94]), coronary heart disease (HR&lt;sub&gt;Q4vsQ1&lt;/sub&gt;, 0.88 [95% CI, 0.78-1.00]), and total stroke (HR&lt;sub&gt;Q4vsQ1&lt;/sub&gt;, 0.89 [95% CI, 0.72-1.10]), respectively. High HRD adherence was associated with 2.4% (95% CI, -5.0 to 0.2) lower greenhouse gas emissions, 3.9% (95% CI, -5.2 to -2.6) less land use, 0.5% (95% CI, -2.6 to 1.6), less freshwater eutrophication, 3.3% (95% CI, -5.8 to -0.8), less marine eutrophication, 7.7% (95% CI, -10.8 to -4.6), less terrestrial acidification, and 32.1 % (95% CI, 28.5-35.7) higher blue water use. Conclusions High adherence to the HRD was associated with lower risk of cardiovascular disease, coronary heart disease, and modestly lower levels of most environmental indicators but a higher level of blue water use.</t>
  </si>
  <si>
    <t>Family participation in essential care activities in adult intensive care units: An integrative review of interventions and outcomes.</t>
  </si>
  <si>
    <t>Dijkstra, Boukje M; Felten-Barentsz, Karin M; van der Valk, Margriet J M; Pelgrim, Thomas; van der Hoeven, Johannes G; Schoonhoven, Lisette; Ebben, Remco H A; Vloet, Lilian C M</t>
  </si>
  <si>
    <t>https://pubmed.ncbi.nlm.nih.gov/37062011</t>
  </si>
  <si>
    <t>To systematically review interventions and outcomes regarding family participation in essential care in adult intensive care units. Patients and relatives may benefit from family participation in essential care activities. An integrative literature review. The following databases were systematically searched from inception to January 25, 2021: PubMed, CINAHL, EMBASE, MEDLINE, Cochrane, Web of Science and reference lists of included articles. Studies were included when reporting on family participation in essential care activities in intensive care including interventions and outcomes. Quality of the studies was assessed with the Kmet Standard Quality Assessment Criteria. Interventions were assessed, using the TIDieR framework. Data were extracted and synthesised narratively. A total of 6698 records were screened, and 322 full-text studies were assessed. Seven studies were included, describing an intervention to support family participation. Four studies had a pretest-posttest design, two were pilot feasibility studies and one was observational. The quality of the studies was poor to good, with Kmet-scores: 0.50-0.86 (possible score: 0-1, 1 being the highest). Five studies offered various essential care activities. One study provided sufficient intervention detail. Outcome measures among relatives varied from mental health symptoms to satisfaction, supportiveness, comfort level and experience. Two studies measured patient outcomes: delirium and pressure ulcers. Among ICU healthcare providers, perception, comfort level and experience were assessed. Since outcome measures varied, only narrative synthesis was possible. Family participation is associated with a reduction of anxiety and PTSD symptoms. Intervention descriptions of family participation in essential care activities are generally inadequate and do not allow comparison and replication. Participation of relatives was associated with a significant reduction in mental health symptoms. Other outcome measures varied, therefore, the use of additional outcome measures with validated measurement instruments should be considered. The review contributed further insight into interventions aiming at family participation in essential care activities in the intensive care unit and their outcomes. Neither patients nor public were involved.</t>
  </si>
  <si>
    <t>Use of preventive medication and supplements in general practice in patients in their last year of life: a Retrospective cohort study.</t>
  </si>
  <si>
    <t>Antonisse, Anne; van der Baan, Frederieke H; Grant, Matthew; Uyttewaal, Gon; Verboeket, Cathelijne; Smits-Pelser, Hanneke; Teunissen, Saskia C C M; Geijteman, Eric C T</t>
  </si>
  <si>
    <t>https://pubmed.ncbi.nlm.nih.gov/37061665</t>
  </si>
  <si>
    <t>Several preventive medications and supplements become inappropriate in the last phase of life due to increased risk of adverse events caused by changed pharmacokinetics, drug-drug interactions, and changed care goals. Information on these preventive medication and supplements use in patients with a life-limiting illness in the home-care setting is limited. The primary aim of this study was to assess the use of four different groups of preventive drugs and supplements, which are inappropriate in adult patients with a life-limiting illness, living at home in the last year of life. The secondary aims were to assess reasons for discontinuing these drugs as documented in the general practitioners' patient file and whether these reasons affected the time between medication discontinuation and death. We performed a retrospective cohort study using the routine primary care database of the Julius General Practitioners' Network of the University Medical Centre Utrecht, a database consisting of routine care data from GPs from the city of Utrecht and its vicinity. Patients in the homecare setting with a life-limiting illness, diagnosed at least one year before death, were included. Descriptive analyses were used to describe the study population and the frequency of starting, using, and discontinuing medication and supplements in the last year of life. A total of 458 of 666 included patients (69%) used at least one preventive drug in the last year of life. Vitamins were used by 36% of the patients, followed with 35% using cholesterol-lowering medication, 24% using calcium supplements and 9% using bisphosphonates. Bisphosphonates were discontinued by 70% of the users, calcium supplements by 61%, vitamins by 56% and cholesterol-lowering medication by 48% of the users, with a median interval between day of discontinuation and death of 119, 60, 110 and, 65 days, respectively. The median time between medication or supplement discontinuation and death was longest in patients with side effects and who had medication reviews. Many patients in their last phase of life in the home-care setting use inappropriate medication and supplements. Timely medication review may contribute to optimise medication use in the last year of life.</t>
  </si>
  <si>
    <t>Non-invasive Angiographic-based Fractional Flow Reserve: Technical Development, Clinical Implications, and Future Perspectives.</t>
  </si>
  <si>
    <t>Peper, Joyce; Bots, Michiel L; Leiner, Tim; Swaans, Martin J</t>
  </si>
  <si>
    <t>current medical science</t>
  </si>
  <si>
    <t>https://pubmed.ncbi.nlm.nih.gov/37055655</t>
  </si>
  <si>
    <t>New non- and less-invasive techniques have been developed to overcome the procedural and operator related burden of the fractional flow reserve (FFR) for the assessment of potentially significant stenosis in the coronary arteries. Virtual FFR-techniques can obviate the need for the additional flow or pressure wires as used for FFR measurements. This review provides an overview of the developments and validation of the virtual FFR-algorithms, states the challenges, discusses the upcoming clinical trials, and postulates the future role of virtual FFR in the clinical practice.</t>
  </si>
  <si>
    <t>Prediction Models for Bronchopulmonary Dysplasia in Preterm Infants: A Systematic Review and Meta-Analysis.</t>
  </si>
  <si>
    <t>Romijn, Michelle; Dhiman, Paula; Finken, Martijn J J; van Kaam, Anton H; Katz, Trixie A; Rotteveel, Joost; Schuit, Ewoud; Collins, Gary S; Onland, Wes; Torchin, Heloise</t>
  </si>
  <si>
    <t>the journal of pediatrics</t>
  </si>
  <si>
    <t>https://pubmed.ncbi.nlm.nih.gov/37059387</t>
  </si>
  <si>
    <t>To review systematically and assess the accuracy of prediction models for bronchopulmonary dysplasia (BPD) at 36 weeks of postmenstrual age. Searches were conducted in MEDLINE and EMBASE. Studies published between 1990 and 2022 were included if they developed or validated a prediction model for BPD or the combined outcome death/BPD at 36 weeks in the first 14 days of life in infants born preterm. Data were extracted independently by 2 authors following the Critical Appraisal and Data Extraction for Systematic Reviews of Prediction Modelling Studies (ie, CHARMS) and PRISMA guidelines. Risk of bias was assessed using the Prediction model Risk Of Bias ASsessment Tool (ie, PROBAST). Sixty-five studies were reviewed, including 158 development and 108 externally validated models. Median c-statistic of 0.84 (range 0.43-1.00) was reported at model development, and 0.77 (range 0.41-0.97) at external validation. All models were rated at high risk of bias, due to limitations in the analysis part. Meta-analysis of the validated models revealed increased c-statistics after the first week of life for both the BPD and death/BPD outcome. Although BPD prediction models perform satisfactorily, they were all at high risk of bias. Methodologic improvement and complete reporting are needed before they can be considered for use in clinical practice. Future research should aim to validate and update existing models.</t>
  </si>
  <si>
    <t>[Eight misconceptions about AI in healthcare].</t>
  </si>
  <si>
    <t>Jongsma, Karin R; van Solinge, Wouter W; Haitjema, Saskia</t>
  </si>
  <si>
    <t>https://pubmed.ncbi.nlm.nih.gov/37052401</t>
  </si>
  <si>
    <t>It is of paramount importance that healthcare professionals can participate in the academic and societal debate surrounding medical AI. To realise this critical-constructive guidance of AI, it is necessary to be able to distinguish between different types of AI, different applications of AI and to paint the different shades of grey in the current black-and-white debate. This article describes and nuances eight misconceptions that currently dominate the public debate surrounding AI in healthcare. By asking ourselves as healthcare professionals 'what specifically defines our line of work?' we must define what aspects of our occupation we want to have AI either carry out or support, and in what way.</t>
  </si>
  <si>
    <t>Leisure-time and occupational physical activity and health outcomes in cardiovascular disease.</t>
  </si>
  <si>
    <t>Bonekamp, Nadia E; Visseren, Frank L J; Ruigrok, Ynte; Cramer, Maarten J M; de Borst, Gert Jan; May, Anne M; Koopal, Charlotte; ,; ,</t>
  </si>
  <si>
    <t>https://pubmed.ncbi.nlm.nih.gov/36270785</t>
  </si>
  <si>
    <t>In healthy populations, leisure-time physical activity (LTPA) improves health outcomes, while, paradoxically, occupational physical activity (OPA) is associated with detrimental health effects. This study aimed to investigate the associations of LTPA and OPA with mortality, cardiovascular events and type 2 diabetes (T2D) in patients with cardiovascular disease (CVD). In 7058 outpatients with CVD (age 61±10 years, 75% male) from the prospective Utrecht Cardiovascular Cohort-Second Manifestations of ARTerial disease cohort, Cox models were used to quantify the associations between self-reported LTPA and OPA and all-cause mortality, cardiovascular events and T2D. Over 8.6 years (IQR: 4.6-12.5) of follow-up, 1088 vascular events, 1254 deaths and 447 incident T2D cases occurred. The top LTPA quarter had a lower risk of all-cause mortality (HR 0.63, 95% CI 0.54 to 0.74), recurrent cardiovascular events (HR 0.72, 95% CI 0.60 to 0.84) and incident T2D (HR 0.71, 95% CI 0.55 to 0.93), compared with the lowest quarter. The continuous LTPA associations were reverse J-shaped for all-cause mortality and vascular events and linear for T2D. OPA (heavy manual vs sedentary) showed a trend towards an increased risk of all-cause mortality (HR 1.08, 95% CI 0.86 to 1.35), cardiovascular events (HR 1.15, 95% CI 0.91 to 1.45) and T2D (HR 1.04, 95% CI 0.72 to 1.50). The detrimental effects of higher OPA were more pronounced in men, never-smokers, people with higher education and active employment. In patients with CVD, LTPA was associated with lower risk of all-cause mortality, recurrent cardiovascular events and incident T2D. In contrast, OPA seemed to increase the risk of these outcomes. These findings support the existence of a physical activity paradox in patients with CVD.</t>
  </si>
  <si>
    <t>The ethical aspects of exposome research: a systematic review.</t>
  </si>
  <si>
    <t>Safarlou, Caspar W; Jongsma, Karin R; Vermeulen, Roel; Bredenoord, Annelien L</t>
  </si>
  <si>
    <t>exposome</t>
  </si>
  <si>
    <t>https://pubmed.ncbi.nlm.nih.gov/37745046</t>
  </si>
  <si>
    <t>In recent years, exposome research has been put forward as the next frontier for the study of human health and disease. Exposome research entails the analysis of the totality of environmental exposures and their corresponding biological responses within the human body. Increasingly, this is operationalized by big-data approaches to map the effects of internal as well as external exposures using smart sensors and multiomics technologies. However, the ethical implications of exposome research are still only rarely discussed in the literature. Therefore, we conducted a systematic review of the academic literature regarding both the exposome and underlying research fields and approaches, to map the ethical aspects that are relevant to exposome research. We identify five ethical themes that are prominent in ethics discussions: the goals of exposome research, its standards, its tools, how it relates to study participants, and the consequences of its products. Furthermore, we provide a number of general principles for how future ethics research can best make use of our comprehensive overview of the ethical aspects of exposome research. Lastly, we highlight three aspects of exposome research that are most in need of ethical reflection: the actionability of its findings, the epidemiological or clinical norms applicable to exposome research, and the meaning and action-implications of bias.</t>
  </si>
  <si>
    <t>Gut microbiome alterations in patients with COVID-19-related coagulopathy.</t>
  </si>
  <si>
    <t>Chen, Youli; Li, Xin; Yu, Cheng; Wang, Erchuan; Luo, Chang; Jin, Yu; Zhang, Lei; Ma, Yanling; Jin, Yan; Yang, Ling; Sun, Binlian; Qiao, Jialu; Zhou, Xiang; Rasche, Leo; Einsele, Hermann; Song, Jun; Bai, Tao; Hou, Xiaohua</t>
  </si>
  <si>
    <t>annals of hematology</t>
  </si>
  <si>
    <t>https://pubmed.ncbi.nlm.nih.gov/37039875</t>
  </si>
  <si>
    <t>COVID-19 is characterized by a predominantly prothrombotic state, which underlies severe disease and poor outcomes. Imbalances of the gut microbiome have been linked with abnormal hemostatic processes. Understanding the relationship between the gut microbiome and abnormal coagulation parameters in COVID-19 could provide a novel framework for the diagnosis and management of COVID-related coagulopathies (CRC). This cross-sectional study used shotgun metagenomic sequencing to examine the gut microbiota of patients with CRC (n = 66) and compared it to COVID control (CCs) (n = 27) and non-COVID control (NCs) (n = 22) groups. Three, 1, and 3 taxa were found enriched in CRCs, CCs, and NCs. Next, random forest models using 7 microbial biomarkers and differential clinical characteristics were constructed and achieved strong diagnostic potential in distinguishing CRC. Specifically, the most promising biomarker species for CRC were Streptococcus thermophilus, Enterococcus faecium, and Citrobacter portucalensis. Conversely, Enterobacteriaceae family and Fusicatenibacter genus are potentially protective against CRC in COVID patients. We further identified 4 species contributing to 20 MetaCyc pathways that were differentially abundant among groups, with S. thermophilus as the main coding species in CRCs. Our findings suggest that the alterations of gut microbiota compositional and functional profiles may influence the pathogenesis of CRC and that microbiota-based diagnosis and treatment could potentially benefit COVID patients in preventing and alleviating thrombosis-related clinical outcomes.</t>
  </si>
  <si>
    <t>Perspectives of older women in the Netherlands: identifying motivators and barriers for healthy lifestyles and determinants of healthy aging.</t>
  </si>
  <si>
    <t>Sialino, L D; Wijnhoven, H A H; van Oostrom, S H; Picavet, H S J; Verschuren, W M M; Visser, M; Vader, S; Schaap, L A</t>
  </si>
  <si>
    <t>https://pubmed.ncbi.nlm.nih.gov/37041507</t>
  </si>
  <si>
    <t>Women have a higher life expectancy than men but experience more years with physical disabilities in daily life at older ages, especially women with a migration background. This pinpoints older women as an important target group for strategies that stimulate healthy lifestyle, which benefits healthy aging. Our study investigates motivators and barriers for healthy lifestyles and perspectives on determinants of healthy aging of older women. This provides essential information for developing targeted strategies. Data was collected by semi-structured digital interviews from February till June 2021. Women aged 55 years and older living in the Netherlands (n = 34) with a native Dutch (n = 24), Turkish (n = 6) or Moroccan (n = 4) migration background were included. Two main subjects were investigated: (1) motivators and barriers on their current lifestyles regarding smoking, alcohol consumption, physical activity, diet and sleep and (2) perspectives on determinants of healthy aging. Interviews were analyzed using Krueger's framework. Personal health was the most common motivator for a healthy lifestyle. In addition, peer pressure and being outdoors were specific motivators for physical activity. Bad weather conditions and personal dislike to be active were specific barriers. The social environment, personal preferences and personal belief to compensate with other healthy lifestyle behaviors were barriers for low alcohol consumption. Personal preferences (liking unhealthy food and not making time) were the main barriers for a healthy diet. Sleep was not perceived as a form of lifestyle behavior, but rather as a personal trait. Since there were no smokers, specific barriers were not mentioned. For Turkish-Dutch and Moroccan-Dutch women, additional barriers and motivators were culture and religion. These were strong motivators to abstain from alcohol consumption and smoking, but a barrier for a healthy diet. With regard to perspectives on determinants of healthy aging, positive views on aging and being physically active were perceived as most important. Women often wanted to increase their physical activity or healthy diet to stimulate healthy aging. Among Turkish-Dutch and Moroccan-Dutch women, healthy aging was also perceived as something in the hands of God. Although motivators and barriers for a healthy lifestyle and perspectives on healthy aging vary for distinct lifestyles, personal health is a common motivator across all lifestyles. Having a migration background added culture and religion as distinct barriers and motivations. Strategies to improve lifestyle among older women should therefore have a tailored, culture sensitive approach (if applicable) for distinct lifestyle factors.</t>
  </si>
  <si>
    <t>Enhancer hijacking at the ARHGAP36 locus is associated with connective tissue to bone transformation.</t>
  </si>
  <si>
    <t>https://pubmed.ncbi.nlm.nih.gov/37041138</t>
  </si>
  <si>
    <t>Heterotopic ossification is a disorder caused by abnormal mineralization of soft tissues in which signaling pathways such as BMP, TGFβ and WNT are known key players in driving ectopic bone formation. Identifying novel genes and pathways related to the mineralization process are important steps for future gene therapy in bone disorders. In this study, we detect an inter-chromosomal insertional duplication in a female proband disrupting a topologically associating domain and causing an ultra-rare progressive form of heterotopic ossification. This structural variant lead to enhancer hijacking and misexpression of ARHGAP36 in fibroblasts, validated here by orthogonal in vitro studies. In addition, ARHGAP36 overexpression inhibits TGFβ, and activates hedgehog signaling and genes/proteins related to extracellular matrix production. Our work on the genetic cause of this heterotopic ossification case has revealed that ARHGAP36 plays a role in bone formation and metabolism, outlining first details of this gene contributing to bone-formation and -disease.</t>
  </si>
  <si>
    <t>Defining and Measuring Resilience in Children with a Chronic Disease: a Scoping Review.</t>
  </si>
  <si>
    <t>van der Laan, Sabine E I; Berkelbach van der Sprenkel, Emma E; Lenters, Virissa C; Finkenauer, Catrin; van der Ent, Cornelis K; Nijhof, Sanne L</t>
  </si>
  <si>
    <t>adversity and resilience science</t>
  </si>
  <si>
    <t>https://pubmed.ncbi.nlm.nih.gov/37139096</t>
  </si>
  <si>
    <t>More than 25% of all children grow up with a chronic disease. They are at higher risk for developmental and psychosocial problems. However, children who function resiliently manage to adapt positively to these challenges. We aim to systematically review how resilience is defined and measured in children with a chronic disease. A search of PubMed, Cochrane, Embase, and PsycINFO was performed on December 9, 2022, using resilience, disease, and child/adolescent as search terms. Two reviewers independently screened articles for inclusion according to predefined criteria. Extraction domains included study characteristics, definition, and instruments assessing resilience outcomes, and resilience factors. Fifty-five out of 8766 articles were identified as relevant. In general, resilience was characterized as positive adaptation to adversity. The included studies assessed resilience by the outcomes of positive adaptation, or by resilience factors, or both. We categorized the assessed resilience outcomes into three groups: personal traits, psychosocial functioning, and disease-related outcomes. Moreover, myriad of resilience factors were measured, which were grouped into internal resilience factors (cognitive, social, and emotional competence factors), disease-related factors, and external factors (caregiver factors, social factors, and contextual factors). Our scoping review provides insight into the definitions and instruments used to measure resilience in children with a chronic disease. More knowledge is needed on which resilience factors are related to positive adaptation in specific illness-related challenges, which underlying mechanisms are responsible for this positive adaptation, and how these underlying mechanisms interact with one another. The online version contains supplementary material available at 10.1007/s42844-023-00092-2.</t>
  </si>
  <si>
    <t>Questioning the value of present life: The lived experience of older people who see no future for themselves.</t>
  </si>
  <si>
    <t>van den Berg, Vera E; Thölking, Thessa W; Leget, Carlo J W; Hartog, Iris D; Zomers, Margot L; van Delden, Johannes J M; van Wijngaarden, Els J</t>
  </si>
  <si>
    <t>aging mental health</t>
  </si>
  <si>
    <t>https://pubmed.ncbi.nlm.nih.gov/37036420</t>
  </si>
  <si>
    <t>To describe the lived experience of older people who see no future for oneself in the context of aging and the possible development of a wish to die. Data were collected from 34 interviews with people of 55-92 years. A phenomenological hermeneutical analysis was performed using crafted stories as an analytical device. Four intertwined constituents together with the essence of the phenomenon provide a layered description of what it means to see no future for oneself. In all constituents: 1) not sharing everyday life, 2) looking for new commitments, 3) facing present losses and future fears and 4) imagining not waking up in the morning, the essence losing zest for life seeped through their daily experiences. As their horizon of future possibilities is shrinking, older people in our study experience a loss of zest for life and start to questioning the value of their present lives. And although a certain languishing mood can be discovered, the phenomenon 'seeing no future for oneself' does not entail a wish to die.</t>
  </si>
  <si>
    <t>Assessing West Nile virus (WNV) and Usutu virus (USUV) exposure in bird ringers in the Netherlands: a high-risk group for WNV and USUV infection?</t>
  </si>
  <si>
    <t>de Bellegarde de Saint Lary, Chiara; Kasbergen, Louella M R; Bruijning-Verhagen, Patricia C J L; van der Jeugd, Henk; Chandler, Felicity; Hogema, Boris M; Zaaijer, Hans L; van der Klis, Fiona R M; Barzon, Luisa; de Bruin, Erwin; Ten Bosch, Quirine; Koopmans, Marion P G; Sikkema, Reina S; Visser, Leo G</t>
  </si>
  <si>
    <t>https://pubmed.ncbi.nlm.nih.gov/37363259</t>
  </si>
  <si>
    <t>In 2020, the first Dutch West Nile virus (WNV) infected birds were detected through risk-targeted surveillance of songbirds. Retrospective testing of patients with unexplained neurological disease revealed human WNV infections in July and August 2020. Bird ringers are highly exposed to mosquito bites and possibly avian excrements during ringing activities. This study therefore investigates whether bird ringers are at higher risk of exposure to WNV and Usutu virus (USUV). Dutch bird ringers were asked to provide a single serum sample (May - September 2021) and to fill out a survey. Sera were screened by protein microarray for presence of specific IgG against WNV and USUV non-structural protein 1 (NS1), followed by focus reduction virus neutralization tests (FRNT). Healthcare workers (2009-2010), the national immunity cohort (2016-2017) and blood donors (2021) were used as control groups without this occupational exposure. The majority of the 157 participating bird ringers was male (132/157, 84%) and the median age was 62 years. Thirty-seven participants (37/157, 23.6%) showed WNV and USUV IgG microarray signals above background, compared to 6.4% (6/94) in the community cohort and 2.1% (2/96) in blood donors (&lt;i&gt;p&lt;/i&gt; &lt; 0.01). Two seroreactive bird ringers were confirmed WNV or USUV positive by FRNT. The majority of seroreactive bird ringers travelled to EU countries with reported WNV human cases (30/37, 81%) (&lt;i&gt;p&lt;/i&gt; = 0.07). No difference was observed between bird ringers with and without previous yellow fever vaccination. The higher frequency of WNV and/or USUV IgG reactive bird ringers indicates increased flavivirus exposure compared to the general population, suggesting that individuals with high-exposure professions may be considered to complement existing surveillance systems. However, the complexity of serological interpretation in relation to location-specific exposure (including travel), and antibody cross-reactivity, remain a challenge when performing surveillance of emerging flaviviruses in low-prevalence settings.</t>
  </si>
  <si>
    <t>Sex-specific Mendelian randomisation to assess the causality of sex differences in the effects of risk factors and treatment: spotlight on hypertension.</t>
  </si>
  <si>
    <t>de Ruiter, Sophie C; Schmidt, A Floriaan; Grobbee, Diederick E; den Ruijter, Hester M; Peters, Sanne A E</t>
  </si>
  <si>
    <t>journal of human hypertension</t>
  </si>
  <si>
    <t>https://pubmed.ncbi.nlm.nih.gov/37024639</t>
  </si>
  <si>
    <t>Hypertension is a key modifiable risk factor for cardiovascular disease. Several observational studies have found a stronger association of blood pressure and cardiovascular disease risk in women compared to men. Since observational studies can be affected by sex-specific residual confounding and reverse causation, it remains unclear whether these differences reflect actual differential effects. Other study designs are needed to uncover the causality of sex differences in the strength of risk factor and treatment effects. Mendelian randomisation (MR) uses genetic variants as instrumental variables to provide evidence about putative causal relations between risk factors and outcomes. By exploiting the random allocation of genes at gamete forming, MR is unaffected by confounding and results in more reliable causal effect estimates. In this review, we discuss why and how sex-specific MR and cis-MR could be used to study sex differences in risk factor and drug target effects. Sex-specific MR can be helpful to strengthen causal inferences in the field of sex differences, where it is often challenging to distinguish nature from nurture. The challenge of sex-specific (drug target) MR lays in leveraging robust genetic instruments from sex-specific GWAS studies which are not commonly available. Knowledge on sex-specific causal effects of hypertension, or other risk factors, could improve clinical practice and health policies by tailoring interventions based on personalised risk. Drug target MR can help to determine the anticipated on-target effects of a drug compound and to identify targets to pursue in drug development.</t>
  </si>
  <si>
    <t>Factors influencing scar formation following Bacille Calmette-Guérin (BCG) vaccination.</t>
  </si>
  <si>
    <t>https://pubmed.ncbi.nlm.nih.gov/37113782</t>
  </si>
  <si>
    <t>The prevalence of scar formation following Bacille Calmette-Guérin (BCG) vaccination varies globally. The beneficial off-target effects of BCG are proposed to be stronger amongst children who develop a BCG scar. Within an international randomised trial ('BCG vaccination to reduce the impact of coronavirus disease 2019 (COVID-19) in healthcare workers'; BRACE Trial), this nested prospective cohort study assessed the prevalence of and factors influencing scar formation, as well as participant perception of BCG scarring 12 months following vaccination . Amongst 3071 BCG-recipients, 2341 (76%) developed a BCG scar. Scar prevalence was lowest in Spain and highest in UK. Absence of post-injection wheal (OR 0.4, 95%CI 0.2-0.9), BCG revaccination (OR 1.7, 95%CI 1.3-2.0), female sex (OR 2.0, 95%CI 1.7-2.4), older age (OR 0.4, 95%CI 0.4-0.5) and study country (Brazil OR 1.6, 95%CI 1.3-2.0) influenced BCG scar prevalence. Of the 2341 participants with a BCG scar, 1806 (77%) did not mind having the scar. Participants more likely to not mind were those in Brazil, males and those with a prior BCG vaccination history. The majority (96%) did not regret having the vaccine. Both vaccination-related (amenable to optimisation) and individual-related factors affected BCG scar prevalence 12 months following BCG vaccination of adults, with implications for maximising the effectiveness of BCG vaccination.</t>
  </si>
  <si>
    <t>Masculine gender affects sex differences in the prevalence of chronic health problems &lt;i&gt;- The Doetinchem Cohort Study&lt;/i&gt;.</t>
  </si>
  <si>
    <t>Vader, Sarah S; Lewis, Shirley M; Verdonk, Petra; Verschuren, W M Monique; Picavet, H Susan J</t>
  </si>
  <si>
    <t>preventive medicine reports</t>
  </si>
  <si>
    <t>https://pubmed.ncbi.nlm.nih.gov/37223572</t>
  </si>
  <si>
    <t>Both (biological) sex and (socio-cultural) gender are relevant for health but in large-scale studies specific gender measures are lacking. Using a masculine gender-score based on 'traditional masculine-connotated aspects of everyday life', we explored how masculinity may affect sex differences in the prevalence of chronic health problems. We used cross-sectional data (2008-2012) from the Doetinchem Cohort Study to calculate a masculine gender-score (range 0-19) using information on work, informal care, lifestyle and emotions. The sample consisted of 1900 men and 2117 women (age: 40-80). Multivariable logistic regressions including age and SES were used to examine the role of masculine gender on sex differences in the prevalence of diabetes, coronary heart disease, CVA, arthritis, chronic pain and migraine. Men had higher masculine gender-scores than women (12.2 vs 9.1). For both sexes, a higher masculine gender-score was associated with lower prevalence of chronic health problems. Diabetes, CHD, and CVA were more prevalent in men, and gender-adjustment resulted in greater sex differences: e.g. for diabetes the OR&lt;sub&gt;sex&lt;/sub&gt; changed from 1.21 (95 %CI 0.93-1.58) to 1.60 (95 %CI 1.18-2.17). Arthritis, chronic pain, and migraine were more prevalent in women, and gender-adjustment resulted in smaller sex differences: e.g. for chronic pain the OR&lt;sub&gt;sex&lt;/sub&gt; changed from 0.53 (95 %CI 0.45-0.60) to 0.73 (95 %CI 0.63-0.86). Gender measured as 'everyday masculinity' is associated with lower prevalence of chronic health problems in both men and women. Our findings also suggest that the commonly found sex differences in the prevalence of chronic health problems have a large gender component.</t>
  </si>
  <si>
    <t>Systematic review finds "spin" practices and poor reporting standards in studies on machine learning-based prediction models.</t>
  </si>
  <si>
    <t>Andaur Navarro, Constanza L; Damen, Johanna A A; Takada, Toshihiko; Nijman, Steven W J; Dhiman, Paula; Ma, Jie; Collins, Gary S; Bajpai, Ram; Riley, Richard D; Moons, Karel G M; Hooft, Lotty</t>
  </si>
  <si>
    <t>https://pubmed.ncbi.nlm.nih.gov/37024020</t>
  </si>
  <si>
    <t>We evaluated the presence and frequency of spin practices and poor reporting standards in studies that developed and/or validated clinical prediction models using supervised machine learning techniques. We systematically searched PubMed from 01/2018 to 12/2019 to identify diagnostic and prognostic prediction model studies using supervised machine learning. No restrictions were placed on data source, outcome, or clinical specialty. We included 152 studies: 38% reported diagnostic models and 62% prognostic models. When reported, discrimination was described without precision estimates in 53/71 abstracts (74.6% [95% CI 63.4-83.3]) and 53/81 main texts (65.4% [95% CI 54.6-74.9]). Of the 21 abstracts that recommended the model to be used in daily practice, 20 (95.2% [95% CI 77.3-99.8]) lacked any external validation of the developed models. Likewise, 74/133 (55.6% [95% CI 47.2-63.8]) studies made recommendations for clinical use in their main text without any external validation. Reporting guidelines were cited in 13/152 (8.6% [95% CI 5.1-14.1]) studies. Spin practices and poor reporting standards are also present in studies on prediction models using machine learning techniques. A tailored framework for the identification of spin will enhance the sound reporting of prediction model studies.</t>
  </si>
  <si>
    <t>A study protocol of external validation of eight COVID-19 prognostic models for predicting mortality risk in older populations in a hospital, primary care, and nursing home setting.</t>
  </si>
  <si>
    <t>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t>
  </si>
  <si>
    <t>https://pubmed.ncbi.nlm.nih.gov/37013651</t>
  </si>
  <si>
    <t>The COVID-19 pandemic has a large impact worldwide and is known to particularly affect the older population. This paper outlines the protocol for external validation of prognostic models predicting mortality risk after presentation with COVID-19 in the older population. These prognostic models were originally developed in an adult population and will be validated in an older population (≥ 70 years of age) in three healthcare settings: the hospital setting, the primary care setting, and the nursing home setting. Based on a living systematic review of COVID-19 prediction models, we identified eight prognostic models predicting the risk of mortality in adults with a COVID-19 infection (five COVID-19 specific models: GAL-COVID-19 mortality, 4C Mortality Score, NEWS2 + model, Xie model, and Wang clinical model and three pre-existing prognostic scores: APACHE-II, CURB65, SOFA). These eight models will be validated in six different cohorts of the Dutch older population (three hospital cohorts, two primary care cohorts, and a nursing home cohort). All prognostic models will be validated in a hospital setting while the GAL-COVID-19 mortality model will be validated in hospital, primary care, and nursing home settings. The study will include individuals ≥ 70 years of age with a highly suspected or PCR-confirmed COVID-19 infection from March 2020 to December 2020 (and up to December 2021 in a sensitivity analysis). The predictive performance will be evaluated in terms of discrimination, calibration, and decision curves for each of the prognostic models in each cohort individually. For prognostic models with indications of miscalibration, an intercept update will be performed after which predictive performance will be re-evaluated. Insight into the performance of existing prognostic models in one of the most vulnerable populations clarifies the extent to which tailoring of COVID-19 prognostic models is needed when models are applied to the older population. Such insight will be important for possible future waves of the COVID-19 pandemic or future pandemics.</t>
  </si>
  <si>
    <t>Fluoropyrimidine-induced hand-foot syndrome and cardiotoxicity: recommendations for the use of the oral fluoropyrimidine S-1 in metastatic colorectal cancer.</t>
  </si>
  <si>
    <t>Punt, C J A; Heinemann, V; Maughan, T; Cremolini, C; Van Cutsem, E; McDermott, R; Bodoky, G; André, T; Osterlund, P; Teske, A J; Pfeiffer, P</t>
  </si>
  <si>
    <t>esmo open</t>
  </si>
  <si>
    <t>https://pubmed.ncbi.nlm.nih.gov/37018874</t>
  </si>
  <si>
    <t>Fluoropyrimidines (FPs) are an essential part of the majority of systemic regimens in the treatment of metastatic colorectal cancer (CRC). The use of the oral FP S-1 has been approved by the European Medicines Agency as monotherapy or in combination with oxaliplatin or irinotecan, with or without bevacizumab, for the treatment of patients with metastatic CRC in whom it is not possible to continue treatment with another FP due to hand-foot syndrome (HFS) or cardiovascular toxicity (CVT). Subsequently, this indication has been included in the 2022 ESMO guidelines for metastatic CRC. Recommendations for use in daily practice are not available. Based on peer-reviewed published data on the use of S-1 in Western patients with metastatic CRC who switched from infusional 5-fluorouracil (5-FU) or capecitabine to S-1 for reasons of HFS or CVT, recommendations for its use were formulated by an international group of medical oncologists with expertise in the treatment of metastatic CRC and a cardio-oncologist. In patients who experience pain and/or functional impairment due to HFS during treatment with capecitabine or infusional 5-FU, a switch to S-1 is recommended without prior dose reduction of capecitabine/5-FU. S-1 should preferably be initiated at full dose when HFS has decreased to grade ≤1. In patients with cardiac complaints, in whom an association with capecitabine or infusional 5-FU treatment cannot be excluded, capecitabine/5-FU should be discontinued and a switch to S-1 is recommended. These recommendations should guide clinicians in daily practice in the treatment of patients with metastatic CRC with FP-containing regimens.</t>
  </si>
  <si>
    <t>External validation and updating of prediction models of bleeding risk in patients with cancer receiving anticoagulants.</t>
  </si>
  <si>
    <t>Trinks-Roerdink, E M; Geersing, G J; Hemels, Mew; van Gelder, I C; Klok, F A; van Smeden, M; Rutten, F H; van Doorn, S</t>
  </si>
  <si>
    <t>https://pubmed.ncbi.nlm.nih.gov/37055175</t>
  </si>
  <si>
    <t>Patients with cancer are at increased bleeding risk, and anticoagulants increase this risk even more. Yet, validated bleeding risk models for prediction of bleeding risk in patients with cancer are lacking. The aim of this study is to predict bleeding risk in anticoagulated patients with cancer. We performed a study using the routine healthcare database of the Julius General Practitioners' Network. Five bleeding risk models were selected for external validation. Patients with a new cancer episode during anticoagulant treatment or those initiating anticoagulation during active cancer were included. The outcome was the composite of major bleeding and clinically relevant non-major (CRNM) bleeding. Next, we internally validated an updated bleeding risk model accounting for the competing risk of death. The validation cohort consisted of 1304 patients with cancer, mean age 74.0±10.9 years, 52.2% males. In total 215 (16.5%) patients developed a first major or CRNM bleeding during a mean follow-up of 1.5 years (incidence rate; 11.0 per 100 person-years (95% CI 9.6 to 12.5)). The c-statistics of all selected bleeding risk models were low, around 0.56. Internal validation of an updated model accounting for death as competing risk showed a slightly improved c-statistic of 0.61 (95% CI 0.54 to 0.70). On updating, only age and a history of bleeding appeared to contribute to the prediction of bleeding risk. Existing bleeding risk models cannot accurately differentiate bleeding risk between patients. Future studies may use our updated model as a starting point for further development of bleeding risk models in patients with cancer.</t>
  </si>
  <si>
    <t>Airborne virus shedding of the alpha, delta, omicron SARS-CoV-2 variants and influenza virus in hospitalized patients.</t>
  </si>
  <si>
    <t>Ong, David S Y; de Man, Peter; Verhagen, Tim; Doejaaren, Gerda; Dallinga, Marloes A; Alibux, Esmee; Janssen, Matthijs L; Wils, Evert-Jan</t>
  </si>
  <si>
    <t>https://pubmed.ncbi.nlm.nih.gov/37185846</t>
  </si>
  <si>
    <t>Airborne transmission is an important transmission route for the spread of severe acute respiratory syndrome coronavirus 2 (SARS-CoV-2). Epidemiological data indicate that certain SARS-CoV-2 variants, like the omicron variant, are associated with higher transmissibility. We compared virus detection in air samples between hospitalized patients infected with different SARS-CoV-2 variants or influenza virus. The study was performed during three separate time periods in which subsequently the alpha, delta, and omicron SARS-CoV-2 variants were predominant. In total, 79 patients with coronavirus disease 2019 (COVID-19) and 22 patients with influenza A virus infection were included. Collected air samples were positive in 55% of patients infected with the omicron variant in comparison to 15% of those infected with the delta variant (p &lt; 0.01). In multivariable analysis, the SARS-CoV-2 omicron BA.1/BA.2 variant (as compared to the delta variant) and the viral load in nasopharynx were both independently associated with air sample positivity, but the alpha variant and COVID-19 vaccination were not. The proportion of positive air samples patients infected with the influenza A virus was 18%. In conclusion, the higher air sample positivity rate of the omicron variant compared to previous SARS-CoV-2 variants may partially explain the higher transmission rates seen in epidemiological trends.</t>
  </si>
  <si>
    <t>Standardization and quality control of Doppler and fetal biometric ultrasound measurements in low-income setting.</t>
  </si>
  <si>
    <t>Ali, S; Byamugisha, J; Kawooya, M G; Kakibogo, I M; Ainembabazi, I; Biira, E A; Kagimu, A N; Migisa, A; Munyakazi, M; Kuniha, S; Scheele, C; Papageorghiou, A T; Klipstein-Grobusch, K; Rijken, M J</t>
  </si>
  <si>
    <t>https://pubmed.ncbi.nlm.nih.gov/37011080</t>
  </si>
  <si>
    <t>The aim of this study was to determine the quality of fetal biometry and pulsed-wave Doppler ultrasound measurements in a prospective cohort study in Uganda. This was an ancillary study of the Ending Preventable Stillbirths by Improving Diagnosis of Babies at Risk (EPID) project, in which women enroled in early pregnancy underwent Doppler and fetal biometric assessment at 32-40 weeks of gestation. Sonographers undertook 6 weeks of training followed by onsite refresher training and audit exercises. A total of 125 images for each of the umbilical artery (UA), fetal middle cerebral artery (MCA), left and right uterine arteries (UtA), head circumference (HC), abdominal circumference (AC) and femur length (FL) were selected randomly from the EPID study database and evaluated independently by two experts in a blinded fashion using objective scoring criteria. Inter-rater agreement was assessed using modified Fleiss' kappa for nominal variables and systematic errors were explored using quantile-quantile (Q-Q) plots. For Doppler measurements, 96.8% of the UA images, 84.8% of the MCA images and 93.6% of the right UtA images were classified as of acceptable quality by both reviewers. For fetal biometry, 96.0% of the HC images, 96.0% of the AC images and 88.0% of the FL images were considered acceptable by both reviewers. The kappa values for inter-rater reliability of quality assessment were 0.94 (95% CI, 0.87-0.99) for the UA, 0.71 (95% CI, 0.58-0.82) for the MCA, 0.87 (95% CI, 0.78-0.95) for the right UtA, 0.94 (95% CI, 0.87-0.98) for the HC, 0.93 (95% CI, 0.87-0.98) for the AC and 0.78 (95% CI, 0.66-0.88) for the FL measurements. The Q-Q plots indicated no influence of systematic bias in the measurements. Training local healthcare providers to perform Doppler ultrasound, and implementing quality control systems and audits using objective scoring tools in clinical and research settings, is feasible in low- and middle-income countries. Although we did not assess the impact of in-service retraining offered to practitioners deviating from prescribed standards, such interventions should enhance the quality of ultrasound measurements and should be investigated in future studies. © 2022 The Authors. Ultrasound in Obstetrics &amp; Gynecology published by John Wiley &amp; Sons Ltd on behalf of International Society of Ultrasound in Obstetrics and Gynecology.</t>
  </si>
  <si>
    <t>Rapid exome sequencing as a first-tier test in neonates with suspected genetic disorder: results of a prospective multicenter clinical utility study in the Netherlands.</t>
  </si>
  <si>
    <t>Olde Keizer, Richelle A C M; Marouane, Abderrahim; Kerstjens-Frederikse, Wilhelmina S; Deden, A Chantal; Lichtenbelt, Klaske D; Jonckers, Tinneke; Vervoorn, Marieke; Vreeburg, Maaike; Henneman, Lidewij; de Vries, Linda S; Sinke, Richard J; Pfundt, Rolph; Stevens, Servi J C; Andriessen, Peter; van Lingen, Richard A; Nelen, Marcel; Scheffer, Hans; Stemkens, Daphne; Oosterwijk, Cor; van Amstel, Hans Kristian Ploos; de Boode, Willem P; van Zelst-Stams, Wendy A G; Frederix, Geert W J; Vissers, Lisenka E L M; ,</t>
  </si>
  <si>
    <t>https://pubmed.ncbi.nlm.nih.gov/36997769</t>
  </si>
  <si>
    <t>The introduction of rapid exome sequencing (rES) for critically ill neonates admitted to the neonatal intensive care unit has made it possible to impact clinical decision-making. Unbiased prospective studies to quantify the impact of rES over routine genetic testing are, however, scarce. We performed a clinical utility study to compare rES to conventional genetic diagnostic workup for critically ill neonates with suspected genetic disorders. In a multicenter prospective parallel cohort study involving five Dutch NICUs, we performed rES in parallel to routine genetic testing for 60 neonates with a suspected genetic disorder and monitored diagnostic yield and the time to diagnosis. To assess the economic impact of rES, healthcare resource use was collected for all neonates. rES detected more conclusive genetic diagnoses than routine genetic testing (20% vs. 10%, respectively), in a significantly shorter time to diagnosis (15 days (95% CI 10-20) vs. 59 days (95% CI 23-98, p &lt; 0.001)). Moreover, rES reduced genetic diagnostic costs by 1.5% (€85 per neonate).  Our findings demonstrate the clinical utility of rES for critically ill neonates based on increased diagnostic yield, shorter time to diagnosis, and net healthcare savings. Our observations warrant the widespread implementation of rES as first-tier genetic test in critically ill neonates with disorders of suspected genetic origin. • Rapid exome sequencing (rES) enables diagnosing rare genetic disorders in a fast and reliable manner, but retrospective studies with neonates admitted to the neonatal intensive care unit (NICU) indicated that genetic disorders are likely underdiagnosed as rES is not routinely used. • Scenario modeling for implementation of rES for neonates with presumed genetic disorders indicated an expected increase in costs associated with genetic testing. • This unique prospective national clinical utility study of rES in a NICU setting shows that rES obtained more and faster diagnoses than conventional genetic tests. • Implementation of rES as replacement for all other genetic tests does not increase healthcare costs but in fact leads to a reduction in healthcare costs.</t>
  </si>
  <si>
    <t>A Cross-Sectional Study of the Associations between Biomarkers of Vitamin D, Iron Status, and Hemoglobin in South African Women of Reproductive Age: the Healthy Life Trajectories Initiative, South Africa.</t>
  </si>
  <si>
    <t>Soepnel, Larske M; Mabetha, Khuthala; Draper, Catherine E; Silubonde, Takana Mary; Smuts, Cornelius M; Pettifor, John M; Norris, Shane A</t>
  </si>
  <si>
    <t>https://pubmed.ncbi.nlm.nih.gov/37180853</t>
  </si>
  <si>
    <t>Vitamin D deficiency and anemia impact the health of women of reproductive age. Evidence suggests an inverse relationship between serum vitamin D (25-hydroxyvitamin D [25(OH)D]) and anemia/iron deficiency, but less is known about these associations in women of reproductive age, in particular in a setting with a combined burden of micronutrient deficiency, food insecurity, and obesity. We aimed to assess the associations between 25(OH)D and biomarkers of iron and anemia in a cohort of women of reproductive age from Soweto, South Africa. The prevalence of vitamin D deficiency was also assessed. In this cross-sectional substudy of the Healthy Life Trajectories Initiative (HeLTI) South Africa pilot trial, 25(OH)D, iron markers (ferritin and soluble transferrin receptor [sTFR]), and altitude-adjusted hemoglobin (Hb) were measured in 493 women aged 18 to 25 years. Associations between iron deficiency/anemia and vitamin D status were evaluated using multivariable logistic regression, adjusting for confounders including fat mass index (FMI). Structural equation modeling (SEM) was performed to evaluate direct and indirect pathways between 25(OH)D, iron and anemia markers, and covariates. Of 493 participants, 136 (27.6%) had vitamin D insufficiency (25(OH)D ≥12-20 ng/mL), whereas 28 (5.6%) had vitamin D deficiency (&lt;12 ng/mL). Anemia and iron deficiency were not significantly associated with vitamin D category (25(OH)D&lt;20 ng/mL compared with ≥20 ng/mL) in multivariable logistic regression analyses. In SEM, log-transformed 25(OH)D was not significantly associated with Hb, ferritin, or sTFR, but it was significantly associated with season of data collection, hormonal contraceptive use, and FMI (total effects: B = 0.17, 95% CI: 0.104, 0.236, &lt;i&gt;P&lt;/i&gt; &lt; 0.001; B: 0.10, 95% CI: 0.041, 0.154, &lt;i&gt;P&lt;/i&gt; &lt; 0.001; B: -0.01, 95%CI: -0.016, -0.003, &lt;i&gt;P&lt;/i&gt; = 0.003, respectively). No significant association between vitamin D (25(OH)D), anemia (Hb), and iron markers was found. The inverse relationship between FMI and vitamin D status emphasizes the overlap between adiposity and micronutrient deficiencies in young South African women, exacerbating their risk of disease development.</t>
  </si>
  <si>
    <t>Diabetes-Tuberculosis Care in Eswatini: A Qualitative Study of Opportunities and Recommendations for Effective Services Integration.</t>
  </si>
  <si>
    <t>https://pubmed.ncbi.nlm.nih.gov/37065641</t>
  </si>
  <si>
    <t>&lt;b&gt;Objective:&lt;/b&gt; This study describes the availability of basic services, equipment, and commodities for integrated DM-TB services, best practices by healthcare workers, and opportunities for better integration of DM-TB care in Eswatini. &lt;b&gt;Methods:&lt;/b&gt; A qualitative design was used. Twenty-three healthcare workers participated in a survey and key informant interview. &lt;b&gt;Results:&lt;/b&gt; Most respondents indicated DM and TB care are integrated and clients access blood pressure and fasting/random blood glucose assessment. Few respondents indicated they provide visual assessment, hearing assessment, and HbA1c testing. Respondents experienced stockouts of urinalysis strips, antihypertensive drugs, insulin, glucometer strips, and DM drugs in the previous 6 months before the interview. Four main themes emerged from the qualitative interviews-quality and current standards of care, best practices, opportunities, and recommendations to improve integrated services delivery. &lt;b&gt;Conclusion:&lt;/b&gt; While DM care is provided for TB patients, the implementation of integrated DM-TB services is suboptimal as the quality and current standards of care vary across health facilities due to different patient-level and health system challenges. Some identified opportunities must be utilized for a successful DM-TB integration.</t>
  </si>
  <si>
    <t>The association between body fatness and mortality among breast cancer survivors: results from a prospective cohort study.</t>
  </si>
  <si>
    <t>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t>
  </si>
  <si>
    <t>european journal of epidemiology</t>
  </si>
  <si>
    <t>https://pubmed.ncbi.nlm.nih.gov/36988840</t>
  </si>
  <si>
    <t>Evidence linking body fatness to breast cancer (BC) prognosis is limited. While it seems that excess adiposity is associated with poorer BC survival, there is uncertainty over whether weight changes reduce mortality. This study aimed to assess the association between body fatness and weight changes pre- and postdiagnosis and overall mortality and BC-specific mortality among BC survivors. Our study included 13,624 BC survivors from the European Prospective Investigation into Cancer and Nutrition (EPIC) study, with a mean follow-up of 8.6 years after diagnosis. Anthropometric data were obtained at recruitment for all cases and at a second assessment during follow-up for a subsample. We measured general obesity using the body mass index (BMI), whereas waist circumference and A Body Shape Index were used as measures of abdominal obesity. The annual weight change was calculated for cases with two weight assessments. The association with overall mortality and BC-specific mortality were based on a multivariable Cox and Fine and Gray models, respectively. We performed Mendelian randomization (MR) analysis to investigate the potential causal association. Five-unit higher BMI prediagnosis was associated with a 10% (95% confidence interval: 5-15%) increase in overall mortality and 7% (0-15%) increase in dying from BC. Women with abdominal obesity demonstrated a 23% (11-37%) increase in overall mortality, independent of the association of BMI. Results related to weight change postdiagnosis suggested a U-shaped relationship with BC-specific mortality, with higher risk associated with losing weight or gaining &gt; 2% of the weight annually. MR analyses were consistent with the identified associations. Our results support the detrimental association of excess body fatness on the survival of women with BC. Substantial weight changes postdiagnosis may be associated with poorer survival.</t>
  </si>
  <si>
    <t>[A new prognostic prediction model for heart failure: will it help the general practitioner?].</t>
  </si>
  <si>
    <t>Rutten, Frans H; van Smeden, Maarten</t>
  </si>
  <si>
    <t>https://pubmed.ncbi.nlm.nih.gov/36988961</t>
  </si>
  <si>
    <t>In the Netherlands a prediction model has been developed to detect incident heart failure among symptomatic patients in general practice using routine health care data. The authors present a prognostic model that should help predict the development of heart failure within 10 years in community people aged 35 years or over with shortness of breath and/or oedema. They used longitudinal routine care data for establishing heart failure. However, there are over 30 causes of shortness of breath, and both patient and general practitioner primarily want to know the cause of it (the diagnosis), because only then adequate treatment can be given. Thus, a cross-sectional diagnostic model is needed for these patients, not a prognostic one. Moreover, routine care data are insufficient for establishing heart failure because many patients will be misclassified as 'no heart failure'. Finally, there are over 1300 prediction models for cardiovascular disease and validation of an existing model should be preferred above developing a new one.</t>
  </si>
  <si>
    <t>Introducing e-health technology to routine cataract care: patient perspectives on web-based eye test for postoperative telemonitoring.</t>
  </si>
  <si>
    <t>Claessens, Janneau L J; Maats, Emma P E; Iacob, Maria E; Wisse, Robert P L; Jongsma, Karin R</t>
  </si>
  <si>
    <t>journal of cataract and refractive surgery</t>
  </si>
  <si>
    <t>https://pubmed.ncbi.nlm.nih.gov/37010267</t>
  </si>
  <si>
    <t>To explore cataract patients' experiences with an e-health tool for self-assessing visual function (ie, a web-based eye test), and to formulate recommendations for its successful adoption in routine cataract care. Clinics in the Netherlands, Germany, and Austria. Mixed-methods study. 22 participants were included in this study; in-depth interviews were conducted with 12. Questionnaires and in-depth semi-structured interviews were conducted alongside a multicenter randomized controlled trial evaluating the validity, safety and cost-effectiveness of remote care after cataract surgery (Cataract Online Refraction Evaluation, a Randomized Controlled Trial). Results were analyzed thematically. Participants reported positively about performing the web-based eye test at home. 4 overarching themes were identified in the interviews. First, participants were inventive in overcoming practical barriers encountered while conducting the test. Second, participants desired a clear presentation of test results and their meaning. Third, the ability to self-monitor visual function was appreciated. Fourth, most participants preferred to keep the option to contact their eyecare professional (ECP) postoperatively, especially when experiencing symptoms. Most would be satisfied with a phone consultation or an e-consult. Participants reported positive experiences with the web-based eye test. Barriers for successful adoption were identified, including insecurity about correctly performing the test, incomplete information on how to interpret test results, and a feeling that in-hospital assessments were superior to remote assessments. It is recommended to focus on building trust in remote eyecare delivery and that access to the ECP be retained when medically indicated or deemed necessary by the patient.</t>
  </si>
  <si>
    <t>Maternal perception of fetal movements: Views, knowledge and practices of women and health providers in a low-resource setting.</t>
  </si>
  <si>
    <t>Weller, Katinka; Housseine, Natasha; Khamis, Rashid S; Meguid, Tarek; Hofmeyr, G Justus; Browne, Joyce L; Rijken, Marcus J</t>
  </si>
  <si>
    <t>https://pubmed.ncbi.nlm.nih.gov/36989235</t>
  </si>
  <si>
    <t>The study assessed perception, knowledge, and practices regarding maternal perception of fetal movements (FMs) among women and their healthcare providers in a low-resource setting. Semi-structured interviews, questionnaires and focus group discussions were conducted with 45 Zanzibar women (18 antenatal, 28 postpartum) and 28 health providers at the maternity unit of Mnazi Mmoja Hospital, Zanzibar, Tanzania. Descriptive and thematic analyses were conducted to systematically extract subthemes within four main themes 1) knowledge/awareness, 2) behavior/practice, 3) barriers, and 4) ways to improve practice. Within the main themes it was found that 1) Women were instinctively aware of (ab)normal FM-patterns and healthcare providers had adequate knowledge about FMs. 2) Women often did not know how to monitor FMs or when to report concerns. There was inadequate assessment and management of (ab)normal FMs. 3) Barriers included the fact that women did not feel free to express concerns. Healthcare providers considered FM-awareness among women as low and unreliable. There was lack of staff, time and space for FM-education, and no protocol for FM-management. 4) Women and health providers recognised the need for education on assessment and management of (ab)normal FMs. In conclusion, women demonstrated adequate understanding of FMs and perceived abnormalities of these movements better than assumed by health providers. There is a need for more evidence on the effect of improving knowledge and awareness of FMs to construct evidence-based guidelines for low resource settings.</t>
  </si>
  <si>
    <t>BCG Vaccination of Health Care Workers Does Not Reduce SARS-CoV-2 Infections nor Infection Severity or Duration: a Randomized Placebo-Controlled Trial.</t>
  </si>
  <si>
    <t>Claus, Juana; Ten Doesschate, Thijs; Gumbs, Cheyenne; van Werkhoven, Cornelis H; van der Vaart, Thomas W; Janssen, Axel B; Smits, Gaby; van Binnendijk, Rob; van der Klis, Fiona; van Baarle, Debbie; Paganelli, Fernanda L; Leavis, Helen; Verhagen, Lilly M; Joosten, Simone A; Bonten, Marc J M; Netea, Mihai G; van de Wijgert, Janneke H H M; ,</t>
  </si>
  <si>
    <t>mbio</t>
  </si>
  <si>
    <t>https://pubmed.ncbi.nlm.nih.gov/36976004</t>
  </si>
  <si>
    <t>Bacillus Calmette-Guerin (BCG) vaccination has been hypothesized to reduce severe acute respiratory syndrome coronavirus 2 (SARS-CoV-2) infection, severity, and/or duration via trained immunity induction. Health care workers (HCWs) in nine Dutch hospitals were randomized to BCG or placebo vaccination (1:1) in March and April 2020 and followed for 1 year. They reported daily symptoms, SARS-CoV-2 test results, and health care-seeking behavior via a smartphone application, and they donated blood for SARS-CoV-2 serology at two time points. A total of 1,511 HCWs were randomized and 1,309 analyzed (665 BCG and 644 placebo). Of the 298 infections detected during the trial, 74 were detected by serology only. The SARS-CoV-2 incidence rates were 0.25 and 0.26 per person-year in the BCG and placebo groups, respectively (incidence rate ratio, 0.95; 95% confidence interval, 0.76 to 1.21; &lt;i&gt;P&lt;/i&gt; = 0.732). Only three participants required hospitalization for SARS-CoV-2. The proportions of participants with asymptomatic, mild, or moderate infections and the mean infection durations did not differ between randomization groups. In addition, unadjusted and adjusted logistic regression and Cox proportional hazards models showed no differences between BCG and placebo vaccination for any of these outcomes. The percentage of participants with seroconversion (7.8% versus 2.8%; &lt;i&gt;P&lt;/i&gt; = 0.006) and mean SARS-CoV-2 anti-S1 antibody concentration (13.1 versus 4.3 IU/mL; &lt;i&gt;P&lt;/i&gt; = 0.023) were higher in the BCG than placebo group at 3 months but not at 6 or 12 months postvaccination. BCG vaccination of HCWs did not reduce SARS-CoV-2 infections nor infection duration or severity (ranging from asymptomatic to moderate). In the first 3 months after vaccination, BCG vaccination may enhance SARS-CoV-2 antibody production during SARS-CoV-2 infection. &lt;b&gt;IMPORTANCE&lt;/b&gt; While several BCG trials in adults were conducted during the 2019 coronavirus disease epidemic, our data set is the most comprehensive to date, because we included serologically confirmed infections in addition to self-reported positive SARS-CoV-2 test results. We also collected data on symptoms for every day during the 1-year follow-up period, which enabled us to characterize infections in detail. We found that BCG vaccination did not reduce SARS-CoV-2 infections nor infection duration or severity but may have enhanced SARS-CoV-2 antibody production during SARS-CoV-2 infection in the first 3 months after vaccination. These results are in agreement with other BCG trials that reported negative results (but did not use serological endpoints), except for two trials in Greece and India that reported positive results but had few endpoints and included endpoints that were not laboratory confirmed. The enhanced antibody production is in agreement with prior mechanistic studies but did not translate into protection from SARS-CoV-2 infection.</t>
  </si>
  <si>
    <t>Long-term Survival in Breast Cancer Patients Is Associated with Contralateral Parenchymal Enhancement at MRI: Outcomes of the SELECT Study.</t>
  </si>
  <si>
    <t>Ragusi, Max A A; van der Velden, Bas H M; Meeuwis, Carla; Tetteroo, Eric; Coerkamp, Emile G; van Nijnatten, Thiemo J A; Jansen, Frits H; Wolters-van der Ben, Elian J M; Jongen, Lisa; van Raamt, Fleur; Dorrius, Monique D; Verloop, Janneke; Viergever, Max A; Pijnappel, Ruud M; Elias, Sjoerd G; Gilhuijs, Kenneth G A</t>
  </si>
  <si>
    <t>https://pubmed.ncbi.nlm.nih.gov/36975820</t>
  </si>
  <si>
    <t>Background Several single-center studies found that high contralateral parenchymal enhancement (CPE) at breast MRI was associated with improved long-term survival in patients with estrogen receptor (ER)-positive and human epidermal growth factor receptor 2 (HER2)-negative breast cancer. Due to varying sample sizes, population characteristics, and follow-up times, consensus of the association is currently lacking. Purpose To confirm whether CPE is associated with long-term survival in a large multicenter retrospective cohort, and to investigate if CPE is associated with endocrine therapy effectiveness. Materials and Methods This multicenter observational cohort included women with unilateral ER-positive HER2-negative breast cancer (tumor size ≤50 mm and ≤three positive lymph nodes) who underwent MRI from January 2005 to December 2010. Overall survival (OS), recurrence-free survival (RFS), and distant RFS (DRFS) were assessed. Kaplan-Meier analysis was performed to investigate differences in absolute risk after 10 years, stratified according to CPE tertile. Multivariable Cox proportional hazards regression analysis was performed to investigate whether CPE was associated with prognosis and endocrine therapy effectiveness. Results Overall, 1432 women (median age, 54 years [IQR, 47-63 years]) were included from 10 centers. Differences in absolute OS after 10 years were stratified according to CPE tertile as follows: 88.5% (95% CI: 88.1, 89.1) in tertile 1, 85.8% (95% CI: 85.2, 86.3) in tertile 2, and 85.9% (95% CI: 85.4, 86.4) in tertile 3. CPE was independently associated with OS, with a hazard ratio (HR) of 1.17 (95% CI: 1.0, 1.36; &lt;i&gt;P&lt;/i&gt; = .047), but was not associated with RFS (HR, 1.11; &lt;i&gt;P&lt;/i&gt; = .16) or DRFS (HR, 1.11; &lt;i&gt;P&lt;/i&gt; = .19). The effect of endocrine therapy on survival could not be accurately assessed; therefore, the association between endocrine therapy efficacy and CPE could not reliably be estimated. Conclusion High contralateral parenchymal enhancement was associated with a marginally decreased overall survival in patients with estrogen receptor-positive and human epidermal growth factor receptor 2-negative breast cancer, but was not associated with recurrence-free survival (RFS) or distant RFS. Published under a CC BY 4.0 license. &lt;i&gt;Supplemental material is available for this article.&lt;/i&gt; See also the editorial by Honda and Iima in this issue.</t>
  </si>
  <si>
    <t>Interventions for improving psychosocial well-being after stroke: A systematic review.</t>
  </si>
  <si>
    <t>van Nimwegen, Dagmar; Hjelle, Ellen Gabrielsen; Bragstad, Line Kildal; Kirkevold, Marit; Sveen, Unni; Hafsteinsdóttir, Thóra; Schoonhoven, Lisette; Visser-Meily, Johanna; de Man-van Ginkel, Janneke M</t>
  </si>
  <si>
    <t>international journal of nursing studies</t>
  </si>
  <si>
    <t>https://pubmed.ncbi.nlm.nih.gov/37084476</t>
  </si>
  <si>
    <t>Up to one third of all stroke patients suffer from one or more psychosocial impairments. Recognition and treatment of these impairments are essential in improving psychosocial well-being after stroke. Although nurses are ideally positioned to address psychosocial well-being, they often feel insecure about providing the needed psychosocial care. Therefore, we expect that providing nurses with better knowledge to deliver this care could lead to an improvement in psychosocial well-being after stroke. Currently it is not known which interventions are effective and what aspects of these interventions are most effective to improve psychosocial well-being after stroke. To identify potentially effective interventions - and intervention components - which can be delivered by nurses to improve patients' psychosocial well-being after stroke. A systematic review and data synthesis of randomized controlled trials and quasi experimental studies was conducted. Papers were included according to the following criteria: 1) before-after design, 2) all types of stroke patients, 3) interventions that can be delivered by nurses, 4) the primary outcome(s) were psychosocial. PubMed, Embase, PsychInfo, CINAHL and Cochrane library were searched (August 2019-April 2022). Articles were selected based on title, abstract, full text and quality. Quality was assessed by using Joanna Briggs Institute checklists and a standardized data extraction form developed by Joanna Brigss Institute was used to extract the data. In total 60 studies were included, of which 52 randomized controlled trials, three non-randomized controlled trials, four quasi-experimental studies, and one randomized cross-over study. Nineteen studies had a clear psychosocial content, twenty-nine a partly psychosocial content, and twelve no psychosocial content. Thirty-nine interventions that showed positive effects on psychosocial well-being after stroke were identified. Effective intervention topics were found to be mood, recovery, coping, emotions, consequences/problems after stroke, values and needs, risk factors and secondary prevention, self-management, and medication management. Active information and physical exercise were identified as effective methods of delivery. The results suggest that interventions to improve psychosocial well-being should include the intervention topics and methods of delivery that were identified as effective. Since effectiveness of the intervention can depend on the interaction of intervention components, these interactions should be studied. Nurses and patients should be involved in the development of such interventions to ensure it can be used by nurses and will help improve patients' psychosocial well-being. This study was supported by the Taskforce for Applied Research SIA (RAAK.PUB04.010). This review was not registered.</t>
  </si>
  <si>
    <t>Unmasking a silent killer: Prevalence of diagnosed and undiagnosed diabetes mellitus among people living with HIV in rural South Africa.</t>
  </si>
  <si>
    <t>de Vries, Annemiek E M; Xaba, Zanele; Moraba, Sehulong R; Goerlitz, Luise; Tempelman, Hugo A; Klipstein-Grobusch, Kerstin; Hermans, Lucas E; Scheuermaier, Karine; Devillé, Walter L J M; Vos, Alinda G</t>
  </si>
  <si>
    <t>tropical medicine international health tm ih</t>
  </si>
  <si>
    <t>https://pubmed.ncbi.nlm.nih.gov/36920286</t>
  </si>
  <si>
    <t>To document the prevalence of impaired glucose tolerance (IGT) and undiagnosed diabetes mellitus (DM) and to identify factors associated with undiagnosed DM in people living with HIV (PLWH). Cross-sectional study performed at Ndlovu Medical Center, Limpopo, South Africa including PLWH aged ≥18 years. Between August and November 2017, 356 HIV-positive participants were included. Information was collected on socio-demographics, DM symptoms and risk factors for DM. IGT and DM were diagnosed using random plasma glucose and/or HbA1c. Factors associated with undiagnosed DM were assessed by comparing participants with newly diagnosed DM to participants without DM. IGT was diagnosed in 172 (48.3%) participants. Twenty-nine (8.1%) participants met the definition of DM, of whom 17 (58.6%) were newly diagnosed. Compared to participants without DM, participants with DM were on average 5 years older, were more likely to have a positive family history for DM, were less physically active and had higher systolic blood pressure, body mass index and waist circumference. Factors associated with undiagnosed DM included age ≥45 years (odds ratio [OR] = 3.59) and physical inactivity (OR = 3.17). The prevalence of IGT and DM among PLWH is high and more than half of DM cases were undiagnosed. Regular screening for DM in PLWH is recommended, especially in an ageing population with additional cardiovascular disease risk factors.</t>
  </si>
  <si>
    <t>Associations of baseline glycemic status and its transitions with cognitive and physical functioning decline.</t>
  </si>
  <si>
    <t>Wang, Kan; Gao, Hui; Sijbrands, Eric J G; Kavousi, Maryam; Ahmadizar, Fariba</t>
  </si>
  <si>
    <t>https://pubmed.ncbi.nlm.nih.gov/36990054</t>
  </si>
  <si>
    <t>Evidence about the decline of cognition and physical function across glycemic status (normoglycemia, prediabetes, and diabetes) is inconsistent. We evaluated longitudinal changes in cognition and physical function according to glycemic status and also different glycemic transitions. Population-based cohort study. 9307 participants (mean age 59.7 years, 53.7 % women) were included from the China Health and Retirement Longitudinal Study (2011-2018). Global cognition (assessed by orientation, memory, and executive function) and physical function (calculated as the sum of impaired basic and instrumental activities of daily living) were assessed in each wave. The glycemic status was assessed in waves 2011 and 2015. Diabetes was defined as fasting blood glucose ≥7.0 mmol/L, HbA1c ≥6.5 %, self-reported diabetes, or glucose-lowering medication use. Prediabetes was defined as fasting blood glucose 5.6-6.9 mmol/L or an HbA1c of 5.7-6.4 %. Compared with normoglycemia, baseline diabetes was associated with a faster decline in orientation (-0.018 SD/year, 95%CI -0.032, -0.004) and a faster increase in physical function score (0.082 /year, 95%CI 0.038, 0.126). We did not observe any effect of prediabetes on the changing rate of cognition and physical function. Progression from normoglycemia to diabetes between waves 2011 and 2015 was associated with a significantly faster decline in global cognition, memory, executive function, and physical function compared with stable normoglycemia. Baseline diabetes was associated with accelerated decline of cognition and physical function. Associations with prediabetes were not observed, suggesting an important short diagnostic window when diabetes presents de novo.</t>
  </si>
  <si>
    <t>Provision and experience of care among women with hypertension in pregnancy: a multi-center qualitative study in Ghana.</t>
  </si>
  <si>
    <t>Adu-Bonsaffoh, Kwame; Tamma, Evelyn; Nwameme, Adanna; Dako-Gyeke, Phyllis; Srofenyoh, Emmanuel; Ansah, Evelyn K; Grobbee, Diederick E; Franx, Arie; Browne, Joyce L</t>
  </si>
  <si>
    <t>reproductive health</t>
  </si>
  <si>
    <t>https://pubmed.ncbi.nlm.nih.gov/36966326</t>
  </si>
  <si>
    <t>Hypertensive disorders of pregnancy (HDP) remain a leading global health problem with complex clinical presentations and potentially grim birth outcomes for both mother and fetus. Improvement in the quality of maternal care provision and positive women's experiences are indispensable measures to reduce maternal and perinatal adverse outcomes. To explore the perspectives and lived experiences of healthcare provision among women with HDP and the associated challenges. A multi-center qualitative study using in-depth interviews (IDIs) and focus group discussions (FGDs) was conducted in five major referral hospitals in the Greater Accra Region of Ghana between June 2018 and March 2019. Women between 26 and 34 weeks' gestation with confirmed HDP who received maternity care services were eligible to participate. Thematic content analysis was performed using the inductive analytic framework approach. Fifty IDIs and three FGDs (with 22 participants) were conducted. Most women were between 20 and 30 years, Akans (ethnicity), married/cohabiting, self-employed and secondary school graduates. Women reported mixed (positive and negative) experiences of maternal care. Positive experiences reported include receiving optimal quality of care, satisfaction with care and good counselling and reassurance from the health professionals. Negative experiences of care comprised ineffective provider-client communication, inappropriate attitudes by the health professionals and disrespectful treatment including verbal and physical abuse. Major health system factors influencing women's experiences of care included lack of logistics, substandard professionalism, inefficient national health insurance system and unexplained delays at health facilities. Patient-related factors that influenced provision of care enumerated were financial limitations, chronic psychosocial stress and inadequate awareness about HDP. Women with HDP reported both positive and negative experiences of care stemming from the healthcare system, health providers and individual factors. Given the importance of positive women's experiences and respectful maternal care, dedicated multidisciplinary women-centered care is recommended to optimize the care for pregnant women with HDP.</t>
  </si>
  <si>
    <t>Use of Utility and Disability Weights in Economic Evaluation of Pediatric Vaccines.</t>
  </si>
  <si>
    <t>Neppelenbroek, Nienke J M; de Wit, G Ardine; Dalziel, Kim; Devlin, Nancy; Carvalho, Natalie I</t>
  </si>
  <si>
    <t>https://pubmed.ncbi.nlm.nih.gov/36967026</t>
  </si>
  <si>
    <t>To describe how utility weights and disability weights have been used in the context of quality-adjusted life-years (QALYs) and disability-adjusted life-years (DALYs)-based cost-effectiveness analysis (CEA) of pediatric vaccines for infectious diseases and assess the comparability between weights. A systematic review was conducted of CEAs of pediatric vaccines for 16 infectious diseases, published between January 2013 and December 2020 and using QALYs or DALYs as outcome measure. Data on values and sources of weights for the estimation of QALYs and DALYs were extracted from studies and compared across similar health states. Reporting was conducted according to the Preferred Reporting Items for Systematic Reviews and Meta-Analyses statement. Out of 2154 articles identified, 216 CEAs met our inclusion criteria. Of the included studies, 157 used utility weights and 59 used disability weights in their valuation of health states. In QALY studies, the source, background, who's preferences (adults'/children's) were applied and adjustments made to utility weights were poorly reported. In DALY studies, the Global Burden of Disease study was most often referenced. Valuation weights for similar health states varied within QALY studies and between DALY and QALY studies, but no systematic differences were identified. This review identified considerable gaps in the way valuation weights are used and reported on in CEA. The nonstandardized use of weights may lead to different conclusions about cost-effectiveness of vaccines and policy decisions.</t>
  </si>
  <si>
    <t>The enhancer landscape predetermines the skeletal regeneration capacity of stromal cells.</t>
  </si>
  <si>
    <t>Hochmann, Sarah; Ou, Kristy; Poupardin, Rodolphe; Mittermeir, Michaela; Textor, Martin; Ali, Salaheddine; Wolf, Martin; Ellinghaus, Agnes; Jacobi, Dorit; Elmiger, Juri A J; Donsante, Samantha; Riminucci, Mara; Schäfer, Richard; Kornak, Uwe; Klein, Oliver; Schallmoser, Katharina; Schmidt-Bleek, Katharina; Duda, Georg N; Polansky, Julia K; Geissler, Sven; Strunk, Dirk</t>
  </si>
  <si>
    <t>https://pubmed.ncbi.nlm.nih.gov/36947595</t>
  </si>
  <si>
    <t>Multipotent stromal cells are considered attractive sources for cell therapy and tissue engineering. Despite numerous experimental and clinical studies, broad application of stromal cell therapeutics is not yet emerging. A major challenge is the functional diversity of available cell sources. Here, we investigated the regenerative potential of clinically relevant human stromal cells from bone marrow (BMSCs), white adipose tissue, and umbilical cord compared with mature chondrocytes and skin fibroblasts in vitro and in vivo. Although all stromal cell types could express transcription factors related to endochondral ossification, only BMSCs formed cartilage discs in vitro that fully regenerated critical-size femoral defects after transplantation into mice. We identified cell type-specific epigenetic landscapes as the underlying molecular mechanism controlling transcriptional stromal differentiation networks. Binding sites of commonly expressed transcription factors in the enhancer and promoter regions of ossification-related genes, including Runt and bZIP families, were accessible only in BMSCs but not in extraskeletal stromal cells. This suggests an epigenetically predetermined differentiation potential depending on cell origin that allows common transcription factors to trigger distinct organ-specific transcriptional programs, facilitating forward selection of regeneration-competent cell sources. Last, we demonstrate that viable human BMSCs initiated defect healing through the secretion of osteopontin and contributed to transient mineralized bone hard callus formation after transplantation into immunodeficient mice, which was eventually replaced by murine recipient bone during final tissue remodeling.</t>
  </si>
  <si>
    <t>Vulvovaginal yeast infections during pregnancy and perinatal outcomes: systematic review and meta-analysis.</t>
  </si>
  <si>
    <t>Gigi, Ranjana M S; Buitrago-Garcia, Diana; Taghavi, Katayoun; Dunaiski, Cara-Mia; van de Wijgert, Janneke H H M; Peters, Remco P H; Low, Nicola</t>
  </si>
  <si>
    <t>https://pubmed.ncbi.nlm.nih.gov/36944953</t>
  </si>
  <si>
    <t>Vulvovaginal yeast infections in pregnancy are common and can cause extensive inflammation, which could contribute to adverse pregnancy outcomes. Symptomatic yeast infections are likely to cause more inflammation than asymptomatic. The objective of this study was to investigate associations between symptomatic and asymptomatic vulvovaginal yeast infections in pregnancy and perinatal outcomes. We did a systematic review and searched eight databases until 01 July 2022. We included studies reporting on pregnant women with and without laboratory confirmed vulvovaginal yeast infection and preterm birth or eight other perinatal outcomes. We used random effects meta-analysis to calculate summary odds ratios (OR), 95% confidence intervals (CI) and prediction intervals for the association between yeast infection and outcomes. We described findings from studies with multivariable analyses. We assessed the risk of bias using published tools. We screened 3909 references and included 57 studies. Only 22/57 studies reported information about participant vulvovaginal symptoms. Preterm birth was an outcome in 35/57 studies (49,161 women). In 32/35 studies with available data, the summary OR from univariable analyses was 1.01 (95% CI 0.84-1.21, I&lt;sup&gt;2&lt;/sup&gt; 60%, prediction interval 0.45-2.23). In analyses stratified by symptom status, we found ORs of 1.44 (95% CI 0.92-2.26) in two studies with ≥ 50% symptomatic participants, 0.84 (95% CI 0.45-1.58) in seven studies with &lt; 50% symptomatic participants, and 1.12 (95% CI 0.94-1.35) in four studies with asymptomatic participants. In three studies with multivariable analysis, adjusted ORs were greater than one but CIs were compatible with there being no association. We did not find associations between vulvovaginal yeast infection and any secondary outcome. Most studies were at high risk of bias in at least one domain and only three studies controlled for confounding. We did not find strong statistical evidence of an increased risk for preterm birth or eight other adverse perinatal outcomes, in pregnant women with either symptomatic or asymptomatic vulvovaginal yeast infection. The available evidence is insufficient to make recommendations about testing and treatment of vulvovaginal yeast infection in pregnancy. Future studies should assess vulvovaginal symptoms, yeast organism loads, concomitant vaginal or cervical infections, and microbiota using state-of-the-art diagnostics. PROSPERO CRD42020197564.</t>
  </si>
  <si>
    <t>Prescribing of low-dose rivaroxaban in patients with atherosclerotic cardiovascular disease in the United Kingdom and the Netherlands.</t>
  </si>
  <si>
    <t>Hunt, Nicholas B; Pajouheshnia, Romin; Salih, Allan; van Doorn, Sander; Souverein, Patrick C; Bazelier, Marloes T; Klungel, Olaf H; Gardarsdottir, Helga</t>
  </si>
  <si>
    <t>https://pubmed.ncbi.nlm.nih.gov/36890111</t>
  </si>
  <si>
    <t>Low-dose rivaroxaban has been indicated for the management of atherosclerotic cardiovascular disease (ASCVD) after recent (2019-2020) updates to European guidelines. We aimed to describe prescription trends of low-dose rivaroxaban in ASCVD patients over the period 2015-2022 in two European countries, to compare the trends before and after guideline changes, and to determine the characteristics of users. In a cross-sectional interrupted time series analysis, utilization of low-dose rivaroxaban (2.5 mg, twice daily) was measured in Clinical Practice Research Datalink Aurum (United Kingdom [UK]) and the PHARMO Database Network (the Netherlands) from 1 January 2015 to 28 February 2022 in patients with an ASCVD diagnosis. Incidence rates (IRs) and incidence rate ratios (IRRs) of new use (within 182 days) compared to the reference period, 2015-2018, were calculated. Age, sex and comorbidities of users were compared to those of nonusers. In the UK, from 721 271 eligible subjects the IR of new use of low-dose rivaroxaban in the period 2015-2018, before guideline changes, was 12.4 per 100 000 person-years and after guideline changes in 2020-2022 was 124.0 (IRR 10.0, 95% confidence interval [CI] 8.5, 11.8). In the Netherlands from 394 851 subjects, the IR in 2015-2018 was 2.4 per 100 000 person-years and in 2020 was 16.3 (IRR 6.7, 95% CI 4.0, 11.4). Users were younger (UK mean difference [MD] -6.1 years, Netherlands -2.4 years; P &lt; .05) and more likely to be male (UK difference 11.5%, Netherlands 13.4%; P &lt; .001) than nonusers. There was a statistically significant increase in the use of low-dose rivaroxaban for the management of ASCVD after guideline changes in the UK and the Netherlands. There were international differences, but low-dose rivaroxaban has not been put into widespread practice.</t>
  </si>
  <si>
    <t>Reply to: "Estrogen could also play a key role in the development of pediatric melanoma".</t>
  </si>
  <si>
    <t>El Sharouni, Mary-Ann; Lo, Serigne N; Scolyer, Richard A; van Gils, Carla H; Thompson, John F</t>
  </si>
  <si>
    <t>journal of the american academy of dermatology</t>
  </si>
  <si>
    <t>https://pubmed.ncbi.nlm.nih.gov/36935017</t>
  </si>
  <si>
    <t>OPtimal TIming of antenatal COrticosteroid administration in pregnancies complicated by early-onset fetal growth REstriction (OPTICORE): study protocol of a multicentre, retrospective cohort study.</t>
  </si>
  <si>
    <t>van de Meent, Mette; Kleuskens, Dianne G; Ganzevoort, Wessel; Gordijn, Sanne J; Kooi, Elisabeth M W; Onland, Wes; van Rijn, Bas B; Duvekot, Johannes J; Kornelisse, René F; Al-Nasiry, Salwan; Jellema, Reint K; Knol, H Marieke; Manten, Gwendolyn T R; Mulder-de Tollenaer, Susanne M; Derks, Jan B; Groenendaal, Floris; Bekker, Mireille N; Schuit, Ewoud; Lely, A Titia; Kooiman, Judith</t>
  </si>
  <si>
    <t>https://pubmed.ncbi.nlm.nih.gov/36931680</t>
  </si>
  <si>
    <t>Early-onset fetal growth restriction (FGR) requires timely, often preterm, delivery to prevent fetal hypoxia causing stillbirth or neurologic impairment. Antenatal corticosteroids (CCS) administration reduces neonatal morbidity and mortality following preterm birth, most effectively when administered within 1 week preceding delivery. Optimal timing of CCS administration is challenging in early-onset FGR, as the exact onset and course of fetal hypoxia are unpredictable. International guidelines do not provide a directive on this topic. In the Netherlands, two timing strategies are commonly practiced: administration of CCS when the umbilical artery shows (A) a pulsatility index above the 95th&lt;sup&gt;h&lt;/sup&gt; centile and (B) absent or reversed end-diastolic velocity (a more progressed disease state). This study aims to (1) use practice variation to compare CCS timing strategies in early-onset FGR on fetal and neonatal outcomes and (2) develop a dynamic tool to predict the time interval in days until delivery, as a novel timing strategy for antenatal CCS in early-onset FGR. A multicentre, retrospective cohort study will be performed including pregnancies complicated by early-onset FGR in six tertiary hospitals in the Netherlands in the period between 2012 and 2021 (estimated sample size n=1800). Main exclusion criteria are multiple pregnancies and fetal congenital or genetic abnormalities. Routinely collected data will be extracted from medical charts. Primary outcome for the comparison of the two CCS timing strategies is a composite of perinatal, neonatal and in-hospital mortality. Secondary outcomes include the COSGROVE core outcome set for FGR. A multivariable, mixed-effects model will be used to compare timing strategies on study outcomes. Primary outcome for the dynamic prediction tool is 'days until birth'. The need for ethical approval was waived by the Ethics Committee (University Medical Center Utrecht). Results will be published in open-access, peer-reviewed journals and disseminated by presentations at scientific conferences. ClinicalTrials.gov: NCT05606497.</t>
  </si>
  <si>
    <t>Overinterpretation of findings in machine learning prediction model studies in oncology: a systematic review.</t>
  </si>
  <si>
    <t>Dhiman, Paula; Ma, Jie; Andaur Navarro, Constanza L; Speich, Benjamin; Bullock, Garrett; Damen, Johanna A A; Hooft, Lotty; Kirtley, Shona; Riley, Richard D; Van Calster, Ben; Moons, Karel G M; Collins, Gary S</t>
  </si>
  <si>
    <t>https://pubmed.ncbi.nlm.nih.gov/36935090</t>
  </si>
  <si>
    <t>In biomedical research, spin is the overinterpretation of findings, and it is a growing concern. To date, the presence of spin has not been evaluated in prognostic model research in oncology, including studies developing and validating models for individualized risk prediction. We conducted a systematic review, searching MEDLINE and EMBASE for oncology-related studies that developed and validated a prognostic model using machine learning published between 1st January, 2019, and 5th September, 2019. We used existing spin frameworks and described areas of highly suggestive spin practices. We included 62 publications (including 152 developed models; 37 validated models). Reporting was inconsistent between methods and the results in 27% of studies due to additional analysis and selective reporting. Thirty-two studies (out of 36 applicable studies) reported comparisons between developed models in their discussion and predominantly used discrimination measures to support their claims (78%). Thirty-five studies (56%) used an overly strong or leading word in their title, abstract, results, discussion, or conclusion. The potential for spin needs to be considered when reading, interpreting, and using studies that developed and validated prognostic models in oncology. Researchers should carefully report their prognostic model research using words that reflect their actual results and strength of evidence.</t>
  </si>
  <si>
    <t>Barriers and facilitators for healthcare professionals to the implementation of Multidisciplinary Timely Undertaken Advance Care Planning conversations at the outpatient clinic (the MUTUAL intervention): a sequential exploratory mixed-methods study.</t>
  </si>
  <si>
    <t>van Lummel, Eline V T J; Meijer, Yoeki; Tjan, Dave H T; van Delden, Johannes J M</t>
  </si>
  <si>
    <t>https://pubmed.ncbi.nlm.nih.gov/36922796</t>
  </si>
  <si>
    <t>Advance Care Planning (ACP) enables patients to define and discuss their goals and preferences for future medical treatment and care. However, the structural implementation of ACP interventions remains challenging. The Multidisciplinary Timely Undertaken Advance Care Planning (MUTUAL) intervention has recently been developed which takes into account existing barriers and facilitators. We aimed to evaluate the MUTUAL intervention and identify the barriers and facilitators healthcare professionals experience in the implementation of the MUTUAL intervention and also to identify suggestions for improvement. We performed a sequential exploratory mixed-methods study at five outpatient clinics of one, 300-bed, non-academic hospital. Firstly, semi-structured interviews were performed with a purposive sample of healthcare professionals. The content of these interviews was used to specify the Measurement Instrument for Determinants of Innovations (MIDI). The MIDI was sent to all healthcare professionals. The interviews and questionnaires were used to clarify the results. Eleven healthcare professionals participated in the interviews and 37 responded to the questionnaire. Eight barriers and 20 facilitators were identified. Healthcare professionals agreed that the elements of the MUTUAL intervention are clear, correct, complete, and simple - and the intervention is relevant for patients and their proxies. The main barriers are found within the user and the organisational domain. Barriers related to the organisation include: inadequate replacement of staff, insufficient staff, and insufficient time to introduce and invite patients. Several suggestions for improvement were made. Our results show that healthcare professionals positively evaluate the MUTUAL intervention and are very receptive to implementing the MUTUAL intervention. Taking into account the suggestions for improvement may enhance further implementation.</t>
  </si>
  <si>
    <t>Cardiovascular Risk Estimation Based on Country-of-Birth- and Country-of-Residence-Specific Scores among Migrants in the Netherlands: The HELIUS Study.</t>
  </si>
  <si>
    <t>Osei-Yeboah, James; Moll van Charante, Eric P; Kengne, Andre-Pascal; Owusu-Dabo, Ellis; van den Born, Bert-Jan H; Galenkamp-van der Ploeg, Henrike; Chilunga, Felix P; Boateng, Daniel; Motazedi, Ehsan; Agyemang, Charles</t>
  </si>
  <si>
    <t>https://pubmed.ncbi.nlm.nih.gov/36982057</t>
  </si>
  <si>
    <t>Regional and country-specific cardiovascular risk algorithms have been developed to improve CVD risk prediction. But it is unclear whether migrants' country-of-residence or country-of-birth algorithms agree in stratifying the CVD risk of these populations. We evaluated the risk stratification by the different algorithms, by comparing migrant country-of-residence-specific scores to migrant country-of-birth-specific scores for ethnic minority populations in the Netherlands. data from the HELIUS study was used in estimating the CVD risk scores for participants using five laboratory-based (Framingham, Globorisk, Pool Cohort Equation II, SCORE II, and WHO II) and three nonlaboratory-based (Framingham, Globorisk, and WHO II) risk scores with the risk chart for the Netherlands. For the Globorisk, WHO II, and SCORE II risk scores, we also computed the risk scores using risk charts specified for the migrant home country. Risk categorization was first done according to the specification of the risk algorithm and then simplified to low (green), moderate (yellow and orange), and high risk (red). we observed differences in risk categorization for different risk algorithms ranging from 0% (Globorisk) to 13% (Framingham) for the high-risk category, as well as differences in the country-of-residence- and country-of-birth-specific scores. Agreement between different scores ranged from none to moderate. We observed a moderate agreement between the Netherlands-specific SCORE II and the country-of-birth SCORE II for the Turkish and a nonagreement for the Dutch Moroccan population. disparities exist in the use of the country-of-residence-specific, as compared to the country-of-birth, risk algorithms among ethnic minorities living in the Netherlands. Hence, there is a need for further validation of country-of-residence- and country-of-birth-adjusted scores to ascertain appropriateness and reliability.</t>
  </si>
  <si>
    <t>Understanding the mechanisms linking holistic housing renovations to health and well-being of adults in disadvantaged neighbourhoods: A realist review.</t>
  </si>
  <si>
    <t>Koops-Van Hoffen, H E; Lenthe van, F J; Poelman, M P; Droomers, M; Borlée, F; Vendrig-De Punder, Y M R; Jambroes, M; Kamphuis, C B M</t>
  </si>
  <si>
    <t>https://pubmed.ncbi.nlm.nih.gov/36930992</t>
  </si>
  <si>
    <t>Holistic housing renovations combine physical housing improvements with social and socioeconomic interventions (e.g. referral to social services, debt counselling, involvement in decision-making, promoting social cohesion). This realist review aimed at understanding underlying mechanisms linking holistic housing renovations to health and well-being of adults in disadvantaged neighbourhoods. Following systematic and iterative searching, and relevance and quality appraisals, 18 scientific articles and reports were analysed. We identified three pathways via which physical housing improvements affect health, four pathways via which social and socioeconomic interventions affect health, and two pathways via which both reinforce each other in their health effects. Our findings are theoretically novel, relevant for those conducting holistic housing renovations, and point towards gaps in the literature.</t>
  </si>
  <si>
    <t>Genetic architecture of spatial electrical biomarkers for cardiac arrhythmia and relationship with cardiovascular disease.</t>
  </si>
  <si>
    <t>Young, William J; Haessler, Jeffrey; Benjamins, Jan-Walter; Repetto, Linda; Yao, Jie; Isaacs, Aaron; Harper, Andrew R; Ramirez, Julia; Garnier, Sophie; van Duijvenboden, Stefan; Baldassari, Antoine R; Concas, Maria Pina; Duong, ThuyVy; Foco, Luisa; Isaksen, Jonas L; Mei, Hao; Noordam, Raymond; Nursyifa, Casia; Richmond, Anne; Santolalla, Meddly L; Sitlani, Colleen M; Soroush, Negin; Thériault, Sébastien; Trompet, Stella; Aeschbacher, Stefanie; Ahmadizar, Fariba; Alonso, Alvaro; Brody, Jennifer A; Campbell, Archie; Correa, Adolfo; Darbar, Dawood; De Luca, Antonio; Deleuze, Jean-François; Ellervik, Christina; Fuchsberger, Christian; Goel, Anuj; Grace, Christopher; Guo, Xiuqing; Hansen, Torben; Heckbert, Susan R; Jackson, Rebecca D; Kors, Jan A; Lima-Costa, Maria Fernanda; Linneberg, Allan; Macfarlane, Peter W; Morrison, Alanna C; Navarro, Pau; Porteous, David J; Pramstaller, Peter P; Reiner, Alexander P; Risch, Lorenz; Schotten, Ulrich; Shen, Xia; Sinagra, Gianfranco; Soliman, Elsayed Z;</t>
  </si>
  <si>
    <t>https://pubmed.ncbi.nlm.nih.gov/36918541</t>
  </si>
  <si>
    <t>The 3-dimensional spatial and 2-dimensional frontal QRS-T angles are measures derived from the vectorcardiogram. They are independent risk predictors for arrhythmia, but the underlying biology is unknown. Using multi-ancestry genome-wide association studies we identify 61 (58 previously unreported) loci for the spatial QRS-T angle (N = 118,780) and 11 for the frontal QRS-T angle (N = 159,715). Seven out of the 61 spatial QRS-T angle loci have not been reported for other electrocardiographic measures. Enrichments are observed in pathways related to cardiac and vascular development, muscle contraction, and hypertrophy. Pairwise genome-wide association studies with classical ECG traits identify shared genetic influences with PR interval and QRS duration. Phenome-wide scanning indicate associations with atrial fibrillation, atrioventricular block and arterial embolism and genetically determined QRS-T angle measures are associated with fascicular and bundle branch block (and also atrioventricular block for the frontal QRS-T angle). We identify potential biology involved in the QRS-T angle and their genetic relationships with cardiovascular traits and diseases, may inform future research and risk prediction.</t>
  </si>
  <si>
    <t>Disease-Specific Quality Indicators for Outpatient Antibiotic Prescribing for Respiratory Infections (ESAC Quality Indicators) Applied to Point Prevalence Audit Surveys in General Practices in 13 European Countries.</t>
  </si>
  <si>
    <t>Vellinga, Akke; Luke-Currier, Addiena; Garzón-Orjuela, Nathaly; Aabenhus, Rune; Anastasaki, Marilena; Balan, Anca; Böhmer, Femke; Lang, Valerija Bralić; Chlabicz, Slawomir; Coenen, Samuel; García-Sangenís, Ana; Kowalczyk, Anna; Malania, Lile; Tomacinschii, Angela; van der Linde, Sanne R; Bongard, Emily; Butler, Christopher C; Goossens, Herman; van der Velden, Alike W</t>
  </si>
  <si>
    <t>antibiotics basel switzerland</t>
  </si>
  <si>
    <t>https://pubmed.ncbi.nlm.nih.gov/36978439</t>
  </si>
  <si>
    <t>Up to 80% of antibiotics are prescribed in the community. An assessment of prescribing by indication will help to identify areas where improvement can be made. A point prevalence audit study (PPAS) of consecutive respiratory tract infection (RTI) consultations in general practices in 13 European countries was conducted in January-February 2020 (PPAS-1) and again in 2022 (PPAS-4). The European Surveillance of Antibiotic Consumption quality indicators (ESAC-QI) were calculated to identify where improvements can be made. A total of 3618 consultations were recorded for PPAS-1 and 2655 in PPAS-4. Bacterial aetiology was suspected in 26% (PPAS-1) and 12% (PPAS-4), and an antibiotic was prescribed in 30% (PPAS-1) and 16% (PPAS-4) of consultations. The percentage of adult patients with bronchitis who receive an antibiotic should, according to the ESAC-QI, not exceed 30%, which was not met by participating practices in any country except Denmark and Spain. For patients (≥1) with acute upper RTI, less than 20% should be prescribed an antibiotic, which was achieved by general practices in most countries, except Ireland (both PPAS), Croatia (PPAS-1), and Greece (PPAS-4) where prescribing for acute or chronic sinusitis (0-20%) was also exceeded. For pneumonia in adults, prescribing is acceptable for 90-100%, and this is lower in most countries. Prescribing for tonsillitis (≥1) exceeded the ESAC-QI (0-20%) in all countries and was 69% (PPAS-1) and 75% (PPAS-4). In conclusion, ESAC-QI applied to PPAS outcomes allows us to evaluate appropriate antibiotic prescribing by indication and benchmark general practices and countries.</t>
  </si>
  <si>
    <t>Patient perceptions and understanding of pressure ulcer risk in the community: Empirical Research Qualitative.</t>
  </si>
  <si>
    <t>Ledger, Lisa Jayne; Worsley, Peter R; Hope, Jo; Schoonhoven, Lisette</t>
  </si>
  <si>
    <t>https://pubmed.ncbi.nlm.nih.gov/36919007</t>
  </si>
  <si>
    <t>To explore patient perceptions and understanding of their pressure ulcer risk and how information is communicated between a nurse and patient in the home setting. A pragmatic qualitative research design including community-dwelling patients, who were deemed at risk of developing a pressure ulcer. Observation of routine interactions between nurse and patient regarding their pressure ulcer risk and semi-structured interviews with 15 community patients following the nursing interaction. Four key overarching themes emerged from the data analysis that were related to patient perceptions and understanding of pressure ulcer risk. These included Pressure Ulcer Awareness, Importance of Repositioning, Healthy Eating and Risk Interpretation. Patient perception and understanding of pressure ulcer risk is different from the scientific, professional view. Patient risk perception was based on heuristics and wider personal factors and social influences. The study provides important new insights into clinical practice in relation to how pressure ulcer advice and information are provided and interpreted in the community setting. Adhered to the Standards for Reporting Qualitative Research (SRQR) PATIENT OR PUBLIC CONTRIBUTION: A small selection of patients within the NHS Trust in which the research was conducted contributed to the design of the study, in particular some of the interview questions and timing.</t>
  </si>
  <si>
    <t>Identifying the prevalence and correlates of multimorbidity in middle-aged men and women: a cross-sectional population-based study in four African countries.</t>
  </si>
  <si>
    <t>Micklesfield, Lisa K; Munthali, Richard; Agongo, Godfred; Asiki, Gershim; Boua, Palwende; Choma, Solomon Sr; Crowther, Nigel J; Fabian, June; Gómez-Olivé, Francesc Xavier; Kabudula, Chodziwadziwa; Maimela, Eric; Mohamed, Shukri F; Nonterah, Engelbert A; Raal, Frederick J; Sorgho, Hermann; Tluway, Furahini D; Wade, Alisha N; Norris, Shane A; Ramsay, Michele; ,</t>
  </si>
  <si>
    <t>https://pubmed.ncbi.nlm.nih.gov/36918238</t>
  </si>
  <si>
    <t>To determine the prevalence of multimorbidity, to identify which chronic conditions cluster together and to identify factors associated with a greater risk for multimorbidity in sub-Saharan Africa (SSA). Cross-sectional, multicentre, population-based study. Six urban and rural communities in four sub-Saharan African countries. Men (n=4808) and women (n=5892) between the ages of 40 and 60 years from the AWI-Gen study. Sociodemographic and anthropometric data, and multimorbidity as defined by the presence of two or more of the following conditions: HIV infection, cardiovascular disease, chronic kidney disease, asthma, diabetes, dyslipidaemia, hypertension. Multimorbidity prevalence was higher in women compared with men (47.2% vs 35%), and higher in South African men and women compared with their East and West African counterparts. The most common disease combination at all sites was dyslipidaemia and hypertension, with this combination being more prevalent in South African women than any single disease (25% vs 21.6%). Age and body mass index were associated with a higher risk of multimorbidity in men and women; however, lifestyle correlates such as smoking and physical activity were different between the sexes. The high prevalence of multimorbidity in middle-aged adults in SSA is of concern, with women currently at higher risk. This prevalence is expected to increase in men, as well as in the East and West African region with the ongoing epidemiological transition. Identifying common disease clusters and correlates of multimorbidity is critical to providing effective interventions.</t>
  </si>
  <si>
    <t>Healthcare seeking outside healthcare facilities and antibiotic dispensing patterns in rural Burkina Faso: A mixed methods study.</t>
  </si>
  <si>
    <t>Valia, Daniel; Kouanda, Juste Stéphane; Ingelbeen, Brecht; Derra, Karim; Kaboré, Bérenger; Kiemdé, François; Rouamba, Toussaint; Rouamba, Eli; Hien, Franck Sovi; Campbell, Linda; Meudec, Marie; Robert, Annie; Tinto, Halidou; van der Sande, Marianne A B; Villalobos, Hector Rodriguez</t>
  </si>
  <si>
    <t>https://pubmed.ncbi.nlm.nih.gov/36871194</t>
  </si>
  <si>
    <t>Optimising antibiotic use is important to limit increasing antibiotic resistance. In rural Burkina Faso, over-the-counter dispensing of antibiotics in community pharmacies and non-licensed medicine retail outlets facilitates self-medication. We investigated its extent, reasons and dispensing patterns. In an exploratory mixed-method design conducted between October 2020 and December 2021, this study first explored illness perceptions, the range of healthcare providers in communities, antibiotics knowledge and reasons for seeking healthcare outside healthcare facilities. Second, frequencies of illness and healthcare utilisation in the last 3 months were quantitatively measured. Participants distinguished between natural and magico-religious illnesses, according to origins. For illnesses considered to be 'natural', healthcare was mainly sought at healthcare facilities, private pharmacies and informal drug outlets. For illnesses considered as magico-religious, traditional healers were mainly visited. Antibiotics were perceived in the community as medicines similar to painkillers. Healthcare-seeking outside healthcare facilities was reported by 660/1973 (33.5%) participants reporting symptoms, including 315 (47.7%) to informal vendors. Healthcare seeking outside facilities was less common for 0-4-year-olds (58/534, 10.9% vs. 379/850, 44.1% for ≥5-year-olds) and decreased with improving socio-economic status (108/237, 45.6% in the lowest quintile; 96/418, 23.0% in the highest). Reported reasons included financial limitation, and also proximity to informal drug vendors, long waiting times at healthcare facilities, and health professionals' non-empathetic attitudes towards their patients. This study highlights the need to facilitate and promote access to healthcare facilities through universal health insurance and patient-centred care including reducing patients' waiting time. Furthermore, community-level antibiotic stewardship programmes should include community pharmacies and informal vendors.</t>
  </si>
  <si>
    <t>The ethics of ethics conferences: Is Qatar a desirable location for a bioethics conference?</t>
  </si>
  <si>
    <t>van der Graaf, Rieke; Jongsma, Karin; van de Vathorst, Suzanne; de Vries, Martine; Bolt, Ineke</t>
  </si>
  <si>
    <t>https://pubmed.ncbi.nlm.nih.gov/36905652</t>
  </si>
  <si>
    <t>The next World Congress of Bioethics will be held in Doha, Qatar. Although this location provides opportunities to interact with a more culturally diverse audience, to advance dialogue between cultures and religions, offer opportunities for mutual learning, there are also huge moral concerns. Qatar is known for violations of human rights - including the treatment of migrant workers and the rights of women - corruption, criminalization of LGBTQI+ persons, and climate impact. Since these concerns are also key (bio)ethical concern we call for a broad debate within the bioethics community whether organizing and attending the World Congress in Qatar is ethically problematic and how ethical concerns should be dealt with.</t>
  </si>
  <si>
    <t>In vivo and ex vivo inflammatory responses of the esophageal mucosa to food challenge in adults with eosinophilic esophagitis.</t>
  </si>
  <si>
    <t>Haasnoot, Maria L; Kleuskens, Mirelle T A; Lopez-Rincon, Alejandro; Diks, Mara A P; Terreehorst, Ingrid; Akkerdaas, Jaap H; van Ree, Ronald; van Ampting, Marleen T J; Garssen, Johan; Redegeld, Frank A; van Esch, Betty C A M; Bredenoord, Albert J</t>
  </si>
  <si>
    <t>allergy</t>
  </si>
  <si>
    <t>https://pubmed.ncbi.nlm.nih.gov/36869622</t>
  </si>
  <si>
    <t>Global Health and Bioethics; Global Health and Bioethics; Global Health and Bioethics; Data Science and Biostatistics; Global Health and Bioethics; Global Health and Bioethics</t>
  </si>
  <si>
    <t>Ischemic stroke recurrence and mortality in different imaging phenotypes of ischemic cerebrovascular disease: The SMART-MR Study.</t>
  </si>
  <si>
    <t>Lucci, Carlo; Rissanen, Ina; de Jong, Pim A; Kappelle, L Jaap; Hendrikse, Jeroen; Geerlings, Mirjam I</t>
  </si>
  <si>
    <t>https://pubmed.ncbi.nlm.nih.gov/37231699</t>
  </si>
  <si>
    <t>Diagnosis of cerebrovascular disease is based on both clinical and radiological findings, however, they do not always correlate. To investigate ischemic stroke recurrence and mortality in patients with different imaging phenotypes of ischemic cerebrovascular disease. Within the SMART-MR study, a prospective patient cohort with arterial disease, cerebrovascular diseases of participants at baseline were classified as no cerebrovascular disease (reference group, &lt;i&gt;n&lt;/i&gt; = 828), symptomatic cerebrovascular disease (&lt;i&gt;n&lt;/i&gt; = 204), covert vascular lesions (&lt;i&gt;n&lt;/i&gt; = 156), or imaging negative ischemia (&lt;i&gt;n&lt;/i&gt; = 90) based upon clinical and MRI findings. Ischemic strokes and deaths were collected at 6 month-intervals up to 17 years of follow-up. With Cox regression, relationships between phenotype and ischemic stroke recurrence, cardiovascular mortality, and non-vascular mortality were studied adjusted for age, sex, and cardiovascular risk factors. Compared to reference group risk for recurrent ischemic stroke was increased not only in the symptomatic cerebrovascular disease (HR 3.9, 95% CI 2.3-6.6), but also in the covert vascular lesion (HR 2.5, 95% CI 1.3-4.8) and the imaging negative ischemia groups (HR 2.4, 95% CI 1.1-5.5). Risk for cardiovascular mortality was increased in the symptomatic cerebrovascular disease (HR 2.2, 95% CI 1.5-3.2) and covert vascular lesions groups (HR 2.3, 95% CI 1.5-3.4), while the risk was less strong but also increased in the imaging negative ischemia group (HR 1.7, 95% CI 0.9-3.0). People with all imaging phenotypes of cerebrovascular disease have increased risk of recurrent ischemic stroke and mortality compared to other arterial diseases. Strict preventive measures should be performed even when imaging findings or clinical symptoms are absent. For use of anonymized data, a reasonable request has to be made in writing to the UCC-SMART study group and the third party has to sign a confidentiality agreement.</t>
  </si>
  <si>
    <t>Factors That Influence the Use of eHealth in Home Care: Scoping Review and Cross-sectional Survey.</t>
  </si>
  <si>
    <t>Mathijssen, Elke; de Lange, Wendela; Bleijenberg, Nienke; van Houwelingen, Thijs; Jaarsma, Tiny; Trappenburg, Jaap; Westland, Heleen</t>
  </si>
  <si>
    <t>https://pubmed.ncbi.nlm.nih.gov/36892935</t>
  </si>
  <si>
    <t>In home care, eHealth implementation requires health care professionals and home care clients to change their behavior because they have to incorporate the use of eHealth into their daily routines. Knowledge of factors that influence the use of eHealth in home care is needed to optimize implementation strategies. However, a comprehensive overview of such factors is lacking. The aims of this study were to (1) provide insight into the types of eHealth that are used and preferred in home care and (2) identify factors that influence the use of eHealth in home care according to health care professionals and home care clients. A scoping review and online, cross-sectional survey were conducted sequentially. The survey was conducted among Dutch health care professionals with a nursing background who were working for a home care organization at the time. The capability, opportunity, motivation, behavior (COM-B) model, which posits that for any behavior (B) to occur, a person must have the capability (C), opportunity (O), and motivation (M) to perform the behavior, was used to identify influencing factors. The use of a theoretical model may contribute to a better understanding of how to achieve and sustain behavior change in clinical practice. We included 30 studies in the scoping review. The most frequently studied type of eHealth was a telecommunication/telemonitoring system. The survey was completed by 102 participants. The most frequently used types of eHealth were electronic health records, social alarms, and online client portals. A health app was the most frequently preferred type of eHealth. We identified 22 factors that influence the use of eHealth in home care according to health care professionals and home care clients. Influencing factors were organized into the components of the COM-B model, namely capability (n=6), opportunity (n=10), and motivation (n=6). We found that there is no single influencing factor that is key to the complexity of eHealth implementation. Different types of eHealth are used, and many types of eHealth are preferred by health care professionals. The identified factors that influence the use of eHealth in home care relate to all components of the COM-B model. These factors need to be addressed and embedded in implementation strategies of eHealth to optimize the use of eHealth in home care.</t>
  </si>
  <si>
    <t>Association between objective neurocognitive functioning and neurocognitive complaints in recurrent high-grade glioma: Longitudinal evidence of cognitive awareness from EORTC brain tumour trials.</t>
  </si>
  <si>
    <t>Caramanna, Ivan; Reijneveld, Jaap C; van de Ven, Peter M; van den Bent, Martin; Idbaih, Ahmed; Wick, Wolfgang; Taphoorn, Martin J B; Dirven, Linda; Bottomley, Andrew; Klein, Martin; ,</t>
  </si>
  <si>
    <t>https://pubmed.ncbi.nlm.nih.gov/37028200</t>
  </si>
  <si>
    <t>Patients' reduced awareness of neurocognitive functioning (NCF) may negatively affect the reliability of patient-reported outcomes (PROs) and clinical decision-making. This study evaluated cognitive awareness, defined as the association between NCF and neurocognitive complaints, over the disease course of patients with recurrent high-grade glioma (HGG). We assessed NCF using the EORTC core clinical trial battery and neurocognitive complaints using the Medical Outcome Study questionnaire. Patients were categorised as impaired or intact, based on their neurocognitive performance. Spearman's rank correlations were calculated between NCF and neurocognitive complaints at baseline and each 12 weeks, until 36. The association between changes in NCF and neurocognitive complaints scores between these follow-up assessments was determined using Pearson's correlation. A total of 546 patients were included. Neurocognitively impaired patients (n = 437) had more neurocognitive complaints (range: 10.51 [p &lt; 0.001] to 13.34 [p = 0.001]) than intact patients (n = 109) at baseline, at 12 and 24 weeks. In intact patients, NCF and neurocognitive complaints were correlated for only one domain at baseline (0.202, p = 0.036), while in impaired patients correlations were more frequently found in various domains and time points (range: 0.164 [p = 0.001] to 0.334 [p = 0.011]). Over the disease course, NCF and neurocognitive complaints were correlated for only one domain at baseline (0.357, p = 0.014) in intact patients while in impaired patients they were correlated for more domains and time points (range: 0.222 [p &lt; 0.001] to 0.366 [p &lt; 0.001]). Neurocognitively impaired patients with recurrent HGG are aware of their neurocognitive limitations at study entry and during follow-up, which should be considered in clinical decision-making and when interpreting PRO results.</t>
  </si>
  <si>
    <t>Different clinical features in Malawian outpatients presenting with COVID-19 prior to and during Omicron variant dominance: A prospective observational study.</t>
  </si>
  <si>
    <t>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t>
  </si>
  <si>
    <t>https://pubmed.ncbi.nlm.nih.gov/36963090</t>
  </si>
  <si>
    <t>The SARS-CoV-2 Omicron variant has resulted in a high number of cases, but a relatively low incidence of severe disease and deaths, compared to the pre-Omicron variants. Therefore, we assessed the differences in symptom prevalence between Omicron and pre-Omicron infections in a sub-Saharan African population. We collected data from outpatients presenting at two primary healthcare facilities in Blantyre, Malawi, from November 2020 to March 2022. Eligible participants were aged &gt;1month old, with signs suggestive of COVID-19, and those not suspected of COVID-19, from whom we collected nasopharyngeal swabs for SARS-CoV-2 PCR testing, and sequenced positive samples to identify infecting-variants. In addition, we calculated the risk of presenting with a given symptom in individuals testing SARS-CoV-2 PCR positive before and during the Omicron variant-dominated period. Among 5176 participants, 6.4% were under 5, and 77% were aged 18 to 50 years. SARS-CoV-2 infection prevalence peaked in January 2021 (Beta), July 2021 (Delta), and December 2021 (Omicron). We found that cough (risk ratio (RR), 1.50; 95% confidence interval (CI), 1.00 to 2.30), fatigue (RR 2.27; 95% CI, 1.29 to 3.86) and headache (RR 1.64; 95% CI, 1.15 to 2.34) were associated with a high risk of SARS-CoV-2 infection during the pre-Omicron period. In comparison, only headache (RR 1.41; 95% CI, 1.07 to 1.86) did associate with a high risk of SARS-CoV-2 infection during the Omicron-dominated period. In conclusion, clinical symptoms associated with Omicron infection differed from prior variants and were harder to identify clinically with current symptom guidelines. Our findings encourage regular review of case definitions and testing policies to ensure case ascertainment.</t>
  </si>
  <si>
    <t>Cardiovascular risk reduction with integrated care: results of 8 years follow up.</t>
  </si>
  <si>
    <t>https://pubmed.ncbi.nlm.nih.gov/36890432</t>
  </si>
  <si>
    <t>Care groups organize integrated cardiovascular risk management programs in primary care for high risk patients. Results of long term cardiovascular risk management are scarce. The aim was to describe changes in low density lipoprotein cholesterol, systolic blood pressure and smoking between 2011 and 2018 in patients participating in an integrated program for cardiovascular risk management organized by a care group in the Netherlands. To explore whether long-term participation in an integrated cardiovascular risk management program could lead to the improvement of 3 important risk factors for cardiovascular disease. A protocol was developed for delegated practice nurse activities. A multidisciplinary data registry was used for uniform registration. The care group organized annual education for general practitioners and practice nurses on cardiovascular topics and regular meetings for practice nurses only to discuss complex patient cases and implementation issues. From 2015 onwards, the care group started with practice visitations to discuss performance and support practices with organizing integrated care. In patients eligible for primary prevention as well as for secondary prevention similar trends were observed: lipid modifying and blood pressure lowering medication increased, mean low density lipoprotein cholesterol and mean systolic blood pressure decreased, patients on target for low density lipoprotein cholesterol and systolic blood pressure increased and the proportion of non-smokers with both low density lipoprotein cholesterol and systolic blood pressure on target increased. Improved registration between 2011 and 2013 was partly responsible for the sharp increase of patients on target for low density lipoprotein cholesterol and systolic blood pressure. In patients participating in an integrated cardiovascular risk management program, we saw annual improvements in 3 important cardiovascular risk factors between 2011 and 2018.</t>
  </si>
  <si>
    <t>EffectiveNess of a multimodal preHAbilitation program in patieNts with bladder canCEr undergoing radical cystectomy: protocol of the ENHANCE multicentre randomised controlled trial.</t>
  </si>
  <si>
    <t>Akdemir, Emine; Sweegers, Maike G; Vrieling, Alina; Rundqvist, Helene; Meijer, Richard P; Leliveld-Kors, Annemarie M; van der Heijden, Antoine G; Rutten, Vera C; Koldewijn, Evert L; Bos, Siebe D; Wijburg, Carl J; Marcelissen, Tom A T; Bongers, Bart C; Retèl, Valesca P; van Harten, Wim H; May, Anne M; Groen, Wim G; Stuiver, Martijn M</t>
  </si>
  <si>
    <t>https://pubmed.ncbi.nlm.nih.gov/36882246</t>
  </si>
  <si>
    <t>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Ethical approval for this study was granted by the Medical Ethics Committee NedMec (Amsterdam, The Netherlands) under reference number 22-595/NL78792.031.22. Results of the study will be published in international peer-reviewed journals. NCT05480735.</t>
  </si>
  <si>
    <t>ICSH guidance for INR and D-dimer testing using point of care testing in primary care.</t>
  </si>
  <si>
    <t>Fitzmaurice, David A; Geersing, Geert-Jan; Armoiry, Xavier; Machin, Sam; Kitchen, Steve; Mackie, Ian</t>
  </si>
  <si>
    <t>international journal of laboratory hematology</t>
  </si>
  <si>
    <t>https://pubmed.ncbi.nlm.nih.gov/36882063</t>
  </si>
  <si>
    <t>This guideline has been written on behalf of the International Council for Standardisation in Haematology (ICSH) and focuses on two point of care haematology tests used within primary care, namely International Normalised Ratio (INR) and D-dimer. Primary care covers out of hospital settings and can include General Practice (GP), Pharmacy and other non-hospital settings (although these guidelines would also be applicable to hospital out-patient settings). The recommendations are based on published data in peer reviewed literature and expert opinion; they should supplement regional requirements, regulations or standards.</t>
  </si>
  <si>
    <t>Gender equality related to gender differences in life expectancy across the globe gender equality and life expectancy.</t>
  </si>
  <si>
    <t>Pinho-Gomes, Ana-Catarina; Peters, Sanne A E; Woodward, Mark</t>
  </si>
  <si>
    <t>https://pubmed.ncbi.nlm.nih.gov/36963039</t>
  </si>
  <si>
    <t>Life expectancy (LE) depends on the wider determinants of health, many of which have gendered effects worldwide. Therefore, this study aimed to investigate whether gender equality was associated with LE for women and men and the gender gap in LE across the globe. Gender equality in 156 countries was estimated using a modified global gender gap index (mGGGI), based on the index developed by the World Economic Forum between 2010 and 2021. Linear regression was used to investigate the association between the mGGGI and its economic, political, and education subindices and the gender gap in LE and women and men's LE. Overall, the mGGGI increased from 58% in 2010 to 62% in 2021. Globally, changes in the mGGGI and its economic and political subindexes were not associated with changes in the gender gap in LE or with LE for women and men between 2010 and 2020. Improvements in gender equality in education were associated with a longer LE for women and men and widening of the gender gap in LE. In 2021, each 10% increase in the mGGGI was associated with a 4.3-month increase in women's LE and a 3.5-month increase in men's LE, and thus with an 8-month wider gender gap. However, the direction and magnitude of these associations varied between regions. Each 10% increase in the mGGGI was associated with a 6-month narrower gender gap in high-income countries, and a 13- and 16-month wider gender gap in South and Southeast Asia and Oceania, and in Sub-Saharan Africa, respectively. Globally, greater gender equality is associated with longer LE for both women and men and a widening of the gender gap in LE. The variation in this association across world regions suggests that gender equality may change as countries progress towards socioeconomic development and gender equality.</t>
  </si>
  <si>
    <t>Time interval from primary melanoma to first distant recurrence in relation to patient outcomes in advanced melanoma.</t>
  </si>
  <si>
    <t>van Duin, Isabella A J; Elias, Sjoerd G; van den Eertwegh, Alfonsus J M; de Groot, Jan Willem B; Blokx, Willeke A M; van Diest, Paul J; Leiner, Tim; Verhoeff, Joost J C; Verheijden, Rik J; van Not, Olivier J; Aarts, Maureen J B; van den Berkmortel, Franchette W P J; Blank, Christian U; Haanen, John B A G; Hospers, Geke A P; Kamphuis, Anna M; Piersma, Djura; van Rijn, Rozemarijn S; van der Veldt, Astrid A M; Vreugdenhil, Gerard; Wouters, Michel W J M; Stevense-den Boer, Marion A M; Boers-Sonderen, Marye J; Kapiteijn, Ellen; Suijkerbuijk, Karijn P M</t>
  </si>
  <si>
    <t>https://pubmed.ncbi.nlm.nih.gov/36843274</t>
  </si>
  <si>
    <t>Since the introduction of BRAF(/MEK) inhibition and immune checkpoint inhibition (ICI), the prognosis of advanced melanoma has greatly improved. Melanoma is known for its remarkably long time to first distant recurrence (TFDR), which can be decades in some patients and is partly attributed to immune-surveillance. We investigated the relationship between TFDR and patient outcomes after systemic treatment for advanced melanoma. We selected patients undergoing first-line systemic therapy for advanced melanoma from the nationwide Dutch Melanoma Treatment Registry. The association between TFDR and progression-free survival (PFS) and overall survival (OS) was assessed by Cox proportional hazard regression models. The TFDR was modeled categorically, linearly, and flexibly using restricted cubic splines. Patients received anti-PD-1-based treatment (n = 1844) or BRAF(/MEK) inhibition (n = 1618). For ICI-treated patients with a TFDR &lt;2 years, median OS was 25.0 months, compared to 37.3 months for a TFDR &gt;5 years (P = .014). Patients treated with BRAF(/MEK) inhibition with a longer TFDR also had a significantly longer median OS (8.6 months for TFDR &lt;2 years compared to 11.1 months for &gt;5 years, P = .004). The hazard of dying rapidly decreased with increasing TFDR until approximately 5 years (HR 0.87), after which the hazard of dying further decreased with increasing TFDR, but less strongly (HR 0.82 for a TFDR of 10 years and HR 0.79 for a TFDR of 15 years). Results were similar when stratifying for type of treatment. Advanced melanoma patients with longer TFDR have a prolonged PFS and OS, irrespective of being treated with first-line ICI or targeted therapy.</t>
  </si>
  <si>
    <t>Consortium for the Study of Pregnancy Treatments (Co-OPT): An international birth cohort to study the effects of antenatal corticosteroids.</t>
  </si>
  <si>
    <t>Frier, Emily M; Lin, Chun; Reynolds, Rebecca M; Allegaert, Karel; Been, Jasper V; Fraser, Abigail; Gissler, Mika; Einarsdóttir, Kristjana; Florian, Lani; Jacobsson, Bo; Vogel, Joshua P; Zoega, Helga; Bhattacharya, Sohinee; Krispin, Eyal; Henning Pedersen, Lars; Roberts, Devender; Kuhle, Stefan; Fahey, John; Mol, Ben W; Burgner, David; Schuit, Ewoud; Sheikh, Aziz; Wood, Rachael; Gyamfi-Bannerman, Cynthia; Miller, Jessica E; Duhig, Kate; Lahti-Pulkkinen, Marius; Hadar, Eran; Wright, John; Murray, Sarah R; Stock, Sarah J</t>
  </si>
  <si>
    <t>https://pubmed.ncbi.nlm.nih.gov/36862657</t>
  </si>
  <si>
    <t>Antenatal corticosteroids (ACS) are widely prescribed to improve outcomes following preterm birth. Significant knowledge gaps surround their safety, long-term effects, optimal timing and dosage. Almost half of women given ACS give birth outside the "therapeutic window" and have not delivered over 7 days later. Overtreatment with ACS is a concern, as evidence accumulates of risks of unnecessary ACS exposure. The Consortium for the Study of Pregnancy Treatments (Co-OPT) was established to address research questions surrounding safety of medications in pregnancy. We created an international birth cohort containing information on ACS exposure and pregnancy and neonatal outcomes by combining data from four national/provincial birth registers and one hospital database, and follow-up through linked population-level data from death registers and electronic health records. The Co-OPT ACS cohort contains 2.28 million pregnancies and babies, born in Finland, Iceland, Israel, Canada and Scotland, between 1990 and 2019. Births from 22 to 45 weeks' gestation were included; 92.9% were at term (≥ 37 completed weeks). 3.6% of babies were exposed to ACS (67.0% and 77.9% of singleton and multiple births before 34 weeks, respectively). Rates of ACS exposure increased across the study period. Of all ACS-exposed babies, 26.8% were born at term. Longitudinal childhood data were available for 1.64 million live births. Follow-up includes diagnoses of a range of physical and mental disorders from the Finnish Hospital Register, diagnoses of mental, behavioural, and neurodevelopmental disorders from the Icelandic Patient Registers, and preschool reviews from the Scottish Child Health Surveillance Programme. The Co-OPT ACS cohort is the largest international birth cohort to date with data on ACS exposure and maternal, perinatal and childhood outcomes. Its large scale will enable assessment of important rare outcomes such as perinatal mortality, and comprehensive evaluation of the short- and long-term safety and efficacy of ACS.</t>
  </si>
  <si>
    <t>Participant recruitment, baseline characteristics and at-home-measurements of cardiometabolic risk markers: insights from the Supreme Nudge parallel cluster-randomised controlled supermarket trial.</t>
  </si>
  <si>
    <t>Stuber, Josine M; van Hoek, Beryl A C E; Vos, Anne L; Smit, Edith G; Lakerveld, Jeroen; Mackenbach, Joreintje D; Beulens, Joline W J; ,</t>
  </si>
  <si>
    <t>https://pubmed.ncbi.nlm.nih.gov/36864494</t>
  </si>
  <si>
    <t>Recruiting participants for lifestyle programmes is known to be challenging. Insights into recruitment strategies, enrolment rates and costs are valuable but rarely reported. We provide insight into the costs and results of used recruitment strategies, baseline characteristics and feasibility of at-home cardiometabolic measurements as part of the Supreme Nudge trial investigating healthy lifestyle behaviours. This trial was conducted during the COVID-19 pandemic, requiring a largely remote data collection approach. Potential sociodemographic differences were explored between participants recruited through various strategies and for at-home measurement completion rates. Participants were recruited from socially disadvantaged areas around participating study supermarkets (n = 12 supermarkets) across the Netherlands, aged 30-80 years, and regular shoppers of the participating supermarkets. Recruitment strategies, costs and yields were logged, together with completion rates of at-home measurements of cardiometabolic markers. Descriptive statistics are reported on recruitment yield per used method and baseline characteristics. We used linear and logistic multilevel models to assess the potential sociodemographic differences. Of 783 recruited, 602 were eligible to participate, and 421 completed informed consent. Most included participants were recruited via letters/flyers at home (75%), but this strategy was very costly per included participant (89 Euros). Of paid strategies, supermarket flyers were the cheapest (12 Euros) and the least time-invasive (&lt; 1 h). Participants who completed baseline measurements (n = 391) were on average 57.6 (SD 11.0) years, 72% were female and 41% had high educational attainment, and they often completed the at-home measurements successfully (lipid profile 88%, HbA1c 94%, waist circumference 99%). Multilevel models suggested that males tended to be recruited more often via word-of-mouth (OR&lt;sub&gt;females&lt;/sub&gt; 0.51 (95%CI 0.22; 1.21)). Those who failed the first attempt at completing the at-home blood measurement were older (β 3.89 years (95% CI 1.28; 6.49), whilst the non-completers of the HbA1c (β - 8.92 years (95% CI - 13.62; - 4.28)) and LDL (β - 3.19 years (95% CI - 6.53; 0.09)) were younger. Supermarket flyers were the most cost-effective paid strategy, whereas mailings to home addresses recruited the most participants but were very costly. At-home cardiometabolic measurements were feasible and may be useful in geographically widespread groups or when face to face contact is not possible. Dutch Trial Register ID NL7064, 30 May 2018, https://trialsearch.who.int/Trial2.aspx?TrialID=NTR7302.</t>
  </si>
  <si>
    <t>Home telemonitoring versus hospital care in complicated pregnancies in the Netherlands: a randomised, controlled non-inferiority trial (HoTeL).</t>
  </si>
  <si>
    <t>Bekker, Mireille N; Koster, Maria P H; Keusters, Willem R; Ganzevoort, Wessel; de Haan-Jebbink, Jiska M; Deurloo, Koen L; Seeber, Laura; van der Ham, David P; Zuithoff, Nicolaas P A; Frederix, Geert W J; van den Heuvel, Josephus F M; Franx, Arie</t>
  </si>
  <si>
    <t>https://pubmed.ncbi.nlm.nih.gov/36828605</t>
  </si>
  <si>
    <t>Women with complicated pregnancies often require hospital admission. Telemonitoring at home is a promising alternative that fulfils a worldwide need in obstetric health care. Moreover, the COVID-19 pandemic has accelerated the transformation to digital care. The aim of this study was to evaluate safety, clinical effectiveness, patient satisfaction, and costs of home telemonitoring against hospital care in complicated pregnancies. We did a multicentre, randomised, controlled, non-inferiority trial in six hospitals (four general teaching hospitals and two university hospitals) in the Netherlands (located in Utrecht, Amsterdam, and Groningen). Women aged 18 years and older with singleton pregnancies (&gt;26 weeks gestation) requiring monitoring for pre-eclampsia, fetal growth restriction, fetal anomaly, preterm rupture of membranes, reduced fetal movements, or history of fetal death were included in the study. Participants were randomly assigned to either hospital admission or telemonitoring in (1:1), stratified for the six diagnoses for inclusion and the six centres of inclusion, using block randomisation (block sizes of four and six). When assigned to telemonitoring, participants went home with devices for cardiotocography and blood pressure measurements and had daily contact with their care providers after digitally sending their home measurements. When assigned to hospital admission, participants received care as usual on the ward until the postpartum period. The primary outcome was a composite of adverse perinatal outcomes assessed after delivery, including mortality; an Apgar score below 7 after 5 min or an umbilical arterial pH at birth below 7·05; maternal morbidity; admission of the newborn to the neonatal intensive care unit; and rate of caesarean section. The primary outcome was assessed in the intention-to-treat population. The non-inferiority margin for the primary outcome was a 10% absolute increase in composite primary endpoint based on baseline 20% incidence. The study was registered at the Dutch Trial Registration (NL5888) and is now closed to new participants. From Dec 1, 2016, to Nov 30, 2019, 201 pregnant women were randomly assigned to an intervention procedure. 101 women were allocated to the telemonitoring group and 100 to the hospital admission group. One participant in the telemonitoring group withdrew consent before the intervention was initiated, and 100 participants were analysed for the primary outcome. In the hospital admission group, four participants did not receive the allocated intervention because they did not accept hospital admission. 100 participants in each group were analysed for the primary outcome according to the intention-to-treat principal. No participants were lost to follow-up. The primary outcome occurred in 31 (31%) of 100 participants in the telemonitoring group and in 40 (40%) of 100 participants in the hospital admission group. Adjusted for centre of inclusion, diagnosis, and nulliparity, the risk difference in primary outcome between both groups was 10·3% (95% CI -22·4 to 2·2) lower in the telemonitoring group, below the pre-defined non-inferiority margin of 10% absolute increase. A similar distribution for each of the individual components within the composite primary outcome was seen between groups. Five serious adverse events were reported: one neonatal death in the hospital admission group, in addition to one intra-uterine fetal death, two neonatal deaths, and one case of eclampsia in the telemonitoring group, all unrelated to the study. This non-inferiority trial shows the first evidence that telemonitoring might be as safe as hospital admission for monitoring complicated pregnancies. Stichting Achmea Gezondheidszorg and ICT Healthcare Technology Solutions.</t>
  </si>
  <si>
    <t>Metastatic Colorectal Cancer Treatment Response Evaluation by Ultra-Deep Sequencing of Cell-Free DNA and Matched White Blood Cells.</t>
  </si>
  <si>
    <t>van 't Erve, Iris; Medina, Jamie E; Leal, Alessandro; Papp, Eniko; Phallen, Jillian; Adleff, Vilmos; Chiao, Elaine Jiayuee; Arun, Adith S; Bolhuis, Karen; Simmons, John K; Karandikar, Aanavi; Valkenburg, Kenneth C; Sausen, Mark; Angiuoli, Samuel V; Scharpf, Robert B; Punt, Cornelis J A; Meijer, Gerrit A; Velculescu, Victor E; Fijneman, Remond J A</t>
  </si>
  <si>
    <t>clinical cancer research an official journal of the american association for cancer research</t>
  </si>
  <si>
    <t>https://pubmed.ncbi.nlm.nih.gov/36534496</t>
  </si>
  <si>
    <t>Circulating tumor DNA (ctDNA) has the potential to guide therapy selection and monitor treatment response in patients with metastatic cancer. However, germline and clonal hematopoiesis-associated alterations can confound identification of tumor-specific mutations in cell-free DNA (cfDNA), often requiring additional sequencing of tumor tissue. The current study assessed whether ctDNA-based treatment response monitoring could be performed in a tumor tissue-independent manner by combining ultra-deep targeted sequencing analyses of cfDNA with patient-matched white blood cell (WBC)-derived DNA. In total, 183 cfDNA and 49 WBC samples, along with 28 tissue samples, from 52 patients with metastatic colorectal cancer participating in the prospective phase III CAIRO5 clinical trial were analyzed using an ultra-deep targeted sequencing liquid biopsy assay. The combined cfDNA and WBC analysis prevented false-positives due to germline or hematopoietic variants in 40% of patients. Patient-matched tumor tissue sequencing did not provide additional information. Longitudinal analyses of ctDNA were more predictive of overall survival than standard-of-care radiological response evaluation. ctDNA mutations related to primary or acquired resistance to panitumumab were identified in 42% of patients. Accurate calling of ctDNA mutations for treatment response monitoring is feasible in a tumor tissue-independent manner by combined cfDNA and patient-matched WBC genomic DNA analysis. This tissue biopsy-independent approach simplifies sample logistics and facilitates the application of liquid biopsy ctDNA testing for evaluation of emerging therapy resistance, opening new avenues for early adaptation of treatment regimens.</t>
  </si>
  <si>
    <t>The endometrial microbiota of women with or without a live birth within 12 months after a first failed IVF/ICSI cycle.</t>
  </si>
  <si>
    <t>Bui, Bich Ngoc; van Hoogenhuijze, Nienke; Viveen, Marco; Mol, Femke; Teklenburg, Gijs; de Bruin, Jan-Peter; Besselink, Dagmar; Brentjens, Linda Stevens; Mackens, Shari; Rogers, Malbert R C; Steba, Gaby S; Broekmans, Frank; Paganelli, Fernanda L; van de Wijgert, Janneke H H M</t>
  </si>
  <si>
    <t>https://pubmed.ncbi.nlm.nih.gov/36859567</t>
  </si>
  <si>
    <t>The endometrial microbiota composition may be associated with implantation success. However, a 'core' composition has not yet been defined. This exploratory study analysed the endometrial microbiota by 16S rRNA sequencing (V1-V2 region) of 141 infertile women whose first IVF/ICSI cycle failed and compared the microbiota profiles of women with and without a live birth within 12 months of follow-up, and by infertility cause and type. Lactobacillus was the most abundant genus in the majority of samples. Women with a live birth compared to those without had significantly higher Lactobacillus crispatus relative abundance (RA) (p = 0.029), and a smaller proportion of them had ≤ 10% L. crispatus RA (42.1% and 70.4%, respectively; p = 0.015). A smaller proportion of women in the male factor infertility group had ≤ 10% L. crispatus RA compared to women in the unexplained and other infertility causes groups combined (p = 0.030). Women with primary infertility compared to secondary infertility had significantly higher L. crispatus RA (p = 0.004); lower proportions of them had ≤ 10% L. crispatus RA (p = 0.009) and &gt; 10% Gardnerella vaginalis RA (p = 0.019). In conclusion, IVF/ICSI success may be associated with L. crispatus RA and secondary infertility with endometrial dysbiosis, more often than primary infertility. These hypotheses should be tested in rigorous well-powered longitudinal studies.</t>
  </si>
  <si>
    <t>A grounded theory study on the dynamics of parental grief during the children's end of life.</t>
  </si>
  <si>
    <t>Kochen, Eline M; Grootenhuis, Martha A; Teunissen, Saskia C C M; Boelen, Paul A; Tataranno, Maria-Luisa; Fahner, Jurrianne C; de Jonge, Roos R; Houben, Michiel L; Kars, Marijke C; ,</t>
  </si>
  <si>
    <t>acta paediatrica oslo norway</t>
  </si>
  <si>
    <t>https://pubmed.ncbi.nlm.nih.gov/36806310</t>
  </si>
  <si>
    <t>Parents are increasingly confronted with loss during their child's end of life. Healthcare professionals struggle with parental responses to loss. This study aimed to understand parental coping with grief during their child's end of life. A grounded theory study was performed, using semi-structured interviews with parents during the child's end of life and recently bereaved parents. Data were collected in four children's university hospitals and paediatric homecare services between October 2020 and December 2021. A multidisciplinary team conducted the analysis. In total, 38 parents of 22 children participated. Parents strived to sustain family life, to be a good parent and to ensure a full life for their child. Meanwhile parents' grief increased because of their hypervigilance towards signs of loss. Parents' coping with grief is characterised by an interplay of downregulating grief and connecting with grief, aimed at creating emotional space to be present and connect with their child. Parents connected with grief when it was forced upon them or when they momentarily allowed themselves to. The parents' ability to engage with grief becomes strained during the end of life. Healthcare professionals should support parents in their search for a balance that facilitates creating emotional space.</t>
  </si>
  <si>
    <t>Artificial intelligence to enhance clinical value across the spectrum of cardiovascular healthcare.</t>
  </si>
  <si>
    <t>Gill, Simrat K; Karwath, Andreas; Uh, Hae-Won; Cardoso, Victor Roth; Gu, Zhujie; Barsky, Andrey; Slater, Luke; Acharjee, Animesh; Duan, Jinming; Dall'Olio, Lorenzo; El Bouhaddani, Said; Chernbumroong, Saisakul; Stanbury, Mary; Haynes, Sandra; Asselbergs, Folkert W; Grobbee, Diederick E; Eijkemans, Marinus J C; Gkoutos, Georgios V; Kotecha, Dipak; ,</t>
  </si>
  <si>
    <t>https://pubmed.ncbi.nlm.nih.gov/36629285</t>
  </si>
  <si>
    <t>Artificial intelligence (AI) is increasingly being utilized in healthcare. This article provides clinicians and researchers with a step-wise foundation for high-value AI that can be applied to a variety of different data modalities. The aim is to improve the transparency and application of AI methods, with the potential to benefit patients in routine cardiovascular care. Following a clear research hypothesis, an AI-based workflow begins with data selection and pre-processing prior to analysis, with the type of data (structured, semi-structured, or unstructured) determining what type of pre-processing steps and machine-learning algorithms are required. Algorithmic and data validation should be performed to ensure the robustness of the chosen methodology, followed by an objective evaluation of performance. Seven case studies are provided to highlight the wide variety of data modalities and clinical questions that can benefit from modern AI techniques, with a focus on applying them to cardiovascular disease management. Despite the growing use of AI, further education for healthcare workers, researchers, and the public are needed to aid understanding of how AI works and to close the existing gap in knowledge. In addition, issues regarding data access, sharing, and security must be addressed to ensure full engagement by patients and the public. The application of AI within healthcare provides an opportunity for clinicians to deliver a more personalized approach to medical care by accounting for confounders, interactions, and the rising prevalence of multi-morbidity.</t>
  </si>
  <si>
    <t>The prevalence of self-reported insomnia symptoms and association with metabolic outcomes in people with type 2 diabetes: the Hoorn Diabetes Care System cohort.</t>
  </si>
  <si>
    <t>Groeneveld, Lenka; den Braver, Nicolette R; Beulens, Joline W J; van der Heijden, Amber A; van der Reep, Annelie C; Remmelzwaal, Sharon; Elders, Petra J M; Rutters, Femke</t>
  </si>
  <si>
    <t>journal of clinical sleep medicine jcsm official publication of the american academy of sleep medicine</t>
  </si>
  <si>
    <t>https://pubmed.ncbi.nlm.nih.gov/36533406</t>
  </si>
  <si>
    <t>We investigated the prevalence of self-reported insomnia symptoms in people with type 2 diabetes and assessed the association with metabolic outcomes and the mediating role of lifestyle factors. In a prospective cohort of 1,272 participants with type 2 diabetes (63.4% male, age 68.7 ± 9 years) we measured insomnia symptoms using the Insomnia Severity Index and metabolic outcomes as hemoglobin A1c, glucose, lipids, and body mass index at baseline and at 1 year follow-up. Linear regression analyses assessed the association between insomnia symptoms and metabolic outcomes, corrected for demographic factors, comorbidities, and body mass index. Mediation analyses were conducted for lifestyle factors. The prevalence of mild and severe insomnia symptoms was 23.0% and 10.7%, respectively. When adjusted for demographic factors and comorbidities, cross-sectionally severe insomnia symptoms were associated with higher body mass index (β = 0.97 kg/m&lt;sup&gt;2&lt;/sup&gt;; 95% confidence interval 0.04: 1.89) compared to no insomnia symptoms. Cross-sectionally, no associations were observed for the other metabolic outcomes. Additionally, no prospective associations were observed with any of the outcomes. Finally, physical activity mediated the association between severe insomnia symptoms and body mass index by 29.3%. About a third of people with type 2 diabetes experience self-reported insomnia symptoms, but insomnia symptoms were not associated with metabolic outcomes in people with type 2 diabetes. Groeneveld L, den Braver NR, Beulens JWJ, et al. The prevalence of self-reported insomnia symptoms and association with metabolic outcomes in people with type 2 diabetes: the Hoorn Diabetes Care System cohort. &lt;i&gt;J Clin Sleep Med&lt;/i&gt;. 2023;19(3):539-548.</t>
  </si>
  <si>
    <t>Four missense genetic variants in &lt;i&gt;CUBN&lt;/i&gt; are associated with higher levels of eGFR in non-diabetes but not in diabetes mellitus or its subtypes: A genetic association study in Europeans.</t>
  </si>
  <si>
    <t>Uglebjerg, Nicoline; Ahmadizar, Fariba; Aly, Dina M; Cañadas-Garre, Marisa; Hill, Claire; Naber, Annemieke; Oddsson, Asmundur; Singh, Sunny S; Smyth, Laura; Trégouët, David-Alexandre; Chaker, Layal; Ghanbari, Mohsen; Steinthorsdottir, Valgerdur; Ahlqvist, Emma; Hadjadj, Samy; Van Hoek, Mandy; Kavousi, Maryam; McKnight, Amy Jayne; Sijbrands, Eric J; Stefansson, Kari; Simons, Matias; Rossing, Peter; Ahluwalia, Tarunveer S</t>
  </si>
  <si>
    <t>https://pubmed.ncbi.nlm.nih.gov/36926036</t>
  </si>
  <si>
    <t>Rare genetic variants in the &lt;i&gt;CUBN&lt;/i&gt; gene encoding the main albumin-transporter in the proximal tubule of the kidneys have previously been associated with microalbuminuria and higher urine albumin levels, also in diabetes. Sequencing studies in isolated proteinuria suggest that these variants might not affect kidney function, despite proteinuria. However, the relation of these &lt;i&gt;CUBN&lt;/i&gt; missense variants to the estimated glomerular filtration rate (eGFR) is largely unexplored. We hereby broadly examine the associations between four &lt;i&gt;CUBN&lt;/i&gt; missense variants and eGFR&lt;sub&gt;creatinine&lt;/sub&gt; in Europeans with Type 1 (T1D) and Type 2 Diabetes (T2D). Furthermore, we sought to deepen our understanding of these variants in a range of single- and aggregate- variant analyses of other kidney-related traits in individuals with and without diabetes mellitus. We carried out a genetic association-based linear regression analysis between four &lt;i&gt;CUBN&lt;/i&gt; missense variants (&lt;i&gt;rs141640975&lt;/i&gt;, &lt;i&gt;rs144360241&lt;/i&gt;, &lt;i&gt;rs45551835&lt;/i&gt;, &lt;i&gt;rs1801239&lt;/i&gt;) and eGFR&lt;sub&gt;creatinine&lt;/sub&gt; (ml/min/1.73 m&lt;sup&gt;2&lt;/sup&gt;, CKD-EPI&lt;sub&gt;creatinine(2012)&lt;/sub&gt;, natural log-transformed) in populations with T1D (n ~ 3,588) or T2D (n ~ 31,155) from multiple European studies and in individuals without diabetes from UK Biobank (UKBB, n ~ 370,061) with replication in deCODE (n = 127,090). Summary results of the diabetes-group were meta-analyzed using the fixed-effect inverse-variance method. Albeit we did not observe associations between eGFR&lt;sub&gt;creatinine&lt;/sub&gt; and &lt;i&gt;CUBN&lt;/i&gt; in the diabetes-group, we found significant positive associations between the minor alleles of all four variants and eGFR&lt;sub&gt;creatinine&lt;/sub&gt; in the UKBB individuals without diabetes with &lt;i&gt;rs141640975&lt;/i&gt; being the strongest (Effect=0.02, P&lt;sub&gt;eGFR_creatinine&lt;/sub&gt;=2.2 × 10&lt;sup&gt;-9&lt;/sup&gt;). We replicated the findings for &lt;i&gt;rs141640975&lt;/i&gt; in the Icelandic non-diabetes population (Effect=0.026, P&lt;sub&gt;eGFR_creatinine&lt;/sub&gt;=7.7 × 10&lt;sup&gt;-4&lt;/sup&gt;). For &lt;i&gt;rs141640975&lt;/i&gt;, the eGFR&lt;sub&gt;creatinine&lt;/sub&gt;-association showed significant interaction with albuminuria levels (normo-, micro-, and macroalbuminuria; p = 0.03). An aggregated genetic risk score (GRS) was associated with higher urine albumin levels and eGFR&lt;sub&gt;creatinine&lt;/sub&gt;. The &lt;i&gt;rs141640975&lt;/i&gt; variant was also associated with higher levels of eGFR&lt;sub&gt;creatinine-cystatin C&lt;/sub&gt; (ml/min/1.73 m&lt;sup&gt;2&lt;/sup&gt;, CKD-EPI&lt;sub&gt;2021&lt;/sub&gt;, natural log-transformed) and lower circulating cystatin C levels. The positive associations between the four &lt;i&gt;CUBN&lt;/i&gt; missense variants and eGFR in a large population without diabetes suggests a pleiotropic role of &lt;i&gt;CUBN&lt;/i&gt; as a novel eGFR-locus in addition to it being a known albuminuria-locus. Additional associations with diverse renal function measures (lower cystatin C and higher eGFR&lt;sub&gt;creatinine-cystatin C&lt;/sub&gt; levels) and a &lt;i&gt;CUBN&lt;/i&gt;-focused GRS further suggests an important role of &lt;i&gt;CUBN&lt;/i&gt; in the future personalization of chronic kidney disease management in people without diabetes.</t>
  </si>
  <si>
    <t>The prevalence and intensity of late effects in patients with testicular germ cell tumors: A first step of instrument development using a stepwise approach.</t>
  </si>
  <si>
    <t>Enzlin, Roos; Vervoort, Sigrid C J M; Suelmann, Britt B M; Meijer, Richard P; Teunissen, Saskia C C M; Zweers, Danielle</t>
  </si>
  <si>
    <t>european journal of oncology nursing the official journal of european oncology nursing society</t>
  </si>
  <si>
    <t>https://pubmed.ncbi.nlm.nih.gov/36931098</t>
  </si>
  <si>
    <t>Patients with Testicular Germ Cell Tumors (TGCT) may suffer from several late effects due to their diagnosis or treatment. Follow-up care aims to identify the recurrence of cancer and support patients with TGCT in their experienced late effects. In the Netherlands, the validated Dutch version of the Edmonton Symptom Assessment System, Utrecht Symptom Diary (USD) is used to assess and monitor patient reported symptoms. As a first step to develop a specific USD module for TGCT-patients, it was necessary to identify the prevalence and intensity of late effects in patients with TGCT, covering the physical, social, psychical and existential domains of care. A cross-sectional study was conducted. First, literature was systematically assessed to create a comprehensive list of symptoms. This generated list was reviewed by expert healthcare professionals and the research group. Lastly, a survey was distributed amongst patients with TGCT in follow-up care in the University Medical Center Utrecht (UMCU) outpatient clinic. In total, 65 TGCT-patients completed the survey. All described late effects were recognized by TGCT-patients, with 'fatigue', 'disturbed overall well-being', 'concentration problems' and 'neuropathy', indicated as most prevalent and scored with highest intensity. When prioritizing these late effects, patients assigned 'neuropathy' as most important. This study provided insight into prevalence and intensity of late effects, as indicated by TGCT-patients. In clinical practice, follow-up care can improve by empowering patients to discuss important items in daily life with their health-care professionals.</t>
  </si>
  <si>
    <t>Social jet lag and (changes in) glycemic and metabolic control in people with type 2 diabetes.</t>
  </si>
  <si>
    <t>Bouman, Emma J; Beulens, Joline W J; den Braver, Nicolette R; Blom, Marieke T; Remmelzwaal, Sharon; Elders, Petra J M; Rutters, Femke</t>
  </si>
  <si>
    <t>obesity silver spring md</t>
  </si>
  <si>
    <t>https://pubmed.ncbi.nlm.nih.gov/36855048</t>
  </si>
  <si>
    <t>Social jet lag, i.e., the discordance among social and biological rhythms, is associated with poor metabolic control. This study aimed to assess cross-sectional and longitudinal associations among social jet lag and glycemic and metabolic control in people with type 2 diabetes. In a prospective cohort (N = 990) with type 2 diabetes, social jet lag was measured at baseline using daily diaries and was categorized (high, moderate, or low). Metabolic outcomes were assessed at baseline and at 1 and 2 years of follow-up. Associations among social jet lag and glycemic and metabolic control were analyzed using linear regression and linear mixed models adjusted for confounding factors. Analyses were stratified for work status (retired vs. working; p value for interaction = 0.007 for glycated hemoglobin [HbA1c]). In working people, a cross-sectional association between high social jet lag and HbA1c (1.87 mmol/mol [95% CI: 0.75 to 2.99]) and blood pressure (5.81 mm Hg [95% CI: 4.04 to 7.59]) was observed. For retired people, high social jet lag was negatively associated with HbA1c (-1.58 mmol/mol [95% CI: -2.54 to -0.62]), glucose (-0.19 mmoL/L [95% CI:-0.36 to -0.01]), and blood pressure (-3.70 mm Hg [95% CI: -5.36 to -2.04]), and the association with BMI was positive (1.12 kg/m&lt;sup&gt;2&lt;/sup&gt; [95% CI: 0.74 to 1.51]). Prospective associations had the same direction as cross-sectional findings but were nonsignificant for working or retired people. Social jet lag was cross-sectionally, but not prospectively, associated with glycemic and metabolic markers. Interaction with work status was present, and directions of the associations were generally detrimental in the working population, whereas higher social jet lag was associated with improved glycemic and metabolic control for retired people.</t>
  </si>
  <si>
    <t>Risk Prediction of New Intracranial Aneurysms at Follow-Up Screening in People With a Positive Family History.</t>
  </si>
  <si>
    <t>Zuurbier, Charlotte C M; Bourcier, Romain; Constant Dit Beaufils, Pacôme; Redon, Richard; Desal, Hubert; ,; Bor, Anne S E; Rinkel, Gabriel J E; Greving, Jacoba P; Ruigrok, Ynte M</t>
  </si>
  <si>
    <t>https://pubmed.ncbi.nlm.nih.gov/36846982</t>
  </si>
  <si>
    <t>In first-degree relatives of patients with aneurysmal subarachnoid hemorrhage (aSAH), the risk of an intracranial aneurysm can be predicted at initial screening but not at follow-up screening. We aimed to develop a model for predicting the probability of a new intracranial aneurysm after initial screening in people with a positive family history of aSAH. In a prospective study, we obtained data from follow-up screening for aneurysms of 499 subjects with ≥2 affected first-degree relatives. Screening took place at the University Medical Center Utrecht, the Netherlands, and the University Hospital of Nantes, France. We studied associations between potential predictors and the presence of aneurysms using Cox regression analysis and the predictive performance at 5, 10, and 15 years after initial screening using C statistics and calibration plots, while correcting for overfitting. In 5050 person-years of follow-up, intracranial aneurysms were found in 52 subjects. The risk of aneurysm at 5 years was 2% to 12%, at 10 years, 4% to 28%, and at 15 years, 7% to 40%. Predictors were female sex, history of intracranial aneurysms/aneurysmal subarachnoid hemorrhage, and older age. The sex, previous history of intracranial aneurysm/aSAH, older age score had a C statistic of 0.70 (95% CI, 0.61-0.78) at 5 years, 0.71 (95% CI, 0.64-0.78) at 10 years, and 0.70 (95% CI, 0.63-0.76) at 15 years and showed good calibration. The sex, previous history of intracranial aneurysm/aSAH, older age score provides risk estimates for finding new intracranial aneurysms at 5, 10, and 15 years after initial screening, based on 3 easily retrievable predictors; this can help to define a personalized screening strategy after initial screening in people with a positive family history for aSAH.</t>
  </si>
  <si>
    <t>The effect of exposure to traffic related air pollutants in pregnancy on birth anthropometry: a cohort study in a heavily polluted low-middle income country.</t>
  </si>
  <si>
    <t>Soesanti, Frida; Uiterwaal, Cuno S P M; Meliefste, Kees; Chen, Jie; Brunekreef, Bert; Idris, Nikmah S; Grobbee, Diederick E; Klipstein-Grobusch, Kerstin; Hoek, Gerard</t>
  </si>
  <si>
    <t>environmental health a global access science source</t>
  </si>
  <si>
    <t>https://pubmed.ncbi.nlm.nih.gov/36843017</t>
  </si>
  <si>
    <t>Ambient air pollution has been recognized as one of the most important environmental health threats. Exposure in early life may affect pregnancy outcomes and the health of the offspring. The main objective of our study was to assess the association between prenatal exposure to traffic related air pollutants during pregnancy on birth weight and length. Second, to evaluate the association between prenatal exposure to traffic related air pollutants and the risk of low birth weight (LBW). Three hundred forty mother-infant pairs were included in this prospective cohort study performed in Jakarta, March 2016-September 2020. Exposure to outdoor PM&lt;sub&gt;2.5&lt;/sub&gt;, soot, NO&lt;sub&gt;x&lt;/sub&gt;, and NO&lt;sub&gt;2&lt;/sub&gt; was assessed by land use regression (LUR) models at individual level. Multiple linear regression models were built to evaluate the association between air pollutants with birth weight (BW) and birth length (BL). Logistic regression was used to assess the risk of low birth weight (LBW) associated with all air pollutants. The average PM&lt;sub&gt;2.5&lt;/sub&gt; concentration was almost eight times higher than the current WHO guideline and the NO&lt;sub&gt;2&lt;/sub&gt; level was three times higher. Soot and NO&lt;sub&gt;x&lt;/sub&gt; were significantly associated with reduced birth length. Birth length was reduced by - 3.83 mm (95% CI -6.91; - 0.75) for every IQR (0.74 × 10&lt;sup&gt;- 5&lt;/sup&gt; per m) increase of soot, and reduced by - 2.82 mm (95% CI -5.33;-0.30) for every IQR (4.68 μg/m&lt;sup&gt;3&lt;/sup&gt;) increase of NO&lt;sub&gt;x&lt;/sub&gt;. Outdoor air pollutants were not significantly associated with reduced birth weight nor the risk of LBW. Exposure to soot and NO&lt;sub&gt;x&lt;/sub&gt; during pregnancy was associated with reduced birth length. Associations between exposure to all air pollutants with birth weight and the risk of LBW were less convincing.</t>
  </si>
  <si>
    <t>Treatment patterns and survival in older adults with unresected nonmetastatic biliary tract cancers.</t>
  </si>
  <si>
    <t>Belkouz, Ali; de Savornin Lohman, Elise; Thumma, Jyothi R; Groot Koerkamp, Bas; de Reuver, Philip R; van Oijen, Martijn G H; Punt, Cornelis J A; Nathan, Hari; Klümpen, Heinz-Josef</t>
  </si>
  <si>
    <t>journal of geriatric oncology</t>
  </si>
  <si>
    <t>https://pubmed.ncbi.nlm.nih.gov/36848749</t>
  </si>
  <si>
    <t>The optimal treatment for unresected nonmetastatic biliary tract cancer (uBTC) is not well-established. The objective of this study was to analyze the treatment patterns and compare the differences in overall survival (OS) between different treatment strategies amongst older adults with uBTC. We identified patients aged ≥65 years with uBTC using the Surveillance, Epidemiology, and End Results (SEER)-Medicare database (2004-2015). Treatments were classified into chemotherapy, chemoradiotherapy, and radiotherapy. The primary outcome was OS. The differences in OS were analyzed using Kaplan-Meier curves and multivariable Cox proportional hazard regression. A total of 4352 patients with uBTC were included. The median age was 80 years and median OS was 4.1 months. Most patients (67.3%, n = 2931) received no treatment, 19.1% chemotherapy (n = 833), 8.1% chemoradiotherapy (n = 354), and 5.4% radiotherapy alone (n = 234). Patients receiving no treatment were older and had more comorbidities. Chemotherapy was associated with significantly longer OS than no treatment in uBTC (hazard ratio [HR] 0.87, 95% confidence interval [CI] 0.79-0.95), but no difference was found in the subgroups of intrahepatic cholangiocarcinoma (iCCA; HR 0.87, 95% CI 0.75-1.00) and gallbladder carcinoma (GBC; HR 1.09, 95% CI 0.86-1.39). In the sensitivity analyses, capecitabine-based chemoradiotherapy showed significantly longer OS in uBTC compared to chemotherapy (adjusted HR 0.71, 95% CI 0.53-0.95). A minority of older patients with uBTC receive systemic treatments. Chemotherapy was associated with longer OS compared to no treatment in uBTC, but not in the subgroups of iCCA and GBC. The efficacy of chemoradiotherapy, especially in perihilar cholangiocarcinoma using capecitabine-based chemoradiotherapy, may be further evaluated in prospective clinical trials.</t>
  </si>
  <si>
    <t>Impact of the COVID-19 Outbreak-Delayed Referral of Colorectal and Lung Cancer in Primary Care: A National Retrospective Cohort Study.</t>
  </si>
  <si>
    <t>Helsper, Charles W; Van Gils, Carla H; Van Erp, Nicole F; Siepman van den Berg, Marinde F R; Rogouti, Omar; Van Asselt, Kristel M; Maarsingh, Otto R; Muris, Jean; Brandenbarg, Daan; Siesling, Sabine; De Wit, Niek J; Grant, Matthew P; On Behalf Of The Covid And Cancer Consortium,</t>
  </si>
  <si>
    <t>https://pubmed.ncbi.nlm.nih.gov/36900257</t>
  </si>
  <si>
    <t>The Coronavirus disease 2019 (COVID-19) outbreak impacted health care. We investigated its impact on the time to referral and diagnosis for symptomatic cancer patients in The Netherlands. We performed a national retrospective cohort study utilizing primary care records linked to The Netherlands Cancer Registry. For patients with symptomatic colorectal, lung, breast, or melanoma cancer, we manually explored free and coded texts to determine the durations of the primary care (IPC) and secondary care (ISC) diagnostic intervals during the first COVID-19 wave and pre-COVID-19. We found that the median IPC duration increased for colorectal cancer from 5 days (Interquartile Range (IQR) 1-29 days) pre-COVID-19 to 44 days (IQR 6-230, &lt;i&gt;p&lt;/i&gt; &lt; 0.01) during the first COVID-19 wave, and for lung cancer, the duration increased from 15 days (IQR) 3-47) to 41 days (IQR 7-102, &lt;i&gt;p&lt;/i&gt; &lt; 0.01). For breast cancer and melanoma, the change in IPC duration was negligible. The median ISC duration only increased for breast cancer, from 3 (IQR 2-7) to 6 days (IQR 3-9, &lt;i&gt;p&lt;/i&gt; &lt; 0.01). For colorectal cancer, lung cancer, and melanoma, the median ISC durations were 17.5 (IQR (9-52), 18 (IQR 7-40), and 9 (IQR 3-44) days, respectively, similar to pre-COVID-19 results. In conclusion, for colorectal and lung cancer, the time to primary care referral was substantially prolonged during the first COVID-19 wave. In such crises, targeted primary care support is needed to maintain effective cancer diagnosis.</t>
  </si>
  <si>
    <t>[Not Available].</t>
  </si>
  <si>
    <t>van Maanen, Rosanne; Rutten, Frans; Blom, Jeanet; Langers, Pieter; Cals, Jochen; Nierman, Melchior; Geersing, G J</t>
  </si>
  <si>
    <t>huisarts en wetenschap</t>
  </si>
  <si>
    <t>https://pubmed.ncbi.nlm.nih.gov/36876157</t>
  </si>
  <si>
    <t>Prognostic models in COVID-19 infection that predict severity: a systematic review.</t>
  </si>
  <si>
    <t>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t>
  </si>
  <si>
    <t>https://pubmed.ncbi.nlm.nih.gov/36840867</t>
  </si>
  <si>
    <t>Current evidence on COVID-19 prognostic models is inconsistent and clinical applicability remains controversial. We performed a systematic review to summarize and critically appraise the available studies that have developed, assessed and/or validated prognostic models of COVID-19 predicting health outcomes. We searched six bibliographic databases to identify published articles that investigated univariable and multivariable prognostic models predicting adverse outcomes in adult COVID-19 patients, including intensive care unit (ICU) admission, intubation, high-flow nasal therapy (HFNT), extracorporeal membrane oxygenation (ECMO) and mortality. We identified and assessed 314 eligible articles from more than 40 countries, with 152 of these studies presenting mortality, 66 progression to severe or critical illness, 35 mortality and ICU admission combined, 17 ICU admission only, while the remaining 44 studies reported prediction models for mechanical ventilation (MV) or a combination of multiple outcomes. The sample size of included studies varied from 11 to 7,704,171 participants, with a mean age ranging from 18 to 93 years. There were 353 prognostic models investigated, with area under the curve (AUC) ranging from 0.44 to 0.99. A great proportion of studies (61.5%, 193 out of 314) performed internal or external validation or replication. In 312 (99.4%) studies, prognostic models were reported to be at high risk of bias due to uncertainties and challenges surrounding methodological rigor, sampling, handling of missing data, failure to deal with overfitting and heterogeneous definitions of COVID-19 and severity outcomes. While several clinical prognostic models for COVID-19 have been described in the literature, they are limited in generalizability and/or applicability due to deficiencies in addressing fundamental statistical and methodological concerns. Future large, multi-centric and well-designed prognostic prospective studies are needed to clarify remaining uncertainties.</t>
  </si>
  <si>
    <t>There is no such thing as a validated prediction model.</t>
  </si>
  <si>
    <t>Van Calster, Ben; Steyerberg, Ewout W; Wynants, Laure; van Smeden, Maarten</t>
  </si>
  <si>
    <t>https://pubmed.ncbi.nlm.nih.gov/36829188</t>
  </si>
  <si>
    <t>Clinical prediction models should be validated before implementation in clinical practice. But is favorable performance at internal validation or one external validation sufficient to claim that a prediction model works well in the intended clinical context? We argue to the contrary because (1) patient populations vary, (2) measurement procedures vary, and (3) populations and measurements change over time. Hence, we have to expect heterogeneity in model performance between locations and settings, and across time. It follows that prediction models are never truly validated. This does not imply that validation is not important. Rather, the current focus on developing new models should shift to a focus on more extensive, well-conducted, and well-reported validation studies of promising models. Principled validation strategies are needed to understand and quantify heterogeneity, monitor performance over time, and update prediction models when appropriate. Such strategies will help to ensure that prediction models stay up-to-date and safe to support clinical decision-making.</t>
  </si>
  <si>
    <t>CT radiomics compared to a clinical model for predicting checkpoint inhibitor treatment outcomes in patients with advanced melanoma.</t>
  </si>
  <si>
    <t>Ter Maat, Laurens S; van Duin, Isabella A J; Elias, Sjoerd G; Leiner, Tim; Verhoeff, Joost J C; Arntz, Eran R A N; Troenokarso, Max F; Blokx, Willeke A M; Isgum, Ivana; de Wit, Geraldine A; van den Berkmortel, Franchette W P J; Boers-Sonderen, Marye J; Boomsma, Martijn F; van den Eertwegh, Fons J M; de Groot, Jan Willem B; Piersma, Djura; Vreugdenhil, Art; Westgeest, Hans M; Kapiteijn, Ellen; van Diest, Paul J; Pluim, Josien P W; de Jong, Pim A; Suijkerbuijk, Karijn P M; Veta, Mitko</t>
  </si>
  <si>
    <t>https://pubmed.ncbi.nlm.nih.gov/36996627</t>
  </si>
  <si>
    <t>Predicting checkpoint inhibitors treatment outcomes in melanoma is a relevant task, due to the unpredictable and potentially fatal toxicity and high costs for society. However, accurate biomarkers for treatment outcomes are lacking. Radiomics are a technique to quantitatively capture tumour characteristics on readily available computed tomography (CT) imaging. The purpose of this study was to investigate the added value of radiomics for predicting clinical benefit from checkpoint inhibitors in melanoma in a large, multicenter cohort. Patients who received first-line anti-PD1±anti-CTLA4 treatment for advanced cutaneous melanoma were retrospectively identified from nine participating hospitals. For every patient, up to five representative lesions were segmented on baseline CT, and radiomics features were extracted. A machine learning pipeline was trained on the radiomics features to predict clinical benefit, defined as stable disease for more than 6 months or response per RECIST 1.1 criteria. This approach was evaluated using a leave-one-centre-out cross validation and compared to a model based on previously discovered clinical predictors. Lastly, a combination model was built on the radiomics and clinical model. A total of 620 patients were included, of which 59.2% experienced clinical benefit. The radiomics model achieved an area under the receiver operator characteristic curve (AUROC) of 0.607 [95% CI, 0.562-0.652], lower than that of the clinical model (AUROC=0.646 [95% CI, 0.600-0.692]). The combination model yielded no improvement over the clinical model in terms of discrimination (AUROC=0.636 [95% CI, 0.592-0.680]) or calibration. The output of the radiomics model was significantly correlated with three out of five input variables of the clinical model (p &lt; 0.001). The radiomics model achieved a moderate predictive value of clinical benefit, which was statistically significant. However, a radiomics approach was unable to add value to a simpler clinical model, most likely due to the overlap in predictive information learned by both models. Future research should focus on the application of deep learning, spectral CT-derived radiomics, and a multimodal approach for accurately predicting benefit to checkpoint inhibitor treatment in advanced melanoma.</t>
  </si>
  <si>
    <t>Altered blood gene expression in the obesity-related type 2 diabetes cluster may be causally involved in lipid metabolism: a Mendelian randomisation study.</t>
  </si>
  <si>
    <t>de Klerk, Juliette A; Beulens, Joline W J; Mei, Hailiang; Bijkerk, Roel; van Zonneveld, Anton Jan; Koivula, Robert W; Elders, Petra J M; 't Hart, Leen M; Slieker, Roderick C</t>
  </si>
  <si>
    <t>https://pubmed.ncbi.nlm.nih.gov/36826505</t>
  </si>
  <si>
    <t>The aim of this study was to identify differentially expressed long non-coding RNAs (lncRNAs) and mRNAs in whole blood of people with type 2 diabetes across five different clusters: severe insulin-deficient diabetes (SIDD), severe insulin-resistant diabetes (SIRD), mild obesity-related diabetes (MOD), mild diabetes (MD) and mild diabetes with high HDL-cholesterol (MDH). This was to increase our understanding of different molecular mechanisms underlying the five putative clusters of type 2 diabetes. Participants in the Hoorn Diabetes Care System (DCS) cohort were clustered based on age, BMI, HbA&lt;sub&gt;1c&lt;/sub&gt;, C-peptide and HDL-cholesterol. Whole blood RNA-seq was used to identify differentially expressed lncRNAs and mRNAs in a cluster compared with all others. Differentially expressed genes were validated in the Innovative Medicines Initiative DIabetes REsearCh on patient straTification (IMI DIRECT) study. Expression quantitative trait loci (eQTLs) for differentially expressed RNAs were obtained from a publicly available dataset. To estimate the causal effects of RNAs on traits, a two-sample Mendelian randomisation analysis was performed using public genome-wide association study (GWAS) data. Eleven lncRNAs and 175 mRNAs were differentially expressed in the MOD cluster, the lncRNA AL354696.2 was upregulated in the SIDD cluster and GPR15 mRNA was downregulated in the MDH cluster. mRNAs and lncRNAs that were differentially expressed in the MOD cluster were correlated among each other. Six lncRNAs and 120 mRNAs validated in the IMI DIRECT study. Using two-sample Mendelian randomisation, we found 52 mRNAs to have a causal effect on anthropometric traits (n=23) and lipid metabolism traits (n=10). GPR146 showed a causal effect on plasma HDL-cholesterol levels (p = 2×10&lt;sup&gt;-15&lt;/sup&gt;), without evidence for reverse causality. Multiple lncRNAs and mRNAs were found to be differentially expressed among clusters and particularly in the MOD cluster. mRNAs in the MOD cluster showed a possible causal effect on anthropometric traits, lipid metabolism traits and blood cell fractions. Together, our results show that individuals in the MOD cluster show aberrant RNA expression of genes that have a suggested causal role on multiple diabetes-relevant traits.</t>
  </si>
  <si>
    <t>Change in glycaemic control with structured diabetes self-management education in urban low-resource settings: multicentre randomised trial of effectiveness.</t>
  </si>
  <si>
    <t>Lamptey, Roberta; Amoakoh-Coleman, Mary; Barker, Mary Moffett; Iddi, Samuel; Hadjiconstantinou, Michelle; Davies, Melanie; Darko, Daniel; Agyepong, Irene; Acheampong, Franklyn; Commey, Mary; Yawson, Alfred; Grobbee, Diederick E; Adjei, George Obeng; Klipstein-Grobusch, Kerstin</t>
  </si>
  <si>
    <t>https://pubmed.ncbi.nlm.nih.gov/36829179</t>
  </si>
  <si>
    <t>In high-resource settings, structured diabetes self-management education is associated with improved outcomes but the evidence from low-resource settings is limited and inconclusive. To compare, structured diabetes self-management education to usual care, in adults with type 2 diabetes, in low-resource settings. Single-blind randomised parallel comparator controlled multi-centre trial. Adults (&gt; 18 years) with type 2 diabetes from two hospitals in urban Ghana were randomised 1:1 to usual care only, or usual care plus a structured diabetes self-management education program. Randomisation codes were computer-generated, and allotment concealed in opaque numbered envelopes. The intervention effect was assessed with linear mixed models. Change in HbA1c after 3-month follow-up. Primary analysis involved all participants. gov identifier:NCT04780425, retrospectively registered on 03/03/2021. Recruitment: 22&lt;sup&gt;nd&lt;/sup&gt; until 29&lt;sup&gt;th&lt;/sup&gt; January 2021. We randomised 206 participants (69% female, median age 58 years [IQR: 49-64], baseline HbA1c median 64 mmol/mol [IQR: 45-88 mmol/mol],7.9%[IQR: 6.4-10.2]). Primary outcome data was available for 79 and 80 participants in the intervention and control groups, respectively. Reasons for loss to follow-up were death (n = 1), stroke(n = 1) and unreachable or unavailable (n = 47). A reduction in HbA1c was found in both groups; -9 mmol/mol [95% CI: -13 to -5 mmol/mol], -0·9% [95% CI: -1·2% to -0·51%] in the intervention group and -3 mmol/mol [95% CI -6 to 1 mmol/mol], -0·3% [95% CI: -0·6% to 0.0%] in the control group. The intervention effect was 1 mmol/mol [95%CI:-5 TO 8 p = 0.726]; 0.1% [95% CI: -0.5, 0.7], p = 0·724], adjusted for site, age, and duration of diabetes. No significant harms were observed. In low-resource settings, diabetes self-management education might not be associated with glycaemic control. Clinician's expectations from diabetes self-management education must therefore be guarded.</t>
  </si>
  <si>
    <t>Plasma viscosity, immunoglobulins and risk of cardiovascular disease and mortality: new data and meta-analyses.</t>
  </si>
  <si>
    <t>Lowe, Gordon D O; Harris, Katie; Koenig, Wolfgang; Ben-Shlomo, Yoav; Thorand, Barbara; Peters, Annette; Meisinger, Christa; Imhof, Armin; Tunstall-Pedoe, Hugh; Peters, Sanne A E; Woodward, Mark</t>
  </si>
  <si>
    <t>journal of clinical pathology</t>
  </si>
  <si>
    <t>https://pubmed.ncbi.nlm.nih.gov/36828622</t>
  </si>
  <si>
    <t>Associations of plasma viscosity and plasma Ig levels (a determinant of viscosity) with incident coronary heart disease (CHD) events; and with CHD, cardiovascular disease (CVD: CHD and stroke) and all-cause mortalities. Meta-analysis of plasma viscosity levels from the MONitoring of trends and determinants of CArdiovascular (MONICA)/Cooperative Health Research in the Region of Augsburg, MONICA Glasgow and Speedwell Studies; and five other published studies. Meta-analysis of IgA, IgG and IgM levels from the Augsburg, Glasgow and Speedwell studies; and one other published study. Over median follow-up periods of 14-26 years, there were 2270 CHD events, and 4220 all cause deaths in 28 605 participants with baseline plasma viscosity measurements. After adjustment for major risk factors, (HRs; 95% CIs) for a 1 SD increase in viscosity were 1.14 (1.09 to 1.20) for CHD events; and 1.21 (1.17 to 1.25) for all-cause mortality. 821 CHD events and 2085 all-cause deaths occurred in 8218 participants with baseline Ig levels. For CHD events, adjusted HRs for 1 SD increases in IgA, IgG and IgM were, respectively, 0.97 (0.89 to 1.05); 0.95(0.76 to 1.17) and 0.90 (0.79 to 1.03). Corresponding adjusted HRs for all-cause mortality were 1.08 (95% CI 1.02 to 1.13), 1.03 (95% CI 0.94 to 1.14) and 1.01 (95% CI 0.96 to 1.06). After risk factor adjustment, plasma viscosity was significantly associated with risks of CHD events; and with CHD, CVD and all-cause mortalities. We found no significant association of IgA, IgG or IgM levels with incident CHD events or mortality, except for a borderline association of IgA with all-cause mortality.</t>
  </si>
  <si>
    <t>Nitrofurantoin failure in males with an uncomplicated urinary tract infection: a primary care observational cohort study.</t>
  </si>
  <si>
    <t>Platteel, Tamara N; Beets, Marijn T; Teeuwissen, Hendrik A; Doesschate, Thijs Ten; van de Wijgert, Janneke Hhm; Venekamp, Roderick P; van de Pol, Alma C</t>
  </si>
  <si>
    <t>https://pubmed.ncbi.nlm.nih.gov/36823068</t>
  </si>
  <si>
    <t>Nitrofurantoin is the first-choice antibiotic treatment for uncomplicated urinary tract infections (UTIs) in males according to the Dutch primary care UTI guideline. However, prostate involvement may be undetected and renders this treatment less suitable. To compare the nitrofurantoin failure fraction with that found with use of other antibiotics in adult males diagnosed by their GP with an uncomplicated UTI, as well as GP adherence to the Dutch primary care UTI guideline. Retrospective observational cohort study using routine healthcare data for males seeking care at GP practices participating in the Julius GP Network from 2014 to 2020. Medical records were screened for signs and symptoms of complicated UTIs, antibiotic prescriptions, and referrals. Treatment failure was defined as prescription of a different antibiotic within 30 days after initiation of antibiotic therapy and/or acute hospital referral. The effects of age and comorbidities on failure were assessed using multivariable logistic regression. Most UTI episodes in males were uncomplicated (&lt;i&gt;n&lt;/i&gt; = 6805/10 055 episodes, 68%). Nitrofurantoin  was prescribed in 3788 (56%) of uncomplicated UTIs, followed by ciprofloxacin (&lt;i&gt;n&lt;/i&gt; = 1887,  28%), amoxicillin/clavulanic acid (&lt;i&gt;n&lt;/i&gt; = 470,  7%), and trimethoprim/sulfamethoxazole (&lt;i&gt;n&lt;/i&gt; = 285, 4%). Antibiotic failure occurred in  25% (95% confidence interval [CI] = 23 to 26), 10% (95% CI = 9 to 12), 20% (95% CI = 16 to 24), and 14% (95% CI = 10 to 19) of episodes, respectively. The nitrofurantoin failure fraction increased with age. Comorbidities, adjusted for age, were not associated with nitrofurantoin failure. Nitrofurantoin failure was common in males with uncomplicated UTI and increased with age.</t>
  </si>
  <si>
    <t>Predictors of healthy physiological aging across generations in a 30-year population-based cohort study: the Doetinchem Cohort Study.</t>
  </si>
  <si>
    <t>Loef, Bette; Herber, Gerrie-Cor M; Wong, Albert; Janssen, Nicole A H; Hoekstra, Jurriaan; Picavet, H Susan J; Verschuren, W M Monique</t>
  </si>
  <si>
    <t>bmc geriatrics</t>
  </si>
  <si>
    <t>https://pubmed.ncbi.nlm.nih.gov/36823523</t>
  </si>
  <si>
    <t>Predicting healthy physiological aging is of major interest within public health research. However, longitudinal studies into predictors of healthy physiological aging that include numerous exposures from different domains (i.e. the exposome) are scarce. Our aim is to identify the most important exposome-related predictors of healthy physiological aging over the life course and across generations. Data were used from 2815 participants from four generations (generation 1960s/1950s/1940s/1930s aged respectively 20-29/30-39/40-49/50-59 years old at baseline, wave 1) of the Doetinchem Cohort Study who were measured every 5 years for 30 years. The Healthy Aging Index, a physiological aging index consisting of blood pressure, glucose, creatinine, lung function, and cognitive functioning, was measured at age 46-85 years (wave 6). The average exposure and trend of exposure over time of demographic, lifestyle, environmental, and biological exposures were included, resulting in 86 exposures. Random forest was used to identify important predictors. The most important predictors of healthy physiological aging were overweight-related (BMI, waist circumference, waist/hip ratio) and cholesterol-related (using cholesterol lowering medication, HDL and total cholesterol) measures. Diet and educational level also ranked in the top of important exposures. No substantial differences were observed in the predictors of healthy physiological aging across generations. The final prediction model's performance was modest with an R&lt;sup&gt;2&lt;/sup&gt; of 17%. Taken together, our findings suggest that longitudinal cardiometabolic exposures (i.e. overweight- and cholesterol-related measures) are most important in predicting healthy physiological aging. This finding was similar across generations. More work is needed to confirm our findings in other study populations.</t>
  </si>
  <si>
    <t>Effectiveness of analgesic ear drops as add-on treatment to oral analgesics in children with acute otitis media: study protocol of the OPTIMA pragmatic randomised controlled trial.</t>
  </si>
  <si>
    <t>de Sévaux, Joline L H; Damoiseaux, Roger A M J; Hullegie, Saskia; Sanders, Elisabeth A M; de Wit, G Ardine; Zuithoff, Nicolaas P A; Yardley, Lucy; Anthierens, Sibyl; Little, Paul; Hay, Alastair D; Schilder, Anne G M; Venekamp, Roderick P</t>
  </si>
  <si>
    <t>https://pubmed.ncbi.nlm.nih.gov/36813504</t>
  </si>
  <si>
    <t>Ear pain is the most prominent symptom of childhood acute otitis media (AOM). To control the pain and reduce reliance on antibiotics, evidence of effectiveness for alternative interventions is urgently needed. This trial aims to investigate whether analgesic ear drops added to usual care provide superior ear pain relief over usual care alone in children presenting to primary care with AOM. This is a pragmatic, two-arm, individually randomised, open, superiority trial with cost-effectiveness analysis and nested mixed-methods process evaluation in general practices in the Netherlands. We aim to recruit 300 children aged 1-6 years with a general practitioner (GP) diagnosis of AOM and ear pain. Children will be randomly allocated (ratio 1:1) to either (1) lidocaine hydrochloride 5 mg/g ear drops (Otalgan) one to two drops up to six times daily for a maximum of 7 days in addition to usual care (oral analgesics, with/without antibiotics); or (2) usual care. Parents will complete a symptom diary for 4 weeks as well as generic and disease-specific quality of life questionnaires at baseline and 4 weeks. The primary outcome is the parent-reported ear pain score (0-10) over the first 3 days. Secondary outcomes include proportion of children consuming antibiotics, oral analgesic use and overall symptom burden in the first 7 days; number of days with ear pain, number of GP reconsultations and subsequent antibiotic prescribing, adverse events, complications of AOM and cost-effectiveness during 4-week follow-up; generic and disease-specific quality of life at 4 weeks; parents' and GPs' views and experiences with treatment acceptability, usability and satisfaction. The Medical Research Ethics Committee Utrecht, the Netherlands, has approved the protocol (21-447/G-D). All parents/guardians of participants will provide written informed consent. Study results will be submitted for publication in peer-reviewed medical journals and presented at relevant (inter)national scientific meetings. The Netherlands Trial Register: NL9500; date of registration: 28 May 2021. At the time of publication of the study protocol paper, we were unable to make any amendments to the trial registration record in the Netherlands Trial Register. The addition of a data sharing plan was required to adhere to the International Committee of Medical Journal Editors guidelines. The trial was therefore reregistered in ClinicalTrials.gov (NCT05651633; date of registration: 15 December 2022). This second registration is for modification purposes only and the Netherlands Trial Register record (NL9500) should be regarded as the primary trial registration.</t>
  </si>
  <si>
    <t>Effect of a multifaceted antibiotic stewardship intervention to improve antibiotic prescribing for suspected urinary tract infections in frail older adults (ImpresU): pragmatic cluster randomised controlled trial in four European countries.</t>
  </si>
  <si>
    <t>Hartman, Esther A R; van de Pol, Alma C; Heltveit-Olsen, Silje Rebekka; Lindbæk, Morten; Høye, Sigurd; Lithén, Sara Sofia; Sundvall, Pär-Daniel; Sundvall, Sofia; Arnljots, Egill Snaebjörnsson; Gunnarsson, Ronny; Kowalczyk, Anna; Godycki-Cwirko, Maciek; Platteel, Tamara N; Groen, Wim G; Monnier, Annelie A; Zuithoff, Nicolaas P; Verheij, Theo J M; Hertogh, Cees M P M</t>
  </si>
  <si>
    <t>https://pubmed.ncbi.nlm.nih.gov/36813284</t>
  </si>
  <si>
    <t>To evaluate whether antibiotic prescribing for suspected urinary tract infections in frail older adults can be reduced through a multifaceted antibiotic stewardship intervention. Pragmatic, parallel, cluster randomised controlled trial, with a five month baseline period and a seven month follow-up period. 38 clusters consisting of one or more general practices (n=43) and older adult care organisations (n=43) in Poland, the Netherlands, Norway, and Sweden, from September 2019 to June 2021. 1041 frail older adults aged 70 or older (Poland 325, the Netherlands 233, Norway 276, Sweden 207), contributing 411 person years to the follow-up period. Healthcare professionals received a multifaceted antibiotic stewardship intervention consisting of a decision tool for appropriate antibiotic use, supported by a toolbox with educational materials. A participatory-action-research approach was used for implementation, with sessions for education, evaluation, and local tailoring of the intervention. The control group provided care as usual. The primary outcome was the number of antibiotic prescriptions for suspected urinary tract infections per person year. Secondary outcomes included the incidence of complications, all cause hospital referrals, all cause hospital admissions, all cause mortality within 21 days after suspected urinary tract infections, and all cause mortality. The numbers of antibiotic prescriptions for suspected urinary tract infections in the follow-up period were 54 prescriptions in 202 person years (0.27 per person year) in the intervention group and 121 prescriptions in 209 person years (0.58 per person year) in the usual care group. Participants in the intervention group had a lower rate of receiving an antibiotic prescription for a suspected urinary tract infection compared with participants in the usual care group, with a rate ratio of 0.42 (95% confidence interval 0.26 to 0.68). No differences between intervention and control group were observed in the incidence of complications (&lt;0.01 &lt;i&gt;v&lt;/i&gt; 0.05 per person year), hospital referrals (&lt;0.01 &lt;i&gt;v&lt;/i&gt; 0.05), admissions to hospital (0.01 &lt;i&gt;v&lt;/i&gt; 0.05), and mortality (0 &lt;i&gt;v&lt;/i&gt; 0.01) within 21 days after suspected urinary tract infections, nor in all cause mortality (0.26 &lt;i&gt;v&lt;/i&gt; 0.26). Implementation of a multifaceted antibiotic stewardship intervention safely reduced antibiotic prescribing for suspected urinary tract infections in frail older adults. ClinicalTrials.gov NCT03970356.</t>
  </si>
  <si>
    <t>Cohort profile: the Utrecht Cardiovascular Cohort-Second Manifestations of Arterial Disease (UCC-SMART) Study-an ongoing prospective cohort study of patients at high cardiovascular risk in the Netherlands.</t>
  </si>
  <si>
    <t>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t>
  </si>
  <si>
    <t>https://pubmed.ncbi.nlm.nih.gov/36806141</t>
  </si>
  <si>
    <t>The Utrecht Cardiovascular Cohort-Second Manifestations of Arterial Disease (UCC-SMART) Study is an ongoing prospective single-centre cohort study with the aim to assess important determinants and the prognosis of cardiovascular disease progression. This article provides an update of the rationale, design, included patients, measurements and findings from the start in 1996 to date. The UCC-SMART Study includes patients aged 18-90 years referred to the University Medical Center Utrecht, the Netherlands, for management of cardiovascular disease (CVD) or severe cardiovascular risk factors. Since September 1996, a total of 14 830 patients have been included. Upon inclusion, patients undergo a standardised screening programme, including questionnaires, vital signs, laboratory measurements, an ECG, vascular ultrasound of carotid arteries and aorta, ankle-brachial index and ultrasound measurements of adipose tissue, kidney size and intima-media thickness. Outcomes of interest are collected through annual questionnaires and adjudicated by an endpoint committee. By May 2022, the included patients contributed to a total follow-up time of over 134 000 person-years. During follow-up, 2259 patients suffered a vascular endpoint (including non-fatal myocardial infarction, non-fatal stroke and vascular death) and 2794 all-cause deaths, 943 incident cases of diabetes and 2139 incident cases of cancer were observed up until January 2020. The UCC-SMART cohort contributed to over 350 articles published in peer-reviewed journals, including prediction models recommended by the 2021 European Society of Cardiology CVD prevention guidelines. The UCC-SMART Study guarantees an infrastructure for research in patients at high cardiovascular risk. The cohort will continue to include about 600 patients yearly and follow-up will be ongoing to ensure an up-to-date cohort in accordance with current healthcare and scientific knowledge. In the near future, UCC-SMART will be enriched by echocardiography, and a food frequency questionnaire at baseline enabling the assessment of associations between nutrition and CVD and diabetes.</t>
  </si>
  <si>
    <t>One Heartbeat Away from a Prediction Model for Cardiovascular Diseases in Patients with Chronic Kidney Disease: A Systematic Review.</t>
  </si>
  <si>
    <t>Smit, Leanne C M; Bots, Michiel L; van der Leeuw, Joep; Damen, Johanna A A G; Blankestijn, Peter J; Verhaar, Marianne C; Vernooij, Robin W M</t>
  </si>
  <si>
    <t>cardiorenal medicine</t>
  </si>
  <si>
    <t>https://pubmed.ncbi.nlm.nih.gov/36806550</t>
  </si>
  <si>
    <t>Patients with chronic kidney disease (CKD) have a high risk of cardiovascular disease (CVD). Prediction models, combining clinical and laboratory characteristics, are commonly used to estimate an individual's CVD risk. However, these models are not specifically developed for patients with CKD and may therefore be less accurate. In this review, we aim to give an overview of CVD prognostic studies available, and their methodological quality, specifically for patients with CKD. MEDLINE was searched for papers reporting CVD prognostic studies in patients with CKD published between 2012 and 2021. Characteristics regarding patients, study design, outcome measurement, and prediction models were compared between included studies. The risk of bias of studies reporting on prognostic factors or the development/validation of a prediction model was assessed with, respectively, the QUIPS and PROBAST tool. In total, 134 studies were included, of which 123 studies tested the incremental value of one or more predictors to existing models or common risk factors, while only 11 studies reported on the development or validation of a prediction model. Substantial heterogeneity in cohort and study characteristics, such as sample size, event rate, and definition of outcome measurements, was observed across studies. The most common predictors were age (87%), sex (75%), diabetes (70%), and estimated glomerular filtration rate (69%). Most of the studies on prognostic factors have methodological shortcomings, mostly due to a lack of reporting on clinical and methodological information. Of the 11 studies on prediction models, six developed and internally validated a model and four externally validated existing or developed models. Only one study on prognostic models showed a low risk of bias and high applicability. A large quantity of prognostic studies has been published, yet their usefulness remains unclear due to incomplete presentation, and lack of external validation of prognostic models. Our review can be used to select the most appropriate prognostic model depending on the patient population, outcome, and risk of bias. Future collaborative efforts should aim at improving existing models by externally validating them, evaluating the addition of new predictors, and assessment of the clinical impact. We have registered the protocol of our systematic review on PROSPERO (CRD42021228043).</t>
  </si>
  <si>
    <t>Sex differences in body composition in people with prediabetes and type 2 diabetes as compared with people with normal glucose metabolism: the Maastricht Study.</t>
  </si>
  <si>
    <t>de Ritter, Rianneke; Sep, Simone J S; van Greevenbroek, Marleen M J; Kusters, Yvo H A M; Vos, Rimke C; Bots, Michiel L; Kooi, M Eline; Dagnelie, Pieter C; Eussen, Simone J P M; Schram, Miranda T; Koster, Annemarie; Brouwers, Martijn C G; van der Sangen, Niels M R; Peters, Sanne A E; van der Kallen, Carla J H; Stehouwer, Coen D A</t>
  </si>
  <si>
    <t>https://pubmed.ncbi.nlm.nih.gov/36805778</t>
  </si>
  <si>
    <t>Obesity is a major risk factor for type 2 diabetes. However, body composition differs between women and men. In this study we investigate the association between diabetes status and body composition and whether this association is moderated by sex. In a population-based cohort study (n=7639; age 40-75 years, 50% women, 25% type 2 diabetes), we estimated the sex-specific associations, and differences therein, of prediabetes (i.e. impaired fasting glucose and/or impaired glucose tolerance) and type 2 diabetes (reference: normal glucose metabolism [NGM]) with dual-energy x-ray absorptiometry (DEXA)- and MRI-derived measures of body composition and with hip circumference. Sex differences were analysed using adjusted regression models with interaction terms of sex-by-diabetes status. Compared with their NGM counterparts, both women and men with prediabetes and type 2 diabetes had more fat and lean mass and a greater hip circumference. The differences in subcutaneous adipose tissue, hip circumference and total and peripheral lean mass between type 2 diabetes and NGM were greater in women than men (women minus men [W-M] mean difference [95% CI]: 15.0 cm&lt;sup&gt;2&lt;/sup&gt; [1.5, 28.5], 3.2 cm [2.2, 4.1], 690 g [8, 1372] and 443 g [142, 744], respectively). The difference in visceral adipose tissue between type 2 diabetes and NGM was greater in men than women (W-M mean difference [95% CI]: -14.8 cm&lt;sup&gt;2&lt;/sup&gt; [-26.4, -3.1]). There was no sex difference in the percentage of liver fat between type 2 diabetes and NGM. The differences in measures of body composition between prediabetes and NGM were generally in the same direction, but were not significantly different between women and men. This study indicates that there are sex differences in body composition associated with type 2 diabetes. The pathophysiological significance of these sex-associated differences requires further study.</t>
  </si>
  <si>
    <t>Presence of retinopathy and incident kidney and cardiovascular events in type 2 diabetes with normoalbuminuria - A post-hoc analysis of the PRIORITY randomized clinical trial.</t>
  </si>
  <si>
    <t>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t>
  </si>
  <si>
    <t>journal of diabetes and its complications</t>
  </si>
  <si>
    <t>https://pubmed.ncbi.nlm.nih.gov/36841085</t>
  </si>
  <si>
    <t>Baseline diabetic retinopathy (DR) and risk of development of microalbuminuria, kidney function decline, and cardiovascular events (CVEs) in type 2 diabetes. Post-hoc analysis of the PRIORITY study including 1758 persons with type 2 diabetes and normoalbuminuria followed for a median of 2.5 (IQR: 2.0-3.0) years. DR diagnosis included non-proliferative and proliferative abnormalities, macular oedema, or prior laser treatment. Cox models were fitted to investigate baseline DR presence with development of persistent microalbuminuria (urinary albumin-creatinine ratio &gt; 30 mg/g); chronic kidney disease (CKD) G3 (eGFR &lt;60 ml/min/1.73m&lt;sup&gt;2&lt;/sup&gt;); and CVE. Models were adjusted for relevant risk factors. At baseline, 304 (17.3 %) had DR. Compared to persons without DR, they were older (mean ± SD: 62.7 ± 7.7 vs 61.4 ± 8.3 years, p = 0.019), had longer diabetes duration (17.9 ± 8.4 vs. 10.6 ± 7.0 years, p &lt; 0.001), and higher HbA&lt;sub&gt;1c&lt;/sub&gt; (62 ± 13 vs. 56 ± 12 mmol/mol, p &lt; 0.001). The adjusted hazard ratios of DR at baseline for development of microalbuminuria (n = 197), CKD (n = 166), and CVE (n = 64) were: 1.50 (95%CI: 1.07, 2.11), 0.87 (95%CI: 0.56, 1.34), and 2.61 (95%CI: 1.44, 4.72), compared to without DR. Presence of DR in normoalbuminuric type 2 diabetes was associated with an increased risk of developing microalbuminuria and CVE, but not with kidney function decline.</t>
  </si>
  <si>
    <t>Chronic Disease in Low-Resource Settings: Prevention and Management Throughout the Continuum of Care-A Call for Papers.</t>
  </si>
  <si>
    <t>Heine, Martin; Hanekom, Susan</t>
  </si>
  <si>
    <t>https://pubmed.ncbi.nlm.nih.gov/36834272</t>
  </si>
  <si>
    <t>Multimorbidity, defined as the presence of two or more chronic conditions in an individual, has become a global public health challenge [...].</t>
  </si>
  <si>
    <t>Effectiveness of Upadacitinib in Patients with Atopic Dermatitis including those with Inadequate Response to Dupilumab and/or Baricitinib: Results from the BioDay Registry.</t>
  </si>
  <si>
    <t>Boesjes, Celeste M; Van der Gang, Liana F; Zuithoff, Nicolaas P A; Bakker, Daphne S; Spekhorst, Lotte S; Haeck, Inge; Kamsteeg, Marijke; De Graaf, Marlies; De Bruin-Weller, Marjolein S</t>
  </si>
  <si>
    <t>acta dermatovenereologica</t>
  </si>
  <si>
    <t>https://pubmed.ncbi.nlm.nih.gov/36794894</t>
  </si>
  <si>
    <t>Clinical trials showed that upadacitinib, a selective Janus kinase-1 inhibitor, is effective for treatment of moderate-to-severe atopic dermatitis. However, daily practice studies are limited. This multicentre prospective study evaluated the effectiveness of 16 weeks of upadacitinib treatment for moderate-to-severe atopic dermatitis in adult patients, including those with previous inadequate response to dupilumab and/or baricitinib, in daily practice. A total of 47 patients from the Dutch BioDay registry treated with upadacitinib were included. Patients were evaluated at baseline, and after 4, 8 and 16 weeks of treatment. Effectiveness was assessed by clinician- and patient-reported outcome measurements. Safety was assessed by adverse events and laboratory assessments. Overall, the probabilities (95% confidence intervals) of achieving Eczema Area and Severity Index ≤ 7 and Numerical Rating Scale - pruritus ≤ 4 were 73.0% (53.7-86.3) and 69.4% (48.7-84.4), respectively. The effectiveness of upadacitinib was comparable in patients with inadequate response to dupilumab and/or baricitinib and in patients who were naïve for these treatments or who had stopped such treatments due to adverse events. Fourteen (29.8%) patients discontinued upadacitinib due to ineffectiveness, adverse events or both (8.5%, 14.9% and 6.4%, respectively). Most frequently reported adverse events were acneiform eruptions (n = 10, 21.3%), herpes simplex (n = 6, 12.8%), nausea and airway infections (both n = 4, 8.5%). In conclusion, upadacitinib is an effective treatment for patients with moderate-to-severe atopic dermatitis, including those with previous inadequate response to dupilumab and/or baricitinib treatment.</t>
  </si>
  <si>
    <t>Optimal age targeting for pneumococcal vaccination in older adults; a modelling study.</t>
  </si>
  <si>
    <t>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t>
  </si>
  <si>
    <t>https://pubmed.ncbi.nlm.nih.gov/36797259</t>
  </si>
  <si>
    <t>Invasive pneumococcal disease (IPD) risk increases with age for older adults whereas the population size benefiting from pneumococcal vaccines and robustness of immunogenic response to vaccination decline. We estimate how demographics, vaccine efficacy/effectiveness (VE), and waning VE impact on optimal age for a single-dose pneumococcal vaccination. Age- and vaccine-serotype-specific IPD cases from routine surveillance of adults ≥ 55 years old (y), ≥ 4-years after infant-pneumococcal vaccine introduction and before 2020, and VE data from prior studies were used to estimate IPD incidence and waning VE which were then combined in a cohort model of vaccine impact. In Brazil, Malawi, South Africa and England 51, 51, 54 and 39% of adults older than 55 y were younger than 65 years old, with a smaller share of annual IPD cases reported among &lt; 65 years old in England (4,657; 20%) than Brazil (186; 45%), Malawi (4; 63%), or South Africa (134, 48%). Vaccination at 55 years in Brazil, Malawi, and South Africa, and at 70 years in England had the greatest potential for IPD prevention. Here, we show that in low/middle-income countries, pneumococcal vaccines may prevent a substantial proportion of residual IPD burden if administered earlier in adulthood than is typical in high-income countries.</t>
  </si>
  <si>
    <t>The impact of circadian rhythm on Bacillus Calmette-Guérin vaccination effects on SARS-CoV-2 infections.</t>
  </si>
  <si>
    <t>https://pubmed.ncbi.nlm.nih.gov/36875134</t>
  </si>
  <si>
    <t>A recent study has suggested that circadian rhythm has an important impact on the immunological effects induced by Bacillus Calmette-Guérin (BCG) vaccination. The objective of this study was to evaluate whether the timing of BCG vaccination (morning or afternoon) affects its impact on severe acute respiratory syndrome-coronavirus-2 (SARS-CoV-2) infections and clinically relevant respiratory tract infections (RTIs). This is a &lt;i&gt;post-hoc&lt;/i&gt; analysis of the BCG-CORONA-ELDERLY (NCT04417335) multicenter, placebo-controlled trial, in which participants aged 60 years and older were randomly assigned to vaccination with BCG or placebo, and followed for 12 months. The primary endpoint was the cumulative incidence of SARS-CoV-2 infection. To assess the impact of circadian rhythm on the BCG effects, participants were divided into four groups: vaccinated with either BCG or placebo in the morning (between 9:00h and 11:30h) or in the afternoon (between 14:30h and 18:00h). The subdistribution hazard ratio of SARS-CoV-2 infection in the first six months after vaccination was 2.394 (95% confidence interval [CI], 0.856-6.696) for the morning BCG group and 0.284 (95% CI, 0.055-1.480) for the afternoon BCG group. When comparing those two groups, the interaction hazard ratio was 8.966 (95% CI, 1.366-58.836). In the period from six months until 12 months after vaccination cumulative incidences of SARS-CoV-2 infection were comparable, as well as cumulative incidences of clinically relevant RTI in both periods. Vaccination with BCG in the afternoon offered better protection against SARS-CoV-2 infections than BCG vaccination in the morning in the first six months after vaccination.</t>
  </si>
  <si>
    <t>The impact of the covid-19 pandemic on diabetes care: the perspective of healthcare providers across Europe.</t>
  </si>
  <si>
    <t>Van Grondelle, S E; Van Bruggen, S; Rauh, S P; Van der Zwan, M; Cebrian, A; Seidu, S; Rutten, G E H M; Vos, H M M; Numans, M E; Vos, R C</t>
  </si>
  <si>
    <t>primary care diabetes</t>
  </si>
  <si>
    <t>https://pubmed.ncbi.nlm.nih.gov/36822977</t>
  </si>
  <si>
    <t>Covid-19 caused changes on the delivery of diabetes care. This study aimed to explore perceptions of healthcare providers across Europe concerning 1) the impact of covid-19 on delivery of diabetes care; 2) impact of changes in diabetes care on experienced workload; 3) experiences with video consultation in diabetes care. Cross-sectional survey among healthcare providers in the Netherlands, United Kingdom, Turkey, Ukraine and Sweden, with a focus on primary care. The survey was completed by 180 healthcare providers. During the COVID-19 pandemic 57.1% of respondents provided less diabetes care and 72.8% observed a negative impact on people with diabetes. More than half of respondents (61.9%) expressed worries to some extent about getting overloaded by work. Although the vast majority considered their work meaningful (85.6%). Almost half of healthcare providers (49.4%) thought that after the pandemic video-consultation could be blended with face-to-face contact. Less diabetes care was delivered and a negative impact on people with diabetes was observed by healthcare providers. Despite healthcare providers' feeling overloaded, mental wellbeing seemed unaffected. Video consultations were seen as having potential. Given the remaining covid-19 risks and from the interest of proactive management of people with diabetes, these findings urge for further exploration of incorporating video consultation in diabetes care.</t>
  </si>
  <si>
    <t>Dietary fatty acids and endometrial cancer risk within the European Prospective Investigation into Cancer and Nutrition.</t>
  </si>
  <si>
    <t>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t>
  </si>
  <si>
    <t>https://pubmed.ncbi.nlm.nih.gov/36797668</t>
  </si>
  <si>
    <t>Diet may impact important risk factors for endometrial cancer such as obesity and inflammation. However, evidence on the role of specific dietary factors is limited. We investigated associations between dietary fatty acids and endometrial cancer risk in the European Prospective Investigation into Cancer and Nutrition (EPIC). This analysis includes 1,886 incident endometrial cancer cases and 297,432 non-cases. All participants were followed up for a mean of 8.8 years. Multivariable Cox proportional hazard models were used to estimate hazard ratios (HR) and 95% confidence intervals (CI) of endometrial cancer across quintiles of individual fatty acids estimated from various food sources quantified through food frequency questionnaires in the entire EPIC cohort. The false discovery rate (q-values) was computed to control for multiple comparisons. Consumption of n-6 γ-linolenic acid was inversely associated with endometrial cancer risk (HR comparing 5th with 1st quintile&lt;sub&gt;Q5-Q1&lt;/sub&gt;=0.77, 95% CI = 0.64; 0.92, p&lt;sub&gt;trend&lt;/sub&gt;=0.01, q-value = 0.15). This association was mainly driven by γ-linolenic acid derived from plant sources (HR&lt;sub&gt;per unit increment&lt;/sub&gt;=0.94, 95%CI= (0.90;0.98), p = 0.01) but not from animal sources (HR&lt;sub&gt;per unit increment&lt;/sub&gt;= 1.00, 95%CI = (0.92; 1.07), p = 0.92). In addition, an inverse association was found between consumption of n-3 α-linolenic acid from vegetable sources and endometrial cancer risk (HR&lt;sub&gt;per unit increment&lt;/sub&gt;= 0.93, 95%CI = (0.87; 0.99), p = 0.04). No significant association was found between any other fatty acids (individual or grouped) and endometrial cancer risk. Our results suggest that higher consumption of γ-linolenic acid and α-linoleic acid from plant sources may be associated with lower risk of endometrial cancer.</t>
  </si>
  <si>
    <t>Responsible innovation in stem cell research: using responsibility as a strategy.</t>
  </si>
  <si>
    <t>Assen, L S; Jongsma, K R; Isasi, R; Utomo, L; Tryfonidou, M A; Bredenoord, A L</t>
  </si>
  <si>
    <t>regenerative medicine</t>
  </si>
  <si>
    <t>https://pubmed.ncbi.nlm.nih.gov/36794557</t>
  </si>
  <si>
    <t>Responsible innovation has been introduced as an important condition for advancing the field of regenerative medicine. This is reflected in the frequent references to responsible research conduct and responsible innovation in guidelines and recommendations in academic literature. The meaning of responsibility, how responsibility could be fostered and the context in which responsibilities should be enacted, however, remain unclear. The goal of this paper is to clarify the concept of responsibility in stem cell research and to illustrate how this concept could inform strategies to deal effectively with the ethical implications of stem cell research. Responsibility can be dissected into four categories: responsibility-as-accountability, responsibility-as-liability, responsibility-as-an-obligation and responsibility-as-a-virtue. The authors focus on responsible research conduct and responsible innovation in general to move beyond the scope of research integrity and illustrate that different notions of responsibility have different implications for how stem cell research is organized.</t>
  </si>
  <si>
    <t>Omega-3 fatty acids in heart disease-why accurately measured levels matter.</t>
  </si>
  <si>
    <t>von Schacky, C; Kuipers, R S; Pijl, H; Muskiet, F A J; Grobbee, D E</t>
  </si>
  <si>
    <t>https://pubmed.ncbi.nlm.nih.gov/36795219</t>
  </si>
  <si>
    <t>Current guidelines barely support marine omega‑3 fatty acids eicosapentaenoic acid (EPA) and docosahexaenoic acid (DHA) in cardiology, mainly because results of large trials were equivocal. Most large trials have tested EPA alone or EPA + DHA combined as a drug, thereby disregarding the relevance of their blood levels. These levels are frequently assessed with the Omega‑3 Index (percentage of EPA + DHA in erythrocytes), which is determined using a specific standardised analytical procedure. EPA and DHA are present in every human being at unpredictable levels (even in the absence of intake), and their bioavailability is complex. Both facts need to be incorporated into trial design and should direct clinical use of EPA and DHA. An Omega‑3 Index in the target range of 8-11% is associated with lower total mortality, fewer major adverse cardiac and other cardiovascular events. Moreover, functions of organs such as the brain benefit from an Omega‑3 Index in the target range, while untoward effects, such as bleeding or atrial fibrillation, are minimised. In pertinent intervention trials, several organ functions were improved, with improvements correlating with the Omega‑3 Index. Thus, the Omega‑3 Index is relevant in trial design and clinical medicine, which calls for a widely available standardised analytical procedure and a discussion on possible reimbursement of this test.</t>
  </si>
  <si>
    <t>Predicting early extrahepatic recurrence after local treatment of colorectal liver metastases.</t>
  </si>
  <si>
    <t>Wensink, G E; Bolhuis, Karen; Elferink, Marloes A G; Fijneman, Remond J A; Kranenburg, Onno; Borel Rinkes, Inne H M; Koopman, Miriam; Swijnenburg, Rutger-Jan; Vink, Geraldine R; Hagendoorn, Jeroen; Punt, Cornelis J A; Roodhart, Jeanine M L; Elias, Sjoerd G</t>
  </si>
  <si>
    <t>https://pubmed.ncbi.nlm.nih.gov/36655278</t>
  </si>
  <si>
    <t>Patients who develop early extrahepatic recurrence (EHR) may not benefit from local treatment of colorectal liver metastases (CRLMs). This study aimed to develop a prediction model for early EHR after local treatment of CRLMs using a national data set. A Cox regression prediction model for EHR was developed and validated internally using data on patients who had local treatment for CRLMs with curative intent. Performance assessment included calibration, discrimination, net benefit, and generalizability by internal-external cross-validation. The prognostic relevance of early EHR (within 6 months) was evaluated by landmark analysis. During a median follow-up of 35 months, 557 of the 1077 patients had EHR and 249 died. Median overall survival was 19.5 (95 per cent c.i. 15.6 to 23.0) months in patients with early EHR after CRLM treatment, compared with not reached (45.3 months to not reached) in patients without an early EHR. The EHR prediction model included side and stage of the primary tumour, RAS/BRAFV600E mutational status, and number and size of CRLMs. The range of 6-month EHR predictions was 5.9-56.0 (i.q.r. 12.9-22.0) per cent. The model demonstrated good calibration and discrimination. The C-index through 6 and 12 months was 0.663 (95 per cent c.i. 0.624 to 0.702) and 0.661 (0.632 to 0.689) respectively. The observed 6-month EHR risk was 6.5 per cent for patients in the lowest quartile of predicted risk compared with 32.0 per cent in the highest quartile. Early EHR after local treatment of CRLMs can be predicted.</t>
  </si>
  <si>
    <t>Sex differences in dementia risk and risk factors: Individual-participant data analysis using 21 cohorts across six continents from the COSMIC consortium.</t>
  </si>
  <si>
    <t>Gong, Jessica; Harris, Katie; Lipnicki, Darren M; Castro-Costa, Erico; Lima-Costa, Maria Fernanda; Diniz, Breno S; Xiao, Shifu; Lipton, Richard B; Katz, Mindy J; Wang, Cuiling; Preux, Pierre-Marie; Guerchet, Maëlenn; Gbessemehlan, Antoine; Ritchie, Karen; Ancelin, Marie-Laure; Skoog, Ingmar; Najar, Jenna; Sterner, Therese Rydberg; Scarmeas, Nikolaos; Yannakoulia, Mary; Kosmidis, Mary H; Guaita, Antonio; Rolandi, Elena; Davin, Annalisa; Gureje, Oye; Trompet, Stella; Gussekloo, Jacobijn; Riedel-Heller, Steffi; Pabst, Alexander; Röhr, Susanne; Shahar, Suzana; Singh, Devinder Kaur Ajit; Rivan, Nurul Fatin Malek; Boxtel, Martin van; Köhler, Sebastian; Ganguli, Mary; Chang, Chung-Chou; Jacobsen, Erin; Haan, Mary; Ding, Ding; Zhao, Qianhua; Xiao, Zhenxu; Narazaki, Kenji; Chen, Tao; Chen, Sanmei; Ng, Tze Pin; Gwee, Xinyi; Numbers, Katya; Mather, Karen A; Scazufca, Marcia; Lobo, Antonio; De-la-Cámara, Concepción; Lobo, Elena; Sachdev, Perminder S; Brodaty, Henry; Hackett, Maree L; Peters, Sanne</t>
  </si>
  <si>
    <t>alzheimers dementia the journal of the alzheimers association</t>
  </si>
  <si>
    <t>https://pubmed.ncbi.nlm.nih.gov/36790027</t>
  </si>
  <si>
    <t>Sex differences in dementia risk, and risk factor (RF) associations with dementia, remain uncertain across diverse ethno-regional groups. A total of 29,850 participants (58% women) from 21 cohorts across six continents were included in an individual participant data meta-analysis. Sex-specific hazard ratios (HRs), and women-to-men ratio of hazard ratios (RHRs) for associations between RFs and all-cause dementia were derived from mixed-effect Cox models. Incident dementia occurred in 2089 (66% women) participants over 4.6 years (median). Women had higher dementia risk (HR, 1.12 [1.02, 1.23]) than men, particularly in low- and lower-middle-income economies. Associations between longer education and former alcohol use with dementia risk (RHR, 1.01 [1.00, 1.03] per year, and 0.55 [0.38, 0.79], respectively) were stronger for men than women; otherwise, there were no discernible sex differences in other RFs. Dementia risk was higher in women than men, with possible variations by country-level income settings, but most RFs appear to work similarly in women and men.</t>
  </si>
  <si>
    <t>Health and nutrition claims for infant formula: international cross sectional survey.</t>
  </si>
  <si>
    <t>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t>
  </si>
  <si>
    <t>https://pubmed.ncbi.nlm.nih.gov/36792145</t>
  </si>
  <si>
    <t>To review available health and nutrition claims for infant formula products in multiple countries and to evaluate the validity of the evidence used for substantiation of claims. International cross sectional survey. Public facing and healthcare professional facing company owned or company managed formula industry websites providing information about products marketed for healthy infants delivered at full term in 15 countries: Australia, Canada, Germany, India, Italy, Japan, Nigeria, Norway, Pakistan, Russia, Saudi Arabia, South Africa, Spain, the United Kingdom, and the United States in 2020-22. Number and type of claims made for each product and ingredient. References cited were reviewed and risk of bias was assessed for registered clinical trials using the Cochrane risk of bias tool, and for systematic reviews using the Risk Of Bias in Systematic reviews tool. 757 infant formula products were identified, each with a median of two claims (range from 1 (Australia) to 4 (US)), and 31 types of claims across all products. Of 608 products with ≥1 claims, the most common claim types were "helps/supports development of brain and/or eyes and/or nervous system" (323 (53%) products, 13 ingredients), "strengthens/supports a healthy immune system" (239 (39%) products, 12 ingredients), and "helps/supports growth and development" (224 (37%) products, 20 ingredients). 41 groups of ingredients were associated with ≥1claims, but many claims were made without reference to a specific ingredient (307 (50%) products). The most common groups of ingredients cited in claims were long chain polyunsaturated fatty acids (278 (46%) products, 9 different claims); prebiotics, probiotics, or synbiotics (225 (37%) products, 19 claims); and hydrolysed protein (120 (20%) products, 9 claims). 161/608 (26%) products with ≥1 claims provided a scientific reference to support the claim-266 unique references were cited for 24 different claim types for 161 products. The reference types most frequently cited were clinical trials (50%, 134/266) and reviews (20%, 52/266). 28% (38/134) of referenced clinical trials were registered, 14% (19/134) prospectively. 58 claims referred to 32 registered clinical trials, of which 51 claims (27 trials) related to a randomised comparison. 46 of 51 claims (90%) referenced registered clinical trial outcomes at high risk of bias, and all cited systematic reviews and pooled analyses, carried a high risk of bias. Most infant formula products had at least one health and nutrition claim. Multiple ingredients were claimed to achieve similar health or nutrition effects, multiple claims were made for the same ingredient type, most products did not provide scientific references to support claims, and referenced claims were not supported by robust clinical trial evidence.</t>
  </si>
  <si>
    <t>In Silico Screening of Drugs That Target Different Forms of E Protein for Potential Treatment of COVID-19.</t>
  </si>
  <si>
    <t>Ramírez Salinas, Gema Lizbeth; López Rincón, Alejandro; García Machorro, Jazmín; Correa Basurto, José; Martínez Archundia, Marlet</t>
  </si>
  <si>
    <t>pharmaceuticals basel switzerland</t>
  </si>
  <si>
    <t>https://pubmed.ncbi.nlm.nih.gov/37259437</t>
  </si>
  <si>
    <t>Recently the E protein of SARS-CoV-2 has become a very important target in the potential treatment of COVID-19 since it is known to regulate different stages of the viral cycle. There is biochemical evidence that E protein exists in two forms, as monomer and homopentamer. An in silico screening analysis was carried out employing 5852 ligands (from Zinc databases), and performing an ADMET analysis, remaining a set of 2155 compounds. Furthermore, docking analysis was performed on specific sites and different forms of the E protein. From this study we could identify that the following ligands showed the highest binding affinity: nilotinib, dutasteride, irinotecan, saquinavir and alectinib. We carried out some molecular dynamics simulations and free energy MM-PBSA calculations of the protein-ligand complexes (with the mentioned ligands). Of worthy interest is that saquinavir, nilotinib and alectinib are also considered as a promising multitarget ligand because it seems to inhibit three targets, which play an important role in the viral cycle. On the other side, saquinavir was shown to be able to bind to E protein both in its monomeric as well as pentameric forms. Finally, further experimental assays are needed to probe our hypothesis derived from in silico studies.</t>
  </si>
  <si>
    <t>Applicability of European Society of Cardiology guidelines according to gross national income.</t>
  </si>
  <si>
    <t>van Dijk, Wouter B; Schuit, Ewoud; van der Graaf, Rieke; Groenwold, Rolf H H; Laurijssen, Sara; Casadei, Barbara; Roffi, Marco; Abimbola, Seye; de Vries, Martine C; Grobbee, Diederick E</t>
  </si>
  <si>
    <t>https://pubmed.ncbi.nlm.nih.gov/36396400</t>
  </si>
  <si>
    <t>To assess the feasibility to comply with the recommended actions of ESC guidelines on general cardiology areas in 102 countries and assess how compliance relates to the country's income level. All recommendations from seven ESC guidelines on general cardiology areas were extracted and labelled on recommended actions. A survey was sent to all 102 ESC national and affiliated cardiac societies (NCSs). Respondents were asked to score recommended actions on their availability in clinical practice on a four-point Likert scale (fully available, mostly/often available, mostly/often unavailable, fully unavailable), and select the top three barriers perceived as being responsible for limiting their national availability. Applicability was assessed overall, per World Bank gross national income (GNI) level, and per guideline.A total of 875 guideline recommendations on general cardiology was extracted. Responses were received from 64 of 102 (62.7%) NCSs. On average, 71·6% [95% confidence interval (CI): 68.6-74.6] of the actions were fully available, 9.9% (95% CI: 8.7-11.1) mostly/often available, 6.7% (95% CI: 5.4-8.0) mostly/often unavailable, and 11·8% (95% CI: 9.5-14.1) fully unavailable. In low-income countries (LICs), substantially more actions were fully unavailable [29·4% (95% CI: 22.6-36.3)] compared with high-income countries [HICs, countries 2.4% (95% CI: 1.2-3.7); P &lt; 0.05]. Nevertheless, a proportion of actions with the lowest availability scores were often fully or mostly unavailable independent of GNIs. Actions were most often not available due to lack of reimbursement and other financial barriers. Local implementation of ESC guidelines on general cardiology is high in HICs and low in LICs , being inversely correlated with country gross national incomes.</t>
  </si>
  <si>
    <t>Maximizing the effects of physical activity on cardiovascular health: a matter of time?</t>
  </si>
  <si>
    <t>Hernández Vargas, Juliana Alexandra; Trujillo-Cáceres, Silvia Juliana; Uriza-Pinzón, Julieth Pilar; Franco, Oscar H</t>
  </si>
  <si>
    <t>https://pubmed.ncbi.nlm.nih.gov/36477877</t>
  </si>
  <si>
    <t>Sex differences in cardiovascular complications and mortality in hospital patients with covid-19: registry based observational study.</t>
  </si>
  <si>
    <t>Hockham, Carinna; Linschoten, Marijke; Asselbergs, Folkert W; Ghossein, Chahinda; Woodward, Mark; Peters, Sanne A E; ,</t>
  </si>
  <si>
    <t>bmj medicine</t>
  </si>
  <si>
    <t>https://pubmed.ncbi.nlm.nih.gov/37067859</t>
  </si>
  <si>
    <t>To assess whether the risk of cardiovascular complications of covid-19 differ between the sexes and to determine whether any sex differences in risk are reduced in individuals with pre-existing cardiovascular disease. Registry based observational study. 74 hospitals across 13 countries (eight European) participating in CAPACITY-COVID (Cardiac complicAtions in Patients With SARS Corona vIrus 2 regisTrY), from March 2020 to May 2021. All adults (aged ≥18 years), predominantly European, admitted to hospital with highly suspected covid-19 disease or covid-19 disease confirmed by positive laboratory test results (n=11 167 patients). Any cardiovascular complication during admission to hospital. Secondary outcomes were in-hospital mortality and individual cardiovascular complications with ≥20 events for each sex. Logistic regression was used to examine sex differences in the risk of cardiovascular outcomes, overall and grouped by pre-existing cardiovascular disease. Of 11 167 adults (median age 68 years, 40% female participants) included, 3423 (36% of whom were female participants) had pre-existing cardiovascular disease. In both sexes, the most common cardiovascular complications were supraventricular tachycardias (4% of female participants, 6% of male participants), pulmonary embolism (3% and 5%), and heart failure (decompensated or de novo) (2% in both sexes). After adjusting for age, ethnic group, pre-existing cardiovascular disease, and risk factors for cardiovascular disease, female individuals were less likely than male individuals to have a cardiovascular complication (odds ratio 0.72, 95% confidence interval 0.64 to 0.80) or die (0.65, 0.59 to 0.72). Differences between the sexes were not modified by pre-existing cardiovascular disease; for the primary outcome, the female-to-male ratio of the odds ratio in those without, compared with those with, pre-existing cardiovascular disease was 0.84 (0.67 to 1.07). In patients admitted to hospital for covid-19, female participants were less likely than male participants to have a cardiovascular complication. The differences between the sexes could not be attributed to the lower prevalence of pre-existing cardiovascular disease in female individuals. The reasons for this advantage in female individuals requires further research.</t>
  </si>
  <si>
    <t>Epigenome-wide association study of plasma lipids in West Africans: the RODAM study.</t>
  </si>
  <si>
    <t>van der Linden, Eva L; Meeks, Karlijn A C; Chilunga, Felix; Hayfron-Benjamin, Charles; Bahendeka, Silver; Klipstein-Grobusch, Kerstin; Venema, Andrea; van den Born, Bert-Jan; Agyemang, Charles; Henneman, Peter; Adeyemo, Adebowale</t>
  </si>
  <si>
    <t>https://pubmed.ncbi.nlm.nih.gov/36791658</t>
  </si>
  <si>
    <t>DNA-methylation has been associated with plasma lipid concentration in populations of diverse ethnic backgrounds, but epigenome-wide association studies (EWAS) in West-Africans are lacking. The aim of this study was to identify DNA-methylation loci associated with plasma lipids in Ghanaians. We conducted an EWAS using Illumina 450k DNA-methylation array profiles of extracted DNA from 663 Ghanaian participants. Differentially methylated positions (DMPs) were examined for association with plasma total cholesterol (TC), LDL-cholesterol, HDL-cholesterol, and triglycerides concentrations using linear regression models adjusted for age, sex, body mass index, diabetes mellitus, and technical covariates. Findings were replicated in independent cohorts of different ethnicities. We identified one significantly associated DMP with triglycerides (cg19693031 annotated to TXNIP, regression coefficient beta -0.26, false discovery rate adjusted p-value 0.001), which replicated in-silico in South African Batswana, African American, and European populations. From the top five DMPs with the lowest nominal p-values, two additional DMPs for triglycerides (CPT1A, ABCG1), two DMPs for LDL-cholesterol (EPSTI1, cg13781819), and one for TC (TXNIP) replicated. With the exception of EPSTI1, these loci are involved in lipid transport/metabolism or are known GWAS-associated loci. The top 5 DMPs per lipid trait explained 9.5% in the variance of TC, 8.3% in LDL-cholesterol, 6.1% in HDL-cholesterol, and 11.0% in triglycerides. The top DMPs identified in this study are in loci that play a role in lipid metabolism across populations, including West-Africans. Future studies including larger sample size, longitudinal study design and translational research is needed to increase our understanding on the epigenetic regulation of lipid metabolism among West-African populations. European Commission under the Framework Programme (grant number: 278901).</t>
  </si>
  <si>
    <t>Evaluation of SGLT-2 inhibitor treatment in type 2 diabetes patients with very high cardiovascular risk.</t>
  </si>
  <si>
    <t>Hart, Huberta E; Kievits, Olivier; Rutten, Frans H; Hollander, Monika H</t>
  </si>
  <si>
    <t>https://pubmed.ncbi.nlm.nih.gov/36775727</t>
  </si>
  <si>
    <t>To evaluate whether the prescription of SGLT2-inhibitors in primary care patients with type 2 diabetes (T2DM) and a very high risk was according to the newest updated Dutch general practitioners' practice guidelines on T2DM. This observational study with routine care data was conducted in a primary care setting in the Netherlands. The very high-risk population size was identified and analyzed via descriptive statistics. In this high-risk group the percentage of patients treated with SGLT2-inhibitors was assessed. Of the 1492 T2DM patients managed in primary care, 475 (31.8%) were classified as very high-risk based on (a history of) ischemic cardiovascular disease, chronic kidney disease, and/or heart failure. Of the very high-risk patients, 49 (10.3%) received SGLT2-inhibitors conform the guidelines. Of the remaining 426 high-risk patients 334 (70.3%) had no contraindication (eGFR &lt;30 ml/min/1.73 m&lt;sup&gt;2&lt;/sup&gt; or HbA1c &lt;53 mmol/mol) for initiating SGLT2-i prescription according to the guidelines. None of these patients received an GLP-1 agonist as alternative. The vast majority of very high-risk type 2 diabetes patients were not prescribed SGLT2-I. There is substantial room for improvement in the management of these critical T2DM patients because most of them had no contraindications for initiating SGLT2-I prescription.</t>
  </si>
  <si>
    <t>Development and validation of risk calculators for people with "thin" melanomas on their skin to predict the likelihood that their cancer will return: a plain language summary of publication.</t>
  </si>
  <si>
    <t>Sharouni, Mary-Ann El; Lo, Serigne N; Varey, Alexander Hr; Elias, Sjoerd G; Witkamp, Arjen J; Sigurdsson, Vigfús; Suijkerbuijk, Karijn Pm; van Diest, Paul J; van Gils, Carla H; Blokx, Willeke Am; Scolyer, Richard A; Thompson, John F</t>
  </si>
  <si>
    <t>future oncology london england</t>
  </si>
  <si>
    <t>https://pubmed.ncbi.nlm.nih.gov/36762595</t>
  </si>
  <si>
    <t>This is a summary of an article describing the development of risk calculators for use in people who develop a type of melanoma on their skin called "thin" melanoma to predict the likelihood that their cancer will return. The article was originally published in the &lt;i&gt;Journal of Clinical Oncology&lt;/i&gt; in 2021. Calculations were performed to predict the chance of people with thin melanomas surviving without their melanoma recurring. Three graphical prediction calculators (called nomograms) were developed, along with easy-to-use online calculators using the same underlying calculation methods. The model was developed using data for 25,930 Dutch people diagnosed with thin melanomas (called the "development set"). To test its ability to predict melanoma recurrence, it was then compared with data for 2,968 Australian people with melanoma (the "validation set"). The calculators developed in the Dutch patients were found to accurately predict the risk of melanoma recurring for people with melanoma in the Australian "validation" group. The calculators provide estimates of the risk of the melanoma returning for people with thin melanomas. The easy-to-use online calculators are freely available on a smartphone, tablet or computer, and will assist in providing accurate estimates of recurrence risks for individuals with thin melanomas, allowing more intensive follow-up of those whose predicted risk of their melanoma returning is high.</t>
  </si>
  <si>
    <t>Discriminatory Ability and Clinical Utility of the AJCC7 and AJCC8 Staging Systems for Breast Cancer in a Middle-Income Setting.</t>
  </si>
  <si>
    <t>Song, Chin-Vern; van Gils, Carla H; Yip, Cheng-Har; Soerjomataram, Isabelle; Taib, Nur Aishah Mohd; See, Mee-Hoong; Lim, Alexander; Abdul Satar, Nur Fadhlina; Bhoo-Pathy, Nirmala</t>
  </si>
  <si>
    <t>https://pubmed.ncbi.nlm.nih.gov/36832162</t>
  </si>
  <si>
    <t>(1) Background: Differences in access to biomarker testing and cancer treatment in resource-limited settings may affect the clinical utility of the AJCC8 staging system compared to the anatomical AJCC7 system. (2) Methods: A total of 4151 Malaysian women who were newly diagnosed with breast cancer from 2010 to 2020 were followed-up until December 2021. All patients were staged using the AJCC7 and AJCC8 systems. Overall survival (OS) and relative survival (RS) were determined. Concordance-index was used to compare the discriminatory ability between the two systems. (3) Results: Migration from the AJCC7 to AJCC8 staging system resulted in the downstaging of 1494 (36.0%) patients and the upstaging of 289 (7.0%) patients. Approximately 5% of patients could not be staged using the AJCC8 classification. Five-year OS varied between 97% (Stage IA) and 66% (Stage IIIC) for AJCC7, and 96% (Stage IA) and 60% (Stage IIIC) for AJCC8. Concordance-indexes for predicting OS using the AJCC7 and AJCC8 models were 0.720 (0.694-0.747) and 0.745 (0.716-0.774), and for predicting RS they were 0.692 (0.658-0.728) and 0.710 (0.674-0.748), respectively. (4) Conclusions: Given the comparable discriminatory ability between the two staging systems in predicting the stage-specific survival of women with breast cancer in the current study, the continued use of the AJCC7 staging system in resource-limited settings seems pragmatic and justifiable.</t>
  </si>
  <si>
    <t>Assessment of Cardiovascular Risk in Women: Progress so Far and Progress to Come.</t>
  </si>
  <si>
    <t>Tschiderer, Lena; Seekircher, Lisa; Willeit, Peter; Peters, Sanne A E</t>
  </si>
  <si>
    <t>international journal of womens health</t>
  </si>
  <si>
    <t>https://pubmed.ncbi.nlm.nih.gov/36798791</t>
  </si>
  <si>
    <t>Cardiovascular disease is the leading cause of death in women worldwide. Nonetheless, there exist several uncertainties in the prediction, diagnosis, and treatment of cardiovascular disease in women. A cornerstone in the prediction of cardiovascular disease is the implementation of risk scores. A variety of pregnancy- and reproductive-factors have been associated with lower or higher risk of cardiovascular disease. Consequently, the question has been raised, whether these female-specific factors also provide added value to cardiovascular risk prediction. In this review, we provide an overview of the existing literature on sex differences in the association of established cardiovascular risk factors with cardiovascular disease and the relation between female-specific factors and cardiovascular risk. Furthermore, we systematically reviewed the literature for studies that assessed the added value of female-specific factors beyond already established cardiovascular risk factors. Adding female-specific factors to models containing established cardiovascular risk factors has led to little or no significant improvement in the prediction of cardiovascular events. However, analyses primarily relied on data from women aged ≥40 years. Future investigations are needed to quantify whether pregnancy-related factors improve cardiovascular risk prediction in young women in order to support adequate treatment of risk factors and enhance prevention of cardiovascular disease in women.</t>
  </si>
  <si>
    <t>Predictive Value of &lt;i&gt;SLCO1B1&lt;/i&gt; c.521T&gt;C Polymorphism on Observed Changes in the Treatment of 1136 Statin-Users.</t>
  </si>
  <si>
    <t>Jansen, Marleen E; Rigter, Tessel; Fleur, Thom M C; Souverein, Patrick C; Verschuren, W M Monique; Vijverberg, Susanne J; Swen, Jesse J; Rodenburg, Wendy; Cornel, Martina C</t>
  </si>
  <si>
    <t>https://pubmed.ncbi.nlm.nih.gov/36833383</t>
  </si>
  <si>
    <t>Pharmacogenomic testing is a method to prevent adverse drug reactions. Pharmacogenomics could be relevant to optimize statin treatment, by identifying patients at high risk for adverse drug reactions. We aim to investigate the clinical validity and utility of pre-emptive pharmacogenomics screening in primary care, with &lt;i&gt;SLCO1B1&lt;/i&gt; c.521T&gt;C as a risk factor for statin-induced adverse drug reactions. The focus was on changes in therapy as a proxy for adverse drug reactions observed in statin-users in a population-based Dutch cohort. In total, 1136 statin users were retrospectively genotyped for the &lt;i&gt;SLCO1B1&lt;/i&gt; c.521T&gt;C polymorphism (rs4149056) and information on their statin dispensing was evaluated as cross-sectional research. Approximately half of the included participants discontinued or switched their statin treatment within three years. In our analyses, we could not confirm an association between the &lt;i&gt;SLCO1B1&lt;/i&gt; c.521T&gt;C genotype and any change in statin therapy or arriving at a stable dose sooner in primary care. To be able to evaluate the predictive values of &lt;i&gt;SLCO1B1&lt;/i&gt; c.521T&gt;C genotype on adverse drug reactions from statins, prospective data collection of actual adverse drug reactions and reasons to change statin treatment should be facilitated.</t>
  </si>
  <si>
    <t>What are the needs of frail older patients in the emergency department? A qualitative study.</t>
  </si>
  <si>
    <t>Venema, Dorien; Vervoort, Sigrid C J M; de Man-van Ginkel, Janneke M; Bleijenberg, Nienke; Schoonhoven, Lisette; Ham, Wietske H W</t>
  </si>
  <si>
    <t>https://pubmed.ncbi.nlm.nih.gov/36773515</t>
  </si>
  <si>
    <t>There is an increase in the number of frail elderly patients presenting to the emergency department. Diagnosis and treatment for this patient group is challenging due to multimorbidity, a-typical presentation and polypharmacy and requires specialised knowledge and competencies from healthcare professionals. We aim to explore the needs and preferences regarding emergency care in frail older patients based on their experiences with received care during Emergency Department admission. A qualitative study design was used, and semi-structured interviews were conducted after discharge with twelve frail older patients admitted to emergency departments in the Netherlands. Data collection and analysis were performed iteratively, and data were thematically analysed. The analysis enfolded the following themes; feeling disrupted, expecting to be cared for, suppressing their needs and wanting to be seen. These themes indicated a need for situational awareness by healthcare professionals when taking care of the participants and were influenced by the participants' life experiences. Frail older patients feel disrupted when admitted to the emergency department. Because of this, they expect to be cared for, lessen their own needs and want to be seen as human beings. The impact of the admission is influenced by the extent to which healthcare professionals show situational awareness.</t>
  </si>
  <si>
    <t>Optimizing cardiovascular risk assessment and registration in a developing cardiovascular learning health care system: Women benefit most.</t>
  </si>
  <si>
    <t>Groenhof, T Katrien J; Haitjema, Saskia; Lely, A Titia; Grobbee, Diederick E; Asselbergs, Folkert W; Bots, Michiel L; ,</t>
  </si>
  <si>
    <t>https://pubmed.ncbi.nlm.nih.gov/36812613</t>
  </si>
  <si>
    <t>Since 2015 we organized a uniform, structured collection of a fixed set of cardiovascular risk factors according the (inter)national guidelines on cardiovascular risk management. We evaluated the current state of a developing cardiovascular towards learning healthcare system-the Utrecht Cardiovascular Cohort Cardiovascular Risk Management (UCC-CVRM)-and its potential effect on guideline adherence in cardiovascular risk management. We conducted a before-after study comparing data from patients included in UCC-CVRM (2015-2018) and patients treated in our center before UCC-CVRM (2013-2015) who would have been eligible for UCC-CVRM using the Utrecht Patient Oriented Database (UPOD). Proportions of cardiovascular risk factor measurement before and after UCC-CVRM initiation were compared, as were proportions of patients that required (change of) blood pressure, lipid, or blood glucose lowering treatment. We estimated the likelihood to miss patients with hypertension, dyslipidemia, and elevated HbA1c before UCC-CVRM for the whole cohort and stratified for sex. In the present study, patients included up to October 2018 (n = 1904) were matched with 7195 UPOD patients with similar age, sex, department of referral and diagnose description. Completeness of risk factor measurement increased, ranging from 0% -77% before to 82%-94% after UCC-CVRM initiation. Before UCC-CVRM, we found more unmeasured risk factors in women compared to men. This sex-gap resolved in UCC-CVRM. The likelihood to miss hypertension, dyslipidemia, and elevated HbA1c was reduced by 67%, 75% and 90%, respectively, after UCC-CVRM initiation. A finding more pronounced in women compared to men. In conclusion, a systematic registration of the cardiovascular risk profile substantially improves guideline adherent assessment and decreases the risk of missing patients with elevated levels with an indication for treatment. The sex-gap disappeared after UCC-CVRM initiation. Thus, an LHS approach contributes to a more inclusive insight into quality of care and prevention of cardiovascular disease (progression).</t>
  </si>
  <si>
    <t>Perioperative Systemic Therapy Versus Cytoreductive Surgery and HIPEC Alone for Resectable Colorectal Peritoneal Metastases: Patient-Reported Outcomes of a Randomized Phase II Trial.</t>
  </si>
  <si>
    <t>Bakkers, C; Rovers, K P; Rijken, A; Simkens, G A A M; Bonhof, C S; Nienhuijs, S W; Burger, J W A; Creemers, G J M; Brandt-Kerkhof, A R M; Tuynman, J B; Aalbers, A G J; Wiezer, M J; de Reuver, P R; van Grevenstein, W M U; Hemmer, P H J; Punt, C J A; Tanis, P J; Mols, F; de Hingh, I H J T; ,</t>
  </si>
  <si>
    <t>https://pubmed.ncbi.nlm.nih.gov/36754943</t>
  </si>
  <si>
    <t>As part of a randomized phase II trial in patients with isolated resectable colorectal peritoneal metastases (CPMs), the present study compared patient-reported outcomes (PROs) of patients treated with perioperative systemic therapy versus cytoreductive surgery and hyperthermic intraperitoneal chemotherapy (CRS-HIPEC) alone. Also, PROs of patients receiving perioperative systemic therapy were explored. Eligible patients were randomized to perioperative systemic therapy (experimental) or CRS-HIPEC alone (control). PROs were assessed using EORTC QLQ-C30, QLQ-CR29, and EQ-5D-5L questionnaires at baseline, after neoadjuvant treatment (experimental), and at 3 and 6 months postoperatively. Linear mixed modeling was used to compare five predefined PROs (visual analog scale, global health status, physical functioning, fatigue, C30 summary score) between arms and to longitudinally analyze PROs in the experimental arm. Of 79 analyzed patients, 37 (47%) received perioperative systemic therapy. All predefined PROs were comparable between arms at all timepoints and returned to baseline at 3 or 6 months postoperatively. The experimental arm had worsening of fatigue [mean difference (MD) + 14, p = 0.001], loss of appetite (MD + 15, p = 0.003), hair loss (MD + 18, p &lt; 0.001), and loss of taste (MD + 27, p &lt; 0.001) after neoadjuvant treatment. Except for loss of appetite, these PROs returned to baseline at 3 or 6 months postoperatively. In patients with resectable CPM randomized to perioperative systemic therapy or CRS-HIPEC alone, PROs were comparable between arms and returned to baseline postoperatively. Together with the trial's previously reported feasibility and safety data, these findings show acceptable tolerability of perioperative systemic therapy in this setting.</t>
  </si>
  <si>
    <t>Dealing with missing data using the Heckman selection model: methods primer for epidemiologists.</t>
  </si>
  <si>
    <t>Muñoz, Johanna; Hufstedler, Heather; Gustafson, Paul; Bärnighausen, Till; De Jong, Valentijn M T; Debray, Thomas P A</t>
  </si>
  <si>
    <t>international journal of epidemiology</t>
  </si>
  <si>
    <t>https://pubmed.ncbi.nlm.nih.gov/36610459</t>
  </si>
  <si>
    <t>Transparent reporting of multivariable prediction models developed or validated using clustered data (TRIPOD-Cluster): explanation and elaboration.</t>
  </si>
  <si>
    <t>Debray, Thomas P A; Collins, Gary S; Riley, Richard D; Snell, Kym I E; Van Calster, Ben; Reitsma, Johannes B; Moons, Karel G M</t>
  </si>
  <si>
    <t>https://pubmed.ncbi.nlm.nih.gov/36750236</t>
  </si>
  <si>
    <t>The TRIPOD-Cluster (transparent reporting of multivariable prediction models developed or validated using clustered data) statement comprises a 19 item checklist, which aims to improve the reporting of studies developing or validating a prediction model in clustered data, such as individual participant data meta-analyses (clustering by study) and electronic health records (clustering by practice or hospital). This explanation and elaboration document describes the rationale; clarifies the meaning of each item; and discusses why transparent reporting is important, with a view to assessing risk of bias and clinical usefulness of the prediction model. Each checklist item of the TRIPOD-Cluster statement is explained in detail and accompanied by published examples of good reporting. The document also serves as a reference of factors to consider when designing, conducting, and analysing prediction model development or validation studies in clustered data. To aid the editorial process and help peer reviewers and, ultimately, readers and systematic reviewers of prediction model studies, authors are recommended to include a completed checklist in their submission.</t>
  </si>
  <si>
    <t>Transparent reporting of multivariable prediction models developed or validated using clustered data: TRIPOD-Cluster checklist.</t>
  </si>
  <si>
    <t>https://pubmed.ncbi.nlm.nih.gov/36750242</t>
  </si>
  <si>
    <t>The increasing availability of large combined datasets (or big data), such as those from electronic health records and from individual participant data meta-analyses, provides new opportunities and challenges for researchers developing and validating (including updating) prediction models. These datasets typically include individuals from multiple clusters (such as multiple centres, geographical locations, or different studies). Accounting for clustering is important to avoid misleading conclusions and enables researchers to explore heterogeneity in prediction model performance across multiple centres, regions, or countries, to better tailor or match them to these different clusters, and thus to develop prediction models that are more generalisable. However, this requires prediction model researchers to adopt more specific design, analysis, and reporting methods than standard prediction model studies that do not have any inherent substantial clustering. Therefore, prediction model studies based on clustered data need to be reported differently so that readers can appraise the study methods and findings, further increasing the use and implementation of such prediction models developed or validated from clustered datasets.</t>
  </si>
  <si>
    <t>Decentralised, patient-centric, site-less, virtual, and digital clinical trials? From confusion to consensus.</t>
  </si>
  <si>
    <t>Santa-Ana-Tellez, Yared; Lagerwaard, Bart; de Jong, Amos J; Gardarsdottir, Helga; Grobbee, Diederick E; Hawkins, Kimberly; Heath, Megan; Zuidgeest, Mira G P; ,</t>
  </si>
  <si>
    <t>drug discovery today</t>
  </si>
  <si>
    <t>https://pubmed.ncbi.nlm.nih.gov/36754144</t>
  </si>
  <si>
    <t>There is increasing interest in clinical trials that use technologies and other innovative operational approaches to organise trial activities around trial participants instead of investigator sites. A range of terms has been introduced to refer to this operational clinical trial model, including virtual, digital, remote, and decentralised clinical trials (DCTs). However, this lack of standardised terminology can cause confusion over what a particular trial model entails and for what purposes it can be used, hampering discussions by stakeholders on its acceptability and suitability. Here, we review the different terms described in the scientific literature, advocate the consistent use of a unified term, 'decentralised clinical trial,' and provide a detailed definition of this term.</t>
  </si>
  <si>
    <t>Bacillus Calmette-Guérin vaccine for prevention of COVID-19 and other respiratory tract infections in older adults with comorbidities: a randomized controlled trial.</t>
  </si>
  <si>
    <t>Koekenbier, Eva L; Fohse, Konstantin; van de Maat, Josephine S; Oosterheert, Jan Jelrik; van Nieuwkoop, Cees; Hoogerwerf, Jacobien J; Grobusch, Martin P; van den Bosch, Maurice A A J; van de Wijgert, Janneke H H; Netea, Mihai G; Rosendaal, Frits R; Bonten, Marc J M; Werkhoven, C H Henri van; ,</t>
  </si>
  <si>
    <t>https://pubmed.ncbi.nlm.nih.gov/36736662</t>
  </si>
  <si>
    <t>To test whether Bacillus Calmette-Guérin (BCG) vaccination would reduce the incidence of COVID-19 and other respiratory tract infections (RTIs) in older adults with one or more comorbidities. Community-dwelling adults aged 60 years or older with one or more underlying comorbidities and no contraindications to BCG vaccination were randomized 1:1 to BCG or placebo vaccination and followed for 6 months. The primary endpoint was a self-reported, test-confirmed COVID-19 incidence. Secondary endpoints included COVID-19 hospital admissions and clinically relevant RTIs (i.e. RTIs including but not limited to COVID-19 requiring medical intervention). COVID-19 and clinically relevant RTI episodes were adjudicated. Incidences were compared using Fine-Gray regression, accounting for competing events. A total of 6112 participants with a median age of 69 years (interquartile range, 65-74) and median of 2 (interquartile range, 1-3) comorbidities were randomized to BCG (n = 3058) or placebo (n = 3054) vaccination. COVID-19 infections were reported by 129 BCG recipients compared to 115 placebo recipients [hazard ratio (HR), 1.12; 95% CI, 0.87-1.44]. COVID-19-related hospitalization occurred in 18 BCG and 21 placebo recipients (HR, 0.86; 95% CI, 0.46-1.61). During the study period, 13 BCG recipients died compared with 18 placebo recipients (HR, 0.71; 95% CI, 0.35-1.43), of which 11 deaths (35%) were COVID-19-related: six in the placebo group and five in the BCG group. Clinically relevant RTI was reported by 66 BCG and 72 placebo recipients (HR, 0.92; 95% CI, 0.66-1.28). BCG vaccination does not protect older adults with comorbidities against COVID-19, COVID-19 hospitalization, or clinically relevant RTIs.</t>
  </si>
  <si>
    <t>Causes, survival rates, and short-term outcomes of preterm births in a tertiary hospital in a low resource setting: An observational cohort study.</t>
  </si>
  <si>
    <t>Mocking, Martina; Adu-Bonsaffoh, Kwame; Osman, Kwabena A; Tamma, Evelyn; Ruiz, Alexa M; van Asperen, Ruth; Oppong, Samuel A; Kleinhout, Mirjam Y; Gyamfi-Bannerman, Cynthia; Browne, Joyce L</t>
  </si>
  <si>
    <t>https://pubmed.ncbi.nlm.nih.gov/36817873</t>
  </si>
  <si>
    <t>Prematurity is the most important cause of death among children under the age of five years. Globally, most preterm births occur in Sub-Saharan Africa. Subsequent prematurity leads to significant neonatal morbidity, mortality and long-term disabilities. This study aimed to determine the causes, survival rates and outcomes of preterm births up to six weeks of corrected age in Ghana. An observational prospective cohort study of infants born preterm was conducted in a tertiary hospital in Accra, Ghana from August 2019 to March 2020. Inclusion was performed within 48 h after birth of surviving infants; multiple pregnancies and stillbirths were excluded. Causes of preterm birth were categorized as spontaneous (including preterm pre-labour rupture of membranes) or provider-initiated (medically indicated birth based on maternal or fetal indications). Survival rates and adverse outcomes were assessed at six weeks of corrected age. Recruitment and follow-up were suspended due to the COVID-19 outbreak. Descriptive statistics and differences between determinants were calculated using Chi-squared tests or Kruskal-Wallis test. Of the 758 preterm deliveries, 654 (86.3%) infants were born alive. 179 were enrolled in the cohort and were analyzed. Nine (5%) were extremely preterm [gestational age (GA) &lt; 28 weeks], 40 (22%) very preterm (GA 28-31 weeks), and 130 (73%) moderate to late preterm (GA 32-37 weeks) births. Most deliveries (&lt;i&gt;n&lt;/i&gt; = 116, 65%) were provider-initiated, often due to hypertensive disorders in pregnancy (&lt;i&gt;n&lt;/i&gt; = 79, 44.1%). Sixty-two infants were followed-up out of which fifty-two survived, presenting a survival rate of 84% (&lt;i&gt;n&lt;/i&gt; = 52/62) at six weeks corrected age in this group. Most infants (90%, &lt;i&gt;n&lt;/i&gt; = 47/52) experienced complications, predominantly consisted of NICU admission (92%) and interval illnesses (21%) including jaundice and sepsis. The incidence of adverse outcomes associated with preterm birth in a tertiary facility with NICU capacity is high. Larger longitudinal studies are needed for an in-depth understanding of the causes and longer-term outcomes of preterm birth, and to identify effective strategies to improve outcomes in resource constrained settings.</t>
  </si>
  <si>
    <t>Classifying asthma control using salivary and fecal bacterial microbiome in children with moderate-to-severe asthma.</t>
  </si>
  <si>
    <t>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t>
  </si>
  <si>
    <t>pediatric allergy and immunology official publication of the european society of pediatric allergy and immunology</t>
  </si>
  <si>
    <t>https://pubmed.ncbi.nlm.nih.gov/36825736</t>
  </si>
  <si>
    <t>Uncontrolled asthma can lead to severe exacerbations and reduced quality of life. Research has shown that the microbiome may be linked with asthma characteristics; however, its association with asthma control has not been explored. We aimed to investigate whether the gastrointestinal microbiome can be used to discriminate between uncontrolled and controlled asthma in children. 143 and 103 feces samples were obtained from 143 children with moderate-to-severe asthma aged 6 to 17 years from the SysPharmPediA study. Patients were classified as controlled or uncontrolled asthmatics, and their microbiome at species level was compared using global (alpha/beta) diversity, conventional differential abundance analysis (DAA, analysis of compositions of microbiomes with bias correction), and machine learning [Recursive Ensemble Feature Selection (REFS)]. Global diversity and DAA did not find significant differences between controlled and uncontrolled pediatric asthmatics. REFS detected a set of taxa, including Haemophilus and Veillonella, differentiating uncontrolled and controlled asthma with an average classification accuracy of 81% (saliva) and 86% (feces). These taxa showed enrichment in taxa previously associated with inflammatory diseases for both sampling compartments, and with COPD for the saliva samples. Controlled and uncontrolled children with asthma can be differentiated based on their gastrointestinal microbiome using machine learning, specifically REFS. Our results show an association between asthma control and the gastrointestinal microbiome. This suggests that the gastrointestinal microbiome may be a potential biomarker for treatment responsiveness and thereby help to improve asthma control in children.</t>
  </si>
  <si>
    <t>[89Zr]Zr-DFO-girentuximab and [18F]FDG PET/CT to Predict Watchful Waiting Duration in Patients with Metastatic Clear-cell Renal Cell Carcinoma.</t>
  </si>
  <si>
    <t>Verhoeff, Sarah R; Oosting, Sjoukje F; Elias, Sjoerd G; van Es, Suzanne C; Gerritse, Sophie L; Angus, Lindsay; Heskamp, Sandra; Desar, Ingrid M E; Menke-van der Houven van Oordt, C Willemien; van der Veldt, Astrid A M; Arens, Anne I J; Brouwers, Adrienne H; Eisses, Bertha; Mulders, Peter F A; Hoekstra, Otto S; Zwezerijnen, Gerben J C; van der Graaf, Winette T A; Aarntzen, Erik H J G; Oyen, Wim J G; van Herpen, Carla M L</t>
  </si>
  <si>
    <t>https://pubmed.ncbi.nlm.nih.gov/36394882</t>
  </si>
  <si>
    <t>Watchful waiting (WW) can be considered for patients with metastatic clear-cell renal cell carcinoma (mccRCC) with good or intermediate prognosis, especially those with &lt;2 International Metastatic RCC Database Consortium criteria and ≤2 metastatic sites [referred to as watch and wait ("W&amp;W") criteria]. The IMaging PAtients for Cancer drug SelecTion-Renal Cell Carcinoma study objective was to assess the predictive value of [18F]FDG PET/CT and [89Zr]Zr-DFO-girentuximab PET/CT for WW duration in patients with mccRCC. Between February 2015 and March 2018, 48 patients were enrolled, including 40 evaluable patients with good (n = 14) and intermediate (n = 26) prognosis. Baseline contrast-enhanced CT, [18F]FDG and [89Zr]Zr-DFO-girentuximab PET/CT were performed. Primary endpoint was the time to disease progression warranting systemic treatment. Maximum standardized uptake values (SUVmax) were measured using lesions on CT images coregistered to PET/CT. High and low uptake groups were defined on the basis of median geometric mean SUVmax of RECIST-measurable lesions across patients. The median WW time was 16.1 months [95% confidence interval (CI): 9.0-31.7]. The median WW period was shorter in patients with high [18F]FDG tumor uptake than those with low uptake (9.0 vs. 36.2 months; HR, 5.6; 95% CI: 2.4-14.7; P &lt; 0.001). Patients with high [89Zr]Zr-DFO-girentuximab tumor uptake had a median WW period of 9.3 versus 21.3 months with low uptake (HR, 1.7; 95% CI: 0.9-3.3; P = 0.13). Patients with "W&amp;W criteria" had a longer median WW period of 21.3 compared with patients without: 9.3 months (HR, 1.9; 95% CI: 0.9-3.9; Pone-sided = 0.034). Adding [18F]FDG uptake to the "W&amp;W criteria" improved the prediction of WW duration (P &lt; 0.001); whereas [89Zr]Zr-DFO-girentuximab did not (P = 0.53). In patients with good- or intermediate-risk mccRCC, low [18F]FDG uptake is associated with prolonged WW. This study shows the predictive value of the "W&amp;W criteria" for WW duration and shows the potential of [18F]FDG-PET/CT to further improve this.</t>
  </si>
  <si>
    <t>Availability of evidence and comparative effectiveness for surgical versus drug interventions: an overview of systematic reviews.</t>
  </si>
  <si>
    <t>Zavalis, Emmanuel A; Rameau, Anaïs; Saraswathula, Anirudh; Vist, Joachim; Schuit, Ewoud; Ioannidis, John P A</t>
  </si>
  <si>
    <t>https://pubmed.ncbi.nlm.nih.gov/36778340</t>
  </si>
  <si>
    <t>To examine the prevalence of comparisons of surgery to drug regimens, the strength of evidence of such comparisons, and whether surgery or the drug intervention was favored. Systematic review of systematic reviews (umbrella review). Cochrane Database of Systematic Reviews (CDSR). Using the search term "surg*" in CDSR, we retrieved systematic reviews of surgical interventions. Abstracts were subsequently screened to find systematic reviews that aimed to compare surgical to drug interventions; and then, among them, those that included any randomized controlled trials (RCTs) for such comparisons. Trial results data were extracted manually and synthesized into random-effects meta-analyses. Overall, 188 systematic reviews intended to compare surgery versus drugs. Only 41 included data from at least one RCT (total, 165 RCTs with data) and covered a total of 103 different outcomes of various comparisons of surgery versus drugs. A GRADE assessment was performed by the Cochrane reviewers for 87 (83%) outcomes in the reviews, indicating the strength of evidence was high in 4 outcomes (4%), moderate in 22 (21%), low in 27 (26%) and very low in 33 (32%). Based on 95% confidence intervals, the surgical intervention was favored in 38/103 (37%), and the drugs were favored in 13/103 (13%) outcomes. Of the outcomes with high GRADE rating, only one showed conclusive superiority (sphincterotomy was better than medical therapy for anal fissure). Of the 22 outcomes with moderate GRADE rating, 6 (27%) were inconclusive, 14 (64%) were in favor of surgery, and 2 (9%) were in favor of drugs. Though the relative merits of surgical versus drug interventions are important to know for many diseases, high strength randomized evidence is rare. More randomized trials comparing surgery to drug interventions are needed. https://osf.io/p9x3j.</t>
  </si>
  <si>
    <t>Cost-effectiveness of Laparoscopic vs Open Gastrectomy for Gastric Cancer: An Economic Evaluation Alongside a Randomized Clinical Trial.</t>
  </si>
  <si>
    <t>van der Veen, Arjen; van der Meulen, Miriam P; Seesing, Maarten F J; Brenkman, Hylke J F; Haverkamp, Leonie; Luyer, Misha D P; Nieuwenhuijzen, Grard A P; Stoot, Jan H M B; Tegels, Juul J W; Wijnhoven, Bas P L; Lagarde, Sjoerd M; de Steur, Wobbe O; Hartgrink, Henk H; Kouwenhoven, Ewout A; Wassenaar, Eelco B; Draaisma, Werner A; Gisbertz, Suzanne S; van der Peet, Donald L; van Laarhoven, Hanneke W M; Frederix, Geert W J; Ruurda, Jelle P; van Hillegersberg, Richard; ,</t>
  </si>
  <si>
    <t>https://pubmed.ncbi.nlm.nih.gov/36576822</t>
  </si>
  <si>
    <t>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To evaluate the cost-effectiveness of laparoscopic compared with open gastrectomy.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Laparoscopic vs open gastrectomy. Evaluations in this cost-effectiveness analysis included total costs and QALYs.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</si>
  <si>
    <t>A Systematic Review of Chest Imaging Findings in Long COVID Patients.</t>
  </si>
  <si>
    <t>Bazdar, Somayeh; Kwee, Anastasia K A L; Houweling, Laura; de Wit-van Wijck, Yolanda; Mohamed Hoesein, Firdaus A A; Downward, George S; Nossent, Esther J; Maitland-van der Zee, Anke H; ,</t>
  </si>
  <si>
    <t>https://pubmed.ncbi.nlm.nih.gov/36836515</t>
  </si>
  <si>
    <t>Long COVID is the persistence of one or more COVID-19 symptoms after the initial viral infection, and there is evidence supporting its association with lung damage. In this systematic review, we provide an overview of lung imaging and its findings in long COVID patients. A PubMed search was performed on 29 September 2021, for English language studies in which lung imaging was performed in adults suffering from long COVID. Two independent researchers extracted the data. Our search identified 3130 articles, of which 31, representing the imaging findings of 342 long COVID patients, were retained. The most common imaging modality used was computed tomography (CT) (N = 249). A total of 29 different imaging findings were reported, which were broadly categorized into interstitial (fibrotic), pleural, airway, and other parenchymal abnormalities. A direct comparison between cases, in terms of residual lesions, was available for 148 patients, of whom 66 (44.6%) had normal CT findings. Although respiratory symptoms belong to the most common symptoms in long COVID patients, this is not necessarily linked to radiologically detectable lung damage. Therefore, more research is needed on the role of the various types of lung (and other organ) damage which may or may not occur in long COVID.</t>
  </si>
  <si>
    <t>Effectiveness of bivalent mRNA booster vaccination against SARS-CoV-2 Omicron infection, the Netherlands, September to December 2022.</t>
  </si>
  <si>
    <t>Huiberts, Anne J; de Gier, Brechje; Hoeve, Christina E; de Melker, Hester E; Hahné, Susan Jm; den Hartog, Gerco; van de Wijgert, Janneke Hhm; van den Hof, Susan; Knol, Mirjam J</t>
  </si>
  <si>
    <t>https://pubmed.ncbi.nlm.nih.gov/36795500</t>
  </si>
  <si>
    <t>We used data of 32,542 prospective cohort study participants who previously received primary and one or two monovalent booster COVID-19 vaccinations. Between 26 September and 19 December 2022, relative effectiveness of bivalent original/Omicron BA.1 vaccination against self-reported Omicron SARS-CoV-2 infection was 31% in 18-59-year-olds and 14% in 60-85-year-olds. Protection of Omicron infection was higher than of bivalent vaccination without prior infection. Although bivalent booster vaccination increases protection against COVID-19 hospitalisations, we found limited added benefit in preventing SARS-CoV-2 infection.</t>
  </si>
  <si>
    <t>The role of tumour biological factors in technical anatomical resectability assessment of colorectal liver metastases following induction systemic treatment: An analysis of the Dutch CAIRO5 trial.</t>
  </si>
  <si>
    <t>Bolhuis, Karen; Bond, Marinde J G; Van Amerongen, Martin J; Komurcu, Aysun; Chapelle, Thiery; Dejong, Cornelis H C; Engelbrecht, Marc R W; Gerhards, Michael F; Grünhagen, Dirk J; van Gulik, Thomas M; Hermans, John J; De Jong, Koert P; Kazemier, Geert; Klaase, Joost M; Kok, Niels F M; Leclercq, Wouter K G; Liem, Mike S L; van Lienden, Krijn P; Molenaar, I Quintus; Neumann, Ulf P; Patijn, Gijs A; Rijken, Arjen M; Ruers, Theo M; Verhoef, Cornelis; de Wilt, Johannes H W; May, Anne M; Punt, Cornelis J A; Swijnenburg, Rutger-Jan; ,</t>
  </si>
  <si>
    <t>https://pubmed.ncbi.nlm.nih.gov/36801606</t>
  </si>
  <si>
    <t>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RAS/BRAF&lt;sup&gt;V600E&lt;/sup&gt; mutation status) and technical anatomical factors with consensus among panel surgeons, secondary resectability and early recurrence (&lt;6 months) without curative-intent repeat local treatment was analysed by uni- and pre-specified multivariable logistic regression.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</si>
  <si>
    <t>Rationale and design of the iCORONARY trial: improving the cost-effectiveness of coronary artery disease diagnosis.</t>
  </si>
  <si>
    <t>Peper, J; Becker, L M; Bruning, T A; Budde, R P J; van Dockum, W G; Frederix, G W J; Habets, J; Henriques, J P S; Houthuizen, P; Mohamed Hoesein, F A A; Planken, R N; Voskuil, M; Bots, M L; Leiner, T; Swaans, M J</t>
  </si>
  <si>
    <t>https://pubmed.ncbi.nlm.nih.gov/36720801</t>
  </si>
  <si>
    <t>In patients with stable coronary artery disease (CAD), revascularisation decisions are based mainly on the visual grading of the severity of coronary stenosis on invasive coronary angiography (ICA). However, invasive fractional flow reserve (FFR) is the current standard to determine the haemodynamic significance of coronary stenosis. Non-invasive and less-invasive imaging techniques such as computed-tomography-derived FFR (FFR-CT) and angiography-derived FFR (QFR) combine both anatomical and functional information in complex algorithms to calculate FFR. The iCORONARY trial is a prospective, multicentre, non-inferiority randomised controlled trial (RCT) with a blinded endpoint evaluation. It investigates the costs, effects and outcomes of different diagnostic strategies to evaluate the presence of CAD and the need for revascularisation in patients with stable angina pectoris who undergo coronary computed tomography angiography. Those with a Coronary Artery Disease-Reporting and Data System (CAD-RADS) score between 0-2 and 5 will be included in a prospective registry, whereas patients with CAD-RADS 3 or 4A will be enrolled in the RCT. The RCT consists of three randomised groups: (1) FFR-CT-guided strategy, (2) QFR-guided strategy or (3) standard of care including ICA and invasive pressure measurements for all intermediate stenoses. The primary endpoint will be the occurrence of major adverse cardiac events (death, myocardial infarction and repeat revascularisation) at 1 year. gov-identifier: NCT04939207. The iCORONARY trial will assess whether a strategy of FFR-CT or QFR is non-inferior to invasive angiography to guide the need for revascularisation in patients with stable CAD. Non-inferiority to the standard of care implies that these techniques are attractive, less-invasive alternatives to current diagnostic pathways.</t>
  </si>
  <si>
    <t>Patterns in the Use of Heart Failure Telemonitoring: Post Hoc Analysis of the e-Vita Heart Failure Trial.</t>
  </si>
  <si>
    <t>Brons, Maaike; Ten Klooster, Iris; van Gemert-Pijnen, Lisette; Jaarsma, Tiny; Asselbergs, Folkert W; Oerlemans, Marish I F J; Koudstaal, Stefan; Rutten, Frans H</t>
  </si>
  <si>
    <t>jmir cardio</t>
  </si>
  <si>
    <t>https://pubmed.ncbi.nlm.nih.gov/36719715</t>
  </si>
  <si>
    <t>Research on the use of home telemonitoring data and adherence to it can provide new insights into telemonitoring for the daily management of patients with heart failure (HF). We described the use of a telemonitoring platform-including remote patient monitoring of blood pressure, pulse, and weight-and the use of the electronic personal health record. Patient characteristics were assessed in both adherent and nonadherent patients to weight transmissions. We used the data of the e-Vita HF study, a 3-arm parallel randomized trial performed in stable patients with HF managed in outpatient clinics in the Netherlands. In this study, data were analyzed from the participants in the intervention arm (ie, e-Vita HF platform). Adherence to weight transmissions was defined as transmitting weight ≥3 times per week for at least 42 weeks during a year. Data from 150 patients (mean age 67, SD 11 years; n=37, 25% female; n=123, 82% self-assessed New York Heart Association class I-II) were analyzed. One-year adherence to weight transmissions was 74% (n=111). Patients adherent to weight transmissions were less often hospitalized for HF in the 6 months before enrollment in the study compared to those who were nonadherent (n=9, 8% vs n=9, 23%; P=.02). The percentage of patients visiting the personal health record dropped steadily over time (n=140, 93% vs n=59, 39% at one year). With univariable analyses, there was no significant correlation between patient characteristics and adherence to weight transmissions. Adherence to remote patient monitoring was high among stable patients with HF and best for weighing; however, adherence decreased over time. Clinical and demographic variables seem not related to adherence to transmitting weight. ClinicalTrials.gov NCT01755988; https://clinicaltrials.gov/ct2/show/NCT01755988.</t>
  </si>
  <si>
    <t>Circulating lipoprotein (a) and all-cause and cause-specific mortality: a systematic review and dose-response meta-analysis.</t>
  </si>
  <si>
    <t>Amiri, Mojgan; Raeisi-Dehkordi, Hamidreza; Verkaar, Auke J C F; Wu, Yahong; van Westing, Anniek C; Berk, Kirsten A; Bramer, Wichor M; Aune, Dagfinn; Voortman, Trudy</t>
  </si>
  <si>
    <t>https://pubmed.ncbi.nlm.nih.gov/36708412</t>
  </si>
  <si>
    <t>To investigate the association between circulating lipoprotein(a) (Lp(a)) and risk of all-cause and cause-specific mortality in the general population and in patients with chronic diseases, and to elucidate the dose-response relations. We searched literature to find prospective studies reporting adjusted risk estimates on the association of Lp(a) and mortality outcomes. Forty-three publications, reporting on 75 studies (957,253 participants), were included. The hazard ratios (HRs) and 95% confidence intervals (95%CI ) for the top versus bottom tertile of Lp(a) levels and risk of all-cause mortality were 1.09 (95%CI: 1.01-1.18, I&lt;sup&gt;2&lt;/sup&gt;: 75.34%, n = 19) in the general population and 1.18 (95%CI: 1.04-1.34, I&lt;sup&gt;2&lt;/sup&gt;: 52.5%, n = 12) in patients with cardiovascular diseases (CVD). The HRs for CVD mortality were 1.33 (95%CI: 1.11-1.58, I&lt;sup&gt;2&lt;/sup&gt;: 82.8%, n = 31) in the general population, 1.25 (95%CI: 1.10-1.43, I&lt;sup&gt;2&lt;/sup&gt;: 54.3%, n = 17) in patients with CVD and 2.53 (95%CI: 1.13-5.64, I&lt;sup&gt;2&lt;/sup&gt;: 66%, n = 4) in patients with diabetes mellitus. Linear dose-response analyses revealed that each 50 mg/dL increase in Lp(a) levels was associated with 31% and 15% greater risk of CVD death in the general population and in patients with CVD. No non-linear dose-response association was observed between Lp(a) levels and risk of all-cause or CVD mortality in the general population or in patients with CVD (P&lt;sub&gt;nonlinearity&lt;/sub&gt; &gt; 0.05). This study provides further evidence that higher Lp(a) levels are associated with higher risk of all-cause mortality and CVD-death in the general population and in patients with CVD. These findings support the ESC/EAS Guidelines that recommend Lp(a) should be measured at least once in each adult person's lifetime, since our study suggests those with higher Lp(a) might also have higher risk of mortality.</t>
  </si>
  <si>
    <t>Association between classes and subclasses of polyphenol intake and 5-year body weight changes in the EPIC-PANACEA study.</t>
  </si>
  <si>
    <t>Castañeda, Jazmin; Gil-Lespinard, Mercedes; Almanza-Aguilera, Enrique; Llaha, Fjorida; Gómez, Jesús-Humberto; Bondonno, Nicola; Tjønneland, Anne; Overvad, Kim; Katzke, Verena; Schulze, Matthias B; Masala, Giovanna; Agnoli, Claudia; Santucci de Magistris, Maria; Tumino, Rosario; Sacerdote, Carlotta; Skeie, Guri; Brustad, Magritt; Lasheras, Cristina; Molina-Montes, Esther; Chirlaque, María-Dolores; Barricarte, Aurelio; Sonestedt, Emily; da Silva, Marisa; Johansson, Ingegerd; Hultdin, Johan; May, Anne M; Forouhi, Nita G; Heath, Alicia K; Freisling, Heinz; Weiderpass, Elisabete; Scalbert, Augustin; Zamora-Ros, Raul</t>
  </si>
  <si>
    <t>https://pubmed.ncbi.nlm.nih.gov/36693804</t>
  </si>
  <si>
    <t>The aim of this study was to evaluate the associations among the intake of total polyphenols, polyphenol classes, and polyphenol subclasses and body weight change over 5 years. A total of 349,165 men and women aged 25 to 70 years were recruited in the Physical Activity, Nutrition, Alcohol, Cessation of Smoking, Eating Out of Home and Obesity (PANACEA) project of the European Prospective Investigation into Cancer and Nutrition (EPIC) cohort from nine European countries. Body weight was measured at baseline and at follow-up after a median time of 5 years. Polyphenol intake, including four main polyphenol classes and eighteen subclasses, was estimated using validated dietary questionnaires and Phenol-Explorer. Multilevel mixed linear regression models were used to estimate the associations. Participants gained, on average, 2.6 kg (±5.0 kg) over 5 years. Total flavonoids intake was inversely associated with body weight change (-0.195 kg/5 years, 95% CI: -0.262 to -0.128). However, the intake of total polyphenols (0.205 kg/5 years, 95% CI: 0.138 to 0.272) and intake of hydroxycinnamic acids (0.324 kg/5 years, 95% CI: 0.267 to 0.381) were positively associated with body weight gain. In analyses stratified by coffee consumption, hydroxycinnamic acid intake was positively associated with body weight gain in coffee consumers (0.379 kg/5 years, 95% CI: 0.319 to 0.440), but not in coffee nonconsumers (-0.179 kg/5 years, 95% CI: -0.490 to 0.133). Higher intakes of flavonoids and their subclasses are inversely associated with a modest body weight change. Results regarding hydroxycinnamic acids in coffee consumers require further investigation.</t>
  </si>
  <si>
    <t>Addressing persistent evidence gaps in cardiovascular sex differences research - the potential of clinical care data.</t>
  </si>
  <si>
    <t>Bots, Sophie H; Onland-Moret, N Charlotte; den Ruijter, Hester M</t>
  </si>
  <si>
    <t>https://pubmed.ncbi.nlm.nih.gov/36741297</t>
  </si>
  <si>
    <t>Women have historically been underrepresented in cardiovascular clinical trials, resulting in a lack of sex-specific data. This is especially problematic in two situations, namely those where diseases manifest differently in women and men and those where biological differences between the sexes might affect the efficacy and/or safety of medication. There is therefore a pressing need for datasets with proper representation of women to address questions related to these situations. Clinical care data could fit this bill nicely because of their unique broad scope across both patient groups and clinical measures. This perspective piece presents the potential of clinical care data in sex differences research and discusses current challenges clinical care data-based research faces. It also suggests strategies to reduce the effect of these limitations, and explores whether clinical care data alone will be sufficient to close evidence gaps or whether a more comprehensive approach is needed.</t>
  </si>
  <si>
    <t>Reliability and measurement error of anterior maximum voluntary bite force in children with juvenile idiopathic arthritis and healthy children.</t>
  </si>
  <si>
    <t>de Sonnaville, Willemijn F C; Steenks, Michel H; Zuithoff, Nicolaas P A; Wulffraat, Nico M; Rosenberg, Antoine J W P; Speksnijder, Caroline M</t>
  </si>
  <si>
    <t>https://pubmed.ncbi.nlm.nih.gov/36662800</t>
  </si>
  <si>
    <t>In children with juvenile idiopathic arthritis (JIA) the temporomandibular joint (TMJ) can be involved. As a consequence, the oral function can be impaired due to joint and/or muscle involvement of the masticatory system with a negative influence on the maximum bite force. The aim of this cross-sectional study was to establish the reliability of AMVBF in children with JIA and healthy children. Children with JIA and healthy children conducted three attempts of AMVBF. The reliability of AMVBF measurement was determined by the intra-class correlation coefficient (ICC) by age, standard error of measurement (SEM), smallest detectable change (SDC), and limits of agreement (LoA). A total of 298 children with JIA and 168 healthy children were examined. The AMVBF measurements showed an good to excellent reliability in children with JIA based on the ICCs corrected for age (0.782-0.979). In healthy children, the reliability was moderate to excellent (0.546-0.999). The SDC in our study indicated that values above 11.4N might be a clinical relevant change over time in children with JIA. The LoA showed a wide spread of variability in both children with JIA (-72.6-44.4N) and healthy children (-79.9-72.8N). The Bland-Altman plots indicated that the differences between the test and retest increased in value proportionally to the biteforce value.</t>
  </si>
  <si>
    <t>The Impact of Video-Based Educational Materials with Voiceovers on Preferences for Glucose Monitoring Technology in Patients with Diabetes: A Randomised Study.</t>
  </si>
  <si>
    <t>Smith, Ian P; Whichello, Chiara L; de Bekker-Grob, Esther W; Mölken, Maureen P M H Rutten-van; Veldwijk, Jorien; de Wit, G Ardine</t>
  </si>
  <si>
    <t>https://pubmed.ncbi.nlm.nih.gov/36670244</t>
  </si>
  <si>
    <t>Ensuring patients have enough information about healthcare choices prior to completing a preference study is necessary to support the validity of the findings. Patients are commonly informed using text-based information with supporting graphics. Video-based information may be more engaging for the general patient population. This study aimed to assess (1) the impact that educating patients using video-based educational materials with a voiceover has on patient preferences compared to traditional text, and (2) whether this impact is consistent between two countries. A video-based educational tool was developed to inform patients prior to completing a discrete choice experiment assessing preferences for glucose monitors. Patients with diabetes from the Netherlands and Poland were recruited through an online research panel. Respondents were randomised to receive information in either a text or a video with animations and a voiceover. Data were analysed using a mixed-logit model. N = 981 completed surveys were analysed from the Netherlands (n = 459) and Poland (n = 522). Differences were found between the countries, but no interpretable pattern of differences was found between the two types of educational materials. Patients spent less time in the educational material than would be necessary to fully review all of the content. Simply providing educational material in a video with animations and voiceovers does not necessarily lead to better engagement from respondents or different preference outcomes in a sample of diabetes patients when compared to text. Increasing engagement with educational materials should be a topic of future research for those conducting patient preference research as no amount of educational material will be helpful if respondents do not access it.</t>
  </si>
  <si>
    <t>Minimum sample size for developing a multivariable prediction model using multinomial logistic regression.</t>
  </si>
  <si>
    <t>Pate, Alexander; Riley, Richard D; Collins, Gary S; van Smeden, Maarten; Van Calster, Ben; Ensor, Joie; Martin, Glen P</t>
  </si>
  <si>
    <t>https://pubmed.ncbi.nlm.nih.gov/36660777</t>
  </si>
  <si>
    <t>Multinomial logistic regression models allow one to predict the risk of a categorical outcome with &gt; 2 categories. When developing such a model, researchers should ensure the number of participants (&lt;math xmlns="http://www.w3.org/1998/Math/MathML"&gt;&lt;mi&gt;n&lt;/mi&gt;&lt;/math&gt;) is appropriate relative to the number of events (&lt;math xmlns="http://www.w3.org/1998/Math/MathML"&gt;&lt;msub&gt;&lt;mi&gt;E&lt;/mi&gt;&lt;mi&gt;k&lt;/mi&gt;&lt;/msub&gt;&lt;/math&gt;) and the number of predictor parameters (&lt;math xmlns="http://www.w3.org/1998/Math/MathML"&gt;&lt;msub&gt;&lt;mi&gt;p&lt;/mi&gt;&lt;mi&gt;k&lt;/mi&gt;&lt;/msub&gt;&lt;/math&gt;) for each category &lt;i&gt;k&lt;/i&gt;. We propose three criteria to determine the minimum &lt;i&gt;n&lt;/i&gt; required in light of existing criteria developed for binary outcomes. The first criterion aims to minimise the model overfitting. The second aims to minimise the difference between the observed and adjusted &lt;math xmlns="http://www.w3.org/1998/Math/MathML"&gt;&lt;msup&gt;&lt;mi&gt;R&lt;/mi&gt;&lt;mn&gt;2&lt;/mn&gt;&lt;/msup&gt;&lt;/math&gt; Nagelkerke. The third criterion aims to ensure the overall risk is estimated precisely. For criterion (i), we show the sample size must be based on the anticipated Cox-snell &lt;math xmlns="http://www.w3.org/1998/Math/MathML"&gt;&lt;msup&gt;&lt;mi&gt;R&lt;/mi&gt;&lt;mn&gt;2&lt;/mn&gt;&lt;/msup&gt;&lt;/math&gt; of distinct 'one-to-one' logistic regression models corresponding to the sub-models of the multinomial logistic regression, rather than on the overall Cox-snell &lt;math xmlns="http://www.w3.org/1998/Math/MathML"&gt;&lt;msup&gt;&lt;mi&gt;R&lt;/mi&gt;&lt;mn&gt;2&lt;/mn&gt;&lt;/msup&gt;&lt;/math&gt; of the multinomial logistic regression. We tested the performance of the proposed criteria (i) through a simulation study and found that it resulted in the desired level of overfitting. Criterion (ii) and (iii) were natural extensions from previously proposed criteria for binary outcomes and did not require evaluation through simulation. We illustrated how to implement the sample size criteria through a worked example considering the development of a multinomial risk prediction model for tumour type when presented with an ovarian mass. Code is provided for the simulation and worked example. We will embed our proposed criteria within the pmsampsize R library and Stata modules.</t>
  </si>
  <si>
    <t>Initial symptoms and three months follow-up after acute COVID-19 in outpatients: An international prospective cohort study.</t>
  </si>
  <si>
    <t>Hedin, Katarina; van der Velden, Alike W; Hansen, Malene Plejdrup; Moberg, Anna B; Balan, Anca; Bruno, Pascale; Coenen, Samuel; Johansen, Eskild; Kowalczyk, Anna; Kurotschka, Peter Konstantin; van der Linde, Sanne R; Malania, Lile; Rohde, Jörn; Verbakel, Jan; Vornhagen, Heike; Vellinga, Akke</t>
  </si>
  <si>
    <t>https://pubmed.ncbi.nlm.nih.gov/36655704</t>
  </si>
  <si>
    <t>Most studies on long-term follow-up of patients with COVID-19 focused on hospitalised patients. No prospective study with structured follow-up has been performed in non-hospitalised patients with COVID-19. To assess long-COVID and post-COVID (WHO definition: symptomatic at least 12 weeks), describe lingering symptoms, their impact on daily activities, and general practice visits and explore risk factors for symptom duration in outpatients. A prospective study of adult outpatients with confirmed SARS-CoV-2 infection and symptoms consistent with COVID-19 in 11 European countries, recruited during 2020 and 2021 from primary care and the community. Structured follow-up by phone interviews (symptom rating, symptom impact on daily activities and general practice visits) was performed at weeks 2, 4, 8, and 12 by study personnel. Data was analysed descriptively by using correlation matrixes and Cox regression. Of 270 enrolled patients, 52% developed long-COVID and 32% post-COVID-syndrome. When only considering the presence of moderate or (very) severe symptoms at weeks 8 and 12, these percentages were 28% and 18%, respectively. Fatigue was the most often reported symptom during follow-up. The impact of lingering symptoms was most evident in sports and household activities. About half (53%) had at least one general practice contact during follow-up. Obese patients took twice as long to return to usual health (HR: 0.5, 95%CI: 0.3-0.8); no other risk profile could predict lingering symptoms. Long-COVID and post-COVID are also common in outpatients. In 32%, it takes more than 12 weeks to return to usual health.</t>
  </si>
  <si>
    <t>Antibiotic treatment of bacterial vaginosis to prevent preterm delivery: Systematic review and individual participant data meta-analysis.</t>
  </si>
  <si>
    <t>Klebanoff, Mark A; Schuit, Ewoud; Lamont, Ronald F; Larsson, Per-Göran; Odendaal, Hein J; Ugwumadu, Austin; Kiss, Herbert; Petricevic, Ljubomir; Andrews, William W; Hoffman, Matthew K; Shennan, Andrew; Seed, Paul T; Goldenberg, Robert L; Emel, Lynda M; Bhandaru, Vinay; Weiner, Steven; Larsen, Michael D</t>
  </si>
  <si>
    <t>paediatric and perinatal epidemiology</t>
  </si>
  <si>
    <t>https://pubmed.ncbi.nlm.nih.gov/36651636</t>
  </si>
  <si>
    <t>Bacterial vaginosis (BV) increases preterm delivery (PTD) risk, but treatment trials showed mixed results in preventing PTD. Determine, using individual participant data (IPD), whether BV treatment during pregnancy reduced PTD or prolonged time-to-delivery. Cochrane Systematic Review (2013), MEDLINE, EMBASE, journal searches, and searches (January 2013-September 2022) ("bacterial vaginosis AND pregnancy") of (i) clinicaltrials.gov; (ii) Cochrane Central Register of Controlled Trials; (iii) World Health Organization International Clinical Trials Registry Platform Portal; and (iv) Web of Science ("bacterial vaginosis"). Studies randomising asymptomatic pregnant individuals with BV to antibiotics or control, measuring delivery gestation. Extraction was from original data files. Bias risk was assessed using the Cochrane tool. Analysis used "one-step" logistic and Cox random effect models, adjusting gestation at randomisation and PTD history; heterogeneity by I&lt;sup&gt;2&lt;/sup&gt; . Subgroup analysis tested interactions with treatment. In sensitivity analyses, studies not providing IPD were incorporated by "multiple random-donor hot-deck" imputation, using IPD studies as donors. There were 121 references (96 studies) with 23 eligible trials (11,979 participants); 13 studies (6915 participants) provided IPD; 12 (6115) were incorporated. Results from 9 (4887 participants) not providing IPD were imputed. Odds ratios for PTD for metronidazole and clindamycin versus placebo were 1.00 (95% CI 0.84, 1.17), I&lt;sup&gt;2&lt;/sup&gt;  = 62%, and 0.59 (95% CI 0.42, 0.82), I&lt;sup&gt;2&lt;/sup&gt;  = 0 before; and 0.95 (95% CI 0.81, 1.11), I&lt;sup&gt;2&lt;/sup&gt;  = 59%, and 0.90 (95% CI: 0.72, 1.12), I&lt;sup&gt;2&lt;/sup&gt;  = 0, after imputation. Time-to-delivery did not differ from null with either treatment. Including imputed IPD, there was no evidence that either drug was more effective when administered earlier, or among those with a PTD history. Clindamycin, but not metronidazole, was beneficial in studies providing IPD, but after imputing data from missing IPD studies, treatment of BV during pregnancy did not reduce PTD, nor prolong pregnancy, in any subgroup or when started earlier in gestation.</t>
  </si>
  <si>
    <t>Comparison between de novo and metachronous metastatic breast cancer: the presence of a primary tumour is not the only difference-a Dutch population-based study from 2008 to 2018.</t>
  </si>
  <si>
    <t>de Maar, Josanne S; Luyendijk, Marianne; Suelmann, Britt B M; van der Kruijssen, Dave E W; Elias, Sjoerd G; Siesling, Sabine; van der Wall, Elsken</t>
  </si>
  <si>
    <t>https://pubmed.ncbi.nlm.nih.gov/36648694</t>
  </si>
  <si>
    <t>The aim of this study was to compare characteristics and survival of patients with de novo and metachronous metastatic breast cancer. Data of patients with metastatic breast cancer were obtained from the Netherlands Cancer Registry. Patients were categorized as having de novo metastatic breast cancer (n = 8656) if they had distant metastases at initial presentation, or metachronous metastatic disease (n = 2374) in case they developed metastases within 5 or 10 years after initial breast cancer diagnosis. Clinicopathological characteristics and treatments of these two groups were compared, after which multiple imputation was performed to account for missing data. Overall survival was compared for patients treated with systemic therapy in the metastatic setting, using Kaplan Meier curves and multivariable Cox proportional hazards models. The hazard ratio for overall survival of de novo versus metachronous metastases was assessed accounting for time-varying effects. Compared to metachronous patients, patients with de novo metastatic breast cancer were more likely to be ≥ 70 years, to have invasive lobular carcinoma, clinical T3 or T4 tumours, loco-regional lymph node metastases, HER2 positivity, bone only disease and to have received systemic therapy in the metastatic setting. They were less likely to have triple negative tumours and liver or brain metastases. Patients with de novo metastases survived longer (median 34.7 months) than patients with metachronous metastases (median 24.3 months) and the hazard ratio (0.75) varied over time. Differences in clinicopathological characteristics and survival between de novo and metachronous metastatic breast cancer highlight that these are distinct patients groups.</t>
  </si>
  <si>
    <t>Men's motivations, barriers to and aspirations for their families' health in the first 1000 days in sub-Saharan Africa: a secondary qualitative analysis.</t>
  </si>
  <si>
    <t>Watson, Daniella; Chatio, Samuel; Barker, Mary; Boua, Palwende Romuald; Compaoré, Adélaïde; Dalaba, Maxwell; Erzse, Agnes; Godfrey, Keith; Hofman, Karen; Kehoe, Sarah; McGrath, Nuala; Mukoma, Gudani; Nonterah, Engelbert A; Norris, Shane A; Sorgho, Hermann; Ward, Kate A; Hardy-Johnson, Polly; ,</t>
  </si>
  <si>
    <t>bmj nutrition prevention health</t>
  </si>
  <si>
    <t>https://pubmed.ncbi.nlm.nih.gov/37484540</t>
  </si>
  <si>
    <t>The first 1000 days of life are a critical period of growth and development that have lasting implications for health, cognitive, educational and economic outcomes. In sub-Saharan Africa, gender and social norms are such that many men have little engagement with maternal and child health and nutrition during pregnancy and early childhood. This study explores how men perceive their role in three sites in sub-Saharan Africa. Secondary qualitative analysis of 10 focus group discussions with 76 men in Burkina Faso, Ghana and South Africa. Data were thematically analysed to explore men's perceptions of maternal and child health and nutrition. Men considered themselves 'providers' and 'advisors' within their families, particularly of finances, food and medicines. They also indicated that this advice was out of care and concern for their families' health. There were similarities in how the men perceive their role. Differences between men living in rural and urban settings included health priorities, the advice and the manner in which it was provided. Across all settings, men wanted to be more involved with maternal and child health and nutrition. Challenges to doing so included stigma and proscribed social gender roles. Men want a greater engagement in improving maternal and child health and nutrition but felt that their ability to do so was limited by culture-specified gender roles, which are more focused on providing for and advising their families. Involving both men and women in intervention development alongside policymakers, health professionals and researchers is needed to improve maternal and child health and nutrition.</t>
  </si>
  <si>
    <t>Longitudinal decline in semantic &lt;i&gt;versus&lt;/i&gt; letter fluency, but not their ratio, marks incident Alzheimer's disease in Latinx Spanish-speaking older individuals.</t>
  </si>
  <si>
    <t>Fernández, Kayri K; Kociolek, Anton J; Lao, Patrick J; Stern, Yaakov; Manly, Jennifer J; Vonk, Jet M J</t>
  </si>
  <si>
    <t>journal of the international neuropsychological society jins</t>
  </si>
  <si>
    <t>https://pubmed.ncbi.nlm.nih.gov/36637058</t>
  </si>
  <si>
    <t>To compare longitudinal verbal fluency performance among Latinx Spanish speakers who develop Alzheimer's disease to those who do not develop dementia in absolute number of words produced on each task and their ratio to combine both scores. Participants included 833 Latinx Spanish-speaking older adults from a community-based prospective cohort in Manhattan. We performed growth curve modeling to investigate the trajectories of letter and semantic fluency, and their ratio (i.e., 'semantic index'), between individuals who developed Alzheimer's disease and those who did not (i.e., controls). The semantic index quantifies the proportion of words generated for semantic fluency in relation to the total verbal fluency performance. Letter fluency performance did not decline in controls; we observed a linear decline in those who developed Alzheimer's disease. Semantic fluency declined in both groups and showed an increased rate of change over time in the incident Alzheimer's disease group; in comparison, the control group had a linear and slower decline. There were no group differences in the longitudinal trajectory (intercept and slope) of the semantic index. A decline in letter fluency and a more rapid and accelerating decline over time in semantic fluency distinguished people who developed Alzheimer's disease from controls. Using the semantic index was not a superior marker of incident Alzheimer's disease compared to examining the two fluency scores individually. Results suggest the differential decline in verbal fluency tasks, when evaluated appropriately, may be useful for early identification of Alzheimer's disease in Latinx Spanish speakers, a historically understudied population.</t>
  </si>
  <si>
    <t>Risk factor clustering in men and women with CHD in the Southern Cone of Latin America.</t>
  </si>
  <si>
    <t>Marzà-Florensa, Anna; Gutierrez, Laura; Gulayin, Pablo; Vaartjes, Ilonca; Grobbee, Diederick E; Klipstein-Grobusch, Kerstin; Irazola, Vilma</t>
  </si>
  <si>
    <t>international journal of cardiology cardiovascular risk and prevention</t>
  </si>
  <si>
    <t>https://pubmed.ncbi.nlm.nih.gov/36874043</t>
  </si>
  <si>
    <t>Presence of multiple risk factors (RF) increases the risk for cardiovascular morbidity and mortality, and this is especially important in patients with coronary heart disease (CHD). The current study investigates sex differences in the presence of multiple cardiovascular RF in subjects with established CHD in the southern Cone of Latin America. We analyzed cross-sectional data from the 634 participants aged 35-74 with CHD from the community-based CESCAS Study. We calculated the prevalence for counts of cardiometabolic (hypertension, dyslipidemia, obesity, diabetes) and lifestyle (current smoking, unhealthy diet, low physical activity, excessive alcohol consumption) RF. Differences in RF number between men and women were tested with age-adjusted Poisson regression. We identified the most common RF combinations among participants with ≥4 RF. We performed a subgroup analysis by educational level. The prevalence of cardiometabolic RF ranged from 76.3% (hypertension) to 26.8% (diabetes), and the prevalence of lifestyle RF from 81.9% (unhealthy diet) to 4.3% (excessive alcohol consumption). Obesity, central obesity, diabetes and low physical activity were more common in women, while excessive alcohol consumption and unhealthy diet were more common in men. Close to 85% of women and 81.5% of men presented with ≥4 RF. Women presented with a higher number of overall (relative risk (RR) 1.05, 95% CI 1.02-1.08) and cardiometabolic RF (1.17, 1.09-1.25). These sex differences were found in participants with primary education (RR women overall RF 1.08, 1.00-1.15, cardiometabolic RF 1.23, 1.09-1.39), but were diluted in those with higher educational attainment. The most common RF combination was hypertension/dyslipidemia/obesity/unhealthy diet. Overall, women showed a higher burden of multiple cardiovascular RF. Sex differences persisted in participants with low educational attainment, and women with low educational level had the highest RF burden.</t>
  </si>
  <si>
    <t>Concepts and definitions of healthy ageing: a systematic review and synthesis of theoretical models.</t>
  </si>
  <si>
    <t>Menassa, Marilyne; Stronks, Karien; Khatmi, Farnaz; Roa Díaz, Zayne Milena; Espinola, Octavio Pano; Gamba, Magda; Itodo, Oche Adam; Buttia, Chepkoech; Wehrli, Faina; Minder, Beatrice; Velarde, Minerva Rivas; Franco, Oscar H</t>
  </si>
  <si>
    <t>https://pubmed.ncbi.nlm.nih.gov/36684393</t>
  </si>
  <si>
    <t>Healthy ageing (HA) has been defined using multiple approaches. We aim to produce a comprehensive overview and analysis of the theoretical models underpinning this concept and its associated normative terms and definitions. We conducted a systematic review of peer-reviewed HA models in Embase.com, Medline (Ovid), Cochrane CENTRAL, CINAHL, PsycINFO, and Web of Science until August 2022. Original theoretical papers, concept analyses, and reviews that proposed new models were included. Operational models/definitions, development psychology theories and mechanisms of ageing were excluded. We followed an iterative approach to extract the models' characteristics and thematically analyze them based on the approach of Walker and Avant. The protocol was registered in PROSPERO (CRD42021238796). Out of 10,741 records, we included 59 papers comprising 65 models/definitions, published in English (1960-2022) from 16 countries in Europe, Asia, and America. Human ageing was described using 12 normative terms, mainly (models (%)): successful (34 (52%)), healthy (eight (12%)), well (five (8%)), and active (four (6%)). We identified intrinsic/extrinsic factors interacting throughout the life course, adaptive processes as attributes, and outcomes describing ageing patterns across objective and subjective dimensions (number of models/definitions): cognitive (62), psychological (53), physical (49), social (49), environmental (19), spiritual (16), economic (13), cultural (eight), political (six), and demographic (four) dimensions. Three types of models emerged: health-state outcomes (three), adaptations across the life course (31), or a combination of both (31). Two additional sub-classifications emphasized person-environment congruence and health promotion. HA conceptualizations highlight its multidimensionality and complexity that renders a monistic model/definition challenging. It has become evident that life long person-environment interactions, adaptations, environments, and health promotion/empowerment are essential for HA. Our model classification provides a basis for harmonizing terms and dimensions that can guide research and comparisons of empirical findings, and inform social and health policies enabling HA for various populations and contexts. MM, ZMRD, and OI are supported by the European Union's Horizon 2020 Marie Skłodowska-Curie grant No 801076, and MM is also supported by the Swiss National Foundation grant No 189235.</t>
  </si>
  <si>
    <t>Detection of SARS-CoV-2 in Air and on Surfaces in Rooms of Infected Nursing Home Residents.</t>
  </si>
  <si>
    <t>Linde, Kimberly J; Wouters, Inge M; Kluytmans, Jan A J W; Kluytmans-van den Bergh, Marjolein F Q; Pas, Suzan D; GeurtsvanKessel, Corine H; Koopmans, Marion P G; Meier, Melanie; Meijer, Patrick; Raben, Ceder R; Spithoven, Jack; Tersteeg-Zijderveld, Monique H G; Heederik, Dick J J; Dohmen, Wietske; ,</t>
  </si>
  <si>
    <t>annals of work exposures and health</t>
  </si>
  <si>
    <t>https://pubmed.ncbi.nlm.nih.gov/36068657</t>
  </si>
  <si>
    <t>There is an ongoing debate on airborne transmission of Severe Acute Respiratory Syndrome Coronavirus 2 (SARS-CoV-2) as a risk factor for infection. In this study, the level of SARS-CoV-2 in air and on surfaces of SARS-CoV-2 infected nursing home residents was assessed to gain insight in potential transmission routes. During outbreaks, air samples were collected using three different active and one passive air sampling technique in rooms of infected patients. Oropharyngeal swabs (OPS) of the residents and dry surface swabs were collected. Additionally, longitudinal passive air samples were collected during a period of 4 months in common areas of the wards. Presence of SARS-CoV-2 RNA was determined using RT-qPCR, targeting the RdRp- and E-genes. OPS, samples of two active air samplers and surface swabs with Ct-value ≤35 were tested for the presence of infectious virus by cell culture. In total, 360 air and 319 surface samples from patient rooms and common areas were collected. In rooms of 10 residents with detected SARS-CoV-2 RNA in OPS, SARS-CoV-2 RNA was detected in 93 of 184 collected environmental samples (50.5%) (lowest Ct 29.5), substantially more than in the rooms of residents with negative OPS on the day of environmental sampling (n = 2) (3.6%). SARS-CoV-2 RNA was most frequently present in the larger particle size fractions [&gt;4 μm 60% (6/10); 1-4 μm 50% (5/10); &lt;1 μm 20% (2/10)] (Fischer exact test P = 0.076). The highest proportion of RNA-positive air samples on room level was found with a filtration-based sampler 80% (8/10) and the cyclone-based sampler 70% (7/10), and impingement-based sampler 50% (5/10). SARS-CoV-2 RNA was detected in 10 out of 12 (83%) passive air samples in patient rooms. Both high-touch and low-touch surfaces contained SARS-CoV-2 genome in rooms of residents with positive OPS [high 38% (21/55); low 50% (22/44)]. In one active air sample, infectious virus in vitro was detected. In conclusion, SARS-CoV-2 is frequently detected in air and on surfaces in the immediate surroundings of room-isolated COVID-19 patients, providing evidence of environmental contamination. The environmental contamination of SARS-CoV-2 and infectious aerosols confirm the potential for transmission via air up to several meters.</t>
  </si>
  <si>
    <t>Mediating Role of Lifestyle Behaviors in the Association between Education and Cancer: Results from the European Prospective Investigation into Cancer and Nutrition.</t>
  </si>
  <si>
    <t>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t>
  </si>
  <si>
    <t>cancer epidemiology biomarkers prevention a publication of the american association for cancer research cosponsored by the american society of preventive oncology</t>
  </si>
  <si>
    <t>https://pubmed.ncbi.nlm.nih.gov/36306379</t>
  </si>
  <si>
    <t>Many studies have shown that socioeconomic position (SEP) is associated with the incidence of malignant tumors at different sites. This study aims to estimate the association between educational level (as proxy for SEP) and cancer incidence and to understand whether the observed associations might be partially explained by lifestyle behaviors. The analyses were performed on data from the European Prospective Investigation into Cancer and Nutrition (EPIC) study, globally and by sex. We used Cox proportional hazards models together with mediation analysis to disentangle the total effect (TE) of educational level [measured through the Relative Index of Inequality (RII)] on cancer incidence into pure direct (PDE) and total indirect (TIE) effect, unexplained and explained by mediators, respectively. PDE and TIE were then combined to compute the proportions mediated (PM). After an average of 14 years of follow-up, 52,422 malignant tumors were ascertained. Low educated participants showed higher risk of developing stomach, lung, kidney (in women), and bladder (in men) cancers, and, conversely, lower risk of melanoma and breast cancer (in post-menopausal women), when compared with more educated participants. Mediation analyses showed that portions of the TE of RII on cancer could be explained by site-specific related lifestyle behaviors for stomach, lung, and breast (in women). Cancer incidence in Europe is determined at least in part by a socioeconomically stratified distribution of risk factors. These observational findings support policies to reduce cancer occurrence by altering mediators, such as lifestyle behaviors, particularly focusing on underprivileged strata of the population.</t>
  </si>
  <si>
    <t>Stepwise treatment of uncontrolled HyperTensioN (Stepwise-HTN): Study design of a cluster randomised controlled trial in primary care.</t>
  </si>
  <si>
    <t>Kiliç, Birsen; Biermans, Marion C J; Rutten, Frans H; Deinum, Jaap; Spiering, Wilko; van der Wel, Mark C; de Grauw, Wim J C; Bots, Michiel L; Hollander, Monika</t>
  </si>
  <si>
    <t>contemporary clinical trials</t>
  </si>
  <si>
    <t>https://pubmed.ncbi.nlm.nih.gov/36632924</t>
  </si>
  <si>
    <t>Uncontrolled hypertension is a major health problem, and a key risk factor for cardiovascular disease. Most patients are detected and managed in primary care, but approximately 50% remains uncontrolled. Our aim is to assess whether a guided stepwise work-up management strategy for patients with uncontrolled hypertension in primary care would result in better blood pressure control in these patients compared to usual care. A cluster randomised controlled trial aiming at randomizing 40 general practices to either "a protocolised stepwise work-up" or to "usual care". Uncontrolled hypertension is defined as an office blood pressure (BP) &gt;140/90 mmHg while being prescribed three or more antihypertensive drugs simultaneously from different therapeutic classes for three or more months in an adequate dose. In the intervention arm, patients with uncontrolled hypertension will receive the stepwise approach, consisting of (i) excluding a white coat effect, (ii) re-evaluation of lifestyle, (iii) re-evaluation of drug adherence, (iv) optimalisation of antihypertensive treatment and (v) referral if the office BP is still &gt;140/90 mmHg. The control group receives usual care in a regular program for cardiovascular risk management. The primary outcome is the absolute difference in the mean 24-h systolic BP between intervention and control arm after 8 months. Secondary outcomes include differences in the percentage of patients achieving a controlled BP, and time to reach a controlled BP. If stepwise treatment of uncontrolled hypertension is proven effective, the strategy could be implemented by blending the approach to the cardiovascular risk management already applied in general practice. Trial registration NTR7304, https://www.trialregister.nl/trial/7099.</t>
  </si>
  <si>
    <t>Breast Cancer Incidence in Relation to Long-Term Low-Level Exposure to Air Pollution in the ELAPSE Pooled Cohort.</t>
  </si>
  <si>
    <t>Hvidtfeldt, Ulla Arthur; Chen, Jie; Rodopoulou, Sophia; Strak, Maciej; de Hoogh, Kees; Andersen, Zorana J; Bellander, Tom; Brandt, Jørgen; Fecht, Daniela; Forastiere, Francesco; Gulliver, John; Hertel, Ole; Hoffmann, Barbara H; Katsouyanni, Klea; Ketzel, Matthias; Brynedal, Boel; Leander, Karin; Ljungman, Petter L S; Magnusson, Patrik K E; Nagel, Gabriele; Pershagen, Göran; Rizzuto, Debora; Boutron-Ruault, Marie-Christine; Samoli, Evangelia; So, Rina; Stafoggia, Massimo; Tjønneland, Anne; Vermeulen, Roel; Verschuren, W M Monique; Weinmayr, Gudrun; Wolf, Kathrin; Zhang, Jiawei; Zitt, Emanuel; Brunekreef, Bert; Hoek, Gerard; Raaschou-Nielsen, Ole</t>
  </si>
  <si>
    <t>https://pubmed.ncbi.nlm.nih.gov/36215200</t>
  </si>
  <si>
    <t>Established risk factors for breast cancer include genetic disposition, reproductive factors, hormone therapy, and lifestyle-related factors such as alcohol consumption, physical inactivity, smoking, and obesity. More recently a role of environmental exposures, including air pollution, has also been suggested. The aim of this study, was to investigate the relationship between long-term air pollution exposure and breast cancer incidence. We conducted a pooled analysis among six European cohorts (n = 199,719) on the association between long-term residential levels of ambient nitrogen dioxide (NO2), fine particles (PM2.5), black carbon (BC), and ozone in the warm season (O3) and breast cancer incidence in women. The selected cohorts represented the lower range of air pollutant concentrations in Europe. We applied Cox proportional hazards models adjusting for potential confounders at the individual and area-level. During 3,592,885 person-years of follow-up, we observed a total of 9,659 incident breast cancer cases. The results of the fully adjusted linear analyses showed a HR (95% confidence interval) of 1.03 (1.00-1.06) per 10 μg/m³ NO2, 1.06 (1.01-1.11) per 5 μg/m³ PM2.5, 1.03 (0.99-1.06) per 0.5 10-5 m-1 BC, and 0.98 (0.94-1.01) per 10 μg/m³ O3. The effect estimates were most pronounced in the group of middle-aged women (50-54 years) and among never smokers. The results were in support of an association between especially PM2.5 and breast cancer. The findings of this study suggest a role of exposure to NO2, PM2.5, and BC in development of breast cancer.</t>
  </si>
  <si>
    <t>Feasibility of a standardized family participation programme in the intensive care unit: A pilot survey study.</t>
  </si>
  <si>
    <t>Dijkstra, Boukje; Uit Het Broek, Lucia; van der Hoeven, Johannes; Schoonhoven, Lisette; Bosch, Frank; Van der Steen, Marijke; Rood, Paul; Vloet, Lilian</t>
  </si>
  <si>
    <t>https://pubmed.ncbi.nlm.nih.gov/36617388</t>
  </si>
  <si>
    <t>To assess the feasibility and applicability of a standardized programme to facilitate family participation in essential care activities in the intensive care unit. Pilot study with a cross-sectional survey design. A standardized programme to facilitate family participation in essential nursing care activities was implemented in intensive care units of three hospitals in the Netherlands from November 2018 until March 2019. The feasibility and applicability of the programme were assessed with surveys of the patients, relatives and healthcare providers. Three intensive care units successfully implemented the standardized programme. Three patients, ten relatives and 37 healthcare providers responded to the surveys. Patients appreciated family participation and recognized that their relatives liked to participate. Relatives appreciated being able to do something for the patient (80%) and to participate in essential care activities (60%). The majority of relatives (60%) felt they had sufficient knowledge and skills to participate and did not feel obliged nor uncomfortable. Healthcare providers felt they were trained adequately and motivated to apply family participation; application was perceived as easy, clear and relatively effortless according to the majority. According to 68% of the healthcare providers, most relatives were perceived to be capable of learning to participate in essential care activities. Some healthcare providers felt uncertain about the patient's wishes regarding family participation, with some indicating the behaviours of relatives and patients discouraged them from offering family participation. Use of a standardized programme to facilitate family participation in essential care activities in the intensive care unit seems feasible and applicable as determined by relatives and healthcare providers.</t>
  </si>
  <si>
    <t>Implementation of an evidence-based management algorithm for patients with chronic pancreatitis (COMBO trial): study protocol for a stepped-wedge cluster-randomized controlled trial.</t>
  </si>
  <si>
    <t>de Rijk, Florence E M; van Veldhuisen, Charlotte L; Besselink, Marc G; van Hooft, Jeanin E; van Santvoort, Hjalmar C; van Geenen, Erwin J M; van Werkhoven, Cornelis H; de Jonge, Pieter Jan F; Bruno, Marco J; Verdonk, Robert C; ,</t>
  </si>
  <si>
    <t>https://pubmed.ncbi.nlm.nih.gov/36611202</t>
  </si>
  <si>
    <t>Chronic pancreatitis (CP) is an inflammatory disease that may be complicated by abdominal pain, pancreatic dysfunction, nutritional deficiencies, and diminished bone density. Importantly, it is also associated with a substantially impaired quality of life and reduced life expectancy. This may partly be explained by suboptimal treatment, in particular the long-term management of this chronic condition, despite several national and international guidelines. Standardization of care through a structured implementation of guideline recommendations may improve the level of care and lower the complication rate of these patients. Therefore, the aim of the present study is to evaluate to what extent patient education and standardization of care, through the implementation of an evidence-based integrated management algorithm, improve quality of life and reduce pain severity in patients with CP. The COMBO trial is a nationwide stepped-wedge cluster-randomized controlled trial. In a stepwise manner, 26 centers, clustered in 6 health regions, cross-over from current practice to care according to an evidence-based integrated management algorithm. During the current practice phase, study participants are recruited and followed longitudinally through questionnaires. Individual patients contribute data to both study periods. Co-primary study endpoints consist of quality of life (assessed by the PANQOLI score) and level of pain (assessed by the Izbicki questionnaire). Secondary outcomes include process measure outcomes, clinical outcomes (e.g., pancreatic function, nutritional status, bone health, interventions, medication use), utilization of healthcare resources, (in) direct costs, and the level of social participation. Standard follow-up is 35 months from the start of the trial. This is the first stepped-wedge cluster-randomized controlled trial to investigate whether an evidence-based integrated therapeutic approach improves quality of life and pain severity in patients with CP as compared with current practice. ISRCTN, ISRCTN13042622. Registered on 5 September 2020.</t>
  </si>
  <si>
    <t>Maternal hypertensive mother's knowledge, attitudes and misconceptions on hypertension in pregnancy: A multi-center qualitative study in Ghana.</t>
  </si>
  <si>
    <t>Tamma, Evelyn; Adu-Bonsaffoh, Kwame; Nwameme, Adanna; Dako-Gyeke, Phyllis; Srofenyoh, Emmanuel; Browne, Joyce</t>
  </si>
  <si>
    <t>https://pubmed.ncbi.nlm.nih.gov/36962923</t>
  </si>
  <si>
    <t>Hypertension in pregnancy is one of the commonest complications of pregnancy and a leading cause of maternal and perinatal morbidity and mortality globally, with the highest burden in low and middle income countries. Pregnant women's knowledge about hypertension in pregnancy facilitates early health seeking behavior, which can result in early diagnosis and treatment. This study therefore explored the knowledge, misconceptions and attitudes of Ghanaian women who were affected by hypertension in pregnancy. A qualitative study was carried out across five referral hospitals in the Greater Accra Region of Ghana. In-depth interviews (IDIs) and focus group discussions (FGDs) were used to explore the women's knowledge on hypertensive disorders of pregnancy (HDP), and particularly preeclampsia. Women of at least 16 years, admitted with a HDP to the maternity ward with gestational ages from 26-34 weeks were eligible for participation. The inductive approach was used to develop a code book and the dataset was coded using Nvivo version 12 software. A total of 72 women participated in the study. Fifty IDIs and 3 FGDs involving 22 women were conducted. Although most of the women had regular antenatal visits, several had never heard of "pre-eclampsia". More common terminology used by women (i.e. "Bp") referred to any of the hypertensive disorders (e.g. pre-eclampsia, gestational hypertension and chronic hypertension). Women also perceived that pre-eclampsia may be inherited or caused by "thinking too much". The study revealed that the knowledge about hypertension in pregnancy is limited among the affected women despite regular antenatal attendance with some form of health education. There should be more education programs on hypertensive disorders of pregnancy including pre-eclampsia with revised strategies.</t>
  </si>
  <si>
    <t>Patient-Reported Outcome Measures in Key Sub-Saharan African Languages to Promote Diversity: A Scoping Review.</t>
  </si>
  <si>
    <t>van Zyl, Chanel; Mokkink, Lidwine B; Derman, Wayne; Hanekom, Susan; Heine, Martin</t>
  </si>
  <si>
    <t>value in health regional issues</t>
  </si>
  <si>
    <t>https://pubmed.ncbi.nlm.nih.gov/36621214</t>
  </si>
  <si>
    <t>Sub-Saharan Africa is a world region rich and diverse in cultures and languages; yet, it is also challenged with regard to resources that may facilitate the cultural adaptation or development of patient-reported outcome measures (PROMs). Systematic exclusion of patients' "voices," because of gaps in the availability of PROMs, may perpetuate health inequity. Hence, the objective is to describe the availability of PROMs in the non-English, sub-Saharan African languages. A scoping review was conducted to identify PROMs that had been translated, validated, or developed for use in 32 selected, non-English, sub-Saharan African languages pertaining to health outcomes. Four databases were searched (May 7, 2021), and additional articles were identified through reference screening and via corresponding authors. Data were extracted in terms of country, language, population, construct, and PROM characteristics (eg, number of items). A total of 220 unique articles were included from 7451 records, leading to the identification of 126 unique PROMs. Most studies were conducted in either Ethiopia, Nigeria, or South Africa. As such, prevalent languages included Amharic, Yoruba, and non-English languages common to South Africa (eg, Setswana, Xhosa, and Zulu). No PROMs were identified in any of the languages for 27 sub-Saharan African countries or 10 of the 32 included languages. There are significant gaps in the availability of PROMs across the non-English African languages included. Nevertheless, the PROMs that were identified largely align with core outcome sets relevant to the prevalent disease burden in this world region. Consensus-based priority setting may inform the most pertinent gaps to be addressed.</t>
  </si>
  <si>
    <t>Setting a realistic AWaRe target for primary care antibiotic use in LMICs.</t>
  </si>
  <si>
    <t>Ingelbeen, Brecht; Valia, Daniel; Phanzu, Delphin Mavinga; van der Sande, Marianne A B; Tinto, Halidou</t>
  </si>
  <si>
    <t>https://pubmed.ncbi.nlm.nih.gov/36623524</t>
  </si>
  <si>
    <t>Association between arterial stiffness/remodeling and new-onset type 2 diabetes mellitus in general population.</t>
  </si>
  <si>
    <t>Ahmadizar, Fariba; Wang, Kan; Roos, Maurits; Bos, Maxime; Mattace-Raso, Francesco; Kavousi, Maryam</t>
  </si>
  <si>
    <t>https://pubmed.ncbi.nlm.nih.gov/36610547</t>
  </si>
  <si>
    <t>We studied if large artery stiffness is involved in type 2 diabetes pathogenesis. We also investigated the effect of genetic risk for type 2 diabetes in these associations and the causality. In the prospective population-based Rotterdam Study (n = 3,055; mean age, 67.2 years), markers of aortic and carotid stiffnesses and measures of arterial remodeling were assessed. Cox proportional hazard regression analysis estimated the associations between arterial stiffness measures with incident type 2 diabetes. We used 403 single nucleotide polymorphisms to calculate the genetic risk score (GRS) for type 2 diabetes. We adopted Mendelian randomization (MR) analysis to evaluate the causal associations. Over a median follow-up of 14.0 years, higher carotid-femoral pulse wave velocity (hazard ratio,1.18; 95 %CI: 1.04-1.35), carotid distensibility coefficient (1.17; 1.04-1.32), and carotid intima-media thickness (1.15; 1.01-1.32) were independently associated with incident diabetes. The associations were stronger among individuals with a higher GRS for type 2 diabetes. MR analysis did not support the causality of the observed associations. Elevated arterial stiffness is independently associated with incident type 2 diabetes. For most arterial stiffness markers, the associations with incident type 2 diabetes were more robust in individuals with a higher GRS for diabetes.</t>
  </si>
  <si>
    <t>Graphical tools for visualizing the results of network meta-analysis of multicomponent interventions.</t>
  </si>
  <si>
    <t>Seitidis, Georgios; Tsokani, Sofia; Christogiannis, Christos; Kontouli, Katerina-Maria; Fyraridis, Alexandros; Nikolakopoulos, Stavros; Veroniki, Areti Angeliki; Mavridis, Dimitris</t>
  </si>
  <si>
    <t>research synthesis methods</t>
  </si>
  <si>
    <t>https://pubmed.ncbi.nlm.nih.gov/36541111</t>
  </si>
  <si>
    <t>Network meta-analysis (NMA) is an established method for assessing the comparative efficacy and safety of competing interventions. It is often the case that we deal with interventions that consist of multiple, possibly interacting, components. Examples of interventions' components include characteristics of the intervention, mode (face-to-face, remotely etc.), location (hospital, home etc.), provider (physician, nurse etc.), time of communication (synchronous, asynchronous etc.) and other context related components. Networks of multicomponent interventions are typically sparse and classical NMA inference is not straightforward and prone to confounding. Ideally, we would like to disentangle the effect of each component to find out what works (or does not work). To this aim, we propose novel ways of visualizing the NMA results, describe their use, and illustrate their application in real-life examples. We developed an R package viscomp to produce all the suggested figures.</t>
  </si>
  <si>
    <t>Associations of relative fat mass, a new index of adiposity, with type-2 diabetes in the general population.</t>
  </si>
  <si>
    <t>Suthahar, Navin; Wang, Kan; Zwartkruis, Victor W; Bakker, Stephan J L; Inzucchi, Silvio E; Meems, Laura M G; Eijgenraam, Tim R; Ahmadizar, Fariba; Sijbrands, Eric G; Gansevoort, Ron T; Kieneker, Lyanne M; van Veldhuisen, Dirk J; Kavousi, Maryam; de Boer, Rudolf A</t>
  </si>
  <si>
    <t>https://pubmed.ncbi.nlm.nih.gov/36604231</t>
  </si>
  <si>
    <t>Relative fat mass (RFM) is a novel sex-specific anthropometric equation (based on height and waist measurements) to estimate whole-body fat percentage. To examine associations of RFM with incident type-2 diabetes (T2D), and to benchmark its performance against body-mass index (BMI), waist circumference (WC) and waist-to-hip ratio (WHR). This prospective longitudinal study included data from three Dutch community-based cohorts free of baseline diabetes. First, we examined data from the PREVEND cohort (median age and follow-up duration: 48.0 and 12.5 years, respectively) using Cox regression models. Validation was performed in the Lifelines (median age and follow-up duration: 45.5 and 3.8 years, respectively) and Rotterdam (median age and follow-up duration: 68.0 and 13.9 years, respectively) cohorts. Among 7961 PREVEND participants, 522 (6.6%) developed T2D. In a multivariable model, all adiposity indices were significantly associated with incident T2D (P&lt;sub&gt;all&lt;/sub&gt;&lt;0.001). While 1 SD increase in BMI, WC and WHR were associated with 68%, 77% and 61% increased risk of developing T2D [Hazard ratio (HR)&lt;sub&gt;BMI&lt;/sub&gt;: 1.68 (95%CI: 1.57-1.80), HR&lt;sub&gt;WC&lt;/sub&gt;: 1.77 (95% CI: 1.63-1.92) and HR&lt;sub&gt;WHR&lt;/sub&gt;: 1.61 (95%CI: 1.48-1.75)], an equivalent increase in RFM was associated with 119% increased risk [HR: 2.19 (95%CI: 1.96-2.44)]. RFM was associated with incident T2D across all age groups, with the largest effect size in the youngest (&lt;40 years) age category [HR: 2.90 (95%CI: 2.15-3.92)]. Results were broadly similar in Lifelines (n = 93,870) and Rotterdam (n = 5279) cohorts. RFM is strongly associated with new-onset T2D and displays the potential to be used in the general practice setting to estimate the risk of future diabetes.</t>
  </si>
  <si>
    <t>Single-Nucleotide Variants and Epimutations Induce Proteasome Inhibitor Resistance in Multiple Myeloma.</t>
  </si>
  <si>
    <t>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t>
  </si>
  <si>
    <t>https://pubmed.ncbi.nlm.nih.gov/36282272</t>
  </si>
  <si>
    <t>Proteasome inhibitors (PI) are the backbone of various treatment regimens in multiple myeloma. We recently described the first in-patient point mutations affecting the 20S subunit PSMB5 underlying PI resistance. Notably, in vivo, the incidence of mutations in PSMB5 and other proteasome encoding genes is too low to explain the development of resistance in most of the affected patients. Thus, additional genetic and epigenetic alterations need to be explored. We performed DNA methylation profiling by Deep Bisulfite Sequencing in PSMB5, PSMC2, PSMC5, PSMC6, PSMD1, and PSMD5, a subset of proteasome subunits that have hitherto been associated with PI resistance, recruited from our own previous research, the literature, or a meta-analysis on the frequency of somatic mutations. Methylation was followed up on gene expression level and by dual-luciferase reporter assay. The KMS11 cell line served as a model to functionally test the impact of demethylating agents. We identified PSMD5 promoter hypermethylation and subsequent epigenetic gene silencing in 24% of PI refractory patients. Hypermethylation correlated with decreased expression and the regulatory impact of this region was functionally confirmed. In contrast, patients with newly diagnosed multiple myeloma, along with peripheral blood mononuclear cells and CD138+ plasma cells from healthy donors, generally show unmethylated profiles. Under the selective pressure of PI treatment, multiple myeloma cells acquire methylation of the PSMD5 promoter silencing the PSMD5 gene expression. PSMD5 acts as a key orchestrator of proteasome assembly and its downregulation was described to increase the cell's proteolytic capacity. PSMD5 hypermethylation, therefore, represents a novel mechanism of PI tolerance in multiple myeloma.</t>
  </si>
  <si>
    <t>Willingness to get vaccinated against influenza, pneumococcal disease, pertussis, and herpes zoster - A pre-COVID-19 exploration among the older adult population.</t>
  </si>
  <si>
    <t>Maertzdorf, K M; Rietman, M L; Lambooij, M S; Verschuren, W M M; Picavet, H S J</t>
  </si>
  <si>
    <t>https://pubmed.ncbi.nlm.nih.gov/36639273</t>
  </si>
  <si>
    <t>Older adults are at increased risk for adverse health outcomes when having an influenza, pneumococcal disease, pertussis, or herpes zoster infection. Despite the ability of vaccinations to prevent these adverse outcomes, vaccination coverage is low in the European Union. This study aimed to explore the sociodemographic, lifestyle, and health-related characteristics associated with vaccination willingness for these vaccine-preventable diseases. Cross-sectional data from wave 6 (years 2013-2017) of the population-based Doetinchem Cohort Study was analysed, with 3063 participants aged 46-86 years included. The outcome was the self-reported willingness to get vaccinated against influenza, pneumococcal disease, pertussis, and herpes zoster (willing, neutral, not willing). Multinomial logistic regression was used to investigate the socio-demographic, lifestyle and health characteristics associated with vaccination willingness. For influenza 36 % was willing to get vaccinated, 35 % was neutral and 28 % was not willing to get vaccinated. The willingness to get vaccinated for the relatively unfamiliar vaccine-preventable diseases was lower: 26 % for pneumococcal disease (neutral: 50 %, not willing: 23 %), 26 % for pertussis (neutral 53 %, not willing: 22 %), and 23 % for herpes zoster (neutral 54 %, not willing: 24 %). A relative lower willingness was found among those 46-64 years old (compared to those 65 years or older). Women, having a high SES, being employed and having a good health were all associated with lower willingness to get vaccinated, which was the case for all vaccine-preventable diseases. Older adults were generally more willing to get vaccinated against influenza than for the three less familiar diseases. Characteristics of those less willing may be used to improve strategies to increase vaccination coverage. Additional studies are needed to investigate the willingness to get vaccinated during and after the COVID-19 pandemic that may have changed the feel of urgency for vaccination.</t>
  </si>
  <si>
    <t>The ethics of gene therapy for hemophilia: a narrative review.</t>
  </si>
  <si>
    <t>Baas, Lieke; van der Graaf, Rieke; van Hoorn, Evelien S; Bredenoord, Annelien L; Meijer, Karina; ,</t>
  </si>
  <si>
    <t>https://pubmed.ncbi.nlm.nih.gov/36696181</t>
  </si>
  <si>
    <t>Gene therapy is expected to become a promising treatment, and potentially even a cure, for hemophilia. After several years of research, the first gene therapy product has been granted conditional market authorization by the European Union in August 2022. The recent progress in the field also has implications on the ethical aspects of hemophilia gene therapy. Reviews conducted in the 2000s mainly identified questions on the ethics of conducting early-phase clinical trials. However, since then, the knowledge on safety and efficacy has improved, and the field has moved toward clinical application, a phase that has its own ethical aspects. Therefore, we conducted a narrative review to take stock of the ethical aspects of hemophilia gene therapy. Based on our analysis of the literature, we identified 3 ethical themes. The theme Living up to expectations describes the existing hopes for gene therapy and the unlikelihood of the currently approved product becoming a permanent cure. In the theme Psychosocial impacts, we discuss the fear that gene therapy will impact the identity of people with hemophilia and their need for psychosocial support. The theme Costs and access discusses the expected cost-effectiveness of gene therapy and its implications on accessibility worldwide. We conclude that it may be necessary to change the narratives surrounding gene therapy, from describing it as a cure to describing it as one of the many treatments that temporarily relieve symptoms and that there is a need to reevaluate the desirability of gene therapy for hemophilia, given the availability of other treatments.</t>
  </si>
  <si>
    <t>The positive effect of dupilumab on comorbid asthma in patients with atopic dermatitis.</t>
  </si>
  <si>
    <t>Spekhorst, Lotte S; de Graaf, Marlies; van der Rijst, Lisa P; Zuithoff, Nicolaas P A; Schweizer, René C; Kamsteeg, Marijke; Haeck, Inge; van Lynden-van Nes, Anneke M T; van Lumig, Paula; Romeijn, Geertruida L E; Schuttelaar, Marie-Louise; de Bruin-Weller, Marjolein S</t>
  </si>
  <si>
    <t>clinical and translational allergy</t>
  </si>
  <si>
    <t>https://pubmed.ncbi.nlm.nih.gov/36705510</t>
  </si>
  <si>
    <t>Trajectories of Cognition and Daily Functioning Before and After Incident Diabetes.</t>
  </si>
  <si>
    <t>Ji, Xiaoli; Gao, Hui; Sun, Daoyuan; Zhuang, Jianlin; Fang, Yuan; Wang, Kan; Ahmadizar, Fariba</t>
  </si>
  <si>
    <t>https://pubmed.ncbi.nlm.nih.gov/36378879</t>
  </si>
  <si>
    <t>The temporal pattern of cognitive and functional change before and after incident diabetes remains unknown. Data from wave 2 to wave 9 (2004-2018) of the English Longitudinal Study of Ageing were used. Global cognition (assessed by orientation, memory, and executive function) and daily functioning (calculated as the sum of impaired basic and instrumental activities of daily living) were measured in each wave. Incident diabetes was defined as glycated hemoglobin A1c ≥6.5% (47.5 mmol/mol), self-reported doctor diagnosis of diabetes, or glucose-lowering medication use during follow-up. Among the 6,342 participants (mean age 65.0 years, 57.8% women) included, 576 participants (9.1%) with incident diabetes were identified during a median follow-up of 13.3 years. The annual rates of change in global cognition (β = -0.035 SD/year; 95% CI -0.054 to -0.015), orientation (-0.031 SD/year; -0.060 to -0.002), memory (-0.016 SD/year; -0.029 to -0.003), and executive function (-0.027 SD/year; -0.042 to -0.013) were accelerated after diabetes diagnosis compared with before the event. The postdiabetes annual changes in daily functioning (0.093 points/year; 95% CI 0.056-0.131) were also accelerated compared with the prediabetes diagnosis. However, the rate of cognitive and functional decline before the diabetes diagnosis in participants with future incident diabetes was similar to the rate in participants without diabetes. Also, no significant acute change was observed during its onset. Incident diabetes is associated with accelerated cognitive and functional decline after, but not before, the event. We suggest careful monitoring for cognitive and physical dysfunction after a diabetes diagnosis.</t>
  </si>
  <si>
    <t>Diabetes patient preferences for glucose-monitoring technologies: results from a discrete choice experiment in Poland and the Netherlands.</t>
  </si>
  <si>
    <t>Smith, Ian P; Whichello, Chiara L; Veldwijk, Jorien; Rutten-van Mölken, Maureen P M H; Groothuis-Oudshoorn, C G M; Vos, Rimke C; de Bekker-Grob, Esther W; de Wit, G Ardine</t>
  </si>
  <si>
    <t>bmj open diabetes research care</t>
  </si>
  <si>
    <t>https://pubmed.ncbi.nlm.nih.gov/36649973</t>
  </si>
  <si>
    <t>New glucose-monitoring technologies have different cost-benefit profiles compared with traditional finger-prick tests, resulting in a preference-sensitive situation for patients. This study aimed to assess the relative value adults with diabetes assign to device attributes in two countries. Adults with type 1 or 2 diabetes from the Netherlands (n=226) and Poland (n=261) completed an online discrete choice experiment. Respondents choose between hypothetical glucose monitors described using seven attributes: precision, effort to check, number of finger pricks required, risk of skin irritation, information provided, alarm function and out-of-pocket costs. Panel mixed logit models were used to determine attribute relative importance and to calculate expected uptake rates and willingness to pay (WTP). The most important attribute for both countries was monthly out-of-pocket costs. Polish respondents were more likely than Dutch respondents to choose a glucose-monitoring device over a standard finger prick and had higher WTP for a device. Dutch respondents had higher WTP for device improvements in an effort to check and reduce the number of finger pricks a device requires. Costs are the primary concern of patients in both countries when choosing a glucose monitor and would likely hamper real-world uptake. The costs-benefit profiles of such devices should be critically reviewed.</t>
  </si>
  <si>
    <t>PRISMA AI reporting guidelines for systematic reviews and meta-analyses on AI in healthcare.</t>
  </si>
  <si>
    <t>Cacciamani, Giovanni E; Chu, Timothy N; Sanford, Daniel I; Abreu, Andre; Duddalwar, Vinay; Oberai, Assad; Kuo, C-C Jay; Liu, Xiaoxuan; Denniston, Alastair K; Vasey, Baptiste; McCulloch, Peter; Wolff, Robert F; Mallett, Sue; Mongan, John; Kahn, Charles E; Sounderajah, Viknesh; Darzi, Ara; Dahm, Philipp; Moons, Karel G M; Topol, Eric; Collins, Gary S; Moher, David; Gill, Inderbir S; Hung, Andrew J</t>
  </si>
  <si>
    <t>nature medicine</t>
  </si>
  <si>
    <t>https://pubmed.ncbi.nlm.nih.gov/36646804</t>
  </si>
  <si>
    <t>Reporting the early stage clinical evaluation of virtual-reality-based intervention trials: RATE-VR.</t>
  </si>
  <si>
    <t>Vlake, Johan H; van Bommel, Jasper; Riva, Giuseppe; Wiederhold, Brenda K; Cipresso, Pietro; Rizzo, Albert Skip; Botella, Cristina; Hooft, Lotty; Bienvenu, O Joseph; Geerts, Bart; Wils, Evert-Jan; Gommers, Diederik; van Genderen, Michel E</t>
  </si>
  <si>
    <t>https://pubmed.ncbi.nlm.nih.gov/36526724</t>
  </si>
  <si>
    <t>Improvement and implementation of a national individual care plan in paediatric palliative care: a study protocol.</t>
  </si>
  <si>
    <t>Joren, Chantal Y; Kars, Marijke C; Kremer, Leontien C M; Rippen, Hester; Verhagen, A A Eduard; Aris-Meijer, Judith L</t>
  </si>
  <si>
    <t>bmj paediatrics open</t>
  </si>
  <si>
    <t>https://pubmed.ncbi.nlm.nih.gov/36697034</t>
  </si>
  <si>
    <t>Paediatric palliative care (PPC) is care for children with life-threatening or life-limiting conditions, and can involve complex high-tech care, which can last for months or years. In 2015, the National Individual Care Plan (ICP) for PPC was developed and has shown to be successful. The ICP can be seen as an instrument to facilitate coordination, quality and continuity of PPC. However, in practice, an ICP is often completed too late and for too few children. We aim to improve the coordination, quality and continuity of care for every child with a life-threatening or life-limiting condition and his/her family by further developing and implementing the ICP in the Netherlands. To evaluate the original ICP, ICP 1.0, interviews and questionnaires will be held among parents of children who have or have had an ICP 1.0 and healthcare professionals (HCPs) who used ICP 1.0. Based on the results, ICP 1.0 will be further developed. An implementation strategy will be written and the renewed ICP, ICP 2.0, will be nationally tested in an implementation period of approximately 7 months. During the implementation period, ICP 2.0 will be used for all children who are registered with Children's Palliative Care teams. After the implementation period, ICP 2.0 will be evaluated using interviews and questionnaires among parents of children who received ICP 2.0 and HPCs who worked with ICP 2.0. Based on these results, ICP 2.0 will be further optimised into the final version: ICP 3.0. This study received ethical approval. The ICP 3.0 will be disseminated through the Dutch Centre of Expertise in Children's Palliative Care, to ensure wide availability for the general public and HCPs within PPC. Additionally, we aim to publish study results in open-access, peer-reviewed journals and to present results at national and international scientific meetings.</t>
  </si>
  <si>
    <t>Development of a neighborhood obesogenic built environment characteristics index for the Netherlands.</t>
  </si>
  <si>
    <t>Lam, Thao Minh; Wagtendonk, Alfred J; den Braver, Nicolette R; Karssenberg, Derek; Vaartjes, Ilonca; Timmermans, Erik J; Beulens, Joline W J; Lakerveld, Jeroen</t>
  </si>
  <si>
    <t>https://pubmed.ncbi.nlm.nih.gov/36541154</t>
  </si>
  <si>
    <t>Environmental factors that drive obesity are often studied individually, whereas obesogenic environments are likely to consist of multiple factors from food and physical activity (PA) environments. This study aimed to compose and describe a comprehensive, theory-based, expert-informed index to quantify obesogenicity for all neighborhoods in the Netherlands. The Obesogenic Built Environment CharacterisTics (OBCT) index consists of 17 components. The index was calculated as an average of componential scores across both food and PA environments and was scaled from 0 to 100. The index was visualized and summarized with sensitivity analysis for weighting methods. The OBCT index for all 12,821 neighborhoods was right-skewed, with a median of 44.6 (IQR = 10.1). Obesogenicity was lower in more urbanized neighborhoods except for the extremely urbanized neighborhoods (&gt;2500 addresses/km&lt;sup&gt;2&lt;/sup&gt; ), where obesogenicity was highest. The overall OBCT index score was moderately correlated with the food environment (Spearman ρ = 0.55, p &lt;0.05) and with the PA environment (ρ = 0.38, p &lt;0.05). Hierarchical weighting increased index correlations with the PA environment but decreased correlations with the food environment. The novel OBCT index and its comprehensive environmental scores are potentially useful tools to quantify obesogenicity of neighborhoods.</t>
  </si>
  <si>
    <t>Evaluating implementation of the FIGO Nutrition Checklist for preconception and pregnancy within the Bukhali trial in Soweto, South Africa.</t>
  </si>
  <si>
    <t>Soepnel, Larske M; Draper, Catherine E; Mabetha, Khuthala; Mogashoa, Lethabo; Mabena, Gugulethu; McAuliffe, Fionnuala M; Killeen, Sarah Louise; Jacob, Chandni Maria; Hanson, Mark A; Norris, Shane A</t>
  </si>
  <si>
    <t>international journal of gynaecology and obstetrics the official organ of the international federation of gynaecology and obstetrics</t>
  </si>
  <si>
    <t>https://pubmed.ncbi.nlm.nih.gov/36635078</t>
  </si>
  <si>
    <t>To evaluate implementation of the FIGO Nutrition Checklist in a low/middle-income South African setting. This is a mixed-methods study. Following administration of the FIGO Nutrition Checklist by a dietitian between July 2021 and May 2022, quantitative responses from pregnant (n = 96) and nonpregnant (n = 291) participants with overweight or obesity were analyzed, using logistic regression. Qualitative data from in-depth interviews with the dietitian and a subgroup of participants (n = 15) were analyzed using reflexive thematic analysis. Of 387 participants, 97.4% (n = 377) answered 'no' to at least one diet quality question on the FIGO Nutrition Checklist, indicative of an at-risk dietary practice. Food insecurity was positively associated with having more than three at-risk practices (OR 1.87; 95% CI, 1.10-3.18; P = 0.021). Themes from the dietitian interview included ease of use of the checklist; required adaptations to it, including explanation and translation; and benefits of the tool. Despite challenges to healthy nutrition, participant interviews identified that the checklist is acceptable and supported improved awareness of dietary intakes. Considering the high incidence of at-risk dietary practices identified by the FIGO Nutrition Checklist in this population, further research into use of the tool across South African healthcare settings is warranted.</t>
  </si>
  <si>
    <t>Tuberculosis treatment and resulting abnormal blood glucose: a scoping review of studies from 1981 - 2021.</t>
  </si>
  <si>
    <t>Williams, Victor; Onwuchekwa, Chukwuemeka; Vos, Alinda G; Grobbee, Diederick E; Otwombe, Kennedy; Klipstein-Grobusch, Kerstin</t>
  </si>
  <si>
    <t>https://pubmed.ncbi.nlm.nih.gov/36178364</t>
  </si>
  <si>
    <t>Hyperglycaemia is a risk factor for tuberculosis. Evidence of changes in blood glucose levels during and after tuberculosis treatment is unclear. To compile evidence of changes in blood glucose during and after tuberculosis treatment and the effects of elevated blood glucose changes on treatment outcomes in previously normoglycaemic patients. Original research studies (1980 to 2021) were identified in PubMed, Web of Science, CINAHL and Embase databases. Of the 1,277 articles extracted, 14 were included in the final review. All the studies were observational and 50% were prospective. Fasting blood sugar was the most common clinical test (64%), followed by the glycated haemoglobin test and the oral glucose tolerance test (each 50%). Most tests were conducted at baseline and in the third month of treatment. Twelve studies showed that the prevalence of hyperglycaemia in previously normoglycaemic patients decreased from baseline to follow-up and end of treatment. Three studies showed successful treatment outcomes of 64%, 75% and 95%. Patients with hyperglycaemia at baseline were more likely to develop cavitary lung lesions and poor treatment outcomes and had higher post-treatment mortality. There was no difference in outcomes by human immunodeficiency virus (HIV) status. Elevated blood glucose in normoglycaemic patients receiving treatment for tuberculosis decreased by the end of treatment. Positive HIV status did not affect glucose changes during treatment. Further research is needed to investigate post-treatment morbidity in patients with baseline hyperglycaemia and the effects of HIV on the association between blood glucose and tuberculosis.</t>
  </si>
  <si>
    <t>Psychosocial factors and hippocampal subfields: The Medea-7T study.</t>
  </si>
  <si>
    <t>Twait, Emma L; Blom, Kim; Koek, Huiberdina L; Zwartbol, Maarten H T; Ghaznawi, Rashid; Hendrikse, Jeroen; Gerritsen, Lotte; Geerlings, Mirjam I; ,</t>
  </si>
  <si>
    <t>human brain mapping</t>
  </si>
  <si>
    <t>https://pubmed.ncbi.nlm.nih.gov/36583397</t>
  </si>
  <si>
    <t>Specific subfields within the hippocampus have shown vulnerability to chronic stress, highlighting the importance of looking regionally within the hippocampus to understand the role of psychosocial factors in the development of neurodegenerative diseases. A systematic review on psychosocial factors and hippocampal subfield volumes was performed and showed inconsistent results, highlighting the need for future studies to explore this relationship. The current study aimed to explore the association of psychosocial factors with hippocampal (subfield) volumes, using high-field 7T MRI. Data were from the Memory Depression and Aging (Medea)-7T study, which included 333 participants without dementia. Hippocampal subfields were automatically segmented from T2-weighted images using ASHS software. Generalized linear models accounting for correlated outcomes were used to assess the association between subfields (i.e., entorhinal cortex, subiculum, Cornu Ammonis [CA]1, CA2, CA3, dentate gyrus, and tail) and each psychosocial factor (i.e., depressive symptoms, anxiety symptoms, childhood maltreatment, recent stressful life events, and social support), adjusted for age, sex, and intracranial volume. Neither depression nor anxiety was associated with specific hippocampal (subfield) volumes. A trend for lower total hippocampal volume was found in those reporting childhood maltreatment, and a trend for higher total hippocampal volume was found in those who experienced a recent stressful life event. Among subfields, low social support was associated with lower volume in the CA3 (B = -0.43, 95% CI: -0.72; -0.15). This study suggests possible differential effects among hippocampal (subfield) volumes and psychosocial factors.</t>
  </si>
  <si>
    <t>Process evaluation of the scale-up of integrated diabetes and hypertension care in Belgium, Cambodia and Slovenia (the SCUBY Project): a study protocol.</t>
  </si>
  <si>
    <t>Martens, Monika; Wouters, Edwin; van Olmen, Josefien; Klemenc Ketiš, Zalika; Chhim, Srean; Chham, Savina; Buffel, Veerle; Danhieux, Katrien; Stojnić, Nataša; Zavrnik, Črt; Poplas Susič, Antonija; Van Damme, Wim; Ir, Por; Remmen, Roy; Ku, Grace Marie V; Klipstein-Grobusch, Kerstin; Boateng, Daniel</t>
  </si>
  <si>
    <t>https://pubmed.ncbi.nlm.nih.gov/36581422</t>
  </si>
  <si>
    <t>Integrated care interventions for type 2 diabetes (T2D) and hypertension (HT) are effective, yet challenges exist with regard to their implementation and scale-up. The 'SCale-Up diaBetes and hYpertension care' (SCUBY) Project aims to facilitate the scale-up of integrated care for T2D and HT through the co-creation and implementation of contextualised scale-up roadmaps in Belgium, Cambodia and Slovenia. We hereby describe the plan for the process and scale-up evaluation of the SCUBY Project. The specific goals of the process and scale-up evaluation are to (1) analyse how, and to what extent, the roadmap has been implemented, (2) assess how the differing contexts can influence the implementation process of the scale-up strategies and (3) assess the progress of the scale-up. A comprehensive framework was developed to include process and scale-up evaluation embedded in implementation science theory. Key implementation outcomes include acceptability, feasibility, relevance, adaptation, adoption and cost of roadmap activities. A diverse range of predominantly qualitative tools-including a policy dialogue reporting form, a stakeholder follow-up interview and survey, project diaries and policy mapping-were developed to assess how stakeholders perceive the scale-up implementation process and adaptations to the roadmap. The role of context is considered relevant, and barriers and facilitators to scale-up will be continuously assessed. Ethical approval has been obtained from the Institutional Review Board (ref. 1323/19) at the Institute of Tropical Medicine (Antwerp, Belgium). The SCUBY Project presents a comprehensive framework to guide the process and scale-up evaluation of complex interventions in different health systems. We describe how implementation outcomes, mechanisms of impact and scale-up outcomes can be a basis to monitor adaptations through a co-creation process and to guide other scale-up interventions making use of knowledge translation and co-creation activities.</t>
  </si>
  <si>
    <t>Assessing Performance and Clinical Usefulness in Prediction Models With Survival Outcomes: Practical Guidance for Cox Proportional Hazards Models.</t>
  </si>
  <si>
    <t>McLernon, David J; Giardiello, Daniele; Van Calster, Ben; Wynants, Laure; van Geloven, Nan; van Smeden, Maarten; Therneau, Terry; Steyerberg, Ewout W; ,</t>
  </si>
  <si>
    <t>annals of internal medicine</t>
  </si>
  <si>
    <t>https://pubmed.ncbi.nlm.nih.gov/36571841</t>
  </si>
  <si>
    <t>Risk prediction models need thorough validation to assess their performance. Validation of models for survival outcomes poses challenges due to the censoring of observations and the varying time horizon at which predictions can be made. This article describes measures to evaluate predictions and the potential improvement in decision making from survival models based on Cox proportional hazards regression. As a motivating case study, the authors consider the prediction of the composite outcome of recurrence or death (the "event") in patients with breast cancer after surgery. They developed a simple Cox regression model with 3 predictors, as in the Nottingham Prognostic Index, in 2982 women (1275 events over 5 years of follow-up) and externally validated this model in 686 women (285 events over 5 years). Improvement in performance was assessed after the addition of progesterone receptor as a prognostic biomarker. The model predictions can be evaluated across the full range of observed follow-up times or for the event occurring by the end of a fixed time horizon of interest. The authors first discuss recommended statistical measures that evaluate model performance in terms of discrimination, calibration, or overall performance. Further, they evaluate the potential clinical utility of the model to support clinical decision making according to a net benefit measure. They provide SAS and R code to illustrate internal and external validation. The authors recommend the proposed set of performance measures for transparent reporting of the validity of predictions from survival models.</t>
  </si>
  <si>
    <t>Diastolic dysfunction and sex-specific progression to HFpEF: current gaps in knowledge and future directions.</t>
  </si>
  <si>
    <t>van Ommen, A M L N; Canto, E Dal; Cramer, Maarten J; Rutten, F H; Onland-Moret, N C; Ruijter, H M den</t>
  </si>
  <si>
    <t>https://pubmed.ncbi.nlm.nih.gov/36575484</t>
  </si>
  <si>
    <t>Diastolic dysfunction of the left ventricle (LVDD) is equally common in elderly women and men. LVDD is a condition that can remain latent for a long time but is also held responsible for elevated left ventricular filling pressures and high pulmonary pressures that may result in (exercise-induced) shortness of breath. This symptom is the hallmark of heart failure with preserved ejection fraction (HFpEF) which is predominantly found in women as compared to men within the HF spectrum. Given the mechanistic role of LVDD in the development of HFpEF, we review risk factors and mechanisms that may be responsible for this sex-specific progression of LVDD towards HFpEF from an epidemiological point-of-view and propose future research directions.</t>
  </si>
  <si>
    <t>Implicating genes, pleiotropy, and sexual dimorphism at blood lipid loci through multi-ancestry meta-analysis.</t>
  </si>
  <si>
    <t xml:space="preserve">Kanoni, Stavroula; Graham, Sarah E; Wang, Yuxuan; Surakka, Ida; Ramdas, Shweta; Zhu, Xiang; Clarke, Shoa L; Bhatti, Konain Fatima; Vedantam, Sailaja; Winkler, Thomas W; Locke, Adam E; Marouli, Eirini; Zajac, Greg J M; Wu, Kuan-Han H; Ntalla, Ioanna; Hui, Qin; Klarin, Derek; Hilliard, Austin T; Wang, Zeyuan; Xue, Chao; Thorleifsson, Gudmar; Helgadottir, Anna; Gudbjartsson, Daniel F; Holm, Hilma; Olafsson, Isleifur; Hwang, Mi Yeong; Han, Sohee; Akiyama, Masato; Sakaue, Saori; Terao, Chikashi; Kanai, Masahiro; Zhou, Wei; Brumpton, Ben M; Rasheed, Humaira; Havulinna, Aki S; Veturi, Yogasudha; Pacheco, Jennifer Allen; Rosenthal, Elisabeth A; Lingren, Todd; Feng, QiPing; Kullo, Iftikhar J; Narita, Akira; Takayama, Jun; Martin, Hilary C; Hunt, Karen A; Trivedi, Bhavi; Haessler, Jeffrey; Giulianini, Franco; Bradford, Yuki; Miller, Jason E; Campbell, Archie; Lin, Kuang; Millwood, Iona Y; Rasheed, Asif; Hindy, George; Faul, Jessica D; Zhao, Wei; Weir, David R; Turman, Constance; Huang, Hongyan; </t>
  </si>
  <si>
    <t>genome biology</t>
  </si>
  <si>
    <t>https://pubmed.ncbi.nlm.nih.gov/36575460</t>
  </si>
  <si>
    <t>Genetic variants within nearly 1000 loci are known to contribute to modulation of blood lipid levels. However, the biological pathways underlying these associations are frequently unknown, limiting understanding of these findings and hindering downstream translational efforts such as drug target discovery. To expand our understanding of the underlying biological pathways and mechanisms controlling blood lipid levels, we leverage a large multi-ancestry meta-analysis (N = 1,654,960) of blood lipids to prioritize putative causal genes for 2286 lipid associations using six gene prediction approaches. Using phenome-wide association (PheWAS) scans, we identify relationships of genetically predicted lipid levels to other diseases and conditions. We confirm known pleiotropic associations with cardiovascular phenotypes and determine novel associations, notably with cholelithiasis risk. We perform sex-stratified GWAS meta-analysis of lipid levels and show that 3-5% of autosomal lipid-associated loci demonstrate sex-biased effects. Finally, we report 21 novel lipid loci identified on the X chromosome. Many of the sex-biased autosomal and X chromosome lipid loci show pleiotropic associations with sex hormones, emphasizing the role of hormone regulation in lipid metabolism. Taken together, our findings provide insights into the biological mechanisms through which associated variants lead to altered lipid levels and potentially cardiovascular disease risk.</t>
  </si>
  <si>
    <t>SARS-CoV-2 outbreaks in secondary school settings in the Netherlands during fall 2020; silent circulation.</t>
  </si>
  <si>
    <t>Jonker, Lotte; Linde, Kimberly J; de Hoog, Marieke L A; Sprado, Robin; Huisman, Robin C; Molenkamp, Richard; Oude Munnink, Bas B; Dohmen, Wietske; Heederik, Dick J J; Eggink, Dirk; Welkers, Matthijs R A; Vennema, Harry; Fraaij, Pieter L A; Koopmans, Marion P G; Wouters, Inge M; Bruijning-Verhagen, Patricia C J L</t>
  </si>
  <si>
    <t>bmc infectious diseases</t>
  </si>
  <si>
    <t>https://pubmed.ncbi.nlm.nih.gov/36572861</t>
  </si>
  <si>
    <t>In fall 2020 when schools in the Netherlands operated under a limited set of COVID-19 measures, we conducted outbreaks studies in four secondary schools to gain insight in the level of school transmission and the role of SARS-CoV-2 transmission via air and surfaces. Outbreak studies were performed between 11 November and 15 December 2020 when the wild-type variant of SARS-CoV-2 was dominant. Clusters of SARS-CoV-2 infections within schools were identified through a prospective school surveillance study. All school contacts of cluster cases, irrespective of symptoms, were invited for PCR testing twice within 48 h and 4-7 days later. Combined NTS and saliva samples were collected at each time point along with data on recent exposure and symptoms. Surface and active air samples were collected in the school environment. All samples were PCR-tested and sequenced when possible. Out of 263 sampled school contacts, 24 tested SARS-CoV-2 positive (secondary attack rate 9.1%), of which 62% remained asymptomatic and 42% had a weakly positive test result. Phylogenetic analysis on 12 subjects from 2 schools indicated a cluster of 8 and 2 secondary cases, respectively, but also other distinct strains within outbreaks. Of 51 collected air and 53 surface samples, none were SARS-CoV-2 positive. Our study confirmed within school SARS-CoV-2 transmission and substantial silent circulation, but also multiple introductions in some cases. Absence of air or surface contamination suggests environmental contamination is not widespread during school outbreaks.</t>
  </si>
  <si>
    <t>Systematic Review and Meta-Analyses of Word Production Abilities in Dysfunction of the Basal Ganglia: Stroke, Small Vessel Disease, Parkinson's Disease, and Huntington's Disease.</t>
  </si>
  <si>
    <t>Camerino, Ileana; Ferreira, João; Vonk, Jet M; Kessels, Roy P C; de Leeuw, Frank-Erik; Roelofs, Ardi; Copland, David; Piai, Vitória</t>
  </si>
  <si>
    <t>neuropsychology review</t>
  </si>
  <si>
    <t>https://pubmed.ncbi.nlm.nih.gov/36564612</t>
  </si>
  <si>
    <t>Clinical populations with basal ganglia pathologies may present with language production impairments, which are often described in combination with comprehension measures or attributed to motor, memory, or processing-speed problems. In this systematic review and meta-analysis, we studied word production in four (vascular and non-vascular) pathologies of the basal ganglia: stroke affecting the basal ganglia, small vessel disease, Parkinson's disease, and Huntington's disease. We compared scores of these clinical populations with those of matched cognitively unimpaired adults on four well-established production tasks, namely picture naming, category fluency, letter fluency, and past-tense verb inflection. We conducted a systematic search in PubMed and PsycINFO with terms for basal ganglia structures, basal ganglia disorders and language production tasks. A total of 114 studies were included, containing results for one or more of the tasks of interest. For each pathology and task combination, effect sizes (Hedges' g) were extracted comparing patient versus control groups. For all four populations, performance was consistently worse than that of cognitively unimpaired adults across the four language production tasks (p-values &lt; 0.010). Given that performance in picture naming and verb inflection across all pathologies was quantified in terms of accuracy, our results suggest that production impairments cannot be fully explained by motor or processing-speed deficits. Our review shows that while language production difficulties in these clinical populations are not negligible, more evidence is necessary to determine the exact mechanism that leads to these deficits and whether this mechanism is the same across different pathologies.</t>
  </si>
  <si>
    <t>The impact of variant and vaccination on SARS-CoV-2 symptomatology; three prospective household cohorts.</t>
  </si>
  <si>
    <t>Westerhof, Ilse; de Hoog, Marieke; Ieven, Margareta; Lammens, Christine; van Beek, Janko; Rozhnova, Ganna; Eggink, Dirk; Euser, Sjoerd; Wildenbeest, Joanne; Duijts, Liesbeth; van Houten, Marlies; Goossens, Herman; Giaquinto, Carlo; Bruijning-Verhagen, Patricia</t>
  </si>
  <si>
    <t>https://pubmed.ncbi.nlm.nih.gov/36566773</t>
  </si>
  <si>
    <t>We compared age-stratified SARS-CoV-2 symptomatology of wild-type/Alpha vs Omicron BA.1/BA.2 variant infected individuals and the impact of COVID-19 booster vaccination on Omicron symptom burden. Data from three European prospective household cohorts were used (April 2020 to April 2021 and January to March 2022). Standardized outbreak protocols included (repeated) polymerase chain reaction testing, paired serology, and daily symptom scoring for all household members. Comparative analyses were performed on 346 secondary household cases from both periods. Children &lt;12 years (all unvaccinated) experienced more symptoms and higher severity scores during Omicron compared with wild-type/Alpha period (P ≤0.01). In adults, Omicron disease duration and severity were reduced (P ≤ 0.095). Omicron was associated with lower odds for loss of smell or taste (adjusted odds ratio [aOR]: 0.14; 95% CI 0.03-0.50) and higher but non-significant odds for upper respiratory symptoms, fever, and fatigue (aORs: 1.85-2.23). No differences were observed in disease severity or duration between primary vs booster series vaccinated adults (P ≥0.12). The Omicron variant causes higher symptom burden in children compared with wild-type/Alpha and lower in adults, possibly due to previous vaccination. A shift in symptoms occurred with reduction in loss of smell/taste for Omicron. No additional effect of booster vaccination on Omicron symptom burden was observed.</t>
  </si>
  <si>
    <t>Cluster analysis of functional independence in community-dwelling older people.</t>
  </si>
  <si>
    <t>Molenaar, Esther A L M; Barten, Di-Janne Ja; de Hoop, Anne M S; Bleijenberg, Nienke; de Wit, Niek J; Veenhof, Cindy</t>
  </si>
  <si>
    <t>https://pubmed.ncbi.nlm.nih.gov/36564718</t>
  </si>
  <si>
    <t>The concept of Functional Independence (FI), defined as 'functioning physically safe and independent from other persons, within one's context", plays an important role in maintaining the functional ability to enable well-being in older age. FI is a dynamic and complex concept covering four clinical outcomes: physical capacity, empowerment, coping flexibility, and health literacy. As the level of FI differs widely between older adults, healthcare professionals must gain insight into how to best support older people in maintaining their level of FI in a personalized manner. Insight into subgroups of FI could be a first step in providing personalized support This study aims to identify clinically relevant, distinct subgroups of FI in Dutch community-dwelling older people and subsequently describe them according to individual characteristics. One hundred fifty-three community-dwelling older persons were included for participation. Cluster analysis identified four distinctive clusters: (1) Performers - Well-informed; this subgroup is physically strong, well-informed and educated, independent, non-falling, with limited reflective coping style. (2) Performers - Achievers: physically strong people with a limited coping style and health literacy level. (3) The reliant- Good Coper representing physically somewhat limited people with sufficient coping styles who receive professional help. (4) The reliant - Receivers: physically limited people with insufficient coping styles who receive professional help. These subgroups showed significant differences in demographic characteristics and clinical FI outcomes. Community-dwelling older persons can be allocated to four distinct and clinically relevant subgroups based on their level of FI. This subgrouping provides insight into the complex holistic concept of FI by pointing out for each subgroup which FI domain is affected. This way, it helps to better target interventions to prevent the decline of FI in the community-dwelling older population.</t>
  </si>
  <si>
    <t>Effectiveness of self-financing patient-led support groups in the management of hypertension and diabetes in low- and middle-income countries: Systematic review.</t>
  </si>
  <si>
    <t>Sanya, Richard E; Johnston, Erin Stewart; Kibe, Peter; Werfalli, Mahmoud; Mahone, Sloan; Levitt, Naomi S; Klipstein-Grobusch, Kerstin; Asiki, Gershim</t>
  </si>
  <si>
    <t>https://pubmed.ncbi.nlm.nih.gov/36518014</t>
  </si>
  <si>
    <t>There is insufficient evidence on the role of self-financing patient support groups in the control of blood pressure (BP) and/or diabetes in low- and middle-income countries (LMICs). We conducted a systematic review to investigate the effectiveness of these groups in BP and glycaemic control. We searched PubMed, Embase, SCOPUS, Web of Science, Global Health, African Journals Online, CINAHL and African Index Medicus for published peer-reviewed articles from inception up to November 2021. Grey literature was obtained from OpenGrey. Studies on patient support groups for hypertension and/or diabetes with a component of pooling financial resources, conducted in LMICs, were included. Narrative reviews, commentaries, editorials and articles published in languages other than English and French were excluded. Study quality and risk of bias were assessed using the National Institutes of Health Quality assessment tool and the revised Cochrane risk-of-bias tool. Results are reported according to PRISMA guidelines. Of 724 records screened, three studies met the criteria: two trials conducted in Kenya and a retrospective cohort study conducted in Cambodia. All studies reported improvement in BP control after 12 months follow-up with reductions in systolic BP of 23, 14.8, and 16.9 mmHg, respectively. Two studies reported diabetes parameters. The first reported improvement in HbA1c (reduction from baseline 10.8%, to 10.6% at 6 months) and random blood sugar (baseline 8.9 mmol/L, to 8.5 mmol/L at 6 months) but these changes did not achieve statistical significance. The second reported a reduction in fasting blood glucose (baseline-216 mg/dl, 12 months-159 mg/dl) in diabetic patients on medication. Self-financing patient support groups for diabetes and hypertension are potentially effective in the control of BP and diabetes in LMICs. More studies are needed to add to the scarce evidence base on the role of self-financing patient support groups.</t>
  </si>
  <si>
    <t>Noninvasive diagnostic work-up for suspected acute pulmonary embolism during pregnancy: a systematic review and meta-analysis of individual patient data.</t>
  </si>
  <si>
    <t>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t>
  </si>
  <si>
    <t>https://pubmed.ncbi.nlm.nih.gov/36696189</t>
  </si>
  <si>
    <t>Few studies evaluated the performance of noninvasive diagnostic strategies for suspected acute pulmonary embolism (PE) in pregnant women. The aim of this study was to establish the safety and efficiency of the Wells rule with fixed and adapted D-dimer threshold, and the YEARS algorithm, combined with compression ultrasonography (CUS), in pregnant women with suspected PE in an individual patient data meta-analysis. We performed a systematic review to identify prospective diagnostic management studies in pregnant women with suspected PE. Primary outcomes were safety, defined as the failure rate, ie, the 3-month venous thromboembolism (VTE) incidence after excluding PE without chest imaging, and efficiency, defined as the proportion of patients in whom chest imaging could be avoided. We identified 2 relevant studies, of which individual patient-level data were analyzed in a fixed-effect meta-analysis, totaling 893 pregnant women. The Wells rule with fixed and adapted D-dimer threshold as well as the YEARS algorithm could safely rule out acute PE (failure rate, 0·37%-1·4%), but efficiency improved considerably when applying pretest probability-adapted D-dimer thresholds. The efficiency of bilateral CUS was limited (2·3% overall; number needed to test 43), especially in patients without symptoms of deep-vein thrombosis (efficiency 0·79%; number needed to test 127). This study supports the latest guideline recommendations (European Society of Cardiology 2019) to apply pretest probability assessment and D-dimer tests to rule out PE in pregnant women. From an efficiency perspective, the use of a strategy with pretest probability-adapted D-dimer threshold is preferred. The yield of CUS was very limited in patients without concomitant symptoms of deep-vein thrombosis.</t>
  </si>
  <si>
    <t>The relation between prediction model performance measures and patient selection outcomes for proton therapy in head and neck cancer.</t>
  </si>
  <si>
    <t>Leeuwenberg, Artuur M; Reitsma, Johannes B; Van den Bosch, Lisa G L J; Hoogland, Jeroen; van der Schaaf, Arjen; Hoebers, Frank J P; Wijers, Oda B; Langendijk, Johannes A; Moons, Karel G M; Schuit, Ewoud</t>
  </si>
  <si>
    <t>https://pubmed.ncbi.nlm.nih.gov/36566991</t>
  </si>
  <si>
    <t>Normal-tissue complication probability (NTCP) models predict complication risk in patients receiving radiotherapy, considering radiation dose to healthy tissues, and are used to select patients for proton therapy, based on their expected reduction in risk after proton therapy versus photon radiotherapy (ΔNTCP). Recommended model evaluation measures include area under the receiver operating characteristic curve (AUC), overall calibration (CITL), and calibration slope (CS), whose precise relation to patient selection is still unclear. We investigated how each measure relates to patient selection outcomes. The model validation and consequent patient selection process was simulated within empirical head and neck cancer patient data. By manipulating performance measures independently via model perturbations, the relation between model performance and patient selection was studied. Small reductions in AUC (-0.02) yielded mean changes in ΔNTCP between 0.9-3.2 %, and single-model patient selection differences between 2-19 %. Deviations (-0.2 or +0.2) in CITL or CS yielded mean changes in ΔNTCP between 0.3-1.4 %, and single-model patient selection differences between 1-10 %. Each measure independently impacts ΔNTCP and patient selection and should thus be assessed in a representative sufficiently large external sample. Our suggested practical model selection approach is considering the model with the highest AUC, and recalibrating it if needed.</t>
  </si>
  <si>
    <t>Redefining clinical venous thromboembolism phenotypes: a novel approach using latent class analysis.</t>
  </si>
  <si>
    <t>de Winter, Maria A; Uijl, Alicia; Büller, Harry R; Carrier, Marc; Cohen, Alexander T; Hansen, John-Bjarne; Kaasjager, Karin H A H; Kakkar, Ajay K; Middeldorp, Saskia; Raskob, Gary E; Sørensen, Henrik Toft; Wells, Philip S; Nijkeuter, Mathilde; Dorresteijn, Jannick A N</t>
  </si>
  <si>
    <t>https://pubmed.ncbi.nlm.nih.gov/36696208</t>
  </si>
  <si>
    <t>Patients with venous thromboembolism (VTE) are commonly classified by the presence or absence of provoking factors at the time of VTE to guide treatment decisions. This approach may not capture the heterogeneity of the disease and its prognosis. To evaluate clinically important novel phenotypic clusters among patients with VTE without cancer and to explore their association with anticoagulant treatment and clinical outcomes. Latent class analysis was performed with 18 baseline clinical variables in 3062 adult patients with VTE without active cancer participating in PREFER in VTE, a noninterventional disease registry. The derived latent classes were externally validated in a post hoc analysis of Hokusai-VTE (n = 6593), a randomized trial comparing edoxaban with warfarin. The associations between cluster membership and anticoagulant treatment, recurrent VTE, bleeding, and mortality after initial treatment were studied. The following 5 clusters were identified: young men cluster (n = 1126, 37%), young women cluster (n = 215, 7%), older people cluster (n = 1106, 36%), comorbidity cluster (n = 447, 15%), and history of venous thromboembolism cluster (n = 168, 5%). Patient characteristics varied by age, sex, medical history, and treatment patterns. Consistent clusters were evident on external validation. In Cox proportional hazard models, recurrence risk was lower in the young women cluster (hazard ratio [HR], 0.27; 95% CI, 0.12-0.61) compared with the comorbidity cluster, after adjusting for extended anticoagulation. The risk of bleeding was lower in young men, young women, and older people clusters (HR, 0.50; 95% CI, 0.38-0.66; HR, 0.23; 95% CI, 0.11-0.46; and HR, 0.55; 95% CI 0.41-0.73, respectively). The heterogeneity of VTE cases extends beyond the distinction between provoked and unprovoked VTE.</t>
  </si>
  <si>
    <t>10-Year trajectories of depressive symptoms and subsequent brain health in middle-aged adults.</t>
  </si>
  <si>
    <t>Schuurmans, Isabel K; Lamballais, Sander; Zou, Runyu; Muetzel, Ryan L; Hillegers, Manon H J; Cecil, Charlotte A M; Luik, Annemarie I</t>
  </si>
  <si>
    <t>journal of psychiatric research</t>
  </si>
  <si>
    <t>https://pubmed.ncbi.nlm.nih.gov/36584490</t>
  </si>
  <si>
    <t>Depressive symptoms differ in severity and stability over time. Trajectories depicting these changes, particularly those with high late-life depressive symptoms, have been associated with poor brain health at old age. To better understand these associations across the lifespan, we examined depressive symptoms trajectories in relation to brain health in middle age. We included 1676 participants from the ORACLE Study, all were expecting a child at baseline (mean age 32.8, 66.6% women). Depressive symptoms were assessed at baseline, 3 years and 10 years after baseline. Brain health (global brain volume, subcortical structures volume, white matter lesions, cerebral microbleeds, cortical thickness, cortical surface area) was assessed 15 years after baseline. Using k-means clustering, four depressive symptoms trajectories were identified: low, low increasing, decreasing, and high increasing symptoms. The high increasing trajectory was associated with smaller brain volume compared to low symptoms, not surviving multiple testing correction. The low increasing trajectory was associated with more cortical thickness in a small region encompassing the right lateral occipital cortex compared to low symptoms. These findings show that longitudinal depressive symptoms trajectories are only minimally associated with brain health in middle age, suggesting that associations may only emerge later in life.</t>
  </si>
  <si>
    <t>The accuracy and feasibility of respiratory rate measurements in acutely ill adult patients by GPs: a mixed-methods study.</t>
  </si>
  <si>
    <t>Loots, Feike J; Dekker, Irma; Wang, Ruo Chen; van Zanten, Arthur Rh; Hopstaken, Rogier M; Verheij, Theo Jm; Giesen, Paul; Smits, Marleen</t>
  </si>
  <si>
    <t>https://pubmed.ncbi.nlm.nih.gov/35944945</t>
  </si>
  <si>
    <t>Tachypnoea in acutely ill patients can be an early sign of a life-threatening condition such as sepsis. Routine measurement of the respiratory rate by GPs might improve the recognition of sepsis. To assess the accuracy and feasibility of respiratory rate measurements by GPs. Observational cross-sectional mixed-methods study in the setting of out-of-hours (OOH) home visits at three GP cooperatives in The Netherlands. GPs were observed during the assessment of acutely ill patients, and semi-structured interviews were performed. The GP-assessed respiratory rate was compared with a reference measurement. In the event that the respiratory rate was not counted, GPs were asked to estimate the rate (dichotomised as ≥22 breaths per minute or &lt;22 breaths per minute). Observations of 130 acutely ill patients were included, and 14 GPs were interviewed. In 33 patients (25%), the GP counted the respiratory rate. A mean difference of 0.27 breaths per minute (95% confidence interval [CI] = -5.7 to 6.3) with the reference measurement was found. At a cut-off point of ≥22 breaths per minute, a sensitivity of 86% (95% CI = 57% to 98%) was found when the GP counted the rate, and a sensitivity of 43% (95% CI = 22% to 66%) when GPs estimated respiratory rates. GPs reported both medical and practical reasons for not routinely measuring the respiratory rate. GPs are aware of the importance of assessing the respiratory rate of acutely ill adult patients, and counted measurements are accurate. However, in most patients the respiratory rate was not counted, and the rate was often underestimated when estimated.</t>
  </si>
  <si>
    <t>Pre-screening to guide coronary artery calcium scoring for early identification of high-risk individuals in the general population.</t>
  </si>
  <si>
    <t>Ties, Daan; van der Ende, Yldau M; Pundziute, Gabija; van der Schouw, Yvonne T; Bots, Michiel L; Xia, Congying; van Ooijen, Peter M A; Pelgrim, Gert Jan; Vliegenthart, Rozemarijn; van der Harst, Pim</t>
  </si>
  <si>
    <t>european heart journal cardiovascular imaging</t>
  </si>
  <si>
    <t>https://pubmed.ncbi.nlm.nih.gov/35851802</t>
  </si>
  <si>
    <t>To evaluate the ability of Systematic COronary Risk Estimation 2 (SCORE2) and other pre-screening methods to identify individuals with high coronary artery calcium score (CACS) in the general population. Computed tomography-based CACS quantification was performed in 6530 individuals aged 45 years or older from the general population. Various pre-screening methods to guide referral for CACS were evaluated. Miss rates for high CACS (CACS ≥300 and ≥100) were evaluated for various pre-screening methods: moderate (≥5%) and high (≥10%) SCORE2 risk, any traditional coronary artery disease (CAD) risk factor, any Risk Or Benefit IN Screening for CArdiovascular Disease (ROBINSCA) risk factor, and moderately (&gt;3 mg/24 h) increased urine albumin excretion (UAE). Out of 6530 participants, 643 (9.8%) had CACS ≥300 and 1236 (18.9%) had CACS ≥100. For CACS ≥300 and CACS ≥100, miss rate was 32 and 41% for pre-screening by moderate (≥5%) SCORE2 risk and 81 and 87% for high (≥10%) SCORE2 risk, respectively. For CACS ≥300 and CACS ≥100, miss rate was 8 and 11% for pre-screening by at least one CAD risk factor, 24 and 25% for at least one ROBINSCA risk factor, and 67 and 67% for moderately increased UAE, respectively. Many individuals with high CACS in the general population are left unidentified when only performing CACS in case of at least moderate (≥5%) SCORE2, which closely resembles current clinical practice. Less stringent pre-screening by presence of at least one CAD risk factor to guide CACS identifies more individuals with high CACS and could improve CAD prevention.</t>
  </si>
  <si>
    <t>The experienced positive and negative influence of HIV on quality of life of people with HIV and vulnerable to HIV in the Netherlands.</t>
  </si>
  <si>
    <t>Romijnders, Kim A G J; de Groot, Laura; Vervoort, Sigrid C J M; Basten, Maartje; van Welzen, Berend J; Kretzschmar, Mirjam E; Reiss, Peter; Davidovich, Udi; van der Loeff, Maarten F Schim; Rozhnova, Ganna</t>
  </si>
  <si>
    <t>https://pubmed.ncbi.nlm.nih.gov/36536038</t>
  </si>
  <si>
    <t>This qualitative study aimed to explore the experienced influence of HIV on the quality of life (QoL) of people with HIV (PHIV) and key populations without but are vulnerable to HIV in the Netherlands. We conducted and thematically analyzed interviews with 29 PHIV and 13 participants from key populations without HIV (i.e., men who have sex with men). PHIV and key populations shared positive meaningful experiences regarding HIV, i.e., feeling grateful for ART, life, and the availability of PrEP, being loved and supported in the light of HIV, and providing support to the community. Negative predominant experiences regarding HIV were described by both PHIV and key populations as the negative effects of ART, challenges with regards to disclosing HIV, social stigmatization, and self-stigma. It remains important to support HIV community organizations in their efforts to reduce social stigmatization and to continue improving biomedical interventions for HIV.</t>
  </si>
  <si>
    <t>Limited alcohol consumption and lower risk of diabetes: can we believe our own eyes?</t>
  </si>
  <si>
    <t>Mukamal, Kenneth J; Beulens, Joline W J</t>
  </si>
  <si>
    <t>https://pubmed.ncbi.nlm.nih.gov/36250722</t>
  </si>
  <si>
    <t>Ventilation and thermal conditions in secondary schools in the Netherlands: Effects of COVID-19 pandemic control and prevention measures.</t>
  </si>
  <si>
    <t>Ding, Er; Zhang, Dadi; Hamida, Amneh; García-Sánchez, Clara; Jonker, Lotte; de Boer, Annemarijn R; Bruijning, Patricia C J L; Linde, Kimberly J; Wouters, Inge M; Bluyssen, Philomena M</t>
  </si>
  <si>
    <t>building and environment</t>
  </si>
  <si>
    <t>https://pubmed.ncbi.nlm.nih.gov/36575741</t>
  </si>
  <si>
    <t>During the COVID-19 pandemic, the importance of ventilation was widely stressed and new protocols of ventilation were implemented in school buildings worldwide. In the Netherlands, schools were recommended to keep the windows and doors open, and after a national lockdown more stringent measures such as reduction of occupancy were introduced. In this study, the actual effects of such measures on ventilation and thermal conditions were investigated in 31 classrooms of 11 Dutch secondary schools, by monitoring the indoor and outdoor CO&lt;sub&gt;2&lt;/sub&gt; concentration and air temperature, both before and after the lockdown. Ventilation rates were calculated using the steady-state method. Pre-lockdown, with an average occupancy of 17 students, in 42% of the classrooms the CO&lt;sub&gt;2&lt;/sub&gt; concentration exceeded the upper limit of the Dutch national guidelines (800 ppm above outdoors), while 13% had a ventilation rate per person (VR&lt;sub&gt;p&lt;/sub&gt;) lower than the minimum requirement (6 l/s/p). Post-lockdown, the indoor CO&lt;sub&gt;2&lt;/sub&gt; concentration decreased significantly while for ventilation rates significant increase was only found in VR&lt;sub&gt;p&lt;/sub&gt;, mainly caused by the decrease in occupancy (average 10 students). The total ventilation rate per classrooms, mainly induced by opening windows and doors, did not change significantly. Meanwhile, according to the Dutch national guidelines, thermal conditions in the classrooms were not satisfying, both pre- and post-lockdown. While opening windows and doors cannot achieve the required indoor environmental quality at all times, reducing occupancy might not be feasible for immediate implementation. Hence, more controllable and flexible ways for improving indoor air quality and thermal comfort in classrooms are needed.</t>
  </si>
  <si>
    <t>COVID-19-related medicine utilization study in pregnancy: The COVI-PREG cohort.</t>
  </si>
  <si>
    <t>Favre, Guillaume; Gerbier, Eva; Maisonneuve, Emeline; Pomar, Léo; Winterfeld, Ursula; Lepigeon, Karine; Bloemenkamp, Kitty W M; de Bruin, Odette; Hurley, Eimir; Nordeng, Hedvig; Siiskonen, Satu J; Sturkenboom, Miriam C J M; Baud, David; Panchaud, Alice; ,</t>
  </si>
  <si>
    <t>https://pubmed.ncbi.nlm.nih.gov/36417423</t>
  </si>
  <si>
    <t>The objective of this study was to describe the use of COVID-19-related medicines during pregnancy and their evolution between the early/late periods of the pandemic. Pregnant women who tested positive for SARS-CoV-2 from March 2020 to July 2021 were included using the COVI-PREG registry. Exposure to the following COVID-19-related medicines was recorded: antibiotics, antivirals, hydroxychloroquine, corticosteroids, anti-interleukin-6 and immunoglobulins. We described the prevalence of medicines used, by trimester of pregnancy, maternal COVID-19 severity level and early/late period of the pandemic (before and after 1 July 2020). We included 1964 pregnant patients who tested positive for SARS-CoV-2. Overall, 10.4% (205/1964) received at least one COVID-19-related medicine including antibiotics (8.6%; 169/1694), corticosteroids (3.2%; 62/1964), antivirals (2.0%; 39/1964), hydroxychloroquine (1.4%; 27/1964) and anti-interleukin-6 (0.3%; 5/1964). The use of at least one COVID-19-related medicine was 3.1% (12/381) in asymptomatic individuals, 4.2% (52/1233) in outpatients, 19.7% (46/233) in inpatients without oxygen, 72.1% (44/61) in those requiring standard oxygen, 95.7% (22/23) in those requiring high flow oxygen, 96.2% (25/26) in patients who required intubation and 57.1% (4/7) among patients who died. The proportion who received medicines to treat COVID-19 was higher before than after July 2020 (16.7% vs. 7.7%). Antibiotics, antivirals and hydroxychloroquine had lower rates of use during the late period. Medicine use in pregnancy increased with disease severity. The trend towards increased use of corticosteroids seems to be aligned with changing guidelines. Evidence is still needed regarding the effectiveness and safety of COVID-19-related medicines in pregnancy.</t>
  </si>
  <si>
    <t>Characterization of the degree of food processing in the European Prospective Investigation into Cancer and Nutrition: Application of the Nova classification and validation using selected biomarkers of food processing.</t>
  </si>
  <si>
    <t>https://pubmed.ncbi.nlm.nih.gov/36590209</t>
  </si>
  <si>
    <t>Epidemiological studies have demonstrated an association between the degree of food processing in our diet and the risk of various chronic diseases. Much of this evidence is based on the international Nova classification system, which classifies food into four groups based on the type of processing: (1) Unprocessed and minimally processed foods, (2) Processed culinary ingredients, (3) Processed foods, and (4) "Ultra-processed" foods (UPF). The ability of the Nova classification to accurately characterise the degree of food processing across consumption patterns in various European populations has not been investigated so far. Therefore, we applied the Nova coding to data from the European Prospective Investigation into Cancer and Nutrition (EPIC) in order to characterize the degree of food processing in our diet across European populations with diverse cultural and socio-economic backgrounds and to validate this Nova classification through comparison with objective biomarker measurements. After grouping foods in the EPIC dataset according to the Nova classification, a total of 476,768 participants in the EPIC cohort (71.5% women; mean age 51 [standard deviation (SD) 9.93]; median age 52 [percentile (p)25-p75: 58-66] years) were included in the cross-sectional analysis that characterised consumption patterns based on the Nova classification. The consumption of food products classified as different Nova categories were compared to relevant circulating biomarkers denoting food processing, measured in various subsamples (N between 417 and 9,460) within the EPIC cohort via (partial) correlation analyses (unadjusted and adjusted by sex, age, BMI and country). These biomarkers included an industrial transfatty acid (ITFA) isomer (elaidic acid; exogenous fatty acid generated during oil hydrogenation and heating) and urinary 4&lt;i&gt;-&lt;/i&gt;methyl syringol sulfate (an indicator for the consumption of smoked food and a component of liquid smoke used in UPF). Contributions of UPF intake to the overall diet in % grams/day varied across countries from 7% (France) to 23% (Norway) and their contributions to overall % energy intake from 16% (Spain and Italy) to &gt;45% (in the UK and Norway). Differences were also found between sociodemographic groups; participants in the highest fourth of UPF consumption tended to be younger, taller, less educated, current smokers, more physically active, have a higher reported intake of energy and lower reported intake of alcohol. The UPF pattern as defined based on the Nova classification (group 4;% kcal/day) was positively associated with blood levels of industrial elaidic acid (&lt;i&gt;r&lt;/i&gt; = 0.54) and 4&lt;i&gt;-&lt;/i&gt;methyl syringol sulfate (&lt;i&gt;r&lt;/i&gt; = 0.43). Associations for the other 3 Nova groups with these food processing biomarkers were either inverse or non-significant (e.g., for unprocessed and minimally processed foods these correlations were -0.07 and -0.37 for elaidic acid and 4&lt;i&gt;-&lt;/i&gt;methyl syringol sulfate, respectively). These results, based on a large pan-European cohort, demonstrate sociodemographic and geographical differences in the consumption of UPF. Furthermore, these results suggest that the Nova classification can accurately capture consumption of UPF, reflected by stronger correlations with circulating levels of industrial elaidic acid and a syringol metabolite compared to diets high in minimally processed foods.</t>
  </si>
  <si>
    <t>Validation of the GetReal Trial Tool - Facilitating discussion and understanding more pragmatic design choices and their implications.</t>
  </si>
  <si>
    <t>Boateng, Daniel; Kumke, Thomas; Vernooij, Robin; Goetz, Iris; Meinecke, Anna-Katharina; Steenhuis, Charlotte; Grobbee, Diederick; Zuidgeest, Mira G P; ,</t>
  </si>
  <si>
    <t>https://pubmed.ncbi.nlm.nih.gov/36529438</t>
  </si>
  <si>
    <t>The GetReal Trial Tool is a decision support tool to assess the impact of design choices on generalizability of clinical trials to routine clinical practice, while taking into account the risk of bias, precision, acceptability and operational feasibility. This study describes the validation of the GetReal Trial Tool. Twelve experts took part in the GetReal Trial tool validation using the protocols of 6 trials conducted with pragmatic elements. The tool entails 7 domains with a total of 43 questions. A pooled Kappa statistic (95% CI) using random effects model was estimated using Open Meta (analyst) software. The possible operational challenges were collated and discussed with the trialists that conducted the trials. Agreement in the design choices made for the trial protocols was &gt;50% for all the trials and all teams reached consensus during discussion. The pooled Kappa statistic (95% CI) was 0.236 (0.154-0.318). The GetReal Trial tool highlighted several operational challenges, of which almost half had been experienced previously by the trialists. Out of 25 additional operational challenges mentioned by the trialists, 76% were already highlighted by the tool. The tool was considered helpful to optimize trials right from the design stage. The GetReal Trial Tool helps to scrutinize the choice of study design in the light of Real World Evidence generation. The tool identifies most of the operational challenges experienced by trialists to date. The tool serves the intended purpose of facilitating discussion and understanding more pragmatic design choices and their implications.</t>
  </si>
  <si>
    <t>Effect of physical exercise on the hippocampus and global grey matter volume in breast cancer patients: A randomized controlled trial (PAM study).</t>
  </si>
  <si>
    <t>Koevoets, E W; Geerlings, M I; Monninkhof, E M; Mandl, R; Witlox, L; van der Wall, E; Stuiver, M M; Sonke, G S; Velthuis, M J; Jobsen, J J; van der Palen, J; Bos, M E M M; Göker, E; Menke-Pluijmers, M B E; Sommeijer, D W; May, A M; de Ruiter, M B; Schagen, S B; ,</t>
  </si>
  <si>
    <t>neuroimage clinical</t>
  </si>
  <si>
    <t>https://pubmed.ncbi.nlm.nih.gov/36565574</t>
  </si>
  <si>
    <t>Physical exercise in cancer patients is a promising intervention to improve cognition and increase brain volume, including hippocampal volume. We investigated whether a 6-month exercise intervention primarily impacts total hippocampal volume and additionally hippocampal subfield volumes, cortical thickness and grey matter volume in previously physically inactive breast cancer patients. Furthermore, we evaluated associations with verbal memory. Chemotherapy-exposed breast cancer patients (stage I-III, 2-4 years post diagnosis) with cognitive problems were included and randomized in an exercise intervention (n = 70, age = 52.5 ± 9.0 years) or control group (n = 72, age = 53.2 ± 8.6 years). The intervention consisted of 2x1 hours/week of supervised aerobic and strength training and 2x1 hours/week Nordic or power walking. At baseline and at 6-month follow-up, volumetric brain measures were derived from 3D T1-weighted 3T magnetic resonance imaging scans, including hippocampal (subfield) volume (FreeSurfer), cortical thickness (CAT12), and grey matter volume (voxel-based morphometry CAT12). Physical fitness was measured with a cardiopulmonary exercise test. Memory functioning was measured with the Hopkins Verbal Learning Test-Revised (HVLT-R total recall) and Wordlist Learning of an online cognitive test battery, the Amsterdam Cognition Scan (ACS Wordlist Learning). An explorative analysis was conducted in highly fatigued patients (score of ≥ 39 on the symptom scale 'fatigue' of the European Organisation for Research and Treatment of Cancer Quality of Life Questionnaire), as previous research in this dataset has shown that the intervention improved cognition only in these patients. Multiple regression analyses and voxel-based morphometry revealed no significant intervention effects on brain volume, although at baseline increased physical fitness was significantly related to larger brain volume (e.g., total hippocampal volume: R = 0.32, B = 21.7 mm&lt;sup&gt;3&lt;/sup&gt;, 95 % CI = 3.0 - 40.4). Subgroup analyses showed an intervention effect in highly fatigued patients. Unexpectedly, these patients had significant reductions in hippocampal volume, compared to the control group (e.g., total hippocampal volume: B = -52.3 mm&lt;sup&gt;3&lt;/sup&gt;, 95 % CI = -100.3 - -4.4)), which was related to improved memory functioning (HVLT-R total recall: B = -0.022, 95 % CI = -0.039 - -0.005; ACS Wordlist Learning: B = -0.039, 95 % CI = -0.062 - -0.015). No exercise intervention effects were found on hippocampal volume, hippocampal subfield volumes, cortical thickness or grey matter volume for the entire intervention group. Contrary to what we expected, in highly fatigued patients a reduction in hippocampal volume was found after the intervention, which was related to improved memory functioning. These results suggest that physical fitness may benefit cognition in specific groups and stress the importance of further research into the biological basis of this finding.</t>
  </si>
  <si>
    <t>Minimal reporting improvement after peer review in reports of COVID-19 prediction models: systematic review.</t>
  </si>
  <si>
    <t>Hudda, Mohammed T; Archer, Lucinda; van Smeden, Maarten; Moons, Karel G M; Collins, Gary S; Steyerberg, Ewout W; Wahlich, Charlotte; Reitsma, Johannes B; Riley, Richard D; Van Calster, Ben; Wynants, Laure</t>
  </si>
  <si>
    <t>https://pubmed.ncbi.nlm.nih.gov/36528232</t>
  </si>
  <si>
    <t>To assess improvement in the completeness of reporting coronavirus (COVID-19) prediction models after the peer review process. Studies included in a living systematic review of COVID-19 prediction models, with both preprint and peer-reviewed published versions available, were assessed. The primary outcome was the change in percentage adherence to the transparent reporting of a multivariable prediction model for individual prognosis or diagnosis (TRIPOD) reporting guidelines between pre-print and published manuscripts. Nineteen studies were identified including seven (37%) model development studies, two external validations of existing models (11%), and 10 (53%) papers reporting on both development and external validation of the same model. Median percentage adherence among preprint versions was 33% (min-max: 10 to 68%). The percentage adherence of TRIPOD components increased from preprint to publication in 11/19 studies (58%), with adherence unchanged in the remaining eight studies. The median change in adherence was just 3 percentage points (pp, min-max: 0-14 pp) across all studies. No association was observed between the change in percentage adherence and preprint score, journal impact factor, or time between journal submission and acceptance. The preprint reporting quality of COVID-19 prediction modeling studies is poor and did not improve much after peer review, suggesting peer review had a trivial effect on the completeness of reporting during the pandemic.</t>
  </si>
  <si>
    <t>Neighbourhood walkability in relation to cognitive functioning in patients with disorders along the heart-brain axis.</t>
  </si>
  <si>
    <t>Timmermans, Erik J; Leeuwis, Anna E; Bots, Michiel L; van Alphen, Juliette L; Biessels, Geert Jan; Brunner-La Rocca, Hans-Peter; Kappelle, L Jaap; van Rossum, Albert C; van Osch, Matthias J P; Vaartjes, Ilonca; ,</t>
  </si>
  <si>
    <t>https://pubmed.ncbi.nlm.nih.gov/36525834</t>
  </si>
  <si>
    <t>This study examined associations of neighbourhood walkability with cognitive functioning (i.e., global cognition, memory, language, attention-psychomotor speed, and executive functioning) in participants without or with either heart failure, carotid occlusive disease, or vascular cognitive impairment. Neighbourhood walkability at baseline was positively associated with global cognition and attention-psychomotor speed. These associations were stronger in patients with vascular cognitive impairment. Individuals who live in residential areas with higher walkability levels were less likely to have impairments in language and executive functioning at two-year follow-up. These findings highlight the importance of the built environment for cognitive functioning in healthy and vulnerable groups.</t>
  </si>
  <si>
    <t>Cancer detection during the COVID-19 pandemic-Experiences in primary care and recommendations for the future.</t>
  </si>
  <si>
    <t>Siepman Van den Berg, Marinde F R; Grant, Matthew; van Erp, Nicole; van Gils, Carla H; Muris, Jean; Brandenbarg, Daan; van Asselt, Kristel M; de Wit, Niek J; Helsper, Charles W; ,</t>
  </si>
  <si>
    <t>journal of general and family medicine</t>
  </si>
  <si>
    <t>https://pubmed.ncbi.nlm.nih.gov/36718286</t>
  </si>
  <si>
    <t>To describe general practitioners (GPs) experiences with the impact COVID-19 on the duration of cancer detection. Cross-sectional survey study among Dutch GPs. Fifty-eight GPs participated. During the first wave, COVID-19-related delays were experienced by 88%, 52%, and 67% of GPs in the contact-seeking, primary care, and referral phases, respectively. GPs reported delays due to telehealth consultations, longer waiting times and patient's concerns of COVID infections and overburdening GPs. The majority of GPs experienced delays in cancer diagnostic processes during the beginning of the COVID pandemic, which was most prominent in the timeliness in which patients sought GP care.</t>
  </si>
  <si>
    <t>Healthcare use and healthcare costs for patients with advanced cancer; the international ACTION cluster-randomised trial on advance care planning.</t>
  </si>
  <si>
    <t>Korfage, Ida J; Polinder, Suzanne; Preston, Nancy; van Delden, Johannes Jm; Geraerds, Sandra A Jlm; Dunleavy, Lesley; Faes, Kristof; Miccinesi, Guido; Carreras, Giulia; Moeller Arnfeldt, Caroline; Kars, Marijke C; Lippi, Giuseppe; Lunder, Urska; Mateus, Ceu; Pollock, Kristian; Deliens, Luc; Groenvold, Mogens; van der Heide, Agnes; Rietjens, Judith Ac</t>
  </si>
  <si>
    <t>https://pubmed.ncbi.nlm.nih.gov/36515362</t>
  </si>
  <si>
    <t>Advance care planning supports patients to reflect on and discuss preferences for future treatment and care. Studies of the impact of advance care planning on healthcare use and healthcare costs are scarce. To determine the impact on healthcare use and costs of an advance care planning intervention across six European countries. Cluster-randomised trial, registered as ISRCTN63110516, of advance care planning conversations supported by certified facilitators. Patients with advanced lung or colorectal cancer from 23 hospitals in Belgium, Denmark, Italy, the Netherlands, Slovenia and the UK. Data on healthcare use were collected from hospital medical files during 12 months after inclusion. Patients with a good performance status were underrepresented in the intervention group (&lt;i&gt;p&lt;/i&gt;&lt; 0.001). Intervention and control patients spent on average 9 versus 8 days in hospital (&lt;i&gt;p&lt;/i&gt; = 0.07) and the average number of X-rays was 1.9 in both groups. Fewer intervention than control patients received systemic cancer treatment; 79% versus 89%, respectively (&lt;i&gt;p&lt;/i&gt;&lt; 0.001). Total average costs of hospital care during 12 months follow-up were €32,700 for intervention versus €40,700 for control patients (&lt;i&gt;p&lt;/i&gt; = 0.04 with bootstrap analyses). Multivariable multilevel models showed that lower average costs of care in the intervention group related to differences between study groups in country, religion and WHO-status. No effect of the intervention on differences in costs between study groups was observed (&lt;i&gt;p&lt;/i&gt; = 0.3). Lower care costs as observed in the intervention group were mainly related to patients' characteristics. A definite impact of the intervention itself could not be established.</t>
  </si>
  <si>
    <t>Exercise and Nutritional Interventions in Patients with Advanced Gastroesophageal Cancer: A Systematic Review.</t>
  </si>
  <si>
    <t>Besseling, Joost; van Velzen, Merel; Wierdsma, Nicolette; Alonso-Duin, Kelly Silverio; Weijs, Peter; May, Anne M; van Laarhoven, Hanneke</t>
  </si>
  <si>
    <t>journal of gastrointestinal cancer</t>
  </si>
  <si>
    <t>https://pubmed.ncbi.nlm.nih.gov/36509935</t>
  </si>
  <si>
    <t>The quality of life and survival of patients with advanced gastroesophageal cancer can be improved. Positive effects of exercise and nutritional interventions on quality of life and potential effects on cancer outcomes are found in gastroesophageal cancer in the curative setting, as well as in other cancer types. We therefore systematically reviewed the current literature on the effect of exercise and nutritional interventions on various outcomes in patients with advanced gastroesophageal cancer. We searched on the 11th of June 2021 in Pubmed, Embase and the Cochrane library for publications of randomized trials and observational studies on exercise and nutritional interventions (either combined or as separate intervention) in patients with advanced gastroesophageal cancer. The outcomes of interest were overall survival, progression free survival, quality of life, chemotherapy toxicity, and chemotherapy adherence. We screened 1,764 records for eligibility and included one study in our analysis. The other 1,763 were excluded for various reasons, most frequently an incorrect study population (e.g. both curable and incurable patients) or an incorrect intervention. One retrospective cohort study of 40 patients with advanced gastric cancer who received first line chemotherapy was included. It was stated that 'no significant differences in terms of overall and progression free survival were reported between the two groups of patients.' No absolute numbers were provided. Our systematic review did not identify any high quality studies on exercise and nutritional interventions in advanced gastroesophageal cancer. We deem a randomized clinical trial on this topic to be highly needed.</t>
  </si>
  <si>
    <t>Dynamics of Antibody and T Cell Immunity against SARS-CoV-2 Variants of Concern and the Impact of Booster Vaccinations in Previously Infected and Infection-Naïve Individuals.</t>
  </si>
  <si>
    <t>Faas, Michel R; Mak, Willem A; Markus, Hilde Y; van der Zwan, Ellen M; van der Vliet, Marijke; Koeleman, Johannes G M; Ong, David S Y</t>
  </si>
  <si>
    <t>https://pubmed.ncbi.nlm.nih.gov/36560542</t>
  </si>
  <si>
    <t>Despite previous coronavirus disease 2019 (COVID-19) vaccinations and severe acute respiratory syndrome coronavirus 2 (SARS-CoV-2) infections, SARS-CoV-2 still causes a substantial number of infections due to the waning of immunity and the emergence of new variants. Here, we assessed the SARS-CoV-2 spike subunit 1 (S1)-specific T cell responses, anti-SARS-CoV-2 receptor-binding domain (RBD) IgG serum concentrations, and the neutralizing activity of serum antibodies before and one, four, and seven months after the BNT162b2 or mRNA-1273 booster vaccination in a cohort of previously infected and infection-naïve healthcare workers (HCWs). Additionally, we assessed T cell responses against the spike protein of the SARS-CoV-2 Delta, Omicron BA.1 and BA.2 variants of concern (VOC). We found that S1-specific T cell responses, anti-RBD IgG concentrations, and neutralizing activity significantly increased one month after booster vaccination. Four months after booster vaccination, T cell and antibody responses significantly decreased but levels remained steady thereafter until seven months after booster vaccination. After a similar number of vaccinations, previously infected individuals had significantly higher S1-specific T cell, anti-RBD IgG, and neutralizing IgG responses than infection-naïve HCWs. Strikingly, we observed overall cross-reactive T cell responses against different SARS-CoV-2 VOC in both previously infected and infection-naïve HCWs. In summary, COVID-19 booster vaccinations induce strong T cell and neutralizing antibody responses and the presence of T cell responses against SARS-CoV-2 VOC suggest that vaccine-induced T cell immunity offers cross-reactive protection against different VOC.</t>
  </si>
  <si>
    <t>Pembrolizumab in Asian patients with microsatellite-instability-high/mismatch-repair-deficient colorectal cancer.</t>
  </si>
  <si>
    <t>Yoshino, Takayuki; Andre, Thierry; Kim, Tae Won; Yong, Wei Peng; Shiu, Kai-Keen; Jensen, Benny Vittrup; Jensen, Lars Henrik; Punt, Cornelis J A; Smith, Denis; Garcia-Carbonero, Rocio; Alcaide-Garcia, Julia; Gibbs, Peter; de la Fouchardiere, Christelle; Rivera, Fernando; Elez, Elena; Le, Dung T; Adachi, Noriaki; Fogelman, David; Marinello, Patricia; Diaz, Luis A</t>
  </si>
  <si>
    <t>cancer science</t>
  </si>
  <si>
    <t>https://pubmed.ncbi.nlm.nih.gov/36369901</t>
  </si>
  <si>
    <t>The phase 3 KEYNOTE-177 study evaluated pembrolizumab versus chemotherapy with or without bevacizumab or cetuximab in patients with newly diagnosed, microsatellite-instability-high (MSI-H)/mismatch-repair-deficient (dMMR) metastatic colorectal cancer (mCRC). Primary endpoints were progression-free survival (PFS) per RECIST v1.1 by blinded independent central review (BICR) and overall survival (OS). Secondary endpoints were overall response rate (ORR) per RECIST v1.1 by BICR and safety. Here, we report results from the post hoc analysis of patients who were enrolled in Asia from the final analysis (FA) of KEYNOTE-177. A total of 48 patients from Japan, Korea, Singapore, and Taiwan (pembrolizumab, n = 22; chemotherapy, n = 26) were included. At FA, median time from randomization to data cutoff (February 19, 2021) was 45.3 (range 38.1-57.8) months with pembrolizumab and 43.9 (range 36.6-55.1) months with chemotherapy. Median PFS was not reached (NR; 95% confidence interval [CI] 1.9 months-NR) with pembrolizumab versus 10.4 (95% CI 6.3-22.0) months with chemotherapy (hazard ratio [HR] 0.56, 95% CI 0.26-1.20). Median OS was NR (range 13.8 months-NR) versus 30.0 (14.7-NR) months (HR 0.65, 95% CI 0.27-1.55) and ORR was 50% (95% CI 28-72) versus 46% (95% CI 27-67). Grade 3/4 treatment-related adverse events (TRAEs) were reported by two patients (9%) in the pembrolizumab arm and 20 (80%) in the chemotherapy arm. Immune-mediated adverse events or infusion reactions were reported by six patients (27%) and 10 patients (40%), respectively. No deaths due to TRAEs occurred. These data support first-line pembrolizumab as a standard of care for patients from Asia with MSI-H/dMMR mCRC. ClinicalTrials.gov identifier: NCT02563002.</t>
  </si>
  <si>
    <t>Loss of soluble guanylyl cyclase in platelets contributes to atherosclerotic plaque formation and vascular inflammation.</t>
  </si>
  <si>
    <t>Mauersberger, Carina; Sager, Hendrik B; Wobst, Jana; Dang, Tan An; Lambrecht, Laura; Koplev, Simon; Stroth, Marlène; Bettaga, Noomen; Schlossmann, Jens; Wunder, Frank; Friebe, Andreas; Björkegren, Johan L M; Dietz, Lisa; Maas, Sanne L; van der Vorst, Emiel P C; Sandner, Peter; Soehnlein, Oliver; Schunkert, Heribert; Kessler, Thorsten</t>
  </si>
  <si>
    <t>nature cardiovascular research</t>
  </si>
  <si>
    <t>https://pubmed.ncbi.nlm.nih.gov/37484062</t>
  </si>
  <si>
    <t>Variants in genes encoding the soluble guanylyl cyclase (sGC) in platelets are associated with coronary artery disease (CAD) risk. Here, by using histology, flow cytometry and intravital microscopy, we show that functional loss of sGC in platelets of atherosclerosis-prone &lt;i&gt;Ldlr&lt;/i&gt;&lt;sup&gt;-/-&lt;/sup&gt; mice contributes to atherosclerotic plaque formation, particularly via increasing in vivo leukocyte adhesion to atherosclerotic lesions. In vitro experiments revealed that supernatant from activated platelets lacking sGC promotes leukocyte adhesion to endothelial cells (ECs) by activating ECs. Profiling of platelet-released cytokines indicated that reduced platelet angiopoietin-1 release by sGC-depleted platelets, which was validated in isolated human platelets from carriers of &lt;i&gt;GUCY1A1&lt;/i&gt; risk alleles, enhances leukocyte adhesion to ECs. I mp or ta ntly, p ha rm ac ol ogical sGC stimulation increased platelet angiopoietin-1 release in vitro and reduced leukocyte recruitment and atherosclerotic plaque formation in atherosclerosis-prone &lt;i&gt;Ldlr&lt;/i&gt;&lt;sup&gt;-/-&lt;/sup&gt; mice. Therefore, pharmacological sGC stimulation might represent a potential therapeutic strategy to prevent and treat CAD.</t>
  </si>
  <si>
    <t>Melanomas in children and adolescents: Clinicopathologic features and survival outcomes.</t>
  </si>
  <si>
    <t>El Sharouni, Mary-Ann; Rawson, Robert V; Potter, Alison J; Paver, Elizabeth C; Wilmott, James S; Witkamp, Arjen J; Sigurdsson, Vigfús; van Diest, Paul J; Scolyer, Richard A; Thompson, John F; Lo, Serigne N; van Gils, Carla H</t>
  </si>
  <si>
    <t>https://pubmed.ncbi.nlm.nih.gov/36509217</t>
  </si>
  <si>
    <t>Melanomas in the first 2 decades of life are uncommon and poorly understood. To assess clinicopathologic features and survival of children (≤11 years) and adolescents (12-19 years) diagnosed with melanoma. A pooled cohort of 514 patients was analyzed (397 Dutch, 117 Australian; 62 children, 452 adolescents). Pathology reports were reevaluated to determine melanoma subtypes. Multivariable Cox models were generated for recurrence-free survival (RFS) and overall survival (OS). Melanoma subtypes were conventional melanoma (superficial spreading, nodular, desmoplastic, and acral lentiginous), spitzoid melanoma, and melanoma associated with a congenital nevus in 428, 78, and 8 patients, respectively. Ten-year RFS was 91.5% (95% confidence interval [CI], 82.4%-100%) in children and 86.4% (95% CI, 82.7%-90.3%) in adolescents (P = .32). Ten-year OS was 100% in children and 92.7% (95% CI, 89.8%-95.8%) in adolescents (P = .09). On multivariable analysis possible only for the adolescent cohort due to the small number of children, ulceration status, and anatomic site were associated with RFS and OS, whereas age, sex, mitotic index, sentinel node status and melanoma subtype were not. Breslow thickness &gt;4 mm was associated with worse RFS. Retrospective study. Survival rates for children and adolescents with melanomas were high. Ulceration, head or neck location and Breslow thickness &gt;4 mm predicted worse survival in adolescents.</t>
  </si>
  <si>
    <t>Dietary Intake of 91 Individual Polyphenols and 5-Year Body Weight Change in the EPIC-PANACEA Cohort.</t>
  </si>
  <si>
    <t>Gil-Lespinard, Mercedes; Castañeda, Jazmín; Almanza-Aguilera, Enrique; Gómez, Jesús Humberto; Tjønneland, Anne; Kyrø, Cecilie; Overvad, Kim; Katzke, Verena; Schulze, Matthias B; Masala, Giovanna; Agnoli, Claudia; Santucci de Magistris, Maria; Tumino, Rosario; Sacerdote, Carlotta; Skeie, Guri; Lasheras, Cristina; Molina-Montes, Esther; Huerta, José María; Barricarte, Aurelio; Amiano, Pilar; Sonestedt, Emily; da Silva, Marisa; Johansson, Ingegerd; Hultdin, Johan; May, Anne M; Forouhi, Nita G; Heath, Alicia K; Freisling, Heinz; Weiderpass, Elisabete; Scalbert, Augustin; Zamora-Ros, Raul</t>
  </si>
  <si>
    <t>antioxidants basel switzerland</t>
  </si>
  <si>
    <t>https://pubmed.ncbi.nlm.nih.gov/36552633</t>
  </si>
  <si>
    <t>Polyphenols are bioactive compounds from plants with antioxidant properties that may have a protective role against body weight gain, with adipose tissue and systemic oxidative stress as potential targets. We aimed to investigate the dietary intake of individual polyphenols and their association with 5-year body weight change in a sub-cohort of the European Prospective Investigation into Cancer and Nutrition (EPIC). This study included 349,165 adult participants from nine European countries. Polyphenol intake was estimated through country-specific validated dietary questionnaires and the Phenol-Explorer database. Body weight was obtained at recruitment and after a mean follow-up time of 5 years. Associations were estimated using multilevel mixed linear regression models. From 91 polyphenols included, the majority (n = 67) were inversely associated with 5-year body weight change after FDR-correction (q &lt; 0.05). The greatest inverse associations were observed for quercetin 3-O-rhamnoside (change in weight for doubling in intake: −0.071 (95% CI: −0.085; −0.056) kg/5 years). Only 13 polyphenols showed positive associations with body weight gain, mainly from the subclass hydroxycinnamic acids (HCAs) with coffee as the main dietary source, such as 4-caffeoylquinic acid (0.029 (95% CI: 0.021; 0.038) kg/5 years). Individual polyphenols with fruit, tea, cocoa and whole grain cereals as the main dietary sources may contribute to body weight maintenance in adults. Individual HCAs may have different roles in body weight change depending on their dietary source.</t>
  </si>
  <si>
    <t>Tumor-Infiltrating Lymphocyte Therapy or Ipilimumab in Advanced Melanoma.</t>
  </si>
  <si>
    <t xml:space="preserve">Rohaan, Maartje W; Borch, Troels H; van den Berg, Joost H; Met, Özcan; Kessels, Rob; Geukes Foppen, Marnix H; Stoltenborg Granhøj, Joachim; Nuijen, Bastiaan; Nijenhuis, Cynthia; Jedema, Inge; van Zon, Maaike; Scheij, Saskia; Beijnen, Jos H; Hansen, Marten; Voermans, Carlijn; Noringriis, Inge M; Monberg, Tine J; Holmstroem, Rikke B; Wever, Lidwina D V; van Dijk, Marloes; Grijpink-Ongering, Lindsay G; Valkenet, Ludy H M; Torres Acosta, Alejandro; Karger, Matthias; Borgers, Jessica S W; Ten Ham, Renske M T; Retèl, Valesca P; van Harten, Wim H; Lalezari, Ferry; van Tinteren, Harm; van der Veldt, Astrid A M; Hospers, Geke A P; Stevense-den Boer, Marion A M; Suijkerbuijk, Karijn P M; Aarts, Maureen J B; Piersma, Djura; van den Eertwegh, Alfons J M; de Groot, Jan-Willem B; Vreugdenhil, Gerard; Kapiteijn, Ellen; Boers-Sonderen, Marye J; Fiets, W Edward; van den Berkmortel, Franchette W P J; Ellebaek, Eva; Hölmich, Lisbet R; van Akkooi, Alexander C J; van Houdt, Winan J; Wouters, Michel W J M; </t>
  </si>
  <si>
    <t>https://pubmed.ncbi.nlm.nih.gov/36477031</t>
  </si>
  <si>
    <t>Immune checkpoint inhibitors and targeted therapies have dramatically improved outcomes in patients with advanced melanoma, but approximately half these patients will not have a durable benefit. Phase 1-2 trials of adoptive cell therapy with tumor-infiltrating lymphocytes (TILs) have shown promising responses, but data from phase 3 trials are lacking to determine the role of TILs in treating advanced melanoma. In this phase 3, multicenter, open-label trial, we randomly assigned patients with unresectable stage IIIC or IV melanoma in a 1:1 ratio to receive TIL or anti-cytotoxic T-lymphocyte antigen 4 therapy (ipilimumab at 3 mg per kilogram of body weight). Infusion of at least 5×10&lt;sup&gt;9&lt;/sup&gt; TILs was preceded by nonmyeloablative, lymphodepleting chemotherapy (cyclophosphamide plus fludarabine) and followed by high-dose interleukin-2. The primary end point was progression-free survival. A total of 168 patients (86% with disease refractory to anti-programmed death 1 treatment) were assigned to receive TILs (84 patients) or ipilimumab (84 patients). In the intention-to-treat population, median progression-free survival was 7.2 months (95% confidence interval [CI], 4.2 to 13.1) in the TIL group and 3.1 months (95% CI, 3.0 to 4.3) in the ipilimumab group (hazard ratio for progression or death, 0.50; 95% CI, 0.35 to 0.72; P&lt;0.001); 49% (95% CI, 38 to 60) and 21% (95% CI, 13 to 32) of the patients, respectively, had an objective response. Median overall survival was 25.8 months (95% CI, 18.2 to not reached) in the TIL group and 18.9 months (95% CI, 13.8 to 32.6) in the ipilimumab group. Treatment-related adverse events of grade 3 or higher occurred in all patients who received TILs and in 57% of those who received ipilimumab; in the TIL group, these events were mainly chemotherapy-related myelosuppression. In patients with advanced melanoma, progression-free survival was significantly longer among those who received TIL therapy than among those who received ipilimumab. (Funded by the Dutch Cancer Society and others; ClinicalTrials.gov number, NCT02278887.).</t>
  </si>
  <si>
    <t>Non-HDL-C and LDL-C/HDL-C are associated with self-reported cardiovascular disease in a rural West African population: Analysis of an array of lipid metrics in an AWI-Gen sub-study.</t>
  </si>
  <si>
    <t>Agongo, Godfred; Raal, Frederick; Nonterah, Engelbert A; Debpuur, Cornelius; Oduro, Abraham R; Ramsay, Michèle; Crowther, Nigel J</t>
  </si>
  <si>
    <t>https://pubmed.ncbi.nlm.nih.gov/36477684</t>
  </si>
  <si>
    <t>Few studies have compared the utility of serum levels of lipid fractions in cardiovascular disease (CVD) risk assessment in sub-Saharan Africa (SSA). The current study interrogated this question among men and women aged 40-60 years in rural northern Ghana. This was a cross-sectional study in which data was collected on socio-demography, behaviour, health history, anthropometry and lipid levels. Adjusted multivariable logistic regression models were used to assess the association of various lipid metrics with CVD. All tests were considered statistically significant at P&lt;0.05. Data were available for 1839 participants. The prevalence of self-reported CVD was 1.6% (n = 29). Non-HDL-C (median (interquartile range): 2.4 (1.9-3.0) vs 2.0 (1.6-2.5) mmol/L; P = 0.009), LDL-C/HDL-C (1.8 (1.4-2.4) vs 1.5 (1.1-2.6); P = 0.019) and TC/HDL-C (3.3 (2.9-3.9) vs 2.9 (2.4-3.5); P = 0.003) were all significantly higher in participants with self-reported CVD compared to those without. However, after adjusting for socioeconomic status (SES) and meals from vendors in a logistic regression model, only non-HDL-C (odds ratio [95% CIs]): (1.58 [1.05, 2.39]), P = 0.029 and LDL-C/HDL-C levels (odds ratio [95% CIs]): (1.26 [1.00, 1.59]), P = 0.045 remained significantly associated with self-reported CVD. While our findings suggest non-HDL-C and LDL-C/HDL-C measures may be appropriate biomarkers for assessing CVD risk in this population, further studies using established clinical endpoints are required to validate these findings in sub-Saharan Africans.</t>
  </si>
  <si>
    <t>Cardiovascular Risk Factor Burden and Association With CKD in Ghana and Nigeria.</t>
  </si>
  <si>
    <t>Olanrewaju, Timothy O; Osafo, Charlotte; Raji, Yemi R; Mamven, Manmak; Ajayi, Samuel; Ilori, Titilayo O; Arogundade, Fatiu A; Ulasi, Ifeoma I; Gbadegesin, Rasheed; Parekh, Rulan S; Tayo, Bamidele; Adeyemo, Adebowale A; Adedoyin, Olanrewaju T; Chijioke, Adindu A; Bewaji, Clement; Grobbee, Diederick E; Blankestijn, Peter J; Klipstein-Grobusch, Kerstin; Salako, Babatunde L; Adu, Dwomoa; Ojo, Akinlolu O; ,</t>
  </si>
  <si>
    <t>https://pubmed.ncbi.nlm.nih.gov/36938080</t>
  </si>
  <si>
    <t>Cardiovascular disease is the leading cause of morbidity and mortality in patients with chronic kidney disease (CKD); however, the burden of cardiovascular risk factors in patients with CKD in Africa is not well characterized. We determined the prevalence of selected cardiovascular risk factors, and association with CKD in the Human Heredity for Health in Africa Kidney Disease Research Network study. We recruited patients with and without CKD in Ghana and Nigeria. CKD was defined as estimated glomerular filtration rate of &lt;60 ml/min per 1.73 m&lt;sup&gt;2&lt;/sup&gt; and/or albuminuria as albumin-to-creatinine ratio &lt;3.0 mg/mmol (&lt;30 mg/g) for ≥3 months. We assessed self-reported (physician-diagnosis and/or use of medication) hypertension, diabetes, and elevated cholesterol; and self-reported smoking as cardiovascular risk factors. Association between the risk factors and CKD was determined by multivariate logistic regression. We enrolled 8396 participants (cases with CKD, 3956), with 56% females. The mean age (45.5 ± 15.1 years) did not differ between patients and control group. The prevalence of hypertension (59%), diabetes (20%), and elevated cholesterol (9.9%), was higher in CKD patients than in the control participants (&lt;i&gt;P&lt;/i&gt; &lt; 0.001). Prevalence of risk factors was higher in Ghana than in Nigeria. Hypertension (adjusted odds ratio [aOR] = 1.69 [1.43-2.01, &lt;i&gt;P&lt;/i&gt; &lt; 0.001]), elevated cholesterol (aOR = 2.0 [1.39-2.86, &lt;i&gt;P&lt;/i&gt; &lt; 0.001]), age &gt;50 years, and body mass index (BMI) &lt;18.5 kg/m&lt;sup&gt;2&lt;/sup&gt; were independently associated with CKD. The association of diabetes and smoking with CKD was modified by other risk factors. Cardiovascular risk factors are prevalent in middle-aged adult patients with CKD in Ghana and Nigeria, with higher proportions in Ghana than in Nigeria. Hypertension, elevated cholesterol, and underweight were independently associated with CKD.</t>
  </si>
  <si>
    <t>Long-term Survival Update and Extended RAS Mutational Analysis of the CAIRO2 Trial: Addition of Cetuximab to CAPOX/Bevacizumab in Metastatic Colorectal Cancer.</t>
  </si>
  <si>
    <t>Ten Hoorn, Sanne; Mol, Linda; Sommeijer, Dirkje W; Nijman, Lisanne; van den Bosch, Tom; de Back, Tim R; Ylstra, Bauke; van Dijk, Erik; van Noesel, Carel J M; Reinten, Roy J; Nagtegaal, Iris D; Koopman, Miriam; Punt, Cornelis J A; Vermeulen, Louis</t>
  </si>
  <si>
    <t>clinical colorectal cancer</t>
  </si>
  <si>
    <t>https://pubmed.ncbi.nlm.nih.gov/36564280</t>
  </si>
  <si>
    <t>Here we present updated survival of the CAIRO2 trial and assessed whether the addition of anti-EGFR to anti-VEGF therapy could still be an effective treatment option for patients with extended RAS/BRAF wildtype and left-sided metastatic colorectal cancer (mCRC). Retrospective updated survival and extended RAS and BRAF V600E mutational analysis were performed in the CAIRO2 trial, a multicenter, randomized phase III trial on the effect of adding cetuximab to a combination of capecitabine, oxaliplatin (CAPOX), and bevacizumab in mCRC. Updated survival analysis confirmed that the addition of cetuximab did not provide a benefit on either progression free (PFS) or overall survival (OS) in the intention-to-treat population. With the extended mutational analyses 31 KRAS, 31 NRAS and 12 BRAF V600E additional mutations were found. No benefit of the addition of cetuximab was observed within the extended wildtype group, even when selecting only left-sided tumors (PFS HR 0.96, p = 0.7775). However, compared to the original trial an increase of 6.5 months was seen for patients with both extended wildtype and left-sided tumors (median OS 28.6 months). Adding cetuximab to CAPOX and bevacizumab does not provide clinical benefit in patients with mCRC, even in the extended wildtype group with left-sided tumors. However, in the extended wildtype group we did observe clinically relevant higher survival compared to the initial trial report, indicating that it is important to analyze a broader panel of RAS and BRAF variants using more recent sequencing techniques when assessing survival benefit after anti-EGFR therapy.</t>
  </si>
  <si>
    <t>Whole-body CD8&lt;sup&gt;+&lt;/sup&gt; T cell visualization before and during cancer immunotherapy: a phase 1/2 trial.</t>
  </si>
  <si>
    <t>Kist de Ruijter, Laura; van de Donk, Pim P; Hooiveld-Noeken, Jahlisa S; Giesen, Danique; Elias, Sjoerd G; Lub-de Hooge, Marjolijn N; Oosting, Sjoukje F; Jalving, Mathilde; Timens, Wim; Brouwers, Adrienne H; Kwee, Thomas C; Gietema, Jourik A; Fehrmann, Rudolf S N; Fine, Bernard M; Sanabria Bohórquez, Sandra M; Yadav, Mahesh; Koeppen, Hartmut; Jing, Jing; Guelman, Sebastian; Lin, Mark T; Mamounas, Michael J; Eastham, Jeffrey Ryan; Kimes, Patrick K; Williams, Simon P; Ungewickell, Alexander; de Groot, Derk J A; de Vries, Elisabeth G E</t>
  </si>
  <si>
    <t>https://pubmed.ncbi.nlm.nih.gov/36471036</t>
  </si>
  <si>
    <t>Immune checkpoint inhibitors (ICIs), by reinvigorating CD8&lt;sup&gt;+&lt;/sup&gt; T cell mediated immunity, have revolutionized cancer therapy. Yet, the systemic CD8&lt;sup&gt;+&lt;/sup&gt; T cell distribution, a potential biomarker of ICI response, remains poorly characterized. We assessed safety, imaging dose and timing, pharmacokinetics and immunogenicity of zirconium-89-labeled, CD8-specific, one-armed antibody positron emission tomography tracer &lt;sup&gt;89&lt;/sup&gt;ZED88082A in patients with solid tumors before and ~30 days after starting ICI therapy (NCT04029181). No tracer-related side effects occurred. Positron emission tomography imaging with 10 mg antibody revealed &lt;sup&gt;89&lt;/sup&gt;ZED88082A uptake in normal lymphoid tissues, and tumor lesions across the body varying within and between patients two days after tracer injection (n = 38, median patient maximum standard uptake value (SUV&lt;sub&gt;max&lt;/sub&gt;) 5.2, IQI 4.0-7.4). Higher SUV&lt;sub&gt;max&lt;/sub&gt; was associated with mismatch repair deficiency and longer overall survival. Uptake was higher in lesions with stromal/inflamed than desert immunophenotype. Tissue radioactivity was localized to areas with immunohistochemically confirmed CD8 expression. Re-imaging patients on treatment showed no change in average (geometric mean) tumor tracer uptake compared to baseline, but individual lesions showed diverse changes independent of tumor response. The imaging data suggest enormous heterogeneity in CD8&lt;sup&gt;+&lt;/sup&gt; T cell distribution and pharmacodynamics within and between patients. In conclusion, &lt;sup&gt;89&lt;/sup&gt;ZED88082A can characterize the complex dynamics of CD8&lt;sup&gt;+&lt;/sup&gt; T cells in the context of ICIs, and may inform immunotherapeutic treatments.</t>
  </si>
  <si>
    <t>The DIAbetes MANagement and Treatment (DIAMANT) Cohort.</t>
  </si>
  <si>
    <t>Overbeek, Jetty A; Swart, Karin M A; van der Pal, Emma Y M; Blom, Marieke T; Beulens, Joline W J; Nijpels, Giel; Elders, Petra J M; Herings, Ron M C</t>
  </si>
  <si>
    <t>clinical epidemiology</t>
  </si>
  <si>
    <t>https://pubmed.ncbi.nlm.nih.gov/36506003</t>
  </si>
  <si>
    <t>The increasing number of people with diabetes and the unclear long-term safety and effectiveness of newer and older blood-glucose-lowering treatments emphasize the need for more pharmaco-epidemiological studies in this field. A prospective, regularly updated cohort of people with diabetes would provide quick and up-to-date information regarding prevalence, treatment, safety and effectiveness. The current aim was to describe the design of the DIAbetes MANagement and Treatment (DIAMANT) cohort. The DIAMANT cohort is a population-based, dynamic, prospective cohort of persons with diabetes. It contains real-world data (RWD) from general practitioners (GP), including diagnoses, symptoms, examinations, communication to/from specialists and medication. Diabetes is defined as a recorded diabetes diagnosis or a prescription of drugs used in diabetes. The cohort is part of the national infrastructure of "Stichting Informatievoorziening voor Zorg en Onderzoek" (STIZON) and is linked to other data sources. Currently, the cohort enables access to information of 89,883 patients in 2004 to 344,914 in 2020 (6% T1D, 84% T2D and 10% unclassified type of diabetes), with 193,931 participants still registered as being present in the GP practice (active) in 2020. The frequency of follow-up of persons with diabetes is practice dependent. The Dutch guidelines advise 2-4 contacts per year with a more extensive yearly check-up. The DIAMANT cohort is updated several times a year. Anonymised data from the DIAMANT cohort are available to researchers. The DIAMANT cohort provides the opportunity to gain RWD insights into the treatment and outcomes among people with diabetes in daily general practice. The data can be enriched by established linkages to other data sources (eg, hospital data, the Perinatal Registry, the Cancer Registry). The DIAMANT cohort serves as a start of a national infrastructure to study, manage and provide personalised care in order to ultimately improve care and outcomes for people with diabetes.</t>
  </si>
  <si>
    <t>Duration of Referral-to-Death and its Associated Factors Among Cancer and Noncancer Patients: Retrospective Cohort Study of a Community Palliative Care Setting in Malaysia.</t>
  </si>
  <si>
    <t>Yip, Yan Yee; Hwong, Wen Yea; McCarthy, Sylvia Ann; Hassan Chin, Aidah Abdul; Woon, Yuan Liang</t>
  </si>
  <si>
    <t>journal of palliative care</t>
  </si>
  <si>
    <t>https://pubmed.ncbi.nlm.nih.gov/36464769</t>
  </si>
  <si>
    <t>&lt;b&gt;Background:&lt;/b&gt; Addressing timely community palliative care integration is prioritized due to the increased burden of noncommunicable diseases. &lt;b&gt;Objectives:&lt;/b&gt; To compare referral-to-death duration among palliative cancer and noncancer patients and to determine its associated factors in a Malaysian community palliative care center. &lt;b&gt;Methods:&lt;/b&gt; This retrospective cohort study included decedents referred to a Malaysian community palliative care center between January 2017 and December 2019. Referral-to-death is the interval between the date of community palliative care referral and to date of death. Besides descriptive analyses, negative binomial regression analyses were conducted to identify factors associated with referral-to-death among both groups. &lt;b&gt;Results:&lt;/b&gt; Of 4346 patients referred, 86.7% (&lt;i&gt;n&lt;/i&gt;  =  3766) and 13.3% (&lt;i&gt;n&lt;/i&gt;  =  580) had primary diagnoses of cancer and noncancer respectively. Median referral-to-death was 32 days (interquartile range [IQR]: 12-81) among cancer patients and 19 days (IQR: 7-78) among noncancer patients. The shortest referral-to-death among cancer patients was for liver cancer (median: 22 days; IQR: 8-58.5). Noncancer patients with dementia, heart failure, and multisystem organ failure had the shortest referral-to-death at 14 days. Among cancer patients, longer referral-to-death was associated with women compared to men (IRR: 1.26; 95% CI: 1.16-1.36) and patients 80 to 94 years old compared to those below 50 years old (IRR: 1.19; 95% CI: 1.02-1.38). Cancer patients with analgesics prescribed before or upon referral had 29% fewer palliative care days compared to no prescribing analgesics. In contrast, noncancer patients 50 to 64 years old had shorter referral-to-death compared to those below 50 years old (IRR: 0.51; 95% CI: 0.28-0.91). &lt;b&gt;Conclusion:&lt;/b&gt; Shorter referral-to-death among noncancer patients indicated possible access inequities with delayed community palliative care integration. Factors associated with referral-to-death are considered in developing targeted approaches ensuring timely and equitable community palliative care.</t>
  </si>
  <si>
    <t>Dupilumab has a profound effect on specific-IgE levels of several food allergens in atopic dermatitis patients.</t>
  </si>
  <si>
    <t>Spekhorst, Lotte S; van der Rijst, Lisa P; de Graaf, Marlies; van Megen, Maxime; Zuithoff, Nicolaas P A; Knulst, André C; de Bruin-Weller, Marjolein S; Le, Thuy-My</t>
  </si>
  <si>
    <t>https://pubmed.ncbi.nlm.nih.gov/36420598</t>
  </si>
  <si>
    <t>Indicators of questionable research practices were identified in 163,129 randomized controlled trials.</t>
  </si>
  <si>
    <t>Damen, Johanna A; Heus, Pauline; Lamberink, Herm J; Tijdink, Joeri K; Bouter, Lex; Glasziou, Paul; Moher, David; Otte, Willem M; Vinkers, Christiaan H; Hooft, Lotty</t>
  </si>
  <si>
    <t>https://pubmed.ncbi.nlm.nih.gov/36470577</t>
  </si>
  <si>
    <t>To explore indicators of the following questionable research practices (QRPs) in randomized controlled trials (RCTs): (1) risk of bias in four domains (random sequence generation, allocation concealment, blinding of participants and personnel, and blinding of outcome assessment); (2) modifications in primary outcomes that were registered in trial registration records (proxy for selective reporting bias); (3) ratio of the achieved to planned sample sizes; and (4) statistical discrepancy. Full texts of all human RCTs published in PubMed in 1996-2017 were automatically identified and information was collected automatically. Potential indicators of QRPs included author-specific, publication-specific, and journal-specific characteristics. Beta, logistic, and linear regression models were used to identify associations between these potential indicators and QRPs. We included 163,129 RCT publications. The median probability of bias assessed using Robot Reviewer software ranged between 43% and 63% for the four risk of bias domains. A more recent publication year, trial registration, mentioning of CONsolidated Standards Of Reporting Trials-checklist, and a higher journal impact factor were consistently associated with a lower risk of QRPs. This comprehensive analysis provides an insight into indicators of QRPs. Researchers should be aware that certain characteristics of the author team and publication are associated with a higher risk of QRPs.</t>
  </si>
  <si>
    <t>Long-term cardiovascular health status and physical functioning of nonhospitalized patients with COVID-19 compared with non-COVID-19 controls.</t>
  </si>
  <si>
    <t>van der Sluijs, Koen M; Bakker, Esmée A; Schuijt, Tim J; Joseph, Jayaraj; Kavousi, Maryam; Geersing, Geert-Jan; Rutten, Frans H; Hartman, Yvonne A W; Thijssen, Dick H J; Eijsvogels, Thijs M H</t>
  </si>
  <si>
    <t>american journal of physiology heart and circulatory physiology</t>
  </si>
  <si>
    <t>https://pubmed.ncbi.nlm.nih.gov/36459448</t>
  </si>
  <si>
    <t>Coronavirus disease 2019 (COVID-19) is reported to have long-term effects on cardiovascular health and physical functioning, even in the nonhospitalized population. The physiological mechanisms underlying these long-term consequences are however less well described. We compared cardiovascular risk factors, arterial stiffness, and physical functioning in nonhospitalized patients with COVID-19, at a median of 6 mo postinfection, versus age- and sex-matched controls. Cardiovascular risk was assessed using blood pressure and biomarker concentrations (amino-terminal pro-B-type-natriuretic-peptide, high-sensitive cardiac troponin I, C-reactive protein), and arterial stiffness was assessed using carotid-femoral pulse wave velocity. Physical functioning was evaluated using accelerometry, handgrip strength, gait speed and questionnaires on fatigue, perceived general health status, and health-related quality of life (hrQoL). We included 101 former patients with COVID-19 (aged 59 [interquartile range, 55-65] yr, 58% male) and 101 controls. At 175 [126-235] days postinfection, 32% of the COVID-19 group reported residual symptoms, notably fatigue, and 7% required post-COVID-19 care. We found no differences in blood pressure, biomarker concentrations, or arterial stiffness between both groups. Former patients with COVID-19 showed a higher handgrip strength (43 [33-52] vs. 38 [30-48] kg, &lt;i&gt;P&lt;/i&gt; = 0.004) and less sleeping time (8.8 [7.7-9.4] vs. 9.8 [8.9-10.3] h/day, &lt;i&gt;P&lt;/i&gt; &lt; 0.001) and reported fatigue more often than controls. Accelerometry-based habitual physical activity levels, gait speed, perception of general health status, and hrQoL were not different between groups. In conclusion, one in three nonhospitalized patients with COVID-19 reports residual symptoms at a median of 6 mo postinfection, but we were unable to relate these symptoms to increases in cardiovascular risk factors, arterial stiffness, or physical dysfunction.&lt;b&gt;NEW &amp; NOTEWORTHY&lt;/b&gt; We examined cardiovascular and physical functioning outcomes in nonhospitalized patients with COVID-19, at a median of 6 mo postinfection. When compared with matched controls, minor differences in physical functioning were found, but objective measures of cardiovascular risk and arterial stiffness did not differ between groups. However, one in three former patients with COVID-19 reported residual symptoms, notably fatigue. Follow-up studies should investigate the origins of residual symptoms and their long-term consequences in former, nonhospitalized patients with COVID-19.</t>
  </si>
  <si>
    <t>Association of Serum Dupilumab Levels at 16 Weeks With Treatment Response and Adverse Effects in Patients With Atopic Dermatitis: A Prospective Clinical Cohort Study From the BioDay Registry.</t>
  </si>
  <si>
    <t>Spekhorst, Lotte S; de Graaf, Marlies; Loeff, Floris; Zuithoff, Nicolaas P A; Bakker, Daphne; Boesjes, Celeste M; Thijs, Judith; Achten, Roselie; van Wijk, Femke; Rispens, Theo; de Bruin-Weller, Marjolein S</t>
  </si>
  <si>
    <t>jama dermatology</t>
  </si>
  <si>
    <t>https://pubmed.ncbi.nlm.nih.gov/36322072</t>
  </si>
  <si>
    <t>The registered dose of dupilumab for adult patients with atopic dermatitis (AD) is 300 mg every other week. At present, it is unknown whether serum dupilumab levels are associated with treatment response or adverse effects. To evaluate serum dupilumab levels at 16 weeks of treatment and to explore the association of serum dupilumab levels with treatment response and adverse effects in patients with AD. This clinical, prospective, observational cohort study used data from the prospective BioDay Registry including adult patients with AD who started dupilumab treatment and for whom a serum sample was available at 16 weeks of treatment. All patients were treated according to the BioDay protocol in the University Medical Center Utrecht in the Netherlands. Patients received a loading dose of dupilumab 600 mg subcutaneously, followed by 300 mg every other week. Patients who had a dose adjustment or discontinued treatment before 16 weeks of treatment were excluded. Data analyses were performed from January to June 2022. Disease severity of AD was assessed at baseline and at weeks 16 and 52 using the Eczema Area and Severity Index (EASI). Treatment response was defined as the percent reduction in EASI score vs the baseline score (eg, EASI 90 indicated a 90% reduction) and as an absolute EASI cutoff score of 7 or lower (controlled AD). Adverse effects were recorded during the first year. At 16 weeks, dupilumab serum levels and treatment responses were measured and analyzed. Multivariate logistic regression modeling was used to determine the prediction of response (EASI 90; EASI ≤7) and adverse effects at 52 weeks, with serum dupilumab levels at 16 weeks in the presence of the covariates age and sex. Among the total of 295 patients with AD (mean [SD] age, 41.5 [15.9] years; 170 [57.6%] men), the median (IQR [range]) drug level was 86.6 μg/mL (64.6-110.0 μg/mL [10.1-382.0 μg/mL]) at 16 weeks of treatment. No significant differences were found in serum dupilumab levels between responder statuses (EASI, &lt;50, 50, 75, or 90) at week 16. Multivariate logistic regression analysis showed nonsignificant odds ratios (ORs) for serum dupilumab levels at 16 weeks regarding prediction of long-term response (EASI ≥90: OR, 0.96 [95% CI, 0.90-1.04; P = .34] and EASI ≤7: OR, 1.03 [95% CI, 0.93-1.14; P = .55]) and adverse effects (OR, 1.01 [95% CI, 0.95-1.07; P = .83]). This prospective clinical cohort study found a broad range of serum dupilumab levels at 16 weeks of treatment and no association with treatment response and adverse effects during first year of treatment. Response may be dependent on target availability of the interleukin-4 receptor subunit α, with an interpatient variability producing heterogeneity in response.</t>
  </si>
  <si>
    <t>Coronary calcification measures predict mortality in symptomatic women and men.</t>
  </si>
  <si>
    <t>Siegersma, Klaske R; Groepenhoff, Floor; Eikendal, Anouk L M; Op den Brouw, Willemijn J; Leiner, Tim; Appelman, Yolande; Tulevski, Igor I; Somsen, G Aernout; Onland-Moret, N Charlotte; Hofstra, Leonard; den Ruijter, Hester M</t>
  </si>
  <si>
    <t>https://pubmed.ncbi.nlm.nih.gov/36581377</t>
  </si>
  <si>
    <t>To assess the prognostic value of absolute and sex-specific, age-specific and race/ethnicity-specific (Multi-Ethnic Study of Atherosclerosis, MESA) percentiles of coronary artery calcification in symptomatic women and men. The study population consisted of 4985 symptomatic patients (2793 women, 56%) visiting a diagnostic outpatient cardiology clinic between 2009 and 2018 who were referred for cardiac CT to determine Coronary Artery Calcium Score (CACS). Regular care data were used and these data were linked to the databases of Statistics Netherlands for all-cause mortality data. Kaplan-Meier curves, multivariate Cox proportional hazards regression and concordance statistics were used to evaluate the prognostic value of CACS and MESA percentiles. Women were older compared with men (60 vs 59 years). Median CACS was 0 (IQR: 0-54) in women and 42 (IQR: 0-54) in men. After a median follow-up of 4.4 years (IQR: 3.1-6.3), 116 (2.3%; 53 women and 63 men) patients died. MESA percentiles did not perform better compared with absolute CACS (C-statistic 0.65, 95% CI 0.57 to 0.73, vs 0.66, 95% CI 0.58 to 0.74, in women and 0.59, 95% CI 0.51 to 0.67, vs 0.62, 95% CI 0.55 to 0.69, in men, for the percentiles and absolute CACS, respectively). In symptomatic individuals absolute CACS predicts mortality with a moderately good performance. MESA percentiles did not perform better compared with absolute CACS, thus there is no need to use them. Including degree of stenosis in the model might slightly improve mortality risk prediction in women, but not in men.</t>
  </si>
  <si>
    <t>Dupilumab in daily practice for the treatment of pediatric atopic dermatitis: 28-week clinical and biomarker results from the BioDay registry.</t>
  </si>
  <si>
    <t>Kamphuis, Esmé; Boesjes, Celeste M; Loman, Laura; Bakker, Daphne S; Poelhekken, Mila; Zuithoff, Nicolaas P A; Kamsteeg, Marijke; Romeijn, Geertruida L E; van Wijk, Femke; de Bruin-Weller, Marjolein S; de Graaf, Marlies; Schuttelaar, Marie L A</t>
  </si>
  <si>
    <t>https://pubmed.ncbi.nlm.nih.gov/36564878</t>
  </si>
  <si>
    <t>Dupilumab has proven to be an effective and safe treatment for atopic dermatitis (AD) in pediatric patients in clinical trials. However, few daily practice studies are available. The aim of this study is to evaluate the effect of 28 weeks dupilumab treatment on effectiveness, safety, and serum biomarkers in pediatric patients with moderate-to-severe AD in daily practice. Patients visited the outpatient clinic at baseline, 4, 16, and 28 weeks of treatment. Disease severity was assessed by the Eczema Area and Severity Index (EASI), Investigator Global Assessment (IGA), Numeric Rating Scale (NRS)-pruritus and -pain, and the Patient-Oriented Eczema Measure (POEM). Side effects were evaluated. Nineteen severity-associated serum biomarkers were measured. Predicted-EASI (p-EASI) was calculated. Sixty-one patients were included. Respectively 75.4%, 49.2%, and 24.6% reached EASI-50, EASI-75, and EASI-90 and 36.1% achieved an IGA-score (almost) clear. Improvement of ≥4 points on POEM, NRS-pruritus, and NRS-pain was reached by 84.7%, 45.3%, and 77.4%, respectively. Most reported side effects were conjunctivitis (n = 10) and headache (n = 4). Biomarkers TARC, PARC, periostin, sIL-2Ra, and eotaxin-3 significantly decreased during treatment. The p-EASI showed a significant correlation with disease severity. Dupilumab treatment significantly improved disease severity and disease-associated symptoms and decreased severity-associated serum biomarkers in pediatric AD patients in daily practice.</t>
  </si>
  <si>
    <t>Association of Immune-Related Adverse Event Management With Survival in Patients With Advanced Melanoma.</t>
  </si>
  <si>
    <t>van Not, Olivier J; Verheijden, Rik J; van den Eertwegh, Alfonsus J M; Haanen, John B A G; Aarts, Maureen J B; van den Berkmortel, Franchette W P J; Blank, Christian U; Boers-Sonderen, Marye J; de Groot, Jan-Willem B; Hospers, Geke A P; Kamphuis, Anna M; Kapiteijn, Ellen; May, Anne M; de Meza, Melissa M; Piersma, Djura; van Rijn, Rozemarijn; Stevense-den Boer, Marion A; van der Veldt, Astrid A M; Vreugdenhil, Gerard; Blokx, Willeke A M; Wouters, Michel J M; Suijkerbuijk, Karijn P M</t>
  </si>
  <si>
    <t>https://pubmed.ncbi.nlm.nih.gov/36301521</t>
  </si>
  <si>
    <t>Management of checkpoint inhibitor-induced immune-related adverse events (irAEs) is primarily based on expert opinion. Recent studies have suggested detrimental effects of anti-tumor necrosis factor on checkpoint-inhibitor efficacy. To determine the association of toxic effect management with progression-free survival (PFS), overall survival (OS), and melanoma-specific survival (MSS) in patients with advanced melanoma treated with first-line ipilimumab-nivolumab combination therapy. This population-based, multicenter cohort study included patients with advanced melanoma experiencing grade 3 and higher irAEs after treatment with first-line ipilimumab and nivolumab between 2015 and 2021. Data were collected from the Dutch Melanoma Treatment Registry. Median follow-up was 23.6 months. The PFS, OS, and MSS were analyzed according to toxic effect management regimen. Cox proportional hazard regression was used to assess factors associated with PFS and OS. Of 771 patients treated with ipilimumab and nivolumab, 350 patients (median [IQR] age, 60.0 [51.0-68.0] years; 206 [58.9%] male) were treated with immunosuppression for severe irAEs. Of these patients, 235 received steroids alone, and 115 received steroids with second-line immunosuppressants. Colitis and hepatitis were the most frequently reported types of toxic effects. Except for type of toxic effect, no statistically significant differences existed at baseline. Median PFS was statistically significantly longer for patients treated with steroids alone compared with patients treated with steroids plus second-line immunosuppressants (11.3 [95% CI, 9.6-19.6] months vs 5.4 [95% CI, 4.5-12.4] months; P = .01). Median OS was also statistically significantly longer for the group receiving steroids alone compared with those receiving steroids plus second-line immunosuppressants (46.1 months [95% CI, 39.0 months-not reached (NR)] vs 22.5 months [95% CI, 36.5 months-NR]; P = .04). Median MSS was also better in the group receiving steroids alone compared with the group receiving steroids plus second-line immunosuppressants (NR [95% CI, 46.1 months-NR] vs 28.8 months [95% CI, 20.5 months-NR]; P = .006). After adjustment for potential confounders, patients treated with steroids plus second-line immunosuppressants showed a trend toward a higher risk of progression (adjusted hazard ratio, 1.40 [95% CI, 1.00-1.97]; P = .05) and had a higher risk of death (adjusted hazard ratio, 1.54 [95% CI, 1.03-2.30]; P = .04) compared with those receiving steroids alone. In this cohort study, second-line immunosuppression for irAEs was associated with impaired PFS, OS, and MSS in patients with advanced melanoma treated with first-line ipilimumab and nivolumab. These findings stress the importance of assessing the effects of differential irAE management strategies, not only in patients with melanoma but also other tumor types.</t>
  </si>
  <si>
    <t>Clinical characteristics do not reliably identify non-adherence in patients with uncontrolled hypertension.</t>
  </si>
  <si>
    <t>Groenland, Eline H; Dasgupta, Indranil; Visseren, Frank L J; van der Elst, Kim C M; Lorde, Nathan; Lawson, Alexander J; Bots, Michiel L; Spiering, Wilko</t>
  </si>
  <si>
    <t>https://pubmed.ncbi.nlm.nih.gov/35899383</t>
  </si>
  <si>
    <t>Chemical adherence testing is a reliable method to assess adherence to antihypertensive drugs. However, it is expensive and has limited availability in clinical practice. To reduce the number and costs of chemical adherence tests, we aimed to develop and validate a clinical screening tool to identify patients with a low probability of non-adherence in patients with uncontrolled hypertension. In 495 patients with uncontrolled hypertension referred to the University Medical Centre Utrecht (UMCU), the Netherlands, a penalised logistic regression model including seven pre-specified easy-to-measure clinical variables was derived to estimate the probability of non-adherence. Non-adherence was defined as not detecting at least one of the prescribed antihypertensive drugs in plasma or urine. Model performance and test characteristics were evaluated in 240 patients with uncontrolled hypertension referred to the Heartlands Hospital, United Kingdom. Prevalence of non-adherence to antihypertensive drugs was 19% in the UMCU and 44% in the Heartlands Hospital population. After recalibration of the model's intercept, predicted probabilities agreed well with observed frequencies. The c-statistic of the model was 0.63 (95%CI 0.53-0.72). Predicted probability cut-off values of 15%-22.5% prevented testing in 5%-15% of the patients, carrying sensitivities between 97% (64-100) and 90% (80-95), and negative predictive values between 74% (10-99) and 70% (50-85). The combination of seven clinical variables is not sufficient to reliably discriminate adherent from non-adherent individuals to safely reduce the number of chemical adherence tests. This emphasises the complex nature of non-adherence behaviour and thus the need for objective chemical adherence tests in patients with uncontrolled hypertension.</t>
  </si>
  <si>
    <t>Number of measurement days needed for obtaining a reliable estimate of home blood pressure and hypertension status.</t>
  </si>
  <si>
    <t>Groenland, Eline H; Bots, Michiel L; Visseren, Frank L J; McManus, Richard J; Spiering, Wilko</t>
  </si>
  <si>
    <t>https://pubmed.ncbi.nlm.nih.gov/35574599</t>
  </si>
  <si>
    <t>Out-of-office blood pressure (BP) measurements are essential for the diagnosis and monitoring of hypertension. Current guidelines vary in their recommendations on the protocol for home blood pressure monitoring (HBPM). We aimed to assess the number of blood pressure (BP) measurement days needed for a reliable estimation of true home BP (the expected BP level over time) and hypertension status, using the European guideline-based 7-day HBPM protocol as a reference. Data from 567 adults who performed a 7-day HBPM were analysed. Blood pressure was measured twice daily (morning and evening readings) using the Microlife Average Mode (MAM), which takes a weighted average of 3 consecutive BP readings. The variability of average BP for an increasing number of measurements was assessed using a linear mixed model including a random intercept per individual and correlated residuals. The reliability of home hypertension status was assessed by the κ statistic. Mean home BP of the population was 143 ± 16/84 ± 10 mm Hg. On average, the first BP measurements gave the highest values which then decreased over time. Systolic BP in the morning was systematically lower than systolic BP in the evening (142 ± 17mm Hg versus 144 ± 17 mm Hg, &lt;i&gt;p&lt;/i&gt; &lt;0.05). The average of 7 twice-daily MAM BP measurements was at most 5.2/3.3 mm Hg higher and 9.5/4.8 mm Hg lower than the true home BP for 95% of the individuals. Reducing this protocol to 3 days increased this variability by 1.5/1.0 mm Hg and 4.8/2.3 mm Hg, respectively. For diagnosing home hypertension, there was good agreement with a minimum of 4.5 days of HBPM (ĸ-statistic 0.88; 95% Confidence Interval: 0.82-0.94). Twice-daily MAM BP measurements for 3 consecutive days provide a reliable estimate of home BP. At least 4.5 consecutive days of HBPM are required for a reliable diagnosis of home hypertension.</t>
  </si>
  <si>
    <t>Publisher Correction: Stroke genetics informs drug discovery and risk prediction across ancestries.</t>
  </si>
  <si>
    <t xml:space="preserve">Mishra, Aniket; Malik, Rainer; Hachiya, Tsuyoshi; Jürgenson, Tuuli; Namba, Shinichi; Posner, Daniel C; Kamanu, Frederick K; Koido, Masaru; Le Grand, Quentin; Shi, Mingyang; He, Yunye; Georgakis, Marios K; Caro, Ilana; Krebs, Kristi; Liaw, Yi-Ching; Vaura, Felix C; Lin, Kuang; Winsvold, Bendik Slagsvold; Srinivasasainagendra, Vinodh; Parodi, Livia; Bae, Hee-Joon; Chauhan, Ganesh; Chong, Michael R; Tomppo, Liisa; Akinyemi, Rufus; Roshchupkin, Gennady V; Habib, Naomi; Jee, Yon Ho; Thomassen, Jesper Qvist; Abedi, Vida; Cárcel-Márquez, Jara; Nygaard, Marianne; Leonard, Hampton L; Yang, Chaojie; Yonova-Doing, Ekaterina; Knol, Maria J; Lewis, Adam J; Judy, Renae L; Ago, Tetsuro; Amouyel, Philippe; Armstrong, Nicole D; Bakker, Mark K; Bartz, Traci M; Bennett, David A; Bis, Joshua C; Bordes, Constance; Børte, Sigrid; Cain, Anael; Ridker, Paul M; Cho, Kelly; Chen, Zhengming; Cruchaga, Carlos; Cole, John W; de Jager, Phil L; de Cid, Rafael; Endres, Matthias; Ferreira, Leslie E; Geerlings, Mirjam </t>
  </si>
  <si>
    <t>https://pubmed.ncbi.nlm.nih.gov/36376532</t>
  </si>
  <si>
    <t>Modeling resistance of colorectal peritoneal metastases to immune checkpoint blockade in humanized mice.</t>
  </si>
  <si>
    <t>Küçükköse, Emre; Heesters, Balthasar A; Villaudy, Julien; Verheem, André; Cercel, Madalina; van Hal, Susan; Boj, Sylvia F; Borel Rinkes, Inne H M; Punt, Cornelis J A; Roodhart, Jeanine M L; Laoukili, Jamila; Koopman, Miriam; Spits, Hergen; Kranenburg, Onno</t>
  </si>
  <si>
    <t>https://pubmed.ncbi.nlm.nih.gov/36543378</t>
  </si>
  <si>
    <t>The immunogenic nature of metastatic colorectal cancer (CRC) with high microsatellite instability (MSI-H) underlies their responsiveness to immune checkpoint blockade (ICB). However, resistance to ICB is commonly observed, and is associated with the presence of peritoneal-metastases and ascites formation. The mechanisms underlying this site-specific benefit of ICB are unknown. We created a novel model for spontaneous multiorgan metastasis in MSI-H CRC tumors by transplanting patient-derived organoids (PDO) into the cecum of humanized mice. Anti-programmed cell death protein-1 (PD-1) and anti-cytotoxic T-lymphocytes-associated protein 4 (CTLA-4) ICB treatment effects were analyzed in relation to the immune context of primary tumors, liver metastases, and peritoneal metastases. Immune profiling was performed by immunohistochemistry, flow cytometry and single-cell RNA sequencing. The role of B cells was assessed by antibody-mediated depletion. Immunosuppressive cytokine levels (interleukin (IL)-10, transforming growth factor (TGF)b1, TGFb2, TGFb3) were determined in ascites and serum samples by ELISA. PDO-initiated primary tumors spontaneously metastasized to the liver and the peritoneum. Peritoneal-metastasis formation was accompanied by the accumulation of ascites. ICB completely cleared liver metastases and reduced primary tumor mass but had no effect on peritoneal metastases. This mimics clinical observations. After therapy discontinuation, primary tumor masses progressively decreased, but peritoneal metastases displayed unabated growth. Therapy efficacy correlated with the formation of tertiary lymphoid structures (TLS)-containing B cells and juxtaposed T cells-and with expression of an interferon-γ signature together with the B cell chemoattractant CXCL13. B cell depletion prevented liver-metastasis clearance by anti-CTLA-4 treatment. Peritoneal metastases were devoid of B cells and TLS, while the T cells in these lesions displayed a dysfunctional phenotype. Ascites samples from patients with cancer with peritoneal metastases and from the mouse model contained significantly higher levels of IL-10, TGFb1, TGFb2 and TGFb3 than serum samples. By combining organoid and humanized mouse technologies, we present a novel model for spontaneous multiorgan metastasis by MSI-H CRC, in which the clinically observed organ site-dependent benefit of ICB is recapitulated. Moreover, we provide empirical evidence for a critical role for B cells in the generation of site-dependent antitumor immunity following anti-CTLA-4 treatment. High levels of immunosuppressive cytokines in ascites may underlie the observed resistance of peritoneal metastases to ICB.</t>
  </si>
  <si>
    <t>A systematic review and meta-analysis of diagnostic delay in pulmonary embolism.</t>
  </si>
  <si>
    <t>van Maanen, R; Trinks-Roerdink, E M; Rutten, F H; Geersing, G J</t>
  </si>
  <si>
    <t>https://pubmed.ncbi.nlm.nih.gov/35730378</t>
  </si>
  <si>
    <t>Diagnostic delay in patients with pulmonary embolism (PE) is typical, yet the proportion of patients with PE that experienced delay and for how many days is less well described, nor are determinants for such delay. This study aimed to assess the prevalence and extent of delay in diagnosing PE. A systematic literature search was performed to identify articles reporting delays in diagnosing PE. The primary outcome was mean delay (in days) or a percentage of patients with diagnostic delay (defined as PE diagnosis more than seven days after symptom onset). The secondary outcome was determinants of delay. Random-effect meta-analyses were applied to calculate a pooled estimate for mean delay and to explore heterogeneity in subgroups. The literature search yielded 10,933 studies, of which 24 were included in the final analysis. The pooled estimate of the mean diagnostic delay based on 12 studies was 6.3 days (95% prediction interval 2.5 to 15.8). The percentage of patients having more than seven days of delay varied between 18% and 38%. All studies assessing the determinants of coughing (&lt;i&gt;n&lt;/i&gt; = 3), chronic lung disease (&lt;i&gt;n&lt;/i&gt; = 6) and heart failure (&lt;i&gt;n&lt;/i&gt; = 8) found a positive association with diagnostic delay. Similarly, all studies assessing recent surgery (&lt;i&gt;n&lt;/i&gt; = 7) and hypotension (&lt;i&gt;n&lt;/i&gt; = 6), as well as most studies assessing chest pain (&lt;i&gt;n&lt;/i&gt; = 8), found a negative association with diagnostic delay of PE. Patients may have symptoms for almost one week before PE is diagnosed and in about a quarter of patients, the diagnostic delay is even longer.</t>
  </si>
  <si>
    <t>The Effect of the COVID-19 Pandemic on Grief Experiences of Bereaved Relatives: An Overview Review.</t>
  </si>
  <si>
    <t>van Schaik, Tamara; Brouwer, Marije A; Knibbe, Nico E; Knibbe, Hanneke J J; Teunissen, Saskia C C M</t>
  </si>
  <si>
    <t>omega</t>
  </si>
  <si>
    <t>https://pubmed.ncbi.nlm.nih.gov/36453639</t>
  </si>
  <si>
    <t>The COVID-19 pandemic has disrupted grief experiences of bereaved relatives and altered accustomed ways of coping with loss. To understand how bereaved relatives experienced grief during COVID-19, a review, using the overview method, was conducted. An overview of empirical data about this subject has been lacking and therefore, PubMed and CINAHL databases were searched for empirical studies published from January 1, 2020 until December 31, 2021. 28 articles were included in the review. Thematic analysis showed different emotional responses, changes in grief, the effect of absence during final moments, a lack of involvement in the caring process, the impact on communities and social support systems and the alteration of funerals among bereaved relatives. During COVID-19, death is characterized by poor bereavement outcomes and health implications, but bereaved also show signs of resilience and coping. Directions for future research about cultural and societal differences in grief and support methods are suggested.</t>
  </si>
  <si>
    <t>Sex-specific and age-specific incidence of ischaemic heart disease, atrial fibrillation and heart failure in community patients with chronic obstructive pulmonary disease.</t>
  </si>
  <si>
    <t>Groenewegen, Amy; Zwartkruis, Victor W; Smit, Lennart J; de Boer, Rudolf A; Rienstra, Michiel; Hoes, Arno W; Hollander, Monika; Rutten, Frans H</t>
  </si>
  <si>
    <t>bmj open respiratory research</t>
  </si>
  <si>
    <t>https://pubmed.ncbi.nlm.nih.gov/36585036</t>
  </si>
  <si>
    <t>To estimate the incidence of ischaemic heart disease, atrial fibrillation and heart failure in community patients with or without chronic obstructive pulmonary disease (COPD). For this population-based study, we used primary care data of the Julius General Practitioners' Network. Eligible participants were aged 40-80 years old and contributed data between January 2014 and February 2019. Participants were divided into groups according to COPD status and were followed up for new ischaemic heart disease, atrial fibrillation and/or heart failure. Age-specific and sex-specific incidence and incidence rate ratios were calculated for patients with and without COPD. Mean follow-up was 3.9 years, 6223 patients were included in the COPD group, and 137 028 individuals in the background group without COPD. Incidence rates of all three heart diseases increased with age and were higher in males, independent of presence of COPD. Incidence rate ratios for patients with COPD, adjusted for age and sex, were 1.69 (95% CI 1.49 to 1.92) for ischaemic heart disease, 1.56 (95% CI 1.38 to 1.77) for atrial fibrillation and 2.96 (95% CI 2.58 to 3.40) for heart failure. The incidence of all major cardiovascular diseases is higher in patients with COPD, with the highest incidence rate ratio observed for heart failure.</t>
  </si>
  <si>
    <t>Women's lived experiences of preterm birth and neonatal care for premature infants at a tertiary hospital in Ghana: A qualitative study.</t>
  </si>
  <si>
    <t>Adu-Bonsaffoh, Kwame; Tamma, Evelyn; Nwameme, Adanna Uloaku; Mocking, Martina; Osman, Kwabena A; Browne, Joyce L</t>
  </si>
  <si>
    <t>https://pubmed.ncbi.nlm.nih.gov/36962822</t>
  </si>
  <si>
    <t>Preterm birth is a leading cause of death in children under five and a major public concern in Ghana. Women's lived experiences of care following preterm birth in clinical setting represents a viable adjunctive measure to improve the quality of care for premature infants. This qualitative study explored the knowledge and experiences of women who have had preterm birth and the associated challenges in caring for premature infants at a tertiary hospital. A qualitative design using in-depth interviews (IDIs) was conducted among women who experienced preterm birth with surviving infants at the Korle-Bu Teaching Hospital in Accra, Ghana. A thematic content analysis using the inductive analytic framework was undertaken using Nvivo. Thirty women participated in the study. We observed substantial variation in women's knowledge on preterm birth: some women demonstrated significant understanding of preterm delivery including its causes such as hypertension in pregnancy, and potential complications including neonatal death whilst others had limited knowledge on the condition. Women reported significant social and financial challenges associated with preterm birth that negatively impacted the quality of postnatal care they received. Admission of preterm infants at the neonatal intensive care unit (NICU) generated enormous psychological and emotional stress on the preterm mothers due to uncertainty associated with the prognosis of their babies, health system challenges and increased cost. Context-specific recommendations to improve the quality of care for prematurely born infants were provided by the affected mothers and include urgent need to expand the National Health Insurance Scheme (NHIS) coverage and more antenatal health education on preterm birth. Mothers of premature infants experienced varied unanticipated challenges during the care for their babies within the hospital setting. While knowledge of preterm birth seems adequate among women, there was a significant gap in the women's expectations of the challenges associated with the care of premature infants of which the majority experience psychosocial, economic and emotional impact.</t>
  </si>
  <si>
    <t>Transitioning food environments and diets of African migrants: implications for non-communicable diseases.</t>
  </si>
  <si>
    <t>Osei-Kwasi, Hibbah; Boateng, Daniel; Asamane, Evans Atiah; Akparibo, Robert; Holdsworth, Michelle</t>
  </si>
  <si>
    <t>the proceedings of the nutrition society</t>
  </si>
  <si>
    <t>https://pubmed.ncbi.nlm.nih.gov/36453152</t>
  </si>
  <si>
    <t>Non-communicable diseases disproportionately affect African migrants from sub-Saharan Africa living in high-income countries (HICs). Evidence suggests this is largely driven by forces that include migration, globalisation of unhealthy lifestyles (poor diet, physical inactivity and smoking), unhealthy food environments, socio-economic status and population ageing. Changes in lifestyle behaviours that accompany migration are exemplified primarily by shifts in dietary behaviours from more traditional diets to a diet that incorporates that of the host culture, which promotes the development of obesity, diabetes, hypertension and CVD. The current paper presents a critical analysis of dietary change and how this is influenced by the food environment and the socio-economic context following migration. We used a food systems framework to structure the discussion of the interaction of factors across the food system that shape food environments and subsequent dietary changes among African migrant populations living in HICs.</t>
  </si>
  <si>
    <t>All-Cause and Infection-Related Mortality in &lt;i&gt;Staphylococcus aureus&lt;/i&gt; Bacteremia, a Multicenter Prospective Cohort Study.</t>
  </si>
  <si>
    <t>van der Vaart, Thomas W; Prins, Jan M; Soetekouw, Robin; van Twillert, Gitte; Veenstra, Jan; Herpers, Bjorn L; Rozemeijer, Wouter; Jansen, Rogier R; Bonten, Marc J M; van der Meer, Jan T M</t>
  </si>
  <si>
    <t>https://pubmed.ncbi.nlm.nih.gov/36589483</t>
  </si>
  <si>
    <t>&lt;i&gt;Staphylococcus aureus&lt;/i&gt; bacteremia (SAB) is a heterogeneous disease with changing epidemiology due to changing demographics and evolving clinical management. SAB is associated with high mortality, but the current fraction of infection-related mortality is less well quantified. In a multicenter prospective cohort study of consecutive patients with SAB, we determined clinical features of SAB and determined 90-day mortality and risk factors of all-cause and infection-related mortality. Infection-related mortality was based on an adjudication committee evaluation. Four hundred ninety patients with SAB were included, with community-acquired (n = 166), health care-associated (n = 163), and hospital-acquired SAB (n = 161). Endocarditis (n = 90, 18.3%), peripheral intravenous catheter infection (n = 80, 16.3%), and septic arthritis (n = 58, 11.8%) were the most frequent diagnoses, but proportions differed for community, health care, and hospital acquisition. One hundred ninety-two patients (39%) had permanent implanted prosthetic material (eg, prosthetic joint, heart valve, pacemaker). Day 90 all-cause mortality was 33% (n = 161), with 60% adjudicated as infection-related, and 90% of infection-related deaths occurring in the first 30 days post-SAB. Infection-related deaths after 30 days were rare and mainly related to endocarditis. Determinants associated with day 90 infection-related mortality were age (odds ratio [OR], 1.09; 95% CI, 1.06-1.11), Charlson comorbidity index (OR, 1.13; 95% CI, 1.01-1.26), septic shock (OR, 9.78; 95% CI, 4.56-20.95), endocarditis (OR, 3.4; 95% CI, 1.75-6.61), and persistent SAB at 48 hours (OR, 2.36; 95% CI, 1.27-4.37). Mortality due to &lt;i&gt;S. aureus&lt;/i&gt; infection remains high and mainly occurs in the first 30 days, which could guide end points in future studies.</t>
  </si>
  <si>
    <t>Association of Subjective Cognitive Decline With Progression to Dementia in a Cognitively Unimpaired Multiracial Community Sample.</t>
  </si>
  <si>
    <t>Chapman, Silvia; Rentería, Miguel Arce; Dworkin, Jordan D; Garriga, Stella M; Barker, Megan S; Avila-Rieger, Justina; Gonzalez, Christopher; Joyce, Jillian L; Vonk, Jet M J; Soto, Elizabeth; Manly, Jennifer J; Brickman, Adam M; Mayeux, Richard P; Cosentino, Stephanie A</t>
  </si>
  <si>
    <t>https://pubmed.ncbi.nlm.nih.gov/36450605</t>
  </si>
  <si>
    <t>This prospective study seeks to examine the utility of subjective cognitive decline (SCD) as a marker of future progression to dementia in a community-based cohort of non-Latinx White, non-Latinx Black, and Latinx individuals. Debate surrounds the utility of SCD, the subjective perception of decline in one's cognition before such impairment is evident in traditional neuropsychological assessments, as an early indicator of impending Alzheimer disease. Unfortunately, most studies examining SCD have been conducted in non-Latinx White samples and commonly exclude groups of individuals shown to be most vulnerable to dementia. Participants were enrolled into this cohort study from the Washington Heights-Inwood Columbia Aging Project if they were cognitively unimpaired, had baseline measurement of SCD, and self-identified as non-Latinx White, non-Latinx Black, or Latinx. SCD was measured as a continuous sum of 10 items assessing cognitive complaints. Competing risk models tested the main effects of baseline SCD on progression to dementia. Models were adjusted for age, sex/gender, years of education, medical comorbidity burden, enrollment cohort, and baseline memory test performance with death jointly modelled as a function of race/ethnicity. A total of 4,043 (1,063 non-Latinx White, 1,267 non-Latinx Black, and 1,713 Latinx) participants were selected for this study with a mean age of 75 years, 67% women, and with a mean follow-up of 5 years. Higher baseline SCD was associated with increased rates of incident dementia over time in the full sample (hazard ratio [HR] 1.085, CI 1.047-1.125, &lt;i&gt;p&lt;/i&gt; &lt; 0.001) and within Latinx (HR 1.084, CI 1.039-1.130, &lt;i&gt;p&lt;/i&gt; &lt; 0.001) and non-Latinx Black individuals (HR 1.099, CI 1.012-1.194, &lt;i&gt;p&lt;/i&gt; = 0.024). Overall results of this study support SCD as a prodromal marker of dementia in a multiracial community sample, and in Latinx and non-Latinx Black individuals in particular. Because models examining the risk of dementia were adjusted for baseline memory test performance, the results support the idea that SCD, a subjective reflection of one's own current cognitive functioning, contributes information above and beyond standard memory testing. Current findings highlight the importance of carefully evaluating any memory concerns raised by older adults during routine visits and underscore the potential utility of screening older adults for SCD.</t>
  </si>
  <si>
    <t>Time-varying prognostic value of primary tumor sidedness in metastatic colorectal cancer: A population-based study and meta-analysis.</t>
  </si>
  <si>
    <t>van der Kruijssen, Dave E W; van der Kuil, Auke J S; Vink, Geraldine R; Punt, Cornelis J A; de Wilt, Johannes H W; Elias, Sjoerd G; Koopman, Miriam</t>
  </si>
  <si>
    <t>https://pubmed.ncbi.nlm.nih.gov/36346099</t>
  </si>
  <si>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ratio&lt;sub&gt;left-sided/right-sided&lt;/sub&gt;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</si>
  <si>
    <t>Long-term air pollution exposure and Parkinson's disease mortality in a large pooled European cohort: An ELAPSE study.</t>
  </si>
  <si>
    <t>Cole-Hunter, Thomas; Zhang, Jiawei; So, Rina; Samoli, Evangelia; Liu, Shuo; Chen, Jie; Strak, Maciej; Wolf, Kathrin; Weinmayr, Gudrun; Rodopolou, Sophia; Remfry, Elizabeth; de Hoogh, Kees; Bellander, Tom; Brandt, Jørgen; Concin, Hans; Zitt, Emanuel; Fecht, Daniela; Forastiere, Francesco; Gulliver, John; Hoffmann, Barbara; Hvidtfeldt, Ulla A; Jöckel, Karl-Heinz; Mortensen, Laust H; Ketzel, Matthias; Yacamán Méndez, Diego; Leander, Karin; Ljungman, Petter; Faure, Elodie; Lee, Pei-Chen; Elbaz, Alexis; Magnusson, Patrik K E; Nagel, Gabriele; Pershagen, Göran; Peters, Annette; Rizzuto, Debora; Vermeulen, Roel C H; Schramm, Sara; Stafoggia, Massimo; Katsouyanni, Klea; Brunekreef, Bert; Hoek, Gerard; Lim, Youn-Hee; Andersen, Zorana J</t>
  </si>
  <si>
    <t>https://pubmed.ncbi.nlm.nih.gov/36516478</t>
  </si>
  <si>
    <t>The link between exposure to ambient air pollution and mortality from cardiorespiratory diseases is well established, while evidence on neurodegenerative disorders including Parkinson's Disease (PD) remains limited. We examined the association between long-term exposure to ambient air pollution and PD mortality in seven European cohorts. Within the project 'Effects of Low-Level Air Pollution: A Study in Europe' (ELAPSE), we pooled data from seven cohorts among six European countries. Annual mean residential concentrations of fine particulate matter (PM&lt;sub&gt;2.5&lt;/sub&gt;), nitrogen dioxide (NO&lt;sub&gt;2&lt;/sub&gt;), black carbon (BC), and ozone (O&lt;sub&gt;3&lt;/sub&gt;), as well as 8 PM&lt;sub&gt;2.5&lt;/sub&gt; components (copper, iron, potassium, nickel, sulphur, silicon, vanadium, zinc), for 2010 were estimated using Europe-wide hybrid land use regression models. PD mortality was defined as underlying cause of death being either PD, secondary Parkinsonism, or dementia in PD. We applied Cox proportional hazard models to investigate the associations between air pollution and PD mortality, adjusting for potential confounders. Of 271,720 cohort participants, 381 died from PD during 19.7 years of follow-up. In single-pollutant analyses, we observed positive associations between PD mortality and PM&lt;sub&gt;2.5&lt;/sub&gt; (hazard ratio per 5 µg/m&lt;sup&gt;3&lt;/sup&gt;: 1.25; 95% confidence interval: 1.01-1.55), NO&lt;sub&gt;2&lt;/sub&gt; (1.13; 0.95-1.34 per 10 µg/m&lt;sup&gt;3&lt;/sup&gt;), and BC (1.12; 0.94-1.34 per 0.5 × 10&lt;sup&gt;-5&lt;/sup&gt;m&lt;sup&gt;-1&lt;/sup&gt;), and a negative association with O&lt;sub&gt;3&lt;/sub&gt; (0.74; 0.58-0.94 per 10 µg/m&lt;sup&gt;3&lt;/sup&gt;). Associations of PM&lt;sub&gt;2.5&lt;/sub&gt;, NO&lt;sub&gt;2&lt;/sub&gt;, and BC with PD mortality were linear without apparent lower thresholds. In two-pollutant models, associations with PM&lt;sub&gt;2.5&lt;/sub&gt; remained robust when adjusted for NO&lt;sub&gt;2&lt;/sub&gt; (1.24; 0.95-1.62) or BC (1.28; 0.96-1.71), whereas associations with NO&lt;sub&gt;2&lt;/sub&gt; or BC attenuated to null. O&lt;sub&gt;3&lt;/sub&gt; associations remained negative, but no longer statistically significant in models with PM&lt;sub&gt;2.5&lt;/sub&gt;. We detected suggestive positive associations with the potassium component of PM&lt;sub&gt;2.5&lt;/sub&gt;. Long-term exposure to PM&lt;sub&gt;2.5&lt;/sub&gt;, at levels well below current EU air pollution limit values, may contribute to PD mortality.</t>
  </si>
  <si>
    <t>The APOE locus is linked to decline in general cognitive function: 20-years follow-up in the Doetinchem Cohort Study.</t>
  </si>
  <si>
    <t>Rietman, M Liset; Onland-Moret, N Charlotte; Nooyens, Astrid C J; Ibi, Dorina; van Dijk, Ko Willems; Samson, Leonard Daniël; Pennings, Jeroen L A; Schipper, Maarten; Wong, Albert; Spijkerman, Annemieke M W; Dollé, Martijn E T; Verschuren, W M Monique</t>
  </si>
  <si>
    <t>https://pubmed.ncbi.nlm.nih.gov/36446774</t>
  </si>
  <si>
    <t>Cognitive decline is part of the normal aging process. However, some people experience a more rapid decline than others due to environmental and genetic factors. Numerous single nucleotide polymorphisms (SNPs) have been linked to cognitive function, but only a few to cognitive decline. To understand whether cognitive function and cognitive decline are driven by the same mechanisms, we investigated whether 433 SNPs previously linked to cognitive function and 2 SNPs previously linked to cognitive decline are associated with both general cognitive functioning at baseline and general cognitive decline up to 20-years follow-up in the Doetinchem Cohort Study (DCS). The DCS is a longitudinal population-based study that enrolled men and women aged 20-59 years between 1987-1991, with follow-up examinations every 5 years. We used data of rounds 2-6 (1993-2017, n = 2559). General cognitive function was assessed using four cognition tests measuring memory, speed, fluency and flexibility. With these test scores, standardized residuals (adjusted for sex, age and examination round) were calculated for each cognition test at each round and subsequently combined into one general cognitive function measure using principal component analyses. None of the 435 previously identified variants were associated with baseline general cognitive function in the DCS. But rs429358-C, a coding apolipoprotein E (APOE) SNP and one of the variants previously associated with cognitive decline, was associated with general cognitive decline in our study as well (p-value = 1 × 10&lt;sup&gt;-5&lt;/sup&gt;, Beta = -0.013). These findings suggest that decline of general cognitive function is influenced by other mechanisms than those that are involved in the regulation of general cognitive function.</t>
  </si>
  <si>
    <t>A Retrospective Medical Record Review to Describe Health Status and Cardiovascular Disease Risk Factors of Bus Drivers in South Africa.</t>
  </si>
  <si>
    <t>Aitken, Susan C; Lalla-Edward, Samanta T; Kummerow, Maren; Tenzer, Stan; Harris, Bernice N; Venter, W D Francois; Vos, Alinda G</t>
  </si>
  <si>
    <t>https://pubmed.ncbi.nlm.nih.gov/36497962</t>
  </si>
  <si>
    <t>Cardiovascular disease (CVD) is the leading cause of death globally. The occupational challenges of bus drivers may increase their risk of CVD, including developing obesity, hypertension, and diabetes. We evaluated the medical records of 266 bus drivers visiting an occupational medical practice between 2007 and 2017 in Johannesburg, South Africa, to determine the health status of bus drivers and investigate risk factors for CVD, and their impact on the ability to work. The participants were in majority male (99.3%) with a median age of 41.2 years (IQR 35.2); 23.7% were smokers, and 27.1% consumed alcohol. The median body mass index (BMI) was 26.8 m/kg&lt;sup&gt;2&lt;/sup&gt; (IQR 7.1), with 63.1% of participants having above normal BMI. Smoking, BMI, and hypertension findings were in line with national South African data, but diabetes prevalence was far lower. Undiagnosed hypertension was found in 9.4% of participants, uncontrolled hypertension in 5.6%, and diabetes in 3.0%. Analysis by BMI category found that obesity was significantly associated with increased odds of hypertension. Uncontrolled hypertension was the main reason for being deemed 'unfit to work' (35.3%). Our research highlights the need for more regular screening for hypertension and interventions to address high BMI.</t>
  </si>
  <si>
    <t>How nurses support self-management of hospitalized patients through verbal communication: a qualitative study.</t>
  </si>
  <si>
    <t>Otter, Caroline E M; Keers, Joost C; Reker, Celeste; Smit, Jakobus; Schoonhoven, Lisette; de Man-van Ginkel, Janneke M</t>
  </si>
  <si>
    <t>bmc nursing</t>
  </si>
  <si>
    <t>https://pubmed.ncbi.nlm.nih.gov/36443771</t>
  </si>
  <si>
    <t>Patients' self-management of the implications of their disease(s) is becoming increasingly important. Research shows that hospitalization disrupts established self-management routines. Nurses can play an important role in supporting patients' self-management. The aim of this study is to describe how nurses support the self-management of hospitalized patients through verbal communication during routine nursing care. A qualitative descriptive study, using overt, non-participant observations was conducted on three wards of a general teaching hospital in the Netherlands. A total of 215 hours of nursing work during 49 shifts was observed. Data was analyzed using thematic analysis based on the six phases of Braun and Clarke. Our observations showed that nurses discuss patients' self-management mainly in short conversations during the care provision. Nurses ask patients about their self-management at home and stimulate patients to express their opinions and to be involved in the care process. Three themes reflect how nurses support self-management: 'Discussing patient's self-management', 'Enhancing patient's involvement in care' and 'Focusing on patient's perspective'. Hospital nurses have methods to support hospitalized patients' self-management but it does not seem to be an integral part of daily practice. Given current developments in healthcare, it is reasonable to argue that self-management should be given greater emphasis within the hospital setting, requiring a collaborative approach with patients and other healthcare professionals across the care continuum.</t>
  </si>
  <si>
    <t>Editorial: Rising stars in drugs outcomes research and policies: 2021.</t>
  </si>
  <si>
    <t>Lins, Robert L; Ahmadizar, Fariba; Khan, Tanveer</t>
  </si>
  <si>
    <t>https://pubmed.ncbi.nlm.nih.gov/36506589</t>
  </si>
  <si>
    <t>Systematic review identifies the design and methodological conduct of studies on machine learning-based prediction models.</t>
  </si>
  <si>
    <t>Andaur Navarro, Constanza L; Damen, Johanna A A; van Smeden, Maarten; Takada, Toshihiko; Nijman, Steven W J; Dhiman, Paula; Ma, Jie; Collins, Gary S; Bajpai, Ram; Riley, Richard D; Moons, Karel G M; Hooft, Lotty</t>
  </si>
  <si>
    <t>https://pubmed.ncbi.nlm.nih.gov/36436815</t>
  </si>
  <si>
    <t>We sought to summarize the study design, modelling strategies, and performance measures reported in studies on clinical prediction models developed using machine learning techniques. We search PubMed for articles published between 01/01/2018 and 31/12/2019, describing the development or the development with external validation of a multivariable prediction model using any supervised machine learning technique. No restrictions were made based on study design, data source, or predicted patient-related health outcomes. We included 152 studies, 58 (38.2% [95% CI 30.8-46.1]) were diagnostic and 94 (61.8% [95% CI 53.9-69.2]) prognostic studies. Most studies reported only the development of prediction models (n = 133, 87.5% [95% CI 81.3-91.8]), focused on binary outcomes (n = 131, 86.2% [95% CI 79.8-90.8), and did not report a sample size calculation (n = 125, 82.2% [95% CI 75.4-87.5]). The most common algorithms used were support vector machine (n = 86/522, 16.5% [95% CI 13.5-19.9]) and random forest (n = 73/522, 14% [95% CI 11.3-17.2]). Values for area under the Receiver Operating Characteristic curve ranged from 0.45 to 1.00. Calibration metrics were often missed (n = 494/522, 94.6% [95% CI 92.4-96.3]). Our review revealed that focus is required on handling of missing values, methods for internal validation, and reporting of calibration to improve the methodological conduct of studies on machine learning-based prediction models. PROSPERO, CRD42019161764.</t>
  </si>
  <si>
    <t>The cost of healthy versus current diets in the Netherlands for households with a low, middle and high education.</t>
  </si>
  <si>
    <t>Hoenink, Jody C; Waterlander, Wilma; Vandevijvere, Stefanie; Beulens, Joline W J; Mackenbach, Joreintje D</t>
  </si>
  <si>
    <t>https://pubmed.ncbi.nlm.nih.gov/36466184</t>
  </si>
  <si>
    <t>The cost of food is an important driver of food choice and most evidence suggests that healthier diets are more costly than less healthy diets. However, current attempts to model the cost of healthy and current diets do not take into account the variation in diets or food prices. We calculated the differential cost between healthy and current diets for households with a low, medium and high education in the Netherlands using the DIETCOST program. The DIETCOST program accounts for variations in dietary patterns and allows for the calculation of the distribution of the cost of bi-weekly healthy and current household diets. Data from the Dutch National Food Consumption Survey 2012-2016 was used to construct commonly consumed food lists for the population as a whole and for households with a low, medium and high education and linked to a local food price database. The average cost of current household diets was €211/fortnight (SD 8.9) and the healthy household diet was on average €50 (24%) more expensive. For households with a low, medium and high education, healthy diets were on average 10% (€17), 26% (€50) and 36% (€72) more expensive compared to current diets, respectively. All healthy diets could be classified as affordable (i.e. requiring less than 30% of the average disposable income) as diets required around 20% of the income. To conclude, while healthy diets were found to be affordable, we found that these were more expensive than current diets, especially for those with a higher educational level. This suggests that individuals will need to spend more money on food if they aim to adhere to dietary guidelines under the assumption that they will minimally adjust their diet. Bridging the gap between the cost of healthy and less healthy foods could be an important strategy for improving population diets.</t>
  </si>
  <si>
    <t>Daily Practice Experience of Baricitinib Treatment for Patients with Difficult-to-Treat Atopic Dermatitis: Results from the BioDay Registry.</t>
  </si>
  <si>
    <t>Boesjes, Celeste M; Kamphuis, Esmé; Zuithoff, Nicolaas P A; Bakker, Daphne S; Loman, Laura; Spekhorst, Lotte S; Haeck, Inge; Kamsteeg, Marijke; Van Lynden-van Nes, Anneke M T; Garritsen, Floor M; Politiek, Klaziena; Oldhoff, Marja; De Graaf, Marlies; Schuttelaar, Marie L A; De Bruin-Weller, Marjolein S</t>
  </si>
  <si>
    <t>https://pubmed.ncbi.nlm.nih.gov/36420885</t>
  </si>
  <si>
    <t>Clinical trials have shown that baricitinib, an oral selective Janus kinase 1/2 inhibitor, is effective for the treatment of moderate-to-severe atopic dermatitis. However, daily practice data are limited. Therefore, this multicentre prospective study evaluated the effectiveness and safety of 16-weeks' treatment with baricitinib in adult patients with moderate-to-severe atopic dermatitis in daily practice. A total of 51 patients from the BioDay registry treated with baricitinib were included and evaluated at baseline and after 4, 8 and 16 weeks of treatment. Effectiveness was assessed using clinician- and patient-reported outcome measurements. Adverse events and laboratory assessments were evaluated at every visit. At week 16, the probability (95% confidence interval) of achieving Eczema Area and Severity Index ≤ 7 and numerical rating scale pruritus ≤ 4 was 29.4% (13.1-53.5) and 20.5% (8.8-40.9), respectively. No significant difference in effectiveness was found between dupilumab non-responders and responders. Twenty-two (43.2%) patients discontinued baricitinib treatment due to ineffectiveness, adverse events or both (31.4%, 9.8% and 2.0%, respectively). Most frequently reported adverse events were nausea (n = 6, 11.8%), urinary tract infection (n = 5, 9.8%) and herpes simplex infection (n = 4, 7.8%). In conclusion, baricitinib can be an effective treatment option for moderate-to-severe atopic dermatitis, including patients with non-responsiveness on dupilumab. However, effectiveness of baricitinib is heterogeneous, which is reflected by the high discontinuation rate in this difficult-to-treat cohort.</t>
  </si>
  <si>
    <t>Stroke thrombolysis in a middle-income country: A case study exploring the determinants of its implementation.</t>
  </si>
  <si>
    <t>Hwong, Wen Yea; Ng, Sock Wen; Tong, Seng Fah; Ab Rahman, Norazida; Law, Wan Chung; Kaman, Zurainah; Wong, Sing Keat; Puvanarajah, Santhi Datuk; Sivasampu, Sheamini</t>
  </si>
  <si>
    <t>https://pubmed.ncbi.nlm.nih.gov/36504666</t>
  </si>
  <si>
    <t>Translation of evidence into clinical practice for use of intravenous thrombolysis in acute stroke care has been slow, especially across low- and middle-income countries. In Malaysia where the average national uptake was poor among the public hospitals in 2018, one hospital intriguingly showed comparable thrombolysis rates to high-income countries. This study aimed to explore and provide in-depth understanding of factors and explanations for the high rates of intravenous stroke thrombolysis in this hospital. This single case study sourced data using a multimethod approach: (1) semi-structured in-depth interviews and focus group discussions, (2) surveys, and (3) review of medical records. The Tailored Implementation of Chronic Diseases (TICD) framework was used as a guide to understand the determinants of implementation. Twenty-nine participants comprising the Hospital Director, neurologists, emergency physicians, radiologists, pharmacists, nurses and medical assistants (MAs) were included. Thematic analyses were conducted inductively before triangulated with quantitative analyses and document reviews. Favorable factors contributing to the uptake included: (1) cohesiveness of team members which comprised of positive interprofessional team dynamics, shared personal beliefs and values, and passionate leadership, and (2) facilitative work process through simplification of workflow and understanding the rationale of the sense of urgency. Patient factors was a limiting factor. Almost two third of ischemic stroke patients arrived at the hospital outside the therapeutic window time, attributing patients' delayed presentation as a main barrier to the uptake of intravenous stroke thrombolysis. One other barrier was the availability of resources, although this was innovatively optimized to minimize its impact on the uptake of the therapy. As such, potential in-hospital delays accounted for only 3.8% of patients who missed the opportunity to receive thrombolysis. Despite the ongoing challenges, the success in implementing intravenous stroke thrombolysis as standard of care was attributed to the cohesiveness of team members and having facilitative work processes. For countries of similar settings, plans to improve the uptake of intravenous stroke thrombolysis should consider the inclusion of interventions targeting on these modifiable factors.</t>
  </si>
  <si>
    <t>Myocarditis and pericarditis associated with SARS-CoV-2 vaccines: A population-based descriptive cohort and a nested self-controlled risk interval study using electronic health care data from four European countries.</t>
  </si>
  <si>
    <t>Bots, Sophie H; Riera-Arnau, Judit; Belitser, Svetlana V; Messina, Davide; Aragón, Maria; Alsina, Ema; Douglas, Ian J; Durán, Carlos E; García-Poza, Patricia; Gini, Rosa; Herings, Ron M C; Huerta, Consuelo; Sisay, Malede Mequanent; Martín-Pérez, Mar; Martin, Ivonne; Overbeek, Jetty A; Paoletti, Olga; Pallejà-Millán, Meritxell; Schultze, Anna; Souverein, Patrick; Swart, Karin M A; Villalobos, Felipe; Klungel, Olaf H; Sturkenboom, Miriam C J M</t>
  </si>
  <si>
    <t>https://pubmed.ncbi.nlm.nih.gov/36506571</t>
  </si>
  <si>
    <t>&lt;b&gt;Background:&lt;/b&gt; Estimates of the association between COVID-19 vaccines and myo-/pericarditis risk vary widely across studies due to scarcity of events, especially in age- and sex-stratified analyses. &lt;b&gt;Methods:&lt;/b&gt; Population-based cohort study with nested self-controlled risk interval (SCRI) using healthcare data from five European databases. Individuals were followed from 01/01/2020 until end of data availability (31/12/2021 latest). Outcome was first myo-/pericarditis diagnosis. Exposures were first and second dose of Pfizer, AstraZeneca, Moderna, and Janssen COVID-19 vaccines. Baseline incidence rates (IRs), and vaccine- and dose-specific IRs and rate differences were calculated from the cohort The SCRI calculated calendar time-adjusted IR ratios (IRR), using a 60-day pre-vaccination control period and dose-specific 28-day risk windows. IRRs were pooled using random effects meta-analysis. &lt;b&gt;Findings:&lt;/b&gt; Over 35 million individuals (49·2% women, median age 39-49 years) were included, of which 57·4% received at least one COVID-19 vaccine dose. Baseline incidence of myocarditis was low. Myocarditis IRRs were elevated after vaccination in those aged &lt; 30 years, after both Pfizer vaccine doses (IRR = 3·3, 95%CI 1·2-9.4; 7·8, 95%CI 2·6-23·5, respectively) and Moderna vaccine dose 2 (IRR = 6·1, 95%CI 1·1-33·5). An effect of AstraZeneca vaccine dose 2 could not be excluded (IRR = 2·42, 95%CI 0·96-6·07). Pericarditis was not associated with vaccination. &lt;b&gt;Interpretation:&lt;/b&gt; mRNA-based COVID-19 vaccines and potentially AstraZeneca are associated with increased myocarditis risk in younger individuals, although absolute incidence remains low. More data on children (≤ 11 years) are needed.</t>
  </si>
  <si>
    <t>Gut to lung translocation and antibiotic mediated selection shape the dynamics of Pseudomonas aeruginosa in an ICU patient.</t>
  </si>
  <si>
    <t>Wheatley, Rachel M; Caballero, Julio Diaz; van der Schalk, Thomas E; De Winter, Fien H R; Shaw, Liam P; Kapel, Natalia; Recanatini, Claudia; Timbermont, Leen; Kluytmans, Jan; Esser, Mark; Lacoma, Alicia; Prat-Aymerich, Cristina; Oliver, Antonio; Kumar-Singh, Samir; Malhotra-Kumar, Surbhi; Craig MacLean, R</t>
  </si>
  <si>
    <t>https://pubmed.ncbi.nlm.nih.gov/36414617</t>
  </si>
  <si>
    <t>Bacteria have the potential to translocate between sites in the human body, but the dynamics and consequences of within-host bacterial migration remain poorly understood. Here we investigate the link between gut and lung Pseudomonas aeruginosa populations in an intensively sampled ICU patient using a combination of genomics, isolate phenotyping, host immunity profiling, and clinical data. Crucially, we show that lung colonization in the ICU was driven by the translocation of P. aeruginosa from the gut. Meropenem treatment for a suspected urinary tract infection selected for elevated resistance in both the gut and lung. However, resistance was driven by parallel evolution in the gut and lung coupled with organ specific selective pressures, and translocation had only a minor impact on AMR. These findings suggest that reducing intestinal colonization of Pseudomonas may be an effective way to prevent lung infections in critically ill patients.</t>
  </si>
  <si>
    <t>[New therapeutic options in heart failure: the importance of the left ventricular ejection fraction].</t>
  </si>
  <si>
    <t>Nielsen Gerlach, Claire L; Rutten, Frans H; Mosterd, Arend</t>
  </si>
  <si>
    <t>https://pubmed.ncbi.nlm.nih.gov/36633029</t>
  </si>
  <si>
    <t>Heart failure is a chronic illness with a high prevalence and mortality rate. The aim of this article is to give an update on new treatment options for heart failure and the value of the left ventricular ejection fraction (LVEF) in the diagnosis and treatment of heart failure. Based on LVEF, three groups of heart failure can be distinguished: (1) heart failure with reduced ejection fraction (HFrEF; LVEF ≤ 40%), (2) heart failure with mildly reduced ejection fraction (HFmrEF; LVEF 41-49%) and (3) heart failure with preserved ejection fraction (HFpEF; LVEF ≥ 50%). The treatment of HFrEF consists of four pillars, the application of which leads to symptom reduction and better survival: (1) angiotensin converting enzyme inhibitor (ACE-i) or angiotensin receptor-neprilysin inhibitor (ARNI), (2) β-blocker, (3) mineralocorticoid receptor antagonist (MRA) and (4) sodium-glucose co-transporter 2 (SGLT2) inhibitor. ACE-I, β-blocker and MRA can be considered as treatment of HFmrEF. The treatment of HFpEF mainly focuses on symptom reduction.</t>
  </si>
  <si>
    <t>Symptom evolution in the dying.</t>
  </si>
  <si>
    <t>Heijltjes, Madelon T; van Zuylen, Lia; van Thiel, Ghislaine Jmw; van Delden, Johannes Jm; van der Heide, Agnes</t>
  </si>
  <si>
    <t>bmj supportive palliative care</t>
  </si>
  <si>
    <t>https://pubmed.ncbi.nlm.nih.gov/36410945</t>
  </si>
  <si>
    <t>Provide insight in the prevalence of symptoms in patients who are in the last days of life. A retrospective descriptive analysis of data on patients who died between 2012 and 2019 at the age of 18 or older in 1 of 20 Dutch healthcare facilities, including hospitals, inpatient hospices and long-term care facilities. We analysed data from 4 hourly registrations in the Care Programme for the Dying Person, to assess for how many patients symptom-related goals of care were not achieved. We looked at the first 4 hours episode after the start of the Care Programme and the last 4 hours episode prior to death. We analysed records of 2786 patients. In the first 4 hours episode, at least one symptom-related care goal was not achieved for 28.5%-42.8% of patients, depending on the care setting. In the last 4 hours episode, these percentages were 17.5%-26.9%. Care goals concerning pain and restlessness were most often not achieved: percentages varied from 7.3% to 20.9% for pain and from 9.3% to 21.9% for restlessness. Symptom control at the end of life is not optimal in a substantial minority of patients. Systematic assessment and attention as well as further research on symptom management are of the essence.</t>
  </si>
  <si>
    <t>Associations of psychosocial stress with type 2 diabetes and glycaemic control among Ghanaians: The RODAM study.</t>
  </si>
  <si>
    <t>Chilunga, Felix P; Schwerzel, Pleun S; Meeks, Karlijn A C; Beune, Erik; Bahendeka, Silver; Mockenhaupt, Frank; Klipstein-Grobusch, Kerstin; Agyemang, Charles</t>
  </si>
  <si>
    <t>https://pubmed.ncbi.nlm.nih.gov/36373887</t>
  </si>
  <si>
    <t>The extent to which psychosocial stress relates to type 2 diabetes among sub-Saharan Africans is not well understood. We assessed associations of psychosocial stresses with type 2 diabetes status and glycaemic control among Ghanaians. We used data from Research on Obesity and Diabetes among African Migrants (RODAM) study. We performed logistic and linear regression models to assess association of psychosocial stresses with type 2 diabetes and HbA1c respectively with adjustments for age, sex, education and other stresses. We also assessed moderation effects of migration status (migrant Ghanaians vs. non-migrant Ghanaians), age, sex and education by adding interaction terms in models. Four thousand eight hundred and forty one Ghanaians were included with 44% resident in Ghana, 62% women, mean age of 46 years and 10% having type 2 diabetes. Psychosocial stress at home and at work were not associated with type 2 diabetes or HbA1c levels. Negative life events in past 12 months were negatively associated with type 2 diabetes (adjusted odds ratio = 0.93, 95% CI 0.87-0.99). Perceived discrimination was positively associated with type 2 diabetes (aOR = 1.01, 95% CI 1.004-1.03). Both associations were more pronounced in men. Perceived discrimination was also positively associated with HbA1c levels, especially among those with type 2 diabetes (adjusted β = 0.01, 95% CI 0.007-0.02). Perceived discrimination and negative life events are associated with type 2 diabetes and glycaemic control among Ghanaians, especially in men. Further studies are needed to identify context-specific mechanisms underlying these associations.</t>
  </si>
  <si>
    <t>Dutch public health professionals' perspectives and needs regarding citizen involvement in COVID-19 contact tracing through digital support tools: an exploratory qualitative study.</t>
  </si>
  <si>
    <t>Helms, Y B; Stein, M L; Hamdiui, N; van der Meer, A; Baron, R; Eilers, R; Crutzen, R; Kretzschmar, M E E; Timen, A</t>
  </si>
  <si>
    <t>https://pubmed.ncbi.nlm.nih.gov/36403008</t>
  </si>
  <si>
    <t>Contact tracing (CT) is an important, but resource-intensive tool to control outbreaks of communicable diseases. Under pandemic circumstances, public health services may not have sufficient resources at their disposal to effectively facilitate CT. This may be addressed by giving cases and their contact persons more autonomy and responsibility in the execution of CT by public health professionals, through digital contact tracing support tools (DCTS-tools). However, the application of this approach has not yet been systematically investigated from the perspective of public health practice. Therefore, we investigated public health professionals' perspectives and needs regarding involving cases and contact persons in CT for COVID-19 through DCTS-tools. Between October 2020 and February 2021, we conducted online semi-structured interviews (N = 17) with Dutch public health professionals to explore their perspectives and needs regarding the involvement of cases and contact persons in CT for COVID-19 through DCTS-tools, in the contact identification, notification, and monitoring stages of the CT-process. Interviews were audio recorded and transcribed verbatim. A thematic analysis was performed. Four main themes related to Dutch public health professionals' perspectives and needs regarding involving cases and contact persons in CT for COVID-19 through DCTS-tools emerged from the data: 'Distinct characteristics of CT with DCTS-tools'; 'Anticipated benefits and challenges of CT for COVID-19 with DCTS- tools'; 'Circumstances in CT for COVID-19 that permit or constrain the application of DCTS-tools'; and 'Public health professionals' needs regarding the development and application of DCTS-tools for CT'. Public health professionals seem to have a positive attitude towards involving cases and contact persons through DCTS-tools. Public health professionals' (positive) attitudes seem conditional on the circumstances under which CT is performed, and the fulfilment of their needs in the development and application of DCTS-tools. Dutch public health professionals seem positive towards involving cases and contact persons in CT for COVID-19 through DCTS-tools. Through adequate implementation of DCTS-tools in the CT-process, anticipated challenges can be overcome. Future research should investigate the perspectives and needs of cases and contact persons regarding DCTS-tools, and the application of DCTS-tools in practice.</t>
  </si>
  <si>
    <t>The importance of sustained compliance with physical distancing during COVID-19 vaccination rollout.</t>
  </si>
  <si>
    <t>Teslya, Alexandra; Rozhnova, Ganna; Pham, Thi Mui; van Wees, Daphne A; Nunner, Hendrik; Godijk, Noortje G; Bootsma, Martin; Kretzschmar, Mirjam E</t>
  </si>
  <si>
    <t>https://pubmed.ncbi.nlm.nih.gov/36402924</t>
  </si>
  <si>
    <t>Increasing vaccination coverage against SARS-CoV-2 enabled relaxation of lockdowns in many countries in Europe. As the vaccination rollouts progressed, the public health authorities were seeking recommendations on the continuation of physical distancing measures during ongoing vaccination rollouts. Compliance with these measures was declining while more transmissible virus variants have emerged. We used a SARS-CoV-2 transmission model to investigate the feedback between compliance, infection incidence, and vaccination coverage. We quantified our findings in terms of cumulative number of new hospitalisations three and six months after the start of vaccination. Our results suggest that the combination of fast waning compliance in non-vaccinated individuals, low compliance in vaccinated individuals, low vaccine efficacy against infection and more transmissible virus variants may result in a higher cumulative number of new hospitalisations than in a situation without vaccination. These adverse effects can be alleviated by deploying behavioural interventions that should preferably target both vaccinated and non-vaccinated individuals. The choice of the most appropriate intervention depends on vaccination rate and vaccine efficacy against infection. Supplementary behavioural interventions aiming to boost compliance to physical distancing measures can improve the outcome of vaccination programmes, until vaccination coverage is sufficiently high. For optimal results, these interventions should be selected based on the vaccine efficacy against infection and expected vaccination rate. While we considered the dynamics of SARS-CoV-2, the qualitative effects of the interplay between infectious disease spread and behavior on the outcomes of a vaccination programme can be used as guidance in a future similar pandemic.</t>
  </si>
  <si>
    <t>Uniformity along the way: A scoping review on characteristics of nurse education programs worldwide.</t>
  </si>
  <si>
    <t>van Kraaij, Julia; Veenstra, Marloes; Stalpers, Dewi; Schoonhoven, Lisette; Vermeulen, Hester; van Oostveen, Catharina; ,</t>
  </si>
  <si>
    <t>nurse education today</t>
  </si>
  <si>
    <t>https://pubmed.ncbi.nlm.nih.gov/36463593</t>
  </si>
  <si>
    <t>The changing demands on healthcare require continuous development and education in the nursing profession. Homogeneity in nursing qualifications reduces educational inconsistencies between and within countries. However, despite various initiatives, modifying nurse education remains challenging because different countries have their own legislations, structures, motivations, and policies. To summarize the characteristics of nurse education programs around the globe and analyze the similarities and differences between them. A scoping review was performed to identify different characteristics of nurse education programs in Organization for Economic Co-operation and Development (OECD) countries. Records published between January 2016 and July 2021 were searched in the PubMed, Cinahl, and ERIC databases. The reference lists of all included articles were also searched manually for relevant studies. Articles were eligible if they described nurse education in one or more of the selected countries with a focus on nursing degrees (both undergraduate and postgraduate programs), nursing titles, program duration, study load hours, or practice hours. Data were independently extracted using a predefined extraction sheet. We asked the respective nursing associations for confirmation and to provide any additional information. After searching 9769 records, 117 were included in the synthesis. The included records described characteristics of undergraduate nursing educational programs (n = 50), postgraduate programs (n = 30), or both (n = 37). In total, 86 undergraduate and 82 postgraduate programs were described, with a great variety in degrees, nursing titles, study load hours, and practice hours. This study demonstrates that there is still considerable variation in nurse education programs between countries. These diverse educational pathways lead to different nursing titles and internationally standardized definitions of nursing roles have not been established. This makes it difficult to understand the healthcare role of nurses. Hence, efforts are needed to increase the quality and uniformity of nurse education around the world.</t>
  </si>
  <si>
    <t>Antibody tests for identification of current and past infection with SARS-CoV-2.</t>
  </si>
  <si>
    <t>Fox, Tilly; Geppert, Julia; Dinnes, Jacqueline; Scandrett, Katie; Bigio, Jacob; Sulis, Giorgia; Hettiarachchi, Dineshani; Mathangasinghe, Yasith; Weeratunga, Praveen; Wickramasinghe, Dakshitha; Bergman, Hanna; Buckley, Brian S; Probyn, Katrin; Sguassero, Yanina; Davenport, Clare; Cunningham, Jane; Dittrich, Sabine; Emperador, Devy; Hooft, Lotty; Leeflang, Mariska Mg; McInnes, Matthew Df; Spijker, René; Struyf, Thomas; Van den Bruel, Ann; Verbakel, Jan Y; Takwoingi, Yemisi; Taylor-Phillips, Sian; Deeks, Jonathan J; ,</t>
  </si>
  <si>
    <t>https://pubmed.ncbi.nlm.nih.gov/36394900</t>
  </si>
  <si>
    <t>The diagnostic challenges associated with the COVID-19 pandemic resulted in rapid development of diagnostic test methods for detecting SARS-CoV-2 infection. Serology tests to detect the presence of antibodies to SARS-CoV-2 enable detection of past infection and may detect cases of SARS-CoV-2 infection that were missed by earlier diagnostic tests. Understanding the diagnostic accuracy of serology tests for SARS-CoV-2 infection may enable development of effective diagnostic and management pathways, inform public health management decisions and understanding of SARS-CoV-2 epidemiology. To assess the accuracy of antibody tests, firstly, to determine if a person presenting in the community, or in primary or secondary care has current SARS-CoV-2 infection according to time after onset of infection and, secondly, to determine if a person has previously been infected with SARS-CoV-2. Sources of heterogeneity investigated included: timing of test, test method, SARS-CoV-2 antigen used, test brand, and reference standard for non-SARS-CoV-2 cases. The COVID-19 Open Access Project living evidence database from the University of Bern (which includes daily updates from PubMed and Embase and preprints from medRxiv and bioRxiv) was searched on 30 September 2020. We included additional publications from the Evidence for Policy and Practice Information and Co-ordinating Centre (EPPI-Centre) 'COVID-19: Living map of the evidence' and the Norwegian Institute of Public Health 'NIPH systematic and living map on COVID-19 evidence'. We did not apply language restrictions. We included test accuracy studies of any design that evaluated commercially produced serology tests, targeting IgG, IgM, IgA alone, or in combination. Studies must have provided data for sensitivity, that could be allocated to a predefined time period after onset of symptoms, or after a positive RT-PCR test. Small studies with fewer than 25 SARS-CoV-2 infection cases were excluded. We included any reference standard to define the presence or absence of SARS-CoV-2 (including reverse transcription polymerase chain reaction tests (RT-PCR), clinical diagnostic criteria, and pre-pandemic samples). We use standard screening procedures with three reviewers. Quality assessment (using the QUADAS-2 tool) and numeric study results were extracted independently by two people. Other study characteristics were extracted by one reviewer and checked by a second. We present sensitivity and specificity with 95% confidence intervals (CIs) for each test and, for meta-analysis, we fitted univariate random-effects logistic regression models for sensitivity by eligible time period and for specificity by reference standard group. Heterogeneity was investigated by including indicator variables in the random-effects logistic regression models. We tabulated results by test manufacturer and summarised results for tests that were evaluated in 200 or more samples and that met a modification of UK Medicines and Healthcare products Regulatory Agency (MHRA) target performance criteria. We included 178 separate studies (described in 177 study reports, with 45 as pre-prints) providing 527 test evaluations. The studies included 64,688 samples including 25,724 from people with confirmed SARS-CoV-2; most compared the accuracy of two or more assays (102/178, 57%). Participants with confirmed SARS-CoV-2 infection were most commonly hospital inpatients (78/178, 44%), and pre-pandemic samples were used by 45% (81/178) to estimate specificity. Over two-thirds of studies recruited participants based on known SARS-CoV-2 infection status (123/178, 69%). All studies were conducted prior to the introduction of SARS-CoV-2 vaccines and present data for naturally acquired antibody responses. Seventy-nine percent (141/178) of studies reported sensitivity by week after symptom onset and 66% (117/178) for convalescent phase infection. Studies evaluated enzyme-linked immunosorbent assays (ELISA) (165/527; 31%), chemiluminescent assays (CLIA) (167/527; 32%) or lateral flow assays (LFA) (188/527; 36%). Risk of bias was high because of participant selection (172, 97%); application and interpretation of the index test (35, 20%); weaknesses in the reference standard (38, 21%); and issues related to participant flow and timing (148, 82%). We judged that there were high concerns about the applicability of the evidence related to participants in 170 (96%) studies, and about the applicability of the reference standard in 162 (91%) studies. Average sensitivities for current SARS-CoV-2 infection increased by week after onset for all target antibodies. Average sensitivity for the combination of either IgG or IgM was 41.1% in week one (95% CI 38.1 to 44.2; 103 evaluations; 3881 samples, 1593 cases), 74.9% in week two (95% CI 72.4 to 77.3; 96 evaluations, 3948 samples, 2904 cases) and 88.0% by week three after onset of symptoms (95% CI 86.3 to 89.5; 103 evaluations, 2929 samples, 2571 cases). Average sensitivity during the convalescent phase of infection (up to a maximum of 100 days since onset of symptoms, where reported) was 89.8% for IgG (95% CI 88.5 to 90.9; 253 evaluations, 16,846 samples, 14,183 cases), 92.9% for IgG or IgM combined (95% CI 91.0 to 94.4; 108 evaluations, 3571 samples, 3206 cases) and 94.3% for total antibodies (95% CI 92.8 to 95.5; 58 evaluations, 7063 samples, 6652 cases). Average sensitivities for IgM alone followed a similar pattern but were of a lower test accuracy in every time slot. Average specificities were consistently high and precise, particularly for pre-pandemic samples which provide the least biased estimates of specificity (ranging from 98.6% for IgM to 99.8% for total antibodies). Subgroup analyses suggested small differences in sensitivity and specificity by test technology however heterogeneity in study results, timing of sample collection, and smaller sample numbers in some groups made comparisons difficult. For IgG, CLIAs were the most sensitive (convalescent-phase infection) and specific (pre-pandemic samples) compared to both ELISAs and LFAs (P &amp;lt; 0.001 for differences across test methods). The antigen(s) used (whether from the Spike-protein or nucleocapsid) appeared to have some effect on average sensitivity in the first weeks after onset but there was no clear evidence of an effect during convalescent-phase infection. Investigations of test performance by brand showed considerable variation in sensitivity between tests, and in results between studies evaluating the same test. For tests that were evaluated in 200 or more samples, the lower bound of the 95% CI for sensitivity was 90% or more for only a small number of tests (IgG, n = 5; IgG or IgM, n = 1; total antibodies, n = 4). More test brands met the MHRA minimum criteria for specificity of 98% or above (IgG, n = 16; IgG or IgM, n = 5; total antibodies, n = 7). Seven assays met the specified criteria for both sensitivity and specificity. In a low-prevalence (2%) setting, where antibody testing is used to diagnose COVID-19 in people with symptoms but who have had a negative PCR test, we would anticipate that 1 (1 to 2) case would be missed and 8 (5 to 15) would be falsely positive in 1000 people undergoing IgG or IgM testing in week three after onset of SARS-CoV-2 infection. In a seroprevalence survey, where prevalence of prior infection is 50%, we would anticipate that 51 (46 to 58) cases would be missed and 6 (5 to 7) would be falsely positive in 1000 people having IgG tests during the convalescent phase (21 to 100 days post-symptom onset or post-positive PCR) of SARS-CoV-2 infection. Some antibody tests could be a useful diagnostic tool for those in whom molecular- or antigen-based tests have failed to detect the SARS-CoV-2 virus, including in those with ongoing symptoms of acute infection (from week three onwards) or those presenting with post-acute sequelae of COVID-19. However, antibody tests have an increasing likelihood of detecting an immune response to infection as time since onset of infection progresses and have demonstrated adequate performance for detection of prior infection for sero-epidemiological purposes. The applicability of results for detection of vaccination-induced antibodies is uncertain.</t>
  </si>
  <si>
    <t>Late-life depression, allostatic load, and risk of dementia: The AGES-Reykjavik study.</t>
  </si>
  <si>
    <t>Twait, Emma L; Basten, Maartje; Gerritsen, Lotte; Gudnason, Vilmundur; Launer, Lenore J; Geerlings, Mirjam I</t>
  </si>
  <si>
    <t>psychoneuroendocrinology</t>
  </si>
  <si>
    <t>https://pubmed.ncbi.nlm.nih.gov/36423561</t>
  </si>
  <si>
    <t>The current study aimed to assess if the relation between depression and dementia could be explained by allostatic load (AL) profiles, as well as assessing their risk on incident all-cause dementia, Alzheimer's disease (AD), and non-AD dementias. The study included individuals without dementia at baseline from the population-based AGES-Reykjavik Study. Depressive symptoms assessed with the Geriatric Depression Scale-15 and AL markers were collected at baseline. Latent profile analysis (LPA) was performed on the AL markers. Incident dementia was measured during 12-years of follow-up. Cox regressions adjusted for AL profiles were performed to evaluate if AL could explain the relation between depressive symptoms and incident dementia. Additional Cox regressions exploring the interaction with depressive symptoms and AL profiles were also performed. LPA revealed four profiles based on AL factors: 'Low cardiovascular dysregulation' (43 %), 'Average' (42 % prevalence), 'High cardiovascular dysregulation' (11 %), and 'Multisystem dysregulation' (4 %). Cox regression analyses found an increased risk for dementia in the 'Multisystem dysregulation' group (HR 1.72; 95 % CI 1.26-2.33), as well as for AD (HR 1.75; 95 % CI: 1.12-2.71) and non-AD dementias (HR 1.87; 95 % CI: 1.23-2.84). AL profiles did not mediate the risk of all-cause dementia with depressive symptoms; however, there was evidence of additive interaction with depressive symptoms and the 'Multisystem dysregulation' profile and all-cause dementia (RERI 0.15; 95 % CI 0.03-0.26). AL profiles and depressive symptoms were independently related to dementia. Individuals with multisystem dysregulation could be more susceptible to the negative effects of depressive symptomology on incident dementia.</t>
  </si>
  <si>
    <t>Care-seeking behaviour among febrile children under five in Togo.</t>
  </si>
  <si>
    <t>Kombate, Gountante; Cakpo, Gbènonminvo Enoch; Azianu, Komi Ameko; Labité, Matè Alonyenyo; van der Sande, Marianne A B</t>
  </si>
  <si>
    <t>https://pubmed.ncbi.nlm.nih.gov/36397027</t>
  </si>
  <si>
    <t>Fever is one of the warning signs of poor health in children. Care-seeking in febrile children is importance in reducing child deaths and morbidity. This care-seeking by parents in children with fever is however relatively low in sub-Sahara Africa. The aim of this study is to improve understanding of the behaviour of caregivers in seeking care for children under five with fever and to identify associated modifiable risk factors in Togo. Data from a 2013-2014 cross-sectional nationally representative malaria indicator survey was used. Advice or care-seeking is defined as any child under 5 years of age with fever in the two weeks prior to the interview for whom advice or treatment was sought in a public medical area, private medical area, store, market, or from an itinerant medicine seller. Univariate and multivariate logistic regression analysis were performed using Generalized Linear Models. A total of 1359 febrile children out of 6529 children under five were enrolled. Care had been sought in 38.9% of cases. In multivariate analysis, independent risk factors associated with formal care seeking were accessibility to the nearest health center (aOR = 1.52, 95% CI [1.18-1.95], mother's education level secondary and above (aOR = 1.85, 95% [1.32-2.59]), mothers who identified as belonging to animist/traditionalist religions compared to mothers who belonged to a formal religion (catholic (aOR = 2. 28, 95% [1.55-3.37]), Muslim (aOR = 2.41, 95% [1.67-3.47]), and Protestant (aOR = 1.9, 95% [1.37-2.65]), Maritime region (aOR = 0.49, 95% [0.29-0.82]) compared to Lome commune. Interventions should specifically target women with limited education, not identifying as part of an official church and at longer distance from health center.</t>
  </si>
  <si>
    <t>Comparative performance of cardiovascular risk prediction models in people living with HIV.</t>
  </si>
  <si>
    <t>Tahir, Irtiza S; Vos, Alinda G; Damen, Johanna A A; Barth, Roos E; Tempelman, Hugo A; Grobbee, Diederick E; Scheuermaier, Karine; Venter, Willem D F; Klipstein-Grobusch, Kerstin</t>
  </si>
  <si>
    <t>https://pubmed.ncbi.nlm.nih.gov/36479421</t>
  </si>
  <si>
    <t>Current cardiovascular risk assessment in people living with HIV is based on general risk assessment tools; however, whether these tools can be applied in sub-Saharan African populations has been questioned. The study aimed to assess cardiovascular risk classification of common cardiovascular disease (CVD) risk prediction models compared to the Data Collection on Adverse Events of Anti-HIV Drugs (D:A:D) 2010 and 2016 models in people living with HIV. Cardiovascular disease risk was estimated by Framingham Cardiovascular and Heart Disease (FHS-CVD, FHS-CHD), Atherosclerotic Cardiovascular Disease (ASCVD) and D:A:D 2010 and 2016 risk prediction models for HIV-infected participants of the Ndlovu Cohort Study, Limpopo, rural South Africa. Participants were classified to be at low (&lt; 10%), moderate (10% - 20%), or high-risk (&gt; 20%) of CVD within 10 years for general CVD and five years for D:A:D models. Kappa statistics were used to determine agreement between CVD risk prediction models. Subgroup analysis was performed according to age. The analysis comprised 735 HIV-infected individuals, predominantly women (56.7%), average age 43.9 (8.8) years. The median predicted CVD risk for D:A:D 2010 and FHS-CVD was 4% and for ASCVD and FHS-CHD models, 3%. For the D:A:D 2016 risk prediction model, the figure was 5%. High 10-year CVD risk was predicted for 2.9%, 0.5%, 0.7%, 3.1% and 6.6% of the study participants by FHS-CVD, FHS-CHD, ASCVD, and D:A:D 2010 and 2016. Kappa statistics ranged from 0.34 for ASCVD to 0.60 for FHS-CVD as compared to the D:A:D 2010 risk prediction model. Overall, predicted CVD risk is low in this population. Compared to D:A:D 2010, CVD risk estimated by the FHS-CVD model showed similar overall results for risk classification. With the exception of the D:A:D model, all other risk prediction models classified fewer people to be at high estimated CVD risk. Prospective studies are needed to develop and validate CVD risk algorithms in people living with HIV in sub-Saharan Africa.</t>
  </si>
  <si>
    <t>Improvement of non-invasive tests of liver steatosis and fibrosis as indicators for non-alcoholic fatty liver disease in type 2 diabetes mellitus patients with elevated cardiovascular risk profile using the PPAR-α/γ agonist aleglitazar.</t>
  </si>
  <si>
    <t>Grobbee, Esmée J; de Jong, Vivian D; Schrieks, Ilse C; Tushuizen, Maarten E; Holleboom, Adriaan G; Tardif, Jean-Claude; Lincoff, A Michael; Schwartz, Gregory G; Castro Cabezas, Manuel; Grobbee, Diederick E</t>
  </si>
  <si>
    <t>https://pubmed.ncbi.nlm.nih.gov/36378671</t>
  </si>
  <si>
    <t>Peroxisome proliferator-activated receptor (PPAR) agonists may have favorable outcomes on non-alcoholic fatty liver disease. This study serves as proof of concept to evaluate whether dual PPAR-α/γ agonists improve non-invasive tests of liver steatosis and fibrosis. This is a post-hoc analysis of a randomized, double-blind, placebo-controlled, multi-center trial comprising 7226 patients with type 2 diabetes mellitus and recent coronary artery disease randomized to receive aleglitazar, a PPAR-α/γ agonists, or placebo for two years. Main outcomes were change in non-invasive tests for liver steatosis and fibrosis: Liver Fat Score (LFS), Liver Accumulation Product (LAP), Fibrosis-4 (FIB-4), and NAFLD Fibrosis Score (NFS). LFS, LAP and FIB-4 decreased upon treatment, whereas scores in the placebo group remained the same or increased (P&lt;0.001). NFS responded differently but remained consistently lower than placebo. In the treatment group more participants shifted to a lower FIB-4 and NFS category, or improved in respect to the LAP cut-off values compared to the placebo group (P&lt;0.001 for FIB-4 and LAP, P&lt;0.004 for NFS). LFS had a low discriminative power in this study. This post-hoc analysis showed improvement of non-invasive tests of liver steatosis and fibrosis after starting dual PPAR-α/γ agonist treatment, adding to the evidence that this pathway has potential in non-alcoholic fatty liver disease treatment.</t>
  </si>
  <si>
    <t>Adjusting for misclassification of an exposure in an individual participant data meta-analysis.</t>
  </si>
  <si>
    <t>de Jong, Valentijn M T; Campbell, Harlan; Maxwell, Lauren; Jaenisch, Thomas; Gustafson, Paul; Debray, Thomas P A</t>
  </si>
  <si>
    <t>https://pubmed.ncbi.nlm.nih.gov/36200133</t>
  </si>
  <si>
    <t>A common problem in the analysis of multiple data sources, including individual participant data meta-analysis (IPD-MA), is the misclassification of binary variables. Misclassification may lead to biased estimators of model parameters, even when the misclassification is entirely random. We aimed to develop statistical methods that facilitate unbiased estimation of adjusted and unadjusted exposure-outcome associations and between-study heterogeneity in IPD-MA, where the extent and nature of exposure misclassification may vary across studies. We present Bayesian methods that allow misclassification of binary exposure variables to depend on study- and participant-level characteristics. In an example of the differential diagnosis of dengue using two variables, where the gold standard measurement for the exposure variable was unavailable for some studies which only measured a surrogate prone to misclassification, our methods yielded more accurate estimates than analyses naive with regard to misclassification or based on gold standard measurements alone. In a simulation study, the evaluated misclassification model yielded valid estimates of the exposure-outcome association, and was more accurate than analyses restricted to gold standard measurements. Our proposed framework can appropriately account for the presence of binary exposure misclassification in IPD-MA. It requires that some studies supply IPD for the surrogate and gold standard exposure, and allows misclassification to follow a random effects distribution across studies conditional on observed covariates (and outcome). The proposed methods are most beneficial when few large studies that measured the gold standard are available, and when misclassification is frequent.</t>
  </si>
  <si>
    <t>Facilitating Children's Club-Organized Sports Participation: Person-Environment Misfits Experienced by Parents from Low-Income Families.</t>
  </si>
  <si>
    <t>van Leeuwen, Lonneke; Annink, Anne; Visser, Kirsten; Jambroes, Marielle</t>
  </si>
  <si>
    <t>children basel switzerland</t>
  </si>
  <si>
    <t>https://pubmed.ncbi.nlm.nih.gov/36421195</t>
  </si>
  <si>
    <t>Despite the many benefits of club-organized sports participation for children, studies have shown that sports participation is lower among children from low-income families than among children from middle- or high-income families. Adopting a socioecological perspective, the main aim of our study was to identify and describe experiences of person-environment (PE) misfits in relation to parental facilitation of children's sports participation. We conducted 24 interviews with parents from low-income families. PE misfits were found in multiple behaviors related to the facilitation of children's sports participation: financing sports participation; planning and investing time; transporting children; acquiring, processing, and providing information; and arranging support. Across these PE misfits, influential attributes were found on the individual level (e.g., skills) as well as within the social, policy, physical, and information environment. In response to PE misfits experienced, parents deployed multiple strategies to reduce these PE misfits, aimed at enhancing either themselves (e.g., increasing financial capacities) or their environments (e.g., arranging social support). These results provide an insight into experienced PE misfits that took the form of multiple specific behaviors which parents found difficult while facilitating their children's sports participation. Furthermore, the results provide insight into the environmental and individual attributes that were involved in these PE misfits, and into how parents modified themselves or their environments in order to make their environments more supportive. The study contributes to future research on individual and environmental influences on parental facilitation of their children's sports participation, as well as on the development of multilevel interventions aimed at increasing sports participation among children from low-income families.</t>
  </si>
  <si>
    <t>Diagnostic accuracy of SARS-CoV-2 rapid antigen self-tests in asymptomatic individuals in the omicron period: a cross-sectional study.</t>
  </si>
  <si>
    <t>Venekamp, Roderick P; Schuit, Ewoud; Hooft, Lotty; Veldhuijzen, Irene K; van den Bijllaardt, Wouter; Pas, Suzan D; Zwart, Vivian F; Lodder, Esther B; Hellwich, Marloes; Koppelman, Marco; Molenkamp, Richard; Wijers, Constantijn J H; Vroom, Irene H; Smeets, Leonard C; Nagel-Imming, Carla R S; Han, Wanda G H; van den Hof, Susan; Kluytmans, Jan A J W; van de Wijgert, Janneke H H M; Moons, Karel G M</t>
  </si>
  <si>
    <t>https://pubmed.ncbi.nlm.nih.gov/36379401</t>
  </si>
  <si>
    <t>To assess the performances of three commonly used antigen rapid diagnostic tests used as self-tests in asymptomatic individuals in the Omicron period. We performed a cross-sectional diagnostic test accuracy study in the Omicron period in three public health service COVID-19 test sites in the Netherlands, including 3600 asymptomatic individuals aged ≥ 16 years presenting for SARS-CoV-2 testing for any reason except confirmatory testing after a positive self-test. Participants were sampled for RT-PCR (reference test) and received one self-test (either Acon Flowflex [Flowflex], MP Biomedicals (MPBio), or Siemens-Healthineers CLINITEST [CLINITEST]) to perform unsupervised at home. Diagnostic accuracies of each self-test were calculated. Overall sensitivities were 27.5% (95% CI, 21.3-34.3%) for Flowflex, 20.9% (13.9-29.4%) for MPBio, and 25.6% (19.1-33.1%) for CLINITEST. After applying a viral load cut-off (≥5.2 log10 SARS-CoV-2 E-gene copies/mL), sensitivities increased to 48.3% (37.6-59.2%), 37.8% (22.5-55.2%), and 40.0% (29.5-51.2%), respectively. Specificities were &gt;99% for all tests in most analyses. The sensitivities of three commonly used SARS-CoV-2 antigen rapid diagnostic tests when used as self-tests in asymptomatic individuals in the Omicron period were very low. Antigen rapid diagnostic test self-testing in asymptomatic individuals may only detect a minority of infections at that point in time. Repeated self-testing in case of a negative self-test is advocated to improve the diagnostic yield, and individuals should be advised to re-test when symptoms develop.</t>
  </si>
  <si>
    <t>Working conditions in women with multiple pregnancy-the impact on preterm birth and adherence to guidelines: a prospective cohort study.</t>
  </si>
  <si>
    <t>van Beukering, Monique D M; van Melick, Marjo J G J; Duijnhoven, Ruben G; Schuit, Ewoud; Liem, Sophie L; Frings-Dresen, Monique H W; van de Wetering, Alouisa J P; Spaanderman, Marc E A; Kok, Marjolein; Mol, Ben W</t>
  </si>
  <si>
    <t>https://pubmed.ncbi.nlm.nih.gov/36379267</t>
  </si>
  <si>
    <t>Women with multiple pregnancies are at risk for maternal complications such as preterm birth. Hazardous working conditions, such as physically demanding work and long and irregular working hours, might increase the risk of preterm birth. This study primarily aimed to determine whether certain working conditions up to 20 weeks of pregnancy increase the risk of preterm birth in multiple pregnancies. The secondary objective was to evaluate whether the working conditions of Dutch women with multiple pregnancy have been adjusted to the guidelines of the Netherlands Society of Occupational Medicine. We performed a prospective cohort study alongside the ProTWIN trial, a multicenter randomized controlled trial that assessed whether cervical pessaries could effectively prevent preterm birth. Women with paid work of &gt;8 hours per week completed questionnaires concerning general health and working conditions between 16 and 20 weeks of pregnancy. Univariable and multivariable logistic regression analyses were performed to identify work-related factors associated with preterm birth (32-36 weeks' gestation) and very preterm birth (&lt;32 weeks' gestation). We analyzed a subgroup of participants who worked for more than half of the week (&gt;28 hours). We calculated the proportion of women who reported work-related factors not in accordance with guidelines. We studied 383 women, of whom 168 (44%) had been randomized to pessary, 142 (37%) to care as usual, and 73 (19%) did not participate in the randomized part of the study. After adjusting for confounding variables, working &gt;28 hours was associated with very preterm birth (n=33; 78%) (adjusted odds ratio, 3.0; 95% confidence interval, 1.1-8.1), and irregular working times were associated with preterm birth (n=26, 17%) (adjusted odds ratio, 2.0; 95% confidence interval, 1.0-4.1) and very preterm birth (n=10; 24%) (adjusted odds ratio, 2.7; 95% confidence interval, 1.0-7.3). Within a subgroup of 213 participants working &gt;28 hours per week, multivariable analysis showed that irregular working times (n=16; 20%) (adjusted odds ratio, 3.5; 95% confidence interval, 1.2-10.1) and no/little freedom in performance of tasks (n=23; 28%) (adjusted odds ratio, 3.0; 95% confidence interval, 1.3-7.3) were associated with preterm birth. Irregular working times (n=9; 27%) (adjusted odds ratio, 3.4; 95% confidence interval, 1.0-11.1), requiring physical strength (n=9; 27%) (adjusted odds ratio, 5.3; 95% confidence interval, 1.6-17.8), high physical workload (n=7; 21%) (adjusted odds ratio, 3.9; 95% confidence interval, 1.1-13.9), and no/little freedom in performing tasks (n=10; 30%) (adjusted odds ratio, 3.2; 95% confidence interval, 1.1-9.6) were associated with very preterm birth. Before 20 weeks of pregnancy, 224 (58.5%) women with multiple pregnancy continued to work under circumstances that were not in accordance with the guidelines. In our cohort study, nearly 60% of women with multiple pregnancy continued to work under circumstances not in accordance with the guidelines to avoid physical and job strain and long and irregular working hours. Irregular hours were associated with preterm and very preterm birth, and long hours were associated with preterm birth.</t>
  </si>
  <si>
    <t>Evidence for pharmacological interventions to reduce cardiovascular risk for patients with chronic kidney disease: a study protocol of an evidence map.</t>
  </si>
  <si>
    <t>Colombijn, Julia M T; Idema, Demy L; van der Braak, Kim; Spijker, Rene; Meijvis, Sabine C A; Bots, Michiel L; Hooft, Lotty; Verhaar, Marianne C; Vernooij, Robin W M</t>
  </si>
  <si>
    <t>https://pubmed.ncbi.nlm.nih.gov/36371302</t>
  </si>
  <si>
    <t>Patients with chronic kidney disease (CKD) require a personalised strategy for cardiovascular risk management (CVRM) to reduce their high risk of cardiovascular morbidity and mortality. Despite their high risk, patients with CKD appear to be underrepresented in randomised controlled trials (RCTs) for pharmacological CVRM interventions to reduce cardiovascular risk (pharmacological CVRM interventions). As a result, it remains unclear whether the efficacy of these interventions found in patients without CKD is similarly applicable to patients with CKD. This evidence map aims to provide an overview of the availability of the evidence from pharmacological CVRM trials for patients with CKD by assessing how often patients with reduced kidney function are specifically excluded or included from RCTs on pharmacological CVRM interventions and whether studies report efficacy estimates of interventions specifically for kidney patients. We will perform a systematic literature search in ClinicalTrials.gov to identify relevant planned, ongoing, and completed RCTs on a broad range of CVRM medications after which we will retrieve the published protocols and papers via ClinicalTrials.gov itself, Embase, MEDLINE, or Google Scholar. We will include RCTs that investigate the efficacy of platelet inhibitors, anticoagulants, antihypertensives, glucose-lowering medication, and lipid-lowering medication on all-cause mortality, cardiovascular mortality, cardiovascular morbidity, and end-stage kidney disease in patients with a cardiovascular history or a major risk factor for cardiovascular disease. Two reviewers will independently screen trial records and their corresponding full-text publications to determine eligibility and extract data. Outcomes of interest are the exclusion of patients with reduced kidney function from RCTs and whether the study population was restricted to kidney patients or subgroup analyses were performed on kidney function. Results will be visualised in an evidence map. The availability of evidence on the efficacy and safety of pharmacological CVRM interventions in patients with CKD might be limited. Hence, we will identify knowledge gaps for future research. At the same time, the availability of evidence, or lack thereof, might warrant caution from healthcare decision-makers in making strong recommendations based on the extrapolation of results from studies to patients who were explicitly excluded from participation. PROSPERO CRD42022296746.</t>
  </si>
  <si>
    <t>Sociodemographic, lifestyle and clinical characteristics of energy-related depression symptoms: A pooled analysis of 13,965 depressed cases in 8 Dutch cohorts.</t>
  </si>
  <si>
    <t>Vreijling, Sarah R; van Haeringen, Marije; Milaneschi, Yuri; Huider, Floris; Bot, Mariska; Amin, Najaf; Beulens, Joline W; Bremmer, Marijke A; Elders, Petra J; Galesloot, Tessel E; Kiemeney, Lambertus A; van Loo, Hanna M; Picavet, H Susan J; Rutters, Femke; van der Spek, Ashley; van de Wiel, Anne M; van Duijn, Cornelia; Feskens, Edith J M; Hartman, Catharina A; Oldehinkel, Albertine J; Smit, Jan H; Verschuren, W M Monique; Willemsen, Gonneke; de Geus, Eco J C; Boomsma, Dorret I; Penninx, Brenda W J H; Lamers, Femke; Jansen, Rick</t>
  </si>
  <si>
    <t>journal of affective disorders</t>
  </si>
  <si>
    <t>https://pubmed.ncbi.nlm.nih.gov/36372132</t>
  </si>
  <si>
    <t>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The symptom-specific associations may have consequences for a profile integrating these symptoms, which can be used to reflect immuno-metabolic depression. They indicate the need to study immuno-metabolic depression at individual symptom resolution as a starting point.</t>
  </si>
  <si>
    <t>Value of diagnosing immunological phenomena in patients with suspected endocarditis.</t>
  </si>
  <si>
    <t>van der Vaart, Thomas W; Heerschop, Luca L; Bouma, Berto J; Freudenburg, Wieke; Bonten, Marc J M; Prins, Jan M; van der Meer, Jan T M</t>
  </si>
  <si>
    <t>infection</t>
  </si>
  <si>
    <t>https://pubmed.ncbi.nlm.nih.gov/36355270</t>
  </si>
  <si>
    <t>Immunological phenomena are a minor criteria in the modified Duke Criteria for endocarditis. Given the changes in epidemiology and diagnostics, the added value of determining these phenomena in today's patients with suspected endocarditis is unknown. In a retrospective cohort study of all patients with suspected endocarditis admitted to our hospital and discussed in our endocarditis team, we determined the proportion of patients classified as definite endocarditis because of either positive IgM rheumatoid factor (IgM RF), haematuria, or Roth's spots on ophthalmology consultation. We also determined diagnostic accuracy of each of these immunological phenomena separately and combined. Of 285 patients included, 138 (48%) had definite endocarditis and at least one immunological test was performed in 222 patients (78%). Elevated IgM RF was found in 22 of 126 patients tested (17%), haematuria in 78 of 196 tested (40%) and Roth's spots in six of 120 tested (5%). Eighteen of 138 patients with definite IE (13%) were classified as such because of a positive IgM RF, haematuria or Roth's spots. Haematuria had the highest sensitivity: 50.5% (95% CI 40.4-60.6) and Roth's spots the highest specificity: 98.3% (95% CI 90.8-99.9). The diagnostic accuracy results were robust in a sensitivity analysis aimed at avoiding incorporation bias. Among patients with a clinical suspicion of endocarditis, recommended systematic testing for immunological phenomena helped classify more patients as definite IE and is useful to confirm the diagnosis of endocarditis.</t>
  </si>
  <si>
    <t>Health professionals' perspectives on clinical challenges in managing hypertensive disorders of pregnancy and recommendations for improving care: A multi-center qualitative study.</t>
  </si>
  <si>
    <t>Adu-Bonsaffoh, Kwame; Tamma, Evelyn; Nwameme, Adanna Uloaku; Browne, Joyce L</t>
  </si>
  <si>
    <t>https://pubmed.ncbi.nlm.nih.gov/36440321</t>
  </si>
  <si>
    <t>Hypertensive disorders of pregnancy (HDP) are a leading cause of maternal mortality and morbidity globally despite the intensive international effort to improving maternal care. Substandard clinical care has emerged as a major contributing factor to the high maternal deaths associated with maternal hypertension globally and the impact is severer in low- and middle-income countries (LMICs). Context specific challenges impact negatively on the quality of maternity care and health providers play a crucial role in achieving positive pregnancy experiences for women. This study explored the perspectives of health professionals on the clinical challenges associated with the management of HDP in Ghana and recommendations for improving care. A multi-center qualitative study using in-depth interviews (IDIs) was conducted in five major hospitals in the Greater Accra Region of Ghana between June 2018 and March 2019. Health professionals (midwives/nurses and medical doctors) who have worked at the study sites for at least three months were included. Data were analysed based on thematic content using Nvivo software. We included 62 health professionals comprising 40 midwives/nurses (64.5%) with a median age of 32.5 years (range 26 to 59) and 22 medical doctors (34.5%) with a median age of 34 years (range 25 to 55). Health providers highlighted major challenges associated with clinical management of hypertension in pregnancy: (1) patient-related factors (inadequate understanding and misconceptions about hypertension in pregnancy, women's non-compliance with clinical advice, financial constraints); (2) health system-related challenges (frequent unavailability of logistics, medications and laboratory support, delays in provision of care and limitations in the health insurance coverage); (3) health provider associated factors (inadequate number of health professionals and poor attitudes). Context-specific recommendations suggested for improving the quality of care in managing maternal hypertension include restructuring of the health system to reduce delays in providing care, improving financial coverage of medical insurance, encouraging social/family support, enhancing education on HDP and strengthening the health workers' numbers and working conditions. Major challenges in the clinical management of HDP relate to the health system, health professionals and pregnant women themselves. Context-specific interventions are required to improve the quality of care for hypertensive mothers including regular health education, re-structuring of the health systems, refresher courses for health providers, improvement in health insurance coverage and government subsidy for hypertensive women.</t>
  </si>
  <si>
    <t>Challenges and Changes of the Breast Cancer Screening Paradigm.</t>
  </si>
  <si>
    <t>Cömert, Didem; van Gils, Carla H; Veldhuis, Wouter B; Mann, Ritse M</t>
  </si>
  <si>
    <t>https://pubmed.ncbi.nlm.nih.gov/36349728</t>
  </si>
  <si>
    <t>Since four decades mammography is used for early breast cancer detection in asymptomatic women and still remains the gold standard imaging modality. However, population screening programs can be personalized and women can be divided into different groups based on risk factors and personal preferences. The availability of new and evolving imaging modalities, for example, digital breast tomosynthesis, dynamic-contrast-enhanced magnetic resonance imaging (MRI), abbreviated MRI protocols, diffusion-weighted MRI, and contrast-enhanced mammography leads to new challenges and perspectives regarding the feasibility and potential harms of breast cancer screening. The aim of this review is to discuss the current guidelines for different risk groups, to analyze the recent published studies about the diagnostic performance of the imaging modalities and to discuss new developments and future perspectives. LEVEL OF EVIDENCE: 1 TECHNICAL EFFICACY: Stage 6.</t>
  </si>
  <si>
    <t>The association between social jetlag and parameters of metabolic syndrome and type 2 diabetes: a systematic review and meta-analysis.</t>
  </si>
  <si>
    <t>Bouman, Emma J; Beulens, Joline W J; Groeneveld, Lenka; de Kruijk, Rozemarijn S; Schoonmade, Linda J; Remmelzwaal, Sharon; Elders, Petra J M; Rutters, Femke</t>
  </si>
  <si>
    <t>journal of sleep research</t>
  </si>
  <si>
    <t>https://pubmed.ncbi.nlm.nih.gov/36351658</t>
  </si>
  <si>
    <t>This study aims to determine the association between social jetlag and parameters of metabolic syndrome and type 2 diabetes (T2D) in a systematic review and meta-analysis. A systematic literature search was conducted in PubMed/Embase/Scopus until May 2022. Included studies described an association between social jetlag and parameters of the metabolic syndrome and/or T2D, were available full text and written in English or Dutch. Data extraction and quality assessment were performed on pre-piloted forms independently by two reviewers. Results were meta-analysed using random-effects analysis. A total of 6,290 titles/abstracts were screened, 176 papers were read full-text, 68 studies were included. Three studies were rated as low quality, 27 were moderate, and 38 were high quality. High quality studies showed that having social jetlag compared to no social jetlag was significantly associated with higher body mass index in 20 studies (0.49 kg/m&lt;sup&gt;2&lt;/sup&gt; , 95% confidence interval [CI] 0.21-0.77; I&lt;sup&gt;2&lt;/sup&gt;  = 100%), higher waist circumference in seven studies (1.11 cm, 95% CI 0.42-1.80; I&lt;sup&gt;2&lt;/sup&gt;  = 25%), higher systolic blood pressure in 10 studies (0.37 mmHg, 95% CI 0.00-0.74; I&lt;sup&gt;2&lt;/sup&gt;  = 94%) and higher glycated haemoglobin in 12 studies (0.42%, 95% CI 0.12- 0.72; I&lt;sup&gt;2&lt;/sup&gt;  = 100%). No statistically significant associations were found for obesity, abdominal obesity, high- and low-density lipoprotein levels, cholesterol, triglycerides, diastolic blood pressure, hypertension, fasting glucose, homeostatic model assessment for insulin resistance, metabolic syndrome or T2D. Sensitivity analyses did not reduce heterogeneity. Despite substantial heterogeneity, social jetlag is associated with certain parameters of the metabolic syndrome and T2D, but not with prevalent metabolic syndrome or T2D. These findings should be interpreted with caution as the level of evidence is low and mostly based on cross-sectional data. Longitudinal studies are needed to further assess the direction of causality.</t>
  </si>
  <si>
    <t>Nosocomial RSV-related In-hospital Mortality in Children &lt;5 Years: A Global Case Series.</t>
  </si>
  <si>
    <t>Löwensteyn, Yvette N; Willemsen, Joukje E; Mazur, Natalie I; Scheltema, Nienke M; van Haastregt, Nynke C J; Buuren, Amber A A Ten; van Roessel, Ichelle; Scheepmaker, Dunja; Nair, Harish; van de Ven, Peter M; Bont, Louis J; ,</t>
  </si>
  <si>
    <t>https://pubmed.ncbi.nlm.nih.gov/36476518</t>
  </si>
  <si>
    <t>According to the World Health Organization, the global burden of nosocomial infections is poorly characterized as surveillance systems are lacking. Nosocomial infections occur at higher rates in low- and lower-middle-income countries (LMICs) than in high-income countries (HICs). Current global RSV burden estimates are largely based on community-acquired infection. We aimed to characterize children with nosocomial RSV-related mortality and to understand the potential impact of RSV immunization strategies. RSV GOLD is a global registry of children younger than 5 years who died with laboratory-confirmed RSV infection. We compared clinical and demographic characteristics of children with nosocomial and community-acquired RSV in-hospital mortality. We included 231 nosocomial and 931 community-acquired RSV-related in-hospital from deaths from 65 countries. Age at death was similar for both groups (5.4 vs. 6 months). A higher proportion of nosocomial deaths had comorbidities (87% vs. 57%; P &lt; 0.001) or was born preterm (46% vs. 24%; P &lt; 0.001) than community-acquired deaths. The proportion of nosocomial deaths among all RSV deaths was lower in LMICs than in upper-middle-income countries (UMICs) and HICs (12% vs. 18% and 26%, respectively). This is the first global case series of children dying with nosocomial RSV infection. Future infant-targeted immunization strategies could prevent the majority of nosocomial RSV-related deaths. Although nosocomial RSV deaths are expected to occur at highest rates in LMICs, the number of reported nosocomial RSV deaths was low in these countries. Hospital-based surveillance is needed to capture the full burden of nosocomial RSV mortality in LMICs.</t>
  </si>
  <si>
    <t>Development of a microlearning intervention regarding nursing nutritional care for older adults: A multi-methods study.</t>
  </si>
  <si>
    <t>Ten Cate, Debbie; Dikken, Jeroen; Ettema, Roelof G A; Schoonhoven, Lisette; Schuurmans, Marieke J</t>
  </si>
  <si>
    <t>https://pubmed.ncbi.nlm.nih.gov/36459951</t>
  </si>
  <si>
    <t>Nutritional care for older adults provided by hospital and home care nurses and nursing assistants is suboptimal. This is due to several factors including professionals' lack of knowledge and low prioritisation. Affecting these factors may promote nurses' and nursing assistants' behavioral change and eventually improve nutritional care. To increase the likelihood of successfully targeting these factors, an evidence-based educational intervention is needed. To develop an educational intervention for hospital and home care nurses and nursing assistants to promote behaviour change by affecting factors that influence current behaviour in nutritional care for older adults. In this paper, we describe the intervention development process. A multi-methods approach using literature and expert input. Hospital and home care. Older adults, nurses, nursing assistants, experts, and other professionals involved in nutritional care. The educational intervention was based on five principles: 1) interaction between intervention and users, 2) targeting users on both individual and team level, 3) supporting direct and easy transfer to the workplace, and continuous learning, 4) facilitating learning within an appropriate period, and 5) fitting with the context. Consistent with these principles, the research team focussed on developing a microlearning intervention and they established consensus on seven features of the intervention: content, provider, mode of delivery, setting, recipient, intensity, and duration. The intervention consisted of 30 statements about nursing nutritional care for older adults, which nurses and nursing assistants were asked to confirm or reject, followed by corresponding explanations. These can be presented in a snack-sized way, this means one statement per day, five times a week over a period of six weeks through an online platform. Based on a well-founded and comprehensive procedure, the microlearning intervention was developed. This intervention has the potential to contribute to nursing nutritional care for older adults.</t>
  </si>
  <si>
    <t>Kidney function measures and cardiovascular outcomes in people with diabetes: the Hoorn Diabetes Care System cohort.</t>
  </si>
  <si>
    <t>Dal Canto, Elisa; Elders, Petra J M; van der Heijden, Amber A; van Ballegooijen, Adriana J; Lissenberg-Witte, Birgit I; Rutters, Femke; Beulens, Joline W J</t>
  </si>
  <si>
    <t>https://pubmed.ncbi.nlm.nih.gov/36347992</t>
  </si>
  <si>
    <t>Both manifestations of kidney disease in diabetes, reduced eGFR (ml/min per 1.73 m&lt;sup&gt;2&lt;/sup&gt;) and increased urinary albumin/creatinine ratio (UACR, mg/mmol), may increase the risk of specific CVD subtypes in adults with diabetes. We assessed the prospective association between annually recorded measures of eGFR and UACR and the occurrence of myocardial infarction (MI), CHD, stroke, heart failure (HF) and cardiovascular mortality in 13,657 individuals with diabetes (53.6% male, age 62.3±12.1 years) from the Hoorn Diabetes Care System cohort, using data obtained between 1998 and 2018. Multivariate time-dependent Cox regression models adjusted for cardiovascular risk factors were used to estimate HRs and 95% CI. Associations of eGFR were adjusted for UACR values and vice versa. Effect modification by sex was investigated for all associations. After a mean follow-up period of 7 years, event rates per 1000 person-years were 3.08 for MI, 3.72 for CHD, 1.12 for HF, 0.84 for stroke and 6.25 for cardiovascular mortality. Mildly reduced eGFR (60-90 ml/min per 1.73 m&lt;sup&gt;2&lt;/sup&gt;) and moderately to severely reduced eGFR (&lt;59 ml/min per 1.73 m&lt;sup&gt;2&lt;/sup&gt;) were associated with higher risks of MI (HR 1.52; 95% CI 1.10, 2.12 and HR 1.69; 95% CI 1.09, 2.64) and CHD (HR 1.67; 95% CI 1.23, 2.26 and HR 2.01; 95% CI 1.34, 3.02) compared with normal eGFR (&gt;90 ml/min per 1.73 m&lt;sup&gt;2&lt;/sup&gt;). Mildly reduced eGFR was associated with a higher risk of stroke (HR 2.53; 95% CI 1.27, 5.03). Moderately increased UACR (3-30 mg/mmol) and severely increased UACR (&gt;30 mg/mmol) were prospectively associated with a higher cardiovascular mortality risk in men and women (HR 1.87; 95% CI 1.41, 2.47 and HR 2.78; 95% CI 1.78, 4.34) compared with normal UACR (&lt;3 mg/mmol). Significant effect modification by sex was observed for the association between UACR and HF. Because there were a limited number of HF events within the category of UACR &gt;30 mg/mmol, categories were combined into UACR &lt;3.0 and &gt;3.0 mg/mmol in the stratified analysis. Women but not men with UACR &gt;3.0 mg/mmol had a significantly higher risk of HF compared with normal UACR (HR 2.79; 95% CI 1.47, 5.28). This study showed differential and independent prospective associations between manifestations of early kidney damage in diabetes and several CVD subtypes, suggesting that regular monitoring of both kidney function measures may help to identify individuals at higher risk of specific cardiovascular events.</t>
  </si>
  <si>
    <t>The reimbursement for expensive medicines: stakeholder perspectives on the SMA medicine nusinersen and the Dutch Coverage Lock policy.</t>
  </si>
  <si>
    <t>Scheijmans, Féline E V; Zomers, Margot L; Fadaei, Sina; Onrust, Marthe R; van der Graaf, Rieke; Delden, Johannes J M van; van der Pol, W Ludo; van Thiel, Ghislaine J M W</t>
  </si>
  <si>
    <t>https://pubmed.ncbi.nlm.nih.gov/36333803</t>
  </si>
  <si>
    <t>The reimbursement for expensive medicines poses a growing challenge to healthcare worldwide. In order to increase its control over the costs of medicines, the Dutch government introduced the Coverage Lock (CL) policy in 2015. The CL postpones decisions regarding reimbursement of expensive medicines until detailed advice on i.e., cost-effectiveness has been given. The CL has been in place for six years, has raised many questions and concerns, but currently, no evaluation is known to the authors. A better understanding of the effects of the CL on all stakeholders involved may contribute to reflections on the CL process and help find ways to improve it. An evaluation of Dutch policy will also be relevant for other countries that aim to optimize reimbursement procedures for expensive treatments. To perform this evaluation, we focused on the CL procedure for the medicine nusinersen. Nusinersen is the first treatment for spinal muscular atrophy (SMA). Following EMA approval in May 2017, it was placed in the CL. The analysis of cost-effectiveness and added therapeutic value resulted in an advice for reimbursement limited to children younger than 9.5 years at the start of treatment; this was implemented from August 2018 onwards. Qualitative stakeholder perspective analysis of the CL procedure focusing on nusinersen with 15 stakeholders. Stakeholders raised key issues of the CL based on their experience with nusinersen: emotional impact of the CL, duration of the CL procedure, appropriateness of the CL procedure for different types of medicines, transparency of the CL, a wish for patient-centred decision-making and the lack of uniformity of access to expensive treatments. Stakeholders supported measures to control healthcare expenses and to ensure reasonable pricing. They considered the delay in access to therapies and lack of procedural transparency to be the main challenges to the CL. Stakeholders also agreed that the interests of patients deserve more attention in the practical implementation of the reimbursement decision. Stakeholders suggested a number of adjustments to improve the CL, such as a faster start with conditional reimbursement programs to ensure access and intensify European collaboration to speed up the assessment of the medicine.</t>
  </si>
  <si>
    <t>Performance of point-of care molecular and antigen-based tests for SARS-CoV-2: a living systematic review and meta-analysis.</t>
  </si>
  <si>
    <t>Fragkou, Paraskevi C; Moschopoulos, Charalampos D; Dimopoulou, Dimitra; Ong, David S Y; Dimopoulou, Konstantina; Nelson, Philipp P; Schweitzer, Valentijn A; Janocha, Hannah; Karofylakis, Emmanouil; Papathanasiou, Konstantinos A; Tsiordras, Sotirios; De Angelis, Giulia; Thölken, Clemens; Sanguinetti, Maurizio; Chung, Ho-Ryun; Skevaki, Chrysanthi; ,</t>
  </si>
  <si>
    <t>https://pubmed.ncbi.nlm.nih.gov/36336237</t>
  </si>
  <si>
    <t>Molecular and antigen point-of-care tests (POCTs) have augmented our ability to rapidly identify and manage SARS-CoV-2 infection. However, their clinical performance varies among individual studies. The evaluation of the performance of molecular and antigen-based POCTs in confirmed, suspected, or probable COVID-19 cases compared with that of laboratory-based RT-PCR in real-life settings. MEDLINE/PubMed, Scopus, Embase, Web of Science, Cochrane Library, Cochrane COVID-19 study register, and COVID-19 Living Evidence Database from the University of Bern. Peer-reviewed or preprint observational studies or randomized controlled trials that evaluated any type of commercially available antigen and/or molecular POCTs for SARS-CoV-2, including multiplex PCR panels, approved by the United States Food and Drug Administration, with Emergency Use Authorization, and/or marked with Conformitè Europëenne from European Commission/European Union. Close contacts and/or patients with symptomatic and/or asymptomatic confirmed, suspected, or probable COVID-19 infection of any age. Molecular and/or antigen-based SARS-CoV-2 POCTs. Laboratory-based SARS-CoV-2 RT-PCR. Eligible studies were subjected to quality-control and risk-of-bias assessment using the Quality Assessment of Diagnostic Accuracy Studies 2 tool. Summary sensitivities and specificities with their 95% CIs were estimated using a bivariate model. Subgroup analysis was performed when at least three studies informed the outcome. A total of 123 eligible publications (97 and 26 studies assessing antigen-based and molecular POCTs, respectively) were retrieved from 4674 initial records. The pooled sensitivity and specificity for 13 molecular-based POCTs were 92.8% (95% CI, 88.9-95.4%) and 97.6% (95% CI, 96.6-98.3%), respectively. The sensitivity of antigen-based POCTs pooled from 138 individual evaluations was considerably lower than that of molecular POCTs; the pooled sensitivity and specificity rates were 70.6% (95% CI, 67.2-73.8%) and 98.9% (95% CI, 98.5-99.2%), respectively. Further studies are needed to evaluate the performance of molecular and antigen-based POCTs in underrepresented patient subgroups and different respiratory samples.</t>
  </si>
  <si>
    <t>Longitudinal Aging Study Amsterdam COVID-19 exposure index: a cross-sectional analysis of the impact of the pandemic on daily functioning of older adults.</t>
  </si>
  <si>
    <t>Hoogendijk, Emiel O; Schuster, Noah A; van Tilburg, Theo G; Schaap, Laura A; Suanet, Bianca; De Breij, Sascha; Kok, Almar Al; Van Schoor, Natasja M; Timmermans, Erik J; de Jongh, Renate T; Visser, Marjolein; Huisman, Martijn</t>
  </si>
  <si>
    <t>https://pubmed.ncbi.nlm.nih.gov/36323473</t>
  </si>
  <si>
    <t>The aim of this study was to develop an index to measure older adults' exposure to the COVID-19 pandemic and to study its association with various domains of functioning. Cross-sectional study. The Longitudinal Aging Study Amsterdam (LASA), a cohort study in the Netherlands. Community-dwelling older adults aged 62-102 years (n=1089) who participated in the LASA COVID-19 study (June-September 2020), just after the first wave of the pandemic. A 35-item COVID-19 exposure index with a score ranging between 0 and 1 was developed, including items that assess the extent to which the COVID-19 situation affected daily lives of older adults. Descriptive characteristics of the index were studied, stratified by several sociodemographic factors. Logistic regression analyses were performed to study associations between the exposure index and several indicators of functioning (functional limitations, anxiety, depression and loneliness). The mean COVID-19 exposure index score was 0.20 (SD 0.10). Scores were relatively high among women and in the southern region of the Netherlands. In models adjusted for sociodemographic factors and prepandemic functioning (2018-2019), those with scores in the highest tertile of the exposure index were more likely to report functional limitations (OR: 2.24; 95% CI: 1.48 to 3.38), anxiety symptoms (OR: 3.14; 95% CI: 1.82 to 5.44), depressive symptoms (OR: 2.49; 95% CI: 1.55 to 4.00) and loneliness (OR: 2.97; 95% CI: 2.08 to 4.26) than those in the lowest tertile. Among older adults in the Netherlands, higher exposure to the COVID-19 pandemic was associated with worse functioning in the physical, mental and social domain. The newly developed exposure index may be used to identify persons for whom targeted interventions are needed to maintain or improve functioning during the pandemic or postpandemic.</t>
  </si>
  <si>
    <t>Carotid tortuosity is associated with extracranial carotid artery aneurysms.</t>
  </si>
  <si>
    <t>van Laarhoven, Constance J H C M; Willemsen, Saskia I; Klaassen, Jurre; de Vries, Evelien E; van der Vliet, Quirine M J; Hazenberg, Constantijn E V B; Bots, Michiel L; de Borst, Gert J; ,</t>
  </si>
  <si>
    <t>quantitative imaging in medicine and surgery</t>
  </si>
  <si>
    <t>https://pubmed.ncbi.nlm.nih.gov/36330172</t>
  </si>
  <si>
    <t>Tortuous arteries may be associated with carotid dissection. The intima disruption caused by a carotid dissection is a possible cause of extracranial carotid artery aneurysms (ECAAs). The aim was to investigate if carotid tortuosity is also associated with ECAA in patients without presence or history of a carotid artery dissection. A retrospective case-control study was performed including 35 unilateral ECAA patients (cases) and 105 age- and sex-matched controls. Tortuosity was expressed as tortuosity-index (TI), curvature, and torsion measured on computed tomography angiography (CTA) data in 3Mensio Vascular and MATLAB by two independent investigators. Primary comparison was tortuosity in ipsi- versus contralateral carotid artery within the cohort of ECAA patients. Secondary comparison was tortuosity with ipsilateral carotid arteries in control patients. All observations were assessed on inter- and intra-operator reproducibility. Carotid tortuosity was comparable within the cohort of ECAA patients (Spearman correlation 0.76, P&lt;0.001), yet distinctively higher in comparison with unilateral controls. After adjustment for patient characteristics, presence of ECAA was associated with TI (β 0.146, 95% CI: 0.100-0.192). All tortuosity observations showed excellent inter- and intra-operator reproducibility. Carotid tortuosity seems to be a risk factor for development of ECAA. Surveillance of individuals with increased carotid tortuosity therefore potentially ensures prompt diagnosis and treatment of ECAA. However, future research should investigate if persons with an increased tortuosity do indeed develop ECAA.</t>
  </si>
  <si>
    <t>Correction to: The course of swallowing problems in the first 2 years after diagnosis of head and neck cancer.</t>
  </si>
  <si>
    <t>Vermaire, Jorine A; Raaijmakers, Cornelis P J; Monninkhof, Evelyn M; Leemans, C René; Baatenburg de Jong, Robert J; Takes, Robert P; Verdonck-de Leeuw, Irma M; Jansen, Femke; Langendijk, Johannes A; Terhaard, Chris H J; Speksnijder, Caroline M</t>
  </si>
  <si>
    <t>https://pubmed.ncbi.nlm.nih.gov/36085423</t>
  </si>
  <si>
    <t>Methenamine hippurate to prevent recurrent urinary tract infections in older women: protocol for a randomised, placebo-controlled trial (ImpresU).</t>
  </si>
  <si>
    <t>Heltveit-Olsen, Silje Rebekka; Sundvall, Pär-Daniel; Gunnarsson, Ronny; Snaebjörnsson Arnljots, Egill; Kowalczyk, Anna; Godycki-Cwirko, Maciek; Platteel, Tamara N; Koning, Hilde A M; Groen, Wim G; Åhrén, Christina; Grude, Nils; Verheij, Theo J M; Hertogh, Cees M P M; Lindbaek, Morten; Hoye, Sigurd</t>
  </si>
  <si>
    <t>https://pubmed.ncbi.nlm.nih.gov/36319057</t>
  </si>
  <si>
    <t>Methenamine hippurate is a urinary antiseptic used as preventive treatment for recurrent urinary tract infections (UTIs) in some Scandinavian countries. However, the scientific evidence for the preventive effect and safety for longer-term use is limited. The aim of this study is to assess whether methenamine hippurate can reduce the incidence of UTIs in older women with recurrent UTIs. The ImpresU consortium is a collaboration between Norway, Sweden, Poland and the Netherlands. The study is a randomised, controlled, triple-blind phase IV clinical trial. Women ≥70 years with recurrent UTIs are screened for eligibility in a general practice setting. We aim to include 400 women in total, with 100 recruited from each collaborating country. The participants are randomised to treatment with methenamine hippurate 1 g or placebo tablets two times per day for a treatment period of 6 months, followed by a drug-free follow-up period of 6 months. The primary outcome is number of antibiotic treatments for UTIs during the treatment period. The secondary outcomes include number of antibiotic treatments for UTIs during the follow-up period and self-reported symptom of severity and duration of UTI episodes. Differences in complications between the treatment groups are measured as safety outcomes. We also aim to investigate whether strain characteristics or phylogenetic subgroups of &lt;i&gt;Escherichia coli&lt;/i&gt; present in the urine culture at inclusion have a modifying effect on the outcomes. Ethical approvals are obtained in all participating countries. The results will be communicated in peer-reviewed journals and at scientific conferences. ClinicalTrials.gov Registry (NCT04077580); EudraCT: 2018-002235-15.</t>
  </si>
  <si>
    <t>Mild-to-Moderate Kidney Dysfunction and Cardiovascular Disease: Observational and Mendelian Randomization Analyses.</t>
  </si>
  <si>
    <t>Gaziano, Liam; Sun, Luanluan; Arnold, Matthew; Bell, Steven; Cho, Kelly; Kaptoge, Stephen K; Song, Rebecca J; Burgess, Stephen; Posner, Daniel C; Mosconi, Katja; Robinson-Cohen, Cassianne; Mason, Amy M; Bolton, Thomas R; Tao, Ran; Allara, Elias; Schubert, Petra; Chen, Lingyan; Staley, James R; Staplin, Natalie; Altay, Servet; Amiano, Pilar; Arndt, Volker; Ärnlöv, Johan; Barr, Elizabeth L M; Björkelund, Cecilia; Boer, Jolanda M A; Brenner, Hermann; Casiglia, Edoardo; Chiodini, Paolo; Cooper, Jackie A; Coresh, Josef; Cushman, Mary; Dankner, Rachel; Davidson, Karina W; de Jongh, Renate T; Donfrancesco, Chiara; Engström, Gunnar; Freisling, Heinz; de la Cámara, Agustín Gómez; Gudnason, Vilmundur; Hankey, Graeme J; Hansson, Per-Olof; Heath, Alicia K; Hoorn, Ewout J; Imano, Hironori; Jassal, Simerjot K; Kaaks, Rudolf; Katzke, Verena; Kauhanen, Jussi; Kiechl, Stefan; Koenig, Wolfgang; Kronmal, Richard A; Kyrø, Cecilie; Lawlor, Deborah A; Ljungberg, Börje; MacDonald, Conor; Masala, Giovanna; Me</t>
  </si>
  <si>
    <t>https://pubmed.ncbi.nlm.nih.gov/36314129</t>
  </si>
  <si>
    <t>End-stage renal disease is associated with a high risk of cardiovascular events. It is unknown, however, whether mild-to-moderate kidney dysfunction is causally related to coronary heart disease (CHD) and stroke. Observational analyses were conducted using individual-level data from 4 population data sources (Emerging Risk Factors Collaboration, EPIC-CVD [European Prospective Investigation into Cancer and Nutrition-Cardiovascular Disease Study], Million Veteran Program, and UK Biobank), comprising 648 135 participants with no history of cardiovascular disease or diabetes at baseline, yielding 42 858 and 15 693 incident CHD and stroke events, respectively, during 6.8 million person-years of follow-up. Using a genetic risk score of 218 variants for estimated glomerular filtration rate (eGFR), we conducted Mendelian randomization analyses involving 413 718 participants (25 917 CHD and 8622 strokes) in EPIC-CVD, Million Veteran Program, and UK Biobank. There were U-shaped observational associations of creatinine-based eGFR with CHD and stroke, with higher risk in participants with eGFR values &lt;60 or &gt;105 mL·min&lt;sup&gt;-1&lt;/sup&gt;·1.73 m&lt;sup&gt;-2&lt;/sup&gt;, compared with those with eGFR between 60 and 105 mL·min&lt;sup&gt;-1&lt;/sup&gt;·1.73 m&lt;sup&gt;-2&lt;/sup&gt;. Mendelian randomization analyses for CHD showed an association among participants with eGFR &lt;60 mL·min&lt;sup&gt;-1&lt;/sup&gt;·1.73 m&lt;sup&gt;-2&lt;/sup&gt;, with a 14% (95% CI, 3%-27%) higher CHD risk per 5 mL·min&lt;sup&gt;-1&lt;/sup&gt;·1.73 m&lt;sup&gt;-2&lt;/sup&gt; lower genetically predicted eGFR, but not for those with eGFR &gt;105 mL·min&lt;sup&gt;-1&lt;/sup&gt;·1.73 m&lt;sup&gt;-2&lt;/sup&gt;. Results were not materially different after adjustment for factors associated with the eGFR genetic risk score, such as lipoprotein(a), triglycerides, hemoglobin A1c, and blood pressure. Mendelian randomization results for stroke were nonsignificant but broadly similar to those for CHD. In people without manifest cardiovascular disease or diabetes, mild-to-moderate kidney dysfunction is causally related to risk of CHD, highlighting the potential value of preventive approaches that preserve and modulate kidney function.</t>
  </si>
  <si>
    <t>Epidemiology and Health Economics; Epidemiology and Health Economics; Epidemiology and Health Economics; Epidemiology and Health Economics; Global Health and Bioethics; Epidemiology and Health Economics</t>
  </si>
  <si>
    <t>The Impact of the COVID Pandemic on the Incidence of Presentations with Cancer-Related Symptoms in Primary Care.</t>
  </si>
  <si>
    <t>Grant, Matthew P; Helsper, Charles W; Stellato, Rebecca; van Erp, Nicole; van Asselt, Kristel M; Slottje, Pauline; Muris, Jean; Brandenbarg, Daan; de Wit, Niek J; van Gils, Carla H</t>
  </si>
  <si>
    <t>https://pubmed.ncbi.nlm.nih.gov/36358772</t>
  </si>
  <si>
    <t>&lt;b&gt;Introduction:&lt;/b&gt; In the Netherlands, the onset of the coronavirus pandemic saw shifts in primary health service provision away from physical consultations, cancer-screening programs were temporarily halted, and government messaging focused on remaining at home. In March and April 2020, weekly cancer diagnoses decreased to 73% of their pre-COVID levels, and 39% for skin cancer. This study aims to explore the effect of the COVID pandemic on patient presentations for cancer-related symptoms in primary care in The Netherlands. &lt;b&gt;Methods:&lt;/b&gt; Retrospective cohort study using routine clinical primary care data. Monthly incidences of patient presentations for cancer-related symptoms in five clinical databases in The Netherlands were analysed from March 2018 to February 2021. &lt;b&gt;Results:&lt;/b&gt; Data demonstrated reductions in the incidence of cancer-related symptom presentations to primary care during the first COVID wave (March-June 2020) of -34% (95% CI: -43 to -23%) for all symptoms combined. In the second wave (October 2020-February 2021) there was no change in incidence observed (-8%, 95% CI -20% to 6%). Alarm-symptoms demonstrated decreases in incidence in the first wave with subsequent incidences that continued to rise in the second wave, such as: first wave: breast lump -17% (95% CI: -27 to -6%) and haematuria -15% (95% CI -24% to -6%); and second wave: rectal bleeding +14% (95% CI: 0 to 30%) and breast lump +14% (95% CI: 2 to 27%). Presentations of common non-alarm symptom such as tiredness and naevus demonstrated decreased in-cidences in the first wave of 45% (95% CI: -55% to -33%) and 37% (95% CI -47% to -25%). In the second wave, tiredness incidence was reduced by 20% (95% CI: -33% to -3%). Subgroup analy-sis did not demonstrate difference in incidence according to sex, age groups, comorbidity status, or previous history of cancer. &lt;b&gt;Conclusions:&lt;/b&gt; These data describe large-scale primary care avoidance that did not increase until the end of the first COVID year for many cancer-related symptoms, suggestive that substantial numbers of patients delayed presenting to primary care. For those patients who had underlying cancer, this may have had impacted the cancer stage at diagnosis, treatment, and mortality.</t>
  </si>
  <si>
    <t>Hospice Care Access: a national cohort study.</t>
  </si>
  <si>
    <t>de Graaf, Everlien; van der Baan, Frederieke; Grant, Matthew Paul; Verboeket, Cathelijne; van Klinken, Merel; Jobse, Adri; Ausems, Marieke; Leget, Carlo; Teunissen, Saskia</t>
  </si>
  <si>
    <t>https://pubmed.ncbi.nlm.nih.gov/36307176</t>
  </si>
  <si>
    <t>Hospice care in the Netherlands is provided in three different types of hospice facilities: volunteer-driven hospices (VDH), stand-alone hospices (SAHs) and hospice unit nursing homes (HU). The organisational structures range from care directed by trained volunteers in VDH to care provided by multiprofessional teams in SAH and HU units.This study aims to characterise the patient populations who access Dutch hospices and describe the patient profiles in different hospice types. A retrospective cohort study using clinical records of adult hospice inpatients in 2017-2018 from a random national sample of hospices. In total 803 patients were included from 51 hospices, mean age 76.1 (SD 12.4). 78% of patients had a primary diagnosis of cancer, 3% identified as non-Dutch cultural background and 17% were disorientated on admission. At admission, all patients were perceived to have physical needs. Psychological needs were reported in 37%, 36% and 34%, social needs by 53%, 52% and 62%, and existential needs by 23%, 30% and 18% of patients in VDH, SAH, HU units, respectively. 24%, 29% and 27% of patients from VDHs, SAHs and HUs had care needs in three dimensions, and 4%, 6% and 3% in all four dimensions. People who access Dutch hospices predominantly have cancer, and have a range of physical, psychological, social and existential needs, without substantial differences between hospice types. Patients with non-malignant disease and non-Dutch cultural backgrounds are less likely to access hospice care, and future policy would ideally focus on facilitating their involvement.</t>
  </si>
  <si>
    <t>Dedicated teams to optimize quality and safety of surgery: A systematic review.</t>
  </si>
  <si>
    <t>Lentz, C M; De Lind Van Wijngaarden, R A F; Willeboordse, F; Hooft, L; van der Laan, M J</t>
  </si>
  <si>
    <t>international journal for quality in health care journal of the international society for quality in health care</t>
  </si>
  <si>
    <t>https://pubmed.ncbi.nlm.nih.gov/36299250</t>
  </si>
  <si>
    <t>A dedicated operating team is defined as a surgical team consisting of the same group of people working together over time, optimally attuned in both technical and/or communicative aspects. This can be achieved through technical and/or communicative training in a team setting. A dedicated surgical team may contribute to the optimization of healthcare quality and patient safety within the perioperative period. A systematic review was conducted to evaluate the effects of a dedicated surgical team on clinical and performance outcomes. MEDLINE and Embase were searched on 23 June 2022. Both randomized controlled trials (RCTs) and non-randomized studies (NRSs) were included. Primary outcomes were mortality, complications and readmissions. Secondary outcomes were costs and performance measures. Fourteen studies were included (RCTs n = 1; NRSs n = 13). Implementation of dedicated operating teams was associated with improvements in mortality, turnover time, teamwork, communication and costs. No significant differences were observed in readmission rates and length of hospital stay. Results regarding duration, glitch counts and complications of surgery were inconclusive. Limitations include study conduct and heterogeneity between studies. The institution of surgical teams who followed communicative and/or technical training appeared to have beneficial effects on several clinical outcome measures. Dedicated teams provide a feasible way of improving healthcare quality and patient safety. A dose-response effect of team training was reported, but also a relapse rate, suggesting that repetitive training is of major concern to high-quality patient care. Further studies are needed to confirm these findings, due to limited level of evidence in current literature. CRD42020145288.</t>
  </si>
  <si>
    <t>Lifestyle Factors and Development and Natural Course of Gastroenteropancreatic Neuroendocrine Tumors: A Review of the Literature.</t>
  </si>
  <si>
    <t>Bogaards, Marit; May, Anne M; Hassan, Faduma A; Valk, Gerlof D; van Leeuwaarde, Rachel S</t>
  </si>
  <si>
    <t>neuroendocrinology</t>
  </si>
  <si>
    <t>https://pubmed.ncbi.nlm.nih.gov/36630937</t>
  </si>
  <si>
    <t>The rarity of neuroendocrine tumors (NETs) and their heterogeneous presentation complicate the identification of risk factors for their development and natural course. Several tumor-specific prognostic factors have been identified, but less attention has been given to lifestyle factors as risk and prognostic factors. This review aimed to identify studies on smoking, alcohol use, physical activity, diet, body mass index (BMI), and diabetes and their association with the development and course of gastroenteropancreatic (GEP-) NETs. The literature was systematically searched for articles on lifestyle factors and NETs available via PubMed and Embase. Study quality was assessed using the Newcastle-Ottawa scale. A total of 25 eligible studies out of 3,021 screened articles were included. Most studies reported on smoking and alcohol, reporting conflicting results. Diet seems to have an influence on NET development, but few studies were published. Articles reporting on BMI were not unanimous on the effect on GEP-NETs. Diabetes was reported as a risk factor for NETs, while a protective effect was observed with metformin use. Different tissues, i.e., the pancreas and small intestine, may respond differently to exposure to alcohol and smoking. Evidence for diet so far is too limited to draw conclusions. Diabetes seems to be an important risk factor for the development of pancreatic NETs with a protective role in disease progression, while BMI is not unequivocally associated with the development and prognosis of NETs. Hence, our findings suggest that lifestyle factors play an important role in NET development as a disease course. Future research should consider lifestyle as an influence on disease progression and treatment response.</t>
  </si>
  <si>
    <t>Generalizability of randomized controlled trials in heart failure with reduced ejection fraction.</t>
  </si>
  <si>
    <t>Lim, Yvonne Mei Fong; Molnar, Megan; Vaartjes, Ilonca; Savarese, Gianluigi; Eijkemans, Marinus J C; Uijl, Alicia; Vradi, Eleni; Suzart-Woischnik, Kiliana; Brugts, Jasper J; Brunner-La Rocca, Hans-Peter; Blanc-Guillemaud, Vanessa; Couvelard, Fabrice; Baudier, Claire; Dyszynski, Tomasz; Waechter, Sandra; Lund, Lars H; Hoes, Arno W; Tyl, Benoit; Asselbergs, Folkert W; Gerlinger, Christoph; Grobbee, Diederick E; Cronin, Maureen; Koudstaal, Stefan</t>
  </si>
  <si>
    <t>https://pubmed.ncbi.nlm.nih.gov/34596659</t>
  </si>
  <si>
    <t>Heart failure (HF) trials have stringent inclusion and exclusion criteria, but limited data exist regarding generalizability of trials. We compared patient characteristics and outcomes between patients with HF and reduced ejection fraction (HFrEF) in trials and observational registries. Individual patient data for 16 922 patients from five randomized clinical trials and 46 914 patients from two HF registries were included. The registry patients were categorized into trial-eligible and non-eligible groups using the most commonly used inclusion and exclusion criteria. A total of 26 104 (56%) registry patients fulfilled the eligibility criteria. Unadjusted all-cause mortality rates at 1 year were lowest in the trial population (7%), followed by trial-eligible patients (12%) and trial-non-eligible registry patients (26%). After adjustment for age and sex, all-cause mortality rates were similar between trial participants and trial-eligible registry patients [standardized mortality ratio (SMR) 0.97; 95% confidence interval (CI) 0.92-1.03] but cardiovascular mortality was higher in trial participants (SMR 1.19; 1.12-1.27). After full case-mix adjustment, the SMR for cardiovascular mortality remained higher in the trials at 1.28 (1.20-1.37) compared to RCT-eligible registry patients. In contemporary HF registries, over half of HFrEF patients would have been eligible for trial enrolment. Crude clinical event rates were lower in the trials, but, after adjustment for case-mix, trial participants had similar rates of survival as registries. Despite this, they had about 30% higher cardiovascular mortality rates. Age and sex were the main drivers of differences in clinical outcomes between HF trials and observational HF registries.</t>
  </si>
  <si>
    <t>Overestimation of the effect of (fos)aprepitant on intravenous dexamethasone pharmacokinetics requires adaptation of the guidelines for children with chemotherapy-induced nausea and vomiting.</t>
  </si>
  <si>
    <t>Nijstad, A Laura; de Vos-Kerkhof, Evelien; Enters-Weijnen, Catherine F; van de Wetering, Marianne D; Tissing, Wim J E; Tibben, Matthijs M; Rosing, Hilde; Lalmohamed, Arief; Huitema, Alwin D R; Zwaan, C Michel</t>
  </si>
  <si>
    <t>https://pubmed.ncbi.nlm.nih.gov/36287279</t>
  </si>
  <si>
    <t>Chemotherapy-induced nausea and vomiting (CINV) are common side effects in pediatric oncology treatment. Besides 5-HT&lt;sub&gt;3&lt;/sub&gt;-antagonists, both dexamethasone and aprepitant are cornerstone drugs in controlling these side effects. Based on results of adult studies, the dexamethasone dose is reduced by 50% when combined with aprepitant, because of a drug-drug interaction, even though data on the interaction in children is lacking. The current study was developed to investigate the effect of aprepitant on dexamethasone clearance (CL) in children, in order to assess if dexamethasone dose reduction for concomitant use of aprepitant is appropriate in the current antiemetic regimen. In total, 65 children (0.6-17.9 years), receiving intravenous or oral antiemetic therapy (dexamethasone ± aprepitant) as standard of care, were included. 305 dexamethasone plasma concentrations were determined using LC-MS/MS. An integrated dexamethasone and aprepitant pharmacokinetic model was developed using non-linear mixed effects modelling in order to investigate the effect of aprepitant administration on dexamethasone CL. In this population, dexamethasone CL in patients with concomitant administration of aprepitant was reduced by approximately 30% of the uninhibited CL (23.3 L/h (95% confidence interval 20.4-26.0)). This result is not consistent with the results of adult studies (50% reduction). This difference was not age dependent, but might be related to the route of administration of dexamethasone. Future studies are needed to assess the difference in oral/intravenous dexamethasone. When dexamethasone is given intravenously as a component of triple therapy to prevent CINV in children, we advise to reduce the dexamethasone dose by 30% instead of 50%.</t>
  </si>
  <si>
    <t>Head-to-head comparison of the accuracy of saliva and nasal rapid antigen SARS-CoV-2 self-testing: cross-sectional study.</t>
  </si>
  <si>
    <t>Schuit, Ewoud; Venekamp, Roderick P; Veldhuijzen, Irene K; van den Bijllaardt, Wouter; Pas, Suzan D; Stohr, Joep J J M; Lodder, Esther B; Hellwich, Marloes; Molenkamp, Richard; Igloi, Zsofia; Wijers, Constantijn; Vroom, Irene H; Nagel-Imming, Carla R S; Han, Wanda G H; Kluytmans, Jan A J W; van den Hof, Susan; van de Wijgert, Janneke H H M; Moons, Karel G M</t>
  </si>
  <si>
    <t>https://pubmed.ncbi.nlm.nih.gov/36280827</t>
  </si>
  <si>
    <t>The diagnostic accuracy of unsupervised self-testing with rapid antigen diagnostic tests (Ag-RDTs) is mostly unknown. We studied the diagnostic accuracy of a self-performed SARS-CoV-2 saliva and nasal Ag-RDT in the general population. This large cross-sectional study consecutively included unselected individuals aged ≥ 16 years presenting for SARS-CoV-2 testing at three public health service test sites. Participants underwent molecular test sampling and received two self-tests (the Hangzhou AllTest Biotech saliva self-test and the SD Biosensor nasal self-test by Roche Diagnostics) to perform themselves at home. Diagnostic accuracy of both self-tests was assessed with molecular testing as reference. Out of 2819 participants, 6.5% had a positive molecular test. Overall sensitivities were 46.7% (39.3-54.2%) for the saliva Ag-RDT and 68.9% (61.6-75.6%) for the nasal Ag-RDT. With a viral load cut-off (≥ 5.2 log10 SARS-CoV-2 E-gene copies/mL) as a proxy of infectiousness, these sensitivities increased to 54.9% (46.4-63.3%) and 83.9% (76.9-89.5%), respectively. For the nasal Ag-RDT, sensitivities were 78.5% (71.1-84.8%) and 22.6% (9.6-41.1%) in those symptomatic and asymptomatic at the time of sampling, which increased to 90.4% (83.8-94.9%) and 38.9% (17.3-64.3%) after applying the viral load cut-off. In those with and without prior SARS-CoV-2 infection, sensitivities were 36.8% (16.3-61.6%) and 72.7% (65.1-79.4%). Specificities were &gt; 99% and &gt; 99%, positive predictive values &gt; 70% and &gt; 90%, and negative predictive values &gt; 95% and &gt; 95%, for the saliva and nasal Ag-RDT, respectively, in most analyses. Most participants considered the self-performing and result interpretation (very) easy for both self-tests. The Hangzhou AllTest Biotech saliva self Ag-RDT is not reliable for SARS-CoV-2 detection, overall, and in all studied subgroups. The SD Biosensor nasal self Ag-RDT had high sensitivity in individuals with symptoms and in those without prior SARS-CoV-2 infection but low sensitivity in asymptomatic individuals and those with a prior SARS-CoV-2 infection which warrants further investigation.</t>
  </si>
  <si>
    <t>Distinct germline genetic susceptibility profiles identified for common non-Hodgkin lymphoma subtypes.</t>
  </si>
  <si>
    <t>https://pubmed.ncbi.nlm.nih.gov/36273105</t>
  </si>
  <si>
    <t>Lymphoma risk is elevated for relatives with common non-Hodgkin lymphoma (NHL) subtypes, suggesting shared genetic susceptibility across subtypes. To evaluate the extent of mutual heritability among NHL subtypes and discover novel loci shared among subtypes, we analyzed data from eight genome-wide association studies within the InterLymph Consortium, including 10,629 cases and 9505 controls. We utilized Association analysis based on SubSETs (ASSET) to discover loci for subsets of NHL subtypes and evaluated shared heritability across the genome using Genome-wide Complex Trait Analysis (GCTA) and polygenic risk scores. We discovered 17 genome-wide significant loci (P &lt; 5 × 10&lt;sup&gt;-8&lt;/sup&gt;) for subsets of NHL subtypes, including a novel locus at 10q23.33 (HHEX) (P = 3.27 × 10&lt;sup&gt;-9&lt;/sup&gt;). Most subset associations were driven primarily by only one subtype. Genome-wide genetic correlations between pairs of subtypes varied broadly from 0.20 to 0.86, suggesting substantial heterogeneity in the extent of shared heritability among subtypes. Polygenic risk score analyses of established loci for different lymphoid malignancies identified strong associations with some NHL subtypes (P &lt; 5 × 10&lt;sup&gt;-8&lt;/sup&gt;), but weak or null associations with others. Although our analyses suggest partially shared heritability and biological pathways, they reveal substantial heterogeneity among NHL subtypes with each having its own distinct germline genetic architecture.</t>
  </si>
  <si>
    <t>Work Ability in Patients With Stage I to IV Colon Cancer: Results of the Dutch Prospective Colorectal Cancer Cohort.</t>
  </si>
  <si>
    <t>Franken, Mira D; Vink, Geraldine; van Grevenstein, Wilhelmina M U; Verkooijen, Helena M; Punt, Cornelis J A; Koopman, Miriam; May, Anne M; ,</t>
  </si>
  <si>
    <t>diseases of the colon and rectum</t>
  </si>
  <si>
    <t>https://pubmed.ncbi.nlm.nih.gov/34753892</t>
  </si>
  <si>
    <t>Colon cancer affects a patient's ability to work. Many patients who have colon cancer are employed at the time of diagnosis. We evaluated work ability during the first 2 years after colon cancer diagnosis. This study is a national prospective study, the Prospective Dutch ColoRectal Cancer cohort, including clinical data and patient-reported outcomes. Data were collected in 59 medical centers in the Netherlands. Patients &lt;67 years of age with stage I to IV colon cancer and who completed Work Ability Index questionnaires were selected. Work ability was assessed at baseline, 3, 6, 12, 18, and 24 months. The Work Ability Index (range, 0 to 49) was evaluated using linear mixed models. Outcomes were matched to population controls without cancer. Of 390 patients, 84% had paid employment. Work ability of patients with stage I to IV colon cancer was significantly lower at the time of diagnosis than in matched population controls (31 ± 8.2 and 41 ± 5.6). Patients with stage I to III disease receiving surgery only regained Work Ability Index scores comparable to matched population controls at 18 months. Patients receiving adjuvant systemic treatment initially demonstrated a decrease in work ability with improvements from 6 months onward and normalization at 24 months. Patients with stage IV disease did not demonstrate improvements in work ability outcomes over time. Work ability scores were negatively influenced by the administration of systemic treatment and ≥1 comorbidities. Only patients with patient-reported outcomes and work at baseline were included in this analysis. Also, questionnaire response rates decreased over time. Work ability in patients with colon cancer is decreased for a prolonged time. Recovery depends on disease stage, type of treatment, and comorbidities. Patients with stage I to III disease treated with curative surgery alone were the first to regain work ability, followed by patients who receive adjuvant chemotherapy. Patients with stage IV disease did not regain work ability. See Video Abstract at http://links.lww.com/DCR/B759 . ANTECEDENTES:El cáncer de colon afecta la capacidad de trabajo en un paciente. Muchos pacientes con cáncer de colon están empleados en el momento del diagnóstico.OBJETIVO:Evaluamos la capacidad laboral durante los dos primeros años posteriores al diagnóstico de cáncer de colon.DISEÑO:Es un estudio prospectivo nacional, la cohorte de cáncer colorrectal holandés, incluye datos clínicos y resultados informados por los pacientes.ENTORNO CLINICO:Se recopilaron datos de 59 centros médicos en los Países Bajos.PACIENTES:Se seleccionaron pacientes &lt; 67 años, con cáncer de colon en estadio I-IV, que completaron los cuestionarios de índice de capacidad para el trabajo.PRINCIPALES MEDIDAS DE VALORACIÓN:La capacidad para el trabajo se evaluó al inicio, a los 3, 6, 12, 18 y 24 meses. El índice de capacidad para el trabajo (que va de 0 a 49) se evaluó mediante modelos lineales mixtos. Los resultados fueron comparados con el grupo control sin cáncer.RESULTADOS:De 390 pacientes, el 84% tenía un empleo remunerado. La capacidad de trabajo de los pacientes en estadio I-IV fue significativamente menor en el momento del diagnóstico en comparación con el grupo control (31 ± 8,2 y 41 ± 5,6, respectivamente). Los pacientes con enfermedad en estadio I-III que recibieron cirugía lograron recuperar puntajes del índice de capacidad laboral comparables a los controles a los 18 meses. Los pacientes que recibieron tratamiento sistémico adyuvante inicialmente demostraron una disminución en la capacidad de trabajo con mejoras a partir de los 6 meses en adelante y una normalización a los 24 meses. Los pacientes en estadio IV no demostraron mejoras en los resultados de la capacidad laboral a lo largo del tiempo. Las puntuaciones de capacidad para el trabajo se vieron influidas negativamente por la administración del tratamiento sistémico y la existencia de ≥1 comorbilidades.LIMITACIONES:En este análisis solo se incluyeron los pacientes con resultados y trabajo desde el inicio del estudio. Además, las tasas de respuesta al cuestionario disminuyeron con el tiempo.CONCLUSIONES:La capacidad de trabajo en pacientes con cáncer de colon se reduce durante un tiempo prolongado. La recuperación depende del estadio de la enfermedad, el tipo de tratamiento y la comorbilidad. Los pacientes con enfermedad en estadio I-III tratados con cirugía curativa exclusivamente, son los primeros en recuperar la capacidad para trabajar, seguidos de los pacientes que reciben quimioterapia adyuvante. Los pacientes con enfermedad en estadio IV no recuperan la capacidad para trabajar. Consulte Video Resumen en http://links.lww.com/DCR/B759 . (Traducción- Dr. Ingrid Melo ).</t>
  </si>
  <si>
    <t>The Ethical Implications of Tissue Engineering for Regenerative Purposes: A Systematic Review.</t>
  </si>
  <si>
    <t>de Kanter, Anne-Floor J; Jongsma, Karin R; Verhaar, Marianne C; Bredenoord, Annelien L</t>
  </si>
  <si>
    <t>tissue engineering part b reviews</t>
  </si>
  <si>
    <t>https://pubmed.ncbi.nlm.nih.gov/36112697</t>
  </si>
  <si>
    <t>Tissue Engineering (TE) is a branch of Regenerative Medicine (RM) that combines stem cells and biomaterial scaffolds to create living tissue constructs to restore patients' organs after injury or disease. Over the last decade, emerging technologies such as 3D bioprinting, biofabrication, supramolecular materials, induced pluripotent stem cells, and organoids have entered the field. While this rapidly evolving field is expected to have great therapeutic potential, its development from bench to bedside presents several ethical and societal challenges. To make sure TE will reach its ultimate goal of improving patient welfare, these challenges should be mapped out and evaluated. Therefore, we performed a systematic review of the ethical implications of the development and application of TE for regenerative purposes, as mentioned in the academic literature. A search query in PubMed, Embase, Scopus, and PhilPapers yielded 2451 unique articles. After systematic screening, 237 relevant ethical and biomedical articles published between 2008 and 2021 were included in our review. We identified a broad range of ethical implications that could be categorized under 10 themes. Seven themes trace the development from bench to bedside: (1) animal experimentation, (2) handling human tissue, (3) informed consent, (4) therapeutic potential, (5) risk and safety, (6) clinical translation, and (7) societal impact. Three themes represent ethical safeguards relevant to all developmental phases: (8) scientific integrity, (9) regulation, and (10) patient and public involvement. This review reveals that since 2008 a significant body of literature has emerged on how to design clinical trials for TE in a responsible manner. However, several topics remain in need of more attention. These include the acceptability of alternative translational pathways outside clinical trials, soft impacts on society and questions of ownership over engineered tissues. Overall, this overview of the ethical and societal implications of the field will help promote responsible development of new interventions in TE and RM. It can also serve as a valuable resource and educational tool for scientists, engineers, and clinicians in the field by providing an overview of the ethical considerations relevant to their work. Impact statement To our knowledge, this is the first time that the ethical implications of Tissue Engineering (TE) have been reviewed systematically. By gathering existing scholarly work and identifying knowledge gaps, this review facilitates further research into the ethical and societal implications of TE and Regenerative Medicine (RM) and other emerging biomedical technologies. Moreover, it will serve as a valuable resource and educational tool for scientists, engineers, and clinicians in the field by providing an overview of the ethical considerations relevant to their work. As such, our review may promote successful and responsible development of new strategies in TE and RM.</t>
  </si>
  <si>
    <t>External Validation of the Colon Life Nomogram for Predicting 12-Week Mortality in Dutch Metastatic Colorectal Cancer Patients Treated with Trifluridine/Tipiracil in Daily Practice.</t>
  </si>
  <si>
    <t>Hamers, Patricia A H; Wensink, G Emerens; van Smeden, Maarten; Vink, Geraldine R; Smabers, Lidwien P; Lunenberg, Renee A; Laclé, Miangela M; Koopman, Miriam; May, Anne M; Roodhart, Jeanine M L</t>
  </si>
  <si>
    <t>https://pubmed.ncbi.nlm.nih.gov/36291880</t>
  </si>
  <si>
    <t>Predicting prognosis in refractory metastatic colorectal cancer (mCRC) patients is needed to guide decision making. The Colon Life nomogram was developed to predict 12-week mortality in refractory mCRC patients. The aim of this study is to validate the Colon Life nomogram in last line/refractory patients receiving trifluridine/tipiracil (FTD/TPI) in daily practice. The validation cohort consists of 150 QUALITAS study patients, an observational substudy of the Prospective Dutch CRC cohort, who were treated with FTD/TPI between 2016 and 2019. Model performance was assessed on discrimination, calibration, and clinical usefulness. The additional prognostic value of baseline quality of life (QoL) and thymidine kinase (TK1) expression in tissue was explored. Of the 150 patients, 25 (16.7%) died within 12 weeks of starting FTD/TPI treatment. The C-statistic was 0.63 (95% C.I. 0.56-0.70). The observed/expected ratio was 0.52 (0.37-0.73). The calibration intercept and slope were -1.06 (-1.53 to -0.58) and 0.41 (0.01-0.81), respectively, which indicated overestimation of 12-week mortality by the nomogram. Decision curve analysis showed the nomogram did not yield a positive net benefit at clinically meaningful thresholds for predicted 12-week mortality. Addition of QoL to the nomogram improved the C-statistic to 0.85 (0.81-0.89). TK1 expression was associated with progression-free survival but not with overall survival. We demonstrated evident miscalibration of the Colon Life nomogram upon external validation, which hampers its use in clinical practice. We recommend conducting a study with a sufficiently large sample size to update the Colon Life nomogram or to develop a new model including QoL.</t>
  </si>
  <si>
    <t>Optimal Timing of a Physical Exercise Intervention to Improve Cardiorespiratory Fitness: During or After Chemotherapy.</t>
  </si>
  <si>
    <t>van der Schoot, Gabriela G F; Ormel, Harm L; Westerink, Nico-Derk L; May, Anne M; Elias, Sjoerd G; Hummel, Yoran M; Lefrandt, Joop D; van der Meer, Peter; van Melle, Joost P; Poppema, Boelo J; Stel, Joyce M A; van der Velden, Annette W G; Vrieling, Aline H; Wempe, Johan B; Ten Wolde, Marcel G; Nijland, Marcel; de Vries, Elisabeth G E; Gietema, Jourik A; Walenkamp, Annemiek M E</t>
  </si>
  <si>
    <t>jacc cardiooncology</t>
  </si>
  <si>
    <t>https://pubmed.ncbi.nlm.nih.gov/36444224</t>
  </si>
  <si>
    <t>Despite the widely acknowledged benefit of exercise for patients with cancer, little evidence on the optimal timing of exercise on adverse effects of cancer treatment is available. The aim of this study was to determine whether an exercise intervention initiated during chemotherapy is superior to an intervention initiated after chemotherapy for improving long-term cardiorespiratory fitness (peak oxygen uptake [VO&lt;sub&gt;2peak&lt;/sub&gt;]). In this prospective, randomized clinical trial, patients scheduled to receive curative chemotherapy were randomized to a 24-week exercise intervention, initiated either during chemotherapy (group A) or afterward (group B). The primary endpoint was VO&lt;sub&gt;2peak&lt;/sub&gt; 1 year postintervention. Secondary endpoints were VO&lt;sub&gt;2peak&lt;/sub&gt; postintervention, muscle strength, health-related quality of life (HRQoL), fatigue, physical activity, and self-efficacy. Between-group differences were calculated using intention-to-treat linear mixed-models analyses. A total of 266 patients with breast (n = 139), testicular (n = 95), and colon cancer (n = 30) as well as lymphoma (n = 2) were included. VO&lt;sub&gt;2peak&lt;/sub&gt; immediately postintervention and 1 year postintervention did not differ between the 2 groups. Immediately postchemotherapy, patients in group A exhibited significantly lower decreases in VO&lt;sub&gt;2peak&lt;/sub&gt; (3.1 mL/kg/min; 95% CI: 2.2-4.0 mL/kg/min), HRQoL, and muscle strength and reported less fatigue and more physical activity than those in group B. Exercise can be safely performed during chemotherapy and prevents fatigue and decreases in VO&lt;sub&gt;2peak&lt;/sub&gt;, muscle strength, and HRQoL, in addition to hastening the return of function after chemotherapy. Also, if exercise cannot be performed during chemotherapy, a program afterward can enable patients to regain the same level of function, measured 1 year after completion of the intervention. (Optimal Timing of Physical Activity in Cancer Treatment [ACT]; NCT01642680).</t>
  </si>
  <si>
    <t>Associations between the urban exposome and type 2 diabetes: Results from penalised regression by least absolute shrinkage and selection operator and random forest models.</t>
  </si>
  <si>
    <t>Ohanyan, Haykanush; Portengen, Lützen; Kaplani, Oriana; Huss, Anke; Hoek, Gerard; Beulens, Joline W J; Lakerveld, Jeroen; Vermeulen, Roel</t>
  </si>
  <si>
    <t>https://pubmed.ncbi.nlm.nih.gov/36306550</t>
  </si>
  <si>
    <t>Type 2 diabetes (T2D) is thought to be influenced by environmental stressors such as air pollution and noise. Although environmental factors are interrelated, studies considering the exposome are lacking. We simultaneously assessed a variety of exposures in their association with prevalent T2D by applying penalised regression Least Absolute Shrinkage and Selection Operator (LASSO), Random Forest (RF), and Artificial Neural Networks (ANN) approaches. We contrasted the findings with single-exposure models including consistently associated risk factors reported by previous studies. Baseline data (n = 14,829) of the Occupational and Environmental Health Cohort study (AMIGO) were enriched with 85 exposome factors (air pollution, noise, built environment, neighbourhood socio-economic factors etc.) using the home addresses of participants. Questionnaires were used to identify participants with T2D (n = 676(4.6 %)). Models in all applied statistical approaches were adjusted for individual-level socio-demographic variables. Lower average home values, higher share of non-Western immigrants and higher surface temperatures were related to higher risk of T2D in the multivariable models (LASSO, RF). Selected variables differed between the two multi-variable approaches, especially for weaker predictors. Some established risk factors (air pollutants) appeared in univariate analysis but were not among the most important factors in multivariable analysis. Other established factors (green space) did not appear in univariate, but appeared in multivariable analysis (RF). Average estimates of the prediction error (logLoss) from nested cross-validation showed that the LASSO outperformed both RF and ANN approaches. Neighbourhood socio-economic and socio-demographic characteristics and surface temperature were consistently associated with the risk of T2D. For other physical-chemical factors associations differed per analytical approach.</t>
  </si>
  <si>
    <t>Development of the SAFETEA Scores for Predicting Risks of Complications of Preventive Endovascular or Microneurosurgical Intracranial Aneurysm Occlusion.</t>
  </si>
  <si>
    <t>Algra, Annemijn M; Greving, Jacoba P; de Winkel, Jordi; Kurtelius, Arttu; Laban, Kamil; Verbaan, Dagmar; van den Berg, René; Vandertop, William; Lindgren, Antti; Krings, Timo; Woo, Peter Y M; Wong, George K C; Roozenbeek, Bob; van Es, Adriaan C G M; Dammers, Ruben; Etminan, Nima; Boogaarts, Hieronymus; van Doormaal, Tristan; van der Zwan, Albert; van der Schaaf, Irene C; Rinkel, Gabriël J E; Vergouwen, Mervyn D I</t>
  </si>
  <si>
    <t>https://pubmed.ncbi.nlm.nih.gov/36240099</t>
  </si>
  <si>
    <t>Preventive unruptured intracranial aneurysm (UIA) occlusion can reduce the risk of subarachnoid hemorrhage, but both endovascular and microneurosurgical treatment carry a risk of serious complications. To improve individualized management decisions, we developed risk scores for complications of endovascular and microneurosurgical treatment based on easily retrievable patient, aneurysm, and treatment characteristics. For this multicenter cohort study, we combined individual patient data from patients with UIA aged 18 years or older undergoing preventive endovascular treatment (standard, balloon-assisted or stent-assisted coiling, Woven EndoBridge-device, or flow-diverting stent) or microneurosurgical clipping at one of the 10 participating centers from 3 continents between 2000 and 2018. The primary outcome was death from any cause or clinical deterioration from neurologic complications ≤30 days. We selected predictors based on previous knowledge about relevant risk factors and predictor performance and studied the association between predictors and complications with logistic regression. We assessed model performance with calibration plots and concordance (&lt;i&gt;c&lt;/i&gt;) statistics. Of the 1,282 included patients, 94 (7.3%) had neurologic symptoms that resolved &lt;30 days, 140 (10.9%) had persisting neurologic symptoms, and 6 died (0.5%). At 30 days, 52 patients (4.1%) were dead or dependent. Predictors of procedural complications were size of aneurysm, aneurysm location, familial subarachnoid hemorrhage, earlier atherosclerotic disease, treatment volume, endovascular modality (for endovascular treatment) or extra aneurysm configuration factors (for microneurosurgical treatment, branching artery from aneurysm neck or unfavorable dome-to-neck ratio), and age (acronym: SAFETEA). For endovascular treatment (n = 752), the &lt;i&gt;c&lt;/i&gt;-statistic was 0.72 (95% CI 0.67-0.77) and the absolute complication risk ranged from 3.2% (95% CI 1.6%-14.9%; ≤1 point) to 33.1% (95% CI 25.4%-41.5%; ≥6 points). For microneurosurgical treatment (n = 530), the &lt;i&gt;c&lt;/i&gt;-statistic was 0.72 (95% CI 0.67-0.77) and the complication risk ranged from 4.9% (95% CI 1.5%-14.9%; ≤1 point) to 49.9% (95% CI 39.4%-60.6%; ≥6 points). The SAFETEA risk scores for endovascular and microneurosurgical treatment are based on 7 easily retrievable risk factors to predict the absolute risk of procedural complications in patients with UIAs. The scores need external validation before the predicted risks can be properly used to support decision-making in clinical practice. This study provides Class III evidence that SAFETEA scores predict the risk of procedural complications after endovascular and microneurosurgical treatment of unruptured intracranial aneurysms.</t>
  </si>
  <si>
    <t>Quality of Life Outcomes Over Time in Patients With Unruptured Intracranial Aneurysms With and Without Preventive Occlusion: A Prospective Cohort Study.</t>
  </si>
  <si>
    <t>Algra, Annemijn M; Greving, Jacoba P; Wermer, Marieke J H; van Walderveen, Marianne A A; van der Schaaf, Irene C; van der Zwan, Albert; Visser-Meily, Johanna M A; Rinkel, Gabriël J E; Vergouwen, Mervyn D I</t>
  </si>
  <si>
    <t>https://pubmed.ncbi.nlm.nih.gov/35790419</t>
  </si>
  <si>
    <t>In counseling patients with an unruptured intracranial aneurysm (UIA), quality of life (QoL) outcomes are important for informed decision making. We evaluated QoL outcomes in patients with and without preventive aneurysm occlusion at multiple time points during the first year after UIA diagnosis and studied predictors of QoL outcomes. We performed a prospective cohort study in patients aged ≥18 years with a newly diagnosed UIA in 2 tertiary referral centers in the Netherlands between 2017 and 2019. Patients were sent QoL questionnaires at 7 (aneurysm occlusion) or 5 (no occlusion) moments during the first year after diagnosis. We collected baseline data on patient and aneurysm characteristics, passive coping style (Utrecht Coping List), occlusion modality, and neurologic complications. We assessed health-related QoL (HRQoL) with the EuroQol 5 dimensions (EQ-5D), emotional functioning with the Hospital Anxiety and Depression Scale (HADS), and restrictions in daily activities with the Utrecht Scale for Evaluation of Rehabilitation-Participation (USER-P). We used a linear mixed-effects model to assess the course of QoL over time and to explore predictors of QoL outcomes. Of 153 eligible patients, 99 (65%) participated, of whom 30/99 (30%) underwent preventive occlusion. Patients undergoing occlusion reported higher baseline levels of passive coping, anxiety and depression, and restrictions than patients without occlusion. During recovery after occlusion, patients reported more restrictions compared with baseline (adjusted USER-P decrease 1 month post occlusion: -12.8 [95% CI -23.8 to -1.9]). HRQoL and emotional functioning gradually improved after occlusion (EQ-5D increase at 1 year: 8.6 [95% CI 0.1-17.0] and HADS decrease at 1 year: -5.4 [95% CI -9.4 to -1.5]). In patients without occlusion, the largest HRQoL improvement occurred directly after visiting the outpatient aneurysm clinic (EQ-5D increase: 9.2 [95% CI 5.5-12.8]). At 1 year, QoL outcomes were comparable in patients with and without occlusion. Factors associated with worse QoL outcomes were a passive coping style in all patients, complications in patients with occlusion, and higher rupture risks in patients without occlusion. After UIA diagnosis, QoL improves gradually after preventive occlusion and directly after counseling at the outpatient clinic in patients without occlusion, resulting in comparable 1-year QoL outcomes. A passive coping style is an important predictor of poor QoL outcomes in all patients with UIA.</t>
  </si>
  <si>
    <t>Validation of Combined Deep Learning Triaging and Computer-Aided Diagnosis in 2901 Breast MRI Examinations From the Second Screening Round of the Dense Tissue and Early Breast Neoplasm Screening Trial.</t>
  </si>
  <si>
    <t>Verburg, Erik; van Gils, Carla H; van der Velden, Bas H M; Bakker, Marije F; Pijnappel, Ruud M; Veldhuis, Wouter B; Gilhuijs, Kenneth G A</t>
  </si>
  <si>
    <t>investigative radiology</t>
  </si>
  <si>
    <t>https://pubmed.ncbi.nlm.nih.gov/36256783</t>
  </si>
  <si>
    <t>Computer-aided triaging (CAT) and computer-aided diagnosis (CAD) of screening breast magnetic resonance imaging have shown potential to reduce the workload of radiologists in the context of dismissing normal breast scans and dismissing benign disease in women with extremely dense breasts. The aim of this study was to validate the potential of integrating CAT and CAD to reduce workload and workup on benign lesions in the second screening round of the DENSE trial, without missing cancer. We included 2901 breast magnetic resonance imaging scans, obtained from 8 hospitals in the Netherlands. Computer-aided triaging and CAD were previously developed on data from the first screening round. Computer-aided triaging dismissed examinations without lesions. Magnetic resonance imaging examinations triaged to radiological reading were counted and subsequently processed by CAD. The number of benign lesions correctly classified by CAD was recorded. The false-positive fraction of the CAD was compared with that of unassisted radiological reading in the second screening round. Receiver operating characteristics (ROC) analysis was performed and the generalizability of CAT and CAD was assessed by comparing results from first and second screening rounds. Computer-aided triaging dismissed 950 of 2901 (32.7%) examinations with 49 lesions in total; none were malignant. Subsequent CAD classified 132 of 285 (46.3%) lesions as benign without misclassifying any malignant lesion. Together, CAT and CAD yielded significantly fewer false-positive lesions, 53 of 109 (48.6%) and 89 of 109 (78.9%), respectively ( P = 0.001), than radiological reading alone. Computer-aided triaging had a smaller area under the ROC curve in the second screening round compared with the first, 0.83 versus 0.76 ( P = 0.001), but this did not affect the negative predictive value at the 100% sensitivity operating threshold. Computer-aided diagnosis was not associated with significant differences in area under the ROC curve (0.857 vs 0.753, P = 0.08). At the operating thresholds, the specificities of CAT (39.7% vs 41.0%, P = 0.70) and CAD (41.0% vs 38.2%, P = 0.62) were successfully reproduced in the second round. The combined application of CAT and CAD showed potential to reduce workload of radiologists and to reduce number of biopsies on benign lesions. Computer-aided triaging (CAT) correctly dismissed 950 of 2901 (32.7%) examinations with 49 lesions in total; none were malignant. Subsequent computer-aided diagnosis (CAD) classified 132 of 285 (46.3%) lesions as benign without misclassifying any malignant lesion. Together, CAT and CAD yielded significantly fewer false-positive lesions, 53 of 109 (48.6%) and 89 of 109 (78.9%), respectively ( P = 0.001), than radiological reading alone.</t>
  </si>
  <si>
    <t>[Transparency in the body of evidence in medicine: developments of the GRADE method in the past ten years].</t>
  </si>
  <si>
    <t>Langendam, Miranda W; Kuijpers, Ton; Heus, Pauline; Verstijnen, Ilse; Vernooij, Robin; Boluyt, Nicole; Hooft, Lotty</t>
  </si>
  <si>
    <t>https://pubmed.ncbi.nlm.nih.gov/36300451</t>
  </si>
  <si>
    <t>GRADE ("Grading of Recommendations Assessment, Development and Evaluation") provides a transparent framework to evaluate scientific evidence and to develop healthcare recommendations. The GRADE method has been further developed, its application has been significantly broadened and over 100 organizations have endorsed GRADE. In this article, we give an overview of the most important methodological developments and discuss the basic principles. The transparent approach to make it easier for users of evidence to assess the judgments behind recommendations is not only applicable to the EBM domains but also to other disciplines. The methods developments show that GRADE is still evolving, and is constantly being further developed based on the latest methodological insights and users perspective. GRADE is not an instrument to determine the "true" certainty of the evidence. The value of applying GRADE is that judgments about the quality of evidence and the considerations behind recommendations are structured, transparent and explicit.</t>
  </si>
  <si>
    <t>Low-grade carotid artery stenosis is associated with progression of brain atrophy and cognitive decline. The SMART-MR study.</t>
  </si>
  <si>
    <t>Ghaznawi, Rashid; Vonk, Jet Mj; Zwartbol, Maarten Ht; Bresser, Jeroen de; Rissanen, Ina; Hendrikse, Jeroen; Geerlings, Mirjam I; ,</t>
  </si>
  <si>
    <t>journal of cerebral blood flow and metabolism official journal of the international society of cerebral blood flow and metabolism</t>
  </si>
  <si>
    <t>https://pubmed.ncbi.nlm.nih.gov/36250500</t>
  </si>
  <si>
    <t>Asymptomatic low-grade carotid artery stenosis (LGCS) is a common finding in patients with manifest arterial disease, however its relationship with brain MRI changes and cognitive decline is unclear. We included 902 patients (58 ± 10 years; 81% male) enrolled in the Second Manifestations of Arterial Disease - Magnetic Resonance (SMART-MR) study without a history of cerebrovascular disease. LGCS was defined as 1-49% stenosis on baseline carotid ultrasound, whereas no LGCS (reference category) was defined as absence of carotid plaque. Brain and white matter hyperintensity (WMH) volumes and cognitive function were measured at baseline and after 4 (n = 480) and 12 years (n = 222) of follow-up. Using linear mixed-effects models, we investigated associations of LGCS with progression of brain atrophy, WMH, and cognitive decline. LGCS was associated with greater progression of global brain atrophy (estimate -0.03; 95%CI, -0.06 to -0.01; &lt;i&gt;p = &lt;/i&gt;0.002), and a greater decline in executive functioning (estimate -0.02; 95%CI, -0.031 to -0.01; &lt;i&gt;p&lt;/i&gt; &lt; 0.001) and memory (estimate -0.012; 95%CI, -0.02 to -0.001; &lt;i&gt;p = &lt;/i&gt;0.032), independent of demographics, cardiovascular risk factors, and incident brain infarcts on MRI. No association was observed between LGCS and progression of WMH. Our results indicate that LGCS may represent an early marker of greater future brain atrophy and cognitive decline.</t>
  </si>
  <si>
    <t>The cost-effectiveness of a uniform versus age-based threshold for one-off screening for prevention of cardiovascular disease.</t>
  </si>
  <si>
    <t>Špacírová, Zuzana; Kaptoge, Stephen; García-Mochón, Leticia; Rodríguez Barranco, Miguel; Sánchez Pérez, María José; Bondonno, Nicola P; Tjønneland, Anne; Weiderpass, Elisabete; Grioni, Sara; Espín, Jaime; Sacerdote, Carlotta; Schiborn, Catarina; Masala, Giovanna; Colorado-Yohar, Sandra M; Kim, Lois; Moons, Karel G M; Engström, Gunnar; Schulze, Matthias B; Bresson, Léa; Moreno-Iribas, Concepción; Epstein, David</t>
  </si>
  <si>
    <t>the european journal of health economics hepac health economics in prevention and care</t>
  </si>
  <si>
    <t>https://pubmed.ncbi.nlm.nih.gov/36239877</t>
  </si>
  <si>
    <t>The objective of this article was to assess the cost-effectiveness of screening strategies for cardiovascular diseases (CVD). A decision analytic model was constructed to estimate the costs and benefits of one-off screening strategies differentiated by screening age, sex and the threshold for initiating statin therapy ("uniform" or "age-adjusted") from the Spanish NHS perspective. The age-adjusted thresholds were configured so that the same number of people at high risk would be treated as under the uniform threshold. Health benefit was measured in quality-adjusted life years (QALY). Transition rates were estimated from the European Prospective Investigation into Cancer and Nutrition (EPIC-CVD), a large multicentre nested case-cohort study with 12 years of follow-up. Unit costs of primary care, hospitalizations and CVD care were taken from the Spanish health system. Univariate and probabilistic sensitivity analyses were employed. The comparator was no systematic screening program. The base case model showed that the most efficient one-off strategy is to screen both men and women at 40 years old using a uniform risk threshold for initiating statin treatment (Incremental Cost-Effectiveness Ratio of €3,274/QALY and €6,085/QALY for men and women, respectively). Re-allocating statin treatment towards younger individuals at high risk for their age and sex would not offset the benefit obtained using those same resources to treat older individuals. Results are sensitive to assumptions about CVD incidence rates. To conclude, one-off screening for CVD using a uniform risk threshold appears cost-effective compared with no systematic screening. These results should be evaluated in clinical studies.</t>
  </si>
  <si>
    <t>Changes in Lifestyle and Risk of Colorectal Cancer in the European Prospective Investigation Into Cancer and Nutrition.</t>
  </si>
  <si>
    <t>Botteri, Edoardo; Peveri, Giulia; Berstad, Paula; Bagnardi, Vincenzo; Chen, Sairah L F; Sandanger, Torkjel M; Hoff, Geir; Dahm, Christina C; Antoniussen, Christian S; Tjønneland, Anne; Eriksen, Anne Kirstine; Skeie, Guri; Perez-Cornago, Aurora; Huerta, José María; Jakszyn, Paula; Harlid, Sophia; Sundström, Björn; Barricarte, Aurelio; Monninkhof, Evelyn M; Derksen, Jeroen W G; Schulze, Matthias B; Bueno-de-Mesquita, Bas; Sánchez, Maria-Jose; Cross, Amanda J; Tsilidis, Konstantinos K; De Magistris, Maria Santucci; Kaaks, Rudolf; Katzke, Verena; Rothwell, Joseph A; Laouali, Nasser; Severi, Gianluca; Amiano, Pilar; Contiero, Paolo; Sacerdote, Carlotta; Goldberg, Marcel; Touvier, Mathilde; Freisling, Heinz; Viallon, Vivian; Weiderpass, Elisabete; Riboli, Elio; Gunter, Marc J; Jenab, Mazda; Ferrari, Pietro</t>
  </si>
  <si>
    <t>the american journal of gastroenterology</t>
  </si>
  <si>
    <t>https://pubmed.ncbi.nlm.nih.gov/36227801</t>
  </si>
  <si>
    <t>We investigated the impact of changes in lifestyle habits on colorectal cancer (CRC) risk in a multicountry European cohort. We used baseline and follow-up questionnaire data from the European Prospective Investigation into Cancer cohort to assess changes in lifestyle habits and their associations with CRC development. We calculated a healthy lifestyle index (HLI) score based on smoking status, alcohol consumption, body mass index, and physical activity collected at the 2 time points. HLI ranged from 0 (most unfavorable) to 16 (most favorable). We estimated the association between HLI changes and CRC risk using Cox regression models and reported hazard ratios (HR) with 95% confidence intervals (CI). Among 295,865 participants, 2,799 CRC cases were observed over a median of 7.8 years. The median time between questionnaires was 5.7 years. Each unit increase in HLI from the baseline to the follow-up assessment was associated with a statistically significant 3% lower CRC risk. Among participants in the top tertile at baseline (HLI &gt; 11), those in the bottom tertile at follow-up (HLI ≤ 9) had a higher CRC risk (HR 1.34; 95% CI 1.02-1.75) than those remaining in the top tertile. Among individuals in the bottom tertile at baseline, those in the top tertile at follow-up had a lower risk (HR 0.77; 95% CI 0.59-1.00) than those remaining in the bottom tertile. Improving adherence to a healthy lifestyle was inversely associated with CRC risk, while worsening adherence was positively associated with CRC risk. These results justify and support recommendations for healthy lifestyle changes and healthy lifestyle maintenance for CRC prevention.</t>
  </si>
  <si>
    <t>A meta-analysis on the role older adults with cancer favour in treatment decision making.</t>
  </si>
  <si>
    <t>van der Waal, Maike S; Seghers, Nelleke; Welsing, Paco M J; van Huis, Lieke H; Emmelot-Vonk, Marielle H; Hamaker, Marije E</t>
  </si>
  <si>
    <t>https://pubmed.ncbi.nlm.nih.gov/36243627</t>
  </si>
  <si>
    <t>In the complex setting of oncological treatment decision making, balancing professional guidance while respecting patient involvement can be a challenge. We set out to assess the role adults with cancer favour in treatment decision making (TDM), including differences across age groups and change over time. A systematic search was performed in MEDLINE and Embase, for studies on role preference of (older) adults with cancer in oncological treatment decision making. A meta-analysis was conducted based on Control Preference Scale (CPS) data, a questionnaire on patient role preference in TDM. This meta-analysis includes 33 studies reporting CPS data comprising 17,197 adults with cancer. Mean age was 60.6 years old for studies that specified age (24 studies, 6155 patients). During the last decade, patients' role preference shifted towards significantly more active involvement in TDM (p = 0.006). No age-dependent subgroup differences have been identified; both younger and older adults, defined as, respectively, below and above 65 years old, favour active involvement in treatment decision making. Over time, adults with cancer have shifted towards more active role preference in treatment decision making. In current cancer care, a large majority prefers taking an active role, irrespective of age.</t>
  </si>
  <si>
    <t>Long-term exposure to air pollution and mortality from dementia, psychiatric disorders, and suicide in a large pooled European cohort: ELAPSE study.</t>
  </si>
  <si>
    <t>Andersen, Zorana J; Zhang, Jiawei; Jørgensen, Jeanette T; Samoli, Evangelia; Liu, Shuo; Chen, Jie; Strak, Maciej; Wolf, Kathrin; Weinmayr, Gudrun; Rodopolou, Sophia; Remfry, Elizabeth; de Hoogh, Kees; Bellander, Tom; Brandt, Jørgen; Concin, Hans; Zitt, Emanuel; Fecht, Daniela; Forastiere, Francesco; Gulliver, John; Hoffmann, Barbara; Hvidtfeldt, Ulla A; Monique Verschuren, W M; Jöckel, Karl-Heinz; So, Rina; Cole-Hunter, Tom; Mehta, Amar J; Mortensen, Laust H; Ketzel, Matthias; Lager, Anton; Leander, Karin; Ljungman, Petter; Severi, Gianluca; Boutron-Ruault, Marie-Christine; Magnusson, Patrik K E; Nagel, Gabriele; Pershagen, Göran; Peters, Annette; Rizzuto, Debora; van der Schouw, Yvonne T; Schramm, Sara; Stafoggia, Massimo; Katsouyanni, Klea; Brunekreef, Bert; Hoek, Gerard; Lim, Youn-Hee</t>
  </si>
  <si>
    <t>https://pubmed.ncbi.nlm.nih.gov/36244228</t>
  </si>
  <si>
    <t>Ambient air pollution is an established risk factor for premature mortality from chronic cardiovascular, respiratory and metabolic diseases, while evidence on neurodegenerative diseases and psychiatric disorders remains limited. We examined the association between long-term exposure to air pollution and mortality from dementia, psychiatric disorders, and suicide in seven European cohorts. Within the multicenter project 'Effects of Low-Level Air Pollution: A Study in Europe' (ELAPSE), we pooled data from seven European cohorts from six countries. Based on the residential addresses, annual mean levels of fine particulate matter (PM&lt;sub&gt;2.5&lt;/sub&gt;), nitrogen dioxide (NO&lt;sub&gt;2&lt;/sub&gt;), black carbon (BC), ozone (O&lt;sub&gt;3&lt;/sub&gt;), and 8 PM&lt;sub&gt;2.5&lt;/sub&gt; components were estimated using Europe-wide hybrid land-use regression models. We applied stratified Cox proportional hazard models to investigate the associations between air pollution and mortality from dementia, psychiatric disorders, and suicide. Of 271,720 participants, 900 died from dementia, 241 from psychiatric disorders, and 164 from suicide, during a mean follow-up of 19.7 years. In fully adjusted models, we observed positive associations of NO&lt;sub&gt;2&lt;/sub&gt; (hazard ratio [HR] = 1.38; 95 % confidence interval [CI]: 1.13, 1.70 per 10 µg/m&lt;sup&gt;3&lt;/sup&gt;), PM&lt;sub&gt;2.5&lt;/sub&gt; (HR = 1.29; 95 % CI: 0.98, 1.71 per 5 µg/m&lt;sup&gt;3&lt;/sup&gt;), and BC (HR = 1.37; 95 % CI: 1.11, 1.69 per 0.5 × 10&lt;sup&gt;-5&lt;/sup&gt;/m) with psychiatric disorders mortality, as well as with suicide (NO&lt;sub&gt;2&lt;/sub&gt;: HR = 1.13 [95 % CI: 0.92, 1.38]; PM&lt;sub&gt;2.5&lt;/sub&gt;: HR = 1.19 [95 % CI: 0.76, 1.87]; BC: HR = 1.08 [95 % CI: 0.87, 1.35]), and no association with dementia mortality. We did not detect any positive associations of O&lt;sub&gt;3&lt;/sub&gt; and 8 PM&lt;sub&gt;2.5&lt;/sub&gt; components with any of the three mortality outcomes. Long-term exposure to NO&lt;sub&gt;2&lt;/sub&gt;, PM&lt;sub&gt;2.5&lt;/sub&gt;, and BC may lead to premature mortality from psychiatric disorders and suicide.</t>
  </si>
  <si>
    <t>[Heart donation after circulatory death: ethical and emotional aspect of central normothermic regional perfusion].</t>
  </si>
  <si>
    <t>Kaffka Genaamd Dengler, Selma E; Vervoorn, Mats T; Brouwer, Marjan; van Delden, J J M; de Jonge, Jeroen; van der Kaaij, Niels P</t>
  </si>
  <si>
    <t>https://pubmed.ncbi.nlm.nih.gov/36300452</t>
  </si>
  <si>
    <t>Heart transplantation after circulatory death is possible in different countries with the use of ex situ normothermic perfusion of the donor heart. Central normothermic regional perfusion, where the circulation in the donor is restarted using an extracorporeal life support system after circulatory death, may give a better 1-years survival and a reduction in costs compared to ex situ normothermic perfusion of the donor heart. However, restarting circulation in a donor that was just declared death by circulatory criteria may be controversial. The advantages described are, in our view, reason to consider central normothermic regional perfusion, in which case a debate on ethical and emotional aspects is of great importance. In this article, we describe two point of views and hope in this way to start the debate on central normothermic regional perfusion in the Netherlands.</t>
  </si>
  <si>
    <t>Plasma circulating microRNAs associated with obesity, body fat distribution, and fat mass: the Rotterdam Study.</t>
  </si>
  <si>
    <t>Abozaid, Yasir J; Zhang, Xiaofang; Mens, Michelle M J; Ahmadizar, Fariba; Limpens, Marlou; Ikram, M Arfan; Rivadeneira, Fernando; Voortman, Trudy; Kavousi, Maryam; Ghanbari, Mohsen</t>
  </si>
  <si>
    <t>https://pubmed.ncbi.nlm.nih.gov/36216908</t>
  </si>
  <si>
    <t>MicroRNAs (miRNAs) represent a class of small non-coding RNAs that regulate gene expression post-transcriptionally and are implicated in the pathogenesis of different diseases. Limited studies have investigated the association of circulating miRNAs with obesity and body fat distribution and their link to obesity-related diseases using population-based data. We conducted a genome-wide profile of circulating miRNAs in plasma, collected between 2002 and 2005, in 1208 participants from the population-based Rotterdam Study cohort. Obesity and body fat distribution were measured as body mass index (BMI), waist-to-hip ratio (WHR), android-fat to gynoid-fat ratio (AGR), and fat mass index (FMI) measured by anthropometrics and Dual X-ray Absorptiometry. Multivariable linear regression models were used to assess the association of 591 miRNAs well-expressed in plasma with these traits adjusted for potential covariates. We further sought for the association of identified miRNAs with cardiovascular and metabolic diseases in the Rotterdam study and previous publications. Plasma levels of 65 miRNAs were associated with BMI, 40 miRNAs with WHR, 65 miRNAs with FMI, and 15 miRNAs with AGR surpassing the Bonferroni-corrected P &lt; 8.46 × 10&lt;sup&gt;-5&lt;/sup&gt;. Of these, 12 miRNAs were significantly associated with all traits, while four miRNAs were associated only with WHR, three miRNAs only with FMI, and miR-378i was associated only with AGR. The most significant association among the overlapping miRNAs was with miR-193a-5p, which was shown to be associated with type 2 diabetes and hepatic steatosis in the Rotterdam Study. Moreover, five of the obesity-associated miRNAs and two of the body fat distribution miRNAs have been correlated previously to cardiovascular disease. This study indicates that plasma levels of several miRNAs are associated with obesity and body fat distribution which could help to better understand the underlying mechanisms and may have the biomarker potential for obesity-related diseases.</t>
  </si>
  <si>
    <t>Agent-based modeling of urban exposome interventions: prospects, model architectures, and methodological challenges.</t>
  </si>
  <si>
    <t>Sonnenschein, Tabea; Scheider, Simon; de Wit, G Ardine; Tonne, Cathryn C; Vermeulen, Roel</t>
  </si>
  <si>
    <t>https://pubmed.ncbi.nlm.nih.gov/37811475</t>
  </si>
  <si>
    <t>With ever more people living in cities worldwide, it becomes increasingly important to understand and improve the impact of the urban habitat on livability, health behaviors, and health outcomes. However, implementing interventions that tackle the exposome in complex urban systems can be costly and have long-term, sometimes unforeseen, impacts. Hence, it is crucial to assess the health impact, cost-effectiveness, and social distributional impacts of possible urban exposome interventions (UEIs) before implementing them. Spatial agent-based modeling (ABM) can capture complex behavior-environment interactions, exposure dynamics, and social outcomes in a spatial context. This article discusses model architectures and methodological challenges for successfully modeling UEIs using spatial ABM. We review the potential and limitations of the method; model components required to capture active and passive exposure and intervention effects; human-environment interactions and their integration into the macro-level health impact assessment and social costs benefit analysis; and strategies for model calibration. Major challenges for a successful application of ABM to UEI assessment are (1) the design of realistic behavioral models that can capture different types of exposure and that respond to urban interventions, (2) the mismatch between the possible granularity of exposure estimates and the evidence for corresponding exposure-response functions, (3) the scalability issues that emerge when aiming to estimate long-term effects such as health and social impacts based on high-resolution models of human-environment interactions, (4) as well as the data- and computational complexity of calibrating the resulting agent-based model. Although challenges exist, strategies are proposed to improve the implementation of ABM in exposome research.</t>
  </si>
  <si>
    <t>Risk evaluation of cognitive impairment in patients with heart failure: A call for action.</t>
  </si>
  <si>
    <t>Kuipers, Sanne; Greving, Jacoba P; Brunner-La Rocca, Hans-Peter; Gottesman, Rebecca F; van Oostenbrugge, Robert J; Williams, Nicole L; Jan Biessels, Geert; Jaap Kappelle, L; ,</t>
  </si>
  <si>
    <t>https://pubmed.ncbi.nlm.nih.gov/36246772</t>
  </si>
  <si>
    <t>Cognitive impairment (CI) is common in patients with heart failure (HF) and impacts treatment adherence and other aspects of patient life in HF. Recognition of CI in patients with HF is therefore important. We aimed to develop a risk model with easily available patient characteristics, to identify patients with HF who are at high risk to be cognitively impaired and in need for further cognitive investigation. The risk model was developed in 611 patients ≥ 60 years with HF from the TIME-CHF trial. Fifty-six (9 %) patients had CI (defined as Hodkinson Abbreviated Mental Test ≤ 7). We assessed the association between potential predictors and CI with least-absolute-shrinkage-and-selection-operator (LASSO) regression analysis. The selected predictors were: older age, female sex, NYHA class III or IV, Charlson comorbidity index ≥ 6, anemia, heart rate ≥ 70 bpm and systolic blood pressure ≥ 145 mmHg. A model that combined these variables had a c-statistic of 0.70 (0.63-0.78). The model was validated in 155 patients ≥ 60 years with HF from the ECHO study. In the validation cohort 51 (33 %) patients had CI (defined as a Mini Mental State Exam ≤ 24). External validation showed an AUC of 0.56 (0.46-0.66). This risk model with easily available patient characteristics has poor predictive performance in external validation, which may be due to case-mix variation. These findings underscore the need for active screening and standardized assessment for CI in patients with HF.</t>
  </si>
  <si>
    <t>&lt;i&gt;In vitro&lt;/i&gt; chemotherapy-associated muscle toxicity is attenuated with nutritional support, while treatment efficacy is retained.</t>
  </si>
  <si>
    <t>Wijler, Liza A; Dijk, Francina J; Quirindongo, Hanil; Raats, Danielle A E; Dorresteijn, Bram; Furber, Matthew J W; May, Anne M; Kranenburg, Onno; van Dijk, Miriam</t>
  </si>
  <si>
    <t>oncotarget</t>
  </si>
  <si>
    <t>https://pubmed.ncbi.nlm.nih.gov/36242541</t>
  </si>
  <si>
    <t>Muscle-wasting and treatment-related toxicities negatively impact prognosis of colorectal cancer (CRC) patients. Specific nutritional composition might support skeletal muscle and enhance treatment support. In this &lt;i&gt;in vitro&lt;/i&gt; study we assess the effect of nutrients EPA, DHA, L-leucine and vitamin D3, as single nutrients or in combination on chemotherapy-treated C2C12-myotubes, and specific CRC-tumor cells. Using C2C12-myotubes, the effects of chemotherapy (oxaliplatin, 5-fluorouracil, oxaliplatin+5-fluorouracil and irinotecan) on protein synthesis, cell-viability, caspase-3/7-activity and LDH-activity were assessed. Addition of EPA, DHA, L-leucine and vitamin D3 and their combination (SNCi) were studied in presence of above chemotherapies. Tumor cell-viability was assessed in oxaliplatin-treated C26 and MC38 CRC cells, and in murine and patient-derived CRC-organoids. While chemotherapy treatment of C2C12-myotubes decreased protein synthesis, cell-viability and increased caspase-3/7 and LDH-activity, SNCi showed improved protein synthesis and cell viability and lowered LDH activity. The nutrient combination SNCi showed a better overall performance compared to the single nutrients. Treatment response of tumor models was not significantly affected by addition of nutrients. This &lt;i&gt;in vitro&lt;/i&gt; study shows protective effect with specific nutrition composition of C2C12-myotubes against chemotherapy toxicity, which is superior to the single nutrients, while treatment response of tumor cells remained.</t>
  </si>
  <si>
    <t>Data on the clinical, functional, and patient-reported outcomes of patient-centred rehabilitation for patients with non-communicable disease living in low-resourced settings.</t>
  </si>
  <si>
    <t>Heine, Martin; Derman, Wayne; Müller, Ashleigh; Fell, Brittany; Abbas, Mumtaz; Hanekom, Susan</t>
  </si>
  <si>
    <t>data in brief</t>
  </si>
  <si>
    <t>https://pubmed.ncbi.nlm.nih.gov/36426058</t>
  </si>
  <si>
    <t>In this data article, we present data obtained from a randomized clinical trial aimed at determining the feasibility of patient-centred rehabilitation for people with non-communicable disease (NCD) living in a low-resource setting. Patients were identified at primary care level and considered eligible if having on or more of the NCDs central to the NCD burden of disease (Cardiovascular Disease, Diabetes, Pulmonary Disease or Cancer). Using a "trial within cohort" design, a total 74 patients were included (36% of those identified as eligible) in a longitudinal cohort with repeated assessments at baseline, 8 and 16 weeks. A subset of 50 participants were randomly selected and offered to participate in a 6-week exercise and education-based, minimalistic, community-based rehabilitation program tailored to the low-resource context. The exercise component included aerobic and resistance exercise, as well as thematic empowerment aimed at improving exercise self-efficacy. The education component was aimed at improving general health literacy. Data was collected in terms of feasibility parameters (e.g., uptake, adherence), patient-demographics (e.g., age, gender), medical demographics (e.g., disease burden, multimorbidity), functional capacity measures (e.g., 6-minute Walk Test), and patient-reported outcomes (e.g., health-related quality of life). The data presented can give a basis for further clinical research in this field.</t>
  </si>
  <si>
    <t>A cross-sectional survey on the early impact of COVID-19 on the uptake of decentralised trial methods in the conduct of clinical trials.</t>
  </si>
  <si>
    <t>Suman, Arnela; van Es, Jasmijn; Gardarsdottir, Helga; Grobbee, Diederick E; Hawkins, Kimberly; Heath, Megan A; Mackenzie, Isla S; van Thiel, Ghislaine; Zuidgeest, Mira G P; ,</t>
  </si>
  <si>
    <t>https://pubmed.ncbi.nlm.nih.gov/36203202</t>
  </si>
  <si>
    <t>The COVID-19 pandemic significantly impacted the conduct of clinical trials through delay, interruption or cancellation. Decentralised methods in clinical trials could help to continue trials during a pandemic. This paper presents the results of an exploratory study conducted early in the pandemic to gain insight into and describe the experiences of organisations involved in clinical trials, with regard to the impact of COVID-19 on the conduct of trials, and the adoption of decentralised methods prior to, and as mitigation for the impact, of COVID-19. A survey with 11 open-ended and four multiple choice questions was conducted in June 2020 among member organisations of the public-private "Trials@Home" consortium. The survey investigated (1) the impact and challenges of COVID-19 on the continuation of ongoing clinical trials, (2) the adoption of decentralised methods in clinical trials prior to and as a mitigation strategy for COVID-19, (3) the challenges of conducting clinical trials during COVID-19, (4) the expected permanency of COVID-19-driven changes to the adoption of decentralised methods in clinical trials, and (5) lessons learned from conducting clinical trials during the COVID-19 pandemic. A thematic, inductive analysis of open survey questions was performed, complemented with descriptive statistics (frequencies and distributions). The survey had a response rate of 81%. All organisations included in the analysis (n = 18) implemented (some) decentralised methods in their clinical trials prior to COVID-19, and 15 (83%) implemented decentralised methods as mitigation for COVID-19. Decentralised methods for IMP supply, patient-health care provider interaction and communication, clinic visits and source document verification were used more often as mitigation strategies than they were used prior to COVID-19. Many respondents expect to maintain those decentralised methods they implemented during COVID-19 in ongoing trials, as well as implement them in future trials. Decentralised methods are a widely implemented mitigation strategy for trial conduct in the face of the COVID-19 pandemic. The results of this survey show that there is an interest to continue the use of decentralised methods in future trials, but important points of attention have been identified that need solutions to help guide the transition from the traditional trial model to a more decentralised trial model.</t>
  </si>
  <si>
    <t>Serum lipid traits and the risk of dementia: A cohort study of 254,575 women and 214,891 men in the UK Biobank.</t>
  </si>
  <si>
    <t>Gong, Jessica; Harris, Katie; Peters, Sanne A E; Woodward, Mark</t>
  </si>
  <si>
    <t>https://pubmed.ncbi.nlm.nih.gov/36247924</t>
  </si>
  <si>
    <t>Serum lipid traits are associated with cardiovascular disease, but uncertainty remains regarding their associations with dementia. From 2006 to 2010, 254,575 women and 214,891 men were included from the UK Biobank. Cox regression estimated overall and sex-specific hazard ratios (HRs) for apolipoprotein A (ApoA), apolipoprotein B (ApoB), HDL, LDL, total cholesterol, triglycerides, lipoprotein A, and various lipid ratios, by quarters and standard deviation (SD) higher, associated with all-cause dementia, Alzheimer's disease (AD) and vascular dementia (VaD). Subgroup analyses by age and social deprivation were conducted. Over 11·8 years (median), 3734 all-cause dementia (1,716 women), 1231 AD and 929 VaD were recorded. Compared to respective lowest quarters, highest quarter of ApoA was associated with lower dementia risk (HR, [95% confidence interval (95% CI)]: 0·77 [0·69, 0·86]) while the highest quarter of ApoB was associated with greater risk (HR, 1·12 [1·01, 1·24]). Higher HDL/ApoA and ApoB/ApoA, were associated with greater risk of dementia (HR, 1·12 [1·00, 1·25], per standard deviation (SD), 1.23 [1·11, 1·37], per SD, respectively), LDL/ApoB was inversely associated (HR, 0·85 [0·76, 0·94], per SD. Higher triglycerides was associated with higher dementia risk in &lt;60 years, but the inverse was observed for ≥60 years. Similar associations were observed for VaD and AD. Apolipoproteins, and their ratios, were associated with the risk of dementia. It may be prudent to consider apolipoproteins, along with circulating cholesterol, when assessing dementia risk. University of New South Wales, UK Medical Research Council, and the Australian National Health and Medical Research Council.</t>
  </si>
  <si>
    <t>Development and validation of a prediction rule for patients suspected of acute coronary syndrome in primary care: a cross-sectional study.</t>
  </si>
  <si>
    <t>Wouters, Loes T C M; Zwart, Dorien L M; Erkelens, Daphne C A; Adriaansen, Elisabeth J M; den Ruijter, Hester M; De Groot, Esther; Damoiseaux, Roger A M J; Hoes, Arno W; van Smeden, Maarten; Rutten, Frans H</t>
  </si>
  <si>
    <t>https://pubmed.ncbi.nlm.nih.gov/36198462</t>
  </si>
  <si>
    <t>To develop and validate a symptom-based prediction rule for early recognition of acute coronary syndrome (ACS) in patients with acute chest discomfort who call out-of-hours services for primary care (OHS-PC). Cross-sectional study. A diagnostic prediction rule was developed with multivariable regression analyses. All models were validated with internal-external cross validation within seven OHS-PC locations. Both age and sex were analysed as statistical interaction terms, applying for age non-linear effects. Seven OHS-PC in the Netherlands. 2192 patients who called OHS-PC for acute chest discomfort (pain, pressure, tightness or discomfort) between 2014 and 2017. Backed up recordings of telephone triage conversations were analysed. Diagnosis of ACS retrieved from the patient's medical records in general practice, including hospital specialists discharge letters. Performance of the prediction rules was calculated with the c-statistic and the final model was chosen based on net benefit analyses. Among the 2192 patients who called the OHS-PC with acute chest discomfort, 8.3% females and 15.3% males had an ACS. The final diagnostic model included seven predictors (sex, age, acute onset of chest pain lasting less than 12 hours, a pressing/heavy character of the pain, radiation of the pain, sweating and calling at night). It had an adjusted c-statistic of 0.77 (95% CI 0.74 to 0.79) with good calibration. The final prediction model for ACS has good discrimination and calibration and shows promise for replacing the existing telephone triage rules for patients with acute chest discomfort in general practice and OHS-PC. NTR7331.</t>
  </si>
  <si>
    <t>The Authors Respond.</t>
  </si>
  <si>
    <t>Traini, Eugenio; Huss, Anke; Portengen, Lützen; Rookus, Matti; Verschuren, W M Monique; Vermeulen, Roel C H; Bellavia, Andrea</t>
  </si>
  <si>
    <t>epidemiology cambridge mass</t>
  </si>
  <si>
    <t>https://pubmed.ncbi.nlm.nih.gov/36220584</t>
  </si>
  <si>
    <t>A randomized study of intensified antiretroviral treatment monitoring versus standard-of-care for prevention of drug resistance and antiretroviral treatment switch.</t>
  </si>
  <si>
    <t>Hermans, Lucas E; Ter Heine, Rob; Schuurman, Rob; Tempelman, Hugo A; Burger, David M; Vervoort, Sigrid C J M; Deville, Walter L J M; De Jong, Dorien; Venter, Willem D F; Nijhuis, Monique; Wensing, Annemarie M J</t>
  </si>
  <si>
    <t>https://pubmed.ncbi.nlm.nih.gov/35950949</t>
  </si>
  <si>
    <t>Standard-of-care antiretroviral treatment (ART) monitoring in low and middle-income countries consists of annual determination of HIV-RNA viral load with confirmatory viral load testing in case of viral rebound. We evaluated an intensified monitoring strategy of three-monthly viral load testing with additional drug exposure and drug resistance testing in case of viral rebound. We performed an open-label randomized controlled trial (RCT) at a rural South African healthcare clinic, enrolling adults already receiving or newly initiating first-line ART. During 96 weeks follow-up, intervention participants received three-monthly viral load testing and sequential point-of-care drug exposure testing and DBS-based drug resistance testing in case of rebound above 1000 copies/ml. Control participants received standard-of-care monitoring according to the WHO guidelines. Five hundred one participants were included, of whom 416 (83.0%) were randomized at 24 weeks. Four hundred one participants were available for intention-to-treat analysis. Viral rebound occurred in 9.0% (18/199) of intervention participants and in 11.9% (24/202) of controls ( P  = 0.445). Time to detection of rebound was 375 days [interquartile range (IQR): 348-515] in intervention participants and 360 days [IQR: 338-464] in controls [hazard ratio: 0.88 (95% confidence interval (95% CI): 0.46-1.66]; P  = 0.683]. Duration of viral rebound was 87 days [IQR: 70-110] in intervention participants and 101 days [IQR: 78-213] in controls ( P  = 0.423). In the control arm, three patients with confirmed failure were switched to second-line ART. In the intervention arm, of three patients with confirmed failure, switch could initially be avoided in two cases. Three-monthly viral load testing did not significantly reduce the duration of viraemia when compared with standard-of-care annual viral load testing, providing randomized trial evidence in support of annual viral load monitoring.</t>
  </si>
  <si>
    <t>Safety of off-label dose reduction of non-vitamin K antagonist oral anticoagulants in patients with atrial fibrillation.</t>
  </si>
  <si>
    <t>van den Dries, Carline J; Pajouheshnia, Romin; van den Ham, Hendrika A; Souverein, Patrick; Moons, Karel G M; Hoes, Arno W; Geersing, Geert-Jan; van Doorn, Sander</t>
  </si>
  <si>
    <t>https://pubmed.ncbi.nlm.nih.gov/36102068</t>
  </si>
  <si>
    <t>To investigate the effects of off-label non-vitamin K oral anticoagulant (NOAC) dose reduction compared with on-label standard dosing in atrial fibrillation (AF) patients in routine care. Population-based cohort study using data from the United Kingdom Clinical Practice Research Datalink, comparing adults with non-valvular AF receiving an off-label reduced NOAC dose to patients receiving an on-label standard dose. Outcomes were ischaemic stroke, major/non-major bleeding and mortality. Inverse probability of treatment weighting and inverse probability of censoring weighting on the propensity score were applied to adjust for confounding and informative censoring. Off-label dose reduction occurred in 2466 patients (8.0%), compared with 18 108 (58.5%) on-label standard-dose users. Median age was 80 years (interquartile range [IQR] 73.0-86.0) versus 72 years (IQR 66-78), respectively. Incidence rates were higher in the off-label dose reduction group compared to the on-label standard dose group, for ischaemic stroke (0.94 vs 0.70 per 100 person years), major bleeding (1.48 vs 0.83), non-major bleeding (6.78 vs 6.16) and mortality (10.12 vs 3.72). Adjusted analyses resulted in a hazard ratio of 0.95 (95% confidence interval [CI] 0.57-1.60) for ischaemic stroke, 0.88 (95% CI 0.57-1.35) for major bleeding, 0.81 (95% CI 0.67-0.98) for non-major bleeding and 1.34 (95% CI 1.12-1.61) for mortality. In this large population-based study, the hazards for ischaemic stroke and major bleeding were low, and similar in AF patients receiving an off-label reduced NOAC dose compared with on-label standard dose users, while non-major bleeding risk appeared to be lower and mortality risk higher. Caution towards prescribing an off-label reduced NOAC dose is therefore required.</t>
  </si>
  <si>
    <t>Longitudinal Household Assessment of Respiratory Illness in Children and Parents During the COVID-19 Pandemic.</t>
  </si>
  <si>
    <t>de Hoog, Marieke L A; Sluiter-Post, Judith G C; Westerhof, Ilse; Fourie, Elandri; Heuvelman, Valerie D; Boom, Trisja T; Euser, Sjoerd M; Badoux, Paul; Reusken, Chantal; Bont, Louis J; Sanders, Elisabeth A M; Jaddoe, Vincent W V; Herpers, Bjorn L; Eggink, Dirk; Wildenbeest, Joanne G; Duijts, Liesbeth; van Houten, Marlies A; Bruijning-Verhagen, Patricia C J L</t>
  </si>
  <si>
    <t>https://pubmed.ncbi.nlm.nih.gov/36264578</t>
  </si>
  <si>
    <t>In the early COVID-19 pandemic, SARS-CoV-2 testing was only accessible and recommended for symptomatic persons or adults. This restriction hampered assessment of the true incidence of SARS-CoV-2 infection in children as well as detailed characterization of the SARS-CoV-2 disease spectrum and how this spectrum compared with that of other common respiratory illnesses. To estimate the community incidence of SARS-CoV-2 infection in children and parents and to assess the symptoms and symptom severity of respiratory illness episodes involving SARS-CoV-2-positive test results relative to those with SARS-CoV-2-negative test results. This cohort study randomly selected Dutch households with at least 1 child younger than 18 years. A total of 1209 children and adults from 307 households were prospectively followed up between August 25, 2020, and July 29, 2021, covering the second and third waves of the COVID-19 pandemic. Participation included SARS-CoV-2 screening at 4- to 6-week intervals during the first 23 weeks of participation (core study period; August 25, 2020, to July 29, 2021). Participants in all households finishing the core study before July 1, 2021, were invited to participate in the extended follow-up and to actively report respiratory symptoms using an interactive app until July 1, 2021. At new onset of respiratory symptoms or a SARS-CoV-2 positive test result, a household outbreak study was initiated, which included daily symptom recording, repeated polymerase chain reaction testing (nose-throat swabs and saliva and fecal samples), and SARS-CoV-2 antibody measurement (paired dried blood spots) in all household members. Outbreaks, households, and episodes of respiratory illness were described as positive or negative depending on SARS-CoV-2 test results. Data on participant race and ethnicity were not reported because they were not uniformly collected in the original cohorts and were therefore not representative or informative. SARS-CoV-2-positive and SARS-CoV-2-negative respiratory illness episodes. Age-stratified incidence rates, symptoms, and symptom severity for SARS-CoV-2-positive and SARS-CoV-2-negative respiratory illness episodes. Among 307 households including 1209 participants (638 female [52.8%]; 403 [33.3%] aged &lt;12 years, 179 [14.8%] aged 12-17 years, and 627 [51.9%] aged ≥18 years), 183 household outbreaks of respiratory illness were observed during the core study and extended follow-up period, of which 63 (34.4%) were SARS-CoV-2 positive (59 outbreaks [32.2%] during the core study and 4 outbreaks [2.2%] during follow-up). SARS-CoV-2 incidence was similar across all ages (0.24/person-year [PY]; 95% CI, 0.21-0.28/PY). Overall, 33 of 134 confirmed SARS-CoV-2 episodes (24.6%) were asymptomatic. The incidence of SARS-CoV-2-negative respiratory illness episodes was highest in children younger than 12 years (0.94/PY; 95% CI, 0.89-0.97/PY). When comparing SARS-CoV-2-positive vs SARS-CoV-2-negative respiratory illness episodes in children younger than 12 years, no differences were observed in number of symptoms (median [IQR], 2 [2-4] for both groups), symptom severity (median [IQR] maximum symptom severity score, 6 [4-9] vs 7 [6-13]), or symptom duration (median [IQR], 6 [5-12] days vs 8 [4-13] days). However, among adults, SARS-CoV-2-positive episodes had a significantly higher number (median [IQR], 6 [4-8] vs 3 [2-4]), severity (median [IQR] maximum symptom severity score, 15 [9-19] vs 7 [6-11]), and duration (median [IQR] 13 [8-29] days vs 5 [3-11] days; P &lt; .001 for all comparisons) of symptoms vs SARS-CoV-2-negative episodes. In this cohort study, during the first pandemic year when mostly partial or full in-person learning occurred, the SARS-CoV-2 incidence rate in children was substantially higher than estimated from routine testing or seroprevalence data and was similar to that of adult household members. Unlike in unvaccinated adults, SARS-CoV-2 symptoms and symptom severity in children were similar to other common respiratory illnesses. These findings may prove useful when developing pediatric COVID-19 vaccine recommendations.</t>
  </si>
  <si>
    <t>Stroke genetics informs drug discovery and risk prediction across ancestries.</t>
  </si>
  <si>
    <t>https://pubmed.ncbi.nlm.nih.gov/36180795</t>
  </si>
  <si>
    <t>Previous genome-wide association studies (GWASs) of stroke - the second leading cause of death worldwide - were conducted predominantly in populations of European ancestry&lt;sup&gt;1,2&lt;/sup&gt;. Here, in cross-ancestry GWAS meta-analyses of 110,182 patients who have had a stroke (five ancestries, 33% non-European) and 1,503,898 control individuals, we identify association signals for stroke and its subtypes at 89 (61 new) independent loci: 60 in primary inverse-variance-weighted analyses and 29 in secondary meta-regression and multitrait analyses. On the basis of internal cross-ancestry validation and an independent follow-up in 89,084 additional cases of stroke (30% non-European) and 1,013,843 control individuals, 87% of the primary stroke risk loci and 60% of the secondary stroke risk loci were replicated (P &lt; 0.05). Effect sizes were highly correlated across ancestries. Cross-ancestry fine-mapping, in silico mutagenesis analysis&lt;sup&gt;3&lt;/sup&gt;, and transcriptome-wide and proteome-wide association analyses revealed putative causal genes (such as SH3PXD2A and FURIN) and variants (such as at GRK5 and NOS3). Using a three-pronged approach&lt;sup&gt;4&lt;/sup&gt;, we provide genetic evidence for putative drug effects, highlighting F11, KLKB1, PROC, GP1BA, LAMC2 and VCAM1 as possible targets, with drugs already under investigation for stroke for F11 and PROC. A polygenic score integrating cross-ancestry and ancestry-specific stroke GWASs with vascular-risk factor GWASs (integrative polygenic scores) strongly predicted ischaemic stroke in populations of European, East Asian and African ancestry&lt;sup&gt;5&lt;/sup&gt;. Stroke genetic risk scores were predictive of ischaemic stroke independent of clinical risk factors in 52,600 clinical-trial participants with cardiometabolic disease. Our results provide insights to inform biology, reveal potential drug targets and derive genetic risk prediction tools across ancestries.</t>
  </si>
  <si>
    <t>Association between chemical mixtures and female fertility in women undergoing assisted reproduction in Sweden and Estonia.</t>
  </si>
  <si>
    <t>Bellavia, Andrea; Zou, Runyu; Björvang, Richelle D; Roos, Kristine; Sjunnesson, Ylva; Hallberg, Ida; Holte, Jan; Pikki, Anne; Lenters, Virissa; Portengen, Lützen; Koekkoek, Jacco; Lamoree, Marja; Van Duursen, Majorie; Vermeulen, Roel; Salumets, Andres; Velthut-Meikas, Agne; Damdimopoulou, Pauliina</t>
  </si>
  <si>
    <t>https://pubmed.ncbi.nlm.nih.gov/36181890</t>
  </si>
  <si>
    <t>Women of reproductive age are exposed to ubiquitous chemicals such as phthalates, parabens, and per- and polyfluoroalkyl substances (PFAS), which have potential endocrine disrupting properties and might affect fertility. Our objective was to investigate associations between potential endocrine-disrupting chemicals (EDCs) and female fertility in two cohorts of women attending fertility clinics. In a total population of 333 women in Sweden and Estonia, we studied the associations between chemicals and female fertility, evaluating ovarian sensitivity index (OSI) as an indicator of ovarian response, as well as clinical pregnancy and live birth from fresh and frozen embryo transfers. We measured 59 chemicals in follicular fluid samples and detected 3 phthalate metabolites, di-2-ethylhexyl phthalate (DEHP) metabolites, 1 paraben, and 6 PFAS in &gt;90% of the women. Associations were evaluated using multivariable-adjusted linear or logistic regression, categorizing EDCs into quartiles of their distributions, as well as with Bayesian Kernel Machine Regression. We observed statistically significant lower OSI at higher concentrations of the sum of DEHP metabolites in the Swedish cohort (Q4 vs Q1, β = -0.21, 95% CI: -0.38, -0.05) and methylparaben in the Estonian cohort (Q3 vs Q1, β = -0.22, 95% CI: -0.44, -0.01). Signals of potential associations were also observed at higher concentrations of PFUnDA in both the combined population (Q2 vs. Q1, β = -0.16, 95% CI -0.31, -0.02) and the Estonian population (Q2 vs. Q1, β = -0.27, 95% CI -0.45, -0.08), and for PFOA in the Estonian population (Q4 vs. Q1, β = -0.31, 95% CI -0.61, -0.01). Associations of chemicals with clinical pregnancy and live birth presented wide confidence intervals. Within a large chemical mixture, we observed significant inverse associations levels of DEHP metabolites and methylparaben, and possibly PFUnDA and PFOA, with OSI, suggesting that these chemicals may contribute to altered ovarian function and infertility in women.</t>
  </si>
  <si>
    <t>How can advance care planning support hope in patients with advanced cancer and their families: A qualitative study as part of the international ACTION trial.</t>
  </si>
  <si>
    <t>Kodba-Čeh, Hana; Lunder, Urška; Bulli, Francesco; Caswell, Glenys; van Delden, Johannes J M; Kars, Marijke C; Korfage, Ida J; Miccinesi, Guido; Rietjens, Judith A C; Seymour, Jane; Toccafondi, Alessandro; Zwakman, Marieke; Pollock, Kristian; ,</t>
  </si>
  <si>
    <t>european journal of cancer care</t>
  </si>
  <si>
    <t>https://pubmed.ncbi.nlm.nih.gov/36168108</t>
  </si>
  <si>
    <t>Clinicians' fears of taking away patients' hope is one of the barriers to advance care planning (ACP). Research on how ACP supports hope is scarce. We have taken up the challenge to specify ways in which ACP conversations may potentially support hope. In an international qualitative study, we explored ACP experiences of patients with advanced cancer and their personal representatives (PRs) within the cluster-randomised control ACTION trial. Using deductive analysis of data obtained in interviews following the ACP conversations, this substudy reports on a theme of hope. A latent thematic analysis was performed on segments of text relevant to answer the research question. Twenty patients with advanced cancer and 17 PRs from Italy, the Netherlands, Slovenia, and the United Kingdom were participating in post-ACP interviews. Three themes reflecting elements that provide grounds for hope were constructed. ACP potentially supports hope by being (I) a meaningful activity that embraces uncertainties and difficulties; (II) an action towards an aware and empowered position; (III) an act of mutual care anchored in commitments. Our findings on various potentially hope supporting elements of ACP conversations provide a constructive way of thinking about hope in relation to ACP that could inform practice.</t>
  </si>
  <si>
    <t>Smartphone detection of atrial fibrillation using photoplethysmography: a systematic review and meta-analysis.</t>
  </si>
  <si>
    <t>Gill, Simrat; Bunting, Karina V; Sartini, Claudio; Cardoso, Victor Roth; Ghoreishi, Narges; Uh, Hae-Won; Williams, John A; Suzart-Woischnik, Kiliana; Banerjee, Amitava; Asselbergs, Folkert W; Eijkemans, Mjc; Gkoutos, Georgios V; Kotecha, Dipak</t>
  </si>
  <si>
    <t>https://pubmed.ncbi.nlm.nih.gov/35277454</t>
  </si>
  <si>
    <t>Timely diagnosis of atrial fibrillation (AF) is essential to reduce complications from this increasingly common condition. We sought to assess the diagnostic accuracy of smartphone camera photoplethysmography (PPG) compared with conventional electrocardiogram (ECG) for AF detection. This is a systematic review of MEDLINE, EMBASE and Cochrane (1980-December 2020), including any study or abstract, where smartphone PPG was compared with a reference ECG (1, 3 or 12-lead). Random effects meta-analysis was performed to pool sensitivity/specificity and identify publication bias, with study quality assessed using the QUADAS-2 (Quality Assessment of Diagnostic Accuracy Studies-2) risk of bias tool. 28 studies were included (10 full-text publications and 18 abstracts), providing 31 comparisons of smartphone PPG versus ECG for AF detection. 11 404 participants were included (2950 in AF), with most studies being small and based in secondary care. Sensitivity and specificity for AF detection were high, ranging from 81% to 100%, and from 85% to 100%, respectively. 20 comparisons from 17 studies were meta-analysed, including 6891 participants (2299 with AF); the pooled sensitivity was 94% (95% CI 92% to 95%) and specificity 97% (96%-98%), with substantial heterogeneity (p&lt;0.01). Studies were of poor quality overall and none met all the QUADAS-2 criteria, with particular issues regarding selection bias and the potential for publication bias. PPG provides a non-invasive, patient-led screening tool for AF. However, current evidence is limited to small, biased, low-quality studies with unrealistically high sensitivity and specificity. Further studies are needed, preferably independent from manufacturers, in order to advise clinicians on the true value of PPG technology for AF detection.</t>
  </si>
  <si>
    <t>Surgical Menopause and Bilateral Oophorectomy: Effect of Estrogen-Progesterone and Testosterone Replacement Therapy on Psychological Well-being and Sexual Functioning; A Systematic Literature Review.</t>
  </si>
  <si>
    <t>Stuursma, Annechien; Lanjouw, Lieke; Idema, Demy L; de Bock, Geertruida H; Mourits, Marian J E</t>
  </si>
  <si>
    <t>the journal of sexual medicine</t>
  </si>
  <si>
    <t>https://pubmed.ncbi.nlm.nih.gov/36175351</t>
  </si>
  <si>
    <t>Besides experiencing vasomotor symptoms, after surgical menopause and bilateral salpingo-oophorectomy (BSO), women experience moderate to severe psychological and sexual symptoms. To systematically review and meta-analyze the effect of systemic hormone replacement therapy (sHRT) on psychological well-being and sexual functioning in women after surgical menopause and BSO. Medline/Pubmed, EMBASE and PsychInfo were systematically searched until November 2021. Randomized controlled trials investigating the effect of sHRT on psychological well-being and/or sexual functioning in surgically menopausal women and women after BSO were eligible for inclusion. Two independent authors performed study selection, risk of bias assessment and data extraction. Standardized mean differences (SMDs) were calculated. Primary outcomes for psychological well-being were defined as overall psychological well-being, depression, and anxiety. Primary outcomes for sexual functioning were defined as overall sexual functioning, sexual desire, and sexual satisfaction. All outcomes were assessed on short (≤12 weeks) or medium term (13-26 weeks). Twelve studies were included. Estradiol had a beneficial effect on depressed mood on short term 3-6 years after surgery or 2 years (median) after surgery with high heterogeneity (SMD: -1.37, 95%CI: -2.38 to -0.37, P = .007, I&lt;sup&gt;2&lt;/sup&gt; 79%). Testosterone had a beneficial effect on overall sexual functioning on short to medium term 4.6 years (mean) after surgery (SMD 0.38, 95%CI 0.11-0.65, I&lt;sup&gt;2&lt;/sup&gt; 0%) and on sexual desire on medium term at least 3-12 months after surgery (SMD 0.38, 95%CI 0.19-0.56, I&lt;sup&gt;2&lt;/sup&gt; 54%). For most studies, risk of bias was uncertain. Estradiol may beneficially affect psychological symptoms after surgical menopause or BSO and testosterone might improve sexual desire and overall sexual functioning. This review only included patient-reported outcomes, thereby reflected perceived and not simply objective symptoms in surgically menopausal women and women after BSO. The small number of studies highly varied in nature and bias could not be excluded, therefore our results should be interpreted with great caution. Independent randomized controlled clinical trials investigating the effects of estrogen-progesterone and testosterone on psychological and sexual symptoms after surgical menopause are needed. CRD42019136698. Stuursma A, Lanjouw L, Idema DL, et al. Surgical Menopause and Bilateral Oophorectomy: Effect of Estrogen-Progesterone and Testosterone Replacement Therapy on Psychological Well-being and Sexual Functioning: A Systematic Literature Review. J Sex Med 2022;19:1778-1789.</t>
  </si>
  <si>
    <t>Whole-genome sequencing reveals the genetic mechanisms of domestication in classical inbred mice.</t>
  </si>
  <si>
    <t>Liu, Ming; Yu, Caixia; Zhang, Zhichao; Song, Mingjing; Sun, Xiuping; Piálek, Jaroslav; Jacob, Jens; Lu, Jiqi; Cong, Lin; Zhang, Hongmao; Wang, Yong; Li, Guoliang; Feng, Zhiyong; Du, Zhenglin; Wang, Meng; Wan, Xinru; Wang, Dawei; Wang, Yan-Ling; Li, Hongjun; Wang, Zuoxin; Zhang, Bing; Zhang, Zhibin</t>
  </si>
  <si>
    <t>https://pubmed.ncbi.nlm.nih.gov/36163035</t>
  </si>
  <si>
    <t>The laboratory mouse was domesticated from the wild house mouse. Understanding the genetics underlying domestication in laboratory mice, especially in the widely used classical inbred mice, is vital for studies using mouse models. However, the genetic mechanism of laboratory mouse domestication remains unknown due to lack of adequate genomic sequences of wild mice. We analyze the genetic relationships by whole-genome resequencing of 36 wild mice and 36 inbred strains. All classical inbred mice cluster together distinctly from wild and wild-derived inbred mice. Using nucleotide diversity analysis, Fst, and XP-CLR, we identify 339 positively selected genes that are closely associated with nervous system function. Approximately one third of these positively selected genes are highly expressed in brain tissues, and genetic mouse models of 125 genes in the positively selected genes exhibit abnormal behavioral or nervous system phenotypes. These positively selected genes show a higher ratio of differential expression between wild and classical inbred mice compared with all genes, especially in the hippocampus and frontal lobe. Using a mutant mouse model, we find that the SNP rs27900929 (T&gt;C) in gene Astn2 significantly reduces the tameness of mice and modifies the ratio of the two Astn2 (a/b) isoforms. Our study indicates that classical inbred mice experienced high selection pressure during domestication under laboratory conditions. The analysis shows the positively selected genes are closely associated with behavior and the nervous system in mice. Tameness may be related to the Astn2 mutation and regulated by the ratio of the two Astn2 (a/b) isoforms.</t>
  </si>
  <si>
    <t>Are cardiovascular health measures heritable across three generations of families in Soweto, South Africa? A cross-sectional analysis using the random family method.</t>
  </si>
  <si>
    <t>Ware, Lisa J; Maposa, Innocent; Kolkenbeck-Ruh, Andrea; Norris, Shane A; Soepnel, Larske; Crouch, Simone; Kagura, Juliana; Naidoo, Sanushka; Smith, Wayne; Davies, Justine</t>
  </si>
  <si>
    <t>https://pubmed.ncbi.nlm.nih.gov/36153021</t>
  </si>
  <si>
    <t>Cardiovascular disease is increasing in many low and middle-income countries, including those in Africa. To inform strategies for the prevention of cardiovascular disease in South Africa, we sought to determine the broad heritability of phenotypic markers of cardiovascular risk across three generations. A cross-sectional study conducted in a longitudinal family cohort. Research unit within a tertiary hospital in a historically disadvantaged, large urban township of South Africa. 195 individuals from 65 biological families with all three generations including third-generation children aged 4-10 years were recruited from the longest running intergenerational cohort study in Africa, the Birth to Twenty Plus cohort. All adults (grandparents and parents) were female while children were male or female. The primary outcome was heritability of blood pressure (BP; brachial and central pressures). Secondary outcomes were heritability of arterial stiffness (pulse wave velocity), carotid intima media thickness (cIMT) and left ventricular mass indexed to body surface area (LVMI). While no significant intergenerational relationships of BP or arterial stiffness were found, there were significant relationships in LVMI across all three generations (p&lt;0.04), and in cIMT between grandparents and parents (p=0.0166). Heritability, the proportion of phenotypic trait variation attributable to genetics, was estimated from three common statistical methods and ranged from 23% to 44% for cIMT and from 21% to 39% for LVMI. Structural indicators of vascular health, which are strong markers of future clinical cardiovascular outcomes, transmit between generations within African families. Identification of these markers in parents may be useful to trigger assessments of preventable risk factors for cardiovascular disease in offspring.</t>
  </si>
  <si>
    <t>Cost-effectiveness of adding oseltamivir to primary care for influenza-like-illness: economic evaluation alongside the randomised controlled ALIC&lt;sup&gt;4&lt;/sup&gt;E trial in 15 European countries.</t>
  </si>
  <si>
    <t>Li, Xiao; Bilcke, Joke; van der Velden, Alike W; Bruyndonckx, Robin; Coenen, Samuel; Bongard, Emily; de Paor, Muirrean; Chlabicz, Slawomir; Godycki-Cwirko, Maciek; Francis, Nick; Aabenhus, Rune; Bucher, Heiner C; Colliers, Annelies; De Sutter, An; Garcia-Sangenis, Ana; Glinz, Dominik; Harbin, Nicolay J; Kosiek, Katarzyna; Lindbæk, Morten; Lionis, Christos; Llor, Carl; Mikó-Pauer, Réka; Radzeviciene Jurgute, Ruta; Seifert, Bohumil; Sundvall, Pär-Daniel; Touboul Lundgren, Pia; Tsakountakis, Nikolaos; Verheij, Theo J; Goossens, Herman; Butler, Christopher C; Beutels, Philippe; ,</t>
  </si>
  <si>
    <t>https://pubmed.ncbi.nlm.nih.gov/36131214</t>
  </si>
  <si>
    <t>Oseltamivir is usually not often prescribed (or reimbursed) for non-high-risk patients consulting for influenza-like-illness (ILI) in primary care in Europe. We aimed to evaluate the cost-effectiveness of adding oseltamivir to usual primary care in adults/adolescents (13 years +) and children with ILI during seasonal influenza epidemics, using data collected in an open-label, multi-season, randomised controlled trial of oseltamivir in 15 European countries. Direct and indirect cost estimates were based on patient reported resource use and official country-specific unit costs. Health-Related Quality of Life was assessed by EQ-5D questionnaires. Costs and quality adjusted life-years (QALY) were bootstrapped (N = 10,000) to estimate incremental cost-effectiveness ratios (ICER), from both the healthcare payers' and the societal perspectives, with uncertainty expressed through probabilistic sensitivity analysis and expected value for perfect information (EVPI) analysis. Additionally, scenario (self-reported spending), comorbidities subgroup and country-specific analyses were performed. The healthcare payers' expected ICERs of oseltamivir were €22,459 per QALY gained in adults/adolescents and €13,001 in children. From the societal perspective, oseltamivir was cost-saving in adults/adolescents, but the ICER is €8,344 in children. Large uncertainties were observed in subgroups with comorbidities, especially for children. The expected ICERs and extent of decision uncertainty varied between countries (EVPI ranged €1-€35 per patient). Adding oseltamivir to primary usual care in Europe is likely to be cost-effective for treating adults/adolescents and children with ILI from the healthcare payers' perspective (if willingness-to-pay per QALY gained &gt; €22,459) and cost-saving in adults/adolescents from a societal perspective.</t>
  </si>
  <si>
    <t>Comparison of New Bronchopulmonary Dysplasia Definitions on Long-Term Outcomes in Preterm Infants.</t>
  </si>
  <si>
    <t>Katz, Trixie A; van Kaam, Anton H; Schuit, Ewoud; Mugie, Suzanne M; Aarnoudse-Moens, Cornelieke S H; Weber, Elske H; de Groof, Femke; van Laerhoven, Henriette; Counsilman, Clare E; van der Schoor, Sophie R D; Rijpert, Maarten; Schiering, Irene A; Wilms, Janneke; Leemhuis, Aleid G; Onland, Wes</t>
  </si>
  <si>
    <t>https://pubmed.ncbi.nlm.nih.gov/36150504</t>
  </si>
  <si>
    <t>To compare the discriminative performances of the 2018 National Institutes of Health (NIH) and the 2019 Jensen definitions of bronchopulmonary dysplasia (BPD) with the 2001 NIH definition on adverse neurodevelopmental and respiratory outcomes at 2 years and 5 years corrected age. In this single-center retrospective cohort study, outcomes of infants born at &lt;30 weeks of gestational age were collected. The 3 definitions of BPD were compared by adding the different definitions to the National Institute of Child Health and Human Development's outcome prediction model for neurodevelopmental impairment (NDI) or death. Discriminative performance was compared for both outcomes at 2 years and 5 years corrected age by calculating the areas under the receiver operating characteristic curve and z-statistics. The presence of BPD and its severity were determined in 584 infants. There were considerable shifts in BPD grading among the different definitions. At both time points, all BPD definition models had comparable discriminating power for NDI and respiratory morbidity, with one exception. Compared with the 2001 NIH definition, the 2018 NIH definition had less predictive power for the neurologic outcome at 2 years corrected age. Our comparison of the 3 BPD definitions shows similar discriminative performance on long term neurodevelopmental and respiratory outcomes at 2 years and 5 years corrected age.</t>
  </si>
  <si>
    <t>Improving prediction of response to neoadjuvant treatment in patients with breast cancer by combining liquid biopsies with multiparametric MRI: protocol of the LIMA study - a multicentre prospective observational cohort study.</t>
  </si>
  <si>
    <t>Janssen, Liselore M; Suelmann, Britt B M; Elias, Sjoerd G; Janse, Markus H A; van Diest, Paul J; van der Wall, Elsken; Gilhuijs, Kenneth G A</t>
  </si>
  <si>
    <t>https://pubmed.ncbi.nlm.nih.gov/36127090</t>
  </si>
  <si>
    <t>The response to neoadjuvant chemotherapy (NAC) in breast cancer has important prognostic implications. Dynamic prediction of tumour regression by NAC may allow for adaption of the treatment plan before completion, or even before the start of treatment. Such predictions may help prevent overtreatment and related toxicity and correct for undertreatment with ineffective regimens. Current imaging methods are not able to fully predict the efficacy of NAC. To successfully improve response prediction, tumour biology and heterogeneity as well as treatment-induced changes have to be considered. In the LIMA study, multiparametric MRI will be combined with liquid biopsies. In addition to conventional clinical and pathological information, these methods may give complementary information at multiple time points during treatment. To combine multiparametric MRI and liquid biopsies in patients with breast cancer to predict residual cancer burden (RCB) after NAC, in adjunct to standard clinico-pathological information. Predictions will be made before the start of NAC, approximately halfway during treatment and after completion of NAC. In this multicentre prospective observational study we aim to enrol 100 patients. Multiparametric MRI will be performed prior to NAC, approximately halfway and after completion of NAC. Liquid biopsies will be obtained immediately prior to every cycle of chemotherapy and after completion of NAC. The primary endpoint is RCB in the surgical resection specimen following NAC. Collected data will primarily be analysed using multivariable techniques such as penalised regression techniques. Medical Research Ethics Committee Utrecht has approved this study (NL67308.041.19). Informed consent will be obtained from each participant. All data are anonymised before publication. The findings of this study will be submitted to international peer-reviewed journals. NCT04223492.</t>
  </si>
  <si>
    <t>Preeclampsia prediction with blood pressure measurements: A global external validation of the ALSPAC models.</t>
  </si>
  <si>
    <t>de Kat, Annelien C; Hirst, Jane E; Woodward, Mark; Barros, Fernando C; Barsosio, Hellen C; Berkley, James A; Carvalho, Maria; Cheikh Ismail, Leila; McGready, Rose; Norris, Shane A; Nosten, Francois; Ohuma, Eric; Tshivuila-Matala, Chrystelle O O; Stones, William; Staines Urias, Eleonora; Clara Restrepo-Mendez, Maria; Lambert, Ann; Munim, Shama; Winsey, Adele; Papageorghiou, Aris T; Bhutta, Zulfiqar A; Villar, Jose; Kennedy, Stephen H; Peters, Sanne A E</t>
  </si>
  <si>
    <t>https://pubmed.ncbi.nlm.nih.gov/36179538</t>
  </si>
  <si>
    <t>The prediction of preeclampsia in pregnancy has resulted in a plethora of prognostic models. Yet, very few make it past the development stage and most fail to influence clinical practice. The timely identification of high-risk pregnant women could deliver a tailored antenatal care regimen, particularly in low-resource settings. This study externally validated and calibrated previously published models that predicted the risk of preeclampsia, based on blood pressure (BP) at multiple time points in pregnancy, in a geographically diverse population. The prospective INTERBIO-21st Fetal Study included 3,391 singleton pregnancies from Brazil, Kenya, Pakistan, South Africa, Thailand and the UK, 2012-2018. Preeclampsia prediction was based on baseline characteristics, BP and deviation from the expected BP trajectory at multiple time points in pregnancy. The prediction rules from the Avon Longitudinal Study of Parents and Children (ALSPAC) were implemented in the INTERBIO-21st cohort. Model discrimination was similar to the development cohort. Performance was best with baseline characteristics and a BP measurement at 34 weeks' gestation (AUC 0.85, 95 % CI 0.80-0.90). The ALSPAC models largely overestimated the true risk of preeclampsia incidence in the INTERBIO-21st cohort. After recalibration, these prediction models could potentially serve as a risk stratifying tool to help identify women who might benefit from increased surveillance during pregnancy.</t>
  </si>
  <si>
    <t>MRI to assess response after neoadjuvant chemotherapy in breast cancer subtypes: a systematic review and meta-analysis.</t>
  </si>
  <si>
    <t>Janssen, L M; den Dekker, B M; Gilhuijs, K G A; van Diest, P J; van der Wall, E; Elias, S G</t>
  </si>
  <si>
    <t>https://pubmed.ncbi.nlm.nih.gov/36123365</t>
  </si>
  <si>
    <t>This meta-analysis aimed to estimate and compare sensitivity, specificity, positive- (PPV) and negative predictive value (NPV) of magnetic resonance imaging (MRI) for predicting pathological complete remission (pCR) after neoadjuvant chemotherapy (NAC) in patients with early-stage breast cancer. We stratified for molecular subtype by immunohistochemistry (IHC) and explored the impact of other factors. Two researchers systematically searched PUBMED and EMBASE to select relevant studies and extract data. For meta-analysis of sensitivity and specificity, we used bivariate random-effects models. Twenty-six included studies contained 4497 patients. There was a significant impact of IHC subtype on post-NAC MRI accuracy (p = 0.0082) for pCR. The pooled sensitivity was 0.67 [95% CI 0.58-0.74] for the HR-/HER2-, 0.65 [95% CI 0.56-0.73] for the HR-/HER2+, 0.55 [95% CI 0.45-0.64] for the HR+/HER2- and 0.60 [95% CI 0.50-0.70] for the HR+/HER2+ subtype. The pooled specificity was 0.85 [95% CI 0.81-0.88] for the HR-/HER2-, 0.81 [95% CI 0.74-0.86] for the HR-/HER2+, 0.88[95% CI 0.84-0.91] for the HR+/HER2- and 0.74 [95% CI 0.63-0.83] for the HR+/HER2+ subtype. The PPV was highest in the HR-/HER2- subtype and lowest in the HR+/HER2- subtype. MRI field strength of 3.0 T was associated with a higher sensitivity compared to 1.5 T (p = 0.00063). The accuracy of MRI for predicting pCR depends on molecular subtype, which should be taken into account in clinical practice. Higher MRI field strength positively impacts accuracy. When intervention trials based on MRI response evaluation are designed, the impact of IHC subtype and field strength on MR accuracy should be considered.</t>
  </si>
  <si>
    <t>Lupus anticoagulant associates with thrombosis in patients with COVID-19 admitted to intensive care units: A retrospective cohort study.</t>
  </si>
  <si>
    <t>Noordermeer, Tessa; Schutgens, Roger E G; Visser, Chantal; Rademaker, Emma; de Maat, Moniek P M; Jansen, A J Gerard; Limper, Maarten; Cremer, Olaf L; Kruip, Marieke J H A; Endeman, Henrik; Maas, Coen; de Laat, Bas; Urbanus, Rolf T; ,</t>
  </si>
  <si>
    <t>https://pubmed.ncbi.nlm.nih.gov/36178455</t>
  </si>
  <si>
    <t>Thrombosis is a frequent and severe complication in patients with coronavirus disease 2019 (COVID-19) admitted to the intensive care unit (ICU). Lupus anticoagulant (LA) is a strong acquired risk factor for thrombosis in various diseases and is frequently observed in patients with COVID-19. Whether LA is associated with thrombosis in patients with severe COVID-19 is currently unclear. To investigate if LA is associated with thrombosis in critically ill patients with COVID-19. The presence of LA and other antiphospholipid antibodies was assessed in patients with COVID-19 admitted to the ICU. LA was determined with dilute Russell's viper venom time (dRVVT) and LA-sensitive activated partial thromboplastin time (aPTT) reagents. Of 169 patients with COVID-19, 116 (69%) tested positive for at least one antiphospholipid antibody upon admission to the ICU. Forty (24%) patients tested positive for LA; of whom 29 (17%) tested positive with a dRVVT, 19 (11%) tested positive with an LA-sensitive aPTT, and 8 (5%) tested positive on both tests. Fifty-eight (34%) patients developed thrombosis after ICU admission. The odds ratio (OR) for thrombosis in patients with LA based on a dRVVT was 2.5 (95% confidence interval [CI], 1.1-5.7), which increased to 4.5 (95% CI, 1.4-14.3) in patients at or below the median age in this study (64 years). LA positivity based on a dRVVT or LA-sensitive aPTT was only associated with thrombosis in patients aged less than 65 years (OR, 3.8; 95% CI, 1.3-11.4) and disappeared after adjustment for C-reactive protein. Lupus anticoagulant on admission is strongly associated with thrombosis in critically ill patients with COVID-19, especially in patients aged less than 65 years.</t>
  </si>
  <si>
    <t>Engaging community members in setting priorities for nutrition interventions in rural northern Ghana.</t>
  </si>
  <si>
    <t>Dalaba, Maxwell Ayindenaba; Nonterah, Engelbert A; Chatio, Samuel T; Adoctor, James K; Dambayi, Edith; Nonterah, Esmond W; Azalia, Stephen; Ayi-Bisah, Doreen; Erzse, Agnes; Watson, Daniella; Hardy-Johnson, Polly; Kehoe, Sarah H; Tugendhaft, Aviva; Ward, Kate; Debpuur, Cornelius; Oduro, Abraham; Ofosu, Winfred; Danis, Marion; Barker, Mary; ,</t>
  </si>
  <si>
    <t>https://pubmed.ncbi.nlm.nih.gov/36962493</t>
  </si>
  <si>
    <t>This study used "Choosing All Together" (CHAT), a deliberative engagement tool to prioritise nutrition interventions and to understand reasons for intervention choices of a rural community in northern Ghana. The study took an exploratory cross-sectional design and used a mixed method approach to collect data between December 2020 and February 2021. Eleven nutrition interventions were identified through policy reviews, interaction with different stakeholders and focus group discussions with community members. These interventions were costed for a modified CHAT tool-a board-like game with interventions represented by colour coded pies and the cost of the interventions represented by sticker holes. Supported by trained facilitators, six community groups used the tool to prioritise interventions. Discussions were audio-recoded, transcribed and thematically analysed. The participants prioritised both nutrition-sensitive and nutrition-specific interventions, reflecting the extent of poverty in the study districts and the direct and immediate benefits derived from nutrition-specific interventions. The prioritised interventions involved livelihood empowerment, because they would create an enabling environment for all-year-round agricultural output, leading to improved food security and income for farmers. Another nutrition-sensitive, education-related priority intervention was male involvement in food and nutrition practices; as heads of household and main decision makers, men were believed to be in a position to optimise maternal and child nutrition. The prioritised nutrition-specific intervention was micronutrient supplementation. Despite low literacy, participants were able to use CHAT materials and work collectively to prioritize interventions. In conclusion, it is feasible to modify and use the CHAT tool in public deliberations to prioritize nutrition interventions in rural settings with low levels of literacy. These communities prioritised both nutrition-sensitive and nutrition-specific interventions. Attending to community derived nutrition priorities may improve the relevance and effectiveness of nutrition health policy, since these priorities reflect the context in which such policy is implemented.</t>
  </si>
  <si>
    <t>Developing, validating, updating and judging the impact of prognostic models for respiratory diseases.</t>
  </si>
  <si>
    <t>van Royen, Florien S; Moons, Karel G M; Geersing, Geert-Jan; van Smeden, Maarten</t>
  </si>
  <si>
    <t>the european respiratory journal</t>
  </si>
  <si>
    <t>https://pubmed.ncbi.nlm.nih.gov/35728976</t>
  </si>
  <si>
    <t>Cost-effectiveness and return-on-investment of C-reactive protein point-of-care testing in comparison with usual care to reduce antibiotic prescribing for lower respiratory tract infections in nursing homes: a cluster randomised trial.</t>
  </si>
  <si>
    <t>Boere, Tjarda M; El Alili, Mohamed; van Buul, Laura W; Hopstaken, Rogier M; Verheij, Theo J M; Hertogh, Cees M P M; van Tulder, Maurits W; Bosmans, Judith E</t>
  </si>
  <si>
    <t>https://pubmed.ncbi.nlm.nih.gov/36109036</t>
  </si>
  <si>
    <t>C-reactive protein point-of-care testing (CRP POCT) is a promising diagnostic tool to guide antibiotic prescribing for lower respiratory tract infections (LRTI) in nursing home residents. This study aimed to evaluate cost-effectiveness and return-on-investment (ROI) of CRP POCT compared with usual care for nursing home residents with suspected LRTI from a healthcare perspective. Economic evaluation alongside a cluster randomised, controlled trial. 11 Dutch nursing homes. 241 nursing home residents with a newly suspected LRTI. Nursing home access to CRP POCT (POCT-guided care) was compared with usual care without CRP POCT (usual care). The primary outcome measure for the cost-effectiveness analysis was antibiotic prescribing at initial consultation, and the secondary outcome was full recovery at 3 weeks. ROI analyses included intervention costs, and benefits related to antibiotic prescribing. Three ROI metrics were calculated: Net Benefits, Benefit-Cost-Ratio and Return-On-Investment. In POCT-guided care, total costs were on average €32 higher per patient, the proportion of avoided antibiotic prescribing was higher (0.47 vs 0.18; 0.30, 95% CI 0.17 to 0.42) and the proportion of fully recovered patients statistically non-significantly lower (0.86 vs 0.91; -0.05, 95% CI -0.14 to 0.05) compared with usual care. On average, an avoided antibiotic prescription was associated with an investment of €137 in POCT-guided care compared with usual care. Sensitivity analyses showed that results were relatively robust. Taking the ROI metrics together, the probability of financial return was 0.65. POCT-guided care effectively reduces antibiotic prescribing compared with usual care without significant effects on recovery rates, but requires an investment. Future studies should take into account potential beneficial effects of POCT-guided care on costs and health outcomes related to antibiotic resistance. NL5054.</t>
  </si>
  <si>
    <t>Prenatal exposure to trans fatty acids and head growth in fetal life and childhood: triangulating confounder-adjustment and instrumental variable approaches.</t>
  </si>
  <si>
    <t>Zou, Runyu; Labrecque, Jeremy A; Swanson, Sonja A; Steegers, Eric A P; White, Tonya; El Marroun, Hanan; Tiemeier, Henning</t>
  </si>
  <si>
    <t>https://pubmed.ncbi.nlm.nih.gov/36107361</t>
  </si>
  <si>
    <t>Dietary trans fatty acids (TFAs) are primarily industrially produced and remain abundant in processed food, particularly in low- and middle-income countries. Although TFAs are a cause of adverse cardiometabolic outcomes, little is known about exposure to TFAs in relation to brain development. We aimed to investigate the effect of maternal TFA concentration during pregnancy on offspring head growth in utero and during childhood. In a prospective population-based study in Rotterdam, the Netherlands, with 6900 mother-child dyads, maternal plasma TFA concentration was assessed using gas chromatography in mid-gestation. Offspring head circumference (HC) was measured in the second and third trimesters using ultrasonography; childhood brain morphology was assessed using magnetic resonance imaging at age 10 years. We performed regression analyses adjusting for sociodemographic and lifestyle confounders and instrumental variable (IV) analyses. Our IV analysis leveraged a national policy change that led to a substantial reduction in TFA and occurred mid-recruitment. After adjusting for covariates, maternal TFA concentration during pregnancy was inversely related to fetal HC in the third trimester (mean difference per 1% wt:wt increase: - 0.33, 95% CI - 0.51, - 0.15, cm) and to fetal HC growth from the second to the third trimester (- 0.04, 95% CI - 0.06, - 0.02, cm/week). Consistent findings were obtained with IV analyses, strengthening a causal interpretation. Association between prenatal TFA exposure and HC in the second trimester or global brain volume at age 10 years was inconclusive. Our findings are of important public health relevance as TFA levels in food remain high in many countries.</t>
  </si>
  <si>
    <t>Diagnostic accuracy of covid-19 rapid antigen tests with unsupervised self-sampling in people with symptoms in the omicron period: cross sectional study.</t>
  </si>
  <si>
    <t>Schuit, Ewoud; Venekamp, Roderick P; Hooft, Lotty; Veldhuijzen, Irene K; van den Bijllaardt, Wouter; Pas, Suzan D; Zwart, Vivian F; Lodder, Esther B; Hellwich, Marloes; Koppelman, Marco; Molenkamp, Richard; Wijers, Constantijn J H; Vroom, Irene H; Smeets, Leonard C; Nagel-Imming, Carla R S; Han, Wanda G H; van den Hof, Susan; Kluytmans, Jan A J W; van de Wijgert, Janneke H H M; Moons, Karel G M</t>
  </si>
  <si>
    <t>https://pubmed.ncbi.nlm.nih.gov/36104069</t>
  </si>
  <si>
    <t>To assess the performance of rapid antigen tests with unsupervised nasal and combined oropharyngeal and nasal self-sampling during the omicron period. Prospective cross sectional diagnostic test accuracy study. Three public health service covid-19 test sites in the Netherlands, 21 December 2021 to 10 February 2022. 6497 people with covid-19 symptoms aged ≥16 years presenting for testing. Participants had a swab sample taken for reverse transcription polymerase chain reaction (RT-PCR, reference test) and received one rapid antigen test to perform unsupervised using either nasal self-sampling (during the emergence of omicron, and when omicron accounted for &gt;90% of infections, phase 1) or with combined oropharyngeal and nasal self-sampling in a subsequent (phase 2; when omicron accounted for &gt;99% of infections). The evaluated tests were Flowflex (Acon Laboratories; phase 1 only), MPBio (MP Biomedicals), and Clinitest (Siemens-Healthineers). The main outcomes were sensitivity, specificity, and positive and negative predictive values of each self-test, with RT-PCR testing as the reference standard. During phase 1, 45.0% (n=279) of participants in the Flowflex group, 29.1% (n=239) in the MPBio group, and 35.4% ((n=257) in the Clinitest group were confirmatory testers (previously tested positive by a self-test at own initiative). Overall sensitivities with nasal self-sampling were 79.0% (95% confidence interval 74.7% to 82.8%) for Flowflex, 69.9% (65.1% to 74.4%) for MPBio, and 70.2% (65.6% to 74.5%) for Clinitest. Sensitivities were substantially higher in confirmatory testers (93.6%, 83.6%, and 85.7%, respectively) than in those who tested for other reasons (52.4%, 51.5%, and 49.5%, respectively). Sensitivities decreased from 87.0% to 80.9% (P=0.16 by χ&lt;sup&gt;2&lt;/sup&gt; test), 80.0% to 73.0% (P=0.60), and 83.1% to 70.3% (P=0.03), respectively, when transitioning from omicron accounting for 29% of infections to &gt;95% of infections. During phase 2, 53.0% (n=288) of participants in the MPBio group and 44.4% (n=290) in the Clinitest group were confirmatory testers. Overall sensitivities with combined oropharyngeal and nasal self-sampling were 83.0% (78.8% to 86.7%) for MPBio and 77.3% (72.9% to 81.2%) for Clinitest. When combined oropharyngeal and nasal self-sampling was compared with nasal self-sampling, sensitivities were found to be slightly higher in confirmatory testers (87.4% and 86.1%, respectively) and substantially higher in those testing for other reasons (69.3% and 59.9%, respectively). Sensitivities of three rapid antigen tests with nasal self-sampling decreased during the emergence of omicron but was only statistically significant for Clinitest. Sensitivities appeared to be substantially influenced by the proportion of confirmatory testers. Sensitivities of MPBio and Clinitest improved after the addition of oropharyngeal to nasal self-sampling. A positive self-test result justifies prompt self-isolation without the need for confirmatory testing. Individuals with a negative self-test result should adhere to general preventive measures because a false negative result cannot be ruled out. Manufacturers of MPBio and Clinitest may consider extending their instructions for use to include combined oropharyngeal and nasal self-sampling, and other manufacturers of rapid antigen tests should consider evaluating this as well.</t>
  </si>
  <si>
    <t>Advances in diagnostic tools for respiratory tract infections: from tuberculosis to COVID-19 - changing paradigms?</t>
  </si>
  <si>
    <t>Stojanovic, Zoran; Gonçalves-Carvalho, Filipe; Marín, Alicia; Abad Capa, Jorge; Domínguez, Jose; Latorre, Irene; Lacoma, Alicia; Prat-Aymerich, Cristina</t>
  </si>
  <si>
    <t>https://pubmed.ncbi.nlm.nih.gov/36101788</t>
  </si>
  <si>
    <t>Respiratory tract infections (RTIs) are one of the most common reasons for seeking healthcare, but are amongst the most challenging diseases in terms of clinical decision-making. Proper and timely diagnosis is critical in order to optimise management and prevent further emergence of antimicrobial resistance by misuse or overuse of antibiotics. Diagnostic tools for RTIs include those involving syndromic and aetiological diagnosis: from clinical and radiological features to laboratory methods targeting both pathogen detection and host biomarkers, as well as their combinations in terms of clinical algorithms. They also include tools for predicting severity and monitoring treatment response. Unprecedented milestones have been achieved in the context of the COVID-19 pandemic, involving the most recent applications of diagnostic technologies both at genotypic and phenotypic level, which have changed paradigms in infectious respiratory diseases in terms of why, how and where diagnostics are performed. The aim of this review is to discuss advances in diagnostic tools that impact clinical decision-making, surveillance and follow-up of RTIs and tuberculosis. If properly harnessed, recent advances in diagnostic technologies, including omics and digital transformation, emerge as an unprecedented opportunity to tackle ongoing and future epidemics while handling antimicrobial resistance from a One Health perspective.</t>
  </si>
  <si>
    <t>Carotid Artery Stenosis and Progression of Hemispheric Brain Atrophy: The SMART-MR Study.</t>
  </si>
  <si>
    <t>Ghaznawi, Rashid; Rissanen, Ina; de Bresser, Jeroen; Kuijf, Hugo J; Zuithoff, Nicolaas P A; Hendrikse, Jeroen; Geerlings, Mirjam I; ,</t>
  </si>
  <si>
    <t>cerebrovascular diseases basel switzerland</t>
  </si>
  <si>
    <t>https://pubmed.ncbi.nlm.nih.gov/36096114</t>
  </si>
  <si>
    <t>It has been hypothesized that carotid artery stenosis (CAS) may lead to greater atrophy of subserved brain regions; however, prospective studies on the impact of CAS on progression of hemispheric brain atrophy are lacking. We examined the association between CAS and progression of hemispheric brain atrophy. We included 654 patients (57 ± 9 years) of the SMART-MR study, a prospective cohort study of patients with manifest arterial disease. Patients had baseline CAS duplex measurements and a 1.5T brain MRI at baseline and after 4 years of follow-up. Mean change in hemispheric brain volumes (% of intracranial volume [ICV]) was estimated between baseline and follow-up for left-sided and right-sided CAS across three degrees of stenosis (mild [≤29%], moderate [30-69%], and severe [≥70%]), adjusting for demographics, cerebrovascular risk factors, and brain infarcts. Mean decrease in left and right hemispheric brain volumes was 1.15% ICV and 0.82% ICV, respectively, over 4 years of follow-up. Severe right-sided CAS, compared to mild CAS, was associated with a greater decrease in volume of the left hemisphere (B = -0.49% ICV, 95% CI: -0.86 to -0.13) and more profoundly of the right hemisphere (B = -0.90% ICV, 95% CI: -1.27 to -0.54). This pattern was independent of cerebrovascular risk factors, brain infarcts, and white matter hyperintensities on MRI, and was also observed when accounting for the presence of severe bilateral CAS. Increasing degrees of left-sided CAS, however, was not associated with greater volume loss of the left or right hemisphere. Our data indicate that severe (≥70%) CAS could represent a risk factor for greater ipsilateral brain volume loss, independent of cerebrovascular risk factors, brain infarcts, or white matter hyperintensities on MRI. Further longitudinal studies in other cohorts are warranted to confirm this novel finding.</t>
  </si>
  <si>
    <t>Exploring nurse-sensitive patient outcomes in Dutch district nursing care: A survey study.</t>
  </si>
  <si>
    <t>Veldhuizen, Jessica D; Schuurmans, Marieke J; Mikkers, Misja C; Bleijenberg, Nienke</t>
  </si>
  <si>
    <t>health social care in the community</t>
  </si>
  <si>
    <t>https://pubmed.ncbi.nlm.nih.gov/36089814</t>
  </si>
  <si>
    <t>There is a lack of evidence to guide district nurses in using nurse-sensitive patient outcomes as it is unclear how these outcomes are currently used in daily district nursing practice. Therefore, we aimed to explore (1) which nurse-sensitive patient outcomes are measured and how these outcomes are measured, (2) how district nurses use the outcomes to learn from and improve current practice and (3) the barriers and facilitators to using outcomes in current district nursing practice. An exploratory cross-sectional survey study was conducted. The survey was distributed online among nurses working for various district nursing care organisations across the Netherlands. The responses from 132 nurses were analysed, demonstrating that different instruments or questionnaires are available and used in district nursing care as outcome measures. The nurse-sensitive patient outcomes most often measured with validated instruments are pain using the Numeric Rating Scale or Visual Analogue Scale, delirium using the Delirium Observation Scale, weight loss using the Short Nutritional Assessment Questionnaire and caregiver burden using the Caregiver Strain Index or a Dutch equivalent. Falls and client satisfaction with delivered care are most often measured using unvalidated outcome measures. The other nurse-sensitive outcomes are measured in different ways. Outcomes are measured, reported and fed back to the nursing team multiple times and in various ways to learn from and improve current practice. In general, nurses have a positive attitude towards using nurse-sensitive outcomes in practice, but there is a lack of facilitation to support them. Because insight into how nurses can and should be supported is still lacking, exploring their needs in further research is desirable. Additionally, due to the high variation in the utilisation of outcomes in current practice, it is recommended to create more uniformity by developing (inter)national guidelines on using nurse-sensitive patient outcomes in district nursing care.</t>
  </si>
  <si>
    <t>Imaging to predict checkpoint inhibitor outcomes in cancer. A systematic review.</t>
  </si>
  <si>
    <t>Ter Maat, Laurens S; van Duin, Isabella A J; Elias, Sjoerd G; van Diest, Paul J; Pluim, Josien P W; Verhoeff, Joost J C; de Jong, Pim A; Leiner, Tim; Veta, Mitko; Suijkerbuijk, Karijn P M</t>
  </si>
  <si>
    <t>https://pubmed.ncbi.nlm.nih.gov/36096039</t>
  </si>
  <si>
    <t>Checkpoint inhibition has radically improved the perspective for patients with metastatic cancer, but predicting who will not respond with high certainty remains difficult. Imaging-derived biomarkers may be able to provide additional insights into the heterogeneity in tumour response between patients. In this systematic review, we aimed to summarise and qualitatively assess the current evidence on imaging biomarkers that predict response and survival in patients treated with checkpoint inhibitors in all cancer types. PubMed and Embase were searched from database inception to 29th November 2021. Articles eligible for inclusion described baseline imaging predictive factors, radiomics and/or imaging machine learning models for predicting response and survival in patients with any kind of malignancy treated with checkpoint inhibitors. Risk of bias was assessed using the QUIPS and PROBAST tools and data was extracted. In total, 119 studies including 15,580 patients were selected. Of these studies, 73 investigated simple imaging factors. 45 studies investigated radiomic features or deep learning models. Predictors of worse survival were (i) higher tumour burden, (ii) presence of liver metastases, (iii) less subcutaneous adipose tissue, (iv) less dense muscle and (v) presence of symptomatic brain metastases. Hazard rate ratios did not exceed 2.00 for any predictor in the larger and higher quality studies. The added value of baseline fluorodeoxyglucose positron emission tomography parameters in predicting response to treatment was limited. Pilot studies of radioactive drug tracer imaging showed promising results. Reports on radiomics were almost unanimously positive, but numerous methodological concerns exist. There is well-supported evidence for several imaging biomarkers that can be used in clinical decision making. Further research, however, is needed into biomarkers that can more accurately identify which patients who will not benefit from checkpoint inhibition. Radiomics and radioactive drug labelling appear to be promising approaches for this purpose.</t>
  </si>
  <si>
    <t>Beyond transformational leadership in nursing: A qualitative study on rebel nurse leadership-as-practice.</t>
  </si>
  <si>
    <t>Kok, Eline de; Weggelaar, Anne M; Reede, Corijna; Schoonhoven, Lisette; Lalleman, Pieterbas</t>
  </si>
  <si>
    <t>https://pubmed.ncbi.nlm.nih.gov/36083824</t>
  </si>
  <si>
    <t>Most nurse leadership studies have concentrated on a classical, heroic, and hierarchical view of leadership. However, critical leadership studies have argued the need for more insight into leadership in daily nursing practices. Nurses must align their professional standards and opinions on quality of care with those of other professionals, management, and patients. They want to achieve better outcomes for their patients but also feel disciplined and controlled. To deal with this, nurses challenge the status quo by showing rebel nurse leadership. In this paper, we describe 47 nurses' experiences with rebel nurse leadership from a leadership-as-practice perspective. In eight focus groups, nurses from two hospitals and one long-term care organization shared their experiences of rebel nurse leadership practices. They illustrated the differences between "bad" and "good" rebels. Knowledge, work experience, and patient-driven motivation were considered necessary for "good" rebel leadership. The participants also explained that continuous social influencing is important while exploring and challenging the boundaries set by colleagues and management. Credibility, trust, autonomy, freedom, and preserving relationships determined whether rebel nurses acted visibly or invisibly. Ultimately, this study refines the concept of rebel nurse leadership, gives a better understanding of how this occurs in nursing practice, and give insights into the challenges faced when studying nursing leadership practices.</t>
  </si>
  <si>
    <t>Obesity, hypertension, and tobacco use associated with left ventricular remodeling and hypertrophy in South African women: Birth to Twenty Plus Cohort.</t>
  </si>
  <si>
    <t>Kolkenbeck-Ruh, Andrea; Soepnel, Larske M; Crouch, Simone H; Naidoo, Sanushka; Smith, Wayne; Norris, Shane A; Davies, Justine; Ware, Lisa J</t>
  </si>
  <si>
    <t>bmc cardiovascular disorders</t>
  </si>
  <si>
    <t>https://pubmed.ncbi.nlm.nih.gov/36085014</t>
  </si>
  <si>
    <t>Left ventricular hypertrophy (LVH) is a marker of increased risk in developing future life-threatening cardiovascular disease (CVD), however, it is unclear how CVD risk factors, such as obesity, blood pressure (BP), and tobacco use, are associated with left ventricular (LV) remodeling and LVH in urban African populations. Therefore, we aimed to identify the prevalence of LVH as well as the health factors associated with LV remodeling and LVH, within black South African adult women and their pre-pubescent children. Black female adults (n = 123; age: 29-68 years) and their children (n = 64; age: 4-10; 55% female) were recruited from the Birth to Twenty Plus Cohort in Soweto, South Africa. Tobacco and alcohol use, physical activity, presence of diabetes mellitus, heart disease, and medication were self-reported. Height, weight, and blood pressure were measured in triplicate to determine the prevalence of obesity and hypertension respectively. Echocardiography was used to assess LV mass at end-diastole, based on linear measurements, and indexed to body surface area to determine LVH. Hypertension and obesity prevalences were 35.8% and 59.3% for adults and 45.3% and 6.3% for children. Self-reported tobacco use in adults was 22.8%. LVH prevalence was 35.8% in adults (75% eccentric: 25% concentric), and 6.3% in children. Concentric remodeling was observed in 15.4% of adults, however, concentric remodeling was only found in one child. In adults, obesity [OR: 2.54 (1.07-6.02; p = 0.02)] and hypertension [3.39 (1.08-10.62; p = 0.04)] significantly increased the odds of LVH, specifically eccentric LVH, while concentric LVH was associated with self-reported tobacco use [OR: 4.58 (1.18-17.73; p = 0.03)]. Although no logistic regression was run within children, of the four children LVH, three had elevated blood pressure and the child with normal blood pressure was overweight. The association between obesity, hypertension, tobacco use, and LVH in adults, and the 6% prevalence of LVH in children, calls for stronger public health efforts to control risk factors and monitor children who are at risk.</t>
  </si>
  <si>
    <t>Healthy lifestyle over the life course: Population trends and individual changes over 30 years of the Doetinchem Cohort Study.</t>
  </si>
  <si>
    <t>Schermer, Edith E; Engelfriet, Peter M; Blokstra, Anneke; Verschuren, W M Monique; Picavet, H Susan J</t>
  </si>
  <si>
    <t>https://pubmed.ncbi.nlm.nih.gov/36159268</t>
  </si>
  <si>
    <t>For five health-related lifestyle factors (physical activity, weight, smoking, sleep, and alcohol consumption) we describe both population trends and individual changes over a period of 30 years in the same adult population. Dichotomous indicators (healthy/unhealthy) of lifestyle were analyzed for 3,139 participants measured every 5 years in the Doetinchem Cohort Study (1987-2017). Population trends over 30 years in physical inactivity and "unhealthy" alcohol consumption were flat (i.e., stable); overweight and unhealthy sleep prevalence increased; smoking prevalence decreased. The proportion of the population being healthy on all five lifestyle factors declined from 17% in the round 1 to 10.8% in round 6. Underlying these trends a dynamic pattern of changes at the individual level was seen: sleep duration and physical activity level changed in almost half of the individuals; Body Mass Index (BMI) and alcohol consumption in one-third; smoking in one-fourth. Population trends don't give insight into change at the individual level. In order to be able to gauge the potential for change of health-related lifestyle, it is important to take changes at the individual level into account.</t>
  </si>
  <si>
    <t>The course of pain and dysphagia after radiofrequency ablation for Barrett's esophagus-related neoplasia.</t>
  </si>
  <si>
    <t>Overwater, Anouk; Elias, Sjoerd G; Schoon, Erik J; Bergman, Jacques J G H M; Pouw, Roos E; Weusten, Bas L A M</t>
  </si>
  <si>
    <t>https://pubmed.ncbi.nlm.nih.gov/36070753</t>
  </si>
  <si>
    <t>Radiofrequency ablation (RFA) is effective for eradication of Barrett's esophagus (BE) neoplasia, but little is known on the course of pain and dysphagia after RFA. We aimed to describe the course of post-RFA symptoms and to identify possible associated risk factors.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RFA treatment for BE-related neoplasia seems a significant burden for patients, and post-procedural symptoms should be taken into account when counseling patients before starting endoscopic eradication therapy.</t>
  </si>
  <si>
    <t>Inflammation and heart failure: a two-sample Mendelian randomization study.</t>
  </si>
  <si>
    <t>Remmelzwaal, Sharon; van Oort, Sabine; Handoko, M Louis; van Empel, Vanessa; Heymans, Stephane R B; Beulens, Joline W J</t>
  </si>
  <si>
    <t>journal of cardiovascular medicine hagerstown md</t>
  </si>
  <si>
    <t>https://pubmed.ncbi.nlm.nih.gov/36166332</t>
  </si>
  <si>
    <t>It is hypothesized that inflammation leads to heart failure. Results from observational studies thus far have been inconsistent and it is unclear whether inflammation is causally associated with new-onset heart failure. Mendelian randomization analyses are less prone to biases common in observational studies such as reverse causation and unmeasured confounding. The aim of this study was to investigate the causal relation between various inflammatory biomarkers with risk of new-onset heart failure by using a two-sample Mendelian randomization approach. Ten inflammatory biomarkers with available genome-wide association studies (GWAS) among individuals of European ancestry were identified and included C-reactive protein (CRP), immunoglobulin E, tumour necrosis factor (TNF), toll-like receptor 4, interleukin 1 receptor antagonist, interleukin 2 receptor subunit α, interleukin 6 receptor subunit α, interleukin 16, 17 and 18. For the associations between the identified SNPs and heart failure, we used the largest GWAS meta-analysis performed by the Heart Failure Molecular Epidemiology for Therapeutic Targets Consortium with 47 309 participants with heart failure and 930 014 controls. For our main analyses, we used the inverse-variance weighted method. We included 63 SNPs. CRP, TNF, interleukin 2, 16 and 18 were not associated with heart failure with odds ratios (ORs) of 1.01 [95% confidence interval (95% CI: 0.94-1.09), 1.11 (95% CI: 0.80-1.48), 0.97 (95% CI: 0.93-1.02), 0.99 (95% CI: 0.96-1.03) and 1.01 (95% CI: 0.97-1.06), respectively. The other biomarkers were also not associated with the risk of heart failure and suffered from weak instrument bias. This Mendelian randomization study could not determine a causal relationship between inflammation and risk of heart failure. However, some biomarkers suffered from weak instrument bias.</t>
  </si>
  <si>
    <t>Patients' and Publics' Preferences for Data-Intensive Health Research Governance: Survey Study.</t>
  </si>
  <si>
    <t>Muller, Sam H A; van Thiel, Ghislaine J M W; Vrana, Marilena; Mostert, Menno; van Delden, Johannes J M</t>
  </si>
  <si>
    <t>jmir human factors</t>
  </si>
  <si>
    <t>https://pubmed.ncbi.nlm.nih.gov/36069794</t>
  </si>
  <si>
    <t>Patients and publics are generally positive about data-intensive health research. However, conditions need to be fulfilled for their support. Ensuring confidentiality, security, and privacy of patients' health data is pivotal. Patients and publics have concerns about secondary use of data by commercial parties and the risk of data misuse, reasons for which they favor personal control of their data. Yet, the potential of public benefit highlights the potential of building trust to attenuate these perceptions of harm and risk. Nevertheless, empirical evidence on how conditions for support of data-intensive health research can be operationalized to that end remains scant. This study aims to inform efforts to design governance frameworks for data-intensive health research, by gaining insight into the preferences of patients and publics for governance policies and measures. We distributed a digital questionnaire among a purposive sample of patients and publics. Data were analyzed using descriptive statistics and nonparametric inferential statistics to compare group differences and explore associations between policy preferences. Study participants (N=987) strongly favored sharing their health data for scientific health research. Personal decision-making about which research projects health data are shared with (346/980, 35.3%), which researchers/organizations can have access (380/978, 38.9%), and the provision of information (458/981, 46.7%) were found highly important. Health data-sharing policies strengthening direct personal control, like being able to decide under which conditions health data are shared (538/969, 55.5%), were found highly important. Policies strengthening collective governance, like reliability checks (805/967, 83.2%) and security safeguards (787/976, 80.6%), were also found highly important. Further analysis revealed that participants willing to share health data, to a lesser extent, demanded policies strengthening direct personal control than participants who were reluctant to share health data. This was the case for the option to have health data deleted at any time (P&lt;.001) and the ability to decide the conditions under which health data can be shared (P&lt;.001). Overall, policies and measures enforcing conditions for support at the collective level of governance, like having an independent committee to evaluate requests for access to health data (P=.02), were most strongly favored. This also applied to participants who explicitly stressed that it was important to be able to decide the conditions under which health data can be shared, for instance, whether sanctions on data misuse are in place (P=.03). This study revealed that both a positive attitude toward health data sharing and demand for personal decision-making abilities were associated with policies and measures strengthening control at the collective level of governance. We recommend pursuing the development of this type of governance policy. More importantly, further study is required to understand how governance policies and measures can contribute to the trustworthiness of data-intensive health research.</t>
  </si>
  <si>
    <t>Physical activity attenuates but does not eliminate coronary heart disease risk amongst adults with risk factors: EPIC-CVD case-cohort study.</t>
  </si>
  <si>
    <t>Fortuin-de Smidt, Melony C; Sewe, Maquins Odhiambo; Lassale, Camille; Weiderpass, Elisabete; Andersson, Jonas; Huerta, José María; Ekelund, Ulf; Aleksandrova, Krasimira; Tong, Tammy Yn; Dahm, Christina C; Tjønneland, Anne; Kyrø, Cecilie; Steindorf, Karen; Schulze, Matthias B; Katzke, Verena; Sacerdote, Carlotta; Agnoli, Claudia; Masala, Giovanna; Tumino, Rosario; Panico, Salvatore; Boer, Jolanda Ma; Onland-Moret, N Charlotte; Wendel-Vos, Gc Wanda; van der Schouw, Yvonne T; Borch, Kristin Benjaminsen; Agudo, Antonio; Petrova, Dafina; Chirlaque, María Dolores; Conchi, Moreno Iribas; Amiano, Pilar; Melander, Olle; Heath, Alicia K; Aune, Dagfinn; Forouhi, Nita G; Langenberg, Claudia; Brage, Soren; Riboli, Elio; Wareham, Nicholas J; Danesh, John; Butterworth, Adam S; Wennberg, Patrik</t>
  </si>
  <si>
    <t>https://pubmed.ncbi.nlm.nih.gov/35403197</t>
  </si>
  <si>
    <t>This study aimed to evaluate the association between physical activity and the incidence of coronary heart disease (CHD) in individuals with and without CHD risk factors. EPIC-CVD is a case-cohort study of 29 333 participants that included 13 582 incident CHD cases and a randomly selected sub-cohort nested within the European Prospective Investigation into Cancer and Nutrition (EPIC) cohort. Self-reported physical activity was summarized using the Cambridge physical activity index (inactive, moderately inactive, moderately active, and active). Participants were categorized into sub-groups based on the presence or the absence of the following risk factors: obesity (body mass index ≥30 kg/m2), hypercholesterolaemia (total cholesterol ≥6.2 mmol/L), history of diabetes, hypertension (self-reported or ≥140/90 mmHg), and current smoking. Prentice-weighted Cox regression was used to assess the association between physical activity and incident CHD events (non-fatal and fatal).Compared to inactive participants without the respective CHD risk factor (referent), excess CHD risk was highest in physically inactive and lowest in moderately active participants with CHD risk factors. Corresponding excess CHD risk estimates amongst those with obesity were 47% [95% confidence interval (CI) 32-64%] and 21% (95%CI 2-44%), with hypercholesterolaemia were 80% (95%CI 55-108%) and 48% (95%CI 22-81%), with hypertension were 80% (95%CI 65-96%) and 49% (95%CI 28-74%), with diabetes were 142% (95%CI 63-260%), and 100% (95%CI 32-204%), and amongst smokers were 152% (95%CI 122-186%) and 109% (95%CI 74-150%). In people with CHD risk factors, moderate physical activity, equivalent to 40 mins of walking per day, attenuates but does not completely offset CHD risk.</t>
  </si>
  <si>
    <t>Consensus molecular subtype 4 (CMS4)-targeted therapy in primary colon cancer: A proof-of-concept study.</t>
  </si>
  <si>
    <t>Peters, Niek A; Constantinides, Alexander; Ubink, Inge; van Kuik, Joyce; Bloemendal, Haiko J; van Dodewaard, Joyce M; Brink, Menno A; Schwartz, Thijs P; Lolkema, Martijn P J K; Lacle, Miangela M; Moons, Leon M; Geesing, Joost; van Grevenstein, Wilhelmina M U; Roodhart, Jeanine M L; Koopman, Miriam; Elias, Sjoerd G; Borel Rinkes, Inne H M; Kranenburg, Onno</t>
  </si>
  <si>
    <t>frontiers in oncology</t>
  </si>
  <si>
    <t>https://pubmed.ncbi.nlm.nih.gov/36147916</t>
  </si>
  <si>
    <t>Mesenchymal Consensus Molecular Subtype 4 (CMS4) colon cancer is associated with poor prognosis and therapy resistance. In this proof-of-concept study, we assessed whether a rationally chosen drug could mitigate the distinguishing molecular features of primary CMS4 colon cancer. In the ImPACCT trial, informed consent was obtained for molecular subtyping at initial diagnosis of colon cancer using a validated RT-qPCR CMS4-test on three biopsies per tumor (Phase-1, n=69 patients), and for neoadjuvant CMS4-targeting therapy with imatinib (Phase-2, n=5). Pre- and post-treatment tumor biopsies were analyzed by RNA-sequencing and immunohistochemistry. Imatinib-induced gene expression changes were associated with molecular subtypes and survival in an independent cohort of 3232 primary colon cancer. The CMS4-test classified 52/172 biopsies as CMS4 (30%). Five patients consented to imatinib treatment prior to surgery, yielding 15 pre- and 15 post-treatment samples for molecular analysis. Imatinib treatment caused significant suppression of mesenchymal genes and upregulation of genes encoding epithelial junctions. The gene expression changes induced by imatinib were associated with improved survival and a shift from CMS4 to CMS2. Imatinib may have value as a CMS-switching drug in primary colon cancer and induces a gene expression program that is associated with improved survival.</t>
  </si>
  <si>
    <t>A protocol for monitoring fidelity of a preconception-life course intervention in a middle-income setting: the Healthy Life Trajectories Initiative (HeLTI), South Africa.</t>
  </si>
  <si>
    <t>Soepnel, Larske M; Draper, Catherine E; Mabetha, Khuthala; Dennis, Cindy-Lee; Prioreschi, Alessandra; Lye, Stephen; Norris, Shane A</t>
  </si>
  <si>
    <t>https://pubmed.ncbi.nlm.nih.gov/36068565</t>
  </si>
  <si>
    <t>Despite the importance of intervention fidelity in interpreting the outcomes of complex public health interventions, there is a lack of both reporting fidelity trial protocols and uniformity. In evaluating complex, adaptable/pragmatic interventions in resource-strapped settings with systemic issues, unique challenges to intervention adherence and monitoring are introduced, increasing the importance of a fidelity protocol. We aim to describe the intervention fidelity and monitoring protocol for the Healthy Life Trajectories Initiative (HeLTI) South Africa, a complex four-phase intervention set in urban Soweto, starting preconceptionally and continuing through to pregnancy, infancy, and early childhood to improve the health of young women and reduce the intergenerational risk of obesity. The HeLTI SA fidelity protocol was based on the NIH Behaviour Change Consortium (NIH BCC) Treatment Fidelity Framework, outlining the following components of intervention fidelity: study design, provider training, intervention delivery, intervention receipt, and intervention enactment. Context-specific fidelity challenges were identified. The intervention fidelity components and associated monitoring strategies were developed to align with HeLTI SA. Strategies for fidelity monitoring include, amongst others, qualitative process evaluation methods, reviewing observed and recorded intervention sessions, monitoring of activity logs, standardized training, and intervention session checklists. Possible challenges to fidelity and fidelity monitoring include high provider turnover, lack of qualification amongst providers, difficulty tracing participants for follow-up sessions, participant health literacy levels, and the need to prioritize participants' non-health-related challenges. Solutions proposed include adapting intervention delivery methods, recruitment methods, and provider training methods. The NIH BCC Treatment Fidelity Framework provided a solid foundation for reporting intervention fidelity across settings to improve intervention validity, ability to assess intervention effectiveness, and transparency. However, context-specific challenges to fidelity (monitoring) were identified, and transparency around such challenges and possible solutions in low- and middle-income settings could help foster solutions to improve adherence, reporting, and monitoring of intervention fidelity in this setting. Pan African Clinical Trials Registry PACTR201903750173871 . Registered on 27 March 2019.</t>
  </si>
  <si>
    <t>Reduced Antibody Acquisition with Increasing Age following Vaccination with BNT162b2: Results from Two Longitudinal Cohort Studies in The Netherlands.</t>
  </si>
  <si>
    <t>van den Hoogen, Lotus Leonie; Boer, Mardi; Postema, Abigail; de Rond, Lia; de Zeeuw-Brouwer, Mary-Lène; Pronk, Inge; Wijmenga-Monsuur, Alienke Jentien; Bijvank, Elske; Kruiper, Caitlyn; Beckers, Lisa; Maurik, Marjan Bogaard-van; Zutt, Ilse; van Vliet, Jeffrey; van Bergen, Rianne; Kuijer, Marjan; Smits, Gaby; Verschuren, W M Monique; Picavet, H Susan J; van der Klis, Fiona Regina Maria; den Hartog, Gerco; van Binnendijk, Robert Samuel; Buisman, Anne-Marie</t>
  </si>
  <si>
    <t>https://pubmed.ncbi.nlm.nih.gov/36146557</t>
  </si>
  <si>
    <t>Vaccine-induced protection against severe COVID-19, hospitalization, and death is of the utmost importance, especially in the elderly. However, limited data are available on humoral immune responses following COVID-19 vaccination in the general population across a broad age range. We performed an integrated analysis of the effect of age, sex, and prior SARS-CoV-2 infection on Spike S1-specific (S1) IgG concentrations up to three months post-BNT162b2 (Pfizer/BioNTech; Comirnaty) vaccination. In total, 1735 persons, eligible for COVID-19 vaccination through the national program, were recruited from the general population (12 to 92 years old). Sixty percent were female, and the median vaccination interval was 35 days (interquartile range, IQR: 35−35). All participants had seroconverted to S1 one month after two vaccine doses. S1 IgG was higher in participants with a history of SARS-CoV-2 infection (median: 4535 BAU/mL, IQR: 2341−7205) compared to infection-naive persons (1842 BAU/mL, 1019−3116), p &lt; 0.001. In infection-naive persons, linear mixed effects regression showed a strong negative association between age and S1 IgG (p &lt; 0.001) across the entire age range. Females had higher S1 IgG than males (p &lt; 0.001). In persons with an infection history, age nor sex was associated with S1 IgG concentrations. The lower magnitude of S1 antibodies in older persons following COVID-19 vaccination will affect long-term protection.</t>
  </si>
  <si>
    <t>PREvalence Study on Surgical COnditions (PRESSCO) 2020: A Population-Based Cross-Sectional Countrywide Survey on Surgical Conditions in Post-Ebola Outbreak Sierra Leone.</t>
  </si>
  <si>
    <t>van Kesteren, Jurre; van Duinen, Alex J; Marah, Foday; van Delft, Diede; Spector, Antoinette L; Cassidy, Laura D; Groen, Reinou S; Jabbi, Sonnia-Magba Bu-Buakei; Bah, Silleh; Medo, James A; Kamanda-Bongay, Abubakarr; van Leerdam, Daniel; Westendorp, Josien; Mathéron, Hanna M; Mönnink, Giulia L E; Vas Nunes, Jonathan; Lindenbergh, Karel C; Hoel, Sara K; Løvdal, Sofie M; Østensen, Mia N; Solberg, Helene; Boateng, Daniel; Klipstein-Grobusch, Kerstin; van Herwaarden, Daan; Martens, Janine P J; Bonjer, H Jaap; Sankoh, Osman; Grobusch, Martin P; Bolkan, Håkon A; ,</t>
  </si>
  <si>
    <t>world journal of surgery</t>
  </si>
  <si>
    <t>https://pubmed.ncbi.nlm.nih.gov/36068404</t>
  </si>
  <si>
    <t>Understanding the burden of diseases requiring surgical care at national levels is essential to advance universal health coverage. The PREvalence Study on Surgical COnditions (PRESSCO) 2020 is a cross-sectional household survey to estimate the prevalence of physical conditions needing surgical consultation, to investigate healthcare-seeking behavior, and to assess changes from before the West African Ebola epidemic. This study (ISRCTN: 12353489) was built upon the Surgeons Overseas Surgical Needs Assessment (SOSAS) tool, including expansions. Seventy-five enumeration areas from 9671 nationwide clusters were sampled proportional to population size. In each cluster, 25 households were randomly assigned and visited. Need for surgical consultations was based on verbal responses and physical examination of selected household members. A total of 3,618 individuals from 1,854 households were surveyed. Compared to 2012, the prevalence of individuals reporting one or more relevant physical conditions was reduced from 25 to 6.2% (95% CI 5.4-7.0%) of the population. One-in-five conditions rendered respondents unemployed, disabled, or stigmatized. Adult males were predominantly prone to untreated surgical conditions (9.7 vs. 5.9% women; p &amp;lt; 0.001). Financial constraints were the predominant reason for not seeking care. Among those seeking professional health care, 86.7% underwent surgery. PRESSCO 2020 is the first surgical needs household survey which compares against earlier study data. Despite the 2013-2016 Ebola outbreak, which profoundly disrupted the national healthcare system, a substantial reduction in reported surgical conditions was observed. Compared to one-time measurements, repeated household surveys yield finer granular data on the characteristics and situations of populations in need of surgical treatment.</t>
  </si>
  <si>
    <t>The score after 10 years of registration of systematic review protocols.</t>
  </si>
  <si>
    <t>van der Braak, Kim; Ghannad, Mona; Orelio, Claudia; Heus, Pauline; Damen, Johanna A A; Spijker, René; Robinson, Karen; Lund, Hans; Hooft, Lotty</t>
  </si>
  <si>
    <t>https://pubmed.ncbi.nlm.nih.gov/36064610</t>
  </si>
  <si>
    <t>With the exponential growth of published systematic reviews (SR), there is a high potential for overlapping and redundant duplication of work. Prospective protocol registration gives the opportunity to assess the added value of a new study or review, thereby potentially reducing research waste and simultaneously increasing transparency and research quality. The PROSPERO database for SR protocol registration was launched 10 years ago. This study aims to assess the proportion SRs of intervention studies with a protocol registration (or publication) and explore associations of SR characteristics with protocol registration status. PubMed was searched for SRs of human intervention studies published in January 2020 and January 2021. After random-stratified sampling and eligibility screening, data extraction on publication and journal characteristics, and protocol registration status, was performed. Both descriptive and multivariable comparative statistical analyses were performed. A total of 357 SRs (2020: n = 163; 2021: n = 194) were included from a random sample of 1267 publications. Of the published SRs, 38% had a protocol. SRs that reported using PRISMA as a reporting guideline had higher odds of having a protocol than publications that did not report PRISMA (OR 2.71; 95% CI: 1.21 to 6.09). SRs with a higher journal impact factor had higher odds of having a protocol (OR 1.12; 95% CI 1.04 to 1.25). Publications from Asia had a lower odds of having a protocol (OR 0.43; 95% CI 0.23 to 0.80, reference category = Europe). Of the 33 SRs published in journals that endorse PROSPERO, 45% did not have a protocol. Most SR protocols were registered in PROSPERO (n = 129; 96%). We found that 38% of recently published SRs of interventions reported a registered or published protocol. Protocol registration was significantly associated with a higher impact factor of the journal publishing the SR and a more frequent self-reported use of the PRISMA guidelines. In some parts of the world, SR protocols are more often registered or published than others. To guide strategies to increase the uptake of SR protocol registration, further research is needed to gain understanding of the benefits and informativeness of SRs protocols among different stakeholders. osf.io/9kj7r/.</t>
  </si>
  <si>
    <t>Dupilumab Drug Survival and Associated Predictors in Patients With Moderate to Severe Atopic Dermatitis: Long-term Results From the Daily Practice BioDay Registry.</t>
  </si>
  <si>
    <t>Spekhorst, Lotte S; de Graaf, Marlies; Zuithoff, Nicolaas P A; van den Reek, Juul M P A; Kamsteeg, Marijke; Boesjes, Celeste M; Romeijn, Geertruida L E; Loman, Laura; Haeck, Inge; Oosting, Albert J; de Boer-Brand, Astrid; Touwslager, Wouter R H; Flinterman, Annebeth; van Lynden-van Nes, Anneke M T; Gostynski, Antoni H; de Bruin-Weller, Marjolein S; Schuttelaar, Marie-Louise</t>
  </si>
  <si>
    <t>https://pubmed.ncbi.nlm.nih.gov/35947364</t>
  </si>
  <si>
    <t>Long-term data on dupilumab drug survival in patients with atopic dermatitis (AD) are scarce. Furthermore, little is known about the factors associated with drug survival of dupilumab in AD. To describe the drug survival of dupilumab in patients with AD and to identify associated predictors. This cohort study was based on data from the multicenter prospective daily practice BioDay registry, in which 4 university and 10 nonuniversity hospitals in the Netherlands participated. Analysis included patients (age ≥18 years) participating in the BioDay registry with a follow-up of at least 4 weeks. The first patient treated with dupilumab was recorded in the BioDay registry in October 2017; data lock took place in December 2020, and data analysis was performed from October 2017 to December 2020. Drug survival was analyzed by Kaplan-Meier survival curves and associated characteristics by using univariate and multivariate Cox regression analysis. A total of 715 adult patients with AD (mean [SD] age, 41.8 [16.0] years; 418 [58.5%] were male) were included with a 1-year, 2-year, and 3-year overall dupilumab drug survival of 90.3%, 85.9%, and 78.6%, respectively. Characteristics associated with shorter drug survival owing to ineffectiveness were the use of immunosuppressant drugs at baseline (hazard ratio [HR], 2.64; 95% CI, 1.10-6.37) and being a nonresponder at 4 weeks (HR, 8.68; 95% CI, 2.97-25.35). Characteristics associated with shorter drug survival owing to adverse effects were the use of immunosuppressant drugs at baseline (HR, 2.69; 95% CI, 1.32-5.48), age 65 years or older (HR, 2.94; 95% CI, 1.10-7.87), and Investigator Global Assessment score of very severe AD (HR, 3.51; 95% CI, 1.20-10.28). This cohort study demonstrated a good overall 1-year, 2-year, and 3-year dupilumab drug survival. Patients using immunosuppressive therapy at baseline and those with an absence of treatment effect at week 4 tended to discontinue treatment owing to ineffectiveness more frequently. Using immunosuppressant drugs at baseline, older age, and Investigator Global Assessment score of very severe AD were characteristics associated with an increased risk for discontinuation owing to adverse effects. These data provide more insight and new perspectives regarding dupilumab treatment in AD and can contribute to the optimization of patient outcomes.</t>
  </si>
  <si>
    <t>Added Diagnostic Value of Biomarkers in Patients with Suspected Sepsis: A Prospective Cohort Study in Out-Of-Hours Primary Care.</t>
  </si>
  <si>
    <t>Loots, Feike J; Smits, Marleen; Jenniskens, Kevin; van Zanten, Arthur R H; Kusters, Ron; Verheij, Theo J M; Hopstaken, Rogier M</t>
  </si>
  <si>
    <t>the journal of applied laboratory medicine</t>
  </si>
  <si>
    <t>https://pubmed.ncbi.nlm.nih.gov/35731639</t>
  </si>
  <si>
    <t>Point-of-care testing (POCT) has shown promising results in the primary care setting to improve antibiotic therapy in respiratory tract infections and it might also aid general practitioners (GPs) to decide if patients should be referred to a hospital in cases of suspected sepsis. We aimed to assess whether biomarkers with possible POCT use can improve the recognition of sepsis in adults in the primary care setting. We prospectively included adult patients with suspected severe infections during out-of-hours home visits. Relevant clinical signs and symptoms were recorded, as well as the biomarkers C-reactive protein, lactate, procalcitonin, high-sensitive troponin I, N-terminal pro b-type natriuretic peptide, creatinine, urea, and pancreatic stone protein. We used a POCT device for lactate only, and the remaining biomarkers were measured in a laboratory from stored blood samples. The primary outcome was sepsis within 72 h of inclusion. The potential of biomarkers to either rule in or rule out sepsis was tested for individual biomarkers combined with a model consisting of signs and symptoms. Net reclassification indices were also calculated. In total, 336 patients, with a median age of 80 years, were included. One hundred forty-one patients (42%) were diagnosed with sepsis. The C statistic for the model with clinical symptoms and signs was 0.84 (95% CI 0.79-0.88). Both lactate and procalcitonin increased the C statistic to 0.85, but none of the biomarkers significantly changed the net reclassification index. We do not advocate the routine use of POCT in general practice for any of the tested biomarkers of suspected sepsis.</t>
  </si>
  <si>
    <t>Multimorbidity of communicable and non-communicable diseases in low- and middle-income countries: A systematic review.</t>
  </si>
  <si>
    <t>Kaluvu, Lucy; Asogwa, Ogechukwu Augustina; Marzà-Florensa, Anna; Kyobutungi, Catherine; Levitt, Naomi S; Boateng, Daniel; Klipstein-Grobusch, Kerstin</t>
  </si>
  <si>
    <t>journal of multimorbidity and comorbidity</t>
  </si>
  <si>
    <t>https://pubmed.ncbi.nlm.nih.gov/36081708</t>
  </si>
  <si>
    <t>The aim of this systematic review is to analyse existing evidence on prevalence, patterns, determinants, and healthcare challenges of communicable and non-communicable disease multimorbidity in low- and middle-income countries (LMICs). PubMed, Cochrane, and Embase databases were searched from 1&lt;sup&gt;st&lt;/sup&gt; January 2000 to 31&lt;sup&gt;st&lt;/sup&gt; July 2020. The National Institute of Health (NIH) quality assessment tool was used to critically appraise studies. Findings were summarized in a narrative synthesis. The review was registered with PROSPERO (CRD42019133453). Of 3718 articles screened, 79 articles underwent a full text review of which 11 were included for narrative synthesis. Studies reported on 4 to 20 chronic communicable and non-communicable diseases; prevalence of multimorbidity ranged from 13% in a study conducted among 242,952 participants from 48 LMICS to 87% in a study conducted among 491 participants in South Africa. Multimorbidity was positively associated with older age, female sex, unemployment, and physical inactivity. Significantly higher odds of multimorbidity were noted among obese participants (OR 2.33; 95% CI: 2.19-2.48) and those who consumed alcohol (OR 1.44; 95% CI: 1.25-1.66). The most frequently occurring dyads and triads were HIV and hypertension (23.3%) and HIV, hypertension, and diabetes (63%), respectively. Women and participants from low wealth quintiles reported higher utilization of public healthcare facilities. The identification and prevention of risk factors and addressing evidence gaps in multimorbidity clustering is crucial to address the increasing communicable and non-communicable disease multimorbidity in LMICs. To identify communicable and non-communicable diseases trends over time and identify causal relationships, longitudinal studies are warranted.</t>
  </si>
  <si>
    <t>Obstetric referral processes and the role of inter-facility communication: the district-level experience in the Greater Accra region of Ghana.</t>
  </si>
  <si>
    <t>Amoakoh-Coleman, Mary; Klipstein-Grobusch, Kerstin; Vidzro, Edem S; Arhinful, Daniel K; Ansah, Evelyn K</t>
  </si>
  <si>
    <t>ghana medical journal</t>
  </si>
  <si>
    <t>https://pubmed.ncbi.nlm.nih.gov/38322747</t>
  </si>
  <si>
    <t>To describe the capacity of primary health care facilities to manage obstetric referrals, the reasons, and processes for managing obstetric referrals, and how an enhanced inter-facility communication system may have influenced these. Mixed methods comparing data before and during the intervention period. Three districts in the Greater Accra region, Ghana from May 2017 to February 2018. Referred pregnant women and their relatives, health workers at referring and referral facilities, facility and district health managers. An enhanced inter-facility communication system for obstetric referrals. Twenty-two facilities and 673 referrals were assessed over the period. The major reason for referrals was pregnancy complications (85.5%). Emergency obstetric medicines - oxytocin and magnesium sulfate (MgSO&lt;sub&gt;4&lt;/sub&gt;) were available in 81.8% and 54.5% facilities, respectively, and a health worker accompanied 110(16.3%) women to the referral centre. Inter-facility communication about the referral occurred for 240 (35.7%) patients. During the intervention period, referrals joining queues at the referral facility decreased (7.8% to 0.0%; p=0.01), referrals coming in with referral notes improved (78.4% to 91.2%) and referrals with inter-facility communication improved (43.1% to 52.9%). Health workers and managers reported improvement in feedback to lower-level facilities and better filling of referral forms. Facilities had varying levels of availability of infrastructure, protocols, guidelines, services, equipment, and logistics for managing obstetric referrals. Enhanced inter-facility communication for obstetric referrals which engages health workers and provides requisite tools, can facilitate an efficient referral process for desired outcomes. This study was funded by the WHO/TDR Postdoctoral grant number B40347 to the NMIMR.</t>
  </si>
  <si>
    <t>Perspectives of Immigrants and Native Dutch on Antibiotic Use: A Qualitative Study.</t>
  </si>
  <si>
    <t>Lescure, Dominique L A; van der Velden, Alike W; Huijser van Reenen, Natascha; Richardus, Jan Hendrik; Voeten, Helene A C M</t>
  </si>
  <si>
    <t>https://pubmed.ncbi.nlm.nih.gov/36139959</t>
  </si>
  <si>
    <t>Immigrants constitute large proportions of the population in many high-income countries. Knowledge about their perceptions of antibiotics, in comparison to native populations, is limited. We explored these perceptions by organizing nine homogeneous focus group discussions (FGDs) with first-generation immigrant and native Dutch participants (N = 64) from Rotterdam and Utrecht, who were recruited with the assistance of immigrant (community support) organizations. The FGDs were audio-recorded and transcribed verbatim. Inductive thematic analyses were performed with the qualitative analysis software Atlas.ti, using open and axial coding. We did not find noteworthy differences between immigrants and native Dutch participants; all participants had an overall reluctant attitude towards antibiotics. Within-group differences were larger than between-group differences. In each FGD there were, for instance, participants who adopted an assertive stance in order to receive antibiotics, who had low antibiotic-related knowledge, or who used antibiotics incorrectly. Native Dutch participants expressed similar difficulties as immigrant participants in the communication with their GP, which mainly related to time constraints. Immigrants who encountered language barriers experienced even greater communicational difficulties and reported that they often feel embarrassed and refrain from asking questions. To stimulate more prudent use of antibiotics, more attention is needed for supportive multilingual patient materials. In addition, GPs need to adjust their information, guidance, and communication for the individual's needs, regardless of the patient's migration background.</t>
  </si>
  <si>
    <t>Blood pressure and cholesterol measurements in primary care: cross-sectional analyses in a dynamic cohort.</t>
  </si>
  <si>
    <t>de Boer, Annemarijn R; Hollander, Monika; van Dis, Ineke; Visseren, Frank Lj; Bots, Michiel L; Vaartjes, Ilonca</t>
  </si>
  <si>
    <t>https://pubmed.ncbi.nlm.nih.gov/34862163</t>
  </si>
  <si>
    <t>Guidelines on cardiovascular risk management (CVRM) recommend blood pressure (BP) and cholesterol measurements every 5 years in men aged ≥40 years and (post-menopausal) women aged ≥50 years. To evaluate CVRM guideline implementation. Cross-sectional analyses in a dynamic cohort using primary care electronic health record (EHR) data from the Julius General Practitioners' Network (JGPN) (&lt;i&gt;n&lt;/i&gt; = 388 929). Trends (2008-2018) were assessed in the proportion of patients with at least one measurement (BP and cholesterol) every 1, 2, and 5 years, in those with:1. a history of cardiovascular disease (CVD) and diabetes mellitus (DM);2. a history of DM only;3. a history of CVD only;4. a cardiovascular risk assessment (CRA) indication based on other medical history, or;5. no CRA indication.Trends were evaluated over time using logistic regression mixed-model analyses. Trends in annual BP and cholesterol measurement increased for patients with a history of CVD from 37.0% to 48.4% (&lt;i&gt;P&lt;/i&gt;&lt;0.001) and 25.8% to 40.2% (&lt;i&gt;P&lt;/i&gt;&lt;0.001). In the 5-year window from 2014-2018, BP and cholesterol measurements were performed respectively in 78.5% and 74.1% of all men aged ≥40 years and 82.2% and 78.5% of all women aged ≥50 years. Least measured were patients without a CRA indication (men 60.2% and 62.4%; women 55.5% and 59.3%). The fairly high frequency of CVRM measurements available in the EHR of patients in primary care suggests an adequate implementation of the CVRM guideline. As nearly all individuals visit the GP at least once within a 5-year time window, improvement of CVRM remains possible, especially in those without a CRA indication.</t>
  </si>
  <si>
    <t>The course of swallowing problems in the first 2 years after diagnosis of head and neck cancer.</t>
  </si>
  <si>
    <t>Vermaire, Jorine A; Raaijmakers, Cornelis P J; Monninkhof, Evelyn M; Leemans, C René; Baatenburg de Jong, Robert J; Takes, Robert P; Leeuw, Irma M Verdonck-de; Jansen, Femke; Langendijk, Johannes A; Terhaard, Chris H J; Speksnijder, Caroline M</t>
  </si>
  <si>
    <t>https://pubmed.ncbi.nlm.nih.gov/36040669</t>
  </si>
  <si>
    <t>Head and neck cancer (HNC) and its treatment often negatively impact swallowing function. The aim was to investigate the course of patient-reported swallowing problems from diagnosis to 3, 6, 12, and 24 months after treatment, in relation to demographic, clinical, and lifestyle factors. Data were used of the Netherlands Quality of Life and Biomedical Cohort Study in head and neck cancer research (NET-QUBIC). The primary outcome measures were the subscales of the Swallowing Quality of Life Questionnaire (SWAL-QOL). Linear mixed-effects models (LMM) were conducted to investigate changes over time and associations with patient, clinical, and lifestyle parameters as assessed at baseline. Data were available of 603 patients. There was a significant change over time on all subscales. Before treatment, 53% of patients reported swallowing problems. This number increased to 70% at M3 and decreased to 59% at M6, 50% at M12, and 48% at M24. Swallowing problems (i.e., longer eating duration) were more pronounced in the case of female, current smoking, weight loss prior to treatment, and stage III or IV tumor, and were more prevalent at 3 to 6 months after treatment. Especially patients with an oropharynx and oral cavity tumor, and patients receiving (C)RT following surgery or CRT only showed a longer eating duration after treatment, which did not return to baseline levels. Half of the patients with HNC report swallowing problems before treatment. Eating duration was associated with sex, smoking, weight loss, tumor site and stage, and treatment modality, and was more pronounced 3 to 6 months after treatment.</t>
  </si>
  <si>
    <t>Everyday Experiences of People Living with Mild Cognitive Impairment or Dementia: A Scoping Review.</t>
  </si>
  <si>
    <t>Huizenga, Jacoba; Scheffelaar, Aukelien; Fruijtier, Agnetha; Wilken, Jean Pierre; Bleijenberg, Nienke; Van Regenmortel, Tine</t>
  </si>
  <si>
    <t>https://pubmed.ncbi.nlm.nih.gov/36078544</t>
  </si>
  <si>
    <t>Increasing attention has been paid to the 'voice' of people living with mild cognitive impairment (MCI) or dementia, but there is a lack of clarity about how everyday life is perceived from this insider's perspective. This study aimed to explore the everyday life experiences, challenges and facilitators of individuals with MCI and dementia living at home. A scoping review of qualitative studies, guided by the Joanna Briggs Institute Reviewers Manual, was conducted. Eight databases were searched, resulting in 6345 records, of which 58 papers published between 2011 and 2021 were included. Analysis was carried out by descriptive content analysis. Findings were categorized into seven spheres of everyday life: experiences related to the condition, self, relationships, activities, environment, health and social care and public opinions. The results show many disruptions and losses in everyday life and how people try to accommodate these changes. In all areas of everyday life, people show a deep desire to have reciprocal relationships, stay engaged through participation in activities and have a sense of belonging in the community. However, more research is needed on the factors that promote and impede the sense of reciprocity and belonging.</t>
  </si>
  <si>
    <t>Point-of-care testing, antibiotic prescribing, and prescribing confidence for respiratory tract infections in primary care: a prospective audit in 18 European countries.</t>
  </si>
  <si>
    <t>van der Velden, Alike W; van de Pol, Alma C; Bongard, Emily; Cianci, Daniela; Aabenhus, Rune; Balan, Anca; Böhmer, Femke; Bralić Lang, Valerija; Bruno, Pascale; Chlabicz, Slawomir; Coenen, Samuel; Colliers, Annelies; García-Sangenís, Ana; Ghazaryan, Hrachuhi; Godycki-Ćwirko, Maciej; Jensen, Siri; Lionis, Christos; van der Linde, Sanne R; Malania, Lile; Pauer, Jozsef; Tomacinschii, Angela; Vellinga, Akke; Zastavnyy, Ihor; Emmerich, Susanne; Zerda, Adam; Verheij, Theo J; Goossens, Herman; Butler, Christopher C</t>
  </si>
  <si>
    <t>https://pubmed.ncbi.nlm.nih.gov/34920989</t>
  </si>
  <si>
    <t>Between-country differences have been described in antibiotic prescribing for respiratory tract infection (RTI) in primary care, but not yet for diagnostic testing procedures and prescribing confidence. To describe between-country differences in RTI management, particularly diagnostic testing and antibiotic prescribing, and investigate which factors relate to antibiotic prescribing and GPs' prescribing confidence. Prospective audit in 18 European countries. An audit of GP-registered patient, clinical, and management characteristics for patients presenting with sore throat and/or lower RTI (&lt;i&gt;n&lt;/i&gt; = 4982), and GPs' confidence in their antibiotic prescribing decision. Factors related to antibiotic prescribing and confidence were analysed using multi-level logistic regression. Antibiotic prescribing proportions varied considerably: &lt;20% in four countries, and &gt;40% in six countries. There was also considerable variation in point-of-care (POC) testing (0% in Croatia, Moldova, and Romania, and &gt;65% in Denmark and Norway, mainly for C-reactive protein [CRP] and group A streptococcal [strep A] infection), and in laboratory or hospital-based testing (&lt;3% in Hungary, the Netherlands, and Spain, and &gt;30% in Croatia, Georgia, Greece, and Moldova, mainly chest X-ray and white blood cell counting). Antibiotic prescribing was related to illness severity, comorbidity, age, fever, and country, but not to having performed a POC test. In nearly 90% of consultations, GPs were confident in their antibiotic prescribing decision. Despite high confidence in decisions about antibiotic prescribing, there is considerable variation in the primary care of RTI in European countries, with GPs prescribing antibiotics overall more often than is considered appropriate. POC testing may enhance the quality of antibiotic prescribing decisions if it can safely reverse decisions confidently made on clinical grounds alone to prescribe antibiotics.</t>
  </si>
  <si>
    <t>[Acute ear discharge, a reason for consultation].</t>
  </si>
  <si>
    <t>Hullegie, Saskia; Schilder, Anne G M; Damoiseaux, Roger A M J; Venekamp, Roderick P</t>
  </si>
  <si>
    <t>https://pubmed.ncbi.nlm.nih.gov/36300442</t>
  </si>
  <si>
    <t>It is often thought that acute ear discharge as a presenting symptom of acute otitis media (AOM) means that the infection is petering out. However, children with AOM presenting with ear discharge due to a spontaneous perforation of the eardrum (AOMd) have a poorer prognosis (i.e. higher rates of ear pain and/or fever at 3-7 days) than those without ear discharge. In this article we emphasize the importance of physical examination and early treatment of children and adults who present with acute ear discharge.</t>
  </si>
  <si>
    <t>Socioeconomic Status, Biological Aging, and Memory in a Diverse National Sample of Older US Men and Women.</t>
  </si>
  <si>
    <t>Avila-Rieger, Justina; Turney, Indira C; Vonk, Jet M J; Esie, Precious; Seblova, Dominika; Weir, Vanessa R; Belsky, Daniel W; Manly, Jennifer J</t>
  </si>
  <si>
    <t>https://pubmed.ncbi.nlm.nih.gov/36038275</t>
  </si>
  <si>
    <t>Exposure to socioeconomic disadvantage is associated with early-onset cognitive aging. Biological aging, the progressive loss of system integrity that occurs as we age, is proposed as a modifiable process mediating this health inequality. We examined whether socioeconomic disparities in cognitive aging in mid-to late-life adults is explained by accelerated biological aging similarly across race, ethnicity, and sex/gender. Data were from a prospective cohort study of the US Health and Retirement Study DNA methylation substudy. Socioeconomic status (SES) was measured from years of education and household wealth at baseline. The extent and pace of biological aging were quantified using 3 DNA methylation measures: PhenoAge, GrimAge, and DunedinPoAm. Cognitive aging was measured from repeated longitudinal assessments of immediate and delayed word recall. Latent growth curve modeling estimated participants' level of memory performance and rate of decline over 2-11 follow-up assessments spanning 2-20 years. Multiple-group models were estimated to assess whether the relationship between SES and memory trajectories was mediated by biological aging across racial-ethnic by sex/gender subgroups. Data from a total of 3,997 adults aged 50-100 years were analyzed. Participants with lower SES had a lower memory performance, had a faster decline, and exhibited accelerated biological aging (SES effect size associations [β] ranged from 0.08 to 0.41). Accelerated biological aging was associated with decreased memory performance and faster memory decline (effect size range 0.03-0.23). SES-biological aging associations were the strongest for White men and women and weakest for Latinx women. The relationship between biological aging measures and memory was weaker for Black participants compared with that for White and Latinx people. In mediation analysis, biological aging accounted for 4%-27% of the SES-memory gradient in White participants. There was little evidence of mediation in Black or Latinx participants. Among a national sample of mid-to late-life adults, DNA methylation measures of biological aging were variably associated with memory trajectories and SES across White, Black, and Latinx mid-to late-life adults. These results challenge the assumption that DNA methylation biomarkers of aging that were developed in primarily White people can equivalently quantify aging processes affecting cognition in Black and Latinx mid-to late-life adults.</t>
  </si>
  <si>
    <t>CODE-EHR best-practice framework for the use of structured electronic health-care records in clinical research.</t>
  </si>
  <si>
    <t>Kotecha, Dipak; Asselbergs, Folkert W; Achenbach, Stephan; Anker, Stefan D; Atar, Dan; Baigent, Colin; Banerjee, Amitava; Beger, Birgit; Brobert, Gunnar; Casadei, Barbara; Ceccarelli, Cinzia; Cowie, Martin R; Crea, Filippo; Cronin, Maureen; Denaxas, Spiros; Derix, Andrea; Fitzsimons, Donna; Fredriksson, Martin; Gale, Chris P; Gkoutos, Georgios V; Goettsch, Wim; Hemingway, Harry; Ingvar, Martin; Jonas, Adrian; Kazmierski, Robert; Løgstrup, Susanne; Lumbers, R Thomas; Lüscher, Thomas F; McGreavy, Paul; Piña, Ileana L; Roessig, Lothar; Steinbeisser, Carl; Sundgren, Mats; Tyl, Benoît; Thiel, Ghislaine van; Bochove, Kees van; Vardas, Panos E; Villanueva, Tiago; Vrana, Marilena; Weber, Wim; Weidinger, Franz; Windecker, Stephan; Wood, Angela; Grobbee, Diederick E; ,</t>
  </si>
  <si>
    <t>https://pubmed.ncbi.nlm.nih.gov/36050271</t>
  </si>
  <si>
    <t>Big data is important to new developments in global clinical science that aim to improve the lives of patients. Technological advances have led to the regular use of structured electronic health-care records with the potential to address key deficits in clinical evidence that could improve patient care. The COVID-19 pandemic has shown this potential in big data and related analytics but has also revealed important limitations. Data verification, data validation, data privacy, and a mandate from the public to conduct research are important challenges to effective use of routine health-care data. The European Society of Cardiology and the BigData@Heart consortium have brought together a range of international stakeholders, including representation from patients, clinicians, scientists, regulators, journal editors, and industry members. In this Review, we propose the CODE-EHR minimum standards framework to be used by researchers and clinicians to improve the design of studies and enhance transparency of study methods. The CODE-EHR framework aims to develop robust and effective utilisation of health-care data for research purposes.</t>
  </si>
  <si>
    <t>Which decentralised trial activities are reported in clinical trial protocols of drug trials initiated in 2019-2020? A cross-sectional study in ClinicalTrials.gov.</t>
  </si>
  <si>
    <t>de Jong, Amos J; Grupstra, Renske J; Santa-Ana-Tellez, Yared; Zuidgeest, Mira G P; de Boer, Anthonius; Gardarsdottir, Helga; ,</t>
  </si>
  <si>
    <t>https://pubmed.ncbi.nlm.nih.gov/36038171</t>
  </si>
  <si>
    <t>Decentralised clinical trial activities-such as participant recruitment via social media, data collection through wearables and direct-to-participant investigational medicinal product (IMP) supply-have the potential to change the way clinical trials (CTs) are conducted and with that to reduce the participation burden and improve generalisability. In this study, we investigated the decentralised and on-site conduct of trial activities as reported in CT protocols with a trial start date in 2019 or 2020. We ascertained the decentralised and on-site conduct for the following operational trial activities: participant outreach, prescreening, screening, obtaining informed consent, asynchronous communication, participant training, IMP supply, IMP adherence monitoring, CT monitoring, staff training and data collection. Results were compared for the public versus private sponsors, regions involved, trial phases and four time periods (the first and second half of 2019 and 2020, respectively). Phases 2, 3 and 4 clinical drug trial protocols with a trial start date in 2019 or 2020 available from ClinicalTrials.gov. The occurrence of decentralised and on-site conduct of the predefined trial activities reported in CT protocols. For all trial activities, on-site conduct was more frequently reported than decentralised conduct. Decentralised conduct of the individual trial activities was reported in less than 25.6% of the 254 included protocols, except for decentralised data collection, which was reported in 68.9% of the protocols. More specifically, 81.9% of the phase 3 protocols reported decentralised data collection, compared with 73.3% and 47.0% of the phase 2 and 4 protocols, respectively. For several activities, including prescreening, screening and consenting, upward trends in reporting decentralised conduct were visible over time. Decentralised methods are used in CTs, mainly for data collection, but less frequently for other activities. Sharing best practices and a detailed description in protocols can drive the adoption of decentralised methods.</t>
  </si>
  <si>
    <t>CODE-EHR best practice framework for the use of structured electronic healthcare records in clinical research.</t>
  </si>
  <si>
    <t>Kotecha, Dipak; Asselbergs, Folkert W; Achenbach, Stephan; Anker, Stefan D; Atar, Dan; Baigent, Colin; Banerjee, Amitava; Beger, Birgit; Brobert, Gunnar; Casadei, Barbara; Ceccarelli, Cinzia; Cowie, Martin R; Crea, Filippo; Cronin, Maureen; Denaxas, Spiros; Derix, Andrea; Fitzsimons, Donna; Fredriksson, Martin; Gale, Chris P; Gkoutos, Georgios V; Goettsch, Wim; Hemingway, Harry; Ingvar, Martin; Jonas, Adrian; Kazmierski, Robert; Løgstrup, Susanne; Lumbers, R Thomas; Lüscher, Thomas F; McGreavy, Paul; Piña, Ileana L; Roessig, Lothar; Steinbeisser, Carl; Sundgren, Mats; Tyl, Benoît; van Thiel, Ghislaine; van Bochove, Kees; Vardas, Panos E; Villanueva, Tiago; Vrana, Marilena; Weber, Wim; Weidinger, Franz; Windecker, Stephan; Wood, Angela; Grobbee, Diederick E; ,</t>
  </si>
  <si>
    <t>https://pubmed.ncbi.nlm.nih.gov/36562446</t>
  </si>
  <si>
    <t>Big data is central to new developments in global clinical science aiming to improve the lives of patients. Technological advances have led to the routine use of structured electronic healthcare records with the potential to address key gaps in clinical evidence. The covid-19 pandemic has demonstrated the potential of big data and related analytics, but also important pitfalls. Verification, validation, and data privacy, as well as the social mandate to undertake research are key challenges. The European Society of Cardiology and the BigData@Heart consortium have brought together a range of international stakeholders, including patient representatives, clinicians, scientists, regulators, journal editors and industry. We propose the CODE-EHR Minimum Standards Framework as a means to improve the design of studies, enhance transparency and develop a roadmap towards more robust and effective utilisation of healthcare data for research purposes.</t>
  </si>
  <si>
    <t>SARS-CoV-2 in Malaysia: A surge of reinfection during the predominantly Omicron period.</t>
  </si>
  <si>
    <t>Yang, Su Lan; Teh, Hoon Shien; Suah, Jing Lian; Husin, Masliyana; Hwong, Wen Yea</t>
  </si>
  <si>
    <t>the lancet regional health western pacific</t>
  </si>
  <si>
    <t>https://pubmed.ncbi.nlm.nih.gov/36060536</t>
  </si>
  <si>
    <t>Mainstream germline genetic testing for patients with epithelial ovarian cancer leads to higher testing rates and a reduction in genetics-related healthcare costs from a healthcare payer perspective.</t>
  </si>
  <si>
    <t>Bokkers, K; Frederix, G W J; Velthuizen, M E; van der Aa, M; Gerestein, C G; van Dorst, E B L; Lange, J G; Louwers, J A; Koole, W; Zweemer, R P; Ausems, M G E M</t>
  </si>
  <si>
    <t>gynecologic oncology</t>
  </si>
  <si>
    <t>https://pubmed.ncbi.nlm.nih.gov/36031452</t>
  </si>
  <si>
    <t>Germline genetic testing is increasingly offered to patients with epithelial ovarian cancer by non-genetic healthcare professionals, so called mainstream genetic testing. The aim of this study was to evaluate the effect of implementing a mainstream genetic testing pathway on the percentage of newly diagnosed patients with epithelial ovarian cancer to whom genetic testing was offered and the genetics-related healthcare costs. The possible care pathways for genetic counseling and testing and their associated costs were mapped. Patient files from all newly diagnosed patients with epithelial ovarian cancer before (March 2016 - September 2017) and after (April 2018 - December 2019) implementing our mainstream genetic testing pathway were analyzed. Based on this analysis, the percentage of newly diagnosed patients to whom genetic testing was offered was assessed and genetics-related healthcare costs were calculated using a healthcare payer perspective based on a Diagnosis-Related Group financing approach. Within six months after diagnosis, genetic testing was offered to 56% of patients before and to 70% of patients after implementation of our mainstream genetic testing pathway (p = 0.005). Genetics-related healthcare costs decreased from €3.511,29 per patient before implementation to €2.418,41 per patient after implementation of our mainstream genetic testing pathway (31% reduction, p = 0.000). This study shows that mainstream genetic testing leads to a significantly higher proportion of newly diagnosed patients with epithelial ovarian cancer being offered germline genetic testing. In addition, it significantly reduces genetics-related healthcare costs per patient.</t>
  </si>
  <si>
    <t>Rosuvastatin Slows Progression of Carotid Intima-Media Thickness: The METEOR-China Randomized Controlled Study.</t>
  </si>
  <si>
    <t>Zheng, Huaguang; Li, Hongwei; Wang, Yilong; Li, Zhanquan; Hu, Bo; Li, Xiaogang; Fu, Lu; Hu, Hongtao; Nie, Zhiyu; Zhao, Bilian; Wei, Di; Karlson, Björn W; Bots, Michiel L; Meng, XiangWen; Chen, Yundai; Wang, Yongjun; ,</t>
  </si>
  <si>
    <t>https://pubmed.ncbi.nlm.nih.gov/36017704</t>
  </si>
  <si>
    <t>Atherosclerosis is the leading cause of cardiovascular disease worldwide, including in China. Primary prevention, through lipid-lowering, could avert development of atherosclerosis. Carotid intima-media thickness (CIMT) is a well-validated measure of atherosclerosis used in intervention studies as the primary outcome and alternative end point for cardiovascular disease events. This randomized, double-blind, placebo-controlled, multicenter, parallel-group study assessed the effects of rosuvastatin 20 mg/d compared with placebo on progression of CIMT over 104 weeks in Chinese people with subclinical atherosclerosis. The primary end point was the annualized rate of change in mean of the maximum CIMT measurements taken 7× over the study period from each of 12 carotid artery sites (near and far walls of the right and left common carotid artery, carotid bulb, and internal carotid artery). Secondary end points included CIMT changes at different artery sites and lipid-parameter changes. Safety was also assessed. Participants were randomized (1:1) to receive rosuvastatin (n=272) or placebo (n=271). Baseline characteristics were well balanced between groups. The change in mean of the maximum CIMT of the 12 carotid sites was 0.0038 mm/y (95% CI, -0.0023-0.0100) for the rosuvastatin group versus 0.0142 mm/y (95% CI, 0.0080-0.0204) for the placebo group, with a difference of -0.0103 mm/y (95% CI, -0.0191 to -0.0016; &lt;i&gt;P&lt;/i&gt;=0.020). For the CIMT secondary end points, the results were generally consistent with the primary end point. There were clinically relevant improvements in lipid parameters with rosuvastatin. We observed an adverse-event profile consistent with the known safety profile of rosuvastatin. Rosuvastatin 20 mg/d significantly reduced the progression of CIMT over 2 years in Chinese adults with subclinical atherosclerosis and was well tolerated. URL: https://www. gov; Unique identifier: NCT02546323.</t>
  </si>
  <si>
    <t>Epigenome-wide association studies of occupational exposure to benzene and formaldehyde.</t>
  </si>
  <si>
    <t>Phillips, Rachael V; Wei, Linqing; Cardenas, Andres; Hubbard, Alan E; McHale, Cliona M; Vermeulen, Roel; Wei, Hu; Smith, Martyn T; Zhang, Luoping; Lan, Qing; Rothman, Nathaniel</t>
  </si>
  <si>
    <t>epigenetics</t>
  </si>
  <si>
    <t>https://pubmed.ncbi.nlm.nih.gov/36017556</t>
  </si>
  <si>
    <t>Sufficient evidence supports a relationship between certain myeloid neoplasms and exposure to benzene or formaldehyde. DNA methylation could underlie benzene- and formaldehyde-induced health outcomes, but data in exposed human populations are limited. We conducted two cross-sectional epigenome-wide association studies (EWAS), one in workers exposed to benzene and another in workers exposed to formaldehyde. Using HumanMethylation450 BeadChips, we investigated differences in blood cell DNA methylation among 50 benzene-exposed subjects and 48 controls, and among 31 formaldehyde-exposed subjects and 40 controls. We performed CpG-level and regional-level analyses. In the benzene EWAS, we found genome-wide significant alterations, i.e., FWER-controlled &lt;i&gt;P&lt;/i&gt;-values &lt;0.05, in the mean and variance of methylation at 22 and 318 CpG sites, respectively, and in mean methylation of a large genomic region. Pathway analysis of genes corresponding to benzene-associated differential methylation sites revealed an impact on the AMPK signalling pathway. In formaldehyde-exposed subjects compared to controls, 9 CpGs in the &lt;i&gt;DUSP22&lt;/i&gt; gene promoter had genome-wide significant decreased methylation variability and a large region of the &lt;i&gt;HOXA5&lt;/i&gt; promoter with 44 CpGs was hypomethylated. Our findings suggest that DNA methylation may contribute to the pathogenesis of diseases related to benzene and formaldehyde exposure. Aberrant expression and methylation of &lt;i&gt;HOXA5&lt;/i&gt; previously has been shown to be clinically significant in myeloid leukaemias. The tumour suppressor gene &lt;i&gt;DUSP22&lt;/i&gt; is a potential biomarker of exposure to formaldehyde, and irregularities have been associated with multiple exposures and diseases.</t>
  </si>
  <si>
    <t>Fosfomycin Vs Ciprofloxacin as Oral Step-Down Treatment for Escherichia coli Febrile Urinary Tract Infections in Women: A Randomized, Placebo-Controlled, Double-Blind, Multicenter Trial.</t>
  </si>
  <si>
    <t>Ten Doesschate, Thijs; Kuiper, Sander; van Nieuwkoop, Cees; Hassing, Robert Jan; Ketels, Tom; van Mens, Suzan P; van den Bijllaardt, Wouter; van der Bij, Akke K; Geerlings, Suzanne E; Koster, Ad; Koldewijn, Evert L; Branger, Judith; Hoepelman, Andy I M; van Werkhoven, Cornelis H; Bonten, Marc J M; ,</t>
  </si>
  <si>
    <t>https://pubmed.ncbi.nlm.nih.gov/34791074</t>
  </si>
  <si>
    <t>We aimed to determine the noninferiority of fosfomycin compared to ciprofloxacin as an oral step-down treatment for Escherichia coli febrile urinary tract infections (fUTIs) in women. This was a double-blind, randomized, controlled trial in 15 Dutch hospitals. Adult women who were receiving 2-5 days of empirical intravenous antimicrobials for E. coli fUTI were assigned to step-down treatment with once-daily 3g fosfomycin or twice-daily 0.5g ciprofloxacin for 10 days of total antibiotic treatment. For the primary end point, clinical cure at days 6-10 post-end of treatment (PET), a noninferiority margin of 10% was chosen. The trial was registered on Trialregister.nl (NTR6449). After enrollment of 97 patients between 2017 and 2020, the trial ended prematurely because of the coronavirus disease 2019 pandemic. The primary end point was met in 36 of 48 patients (75.0%) assigned to fosfomycin and 30 of 46 patients (65.2%) assigned to ciprofloxacin (risk difference [RD], 9.6%; 95% confidence interval [CI]: -8.8% to 28.0%). In patients assigned to fosfomycin and ciprofloxacin, microbiological cure at days 6-10 PET occurred in 29 of 37 (78.4%) and 33 of 35 (94.3%; RD, -16.2%; 95% CI: -32.7 to -0.0%). Any gastrointestinal adverse event was reported in 25 of 48 (52.1%) and 14 of 46 (30.4%) patients (RD, 20.8%; 95% CI: 1.6% to 40.0%), respectively. Fosfomycin is noninferior to ciprofloxacin as oral step-down treatment for fUTI caused by E. coli in women. Fosfomycin use is associated with more gastrointestinal events. Trial NL6275 (NTR6449).</t>
  </si>
  <si>
    <t>Primary nonadherence to drugs prescribed by general practitioners: A Dutch database study.</t>
  </si>
  <si>
    <t>Hempenius, Mirjam; Rijken, Simone; Groenwold, Rolf H H; Hek, Karin; de Boer, Anthonius; Klungel, Olaf H; Gardarsdottir, Helga</t>
  </si>
  <si>
    <t>https://pubmed.ncbi.nlm.nih.gov/35896043</t>
  </si>
  <si>
    <t>Primary nonadherence (PNA) is defined as not filling the first prescription for a drug treatment. PNA can lead not only to poor patient outcomes but also to exposure misclassification in written prescription databases. This study aims to estimate PNA in primary care in the Netherlands and to investigate associated factors. Patients from the Nivel Primary Care Database (Nivel-PCD) who received a new prescription (&gt;1 year not prescribed) from a general practitioner in 2012 were linked to pharmacy dispensing information of consenting pharmacies based on sex, year of birth, four-digit postal code and at least 50% matching Anatomical Therapeutic Classification codes. PNA was defined as not having a prescription dispensed within 30 days from the prescribing date. PNA was assessed overall and per drug class. The associations between PNA and several patient- and prescription-related characteristics were assessed using mixed-effects logistic regression models. After matching 86 361 of 396 251 subjects (21.8%) in the Nivel-PCD records to the pharmacy records, this study included 65 877 subjects who received 181 939 new drug prescriptions. Overall, PNA was 11.5%. PNA was lowest for thyroid hormones (5.5%) and highest for proton pump inhibitors (12.8%). Several factors were associated with PNA, such as having comorbidities (odds ratio [OR] 1.46, 95% confidence interval [CI] 1.37-1.56 for &gt;3 active diagnoses, compared to no active diagnoses) or reimbursement status (OR 2.78, 95% CI 2.65-2.92 for not reimbursed drugs compared to fully reimbursed drugs). A total of 11.5% of newly prescribed drugs were not dispensed. This can lead to overestimation of the actual drug exposure status when using written prescription databases.</t>
  </si>
  <si>
    <t>Factors Associated With Using the COVID-19 Mobile Contact-Tracing App Among Individuals Diagnosed With SARS-CoV-2 in Amsterdam, the Netherlands: Observational Study.</t>
  </si>
  <si>
    <t>Ritsema, Feiko; Bosdriesz, Jizzo R; Leenstra, Tjalling; Petrignani, Mariska W F; Coyer, Liza; Schreijer, Anja J M; van Duijnhoven, Yvonne T H P; van de Wijgert, Janneke H H M; Schim van der Loeff, Maarten F; Matser, Amy</t>
  </si>
  <si>
    <t>jmir mhealth and uhealth</t>
  </si>
  <si>
    <t>https://pubmed.ncbi.nlm.nih.gov/35867842</t>
  </si>
  <si>
    <t>Worldwide, efforts are being made to stop the COVID-19 pandemic caused by SARS-CoV-2. Contact tracing and quarantining are key in limiting SARS-CoV-2 transmission. Mathematical models have shown that the time between infection, isolation of cases, and quarantining of contacts are the most important components that determine whether the pandemic can be controlled. Mobile contact-tracing apps could accelerate the tracing and quarantining of contacts, including anonymous contacts. However, real-world observational data on the uptake and determinants of contact-tracing apps are limited. The aim of this paper is to assess the use of a national Dutch contact-tracing app among notified cases diagnosed with SARS-CoV-2 infection and investigate which characteristics are associated with the use of the app. Due to privacy regulations, data from the app could not be used. Instead, we used anonymized SARS-CoV-2 routine contact-tracing data collected between October 28, 2020, and February 26, 2021, in the region of Amsterdam, the Netherlands. Complete case logistic regression analysis was performed to identify which factors (age, gender, country of birth, municipality, number of close contacts, and employment in either health care or education) were associated with using the app. Age and number of close contacts were modelled as B-splines due to their nonlinear relationship. Of 29,766 SARS-CoV-2 positive cases, 4824 (16.2%) reported app use. Median age of cases was 41 (IQR 29-55) years, and 46.7% (n=13,898) were male. In multivariable analysis, males (adjusted odds ratio [AOR] 1.11, 95% CI 1.04-1.18) and residents of municipalities surrounding Amsterdam were more likely to use the app (Aalsmeer AOR 1.34, 95% CI 1.13-1.58; Ouder-Amstel AOR 1.96, 95% CI 1.54-2.50), while people born outside the Netherlands, particularly those born in non-Western countries (AOR 0.33, 95% CI 0.30-0.36), were less likely to use the app. Odds of app use increased with age until the age of 58 years and decreased sharply thereafter (P&lt;.001). Odds of app use increased with number of contacts, peaked at 8 contacts, and then decreased (P&lt;.001). Individuals working in day care, home care, and elderly nursing homes were less likely to use the app. Contact-tracing app use among people with confirmed SARS-CoV-2 infection was low in the region of Amsterdam. This diminishes the potential impact of the app by hampering the ability to warn contacts. Use was particularly low among older people, people born outside the Netherlands, and people with many contacts. Use of the app was also relatively low compared to those from some other European countries, some of which had additional features beyond contact tracing, making them potentially more appealing. For the Dutch contact-tracing app to have an impact, uptake needs to be higher; therefore, investing more into promotional efforts and additional features could be considered.</t>
  </si>
  <si>
    <t>White matter hyperintensity shape is associated with cognitive functioning - the SMART-MR study.</t>
  </si>
  <si>
    <t>Zwartbol, Maarten H T; Ghaznawi, Rashid; Jaarsma-Coes, Myriam; Kuijf, Hugo; Hendrikse, Jeroen; de Bresser, Jeroen; Geerlings, Mirjam I; ,</t>
  </si>
  <si>
    <t>neurobiology of aging</t>
  </si>
  <si>
    <t>https://pubmed.ncbi.nlm.nih.gov/36152446</t>
  </si>
  <si>
    <t>White matter hyperintensity (WMH) shape has been associated with the severity of the underlying brain pathology, suggesting it is a potential neuroimaging marker of WMH impact on brain function. In 563 patients with vascular disease (58 ± 10 years), we examined the relationship between WMH volume, shape, and cognitive functioning. WMH volume and shape were automatically determined on 1.5T brain MRI data. Standardized linear regression analyses estimated the association between WMH volume and shape (concavity index, solidity, convexity, fractal dimension, and eccentricity) and memory and executive functioning, adjusted for age, sex, educational level, and reading ability. Larger WMH volumes were associated with lower executive functioning Z-scores (b (95%-CI): -0.09 (-0.17;-0.01)). Increased shape complexity of periventricular/confluent WMH associated with lower executive functioning (concavity index +1SD: -0.13 (-0.20;-0.06); solidity -1SD: -0.09 (-0.17;-0.02)) and lower memory function (fractal dimension +1SD: -0.10 (-0.18;-0.02)). Of note, the association between concavity index and executive functioning was independent of WMH volume (-0.12 (-0.19;-0.04)). Our results suggest that WMH shape contains additional information about WMH burden, not otherwise captured by WMH volume.</t>
  </si>
  <si>
    <t>The prevalence of persistent bacteraemia in patients with a non-staphylococcal infective endocarditis, a retrospective cohort study.</t>
  </si>
  <si>
    <t>van der Vaart, Thomas W; Stuifzand, Marjon; Boekholdt, S Matthijs; Cramer, Maarten J; Bonten, Marc J M; Prins, Jan M; van der Meer, Jan T M</t>
  </si>
  <si>
    <t>https://pubmed.ncbi.nlm.nih.gov/36002040</t>
  </si>
  <si>
    <t>Current guidelines on the management of infective endocarditis (IE) recommend follow-up blood cultures (FUBCs) to identify persistent bacteraemia, as this has prognostic value and guides treatment decisions. While persistent bacteraemia frequently occurs in Staphylococcus aureus bacteraemia and IE, its prevalence and impact in non-staphylococcal IE is largely unknown. We determined prevalence and prognostic value of persistent bacteraemia in non-staphylococcal IE. We conducted a retrospective analysis of all patients diagnosed with definite non-staphylococcal endocarditis according to the modified Duke Criteria in two university hospital endocarditis registries We determined the prevalence and prognostic value of persistent bacteraemia. Of the included 159 patients 70 (44%) had prosthetic valve endocarditis (PVE). A median number of two [IQR 1-3] FUBCs were taken during the first week, with 134/159 (84%) having at least one FUBC in the first four days. Seven patients (4,4%) had persistent bacteraemia 48 h after start of antibiotic treatment: 5/70 patients (7.1%) with PVE and 2/89 (2.2%) with native valve endocarditis. Among 97 patients with streptococcal IE, nine patients with HACEK IE and six patients with Cutibacterium IE, no persistent bacteraemia was observed. Enterococcus faecalis was the causative microorganism in five patients with persistent bacteraemia, the other two had non-HACEK Gram-negative endocarditis. Persistent bacteraemia in non-staphylococcal endocarditis was rare. It was more frequently observed in PVE and was restricted to more resilient microorganisms such as enterococci and non-HACEK Gram-negative bacteria. Routine collection of FUBCs in patients with streptococcal endocarditis has a low yield and may require re-evaluation.</t>
  </si>
  <si>
    <t>A Population Pharmacokinetic Modelling Approach to Unravel the Complex Pharmacokinetics of Vincristine in Children.</t>
  </si>
  <si>
    <t>Nijstad, A Laura; Chu, Wan-Yu; de Vos-Kerkhof, Evelien; Enters-Weijnen, Catherine F; van de Velde, Mirjam E; Kaspers, Gertjan J L; Barnett, Shelby; Veal, Gareth J; Lalmohamed, Arief; Zwaan, C Michel; Huitema, Alwin D R</t>
  </si>
  <si>
    <t>pharmaceutical research</t>
  </si>
  <si>
    <t>https://pubmed.ncbi.nlm.nih.gov/35986122</t>
  </si>
  <si>
    <t>Vincristine, a chemotherapeutic agent that extensively binds to β-tubulin, is commonly dosed at 1.4-2.0 mg/m&lt;sup&gt;2&lt;/sup&gt; capped at 2 mg. For infants, doses vary from 0.025-0.05 mg/kg or 50-80% of the mg/m&lt;sup&gt;2&lt;/sup&gt; dose. However, evidence for lower doses in infants compared to older children is lacking. This study was conducted to unravel the complex pharmacokinetics of vincristine, including the effects of age, to assist optimal dosing in this population. 206 patients (0.04-33.9 years; 25 patients &lt; 1 years), receiving vincristine, with 1297 plasma concentrations were included. Semi-mechanistic population pharmacokinetic analyses were performed using non-linear mixed effects modelling. A three-compartment model, with one saturable compartment resembling saturable binding to β-tubulin and thus, saturable distribution, best described vincristine pharmacokinetics. Body weight and age were covariates significantly influencing the maximal binding capacity to β-tubulin, which increased with increasing body weight and decreased with increasing age. Vincristine clearance (CL) was estimated as 30.6 L/h (95% confidence interval (CI) 27.6-33.0), intercompartmental CL (Q) as 63.2 L/h (95%CI 57.2-70.1), volume of distribution of the central compartment as 5.39 L (95%CI 4.23-6.46) and of the peripheral compartment as 400 L (95%CI 357-463) (all parameters correspond to a patient of 70 kg). The maximal binding capacity was 0.525 mg (95%CI 0.479-0.602) (for an 18 year old patient of 70 kg), with a high association rate constant, fixed at 1300 /h and a dissociation constant of 11.5 /h. A decrease of vincristine β-tubulin binding capacity with increasing age suggests that young children tolerate higher doses of vincristine.</t>
  </si>
  <si>
    <t>Evaluation of a Text Messaging Intervention to Promote Preconception Micronutrient Supplement Use: Feasibility Study Nested in the Healthy Life Trajectories Initiative Study in South Africa.</t>
  </si>
  <si>
    <t>Soepnel, Larske M; McKinley, Michelle C; Klingberg, Sonja; Draper, Catherine E; Prioreschi, Alessandra; Norris, Shane A; Ware, Lisa J</t>
  </si>
  <si>
    <t>https://pubmed.ncbi.nlm.nih.gov/35980731</t>
  </si>
  <si>
    <t>Social messaging strategies such as SMS text messaging and radio are promising avenues for health promotion and behavior change in low- to middle-income settings. However, evidence of their acceptability, feasibility, and impact in the context of young women's health and micronutrient deficiencies is lacking. This study aimed to evaluate the feasibility of an automated 2-way text messaging intervention nested in an ongoing preconception health trial, the Healthy Life Trajectories Initiative (HeLTI; HeLTI Bukhali) in Soweto, South Africa. Second, we aimed to evaluate the acceptability of a health promotion radio serial, which aired concurrently in the region. In this feasibility study, 120 participants enrolled in HeLTI Bukhali between November 2020 and February 2021 received the 6-month 2-way text messaging intervention. Quantitative and qualitative data on intervention acceptability, usability, interaction, perceived benefit, and fidelity were collected during 5 focus group discussions (FGDs) and from study data logs. During the FGDs, data were collected on the acceptability of the radio serial. Following the text messaging intervention, capillary hemoglobin levels were assessed, and a participant questionnaire provided information on adherence and attitudes toward supplements. The text messaging control group comprised the first 120 women recruited from November 2019 to February 2020, who received the Bukhali intervention but not the text messages. Statistical significance testing and a linear mixed model were used for indicative effect comparisons between the text message-receiving and control groups. The text messaging intervention was found to be acceptable and to have perceived benefits, including being reminded to take supplements, gaining knowledge, and feeling supported by the study team. The use of the 2-way text messaging reply function was limited, with only a 10.8% (13/120) response rate by week 24. Barriers to replying included a lack of interest or phone credit and technical issues. Regarding the indicative effect, participants receiving the text messages had higher self-reported adherence at follow-up than the text messaging control group (42/63, 67% vs 33/85, 39% taking supplements every time; P=.02), and altitude-adjusted hemoglobin increased more between baseline and follow-up in the SMS text message-receiving group than in the text messaging control group (1.03, 95% CI 0.49-1.57; P&lt;.001). The radio serial content was acceptable, although few participants reported exposure before the FGD. Women reported that the text messaging intervention was useful and described the benefits of receiving the messages. Examination of hemoglobin status indicated a promising beneficial effect of text messaging support on adherence to micronutrient supplementation, requiring further exploration through randomized controlled studies. Health promotion through radio and text messages were both found to be acceptable, although more research into the radio serial reach among young women is needed. Pan African Clinical Trials Registry (PACTR) PACTR201903750173871; https://tinyurl.com/4x6n32ff.</t>
  </si>
  <si>
    <t>The harm of class imbalance corrections for risk prediction models: illustration and simulation using logistic regression.</t>
  </si>
  <si>
    <t>van den Goorbergh, Ruben; van Smeden, Maarten; Timmerman, Dirk; Van Calster, Ben</t>
  </si>
  <si>
    <t>journal of the american medical informatics association jamia</t>
  </si>
  <si>
    <t>https://pubmed.ncbi.nlm.nih.gov/35686364</t>
  </si>
  <si>
    <t>Methods to correct class imbalance (imbalance between the frequency of outcome events and nonevents) are receiving increasing interest for developing prediction models. We examined the effect of imbalance correction on the performance of logistic regression models. Prediction models were developed using standard and penalized (ridge) logistic regression under 4 methods to address class imbalance: no correction, random undersampling, random oversampling, and SMOTE. Model performance was evaluated in terms of discrimination, calibration, and classification. Using Monte Carlo simulations, we studied the impact of training set size, number of predictors, and the outcome event fraction. A case study on prediction modeling for ovarian cancer diagnosis is presented. The use of random undersampling, random oversampling, or SMOTE yielded poorly calibrated models: the probability to belong to the minority class was strongly overestimated. These methods did not result in higher areas under the ROC curve when compared with models developed without correction for class imbalance. Although imbalance correction improved the balance between sensitivity and specificity, similar results were obtained by shifting the probability threshold instead. Imbalance correction led to models with strong miscalibration without better ability to distinguish between patients with and without the outcome event. The inaccurate probability estimates reduce the clinical utility of the model, because decisions about treatment are ill-informed. Outcome imbalance is not a problem in itself, imbalance correction may even worsen model performance.</t>
  </si>
  <si>
    <t>Critical appraisal of artificial intelligence-based prediction models for cardiovascular disease.</t>
  </si>
  <si>
    <t>van Smeden, Maarten; Heinze, Georg; Van Calster, Ben; Asselbergs, Folkert W; Vardas, Panos E; Bruining, Nico; de Jaegere, Peter; Moore, Jason H; Denaxas, Spiros; Boulesteix, Anne Laure; Moons, Karel G M</t>
  </si>
  <si>
    <t>https://pubmed.ncbi.nlm.nih.gov/35639667</t>
  </si>
  <si>
    <t>The medical field has seen a rapid increase in the development of artificial intelligence (AI)-based prediction models. With the introduction of such AI-based prediction model tools and software in cardiovascular patient care, the cardiovascular researcher and healthcare professional are challenged to understand the opportunities as well as the limitations of the AI-based predictions. In this article, we present 12 critical questions for cardiovascular health professionals to ask when confronted with an AI-based prediction model. We aim to support medical professionals to distinguish the AI-based prediction models that can add value to patient care from the AI that does not.</t>
  </si>
  <si>
    <t>Cost-effectiveness of the implementation of [&lt;sup&gt;68&lt;/sup&gt;Ga]Ga-PSMA-11 PET/CT at initial prostate cancer staging.</t>
  </si>
  <si>
    <t>van der Sar, Esmée C A; Keusters, Willem R; van Kalmthout, Ludwike W M; Braat, Arthur J A T; de Keizer, Bart; Frederix, Geert W J; Kooistra, Anko; Lavalaye, Jules; Lam, Marnix G E H; van Melick, Harm H E</t>
  </si>
  <si>
    <t>https://pubmed.ncbi.nlm.nih.gov/35962838</t>
  </si>
  <si>
    <t>Despite its high specificity, PSMA PET/CT has a moderate to low sensitivity of 40-50% for pelvic lymph node detection, implicating that a negative PSMA PET/CT cannot rule out lymph node metastases. This study investigates a strategy of implementing PSMA PET/CT for initial prostate cancer staging and treatment planning compared to conventional diagnostics. In this PSMA PET/CT strategy, a bilateral extended pelvic lymph node dissection (ePLND) is only performed in case of a negative PSMA PET/CT; in case of a positive scan treatment planning is solely based on PSMA PET/CT results. A decision table and lifetime state transition model were created. Quality-adjusted life years and health care costs were modelled over lifetime. The PSMA PET/CT strategy of treatment planning based on initial staging with [&lt;sup&gt;68&lt;/sup&gt;Ga]Ga-PSMA-11 PET/CT results in cost-savings of €674 and a small loss in quality of life (QoL), 0.011 QALY per patient. The positive effect of [&lt;sup&gt;68&lt;/sup&gt;Ga]Ga-PSMA-11 PET/CT was caused by abandoning both an ePLND and unnecessary treatment in iM1 patients, saving costs and resulting in higher QoL. The negative effect was caused by lower QoL and high costs in the false palliative state, due to pN1&lt;sub&gt;lim&lt;/sub&gt; patients (≤ 4 pelvic lymph node metastases) being falsely diagnosed as iN1&lt;sub&gt;ext&lt;/sub&gt; (&gt; 4 pelvic lymph node metastases). These patients received subsequently palliative treatment instead of potentially curative therapy. Initial staging and treatment planning based on [&lt;sup&gt;68&lt;/sup&gt;Ga]Ga-PSMA-11 PET/CT saves cost but results in small QALY loss due to the rate of false positive findings.</t>
  </si>
  <si>
    <t>Smartphone Application-Assisted Home Blood Pressure Monitoring Compared With Office and Ambulatory Blood Pressure Monitoring in Patients With Hypertension: the AMUSE-BP Study.</t>
  </si>
  <si>
    <t>Groenland, Eline H; Vendeville, Jean-Paul A C; Bemelmans, Remy H H; Monajemi, Houshang; Bots, Michiel L; Visseren, Frank L J; Spiering, Wilko</t>
  </si>
  <si>
    <t>hypertension dallas tex</t>
  </si>
  <si>
    <t>https://pubmed.ncbi.nlm.nih.gov/35959685</t>
  </si>
  <si>
    <t>The development of automated, smartphone application (app)-assisted home blood pressure monitoring (HBPM) allows for standardized measurement of blood pressure (BP) at home. The aim of this study was to evaluate the (diagnostic) agreement between app-assisted HBPM, automated office BP (OBP), and the reference standard 24-hour ambulatory BP monitoring (ABPM). In this open randomized 5-way cross-over study, patients diagnosed with hypertension were randomized to one of 10 clusters, each containing 5 BP measurement methods (ABPM, HBPM, attended OBP, unattended OBP, and unattended 30-minute BP) in different order. In total, 113 patients were included. The average 24-hour ABPM was 126±11/73±8 mm Hg compared with 141±14/82±10 mm Hg with app-assisted HBPM, 134±13/80±9 mm Hg with unattended 30-minute BP, 137±16/81±11 mm Hg with attended OBP, and 135±15/81±10 mm Hg with unattended OBP monitoring. Diagnostic agreement between app-assisted HBPM and 24-hour ABPM for diagnosing sustained (OBP &gt;140/90 mm Hg and ABPM ≥130/80 mm Hg or HBPM ≥135/85 mm Hg), white-coat (OBP ≥140/90 mm Hg and ABPM &lt;130/80 mm Hg or HBPM &lt;135/85 mm Hg), and masked hypertension (OBP &lt;140/90 mm Hg and ABPM ≥130/80 mm Hg or HBPM ≥135/85 mm Hg) was fair-to-moderate (κ statistics ranging from 0.34 to 0.40). App-assisted HBPM had high sensitivities (78%-91%) and negative predictive values (90%-97%) for diagnosing sustained and masked hypertension. This study showed a considerable (diagnostic) disagreement between app-assisted HBPM and ABPM. App-assisted HBPM had high sensitivity in the diagnosis of sustained and masked hypertension and may therefore be used as complementary to, but not a replacement of, ABPM.</t>
  </si>
  <si>
    <t>Contact With Young Children Increases the Risk of Respiratory Infection in Older Adults in Europe-the RESCEU Study.</t>
  </si>
  <si>
    <t>Korsten, Koos; Adriaenssens, Niels; Coenen, Samuel; Butler, Chris C; Pirçon, Jean Yves; Verheij, Theo J M; Bont, Louis J; Wildenbeest, Joanne G; ,</t>
  </si>
  <si>
    <t>https://pubmed.ncbi.nlm.nih.gov/34908153</t>
  </si>
  <si>
    <t>Knowledge about how older adults get a respiratory infection is crucial for planning preventive strategies. We aimed to determine how contact with young children living outside of the household affects the risk of acute respiratory tract infections (ARTI) in community-dwelling older adults. This study is part of the European RESCEU older adult study. Weekly surveillance was performed to detect ARTI throughout 2 winter seasons (2017-2018, 2018-2019). Child exposure, defined as having regular contact with children under 5 living outside of the subject's household, was assessed at baseline. The average attributable fraction was calculated to determine the fraction of ARTI explained by exposure to these children. We prospectively established that 597/1006 (59%) participants experienced at least 1 ARTI. Child exposure increased the risk of all-cause ARTI (adjusted odds ratio [aOR], 1.58; 95% confidence interval [CI], 1.21 -2.08; P = .001). This risk was highest in those with the most frequent contact (aOR, 1.80; 95% CI, 1.23-2.63; P = .003). The average attributable fraction of child exposure explaining ARTI was 10% (95% CI, 5%-15%). One of 10 ARTI in community-dwelling older adults is attributable to exposure to preschool children living outside of the household. NCT03621930.</t>
  </si>
  <si>
    <t>Performance Assessment of a Rapid Molecular Respiratory Syncytial Virus Point-of-Care Test: A Prospective Community Study in Older Adults.</t>
  </si>
  <si>
    <t>Zuurbier, Roy P; Korsten, Koos; Verheij, Theo J M; Butler, Chris; Adriaenssens, Niels; Coenen, Samuel; Gruselle, Olivier; Vantomme, Valerie; van Houten, Marlies A; Bont, Louis J; Wildenbeest, Joanne G; ,</t>
  </si>
  <si>
    <t>https://pubmed.ncbi.nlm.nih.gov/35134954</t>
  </si>
  <si>
    <t>Respiratory syncytial virus (RSV) causes a substantial burden in older adults. Viral load in RSV-infected adults is generally lower compared to young children, which could result in suboptimal sensitivity of RSV diagnostics. Although the Xpert® Xpress Flu/RSV assay has been used in routine clinical care, its sensitivity to diagnose RSV infection in older adults is largely unknown. We aimed to compare the performance of the Xpert® Xpress Flu/RSV assay with real-time reverse-transcription polymerase chain reaction (RT-PCR) in home-dwelling older adults (≥60 years of age). Nasopharyngeal swabs were tested with Xpert® Xpress Flu/RSV and compared to RSV RT-PCR in older adults with acute respiratory tract infections with different levels of disease severity. We studied 758 respiratory samples from 561 older adults from 2 consecutive RSV seasons. Thirty-five (4.6%) samples tested positive for RSV by at least 1 of the assays, of which 2 samples were negative by Xpert® Xpress Flu/RSV and 3 samples by real-time RT-PCR. The positive percentage agreement (PPA) was 90.9% (95% confidence interval [CI], 76.4%-96.8%) and negative percentage agreement was 99.7% (95% CI, 99.0%-99.9%). Viral loads were low (≤103 copies/mL or cycle threshold value ≥34) in all cases with discordant results for the 2 assays. The PPA of Xpert® Xpress Flu/RSV compared to routine RT-PCR is high for RSV detection in home-dwelling older adults. The assay is fast and easy to use at the point of care. NCT03621930.</t>
  </si>
  <si>
    <t>World Health Organization Influenza-Like Illness Underestimates the Burden of Respiratory Syncytial Virus Infection in Community-Dwelling Older Adults.</t>
  </si>
  <si>
    <t>Korsten, Koos; Adriaenssens, Niels; Coenen, Samuel; Butler, Chris C; Verheij, Theo J M; Bont, Louis J; Wildenbeest, Joanne G; ,</t>
  </si>
  <si>
    <t>https://pubmed.ncbi.nlm.nih.gov/34904176</t>
  </si>
  <si>
    <t>Respiratory syncytial virus (RSV) surveillance is heavily dependent on the influenza-like illness (ILI) case definition from the World Health Organization (WHO). Because ILI includes fever in its syndromic case definition, its ability to accurately identify acute respiratory tract infections (ARTI) caused by RSV in older adults is uncertain. The accuracy of the WHO ILI and a modified ILI (requiring only self-reported fever) case definitions in identifying patients with PCR-confirmed RSV-ARTI was evaluated in community-dwelling older adults (≥60 years) from the prospective European RESCEU cohort study. Among 1040 participants, 750 ARTI episodes were analyzed including 36 confirmed RSV-ARTI. Due to a general lack of fever, sensitivity for RSV-ARTI was 33% for modified ILI and 11% for ILI. The area under the curve for both ILI definitions was 0.52 indicating poor discrimination for RSV. RSV-ARTI could not be distinguished from all other ARTI based on clinical symptoms. The use of ILI underestimated the occurrence of RSV-ARTI in community-dwelling older adults up to 9-fold (11% sensitivity). Because worldwide RSV surveillance depends largely on ILI, there is an urgent need for a better approach to measure the occurrence of RSV disease and the impact of future RSV vaccine introduction. Clinical Trials Registration. NCT03621930.</t>
  </si>
  <si>
    <t>Outcomes in patients with a first episode of chest pain undergoing early coronary CT imaging.</t>
  </si>
  <si>
    <t>Siegersma, Klaske R; Onland-Moret, N Charlotte; Appelman, Yolande; van der Harst, Pim; Tulevski, Igor I; Somsen, G Aernout; Narula, Jagat; den Ruijter, Hester M; Hofstra, Leonard</t>
  </si>
  <si>
    <t>https://pubmed.ncbi.nlm.nih.gov/34782405</t>
  </si>
  <si>
    <t>To investigate the impact of a CT-first strategy on all-cause and cardiovascular mortality in patients presenting with chest pain in outpatient cardiology clinics. Patients with a first presentation of suspected angina pectoris were identified and their data linked to the registrations of Statistics Netherlands for information on mortality. The linked database consisted of 33 068 patients. CT-first patients were defined as patients with a CT calcium score and coronary CT angiography, within 6 weeks after their initial visit. Propensity score matching (1:5) was used to match patients with and without a CT-first strategy. After matching, 12 545 patients were included of which 2308 CT-first patients and 10 237 patients that underwent usual care. Mean age was 57 years, 56.3% were women and median follow-up was 4.9 years. All-cause mortality was significantly lower in CT-first patients (n=43, 1.9%) compared with patients without CT (n=363, 3.5%) (HR: 0.51, 95% CI 0.37 to 0.70). Furthermore, CT-first patients were more likely to receive cardiovascular preventative and antianginal medication (aspirin: 44.9% vs 27.1%, statins: 48.7% vs 30.3%, beta-blockers: 37.8% vs 25.5%, in CT-first and without CT-first patients, respectively) and to undergo downstream diagnostics and interventions (coronary interventions: 8.5% vs 5.7%, coronary angiography: 16.2% vs 10.6% in CT-first and without CT-first patients, respectively). In a real-world regular care database, a CT-first strategy in patients suspected of angina pectoris was associated with a lowering of all-cause mortality.</t>
  </si>
  <si>
    <t>Feasibility of a supervised and home-based tailored exercise intervention in head and neck cancer patients during chemoradiotherapy.</t>
  </si>
  <si>
    <t>Kok, Annemieke; Passchier, Ellen; May, Anne M; van den Brekel, Michiel W M; Jager-Wittenaar, Harriët; Veenhof, Cindy; de Bree, Remco; Stuiver, Martijn M; Speksnijder, Caroline M</t>
  </si>
  <si>
    <t>https://pubmed.ncbi.nlm.nih.gov/35953883</t>
  </si>
  <si>
    <t>Chemoradiotherapy (CRT) for head and neck cancer (HNC) is associated with high toxicity that adversely affects physical functioning, body composition, fatigue, quality of life and treatment outcomes. Exercise interventions during treatment might counteract these negative effects. We therefore assessed the feasibility of an exercise programme for HNC patients during CRT. Forty patients were offered a tailored 10-week endurance and resistance training with supervised and home-based sessions. Feasibility endpoints were (1) adherence (main outcome): ≥60% attendance; (2) recruitment: ≥30%; (3) retention rate: ≥85% and (4) compliance rate: ≥60%. Physical performance, muscle strength, body composition, quality of life and fatigue were assessed pre- and post-intervention. Overall adherence was 54%. The recruitment rate was 36%, and the retention rate was 65%. Compliance to the supervised intervention protocol was 66%. Statistically significant decreases were found in mean grip strength, fat-free mass and clinically relevant deteriorations on several domains of quality of life, and fatigue subscales were found. We conclude that this exercise programme for HNC patients during CRT in its current form is feasible for only a minority of patients. We suggest adaptations to improve adherence and retention rates for a definitive multicentre trial. This study is registered at the Netherlands Trial Register (NTR7305), 6 June 2018, retrospectively registered.</t>
  </si>
  <si>
    <t>The 2021 Dutch Working Party on Antibiotic Policy (SWAB) guidelines for empirical antibacterial therapy of sepsis in adults.</t>
  </si>
  <si>
    <t>Sieswerda, Elske; Bax, Hannelore I; Hoogerwerf, Jacobien J; de Boer, Mark G J; Boermeester, Marja; Bonten, Marc J M; Dekker, Douwe; van Wijk, Roy Gerth; Juffermans, Nicole P; Kuindersma, Marnix; van der Linden, Paul D; Melles, Damian C; Pickkers, Peter; Schouten, Jeroen A; Rebel, Jasper R; van Zanten, Arthur R H; Prins, Jan M; Wiersinga, W Joost</t>
  </si>
  <si>
    <t>https://pubmed.ncbi.nlm.nih.gov/35953772</t>
  </si>
  <si>
    <t>The Dutch Working Party on Antibiotic Policy (SWAB) in collaboration with relevant professional societies, has updated their evidence-based guidelines on empiric antibacterial therapy of sepsis in adults. Our multidisciplinary guideline committee generated ten population, intervention, comparison, and outcome (PICO) questions relevant for adult patients with sepsis. For each question, a literature search was performed to obtain the best available evidence and assessed using the Grading of Recommendations Assessment, Development, and Evaluation (GRADE) system. The quality of evidence for clinically relevant outcomes was graded from high to very low. In structured consensus meetings, the committee formulated recommendations as strong or weak. When evidence could not be obtained, recommendations were provided based on expert opinion and experience (good practice statements). Fifty-five recommendations on the antibacterial therapy of sepsis were generated. Recommendations on empiric antibacterial therapy choices were differentiated for sepsis according to the source of infection, the potential causative pathogen and its resistance pattern. One important revision was the distinction between low, increased and high risk of infection with Enterobacterales resistant to third generation cephalosporins (3GRC-E) to guide the choice of empirical therapy. Other new topics included empirical antibacterial therapy in patients with a reported penicillin allergy and the role of pharmacokinetics and pharmacodynamics to guide dosing in sepsis. We also established recommendations on timing and duration of antibacterial treatment. Our multidisciplinary committee formulated evidence-based recommendations for the empiric antibacterial therapy of adults with sepsis in The Netherlands.</t>
  </si>
  <si>
    <t>A Very Short List of Common Pitfalls in Research Design, Data Analysis, and Reporting.</t>
  </si>
  <si>
    <t>van Smeden, Maarten</t>
  </si>
  <si>
    <t>primer leawood kan</t>
  </si>
  <si>
    <t>https://pubmed.ncbi.nlm.nih.gov/36119906</t>
  </si>
  <si>
    <t>DNA methylation trajectories and accelerated epigenetic aging in incident type 2 diabetes.</t>
  </si>
  <si>
    <t>Fraszczyk, Eliza; Thio, Chris H L; Wackers, Paul; Dollé, Martijn E T; Bloks, Vincent W; Hodemaekers, Hennie; Picavet, H Susan; Stynenbosch, Marjolein; Verschuren, W M Monique; Snieder, Harold; Spijkerman, Annemieke M W; Luijten, Mirjam</t>
  </si>
  <si>
    <t>geroscience</t>
  </si>
  <si>
    <t>https://pubmed.ncbi.nlm.nih.gov/35947335</t>
  </si>
  <si>
    <t>DNA methylation (DNAm) patterns across the genome changes during aging and development of complex diseases including type 2 diabetes (T2D). Our study aimed to estimate DNAm trajectories of CpG sites associated with T2D, epigenetic age (DNAmAge), and age acceleration based on four epigenetic clocks (GrimAge, Hannum, Horvath, phenoAge) in the period 10 years prior to and up to T2D onset. In this nested case-control study within Doetinchem Cohort Study, we included 132 incident T2D cases and 132 age- and sex-matched controls. DNAm was measured in blood using the Illumina Infinium Methylation EPIC array. From 107 CpG sites associated with T2D, 10 CpG sites (9%) showed different slopes of DNAm trajectories over time (p &lt; 0.05) and an additional 8 CpG sites (8%) showed significant differences in DNAm levels (at least 1%, p-value per time point &lt; 0.05) at all three time points with nearly parallel trajectories between incident T2D cases and controls. In controls, age acceleration levels were negative (slower epigenetic aging), while in incident T2D cases, levels were positive, suggesting accelerated aging in the case group. We showed that DNAm levels at specific CpG sites, up to 10 years before T2D onset, are different between incident T2D cases and healthy controls and distinct patterns of clinical traits over time may have an impact on those DNAm profiles. Up to 10 years before T2D diagnosis, cases manifested accelerated epigenetic aging. Markers of biological aging including age acceleration estimates based on Horvath need further investigation to assess their utility for predicting age-related diseases including T2D.</t>
  </si>
  <si>
    <t>Qualitative interviews results from heart failure survey respondents on the interaction between symptoms and burden of self-care work.</t>
  </si>
  <si>
    <t>Austin, Rosalynn C; Schoonhoven, Lisette; Richardson, Alison; Kalra, Paul R; May, Carl R</t>
  </si>
  <si>
    <t>https://pubmed.ncbi.nlm.nih.gov/35945903</t>
  </si>
  <si>
    <t>Following a cross-sectional survey, a sub-sample of participants was interviewed to explore the interaction between symptoms and burden of treatment. Burden of treatment considers both the work associated with illness and treatment, including self-care work, as well as the individuals' capabilities and resources to engage in that work. The recent survey revealed the existence of a complex interaction. Qualitative abductive analysis of semi-structured interviews. Adults with heart failure who participated in the survey were purposely sampled and invited to participate in semi-structured interviews. Location and mode of interview varied by participant choice. Excerpts from the verbatim transcripts were assessed for interactions between symptoms and burden of treatment, and when identified these were characterised and explained. We followed COREQ checklist for reporting. The patient research ambassador group was involved from research design to dissemination. Participants (n = 32) consistently discussed how symptoms altered their capability to engage in self-care work. As symptom intensity increased the difficultly of their self-care work increased. A number of intervening factors appeared to influence the relationship between symptoms and burden of treatment. Intervening factors included illness pathology, illness identity, the value of the tasks attempted and available support structures. These factors may change how symptoms and burden of treatment are perceived; a model was constructed to explain and summarise these interactions. The interaction between symptoms and burden of treatment is complex. Intervening factors-illness identity and pathology, task value and performance, and available support structures-appear to exert a strong influence on the interaction between symptoms and burden of treatment. These intervening factors present clinicians and researchers with opportunities to develop interventions that might reduce burden of treatment and improve symptoms and quality of life. SYMPACT was registered with ISRCTN registry: ISRCTN11011943.</t>
  </si>
  <si>
    <t>Elevated miR-29c-5p Expression in Nipple Aspirate Fluid Is Associated with Extremely High Mammographic Breast Density.</t>
  </si>
  <si>
    <t>Vissers, Tessa A C M; Piek, Leonie; Patuleia, Susana I S; Duinmeijer, Aafke J; Bakker, Marije F; van der Wall, Elsken; van Diest, Paul J; van Gils, Carla H; Moelans, Cathy B</t>
  </si>
  <si>
    <t>https://pubmed.ncbi.nlm.nih.gov/35954468</t>
  </si>
  <si>
    <t>High mammographic density (MD) is associated with an increased risk of breast cancer, however the underlying mechanisms are largely unknown. This research aimed to identify microRNAs (miRNAs) that play a role in the development of extremely dense breast tissue. In the discovery phase, 754 human mature miRNAs were profiled in 21 extremely high MD- and 20 very low MD-derived nipple aspirate fluid (NAF) samples from healthy women. In the validation phase, candidate miRNAs were assessed in a cohort of 89 extremely high MD and 81 very low MD NAF samples from healthy women. Independent predictors of either extremely high MD or miRNA expression were identified by logistic regression and linear regression analysis, respectively. mRNA targets and pathways were identified through miRTarBase, TargetScan, and PANTHER pathway analysis. Statistical analysis identified four differentially expressed miRNAs during the discovery phase. During the validation, linear regression (&lt;i&gt;p&lt;/i&gt; = 0.029; fold change = 2.10) and logistic regression (&lt;i&gt;p&lt;/i&gt; = 0.048; odds ratio = 1.38) showed that hsa-miR-29c-5p was upregulated in extremely high MD-derived NAF. Identified candidate mRNA targets of hsa-miR-29c-5p are CFLAR, DNMT3A, and PTEN. Further validation and exploration of targets and downstream pathways of has-miR-29c-5p will provide better insight into the processes involved in the development of high MD and in the associated increased risk of breast cancer.</t>
  </si>
  <si>
    <t>Perpetual observational studies: new strategies to support efficient implementation of observational studies and randomized trials in infectious diseases.</t>
  </si>
  <si>
    <t>Hassoun-Kheir, Nasreen; van Werkhoven, C Henri; Dunning, Jake; Jaenisch, Thomas; van Beek, Janko; Bielicki, Julia; Butler, Christopher C; Francois, Bruno; Harbarth, Stephan; Hernandez Padilla, Ana C; Horby, Peter; Koopmans, Marion; Lee, James; Rodriguez-Baño, Jesús; Tacconelli, Evelina; Themistocleous, Yrene; van der Velden, Alike W; Bonten, Marc; Goossens, Herman; de Kraker, Marlieke E A; ,</t>
  </si>
  <si>
    <t>https://pubmed.ncbi.nlm.nih.gov/35940566</t>
  </si>
  <si>
    <t>Observation of WWW Production in pp Collisions at sqrt[s]=13  TeV with the ATLAS Detector.</t>
  </si>
  <si>
    <t xml:space="preserve">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Agapopoulou, C;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t>
  </si>
  <si>
    <t>https://pubmed.ncbi.nlm.nih.gov/36018638</t>
  </si>
  <si>
    <t>This Letter reports the observation of WWW production and a measurement of its cross section using 139  fb^{-1} of proton-proton collision data recorded at a center-of-mass energy of 13 TeV by the ATLAS detector at the Large Hadron Collider. Events with two same-sign leptons (electrons or muons) and at least two jets, as well as events with three charged leptons, are selected. A multivariate technique is then used to discriminate between signal and background events. Events from WWW production are observed with a significance of 8.0 standard deviations, where the expectation is 5.4 standard deviations. The inclusive WWW production cross section is measured to be 820±100 (stat)±80 (syst)  fb, approximately 2.6 standard deviations from the predicted cross section of 511±18  fb calculated at next-to-leading-order QCD and leading-order electroweak accuracy.</t>
  </si>
  <si>
    <t>Causal Association of Cardiovascular Risk Factors and Lifestyle Behaviors With Peripheral Artery Disease: A Mendelian Randomization Approach.</t>
  </si>
  <si>
    <t>Hoek, Anna G; van Oort, Sabine; Elders, Petra J M; Beulens, Joline W J</t>
  </si>
  <si>
    <t>https://pubmed.ncbi.nlm.nih.gov/35929454</t>
  </si>
  <si>
    <t>Background We investigated the causal associations between the genetic liability to cardiovascular and lifestyle risk factors and peripheral artery disease (PAD), using a Mendelian randomization approach. Methods and Results We performed a 2-sample inverse-variance weighted Mendelian randomization analysis, multiple sensitivity analyses to assess pleiotropy and multivariate Mendelian randomization analyses to assess mediating/confounding factors. European-ancestry genomic summary data (&lt;i&gt;P&lt;/i&gt;&lt;5×10&lt;sup&gt;-8&lt;/sup&gt;) for type 2 diabetes, lipid-fractions, smoking, alcohol and coffee consumption, physical activity, sleep, and education level were selected. Genetic associations with PAD were extracted from the Million-Veteran-Program genome-wide association studies (cases=31 307, controls=211 753, 72% European-ancestry) and the GoLEAD-SUMMIT genome-wide association studies (11 independent genome-wide association studies, European-ancestry, cases=12 086, controls=449 548). Associations were categorized as robust (Bonferroni-significant (&lt;i&gt;P&lt;/i&gt;&lt;0.00294), consistent over PAD-cohorts/sensitivity analyses), suggestive (&lt;i&gt;P&lt;/i&gt; value: 0.00294-0.05, associations in 1 PAD-cohort/inconsistent sensitivity analyses) or not present. Robust evidence for genetic liability to type 2 diabetes, smoking, insomnia, and inverse associations for higher education level with PAD were found. Suggestive evidence for the genetic liability to higher low-density lipoprotein cholesterol, triglyceride-levels, alcohol consumption, and inverse associations for high-density lipoprotein cholesterol, and increased sleep duration were found. No associations were found for physical activity and coffee consumption. However, effects fully attenuated for low-density lipoprotein cholesterol and triglycerides after correcting for apoB, and for insomnia after correcting for body mass index and lipid-fractions. Nonsignificant attenuation by potential mediators was observed for education level and type 2 diabetes. Conclusions Detrimental effects of smoking and type 2 diabetes, but not of low-density lipoprotein cholesterol and triglycerides, on PAD were confirmed. Lower education level and insomnia were identified as novel risk factors for PAD; however, complete mediation for insomnia and incomplete mediation for education level by downstream risk factors was observed.</t>
  </si>
  <si>
    <t>Cultural adaptation of a diabetes self-management education and support (DSMES) programme for two low resource urban settings in Ghana, during the COVID-19 era.</t>
  </si>
  <si>
    <t>Lamptey, Roberta; Davies, Melanie J; Khunti, Kamlesh; Schreder, Sally; Stribling, Bernie; Hadjiconstantinou, Michelle</t>
  </si>
  <si>
    <t>https://pubmed.ncbi.nlm.nih.gov/35932063</t>
  </si>
  <si>
    <t>Type 2 diabetes is a significant public health problem globally and associated with significant morbidity and mortality. Diabetes self-management education and support (DSMES) programmes are associated with improved psychological and clinical outcomes. There are currently no structured DSMES available in Ghana. We sought to adapt an evidence-based DSMES intervention for the Ghanaian population in collaboration with the local Ghanaian people. We used virtual engagements with UK-based DSMES trainers, produced locally culturally and linguistically appropriate content and modified the logistics needed for the delivery of the self-management programme to suit people with low literacy and low health literacy levels. A respectful understanding of the socio-cultural belief systems in Ghana as well as the peculiar challenges of low resources settings and low health literacy is necessary for adaptation of any DSMES programme for Ghana. We identified key cultural, linguistic, and logistic considerations to incorporate into a DSMES programme for Ghanaians, guided by the Ecological Validity Model. These insights can be used further to scale up availability of structured DSMES in Ghana and other low- middle- income countries.</t>
  </si>
  <si>
    <t>How to conduct a systematic review and meta-analysis of prognostic model studies.</t>
  </si>
  <si>
    <t>Damen, Johanna A A; Moons, Karel G M; van Smeden, Maarten; Hooft, Lotty</t>
  </si>
  <si>
    <t>https://pubmed.ncbi.nlm.nih.gov/35934199</t>
  </si>
  <si>
    <t>Prognostic models are typically developed to estimate the risk that an individual in a particular health state will develop a particular health outcome, to support (shared) decision making. Systematic reviews of prognostic model studies can help identify prognostic models that need to further be validated or are ready to be implemented in healthcare. To provide a step-by-step guidance on how to conduct and read a systematic review of prognostic model studies and to provide an overview of methodology and guidance available for every step of the review progress. Published, peer-reviewed guidance articles. We describe the following steps for conducting a systematic review of prognosis studies: 1) Developing the review question using the Population, Index model, Comparator model, Outcome(s), Timing, Setting format, 2) Searching and selection of articles, 3) Data extraction using the Critical Appraisal and Data Extraction for Systematic Reviews of Prediction Modelling Studies (CHARMS) checklist, 4) Quality and risk of bias assessment using the Prediction model Risk Of Bias ASsessment (PROBAST) tool, 5) Analysing data and undertaking quantitative meta-analysis, and 6) Presenting summary of findings, interpreting results, and drawing conclusions. Guidance for each step is described and illustrated using a case study on prognostic models for patients with COVID-19. Guidance for conducting a systematic review of prognosis studies is available, but the implications of these reviews for clinical practice and further research highly depend on complete reporting of primary studies.</t>
  </si>
  <si>
    <t>Molecular characterization of colorectal cancer related peritoneal metastatic disease.</t>
  </si>
  <si>
    <t>Lenos, Kristiaan J; Bach, Sander; Ferreira Moreno, Leandro; Ten Hoorn, Sanne; Sluiter, Nina R; Bootsma, Sanne; Vieira Braga, Felipe A; Nijman, Lisanne E; van den Bosch, Tom; Miedema, Daniel M; van Dijk, Erik; Ylstra, Bauke; Kulicke, Ruth; Davis, Fred P; Stransky, Nicolas; Smolen, Gromoslaw A; Coebergh van den Braak, Robert R J; IJzermans, Jan N M; Martens, John W M; Hallam, Sally; Beggs, Andrew D; Kops, Geert J P L; Lansu, Nico; Bastiaenen, Vivian P; Klaver, Charlotte E L; Lecca, Maria C; El Makrini, Khalid; Elbers, Clara C; Dings, Mark P G; van Noesel, Carel J M; Kranenburg, Onno; Medema, Jan Paul; Koster, Jan; Koens, Lianne; Punt, Cornelis J A; Tanis, Pieter J; de Hingh, Ignace H; Bijlsma, Maarten F; Tuynman, Jurriaan B; Vermeulen, Louis</t>
  </si>
  <si>
    <t>https://pubmed.ncbi.nlm.nih.gov/35927254</t>
  </si>
  <si>
    <t>A significant proportion of colorectal cancer (CRC) patients develop peritoneal metastases (PM) in the course of their disease. PMs are associated with a poor quality of life, significant morbidity and dismal disease outcome. To improve care for this patient group, a better understanding of the molecular characteristics of CRC-PM is required. Here we present a comprehensive molecular characterization of a cohort of 52 patients. This reveals that CRC-PM represent a distinct CRC molecular subtype, CMS4, but can be further divided in three separate categories, each presenting with unique features. We uncover that the CMS4-associated structural protein Moesin plays a key role in peritoneal dissemination. Finally, we define specific evolutionary features of CRC-PM which indicate that polyclonal metastatic seeding underlies these lesions. Together our results suggest that CRC-PM should be perceived as a distinct disease entity.</t>
  </si>
  <si>
    <t>A multi-layer functional genomic analysis to understand noncoding genetic variation in lipids.</t>
  </si>
  <si>
    <t>Ramdas, Shweta; Judd, Jonathan; Graham, Sarah E; Kanoni, Stavroula; Wang, Yuxuan; Surakka, Ida; Wenz, Brandon; Clarke, Shoa L; Chesi, Alessandra; Wells, Andrew; Bhatti, Konain Fatima; Vedantam, Sailaja; Winkler, Thomas W; Locke, Adam E; Marouli, Eirini; Zajac, Greg J M; Wu, Kuan-Han H; Ntalla, Ioanna; Hui, Qin; Klarin, Derek; Hilliard, Austin T; Wang, Zeyuan; Xue, Chao; Thorleifsson, Gudmar; Helgadottir, Anna; Gudbjartsson, Daniel F; Holm, Hilma; Olafsson, Isleifur; Hwang, Mi Yeong; Han, Sohee; Akiyama, Masato; Sakaue, Saori; Terao, Chikashi; Kanai, Masahiro; Zhou, Wei; Brumpton, Ben M; Rasheed, Humaira; Havulinna, Aki S; Veturi, Yogasudha; Pacheco, Jennifer Allen; Rosenthal, Elisabeth A; Lingren, Todd; Feng, QiPing; Kullo, Iftikhar J; Narita, Akira; Takayama, Jun; Martin, Hilary C; Hunt, Karen A; Trivedi, Bhavi; Haessler, Jeffrey; Giulianini, Franco; Bradford, Yuki; Miller, Jason E; Campbell, Archie; Lin, Kuang; Millwood, Iona Y; Rasheed, Asif; Hindy, George; Faul, Jessica D; Zhao, We</t>
  </si>
  <si>
    <t>https://pubmed.ncbi.nlm.nih.gov/35931049</t>
  </si>
  <si>
    <t>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t>
  </si>
  <si>
    <t>Diet-wide association study of 92 foods and nutrients and lung cancer risk in the European Prospective Investigation into Cancer and Nutrition study and the Netherlands Cohort Study.</t>
  </si>
  <si>
    <t>Heath, Alicia K; Muller, David C; van den Brandt, Piet A; Critselis, Elena; Gunter, Marc; Vineis, Paolo; Weiderpass, Elisabete; Boeing, Heiner; Ferrari, Pietro; Merritt, Melissa A; Rostgaard-Hansen, Agnetha L; Tjønneland, Anne; Overvad, Kim; Katzke, Verena; Srour, Bernard; Masala, Giovanna; Sacerdote, Carlotta; Ricceri, Fulvio; Pasanisi, Fabrizio; Bueno-de-Mesquita, Bas; Downward, George S; Skeie, Guri; Sandanger, Torkjel M; Crous-Bou, Marta; Rodríguez-Barranco, Miguel; Amiano, Pilar; Huerta, José María; Ardanaz, Eva; Drake, Isabel; Johansson, Mikael; Johansson, Ingegerd; Key, Tim; Papadimitriou, Nikos; Riboli, Elio; Tzoulaki, Ioanna; Tsilidis, Konstantinos K</t>
  </si>
  <si>
    <t>https://pubmed.ncbi.nlm.nih.gov/35830197</t>
  </si>
  <si>
    <t>It is unclear whether diet, and in particular certain foods or nutrients, are associated with lung cancer risk. We assessed associations of 92 dietary factors with lung cancer risk in 327 790 participants in the European Prospective Investigation into Cancer and Nutrition (EPIC). Cox regression yielded adjusted hazard ratios (HRs) and 95% confidence intervals (CIs) per SD higher intake/day of each food/nutrient. Correction for multiple comparisons was performed using the false discovery rate and identified associations were evaluated in the Netherlands Cohort Study (NLCS). In EPIC, 2420 incident lung cancer cases were identified during a median of 15 years of follow-up. Higher intakes of fibre (HR per 1 SD higher intake/day = 0.91, 95% CI 0.87-0.96), fruit (HR = 0.91, 95% CI 0.86-0.96) and vitamin C (HR = 0.91, 95% CI 0.86-0.96) were associated with a lower risk of lung cancer, whereas offal (HR = 1.08, 95% CI 1.03-1.14), retinol (HR = 1.06, 95% CI 1.03-1.10) and beer/cider (HR = 1.04, 95% CI 1.02-1.07) intakes were positively associated with lung cancer risk. Associations did not differ by sex and there was less evidence for associations among never smokers. None of the six associations with overall lung cancer risk identified in EPIC were replicated in the NLCS (2861 cases), however in analyses of histological subtypes, inverse associations of fruit and vitamin C with squamous cell carcinoma were replicated in the NLCS. Overall, there is little evidence that intakes of specific foods and nutrients play a major role in primary lung cancer risk, but fruit and vitamin C intakes seem to be inversely associated with squamous cell lung cancer.</t>
  </si>
  <si>
    <t>Adherence to an injury prevention program in male amateur football players is affected by players' age, experience and perceptions.</t>
  </si>
  <si>
    <t>van de Hoef, Peter Alexander; Brink, Michel S; Brauers, Jur J; van Smeden, Maarten; Gouttebarge, Vincent; Backx, Frank J G</t>
  </si>
  <si>
    <t>bmj open sport exercise medicine</t>
  </si>
  <si>
    <t>https://pubmed.ncbi.nlm.nih.gov/35990760</t>
  </si>
  <si>
    <t>Adherence to injury prevention programmes in football remains low, which is thought to drastically reduce the effects of injury prevention programmes. Reasons why (medical) staff and players implement injury prevention programmes, have been investigated, but player's characteristics and perceptions about these programmes might influence their adherence. Therefore, this study investigated the relationships between player's characteristics and adherence and between player's perceptions and adherence following an implemented injury prevention programme. Data from 98 of 221 football players from the intervention group of a cluster randomised controlled trial concerning hamstring injury prevention were analysed. Adherence was better among older and more experienced football players, and players considered the programme more useful, less intense, more functional and less time-consuming. Previous hamstring injuries, educational level, the programme's difficulty and intention to continue the exercises were not significantly associated with adherence. These player's characteristics and perceptions should be considered when implementing injury prevention programmes.</t>
  </si>
  <si>
    <t>Learning patient-centredness with simulated/standardized patients: A realist review: BEME Guide No. 68.</t>
  </si>
  <si>
    <t>Grau Canét-Wittkampf, Christel; Diemers, Agnes; Van den Bogerd, Kristin; Schönrock-Adema, Johanna; Damoiseaux, Roger; Zwart, Dorien; Jaarsma, Debbie; Mol, Saskia; Bombeke, Katrien; de Groot, Esther</t>
  </si>
  <si>
    <t>https://pubmed.ncbi.nlm.nih.gov/35917585</t>
  </si>
  <si>
    <t>Given the positive outcomes of patient-centred care on health outcomes, future doctors should learn how to deliver patient-centred care. The literature describes a wide variety of educational interventions with standardized patients (SPs) that focus on learning patient-centredness. However, it is unclear which mechanisms are responsible for learning patient-centredness when applying educational interventions with SPs. This study aims to clarify how healthcare learners and professionals learn patient-centredness through interventions involving SPs in different healthcare educational contexts. A realist approach was used to focus on what works, for whom, in what circumstances, in what respect and why. Databases were searched through 2019. Nineteen papers were included for analysis. Through inductive and deductive coding, CIC'MO configurations were identified to build partial program theories. These CIC'MOs describe how Interventions with SPs change the Context (C→C') such that Mechanisms (M) are triggered that are expected to foster patient-centredness as Outcome. Interventions with SPs create three contexts which are 'a safe learning environment,' 'reflective practice,' and 'enabling people to learn together.' These contexts trigger the following seven mechanisms: feeling confident, feeling a sense of comfort, feeling safe, self-reflection, awareness, comparing &amp; contrasting perspectives, combining and broadening perspectives. A tentative final program theory with mechanisms belonging to three main learning components (cognitive, regulative metacognitive and affective) is proposed: Interventions with SPs create a safe learning environment (C') in which learners gain feelings of confidence, comfort and safety (affective M). This safe learning environment enables two other mutual related contexts in which learners learn together (C'), through comparing &amp; contrasting, combining and broadening their perspectives (cognitive M) and in which reflective practice (C') facilitates self-reflection and awareness (metacognitive M) in order to learn patient-centeredness. These insights offer educators ways to deliberately use interventions with SPs that trigger the described mechanisms for learning patient-centredness.</t>
  </si>
  <si>
    <t>Impact of rapid molecular testing on diagnosis, treatment and management of community-acquired pneumonia in Norway: a pragmatic randomised controlled trial (CAPNOR).</t>
  </si>
  <si>
    <t>Serigstad, Sondre; Ritz, Christian; Faurholt-Jepsen, Daniel; Markussen, Dagfinn; Ebbesen, Marit H; Kommedal, Øyvind; Bjørneklett, Rune O; Heggelund, Lars; Clark, Tristan W; van Werkhoven, Cornelis H; Knoop, Siri T; Ulvestad, Elling; Grewal, Harleen M S; ,</t>
  </si>
  <si>
    <t>https://pubmed.ncbi.nlm.nih.gov/35915452</t>
  </si>
  <si>
    <t>Community-acquired pneumonia (CAP) causes a large burden of disease. Due to difficulties in obtaining representative respiratory samples and insensitive standard microbiological methods, the microbiological aetiology of CAP is difficult to ascertain. With a few exceptions, standard-of-care diagnostics are too slow to influence initial decisions on antimicrobial therapy. The management of CAP is therefore largely based on empirical treatment guidelines. Empiric antimicrobial therapy is often initiated in the primary care setting, affecting diagnostic tests based on conventional bacterial culture in hospitalized patients. Implementing rapid molecular testing may improve both the proportion of positive tests and the time it takes to obtain test results. Both measures are important for initiation of pathogen-targeted antibiotics, involving rapid de-escalation or escalation of treatment, which may improve antimicrobial stewardship and potentially patient outcome. Patients presenting to the emergency department of Haukeland University Hospital (HUH) in Bergen, Norway, will be screened for inclusion into a pragmatic randomised controlled trial (RCT). Eligible patients with a suspicion of CAP will be included and randomised to receive either standard-of-care methods (standard microbiological testing) or standard-of-care methods in addition to testing by the rapid and comprehensive real-time multiplex PCR panel, the BioFire® FilmArray® Pneumonia Panel plus (FAP plus) (bioMérieux S.A., Marcy-l'Etoile, France). The results of the FAP plus will be communicated directly to the treating staff within ~2 h of sampling. We will examine if rapid use of FAP plus panel in hospitalized patients with suspected CAP can improve both the time to and the proportion of patients receiving pathogen-directed treatment, thereby shortening the exposure to unnecessary antibiotics and the length of hospital admission, compared to the standard-of-care arm. The pragmatic design together with broad inclusion criteria and a straightforward intervention could make our results generalizable to other similar centres. ClinicalTrials.gov NCT04660084 . Registered on December 9, 2020.</t>
  </si>
  <si>
    <t>Association of Maternal Tobacco Use During Pregnancy With Preadolescent Brain Morphology Among Offspring.</t>
  </si>
  <si>
    <t>Zou, Runyu; Boer, Olga D; Felix, Janine F; Muetzel, Ryan L; Franken, Ingmar H A; Cecil, Charlotte A M; El Marroun, Hanan</t>
  </si>
  <si>
    <t>https://pubmed.ncbi.nlm.nih.gov/35913739</t>
  </si>
  <si>
    <t>Maternal tobacco use during pregnancy has been associated with various health consequences, including suboptimal neurodevelopment in offspring. However, the effect of prenatal exposure to maternal smoking on child brain development has yet to be elucidated. To investigate the association between maternal smoking during pregnancy and offspring brain development in preadolescence as well as the mediating pathways. This prospective, population-based cohort study was embedded in the Generation R Study, Rotterdam, the Netherlands. The Generation R Study was launched in 2002, with follow-up ongoing. Child brain morphology was assessed at 9 to 11 years of age (ie, 10-12 years between exposure and outcome assessment). Data analysis was performed from March 1, 2021, to February 28, 2022, and at the time of manuscript revision. Participants included the singleton children of pregnant women residing in the study area with an expected date of delivery between April 1, 2002, and January 31, 2006; 2704 children with information on maternal smoking during pregnancy and structural neuroimaging at 9 to 11 years of age were included. A subsample of 784 children with data on DNA methylation at birth was examined in the mediation analysis. Information on maternal smoking during pregnancy was collected via a questionnaire in each trimester. As a contrast, paternal smoking was assessed at recruitment. Brain morphology, including brain volumes and surface-based cortical measures (thickness, surface area, and gyrification), was assessed with magnetic resonance imaging. For mediation analysis, DNA methylation at birth was quantified by a weighted methylation risk score. The 2704 participating children (1370 [50.7%] girls and 1334 [49.3%] boys) underwent brain imaging assessment at a mean (SD) age of 10.1 (0.6) years. Compared with nonexposed children (n = 2102), exposure to continued maternal smoking during pregnancy (n = 364) was associated with smaller total brain volume (volumetric difference [b] = -14.5 [95% CI, -25.1 to -4.0] cm3), cerebral gray matter volume (b = -7.8 [95% CI, -13.4 to -2.3] cm3), cerebral white matter volume (b = -5.9 [95% CI, -10.7 to -1.0] cm3), and surface area and less gyrification. These associations were not explained by paternal smoking nor mediated by smoking-associated DNA methylation patterns at birth. Children exposed to maternal smoking only in the first trimester (n = 238) showed no differences in brain morphology compared with nonexposed children. The findings of this cohort study suggest that continued maternal tobacco use during pregnancy was associated with lower brain volumes and suboptimal cortical traits of offspring in preadolescence, which seemed to be independent of shared family factors. Tobacco cessation before pregnancy, or as soon as pregnancy is known, should be recommended to women for optimal brain development of their offspring.</t>
  </si>
  <si>
    <t>Drop-offs in the isoniazid preventive therapy cascade among children living with HIV in western Kenya, 2015-2019.</t>
  </si>
  <si>
    <t>Onyango, Dickens Otieno; van der Sande, Marianne A B; Yuen, Courtney M; Mecha, Jerphason; Matemo, Daniel; Oele, Elizabeth; Kinuthia, John; John-Stewart, Grace; LaCourse, Sylvia M</t>
  </si>
  <si>
    <t>journal of the international aids society</t>
  </si>
  <si>
    <t>https://pubmed.ncbi.nlm.nih.gov/35927793</t>
  </si>
  <si>
    <t>Isoniazid preventive therapy (IPT) can reduce the risk of tuberculosis (TB) in children living with HIV (CLHIV), but data on the outcomes of the IPT cascade in CLHIV are limited. We evaluated the IPT cascade among CLHIV aged &lt;15 years and newly enrolled in HIV care in eight HIV clinics in western Kenya. Medical record data were abstracted from September 2015 through July 2019. We assessed the proportion of CLHIV completing TB symptom screening, IPT eligibility assessment, IPT initiation and completion. TB incidence rate was calculated stratified by IPT initiation and completion status. Risk factors for IPT non-initiation and non-completion were assessed using Poisson regression with generalized linear models. Overall, 856 CLHIV were newly enrolled in HIV care, of whom 98% ([95% CI 97-99]; n = 841) underwent screening for TB symptoms and IPT eligibility. Of these, 13 (2%; 95% CI 1-3) were ineligible due to active TB and 828 (98%; 95% CI 97-99) were eligible. Five hundred and fifty-nine (68%; 95% CI 64-71) of eligible CLHIV initiated IPT; median time to IPT initiation was 3.6 months (interquartile range [IQR] 0.5-10.2). Overall, 434 (78%; 95% CI 74-81) IPT initiators completed. Attending high-volume HIV clinics (aRR = 2.82; 95% CI 1.20-6.62) was independently associated with IPT non-initiation. IPT non-initiation had a trend of being higher among those enrolled in the period 2017-2019 versus 2015-2016 (aRR = 1.91; 0.98-3.73) and those who were HIV virally non-suppressed (aRR = 1.90; 95% CI 0.98-3.71). Being enrolled in 2017-2019 versus 2015-2016 (aRR = 1.40; 1.01-1.96) was independently associated with IPT non-completion. By 24 months after IPT screening, TB incidence was four-fold higher among eligible CLHIV who never initiated (8.1 per 1000 person years [PY]) compared to CLHIV who completed IPT (2.1 per 1000 PY; rate ratio [RR] = 3.85; 95% CI 1.08-17.15), with a similar trend among CLHIV who initiated but did not complete IPT (8.2/1000 PY; RR = 4.39; 95% CI 0.82-23.56). Despite high screening for eligibility, timely IPT initiation and completion were suboptimal among eligible CLHIV in this programmatic cohort. Targeted programmatic interventions are needed to address these drop-offs from the IPT cascade by ensuring timely IPT initiation after ruling out active TB and enhancing completion of the 6-month course to reduce TB in CLHIV.</t>
  </si>
  <si>
    <t>Health Effects of Increasing Protein Intake Above the Current Population Reference Intake in Older Adults: A Systematic Review of the Health Council of the Netherlands.</t>
  </si>
  <si>
    <t>Hengeveld, Linda M; de Goede, Janette; Afman, Lydia A; Bakker, Stephan J L; Beulens, Joline W J; Blaak, Ellen E; Boersma, Eric; Geleijnse, Johanna M; van Goudoever, Johannes Hans B; Hopman, Maria T E; Iestra, Jolein A; Kremers, Stef P J; Mensink, Ronald P; de Roos, Nicole M; Stehouwer, Coen D A; Verkaik-Kloosterman, Janneke; de Vet, Emely; Visser, Marjolein</t>
  </si>
  <si>
    <t>advances in nutrition bethesda md</t>
  </si>
  <si>
    <t>https://pubmed.ncbi.nlm.nih.gov/35016214</t>
  </si>
  <si>
    <t>Whether older adults need more protein than younger adults is debated. The population reference intake for adults set by the European Food Safety Authority is 0.83 g/kg body weight (BW)/d based primarily on nitrogen balance studies, but the underlying data on health outcomes are outdated. An expert committee of the Health Council of the Netherlands conducted a systematic review (SR) of randomized controlled trials (RCTs) examining the effect of increased protein intake on health outcomes in older adults from the general population with an average habitual protein intake ≥0.8 g/(kg BW · d). Exposures were the following: 1) extra protein compared with no protein and 2) extra protein and physical exercise compared with physical exercise. Outcomes included lean body mass, muscle strength, physical performance, bone health, blood pressure, serum glucose and insulin, serum lipids, kidney function, and cognition. Data of &gt;1300 subjects from 18 RCTs were used. Risk of bias was judged as high (n = 9) or "some concerns" (n = 9). In 7 of 18 RCTs, increased protein intake beneficially affected ≥1 of the tested outcome measures of lean body mass. For muscle strength, this applied to 3 of 8 RCTs in the context of physical exercise and in 1 of 7 RCTs without physical exercise. For the other outcomes, &lt;30% (0-29%) of RCTs showed a statistically significant effect. The committee concluded that increased protein intake has a possible beneficial effect on lean body mass and, when combined with physical exercise, muscle strength; likely no effect on muscle strength when not combined with physical exercise, or on physical performance and bone health; an ambiguous effect on serum lipids; and that too few RCTs were available to allow for conclusions on the other outcomes. This SR provides insufficiently convincing data that increasing protein in older adults with a protein intake ≥0.8 g/(kg BW · d) elicits health benefits.</t>
  </si>
  <si>
    <t>Design of a multinational randomized controlled trial to assess the effects of structured and individualized exercise in patients with metastatic breast cancer on fatigue and quality of life: the EFFECT study.</t>
  </si>
  <si>
    <t>Hiensch, Anouk E; Monninkhof, Evelyn M; Schmidt, Martina E; Zopf, Eva M; Bolam, Kate A; Aaronson, Neil K; Belloso, Jon; Bloch, Wilhelm; Clauss, Dorothea; Depenbusch, Johanna; Lachowicz, Milena; Pelaez, Mireia; Rundqvist, Helene; Senkus, Elzbieta; Stuiver, Martijn M; Trevaskis, Mark; Urruticoechea, Ander; Rosenberger, Friederike; van der Wall, Elsken; de Wit, G Ardine; Zimmer, Philipp; Wengström, Yvonne; Steindorf, Karen; May, Anne M</t>
  </si>
  <si>
    <t>https://pubmed.ncbi.nlm.nih.gov/35906659</t>
  </si>
  <si>
    <t>Many patients with metastatic breast cancer experience cancer- and treatment-related side effects that impair activities of daily living and negatively affect the quality of life. There is a need for interventions that improve quality of life by alleviating fatigue and other side effects during palliative cancer treatment. Beneficial effects of exercise have been observed in the curative setting, but, to date, comparable evidence in patients with metastatic breast cancer is lacking. The aim of this study is to assess the effects of a structured and individualized 9-month exercise intervention in patients with metastatic breast cancer on quality of life, fatigue, and other cancer- and treatment-related side effects. The EFFECT study is a multinational, randomized controlled trial including 350 patients with metastatic breast cancer. Participants are randomly allocated (1:1) to an exercise or control group. The exercise group participates in a 9-month multimodal exercise program, starting with a 6-month period where participants exercise twice a week under the supervision of an exercise professional. After completing this 6-month period, one supervised session is replaced by one unsupervised session for 3 months. In addition, participants are instructed to be physically active for ≥30 min/day on all remaining days of the week, while being supported by an activity tracker and exercise app. Participants allocated to the control group receive standard medical care, general written physical activity advice, and an activity tracker, but no structured exercise program. The primary outcomes are quality of life (EORTC QLQ-C30, summary score) and fatigue (EORTC QLQ-FA12), assessed at baseline, 3, 6 (primary endpoint), and 9 months post-baseline. Secondary outcomes include physical fitness, physical performance, physical activity, anxiety, depression, pain, sleep problems, anthropometric data, body composition, and blood markers. Exploratory outcomes include quality of working life, muscle thickness, urinary incontinence, disease progression, and survival. Additionally, the cost-effectiveness of the exercise program is assessed. Adherence and safety are monitored throughout the intervention period. This large randomized controlled trial will provide evidence regarding the (cost-) effectiveness of exercise during treatment of metastatic breast cancer. If proven (cost-)effective, exercise should be offered to patients with metastatic breast cancer as part of standard care. ClinicalTrials.gov NCT04120298 . Registered on October 9, 2019.</t>
  </si>
  <si>
    <t>The evolution and co-evolution of a primary care cancer research network: From academic social connection to research collaboration.</t>
  </si>
  <si>
    <t>Vermond, Debbie; de Groot, Esther; Sills, Valerie A; Lyratzopoulos, Georgios; Walter, Fiona M; de Wit, Niek J; Rubin, Greg</t>
  </si>
  <si>
    <t>https://pubmed.ncbi.nlm.nih.gov/35905116</t>
  </si>
  <si>
    <t>Academic networks are expected to enhance scientific collaboration and thereby increase research outputs. However, little is known about whether and how the initial steps of getting to know other researchers translates into effective collaborations. In this paper, we investigate the evolution and co-evolution of an academic social network and a collaborative research network (using co-authorship as a proxy measure of the latter), and simultaneously examine the effect of individual researcher characteristics (e.g. gender, seniority or workplace) on their evolving relationships. We used longitudinal data from an international network in primary care cancer research: the CanTest Collaborative (CanTest). Surveys were distributed amongst CanTest researchers to map who knows who (the 'academic social network'). Co-authorship relations were derived from Scopus (the 'collaborative network'). Stochastic actor-oriented models were employed to investigate the evolution and co-evolution of both networks. Visualizing the development of the CanTest network revealed that researchers within CanTest get to know each other quickly and also start collaborating over time (evolution of the academic social network and collaborative network respectively). Results point to a stable and solid academic social network that is particularly encouraging towards more junior researchers; yet differing for male and female researchers (the effect of individual researcher characteristics). Moreover, although the academic social network and the research collaborations do not grow at the same pace, the benefit of creating academic social relationships to stimulate effective research collaboration is clearly demonstrated (co-evolution of both networks).</t>
  </si>
  <si>
    <t>Diagnostic prediction models for CT-confirmed and bacterial rhinosinusitis in primary care: individual participant data meta-analysis.</t>
  </si>
  <si>
    <t>Takada, Toshihiko; Hoogland, Jeroen; Hansen, Jens G; Lindbaek, Morten; Autio, Timo; Alho, Olli-Pekka; Ebell, Mark H; Reitsma, Johannes B; Venekamp, Roderick P</t>
  </si>
  <si>
    <t>https://pubmed.ncbi.nlm.nih.gov/35817585</t>
  </si>
  <si>
    <t>Antibiotics are overused in patients with acute rhinosinusitis (ARS) as it is difficult to identify those who benefit from antibiotic treatment. To develop prediction models for computed tomography (CT)-confirmed ARS and culture-confirmed acute bacterial rhinosinusitis (ABRS) in adults presenting to primary care with symptoms suggestive of ARS. This was a systematic review and individual participant data meta-analysis. CT-confirmed ARS was defined as the presence of fluid level or total opacification in any maxillary sinuses, whereas culture-confirmed ABRS was defined by culture of fluid from antral puncture. Prediction models were derived using logistic regression modelling. Among 426 patients from three studies, 140 patients (32.9%) had CT-confirmed ARS. A model consisting of seven variables: previous diagnosis of ARS, preceding upper respiratory tract infection, anosmia, double sickening, purulent nasal discharge on examination, need for antibiotics as judged by a physician, and C-reactive protein (CRP) showed an optimism-corrected c-statistic of 0.73 (95% confidence interval [CI] = 0.69 to 0.78) and a calibration slope of 0.99 (95% CI = 0.72 to 1.19). Among 225 patients from two studies, 68 patients (30.2%) had culture-confirmed ABRS. A model consisting of three variables: pain in teeth, purulent nasal discharge, and CRP showed an optimism-corrected c-statistic of 0.70 (95% CI = 0.63 to 0.77) and a calibration slope of 1.00 (95% CI = 0.66 to 1.52). Clinical utility analysis showed that both models could be useful to rule out the target condition. Simple prediction models for CT-confirmed ARS and culture-confirmed ABRS can be useful to safely reduce antibiotic use in adults with ARS in high-prescribing countries.</t>
  </si>
  <si>
    <t>Development of an advance directive 'communication tool' relevant for patients with advanced cancer in six European countries: Experiences from the ACTION trial.</t>
  </si>
  <si>
    <t>Arnfeldt, Caroline Moeller; Groenvold, Mogens; Johnsen, Anna Thit; Červ, Branka; Deliens, Luc; Dunleavy, Lesley; van der Heide, Agnes; Kars, Marijke C; Lunder, Urška; Miccinesi, Guido; Pollock, Kristian; Rietjens, Judith A C; Seymour, Jane; ,</t>
  </si>
  <si>
    <t>https://pubmed.ncbi.nlm.nih.gov/35901043</t>
  </si>
  <si>
    <t>The ACTION trial evaluated the effect of a modified version of the Respecting Choices´ advance care planning programme in patients with advanced cancer in six European countries. For this purpose, an advance directive acceptable for all six ACTION countries to be used for documenting the wishes and preferences of patients and as a communication tool between patients, their caregivers and healthcare staff, was needed. To describe the development of a multinational cancer specific advance directive, the ´My Preferences form´, which was first based on the 2005 Wisconsin 'Physician Orders of Life Sustaining Treatment´ Form, to be used within the ACTION trial. Framework analysis of all textual data produced by members of the international project team during the development of the ACTION advance directives (e.g. drafts, emails, meeting minutes…). ACTION consortium members (N = 28) with input from clinicians from participating hospitals (N = 13) and ´facilitators´ (N = 8) who were going to deliver the intervention. Ten versions of the ACTION advance directive, the ´My Preferences form´, were developed and circulated within the ACTION consortium. Extensive modifications took place; removal, addition, modification of themes and modification of clinical to lay terminology. The result was a thematically comprehensive advance directive to be used as a communication tool across the six European countries within the ACTION trial. This article shows the complex task of developing an advance directive suitable for cancer patients from six European countries; a process which required the resolution of several cross cultural differences in law, ethics, philosophy and practice. Our hope is that this paper can contribute to a deeper conceptual understanding of advance directives, their role in supporting decision making among patients approaching the end of life and be an inspiration to others wishing to develop a disease-specific advance directive or a standardised multinational advance directive.</t>
  </si>
  <si>
    <t>Neutrophil and Eosinophil Responses Remain Abnormal for Several Months in Primary Care Patients With COVID-19 Disease.</t>
  </si>
  <si>
    <t>Jukema, B N; Smit, K; Hopman, M T E; Bongers, C C W G; Pelgrim, T C; Rijk, M H; Platteel, T N; Venekamp, R P; Zwart, D L M; Rutten, F H; Koenderman, L</t>
  </si>
  <si>
    <t>frontiers in allergy</t>
  </si>
  <si>
    <t>https://pubmed.ncbi.nlm.nih.gov/35966226</t>
  </si>
  <si>
    <t>Neutrophil and eosinophil activation and its relation to disease severity has been understudied in primary care patients with COVID-19. In this study, we investigated whether the neutrophil and eosinophil compartment were affected in primary care patients with COVID-19. COVID-19 patients, aged ≥ 40 years with cardiovascular comorbidity presenting to the general practitioner with substantial symptoms, partaking in the COVIDSat@Home study between January and April 2021, were included. Blood was drawn during and 3 to 6 months after active COVID-19 disease and analyzed by automated flow cytometry, before and after stimulation with a formyl-peptide (fNLF). Mature neutrophil and eosinophil markers at both time points were compared to healthy controls. A questionnaire was conducted on disease symptoms during and 3 to 6 months after COVID-19 disease. The blood of 18 COVID-19 patients and 34 healthy controls was analyzed. During active COVID-19 disease, neutrophils showed reduced CD10 (&lt;i&gt;p&lt;/i&gt; = 0.0360), increased CD11b (&lt;i&gt;p&lt;/i&gt; = 0.0002) and decreased CD62L expression (&lt;i&gt;p&lt;/i&gt; &lt; 0.0001) compared to healthy controls. During active COVID-19 disease, fNLF stimulated neutrophils showed decreased CD10 levels (&lt;i&gt;p&lt;/i&gt; &lt; 0.0001). Three to six months after COVID-19 disease, unstimulated neutrophils showed lowered CD62L expression (&lt;i&gt;p&lt;/i&gt; = 0.0003) and stimulated neutrophils had decreased CD10 expression (&lt;i&gt;p&lt;/i&gt; = 0.0483) compared to healthy controls. Both (un)stimulated CD10 levels increased 3 to 6 months after active disease (&lt;i&gt;p&lt;/i&gt; = 0.0120 and &lt;i&gt;p&lt;/i&gt; &lt; 0.0001, respectively) compared to during active disease. Eosinophil blood counts were reduced during active COVID-19 disease and increased 3 to 6 months after infection (&lt;i&gt;p&lt;/i&gt; &lt; 0.0001). During active COVID-19, eosinophils showed increased unstimulated CD11b (&lt;i&gt;p&lt;/i&gt; = 0.0139) and decreased (un)stimulated CD62L expression (&lt;i&gt;p&lt;/i&gt; = 0.0036 and &lt;i&gt;p&lt;/i&gt; = 0.0156, respectively) compared to healthy controls. Three to six months after COVID-19 disease, (un)stimulated eosinophil CD62L expression was decreased (&lt;i&gt;p&lt;/i&gt; = 0.0148 and &lt;i&gt;p&lt;/i&gt; = 0.0063, respectively) and the percentage of CD11b&lt;sup&gt;bright&lt;/sup&gt; cells was increased (&lt;i&gt;p&lt;/i&gt; = 0.0083 and &lt;i&gt;p&lt;/i&gt; = 0.0307, respectively) compared to healthy controls. Automated flow cytometry analysis reveals specific mature neutrophil and eosinophil activation patterns in primary care patients with COVID-19 disease, during and 3 to 6 months after active disease. This suggests that the neutrophil and eosinophil compartment are long-term affected by COVID-19 in primary care patients. This indicates that these compartments may be involved in the pathogenesis of long COVID.</t>
  </si>
  <si>
    <t>Short-Term Changes in Serum Potassium and the Risk of Subsequent Vascular Events and Mortality: Results from a Randomized Controlled Trial of ACE Inhibitors.</t>
  </si>
  <si>
    <t>Ohkuma, Toshiaki; Harris, Katie; Cooper, Mark; Grobbee, Diederick E; Hamet, Pavel; Harrap, Stephen; Mancia, Giuseppe; Marre, Michel; Patel, Anushka; Rodgers, Anthony; Williams, Bryan; Woodward, Mark; Chalmers, John; ,</t>
  </si>
  <si>
    <t>clinical journal of the american society of nephrology cjasn</t>
  </si>
  <si>
    <t>https://pubmed.ncbi.nlm.nih.gov/35896277</t>
  </si>
  <si>
    <t>Hyperkalemia after starting renin-angiotensin system inhibitors has been shown to be subsequently associated with a higher risk of cardiovascular and kidney outcomes. However, whether to continue or discontinue the drug after hyperkalemia remains unclear. Data came from the Action in Diabetes and Vascular Disease: Preterax and Diamicron Modified Release Controlled Evaluation (ADVANCE) trial, which included a run-in period where all participants initiated angiotensin-converting enzyme inhibitor-based therapy (a fixed combination of perindopril and indapamide). The study population was taken as patients with type 2 diabetes with normokalemia (serum potassium of 3.5 to &lt;5.0 mEq/L) at the start of run-in. Potassium was remeasured 3 weeks later when a total of 9694 participants were classified into hyperkalemia (≥5.0 mEq/L), normokalemia, and hypokalemia (&lt;3.5 mEq/L) groups. After run-in, patients were randomized to continuation of the angiotensin-converting enzyme inhibitor-based therapy or placebo; major macrovascular, microvascular, and mortality outcomes were analyzed using Cox regression during the following 4.4 years (median). During active run-in, 556 (6%) participants experienced hyperkalemia. During follow-up, 1505 participants experienced the primary composite outcome of major macrovascular and microvascular events. Randomized treatment of angiotensin-converting enzyme inhibitor-based therapy significantly decreased the risk of the primary outcome (38.1 versus 42.0 per 1000 person-years; hazard ratio, 0.91; 95% confidence interval, 0.83 to 1.00; &lt;i&gt;P&lt;/i&gt;=0.04) compared with placebo. The magnitude of effects did not differ across subgroups defined by short-term changes in serum potassium during run-in (&lt;i&gt;P&lt;/i&gt; for heterogeneity =0.66). Similar consistent treatment effects were also observed for all-cause death, cardiovascular death, major coronary events, major cerebrovascular events, and new or worsening nephropathy (&lt;i&gt;P&lt;/i&gt; for heterogeneity ≥0.27). Continuation of angiotensin-converting enzyme inhibitor-based therapy consistently decreased the subsequent risk of clinical outcomes, including cardiovascular and kidney outcomes and death, regardless of short-term changes in serum potassium. Action in Diabetes and Vascular Disease: Preterax and Diamicron Modified Release Controlled Evaluation (ADVANCE), NCT00145925.</t>
  </si>
  <si>
    <t>Racial and Ethnic Differences in the Association Between Classical Cardiovascular Risk Factors and Common Carotid Intima-Media Thickness: An Individual Participant Data Meta-Analysis.</t>
  </si>
  <si>
    <t>Nonterah, Engelbert A; Crowther, Nigel J; Klipstein-Grobusch, Kerstin; Oduro, Abraham R; Kavousi, Maryam; Agongo, Godfred; Anderson, Todd J; Asiki, Gershim; Boua, Palwendé R; Choma, Solomon S R; Couper, David J; Engström, Gunnar; de Graaf, Jacqueline; Kauhanen, Jussi; Lonn, Eva M; Mathiesen, Ellisiv B; Micklesfield, Lisa K; Okazaki, Shuhei; Polak, Joseph F; Rundek, Tatjana; Salonen, Jukka T; Tollman, Stephen M; Tuomainen, Tomi-Pekka; Grobbee, Diederick E; Ramsay, Michéle; Bots, Michiel L; ,</t>
  </si>
  <si>
    <t>https://pubmed.ncbi.nlm.nih.gov/35876421</t>
  </si>
  <si>
    <t>Background The major risk factors for atherosclerotic cardiovascular disease differ by race or ethnicity but have largely been defined using populations of European ancestry. Despite the rising prevalence of cardiovascular disease in Africa there are few related data from African populations. Therefore, we compared the association of established cardiovascular risk factors with carotid-intima media thickness (CIMT), a subclinical marker of atherosclerosis, between African, African American, Asian, European, and Hispanic populations. Methods and Results Cross-sectional analyses of 34 025 men and women drawn from 15 cohorts in Africa, Asia, Europe, and North America were undertaken. Classical cardiovascular risk factors were assessed and CIMT measured using B-mode ultrasound. Ethnic differences in the association of established cardiovascular risk factors with CIMT were determined using a 2-stage individual participant data meta-analysis with beta coefficients expressed as a percentage using the White population as the reference group. CIMT adjusted for risk factors was the greatest among African American populations followed by Asian, European, and Hispanic populations with African populations having the lowest mean CIMT. In all racial or ethnic groups, men had higher CIMT levels compared with women. Age, sex, body mass index, and systolic blood pressure had a significant positive association with CIMT in all races and ethnicities at varying magnitudes. When compared with European populations, the association of age, sex, and systolic blood pressure with CIMT was weaker in all races and ethnicities. Smoking (beta coefficient, 0.39; 95% CI, 0.09-0.70), body mass index (beta coefficient, 0.05; 95% CI, 0.01-0.08) and glucose (beta coefficient, 0.13; 95% CI, 0.06-0.19) had the strongest positive association with CIMT in the Asian population when compared with all other racial and ethnic groups. High-density lipoprotein-cholesterol had significant protective effects in African American (beta coefficient, -0.31; 95% CI, -0.42 to -0.21) and African (beta coefficient, -0.26; 95% CI, -0.31 to -0.19) populations only. Conclusions The strength of association between established cardiovascular risk factors and CIMT differed across the racial or ethnic groups and may be due to lifestyle risk factors and genetics. These differences have implications for race- ethnicity-specific primary prevention strategies and also give insights into the differential contribution of risk factors to the pathogenesis of cardiovascular disease. The greatest burden of subclinical atherosclerosis in African American individuals warrants further investigations.</t>
  </si>
  <si>
    <t>Designing the learning of intraprofessional collaboration among medical residents.</t>
  </si>
  <si>
    <t>Looman, Natasja; de Graaf, Jacqueline; Thoonen, Bart; van Asselt, Dieneke; de Groot, Esther; Kramer, Anneke; Scherpbier, Nynke; Fluit, Cornelia</t>
  </si>
  <si>
    <t>medical education</t>
  </si>
  <si>
    <t>https://pubmed.ncbi.nlm.nih.gov/35791303</t>
  </si>
  <si>
    <t>To preserve quality and continuity of care, collaboration between primary-care and secondary-care physicians is becoming increasingly important. Therefore, learning intraprofessional collaboration (intraPC) requires explicit attention during postgraduate training. Hospital placements provide opportunities for intraPC learning, but these opportunities require interventions to support and enhance such learning. Design-Principles guide the design and development of educational activities when theory-driven Design-Principles are tailored into context-sensitive Design-Principles. The aim of this study was to develop and substantiate a set of theory-driven and context-sensitive Design-Principles for intraPC learning during hospital placements. Based on our earlier research, we formulated nine theory-driven Design-Principles. To enrich, refine and consolidate these principles, three focus group sessions with stakeholders were conducted using a Modified Nominal Group Technique. Next, two work conferences were conducted to test the feasibility and applicability of the Design-Principles for developing intraPC educational activities and to sharpen the principles into a final set of Design-Principles. The theoretical Design-Principles were discussed and modified iteratively. Two new Design-Principles were added during focus group 1, and one more Design-Principle was added during focus group 2. The Design-Principles were categorised into three clusters: (i) Culture: building collaborative relations in a psychologically safe context where patterns or feelings of power dynamics between primary and secondary care physicians can be discussed; (ii) Connecting Contexts: making residents and supervisors mutually understand each other's work contexts and activities; and (iii) Making the Implicit Explicit: having supervising teams act as role models demonstrating intraPC and continuously pursuing improvement in intraPC to make intraPC explicit. Participants were unanimous in their view that the Design-Principles in the Culture cluster were prerequisites to facilitate intraPC learning. This study led to the development of 12 theory-driven and context-sensitive Design-Principles that may guide the design of educational activities to support intraPC learning during hospital placements.</t>
  </si>
  <si>
    <t>Alternative Randomized Trial Designs in Surgery: A Systematic Review.</t>
  </si>
  <si>
    <t>Augustinus, Simone; van Goor, Iris W J M; Berkhof, Johannes; Daamen, Lois A; Groot Koerkamp, Bas; Mackay, Tara M; Molenaar, I Q; van Santvoort, Hjalmar C; Verkooijen, Helena M; van de Ven, Peter M; Besselink, Marc G</t>
  </si>
  <si>
    <t>annals of surgery</t>
  </si>
  <si>
    <t>https://pubmed.ncbi.nlm.nih.gov/35866665</t>
  </si>
  <si>
    <t>Randomized controlled trials (RCTs) yield the highest level of evidence but are notoriously difficult to perform in surgery. Surgical RCTs may be hampered by slow accrual, the surgical learning curve, and lack of financial support. Alternative RCT designs such as stepped-wedge randomized controlled trials (SW-RCTs), registry-based randomized controlled trials (RB-RCTs), and trials-within-cohorts (TwiCs) may overcome several of these difficulties. This review provides an overview of alternative RCT designs used in surgical research. We systematically searched PubMed, EMBASE, and Cochrane Central for surgical SW-RCTs, RB-RCTs, and TwiCs. A surgical RCT was defined as a randomized trial that studied interventions in patients undergoing general surgery, regardless of the affiliation of the corresponding author. Exponential regression analysis was performed to assess time trends. Overall, 41 surgical RCTs using alternative designs were identified, including 17 published final RCT reports and 24 published protocols of ongoing RCTs. These included 25 SW-RCTs (61%), 13 RB-RCTs (32%), and 3 TwiCs (7%). Most of these RCTs were performed in Europe (63%) and within gastrointestinal/oncological surgery (41%). The total number of RCTs using alternative designs exponentially increased over the last 7 years ( P &lt;0.01), with 95% (n=39/41) of the total number published within this time frame. The most reported reasons for using alternative RCT designs were avoidance of contamination for SW-RCTs and generalizability of the trial population for RB-RCTs and TwiCs. Alternative RCT designs are increasingly used in surgical research, mostly in Europe and within gastrointestinal/oncological surgery. When adequately used, these alternative designs may overcome several difficulties associated with surgical RCTs.</t>
  </si>
  <si>
    <t>Rapid, point-of-care antigen tests for diagnosis of SARS-CoV-2 infection.</t>
  </si>
  <si>
    <t>Dinnes, Jacqueline; Sharma, Pawana; Berhane, Sarah; van Wyk, Susanna S; Nyaaba, Nicholas; Domen, Julie; Taylor, Melissa; Cunningham, Jane; Davenport, Clare; Dittrich, Sabine; Emperador, Devy; Hooft, Lotty; Leeflang, Mariska Mg; McInnes, Matthew Df; Spijker, René; Verbakel, Jan Y; Takwoingi, Yemisi; Taylor-Phillips, Sian; Van den Bruel, Ann; Deeks, Jonathan J; ,</t>
  </si>
  <si>
    <t>https://pubmed.ncbi.nlm.nih.gov/35866452</t>
  </si>
  <si>
    <t>Accurate rapid diagnostic tests for SARS-CoV-2 infection would be a useful tool to help manage the COVID-19 pandemic. Testing strategies that use rapid antigen tests to detect current infection have the potential to increase access to testing, speed detection of infection, and inform clinical and public health management decisions to reduce transmission. This is the second update of this review, which was first published in 2020. To assess the diagnostic accuracy of rapid, point-of-care antigen tests for diagnosis of SARS-CoV-2 infection. We consider accuracy separately in symptomatic and asymptomatic population groups. Sources of heterogeneity investigated included setting and indication for testing, assay format, sample site, viral load, age, timing of test, and study design. We searched the COVID-19 Open Access Project living evidence database from the University of Bern (which includes daily updates from PubMed and Embase and preprints from medRxiv and bioRxiv) on 08 March 2021. We included independent evaluations from national reference laboratories, FIND and the Diagnostics Global Health website. We did not apply language restrictions. We included studies of people with either suspected SARS-CoV-2 infection, known SARS-CoV-2 infection or known absence of infection, or those who were being screened for infection. We included test accuracy studies of any design that evaluated commercially produced, rapid antigen tests. We included evaluations of single applications of a test (one test result reported per person) and evaluations of serial testing (repeated antigen testing over time). Reference standards for presence or absence of infection were any laboratory-based molecular test (primarily reverse transcription polymerase chain reaction (RT-PCR)) or pre-pandemic respiratory sample. We used standard screening procedures with three people. Two people independently carried out quality assessment (using the QUADAS-2 tool) and extracted study results. Other study characteristics were extracted by one review author and checked by a second. We present sensitivity and specificity with 95% confidence intervals (CIs) for each test, and pooled data using the bivariate model. We investigated heterogeneity by including indicator variables in the random-effects logistic regression models. We tabulated results by test manufacturer and compliance with manufacturer instructions for use and according to symptom status. We included 155 study cohorts (described in 166 study reports, with 24 as preprints). The main results relate to 152 evaluations of single test applications including 100,462 unique samples (16,822 with confirmed SARS-CoV-2). Studies were mainly conducted in Europe (101/152, 66%), and evaluated 49 different commercial antigen assays. Only 23 studies compared two or more brands of test. Risk of bias was high because of participant selection (40, 26%); interpretation of the index test (6, 4%); weaknesses in the reference standard for absence of infection (119, 78%); and participant flow and timing 41 (27%). Characteristics of participants (45, 30%) and index test delivery (47, 31%) differed from the way in which and in whom the test was intended to be used. Nearly all studies (91%) used a single RT-PCR result to define presence or absence of infection. The 152 studies of single test applications reported 228 evaluations of antigen tests. Estimates of sensitivity varied considerably between studies, with consistently high specificities. Average sensitivity was higher in symptomatic (73.0%, 95% CI 69.3% to 76.4%; 109 evaluations; 50,574 samples, 11,662 cases) compared to asymptomatic participants (54.7%, 95% CI 47.7% to 61.6%; 50 evaluations; 40,956 samples, 2641 cases). Average sensitivity was higher in the first week after symptom onset (80.9%, 95% CI 76.9% to 84.4%; 30 evaluations, 2408 cases) than in the second week of symptoms (53.8%, 95% CI 48.0% to 59.6%; 40 evaluations, 1119 cases). For those who were asymptomatic at the time of testing, sensitivity was higher when an epidemiological exposure to SARS-CoV-2 was suspected (64.3%, 95% CI 54.6% to 73.0%; 16 evaluations; 7677 samples, 703 cases) compared to where COVID-19 testing was reported to be widely available to anyone on presentation for testing (49.6%, 95% CI 42.1% to 57.1%; 26 evaluations; 31,904 samples, 1758 cases). Average specificity was similarly high for symptomatic (99.1%) or asymptomatic (99.7%) participants. We observed a steady decline in summary sensitivities as measures of sample viral load decreased. Sensitivity varied between brands. When tests were used according to manufacturer instructions, average sensitivities by brand ranged from 34.3% to 91.3% in symptomatic participants (20 assays with eligible data) and from 28.6% to 77.8% for asymptomatic participants (12 assays). For symptomatic participants, summary sensitivities for seven assays were 80% or more (meeting acceptable criteria set by the World Health Organization (WHO)). The WHO acceptable performance criterion of 97% specificity was met by 17 of 20 assays when tests were used according to manufacturer instructions, 12 of which demonstrated specificities above 99%. For asymptomatic participants the sensitivities of only two assays approached but did not meet WHO acceptable performance standards in one study each; specificities for asymptomatic participants were in a similar range to those observed for symptomatic people. At 5% prevalence using summary data in symptomatic people during the first week after symptom onset, the positive predictive value (PPV) of 89% means that 1 in 10 positive results will be a false positive, and around 1 in 5 cases will be missed. At 0.5% prevalence using summary data for asymptomatic people, where testing was widely available and where epidemiological exposure to COVID-19 was suspected, resulting PPVs would be 38% to 52%, meaning that between 2 in 5 and 1 in 2 positive results will be false positives, and between 1 in 2 and 1 in 3 cases will be missed. Antigen tests vary in sensitivity. In people with signs and symptoms of COVID-19, sensitivities are highest in the first week of illness when viral loads are higher. Assays that meet appropriate performance standards, such as those set by WHO, could replace laboratory-based RT-PCR when immediate decisions about patient care must be made, or where RT-PCR cannot be delivered in a timely manner. However, they are more suitable for use as triage to RT-PCR testing. The variable sensitivity of antigen tests means that people who test negative may still be infected. Many commercially available rapid antigen tests have not been evaluated in independent validation studies. Evidence for testing in asymptomatic cohorts has increased, however sensitivity is lower and there is a paucity of evidence for testing in different settings. Questions remain about the use of antigen test-based repeat testing strategies. Further research is needed to evaluate the effectiveness of screening programmes at reducing transmission of infection, whether mass screening or targeted approaches including schools, healthcare setting and traveller screening.</t>
  </si>
  <si>
    <t>Exploring the difference between men and women in physical functioning: How do sociodemographic, lifestyle- and health-related determinants contribute?</t>
  </si>
  <si>
    <t>Sialino, Lena Dirkje; Picavet, H Susan J; Wijnhoven, Hanneke A H; Loyen, Anne; Verschuren, W M Monique; Visser, Marjolein; Schaap, Laura S; van Oostrom, Sandra H</t>
  </si>
  <si>
    <t>https://pubmed.ncbi.nlm.nih.gov/35864451</t>
  </si>
  <si>
    <t>To explore whether differences between men and women in the sensitivity to (strength of the association) and/or in the exposure to determinants (prevalence) contribute to the difference in physical functioning, with women reporting more limitations. Data of the Doetinchem Cohort Study was used (n = 5856, initial ages 26-70 years), with follow-up measurements every 5 years (up to 20). Physical functioning (subscale SF-36, range:0-100), sex (men or women) and a number of socio-demographic, lifestyle- and health-related determinants were assessed. Mixed-model multivariable analysis was used to investigate differences between men and women in sensitivity (interaction term with sex) and in exposure (change of the sex difference when adjusting) to determinants of physical functioning. The physical functioning score among women was 6.55 (95%CI:5.48,7.61) points lower than among men. In general, men and women had similar determinants, but pain was more strongly associated with physical functioning (higher sensitivity), and also more prevalent among women (higher exposure). The higher exposure to low educational level and not having a paid job also contributed to the lower physical functioning score among women. In contrast, current smoking, mental health problems and a low educational level were more strongly associated with a lower physical functioning score among men and lower physical activity and higher BMI were more prevalent among men. Although important for physical functioning among both men and women, our findings provide no indications for reducing the difference in physical functioning by promoting a healthy lifestyle but stress the importance of differences in pain, work and education.</t>
  </si>
  <si>
    <t>The metabolic hormone adiponectin affects the correlation between nutritional status and pneumococcal vaccine response in vulnerable indigenous children.</t>
  </si>
  <si>
    <t>Siegers, Kris E; van Herwaarden, Antonius E; de Waard, Jacobus H; Del Nogal, Berenice; Hermans, Peter W M; van Tienoven, Doorlène; Berbers, Guy A M; de Jonge, Marien I; Verhagen, Lilly M</t>
  </si>
  <si>
    <t>https://pubmed.ncbi.nlm.nih.gov/35862344</t>
  </si>
  <si>
    <t>Almost 200 million children worldwide are either undernourished or overweight. Only a few studies have addressed the effect of variation in nutritional status on vaccine response. We previously demonstrated an association between stunting and an increased post-vaccination 13-valent pneumococcal conjugate vaccine (PCV13) response. In this prospective study, we assessed to what extent metabolic hormones may be a modifier in the association between nutritional status and PCV13 response. Venezuelan children aged 6 weeks to 59 months were vaccinated with a primary series of PCV13. Nutritional status and serum levels of leptin, adiponectin and ghrelin were measured upon vaccination and their combined effect on serum post-vaccination antibody concentrations was assessed by generalized estimating equations multivariable regression analysis. A total of 210 children were included, of whom 80 were stunted, 81 had a normal weight and 49 were overweight. Overweight children had lower post-vaccination antibody concentrations than normal weight children (regression coefficient -1.15, 95% CI -2.22 --0.072). Additionally, there was a significant adiponectin-nutritional status interaction. In stunted children, higher adiponectin serum concentrations were associated with lower post-PCV13 antibody concentrations (regression coefficient -0.19, 95% CI -0.24 --0.14) while the opposite was seen in overweight children (regression coefficient 0.14, 95% CI 0.049-0.22). Metabolic hormones, in particular adiponectin, may modify the effect of nutritional status on pneumococcal vaccine response. These findings emphasize the importance of further research to better understand the immunometabolic pathways underlying vaccine response and enable a future of optimal personalized vaccination schedules.</t>
  </si>
  <si>
    <t>Validation of the 70-gene signature test (MammaPrint) to identify patients with breast cancer aged ≥ 70 years with ultralow risk of distant recurrence: A population-based cohort study.</t>
  </si>
  <si>
    <t>Noordhoek, Iris; Bastiaannet, Esther; de Glas, Nienke A; Scheepens, Josien; Esserman, Laura J; Wesseling, Jelle; Scholten, Astrid N; Schröder, Carolien P; Elias, Sjoerd G; Kroep, Judith R; Portielje, Johanneke E A; Kleijn, Miranda; Liefers, Gerrit-Jan</t>
  </si>
  <si>
    <t>https://pubmed.ncbi.nlm.nih.gov/35871138</t>
  </si>
  <si>
    <t>When risk estimation in older patients with hormone receptor positive breast cancer (HR + BC) is based on the same factors as in younger patients, age-related factors regarding recurrence risk and other-cause mortality are not considered. Genomic risk assessment could help identify patients with ultralow risk BC who can forgo adjuvant treatment. However, assessment tools should be validated specifically for older patients. This study aims to determine whether the 70-gene signature test (MammaPrint) can identify patients with HR + BC aged ≥70 years with ultralow risk for distant recurrence. Inclusion criteria: ≥70 years; invasive HR + BC; T1-2N0-3M0. HER2 + BC; neoadjuvant therapy. MammaPrint assays were performed following standardized protocols. Clinical risk was determined with St. Gallen risk classification. Primary endpoint was 10-year cumulative incidence rate of distant recurrence in relation to genomic risk. Subdistribution hazard ratios (sHR) were estimated from Fine and Gray analyses. Multivariate analyses were adjusted for adjuvant endocrine therapy and clinical risk. This study included 418 patients, median age 78 years (interquartile range [IQR] 73-83). Sixty percent of patients were treated with endocrine therapy. MammaPrint classified 50 patients as MammaPrint-ultralow, 224 patients as MammaPrint-low, and 144 patients as MammaPrint-high risk. Regarding clinical risk, 50 patients were classified low, 237 intermediate, and 131 high. Discordance was observed between clinical and genomic risk in 14 MammaPrint-ultralow risk patients who were high clinical risk, and 84 patients who were MammaPrint-high risk, but low or intermediate clinical risk. Median follow-up was 9.2 years (IQR 7.9-10.5). The 10-year distant recurrence rate was 17% (95% confidence interval [CI] 11-23) in MammaPrint-high risk patients, 8% (4-12) in MammaPrint-low (HR 0.46; 95%CI 0.25-0.84), and 2% (0-6) in MammaPrint-ultralow risk patients (HR 0.11; 95%CI 0.02-0.81). After adjustment for clinical risk and endocrine therapy, MammaPrint-high risk patients still had significantly higher 10-year distant recurrence rate than MammaPrint-low (sHR 0.49; 95%CI 0.26-0.90) and MammaPrint-ultralow patients (sHR 0.12; 95%CI 0.02-0.85). Of the 14 MammaPrint-ultralow, high clinical risk patients none developed a distant recurrence. These data add to the evidence validating MammaPrint's ultralow risk threshold. Even in high clinical risk patients, MammaPrint-ultralow risk patients remained recurrence-free ten years after diagnosis. These findings justify future studies into using MammaPrint to individualize adjuvant treatment in older patients.</t>
  </si>
  <si>
    <t>Ethics review of decentralized clinical trials (DCTs): Results of a mock ethics review.</t>
  </si>
  <si>
    <t>van Rijssel, Tessa I; de Jong, Amos J; Santa-Ana-Tellez, Yared; Boeckhout, Martin; Zuidgeest, Mira G P; van Thiel, Ghislaine J M W; ,</t>
  </si>
  <si>
    <t>https://pubmed.ncbi.nlm.nih.gov/35870693</t>
  </si>
  <si>
    <t>Decentralized clinical trials (DCTs) can be a valuable addition to the clinical trial landscape. However, the practice of DCTs is dependent on a regulatory system designed for conventional (site-based) trials. This study provides insight into the ethics review of DCTs. A 'mock ethics review' was performed in which members of European ethics committees (ECs) and national competent authorities (NCAs) discussed and reviewed a DCT protocol. Respondents expressed hesitancy toward DCTs and focused on potential risks and burdens. We advise to address these aspects explicitly when submitting a DCT protocol. We propose that both the benefits and risks of DCTs should be carefully monitored to advance the review and practice of this innovative approach to ethically optimize drug development.</t>
  </si>
  <si>
    <t>The cardiovascular benefits of breastfeeding to mothers.</t>
  </si>
  <si>
    <t>Tschiderer, Lena; Willeit, Peter; Peters, Sanne A E</t>
  </si>
  <si>
    <t>expert review of cardiovascular therapy</t>
  </si>
  <si>
    <t>https://pubmed.ncbi.nlm.nih.gov/35818717</t>
  </si>
  <si>
    <t>The longitudinal association between chronic stress and (visceral) obesity over seven years in the general population: The Hoorn Studies.</t>
  </si>
  <si>
    <t>Siddiqui, Noreen Z; Beulens, Joline W J; van der Vliet, Nina; den Braver, Nicole R; Elders, Petra J M; Rutters, Femke</t>
  </si>
  <si>
    <t>https://pubmed.ncbi.nlm.nih.gov/35851315</t>
  </si>
  <si>
    <t>We aimed to study the mediating role of diet quality, physical activity, smoking, and alcohol intake in the association of stressful life events with visceral obesity over a seven-year period and assessed effect modification by sex and SES. In total, 2416 participants with a mean age of 56.1 (±7.3) years, of which 51.4% were women, and 12.5% had a lower educational level from the Hoorn studies were followed for seven years. Stress was measured with a 'Serious Life Events' questionnaire, which was summed into a total score (range zero to ten events) and stratified to account for nonlinearity. Changes in visceral obesity were assessed by changes in BMI (kg/m&lt;sup&gt;2&lt;/sup&gt;) and waist circumference (cm) in seven years. We used the product of coefficient approach to assess mediation of the following lifestyle factors: diet, physical activity, smoking, and alcohol intake. We analyzed associations between stressful life events and change in BMI and waist circumference with linear regression models. Within the low education group, we observed a significant association between ≥3 stressful life events and a change in BMI (0.60 kg/m&lt;sup&gt;2&lt;/sup&gt; (CI: 0.05, 1.14)) and waist circumference (2.23 cm (CI: 0.19, 4.48)), compared to experiencing no events. For both BMI and waist circumference, no significant associations were observed when experiencing 1 or 2 events. In the moderate to high education group, we observed only statistically significant associations for waist circumference when experiencing ≥3 stressful life events (0.86 cm (CI: 0.05, 1.41)) and not for the other event groups. Our mediation analyses showed that the proportion mediated by smoking was 13.2%, while the other lifestyle factors showed no mediating effect. Multiple stressful life events are associated with an increase in waist circumference and BMI in those with lower education. Smoking might play a mediating role in this association.</t>
  </si>
  <si>
    <t>The association of age at menarche and adult height with mammographic density in the International Consortium of Mammographic Density.</t>
  </si>
  <si>
    <t>Ward, Sarah V; Burton, Anya; Tamimi, Rulla M; Pereira, Ana; Garmendia, Maria Luisa; Pollan, Marina; Boyd, Norman; Dos-Santos-Silva, Isabel; Maskarinec, Gertraud; Perez-Gomez, Beatriz; Vachon, Celine; Miao, Hui; Lajous, Martín; López-Ridaura, Ruy; Bertrand, Kimberly; Kwong, Ava; Ursin, Giske; Lee, Eunjung; Ma, Huiyan; Vinnicombe, Sarah; Moss, Sue; Allen, Steve; Ndumia, Rose; Vinayak, Sudhir; Teo, Soo-Hwang; Mariapun, Shivaani; Peplonska, Beata; Bukowska-Damska, Agnieszka; Nagata, Chisato; Hopper, John; Giles, Graham; Ozmen, Vahit; Aribal, Mustafa Erkin; Schüz, Joachim; Van Gils, Carla H; Wanders, Johanna O P; Sirous, Reza; Sirous, Mehri; Hipwell, John; Kim, Jisun; Lee, Jong Won; Dickens, Caroline; Hartman, Mikael; Chia, Kee-Seng; Scott, Christopher; Chiarelli, Anna M; Linton, Linda; Flugelman, Anath Arzee; Salem, Dorria; Kamal, Rasha; McCormack, Valerie; Stone, Jennifer</t>
  </si>
  <si>
    <t>breast cancer research bcr</t>
  </si>
  <si>
    <t>https://pubmed.ncbi.nlm.nih.gov/35836268</t>
  </si>
  <si>
    <t>Early age at menarche and tall stature are associated with increased breast cancer risk. We examined whether these associations were also positively associated with mammographic density, a strong marker of breast cancer risk. Participants were 10,681 breast-cancer-free women from 22 countries in the International Consortium of Mammographic Density, each with centrally assessed mammographic density and a common set of epidemiologic data. Study periods for the 27 studies ranged from 1987 to 2014. Multi-level linear regression models estimated changes in square-root per cent density (√PD) and dense area (√DA) associated with age at menarche and adult height in pooled analyses and population-specific meta-analyses. Models were adjusted for age at mammogram, body mass index, menopausal status, hormone therapy use, mammography view and type, mammographic density assessor, parity and height/age at menarche. In pooled analyses, later age at menarche was associated with higher per cent density (β&lt;sub&gt;√PD&lt;/sub&gt; = 0.023 SE = 0.008, P = 0.003) and larger dense area (β&lt;sub&gt;√DA&lt;/sub&gt; = 0.032 SE = 0.010, P = 0.002). Taller women had larger dense area (β&lt;sub&gt;√DA&lt;/sub&gt; = 0.069 SE = 0.028, P = 0.012) and higher per cent density (β&lt;sub&gt;√PD&lt;/sub&gt; = 0.044, SE = 0.023, P = 0.054), although the observed effect on per cent density depended upon the adjustment used for body size. Similar overall effect estimates were observed in meta-analyses across population groups. In one of the largest international studies to date, later age at menarche was positively associated with mammographic density. This is in contrast to its association with breast cancer risk, providing little evidence of mediation. Increased height was also positively associated with mammographic density, particularly dense area. These results suggest a complex relationship between growth and development, mammographic density and breast cancer risk. Future studies should evaluate the potential mediation of the breast cancer effects of taller stature through absolute breast density.</t>
  </si>
  <si>
    <t>Clinical prediction models for mortality in patients with covid-19: external validation and individual participant data meta-analysis.</t>
  </si>
  <si>
    <t>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t>
  </si>
  <si>
    <t>https://pubmed.ncbi.nlm.nih.gov/35820692</t>
  </si>
  <si>
    <t>To externally validate various prognostic models and scoring rules for predicting short term mortality in patients admitted to hospital for covid-19. Two stage individual participant data meta-analysis. Secondary and tertiary care. 46 914 patients across 18 countries, admitted to a hospital with polymerase chain reaction confirmed covid-19 from November 2019 to April 2021. Multiple (clustered) cohorts in Brazil, Belgium, China, Czech Republic, Egypt, France, Iran, Israel, Italy, Mexico, Netherlands, Portugal, Russia, Saudi Arabia, Spain, Sweden, United Kingdom, and United States previously identified by a living systematic review of covid-19 prediction models published in &lt;i&gt;The BMJ&lt;/i&gt;, and through PROSPERO, reference checking, and expert knowledge. Prognostic models identified by the living systematic review and through contacting experts. A priori models were excluded that had a high risk of bias in the participant domain of PROBAST (prediction model study risk of bias assessment tool) or for which the applicability was deemed poor. Eight prognostic models with diverse predictors were identified and validated. A two stage individual participant data meta-analysis was performed of the estimated model concordance (C) statistic, calibration slope, calibration-in-the-large, and observed to expected ratio (O:E) across the included clusters. 30 day mortality or in-hospital mortality. Datasets included 27 clusters from 18 different countries and contained data on 46 914patients. The pooled estimates ranged from 0.67 to 0.80 (C statistic), 0.22 to 1.22 (calibration slope), and 0.18 to 2.59 (O:E ratio) and were prone to substantial between study heterogeneity. The 4C Mortality Score by Knight et al (pooled C statistic 0.80, 95% confidence interval 0.75 to 0.84, 95% prediction interval 0.72 to 0.86) and clinical model by Wang et al (0.77, 0.73 to 0.80, 0.63 to 0.87) had the highest discriminative ability. On average, 29% fewer deaths were observed than predicted by the 4C Mortality Score (pooled O:E 0.71, 95% confidence interval 0.45 to 1.11, 95% prediction interval 0.21 to 2.39), 35% fewer than predicted by the Wang clinical model (0.65, 0.52 to 0.82, 0.23 to 1.89), and 4% fewer than predicted by Xie et al's model (0.96, 0.59 to 1.55, 0.21 to 4.28). The prognostic value of the included models varied greatly between the data sources. Although the Knight 4C Mortality Score and Wang clinical model appeared most promising, recalibration (intercept and slope updates) is needed before implementation in routine care.</t>
  </si>
  <si>
    <t>How to assess applicability and methodological quality of comparative studies of operative interventions in orthopedic trauma surgery.</t>
  </si>
  <si>
    <t>Luijken, Kim; van de Wall, Bryan J M; Hooft, Lotty; Leenen, Luke P H; Houwert, R Marijn; Groenwold, Rolf H H; ,</t>
  </si>
  <si>
    <t>european journal of trauma and emergency surgery official publication of the european trauma society</t>
  </si>
  <si>
    <t>https://pubmed.ncbi.nlm.nih.gov/35809102</t>
  </si>
  <si>
    <t>It is challenging to generate and subsequently implement high-quality evidence in surgical practice. A first step would be to grade the strengths and weaknesses of surgical evidence and appraise risk of bias and applicability. Here, we described items that are common to different risk-of-bias tools. We explained how these could be used to assess comparative operative intervention studies in orthopedic trauma surgery, and how these relate to applicability of results. We extracted information from the Cochrane risk-of-bias-2 (RoB-2) tool, Risk Of Bias In Non-randomised Studies-of Interventions tool (ROBINS-I), and Methodological Index for Non-Randomized Studies (MINORS) criteria and derived a concisely formulated set of items with signaling questions tailored to operative interventions in orthopedic trauma surgery. The established set contained nine items: population, intervention, comparator, outcome, confounding, missing data and selection bias, intervention status, outcome assessment, and pre-specification of analysis. Each item can be assessed using signaling questions and was explained using good practice examples of operative intervention studies in orthopedic trauma surgery. The set of items will be useful to form a first judgment on studies, for example when including them in a systematic review. Existing risk of bias tools can be used for further evaluation of methodological quality. Additionally, the proposed set of items and signaling questions might be a helpful starting point for peer reviewers and clinical readers.</t>
  </si>
  <si>
    <t>Opinions on hypertension care and therapy adherence at the healthcare provider and healthcare system level: a qualitative study in the Hague, Netherlands.</t>
  </si>
  <si>
    <t>van Grondelle, Saskia E; van Bruggen, Sytske; Meijer, Judith; van Duin, Erik; Bots, Michiel L; Rutten, Guy; Vos, Hedwig M M; Numans, Mattijs E; Vos, Rimke C</t>
  </si>
  <si>
    <t>https://pubmed.ncbi.nlm.nih.gov/35803634</t>
  </si>
  <si>
    <t>Hypertension is a common cause of cardiovascular morbidity and mortality. Although hypertension can be effectively controlled by blood pressure-lowering drugs, uncontrolled blood pressure is common despite use of these medications. One explanation is therapy non-adherence. Therapy non-adherence can be addressed at the individual level, the level of the healthcare provider and at the healthcare system level. Since the latter two levels are often overlooked, we wished to explore facilitators and barriers on each of these levels in relation to hypertension care for people with hypertension, with a specific focus on therapy adherence. Qualitative study using focus groups of healthcare providers. Data were analysed using the theoretical domains framework (TDF) and the behaviour change wheel. Participants were from a highly urbanised city environment (the Hague, Netherlands), and included nine primary care physicians, six practice nurses and five secondary care physicians involved in hypertension care. Nine domains on the TDF were found to be relevant at the healthcare provider level ('knowledge', 'physical, cognitive and interpersonal skills', 'memory, attention and decision processes', 'professional, social role and identity', 'optimism', 'beliefs about consequences', 'intention', 'emotion' and 'social influences') and two domains ('resources' and 'goals') were found to be relevant at the system level. Facilitators for these domains were good interpersonal skills, paying attention to behavioural factors such as medication use, and the belief that treatment improves health outcomes. Barriers were related to time, interdisciplinary collaboration, technical and financial issues, availability of blood pressure devices and education of people with hypertension. This study highlighted a need for better collaboration between primary and secondary care, for more team-based care including pharmacists and social workers, tools to improve interpersonal skills and more time for patient-healthcare provider communication.</t>
  </si>
  <si>
    <t>Risk of bias of prognostic models developed using machine learning: a systematic review in oncology.</t>
  </si>
  <si>
    <t>https://pubmed.ncbi.nlm.nih.gov/35794668</t>
  </si>
  <si>
    <t>Prognostic models are used widely in the oncology domain to guide medical decision-making. Little is known about the risk of bias of prognostic models developed using machine learning and the barriers to their clinical uptake in the oncology domain. We conducted a systematic review and searched MEDLINE and EMBASE databases for oncology-related studies developing a prognostic model using machine learning methods published between 01/01/2019 and 05/09/2019. The primary outcome was risk of bias, judged using the Prediction model Risk Of Bias ASsessment Tool (PROBAST). We described risk of bias overall and for each domain, by development and validation analyses separately. We included 62 publications (48 development-only; 14 development with validation). 152 models were developed across all publications and 37 models were validated. 84% (95% CI: 77 to 89) of developed models and 51% (95% CI: 35 to 67) of validated models were at overall high risk of bias. Bias introduced in the analysis was the largest contributor to the overall risk of bias judgement for model development and validation. 123 (81%, 95% CI: 73.8 to 86.4) developed models and 19 (51%, 95% CI: 35.1 to 67.3) validated models were at high risk of bias due to their analysis, mostly due to shortcomings in the analysis including insufficient sample size and split-sample internal validation. The quality of machine learning based prognostic models in the oncology domain is poor and most models have a high risk of bias, contraindicating their use in clinical practice. Adherence to better standards is urgently needed, with a focus on sample size estimation and analysis methods, to improve the quality of these models.</t>
  </si>
  <si>
    <t>The development and feasibility study of Multidisciplinary Timely Undertaken Advance Care Planning conversations at the outpatient clinic: the MUTUAL intervention.</t>
  </si>
  <si>
    <t>van Lummel, Eline V T J; Savelkoul, Claudia; Stemerdink, Eva L E; Tjan, Dave H T; van Delden, Johannes J M</t>
  </si>
  <si>
    <t>https://pubmed.ncbi.nlm.nih.gov/35794617</t>
  </si>
  <si>
    <t>Patients still receive non-beneficial treatments when nearing the end of life. Advance care planning (ACP) interventions have shown to positively influence compliance with end of life wishes. Hospital physicians seem to miss opportunities to engage in ACP, whereas patients visiting the outpatient clinic usually have one or more chronic conditions and are at risk for medical emergencies. So far, implemented ACP interventions have had limited impact. Structural implementation of ACP may be beneficial. We hypothesize that having ACP conversations more towards the end of life and involving the treating physician in the ACP conversation may help patient wishes and goals to become more concrete and more often documented, thus facilitating goal-concordant care. To facilitate timely shared decision making and increase patient autonomy we aim to develop an ACP intervention at the outpatient clinic for frail patients and determine the feasibility of the intervention. The United Kingdom's Medical Research Council framework was used to structure the development of the ACP intervention. Key elements of the ACP intervention were determined by reviewing existing literature and an iterative process with stakeholders. The feasibility of the developed intervention was evaluated by a feasibility study of 20 ACP conversations at the geriatrics and pulmonology department of a non-academic hospital. Feasibility was assessed by analysing evaluation forms by patients, nurses and physicians and by evaluating with stakeholders. A general inductive approach was used for analysing comments. The developed intervention was described using the template for intervention description and replication (TIDieR). We developed a multidisciplinary timely undertaken ACP intervention at the outpatient clinic. Key components of the developed intervention consist of 1) timely patient selection 2) preparation of patient and healthcare professional 3) a scripted ACP conversation in a multidisciplinary setting and 4) documentation. 94.7% of the patients, 60.0% of the nurses and 68.8% of the physicians agreed that the benefits of the ACP conversation outweighed the potential burdens. This study showed that the developed ACP intervention is feasible and considered valuable by patients and healthcare professionals.</t>
  </si>
  <si>
    <t>The effectiveness of self-care interventions in chronic illness: A meta-analysis of randomized controlled trials.</t>
  </si>
  <si>
    <t>Lee, Christopher S; Westland, Heleen; Faulkner, Kenneth M; Iovino, Paolo; Thompson, Jessica Harman; Sexton, Jessica; Farry, Elizabeth; Jaarsma, Tiny; Riegel, Barbara</t>
  </si>
  <si>
    <t>https://pubmed.ncbi.nlm.nih.gov/35907275</t>
  </si>
  <si>
    <t>To characterize and explain variation in the comparative effectiveness of self-care interventions on relevant outcomes of chronic illness compared with controls. Meta-analysis and meta-regression. Data extraction was framed within the context of a previously-published scoping review of randomized trials designed to enhance self-care in type 2 diabetes mellitus, heart failure, hypertension, asthma, coronary artery disease, and chronic obstructive pulmonary disease (published between 2008 and 2019). Data were pooled using random-effects meta-analyses. Meta-regression was used to test the effect of potential moderators on trial effectiveness. 145 trials involving 36,853 participants were included. Overall, the effect size of self-care interventions on improving outcomes was small (Hedges' g = 0.29 (95% CI = 0.25-0.33), p &lt; 0.001) with statistically significant heterogeneity across trials (Q = 514.85, p &lt; 0.001, I&lt;sup&gt;2&lt;/sup&gt; = 72.0%). A majority of trials (n = 83, 57.2%) were rated as having a high risk of bias. There was no statistically significant difference in trial effectiveness based on the use of theory, specific components of self-care addressed, the number of modes of delivery, the number of behavioral change techniques, specific modes of delivery, specific behavioral change techniques, intervention duration, total number of hours of intervention, or either participant age or gender. Self-care interventions are modestly effective in improving outcomes. Poor trial quality limits the strength of conclusions in this area of science. There is much to be done to enhance the design, conduct and reporting of self-care trials in order to gain more insight into the effectiveness of self-care interventions. New review highlights poor trial design as major impediment to understanding the contribution of self -care to outcomes in chronic illness.</t>
  </si>
  <si>
    <t>Embracing the European Regulation in The Netherlands: VGO implementation status, its threats and opportunities.</t>
  </si>
  <si>
    <t>Di Martino, Sofia; van der Graaf, Rieke</t>
  </si>
  <si>
    <t>https://pubmed.ncbi.nlm.nih.gov/35856002</t>
  </si>
  <si>
    <t>In 2014, the European Clinical Trials Regulation was drawn up by the European Commission to replace the Clinical Trials Directive. The new Regulation aims to solve the shortcomings revealed by the Directive, such as extensive timelines and high bureaucratic costs, while increasing standards for safety and transparency of clinical trials. Importantly, the Regulation also points at harmonizing procedures among European Member States. From January 31st, 2022, it will be possible to submit clinical studies through a new portal, namely the Clinical Trials Information System. Since not complying to the Regulation implies not participating in clinical trials, many European countries underwent changes in national documents and related procedures. In The Netherlands, the Site Suitability Declaration, a document necessary to ascertain the adequacy of a site to perform a trial, was reviewed. In our research, we investigated the status of the VGO implementation during a transition period among different stakeholders involved in the start-up process through a validated questionnaire and subsequent semi-structured interviews. This project showed a slow-paced implementation, linked to communication and organizational challenges but also to a negative approach towards the change. Nevertheless, some stakeholders expressed constructive feedback as well, indicating the VGO as an upgrade. The latter was mainly achieved through establishing a trustful relationship with other stakeholders, undergoing additional adjustments, and having a positive mindset. This research pointed at a still too scarce collaboration between stakeholders, who should rather actively contribute to achieve the implementation goal.</t>
  </si>
  <si>
    <t>Metabolically Defined Body Size Phenotypes and Risk of Endometrial Cancer in the European Prospective Investigation into Cancer and Nutrition (EPIC).</t>
  </si>
  <si>
    <t>Kliemann, Nathalie; Ould Ammar, Romain; Biessy, Carine; Gicquiau, Audrey; Katzke, Verena; Kaaks, Rudolf; Tjønneland, Anne; Olsen, Anja; Sánchez, Maria-Jose; Crous-Bou, Marta; Pasanisi, Fabrizio; Tin Tin, Sandar; Perez-Cornago, Aurora; Aune, Dagfinn; Christakoudi, Sofia; Heath, Alicia K; Colorado-Yohar, Sandra M; Grioni, Sara; Skeie, Guri; Sartor, Hanna; Idahl, Annika; Rylander, Charlotta; May, Anne M; Weiderpass, Elisabete; Freisling, Heinz; Playdon, Mary C; Rinaldi, Sabina; Murphy, Neil; Huybrechts, Inge; Dossus, Laure; Gunter, Marc J</t>
  </si>
  <si>
    <t>https://pubmed.ncbi.nlm.nih.gov/35437568</t>
  </si>
  <si>
    <t>Obesity is a risk factor for endometrial cancer but whether metabolic dysfunction is associated with endometrial cancer independent of body size is not known. The association of metabolically defined body size phenotypes with endometrial cancer risk was investigated in a nested case-control study (817 cases/ 817 controls) within the European Prospective Investigation into Cancer and Nutrition (EPIC). Concentrations of C-peptide were used to define metabolically healthy (MH; &lt;1st tertile) and metabolically unhealthy (MU; ≥1st tertile) status among the control participants. These metabolic health definitions were combined with normal weight (NW); body mass index (BMI)&lt;25 kg/m2 or waist circumference (WC)&lt;80 cm or waist-to-hip ratio (WHR)&lt;0.8) and overweight (OW; BMI≥25 kg/m2 or WC≥80 cm or WHR≥0.8) status, generating four phenotype groups for each anthropometric measure: (i) MH/NW, (ii) MH/OW, (iii) MU/NW, and (iv) MU/OW. In a multivariable-adjusted conditional logistic regression model, compared with MH/NW individuals, endometrial cancer risk was higher among those classified as MU/NW [ORWC, 1.48; 95% confidence interval (CI), 1.05-2.10 and ORWHR, 1.68; 95% CI, 1.21-2.35] and MU/OW (ORBMI, 2.38; 95% CI, 1.73-3.27; ORWC, 2.69; 95% CI, 1.92-3.77 and ORWHR, 1.83; 95% CI, 1.32-2.54). MH/OW individuals were also at increased endometrial cancer risk compared with MH/NW individuals (ORWC, 1.94; 95% CI, 1.24-3.04). Women with metabolic dysfunction appear to have higher risk of endometrial cancer regardless of their body size. However, OW status raises endometrial cancer risk even among women with lower insulin levels, suggesting that obesity-related pathways are relevant for the development of this cancer beyond insulin. Classifying women by metabolic health may be of greater utility in identifying those at higher risk for endometrial cancer than anthropometry per se.</t>
  </si>
  <si>
    <t>When is it impractical to ask informed consent? A systematic review.</t>
  </si>
  <si>
    <t>Laurijssen, Sara Jm; van der Graaf, Rieke; van Dijk, Wouter B; Schuit, Ewoud; Groenwold, Rolf Hh; Grobbee, Diederick E; de Vries, Martine C</t>
  </si>
  <si>
    <t>clinical trials london england</t>
  </si>
  <si>
    <t>https://pubmed.ncbi.nlm.nih.gov/35775421</t>
  </si>
  <si>
    <t>Informed consent is one of the cornerstones of biomedical research with human subjects. Research ethics committees may allow for a modification or a waiver of consent when the research has social value, involves minimal risk, and if consent is impractical to obtain. While the conditions of social value and minimal risk have received ample attention in research ethics literature, the impractical condition remains unclear. There seem to be different interpretations of the meaning of impractical within academic literature. To address this lack of clarity, we performed a systematic review on the interpretation of impractical. First, we examined international research ethics guidelines on their usage and interpretation of impractical. Next, we used international ethical guidelines to identify synonyms of the term "impractical." Accordingly, PubMed, Embase, and Web of Science were searched for articles that included "informed consent" and "impractical" or one of its synonyms. We found that there were only a few international ethics guidelines that described what could be considered impractical. Out of 2329 identified academic articles, 42 were included. Impractical was used to describe four different conditions: (1) obtaining informed consent becomes too demanding for researchers, (2) obtaining informed consent leads to invalid study outcomes, (3) obtaining informed consent harms the participant, and (4) obtaining informed consent is meaningless for the participant. There are conditions that render conventional informed consent truly impractical, such as untraceable participants or harm for participants. At the same time, researchers have a moral responsibility to design an infrastructure in which consent can be obtained, even if they face hardship in obtaining consent. In addition, researchers should seek to minimize harm inflicted upon participants when harm may occur as a result of the consent procedure. Invalidity of research due to consent issues should not be regarded as impractical but as a condition that limits the social value of research. Further research is essential for when a waiver of informed consent based on impractical is also reasonable.</t>
  </si>
  <si>
    <t>Drivers of Routine and Outbreak Vaccination Uptake in the Western Democratic Republic of Congo: An Exploratory Study in Ten Health Zones.</t>
  </si>
  <si>
    <t>Peckeu-Abboud, Laurene; Mangoni, Patrick; Chammam, Kaouther; Kwete, Papy; Mutombo Lupola, Patrick; Vanlerberghe, Veerle; Yango, Jepsy; Meudec, Marie; Ifufa, Christian; van der Sande, Marianne A B; Madinga Ntwan, Joule; Mbala, Placide</t>
  </si>
  <si>
    <t>https://pubmed.ncbi.nlm.nih.gov/35891230</t>
  </si>
  <si>
    <t>We performed a cross-sectional survey on vaccination-related knowledge, attitudes, and practices (KAP) among randomly selected parents of &lt;5 years-old children, elderly populations (aged ≥ 55 years), and health care workers (HCWs) in 10 health zones from 4 provinces of the Democratic Republic of Congo (DRC). Questionnaires targeted both routine (BCG, measles, polio) and outbreak-related (cholera, Ebola, COVID-19) vaccinations. In total, 2751 participants were included, 1165 parents, 1040 elderly, and 546 HCWs. In general, KAP expressed were supportive of vaccination uptake, although concerns regarding side effects and feelings of being insufficiently informed were more prevalent among parents and the elderly. Vaccine acceptance was lower for outbreak vaccinations (57%) than for routine vaccinations (90%). HCWs expressed the highest vaccine acceptance. Problems with the vaccine supply chain were reported by 20% of respondents. Despite a high level of positive KAP towards vaccination, parents and the elderly expressed a need to be better informed and had concerns regarding vaccine side-effects. A high acceptance for routine vaccinations was reported by participants, but somewhat less for outbreak vaccinations. In conclusion, HCWs in the communities could play a key role in the increased uptake of routine vaccinations and in optimizing uptake during outbreaks, provided that the supply chain is functioning well.</t>
  </si>
  <si>
    <t>The Opportunity of Point-of-Care Diagnostics in General Practice: Modelling the Effects on Antimicrobial Resistance.</t>
  </si>
  <si>
    <t>van der Pol, Simon; Jansen, Danielle E M C; van der Velden, Alike W; Butler, Christopher C; Verheij, Theo J M; Friedrich, Alex W; Postma, Maarten J; van Asselt, Antoinette D I</t>
  </si>
  <si>
    <t>https://pubmed.ncbi.nlm.nih.gov/35764913</t>
  </si>
  <si>
    <t>Antimicrobial resistance (AMR) is a public health threat associated with antibiotic consumption. Community-acquired acute respiratory tract infections (CA-ARTIs) are a major driver of antibiotic consumption in primary care. We aimed to quantify the investments required for a large-scale rollout of point-of care (POC) diagnostic testing in Dutch primary care, and the impact on AMR due to reduced use of antibiotics. We developed an individual-based model that simulates consultations for CA-ARTI at GP practices in the Netherlands and compared a scenario where GPs test all CA-ARTI patients with a hypothetical diagnostic strategy to continuing the current standard-of-care for the years 2020-2030. We estimated differences in costs and future AMR rates caused by testing all patients consulting for CA-ARTI with a hypothetical diagnostic strategy, compared to the current standard-of-care in GP practices. Compared to the current standard-of-care, the diagnostic algorithm increases the total costs of GP consultations for CA-ARTI by 9% and 19%, when priced at €5 and €10, respectively. The forecast increase in Streptococcus pneumoniae resistance against penicillins can be partly restrained by the hypothetical diagnostic strategy from 3.8 to 3.5% in 2030, albeit with considerable uncertainty. Our results show that implementing a hypothetical diagnostic strategy for all CA-ARTI patients in primary care raises the costs of consultations, while lowering antibiotic consumption and AMR. Novel health-economic methods to assess and communicate the potential benefits related to AMR may be required for interventions with limited gains for individual patients, but considerable potential related to antibiotic consumption and AMR.</t>
  </si>
  <si>
    <t>Fetal movement trials: Where is the evidence in settings with a high burden of stillbirths?</t>
  </si>
  <si>
    <t>Housseine, Natasha; Browne, Joyce; Maaløe, Nanna; Dmello, Brenda Sequeira; Ali, Sam; Abeid, Muzdalifat; Meguid, Tarek; Rijken, Marcus J; Kidanto, Hussein</t>
  </si>
  <si>
    <t>https://pubmed.ncbi.nlm.nih.gov/35686582</t>
  </si>
  <si>
    <t>2,109 randomized oncology trials map continuous, meager improvements in progression-free and overall survival over 50 years.</t>
  </si>
  <si>
    <t>Parish, Austin J; Alina Cristea, Ioana; Schuit, Ewoud; Ioannidis, John P A</t>
  </si>
  <si>
    <t>https://pubmed.ncbi.nlm.nih.gov/35777712</t>
  </si>
  <si>
    <t>To assess the patterns and time trends in overall survival and progression-free survival treatment effects across randomized controlled trials (RCTs) in oncology. A PubMed search for oncology network meta-analyses (NMAs) was carried (to September 30, 2021). Relevant hazard ratios were extracted for systemic treatments from RCTs in the NMAs. After removing duplicate results, relationships between treatment effects, year of publication, trial design, and other features were explored. From 241 oncology NMAs, 2,109 unique eligible RCTs provided analyzable data. On average, there was a 12%-14% reduction in hazard for overall survival and 27%-30% reduction for progression-free survival, with substantial heterogeneity across different malignancies. Correlation between overall survival and progression-free survival treatment effects was modest (r = 0.60, 95% confidence interval, 0.56-0.64). Over time, there was a suggestive trend of increased progression-free survival treatment effect, although overall survival treatment effects remained steady. Only one in five trials met criteria for clinically meaningful improvements in overall survival. Among 300 randomly selected trials, mean absolute improvement was 1.6 months for median progression-free survival and 1.4 months for median overall survival. Broad patterns across the past 50 years of oncology research suggest continuous progress has been made, but few results meet clinically meaningful thresholds for overall survival improvement.</t>
  </si>
  <si>
    <t>Correction: Reducing cardiometabolic risk in adults with a low socioeconomic position: protocol of the Supreme Nudge parallel cluster-randomised controlled supermarket trial.</t>
  </si>
  <si>
    <t>Stuber, Josine M; Mackenbach, Joreintje D; de Boer, Femke E; de Bruijn, Gert-Jan; Gillebaart, Marleen; Harbers, Marjolein C; Hoenink, Jody C; Klein, Michel C A; Middel, Cédric N H; van der Schouw, Yvonne T; Schuitmaker-Warnaar, Tjerk Jan; Velema, Elizabeth; Vos, Anne L; Waterlander, Wilma E; Lakerveld, Jeroen; Beulens, Joline W J</t>
  </si>
  <si>
    <t>nutrition journal</t>
  </si>
  <si>
    <t>https://pubmed.ncbi.nlm.nih.gov/35764992</t>
  </si>
  <si>
    <t>Sex-Specific Associations of Diabetes With Brain Structure and Function in a Geriatric Population.</t>
  </si>
  <si>
    <t>Thomas, Elias G; Rhodius-Meester, Hanneke; Exalto, Lieza; Peters, Sanne A E; van Bloemendaal, Liselotte; Ponds, Rudolf; Muller, Majon</t>
  </si>
  <si>
    <t>frontiers in aging neuroscience</t>
  </si>
  <si>
    <t>https://pubmed.ncbi.nlm.nih.gov/35837485</t>
  </si>
  <si>
    <t>Globally, women with dementia have a higher disease burden than men with dementia. In addition, women with diabetes especially are at higher risk for cognitive impairment and dementia compared to men with diabetes. Differences in the influence of diabetes on the cerebral vasculature and brain structure may contribute to these sex-specific differences. We examined sex-specific patterns in the relationship between diabetes and brain structure, as well as diabetes and cognitive function. In total, 893 patients [age 79 ± 6.6 years, 446 (50%) women] from the Amsterdam Ageing Cohort with available data on brain structures (assessed by an MRI or CT scan) and cognitive function were included. All patients underwent a thorough standardized clinical and neuropsychological assessment (including tests on memory, executive functioning, processing speed, language). Brain structure abnormalities were quantified using visual scales. Cross-sectional multivariable regression analyses showed that diabetes was associated with increased incidence of cerebral lacunes and brain atrophy in women (OR 2.18 (1.00-4.72) but not in men. Furthermore, diabetes was associated with decreased executive function, processing speed and language in women [B -0.07 (0.00-0.13), -0.06 (0.02-0.10) and -0.07 (0.01-0.12) resp.] but not in men. Diabetes is related to increased risk of having lacunes, brain atrophy and impaired cognitive function in women but not in men. Further research is required to understand the time trajectory leading up to these changes and to understand the mechanisms behind them in order to improve preventive health care for both sexes.</t>
  </si>
  <si>
    <t>The association of pure fruit juice, sugar-sweetened beverages and fruit consumption with asthma prevalence in adolescents growing up from 11 to 20 years: The PIAMA birth cohort study.</t>
  </si>
  <si>
    <t>Scheffers, Floor R; Boer, Jolanda M A; Gehring, Ulrike; Koppelman, Gerard H; Vonk, Judith; Smit, Henriëtte A; Monique Verschuren, W M; Wijga, Alet H</t>
  </si>
  <si>
    <t>https://pubmed.ncbi.nlm.nih.gov/35794880</t>
  </si>
  <si>
    <t>Pure fruit juice is comparable to sugar-sweetened beverages (SSBs) with respect to its sugar and fructose content. However, it also contains favorable components like polyphenols. From this perspective, pure fruit juice is more comparable with whole fruit. SSBs have been associated with higher asthma risk, while whole fruit consumption has been associated with lower prevalence of asthma (symptoms). Associations with pure fruit juice have been rarely studied. Therefore, we studied the associations of consumption of pure fruit juice, SSBs and whole fruit with asthma prevalence in 3046 children of the Dutch Prevention and Incidence of Asthma and Mite Allergy (PIAMA) birth cohort growing up from 11 to 20 years. Consumption of pure fruit juice, SSBs and fruit was self-reported at the ages of 11, 14, 17 and 20 years. Presence of asthma was defined based on parental reports of asthma diagnosis ever, and wheezing and asthma medication in the last 12 months. Odds ratios (OR) were estimated using generalized linear mixed models accounting for correlation between repeated measurements within subjects. No associations were found between pure fruit juice, SSBs and fruit consumption and the overall prevalence of asthma from 11 to 20 years. An earlier reported association of low pure fruit juice consumption with higher asthma prevalence at the age of 11 years in the PIAMA population was confirmed, but no associations were found at the ages of 14, 17 and 20 years.</t>
  </si>
  <si>
    <t>Hypertensive response to exercise in adult patients with repaired aortic coarctation.</t>
  </si>
  <si>
    <t>Meijs, Timion A; Muller, Steven A; Minderhoud, Savine C S; de Winter, Robbert J; Mulder, Barbara J M; van Melle, Joost P; Hoendermis, Elke S; van Dijk, Arie P J; Zuithoff, Nicolaas P A; Krings, Gregor J; Doevendans, Pieter A; Spiering, Wilko; Witsenburg, Maarten; Roos-Hesselink, Jolien W; van den Bosch, Annemien E; Bouma, Berto J; Voskuil, Michiel</t>
  </si>
  <si>
    <t>https://pubmed.ncbi.nlm.nih.gov/34987066</t>
  </si>
  <si>
    <t>The clinical and prognostic implications of a hypertensive response to exercise after repair of coarctation of the aorta (CoA) remain controversial. We aimed to determine the prevalence of a hypertensive response to exercise, identify factors associated with peak exercise systolic blood pressure (SBP) and explore the association of peak exercise SBP with resting blood pressure and cardiovascular events during follow-up. From the Dutch national CONgenital CORvitia (CONCOR) registry, adults with repaired CoA who underwent exercise stress testing were included. A hypertensive response to exercise was defined as a peak exercise SBP ≥210 mm Hg in men and ≥190 mm Hg in women. Cardiovascular events consisted of coronary artery disease, stroke, aortic complications and cardiovascular death. Of the original cohort of 920 adults with repaired CoA, 675 patients (median age 24 years (range 16-72 years)) underwent exercise stress testing. Of these, 299 patients (44%) had a hypertensive response to exercise. Mean follow-up duration was 10.1 years. Male sex, absence of a bicuspid aortic valve and elevated resting SBP were independently associated with increased peak exercise SBP. Peak exercise SBP was positively predictive of office SBP (β=0.11, p&lt;0.001) and 24-hour SBP (β=0.05, p=0.03) at follow-up, despite correction for baseline SBP. During follow-up, 100 patients (15%) developed at least 1 cardiovascular event. Peak exercise SBP was not significantly associated with the occurrence of cardiovascular events (HR 0.994 (95% CI 0.987 to 1.001), p=0.11). A hypertensive response to exercise was present in nearly half of the patients in this large, prospective cohort of adults with repaired CoA. Risk factors for increased peak exercise SBP were male sex, absence of a bicuspid aortic valve and elevated resting SBP. Increased peak exercise SBP independently predicted hypertension at follow-up. These results support close follow-up of patients with a hypertensive response to exercise to ensure timely diagnosis and treatment of future hypertension.</t>
  </si>
  <si>
    <t>Pre-diagnostic C-reactive protein concentrations, CRP genetic variation and mortality among individuals with colorectal cancer in Western European populations.</t>
  </si>
  <si>
    <t>Nimptsch, Katharina; Aleksandrova, Krasimira; Fedirko, Veronika; Jenab, Mazda; Gunter, Marc J; Siersema, Peter D; Wu, Kana; Katzke, Verena; Kaaks, Rudolf; Panico, Salvatore; Palli, Domenico; May, Anne M; Sieri, Sabina; Bueno-de-Mesquita, Bas; Standahl, Karina; Sánchez, Maria-Jose; Perez-Cornago, Aurora; Olsen, Anja; Tjønneland, Anne; Bonet, Catalina Bonet; Dahm, Christina C; Chirlaque, María-Dolores; Fiano, Valentina; Tumino, Rosario; Gurrea, Aurelio Barricarte; Boutron-Ruault, Marie-Christine; Menegaux, Florence; Severi, Gianluca; van Guelpen, Bethany; Lee, Young-Ae; Pischon, Tobias</t>
  </si>
  <si>
    <t>https://pubmed.ncbi.nlm.nih.gov/35739525</t>
  </si>
  <si>
    <t>The role of elevated pre-diagnostic C-reactive protein (CRP) concentrations on mortality in individuals with colorectal cancer (CRC) remains unclear. We investigated the association between pre-diagnostic high-sensitivity CRP concentrations and CRP genetic variation associated with circulating CRP and CRC-specific and all-cause mortality based on data from 1,235 individuals with CRC within the European Prospective Investigation into Cancer and Nutrition cohort using multivariable-adjusted Cox proportional hazards regression. During a median follow-up of 9.3 years, 455 CRC-specific deaths were recorded, out of 590 deaths from all causes. Pre-diagnostic CRP concentrations were not associated with CRC-specific (hazard ratio, HR highest versus lowest quintile 0.92, 95% confidence interval, CI 0.66, 1.28) or all-cause mortality (HR 0.91, 95% CI 0.68, 1.21). Genetic predisposition to higher CRP (weighted score based on alleles of four CRP SNPs associated with higher circulating CRP) was not significantly associated with CRC-specific mortality (HR per CRP-score unit 0.95, 95% CI 0.86, 1.05) or all-cause mortality (HR 0.98, 95% CI 0.90, 1.07). Among four investigated CRP genetic variants, only SNP rs1205 was significantly associated with CRC-specific (comparing the CT and CC genotypes with TT genotype, HR 0.54, 95% CI 0.35, 0.83 and HR 0.58, 95% CI 0.38, 0.88, respectively) and all-cause mortality (HR 0.58, 95% CI 0.40, 0.85 and 0.64, 95% CI 0.44, 0.92, respectively). The results of this prospective cohort study do not support a role of pre-diagnostic CRP concentrations on mortality in individuals with CRC. The observed associations with rs1205 deserve further scientific attention.</t>
  </si>
  <si>
    <t>The Frequency of Primary Healthcare Contacts Preceding the Diagnosis of Lower-Extremity Arterial Disease: Do Women Consult General Practice Differently?</t>
  </si>
  <si>
    <t>Porras, Cindy P; Teraa, Martin; Bots, Michiel L; de Boer, Annemarijn R; Peters, Sanne A E; van Doorn, Sander; Vernooij, Robin W M</t>
  </si>
  <si>
    <t>journal of clinical medicine</t>
  </si>
  <si>
    <t>https://pubmed.ncbi.nlm.nih.gov/35806951</t>
  </si>
  <si>
    <t>&lt;i&gt;Background&lt;/i&gt;. Women with lower-extremity arterial disease (LEAD) are often underdiagnosed, present themselves with more advanced disease at diagnosis, and fare worse than men. &lt;i&gt;Objective&lt;/i&gt;. To investigate to what extent potential gender differences exist in the frequency and reasons for general practitioner (GP) consultation six months prior to the diagnosis of LEAD, as potential indicators of diagnostic delay. &lt;i&gt;Methods&lt;/i&gt;. Individuals older than 18 years diagnosed with LEAD, sampled from the Julius General Practitioner's Network (JGPN), were included and compared with a reference population, matched (1:2.6 ratio) in terms of age, sex, and general practice. We applied a zero-inflated negative binomial (ZINB) regression model. &lt;i&gt;Results&lt;/i&gt;. The study population comprised 4044 patients with LEAD (43.5% women) and 10,486 subjects in the reference population (46.3% women). In the LEAD cohort, the number of GP contacts was 2.70 (95% CI: 2.42, 3.02) in women and 2.54 (2.29, 2.82) in men. In the reference cohort, 1.77 (95% CI: 1.62, 1.94) in women and 1.63 (95% CI: 1.50, 1.78) in men. In the LEAD cohort, 21.9% of GP contacts occurred one month prior to diagnosis. In both cohorts and both sexes, the most common cause of consultation during the last month before the index date was cardiovascular problems. &lt;i&gt;Conclusions&lt;/i&gt;. Six months preceding the initial diagnosis of LEAD, patients visit the GP more often than a similar population without LEAD, regardless of gender. Reported gender differences in the severity of LEAD at diagnosis do not seem to be explained by a delay in presentation to the GP.</t>
  </si>
  <si>
    <t>Nursing leadership to facilitate patient participation in fundamental care: An ethnographic qualitative study.</t>
  </si>
  <si>
    <t>Bahlman-van Ooijen, Wilmieke; van Belle, Elise; Bank, Arnold; de Man-Van Ginkel, Janneke; Huisman-de Waal, Getty; Heinen, Maud</t>
  </si>
  <si>
    <t>https://pubmed.ncbi.nlm.nih.gov/35748056</t>
  </si>
  <si>
    <t>To explore and describe hospital nurses' perceptions of leadership behaviours in facilitating patient participation in fundamental care. An ethnographic interview study. Individual semi-structured interviews with 12 nurses with a bachelor's or master's degree working at a university medical centre were conducted between February and April 2021. The interview data were analysed using thematic analysis. Six themes were derived from the data: (1) nursing leadership; (2) patient participation; (3) using patients' preferences; (4) building relationships; (5) task-focused nursing; (6) need for role modelling. Nurses indicated leadership behaviour to facilitate patient participation in fundamental care as inviting patients to participate and eliciting and supporting patients' preferences. Although nurses also regarded leadership as motivating colleagues to act and enhancing evidence-based practice, they appeared not to practise this themselves about patient participation. Role modelling was indicated as a need for improvement. The findings established that not all leadership behaviours mentioned were used in practice about patient participation in fundamental care. Role modelling and the use of evidence-based practice are needed to increase patient participation. Further research will be necessary to develop and test leadership interventions to improve patient participation in fundamental care.</t>
  </si>
  <si>
    <t>Associations of Polymorphisms in the Peroxisome Proliferator-Activated Receptor Gamma Coactivator-1 Alpha Gene With Subsequent Coronary Heart Disease: An Individual-Level Meta-Analysis.</t>
  </si>
  <si>
    <t>Schillemans, Tessa; Tragante, Vinicius; Maitusong, Buamina; Gigante, Bruna; Cresci, Sharon; Laguzzi, Federica; Vikström, Max; Richards, Mark; Pilbrow, Anna; Cameron, Vicky; Foco, Luisa; Doughty, Robert N; Kuukasjärvi, Pekka; Allayee, Hooman; Hartiala, Jaana A; Tang, W H Wilson; Lyytikäinen, Leo-Pekka; Nikus, Kjell; Laurikka, Jari O; Srinivasan, Sundararajan; Mordi, Ify R; Trompet, Stella; Kraaijeveld, Adriaan; van Setten, Jessica; Gijsberts, Crystel M; Maitland-van der Zee, Anke H; Saely, Christoph H; Gong, Yan; Johnson, Julie A; Cooper-DeHoff, Rhonda M; Pepine, Carl J; Casu, Gavino; Leiherer, Andreas; Drexel, Heinz; Horne, Benjamin D; van der Laan, Sander W; Marziliano, Nicola; Hazen, Stanley L; Sinisalo, Juha; Kähönen, Mika; Lehtimäki, Terho; Lang, Chim C; Burkhardt, Ralph; Scholz, Markus; Jukema, J Wouter; Eriksson, Niclas; Åkerblom, Axel; James, Stefan; Held, Claes; Hagström, Emil; Spertus, John A; Algra, Ale; de Faire, Ulf; Åkesson, Agneta; Asselbergs, Folkert W; Patel, Riyaz S; L</t>
  </si>
  <si>
    <t>frontiers in physiology</t>
  </si>
  <si>
    <t>https://pubmed.ncbi.nlm.nih.gov/35812313</t>
  </si>
  <si>
    <t>&lt;b&gt;Background:&lt;/b&gt; The knowledge of factors influencing disease progression in patients with established coronary heart disease (CHD) is still relatively limited. One potential pathway is related to peroxisome proliferator-activated receptor gamma coactivator-1 alpha (PPARGC1A), a transcription factor linked to energy metabolism which may play a role in the heart function. Thus, its associations with subsequent CHD events remain unclear. We aimed to investigate the effect of three different SNPs in the &lt;i&gt;PPARGC1A&lt;/i&gt; gene on the risk of subsequent CHD in a population with established CHD. &lt;b&gt;Methods:&lt;/b&gt; We employed an individual-level meta-analysis using 23 studies from the GENetIcs of sUbSequent Coronary Heart Disease (GENIUS-CHD) consortium, which included participants (&lt;i&gt;n&lt;/i&gt; = 80,900) with either acute coronary syndrome, stable CHD, or a mixture of both at baseline. Three variants in the &lt;i&gt;PPARGC1A&lt;/i&gt; gene (rs8192678, G482S; rs7672915, intron 2; and rs3755863, T528T) were tested for their associations with subsequent events during the follow-up using a Cox proportional hazards model adjusted for age and sex. The primary outcome was subsequent CHD death or myocardial infarction (CHD death/myocardial infarction). Stratified analyses of the participant or study characteristics as well as additional analyses for secondary outcomes of specific cardiovascular disease diagnoses and all-cause death were also performed. &lt;b&gt;Results:&lt;/b&gt; Meta-analysis revealed no significant association between any of the three variants in the &lt;i&gt;PPARGC1A&lt;/i&gt; gene and the primary outcome of CHD death/myocardial infarction among those with established CHD at baseline: rs8192678, hazard ratio (HR): 1.01, 95% confidence interval (CI) 0.98-1.05 and rs7672915, HR: 0.97, 95% CI 0.94-1.00; rs3755863, HR: 1.02, 95% CI 0.99-1.06. Similarly, no significant associations were observed for any of the secondary outcomes. The results from stratified analyses showed null results, except for significant inverse associations between rs7672915 (intron 2) and the primary outcome among 1) individuals aged ≥65, 2) individuals with renal impairment, and 3) antiplatelet users. &lt;b&gt;Conclusion:&lt;/b&gt; We found no clear associations between polymorphisms in the &lt;i&gt;PPARGC1A&lt;/i&gt; gene and subsequent CHD events in patients with established CHD at baseline.</t>
  </si>
  <si>
    <t>Management of bleeding risk in patients who receive anticoagulant therapy for venous thromboembolism: Communication from the ISTH SSC Subcommittee on Predictive and Diagnostic Variables in Thrombotic Disease.</t>
  </si>
  <si>
    <t>den Exter, Paul L; Woller, Scott C; Robert-Ebadi, Helia; Masias, Camila; Morange, Pierre-Emmanuel; Castelli, David; Hansen, John-Bjarne; Geersing, Geert-Jan; Siegal, Deborah M; de Wit, Kerstin; Klok, Frederikus A</t>
  </si>
  <si>
    <t>https://pubmed.ncbi.nlm.nih.gov/35735219</t>
  </si>
  <si>
    <t>Patients with acute venous thromboembolism (VTE) require anticoagulant therapy to prevent recurrent VTE and death, which exposes them to an inherent increased risk of bleeding. Identification of patients at high risk of bleeding, and mitigating this risk, is an essential component of the immediate and long-term therapeutic management of VTE. The bleeding risk can be estimated by either implicit judgment, weighing individual predictors (clinical variables or biomarkers), or by risk prediction tools developed for this purpose. Management of bleeding risk in clinical practice is, however, far from standardized. International guidelines are contradictory and lack clear and consistent guidance on the optimal management of bleeding risk. This report of the ISTH subcommittee on Predictive and Diagnostic Variables in Thrombotic Disease summarizes the evidence on the prediction of bleeding in VTE patients. We systematically searched the literature and identified 34 original studies evaluating either predictors or risk prediction models for prediction of bleeding risk on anticoagulation in VTE patients. Based on this evidence, we provide recommendations for the standardized management of bleeding risk in VTE patients.</t>
  </si>
  <si>
    <t>Long-Term Exposure to Source-Specific Fine Particles and Mortality─A Pooled Analysis of 14 European Cohorts within the ELAPSE Project.</t>
  </si>
  <si>
    <t>Chen, Jie; Hoek, Gerard; de Hoogh, Kees; Rodopoulou, Sophia; Andersen, Zorana J; Bellander, Tom; Brandt, Jørgen; Fecht, Daniela; Forastiere, Francesco; Gulliver, John; Hertel, Ole; Hoffmann, Barbara; Hvidtfeldt, Ulla Arthur; Verschuren, W M Monique; Jöckel, Karl-Heinz; Jørgensen, Jeanette T; Katsouyanni, Klea; Ketzel, Matthias; Méndez, Diego Yacamán; Leander, Karin; Liu, Shuo; Ljungman, Petter; Faure, Elodie; Magnusson, Patrik K E; Nagel, Gabriele; Pershagen, Göran; Peters, Annette; Raaschou-Nielsen, Ole; Rizzuto, Debora; Samoli, Evangelia; van der Schouw, Yvonne T; Schramm, Sara; Severi, Gianluca; Stafoggia, Massimo; Strak, Maciej; Sørensen, Mette; Tjønneland, Anne; Weinmayr, Gudrun; Wolf, Kathrin; Zitt, Emanuel; Brunekreef, Bert; Thurston, George D</t>
  </si>
  <si>
    <t>https://pubmed.ncbi.nlm.nih.gov/35737879</t>
  </si>
  <si>
    <t>We assessed mortality risks associated with source-specific fine particles (PM&lt;sub&gt;2.5&lt;/sub&gt;) in a pooled European cohort of 323,782 participants. Cox proportional hazard models were applied to estimate mortality hazard ratios (HRs) for source-specific PM&lt;sub&gt;2.5&lt;/sub&gt; identified through a source apportionment analysis. Exposure to 2010 annual average concentrations of source-specific PM&lt;sub&gt;2.5&lt;/sub&gt; components was assessed at baseline residential addresses. The source apportionment resulted in the identification of five sources: traffic, residual oil combustion, soil, biomass and agriculture, and industry. In single-source analysis, all identified sources were significantly positively associated with increased natural mortality risks. In multisource analysis, associations with all sources attenuated but remained statistically significant with traffic, oil, and biomass and agriculture. The highest association per interquartile increase was observed for the traffic component (HR: 1.06; 95% CI: 1.04 and 1.08 per 2.86 μg/m&lt;sup&gt;3&lt;/sup&gt; increase) across five identified sources. On a 1 μg/m&lt;sup&gt;3&lt;/sup&gt; basis, the residual oil-related PM&lt;sub&gt;2.5&lt;/sub&gt; had the strongest association (HR: 1.13; 95% CI: 1.05 and 1.22), which was substantially higher than that for generic PM&lt;sub&gt;2.5&lt;/sub&gt; mass, suggesting that past estimates using the generic PM&lt;sub&gt;2.5&lt;/sub&gt; exposure response function have underestimated the potential clean air health benefits of reducing fossil-fuel combustion. Source-specific associations with cause-specific mortality were in general consistent with findings of natural mortality.</t>
  </si>
  <si>
    <t>International changes in respiratory syncytial virus (RSV) epidemiology during the COVID-19 pandemic: Association with school closures.</t>
  </si>
  <si>
    <t>Billard, Marie-Noëlle; van de Ven, Peter M; Baraldi, Bianca; Kragten-Tabatabaie, Leyla; Bont, Louis J; Wildenbeest, Joanne G</t>
  </si>
  <si>
    <t>influenza and other respiratory viruses</t>
  </si>
  <si>
    <t>https://pubmed.ncbi.nlm.nih.gov/35733362</t>
  </si>
  <si>
    <t>Little RSV activity was observed during the first expected RSV season since the COVID-19 pandemic. Multiple countries later experienced out-of-season RSV resurgences, yet their association with non-pharmaceutical interventions (NPIs) is unclear. This study aimed to describe the changes in RSV epidemiology during the COVID-19 pandemic and to estimate the association between individual NPIs and the RSV resurgences. RSV activity from Week (W)12-2020 to W44-2021 was compared with three pre-pandemic seasons using RSV surveillance data from Brazil, Canada, Chile, France, Israel, Japan, South Africa, South Korea, Taiwan, the Netherlands and the United States. Changes in nine NPIs within 10 weeks before RSV resurgences were described. Associations between NPIs and RSV activity were assessed with linear mixed models. Adherence to NPIs was not taken into account. Average delay of the first RSV season during the COVID-19 pandemic was 39 weeks (range: 13-88 weeks). Although the delay was &lt;40 weeks in six countries, a missed RSV season was observed in Brazil, Chile, Japan, Canada and South Korea. School closures, workplace closures, and stay-at-home requirements were most commonly downgraded before an RSV resurgence. Reopening schools and lifting stay-at-home requirements were associated with increases of 1.31% (p = 0.04) and 2.27% (p = 0.06) in the deviation from expected RSV activity. The first RSV season during the COVID-19 pandemic was delayed in the 11 countries included. Reopening of schools was consistently associated with increased RSV activity. As NPIs were often changed concomitantly, the association between RSV activity and school closures may be partly attributed to other NPIs.</t>
  </si>
  <si>
    <t>The 5th edition of the World Health Organization Classification of Haematolymphoid Tumours: Lymphoid Neoplasms.</t>
  </si>
  <si>
    <t>Alaggio, Rita; Amador, Catalina; Anagnostopoulos, Ioannis; Attygalle, Ayoma D; Araujo, Iguaracyra Barreto de Oliveira; Berti, Emilio; Bhagat, Govind; Borges, Anita Maria; Boyer, Daniel; Calaminici, Mariarita; Chadburn, Amy; Chan, John K C; Cheuk, Wah; Chng, Wee-Joo; Choi, John K; Chuang, Shih-Sung; Coupland, Sarah E; Czader, Magdalena; Dave, Sandeep S; de Jong, Daphne;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Santiago; Morice, William</t>
  </si>
  <si>
    <t>https://pubmed.ncbi.nlm.nih.gov/35732829</t>
  </si>
  <si>
    <t>We herein present an overview of the upcoming 5&lt;sup&gt;th&lt;/sup&gt; edition of the World Health Organization Classification of Haematolymphoid Tumours focussing on lymphoid neoplasms. Myeloid and histiocytic neoplasms will be presented in a separate accompanying article. Besides listing the entities of the classification, we highlight and explain changes from the revised 4&lt;sup&gt;th&lt;/sup&gt; edition. These include reorganization of entities by a hierarchical system as is adopted throughout the 5&lt;sup&gt;th&lt;/sup&gt; edition of the WHO classification of tumours of all organ systems, modification of nomenclature for some entities, revision of diagnostic criteria or subtypes, deletion of certain entities, and introduction of new entities, as well as inclusion of tumour-like lesions, mesenchymal lesions specific to lymph node and spleen, and germline predisposition syndromes associated with the lymphoid neoplasms.</t>
  </si>
  <si>
    <t>[Prognostic factor identified… Now what? What we can and cannot learn from prognostic factor research].</t>
  </si>
  <si>
    <t>Luijken, Kim; Moons, Carl K G M; Van Smeeden, Maarten</t>
  </si>
  <si>
    <t>https://pubmed.ncbi.nlm.nih.gov/35899712</t>
  </si>
  <si>
    <t>Although it is generally known that a (statistical) association between a factor, i.e., determinant or independent variable, and outcome, i.e., dependent variable, does not directly provide evidence of a causal relation, in practice the distinction between associative and causal relationships often becomes fuzzy when interpreting prognostic factor research. We provide suggestions for interpreting the findings of prognostic factor research. It is important to assess the purpose and design of the study, including the statistical analysis. The actual evidence that prognostic factor research can provide is easily overestimated. In particular when associations between factors and outcome are estimated in a multivariable analysis, causal or predictive qualities can easily but wrongfully be attributed to a prognostic factor. It is generally advisable to refrain from judgments on the causal of predictive qualities of a prognostic factor purely based on a prognostic factor study. Findings from prognostic factor research are usually a good starting point for follow-up research, while the direct applicability of such findings in daily medical practice is often limited.</t>
  </si>
  <si>
    <t>[Reliable diagnostics: clinical gestalt or prediction rule?].</t>
  </si>
  <si>
    <t>Opstelten, Wim; Cals, J W L; Moons, K G M</t>
  </si>
  <si>
    <t>https://pubmed.ncbi.nlm.nih.gov/35736374</t>
  </si>
  <si>
    <t>Diagnostic prediction models can support the diagnostic process, both for experienced physicians and for physicians with little experience. More attention should be paid to the incorporation of diagnostic prediction models in the electronic patient record, so that a more accurate probability estimate can be made without simplification to rounded sumscores. A uniform cut-off of sum scores with associated categorization is also undesirable, because it does not take the context of the individual patient sufficiently into account. In the case of a very strong gut feeling, the outcome of a diagnostic prediction model rule alone cannot be sufficient for further policy. Diagnostic prediction models 'only' generate individual objectively estimated probabilities; the clinical decision-making based on these probabilities always needs to be made by the doctor in shared decision making with the patient. Conflict of interest and financial support: none declared.</t>
  </si>
  <si>
    <t>Infertility, recurrent pregnancy loss, and risk of stroke: pooled analysis of individual patient data of 618 851 women.</t>
  </si>
  <si>
    <t>Liang, Chen; Chung, Hsin-Fang; Dobson, Annette J; Hayashi, Kunihiko; van der Schouw, Yvonne T; Kuh, Diana; Hardy, Rebecca; Derby, Carol A; El Khoudary, Samar R; Janssen, Imke; Sandin, Sven; Weiderpass, Elisabete; Mishra, Gita D</t>
  </si>
  <si>
    <t>https://pubmed.ncbi.nlm.nih.gov/35732311</t>
  </si>
  <si>
    <t>To examine the associations of infertility, recurrent miscarriage, and stillbirth with the risk of first non-fatal and fatal stroke, further stratified by stroke subtypes. Individual participant pooled analysis of eight prospective cohort studies.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Non-fatal strokes were identified through self-reported questionnaires, linked hospital data, or national patient registers. Fatal strokes were identified through death registry data.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</si>
  <si>
    <t>Tracking Mental Wellbeing of Dutch Adolescents During the First Year of the COVID-19 Lockdown: A Longitudinal Study.</t>
  </si>
  <si>
    <t>van der Laan, Sabine E I; Lenters, Virissa C; Finkenauer, Catrin; van Harmelen, Anne-Laura; van der Ent, Cornelis K; Nijhof, Sanne L</t>
  </si>
  <si>
    <t>the journal of adolescent health official publication of the society for adolescent medicine</t>
  </si>
  <si>
    <t>https://pubmed.ncbi.nlm.nih.gov/35941018</t>
  </si>
  <si>
    <t>Adolescents might be susceptible to the effects of the COVID-19 lockdown. We assessed changes in mental wellbeing throughout the first year of the pandemic and compared these with prepandemic levels. This five-wave prospective study among Dutch adolescents aged 12-17 years used data collected before the pandemic (n = 224) (T0), in May (T1), July (T2), and October 2020 (T3), and in February 2021 (T4). Generalized estimating equations were used to assess the association between stringency of the lockdown with mental wellbeing. Adolescents had a lower life satisfaction during the first full lockdown (T1) [adjusted β: -0.36, 95% confidence interval (CI): -0.58 to -0.13], during the partial lockdown (T3) (adjusted β: -0.37, 95% CI: -0.63 to -0.12), and during the second full lockdown (T4) (adjusted β: -0.79, 95% CI: -1.07 to -0.52) compared to before the pandemic (T0). Adolescents reported more internalizing symptoms during only the second full lockdown (T4) (adjusted β: 2.58, 95% CI: 0.41-4.75). During the pandemic [at T1 (adjusted β: 0.29, 95% CI: 0.20-0.38), T2 (adjusted β: 0.36, 95% CI: 0.26-0.46), T3 (adjusted β: 0.33, 95% CI: 0.22-0.45), and T4 (adjusted β: 0.20, 95% CI: 0.07-0.34)], adolescents reported a better psychosomatic health, partly attributable to less trouble falling asleep (p &lt; .01). The COVID-19 lockdown measures have had both a negative and positive impact on mental wellbeing of Dutch adolescents. However, mental wellbeing was most impacted during the second full lockdown compared to before the pandemic.</t>
  </si>
  <si>
    <t>The role of mental disorders in precision medicine for diabetes: a narrative review.</t>
  </si>
  <si>
    <t>Kremers, Sanne H M; Wild, Sarah H; Elders, Petra J M; Beulens, Joline W J; Campbell, David J T; Pouwer, Frans; Lindekilde, Nanna; de Wit, Maartje; Lloyd, Cathy; Rutters, Femke</t>
  </si>
  <si>
    <t>https://pubmed.ncbi.nlm.nih.gov/35729420</t>
  </si>
  <si>
    <t>This narrative review aims to examine the value of addressing mental disorders as part of the care of people with type 1 and type 2 diabetes in terms of four components of precision medicine. First, we review the empirical literature on the role of common mental disorders in the development and outcomes of diabetes (precision prevention and prognostics). We then review interventions that can address mental disorders in individuals with diabetes or at risk of diabetes (precision treatment) and highlight recent studies that have used novel methods to individualise interventions, in person and through applications, based on mental disorders. Additionally, we discuss the use of detailed assessment of mental disorders using, for example, mobile health technologies (precision monitoring). Finally, we discuss future directions in research and practice and challenges to addressing mental disorders as a factor in precision medicine for diabetes. This review shows that several mental disorders are associated with a higher risk of type 2 diabetes and its complications, while there is suggestive evidence indicating that treating some mental disorders could contribute to the prevention of diabetes and improve diabetes outcomes. Using technologically enabled solutions to identify mental disorders could help individuals who stand to benefit from particular treatments. However, there are considerable gaps in knowledge and several challenges to be met before we can stratify treatment recommendations based on mental disorders. Overall, this review demonstrates that addressing mental disorders as a facet of precision medicine could have considerable value for routine diabetes care and has the potential to improve diabetes outcomes.</t>
  </si>
  <si>
    <t>Semiautomated surveillance of deep surgical site infections after colorectal surgeries: A multicenter external validation of two surveillance algorithms.</t>
  </si>
  <si>
    <t>Verberk, Janneke D M; van der Kooi, Tjallie I I; Hetem, David J; Oostdam, Nicolette E W M; Noordergraaf, Mieke; de Greeff, Sabine C; Bonten, Marc J M; van Mourik, Maaike S M</t>
  </si>
  <si>
    <t>infection control and hospital epidemiology</t>
  </si>
  <si>
    <t>https://pubmed.ncbi.nlm.nih.gov/35726554</t>
  </si>
  <si>
    <t>Automated surveillance methods increasingly replace or support conventional (manual) surveillance; the latter is labor intensive and vulnerable to subjective interpretation. We sought to validate 2 previously developed semiautomated surveillance algorithms to identify deep surgical site infections (SSIs) in patients undergoing colorectal surgeries in Dutch hospitals. Multicenter retrospective cohort study. From 4 hospitals, we selected colorectal surgery patients between 2018 and 2019 based on procedure codes, and we extracted routine care data from electronic health records. Per hospital, a classification model and a regression model were applied independently to classify patients into low- or high probability of having developed deep SSI. High-probability patients need manual SSI confirmation; low-probability records are classified as no deep SSI. Sensitivity, positive predictive value (PPV), and workload reduction were calculated compared to conventional surveillance. In total, 672 colorectal surgery patients were included, of whom 28 (4.1%) developed deep SSI. Both surveillance models achieved good performance. After adaptation to clinical practice, the classification model had 100% sensitivity and PPV ranged from 11.1% to 45.8% between hospitals. The regression model had 100% sensitivity and 9.0%-14.9% PPV. With both models, &lt;25% of records needed review to confirm SSI. The regression model requires more complex data management skills, partly due to incomplete data. In this independent external validation, both surveillance models performed well. The classification model is preferred above the regression model because of source-data availability and less complex data-management requirements. The next step is implementation in infection prevention practices and workflow processes.</t>
  </si>
  <si>
    <t>Epidemiology and Control of diabetes - tuberculosis comorbidity in Eswatini: protocol for the prospective study of tuberculosis patients on predictive factors, treatment outcomes and patient management practices.</t>
  </si>
  <si>
    <t>Williams, Victor; Vos, Alinda; Otwombe, Kennedy; Grobbee, Diederick E; Klipstein-Grobusch, Kerstin</t>
  </si>
  <si>
    <t>https://pubmed.ncbi.nlm.nih.gov/35728897</t>
  </si>
  <si>
    <t>Previous studies indicate people with diabetes mellitus (DM) may have varying treatment outcomes when receiving treatment for tuberculosis (TB) and that TB infection or its treatment may predispose them to develop an abnormal blood glucose or type 2 DM. This has implications for Eswatini which is a high TB burden country and with increasing cases of non-communicable diseases including DM. This study will describe the epidemiology of DM-TB comorbidity in a prospective cohort of patients receiving TB treatment and identify best practices for integration of care for non-communicable diseases into TB services in Eswatini. This study will employ a mixed-methods approach. Data from a prospective cohort of newly enrolled patients with TB at 12 health facilities from 1 June 2022 to 30 September 2022, and followed up to 30 April 2023, will be used. For the qualitative, key informants who provide TB services at the health facilities will be interviewed. Quantitative data from patients will be analysed descriptively and by tests of association and multivariate modelling. Key informant interviews from healthcare workers will be analysed using content analysis. This research has been approved by the Eswatini Health and Human Research Review Board and participant confidentiality will be maintained. COVID-19 safety measures to reduce the risk of infection or transmission by researchers and participants have been instituted. Key programmatic findings and how they can impact healthcare delivery and access will be presented to the specific programme in the Eswatini Ministry of Health and other relevant stakeholders.</t>
  </si>
  <si>
    <t>Investigation of the use of a sensor bracelet for the presymptomatic detection of changes in physiological parameters related to COVID-19: an interim analysis of a prospective cohort study (COVI-GAPP).</t>
  </si>
  <si>
    <t>Risch, Martin; Grossmann, Kirsten; Aeschbacher, Stefanie; Weideli, Ornella C; Kovac, Marc; Pereira, Fiona; Wohlwend, Nadia; Risch, Corina; Hillmann, Dorothea; Lung, Thomas; Renz, Harald; Twerenbold, Raphael; Rothenbühler, Martina; Leibovitz, Daniel; Kovacevic, Vladimir; Markovic, Andjela; Klaver, Paul; Brakenhoff, Timo B; Franks, Billy; Mitratza, Marianna; Downward, George S; Dowling, Ariel; Montes, Santiago; Grobbee, Diederick E; Cronin, Maureen; Conen, David; Goodale, Brianna M; Risch, Lorenz; ,</t>
  </si>
  <si>
    <t>https://pubmed.ncbi.nlm.nih.gov/35728900</t>
  </si>
  <si>
    <t>We investigated machinelearningbased identification of presymptomatic COVID-19 and detection of infection-related changes in physiology using a wearable device. Interim analysis of a prospective cohort study. Participants from a national cohort study in Liechtenstein were included. Nightly they wore the Ava-bracelet that measured respiratory rate (RR), heart rate (HR), HR variability (HRV), wrist-skin temperature (WST) and skin perfusion. SARS-CoV-2 infection was diagnosed by molecular and/or serological assays. A total of 1.5 million hours of physiological data were recorded from 1163 participants (mean age 44±5.5 years). COVID-19 was confirmed in 127 participants of which, 66 (52%) had worn their device from baseline to symptom onset (SO) and were included in this analysis. Multi-level modelling revealed significant changes in five (RR, HR, HRV, HRV ratio and WST) device-measured physiological parameters during the incubation, presymptomatic, symptomatic and recovery periods of COVID-19 compared with baseline. The training set represented an 8-day long instance extracted from day 10 to day 2 before SO. The training set consisted of 40 days measurements from 66 participants. Based on a random split, the test set included 30% of participants and 70% were selected for the training set. The developed long short-term memory (LSTM) based recurrent neural network (RNN) algorithm had a recall (sensitivity) of 0.73 in the training set and 0.68 in the testing set when detecting COVID-19 up to 2 days prior to SO. Wearable sensor technology can enable COVID-19 detection during the presymptomatic period. Our proposed RNN algorithm identified 68% of COVID-19 positive participants 2 days prior to SO and will be further trained and validated in a randomised, single-blinded, two-period, two-sequence crossover trial. &lt;b&gt;Trial registration number&lt;/b&gt; ISRCTN51255782; Pre-results.</t>
  </si>
  <si>
    <t>Utilization of Pharmacokinetic/Pharmacodynamic Modeling in Pharmacoepidemiological Studies: A Systematic Review on Antiarrhythmic and Glucose-Lowering Medicines.</t>
  </si>
  <si>
    <t>Mohammadi Jouabadi, Soroush; Nekouei Shahraki, Mitra; Peymani, Payam; Stricker, Bruno H; Ahmadizar, Fariba</t>
  </si>
  <si>
    <t>https://pubmed.ncbi.nlm.nih.gov/35795566</t>
  </si>
  <si>
    <t>&lt;b&gt;Introduction:&lt;/b&gt; In human pharmacology, there are two important scientific branches: clinical pharmacology and pharmacoepidemiology. Pharmacokinetic/pharmacodynamic (PK/PD) modeling is important in preclinical studies and randomized control trials. However, it is rarely used in pharmacoepidemiological studies on the effectiveness and medication safety where the target population is heterogeneous and followed for longer periods. The objective of this literature review was to investigate how far PK/PD modeling is utilized in observational studies on glucose-lowering and antiarrhythmic drugs. &lt;b&gt;Method:&lt;/b&gt; A systematic literature search of MEDLINE, Embase, and Web of Science was conducted from January 2010 to 21 February 2020. To calculate the utilization of PK/PD modeling in observational studies, we followed two search strategies. In the first strategy, we screened a 1% random set from 95,672 studies on glucose-lowering and antiarrhythmic drugs on inclusion criteria. In the second strategy, we evaluated the percentage of studies in which PK/PD modeling techniques were utilized. Subsequently, we divided the total number of included studies in the second search strategy by the total number of eligible studies in the first search strategy. &lt;b&gt;Results:&lt;/b&gt; The comprehensive search of databases and the manual search of included references yielded a total of 29 studies included in the qualitative synthesis of our systematic review. Nearly all 29 studies had utilized a PK model, whereas only two studies developed a PD model to evaluate the effectiveness of medications. In total, 16 out of 29 studies (55.1%) used a PK/PD model in the observational setting to study effect modification. The utilization of PK/PD modeling in observational studies was calculated as 0.42%. &lt;b&gt;Conclusion:&lt;/b&gt; PK/PD modeling techniques were substantially underutilized in observational studies of antiarrhythmic and glucose-lowering drugs during the past decade.</t>
  </si>
  <si>
    <t>Personalizing treatment in end-stage kidney disease: deciding between haemodiafiltration and haemodialysis based on individualized treatment effect prediction.</t>
  </si>
  <si>
    <t>van Kruijsdijk, Rob C M; Vernooij, Robin W M; Bots, Michiel L; Peters, Sanne A E; Dorresteijn, Jannick A N; Visseren, Frank L J; Blankestijn, Peter J; Debray, Thomas P A; ,</t>
  </si>
  <si>
    <t>clinical kidney journal</t>
  </si>
  <si>
    <t>https://pubmed.ncbi.nlm.nih.gov/36158156</t>
  </si>
  <si>
    <t>Previous studies suggest that haemodiafiltration reduces mortality compared with haemodialysis in patients with end-stage kidney disease (ESKD), but the controversy surrounding its benefits remains and it is unclear to what extent individual patients benefit from haemodiafiltration. This study is aimed to develop and validate a treatment effect prediction model to determine which patients would benefit most from haemodiafiltration compared with haemodialysis in terms of all-cause mortality. Individual participant data from four randomized controlled trials comparing haemodiafiltration with haemodialysis on mortality were used to derive a Royston-Parmar model for the prediction of absolute treatment effect of haemodiafiltration based on pre-specified patient and disease characteristics. Validation of the model was performed using internal-external cross validation. The median predicted survival benefit was 44 (Q1-Q3: 44-46) days for every year of treatment with haemodiafiltration compared with haemodialysis. The median survival benefit with haemodiafiltration ranged from 2 to 48 months. Patients who benefitted most from haemodiafiltration were younger, less likely to have diabetes or a cardiovascular history and had higher serum creatinine and albumin levels. Internal-external cross validation showed adequate discrimination and calibration. Although overall mortality is reduced by haemodiafiltration compared with haemodialysis in ESKD patients, the absolute survival benefit can vary greatly between individuals. Our results indicate that the effects of haemodiafiltration on survival can be predicted using a combination of readily available patient and disease characteristics, which could guide shared decision-making.</t>
  </si>
  <si>
    <t>Using random forest to identify longitudinal predictors of health in a 30-year cohort study.</t>
  </si>
  <si>
    <t>Loef, Bette; Wong, Albert; Janssen, Nicole A H; Strak, Maciek; Hoekstra, Jurriaan; Picavet, H Susan J; Boshuizen, H C Hendriek; Verschuren, W M Monique; Herber, Gerrie-Cor M</t>
  </si>
  <si>
    <t>https://pubmed.ncbi.nlm.nih.gov/35725920</t>
  </si>
  <si>
    <t>Due to the wealth of exposome data from longitudinal cohort studies that is currently available, the need for methods to adequately analyze these data is growing. We propose an approach in which machine learning is used to identify longitudinal exposome-related predictors of health, and illustrate its potential through an application. Our application involves studying the relation between exposome and self-perceived health based on the 30-year running Doetinchem Cohort Study. Random Forest (RF) was used to identify the strongest predictors due to its favorable prediction performance in prior research. The relation between predictors and outcome was visualized with partial dependence and accumulated local effects plots. To facilitate interpretation, exposures were summarized by expressing them as the average exposure and average trend over time. The RF model's ability to discriminate poor from good self-perceived health was acceptable (Area-Under-the-Curve = 0.707). Nine exposures from different exposome-related domains were largely responsible for the model's performance, while 87 exposures seemed to contribute little to the performance. Our approach demonstrates that ML can be interpreted more than widely believed, and can be applied to identify important longitudinal predictors of health over the life course in studies with repeated measures of exposure. The approach is context-independent and broadly applicable.</t>
  </si>
  <si>
    <t>Response to Systemic Therapies in Ovarian Adult Granulosa Cell Tumors: A Literature Review.</t>
  </si>
  <si>
    <t>Brink, Geertruid J; Groeneweg, Jolijn W; Hooft, Lotty; Zweemer, Ronald P; Witteveen, Petronella O</t>
  </si>
  <si>
    <t>https://pubmed.ncbi.nlm.nih.gov/35740663</t>
  </si>
  <si>
    <t>For adult granulosa cell tumors (aGCTs), the preferred treatment modality is surgery. Chemotherapy and anti-hormonal therapy are also frequently used in patients with recurrent aGCT. We aimed to review the existing literature on the response to chemotherapy and anti-hormonal therapy in patients with aGCT. Embase and MEDLINE were searched from inception to November 2021 for eligible studies. Objective response rate (ORR) was calculated as the total number of cases with a complete response (CR) or a partial response (PR). Disease control rate (DCR) was defined as the sum of cases with CR, PR or stable disease (SD). A total of 10 studies were included that reported on chemotherapy and 13 studies were included that reported on anti-hormonal therapy. The response rates of the 56 chemotherapy regimens that could be evaluated resulted in an ORR of 30% and DCR of 58%. For anti-hormonal therapy, the results of 73 regimens led to an ORR of 11% and a DCR of 66%. Evidence on systemic therapy in aGCT only is limited. For both chemotherapy and anti-hormonal therapy, the ORR is limited, but the response is considerably higher when patients achieving SD are included. New approaches are needed to provide more evidence and standardize treatment in aGCT.</t>
  </si>
  <si>
    <t>Genetically Determined Reproductive Aging and Coronary Heart Disease: A Bidirectional 2-sample Mendelian Randomization.</t>
  </si>
  <si>
    <t>Dam, Veerle; Onland-Moret, N Charlotte; Burgess, Stephen; Chirlaque, Maria-Dolores; Peters, Sanne A E; Schuit, Ewoud; Tikk, Kaja; Weiderpass, Elisabete; Oliver-Williams, Clare; Wood, Angela M; Tjønneland, Anne; Dahm, Christina C; Overvad, Kim; Boutron-Ruault, Marie-Christine; Schulze, Matthias B; Trichopoulou, Antonia; Ferrari, Pietro; Masala, Giovanna; Krogh, Vittorio; Tumino, Rosario; Matullo, Giuseppe; Panico, Salvatore; Boer, Jolanda M A; Verschuren, W M Monique; Waaseth, Marit; Pérez, Maria José Sánchez; Amiano, Pilar; Imaz, Liher; Moreno-Iribas, Conchi; Melander, Olle; Harlid, Sophia; Nordendahl, Maria; Wennberg, Patrik; Key, Timothy J; Riboli, Elio; Santiuste, Carmen; Kaaks, Rudolf; Katzke, Verena; Langenberg, Claudia; Wareham, Nicholas J; Schunkert, Heribert; Erdmann, Jeanette; Willenborg, Christina; Hengstenberg, Christian; Kleber, Marcus E; Delgado, Graciela; März, Winfried; Kanoni, Stavroula; Dedoussis, George; Deloukas, Panos; Nikpay, Majid; McPherson, Ruth; Scholz, Markus;</t>
  </si>
  <si>
    <t>https://pubmed.ncbi.nlm.nih.gov/35306566</t>
  </si>
  <si>
    <t>Accelerated reproductive aging, in women indicated by early natural menopause, is associated with increased coronary heart disease (CHD) risk in observational studies. Conversely, an adverse CHD risk profile has been suggested to accelerate menopause. To study the direction and evidence for causality of the relationship between reproductive aging and (non-)fatal CHD and CHD risk factors in a bidirectional Mendelian randomization (MR) approach, using age at natural menopause (ANM) genetic variants as a measure for genetically determined reproductive aging in women. We also studied the association of these variants with CHD risk (factors) in men. Two-sample MR, using both cohort data as well as summary statistics, with 4 methods: simple and weighted median-based, standard inverse-variance weighted (IVW) regression, and MR-Egger regression. Data from EPIC-CVD and summary statistics from UK Biobank and publicly available genome-wide association studies were pooled for the different analyses. CHD, CHD risk factors, and ANM. Across different methods of MR, no association was found between genetically determined reproductive aging and CHD risk in women (relative risk estimateIVW = 0.99; 95% confidence interval (CI), 0.97-1.01), or any of the CHD risk factors. Similarly, no associations were found in men. Neither did the reversed analyses show evidence for an association between CHD (risk factors) and reproductive aging. Genetically determined reproductive aging is not causally associated with CHD risk (factors) in women, nor were the genetic variants associated in men. We found no evidence for a reverse association in a combined sample of women and men.</t>
  </si>
  <si>
    <t>Increasing African genomic data generation and sharing to resolve rare and undiagnosed diseases in Africa: a call-to-action by the H3Africa rare diseases working group.</t>
  </si>
  <si>
    <t>Lumaka, Aimé; Carstens, Nadia; Devriendt, Koenraad; Krause, Amanda; Kulohoma, Benard; Kumuthini, Judit; Mubungu, Gerrye; Mukisa, John; Nel, Melissa; Olanrewaju, Timothy O; Lombard, Zané; Landouré, Guida; ,</t>
  </si>
  <si>
    <t>orphanet journal of rare diseases</t>
  </si>
  <si>
    <t>https://pubmed.ncbi.nlm.nih.gov/35710439</t>
  </si>
  <si>
    <t>The rich and diverse genomics of African populations is significantly underrepresented in reference and in disease-associated databases. This renders interpreting the Next Generation Sequencing (NGS) data and reaching a diagnostic more difficult in Africa and for the African diaspora. It increases chances for false positives with variants being misclassified as pathogenic due to their novelty or rarity. We can increase African genomic data by (1) making consent for sharing aggregate frequency data an essential component of research toolkit; (2) encouraging investigators with African data to share available data through public resources such as gnomAD, AVGD, ClinVar, DECIPHER and to use MatchMaker Exchange; (3) educating African research participants on the meaning and value of sharing aggregate frequency data; and (4) increasing funding to scale-up the production of African genomic data that will be more representative of the geographical and ethno-linguistic variation on the continent. The RDWG of H3Africa is hereby calling to action because this underrepresentation accentuates the health disparities. Applying the NGS to shorten the diagnostic odyssey or to guide therapeutic options for rare diseases will fully work for Africans only when public repositories include sufficient data from African subjects.</t>
  </si>
  <si>
    <t>The Impact of BRCA1- and BRCA2 Mutations on Ovarian Reserve Status.</t>
  </si>
  <si>
    <t>C E, Drechsel Katja; C, van Tilborg Theodora; J C, Eijkemans Marinus; G W M, Lentjes Eef; Irene, Homminga; Mariette, Goddijn; J T, van Golde Ron; Willem, Verpoest; D, Lichtenbelt Klaske; J M, Broekmans Frank; M E, Bos Anna</t>
  </si>
  <si>
    <t>reproductive sciences thousand oaks calif</t>
  </si>
  <si>
    <t>https://pubmed.ncbi.nlm.nih.gov/35705781</t>
  </si>
  <si>
    <t>This study aimed to investigate whether female BRCA1- and BRCA2 mutation carriers have a reduced ovarian reserve status, based on serum anti-Mullerian hormone (AMH) levels, antral follicle count (AFC) and ovarian response to ovarian hyperstimulation. A prospective, multinational cohort study was performed between October 2014 and December 2019. Normo-ovulatory women, aged 18-41 years old, applying for their first PGT-cycle for reason of a BRCA mutation (cases) or other genetic diseases unrelated to ovarian reserve (controls), were asked to participate. All participants underwent a ICSI-PGT cycle with a long-agonist protocol for controlled ovarian hyperstimulation. Linear and logistic regression models were used to compare AMH, AFC and ovarian response in cases and controls. Sensitivity analyses were conducted on BRCA1- and BRCA2 mutation carrier subgroups. Thirty-six BRCA mutation carriers (18 BRCA1- and 18 BRCA2 mutation carriers) and 126 controls, with mean female age 30.4 years, were included in the primary analysis. Unadjusted median AMH serum levels (IQR) were 2.40 (1.80-3.00) ng/ml in BRCA mutation carriers and 2.15 (1.30-3.40) ng/ml in controls (p = 0.45), median AFC (IQR) was 15.0 (10.8-20.3) and 14.5 (9.0-20.0), p = 0.54, respectively. Low response rate was 22.6% among BRCA mutation carriers and 9.3% among controls, p = 0.06. Median number of retrieved oocytes was 9 (6-14) in carriers and 10 (7-13) in controls, p = 0.36. No substantial differences were observed between BRCA1- and BRCA2 mutation carriers. Based on several biomarkers, no meaningful differences in ovarian reserve status were observed in female BRCA mutation carriers compared to controls in the context of ICSI-PGT treatment.</t>
  </si>
  <si>
    <t>Cruciferous Vegetable Intake and Bulky DNA Damage within Non-Smokers and Former Smokers in the Gen-Air Study (EPIC Cohort).</t>
  </si>
  <si>
    <t>Peluso, Marco; Munnia, Armelle; Russo, Valentina; Galli, Andrea; Pala, Valeria; Schouw, Yvonne T van der; Schulze, Matthias B; Weiderpass, Elisabete; Tumino, Rosario; Saieva, Calogero; Exezarreta Pilar, Amiano; Aune, Dagfinn; Heath, Alicia K; Aglago, Elom; Agudo, Antonio; Panico, Salvatore; Petersen, Kristina Elin Nielsen; Tjønneland, Anne; Cirera, Lluís; Rodriguez-Barranco, Miguel; Katzke, Verena; Kaaks, Rudolf; Ricceri, Fulvio; Milani, Lorenzo; Vineis, Paolo; Sacerdote, Carlotta</t>
  </si>
  <si>
    <t>https://pubmed.ncbi.nlm.nih.gov/35745207</t>
  </si>
  <si>
    <t>Epidemiologic studies have indicated that cruciferous vegetables can influence the cancer risk; therefore, we examined with a cross-sectional approach the correlation between the frequent consumption of the total cruciferous vegetables and the formation of bulky DNA damage, a biomarker of carcinogen exposure and cancer risk, in the Gen-Air study within the European Prospective Investigation into Cancer and Nutrition (EPIC) cohort. DNA damage measurements were performed in the peripheral blood of 696 of those apparently healthy without cancer controls, including 379 never-smokers and 317 former smokers from seven European countries by the 32P-postlabeling assay. In the Gen-Air controls, the median intake of cruciferous vegetables was 6.16 (IQR 1.16−13.66) g/day, ranging from 0.37 (IQR 0−6.00) g/day in Spain to 11.34 (IQR 6.02−16.07) g/day in the UK. Based on this information, participants were grouped into: (a) high consumers (&gt;20 g/day), (b) medium consumers (3−20 g/day) and (c) low consumers (&lt;3.0 g/day). Overall, low cruciferous vegetable intake was correlated with a greater frequency of bulky DNA lesions, including benzo(a)pyrene, lactone and quinone-adducts and bulky oxidative lesions, in the adjusted models. Conversely, a high versus low intake of cruciferous vegetables was associated with a reduction in DNA damage (up to a 23% change, p = 0.032); this was particularly evident in former smokers (up to a 40% change, p = 0.008). The Generalized Linear Regression models indicated an overall Mean Ratio between the high and the low consumers of 0.78 (95% confidence interval, 0.64−0.97). The current study suggests that a higher intake of cruciferous vegetables is associated with a lower level of bulky DNA adducts and supports the potential for cancer prevention strategies through dietary habit changes aimed at increasing the consumption of cruciferous vegetables.</t>
  </si>
  <si>
    <t>Long-term Air Pollution Exposure and Pneumonia-related Mortality in a Large Pooled European Cohort.</t>
  </si>
  <si>
    <t>Liu, Shuo; Lim, Youn-Hee; Chen, Jie; Strak, Maciek; Wolf, Kathrin; Weinmayr, Gudrun; Rodopolou, Sophia; de Hoogh, Kees; Bellander, Tom; Brandt, Jørgen; Concin, Hans; Zitt, Emanuel; Fecht, Daniela; Forastiere, Francesco; Gulliver, John; Hertel, Ole; Hoffmann, Barbara; Hvidtfeldt, Ulla A; Verschuren, W M Monique; Jöckel, Karl-Heinz; Jørgensen, Jeanette T; So, Rina; Amini, Heresh; Cole-Hunter, Thomas; Mehta, Amar J; Mortensen, Laust H; Ketzel, Matthias; Lager, Anton; Leander, Karin; Ljungman, Petter; Severi, Gianluca; Boutron-Ruault, Marie-Christine; Magnusson, Patrik K E; Nagel, Gabriele; Pershagen, Göran; Peters, Annette; Raaschou-Nielsen, Ole; Rizzuto, Debora; van der Schouw, Yvonne T; Schramm, Sara; Sørensen, Mette; Stafoggia, Massimo; Tjønneland, Anne; Katsouyanni, Klea; Huang, Wei; Samoli, Evangelia; Brunekreef, Bert; Hoek, Gerard; Andersen, Zorana J</t>
  </si>
  <si>
    <t>american journal of respiratory and critical care medicine</t>
  </si>
  <si>
    <t>https://pubmed.ncbi.nlm.nih.gov/35258439</t>
  </si>
  <si>
    <t>&lt;b&gt;Rationale:&lt;/b&gt; Ambient air pollution exposure has been linked to mortality from chronic cardiorespiratory diseases, while evidence on respiratory infections remains more limited. &lt;b&gt;Objectives:&lt;/b&gt; We examined the association between long-term exposure to air pollution and pneumonia-related mortality in adults in a pool of eight European cohorts. &lt;b&gt;Methods:&lt;/b&gt; Within the multicenter project ELAPSE (Effects of Low-Level Air Pollution: A Study in Europe), we pooled data from eight cohorts among six European countries. Annual mean residential concentrations in 2010 for fine particulate matter, nitrogen dioxide (NO&lt;sub&gt;2&lt;/sub&gt;), black carbon (BC), and ozone were estimated using Europe-wide hybrid land-use regression models. We applied stratified Cox proportional hazard models to investigate the associations between air pollution and pneumonia, influenza, and acute lower respiratory infections (ALRI) mortality. &lt;b&gt;Measurements and Main Results:&lt;/b&gt; Of 325,367 participants, 712 died from pneumonia and influenza combined, 682 from pneumonia, and 695 from ALRI during a mean follow-up of 19.5 years. NO&lt;sub&gt;2&lt;/sub&gt; and BC were associated with 10-12% increases in pneumonia and influenza combined mortality, but 95% confidence intervals included unity (hazard ratios, 1.12 [0.99-1.26] per 10 μg/m&lt;sup&gt;3&lt;/sup&gt; for NO&lt;sub&gt;2&lt;/sub&gt;; 1.10 [0.97-1.24] per 0.5 10&lt;sup&gt;-5&lt;/sup&gt;m&lt;sup&gt;-1&lt;/sup&gt; for BC). Associations with pneumonia and ALRI mortality were almost identical. We detected effect modification suggesting stronger associations with NO&lt;sub&gt;2&lt;/sub&gt; or BC in overweight, employed, or currently smoking participants compared with normal weight, unemployed, or nonsmoking participants. &lt;b&gt;Conclusions:&lt;/b&gt; Long-term exposure to combustion-related air pollutants NO&lt;sub&gt;2&lt;/sub&gt; and BC may be associated with mortality from lower respiratory infections, but larger studies are needed to estimate these associations more precisely.</t>
  </si>
  <si>
    <t>What did we learn in 35 years of research on nutrition and supplements for age-related macular degeneration: a systematic review.</t>
  </si>
  <si>
    <t>Pameijer, Els M; Heus, Pauline; Damen, Johanna A A; Spijker, René; Hooft, Lotty; Ringens, Peter J; Imhof, Saskia M; van Leeuwen, Redmer</t>
  </si>
  <si>
    <t>acta ophthalmologica</t>
  </si>
  <si>
    <t>https://pubmed.ncbi.nlm.nih.gov/35695158</t>
  </si>
  <si>
    <t>The aim of this paper is to summarize all available evidence from systematic reviews, randomized controlled trials (RCTs) and comparative nonrandomized studies (NRS) on the association between nutrition and antioxidant, vitamin, and mineral supplements and the development or progression of age-related macular degeneration (AMD). The Cochrane Database of Systematic Reviews, Cochrane register CENTRAL, MEDLINE and Embase were searched and studies published between January 2015 and May 2021 were included. The certainty of evidence was assessed according to the GRADE methodology. The main outcome measures were development of AMD, progression of AMD, and side effects. We included 7 systematic reviews, 7 RCTs, and 13 NRS. A high consumption of specific nutrients, i.e. β-carotene, lutein and zeaxanthin, copper, folate, magnesium, vitamin A, niacin, vitamin B6, vitamin C, docosahexaenoic acid, and eicosapentaenoic acid, was associated with a lower risk of progression of early to late AMD (high certainty of evidence). Use of antioxidant supplements and adherence to a Mediterranean diet, characterized by a high consumption of vegetables, whole grains, and nuts and a low consumption of red meat, were associated with a decreased risk of progression of early to late AMD (moderate certainty of evidence). A high consumption of alcohol was associated with a higher risk of developing AMD (moderate certainty of evidence). Supplementary vitamin C, vitamin E, or β-carotene were not associated with the development of AMD, and supplementary omega-3 fatty acids were not associated with progression to late AMD (high certainty of evidence). Research in the last 35 years included in our overview supports that a high intake of specific nutrients, the use of antioxidant supplements and adherence to a Mediterranean diet decrease the risk of progression of early to late AMD.</t>
  </si>
  <si>
    <t>[The hidden risks of screening].</t>
  </si>
  <si>
    <t>van der Graaf, Yolanda</t>
  </si>
  <si>
    <t>https://pubmed.ncbi.nlm.nih.gov/35899724</t>
  </si>
  <si>
    <t>With screening the natural course of disease should be altered to reduce mortality from that disease. Screening offers very little benefit but has many disadvantages like false-positives, overdiagnosis and psychological distress. The advocates of screening overestimate the importance of the disease and the effects of screening but neglect the disadvantages. But also potential participants and medical doctors overestimate the effects of screening. Although considered important the still valuable criteria by Wilson and Jungner are neglected by researchers and committees that approve screening. Even in the situation that doctors disapprove screening healthy people are willing to undergo body-scans although nobody knows how to deal with the many abnormalities that are detected. Screening programmes should be evaluated against other interventions and not simply by making models with a lot of unproven assumptions. And most of all the potential participants have to informed about the potential disadvantages and the small effects on health.</t>
  </si>
  <si>
    <t>Self-care management of bothersome symptoms as recommended by clinicians for patients with a chronic condition: A Delphi study.</t>
  </si>
  <si>
    <t>Westland, Heleen; Page, Shayleigh Dickson; van Rijn, Michelle; Aryal, Subhash; Freedland, Kenneth E; Lee, Christopher; Strömberg, Anna; Vellone, Ercole; Wiebe, Douglas J; Jaarsma, Tiny; Riegel, Barbara</t>
  </si>
  <si>
    <t>heart lung the journal of critical care</t>
  </si>
  <si>
    <t>https://pubmed.ncbi.nlm.nih.gov/35709644</t>
  </si>
  <si>
    <t>Chronically medically ill patients often need clinical assistance with symptom management, as well as self-care interventions that can help to reduce the impact of bothersome symptoms. Experienced clinicians can help to guide the development of more effective self-care interventions. To create a consensus-based list of common bothersome symptoms of chronic conditions and of self-care management behaviors recommended to patients by clinicians to reduce the impact of these symptoms. A two-round Delphi study was performed among an international panel of 47 clinicians using online surveys to identify common and bothersome symptoms and related self-care management behaviors recommended to patients with heart failure, chronic obstructive pulmonary disease, asthma, type 2 diabetes, or arthritis. A total of 30 common bothersome symptoms and 158 self-care management behaviors across the five conditions were listed. Each chronic condition has its own bothersome symptoms and self-care management behaviors. Consensus was reached on the vast majority of recommended behaviors. The list of common bothersome symptoms and self-care management behaviors reflect consensus across four countries on many points but also disagreement on others, and a few recommendations are inconsistent with current guidelines. Efforts to encourage clinicians to recommend effective self-care management behaviors may reduce symptom impact in chronically ill patient populations.</t>
  </si>
  <si>
    <t>Comparative clinical manifestations and immune effects of cytomegalovirus infections following distinct types of immunosuppression.</t>
  </si>
  <si>
    <t>Ong, David S Y; Chong, Ga-Lai M; Chemaly, Roy F; Cremer, Olaf L</t>
  </si>
  <si>
    <t>https://pubmed.ncbi.nlm.nih.gov/35709902</t>
  </si>
  <si>
    <t>Cytomegalovirus (CMV) infection is a well-recognised complication of solid organ and hematopoietic cell transplantation. However, CMV infection also occurs in patients with human immunodeficiency virus infection, previously immunocompetent intensive care unit patients, and individuals on immunosuppressive medications for various underlying diseases. This review describes the comparative effects of CMV infection in distinct types of acquired immunosuppression. Selected peer-reviewed publications on CMV infections published until December 2021. CMV infection affects various organ systems through direct cytolytic mechanisms but may also exert indirect effects by promoting pro-inflammatory and immunosuppressive responses. This has been well studied in transplant recipients, for whom antiviral prophylaxis and pre-emptive therapy have now become standard practice. These strategies not only prevent direct CMV disease manifestations but also mitigate various immunopathological processes to reduce graft-vs.-host disease, graft rejection, and the occurrence of secondary bacterial and fungal infections. The efficacy of neither prophylactic nor pre-emptive treatment of CMV infection has been demonstrated for patients with critical illness- or medication-induced immunosuppression. Many observational studies have shown an independent association between CMV reactivation and a prolonged duration of mechanical ventilation or increased mortality in the intensive care unit. Furthermore, data suggest that CMV reactivation may increase pulmonary inflammation and prolong the duration of mechanical ventilation. A large number of observational and experimental studies suggest attributable morbidity and mortality related to CMV infection, not only in transplant recipients and patients with human immunodeficiency virus infection but also in patients with critically illness- or medication-induced immunosuppression. Adequately powered randomised controlled trials investigating the efficacy of prophylaxis or pre-emptive treatment of CMV infection in these patients are lacking, with a notable exception for transplant recipients.</t>
  </si>
  <si>
    <t>Evaluation of nonalcoholic fatty liver disease (NAFLD) in severe obesity using noninvasive tests and imaging techniques.</t>
  </si>
  <si>
    <t>Theel, Willy; Boxma-de Klerk, Bianca M; Dirksmeier-Harinck, Femme; van Rossum, Elisabeth F C; Kanhai, Danny A; Apers, Jan; van Dalen, Bas M; de Knegt, Robert J; Holleboom, Adriaan G; Tushuizen, Maarten E; Grobbee, Diederick E; Wiebolt, Janneke; Castro Cabezas, Manuel</t>
  </si>
  <si>
    <t>obesity reviews an official journal of the international association for the study of obesity</t>
  </si>
  <si>
    <t>https://pubmed.ncbi.nlm.nih.gov/35692179</t>
  </si>
  <si>
    <t>The prevalence of nonalcoholic fatty liver disease (NAFLD) and the more severe and inflammatory type, nonalcoholic steatohepatitis (NASH), is increasing rapidly. Especially in high-risk patients, that is those with obesity, metabolic syndrome, and type 2 diabetes mellitus, the prevalence of NAFLD can be as high as 80% while NASH may be present in 20% of these subjects. With the worldwide increase of obesity, it is most likely that these numbers will rise. Since advanced stages of NAFLD and NASH are strongly associated with morbidity and mortality-in particular, cardiovascular disease, liver cirrhosis, and hepatocellular carcinoma-it is of great importance to identify subjects at risk. A great variety of noninvasive tests has been published to diagnose NAFLD and NASH, especially using blood- and imaging-based tests. Liver biopsy remains the gold standard for NAFLD/NASH. This review aims to summarize the different mechanisms leading to NASH and liver fibrosis, the different noninvasive liver tests to diagnose and evaluate patients with severe obesity.</t>
  </si>
  <si>
    <t>Exposure to surrounding greenness and natural-cause and cause-specific mortality in the ELAPSE pooled cohort.</t>
  </si>
  <si>
    <t>Bereziartua, Ainhoa; Chen, Jie; de Hoogh, Kees; Rodopoulou, Sophia; Andersen, Zorana J; Bellander, Tom; Brandt, Jørgen; Fecht, Daniela; Forastiere, Francesco; Gulliver, John; Hertel, Ole; Hoffmann, Barbara; Arthur Hvidtfeldt, Ulla; Verschuren, W M Monique; Jöckel, Karl-Heinz; Jørgensen, Jeanette T; Katsouyanni, Klea; Ketzel, Matthias; Hjertager Krog, Norun; Brynedal, Boel; Leander, Karin; Liu, Shuo; Ljungman, Petter; Faure, Elodie; Magnusson, Patrik K E; Nagel, Gabriele; Pershagen, Göran; Peters, Annette; Raaschou-Nielsen, Ole; Renzi, Matteo; Rizzuto, Debora; Samoli, Evangelia; van der Schouw, Yvonne T; Schramm, Sara; Severi, Gianluca; Stafoggia, Massimo; Strak, Maciej; Sørensen, Mette; Tjønneland, Anne; Weinmayr, Gudrun; Wolf, Kathrin; Zitt, Emanuel; Brunekreef, Bert; Hoek, Gerard</t>
  </si>
  <si>
    <t>https://pubmed.ncbi.nlm.nih.gov/35717714</t>
  </si>
  <si>
    <t>The majority of studies have shown higher greenness exposure associated with reduced mortality risks, but few controlled for spatially correlated air pollution and traffic noise exposures. We aim to address this research gap in the ELAPSE pooled cohort. Mean Normalized Difference Vegetation Index (NDVI) in a 300-m grid cell and 1-km radius were assigned to participants' baseline home addresses as a measure of surrounding greenness exposure. We used Cox proportional hazards models to estimate the association of NDVI exposure with natural-cause and cause-specific mortality, adjusting for a number of potential confounders including socioeconomic status and lifestyle factors at individual and area-levels. We further assessed the associations between greenness exposure and mortality after adjusting for fine particulate matter (PM&lt;sub&gt;2.5&lt;/sub&gt;), nitrogen dioxide (NO&lt;sub&gt;2&lt;/sub&gt;) and road traffic noise. The pooled study population comprised 327,388 individuals who experienced 47,179 natural-cause deaths during 6,374,370 person-years of follow-up. The mean NDVI in the pooled cohort was 0.33 (SD 0.1) and 0.34 (SD 0.1) in the 300-m grid and 1-km buffer. In the main fully adjusted model, 0.1 unit increment of NDVI inside 300-m grid was associated with 5% lower risk of natural-cause mortality (Hazard Ratio (HR) 0.95 (95% CI: 0.94, 0.96)). The associations attenuated after adjustment for air pollution [HR (95% CI): 0.97 (0.96, 0.98) adjusted for PM&lt;sub&gt;2.5&lt;/sub&gt;; 0.98 (0.96, 0.99) adjusted for NO&lt;sub&gt;2&lt;/sub&gt;]. Additional adjustment for traffic noise hardly affected the associations. Consistent results were observed for NDVI within 1-km buffer. After adjustment for air pollution, NDVI was inversely associated with diabetes, respiratory and lung cancer mortality, yet with wider 95% confidence intervals. No association with cardiovascular mortality was found. We found a significant inverse association between surrounding greenness and natural-cause mortality, which remained after adjusting for spatially correlated air pollution and traffic noise.</t>
  </si>
  <si>
    <t>Sex and gender matter in cardiovascular disease and beyond.</t>
  </si>
  <si>
    <t>https://pubmed.ncbi.nlm.nih.gov/35296513</t>
  </si>
  <si>
    <t>Circulating anti-Müllerian hormone levels and markers of subclinical cardiovascular disease in middle-aged and older men.</t>
  </si>
  <si>
    <t>Verdiesen, Renée M G; Onland-Moret, N Charlotte; van Gils, Carla H; van der Schouw, Yvonne T</t>
  </si>
  <si>
    <t>https://pubmed.ncbi.nlm.nih.gov/35709631</t>
  </si>
  <si>
    <t>Recent research suggests that higher circulating anti-Müllerian hormone (AMH) levels are associated with less frequent occurrence of (subclinical) cardiovascular disease (CVD) in women, but evidence in men is limited. We investigated whether circulating AMH levels are associated with measures of subclinical CVD in middle-aged and older men. Prospective cohort study with a median follow-up time of 8.7 years. Serum AMH was measured at baseline. We assessed both cross-sectional and longitudinal associations using linear regression models adjusted for confounders. Dutch middle-aged and older men from the community. 394 men (aged 40-80 years) with an available AMH measurement at baseline. At baseline (2001-2002): carotid intima-media thickness (CIMT), pulse wave velocity (PWV), abdominal aortic diameter, and Framingham risk score (FRS) predictions. At follow-up (2010-2011): CIMT, mean carotid aortic plaque score, PWV, and FRS predictions. All outcomes were transformed using rank-based inverse normal transformation to meet the normality assumption. Higher AMH levels were associated with lower CIMT at baseline (β = -0.04; 95%CI = 0.07, -0.01), but not with the other measures of subclinical CVD at baseline. Longitudinal analyses suggested that higher baseline AMH levels were associated with lower mean plaque scores at follow-up (β = -0.03, 95%CI = -0.07, 0.00), but not with the other follow-up outcomes. Our results suggest that AMH is associated with current CIMT and future carotid aortic plaque burden in men, implying that circulating AMH levels are potentially associated with local atherosclerosis rather than with total aortic stiffness.</t>
  </si>
  <si>
    <t>Requests for euthanasia or assisted suicide of people without (severe) illness.</t>
  </si>
  <si>
    <t>van den Berg, Vera E; Zomers, Margot L; van Thiel, Ghislaine Jmw; Leget, Carlo Jw; van Delden, Johannes Jm; van Wijngaarden, Els J</t>
  </si>
  <si>
    <t>health policy amsterdam netherlands</t>
  </si>
  <si>
    <t>https://pubmed.ncbi.nlm.nih.gov/35710476</t>
  </si>
  <si>
    <t>Some people request euthanasia or assisted suicide (EAS) even though they are not (severely) ill. In the Netherlands the presence of sufficient medical ground for the suffering is a strict prerequisite for EAS. The desirability of this 'medical ground'-boundary is currently questioned. Legislation has been proposed to facilitate EAS for older persons with "completed life" or "tiredness of life" in the absence of (severe) illness. To describe the characteristics and motivations of persons whose requests for EAS in the absence of (severe) illness did not result in EAS and the decision-making process of medical professionals in these types of requests. Analysis of 237 applicant records of the Dutch Euthanasia Expertise Center. We studied both the perspectives of applicants and medical professionals. The majority of the applicants were women (73%) aged 75 years and older (79%). Applicants most often indicated physical suffering as element of suffering and reason for the request. Medical professionals indicated in 40% of the cases no or insufficient medical ground for the suffering. Physical suffering plays an important role in requests for EAS even for persons who are not (severely) ill. From the presence of physical suffering it does not necessarily follow that for medical professionals there is sufficient medical ground to comply with the 'medical ground'-boundary.</t>
  </si>
  <si>
    <t>Vaccine effectiveness against COVID-19 related hospital admission in the Netherlands: A test-negative case-control study.</t>
  </si>
  <si>
    <t>Niessen, F A; Knol, M J; Hahné, S J M; ,; Bonten, M J M; Bruijning-Verhagen, P C J L</t>
  </si>
  <si>
    <t>https://pubmed.ncbi.nlm.nih.gov/35863935</t>
  </si>
  <si>
    <t>Real-world vaccine effectiveness (VE) estimates are essential to identify potential groups at higher risk of break-through infections and to guide policy. We assessed the VE of COVID-19 vaccination against COVID-19 hospitalization, while adjusting and stratifying for patient characteristics. We performed a test-negative case-control study in six Dutch hospitals. The study population consisted of adults eligible for COVID-19 vaccination hospitalized between May 1 and June 28, 2021 with respiratory symptoms. Cases were defined as patients who tested positive for SARS-CoV-2 by PCR during the first 48 h of admission or within 14 days prior to hospital admission. Controls were patients tested negative at admission and did not have a positive test during the 2 weeks prior to hospitalization. VE was calculated using multivariable logistic regression, adjusting for calendar week, sex, age, comorbidity and nursing home residency. Subgroup analysis was performed for age, sex and different comorbidities. Secondary endpoints were ICU-admission and mortality. 379 cases and 255 controls were included of whom 157 (18%) were vaccinated prior to admission. Five cases (1%) and 40 controls (16%) were fully vaccinated (VE: 93%; 95% CI: 81 - 98), and 40 cases (11%) and 70 controls (27%) were partially vaccinated (VE: 70%; 95% CI: 50-82). A strongly protective effect of vaccination was found in all comorbidity subgroups. No ICU-admission or mortality were reported among fully vaccinated cases. Of unvaccinated cases, mortality was 10% and 19% was admitted at the ICU. COVID-19 vaccination provides a strong protective effect against COVID-19 related hospital admission, in patients with and without comorbidity.</t>
  </si>
  <si>
    <t>Prevalence of Cardioprotective Medication Use in Coronary Heart Disease Patients in South America: Systematic review and Meta-Analysis.</t>
  </si>
  <si>
    <t>Marzà-Florensa, A; Drotos, E; Gulayin, P; Grobbee, D E; Irazola, V; Klipstein-Grobusch, K; Vaartjes, I</t>
  </si>
  <si>
    <t>https://pubmed.ncbi.nlm.nih.gov/35837361</t>
  </si>
  <si>
    <t>Coronary heart disease (CHD) is the most common cause of death globally, and clinical guidelines recommend cardioprotective medications for patients with established CHD. Suboptimal use of these medications has been reported, but information from South America is scarce. We conducted a systematic review on prevalence of secondary prevention medication in South America. We pooled prevalence estimates, analysed time-trends and guideline compliance, and identified factors associated with medication use with meta-regression models. 73 publications were included. Medication prevalence varied by class: beta-blockers 73.4%(95%CI 66.8%-79.1%), ACEI/ARBs 55.8%(95%CI 49.7%-61.8), antiplatelets 84.6%(95%CI 79.6%-88.5%), aspirin 85.1%(95%CI 79.7%-89.3%) and statins 78.9%(95%CI 71.2%-84.9%). The use of beta-blockers, ACEI/ARBs and statins increased since 1993. Ten publications reported low medication use and nine reported adequate use. Medication use was lower in community, public and rehabilitation settings compared to tertiary centres. Cardioprotective medication use has increased, but could be further improved particularly in community settings.</t>
  </si>
  <si>
    <t>If you were a policymaker, which treatment would you disinvest? A participatory value evaluation on public preferences for active disinvestment of health care interventions in the Netherlands.</t>
  </si>
  <si>
    <t>Rotteveel, A H; Lambooij, M S; Over, E A B; Hernández, J I; Suijkerbuijk, A W M; de Blaeij, A T; de Wit, G A; Mouter, N</t>
  </si>
  <si>
    <t>health economics policy and law</t>
  </si>
  <si>
    <t>https://pubmed.ncbi.nlm.nih.gov/35670359</t>
  </si>
  <si>
    <t>Currently, it is not known what attributes of health care interventions citizens consider important in disinvestment decision-making (i.e. decisions to discontinue reimbursement). Therefore, this study aims to investigate the preferences of citizens of the Netherlands toward the relative importance of attributes of health care interventions in the context of disinvestment. A participatory value evaluation (PVE) was conducted in April and May 2020. In this PVE, 1143 Dutch citizens were asked to save at least €100 million by selecting health care interventions for disinvestment from a list of eight unlabeled health care interventions, described solely with attributes. A portfolio choice model was used to analyze participants' choices. Participants preferred to disinvest health care interventions resulting in smaller gains in quality of life and life expectancy that are provided to older patient groups. Portfolios (i.e. combinations of health care interventions) resulting in smaller savings were preferred for disinvestment over portfolios with larger savings. The disinvestment of health care interventions resulting in smaller health gains and that are targeted at older patient groups is likely to receive most public support. By incorporating this information in the selection of candidate interventions for disinvestment and the communication on disinvestment decisions, policymakers may increase public support for disinvestment.</t>
  </si>
  <si>
    <t>Effects of structured involvement of the primary care team versus standard care after a cancer diagnosis on patient satisfaction and healthcare use: the GRIP randomised controlled trial.</t>
  </si>
  <si>
    <t>Perfors, I A A; Helsper, C W; Noteboom, E A; Visserman, E A; van Dorst, E B L; van Dalen, T; Verhagen, M A M T; Witkamp, A J; Koelemij, R; Flinterman, A E; Pruissen-Peeters, K A B M; Schramel, F M N H; van Rens, M T M; Ernst, M F; Moons, L M G; van der Wall, E; de Wit, N J; May, A M</t>
  </si>
  <si>
    <t>https://pubmed.ncbi.nlm.nih.gov/35659264</t>
  </si>
  <si>
    <t>The growing number of cancer survivors and treatment possibilities call for more personalised and integrated cancer care. Primary care seems well positioned to support this. We aimed to assess the effects of structured follow-up of a primary care team after a cancer diagnosis. We performed a multicentre randomised controlled trial enrolling patients curatively treated for breast, lung, colorectal, gynaecologic cancer or melanoma. In addition to usual cancer care in the control group, patients randomized to intervention were offered a "Time Out consultation" (TOC) with the general practitioner (GP) after diagnosis, and subsequent follow-up during and after treatment by a home care oncology nurse (HON). Primary outcomes were patient satisfaction with care (questionnaire: EORTC-INPATSAT-32) and healthcare utilisation. Intention-to-treat linear mixed regression analyses were used for satisfaction with care and other continuous outcome variables. The difference in healthcare utilisation for categorical data was calculated with a Pearson Chi-Square or a Fisher exact test and count data (none versus any) with a log-binomial regression. We included 154 patients (control n = 77, intervention n = 77) who were mostly female (75%), mainly diagnosed with breast cancer (51%), and had a mean age of 61 (SD ± 11.9) years. 81% of the intervention patients had a TOC and 68% had HON contact. Satisfaction with care was high (8 out of 10) in both study groups. At 3 months after treatment, GP satisfaction was significantly lower in the intervention group on 3 of 6 subscales, i.e., quality (- 14.2 (95%CI -27.0;-1.3)), availability (- 15,9 (- 29.1;-2.6)) and information provision (- 15.2 (- 29.1;-1.4)). Patients in the intervention group visited the GP practice and the emergency department more often ((RR 1.3 (1.0;1.7) and 1.70 (1.0;2.8)), respectively). In conclusion, the GRIP intervention, which was designed to involve the primary care team during and after cancer treatment, increased the number of primary healthcare contacts. However, it did not improve patient satisfaction with care and it increased emergency department visits. As the high uptake of the intervention suggests a need of patients, future research should focus on optimizing the design and implementation of the intervention. GRIP is retrospectively (21/06/2016) registered in the 'Netherlands Trial Register' (NTR5909).</t>
  </si>
  <si>
    <t>Age-Appropriate Advance Care Planning in Children Diagnosed with a Life-Limiting Condition: A Systematic Review.</t>
  </si>
  <si>
    <t>Brunetta, Julie; Fahner, Jurrianne; Legemaat, Monique; van den Bergh, Esther; Krommenhoek, Koen; Prinsze, Kyra; Kars, Marijke; Michiels, Erna</t>
  </si>
  <si>
    <t>https://pubmed.ncbi.nlm.nih.gov/35740767</t>
  </si>
  <si>
    <t>Pediatric advance care planning (pACP) is an important strategy to support patient-centered care. It is known to be difficult, yet paramount, to involve the child in pACP while adjusting treatment to age and the corresponding stage of development. This systematic review was aimed to evaluate the age appropriateness of pACP interventions by assessing their characteristics, content, and evidence. CINAHL, Embase and MEDLINE were searched from 1 January 1998 to 31 August 2020 in order to identify peer-reviewed articles containing strategies and tools to facilitate pACP in both children (0-18 years) with life-limiting conditions and their families. An assessment of quality was performed using Cochrane tools and COREQ. The full protocol is available as PROSPERO CRD42020152243. Thirty-one articles describing 18 unique pACP tools were included. Most tools were developed for adolescents and young adults. In most cases, the interventions tried to assess the child's and family's preferences concerning their current and future hopes, wishes, and goals of the care. This was aimed to enhance communication about these preferences between children, their families, and health-care providers and to improve engagement in pACP. The relevance of an age-appropriate approach was mentioned in most articles, but this was mainly implicit. Seven articles implemented age-appropriate elements. Six factors influencing age appropriateness were identified. Tools to support pACP integrated age-appropriate elements to a very limited extent. They mainly focused on adolescents. The involvement of children of all ages may need a more comprehensive approach.</t>
  </si>
  <si>
    <t>Regional heterogeneity of malaria prevalence and associated risk factors among children under five in Togo: evidence from a national malaria indicators survey.</t>
  </si>
  <si>
    <t>Kombate, Gountante; Gmakouba, Wakpaouyare; Scott, Susana; Azianu, Komi Ameko; Ekouevi, Didier Koumavi; van der Sande, Marianne A B</t>
  </si>
  <si>
    <t>malaria journal</t>
  </si>
  <si>
    <t>https://pubmed.ncbi.nlm.nih.gov/35658969</t>
  </si>
  <si>
    <t>Malaria remains a major cause of morbidity and death among children less than 5 years of age. In Togo, despite intensification of malaria control interventions, malaria remained highly prevalent, with significant heterogeneity from one region to another. The aim of this study is to explore further such regional differences in malaria prevalence and to determine associated risk factors. Data from a 2017 cross-sectional nationally representative malaria indicator survey was used. Children aged 6-59 months in selected households were tested for malaria using a rapid diagnostic test (RDT), confirmed by microscopy. Univariate and multivariate logistic regression analysis were performed using Generalized Linear Models. A total of 2131 children aged 6-59 months (1983 in rural areas, 989 in urban areas) were enrolled. Overall 28% of children tested positive for malaria, ranging from 7.0% in the Lomé Commune region to 4% 7.1 in the Plateaux region. In multivariate analysis, statistically significant differences between regions persisted. Independent risk factors identified were higher children aged (aOR = 1.46, 95% CI [1.13-1.88]) for those above 24 months compared to those below; households wealth quintile (aOR = 0.22, 95% CI [0.11-0.41]) for those richest compared to those poorest quintiles; residence in rural areas (aOR = 2.02, 95% CI [1.32-3.13]). Interventions that target use of combined prevention measures should prioritise on older children living in poorest households in rural areas, particularly in the regions of high malaria prevalence.</t>
  </si>
  <si>
    <t>SYMPHONY consortium: Orchestrating personalized treatment for patients with bleeding disorders.</t>
  </si>
  <si>
    <t>Cnossen, Marjon H; van Moort, Iris; Reitsma, Simone H; de Maat, Moniek P M; Schutgens, Roger E G; Urbanus, Rolf T; Lingsma, Hester F; Mathot, Ron A A; Gouw, Samantha C; Meijer, Karina; Bredenoord, Annelien L; van der Graaf, Rieke; Fijnvandraat, Karin; Meijer, Alexander B; van den Akker, Emile; Bierings, Ruben; Eikenboom, Jeroen C J; van den Biggelaar, Maartje; de Haas, Masja; Voorberg, Jan; Leebeek, Frank W G; ,</t>
  </si>
  <si>
    <t>https://pubmed.ncbi.nlm.nih.gov/35652368</t>
  </si>
  <si>
    <t>Treatment choices for individual patients with an inborn bleeding disorder are increasingly challenging due to increasing options and rising costs for society. We have initiated an integrated interdisciplinary national research programme. The SYMPHONY consortium strives to orchestrate personalized treatment in patients with an inborn bleeding disorder, by unravelling the mechanisms behind inter-individual variations of bleeding phenotype. The SYMPHONY consortium will investigate patients with an inborn bleeding disorder, both diagnosed and not yet diagnosed. Research questions are categorized under the themes: 1) Diagnosis; 2) Treatment; and 3) Fundamental research and consist of workpackages addressing specific domains. Importantly, collaborations between patients and talented researchers from different areas of expertise promise to augment the impact of the SYMPHONY consortium, leading to unique interactions and intellectual property. SYMPHONY will perform research on all aspects of care, treatment individualization in patients with inborn bleeding disorders as well as diagnostic innovations and results of molecular genetics and cellular model technology with regard to the hemostatic process. We believe that these research investments will lead to health care innovations with long-term clinical and societal impact. This consortium has been made possible by a governmental, competitive grant from the Netherlands Organization for Scientific Research (NWO) within the framework of the NWA-ORC Call grant agreement NWA.1160.18.038.</t>
  </si>
  <si>
    <t>&lt;i&gt;Candida auris&lt;/i&gt;: outbreak fungal pathogen in COVID-19 pandemic: a systematic review and meta-analysis.</t>
  </si>
  <si>
    <t>Bagheri Lankarani, Kamran; Akbari, Maryam; Tabrizi, Reza; Vali, Mohebat; Sekhavati, Eghbal; Heydari, Seyed Taghi; Khodadadi, Hossein; Ahmadizar, Fariba</t>
  </si>
  <si>
    <t>iranian journal of microbiology</t>
  </si>
  <si>
    <t>https://pubmed.ncbi.nlm.nih.gov/37124855</t>
  </si>
  <si>
    <t>&lt;i&gt;Candida auris (C. auris)&lt;/i&gt; is the first fungal pathogen considered a global health threat. Because, &lt;i&gt;C. auris&lt;/i&gt; is associated with multidrug resistance and associated diseases such as diabetes, sepsis, lung and kidney disease. This study investigated the prevalence and mortality of &lt;i&gt;C. auris&lt;/i&gt; infection during Covid-19 pandemic. Databases were searched for peer-reviewed articles published in the English language up to Jan 18, 2022. Heterogeneity across studies was evaluated using Cochrane's Q test and the I2 index. The pooled point prevalences and their corresponding 95% confidence intervals (CIs) were estimated usingthe random-effects model. In our meta-analysis, 11 eligible articles were included. The total pooled prevalence estimation of &lt;i&gt;C. auris&lt;/i&gt; infection among COVID-19 patients was 13% (95% CI: 8%, 19%). The estimated pooled mortality rate of &lt;i&gt;C. auris&lt;/i&gt; infection was 37% (95% CI: 15%, 61%). In terms of specific conditions, the pooled risk of mortality was higher in people with diabetes 65% (95% CI: 0.45%, 83%), in cases with &gt;21 days admission inintensive care unit (ICU) 44% (95% CI: 21%, 0.68%), and after receiving steroids 43% (95% CI: 18%, 69%). Our study highlights the high prevalence rate of &lt;i&gt;C. auris&lt;/i&gt; infection, particularly among people with a history of metabolic disorders.</t>
  </si>
  <si>
    <t>Comments on the CAIRO4 Trial Secondary Outcomes Report-Reply.</t>
  </si>
  <si>
    <t>van der Kruijssen, Dave E W; Elias, Sjoerd G; de Wilt, Johannes H W</t>
  </si>
  <si>
    <t>https://pubmed.ncbi.nlm.nih.gov/35171236</t>
  </si>
  <si>
    <t>Decisions on antibiotic prescribing for suspected urinary tract infections in frail older adults: a qualitative study in four European countries.</t>
  </si>
  <si>
    <t>Hartman, Esther A R; Groen, Wim G; Heltveit-Olsen, Silje Rebekka; Lindbæk, Morten; Høye, Sigurd; Sundvall, Pär-Daniel; Skoglund, Ingmarie; Snaebjörnsson Arnljots, Egill; Gunnarsson, Ronny; Kowalczyk, Anna; Godycki-Cwirko, Maciek; Kosiek, Katarzyna; Platteel, Tamara N; van de Pol, Alma C; Verheij, Theo J M; Monnier, Annelie A; Hertogh, Cees M P M</t>
  </si>
  <si>
    <t>https://pubmed.ncbi.nlm.nih.gov/35697352</t>
  </si>
  <si>
    <t>a suspected urinary tract infection (UTI) is the most common reason to prescribe antibiotics in a frail older patient. Frequently, antibiotics are prescribed unnecessarily. To increase appropriate antibiotic use for UTIs through antibiotic stewardship interventions, we need to thoroughly understand the factors that contribute to these prescribing decisions. (1) to obtain insight into factors contributing to antibiotic prescribing for suspected UTIs in frail older adults. (2) To develop an overarching model integrating these factors to guide the development of antibiotic stewardship interventions for UTIs in frail older adults. we conducted an exploratory qualitative study with 61 semi-structured interviews in older adult care settings in Poland, the Netherlands, Norway and Sweden. We interviewed physicians, nursing staff, patients and informal caregivers. participants described a chain of decisions by patients, caregivers and/or nursing staff preceding the ultimate decision to prescribe antibiotics by the physician. We identified five themes of influence: (1) the clinical situation and its complexity within the frail older patient, (2) diagnostic factors, such as asymptomatic bacteriuria, (3) knowledge (gaps) and attitude, (4) communication: interprofessional, and with patients and relatives and (5) context and organisation of care, including factors such as availability of antibiotics (over the counter), antibiotic stewardship efforts and factors concerning out-of-hours care. decision-making on suspected UTIs in frail older adults is a complex, multifactorial process. Due to the diverse international setting and stakeholder variety, we were able to provide a comprehensive overview of factors to guide the development of antibiotic stewardship interventions.</t>
  </si>
  <si>
    <t>Adverse cardiovascular events and mortality in men during testosterone treatment: an individual patient and aggregate data meta-analysis.</t>
  </si>
  <si>
    <t>Hudson, Jemma; Cruickshank, Moira; Quinton, Richard; Aucott, Lorna; Aceves-Martins, Magaly; Gillies, Katie; Bhasin, Shalender; Snyder, Peter J; Ellenberg, Susan S; Grossmann, Mathis; Travison, Thomas G; Gianatti, Emily J; van der Schouw, Yvonne T; Emmelot-Vonk, Marielle H; Giltay, Erik J; Hackett, Geoff; Ramachandran, Sudarshan; Svartberg, Johan; Hildreth, Kerry L; Groti Antonic, Kristina; Brock, Gerald B; Tenover, J Lisa; Tan, Hui Meng; Kong, Christopher Ho Chee; Tan, Wei Shen; Marks, Leonard S; Ross, Richard J; Schwartz, Robert S; Manson, Paul; Roberts, Stephen; Andersen, Marianne Skovsager; Magnussen, Line Velling; Hernández, Rodolfo; Oliver, Nick; Wu, Frederick; Dhillo, Waljit S; Bhattacharya, Siladitya; Brazzelli, Miriam; Jayasena, Channa N</t>
  </si>
  <si>
    <t>https://pubmed.ncbi.nlm.nih.gov/35711614</t>
  </si>
  <si>
    <t>Testosterone is the standard treatment for male hypogonadism, but there is uncertainty about its cardiovascular safety due to inconsistent findings. We aimed to provide the most extensive individual participant dataset (IPD) of testosterone trials available, to analyse subtypes of all cardiovascular events observed during treatment, and to investigate the effect of incorporating data from trials that did not provide IPD. We did a systematic review and meta-analysis of randomised controlled trials including IPD. We searched MEDLINE, MEDLINE In-Process &amp; Other Non-Indexed Citations, MEDLINE Epub Ahead of Print, Embase, Science Citation Index, the Cochrane Controlled Trials Register, Cochrane Database of Systematic Reviews, and Database of Abstracts of Review of Effects for literature from 1992 onwards (date of search, Aug 27, 2018). The following inclusion criteria were applied: (1) men aged 18 years and older with a screening testosterone concentration of 12 nmol/L (350 ng/dL) or less; (2) the intervention of interest was treatment with any testosterone formulation, dose frequency, and route of administration, for a minimum duration of 3 months; (3) a comparator of placebo treatment; and (4) studies assessing the pre-specified primary or secondary outcomes of interest. Details of study design, interventions, participants, and outcome measures were extracted from published articles and anonymised IPD was requested from investigators of all identified trials. Primary outcomes were mortality, cardiovascular, and cerebrovascular events at any time during follow-up. The risk of bias was assessed using the Cochrane Risk of Bias tool. We did a one-stage meta-analysis using IPD, and a two-stage meta-analysis integrating IPD with data from studies not providing IPD. The study is registered with PROSPERO, CRD42018111005. 9871 citations were identified through database searches and after exclusion of duplicates and of irrelevant citations, 225 study reports were retrieved for full-text screening. 116 studies were subsequently excluded for not meeting the inclusion criteria in terms of study design and characteristics of intervention, and 35 primary studies (5601 participants, mean age 65 years, [SD 11]) reported in 109 peer-reviewed publications were deemed suitable for inclusion. Of these, 17 studies (49%) provided IPD (3431 participants, mean duration 9·5 months) from nine different countries while 18 did not provide IPD data. Risk of bias was judged to be low in most IPD studies (71%). Fewer deaths occurred with testosterone treatment (six [0·4%] of 1621) than placebo (12 [0·8%] of 1537) without significant differences between groups (odds ratio [OR] 0·46 [95% CI 0·17-1·24]; p=0·13). Cardiovascular risk was similar during testosterone treatment (120 [7·5%] of 1601 events) and placebo treatment (110 [7·2%] of 1519 events; OR 1·07 [95% CI 0·81-1·42]; p=0·62). Frequently occurring cardiovascular events included arrhythmia (52 of 166 &lt;i&gt;vs&lt;/i&gt; 47 of 176), coronary heart disease (33 of 166 &lt;i&gt;vs&lt;/i&gt; 33 of 176), heart failure (22 of 166 &lt;i&gt;vs&lt;/i&gt; 28 of 176), and myocardial infarction (10 of 166 &lt;i&gt;vs&lt;/i&gt; 16 of 176). Overall, patient age (interaction 0·97 [99% CI 0·92-1·03]; p=0·17), baseline testosterone (interaction 0·97 [0·82-1·15]; p=0·69), smoking status (interaction 1·68 [0·41-6·88]; p=0.35), or diabetes status (interaction 2·08 [0·89-4·82; p=0·025) were not associated with cardiovascular risk. We found no evidence that testosterone increased short-term to medium-term cardiovascular risks in men with hypogonadism, but there is a paucity of data evaluating its long-term safety. Long-term data are needed to fully evaluate the safety of testosterone. National Institute for Health Research Health Technology Assessment Programme.</t>
  </si>
  <si>
    <t>Transmission of SARS-CoV-2 within households: a remote prospective cohort study in European countries.</t>
  </si>
  <si>
    <t>Verberk, Janneke D M; de Hoog, Marieke L A; Westerhof, Ilse; van Goethem, Sam; Lammens, Christine; Ieven, Greet; de Bruin, Erwin; Eggink, Dirk; Bielicki, Julia A; Coenen, Samuel; van Beek, Janko; Bonten, Marc J M; Goossens, Herman; Bruijning-Verhagen, Patricia C J L</t>
  </si>
  <si>
    <t>https://pubmed.ncbi.nlm.nih.gov/35644003</t>
  </si>
  <si>
    <t>Household transmission studies are useful to quantify SARS-CoV-2 transmission dynamics. We conducted a remote prospective household study to quantify transmission, and the effects of subject characteristics, household characteristics, and implemented infection control measures on transmission. Households with a laboratory-confirmed SARS-CoV-2 index case were enrolled &lt; 48 h following test result. Follow-up included digitally daily symptom recording, regular nose-throat self-sampling and paired dried blood spots from all household members. Samples were tested for virus detection and SARS-CoV-2 antibodies. Secondary attack rates (SARs) and associated factors were estimated using logistic regression. In 276 households with 920 participants (276 index cases and 644 household members) daily symptom diaries and questionnaires were completed by 95%, and &gt; 85% completed sample collection. 200 secondary SARS-CoV-2 infections were detected, yielding a household SAR of 45.7% (95% CI 39.7-51.7%) and per-person SAR of 32.6% (95%CI: 28.1-37.4%). 126 (63%) secondary cases were detected at enrollment. Mild (aRR = 0.57) and asymptomatic index cases (aRR = 0.29) were less likely to transmit SARS-CoV-2, compared to index cases with an acute respiratory illness (p = 0.03 for trend), and child index cases (&lt; 12 years aRR = 0.60 and 12-18 years aRR = 0.85) compared to adults (p = 0.03 for trend). Infection control interventions in households had no significant effect on transmission. We found high SARs with the majority of transmissions occuring early after SARS-CoV-2 introduction into the household. This may explain the futile effect of implemented household measures. Age and symptom status of the index case influence secondary transmission. Remote, digitally-supported study designs with self-sampling are feasible for studying transmission under pandemic restrictions.</t>
  </si>
  <si>
    <t>Clinical prediction of laboratory-confirmed influenza in adults with influenza-like illness in primary care. A randomized controlled trial secondary analysis in 15 European countries.</t>
  </si>
  <si>
    <t>Ouchi, Dan; García-Sangenís, Ana; Moragas, Ana; van der Velden, Alike W; Verheij, Theo J; Butler, Christopher C; Bongard, Emily; Coenen, Samuel; Cook, Johanna; Francis, Nick A; Godycki-Cwirko, Maciek; Lundgren, Pia Touboul; Lionis, Christos; Radzeviciene Jurgute, Ruta; Chlabicz, Sławomir; De Sutter, An; Bucher, Heiner C; Seifert, Bohumil; Kovács, Bernadett; de Paor, Muireann; Sundvall, Pär-Daniel; Aabenhus, Rune; Harbin, Nicolay Jonassen; Ieven, Greet; Goossens, Herman; Lindbæk, Morten; Bjerrum, Lars; Llor, Carl</t>
  </si>
  <si>
    <t>family practice</t>
  </si>
  <si>
    <t>https://pubmed.ncbi.nlm.nih.gov/34611715</t>
  </si>
  <si>
    <t>Clinical findings do not accurately predict laboratory diagnosis of influenza. Early identification of influenza is considered useful for proper management decisions in primary care. We evaluated the diagnostic value of the presence and the severity of symptoms for the diagnosis of laboratory-confirmed influenza infection among adults presenting with influenza-like illness (ILI) in primary care. Secondary analysis of patients with ILI who participated in a clinical trial from 2015 to 2018 in 15 European countries. Patients rated signs and symptoms as absent, minor, moderate, or major problem. A nasopharyngeal swab was taken for microbiological identification of influenza and other microorganisms. Models were generated considering (i) the presence of individual symptoms and (ii) the severity rating of symptoms. A total of 2,639 patients aged 18 or older were included in the analysis. The mean age was 41.8 ± 14.7 years, and 1,099 were men (42.1%). Influenza was microbiologically confirmed in 1,337 patients (51.1%). The area under the curve (AUC) of the model for the presence of any of seven symptoms for detecting influenza was 0.66 (95% confidence interval [CI]: 0.65-0.68), whereas the AUC of the symptom severity model, which included eight variables-cough, fever, muscle aches, sweating and/or chills, moderate to severe overall disease, age, abdominal pain, and sore throat-was 0.70 (95% CI: 0.69-0.72). Clinical prediction of microbiologically confirmed influenza in adults with ILI is slightly more accurate when based on patient reported symptom severity than when based on the presence or absence of symptoms.</t>
  </si>
  <si>
    <t>Screening for abdominal aortic aneurysm in patients with clinically manifest vascular disease.</t>
  </si>
  <si>
    <t>de Boer, Annemarijn R; Vaartjes, Ilonca; van Dis, Ineke; van Herwaarden, Joost A; Nathoe, Hendrik M; Ruigrok, Ynte M; Bots, Michiel L; Visseren, Frank L J; ,</t>
  </si>
  <si>
    <t>https://pubmed.ncbi.nlm.nih.gov/33624031</t>
  </si>
  <si>
    <t>Declining prevalence of abdominal aortic aneurysm (AAA) might force a more targeted screening approach (high-risk populations only) in order to maintain (cost-)effectiveness. We aimed to determine temporal changes in the prevalence of screening-detected AAA, to assess AAA-related surgery, and evaluate all-cause mortality in patients with manifest vascular disease. We included patients with manifest vascular disease but without a history of AAA enrolled in the ongoing single-centre prospective UCC-SMART cohort study. Patients were screened at baseline for AAA by abdominal ultrasonography. We calculated sex- and age-specific prevalence of AAA, probability of survival in relation to the presence of AAA, and the proportion of patients undergoing AAA-related surgery. Prevalence of screening-detected AAA in 5440 screened men was 2.5% [95% confidence interval (CI) 2.1-2.9%] and in 1983 screened women 0.7% (95% CI 0.4-1.1%). Prevalence declined from 1997 until 2017 in men aged 70-79 years from 8.1% to 3.2% and in men aged 60-69 years from 5.7% to 1.0%. 36% of patients with screening-detected AAA received elective AAA-related surgery during follow-up (median time until surgery = 5.3 years, interquartile range 2.5-9.1). Patients with screening-detected AAA had a lower probability of survival (sex and age adjusted) compared to patients without screening-detected AAA (51%, 95% CI 41-64% vs. 69%, 95% CI 68-71%) after 15 years of follow-up. The prevalence of screening-detected AAA has declined over the period 1997-2017 in men with vascular disease but exceeds prevalence in already established screening programs targeting 65-year-old men. Screening for AAA in patients with vascular disease may be cost-effective, but this remains to be determined.</t>
  </si>
  <si>
    <t>Effect of physical exercise on cognitive function after chemotherapy in patients with breast cancer: a randomized controlled trial (PAM study).</t>
  </si>
  <si>
    <t>Koevoets, E W; Schagen, S B; de Ruiter, M B; Geerlings, M I; Witlox, L; van der Wall, E; Stuiver, M M; Sonke, G S; Velthuis, M J; Jobsen, J J; Menke-Pluijmers, M B E; Göker, E; van der Pol, C C; Bos, M E M M; Tick, L W; van Holsteijn, N A; van der Palen, J; May, A M; Monninkhof, E M; ,</t>
  </si>
  <si>
    <t>https://pubmed.ncbi.nlm.nih.gov/35619188</t>
  </si>
  <si>
    <t>Up to 60% of breast cancer patients treated with chemotherapy is confronted with cognitive problems, which can have a significant impact on daily activities and quality of life (QoL). We investigated whether exercise training improves cognition in chemotherapy-exposed breast cancer patients 2-4 years after diagnosis. Chemotherapy-exposed breast cancer patients, with both self-reported cognitive problems and lower than expected performance on neuropsychological tests, were randomized to an exercise or control group. The 6-month exercise intervention consisted of supervised aerobic and strength training (2 h/week), and Nordic/power walking (2 h/week). Our primary outcome was memory functioning (Hopkins Verbal Learning Test-Revised; HVLT-R). Secondary outcomes included online neuropsychological tests (Amsterdam Cognition Scan; ACS), self-reported cognition (MD Anderson Symptom Inventory for multiple myeloma; MDASI-MM), physical fitness (relative maximum oxygen uptake; VO&lt;sub&gt;2peak&lt;/sub&gt;), fatigue (Multidimensional Fatigue Inventory), QoL (European Organisation for Research and Treatment of Cancer Quality of Life Questionnaire; EORTC QLQ C-30), depression (Patient Health Questionnaire-9, Hospital Anxiety and Depression Scale; HADS), and anxiety (HADS). HVLT-R total recall was analyzed with a Fisher exact test for clinically relevant improvement (≥ 5 words). Other outcomes were analyzed using multiple regression analyses adjusted for baseline and stratification factors. We randomized 181 patients to the exercise (n = 91) or control group (n = 90). Two-third of the patients attended ≥ 80% of the exercise sessions, and physical fitness significantly improved compared to control patients (B VO&lt;sub&gt;2peak&lt;/sub&gt; 1.4 ml/min/kg, 95%CI:0.6;2.2). No difference in favor of the intervention group was seen on the primary outcome. Significant beneficial intervention effects were found for self-reported cognitive functioning [MDASI-MM severity (B-0.7, 95% CI - 1.2; - 0.1)], fatigue, QoL, and depression. A hypothesis-driven analysis in highly fatigued patients showed positive exercise effects on tested cognitive functioning [ACS Reaction Time (B-26.8, 95% CI - 52.9; - 0.6) and ACS Wordlist Learning (B4.4, 95% CI 0.5; 8.3)]. A 6-month exercise intervention improved self-reported cognitive functioning, physical fitness, fatigue, QoL, and depression in chemotherapy-exposed breast cancer patients with cognitive problems. Tested cognitive functioning was not affected. However, subgroup analysis indicated a positive effect of exercise on tested cognitive functioning in highly fatigued patients. Trial Registration Netherlands Trial Registry: Trial NL5924 (NTR6104). Registered 24 October 2016, https://www.trialregister.nl/trial/5924 .</t>
  </si>
  <si>
    <t>Microinfarcts in the Deep Gray Matter on 7T MRI: Risk Factors, MRI Correlates, and Relation to Cognitive Functioning-The SMART-MR Study.</t>
  </si>
  <si>
    <t>Ghaznawi, R; Zwartbol, M H T; de Bresser, J; Kuijf, H J; Vincken, K L; Rissanen, I; Geerlings, M I; Hendrikse, J; ,</t>
  </si>
  <si>
    <t>ajnr american journal of neuroradiology</t>
  </si>
  <si>
    <t>https://pubmed.ncbi.nlm.nih.gov/35618425</t>
  </si>
  <si>
    <t>The clinical relevance of cortical microinfarcts has recently been established; however, studies on microinfarcts in the deep gray matter are lacking. We examined the risk factors and MR imaging correlates of microinfarcts in the deep gray matter on 7T MR imaging and their relation to cognitive functioning. Within the Second Manifestations of ARTerial disease-Magnetic Resonance (SMART-MR) study, 213 patients (mean age, 68 [SD, 8] years) had a risk-factor assessment, 7T and 1.5T brain MR imaging, and a cognitive examination. Microinfarcts on 7T MR imaging were defined as lesions of &lt;5 mm. Regression models were used to examine the age-adjusted associations among risk factors, MR imaging markers, and microinfarcts. Cognitive function was summarized as composite and domain-specific &lt;i&gt;z&lt;/i&gt; scores. A total of 47 microinfarcts were found in 28 patients (13%), most commonly in the thalamus. Older age, history of stroke, hypertension, and intima-media thickness were associated with microinfarcts. On 1.5T MR imaging, cerebellar infarcts (relative risk = 2.75; 95% CI, 1.4-5.33) and lacunes in the white (relative risk = 3.28; 95% CI, 3.28-6.04) and deep gray matter (relative risk = 3.06; 95% CI, 1.75-5.35) were associated with microinfarcts, and on 7T MR imaging cortical microinfarcts (relative risk = 2.33; 95% CI, 1.32-4.13). Microinfarcts were also associated with poorer global cognitive functioning (mean difference in the global &lt;i&gt;z&lt;/i&gt; score between patients with multiple microinfarcts versus none = -0.97; 95% CI, -1.66 to -0.28, &lt;i&gt;P&lt;/i&gt; = .006) and across all cognitive domains. Microinfarcts in the deep gray matter on 7T MR imaging were associated with worse cognitive functioning and risk factors and MR imaging markers of small-vessel and large-vessel disease. Our findings suggest that microinfarcts in the deep gray matter may represent a novel imaging marker of vascular brain injury.</t>
  </si>
  <si>
    <t>New clinical prediction model for early recognition of sepsis in adult primary care patients: a prospective diagnostic cohort study of development and external validation.</t>
  </si>
  <si>
    <t>Loots, Feike J; Smits, Marleen; Hopstaken, Rogier M; Jenniskens, Kevin; Schroeten, Fleur H; van den Bruel, Ann; van de Pol, Alma C; Oosterheert, Jan Jelrik; Bouma, Hjalmar; Little, Paul; Moore, Michael; van Delft, Sanne; Rijpsma, Douwe; Holkenborg, Joris; van Bussel, Bas Ct; Laven, Ralph; Bergmans, Dennis Cjj; Hoogerwerf, Jacobien J; Latten, Gideon Hp; de Bont, Eefje Gpm; Giesen, Paul; Harder, Annemarie den; Kusters, Ron; van Zanten, Arthur Rh; Verheij, Theo Jm</t>
  </si>
  <si>
    <t>https://pubmed.ncbi.nlm.nih.gov/35440467</t>
  </si>
  <si>
    <t>Recognising patients who need immediate hospital treatment for sepsis while simultaneously limiting unnecessary referrals is challenging for GPs. To develop and validate a sepsis prediction model for adult patients in primary care. This was a prospective cohort study in four out-of-hours primary care services in the Netherlands, conducted between June 2018 and March 2020. Adult patients who were acutely ill and received home visits were included. A total of nine clinical variables were selected as candidate predictors, next to the biomarkers C-reactive protein, procalcitonin, and lactate. The primary endpoint was sepsis within 72 hours of inclusion, as established by an expert panel. Multivariable logistic regression with backwards selection was used to design an optimal model with continuous clinical variables. The added value of the biomarkers was evaluated. Subsequently, a simple model using single cut-off points of continuous variables was developed and externally validated in two emergency department populations. A total of 357 patients were included with a median age of 80 years (interquartile range 71-86), of which 151 (42%) were diagnosed with sepsis. A model based on a simple count of one point for each of six variables (aged &gt;65 years; temperature &gt;38°C; systolic blood pressure ≤110 mmHg; heart rate &gt;110/min; saturation ≤95%; and altered mental status) had good discrimination and calibration (C-statistic of 0.80 [95% confidence interval = 0.75 to 0.84]; Brier score 0.175). Biomarkers did not improve the performance of the model and were therefore not included. The model was robust during external validation. Based on this study's GP out-of-hours population, a simple model can accurately predict sepsis in acutely ill adult patients using readily available clinical parameters.</t>
  </si>
  <si>
    <t>Associations of Hemostatic Variables with Cardiovascular Disease and Total Mortality: The Glasgow MONICA Study.</t>
  </si>
  <si>
    <t>Lowe, Gordon D O; Peters, Sanne A E; Rumley, Ann; Tunstall-Pedoe, Hugh; Woodward, Mark</t>
  </si>
  <si>
    <t>th open companion journal to thrombosis and haemostasis</t>
  </si>
  <si>
    <t>https://pubmed.ncbi.nlm.nih.gov/35707625</t>
  </si>
  <si>
    <t>The associations of plasma levels of hemostatic factors, other than fibrinogen, with risks of cardiovascular disease (CVD) and all-cause mortality are not well defined. In two phases of the Glasgow MONICA study, we assayed coagulation factors (VII, VIII, IX, and von Willebrand factor), coagulation inhibitors (antithrombin, protein C, protein S), coagulation activation markers (prothrombin fragment 1 + 2, thrombin-antithrombin complexes, D-dimer), and the fibrinolytic factors, tissue plasminogen activator (t-PA) antigen and plasminogen activator inhibitor type 1. Over 15 to 20 years, we followed up between 382 and 1,123 men and women aged 30 to 74 years, without baseline CVD, for risks of CVD and mortality. Age- and sex-adjusted hazard ratios (HRs) for CVD (top third vs bottom third) were significant only for factor VIII (1.30; 95% confidence interval [CI], 1.06-1.58) and factor IX (1.18; 95% CI, 1.01-1.39); these HRs were attenuated by further adjustment for CVD risk factors: 1.17 (95% CI, 0.94-1.46) and 1.07 (95% CI, 0.92-1.25), respectively. In contrast, factor VIII (HR, 1.63; 95% CI, 1.35-1.96), D-dimer (HR, 2.34; 95% CI, 1.26-4.35), and t-PA (HR, 2.81; 95% CI, 1.43-5.54) were strongly associated with mortality after full risk factor adjustment. Further studies, including meta-analyses, are required to assess the associations of these hemostatic factors with the risks of stroke and heart disease and causes of mortality.</t>
  </si>
  <si>
    <t>CONVINCE in the context of existing evidence on haemodiafiltration.</t>
  </si>
  <si>
    <t>Vernooij, Robin W M; Bots, Michiel L; Strippoli, Giovanni F M; Canaud, Bernard; Cromm, Krister; Woodward, Mark; Blankestijn, Peter J; ,</t>
  </si>
  <si>
    <t>https://pubmed.ncbi.nlm.nih.gov/35098994</t>
  </si>
  <si>
    <t>Haemodiafiltration (HDF) provides a greater removal of larger solutes and protein-bound compounds than conventional high-flux haemodialysis (HD). There are indications that the patients receiving the highest convection volumes of HDF result in improved survival compared with HD. However, the comparative efficacy of HDF versus HD remains unproven. Here we provide a comparative account of the methodology and aims of 'the comparison of high-dose HDF with high-flux HD' (CONVINCE) study in the context of the totality of evidence and how this study will contribute to reaching a higher level of certainty regarding the comparative efficacy of HDF versus HD in people with end-stage kidney disease.</t>
  </si>
  <si>
    <t>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t>
  </si>
  <si>
    <t>Aktaa, Suleman; Gencer, Baris; Arbelo, Elena; Davos, Constantinos H; Désormais, Ileana; Hollander, Monika; Abreu, Ana; Ambrosetti, Marco; Bäck, Maria; Carballo, David; Crawford, Carolyn; Deaton, Christi; Dendale, Paul; Eijsvogels, Thijs M H; Galbraith, Mary; Piepoli, Massimo Francesco; Salzwedel, Annett; Smulders, Yvo; Wilhelm, Matthias; Biondi-Zoccai, Giuseppe; Mach, François; Visseren, Frank L J; Gale, Chris P</t>
  </si>
  <si>
    <t>https://pubmed.ncbi.nlm.nih.gov/34687540</t>
  </si>
  <si>
    <t>To develop a set of quality indicators (QIs) for the evaluation of the care and outcomes for atherosclerotic cardiovascular disease (ASCVD) prevention. The Quality Indicator Committee of the European Society of Cardiology (ESC) formed the Working Group for Cardiovascular Disease Prevention Quality Indicators in collaboration with Task Force members of the 2021 ESC Guidelines on Cardiovascular Disease Prevention in Clinical Practice and the European Association of Preventive Cardiology (EAPC). We followed the ESC methodology for QI development, which involved (i) the identification of the key domains of care for ASCVD prevention by constructing a conceptual framework of care, (ii) the development of candidate QIs by conducting a systematic review of the literature, (iii) the selection of the final set of QIs using a modified Delphi method, and (iv) the evaluation of the feasibility of the developed QIs. In total, 17 main and 14 secondary QIs were selected across six domains of care for ASCVD prevention: (i) structural framework, (ii) risk assessment, (iii) care for people at risk for ASCVD, (iv) care for patients with established ASCVD, (v) patient education and experience, and (vi) outcomes. We present the 2021 ESC QIs for Cardiovascular Disease Prevention, which have been co-constructed with EAPC using the ESC methodology for QI development. These indicators are supported by evidence from the literature, underpinned by expert consensus and aligned with the 2021 ESC Guidelines on Cardiovascular Disease Prevention in Clinical Practice to offer a mechanism for the evaluation of ASCVD prevention care and outcomes.</t>
  </si>
  <si>
    <t>Implementation of Magnetic Resonance Imaging-Guided Radiation Therapy in Routine Care: Opportunities and Challenges in the United States.</t>
  </si>
  <si>
    <t>Hehakaya, Charisma; Sharma, Ankur M; van der Voort Van Zijp, Jochem R N; Grobbee, Diederick E; Verkooijen, Helena M; Izaguirre, Enrique W; Moors, Ellen H M</t>
  </si>
  <si>
    <t>advances in radiation oncology</t>
  </si>
  <si>
    <t>https://pubmed.ncbi.nlm.nih.gov/35651662</t>
  </si>
  <si>
    <t>Magnetic resonance image (MRI)-guided radiation therapy with the 1.5 Tesla magnetic resonance linear accelerator (MR-Linac) is a rapidly evolving and emerging treatment. The MR-Linac literature mainly focused on clinical and technological factors in technology implementation, but it is relatively silent on health care system-related factors. Consequently, there is a lack of understanding of opportunities and barriers in implementing the MR-Linac from a health care system perspective. This study addresses this gap with a case study of the US health care system. An exploratory, qualitative research design was used. Data collection consisted of 23 semistructured interviews ranging from clinical experts at the radiation therapy and radiology department to insurance commissioners in 7 US hospitals. Analysis of opportunities and barriers was guided by the Nonadoption, Abandonment, Scale-up, Spread and Sustainability framework for new medical technologies in health care organizations. Opportunities included high-precision MR-guidance during radiation therapy with potential continued technical advances and better patient outcomes. MR-Linac also offers opportunities for research, professional, and economic development. Barriers included the lack of empirical evidence of clinical effectiveness, technological complexity, and large staffing and structural investments. Furthermore, the presence of patients with disadvantaged socioeconomic background, and the lack of appropriate reimbursement as well as regulatory conditions can hinder technology implementation. Our study confirms the current literature on implementing the MR-Linac, but also reveals additional challenges for the US health care system. Alongside the well-known clinical and technical factors, also professional, socioeconomic, market, and governing influences affect technology implementation. These findings highlight new connections to facilitate technology uptake and provide a richer start to understanding its long-term effect.</t>
  </si>
  <si>
    <t>Editorial: Pharmacoepidemiology in Diabetes Mellitus and its Complications: Focus on Response to Medications.</t>
  </si>
  <si>
    <t>Mohammadi Jouabadi, Soroush; Ahluwalia, Tarunveer Singh; Muka, Taulant; Ahmadizar, Fariba</t>
  </si>
  <si>
    <t>https://pubmed.ncbi.nlm.nih.gov/35685644</t>
  </si>
  <si>
    <t>Effect of erythromycin on mortality and the host response in critically ill patients with sepsis: a target trial emulation.</t>
  </si>
  <si>
    <t>Reijnders, Tom D Y; Peters-Sengers, Hessel; van Vught, Lonneke A; Uhel, Fabrice; Bonten, Marc J M; Cremer, Olaf L; Schultz, Marcus J; Stuiver, Martijn M; van der Poll, Tom; ,</t>
  </si>
  <si>
    <t>https://pubmed.ncbi.nlm.nih.gov/35610649</t>
  </si>
  <si>
    <t>Immunomodulatory therapies that improve the outcome of sepsis are not available. We sought to determine whether treatment of critically ill patients with sepsis with low-dose erythromycin-a macrolide antibiotic with broad immunomodulatory effects-decreased mortality and ameliorated underlying disease pathophysiology. We conducted a target trial emulation, comparing patients with sepsis admitted to two intensive care units (ICU) in the Netherlands for at least 72 h, who were either exposed or not exposed during this period to treatment with low-dose erythromycin (up to 600 mg per day, administered as a prokinetic agent) but no other macrolides. We used two common propensity score methods (matching and inverse probability of treatment weighting) to deal with confounding by indication and subsequently used Cox regression models to estimate the treatment effect on the primary outcome of mortality rate up to day 90. Secondary clinical outcomes included change in SOFA, duration of mechanical ventilation and the incidence of ICU-acquired infections. We used linear mixed models to assess differences in 15 host response biomarkers reflective of key pathophysiological processes from admission to day 4. In total, 235 patients started low-dose erythromycin treatment, 470 patients served as controls. Treatment started at a median of 38 [IQR 25-52] hours after ICU admission for a median of 5 [IQR 3-8] total doses in the first course. Matching and weighting resulted in populations well balanced for proposed confounders. We found no differences between patients treated with low-dose erythromycin and control subjects in mortality rate up to day 90: matching HR 0.89 (95% CI 0.64-1.24), weighting HR 0.95 (95% CI 0.66-1.36). There were no differences in secondary clinical outcomes. The change in host response biomarker levels from admission to day 4 was similar between erythromycin-treated and control subjects. In this target trial emulation in critically ill patients with sepsis, we could not demonstrate an effect of treatment with low-dose erythromycin on mortality, secondary clinical outcomes or host response biomarkers.</t>
  </si>
  <si>
    <t>Evaluation of an individual feedback report on patient-reported outcomes in the Prospective Dutch ColoRectal Cancer cohort.</t>
  </si>
  <si>
    <t>Vissers, Pauline A J; Vink, Geraldine R; Koelink, Maaike R; Koopman, Miriam; Arts, Lindy P J; Oerlemans, Simone; May, Anne M; van de Poll-Franse, Lonneke V; van Erning, Felice N</t>
  </si>
  <si>
    <t>https://pubmed.ncbi.nlm.nih.gov/35606477</t>
  </si>
  <si>
    <t>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The feedback report was used by 6 out of 10 patients. The feedback report was considered valuable and associated with a higher subsequent response rate.</t>
  </si>
  <si>
    <t>Predictive value of chromosome 18q11.2-q12.1 loss for benefit from bevacizumab in metastatic colorectal cancer: A post hoc analysis of the randomized phase III-trial AGITG-MAX.</t>
  </si>
  <si>
    <t>van Dijk, Erik; van Werkhoven, Erik; Asher, Rebecca; Mooi, Jennifer K; Espinoza, David; van Essen, Hendrik F; van Tinteren, Harm; van Grieken, Nicole C T; Punt, Cornelis J A; Tebbutt, Niall C; Ylstra, Bauke</t>
  </si>
  <si>
    <t>https://pubmed.ncbi.nlm.nih.gov/35489024</t>
  </si>
  <si>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(P&lt;sub&gt;interaction&lt;/sub&gt;  = .28), hazard ratio and 95% confidence interval of this randomized cohort (HR&lt;sub&gt;interaction&lt;/sub&gt;  = 0.72; 95% CI = 0.39-1.32) shows striking overlap with the nonrandomized study cohorts (HR&lt;sub&gt;interaction&lt;/sub&gt;  = 0.41; 95% CI = 0.32-0.8) supported by a nonsignificant Cochrane χ&lt;sup&gt;2&lt;/sup&gt; test (P = .11) for heterogeneity. We conclude that post hoc analysis of the AGITG-MAX RCT provides supportive evidence for chromosome 18q11.2-q12.1 as a predictive marker for bevacizumab in mCRC patients.</t>
  </si>
  <si>
    <t>Data mining to retrieve smoking status from electronic health records in general practice&lt;sup&gt;&lt;/sup&gt;.</t>
  </si>
  <si>
    <t>de Boer, Annemarijn R; de Groot, Mark C H; Groenhof, T Katrien J; van Doorn, Sander; Vaartjes, Ilonca; Bots, Michiel L; Haitjema, Saskia</t>
  </si>
  <si>
    <t>https://pubmed.ncbi.nlm.nih.gov/36712169</t>
  </si>
  <si>
    <t>Optimize and assess the performance of an existing data mining algorithm for smoking status from hospital electronic health records (EHRs) in general practice EHRs. We optimized an existing algorithm in a training set containing all clinical notes from 498 individuals (75 712 contact moments) from the Julius General Practitioners' Network (JGPN). Each moment was classified as either 'current smoker', 'former smoker', 'never smoker', or 'no information'. As a reference, we manually reviewed EHRs. Algorithm performance was assessed in an independent test set (&lt;i&gt;n&lt;/i&gt; = 494, 78 129 moments) using precision, recall, and F1-score. Test set algorithm performance for 'current smoker' was precision 79.7%, recall 78.3%, and F1-score 0.79. For former smoker, it was precision 73.8%, recall 64.0%, and F1-score 0.69. For never smoker, it was precision 92.0%, recall 74.9%, and F1-score 0.83. On a patient level, performance for ever smoker (current and former smoker combined) was precision 87.9%, recall 94.7%, and F1-score 0.91. For never smoker, it was 98.0, 82.0, and 0.89%, respectively. We found a more narrative writing style in general practice than in hospital EHRs. Data mining can successfully retrieve smoking status information from general practice clinical notes with a good performance for classifying ever and never smokers. Differences between general practice and hospital EHRs call for optimization of data mining algorithms when applied beyond a primary development setting.</t>
  </si>
  <si>
    <t>Signs and symptoms to determine if a patient presenting in primary care or hospital outpatient settings has COVID-19.</t>
  </si>
  <si>
    <t>Struyf, Thomas; Deeks, Jonathan J; Dinnes, Jacqueline; Takwoingi, Yemisi; Davenport, Clare; Leeflang, Mariska Mg; Spijker, René; Hooft, Lotty; Emperador, Devy; Domen, Julie; Tans, Anouk; Janssens, Stéphanie; Wickramasinghe, Dakshitha; Lannoy, Viktor; Horn, Sebastiaan R A; Van den Bruel, Ann; ,</t>
  </si>
  <si>
    <t>https://pubmed.ncbi.nlm.nih.gov/35593186</t>
  </si>
  <si>
    <t>COVID-19 illness is highly variable, ranging from infection with no symptoms through to pneumonia and life-threatening consequences. Symptoms such as fever, cough, or loss of sense of smell (anosmia) or taste (ageusia), can help flag early on if the disease is present. Such information could be used either to rule out COVID-19 disease, or to identify people who need to go for COVID-19 diagnostic tests. This is the second update of this review, which was first published in 2020. To assess the diagnostic accuracy of signs and symptoms to determine if a person presenting in primary care or to hospital outpatient settings, such as the emergency department or dedicated COVID-19 clinics, has COVID-19. We undertook electronic searches up to 10 June 2021 in the University of Bern living search database. In addition, we checked repositories of COVID-19 publications. We used artificial intelligence text analysis to conduct an initial classification of documents. We did not apply any language restrictions. Studies were eligible if they included people with clinically suspected COVID-19, or recruited known cases with COVID-19 and also controls without COVID-19 from a single-gate cohort. Studies were eligible when they recruited people presenting to primary care or hospital outpatient settings. Studies that included people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Pairs of review authors independently selected all studies, at both title and abstract, and full-text stage. They resolved any disagreements by discussion with a third review author. Two review authors independently extracted data and assessed risk of bias using the QUADAS-2 checklist, and resolved disagreements by discussion with a third review author. Analyses were restricted to prospective studies only. We presented sensitivity and specificity in paired forest plots, in receiver operating characteristic (ROC) space and in dumbbell plots. We estimated summary parameters using a bivariate random-effects meta-analysis whenever five or more primary prospective studies were available, and whenever heterogeneity across studies was deemed acceptable. We identified 90 studies; for this update we focused on the results of 42 prospective studies with 52,608 participants. Prevalence of COVID-19 disease varied from 3.7% to 60.6% with a median of 27.4%. Thirty-five studies were set in emergency departments or outpatient test centres (46,878 participants), three in primary care settings (1230 participants), two in a mixed population of in- and outpatients in a paediatric hospital setting (493 participants), and two overlapping studies in nursing homes (4007 participants). The studies did not clearly distinguish mild COVID-19 disease from COVID-19 pneumonia, so we present the results for both conditions together. Twelve studies had a high risk of bias for selection of participants because they used a high level of preselection to decide whether reverse transcription polymerase chain reaction (RT-PCR) testing was needed, or because they enrolled a non-consecutive sample, or because they excluded individuals while they were part of the study base. We rated 36 of the 42 studies as high risk of bias for the index tests because there was little or no detail on how, by whom and when, the symptoms were measured. For most studies, eligibility for testing was dependent on the local case definition and testing criteria that were in effect at the time of the study, meaning most people who were included in studies had already been referred to health services based on the symptoms that we are evaluating in this review. The applicability of the results of this review iteration improved in comparison with the previous reviews. This version has more studies of people presenting to ambulatory settings, which is where the majority of assessments for COVID-19 take place. Only three studies presented any data on children separately, and only one focused specifically on older adults. We found data on 96 symptoms or combinations of signs and symptoms. Evidence on individual signs as diagnostic tests was rarely reported, so this review reports mainly on the diagnostic value of symptoms. Results were highly variable across studies. Most had very low sensitivity and high specificity. RT-PCR was the most often used reference standard (40/42 studies). Only cough (11 studies) had a summary sensitivity above 50% (62.4%, 95% CI 50.6% to 72.9%)); its specificity was low (45.4%, 95% CI 33.5% to 57.9%)). Presence of fever had a sensitivity of 37.6% (95% CI 23.4% to 54.3%) and a specificity of 75.2% (95% CI 56.3% to 87.8%). The summary positive likelihood ratio of cough was 1.14 (95% CI 1.04 to 1.25) and that of fever 1.52 (95% CI 1.10 to 2.10). Sore throat had a summary positive likelihood ratio of 0.814 (95% CI 0.714 to 0.929), which means that its presence increases the probability of having an infectious disease other than COVID-19. Dyspnoea (12 studies) and fatigue (8 studies) had a sensitivity of 23.3% (95% CI 16.4% to 31.9%) and 40.2% (95% CI 19.4% to 65.1%) respectively. Their specificity was 75.7% (95% CI 65.2% to 83.9%) and 73.6% (95% CI 48.4% to 89.3%). The summary positive likelihood ratio of dyspnoea was 0.96 (95% CI 0.83 to 1.11) and that of fatigue 1.52 (95% CI 1.21 to 1.91), which means that the presence of fatigue slightly increases the probability of having COVID-19. Anosmia alone (7 studies), ageusia alone (5 studies), and anosmia or ageusia (6 studies) had summary sensitivities below 50% but summary specificities over 90%. Anosmia had a summary sensitivity of 26.4% (95% CI 13.8% to 44.6%) and a specificity of 94.2% (95% CI 90.6% to 96.5%). Ageusia had a summary sensitivity of 23.2% (95% CI 10.6% to 43.3%) and a specificity of 92.6% (95% CI 83.1% to 97.0%). Anosmia or ageusia had a summary sensitivity of 39.2% (95% CI 26.5% to 53.6%) and a specificity of 92.1% (95% CI 84.5% to 96.2%). The summary positive likelihood ratios of anosmia alone and anosmia or ageusia were 4.55 (95% CI 3.46 to 5.97) and 4.99 (95% CI 3.22 to 7.75) respectively, which is just below our arbitrary definition of a 'red flag', that is, a positive likelihood ratio of at least 5. The summary positive likelihood ratio of ageusia alone was 3.14 (95% CI 1.79 to 5.51). Twenty-four studies assessed combinations of different signs and symptoms, mostly combining olfactory symptoms. By combining symptoms with other information such as contact or travel history, age, gender, and a local recent case detection rate, some multivariable prediction scores reached a sensitivity as high as 90%. Most individual symptoms included in this review have poor diagnostic accuracy. Neither absence nor presence of symptoms are accurate enough to rule in or rule out the disease. The presence of anosmia or ageusia may be useful as a red flag for the presence of COVID-19. The presence of cough also supports further testing. There is currently no evidence to support further testing with PCR in any individuals presenting only with upper respiratory symptoms such as sore throat, coryza or rhinorrhoea. Combinations of symptoms with other readily available information such as contact or travel history, or the local recent case detection rate may prove more useful and should be further investigated in an unselected population presenting to primary care or hospital outpatient settings. The diagnostic accuracy of symptoms for COVID-19 is moderate to low and any testing strategy using symptoms as selection mechanism will result in both large numbers of missed cases and large numbers of people requiring testing. Which one of these is minimised, is determined by the goal of COVID-19 testing strategies, that is, controlling the epidemic by isolating every possible case versus identifying those with clinically important disease so that they can be monitored or treated to optimise their prognosis. The former will require a testing strategy that uses very few symptoms as entry criterion for testing, the latter could focus on more specific symptoms such as fever and anosmia.</t>
  </si>
  <si>
    <t>Transmission routes of antibiotic resistant bacteria: a systematic review.</t>
  </si>
  <si>
    <t>Godijk, Noortje G; Bootsma, Martin C J; Bonten, Marc J M</t>
  </si>
  <si>
    <t>https://pubmed.ncbi.nlm.nih.gov/35596134</t>
  </si>
  <si>
    <t>Quantification of acquisition routes of antibiotic resistant bacteria (ARB) is pivotal for understanding transmission dynamics and designing cost-effective interventions. Different methods have been used to quantify the importance of transmission routes, such as relative risks, odds ratios (OR), genomic comparisons and basic reproduction numbers. We systematically reviewed reported estimates on acquisition routes' contributions of ARB in humans, animals, water and the environment and assessed the methods used to quantify the importance of transmission routes. PubMed and EMBASE were searched, resulting in 6054 articles published up until January 1st, 2019. Full text screening was performed on 525 articles and 277 are included. We extracted 718 estimates with S. aureus (n = 273), E. coli (n = 157) and Enterobacteriaceae (n = 99) being studied most frequently. Most estimates were derived from statistical methods (n = 560), mainly expressed as risks (n = 246) and ORs (n = 239), followed by genetic comparisons (n = 85), modelling (n = 62) and dosage of ARB ingested (n = 17). Transmission routes analysed most frequently were occupational exposure (n = 157), travelling (n = 110) and contacts with carriers (n = 83). Studies were mostly performed in the United States (n = 142), the Netherlands (n = 87) and Germany (n = 60). Comparison of methods was not possible as studies using different methods to estimate the same route were lacking. Due to study heterogeneity not all estimates by the same method could be pooled. Despite an abundance of published data the relative importance of transmission routes of ARB has not been accurately quantified. Links between exposure and acquisition are often present, but the frequency of exposure is missing, which disables estimation of transmission routes' importance. To create effective policies reducing ARB, estimates of transmission should be weighed by the frequency of exposure occurrence.</t>
  </si>
  <si>
    <t>Corrigendum: The influence of HIV infection and antiretroviral treatment on pulmonary function in individuals in an urban setting in sub-Saharan Africa.</t>
  </si>
  <si>
    <t>van den Berg, Oda E; Shaddock, Erica J; Stacey, Sarah L; Feldman, Charles; Barth, Roos E; Grobbee, Diederick E; Venter, Willem D F; Klipstein-Grobusch, Kerstin; Vos, Alinda G</t>
  </si>
  <si>
    <t>https://pubmed.ncbi.nlm.nih.gov/35923604</t>
  </si>
  <si>
    <t>[This corrects the article DOI: 10.4102/sajhivmed.v22i1.1312.].</t>
  </si>
  <si>
    <t>Epigenetic mechanisms of lung carcinogenesis involve differentially methylated CpG sites beyond those associated with smoking.</t>
  </si>
  <si>
    <t>Petrovic, Dusan; Bodinier, Barbara; Dagnino, Sonia; Whitaker, Matthew; Karimi, Maryam; Campanella, Gianluca; Haugdahl Nøst, Therese; Polidoro, Silvia; Palli, Domenico; Krogh, Vittorio; Tumino, Rosario; Sacerdote, Carlotta; Panico, Salvatore; Lund, Eiliv; Dugué, Pierre-Antoine; Giles, Graham G; Severi, Gianluca; Southey, Melissa; Vineis, Paolo; Stringhini, Silvia; Bochud, Murielle; Sandanger, Torkjel M; Vermeulen, Roel C H; Guida, Florence; Chadeau-Hyam, Marc</t>
  </si>
  <si>
    <t>https://pubmed.ncbi.nlm.nih.gov/35595947</t>
  </si>
  <si>
    <t>Smoking-related epigenetic changes have been linked to lung cancer, but the contribution of epigenetic alterations unrelated to smoking remains unclear. We sought for a sparse set of CpG sites predicting lung cancer and explored the role of smoking in these associations. We analysed CpGs in relation to lung cancer in participants from two nested case-control studies, using (LASSO)-penalised regression. We accounted for the effects of smoking using known smoking-related CpGs, and through conditional-independence network. We identified 29 CpGs (8 smoking-related, 21 smoking-unrelated) associated with lung cancer. Models additionally adjusted for Comprehensive Smoking Index-(CSI) selected 1 smoking-related and 49 smoking-unrelated CpGs. Selected CpGs yielded excellent discriminatory performances, outperforming information provided by CSI only. Of the 8 selected smoking-related CpGs, two captured lung cancer-relevant effects of smoking that were missed by CSI. Further, the 50 CpGs identified in the CSI-adjusted model complementarily explained lung cancer risk. These markers may provide further insight into lung cancer carcinogenesis and help improving early identification of high-risk patients.</t>
  </si>
  <si>
    <t>Clinical Validity of 16α-[&lt;sup&gt;18&lt;/sup&gt;F]Fluoro-17β-Estradiol Positron Emission Tomography/Computed Tomography to Assess Estrogen Receptor Status in Newly Diagnosed Metastatic Breast Cancer.</t>
  </si>
  <si>
    <t>van Geel, Jasper J L; Boers, Jorianne; Elias, Sjoerd G; Glaudemans, Andor W J M; de Vries, Erik F J; Hospers, Geke A P; van Kruchten, Michel; Kuip, Evelien J M; Jager, Agnes; Menke-van der Houven van Oordt, Willemien C; van der Vegt, Bert; de Vries, Elisabeth G E; Schröder, Carolina P; ,</t>
  </si>
  <si>
    <t>https://pubmed.ncbi.nlm.nih.gov/35584346</t>
  </si>
  <si>
    <t>Determining the estrogen receptor (ER) status is essential in metastatic breast cancer (MBC) management. Whole-body ER imaging with 16α-[&lt;sup&gt;18&lt;/sup&gt;F]fluoro-17β-estradiol positron emission tomography ([&lt;sup&gt;18&lt;/sup&gt;F]FES-PET) is increasingly used for this purpose. To establish the clinical validity of the [&lt;sup&gt;18&lt;/sup&gt;F]FES-PET, we studied the diagnostic accuracy of qualitative and quantitative [&lt;sup&gt;18&lt;/sup&gt;F]FES-PET assessment to predict ER expression by immunohistochemistry in a metastasis. In a prospective multicenter trial, 200 patients with newly diagnosed MBC underwent extensive workup including molecular imaging. For this subanalysis, ER expression in the biopsied metastasis was related to qualitative whole-body [&lt;sup&gt;18&lt;/sup&gt;F]FES-PET evaluation and quantitative [&lt;sup&gt;18&lt;/sup&gt;F]FES uptake in the corresponding metastasis. A review and meta-analysis regarding [&lt;sup&gt;18&lt;/sup&gt;F]FES-PET diagnostic performance were performed. Whole-body [&lt;sup&gt;18&lt;/sup&gt;F]FES-PET assessment predicted ER expression in the biopsied metastasis with good accuracy: a sensitivity of 95% (95% CI, 89 to 97), a specificity of 80% (66 to 89), a positive predictive value (PPV) of 93% (87 to 96), and a negative predictive value (NPV) of 85% (72 to 92) in 181 of 200 evaluable patients. Quantitative [&lt;sup&gt;18&lt;/sup&gt;F]FES uptake predicted ER immunohistochemistry in the corresponding metastasis with a sensitivity/specificity of 91%/69% and a PPV/NPV of 90%/71% in 156 of 200 evaluable patients. For bone metastases, PPV/NPV was 92%/81%. Meta-analysis with addition of our data has increased diagnostic performance and narrowed the 95% CIs compared with previous studies with a sensitivity/specificity of both 86% (81 to 90 and 73 to 93, respectively). In this largest prospective series so far, we established the clinical validity of [&lt;sup&gt;18&lt;/sup&gt;F]FES-PET to determine tumor ER status in MBC. In view of the high diagnostic accuracy of qualitatively assessed whole-body [&lt;sup&gt;18&lt;/sup&gt;F]FES-PET, this noninvasive imaging modality can be considered a valid alternative to a biopsy of a metastasis to determine ER status in newly MBC (ClinicalTrials.gov identifier: NCT01957332).</t>
  </si>
  <si>
    <t>Opportunities and Challenges for Decentralized Clinical Trials: European Regulators' Perspective.</t>
  </si>
  <si>
    <t>de Jong, Amos J; van Rijssel, Tessa I; Zuidgeest, Mira G P; van Thiel, Ghislaine J M W; Askin, Scott; Fons-Martínez, Jaime; De Smedt, Tim; de Boer, Anthonius; Santa-Ana-Tellez, Yared; Gardarsdottir, Helga; ,</t>
  </si>
  <si>
    <t>https://pubmed.ncbi.nlm.nih.gov/35488483</t>
  </si>
  <si>
    <t>Decentralized clinical trials (DCTs) have the potential to improve accessibility, diversity, and retention in clinical trials by moving trial activities to participants' homes and local surroundings. In this study, we conducted semi-structured interviews with 20 European regulators to identify regulatory challenges and opportunities for the implementation of DCTs in the European Union. The key opportunities for DCTs that were recognized by regulators include a reduced participation burden, which could facilitate the participation of underserved patients. In addition, regulators indicated that data collected in DCTs are expected to be more representative of the real world. Key challenges recognized by regulators for DCTs include concerns regarding investigator oversight and participants' safety when physical examinations and face-to-face contact are limited. To facilitate future learning, hybrid clinical trials with both on-site and decentralized elements are proposed by the respondents.</t>
  </si>
  <si>
    <t>Roles and responsibilities in stem cell research: a focus group study with stem cell researchers and patients.</t>
  </si>
  <si>
    <t>Assen, Lars S; Jongsma, Karin R; Isasi, Rosario; Tryfonidou, Marianna A; Bredenoord, Annelien L</t>
  </si>
  <si>
    <t>https://pubmed.ncbi.nlm.nih.gov/35582744</t>
  </si>
  <si>
    <t>&lt;b&gt;Background:&lt;/b&gt; The perspectives of researchers and patients regarding roles and responsibilities in stem cell research are rarely studied, but these could offer insights about responsible research conduct. &lt;b&gt;Method:&lt;/b&gt; We have conducted a qualitative study consisting of focus groups with both early- (n = 7) and late-career stem cell researchers (n = 11) that are primarily based in Europe, and with Dutch patients with chronic lower back pain (n = 9). These focus groups have been analyzed thematically. &lt;b&gt;Results:&lt;/b&gt; Four themes were identified: 1) roles and responsibilities in the laboratory, 2) responsibilities of and toward patients and the public, 3) the role of regulation and 4) structural hurdles for responsibility. &lt;b&gt;Discussion:&lt;/b&gt; The results suggest that responsible research conduct could be improved by addressing grant application procedures, publication pressure and by providing support of dissemination activities for researchers. &lt;b&gt;Conclusion:&lt;/b&gt; Responsibility in stem cell research could be enhanced by embracing open science initiatives and targeted training.</t>
  </si>
  <si>
    <t>Thoracic imaging tests for the diagnosis of COVID-19.</t>
  </si>
  <si>
    <t>Ebrahimzadeh, Sanam; Islam, Nayaar; Dawit, Haben; Salameh, Jean-Paul; Kazi, Sakib; Fabiano, Nicholas; Treanor, Lee; Absi, Marissa; Ahmad, Faraz; Rooprai, Paul; Al Khalil, Ahmed; Harper, Kelly; Kamra, Neil; Leeflang, Mariska Mg; Hooft, Lotty; van der Pol, Christian B; Prager, Ross; Hare, Samanjit S; Dennie, Carole; Spijker, René; Deeks, Jonathan J; Dinnes, Jacqueline; Jenniskens, Kevin; Korevaar, Daniël A; Cohen, Jérémie F; Van den Bruel, Ann; Takwoingi, Yemisi; van de Wijgert, Janneke; Wang, Junfeng; Pena, Elena; Sabongui, Sandra; McInnes, Matthew Df; ,</t>
  </si>
  <si>
    <t>https://pubmed.ncbi.nlm.nih.gov/35575286</t>
  </si>
  <si>
    <t>Our March 2021 edition of this review showed thoracic imaging computed tomography (CT) to be sensitive and moderately specific in diagnosing COVID-19 pneumonia. This new edition is an update of the review. Our objectives were to evaluate the diagnostic accuracy of thoracic imaging in people with suspected COVID-19; assess the rate of positive imaging in people who had an initial reverse transcriptase polymerase chain reaction (RT-PCR) negative result and a positive RT-PCR result on follow-up; and evaluate the accuracy of thoracic imaging for screening COVID-19 in asymptomatic individuals. The secondary objective was to assess threshold effects of index test positivity on accuracy. We searched the COVID-19 Living Evidence Database from the University of Bern, the Cochrane COVID-19 Study Register, The Stephen B. Thacker CDC Library, and repositories of COVID-19 publications through to 17 February 2021. We did not apply any language restrictions. We included diagnostic accuracy studies of all designs, except for case-control, that recruited participants of any age group suspected to have COVID-19. Studies had to assess chest CT, chest X-ray, or ultrasound of the lungs for the diagnosis of COVID-19, use a reference standard that included RT-PCR, and report estimates of test accuracy or provide data from which we could compute estimates. We excluded studies that used imaging as part of the reference standard and studies that excluded participants with normal index test results. The review authors independently and in duplicate screened articles, extracted data and assessed risk of bias and applicability concerns using QUADAS-2. We presented sensitivity and specificity per study on paired forest plots, and summarized pooled estimates in tables. We used a bivariate meta-analysis model where appropriate. We included 98 studies in this review. Of these, 94 were included for evaluating the diagnostic accuracy of thoracic imaging in the evaluation of people with suspected COVID-19. Eight studies were included for assessing the rate of positive imaging in individuals with initial RT-PCR negative results and positive RT-PCR results on follow-up, and 10 studies were included for evaluating the accuracy of thoracic imaging for imagining asymptomatic individuals. For all 98 included studies, risk of bias was high or unclear in 52 (53%) studies with respect to participant selection, in 64 (65%) studies with respect to reference standard, in 46 (47%) studies with respect to index test, and in 48 (49%) studies with respect to flow and timing. Concerns about the applicability of the evidence to: participants were high or unclear in eight (8%) studies; index test were high or unclear in seven (7%) studies; and reference standard were high or unclear in seven (7%) studies. Imaging in people with suspected COVID-19 We included 94 studies. Eighty-seven studies evaluated one imaging modality, and seven studies evaluated two imaging modalities. All studies used RT-PCR alone or in combination with other criteria (for example, clinical signs and symptoms, positive contacts) as the reference standard for the diagnosis of COVID-19. For chest CT (69 studies, 28285 participants, 14,342 (51%) cases), sensitivities ranged from 45% to 100%, and specificities from 10% to 99%. The pooled sensitivity of chest CT was 86.9% (95% confidence interval (CI) 83.6 to 89.6), and pooled specificity was 78.3% (95% CI 73.7 to 82.3). Definition for index test positivity was a source of heterogeneity for sensitivity, but not specificity. Reference standard was not a source of heterogeneity. For chest X-ray (17 studies, 8529 participants, 5303 (62%) cases), the sensitivity ranged from 44% to 94% and specificity from 24 to 93%. The pooled sensitivity of chest X-ray was 73.1% (95% CI 64. to -80.5), and pooled specificity was 73.3% (95% CI 61.9 to 82.2). Definition for index test positivity was not found to be a source of heterogeneity. Definition for index test positivity and reference standard were not found to be sources of heterogeneity. For ultrasound of the lungs (15 studies, 2410 participants, 1158 (48%) cases), the sensitivity ranged from 73% to 94% and the specificity ranged from 21% to 98%. The pooled sensitivity of ultrasound was 88.9% (95% CI 84.9 to 92.0), and the pooled specificity was 72.2% (95% CI 58.8 to 82.5). Definition for index test positivity and reference standard were not found to be sources of heterogeneity. Indirect comparisons of modalities evaluated across all 94 studies indicated that chest CT and ultrasound gave higher sensitivity estimates than X-ray (P = 0.0003 and P = 0.001, respectively). Chest CT and ultrasound gave similar sensitivities (P=0.42). All modalities had similar specificities (CT versus X-ray P = 0.36; CT versus ultrasound P = 0.32; X-ray versus ultrasound P = 0.89). Imaging in PCR-negative people who subsequently became positive For rate of positive imaging in individuals with initial RT-PCR negative results, we included 8 studies (7 CT, 1 ultrasound) with a total of 198 participants suspected of having COVID-19, all of whom had a final diagnosis of COVID-19. Most studies (7/8) evaluated CT. Of 177 participants with initially negative RT-PCR who had positive RT-PCR results on follow-up testing, 75.8% (95% CI 45.3 to 92.2) had positive CT findings. Imaging in asymptomatic PCR-positive people For imaging asymptomatic individuals, we included 10 studies (7 CT, 1 X-ray, 2 ultrasound) with a total of 3548 asymptomatic participants, of whom 364 (10%) had a final diagnosis of COVID-19. For chest CT (7 studies, 3134 participants, 315 (10%) cases), the pooled sensitivity was 55.7% (95% CI 35.4 to 74.3) and the pooled specificity was 91.1% (95% CI 82.6 to 95.7). Chest CT and ultrasound of the lungs are sensitive and moderately specific in diagnosing COVID-19. Chest X-ray is moderately sensitive and moderately specific in diagnosing COVID-19. Thus, chest CT and ultrasound may have more utility for ruling out COVID-19 than for differentiating SARS-CoV-2 infection from other causes of respiratory illness. The uncertainty resulting from high or unclear risk of bias and the heterogeneity of included studies limit our ability to confidently draw conclusions based on our results.</t>
  </si>
  <si>
    <t>Diabetes risk loci-associated pathways are shared across metabolic tissues.</t>
  </si>
  <si>
    <t>Bouland, Gerard A; Beulens, Joline W J; Nap, Joey; van der Slik, Arno R; Zaldumbide, Arnaud; 't Hart, Leen M; Slieker, Roderick C</t>
  </si>
  <si>
    <t>bmc genomics</t>
  </si>
  <si>
    <t>https://pubmed.ncbi.nlm.nih.gov/35568807</t>
  </si>
  <si>
    <t>Numerous genome-wide association studies have been performed to understand the influence of genetic variation on type 2 diabetes etiology. Many identified risk variants are located in non-coding and intergenic regions, which complicates understanding of how genes and their downstream pathways are influenced. An integrative data approach will help to understand the mechanism and consequences of identified risk variants. In the current study we use our previously developed method CONQUER to overlap 403 type 2 diabetes risk variants with regulatory, expression and protein data to identify tissue-shared disease-relevant mechanisms. One SNP rs474513 was found to be an expression-, protein- and metabolite QTL. Rs474513 influenced LPA mRNA and protein levels in the pancreas and plasma, respectively. On the pathway level, in investigated tissues most SNPs linked to metabolism. However, in eleven of the twelve tissues investigated nine SNPs were linked to differential expression of the ribosome pathway. Furthermore, seven SNPs were linked to altered expression of genes linked to the immune system. Among them, rs601945 was found to influence multiple HLA genes, including HLA-DQA2, in all twelve tissues investigated. Our results show that in addition to the classical metabolism pathways, other pathways may be important to type 2 diabetes that show a potential overlap with type 1 diabetes.</t>
  </si>
  <si>
    <t>A comparison of full model specification and backward elimination of potential confounders when estimating marginal and conditional causal effects on binary outcomes from observational data.</t>
  </si>
  <si>
    <t>Luijken, Kim; Groenwold, Rolf H H; van Smeden, Maarten; Strohmaier, Susanne; Heinze, Georg</t>
  </si>
  <si>
    <t>https://pubmed.ncbi.nlm.nih.gov/35560110</t>
  </si>
  <si>
    <t>A common view in epidemiology is that automated confounder selection methods, such as backward elimination, should be avoided as they can lead to biased effect estimates and underestimation of their variance. Nevertheless, backward elimination remains regularly applied. We investigated if and under which conditions causal effect estimation in observational studies can improve by using backward elimination on a prespecified set of potential confounders. An expression was derived that quantifies how variable omission relates to bias and variance of effect estimators. Additionally, 3960 scenarios were defined and investigated by simulations comparing bias and mean squared error (MSE) of the conditional log odds ratio, log(cOR), and the marginal log risk ratio, log(mRR), between full models including all prespecified covariates and backward elimination of these covariates. Applying backward elimination resulted in a mean bias of 0.03 for log(cOR) and 0.02 for log(mRR), compared to 0.56 and 0.52 for log(cOR) and log(mRR), respectively, for a model without any covariate adjustment, and no bias for the full model. In less than 3% of the scenarios considered, the MSE of the log(cOR) or log(mRR) was slightly lower (max 3%) when backward elimination was used compared to the full model. When an initial set of potential confounders can be specified based on background knowledge, there is minimal added value of backward elimination. We advise not to use it and otherwise to provide ample arguments supporting its use.</t>
  </si>
  <si>
    <t>[A preview of COVID-19 vaccination and treatment].</t>
  </si>
  <si>
    <t>de Boer, Mark G J; Bonten, Marc J M; Huckriede, Anke L W</t>
  </si>
  <si>
    <t>https://pubmed.ncbi.nlm.nih.gov/36036707</t>
  </si>
  <si>
    <t>Vaccination or recent exposure to infection with SARS-CoV-2 currently grants the vast majority of the population considerable immunity and thereby protection against severe disease. It is yet unknow how long this protection lasts. Continuous changes of the viral genotype and phenotype herein play an important role, in particular the variant-specific alterations of the spike protein. Protection by T-cell immunity seems to be more preserved in the event of changes in the virus as compared to antibody-mediated host defences. Furthermore, the continuous succession of virus variants also directly and indirectly affects the effectiveness of medical treatment. Regarding immune-modulating as well as anti-viral therapy, the viral characteristics of the circulating SARS-CoV-2 variant in combination with the level of host immunity will determine whether their use makes sense, and for which patients. The number of patients needed to treat to prevent a clinically negative outcome herein represents an important figure.</t>
  </si>
  <si>
    <t>External Validation of Two Established Clinical Risk Scores Predicting Outcome after Local Treatment of Colorectal Liver Metastases in a Nationwide Cohort.</t>
  </si>
  <si>
    <t>Bolhuis, Karen; Wensink, G Emerens; Elferink, Marloes A G; Bond, Marinde J G; Dijksterhuis, Willemieke P M; Fijneman, Remond J A; Kranenburg, Onno W; Rinkes, Inne H M Borel; Koopman, Miriam; Swijnenburg, Rutger-Jan; Vink, Geraldine R; Hagendoorn, Jeroen; Punt, Cornelis J A; Elias, Sjoerd G; Roodhart, Jeanine M L</t>
  </si>
  <si>
    <t>https://pubmed.ncbi.nlm.nih.gov/35625968</t>
  </si>
  <si>
    <t>Optimized surgical techniques and systemic therapy have increased the number of patients with colorectal liver metastases (CRLM) eligible for local treatment. To increase postoperative survival, we need to stratify patients to customize therapy. Most clinical risk scores (CRSs) which predict prognosis after CRLM resection were based on the outcome of studies in specialized centers, and this may hamper the generalizability of these CRSs in unselected populations and underrepresented subgroups. We aimed to externally validate two CRSs in a population-based cohort of patients with CRLM. A total of 1105 patients with local treatment of CRLM, diagnosed in 2015/2016, were included from a nationwide population-based database. Survival outcomes were analyzed. The Fong and more recently developed GAME CRS were externally validated, including in pre-specified subgroups (≤70/&gt;70 years and with/without perioperative systemic therapy). The three-year DFS was 22.8%, and the median OS in the GAME risk groups (high/moderate/low) was 32.4, 46.7, and 68.1 months, respectively (p &lt; 0.005). The median OS for patients with versus without perioperative therapy was 47.6 (95%CI [39.8, 56.2]) and 54.9 months (95%CI [48.8, 63.7]), respectively (p = 0.152), and for below/above 70 years, it was 54.9 (95%CI [49.3−64.1]) and 44.2 months (95%CI [37.1−54.3]), respectively (p &lt; 0.005). The discriminative ability for OS of Fong CRS was 0.577 (95%CI [0.554, 0.601]), and for GAME, it was 0.596 (95%CI [0.572, 0.621]), and was comparable in the subgroups. In conclusion, both CRSs showed predictive ability in a population-based cohort and in predefined subgroups. However, the limited discriminative ability of these CRSs results in insufficient preoperative risk stratification for clinical decision-making.</t>
  </si>
  <si>
    <t>Vascular risk factors and staging of atherosclerosis in patients and controls: The Norwegian Stroke in the Young Study.</t>
  </si>
  <si>
    <t>Nawaz, Beenish; Fromm, Annette; Øygarden, Halvor; Eide, Geir Egil; Saeed, Sahrai; Meijer, Rudy; Bots, Michiel L; Sand, Kristin Modalsli; Thomassen, Lars; Næss, Halvor; Waje-Andreassen, Ulrike</t>
  </si>
  <si>
    <t>https://pubmed.ncbi.nlm.nih.gov/36082261</t>
  </si>
  <si>
    <t>We studied the prevalence of vascular risk factors (RFs) among 385 ischaemic stroke patients ⩽60 years and 260 controls, and their association with atherosclerosis in seven vascular areas. History of cardiovascular events (CVE), hypertension, diabetes mellitus (DM), dyslipidaemia, pack-years of smoking (PYS), alcohol, and physical inactivity were noted. Blood pressure, body mass index (BMI), waist-hip ratio (WHR), lipid profile, epicardial adipose tissue (EAT), visceral abdominal adipose tissue (VAT), and subcutaneous abdominal adipose tissue were measured. Numeric staging of atherosclerosis was done by standardized examination of seven vascular areas by right and left carotid and femoral intima-media thickness, electrocardiogram, abdominal aorta plaques, and the ankle-arm index. All results were age and sex-adjusted. Poisson regression analysis was applied. At age ⩽49 years at least one RF was present in 95.6% patients versus 90.0% controls. Compared to controls, male patients and middle-aged female patients showed no significant differences. Young female patients compared to young female controls had a higher burden of RFs (94.3% vs 88.6%, &lt;i&gt;p&lt;/i&gt; = 0.049). Poisson regression analysis combined for patients and controls, adjusted for age and sex, showed numeric staging of atherosclerosis associated with age, prior CVE, hypertension, DM, dyslipidaemia, PYS, alcohol, BMI, WHR, EAT, VAT, and an increased number of risk factors. Adjusted for all risk factors, numeric staging of atherosclerosis was associated with increasing age, hypertension, DM, PYS, and BMI. Vascular risk factors are highly prevalent in young- and middle-aged patients and controls, and are predictors of established atherosclerosis at study inclusion. Focus on main modifiable vascular RFs in primary prevention, and early and aggressive secondary treatment of patients are necessary to reduce further progression of atherosclerosis.</t>
  </si>
  <si>
    <t>Lessons learnt when accounting for competing events in the external validation of time-to-event prognostic models.</t>
  </si>
  <si>
    <t>Ramspek, Chava L; Teece, Lucy; Snell, Kym I E; Evans, Marie; Riley, Richard D; van Smeden, Maarten; van Geloven, Nan; van Diepen, Merel</t>
  </si>
  <si>
    <t>https://pubmed.ncbi.nlm.nih.gov/34919691</t>
  </si>
  <si>
    <t>External validation of prognostic models is necessary to assess the accuracy and generalizability of the model to new patients. If models are validated in a setting in which competing events occur, these competing risks should be accounted for when comparing predicted risks to observed outcomes. We discuss existing measures of calibration and discrimination that incorporate competing events for time-to-event models. These methods are illustrated using a clinical-data example concerning the prediction of kidney failure in a population with advanced chronic kidney disease (CKD), using the guideline-recommended Kidney Failure Risk Equation (KFRE). The KFRE was developed using Cox regression in a diverse population of CKD patients and has been proposed for use in patients with advanced CKD in whom death is a frequent competing event. When validating the 5-year KFRE with methods that account for competing events, it becomes apparent that the 5-year KFRE considerably overestimates the real-world risk of kidney failure. The absolute overestimation was 10%age points on average and 29%age points in older high-risk patients. It is crucial that competing events are accounted for during external validation to provide a more reliable assessment the performance of a model in clinical settings in which competing risks occur.</t>
  </si>
  <si>
    <t>Assessing the Availability of Teleconsultation and the Extent of Its Use in Malaysian Public Primary Care Clinics: Cross-sectional Study.</t>
  </si>
  <si>
    <t>Ng, Sock Wen; Hwong, Wen Yea; Husin, Masliyana; Ab Rahman, Norazida; Nasir, Nazrila Hairizan; Juval, Kawselyah; Sivasampu, Sheamini</t>
  </si>
  <si>
    <t>https://pubmed.ncbi.nlm.nih.gov/35532973</t>
  </si>
  <si>
    <t>The integration of teleconsultation into health care systems as a complement to existing approaches to care is growing rapidly. There is, however, limited information on the extent of its implementation across low- and middle-income countries. The aim of this study was to determine the availability and the extent of teleconsultation in Malaysian primary care clinics. A cross-sectional study of public primary care clinics in Malaysia was conducted between November 2020 and December 2020. All clinics in Malaysia that see more than 300 daily patients were recruited. A web-based, self-administered questionnaire including questions on availability of the service, whether it uses video or telephone, and the types of services it provides was distributed to the medical officer in charge of each clinic. In total, 97.6% (249/255) of the clinics responded. Out of these clinics, 45.8% (114/249) provided teleconsultation. A majority of the clinics providing consultation (69/114, 60.5%) provided only telephone consultation, while 24.6% (28/114) of the clinics offered video and telephone consultation, and 14.9% (17/114) offered only video consultation. Eighty percent (92/114) of the clinics were located in urban areas. A breakdown by state showed that 17.5% (20/114) and 16.7% (19/114) of the clinics were from two larger states; other states comprised less than 10% each (range 7-9/114). For the clinics providing video consultation, funding for the service came mostly (42/45, 93%) from the Ministry of Health. Conversely, nearly 1 out of 4 (23/97) clinics that provided telephone consultation funded the service either from donations or through self-funding. Most of the clinics provided teleconsultation for diabetes and hypertension. Less than 50% of the clinics with teleconsultation used it for follow up with allied health care providers or pharmacists (video consultation, 20/45; telephone consultation, 36/97). Our findings show that telephone consultation is more widely used than video consultation, despite a quarter of its funding being self-subsidized or obtained through donations. Also, teleconsultation was less utilized by allied health care providers and pharmacists. Plans for the expansion of teleconsultation in Malaysian primary health care should take into consideration these findings to ensure a better and more cost-effective implementation of the service.</t>
  </si>
  <si>
    <t>Variations in Clinical Practice: Assessing Clinical Care Processes According to Clinical Guidelines in a National Cohort of Hospice Patients.</t>
  </si>
  <si>
    <t>de Graaf, Everlien; Grant, Matthew; van de Baan, Frederieke; Ausems, Marijke; Verboeket-Crul, Cathelijne; Leget, Carlo; Teunissen, Saskia</t>
  </si>
  <si>
    <t>https://pubmed.ncbi.nlm.nih.gov/35531900</t>
  </si>
  <si>
    <t>&lt;b&gt;Background:&lt;/b&gt; National clinical guidelines have been developed internationally to reduce variations in clinical practices and promote the quality of palliative care. In The Netherlands, there is considerable variability in the organisation and care processes of inpatient palliative care, with three types of hospices - Volunteer-Driven Hospices (VDH), Stand-Alone Hospices (SAH), and nursing home Hospice Units (HU). &lt;b&gt;Aim:&lt;/b&gt; This study aims to examine clinical practices in palliative care through different hospice types and identify variations in care. &lt;b&gt;Methods:&lt;/b&gt; Retrospective cohort study utilising clinical documentation review, including patients who received inpatient palliative care at 51 different hospices and died in 2017 or 2018. Care provision for each patient for the management of pain, delirium and palliative sedation were analysed according to the Dutch national guidelines. &lt;b&gt;Results:&lt;/b&gt; 412 patients were included: 112 patients who received treatment for pain, 53 for delirium, and 116 patients underwent palliative sedation therapy. Care was provided in accordance with guidelines for pain in 32%, 61% and 47% (P = .047), delirium in 29%, 78% and 79% (P = .0016), and palliative sedation in 35%, 63% and 42% (P = .067) of patients who received care in VDHs, SAHs and HUs respectively. When all clinical practices were considered, patient care was conducted according to the guidelines for 33% of patients in VDHs, 65% in SAHs, and 50% in HUs (P &lt; .001). &lt;b&gt;Conclusions:&lt;/b&gt; The data demonstrate that care practices are not standardised throughout Dutch hospices and exhibit significant variations between type of hospice.</t>
  </si>
  <si>
    <t>Public Preferences for Policies to Promote COVID-19 Vaccination Uptake: A Discrete Choice Experiment in The Netherlands.</t>
  </si>
  <si>
    <t>Mouter, Niek; Boxebeld, Sander; Kessels, Roselinde; van Wijhe, Maarten; de Wit, Ardine; Lambooij, Mattijs; van Exel, Job</t>
  </si>
  <si>
    <t>https://pubmed.ncbi.nlm.nih.gov/35527162</t>
  </si>
  <si>
    <t>The COVID-19 pandemic forms an unprecedented public health, economic, and social crisis. Uptake of vaccination is critical for controlling the pandemic. Nevertheless, vaccination hesitancy is considerable, requiring policies to promote uptake. We investigate Dutch citizens' preferences for policies that aim to promote vaccination through facilitating choice of vaccination, profiling it as the norm, making vaccination more attractive through rewards, or punishing people who reject vaccination. We conducted a discrete choice experiment in which 747 respondents were asked to choose between policies to promote vaccination uptake and their impacts on the number of deaths, people with permanent health problems, households with income loss, and a tax increase. Respondents generally had a negative preference for policies that promote vaccination. They particularly disliked policies that punish those who reject the vaccine and were more favorable toward policies that reward vaccination, such as awarding additional rights to vaccinated individuals through vaccination passports. Respondents who reject vaccination were in general much more negative about the policy options than respondents who consider accepting the vaccine. Nevertheless, vaccination passports are supported by both respondents who accept the vaccine, those who reject vaccination, and those who are unsure about vaccination. This study provides concrete directions for governments attempting to increase the vaccination uptake in ways that are supported by the public. Our results could encourage policy makers to focus on policy options that make vaccination easier and reward people who take the vaccine, as especially the implementation of vaccination passports was supported.</t>
  </si>
  <si>
    <t>Duration of diabetes and the risk of major cardiovascular events in women and men: A prospective cohort study of UK Biobank participants.</t>
  </si>
  <si>
    <t>de Jong, Marit; Woodward, Mark; Peters, Sanne A E</t>
  </si>
  <si>
    <t>https://pubmed.ncbi.nlm.nih.gov/35525499</t>
  </si>
  <si>
    <t>Diabetes has been associated with a greater excess risk of cardiovascular disease (CVD) in women than men. We investigated whether there are also sex differences in the association of diabetes duration and the risk of CVD. Data were used from 18,961 (40% women) individuals with type 2 diabetes, without a history of CVD, in the UK Biobank. Sex-specific incidence rates were calculated by diabetes duration. Cox proportional hazards analyses estimated multiple-adjusted sex-specific hazard ratios (HR) and women-to-men ratio of HRs (RHR). Over a median follow-up of 11 years, 1,506 (29% women) CVD events were documented. Compared with men, women had lower multiple-adjusted incidence rates of CVD per 10,000 person-years for all categories of diabetes duration. Duration of diabetes was associated with an increased risk of CVD in both sexes. A 5-year increase in diabetes duration was associated with an approximately similar excess risk of about 20% for each of the three endpoints, in both sexes. The increased risk of CVD associated with longer duration of diabetes is similar in women and men, and thus cannot explain the higher excess risk from diabetes in women in this study population.</t>
  </si>
  <si>
    <t>Genome-wide association study meta-analysis identifies three novel loci for circulating anti-Müllerian hormone levels in women.</t>
  </si>
  <si>
    <t>Verdiesen, Renée M G; van der Schouw, Yvonne T; van Gils, Carla H; Verschuren, W M Monique; Broekmans, Frank J M; Borges, Maria C; Gonçalves Soares, Ana L; Lawlor, Deborah A; Eliassen, A Heather; Kraft, Peter; Sandler, Dale P; Harlow, Siobán D; Smith, Jennifer A; Santoro, Nanette; Schoemaker, Minouk J; Swerdlow, Anthony J; Murray, Anna; Ruth, Katherine S; Onland-Moret, N Charlotte</t>
  </si>
  <si>
    <t>human reproduction oxford england</t>
  </si>
  <si>
    <t>https://pubmed.ncbi.nlm.nih.gov/35274129</t>
  </si>
  <si>
    <t>Can additional genetic variants for circulating anti-Müllerian hormone (AMH) levels be identified through a genome-wide association study (GWAS) meta-analysis including a large sample of premenopausal women? We identified four loci associated with AMH levels at P &lt; 5 × 10-8: the previously reported MCM8 locus and three novel signals in or near AMH, TEX41 and CDCA7. AMH is expressed by antral stage ovarian follicles in women, and variation in age-specific circulating AMH levels has been associated with disease outcomes. However, the physiological mechanisms underlying these AMH-disease associations are largely unknown. We performed a GWAS meta-analysis in which we combined summary statistics of a previous AMH GWAS with GWAS data from 3705 additional women from three different cohorts. In total, we included data from 7049 premenopausal female participants of European ancestry. The median age of study participants ranged from 15.3 to 48 years across cohorts. Circulating AMH levels were measured in either serum or plasma samples using different ELISA assays. Study-specific analyses were adjusted for age at blood collection and population stratification, and summary statistics were meta-analysed using a standard error-weighted approach. Subsequently, we functionally annotated GWAS variants that reached genome-wide significance (P &lt; 5 × 10-8). We also performed a gene-based GWAS, pathway analysis and linkage disequilibrium score regression and Mendelian randomization (MR) analyses. We identified four loci associated with AMH levels at P &lt; 5 × 10-8: the previously reported MCM8 locus and three novel signals in or near AMH, TEX41 and CDCA7. The strongest signal was a missense variant in the AMH gene (rs10417628). Most prioritized genes at the other three identified loci were involved in cell cycle regulation. Genetic correlation analyses indicated a strong positive correlation among single nucleotide polymorphisms for AMH levels and for age at menopause (rg = 0.82, FDR = 0.003). Exploratory two-sample MR analyses did not support causal effects of AMH on breast cancer or polycystic ovary syndrome risk, but should be interpreted with caution as they may be underpowered and the validity of genetic instruments could not be extensively explored. The full AMH GWAS summary statistics will made available after publication through the GWAS catalog (https://www.ebi.ac.uk/gwas/). Whilst this study doubled the sample size of the most recent GWAS, the statistical power is still relatively low. As a result, we may still lack power to identify more genetic variants for AMH and to determine causal effects of AMH on, for example, breast cancer. Also, follow-up studies are needed to investigate whether the signal for the AMH gene is caused by reduced AMH detection by certain assays instead of actual lower circulating AMH levels. Genes mapped to the MCM8, TEX41 and CDCA7 loci are involved in the cell cycle and processes such as DNA replication and apoptosis. The mechanism underlying their associations with AMH may affect the size of the ovarian follicle pool. Altogether, our results provide more insight into the biology of AMH and, accordingly, the biological processes involved in ovarian ageing. Nurses' Health Study and Nurses' Health Study II were supported by research grants from the National Institutes of Health (CA172726, CA186107, CA50385, CA87969, CA49449, CA67262, CA178949). The UK Medical Research Council and Wellcome (217065/Z/19/Z) and the University of Bristol provide core support for ALSPAC. This publication is the work of the listed authors, who will serve as guarantors for the contents of this article. A comprehensive list of grants funding is available on the ALSPAC website (http://www.bristol.ac.uk/alspac/external/documents/grant-acknowledgements.pdf). Funding for the collection of genotype and phenotype data used here was provided by the British Heart Foundation (SP/07/008/24066), Wellcome (WT092830M and WT08806) and UK Medical Research Council (G1001357). M.C.B., A.L.G.S. and D.A.L. work in a unit that is funded by the University of Bristol and UK Medical Research Council (MC_UU_00011/6). M.C.B.'s contribution to this work was funded by a UK Medical Research Council Skills Development Fellowship (MR/P014054/1) and D.A.L. is a National Institute of Health Research Senior Investigator (NF-0616-10102). A.L.G.S. was supported by the study of Dynamic longitudinal exposome trajectories in cardiovascular and metabolic non-communicable diseases (H2020-SC1-2019-Single-Stage-RTD, project ID 874739). The Doetinchem Cohort Study was financially supported by the Ministry of Health, Welfare and Sports of the Netherlands. The funder had no role in study design, data collection and analysis, decision to publish or preparation of the manuscript. Ansh Labs performed the AMH measurements for the Doetinchem Cohort Study free of charge. Ansh Labs was not involved in the data analysis, interpretation or reporting, nor was it financially involved in any aspect of the study. R.M.G.V. was funded by the Honours Track of MSc Epidemiology, University Medical Center Utrecht with a grant from the Netherlands Organization for Scientific Research (NWO) (022.005.021). The Study of Women's Health Across the Nation (SWAN) has grant support from the National Institutes of Health (NIH), DHHS, through the National Institute on Aging (NIA), the National Institute of Nursing Research (NINR) and the NIH Office of Research on Women's Health (ORWH) (U01NR004061; U01AG012505, U01AG012535, U01AG012531, U01AG012539, U01AG012546, U01AG012553, U01AG012554, U01AG012495). The SWAN Genomic Analyses and SWAN Legacy have grant support from the NIA (U01AG017719). The Generations Study was funded by Breast Cancer Now and the Institute of Cancer Research (ICR). The ICR acknowledges NHS funding to the NIHR Biomedical Research Centre. The content of this manuscript is solely the responsibility of the authors and does not necessarily represent official views of the funders. The Sister Study was funded by the Intramural Research Program of the National Institutes of Health (NIH), National Institute of Environmental Health Sciences (Z01-ES044005 to D.P.S.); the AMH assays were supported by the Avon Foundation (02-2012-065 to H.B. Nichols and D.P.S.). The breast cancer genome-wide association analyses were supported by the Government of Canada through Genome Canada and the Canadian Institutes of Health Research, the 'Ministère de l'Économie, de la Science et de l'Innovation du Québec' through Genome Québec and grant PSR-SIIRI-701, The National Institutes of Health (U19 CA148065, X01HG007492), Cancer Research UK (C1287/A10118, C1287/A16563, C1287/A10710) and The European Union (HEALTH-F2-2009-223175 and H2020 633784 and 634935). All studies and funders are listed in Michailidou et al. (Nature, 2017). F.J.M.B. has received fees and grant support from Merck Serono and Ferring BV. D.A.L. has received financial support from several national and international government and charitable funders as well as from Medtronic Ltd and Roche Diagnostics for research that is unrelated to this study. N.S. is scientific consultant for Ansh Laboratories. The other authors declare no competing interests.</t>
  </si>
  <si>
    <t>The effects of antibiotic cycling and mixing on acquisition of antibiotic resistant bacteria in the ICU: A post-hoc individual patient analysis of a prospective cluster-randomized crossover study.</t>
  </si>
  <si>
    <t>van Duijn, Pleun J; Verbrugghe, Walter; Jorens, Philippe G; Spöhr, Fabian; Schedler, Dirk; Deja, Maria; Rothbart, Andreas; Annane, Djillali; Lawrence, Christine; Jereb, Matjaz; Seme, Katja; Šifrer, Franc; Tomič, Viktorija; Estevez, Francisco; Carneiro, Jandira; Harbarth, Stephan; Bonten, Marc J M</t>
  </si>
  <si>
    <t>https://pubmed.ncbi.nlm.nih.gov/35503768</t>
  </si>
  <si>
    <t>Repeated rotation of empiric antibiotic treatment strategies is hypothesized to reduce antibiotic resistance. Clinical rotation studies failed to change unit-wide prevalence of antibiotic resistant bacteria (ARB) carriage, including an international cluster-randomized crossover study. Unit-wide effects may differ from individual effects due to "ecological fallacy". This post-hoc analysis of a cluster-randomized crossover study assesses differences between cycling and mixing rotation strategies in acquisition of carriage with Gram-negative ARB in individual patients. This was a controlled cluster-randomized crossover study in 7 ICUs in 5 European countries. Clinical cultures taken as routine care were used for endpoint assessment. Patients with a first negative culture and at least one culture collected in total were included. Community acquisitions (2 days of admission or less) were excluded. Primary outcome was ICU-acquisition of Enterobacterales species with reduced susceptibility to: third- or fourth generation cephalosporins or piperacillin-tazobactam, and Acinetobacter species and Pseudomonas aeruginosa with reduced susceptibility for piperacillin-tazobactam or carbapenems. Cycling (altering first-line empiric therapy for Gram-negative bacteria, every other 6-weeks), to mixing (changing antibiotic type every empiric antibiotic course). Rotated antibiotics were third- or fourth generation cephalosporins, piperacillin-tazobactam and carbapenems. For this analysis 1,613 admissions were eligible (855 and 758 during cycling and mixing, respectively), with 16,437 microbiological cultures obtained. Incidences of acquisition with ARB during ICU-stay were 7.3% (n = 62) and 5.1% (n = 39) during cycling and mixing, respectively (p-value 0.13), after a mean of 17.7 (median 15) and 20.8 (median 13) days. Adjusted odds ratio for acquisition of ARB carriage during mixing was 0.62 (95% CI 0.38 to 1.00). Acquired carriage with ARB were Enterobacterales species (n = 61), Pseudomonas aeruginosa (n = 38) and Acinetobacter species (n = 20), with no statistically significant differences between interventions. There was no statistically significant difference in individual patients' risk of acquiring carriage with Gram-negative ARB during cycling and mixing. These findings substantiate the absence of difference between cycling and mixing on the epidemiology of Gram-negative ARB in ICU. This trial is registered with ClinicalTrials.gov, registered 10 January 2011, NCT01293071.</t>
  </si>
  <si>
    <t>Reliability, usability and identified need for home-based cardiometabolic health self-assessment during the COVID-19 pandemic in Soweto, South Africa.</t>
  </si>
  <si>
    <t>Calvert, Clara; Kolkenbeck-Ruh, Andrea; Crouch, Simone H; Soepnel, Larske M; Ware, Lisa J</t>
  </si>
  <si>
    <t>https://pubmed.ncbi.nlm.nih.gov/35505062</t>
  </si>
  <si>
    <t>A major obstacle to tackling the growing burden of chronic disease in South Africa is lack of testing, particularly where individuals face multiple barriers to accessing health services. We conducted a pilot study to evaluate a cardiometabolic self-measurement kit, including assessment of blood pressure, obesity and urine analysis, amongst adults in Soweto, South Africa. Participants (N = 94) were recruited by researchers during community health screening and were provided with a home test kit including a tablet with self-measurement instructions. The participants entered their results on the tablet and, on completion, the researcher immediately repeated the measurements. We interviewed 10% of participants to understand their experience and views of the kits. Concordance correlation coefficients ranged from 0.78 for waist circumference to 0.93 for height, while the overall percentage agreement ranged from 80.5% for both urine protein and urine glucose testing to 91.4% for the identification of central obesity (ratio of waist circumference to height of ≥ 0.5). Participants saw the need for self-testing and found the process for the most part simple, though urine testing and height self-assessment presented some challenges. This pilot study suggests that self-assessment at home has the potential to facilitate the identification of individuals at risk for cardiometabolic disease in low-income settings, adding to a growing body of evidence on the use of self-testing in disease prevention and detection. However, we would not recommend self-testing for urine glucose and protein without further study.</t>
  </si>
  <si>
    <t>Androgen Deprivation therapy for Oligo-recurrent Prostate cancer in addition to radioTherapy (ADOPT): study protocol for a randomised phase III trial.</t>
  </si>
  <si>
    <t>Janssen, J; Staal, F H E; Brouwer, C L; Langendijk, J A; de Jong, I J; van Moorselaar, R J A; Schuit, E; Verzijlbergen, J F; Smeenk, R J; Aluwini, S</t>
  </si>
  <si>
    <t>https://pubmed.ncbi.nlm.nih.gov/35501744</t>
  </si>
  <si>
    <t>More than 60% of oligo-recurrent prostate cancer (PCa) patients treated with metastasis-directed radiotherapy (MDRT) develop biochemical recurrence within 2 years. This recurrence rate emphasises the need for improved treatment and patient selection. In line with the treatment of primary PCa, the efficacy of MDRT may be enhanced when combined with androgen-deprivation therapy (ADT). Furthermore, the availability of PSMA PET/CT offers an excellent tool for optimal patient selection for MDRT. This phase III randomised controlled trial will investigate the role of the addition of ADT to MDRT in oligo-recurrent PCa patients selected with PSMA PET/CT to enhance oncological outcome. Two hundred and eighty patients will be randomised in a 1:1 ratio to the standard treatment arm (MDRT alone) or the experimental arm (MDRT + 6 months ADT). Patients with biochemical recurrence after primary treatment of PCa presenting with ≤ 4 metastases will be included. The primary endpoint is the 2.5-year metastases progression-free survival (MPFS). Secondary endpoints are acute and late toxicity, quality of life, biochemical progression-free survival, overall survival, and the sensitivity of the PSMA PET/CT for detecting oligometastases at low PSA-levels. So far, between March 2020 and December 2021, one hundred patients have been included. This phase III randomised controlled trial will assess the possible benefit of the addition of 6 months ADT to MDRT on metastases progression-free survival, toxicity, QoL and survival in PCa patients with 1-4 recurrent oligometastatic lesions. ClinicalTrials.gov, NCT04302454 . Registered 10 March 2020.</t>
  </si>
  <si>
    <t>Timing of Delivery for Twins With Growth Discordance and Growth Restriction: An Individual Participant Data Meta-analysis.</t>
  </si>
  <si>
    <t>Koch, Ashlee K; Burger, Renée J; Schuit, Ewoud; Mateus, Julio Fernando; Goya, Maria; Carreras, Elena; Biancolin, Sckarlet E; Barzilay, Eran; Soliman, Nancy; Cooper, Stephanie; Metcalfe, Amy; Lodha, Abhay; Fichera, Anna; Stagnati, Valentina; Kawamura, Hiroshi; Rustico, Maria; Lanna, Mariano; Munim, Shama; Russo, Francesca Maria; Nassar, Anwar; Rode, Line; Lim, Arianne; Liem, Sophie; Grantz, Katherine L; Hack, Karien; Combs, C Andrew; Serra, Vicente; Perales, Alfredo; Khalil, Asma; Liu, Becky; Barrett, Jon; Ganzevoort, Wessel; Gordijn, Sanne J; Morris, R Katie; Mol, Ben W; Li, Wentao</t>
  </si>
  <si>
    <t>obstetrics and gynecology</t>
  </si>
  <si>
    <t>https://pubmed.ncbi.nlm.nih.gov/35675615</t>
  </si>
  <si>
    <t>First, to evaluate the risks of stillbirth and neonatal death by gestational age in twin pregnancies with different levels of growth discordance and in relation to small for gestational age (SGA), and on this basis to establish optimal gestational ages for delivery. Second, to compare these optimal gestational ages with previously established optimal delivery timing for twin pregnancies not complicated by fetal growth restriction, which, in a previous individual patient meta-analysis, was calculated at 37 0/7 weeks of gestation for dichorionic pregnancies and 36 0/7 weeks for monochorionic pregnancies. A search of MEDLINE, EMBASE, ClinicalTrials.gov, and Ovid between 2015 and 2018 was performed of cohort studies reporting risks of stillbirth and neonatal death in twin pregnancies from 32 to 41 weeks of gestation. Studies from a previous meta-analysis using a similar search strategy (from inception to 2015) were combined. Women with monoamniotic twin pregnancies were excluded. Overall, of 57 eligible studies, 20 cohort studies that contributed original data reporting on 7,474 dichorionic and 2,281 monochorionic twin pairs. We performed an individual participant data meta-analysis to calculate the risk of perinatal death (risk difference between prospective stillbirth and neonatal death) per gestational week. Analyses were stratified by chorionicity, levels of growth discordance, and presence of SGA in one or both twins. For both dichorionic and monochorionic twins, the absolute risks of stillbirth and neonatal death were higher when one or both twins were SGA and increased with greater levels of growth discordance. Regardless of level of growth discordance and birth weight, perinatal risk balanced between 36 0/7-6/7 and 37 0/7-6/7 weeks of gestation in both dichorionic and monochorionic twin pregnancies, with likely higher risk of stillbirth than neonatal death from 37 0/7-6/7 weeks onward. Growth discordance or SGA is associated with higher absolute risks of stillbirth and neonatal death. However, balancing these two risks, we did not find evidence that the optimal timing of delivery is changed by the presence of growth disorders alone. PROSPERO, CRD42018090866.</t>
  </si>
  <si>
    <t>Providing antibiotics to immigrants: a qualitative study of general practitioners' and pharmacists' experiences.</t>
  </si>
  <si>
    <t>Lescure, Dominique L A; van Oorschot, Wilbert; Brouwer, Rob; van der Velden, Janneke; Tjon-A-Tsien, Aimée M L; Bonnema, Iris V; Verheij, Theo J M; Richardus, Jan Hendrik; Voeten, Hélène A C M</t>
  </si>
  <si>
    <t>https://pubmed.ncbi.nlm.nih.gov/35501699</t>
  </si>
  <si>
    <t>If healthcare professionals perceive that patients strongly expect to be prescribed antibiotics, inappropriate prescriptions may result. As it is unknown whether this happens more often with certain patient groups, we explored whether general practitioners (GPs) and pharmacists perceived such expectations when they provided antibiotics to immigrant patients. Ten GPs and five pharmacists from Rotterdam, the Netherlands, were interviewed on the basis of a semi-structured topic guide. Atlas.ti software was then used to conduct a thematic analysis. GPs felt that immigrant patients, especially those who had arrived recently, were more likely to expect to receive antibiotics than native Dutch patients. However, these expectations had decreased over the last years and did not always lead immigrants to exert pressure on them. Except for language barriers, the factors reported by GPs to influence their antibiotic prescribing behaviour were unrelated to patients' immigrant background. If there was a language barrier, GPs experienced greater diagnostic uncertainty and needed additional time to obtain and communicate correct information. To overcome language barriers, they often used point-of-care testing to convince patients that antibiotics were unnecessary. Although pharmacists rarely experienced problems dispensing antibiotics to immigrants, they and GPs both struggled to find effective ways of overcoming language barriers, and stressed the need for multi-language support materials. While pharmacists rarely experience any problems providing antibiotics to immigrants, GPs regularly face language barriers with immigrant patients, which complicate the diagnostic process and communicating information in the limited available time. This sometimes leads antibiotics to be prescribed inappropriately.</t>
  </si>
  <si>
    <t>Development of an objectively measured walkability index for the Netherlands.</t>
  </si>
  <si>
    <t>Lam, Thao Minh; Wang, Zhiyong; Vaartjes, Ilonca; Karssenberg, Derek; Ettema, Dick; Helbich, Marco; Timmermans, Erik J; Frank, Lawrence D; den Braver, Nicolette R; Wagtendonk, Alfred J; Beulens, Joline W J; Lakerveld, Jeroen</t>
  </si>
  <si>
    <t>the international journal of behavioral nutrition and physical activity</t>
  </si>
  <si>
    <t>https://pubmed.ncbi.nlm.nih.gov/35501815</t>
  </si>
  <si>
    <t>Walkability indices have been developed and linked to behavioural and health outcomes elsewhere in the world, but not comprehensively for Europe. We aimed to 1) develop a theory-based and evidence-informed Dutch walkability index, 2) examine its cross-sectional associations with total and purpose-specific walking behaviours of adults across socioeconomic (SES) and urbanisation strata, 3) explore which walkability components drive these associations. Components of the index included: population density, retail and service density, land use mix, street connectivity, green space, sidewalk density and public transport density. Each of the seven components was calculated for three Euclidean buffers: 150 m, 500 m and 1000 m around every 6-digit postal code location and for every administrative neighbourhood in GIS. Componential z-scores were averaged, and final indices normalized between 0 and 100. Data on self-reported demographic characteristics and walking behaviours of 16,055 adult respondents (aged 18-65) were extracted from the Dutch National Travel Survey 2017. Using Tobit regression modelling adjusted for individual- and household-level confounders, we assessed the associations between walkability and minutes walking in total, for non-discretionary and discretionary purposes. By assessing the attenuation in associations between partial indices and walking outcomes, we identified which of the seven components drive these associations. We also tested for effect modification by urbanization degree, SES, age and sex. In fully adjusted models, a 10% increase in walkability was associated with a maximum increase of 8.5 min of total walking per day (95%CI: 7.1-9.9). This association was consistent across buffer sizes and purposes of walking. Public transport density was driving the index's association with walking outcomes. Stratified results showed that associations with minutes of non-discretionary walking were stronger in rural compared to very urban areas, in neighbourhoods with low SES compared to high SES, and in middle-aged (36-49 years) compared to young (18-35 years old) and older adults (50-65 years old). The walkability index was cross-sectionally associated with Dutch adult's walking behaviours, indicating its validity for further use in research.</t>
  </si>
  <si>
    <t>Measures of (injury and illness) occurrence: a primer on epidemiological concepts and terminology for authors.</t>
  </si>
  <si>
    <t>Impellizzeri, Franco M; McCall, Alan; Meyer, Tim; van Smeden, Maarten</t>
  </si>
  <si>
    <t>science medicine in football</t>
  </si>
  <si>
    <t>https://pubmed.ncbi.nlm.nih.gov/35378046</t>
  </si>
  <si>
    <t>Etiology of Myocardial Injury in Critically Ill Patients with Sepsis: A Cohort Study.</t>
  </si>
  <si>
    <t>Frencken, Jos F; van Smeden, Maarten; van de Groep, Kirsten; Ong, David S Y; Klein Klouwenberg, Peter M C; Juffermans, Nicole; Bonten, Marc J M; van der Poll, Tom; Cremer, Olaf L; ,</t>
  </si>
  <si>
    <t>annals of the american thoracic society</t>
  </si>
  <si>
    <t>https://pubmed.ncbi.nlm.nih.gov/34784496</t>
  </si>
  <si>
    <t>&lt;b&gt;Rationale:&lt;/b&gt; Myocardial injury occurs frequently during sepsis and is independently associated with mortality. However, its etiology remains largely unknown. &lt;b&gt;Objectives:&lt;/b&gt; To assess the relative contributions of hyperinflammation, activated coagulation, and endothelial dysfunction to myocardial injury in critically ill patients with sepsis. &lt;b&gt;Methods:&lt;/b&gt; We included consecutive patients with sepsis presenting to two tertiary intensive care units in the Netherlands between 2011 and 2013. High-sensitivity cardiac troponin I as well as a wide range of plasma biomarkers related to inflammation, coagulation, and endothelial function were measured. Structural equation modeling was used to construct latent variables representing each of these pathophysiological constructs and to subsequently study their associations with troponin elevation while adjusting for confounders. &lt;b&gt;Results:&lt;/b&gt; We analyzed 908 (88%) of 1,037 eligible patients, 553 (61%) of whom had raised high-sensitivity cardiac troponin I levels upon intensive care unit admission. The latent variables included interleukin (IL)-6, IL-8, and IL-1β for inflammation; platelet count, prothrombin time, and protein C for coagulation; and soluble E-selectin, intercellular adhesion molecule-1, and angiopoietin-2 for endothelial function. After adjustment for age and cardiovascular comorbidities, structural equation modeling analysis showed that activated coagulation was independently associated with elevated troponin during sepsis (standardized regression coefficient, 0.551; 95% confidence interval [CI], 0.257-0.845; &lt;i&gt;P&lt;/i&gt; &lt; 0.001) whereas hyperinflammation and endothelial dysfunction were not (standardized regression coefficient, -0.161; 95% CI, -0.418 to 0.096 and -0.054; 95% CI, -0.168 to 0.060, respectively). &lt;b&gt;Conclusions:&lt;/b&gt; Our findings suggest that myocardial injury during sepsis is mediated by systemic activation of coagulation rather than by circulating inflammatory mediators or activation of the endothelium. These findings may guide evaluation of strategies to protect the myocardium during sepsis. Clinical trial registered with clinicaltrials.gov (NCT01905033).</t>
  </si>
  <si>
    <t>Interobserver Variability in CT-based Morphologic Tumor Response Assessment of Colorectal Liver Metastases.</t>
  </si>
  <si>
    <t>Wesdorp, Nina J; Kemna, Ruby; Bolhuis, Karen; van Waesberghe, Jan H T M; Nota, Irene M G C; Struik, Femke; Oulad Abdennabi, Ikrame; Phoa, Saffire S K S; van Dieren, Susan; van Amerongen, Martinus J; Chapelle, Thiery; Dejong, Cornelis H C; Engelbrecht, Marc R W; Gerhards, Michael F; Grünhagen, Dirk; van Gulik, Thomas M; Hermans, John J; de Jong, Koert P; Klaase, Joost M; Liem, Mike S L; van Lienden, Krijn P; Molenaar, I Quintus; Patijn, Gijs A; Rijken, Arjen M; Ruers, Theo M; Verhoef, Cornelis; de Wilt, Johannes H W; Swijnenburg, Rutger-Jan; Punt, Cornelis J A; Huiskens, Joost; Stoker, Jaap; Kazemier, Geert; ,</t>
  </si>
  <si>
    <t>radiology imaging cancer</t>
  </si>
  <si>
    <t>https://pubmed.ncbi.nlm.nih.gov/35522139</t>
  </si>
  <si>
    <t>Purpose To evaluate interobserver variability in the morphologic tumor response assessment of colorectal liver metastases (CRLM) managed with systemic therapy and to assess the relation of morphologic response with gene mutation status, targeted therapy, and Response Evaluation Criteria in Solid Tumors (RECIST) version 1.1 measurements. Materials and Methods Participants with initially unresectable CRLM receiving different systemic therapy regimens from the randomized, controlled CAIRO5 trial (NCT02162563) were included in this prospective imaging study. Three radiologists independently assessed morphologic tumor response on baseline and first follow-up CT scans according to previously published criteria. Two additional radiologists evaluated disagreement cases. Interobserver agreement was calculated by using Fleiss κ. On the basis of the majority of individual radiologic assessments, the final morphologic tumor response was determined. Finally, the relation of morphologic tumor response and clinical prognostic parameters was assessed. Results In total, 153 participants (median age, 63 years [IQR, 56-71]; 101 men) with 306 CT scans comprising 2192 CRLM were included. Morphologic assessment performed by the three radiologists yielded 86 (56%) agreement cases and 67 (44%) disagreement cases (including four major disagreement cases). Overall interobserver agreement between the panel radiologists on morphology groups and morphologic response categories was moderate (κ = 0.53, 95% CI: 0.48, 0.58 and κ = 0.54, 95% CI: 0.47, 0.60). Optimal morphologic response was particularly observed in patients treated with bevacizumab (&lt;i&gt;P&lt;/i&gt; = .001) and in patients with &lt;i&gt;RAS/BRAF&lt;/i&gt; mutation (&lt;i&gt;P&lt;/i&gt; = .04). No evidence of a relationship between RECIST 1.1 and morphologic response was found (&lt;i&gt;P&lt;/i&gt; = .61). Conclusion Morphologic tumor response assessment following systemic therapy in participants with CRLM demonstrated considerable interobserver variability. &lt;b&gt;Keywords:&lt;/b&gt; Tumor Response, Observer Performance, CT, Liver, Metastases, Oncology, Abdomen/Gastrointestinal Clinical trial registration no. NCT02162563 &lt;i&gt;Supplemental material is available for this article.&lt;/i&gt; © RSNA, 2022.</t>
  </si>
  <si>
    <t>The performance of wearable sensors in the detection of SARS-CoV-2 infection: a systematic review.</t>
  </si>
  <si>
    <t>Mitratza, Marianna; Goodale, Brianna Mae; Shagadatova, Aizhan; Kovacevic, Vladimir; van de Wijgert, Janneke; Brakenhoff, Timo B; Dobson, Richard; Franks, Billy; Veen, Duco; Folarin, Amos A; Stolk, Pieter; Grobbee, Diederick E; Cronin, Maureen; Downward, George S</t>
  </si>
  <si>
    <t>https://pubmed.ncbi.nlm.nih.gov/35461692</t>
  </si>
  <si>
    <t>Containing the COVID-19 pandemic requires rapidly identifying infected individuals. Subtle changes in physiological parameters (such as heart rate, respiratory rate, and skin temperature), discernible by wearable devices, could act as early digital biomarkers of infections. Our primary objective was to assess the performance of statistical and algorithmic models using data from wearable devices to detect deviations compatible with a SARS-CoV-2 infection. We searched MEDLINE, Embase, Web of Science, the Cochrane Central Register of Controlled Trials (known as CENTRAL), International Clinical Trials Registry Platform, and ClinicalTrials.gov on July 27, 2021 for publications, preprints, and study protocols describing the use of wearable devices to identify a SARS-CoV-2 infection. Of 3196 records identified and screened, 12 articles and 12 study protocols were analysed. Most included articles had a moderate risk of bias, as per the National Institute of Health Quality Assessment Tool for Observational and Cross-Sectional Studies. The accuracy of algorithmic models to detect SARS-CoV-2 infection varied greatly (area under the curve 0·52-0·92). An algorithm's ability to detect presymptomatic infection varied greatly (from 20% to 88% of cases), from 14 days to 1 day before symptom onset. Increased heart rate was most frequently associated with SARS-CoV-2 infection, along with increased skin temperature and respiratory rate. All 12 protocols described prospective studies that had yet to be completed or to publish their results, including two randomised controlled trials. The evidence surrounding wearable devices in the early detection of SARS-CoV-2 infection is still in an early stage, with a limited overall number of studies identified. However, these studies show promise for the early detection of SARS-CoV-2 infection. Large prospective, and preferably controlled, studies recruiting and retaining larger and more diverse populations are needed to provide further evidence.</t>
  </si>
  <si>
    <t>How traditional informed consent impairs inclusivity in a learning healthcare system: lessons learned from the Utrecht Cardiovascular Cohort.</t>
  </si>
  <si>
    <t>Groenhof, T Katrien J; Mostert, Menno; Lea, Nathan C; Haitjema, Saskia; de Vries, Martine C; van Dijk, Wouter B; Grobbee, Diederick E; Asselbergs, Folkert W; Bots, Michiel L; van der Graaf, Rieke</t>
  </si>
  <si>
    <t>https://pubmed.ncbi.nlm.nih.gov/35504525</t>
  </si>
  <si>
    <t>Growth curves for mandibular range of motion and maximum voluntary bite force in healthy children.</t>
  </si>
  <si>
    <t>Verkouteren, Daan R C; de Sonnaville, Willemijn F C; Zuithoff, Nicolaas P A; Wulffraat, Nico M; Steenks, Michel H; Rosenberg, Antoine J W P</t>
  </si>
  <si>
    <t>european journal of oral sciences</t>
  </si>
  <si>
    <t>https://pubmed.ncbi.nlm.nih.gov/35482417</t>
  </si>
  <si>
    <t>Mandibular range of motion and bite force are indispensable variables for the evaluation of mandibular function. There are a variety of medical and dental conditions that can negatively affect mandibular function. Values for mandibular range of motion (i.e., active and passive maximum interincisal mouth opening, protrusion, and laterotrusion) and anterior maximum voluntary bite force (AMVBF) in healthy children and adolescents can help in recognizing temporomandibular dysfunction. In this longitudinal study, 169 healthy children aged 6-18 years were included. They were examined at four time points over 1 year. Mixed model analysis was performed to produce growth curves of mandibular range of motion and AMVBF. Average active maximum interincisal mouth opening was significantly higher in boys with 50.0 mm compared to 47.8 mm in girls. Boys also had a significantly higher AMVBF than girls with an average of 169.0 N versus 140.0 N, respectively. Growth curves of active and passive maximum interincisal mouth opening showed an increase with age, albeit levelling off through puberty. The growth curves of AMVBF in girls reach a plateau phase at ages 12-14 years, after which the curve descends; in boys, the AMVBF tended to increase up to 18 years of age, although a slow-down after 14 years of age was noted.</t>
  </si>
  <si>
    <t>Bacillus Calmette-Guérin vaccine to reduce healthcare worker absenteeism in COVID-19 pandemic, a randomized controlled trial.</t>
  </si>
  <si>
    <t>Ten Doesschate, Thijs; van der Vaart, Thomas W; Debisarun, Priya A; Taks, Esther; Moorlag, Simone J C F M; Paternotte, Nienke; Boersma, Wim G; Kuiper, Vincent P; Roukens, Anna H E; Rijnders, Bart J A; Voss, Andreas; Veerman, Karin M; Kerckhoffs, Angele P M; Oever, Jaap Ten; van Crevel, Reinout; van Nieuwkoop, Cees; Lalmohamed, Arief; van de Wijgert, Janneke H H M; Netea, Mihai G; Bonten, Marc J M; van Werkhoven, Cornelis H</t>
  </si>
  <si>
    <t>https://pubmed.ncbi.nlm.nih.gov/35489606</t>
  </si>
  <si>
    <t>The COVID-19 pandemic increases healthcare worker (HCW) absenteeism. The bacillus Calmette-Guérin (BCG) vaccine may provide non-specific protection against respiratory infections through enhancement of trained immunity. We investigated the impact of BCG vaccination on HCW absenteeism during the COVID-19 pandemic. HCWs exposed to COVID-19 patients in nine Dutch hospitals were randomized to BCG vaccine or placebo in a 1:1 ratio, and followed for one year using a mobile phone application. The primary endpoint was the self-reported number of days of unplanned absenteeism for any reason. Secondary endpoints included documented COVID-19, acute respiratory symptoms or fever. This was an investigator-funded study, registered at ClinicalTrials.gov (NCT03987919). In March/April 2020, 1511 HCWs were enrolled. The median duration of follow-up was 357 person-days (interquartile range [IQR], 351 to 361). Unplanned absenteeism for any reason was observed in 2.8% of planned working days in the BCG group and 2.7% in the placebo group (adjusted relative risk 0.94; 95% credible interval, 0.78-1.15). Cumulative incidences of documented COVID-19 were 14.2% in the BCG and 15.2% in the placebo group (adjusted hazard ratio (aHR) 0.94; 95% confidence interval (CI), 0.72-1.24). First episodes of self-reported acute respiratory symptoms or fever occurred in 490 (66.2%) and 443 (60.2%) participants, respectively (aHR: 1.13; 95% CI, 0.99-1.28). Thirty-one serious adverse events were reported (13 after BCG, 18 after placebo), none considered related to study medication. During the COVID-19 pandemic, BCG-vaccination of HCW exposed to COVID-19 patients did not reduce unplanned absenteeism nor documented COVID-19.</t>
  </si>
  <si>
    <t>Prediction Rules for Ruling Out Endocarditis in Patients With Staphylococcus aureus Bacteremia.</t>
  </si>
  <si>
    <t>https://pubmed.ncbi.nlm.nih.gov/34272564</t>
  </si>
  <si>
    <t>Staphylococcus aureus bacteremia (SAB) is in 10% to 20% of cases complicated by infective endocarditis. Clinical prediction scores may select patients with SAB at highest risk for endocarditis, improving the diagnostic process of endocarditis. We compared the accuracy of the Prediction Of Staphylococcus aureus Infective endocarditiseTime to positivity, Iv drug use, Vascular phenomena, preExisting heart condition (POSITIVE), Predicting Risk of Endocarditis Using a Clinical Tool (PREDICT), and VIRSTA scores for classifying the likelihood of endocarditis in patients with SAB. Between August 2017 and September 2019, we enrolled consecutive adult patients with SAB in a prospective cohort study in 7 hospitals in the Netherlands. Using the modified Duke Criteria for definite endocarditis as reference standard, sensitivity, specificity, negative predictive (NPV), and positive predictive values were determined for the POSITIVE, PREDICT, and VIRSTA scores. An NPV of at least 98% was considered safe for excluding endocarditis. Of 477 SAB patients enrolled, 33% had community-acquired SAB, 8% had a prosthetic valve, and 11% a cardiac implantable electronic device. Echocardiography was performed in 87% of patients, and 42% received transesophageal echocardiography (TEE). Eighty-seven (18.2%) had definite endocarditis. Sensitivity was 77.6% (65.8%-86.9%), 85.1% (75.8%-91.8%), and 98.9% (95.7%-100%) for the POSITIVE (n = 362), PREDICT, and VIRSTA scores, respectively. NPVs were 92.5% (87.9%-95.8%), 94.5% (90.7%-97.0%), and 99.3% (94.9%-100%). For the POSITIVE, PREDICT, and VIRSTA scores, 44.5%, 50.7%, and 70.9% of patients with SAB, respectively, were classified as at high risk for endocarditis. Only the VIRSTA score had an NPV of at least 98%, but at the expense of a high number of patients classified as high risk and thus requiring TEE. Netherlands Trial Register code 6669.</t>
  </si>
  <si>
    <t>Algorithm-based care versus usual care for the early recognition and management of complications after pancreatic resection in the Netherlands: an open-label, nationwide, stepped-wedge cluster-randomised trial.</t>
  </si>
  <si>
    <t>Smits, F Jasmijn; Henry, Anne Claire; Besselink, Marc G; Busch, Olivier R; van Eijck, Casper H; Arntz, Mark; Bollen, Thomas L; van Delden, Otto M; van den Heuvel, Daniel; van der Leij, Christiaan; van Lienden, Krijn P; Moelker, Adriaan; Bonsing, Bert A; Borel Rinkes, Inne H; Bosscha, Koop; van Dam, Ronald M; Derksen, Wouter J M; den Dulk, Marcel; Festen, Sebastiaan; Groot Koerkamp, Bas; de Haas, Robbert J; Hagendoorn, Jeroen; van der Harst, Erwin; de Hingh, Ignace H; Kazemier, Geert; van der Kolk, Marion; Liem, Mike; Lips, Daan J; Luyer, Misha D; de Meijer, Vincent E; Mieog, J Sven; Nieuwenhuijs, Vincent B; Patijn, Gijs A; Te Riele, Wouter W; Roos, Daphne; Schreinemakers, Jennifer M; Stommel, Martijn W J; Wit, Fennie; Zonderhuis, Babs A; Daamen, Lois A; van Werkhoven, C Henri; Molenaar, I Quintus; van Santvoort, Hjalmar C; ,</t>
  </si>
  <si>
    <t>https://pubmed.ncbi.nlm.nih.gov/35490691</t>
  </si>
  <si>
    <t>Early recognition and management of postoperative complications, before they become clinically relevant, can improve postoperative outcomes for patients, especially for high-risk procedures such as pancreatic resection. We did an open-label, nationwide, stepped-wedge cluster-randomised trial that included all patients having pancreatic resection during a 22-month period in the Netherlands. In this trial design, all 17 centres that did pancreatic surgery were randomly allocated for the timing of the crossover from usual care (the control group) to treatment given in accordance with a multimodal, multidisciplinary algorithm for the early recognition and minimally invasive management of postoperative complications (the intervention group). Randomisation was done by an independent statistician using a computer-generated scheme, stratified to ensure that low-medium-volume centres alternated with high-volume centres. Patients and investigators were not masked to treatment. A smartphone app was designed that incorporated the algorithm and included the daily evaluation of clinical and biochemical markers. The algorithm determined when to do abdominal CT, radiological drainage, start antibiotic treatment, and remove abdominal drains. After crossover, clinicians were trained in how to use the algorithm during a 4-week wash-in period; analyses comparing outcomes between the control group and the intervention group included all patients other than those having pancreatic resection during this wash-in period. The primary outcome was a composite of bleeding that required invasive intervention, organ failure, and 90-day mortality, and was assessed by a masked adjudication committee. This trial was registered in the Netherlands Trial Register, NL6671. From Jan 8, 2018, to Nov 9, 2019, all 1805 patients who had pancreatic resection in the Netherlands were eligible for and included in this study. 57 patients who underwent resection during the wash-in phase were excluded from the primary analysis. 1748 patients (885 receiving usual care and 863 receiving algorithm-centred care) were included. The primary outcome occurred in fewer patients in the algorithm-centred care group than in the usual care group (73 [8%] of 863 patients vs 124 [14%] of 885 patients; adjusted risk ratio [RR] 0·48, 95% CI 0·38-0·61; p&lt;0·0001). Among patients treated according to the algorithm, compared with patients who received usual care there was a decrease in bleeding that required intervention (47 [5%] patients vs 51 [6%] patients; RR 0·65, 0·42-0·99; p=0·046), organ failure (39 [5%] patients vs 92 [10%] patients; 0·35, 0·20-0·60; p=0·0001), and 90-day mortality (23 [3%] patients vs 44 [5%] patients; 0·42, 0·19-0·92; p=0·029). The algorithm for the early recognition and minimally invasive management of complications after pancreatic resection considerably improved clinical outcomes compared with usual care. This difference included an approximate 50% reduction in mortality at 90 days. The Dutch Cancer Society and UMC Utrecht.</t>
  </si>
  <si>
    <t>Correction to: Salmonella Typhi From Blood Cultures in the Democratic Republic of the Congo: A 10-Year Surveillance.</t>
  </si>
  <si>
    <t>Tack, Bieke; Phoba, Marie-France; Van Puyvelde, Sandra; Kalonji, Lisette M; Hardy, Liselotte; Barbé, Barbara; Van der Sande, Marianne A B; Monsieurs, Elise; Deborggraeve, Stijn; Lunguya, Octavie; Jacobs, Jan</t>
  </si>
  <si>
    <t>https://pubmed.ncbi.nlm.nih.gov/35325118</t>
  </si>
  <si>
    <t>Asking the right questions: towards a person-centered conception of shared decision-making regarding treatment of advanced chronic kidney disease in older patients.</t>
  </si>
  <si>
    <t>Verberne, Wouter R; Stiggelbout, Anne M; Bos, Willem Jan W; van Delden, Johannes J M</t>
  </si>
  <si>
    <t>https://pubmed.ncbi.nlm.nih.gov/35477488</t>
  </si>
  <si>
    <t>An increasing number of older patients have to decide on a treatment plan for advanced chronic kidney disease (CKD), involving dialysis or conservative care. Shared decision-making (SDM) is recommended as the model for decision-making in such preference-sensitive decisions. The aim of SDM is to come to decisions that are consistent with the patient's values and preferences and made by the patient and healthcare professional working together. In clinical practice, however, SDM appears to be not yet routine and needs further implementation. A shift from a biomedical to a person-centered conception might help to make the process more shared. Shared should, therefore, be interpreted as two persons bringing two perspectives to the table, that both need to be explored during the decision-making process. Starting from the patient's perspective will enable to determine the mutual goals of care first and, subsequently, determine the best way for achieving those goals. To perform such SDM, the healthcare professional needs to become a skilled companion, being part of the patient's relational context, and start asking the right questions about what matters to the patient as person. In this article, we describe the need for a person-centered conception of SDM for the setting of older patients with advanced CKD.</t>
  </si>
  <si>
    <t>Ethical implications of visual neuroprostheses-a systematic review.</t>
  </si>
  <si>
    <t>van Velthoven, E A M; van Stuijvenberg, O C; Haselager, D R E; Broekman, M; Chen, X; Roelfsema, P; Bredenoord, A L; Jongsma, K R</t>
  </si>
  <si>
    <t>journal of neural engineering</t>
  </si>
  <si>
    <t>https://pubmed.ncbi.nlm.nih.gov/35475424</t>
  </si>
  <si>
    <t>&lt;i&gt;Objective&lt;/i&gt;. The aim of this review was to systematically identify the ethical implications of visual neuroprostheses.&lt;i&gt;Approach&lt;/i&gt;. A systematic search was performed in both PubMed and Embase using a search string that combined synonyms for visual neuroprostheses, brain-computer interfaces (BCIs), cochlear implants (CIs), and ethics. We chose to include literature on BCIs and CIs, because of their ethically relavant similarities and functional parallels with visual neuroprostheses.&lt;i&gt;Main results&lt;/i&gt;. We included 84 articles in total. Six focused specifically on visual prostheses. The other articles focused more broadly on neurotechnologies, on BCIs or CIs. We identified 169 ethical implications that have been categorized under seven main themes: (a) benefits for health and well-being; (b) harm and risk; (c) autonomy; (d) societal effects; (e) clinical research; (f) regulation and governance; and (g) involvement of experts, patients and the public.&lt;i&gt;Significance&lt;/i&gt;. The development and clinical use of visual neuroprostheses is accompanied by ethical issues that should be considered early in the technological development process. Though there is ample literature on the ethical implications of other types of neuroprostheses, such as motor neuroprostheses and CIs, there is a significant gap in the literature regarding the ethical implications of visual neuroprostheses. Our findings can serve as a starting point for further research and normative analysis.</t>
  </si>
  <si>
    <t>Association of histological features with laryngeal squamous cell carcinoma recurrences: a population-based study of 1502 patients in the Netherlands.</t>
  </si>
  <si>
    <t>Ruiter, Lilian N; van Dijk, Boukje A C; Bruggink, Annette H; Doornaert, Patricia A H; Philippens, Marielle E P; de Bree, Remco; van Gils, Carla H; Willems, Stefan M</t>
  </si>
  <si>
    <t>https://pubmed.ncbi.nlm.nih.gov/35459142</t>
  </si>
  <si>
    <t>Recurrences remain an important problem in laryngeal squamous cell carcinoma. Little has been described about histological characteristics of the primary laryngeal tumor that may be associated with recurrences. Identifying risk factors for recurrences might help in adapting treatment or follow-up. Using real-life population-based data, we aimed to identify histological features of the primary tumor associated with recurrences and overall survival. Demographic, clinical and treatment information on all first primary invasive laryngeal tumors diagnosed in 2010-2014 (N = 3705) were extracted from the population-based nationwide Netherlands cancer registry (NCR) and linked to PALGA, the nationwide Dutch pathology registry, to obtain data on histological factors and recurrences. For a random 1502 patients histological information i.e., keratinization, perineural invasion (PNI+), vascular invasion (VI+), growth pattern, degree of differentiation, extracapsular spread (ECS+), cartilage- and bone invasion and extralaryngeal extension, was manually extracted from narrative pathology reports and analyzed for locoregional recurrence and overall survival using cox regression analysis. In total, 299 patients developed a locoregional recurrence and 555 patients died. Keratinization (HR = 0.96 (95%CI: 0.68-1.34) p = 0.79), two or three adverse characteristics (PNI+, VI+, non-cohesive growth) (HR = 1.38 (95% CI: 0.63-3.01) p = 0.42), and ECS+ (HR = 1.38 (95% CI: 0.48-4.02) p = 0.55) were not associated to recurrence. For death, also no significant association was found. In this population-based real-life dataset on laryngeal carcinoma in the Netherlands, histological factors were not associated with locoregional recurrences or overall survival, but future studies should investigate the role of these features in treatment decisions.</t>
  </si>
  <si>
    <t>Intercountry and intracountry variations in opinions of palliative care specialist physicians in Germany, Italy, Japan and UK about continuous use of sedatives: an international cross-sectional survey.</t>
  </si>
  <si>
    <t>Morita, Tatsuya; Kawahara, Takuya; Stone, Patrick; Sykes, Nigel; Miccinesi, Guido; Klein, Carsten; Stiel, Stephanie; Hui, David; Deliens, Luc; Heijltjes, Madelon T; Mori, Masanori; Heckel, Maria; Robijn, Lenzo; Krishna, Lalit; Rietjens, Judith</t>
  </si>
  <si>
    <t>https://pubmed.ncbi.nlm.nih.gov/35459681</t>
  </si>
  <si>
    <t>To explore intercountry and intracountry differences in physician opinions about continuous use of sedatives (CUS), and factors associated with their approval of CUS. Secondary analysis of a questionnaire study. Palliative care physicians in Germany (N=273), Italy (N=198), Japan (N=334) and the UK (N=111). Physician approval for CUS in four situations, intention and treatment goal, how to use sedatives and beliefs about CUS. There were no significant intercountry or intracountry differences in the degree of agreement with statements that (1) CUS is not necessary as suffering can always be relieved with other measures (mostly disagree); (2) intention of CUS is to alleviate suffering and (3) shortening the dying process is not intended. However, there were significant intercountry differences in agreement with statements that (1) CUS is acceptable for patients with longer survival or psychoexistential suffering; (2) decrease in consciousness is intended and (3) choice of neuroleptics or opioids. Acceptability of CUS for patients with longer survival or psychoexistential suffering and whether decrease in consciousness is intended also showed wide intracountry differences. Also, the proportion of physicians who agreed versus disagreed with the statement that CUS may not alleviate suffering adequately even in unresponsive patients, was approximately equal. Regression analyses revealed that both physician-related and country-related factors were independently associated with physicians' approval of CUS. Variations in use of sedatives is due to both physician- and country-related factors, but palliative care physicians consistently agree on the value of sedatives to aid symptom control. Future research should focus on (1) whether sedatives should be used in patients with longer survival or with primarily psychoexistential suffering, (2) understanding physicians' intentions and treatment goals, (3) efficacy of different drugs and (4) understanding the actual experiences of patients receiving CUS.</t>
  </si>
  <si>
    <t>Optimising telephone triage of patients calling for acute shortness of breath during out-of-hours primary care: protocol of a multiple methods study (Opticall).</t>
  </si>
  <si>
    <t>Spek, Michelle; Venekamp, Roderick; De Groot, Esther; Geersing, Geert-Jan; Erkelens, Daphne Carmen; van Smeden, Maarten; Rutten, Frans H; Zwart, Dorien L</t>
  </si>
  <si>
    <t>https://pubmed.ncbi.nlm.nih.gov/35450911</t>
  </si>
  <si>
    <t>Callers with acute shortness of breath (SOB) are a challenge for telephone triage at out-of-hours primary care (OHS-PC) as SOB could be the sign of a potentially life-threatening disease, yet mostly is a symptom of a broad range of self-limiting disorders. Current telephone triage practice is mainly expert based and clear evidence on accuracy, safety and efficiency of the use of the Netherlands Triage Standard (NTS) by triage nurses based on the eventual clinical outcome is lacking for this domain. Multiple methods study in five OHS-PC services in the Utrecht region, the Netherlands. Data will be collected from OHS-PC electronic health records (EHR) and backed up tapes of telephone triage conversations, which will be linked to routine primary care EHR data. In cross-sectional studies, we will (1) validate the NTS urgency classification for adults with SOB against final diagnoses and (2) develop diagnostic prediction models for urgent diagnoses (eg, composite endpoint of urgent diagnoses, pulmonary embolism, acute coronary syndrome, acute heart failure and pneumonia). We will develop improvement measures for the use of the NTS by triage nurses through practice observations and semistructured interviews with patients, triage nurses and general practitioners (GPs). In an action research approach, we will, in collaboration with these stakeholders, implement and evaluate our findings in both GP and triage nurse educational programmes as well as in OHS-PC services. The Medical Ethics Review Committee Utrecht, the Netherlands, approved the study protocol (protocol 21/361). We will take into account the 'code of conduct for responsible research' of the WHO, the EU General Data Protection Regulation and the 'Dutch Medical Treatment Contracts Act'. Results will be disseminated in peer-reviewed publications and at (inter)national meetings. NL9682.</t>
  </si>
  <si>
    <t>SYMptoms in chronic heart failure imPACT on burden of treatment (SYMPACT): a cross-sectional survey.</t>
  </si>
  <si>
    <t>Austin, Rosalynn C; Schoonhoven, Lisette; Koutra, Vasiliki; Richardson, Alison; Kalra, Paul R; May, Carl R</t>
  </si>
  <si>
    <t>https://pubmed.ncbi.nlm.nih.gov/35451208</t>
  </si>
  <si>
    <t>This study aimed to describe patient-reported symptoms and burden of treatment (BoT) experienced by patients with chronic heart failure (CHF). BoT describes the illness workload, individual capacity to perform that work, and resultant impact on the individual. Overwhelming BoT is related to poor quality of life and worse clinical outcomes. This research is the first to explore symptoms and BoT in people with CHF, in the UK. This is a cross-sectional questionnaire survey of CHF patients. Participants completed the Heart Failure Symptom Survey (HFSS; max score 10) and the Minnesota Living with Heart Failure Questionnaire (MLHFQ; max scores: physical 40, emotional 25, and total 105), which measured symptoms. BoT was measured with the Patient Experience with Treatment and Self-management (PETS; max score 100) questionnaires. Participant characteristics and questionnaire results were summarized using descriptive statistics. Relationships between symptoms and BoT, summarized by the workload and impact indices, were explored using Spearman's and Pearson's correlation coefficients together with scatter plots. The survey was completed by 333 participants, mean age of 71 (±13) years old. The majority (89%) were recruited from secondary care NHS trusts, and 25% were female. All types of heart failure were represented. Mean symptom scores were as follows: HFSS burden score: 2.4 (±2.1), and MLHFQ scores: physical score 20 (±12.4), emotional score 9.9 (±8.1), and total score 41.3 (±26.3). The highest mean PETS domain scores were exercise [51.3 (±24.7)], diet [40.3 (±22.7)], difficulty with healthcare services [39.9 (±21.3)], and physical and mental fatigue [36.0 (±25.7)]. Pairwise correlations were observed between HFSS scores and MLHFQ physical and emotional sub-scores with PETS workload and impact indices. Positive correlations were weak to moderate (0.326-0.487) between workload index and symptoms, and moderate to strong between impact index and symptoms (0.553-0.725). The P value was 0.006, adjusted by Bonferroni's correction. Symptoms are associated with BoT in CHF patients. Although symptom burden was low, CHF patients reported higher levels of burden around self-care activities of exercise, diet, healthcare interaction, as well as physical and mental fatigue due to engagement with self-care regimens. Observed higher levels of burden were in key self-care areas for CHF and suggest areas where service delivery and support of CHF patients may be improved to reduce BoT. Clinicians could individualize their consultations by focusing on troublesome symptoms, as well as alleviating illness workload, which may better enable patients to live well with CHF.</t>
  </si>
  <si>
    <t>1,6;2,3-Bis-BN Cyclohexane: Synthesis, Structure, and Hydrogen Release.</t>
  </si>
  <si>
    <t>Dai, Yan; Zhang, Xin; Liu, Yongfeng; Yu, Haibo; Su, Wei; Zhou, John; Ye, Qing; Huang, Zhenguo</t>
  </si>
  <si>
    <t>journal of the american chemical society</t>
  </si>
  <si>
    <t>https://pubmed.ncbi.nlm.nih.gov/35446021</t>
  </si>
  <si>
    <t>BN/CC isosterism has been widely investigated as a strategy to expand carbon-based compounds. The introduction of BN units in organic molecules always results in novel properties. In this work, we reported the first synthesis and characterization of 1,6;2,3-bis-BN cyclohexane, an isostere of cyclohexane with two adjacent BN pairs. Its ring flipping barrier is similar to that of cyclohexane. Protic hydrogens on N in 1,6;2,3-bis-BN cyclohexane show higher reactivity than its isomeric bis-BN cyclohexane. This compound exhibits an appealing hydrogen storage capability of &gt;9.0 wt %, nearly twice as much as the 1,2;4,5-bis-BN cyclohexane.</t>
  </si>
  <si>
    <t>Translation and Validation of the Questionnaire on Acceptance to Telemedicine from the Technology Acceptance Model (TAM) for Use in Malaysia.</t>
  </si>
  <si>
    <t>Husin, Masliyana; Rahman, Norazida Ab; Bujang, Mohamad Adam; Ng, Sock Wen; Juval, Kawselyah; Hwong, Wen Yea; Sivasampu, Sheamini</t>
  </si>
  <si>
    <t>biomed research international</t>
  </si>
  <si>
    <t>https://pubmed.ncbi.nlm.nih.gov/35463970</t>
  </si>
  <si>
    <t>The COVID-19 pandemic has accelerated implementation of telemedicine in healthcare facilities for delivery of care. Healthcare providers' acceptance of the telemedicine services is important for successful implementation of this new system. A questionnaire based on the Technology Acceptance Model (TAM) has been used to measure user acceptance of telemedicine service. The aim of this study was to translate and validate the English version of the questionnaire into Malay, to extend the availability and utilization of this questionnaire in Malaysia. A forward and backward translation of the questionnaire was conducted to produce the TAM in the Malay version (Malay-TAM). Panel experts assessed content validity. Internal consistency reliability was determined using Cronbach's alpha. Confirmatory factor analysis based on structural equation modelling was performed to validate the factor structure. The questionnaire was then tested on and completed by 149 healthcare workers from several public health clinics across Malaysia. The Malay-TAM demonstrated good reliability with Cronbach's alphas ranging from 0.823 to 0.912. Factor analysis showed good convergent validity but relatively poor discriminant validity. All five constructs were retained to preserve content validity. The findings suggest that the Malay-TAM can serve as a reliable and valid instrument to measure acceptance to telemedicine.</t>
  </si>
  <si>
    <t>Physical Activity and Cardiac Function in Long-Term Breast Cancer Survivors: A Cross-Sectional Study.</t>
  </si>
  <si>
    <t>Naaktgeboren, Willeke R; Groen, Wim G; Jacobse, Judy N; Steggink, Lars C; Walenkamp, Annemiek M E; van Harten, Wim H; Stuiver, Martijn M; Aaronson, Neil K; Aleman, Berthe M P; van der Meer, Peter; Schaapveld, Michael; Sonke, Gabe S; Gietema, Jourik A; van Leeuwen, Flora E; May, Anne M</t>
  </si>
  <si>
    <t>https://pubmed.ncbi.nlm.nih.gov/35818555</t>
  </si>
  <si>
    <t>Higher levels of physical activity are associated with a lower risk of cardiovascular disease in the general population. Whether the same holds for women who underwent treatment for breast cancer is unclear. The aim of this study was to evaluate the association between physical activity in a typical week in the past 12 months and cardiac dysfunction in breast cancer survivors. We used data from a cohort of breast cancer survivors who were treated at ages 40 to 50 years (N = 559). The association between physical activity and global longitudinal strain (GLS) and left ventricular ejection fraction (LVEF) was evaluated using both linear and modified Poisson regression analyses adjusted for relevant confounders. In total, 559 breast cancer survivors were included, with median age of 55.5 years and a median time since treatment of 10.2 years. GLS was less favorable in inactive survivors (-17.1%) than in moderately inactive (-18.4%), moderately active (-18.2%), and active survivors (-18.5%), with an adjusted significant difference for active versus inactive survivors (β = -1.31; 95% CI: -2.55 to -0.06)). Moderately active (n = 57/130) and active survivors (n = 87/124) had significantly lower risks of abnormal GLS (defined as &gt;-18%) compared with inactive survivors (n = 17/26) (RR: 0.65 [95% CI: 0.45-0.94] and RR: 0.61 [95% CI: 0.43-0.87], respectively). LVEF, in normal ranges in all activity categories, was not associated with physical activity. In long-term breast cancer survivors, higher physical activity levels were associated with improved GLS but not LVEF, with the relatively largest benefit for doing any activity versus none. This finding suggests that increasing physical activity may contribute to cardiovascular health benefits, especially in inactive survivors.</t>
  </si>
  <si>
    <t>First-line trifluridine/tipiracil + bevacizumab in patients with unresectable metastatic colorectal cancer: final survival analysis in the TASCO1 study.</t>
  </si>
  <si>
    <t>Van Cutsem, E; Danielewicz, I; Saunders, M P; Pfeiffer, P; Argilés, G; Borg, C; Glynne-Jones, R; Punt, C J A; Van de Wouw, A J; Fedyanin, M; Stroyakovskiy, D; Kroening, H; Garcia-Alfonso, P; Wasan, H; Falcone, A; Fougeray, R; Egorov, A; Amellal, N; Moiseyenko, V</t>
  </si>
  <si>
    <t>british journal of cancer</t>
  </si>
  <si>
    <t>https://pubmed.ncbi.nlm.nih.gov/35440667</t>
  </si>
  <si>
    <t>Therapeutic options are limited in patients with unresectable metastatic colorectal cancer (mCRC) ineligible for intensive chemotherapy. The use of trifluridine/tipiracil plus bevacizumab (TT-B) in this setting was evaluated in the TASCO1 trial; here, we present the final overall survival (OS) results. TASCO1 was an open-label, non-comparative phase II trial. Patients (n = 153) were randomised 1:1 to TT-B (trifluridine/tipiracil 35 mg/m&lt;sup&gt;2&lt;/sup&gt; orally twice daily on days 1-5 and 8-12, and bevacizumab intravenously 5 mg/kg on days 1 and 15 of each 28-day cycle) or capecitabine plus bevacizumab (C-B; capecitabine, 1250 mg/m&lt;sup&gt;2&lt;/sup&gt; orally twice daily on days 1-14 and bevacizumab 7.5 mg/kg intravenously on day 1 of each 21-day cycle). Final OS was analysed when all patients had either died or withdrawn from the study. Adjusted multivariate regression was used to investigate the effects of pre-specified variables on OS. At 1 September 2020, median OS was 22.3 months (95% CI: 18.0-23.7) with TT-B and 17.7 months (95% CI: 12.6-19.8) with C-B (adjusted HR 0.78; 95% CI: 0.55-1.10). No variables negatively affected OS with TT-B. Safety results were consistent with prior findings. TT-B is a promising therapeutic regimen in mCRC patients ineligible for intensive chemotherapy. NCT02743221 (clinicaltrials.gov).</t>
  </si>
  <si>
    <t>Antibiotic use from formal and informal healthcare providers in the Democratic Republic of Congo: a population-based study in two health zones.</t>
  </si>
  <si>
    <t>Ingelbeen, Brecht; Phanzu, Delphin M; Phoba, Marie-France; Budiongo, Mi Y N; Berhe, Neamin M; Kamba, Frédéric K; Kalonji, Lisette; Mbangi, Bijou; Hardy, Liselotte; Tack, Bieke; Im, Justin; Heyerdahl, Leonardo W; Da Luz, Raquel Inocencio; Bonten, Marc J M; Lunguya, Octavie; Jacobs, Jan; Mbala, Placide; van der Sande, Marianne A B</t>
  </si>
  <si>
    <t>https://pubmed.ncbi.nlm.nih.gov/35447342</t>
  </si>
  <si>
    <t>In the Democratic Republic of Congo and other low-resource countries, community-acquired pathogens are increasingly resistant to most locally available antibiotics. To guide efforts to optimize antibiotic use to limit antibiotic resistance, we quantified healthcare provider-specific and community-wide antibiotic use. From household surveys, we estimated monthly healthcare visit rates by provider. From healthcare visit exit surveys, we estimated prevalence, defined daily doses, and access/watch/reserve distribution of antibiotic use by provider. Combining both, we estimated community-wide antibiotic use rates. Of 88.7 (95% CI 81.9-95.4) healthcare visits per 1000 person-months (n = 31221), visits to private clinics (31.0, 95% CI 30.0-32.0) and primary health centres (25.5, 95% CI 24.6-26.4) were most frequent. Antibiotics were used during 64.3% (95% CI 55.2-73.5%, 162/224) of visits to private clinics, 51.1% (95% CI 45.1-57.2%, 245/469) to health centres, and 48.8% (95% CI 44.4-53.2%, 344/454) to medicine stores. Antibiotic defined daily doses per 1000 inhabitants per day varied between 1.75 (95% CI 1.02-2.39) in rural Kimpese and 10.2 (95% CI 6.00-15.4) in (peri) urban Kisantu, mostly explained by differences in healthcare utilisation (respectively 27.8 versus 105 visits per 1000 person-months), in particular of private clinics (1.23 versus 38.6 visits) where antibiotic use is more frequent. The fraction of Watch antibiotics was 30.3% (95% CI 24.6-35.9%) in private clinics, 25.6% (95% CI 20.2-31.1%) in medicine stores, and 25.1% (95% CI 19.0-31.2%) in health centres. Treatment durations &lt;3 days were more frequent at private clinics (5.3%, 9/169) and medicine stores (4.1%, 14/338) than at primary health centres (1.8%, 5/277). Private healthcare providers, ubiquitous in peri-urban settings, contributed most to community-wide antibiotic use and more frequently dispensed Watch antibiotics and shortened antibiotic courses. Efforts to optimize antibiotic use should include private providers at community level.</t>
  </si>
  <si>
    <t>Circulating inflammatory biomarkers, adipokines and breast cancer risk-a case-control study nested within the EPIC cohort.</t>
  </si>
  <si>
    <t>Cairat, Manon; Rinaldi, Sabina; Navionis, Anne-Sophie; Romieu, Isabelle; Biessy, Carine; Viallon, Vivian; Olsen, Anja; Tjønneland, Anne; Fournier, Agnès; Severi, Gianluca; Kvaskoff, Marina; Fortner, Renée T; Kaaks, Rudolf; Aleksandrova, Krasimira; Schulze, Matthias B; Masala, Giovanna; Tumino, Rosario; Sieri, Sabina; Grasso, Chiara; Mattiello, Amalia; Gram, Inger T; Olsen, Karina Standahl; Agudo, Antonio; Etxezarreta, Pilar Amiano; Sánchez, Maria-Jose; Santiuste, Carmen; Barricarte, Aurelio; Monninkhof, Evelyn; Hiensch, Anouk E; Muller, David; Merritt, Melissa A; Travis, Ruth C; Weiderpass, Elisabete; Gunter, Marc J; Dossus, Laure</t>
  </si>
  <si>
    <t>https://pubmed.ncbi.nlm.nih.gov/35430795</t>
  </si>
  <si>
    <t>Inflammation has been hypothesized to play a role in the development and progression of breast cancer and might differently impact breast cancer risk among pre and postmenopausal women. We performed a nested case-control study to examine whether pre-diagnostic circulating concentrations of adiponectin, leptin, c-reactive protein (CRP), tumour necrosis factor-α, interferon-γ and 6 interleukins were associated with breast cancer risk, overall and by menopausal status. Pre-diagnostic levels of inflammatory biomarkers were measured in plasma from 1558 case-control pairs from the European Prospective Investigation into Cancer and Nutrition (EPIC) cohort. We used conditional logistic regression to estimate the odds ratios (ORs) of breast cancer at blood collection, per one standard deviation increase in biomarker concentration. Cases were diagnosed at a mean age of 61.4 years on average 8.6 years after blood collection. No statistically significant association was observed between inflammatory markers and breast cancer risk overall. In premenopausal women, borderline significant inverse associations were observed for leptin, leptin-to-adiponectin ratio and CRP [OR= 0.89 (0.77-1.03), OR= 0.88 (0.76-1.01) and OR= 0.87 (0.75-1.01), respectively] while positive associations were observed among postmenopausal women [OR= 1.16 (1.05-1.29), OR= 1.11 (1.01-1.23), OR= 1.10 (0.99-1.22), respectively]. Adjustment for BMI strengthened the estimates in premenopausal women [leptin: OR = 0.83 (0.68-1.00), leptin-to-adiponectin ratio: OR = 0.80 (0.66-0.97), CRP: OR = 0.85 (0.72-1.00)] but attenuated the estimates in postmenopausal women [leptin: OR = 1.09 (0.96-1.24), leptin-to-adiponectin ratio: OR = 1.02 (0.89-1.16), CRP: OR = 1.04 (0.92-1.16)]. Associations between CRP, leptin and leptin-to-adiponectin ratio with breast cancer risk may represent the dual effect of obesity by menopausal status although this deserves further investigation.</t>
  </si>
  <si>
    <t>A Learning Healthcare System for pregnant and breastfeeding women: what do women during preconception, pregnancy, and nursing think? - A qualitative study : A contribution from the ConcePTION project.</t>
  </si>
  <si>
    <t>Hollestelle, Marieke J; van der Graaf, Rieke; Hartman, Sarah Dewi; Sturkenboom, Miriam C J M; van Delden, Johannes J M</t>
  </si>
  <si>
    <t>https://pubmed.ncbi.nlm.nih.gov/35436951</t>
  </si>
  <si>
    <t>Most medications lack evidence-based information about its safety and efficacy during pregnancy and breastfeeding, because pregnant women are often not included in clinical research. Another way to generate evidence is by using a Learning Healthcare System (LHS) approach. In an LHS, care and research are aligned in such a way that it can accelerate evidence generation and outcomes for patients, based on real-life medication use. For the development of an ethically responsible and sustainable LHS, it is of crucial importance to understand what women think of such an alternative approach to knowledge generation. Therefore, this paper explores their views on an LHS for pregnant and breastfeeding women. For this qualitative study, we interviewed 20 women during preconception, pregnancy, or nursing to explore their views on an ethically responsible LHS for pregnant and breastfeeding women. The pseudonymized transcripts were analyzed thematically. We identified four main themes describing women's views on LHSs. The first theme describes that respondents were positive about learning healthcare systems, and considered them to function as a central point for information about their medication, which they felt is currently lacking. The second theme shows that respondents want to contribute to and engage in generating new information because they want to help others and contribute to scientific research. Respondents also mentioned that, currently, not every woman is aware of the risks of the lack of evidence for medication used in pregnancy. The third theme shows that respondents regard their healthcare professional as essential for the translation and interpretation of information, regardless of a learning healthcare system. The last theme describes that respondents will trust a learning healthcare system more if the medical community supports it, and when data collection and processing is transparent. Women during preconception, pregnancy and nursing agree that an LHS could be a viable alternative to help close the knowledge gap on the safety of medication used during pregnancy and breastfeeding. The obtained insights from our interviews provide valuable stepping-stones for the development of an ethically responsible and sustainable LHS, as well as for the engagement of women in an LHS.</t>
  </si>
  <si>
    <t>Applying systems thinking to identify enablers and challenges to scale-up interventions for hypertension and diabetes in low-income and middle-income countries: protocol for a longitudinal mixed-methods study.</t>
  </si>
  <si>
    <t>Ramani-Chander, Anusha; Joshi, Rohina; van Olmen, Josefien; Wouters, Edwin; Delobelle, Peter; Vedanthan, Rajesh; Miranda, J Jaime; Oldenburg, Brian; Sherwood, Stephen; Rawal, Lal B; Mash, Robert James; Irazola, Vilma Edith; Martens, Monika; Lazo-Porras, Maria; Liu, Hueiming; Agarwal, Gina; Waqa, Gade; Marcolino, Milena Soriano; Esandi, Maria Eugenia; Ribeiro, Antonio Luiz Pinho; Probandari, Ari; González-Salazar, Francisco; Shrestha, Abha; Sujarwoto, Sujarwoto; Levitt, Naomi; Paredes, Myriam; Sugishita, Tomohiko; Batal, Malek; Li, Yuan; Haghparast-Bidgoli, Hassan; Naanyu, Violet; He, Feng J; Zhang, Puhong; Mfinanga, Sayoki Godfrey; De Neve, Jan-Walter; Daivadanam, Meena; Siddiqi, Kamran; Geldsetzer, Pascal; Klipstein-Grobusch, Kerstin; Huffman, Mark D; Webster, Jacqui; Ojji, Dike; Beratarrechea, Andrea; Tian, Maoyi; Postma, Maarten; Owolabi, Mayowa O; Birungi, Josephine; Antonietti, Laura; Ortiz, Zulma; Patel, Anushka; Peiris, David; Schouw, Darcelle; Koot, Jaap; Nakamura, Keiko; Tampu</t>
  </si>
  <si>
    <t>https://pubmed.ncbi.nlm.nih.gov/35437244</t>
  </si>
  <si>
    <t>There is an urgent need to reduce the burden of non-communicable diseases (NCDs), particularly in low-and middle-income countries, where the greatest burden lies. Yet, there is little research concerning the specific issues involved in scaling up NCD interventions targeting low-resource settings. We propose to examine this gap in up to 27 collaborative projects, which were funded by the Global Alliance for Chronic Diseases (GACD) 2019 Scale Up Call, reflecting a total funding investment of approximately US$50 million. These projects represent diverse countries, contexts and adopt varied approaches and study designs to scale-up complex, evidence-based interventions to improve hypertension and diabetes outcomes. A systematic inquiry of these projects will provide necessary scientific insights into the enablers and challenges in the scale up of complex NCD interventions. We will apply systems thinking (a holistic approach to analyse the inter-relationship between constituent parts of scaleup interventions and the context in which the interventions are implemented) and adopt a longitudinal mixed-methods study design to explore the planning and early implementation phases of scale up projects. Data will be gathered at three time periods, namely, at planning (T&lt;sub&gt;P&lt;/sub&gt;), initiation of implementation (T&lt;sub&gt;0&lt;/sub&gt;) and 1-year postinitiation (T&lt;sub&gt;1&lt;/sub&gt;). We will extract project-related data from secondary documents at T&lt;sub&gt;P&lt;/sub&gt; and conduct multistakeholder qualitative interviews to gather data at T&lt;sub&gt;0&lt;/sub&gt; and T&lt;sub&gt;1.&lt;/sub&gt; We will undertake descriptive statistical analysis of T&lt;sub&gt;P&lt;/sub&gt; data and analyse T&lt;sub&gt;0&lt;/sub&gt; and T&lt;sub&gt;1&lt;/sub&gt; data using inductive thematic coding. The data extraction tool and interview guides were developed based on a literature review of scale-up frameworks. The current protocol was approved by the Monash University Human Research Ethics Committee (HREC number 23482). Informed consent will be obtained from all participants. The study findings will be disseminated through peer-reviewed publications and more broadly through the GACD network.</t>
  </si>
  <si>
    <t>Intracranial atherosclerosis in pseudoxanthoma elasticum: A case-control study.</t>
  </si>
  <si>
    <t>Lucci, Carlo; van den Beukel, Tim C; Bartstra, Jonas W; Zwanenburg, Jaco; van der Kolk, Anja; Takx, Richard; Hendrikse, Jeroen; Geerlings, Mirjam I; Bos, Daniel; Spiering, Wilko; de Jong, Pim A</t>
  </si>
  <si>
    <t>https://pubmed.ncbi.nlm.nih.gov/35468517</t>
  </si>
  <si>
    <t>Pseudoxanthoma elasticum (PXE) is a genetic disorder characterized by systemic calcification of elastin fibers. Additionally, PXE is associated with an increased risk of stroke. It has been hypothesized that this may be caused by accelerated (intracranial) atherogenesis, as a consequence of specific genetic mutations underlying PXE. Hence, we compared the distribution and burden of intracranial atherosclerosis between PXE patients and healthy controls. Fifty PXE patients and 40 age-and-sex-matched healthy controls (without previous ischemic cerebrovascular disease) underwent 3T MRI to visualize atherosclerotic intracranial vessel wall lesions (VWLs). We compared the presence and burden of VWLs (total and for the anterior cerebral, middle cerebral, intracranial internal carotid, posterior cerebral, and basilar arteries separately) between PXE patients and healthy controls using logistic (presence versus absence) and negative binomial regression models (VWL count) adjusted for relevant confounders. All regressions included group (PXE patients vs. healthy controls) as independent variable. We found that 34 (68.0%) PXE patients and 28 (70.0%) healthy controls had a VWL (odds ratio for presence 1.06 [95%CI 0.38-2.91]). In addition, the total burden of VWLs was similar between PXE patients (68 VWLs) and healthy controls (73 VWLs, incidence rate ratio for count 0.81 [95%CI 0.55-1.20]). Findings were similar when analyses were stratified for artery. The distribution and burden of intracranial atherosclerosis were similar between PXE patients and healthy controls. This implies PXE and its underlying mutations do not involve increased (intracranial) atherogenesis and that vascular calcification or other mechanisms explains the increased stroke risk in PXE.</t>
  </si>
  <si>
    <t>Most patients reported positively or neutrally of having served as controls in the trials within cohorts design.</t>
  </si>
  <si>
    <t>Verweij, Maaike E; Gal, Roxanne; Burbach, J P Maarten; Young-Afat, Danny A; van der Velden, Joanne M; van der Graaf, Rieke; May, Anne M; Relton, Clare; Intven, Martijn P W; Verkooijen, Helena M</t>
  </si>
  <si>
    <t>https://pubmed.ncbi.nlm.nih.gov/35436526</t>
  </si>
  <si>
    <t>To evaluate patients' experience of having served as controls without a notification at the time of randomization in the context of the trial within cohorts (TwiCs) design. Patients were asked for their opinion on having served as controls in TwiCs, before and after having been provided the trial results. Patients had provided broad consent to randomization at cohort entry and had served as controls in one of two TwiCs (an exercise program after breast cancer treatment or radiotherapy dose-escalation for rectal cancer). Two to 6 years after cohort entry, 15% (n = 16) of all patients remembered having provided broad consent to randomization. Before disclosure of trial results, 47% (n = 52) of patients thought positively, 45% (n = 50) neutrally, and 2% (n = 2) negatively of having served as controls in one of the two trials. Seventeen percent (n = 18) of patients were positive, 65% (n = 71) neutral, and 11% (n = 12) negative about not having been notified when serving as controls. The survey results were comparable after disclosure of trial results. These results support the use of the TwiCs design with the staged-informed consent procedure. Keeping patients engaged and aware of the consents provided might further improve patients' experience of serving as controls in TwiCs.</t>
  </si>
  <si>
    <t>Phase III randomised controlled trial on PSMA PET/CT guided hypofractionated salvage prostate bed radiotherapy of biochemical failure after radical prostatectomy for prostate cancer (PERYTON-trial): study protocol.</t>
  </si>
  <si>
    <t>Staal, F H E; Janssen, J; Brouwer, C L; Langendijk, J A; Ng Wei Siang, K; Schuit, E; de Jong, I J; Verzijlbergen, J F; Smeenk, R J; Aluwini, S</t>
  </si>
  <si>
    <t>https://pubmed.ncbi.nlm.nih.gov/35428210</t>
  </si>
  <si>
    <t>Salvage external beam radiotherapy (sEBRT) for patients with a biochemical recurrence (BCR) after radical prostatectomy provides a 5-year biochemical progression-free survival up to 60%. Multiple studies have shown that dose escalation to the primary prostate tumour improves treatment outcome. However, data is lacking on the role of dose escalation in the recurrent salvage setting. The main objective of the PERYTON-trial is to investigate whether treatment outcome of sEBRT for patients with a BCR after prostatectomy can be improved by increasing the biological effective radiation dose using hypofractionation. Moreover, patients will be staged using the PSMA PET/CT scan, which is superior to conventional imaging modalities in detecting oligometastases. The PERYTON-study is a prospective multicentre open phase III randomised controlled trial. We aim to include 538 participants (269 participants per treatment arm) with a BCR after prostatectomy, a PSA-value of &lt; 1.0 ng/mL and a recent negative PSMA PET/CT scan. Participants will be randomised in a 1:1 ratio between the conventional fractionated treatment arm (35 × 2 Gy) and the experimental hypofractionated treatment arm (20 × 3 Gy). The primary endpoint is the 5-year progression-free survival after treatment. The secondary endpoints include toxicity, quality of life and disease specific survival. Firstly, the high rate of BCR after sEBRT may be due to the presence of oligometastases, for which local sEBRT is inappropriate. With the use of the PSMA PET/CT before sEBRT, patients with oligometastases will be excluded from intensive local treatment to avoid unnecessary toxicity. Secondly, the currently applied radiation dose for sEBRT may be too low to achieve adequate local control, which may offer opportunity to enhance treatment outcome of sEBRT by increasing the biologically effective radiotherapy dose to the prostate bed. This study is registered at ClinicalTrials.gov (Identifier: NCT04642027 ). Registered on 24 November 2020 - Retrospectively registered. The study protocol was approved by the accredited Medical Ethical Committee (METc) of all participating hospitals (date METc review: 23-06-2020, METc registration number: 202000239). Written informed consent will be obtained from all participants.</t>
  </si>
  <si>
    <t>Differential linguistic features of verbal fluency in behavioral variant frontotemporal dementia and primary progressive aphasia.</t>
  </si>
  <si>
    <t>van den Berg, E; Dijkzeul, J C M; Poos, J M; Eikelboom, W S; van Hemmen, J; Franzen, S; de Jong, F J; Dopper, E G P; Vonk, J M J; Papma, J M; Satoer, D; Jiskoot, L C; Seelaar, H</t>
  </si>
  <si>
    <t>applied neuropsychology adult</t>
  </si>
  <si>
    <t>https://pubmed.ncbi.nlm.nih.gov/35416098</t>
  </si>
  <si>
    <t>Frontotemporal dementia (FTD) is an early-onset neurodegenerative disorder with a heterogeneous clinical presentation. Verbal fluency is regularly used as a sensitive measure of language ability, semantic memory, and executive functioning, but qualitative changes in verbal fluency in FTD are currently overlooked. This retrospective study examined qualitative, linguistic features of verbal fluency in 137 patients with behavioral variant (bv)FTD (&lt;i&gt;n&lt;/i&gt; = 50), or primary progressive aphasia (PPA) [25 non-fluent variant (nfvPPA), 27 semantic variant (svPPA), and 34 logopenic variant (lvPPA)] and 25 control participants. Between-group differences in clustering, switching, lexical frequency (LF), age of acquisition (AoA), neighborhood density (ND), and word length (WL) were examined in the category and letter fluency with analysis of variance adjusted for age, sex, and the total number of words. Associations with other cognitive functions were explored with linear regression analysis. The results showed that the verbal fluency performance of patients with svPPA could be distinguished from controls and other patient groups by fewer and smaller clusters, more switches, higher LF, and lower AoA (all &lt;i&gt;p&lt;/i&gt; &lt; 0.05). Patients with lvPPA specifically produced words with higher ND than the other patient groups (&lt;i&gt;p&lt;/i&gt; &lt; 0.05). Patients with bvFTD produced longer words than the PPA groups (&lt;i&gt;p&lt;/i&gt; &lt; 0.05). Clustering, switching, LF, AoA, and ND-but not WL-were differentially predicted by measures of language, memory, and executive functioning (range standardized regression coefficient 0.25-0.41). In addition to the total number of words, qualitative linguistic features differ between subtypes of FTD. These features provide additional information on lexical processing and semantic memory that may aid the differential diagnosis of FTD.</t>
  </si>
  <si>
    <t>Environmental factors shaping the gut microbiome in a Dutch population.</t>
  </si>
  <si>
    <t>Gacesa, R; Kurilshikov, A; Vich Vila, A; Sinha, T; Klaassen, M A Y; Bolte, L A; Andreu-Sánchez, S; Chen, L; Collij, V; Hu, S; Dekens, J A M; Lenters, V C; Björk, J R; Swarte, J C; Swertz, M A; Jansen, B H; Gelderloos-Arends, J; Jankipersadsing, S; Hofker, M; Vermeulen, R C H; Sanna, S; Harmsen, H J M; Wijmenga, C; Fu, J; Zhernakova, A; Weersma, R K</t>
  </si>
  <si>
    <t>https://pubmed.ncbi.nlm.nih.gov/35418674</t>
  </si>
  <si>
    <t>The gut microbiome is associated with diverse diseases&lt;sup&gt;1-3&lt;/sup&gt;, but a universal signature of a healthy or unhealthy microbiome has not been identified, and there is a need to understand how genetics, exposome, lifestyle and diet shape the microbiome in health and disease. Here we profiled bacterial composition, function, antibiotic resistance and virulence factors in the gut microbiomes of 8,208 Dutch individuals from a three-generational cohort comprising 2,756 families. We correlated these to 241 host and environmental factors, including physical and mental health, use of medication, diet, socioeconomic factors and childhood and current exposome. We identify that the microbiome is shaped primarily by the environment and cohabitation. Only around 6.6% of taxa are heritable, whereas the variance of around 48.6% of taxa is significantly explained by cohabitation. By identifying 2,856 associations between the microbiome and health, we find that seemingly unrelated diseases share a common microbiome signature that is independent of comorbidities. Furthermore, we identify 7,519 associations between microbiome features and diet, socioeconomics and early life and current exposome, with numerous early-life and current factors being significantly associated with microbiome function and composition. Overall, this study provides a comprehensive overview of gut microbiome and the underlying impact of heritability and exposures that will facilitate future development of microbiome-targeted therapies.</t>
  </si>
  <si>
    <t>Influence of shift work on cardiovascular disease risk in Southern African long-distance truck drivers: a cross-sectional study.</t>
  </si>
  <si>
    <t>Draaijer, Melvin; Scheuermaier, Karine; Lalla-Edward, Samanta Tresha; Fischer, Alex Emilio; Grobbee, Diederick E; Venter, Francois; Vos, Alinda</t>
  </si>
  <si>
    <t>https://pubmed.ncbi.nlm.nih.gov/35418421</t>
  </si>
  <si>
    <t>Cardiovascular disease (CVD) is a major problem globally. Truck drivers have an increased risk of CVD due to a sedentary lifestyle, irregular working hours and behavioural choices. We aimed to get insight into the contribution of night shift work to CVD risk in long-distance truck drivers in South Africa. A cross-sectional study. Enrolment took place at three South African truck stop locations in two provinces; Bloemfontein (Free State), Pomona Road (Gauteng) and Soweto (Gauteng). 607 males aged ≥18 years with full-time employment as a long-distance truck driver were included. The criteria for inclusion were willingness and being able to provide informed consent and to complete the study procedures. Information was collected on sociodemographics, occupational and health characteristics. Physical measurements, an ECG and carotid intima-media thickness (CIMT) measurements were taken. A night shift was defined as working at least 3 hours between 22:00 and 6:00 hours once a week. CVD risk was defined with the Framingham Risk Score (FRS), the Atherosclerotic Cardiovascular Disease (ASCVD) risk algorithm, left ventricular hypertrophy (LVH) and CIMT. In total, 607 truck drivers were included of which 305 (50.2%) worked in day shifts only and 302 (49.8%) worked day and night shifts. There was a high prevalence of CVD risk factors in both groups as 33% were hypertensive, 28% obese and 37% had abnormal lipid levels. Working day and night shifts compared with working only day shifts did not result in differences in FRS, ASCVD risk or LVH. No difference was found in CIMT measurements, except for the maximum bulb thickness which was higher in day shift workers. CVD risk factors are considerably present in male truck drivers in South Africa. CVD risk does not differ between dayshift and day-night shift workers in this cross-sectional analysis.</t>
  </si>
  <si>
    <t>Use of WATCH antibiotics prior to presentation to the hospital in rural Burkina Faso.</t>
  </si>
  <si>
    <t>Valia, Daniel; Ingelbeen, Brecht; Kaboré, Bérenger; Karama, Ibrahima; Peeters, Marjan; Lompo, Palpouguini; Vlieghe, Erika; Post, Annelies; Cox, Janneke; de Mast, Quirijn; Robert, Annie; van der Sande, Marianne A B; Villalobos, Hector Rodriguez; van der Ven, Andre; Tinto, Halidou; Jacobs, Jan</t>
  </si>
  <si>
    <t>https://pubmed.ncbi.nlm.nih.gov/35418154</t>
  </si>
  <si>
    <t>In low- and middle-income countries, the prevalence of antimicrobial resistance (AMR) is increasing. To control AMR, WHO recommends monitoring antibiotic use, in particular Watch antibiotics. These are critically important antibiotics, with restricted use because at risk of becoming ineffective due to increasing AMR. We investigated pre-hospital antibiotic use in rural Burkina Faso. During 2016-2017, we collected data from patients aged &gt; 3 months presenting with severe acute fever to the rural hospital of Nanoro Health District, Burkina Faso, including antibiotic use in the two weeks prior to consultation or hospitalization. We analysed reported antibiotic use by applying the WHO Access, Watch, Reserve classification. Of 920 febrile participants (63.0% ≤ 14 years), pre-hospital antibiotic use was reported by 363 (39.5%). Among these 363, microbiological diagnoses were available for 275 (75.8%) patients, of whom 162 (58.9%) were non-bacterial infections. Use of more than one antibiotic was reported by 58/363 (16.0%) participants. Of 491 self-referred patients who did not previously visit a primary health care center, 131 (26.7%) reported antibiotic use. Of 424 antibiotics reported, 265 (62.5%) were Access and 159 (37.5%) Watch antibiotics. Watch antibiotic use was more frequent among patients &gt; 14 year olds (51.1%) compared to those 0-14 year old (30.7%, p &lt; 0.001) and among referrals from the primary health care centers (42.2%) compared to self-referred patients (28.1%, p = 0.004). Most frequently reported Watch antibiotics were ceftriaxone (114, 71.7%) and ciprofloxacin (32, 20.1%). The reported frequent use of Watch group antibiotics among febrile patients prior to presentation to the hospital in rural Burkina Faso highlights the need to develop targeted interventions to improve antibiotic use in community settings as part of strengthening antibiotic stewardship in low- and middle-income countries. This should include facilitating referral, access to qualified prescribers and diagnostic tools in rural primary health care centers. Trial registration ClinicalTrials.gov identifier: NCT02669823. Registration date was February 1, 2016.</t>
  </si>
  <si>
    <t>Serum-based measurements of stromal activation through ADAM12 associate with poor prognosis in colorectal cancer.</t>
  </si>
  <si>
    <t>Ten Hoorn, Sanne; Waasdorp, Cynthia; van Oijen, Martijn G H; Damhofer, Helene; Trinh, Anne; Zhao, Lan; Smits, Lisanne J H; Bootsma, Sanne; van Pelt, Gabi W; Mesker, Wilma E; Mol, Linda; Goey, Kaitlyn K H; Koopman, Miriam; Medema, Jan Paul; Tuynman, Jurriaan B; Zlobec, Inti; Punt, Cornelis J A; Vermeulen, Louis; Bijlsma, Maarten F</t>
  </si>
  <si>
    <t>https://pubmed.ncbi.nlm.nih.gov/35413826</t>
  </si>
  <si>
    <t>Recently it has been recognized that stromal markers could be used as a clinically relevant biomarker for therapy response and prognosis. Here, we report on a serum marker for stromal activation, A Disintegrin and Metalloprotease 12 (ADAM12) in colorectal cancer (CRC). Using gene expression databases we investigated ADAM12 expression in CRC and delineated the source of ADAM12 expression. The clinical value of ADAM12 was retrospectively assessed in the CAIRO2 trial in metastatic CRC with 235 patients (31% of total cohort), and an independent rectal cancer cohort (n = 20). ADAM12 is expressed by activated CRC associated fibroblasts. In the CAIRO2 trial cohort, ADAM12 serum levels were prognostic (ADAM12 low versus ADAM12 high; median OS 25.3 vs. 17.1 months, HR 1.48 [95% CI 1.11-1.96], P = 0.007). The prognostic potential was specifically high for metastatic rectal cancer (HR 1.78 [95% CI 1.06-3.00], P = 0.030) and mesenchymal subtype tumors (HR 2.12 [95% CI 1.25-3.60], P = 0.004). ADAM12 also showed potential for predicting recurrence in an exploratory analysis of non-metastatic rectal cancers. Here we describe a non-invasive marker for activated stroma in CRC which associates with poor outcome, especially for primary cancers located in the rectum.</t>
  </si>
  <si>
    <t>Comparison between an in-house SARS-CoV-2 ELISpot and the T-Spot® Discovery SARS-CoV-2 for the assessment of T cell responses in prior SARS-CoV-2-infected individuals.</t>
  </si>
  <si>
    <t>Mak, Willem A; Koeleman, Johannes G M; Ong, David S Y</t>
  </si>
  <si>
    <t>journal of clinical virology the official publication of the pan american society for clinical virology</t>
  </si>
  <si>
    <t>https://pubmed.ncbi.nlm.nih.gov/35447515</t>
  </si>
  <si>
    <t>Cardiovascular vulnerability predicts hospitalisation in primary care clinically suspected and confirmed COVID-19 patients: A model development and validation study.</t>
  </si>
  <si>
    <t>van Royen, Florien S; Joosten, Linda P T; van Smeden, Maarten; Slottje, Pauline; Rutten, Frans H; Geersing, Geert-Jan; van Doorn, Sander</t>
  </si>
  <si>
    <t>https://pubmed.ncbi.nlm.nih.gov/35404964</t>
  </si>
  <si>
    <t>Cardiovascular conditions were shown to be predictive of clinical deterioration in hospitalised patients with coronavirus disease 2019 (COVID-19). Whether this also holds for outpatients managed in primary care is yet unknown. The aim of this study was to determine the incremental value of cardiovascular vulnerability in predicting the risk of hospital referral in primary care COVID-19 outpatients. Analysis of anonymised routine care data extracted from electronic medical records from three large Dutch primary care registries. Primary care. Consecutive adult patients seen in primary care for COVID-19 symptoms in the 'first wave' of COVID-19 infections (March 1 2020 to June 1 2020) and in the 'second wave' (June 1 2020 to April 15 2021) in the Netherlands. A multivariable logistic regression model was fitted to predict hospital referral within 90 days after first COVID-19 consultation in primary care. Data from the 'first wave' was used for derivation (n = 5,475 patients). Age, sex, the interaction between age and sex, and the number of cardiovascular conditions and/or diabetes (0, 1, or ≥2) were pre-specified as candidate predictors. This full model was (i) compared to a simple model including only age and sex and its interaction, and (ii) externally validated in COVID-19 patients during the 'second wave' (n = 16,693). The full model performed better than the simple model (likelihood ratio test p&lt;0.001). Older male patients with multiple cardiovascular conditions and/or diabetes had the highest predicted risk of hospital referral, reaching risks above 15-20%, whereas on average this risk was 5.1%. The temporally validated c-statistic was 0.747 (95%CI 0.729-0.764) and the model showed good calibration upon validation. For patients with COVID-19 symptoms managed in primary care, the risk of hospital referral was on average 5.1%. Older, male and cardiovascular vulnerable COVID-19 patients are more at risk for hospital referral.</t>
  </si>
  <si>
    <t>Constructing evidence-based clinical intrapartum care algorithms for decision-support tools.</t>
  </si>
  <si>
    <t>Bonet, M; Ciabati, L; De Oliveira, L L; Souza, R; Browne, J L; Rijken, M; Fawcus, S; Hofmeyr, G J; Liabsuetrakul, T; Gülümser, Ç; Blennerhassett, A; Lissauer, D; Meher, S; Althabe, F; Oladapo, O; ,</t>
  </si>
  <si>
    <t>https://pubmed.ncbi.nlm.nih.gov/35411684</t>
  </si>
  <si>
    <t>To describe standardised iterative methods used by a multidisciplinary group to develop evidence-based clinical intrapartum care algorithms for the management of uneventful and complicated labours. Singleton, term pregnancies considered to be at low risk of developing complications at admission to the birthing facility. Health facilities in low- and middle-income countries. Literature reviews were conducted to identify standardised methods for algorithm development and examples from other fields, and evidence and guidelines for intrapartum care. Searches for different algorithm topics were last updated between January and October 2020 and included a combination of terms such as 'labour', 'intrapartum', 'algorithms' and specific topic terms, using Cochrane Library and MEDLINE/PubMED, CINAHL, National Guidelines Clearinghouse and Google. Nine algorithm topics were identified for monitoring and management of uncomplicated labour and childbirth, identification and management of abnormalities of fetal heart rate, liquor, uterine contractions, labour progress, maternal pulse and blood pressure, temperature, urine and complicated third stage of labour. Each topic included between two and four case scenarios covering most common deviations, severity of related complications or critical clinical outcomes. Intrapartum care algorithms provide a framework for monitoring women, and identifying and managing complications during labour and childbirth. These algorithms will support implementation of WHO recommendations and facilitate the development by stakeholders of evidence-based, up to date, paper-based or digital reminders and decision-support tools. The algorithms need to be field tested and may need to be adapted to specific contexts. Evidence-based intrapartum care clinical algorithms for a safe and positive childbirth experience.</t>
  </si>
  <si>
    <t>Consideration of sex and gender in Alzheimer's disease and related disorders from a global perspective.</t>
  </si>
  <si>
    <t>Mielke, Michelle M; Aggarwal, Neelum T; Vila-Castelar, Clara; Agarwal, Puja; Arenaza-Urquijo, Eider M; Brett, Benjamin; Brugulat-Serrat, Anna; DuBose, Lyndsey E; Eikelboom, Willem S; Flatt, Jason; Foldi, Nancy S; Franzen, Sanne; Gilsanz, Paola; Li, Wei; McManus, Alison J; van Lent, Debora Melo; Milani, Sadaf Arefi; Shaaban, C Elizabeth; Stites, Shana D; Sundermann, Erin; Suryadevara, Vidyani; Trani, Jean-Francoise; Turner, Arlener D; Vonk, Jet M J; Quiroz, Yakeel T; Babulal, Ganesh M; ,</t>
  </si>
  <si>
    <t>https://pubmed.ncbi.nlm.nih.gov/35394117</t>
  </si>
  <si>
    <t>Sex or gender differences in the risk of Alzheimer's disease and related dementias (ADRD) differ by world region, suggesting that there are potentially modifiable risk factors for intervention. However, few epidemiological or clinical ADRD studies examine sex differences; even fewer evaluate gender in the context of ADRD risk. The goals of this perspective are to: (1) provide definitions of gender, biologic sex, and sexual orientation. and the limitations of examining these as binary variables; (2) provide an overview of what is known with regard to sex and gender differences in the risk, prevention, and diagnosis of ADRD; and (3) discuss these sex and gender differences from a global, worldwide perspective. Identifying drivers of sex and gender differences in ADRD throughout the world is a first step in developing interventions unique to each geographical and sociocultural area to reduce these inequities and to ultimately reduce global ADRD risk. HIGHLIGHTS: The burden of dementia is unevenly distributed geographically and by sex and gender. Scientific advances in genetics and biomarkers challenge beliefs that sex is binary. Discrimination against women and sex and gender minority (SGM) populations contributes to cognitive decline. Sociocultural factors lead to gender inequities in Alzheimer's disease and related dementias (ADRD) worldwide.</t>
  </si>
  <si>
    <t>Methodological conduct of prognostic prediction models developed using machine learning in oncology: a systematic review.</t>
  </si>
  <si>
    <t>https://pubmed.ncbi.nlm.nih.gov/35395724</t>
  </si>
  <si>
    <t>Describe and evaluate the methodological conduct of prognostic prediction models developed using machine learning methods in oncology. We conducted a systematic review in MEDLINE and Embase between 01/01/2019 and 05/09/2019, for studies developing a prognostic prediction model using machine learning methods in oncology. We used the Transparent Reporting of a multivariable prediction model for Individual Prognosis Or Diagnosis (TRIPOD) statement, Prediction model Risk Of Bias ASsessment Tool (PROBAST) and CHecklist for critical Appraisal and data extraction for systematic Reviews of prediction Modelling Studies (CHARMS) to assess the methodological conduct of included publications. Results were summarised by modelling type: regression-, non-regression-based and ensemble machine learning models. Sixty-two publications met inclusion criteria developing 152 models across all publications. Forty-two models were regression-based, 71 were non-regression-based and 39 were ensemble models. A median of 647 individuals (IQR: 203 to 4059) and 195 events (IQR: 38 to 1269) were used for model development, and 553 individuals (IQR: 69 to 3069) and 50 events (IQR: 17.5 to 326.5) for model validation. A higher number of events per predictor was used for developing regression-based models (median: 8, IQR: 7.1 to 23.5), compared to alternative machine learning (median: 3.4, IQR: 1.1 to 19.1) and ensemble models (median: 1.7, IQR: 1.1 to 6). Sample size was rarely justified (n = 5/62; 8%). Some or all continuous predictors were categorised before modelling in 24 studies (39%). 46% (n = 24/62) of models reporting predictor selection before modelling used univariable analyses, and common method across all modelling types. Ten out of 24 models for time-to-event outcomes accounted for censoring (42%). A split sample approach was the most popular method for internal validation (n = 25/62, 40%). Calibration was reported in 11 studies. Less than half of models were reported or made available. The methodological conduct of machine learning based clinical prediction models is poor. Guidance is urgently needed, with increased awareness and education of minimum prediction modelling standards. Particular focus is needed on sample size estimation, development and validation analysis methods, and ensuring the model is available for independent validation, to improve quality of machine learning based clinical prediction models.</t>
  </si>
  <si>
    <t>The Mycotoxin Beauvericin Exhibits Immunostimulatory Effects on Dendritic Cells &lt;i&gt;via&lt;/i&gt; Activating the TLR4 Signaling Pathway.</t>
  </si>
  <si>
    <t>Yang, Xiaoli; Ali, Shafaqat; Zhao, Manman; Richter, Lisa; Schäfer, Vanessa; Schliehe-Diecks, Julian; Frank, Marian; Qi, Jing; Larsen, Pia-Katharina; Skerra, Jennifer; Islam, Heba; Wachtmeister, Thorsten; Alter, Christina; Huang, Anfei; Bhatia, Sanil; Köhrer, Karl; Kirschning, Carsten; Weighardt, Heike; Kalinke, Ulrich; Kalscheuer, Rainer; Uhrberg, Markus; Scheu, Stefanie</t>
  </si>
  <si>
    <t>https://pubmed.ncbi.nlm.nih.gov/35464417</t>
  </si>
  <si>
    <t>Beauvericin (BEA), a mycotoxin of the enniatin family produced by various toxigenic fungi, has been attributed multiple biological activities such as anti-cancer, anti-inflammatory, and anti-microbial functions. However, effects of BEA on dendritic cells remain unknown so far. Here, we identified effects of BEA on murine granulocyte-macrophage colony-stimulating factor (GM-CSF)-cultured bone marrow derived dendritic cells (BMDCs) and the underlying molecular mechanisms. BEA potently activates BMDCs as signified by elevated IL-12 and CD86 expression. Multiplex immunoassays performed on myeloid differentiation primary response 88 (MyD88) and toll/interleukin-1 receptor (TIR) domain containing adaptor inducing interferon beta (TRIF) single or double deficient BMDCs indicate that BEA induces inflammatory cytokine and chemokine production in a MyD88/TRIF dependent manner. Furthermore, we found that BEA was not able to induce IL-12 or IFNβ production in Toll-like receptor 4 (&lt;i&gt;Tlr4&lt;/i&gt;)-deficient BMDCs, whereas induction of these cytokines was not compromised in &lt;i&gt;Tlr3/7/9&lt;/i&gt; deficient BMDCs. This suggests that TLR4 might be the functional target of BEA on BMDCs. Consistently, in luciferase reporter assays BEA stimulation significantly promotes NF-κB activation in mTLR4/CD14/MD2 overexpressing but not control HEK-293 cells. RNA-sequencing analyses further confirmed that BEA induces transcriptional changes associated with the TLR4 signaling pathway. Together, these results identify TLR4 as a cellular BEA sensor and define BEA as a potent activator of BMDCs, implying that this compound can be exploited as a promising candidate structure for vaccine adjuvants or cancer immunotherapies.</t>
  </si>
  <si>
    <t>What is the prevalence of fear of cancer recurrence in cancer survivors and patients? A systematic review and individual participant data meta-analysis.</t>
  </si>
  <si>
    <t>Luigjes-Huizer, Yvonne L; Tauber, Nina M; Humphris, Gerry; Kasparian, Nadine A; Lam, Wendy W T; Lebel, Sophie; Simard, Sébastien; Smith, Allan Ben; Zachariae, Robert; Afiyanti, Yati; Bell, Katy J L; Custers, José A E; de Wit, Niek J; Fisher, Peter L; Galica, Jacqueline; Garland, Sheila N; Helsper, Charles W; Jeppesen, Mette M; Liu, Jianlin; Mititelu, Roxana; Monninkhof, Evelyn M; Russell, Lahiru; Savard, Josée; Speckens, Anne E M; van Helmondt, Sanne J; Vatandoust, Sina; Zdenkowski, Nicholas; van der Lee, Marije L</t>
  </si>
  <si>
    <t>psychooncology</t>
  </si>
  <si>
    <t>https://pubmed.ncbi.nlm.nih.gov/35388525</t>
  </si>
  <si>
    <t>Care for fear of cancer recurrence (FCR) is considered the most common unmet need among cancer survivors. Yet the prevalence of FCR and predisposing factors remain inconclusive. To support targeted care, we provide a comprehensive overview of the prevalence and severity of FCR among cancer survivors and patients, as measured using the short form of the validated Fear of Cancer Recurrence Inventory (FCRI-SF). We also report on associations between FCR and clinical and demographic characteristics. This is a systematic review and individual participant data (IPD) meta-analysis on the prevalence of FCR. In the review, we included all studies that used the FCRI-SF with adult (≥18 years) cancer survivors and patients. Date of search: 7 February 2020. Risk of bias was assessed using the Joanna Briggs Institute critical appraisal tool. IPD were requested from 87 unique studies and provided for 46 studies comprising 11,226 participants from 13 countries. 9311 respondents were included for the main analyses. On the FCRI-SF (range 0-36), 58.8% of respondents scored ≥13, 45.1% scored ≥16 and 19.2% scored ≥22. FCR decreased with age and women reported more FCR than men. FCR was found across cancer types and continents and for all time periods since cancer diagnosis. FCR affects a considerable number of cancer survivors and patients. It is therefore important that healthcare providers discuss this issue with their patients and provide treatment when needed. Further research is needed to investigate how best to prevent and treat FCR and to identify other factors associated with FCR. The protocol was prospectively registered (PROSPERO CRD42020142185).</t>
  </si>
  <si>
    <t>Cardiorenal Risk Profiles Among Data-Driven Type 2 Diabetes Sub-Phenotypes: A &lt;i&gt;Post-Hoc&lt;/i&gt; Analysis of the China Health and Nutrition Survey.</t>
  </si>
  <si>
    <t>Gao, Hui; Wang, Kan; Zhao, Wensui; Zhuang, Jianlin; Jiang, Yu; Zhang, Lei; Liu, Qingping; Ahmadizar, Fariba</t>
  </si>
  <si>
    <t>https://pubmed.ncbi.nlm.nih.gov/35464070</t>
  </si>
  <si>
    <t>Evidence about recently proposed data-driven clusters of type 2 diabetes (T2D) is mainly about its prognostic effects and Western populations. We tested the applicability of this clustering approach among the Chinese population. We further investigated the cardiorenal risk profiles among different T2D sub-phenotypes cross-sectionally and before diabetes diagnosis. With the use of data from the China Health and Nutrition Survey (1989-2009), 6,728 participants with available fasting blood samples and completed questionnaires in the 2009 survey were included. Glycemic statuses (normoglycemia, prediabetes, and new-onset T2D) were defined according to the 2020 American Diabetes Association criteria. Data-driven cluster analysis was conducted among new-onset T2D based on five variables: age at onset, body mass index (BMI), hemoglobin A1c, homeostasis model estimates of β-cell function, and insulin resistance. Linear regression models were used to cross-sectionally examine the differences of cardiorenal risk factors (body fat distribution, blood pressure, lipid profiles, and kidney function) between glycemic statuses. Mixed-effects models were used to explore a maximum of 20-year trajectories of cardiovascular risk factors (body fat distribution and blood pressure) before diabetes diagnosis. Among 557 (8.3%) new-onset T2D, four sub-phenotypes were found, with 57 (10.2%) assigned to the severe insulin-resistant diabetes (SIRD), 72 (12.9%) to the severe insulin-deficient diabetes (SIDD), 167 (30.0%) to the mild obesity-related diabetes (MOD), and 261 (46.9%) to the mild age-related diabetes (MARD). People clustered within different T2D sub-phenotypes had different cardiorenal risk profiles. Three T2D sub-phenotypes (SIRD, SIDD, and MOD) had worse cardiorenal abnormalities, while the risk burden in the MARD sub-phenotype was similar to that in prediabetes. Compared with people with other T2D sub-phenotypes, people in the MOD sub-phenotype had a faster increment in BMI, waist, upper arm circumference, and triceps skinfold up to 10 years before diagnosis. Blood pressure was less distinct in different T2D sub-phenotypes; however, SIDD and MOD clusters had higher blood pressure levels before diabetes diagnosis. Data-driven T2D sub-phenotyping is applicable in the Chinese population. Certain sub-phenotypes such as MARD only have a minor cardiorenal risk burden, and distinct cardiovascular risk development occurs long before diabetes diagnosis. Our findings can help improve early prevention and targeted treatment for diabetes.</t>
  </si>
  <si>
    <t>[Rotavirus vaccination for all Dutch infants].</t>
  </si>
  <si>
    <t>Wilschut, Jan C; Bruijning-Verhagen, Patricia C J L; Postma, Maarten J</t>
  </si>
  <si>
    <t>https://pubmed.ncbi.nlm.nih.gov/35499510</t>
  </si>
  <si>
    <t>Recently, the Netherlands Health Council (HC) issued an updated advice on rotavirus vaccination. Rotavirus gastro-enteritis primarily affects young children, of whom, in the Netherlands, annually ~2700 end up in the hospital and 5-7 die. In 2017, the HC judged positively on rotavirus vaccination of young children, but also concluded that the cost-effectiveness of general vaccination was unfavorable. Yet, the HC recommended to at least vaccinate vulnerable children in specific risk-groups. Because of the corona crisis, this, however, has not materialized. Meanwhile, the Dutch Risk-group Infant Vaccination Against Rotavirus study has demonstrated that rotavirus vaccination of children in risk-groups is less effective than previously thought. Therefore, the HC now recommends rotavirus vaccination of all children. General vaccination within the Dutch NIP is expected to result in herd-immunity, such that all children, including those in risk-groups, are protected. Nonetheless, the Dutch Ministry of Health has decided to postpone implementation of rotavirus vaccination.</t>
  </si>
  <si>
    <t>Biomarker changes as surrogate endpoints in early-phase trials in heart failure with reduced ejection fraction.</t>
  </si>
  <si>
    <t>Savarese, Gianluigi; Uijl, Alicia; Ouwerkerk, Wouter; Tromp, Jasper; Anker, Stefan D; Dickstein, Kenneth; Hage, Camilla; Lam, Carolyn S P; Lang, Chim C; Metra, Marco; Ng, Leong L; Orsini, Nicola; Samani, Nilesh J; van Veldhuisen, Dirk J; Cleland, John G F; Voors, Adriaan A; Lund, Lars H</t>
  </si>
  <si>
    <t>https://pubmed.ncbi.nlm.nih.gov/35388650</t>
  </si>
  <si>
    <t>No biomarker has achieved widespread acceptance as a surrogate endpoint for early-phase heart failure (HF) trials. We assessed whether changes over time in a panel of plasma biomarkers were associated with subsequent morbidity/mortality in HF with reduced ejection fraction (HFrEF). In 1040 patients with HFrEF from the BIOSTAT-CHF cohort, we investigated the associations between changes in the plasma concentrations of 30 biomarkers, before (baseline) and after (9 months) attempted optimization of guideline-recommended therapy, on top of the BIOSTAT risk score and the subsequent risk of HF hospitalization/all-cause mortality using Cox regression models. C-statistics were calculated to assess discriminatory power of biomarker changes/month-nine assessment. Changes in N-terminal pro-B-type natriuretic peptide (NT-proBNP) and WAP four-disulphide core domain protein HE4 (WAP-4C) were the only independent predictors of the outcome after adjusting for their baseline plasma concentration, 28 other biomarkers (both baseline and changes), and BIOSTAT risk score at baseline. When adjusting for month-nine rather than baseline biomarkers concentrations, only changes in NT-proBNP were independently associated with the outcome. The C-statistic of the model including the BIOSTAT risk score and NT-proBNP increased by 4% when changes were considered on top of baseline concentrations and by 1% when changes in NT-proBNP were considered on top of its month-nine concentrations and the BIOSTAT risk score. Among 30 relevant biomarkers, a change over time was significantly and independently associated with HF hospitalization/all-cause death only for NT-proBNP. Changes over time were modestly more prognostic than baseline or end-values alone. Changes in biomarkers should be further explored as potential surrogate endpoints in early phase HF trials.</t>
  </si>
  <si>
    <t>Automatic quantification of perivascular spaces in T2-weighted images at 7 T MRI.</t>
  </si>
  <si>
    <t>Spijkerman, J M; Zwanenburg, J J M; Bouvy, W H; Geerlings, M I; Biessels, G J; Hendrikse, J; Luijten, P R; Kuijf, H J</t>
  </si>
  <si>
    <t>https://pubmed.ncbi.nlm.nih.gov/36324395</t>
  </si>
  <si>
    <t>Perivascular spaces (PVS) are believed to be involved in brain waste disposal. PVS are associated with cerebral small vessel disease. At higher field strengths more PVS can be observed, challenging manual assessment. We developed a method to automatically detect and quantify PVS. A machine learning approach identified PVS in an automatically positioned ROI in the centrum semiovale (CSO), based on -resolution T2-weighted TSE scans. Next, 3D PVS tracking was performed in 50 subjects (mean age 62.9 years (range 27-78), 19 male), and quantitative measures were extracted. Maps of PVS density, length, and tortuosity were created. Manual PVS annotations were available to train and validate the automatic method. Good correlation was found between the automatic and manual PVS count: ICC (absolute/consistency) is 0.64/0.75, and Dice similarity coefficient (DSC) is 0.61. The automatic method counts fewer PVS than the manual count, because it ignores the smallest PVS (length &lt;2 mm). For 20 subjects manual PVS annotations of a second observer were available. Compared with the correlation between the automatic and manual PVS, higher inter-observer ICC was observed (0.85/0.88), but DSC was lower (0.49 in 4 persons). Longer PVS are observed posterior in the CSO compared with anterior in the CSO. Higher PVS tortuosity are observed in the center of the CSO compared with the periphery of the CSO. Our fully automatic method can detect PVS in a 2D slab in the CSO, and extract quantitative PVS parameters by performing 3D tracking. This method enables automated quantitative analysis of PVS.</t>
  </si>
  <si>
    <t>Surgical nurses' responses to worry: A qualitative focus-group study in the Netherlands.</t>
  </si>
  <si>
    <t>Peerboom, F B A L; Hafsteinsdóttir, T B; Weldam, S W; Schoonhoven, L</t>
  </si>
  <si>
    <t>https://pubmed.ncbi.nlm.nih.gov/35396098</t>
  </si>
  <si>
    <t>Hospital nurses observe and respond to deterioration using the 'National Early Warning Score 2'. Surgical nurses are highly engaged in the early recognition of and response to deterioration. Responses to deterioration are based on deviating vital signs, while nurses also act on subjective indicators like worry. Scientific literature and (inter)national guidelines do not mention any information about acting upon worry. To gain an in-depth understanding of the actions nurses on surgical wards undertake to generate an appropriate response to nurses' worry when the 'National Early Warning Score 2' does not indicate deterioration. A qualitative focus-group study with surgical nurses working at a hospital in the Netherlands. Data was collected by focus-group interviews supported by vignettes and analysed thematically. Four focus-group interviews with a total of 20 participants were conducted between February and April 2020. Two sequential themes emerged: 'Searching for explanation and confirmation' and 'Responding by actively applying nursing interventions'. Nurses gathered additional information about the patient and searched for a reference point to place this information in perspective. Nurses also approached others for co-assessment and verification. However, nurses faced barriers in calling for medical assistance. They felt physicians did not take them seriously. After gathering additional information, nurses responded by applying nursing interventions to comfort the patient. Nurses mainly try to formalise an in-depth understanding of their feeling of worry to convince a physician to accurately treat the patient. Spending much time on a search to this understanding leads to delays in escalating care.</t>
  </si>
  <si>
    <t>A Multipollutant Approach to Estimating Causal Effects of Air Pollution Mixtures on Overall Mortality in a Large, Prospective Cohort.</t>
  </si>
  <si>
    <t>https://pubmed.ncbi.nlm.nih.gov/35384897</t>
  </si>
  <si>
    <t>Several studies have confirmed associations between air pollution and overall mortality, but it is unclear to what extent these associations reflect causal relationships. Moreover, few studies to our knowledge have accounted for complex mixtures of air pollution. In this study, we evaluate the causal effects of a mixture of air pollutants on overall mortality in a large, prospective cohort of Dutch individuals. We evaluated 86,882 individuals from the LIFEWORK study, assessing overall mortality between 2013 and 2017 through national registry linkage. We predicted outdoor concentration of five air pollutants (PM2.5, PM10, NO2, PM2.5 absorbance, and oxidative potential) with land-use regression. We used logistic regression and mixture modeling (weighted quantile sum and boosted regression tree models) to identify potential confounders, assess pollutants' relevance in the mixture-outcome association, and investigate interactions and nonlinearities. Based on these results, we built a multivariate generalized propensity score model to estimate the causal effects of pollutant mixtures. Regression model results were influenced by multicollinearity. Weighted quantile sum and boosted regression tree models indicated that all components contributed to a positive linear association with the outcome, with PM2.5 being the most relevant contributor. In the multivariate propensity score model, PM2.5 (OR=1.18, 95% CI: 1.08-1.29) and PM10 (OR=1.02, 95% CI: 0.91-1.14) were associated with increased odds of mortality per interquartile range increase. Using novel methods for causal inference and mixture modeling in a large prospective cohort, this study strengthened the causal interpretation of air pollution effects on overall mortality, emphasizing the primary role of PM2.5 within the pollutant mixture.</t>
  </si>
  <si>
    <t>Reproductive factors and the risk of incident dementia: A cohort study of UK Biobank participants.</t>
  </si>
  <si>
    <t>https://pubmed.ncbi.nlm.nih.gov/35381014</t>
  </si>
  <si>
    <t>Women's reproductive factors have been associated with the risk of dementia; however, these findings remain uncertain. This study aimed to examine the risk of incident all-cause dementia associated with reproductive factors in women and the number of children in both sexes and whether the associations vary by age, socioeconomic status (SES), smoking status, and body mass index (BMI) in the UK Biobank. A total of 273,240 women and 228,957 men without prevalent dementia from the UK Biobank were included in the analyses. Cox proportional hazard regressions estimated hazard ratios (HRs) for reproductive factors with incident all-cause dementia. Multiple adjusted models included age at study entry, SES, ethnicity, smoking status, systolic blood pressure, BMI, history of diabetes mellitus, total cholesterol, antihypertensive drugs, and lipid-lowering drugs. Over a median of 11.8 years follow-up, 1,866 dementia cases were recorded in women and 2,202 in men. Multiple adjusted HRs ((95% confidence intervals (CIs)), p-value) for dementia were 1.20 (1.08, 1.34) (p = 0.016) for menarche &lt;12 years and 1.19 (1.07, 1.34) (p = 0.024) for menarche &gt;14 years compared to 13 years; 0.85 (0.74, 0.98) (p = 0.026) for ever been pregnant; 1.43 (1.26, 1.62) (p &lt; 0.001) for age at first live birth &lt;21 compared to 25 to 26 years; 0.82 (0.71, 0.94) (p = 0.006) for each abortion; 1.32 (1.15, 1.51) (p = 0.008) for natural menopause at &lt;47 compared to 50 years; 1.12 (1.01, 1.25) (p = 0.039) for hysterectomy; 2.35 (1.06, 5.23) (p = 0.037) for hysterectomy with previous oophorectomy; and 0.80 (0.72, 0.88) (p &lt; 0.001) for oral contraceptive pills use. The U-shaped associations between the number of children and the risk of dementia were similar for both sexes: Compared with those with 2 children, for those without children, the multiple adjusted HR ((95% CIs), p-value) was 1.18 (1.04, 1.33) (p = 0.027) for women and 1.10 (0.98, 1.23) (p = 0.164) for men, and the women-to-men ratio of HRs was 1.09 (0.92, 1.28) (p = 0.403); for those with 4 or more children, the HR was 1.14 (0.98, 1.33) (p = 0.132) for women and 1.26 (1.10, 1.45) (p = 0.003) for men, and the women-to-men ratio of HRs was 0.93 (0.76, 1.14) (p = 0.530). There was evidence that hysterectomy (HR, 1.31 (1.09, 1.59), p = 0.013) and oophorectomy (HR, 1.39 (1.08, 1.78), p = 0.002) were associated with a higher risk of dementia among women of relatively lower SES only. Limitations of the study include potential residual confounding and self-reported measures of reproductive factors, as well as the limited representativeness of the UK Biobank population. In this study, we observed that some reproductive events related to shorter cumulative endogenous estrogen exposure in women were associated with higher dementia risk, and there was a similar association between the number of children and dementia risk between women and men.</t>
  </si>
  <si>
    <t>Routes of transmission of VIM-positive Pseudomonas aeruginosa in the adult intensive care unit-analysis of 9 years of surveillance at a university hospital using a mathematical model.</t>
  </si>
  <si>
    <t>Pham, Thi Mui; Büchler, Andrea C; Voor In 't Holt, Anne F; Severin, Juliëtte A; Bootsma, Martin C J; Gommers, Diederik; Kretzschmar, Mirjam E; Vos, Margreet C</t>
  </si>
  <si>
    <t>https://pubmed.ncbi.nlm.nih.gov/35379340</t>
  </si>
  <si>
    <t>Hospital outbreaks of multidrug resistant Pseudomonas aeruginosa are often caused by Pseudomonas aeruginosa clones which produce metallo-β-lactamases, such as Verona Integron-encoded Metallo-β-lactamase (VIM). Although different sources have been identified, the exact transmission routes often remain unknown. However, quantifying the role of different transmission routes of VIM-PA is important for tailoring infection prevention and control measures. The aim of this study is to quantify the relative importance of different transmission routes by applying a mathematical transmission model using admission and discharge dates as well as surveillance culture data of patients. We analyzed VIM-PA surveillance data collected between 2010 and 2018 of two intensive-care unit (ICU) wards for adult patients of the Erasmus University Medical Center Rotterdam using a mathematical transmission model. We distinguished two transmission routes: direct cross-transmission and a persistent environmental route. Based on admission, discharge dates, and surveillance cultures, we estimated the proportion of transmissions assigned to each of the routes. Our study shows that only 13.7% (95% CI 1.4%, 29%) of the transmissions that occurred in these two ICU wards were likely caused by cross-transmission, leaving the vast majority of transmissions (86.3%, 95% CI 71%, 98.6%) due to persistent environmental contamination. Our results emphasize that persistent contamination of the environment may be an important driver of nosocomial transmissions of VIM-PA in ICUs. To minimize the transmission risk from the environment, potential reservoirs should be regularly and thoroughly cleaned and disinfected, or redesigned.</t>
  </si>
  <si>
    <t>A simple extemporaneous oral suspension of aprepitant yields sufficient pharmacokinetic exposure in children.</t>
  </si>
  <si>
    <t>Nijstad, A Laura; de Vos-Kerkhof, Evelien; Enters-Weijnen, Catherine F; van de Wetering, Marianne D; Tissing, Wim J E; Hanff, Lidwien M; Lange, Rogier; Tibben, Matthijs M; Rosing, Hilde; Lalmohamed, Arief; Zwaan, C Michel; Huitema, Alwin D R</t>
  </si>
  <si>
    <t>journal of oncology pharmacy practice official publication of the international society of oncology pharmacy practitioners</t>
  </si>
  <si>
    <t>https://pubmed.ncbi.nlm.nih.gov/35377726</t>
  </si>
  <si>
    <t>Aprepitant is used for the treatment of chemotherapy induced nausea and vomiting. A liquid formulation is needed for treatment of young children. However, the commercial (powder for) suspension was not available worldwide for a prolonged period of time and, therefore, a 10 mg/mL aprepitant oral suspension was extemporarily prepared to prevent suboptimal antiemetic treatment. The current pharmacokinetic study was developed to investigate whether this extemporaneous oral suspension offers an appropriate treatment option. From 49 pediatric patients (0.7-17.9 years) 235 plasma concentrations were collected. Patients were either treated with our extemporaneous oral suspension (n = 26; 53%), commercially available capsules (n = 18; 37%), or the intravenous prodrug formulation of aprepitant (fosaprepitant, n = 5; 10%). Pharmacokinetic analyses were performed using nonlinear mixed effects modelling. A one-compartment model adequately described the pharmacokinetics of aprepitant in children. The bioavailability of the extemporaneous oral suspension was not significantly different to that of the capsules (P = 0.26). The observed bioavailability throughout the total population was 83% (95% CI 69%-97%). The absorption of the extemporaneous oral suspension was 39.4% (95%CI 19.5-57.4%) faster than that of capsules (mean absorption time of 1.78 h (95%CI 1.32-2.35), but was comparable to that of the commercial oral suspension. The median area under the curve after (fos)aprepitant was 22.2 mg/L*h (range 8.9-50.3 mg/L*h) on day 1. Our extemporaneous oral suspension is an adequate alternative for the commercially (un)available oral suspension in young children. An adequate exposure to aprepitant in children was yielded and the bioavailability of the extemporaneous suspension was comparable to capsules.</t>
  </si>
  <si>
    <t>Sex Differences in Reported Adverse Drug Reactions to Angiotensin-Converting Enzyme Inhibitors.</t>
  </si>
  <si>
    <t>Bots, Sophie H; Schreuder, Michelle M; Roeters van Lennep, Jeanine E; Watson, Sarah; van Puijenbroek, Eugène; Onland-Moret, N Charlotte; den Ruijter, Hester M</t>
  </si>
  <si>
    <t>https://pubmed.ncbi.nlm.nih.gov/35442456</t>
  </si>
  <si>
    <t>This cross-sectional study investigates differences by sex in reporting of adverse drug reactions associated with angiotensin-converting enzyme inhibitors combining global and prescription-corrected databases.</t>
  </si>
  <si>
    <t>Carotid Atherosclerosis, Microalbuminuria, and Estimated 10-Year Atherosclerotic Cardiovascular Disease Risk in Sub-Saharan Africa.</t>
  </si>
  <si>
    <t>Nonterah, Engelbert A; Boateng, Daniel; Crowther, Nigel J; Klipstein-Grobusch, Kerstin; Oduro, Abraham R; Agongo, Godfred; Mohamed, Shukri F; Boua, Palwendé R; Choma, Solomon S R; Norris, Shane A; Tollman, Stephen M; Bots, Michiel L; Ramsay, Michèle; Grobbee, Diederick</t>
  </si>
  <si>
    <t>https://pubmed.ncbi.nlm.nih.gov/35471573</t>
  </si>
  <si>
    <t>Carotid atherosclerosis and microalbuminuria are associated with atherosclerotic cardiovascular disease (ASCVD) but are understudied in sub-Saharan Africa. To evaluate the association of carotid atherosclerosis and microalbuminuria with 10-year ASCVD risk in middle-aged sub-Saharan African individuals. This cross-sectional study conducted analyses of baseline data from the African-Wits-INDEPTH (International Network for the Demographic Evaluation of Populations and Their Health in Low- and Middle-Income Countries) genomic study (AWI-Gen). Women and men aged 40 to 60 years without baseline CVD and drawn from Burkina Faso, Ghana, Kenya, and South Africa were included. Hypotheses for the analyses were formulated after data collection. The main exposures were carotid atherosclerosis, assessed using carotid intima-media thickness (CIMT) using B-mode ultrasonography, and microalbuminuria, measured using spot urine albumin (SUA) and urine albumin-creatinine ratio (uACR). The main outcome was high ASCVD risk, defined as a 2018 Pooled Cohort Equations score of 7.5% or greater. Associations were estimated using adjusted multivariable logistic regression analyses. A total of 9010 participants with a mean (SD) age of 50 (6) years and 4533 (50.3%) women were included. High CIMT, SUA, and uACR were each associated with older age (eg, mean [SD] age of participants with high vs reference range CIMT: 55 [5] years vs 50 [6] years; P &lt; .001) and high prevalence of both diabetes and hypertension (eg, hypertension among those with high vs reference range SUA: 213 of 1117 [19.1%] vs 356 of 2549 [14.0%]; P &lt; .001). Smokers were likely to have higher vs reference range SUA (210 [18.8%] vs 407 [16.0%]) and uACR (138 of 707 [19.5%] vs 456 of 2797 [16.3%]). Carotid atherosclerosis was common in Burkina Faso (82 of 262 [31.3%]) and Ghana (91 [34.7%]), while microalbuminuria, measured by SUA, was common in Kenya (272 [24.4%]) and South Africa (519 [46.5%]). SUA was associated with higher odds of carotid atherosclerosis (odds ratio [OR], 1.77; 95% CI, 1.04-3.01) compared with uACR (OR, 0.51; 95% CI, 0.27-0.95). Common CIMT, SUA, and uACR were associated with 10-year ASCVD risk, with CIMT having a stronger association with 10-year ASCVD risk in both women (OR, 1.95; 95% CI, 1.78-2.14) and men (OR, 1.73; 95% CI, 1.55-1.93) than SUA (women: OR, 1.29; 95% CI, 1.12-1.43; men: OR, 1.46; 95% CI, 1.26-1.55) and uACR (women: OR, 1.32; 95% CI, 1.10-1.54; men: OR, 1.35; 95% CI, 1.15-1.46). The presence of microalbuminuria measured by SUA may indicate risk of subclinical carotid atherosclerosis and high 10-year ASCVD risk in middle-aged residents of sub-Saharan Africa. These data should be confirmed in longitudinal studies of cardiovascular events.</t>
  </si>
  <si>
    <t>Full-Thickness Scar Resection After R1/Rx Excised T1 Colorectal Cancers as an Alternative to Completion Surgery.</t>
  </si>
  <si>
    <t>Gijsbers, Kim M; Laclé, Miangela M; Elias, Sjoerd G; Backes, Yara; Bosman, Joukje H; van Berkel, Annemarie M; Boersma, Femke; Boonstra, Jurjen J; Bos, Philip R; Dekker, Patty A T; Didden, Paul D; Geesing, Joost M J; Groen, John N; Haasnoot, Krijn J C; Kessels, Koen; van Lent, Anja U G; van der Schee, Lisa; Schrauwen, Ruud W M; Schreuder, Ramon-Michel; Schwartz, Matthijs P; Seerden, Tom J; Spanier, Marcel B W M; Terhaar Sive Droste, Jochim S; Tuynman, Jurriaan B; de Vos Tot Nederveen Cappel, Wouter H; van Westreenen, Erik H L; Wolfhagen, Frank H J; Vleggaar, Frank P; Ter Borg, Frank; Moons, Leon M G; ,</t>
  </si>
  <si>
    <t>https://pubmed.ncbi.nlm.nih.gov/35029166</t>
  </si>
  <si>
    <t>Local full-thickness resections of the scar (FTRS) after local excision of a T1 colorectal cancer (CRC) with uncertain resection margins is proposed as an alternative strategy to completion surgery (CS), provided that no local intramural residual cancer (LIRC) is found. However, a comparison on long-term oncological outcome between both strategies is missing. A large cohort of patients with consecutive T1 CRC between 2000 and 2017 was used. Patients were selected if they underwent a macroscopically complete local excision of a T1 CRC but positive or unassessable (R1/Rx) resection margins at histology and without lymphovascular invasion or poor differentiation. Patients treated with CS or FTRS were compared on the presence of CRC recurrence, a 5-year overall survival, disease-free survival, and metastasis-free survival. Of 3,697 patients with a T1 CRC, 434 met the inclusion criteria (mean age 66 years, 61% men). Three hundred thirty-four patients underwent CS, and 100 patients underwent FTRS. The median follow-up period was 64 months. CRC recurrence was seen in 7 patients who underwent CS (2.2%, 95% CI 0.9%-4.6%) and in 8 patients who underwent FTRS (9.0%, 95% CI 3.9%-17.7%). Disease-free survival was lower in FTRS strategy (96.8% vs 89.9%, P = 0.019), but 5 of the 8 FTRS recurrences could be treated with salvage surgery. The metastasis-free survival (CS 96.8% vs FTRS 92.1%, P = 0.10) and overall survival (CS 95.6% vs FTRS 94.4%, P = 0.55) did not differ significantly between both strategies. FTRS after local excision of a T1 CRC with R1/Rx resection margins as a sole risk factor, followed by surveillance and salvage surgery in case of CRC recurrence, could be a valid alternative strategy to CS.</t>
  </si>
  <si>
    <t>Physical Fitness and Chemotherapy Tolerance in Patients with Early-Stage Breast Cancer.</t>
  </si>
  <si>
    <t>Groen, Wim G; Naaktgeboren, Willeke R; van Harten, Wim H; van Vulpen, Jonna K; Kool, Nathalie; Sonke, Gabe S; van der Wall, Elsken; Velthuis, Miranda J; Aaronson, Neil K; May, Anne M; Stuiver, Martijn M</t>
  </si>
  <si>
    <t>https://pubmed.ncbi.nlm.nih.gov/34961754</t>
  </si>
  <si>
    <t>An optimal relative dose intensity (RDI) of adjuvant chemotherapy is associated with better survival in patients with breast cancer. Little is known about the role of physical fitness in attaining an adequate RDI in patients with early-stage breast cancer. We investigated the association between pretreatment physical fitness and RDI in this population. We pooled individual patient data from two randomized exercise trials that studied exercise programs in early breast cancer: the Physical Exercise During Adjuvant Chemotherapy Effectiveness Study (n = 230) and the Physical Activity during Chemotherapy Treatment (n = 204) study. Logistic regression models were used to evaluate the association between pretreatment fitness and achieving an optimal RDI (≥85%). In addition, we added an interaction term to the model to explore the potential moderating effect of participating in an exercise program. Data were available for 419 patients (mean age at diagnosis, 50.0 ± 8.6 yr). In the total sample, lower pretreatment physical fitness was associated with significantly lower odds of achieving ≥85% RDI: age-adjusted odds ratio (OR) of 0.66 (95% confidence interval (CI), 0.46-0.94). In patients allocated to the supervised exercise intervention during chemotherapy (n = 173), the association between pretreatment physical fitness and RDI was almost completely mitigated (OR, 0.95 (95% CI, 0.54-1.56)), whereas it was more pronounced in patients who received care as usual (n = 172; OR, 0.31 (95% CI, 0.13-0.63); Pinteraction = 0.022). Early-stage breast cancer patients with relatively lower levels of pretreatment physical fitness have lower odds of achieving an optimal dose of chemotherapy. Given that physical fitness is modifiable and our results suggest that following a moderate-to-high intensity exercise training during chemotherapy could improve treatment completion, clinicians should not refrain from referring patients to supportive exercise programs because of low fitness.</t>
  </si>
  <si>
    <t>Antibiotic stewardship in the real world - Authors' reply.</t>
  </si>
  <si>
    <t>van Heijl, Inger; Schweitzer, Valentijn A; van der Linden, Paul D; van Werkhoven, Cornelis H; Bonten, Marc J M</t>
  </si>
  <si>
    <t>https://pubmed.ncbi.nlm.nih.gov/35338867</t>
  </si>
  <si>
    <t>Family participation in essential care activities: Needs, perceptions, preferences, and capacities of intensive care unit patients, relatives, and healthcare providers-An integrative review.</t>
  </si>
  <si>
    <t>Dijkstra, Boukje M; Felten-Barentsz, Karin M; van der Valk, Margriet J M; Pelgrim, Thomas; van der Hoeven, Hans G; Schoonhoven, Lisette; Ebben, Remco H A; Vloet, Lilian C M</t>
  </si>
  <si>
    <t>australian critical care official journal of the confederation of australian critical care nurses</t>
  </si>
  <si>
    <t>https://pubmed.ncbi.nlm.nih.gov/35370060</t>
  </si>
  <si>
    <t>Family participation in essential care activities may benefit both patients and relatives. In this integrative review, we aimed to identify needs, perceptions, preferences, and capacities regarding family participation in essential care in intensive care units (ICUs) from the patient's, relatives', and ICU healthcare providers' perspective. An integrative review method was used. PubMed, CINAHL, EMBASE, MEDLINE, Cochrane, Web of Science, and reference lists of included articles were searched, from inception to January 25, 2021. We included studies on family participation in essential care activities during ICU stay which reported associated needs, perceptions, preferences and capacities. Quality assessment was performed with the Kmet Standard Quality Assessment Criteria developed for evaluating primary research papers in a variety of fields, and an extensive qualitative thematic analysis was performed on the results. Twenty-seven studies were included. Quality scores varied from 0.45 to 0.95 (range: 0-1). Patients' needs, perceptions, preferences, and capacities are largely unknown. Identified themes on needs and perceptions were relatives' desire to help the patient, a mostly positive attitude among all involved, stress regarding patient safety, perceived beneficial effects, relatives feeling in control-ICU healthcare providers' concerns about loss of control. Preferences for potential essential care activities vary. Relatives want an invitation and support from ICU healthcare providers. Themes regarding capacities were knowledge, skills, education and training, and organisational conditions. Implementation of family participation in essential care requires education and training of relatives and ICU healthcare providers to address safety and quality of care concerns, though most studies lack further specification.</t>
  </si>
  <si>
    <t>Statins are associated with a large reduction in all-cause mortality in women from a cardiac outpatient population.</t>
  </si>
  <si>
    <t>Bots, Sophie H; Onland-Moret, N Charlotte; Jancev, Milena; Hollander, Monika; Tulevski, Igor I; Hofstra, Leonard; Somsen, G Aernoud; den Ruijter, Hester M</t>
  </si>
  <si>
    <t>https://pubmed.ncbi.nlm.nih.gov/35444049</t>
  </si>
  <si>
    <t>Uncertainty about the benefit of (high-intensity) statins for women remains due to under-representation of women in primary prevention trials and scarcity of sex-stratified data. This study evaluates the sex-specific relation between statin treatment and survival and the additional benefit of high-intensity statins. Electronic health record data from 47 801 patients (17 008 statin users and 30 793 non-users) without prior cardiovascular disease were extracted from thirteen Dutch outpatient cardiology clinics. Patients prescribed statins at baseline were propensity-score matched to those eligible for statin therapy (low-density lipoprotein &gt;2.5 mmol/L) without a statin prescription. Statins were divided into low-intensity and high-intensity according to Dutch guidelines. Mortality data were obtained via linkage to the national mortality registry. Cox regression was used to evaluate the relationship between statin prescription and intensity and all-cause and cardiovascular mortality. Propensity score matching created a cohort of 8631 statin users and 8631 non-users. 35% of women and 28% of men received a low-intensity statin. The beneficial effect of statins on both all-cause and cardiovascular mortality was stronger in women (HR 0.66, 95% CI 0.58 to 0.74 and HR 0.55, 95% CI 0.39 to 0.71, respectively) than in men (HR 0.89, 95% CI 0.81 to 0.95 and HR 0.93, 95% CI 0.77 to 1.08, respectively). High-intensity statins conferred modest protection against all-cause mortality (HR 0.94, 95% CI 0.88 to 1.00) and cardiovascular mortality (HR 0.86, 95% CI 0.74 to 0.98) in both sexes. The protective effect of primary prevention statins was stronger in women than men for both all-cause and cardiovascular mortality. High-intensity statins conferred a modest additional benefit in both sexes. Statins seem to be effective regardless of treatment intensity, especially in women.</t>
  </si>
  <si>
    <t>Development of the My Positive Health dialogue tool for children: a qualitative study on children's views of health.</t>
  </si>
  <si>
    <t>de Jong-Witjes, Stacey; Kars, Marijke C; van Vliet, Marja; Huber, Machteld; van der Laan, Sabine E I; Gelens, Eva N; Berkelbach van der Sprenkel, Emma E; Nijhof, Sanne L; de Jonge, Maretha V; Rippen, Hester; van de Putte, Elise M</t>
  </si>
  <si>
    <t>https://pubmed.ncbi.nlm.nih.gov/36053589</t>
  </si>
  <si>
    <t>Children's views of health were explored in order to develop a health dialogue tool for children. A qualitative research design was used as part of a codesign process. Based on semi-structured interviews with both healthy children and children with a chronic condition (aged 8-18). Two approaches were applied. The first was an open exploration of children's views on health, which was then thematically analysed. Subsequently, a framework was used, based on the six-dimensional My Positive Health (MPH) dialogue tool for adults, to guide the second part of the interviews, focusing on reviewing the children's view on health within the context of the framework. For the final draft of the dialogue tool, a framework analysis was conducted and then validated by members of the 'children's council' of the Wilhelmina Children's Hospital. We interviewed 65 children, 45 of whom had a chronic condition and 20 were healthy. The children described a broad concept of health with the central themes of 'feeling good about yourself' and 'being able to participate'. Based on the subsequent framework analysis, the wording of two of the six dimensions of the MPH dialogue tool was adjusted and the related aspects were adapted for better alignment with the children's concept of health. After these modifications, the tool fully matched the children's concept of health. The MPH dialogue tool for children was developed for children with and without a chronic condition, to help them open up about what they consider important for their health and well-being, and to improve directorship over decisions and actions that would affect their health. The MPH dialogue tool aims to support healthcare professionals in providing the type of care and treatment that is in line with the needs of their young patients/clients.</t>
  </si>
  <si>
    <t>A Landscape Analysis of Post-Marketing Studies Registered in the EU PAS Register and ClinicalTrials.gov Focusing on Pregnancy Outcomes or Breastfeeding Effects: A Contribution from the ConcePTION Project.</t>
  </si>
  <si>
    <t>Roque Pereira, Leonardo; Durán, Carlos E; Layton, Deborah; Poulentzas, Georgios; Lalagkas, Panagiotis-Nikolaos; Kontogiorgis, Christos; Sturkenboom, Miriam</t>
  </si>
  <si>
    <t>https://pubmed.ncbi.nlm.nih.gov/35357659</t>
  </si>
  <si>
    <t>A large proportion of medicine product labels lack information on safety in pregnancy and breastfeeding. To address this gap, pharmaceutical companies are requested to develop post-approval studies regarding the use of drugs by pregnant and breastfeeding women. Our study aims to review key features of observational studies in pregnancy and breastfeeding and their impact on the respective medicine product labels. Observational studies focusing on the safety evaluation of medicines used during pregnancy and breastfeeding were selected from the European Union Register of Post-Authorization Studies (EU PAS register) and ClinicalTrials.gov. We extracted information on the variables of interest and performed an impact assessment on the respective label. A total of 141 observational studies were eligible. Of these, 63 studies (45%) were based on primary data collection and 55 studies (39%) on secondary use of health data. A small number of studies (8%) aimed to evaluate drug safety during breastfeeding. Studies using secondary data collection lasted around 2.9 years as opposed to 7.5 years' duration for studies using primary data collection. Only two product labels were updated based on the study results. The duration is significantly longer for studies based on primary data collection, and these are also smaller in size (less power), whereas outcomes of interest are similar. For completed studies, the impact on the label was very low. Given the gap in adequate pregnancy information on product labels, the current process of generating evidence in pregnancy and breastfeeding seems neither efficient nor impactful. To support evidence-based decision making by prescribers, this current process might be redesigned.</t>
  </si>
  <si>
    <t>Residual cardiovascular risk reduction guided by lifetime benefit estimation in patients with symptomatic atherosclerotic disease: effectiveness and cost-effectiveness.</t>
  </si>
  <si>
    <t>Hageman, Steven H J; Dorresteijn, Jannick A N; Bots, Michiel L; Asselbergs, Folkert W; Westerink, Jan; van der Meulen, Miriam P; Mosterd, Arend; Visseren, Frank L J; ,; Asselbergs, F W; Nathoe, H M; de Borst, G J; Bots, M L; Geerlings, M I; Emmelot, M H; de Jong, P A; Leiner, T; Lely, A T; van der Kaaij, N P; Kappelle, L J; Ruigrok, Y M; Verhaar, M C; Visseren, F L J; Westerink, J</t>
  </si>
  <si>
    <t>https://pubmed.ncbi.nlm.nih.gov/34009323</t>
  </si>
  <si>
    <t>To determine the (cost)-effectiveness of blood pressure lowering, lipid-lowering, and antithrombotic therapy guided by predicted lifetime benefit compared to risk factor levels in patients with symptomatic atherosclerotic disease. For all patients with symptomatic atherosclerotic disease in the UCC-SMART cohort (1996-2018; n = 7697) two treatment strategies were compared. The lifetime benefit-guided strategy was based on individual estimation of gain in cardiovascular disease (CVD)-free life with the SMART-REACH model. In the risk factor-based strategy, all patients were treated the following: low-density lipoprotein cholesterol (LDL-c) &lt; 1.8 mmol/L, systolic blood pressure &lt;140 mmHg, and antithrombotic medication. Outcomes were evaluated for the total cohort using a microsimulation model. Effectiveness was evaluated as total gain in CVD-free life and events avoided, cost-effectiveness as incremental cost-effectivity ratio (ICER). In comparison to baseline treatment, treatment according to lifetime benefit would lead to an increase of 24 243 CVD-free life years [95% confidence interval (CI) 19 980-29 909] and would avoid 940 (95% CI 742-1140) events in the next 10 years. For risk-factor based treatment, this would be an increase of 18 564 CVD-free life years (95% CI 14 225-20 456) and decrease of 857 (95% CI 661-1057) events. The ICER of lifetime benefit-based treatment with a treatment threshold of ≥1 year additional CVD-free life per therapy was €15 092/QALY gained and of risk factor-based treatment €9933/QALY gained. In a direct comparison, lifetime benefit-based treatment compared to risk factor-based treatment results in 1871 additional QALYs for the price of €36 538/QALY gained. Residual risk reduction guided by lifetime benefit estimation results in more CVD-free life years and more CVD events avoided compared to the conventional risk factor-based strategy. Lifetime benefit-based treatment is an effective and potentially cost-effective strategy for reducing residual CVD risk in patients with clinical manifest vascular disease.</t>
  </si>
  <si>
    <t>Continuation of fluoropyrimidine treatment with S-1 after cardiotoxicity on capecitabine- or 5-fluorouracil-based therapy in patients with solid tumours: a multicentre retrospective observational cohort study.</t>
  </si>
  <si>
    <t>Osterlund, P; Kinos, S; Pfeiffer, P; Salminen, T; Kwakman, J J M; Frödin, J-E; Shah, C H; Sorbye, H; Ristamäki, R; Halonen, P; Soveri, L M; Heervä, E; Ålgars, A; Bärlund, M; Hagman, H; McDermott, R; O'Reilly, M; Röckert, R; Liposits, G; Kallio, R; Flygare, P; Teske, A J; van Werkhoven, E; Punt, C J A; Glimelius, B</t>
  </si>
  <si>
    <t>https://pubmed.ncbi.nlm.nih.gov/35798468</t>
  </si>
  <si>
    <t>Capecitabine- or 5-fluorouracil (5-FU)-based chemotherapy is widely used in many solid tumours, but is associated with cardiotoxicity. S-1 is a fluoropyrimidine with low rates of cardiotoxicity, but evidence regarding the safety of switching to S-1 after 5-FU- or capecitabine-associated cardiotoxicity is scarce. This retrospective study (NCT04260269) was conducted at 13 centres in 6 countries. The primary endpoint was recurrence of cardiotoxicity after switch to S-1-based treatment due to 5-FU- or capecitabine-related cardiotoxicity: clinically meaningful if the upper boundary of the 95% confidence interval (CI; by competing risk) is not including 15%. Secondary endpoints included cardiac risk factors, diagnostic work-up, treatments, outcomes, and timelines of cardiotoxicity. Per protocol, 200 patients, treated between 2011 and 2020 [median age 66 years (range 19-86); 118 (59%) males], were included. Treatment intent was curative in 145 (73%). Initial cardiotoxicity was due to capecitabine (n = 170), continuous infusion 5-FU (n = 22), or bolus 5-FU (n = 8), which was administered in combination with other chemotherapy, targeted agents, or radiotherapy in 133 patients. Previous cardiovascular comorbidities were present in 99 (50%) patients. Cardiotoxic events (n = 228/200) included chest pain (n = 125), coronary syndrome/infarction (n = 69), arrhythmia (n = 22), heart failure/cardiomyopathy (n = 7), cardiac arrest (n = 4), and malignant hypertension (n = 1). Cardiotoxicity was severe or life-threatening in 112 (56%) patients and led to permanent capecitabine/5-FU discontinuation in 192 (96%). After switch to S-1, recurrent cardiotoxicity was observed in eight (4%) patients (95% CI 2.02-7.89, primary endpoint met). Events were limited to grade 1-2 and occurred at a median of 16 days (interquartile range 7-67) from therapy switch. Baseline ischemic heart disease was a risk factor for recurrent cardiotoxicity (odds ratio 6.18, 95% CI 1.36-28.11). Switching to S-1-based therapy is safe and feasible after development of cardiotoxicity on 5-FU- or capecitabine-based therapy and allows patients to continue their pivotal fluoropyrimidine-based treatment.</t>
  </si>
  <si>
    <t>Psychometric evaluation of the Decision Support Tool for Functional Independence in community-dwelling older people.</t>
  </si>
  <si>
    <t>van Bijsterveld, S C; Barten, J A; Molenaar, E A L M; Bleijenberg, N; de Wit, N J; Veenhof, C</t>
  </si>
  <si>
    <t>journal of population ageing</t>
  </si>
  <si>
    <t>https://pubmed.ncbi.nlm.nih.gov/35368880</t>
  </si>
  <si>
    <t>The aging population is increasingly faced with daily life limitations, threatening their Functional Independence (FI). These limitations extend different life domains and require a broad range of community-care professionals to be addressed. The Decision Support Tool for Functional Independence (DST-FI) facilitates community-care professionals in providing uncontradictory recommendations regarding the maintenance of FI in community-dwelling older people. The current study aims to determine the validity and reliability of the DST-FI. Sixty community-care professionals completed a twofold assessment. To assess construct validity, participants were asked to assign predefined recommendations to fifty cases of older people to maintain their level of FI. Hypotheses were tested regarding the expected recommendations per case. Content validity was assessed by questions on relevance, comprehensiveness, and comprehensibility of the current set of recommendations. Twelve participants repeated the assessment after two weeks to enable both within- and between rater reliability properties, expressed by an Intraclass Correlation Coefficient. Seven out of eight predefined hypotheses confirmed expectations, indicating high construct validity. As the recommendations were indicated 'relevant' and 'complete', content validity was high as well. Agreement between raters was poor to moderate while agreement within raters was moderate to excellent, resulting in moderate overall reliability. The DST-FI suggests high validity and moderate reliability properties when used in a population of community-dwelling older people. The tool could facilitate community-care professionals in their task to preserve FI in older people. Future research should focus on psychometric properties like feasibility, acceptability, and developing and piloting strategies for implementation in community-care.</t>
  </si>
  <si>
    <t>Determinants of label non-adherence to non-vitamin K oral anticoagulants in patients with newly diagnosed atrial fibrillation.</t>
  </si>
  <si>
    <t>Seelig, J; Trinks-Roerdink, E M; Chu, G; Pisters, R; Theunissen, L J H J; Trines, S A; Pos, L; Kirchhof, C J H J; de Jong, S F A M S; den Hartog, F R; van Alem, A P; Polak, P E; Tieleman, R G; van der Voort, P H; Lenderink, T; Otten, A M; de Jong, J S S G; Gu, Y L; Luermans, J G L M; Kruip, M J H A; Timmer, S A J; de Vries, T A C; Cate, H Ten; Geersing, G J; Rutten, F H; Huisman, M V; Hemels, M E W</t>
  </si>
  <si>
    <t>https://pubmed.ncbi.nlm.nih.gov/35919339</t>
  </si>
  <si>
    <t>To evaluate the extent and determinants of off-label non-vitamin K oral anticoagulant (NOAC) dosing in newly diagnosed Dutch AF patients. In the DUTCH-AF registry, patients with newly diagnosed AF (&lt;6 months) are prospectively enrolled. Label adherence to NOAC dosing was assessed using the European Medicines Agency labelling. Factors associated with off-label dosing were explored by multivariable logistic regression analyses. From July 2018 to November 2020, 4500 patients were registered. The mean age was 69.6 ± 10.5 years, and 41.5% were female. Of the 3252 patients in which NOAC label adherence could be assessed, underdosing and overdosing were observed in 4.2% and 2.4%, respectively. In 2916 (89.7%) patients with a full-dose NOAC recommendation, 4.6% were underdosed, with a similar distribution between NOACs. Independent determinants (with 95% confidence interval) were higher age [odds ratio (OR): 1.01 per year, 1.01-1.02], lower renal function (OR: 0.96 per ml/min/1.73 m&lt;sup&gt;2&lt;/sup&gt;, 0.92-0.98), lower weight (OR: 0.98 per kg, 0.97-1.00), active malignancy (OR: 2.46, 1.19-5.09), anaemia (OR: 1.73, 1.08-2.76), and concomitant use of antiplatelets (OR: 4.93, 2.57-9.46). In the 336 (10.3%) patients with a reduced dose NOAC recommendation, 22.9% were overdosed, most often with rivaroxaban. Independent determinants were lower age (OR: 0.92 per year, 0.88-0.96) and lower renal function (OR: 0.98 per ml/min/1.73 m&lt;sup&gt;2&lt;/sup&gt;, 0.96-1.00). In newly diagnosed Dutch AF patients, off-label dosing of NOACs was seen in only 6.6% of patients, most often underdosing. In this study, determinants of off-label dosing were age, renal function, weight, anaemia, active malignancy, and concomitant use of antiplatelets.</t>
  </si>
  <si>
    <t>Key Factors Relevant for Healthcare Decisions of Patients with Type 1 and Type 2 Diabetes in Secondary Care According to Healthcare Professionals.</t>
  </si>
  <si>
    <t>Ruissen, Merel M; Sont, Jacob K; van Vugt, Heidi A; Kunneman, Marleen; Rutten, Guy E H M; de Koning, Eelco J P</t>
  </si>
  <si>
    <t>patient preference and adherence</t>
  </si>
  <si>
    <t>https://pubmed.ncbi.nlm.nih.gov/35370405</t>
  </si>
  <si>
    <t>Understanding which factors are important for healthcare decisions of patients with diabetes in clinical practice is important to personalise diabetes care strategies and tailor care plans to the individual. The main drivers for these healthcare decisions remain unclear. This study assessed which key factors are relevant for healthcare decisions during clinical consultations for patients with type 1 diabetes (T1DM) and type 2 diabetes (T2DM), according to healthcare professionals. Annual diabetes reviews were performed as part of a trial assessing the impact of a consultation model facilitating person-centred diabetes care in six hospital outpatient clinics. After each consultation, we asked healthcare professionals to choose a maximum of three out of 20 factors that were most relevant for healthcare decisions about treatment goals and the professional support needed during the upcoming year. Factors were characterised as either person or disease-related. Percentages reflect the number of annual diabetes reviews in which the key factor was reported. Seventeen physicians and eight diabetes specialist nurses reported the key factors relevant for healthcare decisions in 285 annual diabetes reviews (T1DM n = 119, T2DM n = 166). Healthcare professionals most often reported quality of life (31.9%), motivation (27.0%) and diabetes self-management (25.6%), and to a lesser extent glycaemic control (24.2%), to be important for decisions about treatment goals. For decisions about the professional support needed during the upcoming year patient's preferences (33.7%), diabetes self-management (33.3%), quality of life (27.0%) and motivation (25.6%) were most often considered relevant by healthcare professionals. According to healthcare professionals, person-related factors such as quality of life, diabetes self-management and motivation are predominantly relevant for healthcare decisions about treatment goals and the professional support needed during the upcoming year.</t>
  </si>
  <si>
    <t>Factors associated with swallowing dysfunction in patients with head and neck cancer.</t>
  </si>
  <si>
    <t>Vermaire, Jorine A; Raaijmakers, Cornelis P J; Monninkhof, Evelyn M; Verdonck-de Leeuw, Irma M; Terhaard, Chris H J; Speksnijder, Caroline M</t>
  </si>
  <si>
    <t>oral diseases</t>
  </si>
  <si>
    <t>https://pubmed.ncbi.nlm.nih.gov/35298058</t>
  </si>
  <si>
    <t>The aim of this prospective cohort study was to investigate swallowing function in relation to personal and clinical factors among patients with head and neck cancer (HNC) from diagnosis up to 2 years after treatment. The 100 ml water swallow test was measured before treatment, and 3, 6, 12, and 24 months after treatment. Linear mixed-effects model analysis was conducted to investigate changes over time and the association with personal (sex and age) and clinical (tumor site, tumor stage, and treatment modality) factors. Among 128 included patients, number of swallows increased from baseline to 3 months after treatment and decreased to baseline again at 6 months after treatment. The number of swallows was associated with age and treatment modality. In patients with HNC, swallowing (dys)function changes over time with the worst score 3 months after treatment. A higher age and being treated with surgery are factors associated with swallowing dysfunction over time.</t>
  </si>
  <si>
    <t>[18F]FDG-PET/CT in Staphylococcus aureus bacteremia: a systematic review.</t>
  </si>
  <si>
    <t>Buis, D T P; Sieswerda, E; Kouijzer, I J E; Huynh, W Y; Burchell, G L; Berrevoets, M A H; Prins, J M; Sigaloff, K C E</t>
  </si>
  <si>
    <t>https://pubmed.ncbi.nlm.nih.gov/35331165</t>
  </si>
  <si>
    <t>[18F]FDG-PET/CT is used for diagnosing metastatic infections in Staphylococcus aureus bacteremia (SAB) and guidance of antibiotic treatment. The impact of [18F]FDG-PET/CT on outcomes remains to be determined. The aim of this systematic review was to summarize the effects of [18F]FDG-PET/CT on all-cause mortality and new diagnostic findingsin SAB. We systematically searched PubMed, EMBASE.com, Web of Science, and Wiley's Cochrane library from inception to 29 January 2021. Eligible studies were randomized controlled trials, clinically controlled trials, prospective and retrospective cohort studies, and case-control studies investigating the effects of [18F]FDG-PET/CT in hospitalized adult patients with SAB. We excluded studies lacking a control group without [18F]FDG-PET/CT. Risk of bias was assessed using the ROBINS-I tool and certainty of evidence using the GRADE approach by two independent reviewers. We identified 1956 studies, of which five were included in our qualitative synthesis, including a total of 880 SAB patients. All studies were non-randomized and at moderate or serious risk of bias. Four studies, including a total of 804 patients, reported lower mortality in SAB patients that underwent [18F]FDG-PET/CT. One study including 102 patients reported more detected metastatic foci in the participants in whom [18F]FDG-PET/CT was performed. We found low certainty of evidence that [18F]FDG-PET/CT reduces mortality in patients with SAB. This effect is possibly explained by a higher frequency of findings guiding optimal antibiotic treatment and source control interventions.</t>
  </si>
  <si>
    <t>Quality of Life and Survival of Metastatic Colorectal Cancer Patients Treated With Trifluridine-Tipiracil (QUALITAS).</t>
  </si>
  <si>
    <t>Hamers, Patricia A H; Vink, Geraldine R; Elferink, Marloes A G; Stellato, Rebecca K; Dijksterhuis, Willemieke P M; Punt, Cornelis J A; Koopman, Miriam; May, Anne M; ,</t>
  </si>
  <si>
    <t>https://pubmed.ncbi.nlm.nih.gov/35474007</t>
  </si>
  <si>
    <t>The RECOURSE trial demonstrated a modest benefit in overall survival (OS) for trifluridine/tipiracil (FTD/TPI) versus placebo in pretreated metastatic colorectal cancer (mCRC) patients. Unfortunately, quality of life (QoL) was not assessed. We evaluated QoL and survival of patients treated with FTD/TPI in daily practice. QUALITAS is a substudy of the Prospective Dutch CRC cohort (PLCRC). From 150 mCRC patients treated with FTD/TPI, QoL (EORTC QLQ-C30 and QLQ-CR29) was assessed monthly from study entry, and linked to clinical data of the Netherlands Cancer Registry. Joint models were constructed combining mixed effects models with Cox PH models. Primary endpoint was difference in QoL over time (which was deemed clinically relevant if ≥10 points). Secondary endpoints were progression-free survival (PFS), time to treatment failure (TTF), and OS. We analyzed the association between QLQ-C30 Summary Score (QoL-SS) at FTD/TPI initiation (baseline) and survival. There was no clinically relevant change in QoL-SS from baseline to 10 months post-baseline (i.e. the cut-off point after which 90% of patients had discontinued FTD/TPI treatment): -5.3 [95% CI -8.7;-1.5]. Patients who were treated with FTD/TPI for ≥ 3 months (n = 85) reported 6.3 [1.6;11.1] points higher baseline QoL, compared to patients treated &lt; 3 months (n = 65, "poor responders"). In the latter, time to a clinically relevant QoL deterioration was &lt; 2 months. Median PFS, TTF and OS were 2.9 [2.7;3.1], 3.1 [2.9;3.2] and 7.7 [6.6;8.8] months, respectively. Worse baseline QoL-SS was independently associated with shorter OS (HR 0.45 [0.32;0.63]), PFS (0.63 [0.48;0.83]), and TTF (0.64 [0.47;0.86]). The maintenance of QoL during FTD/TPI treatment in daily practice supports its use. The QoL deterioration in "poor responders" is likely due to disease progression. The strong association between worse baseline QoL and shorter survival suggests that clinicians should take QoL into account when determining prognosis and treatment strategy for individual patients.</t>
  </si>
  <si>
    <t>Deep neural networks reveal novel sex-specific electrocardiographic features relevant for mortality risk.</t>
  </si>
  <si>
    <t>Siegersma, Klaske R; van de Leur, Rutger R; Onland-Moret, N Charlotte; Leon, David A; Diez-Benavente, Ernest; Rozendaal, Liesbeth; Bots, Michiel L; Coronel, Ruben; Appelman, Yolande; Hofstra, Leonard; van der Harst, Pim; Doevendans, Pieter A; Hassink, Rutger J; den Ruijter, Hester M; van Es, René</t>
  </si>
  <si>
    <t>https://pubmed.ncbi.nlm.nih.gov/36713005</t>
  </si>
  <si>
    <t>Incorporation of sex in study design can lead to discoveries in medical research. Deep neural networks (DNNs) accurately predict sex based on the electrocardiogram (ECG) and we hypothesized that misclassification of sex is an important predictor for mortality. Therefore, we first developed and validated a DNN that classified sex based on the ECG and investigated the outcome. Second, we studied ECG drivers of DNN-classified sex and mortality. A DNN was trained to classify sex based on 131 673 normal ECGs. The algorithm was validated on internal (68 500 ECGs) and external data sets (3303 and 4457 ECGs). The survival of sex (mis)classified groups was investigated using time-to-event analysis and sex-stratified mediation analysis of ECG features. The DNN successfully distinguished female from male ECGs {internal validation: area under the curve (AUC) 0.96 [95% confidence interval (CI): 0.96, 0.97]; external validations: AUC 0.89 (95% CI: 0.88, 0.90), 0.94 (95% CI: 0.93, 0.94)}. Sex-misclassified individuals (11%) had a 1.4 times higher mortality risk compared with correctly classified peers. The ventricular rate was the strongest mediating ECG variable (41%, 95% CI: 31%, 56%) in males, while the maximum amplitude of the ST segment was strongest in females (18%, 95% CI: 11%, 39%). Short QRS duration was associated with higher mortality risk. Deep neural networks accurately classify sex based on ECGs. While the proportion of ECG-based sex misclassifications is low, it is an interesting biomarker. Investigation of the causal pathway between misclassification and mortality uncovered new ECG features that might be associated with mortality. Increased emphasis on sex as a biological variable in artificial intelligence is warranted.</t>
  </si>
  <si>
    <t>Is early menopause a potential criterion for cardiovascular risk screening to detect high risk in a multi-ethnic population? The Helius study.</t>
  </si>
  <si>
    <t>Reilingh, A Y A M; van den Meiracker, T R M; Bolijn, R; Galenkamp, H; Moll van Charante, E P; van der Schouw, Y T; van Valkengoed, I G M</t>
  </si>
  <si>
    <t>https://pubmed.ncbi.nlm.nih.gov/35489131</t>
  </si>
  <si>
    <t>Women at risk of cardiovascular disease (CVD) may be missed with current eligibility criteria for CVD risk screening, particularly those from ethnic minority groups, among whom high risk is prevalent at a younger age. Early menopause (EM; menopause before 45 years) is associated with increased risk of CVD, and may be a potential eligibility criterion for CVD risk screening. To determine the contribution of EM to current criteria from patient history (having a family history of CVD, current smoking, obesity and age over 50 years) for identifying women eligible for CVD risk screening in a multi-ethnic population. We used baseline data (2011-2015) from 4512 women aged 45-70 years of Dutch, South-Asian Surinamese, African Surinamese, Ghanaian, Turkish and Moroccan ethnic origin from the HELIUS study (Amsterdam, Netherlands). Models based on current eligibility criteria with and without EM were compared on area under the curve (AUC) with regard to estimated 10-year CVD risk using the Dutch SCORE. Overall, models with EM had a higher AUC, but changes were not statistically significant. In our total sample of women aged between 45 and 70 years, the AUC changed from 0.70 (95%CI 0.69-0.72) to 0.71 (95%CI 0.69-0.72). Among women aged 45-50 years the AUC changed from 0.66 (95%CI 0.58-0.74) to 0.68 (95%CI 0.59-0.74). Results were consistent across ethnic groups. The addition of EM to current eligibility criteria did not improve the detection of women at high CVD risk in a multi-ethnic sample of women aged 45-70 years.</t>
  </si>
  <si>
    <t>Ocular surface disease is common in moderate-to-severe atopic dermatitis patients.</t>
  </si>
  <si>
    <t>Achten, Roselie E; Bakker, Daphne S; van Luijk, Chantal M; van der Wal, Marlot; de Graaf, Marlies; van Wijk, Femke; Zuithoff, Nicolaas P A; van der Rijst, Lisa P; Boesjes, Celeste M; Thijs, Judith L; de Boer, Joke H; de Bruin-Weller, Marjolein S</t>
  </si>
  <si>
    <t>https://pubmed.ncbi.nlm.nih.gov/35294787</t>
  </si>
  <si>
    <t>Shared decision making in primary care: Process evaluation of the intervention in the OPTIMAL study, a cluster randomised trial.</t>
  </si>
  <si>
    <t>Den Ouden, Henk; Vos, Rimke C; Pieterse, Arwen H; Rutten, Guy E H M</t>
  </si>
  <si>
    <t>https://pubmed.ncbi.nlm.nih.gov/35314131</t>
  </si>
  <si>
    <t>To analyse the performance of a Shared Decision Making (SDM) intervention, we assessed perceived and experienced SDM in General Practitioners (GPs) and patients with type 2 diabetes (T2DM). Cluster-Randomised Controlled Trial (cRCT) testing the effect of a decision aid. Opinions and experienced role regarding SDM were assessed in 72 patients and 18 GPs with the SDM-Q-9 (range 0-45) and Control Preferences Scale (CPS, 0-5), and observed SDM with the OPTION5 (0-20). SDM at baseline was compared to 24 months' follow-up using paired t-tests. At baseline, perceived levels of SDM did not significantly differ between GPs and patients with T2DM (difference of 2.3, p = 0.24). At follow-up, mean patients' perceived level of SDM was 7.9 lower compared to baseline (p &lt; 0.01), whereas GPs' opinions had not changed significantly. After both visits, mean CPS scores differed significantly between patients and GPs. OPTION5 scores ranged between 6 and 20. Patients and GPs perceived similar baseline levels of SDM. Two years later, patients perceived less SDM, while GPs did not change their opinion. SDM was appropriate immediately after training, but perhaps GPs fell back in old habits over time. We recommend repeated SDM training.</t>
  </si>
  <si>
    <t>Methodological aspects of a randomized within-patient concurrent controlled design for clinical trials in spine surgery.</t>
  </si>
  <si>
    <t>Lehr, A Mechteld; Jacobs, Wilco Ch; Stellato, Rebecca K; Castelein, René M; Cumhur Oner, F; Kruyt, Moyo C</t>
  </si>
  <si>
    <t>https://pubmed.ncbi.nlm.nih.gov/35297288</t>
  </si>
  <si>
    <t>Randomized controlled trials are considered the highest level of evidence, but their feasibility in the surgical field is severely hampered by methodological and practical issues. Concurrent comparison between the experimental and control conditions within the same patient can be an effective strategy to mitigate some of these challenges and improve generalizability, mainly by the elimination of between-patient variability and reduction of the required sample size. This article aims (1) to describe the methodological aspects of a randomized within-patient controlled trial and (2) to quantify the added value of this design, based on a recently completed randomized within-patient controlled trial on bone grafts in instrumented lumbar posterolateral spinal fusion. Boundary conditions for the application of the randomized within-patient controlled trial design were identified. Between-patient variability was quantified by the intraclass correlation coefficient and concordance in the primary fusion outcome. Sample size, study duration and costs were compared with a classic randomized controlled trial design. Boundary conditions include the concurrent application of the experimental and control conditions to identical but physically separated sites. Moreover, the outcome of interest should be local, uncorrelated and independently assessable. The spinal fusion outcomes within a patient were found to be more similar than between different patients (intraclass correlation coefficient 32% and concordance 64%), demonstrating a clear effect of patient-related factors. The randomized within-patient controlled trial design allowed a reduction of the sample size to one-third of a parallel-group randomized controlled trial, thereby halving the trial duration and costs. When suitable, the randomized within-patient controlled trial is an efficient design that provides a solution to some of the considerable challenges of a classic randomized controlled trial in (spine) surgery. This design holds specific promise for efficacy studies of non-active bone grafts in instrumented posterolateral fusion surgery.</t>
  </si>
  <si>
    <t>The relation between urinary sodium and potassium excretion and risk of cardiovascular events and mortality in patients with cardiovascular disease.</t>
  </si>
  <si>
    <t>Groenland, Eline H; Vendeville, Jean-Paul; Bots, Michiel L; de Borst, Gert Jan; Nathoe, Hendrik M; Ruigrok, Ynte M; Blankestijn, Peter J; Visseren, Frank L J; Spiering, Wilko; ,</t>
  </si>
  <si>
    <t>https://pubmed.ncbi.nlm.nih.gov/35298524</t>
  </si>
  <si>
    <t>Most evidence on the relationship between sodium and potassium intake and cardiovascular disease originated from general population studies. This study aimed to evaluate the relation between estimated 24-hour sodium and potassium urinary excretion and the risk of recurrent vascular events and mortality in patients with vascular disease. 7561 patients with vascular disease enrolled in the UCC-SMART cohort (1996-2015) were included. Twenty-four hour sodium and potassium urinary excretion were estimated (Kawasaki formulae) from morning urine samples. Cox proportional hazard models with restricted cubic splines were used to evaluate the relation between estimated urinary salt excretion and major adverse cardiovascular events (MACE; including myocardial infarction, stroke, cardiovascular mortality) and all-cause mortality. After a median follow-up of 7.4 years (interquartile range: 4.1-11.0), the relations between estimated 24-hour sodium urinary excretion and outcomes were J-shaped with nadirs of 4.59 gram/day for recurrent MACE and 4.97 gram/day for all-cause mortality. The relation between sodium-to-potassium excretion ratio and outcomes were also J-shaped with nadirs of 2.71 for recurrent MACE and 2.60 for all-cause mortality. Higher potassium urinary excretion was related to an increased risk of both recurrent MACE (HR 1.25 per gram potassium excretion per day; 95%CI 1.13-1.39) and all cause-mortality (HR 1.13 per gram potassium excretion per day; 95%CI 1.03-1.25). In patients with established vascular disease, lower and higher sodium intake were associated with higher risk of recurrent MACE and all-cause mortality. Higher estimated 24-hour potassium urinary excretion was associated with a higher risk of recurrent MACE and all-cause mortality.</t>
  </si>
  <si>
    <t>Correction to: To what extent do dietary costs explain socio-economic differences in dietary behavior?</t>
  </si>
  <si>
    <t>Hoenink, Jody C; Beulens, Joline W J; Harbers, Marjolein C; Boer, Jolanda M A; Dijkstra, S Coosje; Nicolaou, Mary; van der Schouw, Yvonne T; Sluijs, Ivonne; Verschuren, W M Monique; Waterlander, Wilma; Mackenbach, Joreintje D</t>
  </si>
  <si>
    <t>https://pubmed.ncbi.nlm.nih.gov/35300706</t>
  </si>
  <si>
    <t>Development of a neighborhood drivability index and its association with transportation behavior in Toronto.</t>
  </si>
  <si>
    <t>den Braver, Nicolette R; Lakerveld, Jeroen; Gozdyra, Peter; van de Brug, Tim; Moin, John S; Fazli, Ghazal S; Rutters, Femke; Brug, Johannes; Moineddin, Rahim; Beulens, Joline W J; Booth, Gillian L</t>
  </si>
  <si>
    <t>https://pubmed.ncbi.nlm.nih.gov/35306254</t>
  </si>
  <si>
    <t>Car driving is a form of passive transport that is associated with an increase in physical inactivity, obesity, air pollution and noise. Built environment characteristics may influence transport mode choice, but comprehensive indices for built environment characteristics that drive car use are still lacking, while such an index could provide tangible policy entry points. We developed and validated a neighbourhood drivability index, capturing combined dimensions of the neighbourhood environment in the City of Toronto, and investigated its association with transportation choices (car, public transit or active transport), overall, by trip length, and combined for residential neighbourhood and workplace drivability. We used exploratory factor analysis to derive distinct factors (clusters of one or more environmental characteristics) that reflect the degree of car dependency in each neighbourhood, drawing from candidate variables that capture density, diversity, design, destination accessibility, distance to transit, and demand management. Area-level factor scores were then combined into a single composite score, reflecting neighbourhood drivability. Negative binomial generalized estimating equations were used to test the association between driveability quintiles (Q) and primary travel mode (&gt;50% of trips by car, public transit, or walking/cycling) in a population-based sample of 63,766 Toronto residents enrolled in the Transportation Tomorrow Survey (TTS) wave 2016, adjusting for individual and household characteristics, and accounting for clustering of respondents within households. The drivability index consisted of three factors: Urban sprawl, pedestrian facilities and parking availability. Relative to those living in the least drivable neighbourhoods (Q1), those in high drivability areas (Q5) had a significantly higher rate of car travel (adjusted Risk Ratio (RR): 1.80, 95%CI: 1.77-1.88), and lower rate of public transit use (RR: 0.90, 95%CI: 0.85-0.94) and walking/cycling (RR: 0.22, 95%CI: 0.19-0.25). Associations were strongest for short trips (&lt;3 km) (RR: 2.72, 95%CI: 2.48-2.92), and in analyses where both residential and workplace drivability was considered (RR for car use in high/high vs. low/low residential/workplace drivability: 2.18, 95%CI: 2.08-2.29). This novel neighbourhood drivability index predicted whether local residents drive or use active modes of transportation and can be used to investigate the association between drivability, physical activity, and chronic disease risk.</t>
  </si>
  <si>
    <t>The HFA-PEFF score identifies 'early-HFpEF' phenogroups associated with distinct biomarker profiles.</t>
  </si>
  <si>
    <t>Henkens, Michiel T H M; van Ommen, Anne-Mar; Remmelzwaal, Sharon; Valstar, Gideon B; Wang, Ping; Verdonschot, Job A J; Hazebroek, Mark R; Hofstra, Leonard; van Empel, Vanessa P M; Beulens, Joline W J; den Ruijter, Hester M; Heymans, Stephane R B</t>
  </si>
  <si>
    <t>https://pubmed.ncbi.nlm.nih.gov/35301820</t>
  </si>
  <si>
    <t>The HFA-PEFF score was developed to optimize diagnosis and to aid in early recognition of heart failure (HF) with preserved ejection fraction (HFpEF) in patients who present with HF-like symptoms. Recognizing early-HFpEF phenogroups is essential to better understand progression towards overt HFpEF and pave the way for early intervention and treatment. Whether the HFA-PEFF domain scores can identify 'early-HFpEF' phenogroups remains unknown. The aims of this pilot study are to (i) identify distinct phenogroups by cluster analysis of HFA-PEFF domain scores in subjects that present with HF-like symptoms and (ii) study whether these phenogroups may be associated with distinct blood proteome profiles. Subjects referred to the Cardiology Centers of the Netherlands, location Utrecht, with non-acute possibly cardiac-related symptoms (such as dyspnoea or fatigue) were prospectively enrolled in the HELPFul cohort (N = 507) and were included in the current analysis. Inclusion criteria for this study were (i) age ≥ 45 years and (ii) a left ventricular ejection fraction (LVEF) ≥ 50%, in the absence of a history of HF, coronary artery disease, congenital heart disease, or any previous cardiac interventions. Multinominal-based clustering with latent class model using the HFA-PEFF domain scores (functional, structural, and biomarker scores) as input was used to detect distinct phenotypic clusters. For each bootstrapping run, the 92 Olink proteins were analysed for their association with the identified phenogroups. Four distinct phenogroups were identified in the current analysis (validated by bootstrapping 1000×): (i) no left ventricular diastolic dysfunction (no LVDD, N = 102); (ii) LVDD with functional left ventricular (LV) abnormalities (N = 204); (iii) LVDD with functional and structural LV abnormalities (N = 204); and (iv) LVDD with functional and structural LV abnormalities and elevated BNP (N = 107). The HFA-PEFF total score risk categories significantly differed between the phenogroups (P &lt; 0.001), with an increase of the HFA-PEFF score from Phenogroup 1 to 4 (low/intermediate/high HFA-PEFF risk score: Phenogroup 1: 88%/12%/0%; Phenogroup 2: 9%/91%/0%; Phenogroup 3: 0%/92%/8%; Phenogroup 4: 5%/83%/12%). Thirty-two out of the 92 Olink protein biomarkers significantly differed among the phenogroups. The top eight biomarkers-N-terminal prohormone brain natriuretic peptide, growth differentiation factor-15, matrix metalloproteinase-2, osteoprotegerin, tissue inhibitor of metalloproteinase-4, chitinase-3-like protein 1, insulin-like growth factor-binding protein 2, and insulin-like growth factor-binding protein 7-are mainly involved in inflammation and extracellular matrix remodelling, which are currently proposed key processes in HFpEF pathophysiology. This study identified distinct phenogroups by using the HFA-PEFF domain scores in ambulant subjects referred for HF-like symptoms. The newly identified phenogroups accompanied by their circulating biomarkers profile might aid in a better understanding of the pathophysiological processes involved during the early stages of the HFpEF syndrome.</t>
  </si>
  <si>
    <t>Contribution of diabetes to amputations in sub-Sahara Africa: A systematic review and meta-analysis.</t>
  </si>
  <si>
    <t>Boateng, Daniel; Ayellah, Bernard Bless; Adjei, David Nana; Agyemang, Charles</t>
  </si>
  <si>
    <t>https://pubmed.ncbi.nlm.nih.gov/35305899</t>
  </si>
  <si>
    <t>Diabetes related amputations remain a major global problem, with devastating complications. We critically appraised relevant literature to quantify the prevalence of diabetes related amputations in sub-Saharan Africa (SSA). An electronic search was performed using the EMBASE and PubMed databases until 2020. Twenty-four out of 834 studies retrieved were included. The pooled prevalence of diabetic-related amputations was 36.9% (95%CI: 32.9%-40.8%). Complications of diabetes related amputations included infection, anaemia, foot deformity and mortality. The study revealed a substantial contribution of diabetes to the burden of amputations in SSA and suggests the need for further studies to assess how to reduce the incidence of diabetes, reduce the incidence of and or delay the progression of macro and microvascular complications of diabetes in SSA.</t>
  </si>
  <si>
    <t>Does plasmid-based beta-lactam resistance increase E. coli infections: Modelling addition and replacement mechanisms.</t>
  </si>
  <si>
    <t>Godijk, Noortje G; Bootsma, Martin C J; van Werkhoven, Henri C; Schweitzer, Valentijn A; de Greeff, Sabine C; Schoffelen, Annelot F; Bonten, Marc J M</t>
  </si>
  <si>
    <t>https://pubmed.ncbi.nlm.nih.gov/35286302</t>
  </si>
  <si>
    <t>Infections caused by antibiotic-resistant bacteria have become more prevalent during past decades. Yet, it is unknown whether such infections occur in addition to infections with antibiotic-susceptible bacteria, thereby increasing the incidence of infections, or whether they replace such infections, leaving the total incidence unaffected. Observational longitudinal studies cannot separate both mechanisms. Using plasmid-based beta-lactam resistant E. coli as example we applied mathematical modelling to investigate whether seven biological mechanisms would lead to replacement or addition of infections. We use a mathematical neutral null model of individuals colonized with susceptible and/or resistant E. coli, with two mechanisms implying a fitness cost, i.e., increased clearance and decreased growth of resistant strains, and five mechanisms benefitting resistance, i.e., 1) increased virulence, 2) increased transmission, 3) decreased clearance of resistant strains, 4) increased rate of horizontal plasmid transfer, and 5) increased clearance of susceptible E. coli due to antibiotics. Each mechanism is modelled separately to estimate addition to or replacement of antibiotic-susceptible infections. Fitness costs cause resistant strains to die out if other strain characteristics are maintained equal. Under the assumptions tested, increased virulence is the only mechanism that increases the total number of infections. Other benefits of resistance lead to replacement of susceptible infections without changing the total number of infections. As there is no biological evidence that plasmid-based beta-lactam resistance increases virulence, these findings suggest that the burden of disease is determined by attributable effects of resistance rather than by an increase in the number of infections.</t>
  </si>
  <si>
    <t>Feasibility of wireless continuous monitoring of vital signs without using alarms on a general surgical ward: A mixed methods study.</t>
  </si>
  <si>
    <t>Leenen, Jobbe P L; Rasing, Henriëtte J M; van Dijk, Joris D; Kalkman, Cor J; Schoonhoven, Lisette; Patijn, Gijs A</t>
  </si>
  <si>
    <t>https://pubmed.ncbi.nlm.nih.gov/35286354</t>
  </si>
  <si>
    <t>Wireless continuous vital sign monitoring by wearable devices have recently become available for patients on general wards to promote timely detection of clinical deterioration. Many continuous monitoring systems use conventional threshold alarm settings to alert nurses in case of deviating vital signs. However, frequent false alarms often lead to alarm fatigue and inefficiencies in the workplace. The aim of this study was to determine the feasibility of continuous vital sign monitoring without the use of alarms, thereby exclusively relying on interval trend monitoring. This explanatory sequential mixed methods study was conducted at an abdominal surgical ward of a tertiary teaching hospital. Heart rate and respiratory rate of patients were measured every minute by a wearable sensor. Trends were visualized and assessed six times per day by nurses and once a day by doctors during morning rounds. Instead of using alarms we focused exclusively on regular vital sign trend analysis by nurses and doctors. Primary outcome was feasibility in terms of acceptability by professionals, assessed by the Usefulness, Satisfaction and Ease of Use questionnaire and further explored in two focus groups, as well as fidelity. A total of 56 patients were monitored and in 80.5% (n = 536) of nurses' work shifts the trends assessments were documented. All deviating trends (n = 17) were recognized in time. Professionals (N = 46) considered continuous monitoring satisfying (4.8±1.0 on a 1-7 Likert-scale) and were willing to use the technology. Although insight into vital sign trends allowed faster anticipation and action upon changed patient status, professionals were neutral about usefulness (4.4±1.0). They found continuous monitoring easy to use (4.7±0.8) and easy to learn (5.3±1.0) but indicated the need for gaining practical experience. Nurses considered the use of alarms for deviating vital signs unnecessary, when trends were regularly assessed and reported. We demonstrated that continuous vital signs trend monitoring without using alarms was feasible in the general ward setting, thereby avoiding unnecessary alarms and preventing alarm fatigue. When monitoring in a general ward setting, the standard use of alarms may therefore be reconsidered.</t>
  </si>
  <si>
    <t>Nurses' experiences with continuous vital sign monitoring on the general surgical ward: a qualitative study based on the Behaviour Change Wheel.</t>
  </si>
  <si>
    <t>Leenen, J P L; Dijkman, E M; van Hout, A; Kalkman, C J; Schoonhoven, L; Patijn, G A</t>
  </si>
  <si>
    <t>https://pubmed.ncbi.nlm.nih.gov/35287678</t>
  </si>
  <si>
    <t>To support early recognition of clinical deterioration on a general ward continuous vital signs monitoring (CMVS) systems using wearable devices are increasingly being investigated. Although nurses play a crucial role in successful implementation, reported nurse adoption and acceptance scores vary significantly. In-depth insight into the perspectives of nurses regarding CMVS is lacking. To this end, we applied a theoretical approach for behaviour change derived from the Behaviour Change Wheel (BCW). To provide insight in the capability, opportunity and motivation of nurses working with CMVS, in order to inform future implementation efforts. A qualitative study was conducted, including twelve nurses of a surgical ward in a tertiary teaching hospital with previous experience of working with CMVS. Semi-structured interviews were audiotaped, transcribed verbatim, and analysed using thematic analysis. The results were mapped onto the Capability, Opportunity, Motivation - Behaviour (COM-B) model of the BCW. Five key themes emerged. The theme 'Learning and coaching on the job' linked to Capability. Nurses favoured learning about CVSM by dealing with it in daily practice. Receiving bedside guidance and coaching was perceived as important. The theme 'interpretation of vital sign trends' also linked to Capability. Nurses mentioned the novelty of monitoring vital sign trends of patients on wards. The theme 'Management of alarms' linked to Opportunity. Nurses perceived the (false) alarms generated by the system as excessive resulting in feelings of irritation and uncertainty. The theme 'Integration and compatibility with clinical workflow' linked to Opportunity. CVSM was experienced as helpful and easy to use, although integration in mobile devices and the EMR was highly favoured and the management of clinical workflows would need improvement. The theme 'Added value for nursing care' linked to Motivation. All nurses recognized the potential added value of CVSM for postoperative care. Our findings suggest all parts of the COM-B model should be considered when implementing CVSM on general wards. When the themes in Capability and Opportunity are not properly addressed by selecting interventions and policy categories, this may negatively influence the Motivation and may compromise successful implementation.</t>
  </si>
  <si>
    <t>Adherence to the Dutch healthy diet index and change in glycemic control and cardiometabolic markers in people with type 2 diabetes.</t>
  </si>
  <si>
    <t>Bartels, Ehlana Catharina Maria; den Braver, Nicolette Roelina; Borgonjen-van den Berg, Karin Johanna; Rutters, Femke; van der Heijden, Amber; Beulens, Joline Wilhelma Johanna</t>
  </si>
  <si>
    <t>https://pubmed.ncbi.nlm.nih.gov/35284962</t>
  </si>
  <si>
    <t>To investigate whether adherence to the Dutch Healthy Diet index 2015 (DHD15-index) is associated with change in glycemic control and cardio-metabolic markers over two-year follow-up in people with type 2 diabetes (T2D). This prospective cohort study included 1202 individuals with T2D (mean age 68.7 ± 9.0 years; 62.5% male; mean HbA1c 53.8 ± 11.7 mmol/mol) from the Diabetes Care System cohort. Baseline dietary intake was assessed using a validated food frequency questionnaire, and adherence to the DHD15-index was estimated (range 0-130). HbA1c, fasting glucose, blood lipids (HDL and LDL cholesterol, cholesterol ratio), blood pressure, estimated glomerular filtration rate (eGFR), and BMI were measured at baseline, and after one- and two-year follow-up. Linear mixed model analyses were conducted to examine the associations between adherence to the DHD15-index and glycemic control and the cardio-metabolic outcomes, adjusting for energy intake, sociodemographic and lifestyle characteristics, and medication. Highest adherence (T3) to the DHD15-index was not associated with change in HbA1c, compared to lowest adherence (T1) [β&lt;sub&gt;T3vsT1&lt;/sub&gt;: 0.62 mmol/mol (- 0.94; 2.19), P&lt;sub&gt;trend&lt;/sub&gt; = 0.44]. There was a non-linear association with fasting glucose, where moderate adherence (T2) was associated with a decrease in fasting glucose [β&lt;sub&gt;T2vsT1&lt;/sub&gt;: - 0.29 mmol/L (- 0.55; - 0.03), P&lt;sub&gt;trend&lt;/sub&gt; = 0.30]. Higher adherence to the DHD15-index was associated with a decrease in BMI [β&lt;sub&gt;10point&lt;/sub&gt;: - 0.41 kg/m&lt;sup&gt;2&lt;/sup&gt; (- 0.60; - 0.21), P&lt;sub&gt;trend&lt;/sub&gt; &lt; 0.001], but not with blood lipids, blood pressure or kidney function. In this well-controlled population of people with T2D, adherence to the DHD15-index was associated with a decrease in BMI, but not with change in glycemic control or other cardio-metabolic parameters.</t>
  </si>
  <si>
    <t>Controversies and evidence on Chlamydia testing and treatment in asymptomatic women and men who have sex with men: a narrative review.</t>
  </si>
  <si>
    <t>Dukers-Muijrers, Nicole H T M; Evers, Ymke J; Hoebe, Christian J P A; Wolffs, Petra F G; de Vries, Henry J C; Hoenderboom, Bernice; van der Sande, Marianne A B; Heijne, Janneke; Klausner, Jeffrey D; Hocking, Jane S; van Bergen, Jan</t>
  </si>
  <si>
    <t>https://pubmed.ncbi.nlm.nih.gov/35287617</t>
  </si>
  <si>
    <t>Chlamydia trachomatis (CT) is the most common bacterial sexually transmitted infection (STI) worldwide. CT is mainly asymptomatic. Test-and-treat strategies are widely implemented to prevent transmission and complications. Strategies are not without controversy in asymptomatic women and men who have sex with men (MSM). Concerns are emerging to test and treat asymptomatic persons for urogenital CT ('Controversy 1') and pharyngeal or rectal CT ('Controversy 2'), whereby testing symptomatic persons is not under debate. Opposed views in CT treatment involve using azithromycin versus doxycycline ('Controversy 3'). The objective of this review is to provide coverage of these public health and clinical controversies by reviewing the current scientific evidence. A literature search was performed using PubMed for relevant publications between 2018 and September 2021, and iterative retrieval of additional relevant publications. Controversy 1. In women, the majority of asymptomatic CT are at the urogenital site, and detections mostly include viable CT. CT easily transmits to a partner and potentially also between the vaginal and rectal areas; the clinical impact of urogenital CT is established, although risks for adverse outcomes are uncertain. Wide-scale testing in asymptomatic women has not resulted in reduced prevalence. In MSM, evidence for the clinical impact of asymptomatic urogenital CT is lacking. Controversy 2. Rectal CT is common in women diagnosed with urogenital CT, but the clinical impact of asymptomatic rectal CT is uncertain. In MSM, rectal CT is common, and most CT infections are at the rectal site, yet the risk of longer term complications is unknown. In both sexes, pharyngeal CT is uncommon and has no documented clinical impact. Controversy 3. In the treatment of rectal CT, doxycycline has superior effectiveness to azithromycin. Evidence has also accumulated on the harms of test-and-treat strategies. Current practices vary widely, from widescale test-and-treat approaches to more individual patient- and partner-level case management. Choosing which asymptomatic people to test at what anatomic site, and whether to test or not, requires an urgent (re-)definition of the goals of testing and treating asymptomatic persons. Treatment guidelines are shifting toward universal doxycycline use, and clinical practice now faces the challenge of implementation.</t>
  </si>
  <si>
    <t>Airborne SARS-CoV-2 RNA excretion by patients with COVID-19 on different oxygen-delivery systems: a prospective observational study.</t>
  </si>
  <si>
    <t>Janssen, M L; Klazen, Y P; de Man, P; Hanselaar, W; Ong, D S Y; Wils, E-J</t>
  </si>
  <si>
    <t>the journal of hospital infection</t>
  </si>
  <si>
    <t>https://pubmed.ncbi.nlm.nih.gov/35288255</t>
  </si>
  <si>
    <t>Concerns persist regarding the risk of airborne SARS-CoV-2 transmission by patients with COVID-19 on various modalities of oxygen therapy, such as high-flow nasal cannula (HFNC). We aimed to compare the presence of airborne RNA in air samples between groups of patients with COVID-19 on different oxygen-delivery systems. We also explored factors that were associated with SARS-CoV-2 RNA positivity in air samples. Air samples were positive for SARS-CoV-2 RNA in three of 39 patients (8%) on HFNC, 0 of 13 (0%) on masks, versus five of 20 (25%) on nasal cannula. Odds ratio for air sample positivity was 0.52 (95% confidence interval (CI) 0.11-2.34) when comparing HFNC vs non-HFNC group, and 5.78 (1.24-27.01) for nasal cannula vs non-nasal cannula group. Patients with positive air samples in comparison with those with negative air samples were sampled earlier after symptoms onset (median: 7 vs 10 days; P=0.04) and had lower Ct values of diagnostic nasopharyngeal samples (median: 22 vs 26; P=0.02). Air sample positivity was not related to oxygen support device but to viral load. These data suggest that the use of personal protection equipment should be based on risk management according to viral load rather than oxygen support device.</t>
  </si>
  <si>
    <t>Genetic variants associated with low-density lipoprotein cholesterol and systolic blood pressure and the risk of recurrent cardiovascular disease in patients with established vascular disease.</t>
  </si>
  <si>
    <t>Groenland, Eline H; Heidemann, Britt E; van der Laan, Sander W; van Setten, Jessica; Koopal, Charlotte; Bots, Michiel L; Asselbergs, Folkert W; Visseren, Frank L J; Spiering, Wilko; ,</t>
  </si>
  <si>
    <t>https://pubmed.ncbi.nlm.nih.gov/35317921</t>
  </si>
  <si>
    <t>Polygenic risk scores (PRSs) can be used to quantify the effect of genetic contribution to LDL-cholesterol (LDL-C) and systolic blood pressure (SBP). Several PRSs for LDL-C and SBP have been shown to be associated with cardiovascular disease (CVD) in the general population. This study aimed to evaluate the effect of an LDL-C PRS and an SBP PRS on the risk of recurrent CVD in patients with CVD. Genotyping was performed in 4,416 patients included in the UCC-SMART study. Weighted LDL-C PRS (279 LDL-C-related SNPs) and SBP PRS (425 SBP-related SNPs) were calculated. Linear regression models were used to evaluate the relation between both PRSs and LDL-C and SBP. The effects of the LDL-C PRS and SBP PRS, and its combination on the risk of recurrent CVD (stroke, myocardial infarction, and vascular death) were analyzed with Cox proportional-hazard models. Per SD increase in LDL-C PRS, LDL-C increased by 0.18 mmol/L (95%CI 0.15-0.21). Per SD increase in SBP PRS, SBP increased by 3.19 mmHg (95%CI 2.60-3.78). During a follow-up of 11.7 years (IQR 9.2-15.0) 1,198 recurrent events occurred. Neither the LDL-C nor the SBP PRS were associated with recurrent CVD (HR 1.05 per SD increase in LDL-C PRS (95%CI 0.99-1.11) and HR 1.04 per SD increase in SBP PRS (95%CI 0.98-1.10)). The combination of both scores was neither associated with recurrent CVD (HR 1.09; 95%CI 0.93-1.28). In patients with vascular disease, LDL-C PRS and SBP PRS, both separately and in combination, were not significantly associated with recurrent CVD.</t>
  </si>
  <si>
    <t>Hospitalisation costs and health related quality of life in delirious patients: a scoping review.</t>
  </si>
  <si>
    <t>van Lieshout, Chris; Schuit, Ewoud; Hermes, Carsten; Kerrigan, Matthew; Frederix, Geert W J</t>
  </si>
  <si>
    <t>https://pubmed.ncbi.nlm.nih.gov/35288063</t>
  </si>
  <si>
    <t>Delirium is a common condition of a global disturbance of cognition, triggered by underlying diseases. The objective of this study is to review the current evidence in the literature on direct healthcare costs and health-related quality of life (HRQOL) associated with delirium. A systematic search was conducted in PubMed and Embase for relevant studies published between January 1, 2010 and November 4, 2021. Studies for inclusion reported estimates on healthcare costs or HRQOL, adjusted for relevant confounding factors. Fourteen studies on healthcare costs and eleven studies on HRQOL were included. Delirium resulted in (adjusted) increased costs ranging from $1,532 to $22,269 depending on included cost categories, the country and the type of hospital department. Increased length of stay for delirious patients ranged from 2.5 days to 10.4 days and had the largest contribution to overall, direct incremental costs. Heterogeneity was observed in HRQOL outcomes. The analysis indicates that the presence of a delirium episode may lead to increased costs of hospitalisation. Changes in HRQOL due to delirium are not well demonstrated and more research is needed to determine the effect of delirium on HRQOL.</t>
  </si>
  <si>
    <t>Systematic review and non-inferiority meta-analysis of randomised phase II/III trials on S-1-based therapy versus 5-fluorouracil- or capecitabine-based therapy in the treatment of patients with metastatic colorectal cancer.</t>
  </si>
  <si>
    <t>Derksen, Jeroen W G; Smit, Karel C; May, Anne M; Punt, Cornelis J A</t>
  </si>
  <si>
    <t>https://pubmed.ncbi.nlm.nih.gov/35279472</t>
  </si>
  <si>
    <t>S-1 is an oral fluoropyrimidine that is increasingly used in Western countries for the treatment of metastatic colorectal cancer (mCRC). We conducted a non-inferiority meta-analysis on the efficacy of S-1-based therapy versus 5-fluorouracil (5-FU)- or capecitabine-based therapy in the treatment of patients with mCRC. MEDLINE, Embase, the Cochrane Central Register of Controlled Trials and Opengrey were searched for randomised clinical trials until May 2021. Data were extracted for progression-free survival (PFS), overall survival (OS), objective response rate (ORR) and adverse events. Pooled effect estimates, stratified by treatment line, with corresponding 99% confidence intervals (CI) were presented. For PFS, a pre-defined non-inferiority margin (ΔNI) of 1.25 was selected. Ten studies (n = 2117) were included, of which six studies reported PFS and OS data and 10 studies reported ORR data. S-1-based therapy was shown to be non-inferior to 5-FU/capecitabine-based therapy in terms of PFS (HR&lt;sub&gt;total&lt;/sub&gt; 0.95, 99% CI 0.83-1.08) with its CI upper limit well below ΔNI, and at least as efficacious in terms of OS (HR&lt;sub&gt;total&lt;/sub&gt; 0.93, 99% CI 0.81-1.07), and ORR (RR&lt;sub&gt;total&lt;/sub&gt; 1.06, 99% CI 0.90-1.24). S-1-based therapy is non-inferior to 5-FU/capecitabine-based therapy in the treatment of mCRC regarding PFS and at least as efficacious as 5-FU/capecitabine-based therapy in terms of ORR and OS. These data support the use of S-1 in mCRC patients who are intolerant to 5-FU/capecitabine-based treatment.</t>
  </si>
  <si>
    <t>Factors determining development of researchers within a research network on cancer diagnosis in primary care (CanTest): an interview study.</t>
  </si>
  <si>
    <t>de Groot, Esther; Vermond, Debbie; Sills, Valerie A; Mol, Saskia S L; Walter, Fiona M; Rubin, Greg; de Wit, Niek J</t>
  </si>
  <si>
    <t>https://pubmed.ncbi.nlm.nih.gov/35273039</t>
  </si>
  <si>
    <t>Developing connections with other researchers in a network, learning informally through these connections and using them to reach goals, is expected to increase research capacity and strengthen performance. So far, this has not been empirically demonstrated. We assessed what and how network collaboration adds to development of researchers. Exploratory qualitative study using semistructured online interviews, analysed by inductive and deductive methods. For the deductive analysis, an existing value creation framework to study informal learning in networks was used and adjusted to our context. The CanTest Collaborative-an international team of primary care cancer researchers working on early detection and diagnosis of cancer. Sixteen primary care cancer researchers. Connections with other researchers in an international network created diverse value cycles, where most outcomes were in the potential value cycle, acquiring knowledge, skills, social capital, resources and ideas. Not all potential value will be applied but many interviewees described realised as well as transformational value. In our context, the transformational value from the framework appeared to be related to other perspectives on the research process. Advancement of the network depends on opportunities, timing, role models and connections between different perspectives. Focus on the factors that are relevant for network advancement will support researchers in early detection and diagnosis of cancer research patients who participate in an international network and bring sustainable change in this domain. When, subsequently, researchers in the CanTest network bring about more realised and transformational learning outcomes, this will contribute to capacity development.</t>
  </si>
  <si>
    <t>Trends for Readmission and Mortality After Heart Failure Hospitalisation in Malaysia, 2007 to 2016.</t>
  </si>
  <si>
    <t>Lim, Yvonne Mei Fong; Ong, Su Miin; Koudstaal, Stefan; Hwong, Wen Yea; Liew, Houng Bang; Rajadurai, Jeyamalar; Grobbee, Diederick E; Asselbergs, Folkert W; Sivasampu, Sheamini; Vaartjes, Ilonca</t>
  </si>
  <si>
    <t>https://pubmed.ncbi.nlm.nih.gov/35342695</t>
  </si>
  <si>
    <t>Data on population-level outcomes after heart failure (HF) hospitalisation in Asia is sparse. This study aimed to estimate readmission and mortality after hospitalisation among HF patients and examine temporal variation by sex and ethnicity. Data for 105,399 patients who had incident HF hospitalisations from 2007 to 2016 were identified from a national discharge database and linked to death registration records. The outcomes assessed here were 30-day readmission, in-hospital, 30-day and one-year all-cause mortality. Eighteen percent of patients (n = 16786) were readmitted within 30 days. Mortality rates were 5.3% (95% confidence interval (CI) 5.1-5.4%), 11.2% (11.0-11.4%) and 33.1% (32.9-33.4%) for in-hospital, 30-day and 1-year mortality after the index admission. Age, sex and ethnicity-adjusted 30-day readmissions increased by 2% per calendar year while in-hospital and 30-day mortality declined by 7% and 4% per year respectively. One-year mortality rates remained constant during the study period. Men were at higher risk of 30-day readmission (adjusted rate ratio (RR) 1.16, 1.13-1.20) and one-year mortality (RR 1.17, 1.15-1.19) than women. Ethnic differences in outcomes were evident. Readmission rates were equally high in Chinese and Indians relative to Malays whereas Others, which mainly comprised Indigenous groups, fared worst for in-hospital and 30-day mortality with RR 1.84 (1.64-2.07) and 1.3 (1.21-1.41) relative to Malays. Short-term survival was improving across sex and ethnic groups but prognosis at one year after incident HF hospitalisation remained poor. The steady increase in 30-day readmission rates deserves further investigation.</t>
  </si>
  <si>
    <t>Operational definition of self-care interventions for adults with chronic illness.</t>
  </si>
  <si>
    <t>Riegel, Barbara; Westland, Heleen; Freedland, Kenneth E; Lee, Christopher S; Stromberg, Anna; Vellone, Ercole; Jaarsma, Tiny</t>
  </si>
  <si>
    <t>https://pubmed.ncbi.nlm.nih.gov/35344837</t>
  </si>
  <si>
    <t>Structured diabetes self-management education and glycaemic control in low- and middle-income countries: A systematic review.</t>
  </si>
  <si>
    <t>Lamptey, Roberta; Robben, Maud P; Amoakoh-Coleman, Mary; Boateng, Daniel; Grobbee, Diederick E; Davies, Melanie J; Klipstein-Grobusch, Kerstin</t>
  </si>
  <si>
    <t>https://pubmed.ncbi.nlm.nih.gov/35179792</t>
  </si>
  <si>
    <t>To determine the association between structured diabetes self-management education (DSME) and glycaemic control in persons living with diabetes (PLD) in low- and middle-income countries (LMICs). PubMed, Embase and Cochrane databases were searched up to June 2020 for intervention studies on the effect of structured DSME on glycaemic control in PLD in LMICs (PROSPERO registration CRD42020164857). The primary outcome was reduction in glycated haemoglobin. Included studies were assessed for risk of bias (RoB) with the Cochrane RoB tool for randomised trials. Findings were summarized in a narrative synthesis. Out of 154 abstracts retrieved and screened for eligibility, nine studies with a total of 1389 participants were included in the review. The structured DSME interventions were culturally tailored and were delivered in-person. They were associated with reductions in glycated haemoglobin in all studies: mean/median reduction ranged between 0.5% and 2.6% relative to baseline. There is a dearth of literature on the association between structured DSME and glycaemic control among PLD in LMICs. The evidence available suggests that in LMICs; particularly in sub-Saharan Africa, structured DSME is associated with reduction in glycated haemoglobin. We recommend further intervention studies on the effects of structured DSME in LMICs.</t>
  </si>
  <si>
    <t>External validation of the MSKCC nomogram to estimate five-year overall survival after surgery for stage I-III colon cancer in a Dutch population.</t>
  </si>
  <si>
    <t>Bond, Marinde J G; Hamers, Patricia A H; Vink, Geraldine R; van Grevenstein, Wilhelmina M U; Laclé, Miangela M; van Smeden, Maarten; Koopman, Miriam; Roodhart, Jeanine M L; Punt, Cornelis J A; May, Anne M</t>
  </si>
  <si>
    <t>acta oncologica stockholm sweden</t>
  </si>
  <si>
    <t>https://pubmed.ncbi.nlm.nih.gov/35253593</t>
  </si>
  <si>
    <t>The Memorial Sloan Kettering Cancer Centre (MSKCC) nomogram has been developed to estimate five-year overall survival (OS) after curative-intent surgery of colon cancer based on age, sex, T stage, differentiation grade, number of positive and examined regional lymph nodes. This is the first evaluation of the performance of the MSKCC model in a European population regarding prediction of OS. Population-based data from patients with stage I-III colon cancer diagnosed between 2010 and 2016 were obtained from the Netherlands Cancer Registry (NCR) for external validation of the MSKCC prediction model. Five-year survival probabilities were estimated for all patients in our dataset by using the MSKCC prediction equation. Histogram density plots were created to depict the distribution of the estimated probability and prognostic index. The performance of the model was evaluated in terms of its overall performance, discrimination, and calibration. A total of 39,805 patients were included. Five-year OS was 71.9% (95% CI 71.5; 72.3) (11,051 events) with a median follow up of 5.6 years (IQR 4.1; 7.7). The Brier score was 0.10 (95% CI 0.10; 0.10). The C-index was 0.75 (95% CI 0.75; 0.76). The calibration measures and plot indicated that the model slightly overestimated observed mortality (observed/expected ratio = 0.86 [95% CI 0.86; 0.87], calibration intercept = -0.14 [95% CI -0.16; -0.11], and slope 1.07 [95% CI 1.05; 1.09], ICI = 0.04, E50 = 0.04, and E90 = 0.05). The external validation of the MSKCC prediction nomogram in a large Dutch cohort supports the use of this practical tool in the European patient population. These personalised estimated survival probabilities may support clinicians when informing patients about prognosis. Adding potential relevant prognostic factors to the model, such as primary tumour location, might further improve the model.</t>
  </si>
  <si>
    <t>Age is the main determinant of COVID-19 related in-hospital mortality with minimal impact of pre-existing comorbidities, a retrospective cohort study.</t>
  </si>
  <si>
    <t>Henkens, M T H M; Raafs, A G; Verdonschot, J A J; Linschoten, M; van Smeden, M; Wang, P; van der Hooft, B H M; Tieleman, R; Janssen, M L F; Ter Bekke, R M A; Hazebroek, M R; van der Horst, I C C; Asselbergs, F W; Magdelijns, F J H; Heymans, S R B; ,</t>
  </si>
  <si>
    <t>https://pubmed.ncbi.nlm.nih.gov/35247983</t>
  </si>
  <si>
    <t>Age and comorbidities increase COVID-19 related in-hospital mortality risk, but the extent by which comorbidities mediate the impact of age remains unknown. In this multicenter retrospective cohort study with data from 45 Dutch hospitals, 4806 proven COVID-19 patients hospitalized in Dutch hospitals (between February and July 2020) from the CAPACITY-COVID registry were included (age 69[58-77]years, 64% men). The primary outcome was defined as a combination of in-hospital mortality or discharge with palliative care. Logistic regression analysis was performed to analyze the associations between sex, age, and comorbidities with the primary outcome. The effect of comorbidities on the relation of age with the primary outcome was evaluated using mediation analysis. In-hospital COVID-19 related mortality occurred in 1108 (23%) patients, 836 (76%) were aged ≥70 years (70+). Both age 70+ and female sex were univariably associated with outcome (odds ratio [OR]4.68, 95%confidence interval [4.02-5.45], OR0.68[0.59-0.79], respectively;both p&lt;  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OR0.65[0.55-0.75], DM OR1.47[1.26-1.72], CKD OR1.61[1.32-1.97], COPD OR1.30[1.07-1.59]). Pre-existing comorbidities in older patients negligibly (&lt;6% in all comorbidities) mediated the association between higher age and outcome. Age is the main determinant of COVID-19 related in-hospital mortality, with negligible mediation effect of pre-existing comorbidities. CAPACITY-COVID ( NCT04325412 ).</t>
  </si>
  <si>
    <t>Time interval between diagnostic excision-biopsy of a primary melanoma and sentinel node biopsy: effects on the sentinel node positivity rate and survival outcomes.</t>
  </si>
  <si>
    <t>El Sharouni, Mary-Ann; Scolyer, Richard A; van Gils, Carla H; Ch'ng, Sydney; Nieweg, Omgo E; Pennington, Thomas E; Saw, Robyn P M; Shannon, Kerwin; Spillane, Andrew; Stretch, Jonathan; Witkamp, Arjen J; Sigurdsson, Vigfús; Thompson, John F; van Diest, Paul J; Lo, Serigne N</t>
  </si>
  <si>
    <t>https://pubmed.ncbi.nlm.nih.gov/35256245</t>
  </si>
  <si>
    <t>The optimal time interval between diagnostic excision of a primary cutaneous melanoma and sentinel node (SN) biopsy is unknown. The current study sought to determine whether this interval influenced the SN-positivity rate, recurrence or survival. Data collected from 2004 to 2014 for a Dutch population-based cohort of patients with melanoma who underwent SN biopsy (SNB) within 100 days of initial diagnosis (n = 7660) and for a similarly specified cohort from a large Australian melanoma treatment centre (n = 3478) were analysed. Time to SNB was analysed continuously (in weeks) and categorically (per month). The effects of SNB timing on SN-positivity were assessed using multivariable logistic regression, and its effects on recurrence-free survival (RFS) and overall survival (OS) were assessed using Cox proportional hazard regression analyses. Advanced modelling using a multivariable Cox model with penalised splines for modelling the continuous effects of time to SNB on RFS and OS was also performed. In neither the Dutch nor the Australian cohort was there a significant association between time to SNB and SN-positivity in either cohort, nor was there an impact of time to SNB on RFS or OS in either cohort. The spline-based HR curves for RFS and OS confirmed these findings. The time interval between diagnostic excision of a primary melanoma and SNB did not influence the SN-positivity rate or survival outcomes. This provides reassurance that neither early nor delayed definitive wide excision and SNB will adversely affect prognosis.</t>
  </si>
  <si>
    <t>Does vitamin K crack calcification in the Chronic Renal Insufficiency Cohort (CRIC)?</t>
  </si>
  <si>
    <t>Beulens, Joline W J; Vervloet, Marc</t>
  </si>
  <si>
    <t>https://pubmed.ncbi.nlm.nih.gov/35134829</t>
  </si>
  <si>
    <t>Population-based estimates of overtreatment with adjuvant systemic therapy in early breast cancer patients with data from the Netherlands and the USA.</t>
  </si>
  <si>
    <t>Ragusi, M A A; van der Velden, B H M; van Maaren, M C; van der Wall, E; van Gils, C H; Pijnappel, R M; Gilhuijs, K G A; Elias, S G</t>
  </si>
  <si>
    <t>https://pubmed.ncbi.nlm.nih.gov/35239071</t>
  </si>
  <si>
    <t>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</si>
  <si>
    <t>Long-Term Safety Data on S-1 Administered After Previous Intolerance to Capecitabine-Containing Systemic Treatment for Metastatic Colorectal Cancer.</t>
  </si>
  <si>
    <t>Punt, Cornelis J A; Kwakman, Johannes J M; Mol, Linda; ,</t>
  </si>
  <si>
    <t>https://pubmed.ncbi.nlm.nih.gov/35341693</t>
  </si>
  <si>
    <t>The oral fluoropyrimidine S-1 has shown comparable efficacy to capecitabine in Asian and some Western studies on metastatic colorectal cancer. S-1 is associated with a lower incidence of hand-foot syndrome (HFS) and cardiac toxicity. We assessed the long-term tolerability of S-1 in patients who discontinued capecitabine for reasons of HFS or cardiac toxicity. Patients with metastatic colorectal cancer who switched from capecitabine to S-1, given as monotherapy or in combination with other agents, were identified in a Dutch prospective cohort study (2016-2021). The incidence and severity of HFS, cardiotoxicity and other toxicities were assessed. Forty-seven patients were identified. The median duration of capecitabine treatment was 81 days (range 4-454). In 19 patients (40%) a dose reduction was applied prior to switch to S-1. Reasons for discontinuation of capecitabine were HFS in 36 (77%) patients, coronary artery vasospasms in 10 (21%) patients, and gastrointestinal toxicities in 1 patient (2%). The median number of S-1 cycles was 6 (range 1-36). The median time between last dose of capecitabine and first dose of S-1 was 11 days (range 1-49). After switch to S-1, all patients with prior HFS developed a lower grade or complete resolution of symptoms, and in all other patients symptoms did not recur. Other S-1-related adverse events were limited to grade 1-2. Six patients (13%) discontinued S-1 due to either known fluoropyrimidine-related or bevacizumab-related toxicities. Switch to S-1 did not appear to compromise treatment efficacy. S-1 is a valid alternative to capecitabine in case HFS or cardiotoxicity occurs.</t>
  </si>
  <si>
    <t>Prediagnosis Leisure-Time Physical Activity and Lung Cancer Survival: A Pooled Analysis of 11 Cohorts.</t>
  </si>
  <si>
    <t>Yang, Jae Jeong; Yu, Danxia; White, Emily; Lee, Dong Hoon; Blot, William; Robien, Kim; Sinha, Rashmi; Park, Yikyung; Takata, Yumie; Gao, Yu-Tang; Smith-Byrne, Karl; Monninkhof, Evelyn M; Kaaks, Rudolf; Langhammer, Arnulf; Borch, Kristin Benjaminsen; Al-Shaar, Laila; Lan, Qing; Sørgjerd, Elin Pettersen; Zhang, Xuehong; Zhu, Clair; Chirlaque, María Dolores; Severi, Gianluca; Overvad, Kim; Sacerdote, Carlotta; Aune, Dagfinn; Johansson, Mattias; Smith-Warner, Stephanie A; Zheng, Wei; Shu, Xiao-Ou</t>
  </si>
  <si>
    <t>jnci cancer spectrum</t>
  </si>
  <si>
    <t>https://pubmed.ncbi.nlm.nih.gov/35603841</t>
  </si>
  <si>
    <t>Little is known about the association between physical activity before cancer diagnosis and survival among lung cancer patients. In this pooled analysis of 11 prospective cohorts, we investigated associations of prediagnosis leisure-time physical activity (LTPA) with all-cause and lung cancer-specific mortality among incident lung cancer patients. Using self-reported data on regular engagement in exercise and sports activities collected at study enrollment, we assessed metabolic equivalent hours (MET-h) of prediagnosis LTPA per week. According to the Physical Activity Guidelines for Americans, prediagnosis LTPA was classified into inactivity, less than 8.3 and at least 8.3 MET-h per week (the minimum recommended range). Cox regression was used to estimate hazard ratios (HRs) and 95% confidence interval (CIs) for all-cause and lung cancer-specific mortality after adjustment for major prognostic factors and lifetime smoking history. Of 20 494 incident lung cancer patients, 16 864 died, including 13 596 deaths from lung cancer (overall 5-year relative survival rate = 20.9%, 95% CI = 20.3% to 21.5%). Compared with inactivity, prediagnosis LTPA of more than 8.3 MET-h per week was associated with a lower hazard of all-cause mortality (multivariable-adjusted HR = 0.93, 95% CI = 0.88 to 0.99), but not with lung cancer-specific mortality (multivariable-adjusted HR = 0.99, 95% CI = 0.95 to 1.04), among the overall population. Additive interaction was found by tumor stage (Pinteraction = .008 for all-cause mortality and .003 for lung cancer-specific mortality). When restricted to localized cancer, prediagnosis LTPA of at least 8.3 MET-h per week linked to 20% lower mortality: multivariable-adjusted HRs were 0.80 (95% CI = 0.67 to 0.97) for all-cause mortality and 0.80 (95% CI = 0.65 to 0.99) for lung cancer-specific mortality. Regular participation in LTPA that met or exceeded the minimum Physical Activity Guidelines was associated with reduced hazards of mortality among lung cancer patients, especially those with early stage cancer.</t>
  </si>
  <si>
    <t>Differences in Symptom Presentation in Women and Men with Confirmed Lower Limb Peripheral Artery Disease: A Systematic Review and Meta-Analysis.</t>
  </si>
  <si>
    <t>Porras, Cindy P; Bots, Michiel L; Teraa, Martin; van Doorn, Sander; Vernooij, Robin W M</t>
  </si>
  <si>
    <t>https://pubmed.ncbi.nlm.nih.gov/35248439</t>
  </si>
  <si>
    <t>To evaluate the differences in symptoms between men and women that present with lower limb peripheral artery disease (PAD). Systematic review and meta-analysis using PubMed, EMBASE, and the Cochrane Library. A systematic search of the literature to identify studies that examined PAD and its symptoms using PubMed, EMBASE, and the Cochrane Library, which were screened in duplicate by two reviewers. Information on study design, source of data, population characteristics, and outcomes of interest was extracted and used the Newcastle-Ottawa Scale and Cochrane risk of bias tool. Quality of evidence was rated using the GRADE methodology. Estimates of relative effects were pooled to generate pooled odds ratios (OR) and their 95% confidence interval (CI) using a random effects model. Thirteen cross sectional studies, six cohorts, one case control, and one randomised clinical trial, reporting on 1 929 966 patients with confirmed PAD (established by clinical history, clinical examination, and/or ankle brachial index, or further tests) were included. Women presented less often with intermittent claudication than men (25.9% vs. 30.2%) OR 0.78 (95% CI 0.72 - 0.84, very low quality of evidence), while rest pain and atypical leg symptoms were more prevalent in women (12.8% vs. 9.2%) OR 1.40 (95% CI 1.22 - 1.60, very low quality of evidence) and (22.8% vs. 19.8%) OR 1.18 (95% CI 0.96 - 1.45, very low quality of evidence), respectively. Women with PAD more often present with rest pain, while their prevalence of intermittent claudication is lower. They also tend to present more often with atypical leg symptoms. This study underlines that PAD symptom presentation differs between the sexes. Therefore, clinicians and researchers should not consider men and women as a single population and report their data separately.</t>
  </si>
  <si>
    <t>Performance of C-Reactive Protein, Procalcitonin, TAT Complex, and Factor VIII in Addition to D-Dimer in the Exclusion of Venous Thromboembolism in Primary Care Patients.</t>
  </si>
  <si>
    <t>Heerink, Jorn S; Gemen, Eugenie; Oudega, Ruud; Geersing, Geert-Jan; Hopstaken, Rogier; Kusters, Ron</t>
  </si>
  <si>
    <t>https://pubmed.ncbi.nlm.nih.gov/34597379</t>
  </si>
  <si>
    <t>In primary care, D-dimer-combined with a clinical assessment-is recommended for ruling-out venous thromboembolism (VTE). However, D-dimer testing frequently yields false-positive results, notably in the elderly, and the search for novel biomarkers thus continues. We assessed the added diagnostic value of 4 promising laboratory tests. Plasma samples from 256 primary care patients suspected of VTE were collected. We explored added value (beyond D-dimer) of C-reactive protein (CRP), procalcitonin (PCT), thrombin-antithrombin III complex (TAT-c), and factor VIII (FVIII). Diagnostic performance of these biomarkers was assessed univariably and by estimating their area under the receiver operating curve (AUC). Added diagnostic potential beyond D-dimer testing was assessed using multivariable logistic regression. Plasma samples of 237 VTE-suspected patients were available for analysis-36 patients (25%) confirmed deep vein thrombosis, 11 patients (12%) pulmonary embolism. Apart from D-dimer, only CRP, and FVIII levels appeared to be higher in patients with VTE compared to patients without VTE. The AUCs for these 3 markers were 0.76 (95% CI: 0.69-0.84) and 0.75 (95% CI: 0.68-0.83), respectively, whereas the AUC for D-dimer was 0.90 (95% CI: 0.86-0.94). Combining these biomarkers in a multivariable logistic model with D-dimer did not improve these AUCs meaningfully. In our dataset, we were unable to demonstrate any added diagnostic performance beyond D-dimer testing of novel biomarkers in patients suspected of VTE in primary care. As such, D-dimer testing appears to remain the best choice in the exclusion of clinically suspected VTE in this setting. Netherlands Trial Register NL5974. (METC protocol number: 16-356/M; NL56475.041.16.).</t>
  </si>
  <si>
    <t>Association Between Adherence to Clinical Practice Guidelines for Adjuvant Therapy for Breast Cancer and Survival in a Resource-Limited Setting.</t>
  </si>
  <si>
    <t>Song, Chin Vern; Yip, Cheng-Har; Mohd Taib, Nur Aishah; See, Mee Hoong; Teoh, Li Ying; Monninkhof, Evelyn M; Saad, Marniza; Uiterwaal, Cuno S P M; Bhoo-Pathy, Nirmala</t>
  </si>
  <si>
    <t>jco global oncology</t>
  </si>
  <si>
    <t>https://pubmed.ncbi.nlm.nih.gov/35245099</t>
  </si>
  <si>
    <t>Addressing unwarranted clinical variation in oncology practices is expected to lead to improved cancer outcomes. Particularly, the application and impact of treatment guidelines on breast cancer outcomes are poorly studied in resource-limited settings. We measured adherence to a set of locally developed adjuvant treatment guidelines in a middle-income setting. Importantly, the impact of guidelines adherence on survival following breast cancer was determined. Data of 3,100 Malaysian women with nonmetastatic breast cancer diagnosed between 2010 and 2017 were analyzed. Adherence to the Malaysian Clinical Practice Guidelines for Management of Breast Cancer second Edition was measured. Outcomes comprised overall survival and event-free survival. Guideline adherence for chemotherapy, radiotherapy, hormonal therapy, and targeted therapy were 61.7%, 79.2%, 85.1%, and 26.2%, respectively. Older age was generally associated with lower adherence to guidelines. Compared with patients who were treated according to treatment guidelines, overall survival and event-free survival were substantially lower in patients who were not treated accordingly; hazard ratios for all-cause mortality were 1.69 (95% CI, 1.29 to 2.22), 2.59 (95% CI, 1.76 to 3.81), 3.08 (95% CI, 1.94 to 4.88), and 4.48 (95% CI, 1.98 to 10.13) for chemotherapy, radiotherapy, hormone therapy, and targeted therapy, respectively. Study inferences remain unchanged following sensitivity analyses. Our study findings appear to suggest that adherence to treatment guidelines that have been adapted for resource-limited settings may still provide effective guidance in improving breast cancer outcomes.</t>
  </si>
  <si>
    <t>Atrial fibrillation: trends in prevalence and antithrombotic prescriptions in the community.</t>
  </si>
  <si>
    <t>Joosten, L P T; de Boer, A R; van Eerde, E J B; van Doorn, S; Hoes, A W; Bots, M L; Rutten, F H; Geersing, G J</t>
  </si>
  <si>
    <t>https://pubmed.ncbi.nlm.nih.gov/35230637</t>
  </si>
  <si>
    <t>In the past decade, the atrial fibrillation (AF) landscape, including the treatment modalities, has drastically changed. This raises the question how AF prevalence and choices in antithrombotic therapy prescription have developed in the community over time. Routine care data from the Julius General Practitioners' Network (JGPN) were used to calculate the yearly prevalence of AF and to quantify the percentage of all patients who were prescribed a platelet inhibitor, vitamin K antagonist (VKA), non-VKA oral anticoagulant (NOAC) or no antithrombotic medication. To explore whether certain patient characteristics are associated with selective prescription of oral anticoagulants (OAC), we applied logistic regression analyses. From 2008 through 2017, the JGPN database included 7459 unique AF patients. During this period, the prevalence of AF increased from 0.4% to 1.4%. The percentage of patients prescribed a VKA declined from 47% to 41%, whereas the percentage of patients prescribed a NOAC rose from 0% to 20%. In patients with new-onset AF, older age, heart failure, diabetes mellitus, vascular disease and dementia were independently associated with a higher likelihood of VKA rather than NOAC prescription. In 2017, 25% of all patients with AF and a CHA&lt;sub&gt;2&lt;/sub&gt;DS&lt;sub&gt;2&lt;/sub&gt;-VASc score ≥ 2 were not prescribed OAC therapy (i.e. 8% with platelet inhibitor monotherapy and 17% without any antithrombotic therapy). Between 2008 and 2017, AF prevalence in the community more than tripled. Prescription patterns showed possible 'channelling' of VKAs over NOACs in frailer, elderly patients, whereas still about one in every four AF patients with a CHA&lt;sub&gt;2&lt;/sub&gt;DS&lt;sub&gt;2&lt;/sub&gt;-VASc score ≥ 2 was not prescribed any prophylactic OAC therapy.</t>
  </si>
  <si>
    <t>Medical costs of children admitted to the neonatal intensive care unit: The role and possible economic impact of WES in early diagnosis.</t>
  </si>
  <si>
    <t>Olde Keizer, Richelle A C M; Marouane, Abderrahim; Deden, A Chantal; van Zelst-Stams, Wendy A G; de Boode, Willem P; Keusters, Willem R; Henneman, Lidewij; van Amstel, Johannes Kristian Ploos; Frederix, Gerardus W J; Vissers, Lisenka E L M</t>
  </si>
  <si>
    <t>european journal of medical genetics</t>
  </si>
  <si>
    <t>https://pubmed.ncbi.nlm.nih.gov/35240323</t>
  </si>
  <si>
    <t>It has been estimated that at least 6.0% of neonates admitted to the Neonatal Intensive Care Unit remains genetically undiagnosed because genetic testing is not routinely performed. The objective of this study is to provide an overview of average healthcare costs for patients admitted to the Neonatal Intensive Care Unit and to assess possible impact of implementing Whole Exome Sequencing (WES) on these total healthcare costs. Hereto, we retrospectively collected postnatal healthcare data of all patients admitted to the level IV Neonatal Intensive Care Unit at the Radboudumc (October 2013-October 2015) and linked unit costs to these healthcare consumptions. Average healthcare costs were calculated and a distinction between patients was made based on performance of genetic tests and the presence of congenital anomalies. Overall, on average €26,627 was spent per patient. Genetic costs accounted for 2.3% of all costs. Healthcare costs were higher for patients with congenital anomalies compared to patients without congenital anomalies. Patients with genetic diagnostics were also more expensive than patients without genetic diagnostics. We next modelled four scenarios based on clinical preselection. First, when performing trio-WES for all patients instead of current diagnostics, overall healthcare costs will increase with 22.2%. Second, performing trio-WES only for patients with multiple congenital anomalies will not result in any cost changes, but this would leave patients with an isolated congenital anomalies untested. We therefore next modelled a scenario performing trio-WES for all patients with congenital anomalies, increasing the average per patient healthcare costs by 5.3%. This will rise to a maximum of 5.5% when also modelling for an extra genetic test for clinically selected patients to establish genetic diagnoses that are undetectable by WES. In conclusion, genetic diagnostic testing accounted for a small fraction of total costs. Implementation of trio-WES as first-tier test for all patients with congenital anomalies will lead to a limited increase in overall healthcare budget, but will facilitate personalized treatments options guided by the diagnoses made.</t>
  </si>
  <si>
    <t>Reply to R. Pham et al.</t>
  </si>
  <si>
    <t>van 't Erve, Iris; Punt, Cornelis J A; Meijer, Gerrit A; Fijneman, Remond J A</t>
  </si>
  <si>
    <t>jco precision oncology</t>
  </si>
  <si>
    <t>https://pubmed.ncbi.nlm.nih.gov/35344447</t>
  </si>
  <si>
    <t>Strain-specific interspecies interactions between co-isolated pairs of Staphylococcus aureus and Pseudomonas aeruginosa from patients with tracheobronchitis or bronchial colonization.</t>
  </si>
  <si>
    <t>Gomes-Fernandes, Meissiner; Gomez, Andromeda-Celeste; Bravo, Marc; Huedo, Pol; Coves, Xavier; Prat-Aymerich, Cristina; Gibert, Isidre; Lacoma, Alicia; Yero, Daniel</t>
  </si>
  <si>
    <t>https://pubmed.ncbi.nlm.nih.gov/35233050</t>
  </si>
  <si>
    <t>Dual species interactions in co-isolated pairs of Staphylococcus aureus and Pseudomonas aeruginosa from patients with tracheobronchitis or bronchial colonization were examined. The genetic and phenotypic diversity between the isolates was high making the interactions detected strain-specific. Despite this, and the clinical origin of the strains, some interactions were common between some co-isolated pairs. For most pairs, P. aeruginosa exoproducts affected biofilm formation and reduced growth in vitro in its S. aureus counterpart. Conversely, S. aureus did not impair biofilm formation and stimulated swarming motility in P. aeruginosa. Co-culture in a medium that mimics respiratory mucus promoted coexistence and favored mixed microcolony formation within biofilms. Under these conditions, key genes controlled by quorum sensing were differentially regulated in both species in an isolate-dependent manner. Finally, co-infection in the acute infection model in Galleria mellonella larvae showed an additive effect only in the co-isolated pair in which P. aeruginosa affected less S. aureus growth. This work contributes to understanding the complex interspecies interactions between P. aeruginosa and S. aureus by studying strains isolated during acute infection.</t>
  </si>
  <si>
    <t>General Practice and Nursing Science; General Practice and Nursing Science; Epidemiology and Health Economics; General Practice and Nursing Science; General Practice and Nursing Science; General Practice and Nursing Science</t>
  </si>
  <si>
    <t>Toxicity and efficacy of chronomodulated chemotherapy: a systematic review.</t>
  </si>
  <si>
    <t>Printezi, Markella I; Kilgallen, Aoife B; Bond, Marinde J G; Štibler, Urška; Putker, Marrit; Teske, Arco J; Cramer, Maarten J; Punt, Cornelis J A; Sluijter, Joost P G; Huitema, Alwin D R; May, Anne M; van Laake, Linda W</t>
  </si>
  <si>
    <t>https://pubmed.ncbi.nlm.nih.gov/35240088</t>
  </si>
  <si>
    <t>Timing chemotherapy on the basis of the body's intrinsic circadian clock-ie, chronomodulated chemotherapy-might improve efficacy and reduce treatment toxicity. This systematic review summarises the available clinical evidence on the effects of chronomodulated chemotherapy from randomised, controlled trials in adult patients with cancer, published between the date of database inception and June 1, 2021. This study complies with Preferred Reporting Items for Systematic Reviews and Meta-Analyses guidelines and was registered on the International Prospective Register of Systematic Reviews (CRD42020177878). The protocol was published on Oct 21, 2020, before study initiation. The primary outcome measures comprised toxicity incidence, overall survival, progression-free survival, and objective response rate. Of 1455 identified abstracts, 18 studies including 2547 patients were selected. Studies were heterogeneous in study design, treatment, and population. 14 (77%) of 18 studies reported differences among groups in toxicity. 11 (61%) studies reported that chronomodulated chemotherapy resulted in a significant decrease in toxicity while maintaining anti-cancer activity. Two (11%) studies showed that chronomodulated chemotherapy reduced some toxic effects but increased others, and one (6%) study reported worse toxicity outcomes than standard chemotherapy. Three (17%) studies reported improved efficacy (survival measures, objective response rate, or time to treatment failure) of chronomodulated chemotherapy, and no studies reported a decrease in efficacy. In conclusion, most studies provide evidence of the reduction of toxicity resulting from chronomodulated chemotherapy, while efficacy is maintained. More and larger, carefully designed, randomised, controlled trials are needed to provide recommendations for clinical practice.</t>
  </si>
  <si>
    <t>Type 2 Diabetes Partitioned Polygenic Scores Associate With Disease Outcomes in 454,193 Individuals Across 13 Cohorts.</t>
  </si>
  <si>
    <t>DiCorpo, Daniel; LeClair, Jessica; Cole, Joanne B; Sarnowski, Chloé; Ahmadizar, Fariba; Bielak, Lawrence F; Blokstra, Anneke; Bottinger, Erwin P; Chaker, Layal; Chen, Yii-Der I; Chen, Ye; de Vries, Paul S; Faquih, Tariq; Ghanbari, Mohsen; Gudmundsdottir, Valborg; Guo, Xiuqing; Hasbani, Natalie R; Ibi, Dorina; Ikram, M Arfan; Kavousi, Maryam; Leonard, Hampton L; Leong, Aaron; Mercader, Josep M; Morrison, Alanna C; Nadkarni, Girish N; Nalls, Mike A; Noordam, Raymond; Preuss, Michael; Smith, Jennifer A; Trompet, Stella; Vissink, Petra; Yao, Jie; Zhao, Wei; Boerwinkle, Eric; Goodarzi, Mark O; Gudnason, Vilmundur; Jukema, J Wouter; Kardia, Sharon L R; Loos, Ruth J F; Liu, Ching-Ti; Manning, Alisa K; Mook-Kanamori, Dennis; Pankow, James S; Picavet, H Susan J; Sattar, Naveed; Simonsick, Eleanor M; Verschuren, W M Monique; Willems van Dijk, Ko; Florez, Jose C; Rotter, Jerome I; Meigs, James B; Dupuis, Josée; Udler, Miriam S</t>
  </si>
  <si>
    <t>https://pubmed.ncbi.nlm.nih.gov/35085396</t>
  </si>
  <si>
    <t>Type 2 diabetes (T2D) has heterogeneous patient clinical characteristics and outcomes. In previous work, we investigated the genetic basis of this heterogeneity by clustering 94 T2D genetic loci using their associations with 47 diabetes-related traits and identified five clusters, termed β-cell, proinsulin, obesity, lipodystrophy, and liver/lipid. The relationship between these clusters and individual-level metabolic disease outcomes has not been assessed. Here we constructed individual-level partitioned polygenic scores (pPS) for these five clusters in 12 studies from the Cohorts for Heart and Aging Research in Genomic Epidemiology (CHARGE) consortium and the UK Biobank (n = 454,193) and tested for cross-sectional association with T2D-related outcomes, including blood pressure, renal function, insulin use, age at T2D diagnosis, and coronary artery disease (CAD). Despite all clusters containing T2D risk-increasing alleles, they had differential associations with metabolic outcomes. Increased obesity and lipodystrophy cluster pPS, which had opposite directions of association with measures of adiposity, were both significantly associated with increased blood pressure and hypertension. The lipodystrophy and liver/lipid cluster pPS were each associated with CAD, with increasing and decreasing effects, respectively. An increased liver/lipid cluster pPS was also significantly associated with reduced renal function. The liver/lipid cluster includes known loci linked to liver lipid metabolism (e.g., GCKR, PNPLA3, and TM6SF2), and these findings suggest that cardiovascular disease risk and renal function may be impacted by these loci through their shared disease pathway. Our findings support that genetically driven pathways leading to T2D also predispose differentially to clinical outcomes.</t>
  </si>
  <si>
    <t>Reaching 95-95-95 targets: The role of private sector health facilities in closing the HIV detection gap-Kisumu Kenya, 2018.</t>
  </si>
  <si>
    <t>Onyango, Dickens; Mchembere, Walter; Agaya, Janet; Wang, Alice; Cain, Kevin P; Grobbee, Diederick E; van der Sande, Marianne Ab; Baker, Brian; Yuen, Courtney M</t>
  </si>
  <si>
    <t>international journal of std aids</t>
  </si>
  <si>
    <t>https://pubmed.ncbi.nlm.nih.gov/35225096</t>
  </si>
  <si>
    <t>HIV testing efficiency could be improved by focusing on high yield populations and identifying types of health facilities where people with undiagnosed HIV infection are more likely to attend. A retrospective cohort analysis of data collected during an integrated TB/HIV active case-finding intervention in Western Kenya. Data were analyzed from health facilities' registers on individuals who reported TB-suggestive symptoms between 1 July and 31 December 2018 and who had an HIV test result within one month following symptom screening. We used logistic regression with general estimating equations adjusting for sub-county level data to identify health facility-level predictors of new HIV diagnoses. Of 11,376 adults with presumptive TB identified in 143 health facilities, 1038 (9%) tested HIV positive. The median HIV positivity per health facility was 6% (IQR = 2-15%). Patients with TB symptoms were over three times as likely to have a new HIV diagnosis in private not-for-profit facilities compared to those in government facilities (adjusted odds ratio (aOR) 3.40; 95% CI = 1.96-5.90). Patients tested in hospitals were over two times as likely to have a new HIV diagnosis as those tested in smaller facilities (i.e., health centers and dispensaries) (aOR 2.26; 95% CI = 1.60-3.21). Individuals with presumptive TB who attended larger health facilities and private not-for-profit facilities had a higher likelihood of being newly diagnosed with HIV. Strengthening HIV services at these facilities and outreach to populations that use them could help to close the HIV diagnosis gap.</t>
  </si>
  <si>
    <t>Thrombosis pathways in COVID-19 vs. influenza-associated ARDS: A targeted proteomics approach.</t>
  </si>
  <si>
    <t>Rademaker, Emma; Doorduijn, Dennis J; Kusadasi, Nuray; Maas, Coen; Drylewicz, Julia; Huisman, Albert; Hoefer, Imo E; Bonten, Marc J M; Derde, Lennie P G; Rooijakkers, Suzan H M; Cremer, Olaf L</t>
  </si>
  <si>
    <t>https://pubmed.ncbi.nlm.nih.gov/35150462</t>
  </si>
  <si>
    <t>Pulmonary embolism (PE) occurs in one-third of critically-ill COVID-19 patients. Although prior studies identified several pathways contributing to thrombogenicity, it is unknown whether this is COVID-19-specific or also occurs in ARDS patients with another infection. To compare pathway activity among patients having COVID-19 with PE (C19PE+), COVID-19 without PE (C19PE-), and influenza-associated ARDS (IAA) using a targeted proteomics approach. We exploited an existing biorepository containing daily plasma samples to carefully match C19PE+ cases to C19PE- and IAA controls on mechanical ventilation duration, PEEP, FiO2, and cardiovascular-SOFA (n = 15 per group). Biomarkers representing various thrombosis pathways were measured using proximity extension- and ELISA-assays. Summed z-scores of individual biomarkers were used to represent total pathway activity. We observed no relevant between-group differences among 22 biomarkers associated with activation of endothelium, platelets, complement, coagulation, fibrinolysis or inflammation, except sIL-1RT2 and sST2, which were lower in C19PE- than IAA (log2-Foldchange -0.67, p = .022 and -1.78, p = .022, respectively). However, total pathway analysis indicated increased activation of endothelium (z-score 0.2 [-0.3-1.03] vs. 0.98 [-2.5--0.3], p = .027), platelets (1.0 [-1.3-3.0] vs. -3.3 [-4.1--0.6], p = .023) and coagulation (0.8 [-0.5-2.0] vs. -1.0 [-1.6-1.0], p = .023) in COVID-19 patients (C19PE+/C19PE- groups combined) compared to IAA. We observed only minor differences between matched C19PE+, C19PE-, and IAA patients, which suggests individual biomarkers mostly reflect disease severity. However, analysis of total pathway activity suggested upregulation of some distinct processes in COVID-19 could be etiologically related to increased PE-risk.</t>
  </si>
  <si>
    <t>Market access to new anticancer medicines for children and adolescents with cancer in Europe.</t>
  </si>
  <si>
    <t>Schoot, Reineke A; Otth, Maria A; Frederix, Gerardus W J; Leufkens, Hubert G M; Vassal, Gilles</t>
  </si>
  <si>
    <t>https://pubmed.ncbi.nlm.nih.gov/35235871</t>
  </si>
  <si>
    <t>There is an alarming delay in Europe for anticancer medicines becoming accessible for children. Following a paediatric European Union marketing authorisation, national Health Technology Assessment (HTA) agencies evaluate effectiveness, and safety of medicines to support decision on their cost and reimbursement. This study (a SIOPE Access to Medicines project) aimed to evaluate how these HTA evaluations take place for anticancer medicines indicated for paediatric use in Europe and to explore where the delays for market access originate. We obtained HTA reports from the public domain for nine European countries for blinatumomab, dinutuximab beta and tisagenlecleucel. We evaluated the time elapsed between marketing authorisation for a paediatric indication and a national HTA decision and the nature of the decision. Out of 23 HTA decisions (four countries without blinatumomab report), 18 were positive, two with restrictions, three negative. For blinatumomab, tisagenlecleucel and dinutuximab beta, the median time to an HTA decision after regulatory approval for paediatric use was 353 days (range 193-751), 141 days (range 77-517) and 515 days (range 0-780), respectively, with variability between countries. Dinutuximab beta and tisagenlecleucel were first introduced in children, but did not result in shorter time to HTA decision. For blinatumomab, marketing authorisation followed 1008 days after the indication in adults, with HTA applications submitted a median of 167 days later, and a recommendation after 145 days. This study reveals ample variability in HTA decision making in nine European Union countries. Collaboration and alignment of required evidence is needed to facilitate robust scientific HTA assessments, also considering methodological challenges in paediatric oncology.</t>
  </si>
  <si>
    <t>Non-communicable disease co-morbidity and associated factors in tuberculosis patients: A cross-sectional study in Gabon.</t>
  </si>
  <si>
    <t>Adegbite, B R; Edoa, J R; Agbo Achimi Abdul, Jbp; Epola, M; Mevyann, C; Dejon-Agobé, J C; Zinsou, J F; Honkpehedji, Y J; Mpagama, S G; Alabi, A S; Kremsner, P G; Klipstein-Grobusch, K; Adegnika, A A; Grobusch, M P</t>
  </si>
  <si>
    <t>https://pubmed.ncbi.nlm.nih.gov/35243277</t>
  </si>
  <si>
    <t>There are only limited data from resource-limited settings available on the prevalence of non-communicable diseases and associated risk factors of tuberculosis patients. This study investigated non-communicable disease co-morbidity in tuberculosis patients from Moyen Ogooué Province, Gabon. All patients aged 18 years or older consulting for tuberculosis (TB) symptoms in Gabon's Moyen Ogooué province and neighbouring provinces from November 2018 to November 2020 were screened for diabetes mellitus, hypertension, and risk factors thereof (obesity, dyslipidaemia, smoking and alcohol consumption). Logistic regression was performed to identify factors associated with TB-diabetes and TB-hypertension co-morbidities. Of 583 patients included, 227 (39%) were diagnosed with tuberculosis. In tuberculosis-confirmed patients, the prevalences of hypertension and diabetes were 16·3% and 12·8%, respectively. The prevalence of diabetes was twice as high in tuberculosis patients compared to non-tuberculosis patients. Factors independently associated with hypertension-tuberculosis co-morbidity were age &gt;55 years (aOR=8·5, 95% CI 2·43, 32·6), age 45-54 years (aOR=4.9, 95%CI 1.3-19.8), and moderate alcohol consumption (aOR=2·4; 95% CI 1·02- 5·9), respectively. For diabetes-tuberculosis co-morbidity, age &gt;55 years was positively (aOR=9·13; 95% CI 2·4-39·15), and moderate alcohol consumption inversely associated (aOR=0·26, 95% CI 0·08- 0·73). One-hundred-and-four (46%) of the tuberculosis patients had at least either dyslipidaemia, hypertension, diabetes, or obesity with a majority of newly-diagnosed hypertension and diabetes. Integration of screening of non-communicable diseases and their risk factors during TB assessment for early diagnosis, treatment initiation and chronic care management for better health outcomes should be implemented in all tuberculosis healthcare facilities. This study was supported by WHO AFRO/TDR/EDCTP (2019/893,805) and Deutsches Zentrum für Infektiologie (DZIF/ TTU 02.812).</t>
  </si>
  <si>
    <t>Cross-national harmonization of cognitive measures across HRS HCAP (USA) and LASI-DAD (India).</t>
  </si>
  <si>
    <t>Vonk, Jet M J; Gross, Alden L; Zammit, Andrea R; Bertola, Laiss; Avila, Justina F; Jutten, Roos J; Gaynor, Leslie S; Suemoto, Claudia K; Kobayashi, Lindsay C; O'Connell, Megan E; Elugbadebo, Olufisayo; Amofa, Priscilla A; Staffaroni, Adam M; Arce Rentería, Miguel; Turney, Indira C; Jones, Richard N; Manly, Jennifer J; Lee, Jinkook; Zahodne, Laura B</t>
  </si>
  <si>
    <t>https://pubmed.ncbi.nlm.nih.gov/35213581</t>
  </si>
  <si>
    <t>As global populations age, cross-national comparisons of cognitive health and dementia risk are increasingly valuable. It remains unclear, however, whether country-level differences in cognitive function are attributable to population differences or bias due to incommensurate measurement. To demonstrate an effective method for cross-national comparison studies, we aimed to statistically harmonize measures of episodic memory and language function across two population-based cohorts of older adults in the United States (HRS HCAP) and India (LASI-DAD). Data for 3,496 HRS HCAP (≥65 years) and 3,152 LASI-DAD (≥60 years) participants were statistically harmonized for episodic memory and language performance using confirmatory factor analysis (CFA) methods. Episodic memory and language factor variables were investigated for differential item functioning (DIF) and precision. CFA models estimating episodic memory and language domains based on a priori adjudication of comparable items fit the data well. DIF analyses revealed that four out of ten episodic memory items and five out of twelve language items measured the underlying construct comparably across samples. DIF-modified episodic memory and language factor scores showed comparable patterns of precision across the range of the latent trait for each sample. Harmonization of cognitive measures will facilitate future investigation of cross-national differences in cognitive performance and differential effects of risk factors, policies, and treatments, reducing study-level measurement and administrative influences. As international aging studies become more widely available, advanced statistical methods such as those described in this study will become increasingly central to making universal generalizations and drawing valid conclusions about cognitive aging of the global population.</t>
  </si>
  <si>
    <t>Esophageal Second Primary Tumors in Patients With Head and Neck Squamous Cell Carcinoma: Incidence, Risk Factors, and Overall Survival.</t>
  </si>
  <si>
    <t>Overwater, Anouk; Rueb, Kuna; Elias, Sjoerd G; de Bree, Remco; Weusten, Bas L A M</t>
  </si>
  <si>
    <t>https://pubmed.ncbi.nlm.nih.gov/35213400</t>
  </si>
  <si>
    <t>The aim of this registry-based cohort study was to evaluate the potential role of endoscopic esophageal surveillance for esophageal second primary tumors (ESPTs) in Western patients with head and neck squamous cell carcinoma (HNSCC). Outcomes were cumulative incidence and risk factors for ESPTs and its effect on overall survival. A total of 47 ESPTs were observed in 1,708 patients with HNSCC, with 10-year cumulative incidence (95% confidence interval) of 2.9% (2.1-3.7). Alcohol and HNSCC location were significant predictors for ESPTs. ESPTs significantly increased the risk of dying (adjusted hazard ratio 3.36, 95% confidence interval 2.16-5.22). Endoscopic esophageal surveillance of Western patients with HNSCC with high risk of ESPTs seems justified.</t>
  </si>
  <si>
    <t>The perceived impact of an HIV cure by people living with HIV and key populations vulnerable to HIV in the Netherlands: A qualitative study.</t>
  </si>
  <si>
    <t>Romijnders, Kim A G J; de Groot, Laura; Vervoort, Sigrid C J M; Basten, Maartje G J; van Welzen, Berend J; Kretzschmar, Mirjam E; Reiss, Peter; Davidovich, Udi; Rozhnova, Ganna</t>
  </si>
  <si>
    <t>journal of virus eradication</t>
  </si>
  <si>
    <t>https://pubmed.ncbi.nlm.nih.gov/35280938</t>
  </si>
  <si>
    <t>When an HIV cure becomes available, it will have consequences for people living with HIV (PLHIV) and key populations who are vulnerable to HIV. This qualitative study aimed to explore the perceived impact of two HIV cure scenarios (post-treatment control when HIV is suppressed without the need for ongoing antiretroviral treatment (ART) and complete HIV elimination) on the quality of life of PLHIV and key populations living without HIV in the Netherlands. Participants were purposefully sampled from the Amsterdam Cohort Studies, the AGEhIV Cohort Study, the outpatient clinic of the University Medical Centre Utrecht and the Dutch HIV Association to increase variability. Semi-structured in-depth interviews were conducted between October 2020 and March 2021 and thematically analysed. Of the 42 interviewed participants, 29 were PLHIV and 13 represented key populations (i.e., men who have sex with men and people injecting drugs). Both PLHIV and participants from vulnerable key populations hoped that a cure would result in normalization of their lives by removing the need to disclose HIV, reducing stigma and guilt, increasing independence of ART, and liberating sexual behaviour. Both groups believed only HIV elimination could accomplish this desired impact. While the post-treatment control scenario seems a more plausible outcome of current HIV cure research, our findings highlight that participants may not perceive it as a true cure. Involvement of PLHIV and vulnerable key populations in devising acceptable and feasible experimental approaches to HIV cure is essential to ensure their future successful implementation.</t>
  </si>
  <si>
    <t>Detection of SARS-CoV-2 infection in the general population by three prevailing rapid antigen tests: cross-sectional diagnostic accuracy study.</t>
  </si>
  <si>
    <t>Venekamp, Roderick P; Veldhuijzen, Irene K; Moons, Karel G M; van den Bijllaardt, Wouter; Pas, Suzan D; Lodder, Esther B; Molenkamp, Richard; Igloi, Zsofi; Wijers, Constantijn; Dos Santos, Claudy Oliveira; Debast, Sylvia B; Bruins, Marjan J; Polad, Khaled; Nagel-Imming, Carla R S; Han, Wanda G H; van de Wijgert, Janneke H H M; van den Hof, Susan; Schuit, Ewoud</t>
  </si>
  <si>
    <t>https://pubmed.ncbi.nlm.nih.gov/35197052</t>
  </si>
  <si>
    <t>Rapid antigen diagnostic tests (Ag-RDTs) are the most widely used point-of-care tests for detecting SARS-CoV-2 infection. Since the accuracy may have altered by changes in SARS-CoV-2 epidemiology, indications for testing, sampling and testing procedures, and roll-out of COVID-19 vaccination, we evaluated the performance of three prevailing SARS-CoV-2 Ag-RDTs. In this cross-sectional study, we consecutively enrolled individuals aged &gt;16 years presenting for SARS-CoV-2 testing at three Dutch public health service COVID-19 test sites. In the first phase, participants underwent either BD-Veritor System (Becton Dickinson), PanBio (Abbott), or SD-Biosensor (Roche Diagnostics) testing with routine sampling procedures. In a subsequent phase, participants underwent SD-Biosensor testing with a less invasive sampling method (combined oropharyngeal-nasal [OP-N] swab). Diagnostic accuracies were assessed against molecular testing. Six thousand nine hundred fifty-five of 7005 participants (99%) with results from both an Ag-RDT and a molecular reference test were analysed. SARS-CoV-2 prevalence and overall sensitivities were 13% (188/1441) and 69% (129/188, 95% CI 62-75) for BD-Veritor, 8% (173/2056) and 69% (119/173, 61-76) for PanBio, and 12% (215/1769) and 74% (160/215, 68-80) for SD-Biosensor with routine sampling and 10% (164/1689) and 75% (123/164, 68-81) for SD-Biosensor with OP-N sampling. In those symptomatic or asymptomatic at sampling, sensitivities were 72-83% and 54-56%, respectively. Above a viral load cut-off (≥5.2 log&lt;sub&gt;10&lt;/sub&gt; SARS-CoV-2 E-gene copies/mL), sensitivities were 86% (125/146, 79-91) for BD-Veritor, 89% (108/121, 82-94) for PanBio, and 88% (160/182, 82-92) for SD-Biosensor with routine sampling and 84% (118/141, 77-89) with OP-N sampling. Specificities were &gt;99% for all tests in most analyses. Sixty-one per cent of false-negative Ag-RDT participants returned for testing within 14 days (median: 3 days, interquartile range 3) of whom 90% tested positive. Overall sensitivities of three SARS-CoV-2 Ag-RDTs were 69-75%, increasing to ≥86% above a viral load cut-off. The decreased sensitivity among asymptomatic participants and high positivity rate during follow-up in false-negative Ag-RDT participants emphasise the need for education of the public about the importance of re-testing after an initial negative Ag-RDT should symptoms develop. For SD-Biosensor, the diagnostic accuracy with OP-N and deep nasopharyngeal sampling was similar; adopting the more convenient sampling method might reduce the threshold for professional testing.</t>
  </si>
  <si>
    <t>Clinical presentation, microbiological aetiology and disease course in patients with flu-like illness: a post hoc analysis of randomised controlled trial data.</t>
  </si>
  <si>
    <t>Verheij, Theo J; Cianci, Daniela; van der Velden, Alike W; Butler, Christopher C; Bongard, Emily; Coenen, Samuel; Colliers, Annelies; Francis, Nick A; Little, Paul; Godycki-Cwirko, Maciek; Llor, Carl; Chlabicz, Sławomir; Lionis, Christos; Sundvall, Pär-Daniel; Bjerrum, Lars; De Sutter, An; Aabenhus, Rune; Harbin, Nicolay Jonassen; Lindbæk, Morten; Glinz, Dominik; Bucher, Heiner C; Kovács, Bernadett; Seifert, Bohumil; Jurgute, Ruta Radzeviciene; Lundgren, Pia Touboul; de Paor, Muireann; Matheeussen, Veerle; Goossens, Herman; Ieven, Margareta</t>
  </si>
  <si>
    <t>https://pubmed.ncbi.nlm.nih.gov/34990385</t>
  </si>
  <si>
    <t>There is little evidence about the relationship between aetiology, illness severity, and clinical course of respiratory tract infections (RTIs) in primary care. Understanding these associations would aid in the development of effective management strategies for these infections. To investigate whether clinical presentation and illness course differ between RTIs where a viral pathogen was detected and those where a potential bacterial pathogen was found. Post hoc analysis of data from a pragmatic randomised trial on the effects of oseltamivir in patients with flu-like illness in primary care (&lt;i&gt;n&lt;/i&gt; = 3266) in 15 European countries. Patient characteristics and their signs and symptoms of disease were registered at baseline. Nasopharyngeal (adults) or nasal and pharyngeal (children) swabs were taken for polymerase chain reaction analysis. Patients were followed up until 28 days after inclusion. Regression models and Kaplan-Meier curves were used to analyse the relationship between aetiology, clinical presentation at baseline, and course of disease including complications. Except for a less prominent congested nose (odds ratio [OR] 0.55, 95% confidence interval [CI] = 0.35 to 0.86) and acute cough (OR 0.42, 95% CI = 0.27 to 0.65) in patients with flu-like illness in whom a possible bacterial pathogen was isolated, there were no clear clinical differences in presentations between those with a possible bacterial aetiology compared with those with a viral aetiology. Also, course of disease and complications were not related to aetiology. Given current available microbiological tests and antimicrobial treatments, and outside pandemics such as COVID-19, microbiological testing in primary care patients with flu-like illness seems to have limited value. A wait-and-see policy in most of these patients with flu-like illness seems the best option.</t>
  </si>
  <si>
    <t>Evaluation of the cardiac amyloidosis clinical pathway implementation: a real-world experience.</t>
  </si>
  <si>
    <t>Brons, Maaike; Muller, Steven A; Rutten, Frans H; van der Meer, Manon G; Vrancken, Alexander F J E; Minnema, Monique C; Baas, Annette F; Asselbergs, Folkert W; Oerlemans, Marish I F J</t>
  </si>
  <si>
    <t>https://pubmed.ncbi.nlm.nih.gov/35919127</t>
  </si>
  <si>
    <t>The aim of this study is to evaluate the implementation of the cardiac amyloidosis (CA) clinical pathway on awareness among referring cardiologists, diagnostic delay, and severity of CA at diagnosis. Patients with CA were retrospectively included in this study and divided into two periods: pre-implementation of the CA clinical pathway (2007-18; T1) and post-implementation (2019-20; T2). Patients' and disease characteristics were extracted from electronic health records and compared. In total, 113 patients (mean age 67.8 ± 8.5 years, 26% female) were diagnosed with CA [T1 (2007-18): 56; T2 (2019-20): 57]. The number of CA diagnoses per year has increased over time. Reasons for referral changed over time, with increased awareness of right ventricular hypertrophy (9% in T1 vs. 36% in T2) and unexplained heart failure with preserved ejection fraction (22% in T1 vs. 38% in T2). Comparing T1 with T2, the diagnostic delay also improved (14 vs. 8 months, &lt;i&gt;P&lt;/i&gt; &lt; 0.01), New York Heart Association Class III (45% vs. 23%, &lt;i&gt;P&lt;/i&gt; = 0.03), and advanced CA stage (MAYO/Gillmore Stage III/IV; 61% vs. 33%, &lt;i&gt;P&lt;/i&gt; ≤ 0.01) at time of diagnosis decreased. After implementation of the CA clinical pathway, the awareness among referring cardiologists improved, diagnostic delay was decreased, and patients had less severe CA at diagnosis. Further studies are warranted to assess the prognostic impact of CA clinical pathway implementation.</t>
  </si>
  <si>
    <t>Middle cerebral arterial flow redistribution is an indicator for intrauterine fetal compromise in late pregnancy in low-resource settings: A prospective cohort study.</t>
  </si>
  <si>
    <t>Ali, Sam; Kawooya, Michael G; Byamugisha, Josaphat; Kakibogo, Isaac M; Biira, Esther A; Kagimu, Adia N; Grobbee, Diederick E; Zakus, David; Papageorghiou, Aris T; Klipstein-Grobusch, Kerstin; Rijken, Marcus J</t>
  </si>
  <si>
    <t>https://pubmed.ncbi.nlm.nih.gov/35118790</t>
  </si>
  <si>
    <t>We aimed to determine the prevalence of abnormal umbilical artery (UA), uterine artery (UtA), middle cerebral artery (MCA) and cerebroplacental ratio (CPR) Doppler, and their relationship with adverse perinatal outcomes in women undergoing routine antenatal care in the third trimester. Prospective cohort. Kagadi Hospital, Uganda. Non-anomalous singleton pregnancies. Women underwent an early dating ultrasound and a third-trimester Doppler scan between 32 and 40 weeks of gestation, from 2018 to 2020. We handled missing data using multiple imputation and analysed the data using descriptive methods and a binary logistic regression model. Composite adverse perinatal outcome (CAPO), perinatal death and stillbirth. We included 995 women. The mean gestational age at Doppler scan was 36.9 weeks (SD 1.02 weeks) and 88.9% of the women gave birth in a health facility. About 4.4% and 5.6% of the UA pulsatility index (PI) and UtA PI were above the 95th percentile, whereas 16.4% and 10.4% of the MCA PI and CPR were below the fifth percentile, respectively. Low CPR was strongly associated with stillbirth (OR 4.82, 95% CI 1.09-21.30). CPR and MCA PI below the fifth percentile were independently associated with CAPO; the association with MCA PI was stronger in small-for-gestational-age neonates (OR 3.75, 95% CI 1.18-11.88). In late gestation, abnormal UA PI was rare. Fetuses with cerebral blood flow redistribution were at increased risk of stillbirth and perinatal complications. Further studies examining the predictive accuracy and effectiveness of antenatal Doppler ultrasound screening in reducing the risk of perinatal deaths in low- and middle-income countries are warranted. Blood flow redistribution to the fetal brain is strongly associated with stillbirths in low-resource settings.</t>
  </si>
  <si>
    <t>CeRebrUm and CardIac Protection with ALlopurinol in Neonates with Critical Congenital Heart Disease Requiring Cardiac Surgery with Cardiopulmonary Bypass (CRUCIAL): study protocol of a phase III, randomized, quadruple-blinded, placebo-controlled, Dutch multicenter trial.</t>
  </si>
  <si>
    <t>Stegeman, Raymond; Nijman, Maaike; Breur, Johannes M P J; Groenendaal, Floris; Haas, Felix; Derks, Jan B; Nijman, Joppe; van Beynum, Ingrid M; Taverne, Yannick J H J; Bogers, Ad J J C; Helbing, Willem A; de Boode, Willem P; Bos, Arend F; Berger, Rolf M F; Accord, Ryan E; Roes, Kit C B; de Wit, G Ardine; Jansen, Nicolaas J G; Benders, Manon J N L; ,</t>
  </si>
  <si>
    <t>https://pubmed.ncbi.nlm.nih.gov/35197082</t>
  </si>
  <si>
    <t>Neonates with critical congenital heart disease (CCHD) undergoing cardiac surgery with cardiopulmonary bypass (CPB) are at risk of brain injury that may result in adverse neurodevelopment. To date, no therapy is available to improve long-term neurodevelopmental outcomes of CCHD neonates. Allopurinol, a xanthine oxidase inhibitor, prevents the formation of reactive oxygen and nitrogen species, thereby limiting cell damage during reperfusion and reoxygenation to the brain and heart. Animal and neonatal studies suggest that allopurinol reduces hypoxic-ischemic brain injury and is cardioprotective and safe. This trial aims to test the hypothesis that allopurinol administration in CCHD neonates will result in a 20% reduction in moderate to severe ischemic and hemorrhagic brain injury. This is a phase III, randomized, quadruple-blinded, placebo-controlled, multicenter trial. Neonates with a prenatal or postnatal CCHD diagnosis requiring cardiac surgery with CPB in the first 4 weeks after birth are eligible to participate. Allopurinol or mannitol-placebo will be administered intravenously in 2 doses early postnatally in neonates diagnosed antenatally and 3 doses perioperatively of 20 mg/kg each in all neonates. The primary outcome is a composite endpoint of moderate/severe ischemic or hemorrhagic brain injury on early postoperative MRI, being too unstable for postoperative MRI, or mortality within 1 month following CPB. A total of 236 patients (n = 188 with prenatal diagnosis) is required to demonstrate a reduction of the primary outcome incidence by 20% in the prenatal group and by 9% in the postnatal group (power 80%; overall type 1 error controlled at 5%, two-sided), including 1 interim analysis at n = 118 (n = 94 with prenatal diagnosis) with the option to stop early for efficacy. Secondary outcomes include preoperative and postoperative brain injury severity, white matter injury volume (MRI), and cardiac function (echocardiography); postnatal and postoperative seizure activity (aEEG) and regional cerebral oxygen saturation (NIRS); neurodevelopment at 3 months (general movements); motor, cognitive, and language development and quality of life at 24 months; and safety and cost-effectiveness of allopurinol. This trial will investigate whether allopurinol administered directly after birth and around cardiac surgery reduces moderate/severe ischemic and hemorrhagic brain injury and improves cardiac function and neurodevelopmental outcome in CCHD neonates. EudraCT 2017-004596-31. Registered on November 14, 2017. ClinicalTrials.gov NCT04217421. Registered on January 3, 2020.</t>
  </si>
  <si>
    <t>Effect of the time interval between melanoma diagnosis and sentinel node biopsy on the size of metastatic tumour deposits in node-positive patients.</t>
  </si>
  <si>
    <t>El Sharouni, Mary-Ann; Scolyer, Richard A; van Gils, Carla H; Ch'ng, Sydney; Nieweg, Omgo E; Pennington, Thomas E; Saw, Robyn Pm; Shannon, Kerwin; Spillane, Andrew; Stretch, Jonathan; Witkamp, Arjen J; Sigurdsson, Vigfús; Thompson, John F; van Diest, Paul J; Lo, Serigne N</t>
  </si>
  <si>
    <t>https://pubmed.ncbi.nlm.nih.gov/35216870</t>
  </si>
  <si>
    <t>This study sought to assess whether the interval between diagnostic excision-biopsy of a primary melanoma and definitive wide excision with sentinel node biopsy (SNB) influenced the size of SN metastatic deposits, which might have implications for management and prognosis. Data were collected for (i) a Dutch population-based cohort of patients treated between 2004 and 2014 who underwent SNB within 100 days of complete excision of their primary melanoma and who were SN-positive with known SN metastasis diameter (n = 1027) and (ii) a cohort from a large Australian melanoma treatment centre (n = 541) who presented in the same time period. The effects of SNB timing on the size of SN metastatic deposits were analysed. Dutch patients whose SNB was performed in the second or third months after diagnosis had significantly larger SN metastasis diameters than patients who had their SNB in the first month (median increases of 17% (95%CI -14, 60%, p = 0.211) and 71% (95%CI 15, 119%, p = 0.004), respectively). No significant difference in tumour diameter for early and late SNB was found in the Australian cohort. SN metastasis diameter became progressively greater with SN biopsy in the second and third months after primary melanoma diagnosis in the larger, population-based patient cohort. An increase in metastasis diameter was not observed in the smaller, institutional cohort, possibly due to detection of larger SN metastases by routine pre-operative ultrasound, with fine-needle biopsy confirmation. These patients did not proceed to SNB and were therefore not included in the study.</t>
  </si>
  <si>
    <t>Peritoneal metastases from colorectal cancer belong to Consensus Molecular Subtype 4 and are sensitised to oxaliplatin by inhibiting reducing capacity.</t>
  </si>
  <si>
    <t>Laoukili, Jamila; Constantinides, Alexander; Wassenaar, Emma C E; Elias, Sjoerd G; Raats, Danielle A E; van Schelven, Susanne J; van Wettum, Jonathan; Volckmann, Richard; Koster, Jan; Huitema, Alwin D R; Nienhuijs, Simon W; de Hingh, Ignace H J T; Wiezer, René J; van Grevenstein, Helma M U; Rinkes, Inne H M Borel; Boerma, Djamila; Kranenburg, Onno</t>
  </si>
  <si>
    <t>https://pubmed.ncbi.nlm.nih.gov/35194192</t>
  </si>
  <si>
    <t>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These results link oxaliplatin resistance of colorectal PM to their CMS4 status and high reducing capacity. Inhibiting the reducing capacity of PM may be an effective strategy to overcome PM resistance to oxaliplatin.</t>
  </si>
  <si>
    <t>Towards a culture of open scholarship: the role of pedagogical communities.</t>
  </si>
  <si>
    <t>Azevedo, Flávio; Liu, Meng; Pennington, Charlotte R; Pownall, Madeleine; Evans, Thomas Rhys; Parsons, Sam; Elsherif, Mahmoud Medhat; Micheli, Leticia; Westwood, Samuel J; ,</t>
  </si>
  <si>
    <t>bmc research notes</t>
  </si>
  <si>
    <t>https://pubmed.ncbi.nlm.nih.gov/35193662</t>
  </si>
  <si>
    <t>The UK House of Commons Science and Technology Committee has called for evidence on the roles that different stakeholders play in reproducibility and research integrity. Of central priority are proposals for improving research integrity and quality, as well as guidance and support for researchers. In response to this, we argue that there is one important component of research integrity that is often absent from discussion: the pedagogical consequences of how we teach, mentor, and supervise students through open scholarship. We justify the need to integrate open scholarship principles into research training within higher education and argue that pedagogical communities play a key role in fostering an inclusive culture of open scholarship. We illustrate these benefits by presenting the Framework for Open and Reproducible Research Training (FORRT), an international grassroots community whose goal is to provide support, resources, visibility, and advocacy for the adoption of principled, open teaching and mentoring practices, whilst generating conversations about the ethics and social impact of higher-education pedagogy. Representing a diverse group of early-career researchers and students across specialisms, we advocate for greater recognition of and support for pedagogical communities, and encourage all research stakeholders to engage with these communities to enable long-term, sustainable change.</t>
  </si>
  <si>
    <t>The Pharmacoeconomic Benefits of Pemetrexed Dose Individualization in Patients With Lung Cancer.</t>
  </si>
  <si>
    <t>de Rouw, Nikki; de Boer, Merel; Boosman, René J; van den Heuvel, Michel M; Burger, David M; Lieverse, Joris E; Derijks, Hieronymus J; Frederix, Geert W J; Ter Heine, Rob</t>
  </si>
  <si>
    <t>https://pubmed.ncbi.nlm.nih.gov/35048355</t>
  </si>
  <si>
    <t>Neutropenia is a dose-related treatment-limiting and costly adverse event of pemetrexed. We postulate that individualized dosing reduces the incidence of neutropenia. The aims of this study were (i) to investigate the costs of pemetrexed-related neutropenia and (ii) to determine the pharmacoeconomic benefits of individualized dosing of pemetrexed in terms of budget impact, yearly cost savings, and reduction in severe neutropenia. Retrospective data on the treatment of grade 3 or higher neutropenia during pemetrexed-based chemotherapy were collected from three Dutch hospitals to determine the mean healthcare consumption during a neutropenic episode. Subsequently, Monte Carlo simulations were performed using a validated pharmacokinetic/pharmacodynamic model to predict the neutropenia incidence during four cycles for standard dosing of pemetrexed and individualized dosing. The mean costs per neutropenia and the expected neutropenia incidence were combined to calculate the budget impact and cost savings. We found that the average costs per pemetrexed-associated neutropenic episode to be €1,490 (US $1,674). The neutropenia incidence for the standard and individualized pemetrexed dosing strategies were 12.7% and 9.9%, respectively. This resulted in total expected neutropenia-related costs of ~ €3.0 million (US $3.372 million) and €2.4 million (US $2.697 million), respectively. Taking the number of patients eligible for pemetrexed treatment into account, individualized dosing could result in saving €686,000 (US $770,995) on a yearly basis in the Netherlands alone. Individualized dosing of pemetrexed can decrease the incidence of neutropenia and thus result in a significant decrease in neutropenia-related costs and decreased risk of hospitalization or even death while maintaining therapeutic exposure.</t>
  </si>
  <si>
    <t>The influence of smoking and HIV infection on pulmonary function.</t>
  </si>
  <si>
    <t>Sussenbach, Annelotte E; van Gijzel, Sjors W L; Lalla-Edward, Samanta T; Venter, Willem D F; Shaddock, Erica; Feldman, Charles; Klipstein-Grobusch, Kerstin; Vos, Alinda G</t>
  </si>
  <si>
    <t>https://pubmed.ncbi.nlm.nih.gov/35284096</t>
  </si>
  <si>
    <t>Prevalence of HIV, smoking, and pulmonary infections in South Africa are high. We investigated the role of smoking and HIV status on lung function. This is a secondary analysis of a cross-sectional study conducted in South Africa. Data included demographics, pulmonary risk factors and a spirometry test to obtain the forced expiratory volume in one second (FEV1) and the ratio of FEV1/forced vital capacity (FVC). In the initial multivariable regression analysis, the effect of smoking on pulmonary function in HIV-positive adults was assessed. The analysis was repeated, assessing the influence of HIV status on lung function in both HIV-negative and HIV-positive smokers. The models were adjusted for age, sex, body mass index (BMI), time since HIV diagnosis, antiretroviral treatment (ART) use, occupational hazards, history of tuberculosis or pneumonia, indoor smoking and the presence of an indoor fireplace during childhood. This study included 524 people living with HIV (PLWH, 66.7% female, mean age 40.9 years [s.d.; 9.4]) and 79 HIV-negative smokers (77.2% male, mean age 34.4 years [s.d.: 12.1]). Of the PLWH, 118 (22.5%) were past or current smokers and 406 (77.5%) were non-smokers. Smoking was not associated with changes in the FEV1 or FEV1/FVC ratio in multivariable regression analysis. In the second analysis, HIV status was also not associated with reduced pulmonary function following adjustment for confounders. Neither smoking nor being HIV-positive was associated with decreased pulmonary function in this relatively young population. These findings should be confirmed in a longitudinal study, including an older population.</t>
  </si>
  <si>
    <t>EAPC Core Curriculum for Preventive Cardiology.</t>
  </si>
  <si>
    <t>Wilhelm, Matthias; Abreu, Ana; Adami, Paolo Emilio; Ambrosetti, Marco; Antonopoulou, Maria; Biffi, Alessandro; Cavarretta, Elena; D'Ascenzi, Flavio; Gibson, Irene; Grobbee, Diederick E; Iliou, Marie-Christine; Koskinas, Konstantinos; Marques-Vidal, Pedro; Nixdorff, Uwe; Papadakis, Michael; Piepoli, Massimo F; Vassiliou, Vass; Wood, David; Dendale, Paul; Halle, Martin</t>
  </si>
  <si>
    <t>https://pubmed.ncbi.nlm.nih.gov/33791783</t>
  </si>
  <si>
    <t>Preventive cardiology encompasses the whole spectrum of cardiovascular disease (CVD) prevention, at individual and population level, through all stages of life. This includes promotion of cardiovascular (CV) health, management of individuals at risk of developing CVD, and management of patients with established CVD, through interdisciplinary care in different settings. Preventive cardiology addresses all aspects of CV health in the context of the social determinants of health, including physical activity, exercise, sports, nutrition, weight management, smoking cessation, psychosocial factors and behavioural change, environmental, genetic and biological risk factors, and CV protective medications. This is the first European Core Curriculum for Preventive Cardiology, which will help to standardize, structure, deliver, and evaluate training in preventive cardiology across Europe. It will be the basis for dedicated fellowship programmes and a European Society of Preventive Cardiology (EAPC) subspecialty certification for cardiologists, with the intention to improve quality and outcome in CVD prevention.</t>
  </si>
  <si>
    <t>Primary care diagnostic and treatment pathways in Dutch women with urinary incontinence.</t>
  </si>
  <si>
    <t>Schreuder, Miranda C; van Merode, Nadine A M; Oldenhof, Antal P; Groenhof, Feikje; Kortekaas, Marlous F; Maagdenberg, Hedy; van der Wouden, Johannes C; van der Worp, Henk; Blanker, Marco H</t>
  </si>
  <si>
    <t>scandinavian journal of primary health care</t>
  </si>
  <si>
    <t>https://pubmed.ncbi.nlm.nih.gov/35179440</t>
  </si>
  <si>
    <t>To investigate how GPs manage women with urinary incontinence (UI) in the Netherlands and to assess whether this is in line with the relevant Dutch GP guideline. Because UI has been an underreported and undertreated problem for decades despite appropriate guidelines being created for general practitioners (GPs). Retrospective cohort study. Routine primary care data for 2017 in the Netherlands. We included the primary care records of women aged 18-75 years with at least one contact registered for UI, and then extracted information about baseline characteristics, diagnosis, treatment, and referral to pelvic physiotherapy or secondary care. In total, 374 records were included for women aged 50.3 ± 15.1 years. GPs diagnosed 31.0%, 15.2%, and 15.0% women with stress, urgency, or mixed UI, respectively; no diagnosis of type was recorded in 40.4% of women. Urinalysis was the most frequently used diagnostic test (42.5%). Education was the most common treatment, offered by 17.9% of GPs; however, no treatment or referral was reported in 15.8% of cases. As many as 28.7% and 21.7% of women were referred to pelvic physiotherapy and secondary care, respectively. Female UI is most probably not managed in line with the relevant Dutch GP guideline. It is also notable that Dutch GPs often fail to report the type of UI, to use available diagnostic approaches, and to provide appropriate education. Moreover, GPs referred to specialists too often, especially for the management of urgency UI.Key pointsUrinary incontinence (UI) has been an underreported and undertreated problem for decades. Despite various guidelines, UI often lies outside the GPs comfort zone.•According to this study: general practitioners do not treat urinary incontinence according to guidelines.•The type of incontinence is frequently not reported and diagnostic approaches are not fully used.•We believe that increased awareness will help improve treatment and avoidable suffering.</t>
  </si>
  <si>
    <t>Urine and vaginal microbiota compositions of postmenopausal and premenopausal women differ regardless of recurrent urinary tract infection and renal transplant status.</t>
  </si>
  <si>
    <t>Hugenholtz, Floor; van der Veer, Charlotte; Terpstra, Matty L; Borgdorff, Hanneke; van Houdt, Robin; Bruisten, Sylvia; Geerlings, Suzanne E; van de Wijgert, Janneke H H M</t>
  </si>
  <si>
    <t>https://pubmed.ncbi.nlm.nih.gov/35177690</t>
  </si>
  <si>
    <t>Postmenopausal women and renal transplant recipients are at increased risk of recurrent urinary tract infections (RUTI). Urine and vaginal microbiota of premenopausal controls (N = 18) and RUTI cases (18), and of postmenopausal controls (30) and RUTI cases (20) with and without a renal transplant, were characterized using 16S rRNA sequencing. Participants did not have UTI symptoms at the time of sampling. Gram-negative uropathobionts (predominantly Escherichia/Shigella, Pseudomonas, Klebsiella, and Acinetobacter) had a much higher mean relative abundance in urine than vaginal samples, especially in premenopausal women. No statistically significant differences in mean relative abundances of bacterial groups were found within the premenopausal group or within the postmenopausal group by RUTI or renal transplant status without chronic antibiotic use. Comparing postmenopausal to premenopausal women, mean relative abundances of lactobacilli (especially L. crispatus) in urine and vaginal samples and of Gram-negative uropathobionts in urine were lower, and of BV-anaerobes and Gram-positive uropathobionts in urine and vaginal samples were higher. While RUTI in premenopausal women is predominantly caused by Escherichia, the causative organisms in postmenopausal women are likely more diverse. The relative importance of individual organisms is currently unknown. We recommend that future studies, including intervention studies, include longitudinal microbiota assessments.</t>
  </si>
  <si>
    <t>Physical Activity Is Associated with Improved Overall Survival among Patients with Metastatic Colorectal Cancer.</t>
  </si>
  <si>
    <t>Smit, Karel C; Derksen, Jeroen W G; Beets, Geerard L O; Belt, Eric J Th; Berbée, Maaike; Coene, Peter Paul L O; van Cruijsen, Hester; Davidis, Marjan A; Dekker, Jan Willem T; van Dodewaard-de Jong, Joyce M; Haringhuizen, Annebeth W; Helgason, Helgi H; Hendriks, Mathijs P; Hoekstra, Ronald; de Hingh, Ignace H J T; IJzermans, Jan N M; Janssen, Johan J B; Konsten, Joop L M; Los, Maartje; Mekenkamp, Leonie J M; Nieboer, Peter; Peeters, Koen C M J; Peters, Natascha A J B; Pruijt, Hans J F M; Quarles van Ufford-Mannesse, Patricia; Rietbroek, Ron C; Schiphorst, Anandi H W; Schouten van der Velden, Arjan; Schrauwen, Ruud W M; Sie, Mark P S; Sommeijer, Dirkje W; Sonneveld, Dirk J A; Stockmann, Hein B A C; Tent, Marleen; Terheggen, Frederiek; Tjin-A-Ton, Manuel L R; Valkenburg-van Iersel, Liselot; van der Velden, Ankie M T; Vles, Wouter J; van Voorthuizen, Theo; Wegdam, Johannes A; de Wilt, Johannes H W; Koopman, Miriam; May, Anne M; On Behalf Of The Plcrc Study Group,</t>
  </si>
  <si>
    <t>https://pubmed.ncbi.nlm.nih.gov/35205748</t>
  </si>
  <si>
    <t>Regular physical activity (PA) is associated with improved overall survival (OS) in stage I-III colorectal cancer (CRC) patients. This association is less defined in patients with metastatic CRC (mCRC). We therefore conducted a study in mCRC patients participating in the Prospective Dutch Colorectal Cancer cohort. PA was assessed with the validated SQUASH questionnaire, filled-in within a maximum of 60 days after diagnosis of mCRC. PA was quantified by calculating Metabolic Equivalent Task (MET) hours per week. American College of Sports and Medicine (ACSM) PA guideline adherence, tertiles of moderate to vigorous PA (MVPA), and sport and leisure time MVPA (MVPA-SL) were assessed as well. Vital status was obtained from the municipal population registry. Cox proportional-hazards models were used to study the association between PA determinants and all-cause mortality adjusted for prognostic patient and treatment-related factors. In total, 293 mCRC patients (mean age 62.9 ± 10.6 years, 67% male) were included in the analysis. Compared to low levels, moderate and high levels of MET-hours were significantly associated with longer OS (fully adjusted hazard ratios: 0.491, (95% CI 0.299-0.807, &lt;i&gt;p&lt;/i&gt; value = 0.005) and 0.485 (95% CI 0.303-0.778, &lt;i&gt;p&lt;/i&gt; value = 0.003), respectively), as were high levels of MVPA (0.476 (95% CI 0.278-0.816, &lt;i&gt;p&lt;/i&gt; value = 0.007)) and MVPA-SL (0.389 (95% CI 0.224-0.677, &lt;i&gt;p&lt;/i&gt; value &lt; 0.001)), and adherence to ACSM PA guidelines compared to non-adherence (0.629 (95% CI 0.412-0.961, &lt;i&gt;p&lt;/i&gt; value = 0.032)). The present study provides evidence that higher PA levels at diagnosis of mCRC are associated with longer OS.</t>
  </si>
  <si>
    <t>Long-term exposure to ambient air pollution and bladder cancer incidence in a pooled European cohort: the ELAPSE project.</t>
  </si>
  <si>
    <t>Chen, Jie; Rodopoulou, Sophia; Strak, Maciej; de Hoogh, Kees; Taj, Tahir; Poulsen, Aslak Harbo; Andersen, Zorana J; Bellander, Tom; Brandt, Jørgen; Zitt, Emanuel; Fecht, Daniela; Forastiere, Francesco; Gulliver, John; Hertel, Ole; Hoffmann, Barbara; Hvidtfeldt, Ulla Arthur; Verschuren, W M Monique; Jørgensen, Jeanette T; Katsouyanni, Klea; Ketzel, Matthias; Lager, Anton; Leander, Karin; Liu, Shuo; Ljungman, Petter; Severi, Gianluca; Boutron-Ruault, Marie-Christine; Magnusson, Patrik K E; Nagel, Gabriele; Pershagen, Göran; Peters, Annette; Rizzuto, Debora; van der Schouw, Yvonne T; Samoli, Evangelia; Sørensen, Mette; Stafoggia, Massimo; Tjønneland, Anne; Weinmayr, Gudrun; Wolf, Kathrin; Brunekreef, Bert; Raaschou-Nielsen, Ole; Hoek, Gerard</t>
  </si>
  <si>
    <t>https://pubmed.ncbi.nlm.nih.gov/35173304</t>
  </si>
  <si>
    <t>The evidence linking ambient air pollution to bladder cancer is limited and mixed. We assessed the associations of bladder cancer incidence with residential exposure to fine particles (PM&lt;sub&gt;2.5&lt;/sub&gt;), nitrogen dioxide (NO&lt;sub&gt;2&lt;/sub&gt;), black carbon (BC), warm season ozone (O&lt;sub&gt;3&lt;/sub&gt;) and eight PM&lt;sub&gt;2.5&lt;/sub&gt;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During an average of 18.2 years follow-up, 967 bladder cancer cases occurred. We observed a positive though statistically non-significant association between PM&lt;sub&gt;2.5&lt;/sub&gt; and bladder cancer incidence. Hazard Ratios (HR) were 1.09 (95% confidence interval (CI): 0.93-1.27) per 5 µg/m&lt;sup&gt;3&lt;/sup&gt; for 2010 exposure and 1.06 (95% CI: 0.99-1.14) for baseline exposure. Effect estimates for NO&lt;sub&gt;2&lt;/sub&gt;, BC and O&lt;sub&gt;3&lt;/sub&gt; were close to unity. A positive association was observed with PM&lt;sub&gt;2.5&lt;/sub&gt; zinc (HR 1.08; 95% CI: 1.00-1.16 per 10 ng/m&lt;sup&gt;3&lt;/sup&gt;). We found suggestive evidence of an association between long-term PM&lt;sub&gt;2.5&lt;/sub&gt; mass exposure and bladder cancer, strengthening the evidence from the few previous studies. The association with zinc in PM&lt;sub&gt;2.5&lt;/sub&gt; suggests the importance of industrial emissions.</t>
  </si>
  <si>
    <t>Epigenome-wide association study of incident type 2 diabetes: a meta-analysis of five prospective European cohorts.</t>
  </si>
  <si>
    <t>Fraszczyk, Eliza; Spijkerman, Annemieke M W; Zhang, Yan; Brandmaier, Stefan; Day, Felix R; Zhou, Li; Wackers, Paul; Dollé, Martijn E T; Bloks, Vincent W; Gào, Xīn; Gieger, Christian; Kooner, Jaspal; Kriebel, Jennifer; Picavet, H Susan J; Rathmann, Wolfgang; Schöttker, Ben; Loh, Marie; Verschuren, W M Monique; van Vliet-Ostaptchouk, Jana V; Wareham, Nicholas J; Chambers, John C; Ong, Ken K; Grallert, Harald; Brenner, Hermann; Luijten, Mirjam; Snieder, Harold</t>
  </si>
  <si>
    <t>https://pubmed.ncbi.nlm.nih.gov/35169870</t>
  </si>
  <si>
    <t>Type 2 diabetes is a complex metabolic disease with increasing prevalence worldwide. Improving the prediction of incident type 2 diabetes using epigenetic markers could help tailor prevention efforts to those at the highest risk. The aim of this study was to identify predictive methylation markers for incident type 2 diabetes by combining epigenome-wide association study (EWAS) results from five prospective European cohorts. We conducted a meta-analysis of EWASs in blood collected 7-10 years prior to type 2 diabetes diagnosis. DNA methylation was measured with Illumina Infinium Methylation arrays. A total of 1250 cases and 1950 controls from five longitudinal cohorts were included: Doetinchem, ESTHER, KORA1, KORA2 and EPIC-Norfolk. Associations between DNA methylation and incident type 2 diabetes were examined using robust linear regression with adjustment for potential confounders. Inverse-variance fixed-effects meta-analysis of cohort-level individual CpG EWAS estimates was performed using METAL. The methylGSA R package was used for gene set enrichment analysis. Confirmation of genome-wide significant CpG sites was performed in a cohort of Indian Asians (LOLIPOP, UK). The meta-analysis identified 76 CpG sites that were differentially methylated in individuals with incident type 2 diabetes compared with control individuals (p values &lt;1.1 × 10&lt;sup&gt;-7&lt;/sup&gt;). Sixty-four out of 76 (84.2%) CpG sites were confirmed by directionally consistent effects and p values &lt;0.05 in an independent cohort of Indian Asians. However, on adjustment for baseline BMI only four CpG sites remained genome-wide significant, and addition of the 76 CpG methylation risk score to a prediction model including established predictors of type 2 diabetes (age, sex, BMI and HbA&lt;sub&gt;1c&lt;/sub&gt;) showed no improvement (AUC 0.757 vs 0.753). Gene set enrichment analysis of the full epigenome-wide results clearly showed enrichment of processes linked to insulin signalling, lipid homeostasis and inflammation. By combining results from five European cohorts, and thus significantly increasing study sample size, we identified 76 CpG sites associated with incident type 2 diabetes. Replication of 64 CpGs in an independent cohort of Indian Asians suggests that the association between DNA methylation levels and incident type 2 diabetes is robust and independent of ethnicity. Our data also indicate that BMI partly explains the association between DNA methylation and incident type 2 diabetes. Further studies are required to elucidate the underlying biological mechanisms and to determine potential causal roles of the differentially methylated CpG sites in type 2 diabetes development.</t>
  </si>
  <si>
    <t>Analysing the protection from respiratory tract infections and allergic diseases early in life by human milk components: the PRIMA birth cohort.</t>
  </si>
  <si>
    <t>van Stigt, Arthur H; Oude Rengerink, Katrien; Bloemenkamp, Kitty W M; de Waal, Wouter; Prevaes, Sabine M P J; Le, Thuy-My; van Wijk, Femke; Nederend, Maaike; Hellinga, Anneke H; Lammers, Christianne S; den Hartog, Gerco; van Herwijnen, Martijn J C; Garssen, Johan; Knippels, Léon M J; Verhagen, Lilly M; de Theije, Caroline G M; Lopez-Rincon, Alejandro; Leusen, Jeanette H W; Van't Land, Belinda; Bont, Louis; ,</t>
  </si>
  <si>
    <t>https://pubmed.ncbi.nlm.nih.gov/35164699</t>
  </si>
  <si>
    <t>Many studies support the protective effect of breastfeeding on respiratory tract infections. Although infant formulas have been developed to provide adequate nutritional solutions, many components in human milk contributing to the protection of newborns and aiding immune development still need to be identified. In this paper we present the methodology of the "Protecting against Respiratory tract lnfections through human Milk Analysis" (PRIMA) cohort, which is an observational, prospective and multi-centre birth cohort aiming to identify novel functions of components in human milk that are protective against respiratory tract infections and allergic diseases early in life. For the PRIMA human milk cohort we aim to recruit 1000 mother-child pairs in the first month postpartum. At one week, one, three, and six months after birth, fresh human milk samples will be collected and processed. In order to identify protective components, the level of pathogen specific antibodies, T cell composition, Human milk oligosaccharides, as well as extracellular vesicles (EVs) will be analysed, in the milk samples in relation to clinical data which are collected using two-weekly parental questionnaires. The primary outcome of this study is the number of parent-reported medically attended respiratory infections. Secondary outcomes that will be measured are physician diagnosed (respiratory) infections and allergies during the first year of life. The PRIMA human milk cohort will be a large prospective healthy birth cohort in which we will use an integrated, multidisciplinary approach to identify the longitudinal effect human milk components that play a role in preventing (respiratory) infections and allergies during the first year of life. Ultimately, we believe that this study will provide novel insights into immunomodulatory components in human milk. This may allow for optimizing formula feeding for all non-breastfed infants.</t>
  </si>
  <si>
    <t>General Practice and Nursing Science; Data Science and Biostatistics; General Practice and Nursing Science; General Practice and Nursing Science; General Practice and Nursing Science; General Practice and Nursing Science</t>
  </si>
  <si>
    <t>Food Security, Dietary Diversity, Dietary Patterns and the Double Burden of Malnutrition among School-Aged Children and Adolescents in Two Nigerian States.</t>
  </si>
  <si>
    <t>Adeomi, Adeleye Abiodun; Fatusi, Adesegun; Klipstein-Grobusch, Kerstin</t>
  </si>
  <si>
    <t>https://pubmed.ncbi.nlm.nih.gov/35215439</t>
  </si>
  <si>
    <t>Little evidence exists on the relationship between diet-related factors and child/adolescent malnutrition in Nigeria. This study aimed to assess the associations between household food insecurity (HFI), dietary diversity (DD), and dietary patterns (DP) with the double burden of malnutrition (DBM) among 6-19-year-olds in two Nigerian States. This community-based cross-sectional study was carried out among 1200 respondents (6-19 years in age) in the Gombe and Osun States of Nigeria. HFI was assessed using the HFI access scale. DD was assessed using a 24-h dietary recall. DP were determined by principal component analysis using a 30-day food frequency questionnaire. DP scores were categorized into quartiles (Q) for statistical analysis. Diet-related predictors of DBM were assessed using logistic regression. HFI was experienced by 568 (47.3%) respondents. The median DD score was 7.0 (maximum of 14). Two DPs were identified, diversified DP (DDP) and traditional DP (TDP). TDP was significantly associated with both thinness (Q4:OR: 2.91; 95% CI: 1.52-5.55; Ptrend: 0.002) and overweight/obesity (Q4:OR: 2.50; 95% CI: 1.43-4.35; Ptrend: 0.007), while DDP was inversely related with thinness (Q4:OR: 0.36; 95% CI: 0.21-0.61; Ptrend: 0.008) as compared to Q1. TDP increased the odds for DBM, while the DDP reduced the odds.</t>
  </si>
  <si>
    <t>Genetic associations with carotid intima-media thickness link to atherosclerosis with sex-specific effects in sub-Saharan Africans.</t>
  </si>
  <si>
    <t>Boua, Palwende Romuald; Brandenburg, Jean-Tristan; Choudhury, Ananyo; Sorgho, Hermann; Nonterah, Engelbert A; Agongo, Godfred; Asiki, Gershim; Micklesfield, Lisa; Choma, Solomon; Gómez-Olivé, Francesc Xavier; Hazelhurst, Scott; Tinto, Halidou; Crowther, Nigel J; Mathew, Christopher G; Ramsay, Michèle; ,; ,</t>
  </si>
  <si>
    <t>https://pubmed.ncbi.nlm.nih.gov/35165267</t>
  </si>
  <si>
    <t>Atherosclerosis precedes the onset of clinical manifestations of cardiovascular diseases (CVDs). We used carotid intima-media thickness (cIMT) to investigate genetic susceptibility to atherosclerosis in 7894 unrelated adults (3963 women, 3931 men; 40 to 60 years) resident in four sub-Saharan African countries. cIMT was measured by ultrasound and genotyping was performed on the H3Africa SNP Array. Two new African-specific genome-wide significant loci for mean-max cIMT, SIRPA (p = 4.7E-08), and FBXL17 (p = 2.5E-08), were identified. Sex-stratified analysis revealed associations with one male-specific locus, SNX29 (p = 6.3E-09), and two female-specific loci, LARP6 (p = 2.4E-09) and PROK1 (p = 1.0E-08). We replicate previous cIMT associations with different lead SNPs in linkage disequilibrium with SNPs primarily identified in European populations. Our study find significant enrichment for genes involved in oestrogen response from female-specific signals. The genes identified show biological relevance to atherosclerosis and/or CVDs, sex-differences and transferability of signals from non-African studies.</t>
  </si>
  <si>
    <t>Challenges for modelling interventions for future pandemics.</t>
  </si>
  <si>
    <t>Kretzschmar, Mirjam E; Ashby, Ben; Fearon, Elizabeth; Overton, Christopher E; Panovska-Griffiths, Jasmina; Pellis, Lorenzo; Quaife, Matthew; Rozhnova, Ganna; Scarabel, Francesca; Stage, Helena B; Swallow, Ben; Thompson, Robin N; Tildesley, Michael J; Villela, Daniel</t>
  </si>
  <si>
    <t>epidemics</t>
  </si>
  <si>
    <t>https://pubmed.ncbi.nlm.nih.gov/35183834</t>
  </si>
  <si>
    <t>Mathematical modelling and statistical inference provide a framework to evaluate different non-pharmaceutical and pharmaceutical interventions for the control of epidemics that has been widely used during the COVID-19 pandemic. In this paper, lessons learned from this and previous epidemics are used to highlight the challenges for future pandemic control. We consider the availability and use of data, as well as the need for correct parameterisation and calibration for different model frameworks. We discuss challenges that arise in describing and distinguishing between different interventions, within different modelling structures, and allowing both within and between host dynamics. We also highlight challenges in modelling the health economic and political aspects of interventions. Given the diversity of these challenges, a broad variety of interdisciplinary expertise is needed to address them, combining mathematical knowledge with biological and social insights, and including health economics and communication skills. Addressing these challenges for the future requires strong cross-disciplinary collaboration together with close communication between scientists and policy makers.</t>
  </si>
  <si>
    <t>Number of Affected Relatives, Age, Smoking, and Hypertension Prediction Score for Intracranial Aneurysms in Persons With a Family History for Subarachnoid Hemorrhage.</t>
  </si>
  <si>
    <t>Zuurbier, Charlotte C M; Bourcier, Romain; Constant Dit Beaufils, Pacôme; Redon, Richard; Desal, Hubert; ,; Bor, Anne S E; Lindgren, Antti E; Rinkel, Gabriel J E; Greving, Jacoba P; Ruigrok, Ynte M</t>
  </si>
  <si>
    <t>https://pubmed.ncbi.nlm.nih.gov/35144487</t>
  </si>
  <si>
    <t>Persons with a positive family history of aneurysmal subarachnoid hemorrhage are at increased risk of aneurysmal subarachnoid hemorrhage. Preventive screening for intracranial aneurysms (IAs) in these persons is cost-effective but not very efficient. We aimed to develop and externally validate a model for predicting the probability of an IA at first screening in persons with a positive family history of aneurysmal subarachnoid hemorrhage. For model development, we studied results from initial screening for IA in 660 prospectively collected persons with ≥2 affected first-degree relatives screened at the University Medical Center Utrecht. For validation, we studied results from 258 prospectively collected persons screened in the University Hospital of Nantes. We assessed potential predictors of IA presence in multivariable logistic regression analysis. Predictive performance was assessed with the C statistic and a calibration plot and corrected for overfitting. IA were present in 79 (12%) persons in the development cohort. Predictors were number of affected relatives, age, smoking, and hypertension (NASH). The NASH score had a C statistic of 0.68 (95% CI, 0.62-0.74) and showed good calibration in the development data. Predicted probabilities of an IA at first screening varied from 5% in persons aged 20 to 30 years with two affected relatives, without hypertension who never smoked, up to 36% in persons aged 60 to 70 years with ≥3 affected relatives, who have hypertension and smoke(d). In the external validation data IA were present in 67 (26%) persons, the model had a C statistic of 0.64 (95% CI, 0.57-0.71) and slightly underestimated IAs risk. For persons with ≥2 affected first-degree relatives, the NASH score improves current predictions and provides risk estimates for an IA at first screening between 5% and 36% based on 4 easily retrievable predictors. With the information such persons can now make a better informed decision about whether or not to undergo preventive screening.</t>
  </si>
  <si>
    <t>Hypertension determinants among Ghanaians differ according to location of residence: RODAM study.</t>
  </si>
  <si>
    <t>van der Linden, Eva L; Meeks, Karlijn A C; Klipstein-Grobusch, Kerstin; Bahendeka, Silver; Beune, Erik J A J; van den Born, Bert-Jan H; Agyemang, Charles</t>
  </si>
  <si>
    <t>journal of hypertension</t>
  </si>
  <si>
    <t>https://pubmed.ncbi.nlm.nih.gov/35153282</t>
  </si>
  <si>
    <t>Hypertension prevalence is high among African migrants, but the determinants of hypertension in migrants in Europe in relation to the population in the country of origin still needs to be elucidated. Therefore, the aim of this study was to assess the determinants of hypertension in Ghanaians residing in Ghana and Europe. The current study used baseline data of 5659 participants, aged 25-70 years, of the Research on Obesity and Diabetes among African Migrants study. Multivariate logistic regression analysis was used to assess sociodemographic, lifestyle, psychosocial, anthropometric and health factors independently associated with hypertension in Ghanaians living in rural and urban Ghana, and Ghanaian migrants living in Europe. Across all sites, older age (both sexes; odds ratio 1.07, 95% confidence interval 1.06-1.08) and diabetes (females only; 2.02, 1.54-1.67) were independently associated with hypertension. The other determinants of hypertension differed between geographical locations. Higher waist circumference (1.12, 1.05-1.20) was independently associated with hypertension in rural-Ghanaian males, as was higher body mass index (1.15, 1.03- 1.28) in urban-Ghanaian males, higher waist circumference (1.04, 1.01-1.07) and diabetes (1.75, 1.17-2.63) in European-Ghanaian males. In European-Ghanaian females, high alcohol intake (1.88, 1.01 -3.53) and waist circumference (1.04, 1.02- 1.06) were associated with hypertension, whereas in rural-Ghanaian females, a higher educational level (0.28, 0.08-0.98) was inversely associated with hypertension. The current study identified several modifiable determinants of hypertension in Ghanaians, with differences between populations residing in various geographical locations. This highlights the importance of development and implementation of context-specific interventions targeting these determinants to reduce the burden of hypertension among Ghanaian migrants and nonmigrants.</t>
  </si>
  <si>
    <t>Vaccine equity: Past, present, and future.</t>
  </si>
  <si>
    <t>van der Graaf, Rieke; Browne, Joyce L; Baidjoe, Amrish Y</t>
  </si>
  <si>
    <t>cell reports medicine</t>
  </si>
  <si>
    <t>https://pubmed.ncbi.nlm.nih.gov/35474741</t>
  </si>
  <si>
    <t>The term "vaccine equity" primarily points to the enormous imbalance in global COVID-19 vaccine distribution. Vaccine equity should adopt a normative approach toward "health equity," and various stakeholders across the vaccine life cycle must practice it. The momentum gathered during this pandemic must be used to correct these structural imbalances.</t>
  </si>
  <si>
    <t>OBOMod - Integrated modelling framework for residents' exposure to pesticides.</t>
  </si>
  <si>
    <t>Figueiredo, Daniel M; Vermeulen, Roel C H; Jacobs, Cor; Holterman, Henk Jan; van de Zande, Jan C; van den Berg, Frederik; Gooijer, Yvonne M; Lageschaar, Luuk; Buijtenhuijs, Daan; Krop, Esmeralda; Huss, Anke; Duyzer, Jan</t>
  </si>
  <si>
    <t>the science of the total environment</t>
  </si>
  <si>
    <t>https://pubmed.ncbi.nlm.nih.gov/35151737</t>
  </si>
  <si>
    <t>Pesticides can be transported from the site of application to homes via different routes and lead to exposure of residents, raising concerns regarding health effects. We built a deterministic model framework (OBOmod) to assess exposure of residents living near fields where pesticides are applied. OBOmod connects five independent models operating on an hourly timescale and high spatial resolution (meters). Models include descriptions of spray drift, volatilization, atmospheric transport and dispersion, exchange between outdoor and indoor air and exchange between indoor air and dust. Fourteen bulb field applications under different weather conditions and comprising 12 pesticides were simulated. Each simulation included the first seven days after the application. The concentrations computed with OBOmod were compared with those measured in outdoor and indoor air and the amounts measured in indoor dust samples. Model evaluation indicated suitability of the developed framework to estimate outdoor and indoor air concentrations. For most pesticides, model accuracy was good. The framework explained about 30% to 95% of the temporal and spatial variability of air concentrations. For 20% of the simulations, the framework explained more than 35% of spatial variability of concentrations in dust. In general, OBOmod estimates remained within one order of magnitude from measured levels. Calculations showed that in addition to spray drift during application, volatilization from the field after spraying and pesticides in house dust are important routes for residents' exposure to pesticides. Our framework covers many processes needed to calculate exposure of residents to pesticides. The evaluation phase shows that, with the exception of the dust model, the framework can be used in support of health and epidemiological studies, and can serve as a tool to support development of regulations and policy making regarding pesticide use.</t>
  </si>
  <si>
    <t>Cardiometabolic outcomes of women exposed to hyperglycaemia first detected in pregnancy at 3-6 years post-partum in an urban South African setting.</t>
  </si>
  <si>
    <t>Nicolaou, Veronique; Soepnel, Larske; Huddle, Kenneth; Klipstein-Grobusch, Kerstin; Levitt, Naomi S; Norris, Shane A</t>
  </si>
  <si>
    <t>https://pubmed.ncbi.nlm.nih.gov/35139085</t>
  </si>
  <si>
    <t>Hyperglycaemia first detected during pregnancy(HFDP) has far-reaching maternal consequences beyond the pregnancy. Our study evaluated the cardiometabolic outcomes in women with prior HFDP versus women without HFDP 3-6 years post-partum in urban South Africa. A prospective cohort study was performed of 103 black African women with prior HFDP and 101 without HFDP, 3-6 years post-partum at Chris Hani Baragwanath Academic Hospital, Soweto. Index pregnancy data was obtained from medical records. Post-partum, participants were re-evaluated for anthropometric measurements, body composition utilizing dual energy X-ray absorptiometry(DXA) and biochemical analysis (two-hour 75gm OGTT fasting insulin, lipids, creatinine levels and glucose levels). Cardiovascular risk was assessed by Framingham risk score(FRS). Carotid intima media thickness(cIMT) was used as a surrogate marker for subclinical atherosclerosis. Factors associated with progression to cardiometabolic outcomes were assessed using multivariable logistic and linear regression models. Forty-six(45.1%) HFDP women progressed to diabetes compared to 5(4.9%) in non HFDP group(p&lt;0.001); only 20(43.4%) were aware of their diabetic status in the whole group. The odds(OR, 95% confidence interval(CI)) of progressing to type 2 diabetes(T2DM) and metabolic syndrome(MetS) after correcting for confounders in the HFDP group was 10.5(95% CI 3.7-29.5) and 6.3(95%CI 2.2-18.1), respectively. All visceral fat indices were found to be significantly higher in the HFDP group after adjusting for baseline body mass index. Ten-year estimated cardiovascular risk(FRS) and mean cIMT was statistically higher in the HFDP group(8.46 IQR 4.9-14.4; 0.48 mm IQR 0.44-0.53 respectively) compared to the non-HFDP group(3.48 IQR 2.1-5.7; 0.46mm IQR 0.42-0.50) respectively and this remained significant for FRS but was attenuated for cIMT after correcting for confounders. HIV did not play a role in progression to any of these outcomes. Women with a history of HFDP have a higher risk of cardiometabolic conditions within 6 years post-partum in an urban sub-Saharan African setting.</t>
  </si>
  <si>
    <t>Inflammatory marker trajectories associated with frailty and ageing in a 20-year longitudinal study.</t>
  </si>
  <si>
    <t>Samson, Leonard Daniël; Buisman, Anne-Marie; Ferreira, José A; Picavet, H Susan J; Verschuren, W M Monique; Boots, Annemieke Mh; Engelfriet, Peter</t>
  </si>
  <si>
    <t>clinical translational immunology</t>
  </si>
  <si>
    <t>https://pubmed.ncbi.nlm.nih.gov/35154709</t>
  </si>
  <si>
    <t>The aim of this exploratory study was to investigate the development of low-grade inflammation during ageing and its relationship with frailty. The trajectories of 18 inflammatory markers measured in blood samples, collected at 5-year intervals over a period of 20 years from 144 individuals aged 65-75 years at the study endpoint, were related to the degree of frailty later in life. IFN-γ-related markers and platelet activation markers were found to change in synchrony. Chronically elevated levels of IL-6 pathway markers, such as CRP and sIL-6R, were associated with more frailty, poorer lung function and reduced physical strength. Being overweight was a possible driver of these associations. More and stronger associations were detected in women, such as a relation between increasing sCD14 levels and frailty, indicating a possible role for monocyte overactivation. Multivariate prediction of frailty confirmed the main results, but predictive accuracy was low. In summary, we documented temporal changes in and between inflammatory markers in an ageing population over a period of 20 years, and related these to clinically relevant health outcomes.</t>
  </si>
  <si>
    <t>The impact of maternal hyperglycaemia first detected in pregnancy on offspring blood pressure in Soweto, South Africa.</t>
  </si>
  <si>
    <t>Boerstra, Brittany A; Soepnel, Larske M; Nicolaou, Veronique; Kolkenbeck-Ruh, Andrea; Kagura, Juliana; Ware, Lisa J; Norris, Shane A; Klipstein-Grobusch, Kerstin</t>
  </si>
  <si>
    <t>https://pubmed.ncbi.nlm.nih.gov/35142740</t>
  </si>
  <si>
    <t>The long-term consequences for offspring born to mothers with hyperglycaemia first detected in pregnancy (HFDP) are not yet well understood and its influence on childhood blood pressure has not previously been assessed in sub-Saharan Africa. The objective of this study was to evaluate the association between maternal HFDP and offspring blood pressure in 3 to 6-year-old children in Soweto, South Africa. Oscillometric blood pressure was measured in 189 children born to mothers with and without HFDP diagnosed by 75 g 2-h oral glucose tolerance test. The 2017 AAP Guidelines for Childhood Hypertension were used as reference standard, and the term 'elevated blood pressure' referred to blood pressure readings above the 90th percentile for age, height and sex. The association between maternal HFDP and offspring blood pressure was analysed using multivariable linear regression. Elevated blood pressure was identified in 49.7% of children. Maternal hyperglycaemia was not associated with offspring blood pressure when adjusted for offspring age, height and sex (SBP: 0.199, P  = 0.888; DBP: 0.185, P  = 0.837) or after multivariable adjustment (SBP: -0.286, P = 0.854; DBP: 0.215, P = 0.833). In the full model for SBP, child BMI age z-score was a significant predictor of blood pressure at 3-6years (1.916, P = 0.008). Although maternal HFDP was not associated with childhood blood pressure at 3-6 years, the prevalence of elevated blood pressure in this group of preschool-aged children is concerning. Future research is needed to further evaluate childhood obesity as a modifiable risk factor to reduce hypertension and cardiovascular risk in an African setting.</t>
  </si>
  <si>
    <t>Interval Cancer Detection Using a Neural Network and Breast Density in Women with Negative Screening Mammograms.</t>
  </si>
  <si>
    <t>Wanders, Alexander J T; Mees, Willem; Bun, Petra A M; Janssen, Natasja; Rodríguez-Ruiz, Alejandro; Dalmış, Mehmet Ufuk; Karssemeijer, Nico; van Gils, Carla H; Sechopoulos, Ioannis; Mann, Ritse M; van Rooden, Cornelis Jan</t>
  </si>
  <si>
    <t>https://pubmed.ncbi.nlm.nih.gov/35133194</t>
  </si>
  <si>
    <t>Background Inclusion of mammographic breast density (BD) in breast cancer risk models improves accuracy, but accuracy remains modest. Interval cancer (IC) risk prediction may be improved by combining assessments of BD and an artificial intelligence (AI) cancer detection system. Purpose To evaluate the performance of a neural network (NN)-based model that combines the assessments of BD and an AI system in the prediction of risk of developing IC among women with negative screening mammography results. Materials and Methods This retrospective nested case-control study performed with screening examinations included women who developed IC and women with normal follow-up findings (from January 2011 to January 2015). An AI cancer detection system analyzed all studies yielding a score of 1-10, representing increasing likelihood of malignancy. BD was automatically computed using publicly available software. An NN model was trained by combining the AI score and BD using 10-fold cross-validation. Bootstrap analysis was used to calculate the area under the receiver operating characteristic curve (AUC), sensitivity at 90% specificity, and 95% CIs of the AI, BD, and NN models. Results A total of 2222 women with IC and 4661 women in the control group were included (mean age, 61 years; age range, 49-76 years). AUC of the NN model was 0.79 (95% CI: 0.77,0.81), which was higher than AUC of the AI cancer detection system or BD alone (AUC, 0.73 [95% CI: 0.71, 0.76] and 0.69 [95% CI: 0.67, 0.71], respectively; &lt;i&gt;P&lt;/i&gt; &lt; .001 for both). At 90% specificity, the NN model had a sensitivity of 50.9% (339 of 666 women; 95% CI: 45.2, 56.3) for prediction of IC, which was higher than that of the AI system (37.5%; 250 of 666 women; 95% CI: 33.0, 43.7; &lt;i&gt;P&lt;/i&gt; &lt; .001) or BD percentage alone (22.4%; 149 of 666 women; 95% CI: 17.9, 28.5; &lt;i&gt;P&lt;/i&gt; &lt; .001). Conclusion The combined assessment of an artificial intelligence detection system and breast density measurements enabled identification of a larger proportion of women who would develop interval cancer compared with either method alone. Published under a CC BY 4.0 license.</t>
  </si>
  <si>
    <t>Insight into the content of and experiences with follow-up conversations with bereaved parents in paediatrics: A systematic review.</t>
  </si>
  <si>
    <t>van Kempen, Merel M; Kochen, Eline M; Kars, Marijke C</t>
  </si>
  <si>
    <t>https://pubmed.ncbi.nlm.nih.gov/34995378</t>
  </si>
  <si>
    <t>A follow-up conversation with bereaved parents is a relatively well-established intervention in paediatric clinical practice. Yet, the content and value of these conversations remain unclear. This review aims to provide insight into the content of follow-up conversations between bereaved parents and regular healthcare professionals (HCPs) in paediatrics and how parents and HCPs experience these conversations. Systematic literature review using the methods PALETTE and PRISMA. The search was conducted in PubMed and CINAHL on 3 February 2021. The results were extracted and integrated using thematic analysis. Ten articles were included. This review revealed that follow-up conversations are built around three key elements: (1) gaining information, (2) receiving emotional support and (3) facilitating parents to provide feedback. In addition, this review showed that the vast majority of parents and HCPs experienced follow-up conversations as meaningful and beneficial for several reasons. An understanding of what parents and HCPs value in follow-up conversations aids HCPs in conducting follow-up conversations and improves care for bereaved parents by enhancing the HCPs' understanding of parental needs.</t>
  </si>
  <si>
    <t>Alcohol Consumption and Cardiovascular Disease Risk: Placing New Data in Context.</t>
  </si>
  <si>
    <t>Hoek, Anna G; van Oort, Sabine; Mukamal, Kenneth J; Beulens, Joline W J</t>
  </si>
  <si>
    <t>https://pubmed.ncbi.nlm.nih.gov/35129737</t>
  </si>
  <si>
    <t>A clear link between excessive alcohol consumption and cardiovascular disease (CVD) has been established, but no consensus exists on the effects of moderate alcohol consumption on CVD. A lower risk of coronary heart disease and myocardial infarction among moderate drinkers compared to abstainers has been consistently observed in epidemiological studies and meta-analyses of these studies. However, ambiguity remains on the effect of alcohol on other CVDs and all-cause mortality. Short-term randomized controlled trials (RCT) have identified potentially beneficial effects of alcohol consumption on cardiovascular risk factors, but studies investigating genetic polymorphisms that influence alcohol consumption (i.e., Mendelian randomization) have yielded inconclusive results. To date, a long-term RCT providing causal evidence is lacking but urgently needed. Triangulation of evidence from different study designs, including long-term RCTs, pragmatic trials and the evaluation of policy measures, combined will lead to the best available evidence.</t>
  </si>
  <si>
    <t>Development of a clinical prediction model for perinatal deaths in low resource settings.</t>
  </si>
  <si>
    <t>Housseine, Natasha; Rijken, Marcus J; Weller, Katinka; Nassor, Nassra Haroub; Gbenga, Kayode; Dodd, Caitlin; Debray, Thomas; Meguid, Tarek; Franx, Arie; Grobbee, Diederick E; Browne, Joyce L</t>
  </si>
  <si>
    <t>https://pubmed.ncbi.nlm.nih.gov/35252826</t>
  </si>
  <si>
    <t>Most pregnancy-related deaths in low and middle income countries occur around the time of birth and are avoidable with timely care. This study aimed to develop a prognostic model to identify women at risk of intrapartum-related perinatal deaths in low-resourced settings, by (1) external validation of an existing prediction model, and subsequently (2) development of a novel model. A prospective cohort study was conducted among pregnant women who presented consecutively for delivery at the maternity unit of Zanzibar's tertiary hospital, Mnazi Mmoja Hospital, the Republic of Tanzania between October 2017 and May 2018. Candidate predictors of perinatal deaths included maternal and foetal characteristics obtained from routine history and physical examination at the time of admission to the labour ward. The outcomes were intrapartum stillbirths and neonatal death before hospital discharge. An existing stillbirth prediction model with six predictors from Nigeria was applied to the Zanzibar cohort to assess its discrimination and calibration performance. Subsequently, a new prediction model was developed using multivariable logistic regression. Model performance was evaluated through internal validation and corrected for overfitting using bootstrapping methods. 5747 mother-baby pairs were analysed. The existing model showed poor discrimination performance (c-statistic 0·57). The new model included 15 clinical predictors and showed promising discriminative and calibration performance after internal validation (optimism adjusted c-statistic of 0·78, optimism adjusted calibration slope =0·94). The new model consisted of predictors easily obtained through history-taking and physical examination at the time of admission to the labour ward. It had good performance in predicting risk of perinatal death in women admitted in labour wards. Therefore, it has the potential to assist skilled birth attendance to triage women for appropriate management during labour. Before routine implementation, external validation and usefulness should be determined in future studies. The study received funding from Laerdal Foundation, Otto Kranendonk Fund and UMC Global Health Fellowship. TD acknowledges financial support from the Netherlands Organisation for Health Research and Development (grant 91617050).</t>
  </si>
  <si>
    <t>Clinical outcomes of second relapsed and refractory first relapsed paediatric AML: A retrospective study within the NOPHO-DB SHIP consortium.</t>
  </si>
  <si>
    <t>White, Tara; Kaspers, Gertjan; Abrahamsson, Jonas; Arad-Cohen, Nira; Cianci, Daniela; Fernandez, Jose; Ha, Shau-Yin; Hasle, Henrik; De Moerloose, Barbara; Zwaan, C Michel; Goemans, Bianca F</t>
  </si>
  <si>
    <t>british journal of haematology</t>
  </si>
  <si>
    <t>https://pubmed.ncbi.nlm.nih.gov/35118649</t>
  </si>
  <si>
    <t>As treatments for second relapsed and refractory first relapsed paediatric AML transition from purely palliative to more commonly curative in nature, comparative data is necessary for evaluating the effectiveness of emerging treatment options. Furthermore, little is known about predictors of prognosis following third-line therapy. From 2004 until 2019, 277 of the 869 patients enrolled in NOPHO-DB SHIP consortium trials experienced a first relapse and, of these patients, 98 experienced refractory first relapse and 59 a second relapse. Data on patient and disease characteristics within this cohort of 157 patients was analysed to determine probability of overall survival (pOS) and to identify factors influencing survival. Data on early treatment response and complete remission were not available. One and 5-year pOS were 22 ± 3% and 14 ± 3%, respectively. There was no statistically significant difference in survival between refractory first relapsed and second relapsed AML. Factors influencing prognosis included: late relapse, type of third-line treatment, FLT3 mutational status, and original treatment protocol. These data provide a baseline for evaluating the effectiveness of emerging therapies for the treatment of children with refractory first relapsed and second relapsed paediatric AML and evidence that select patients receiving third-line therapy can be cured.</t>
  </si>
  <si>
    <t>Prediction models for living organ transplantation are poorly developed, reported, and validated: a systematic review.</t>
  </si>
  <si>
    <t>Haller, Maria C; Aschauer, Constantin; Wallisch, Christine; Leffondré, Karen; van Smeden, Maarten; Oberbauer, Rainer; Heinze, Georg</t>
  </si>
  <si>
    <t>https://pubmed.ncbi.nlm.nih.gov/35124188</t>
  </si>
  <si>
    <t>To identify and critically appraise risk prediction models for living donor solid organ transplant counselling. We systematically reviewed articles describing the development or validation of prognostic risk prediction models about living donor solid organ (kidney and liver) transplantation indexed in Medline until April 4, 2021. Models were eligible if intended to predict, at transplant counselling, any outcome occurring after transplantation or donation in recipients or donors. Duplicate study selection, data extraction, assessment for risk of bias and quality of reporting was done using the CHARMS checklist, PRISMA recommendations, PROBAST tool, and TRIPOD Statement. We screened 4691 titles and included 49 studies describing 68 models (35 kidney, 33 liver transplantation). We identified 49 new risk prediction models and 19 external validations of existing models. Most models predicted recipients outcomes (n = 38, 75%), e.g., kidney graft loss (29%), or mortality of liver transplant recipients (55%). Many new models (n = 46, 94%) and external validations (n = 17, 89%) had a high risk of bias because of methodological weaknesses. The quality of reporting was generally poor. We advise against applying poorly developed, reported, or validated prediction models. Future studies could validate or update the few identified methodologically appropriate models.</t>
  </si>
  <si>
    <t>Sex- and age specific association of new-onset atrial fibrillation with in-hospital mortality in hospitalised COVID-19 patients.</t>
  </si>
  <si>
    <t>Offerhaus, Joost A; Joosten, Linda P T; van Smeden, Maarten; Linschoten, Marijke; Bleijendaal, Hidde; Tieleman, Robert; Wilde, Arthur A M; Rutten, Frans H; Geersing, Geert-Jan; Remme, Carol Ann; ,</t>
  </si>
  <si>
    <t>https://pubmed.ncbi.nlm.nih.gov/35136831</t>
  </si>
  <si>
    <t>Coronavirus disease 2019 (COVID-19) is a systemic disease with cardiovascular involvement, including cardiac arrhythmias. Notably, new-onset atrial fibrillation (AF) and atrial flutter (AFL) during hospitalisation in COVID-19 patients has been associated with increased mortality. However, how this risk is impacted by age and sex is still poorly understood. For this multicentre cohort study, we extracted demographics, medical history, occurrence of electrical disorders and in-hospital mortality from the large international patient registry CAPACITY-COVID. For each electrical disorder, prevalence during hospitalisation was calculated. Subsequently, we analysed the incremental prognostic effect of developing AF/AFL on in-hospital mortality, using multivariable logistic regression analyses, stratified for sex and age. In total, 5782 patients (64% male; median age 67) were included. Of all patients 11.0% (95% CI 10.2-11.8) experienced AF and 1.6% (95% CI 1.3-1.9) experienced AFL during hospitalisation. Ventricular arrhythmias were rare (&lt;0.8% (95% CI 0.6-1.0)) and a conduction disorder was observed in 6.3% (95% CI 5.7-7.0). An event of AF/AFL appeared to occur more often in patients with pre-existing heart failure. After multivariable adjustment for age and sex, new-onset AF/AFL was significantly associated with a poorer prognosis, exemplified by a two- to three-fold increased risk of in-hospital mortality in males aged 60-72 years, whereas this effect was largely attenuated in older male patients and not observed in female patients. In this large COVID-19 cohort, new-onset AF/AFL was associated with increased in-hospital mortality, yet this increased risk was restricted to males aged 60-72 years.</t>
  </si>
  <si>
    <t>Prognostic factors for adverse outcomes in patients with COVID-19: a field-wide systematic review and meta-analysis.</t>
  </si>
  <si>
    <t>Bellou, Vanesa; Tzoulaki, Ioanna; van Smeden, Maarten; Moons, Karel G M; Evangelou, Evangelos; Belbasis, Lazaros</t>
  </si>
  <si>
    <t>https://pubmed.ncbi.nlm.nih.gov/34172467</t>
  </si>
  <si>
    <t>The individual prognostic factors for coronavirus disease 2019 (COVID-19) are unclear. For this reason, we aimed to present a state-of-the-art systematic review and meta-analysis on the prognostic factors for adverse outcomes in COVID-19 patients. We systematically reviewed PubMed from 1 January 2020 to 26 July 2020 to identify non-overlapping studies examining the association of any prognostic factor with any adverse outcome in patients with COVID-19. Random-effects meta-analysis was performed, and between-study heterogeneity was quantified using I&lt;sup&gt;2&lt;/sup&gt; statistic. Presence of small-study effects was assessed by applying the Egger's regression test. We identified 428 eligible articles, which were used in a total of 263 meta-analyses examining the association of 91 unique prognostic factors with 11 outcomes. Angiotensin-converting enzyme inhibitors, obstructive sleep apnoea, pharyngalgia, history of venous thromboembolism, sex, coronary heart disease, cancer, chronic liver disease, COPD, dementia, any immunosuppressive medication, peripheral arterial disease, rheumatological disease and smoking were associated with at least one outcome and had &gt;1000 events, p&lt;0.005, I&lt;sup&gt;2&lt;/sup&gt;&lt;50%, 95% prediction interval excluding the null value, and absence of small-study effects in the respective meta-analysis. The risk of bias assessment using the Quality in Prognosis Studies tool indicated high risk of bias in 302 out of 428 articles for study participation, 389 articles for adjustment for other prognostic factors and 396 articles for statistical analysis and reporting. Our findings could be used for prognostic model building and guide patient selection for randomised clinical trials.</t>
  </si>
  <si>
    <t>Nurses' self-management support to hospitalised patients: A scoping review.</t>
  </si>
  <si>
    <t>Otter, Caroline E M; Keers, Joost C; Smit, Jakobus; Schoonhoven, Lisette; de Man-van Ginkel, Janneke M</t>
  </si>
  <si>
    <t>https://pubmed.ncbi.nlm.nih.gov/35118738</t>
  </si>
  <si>
    <t>To review the current literature to map and explore the interventions that have been considered or used by nurses to support adult patients' self-management during hospitalisation. Nurses can play an important role in supporting patients' self-management. Currently, however, it is unclear how nurses perform this task during a patient's stay in hospital. Traditionally, nurses take the primary role in managing patients' care during hospitalisation. Ideally, patients should have the opportunity to continue applying strategies to manage their health conditions as much as possible while in the hospital. This can increase patients' self-efficacy and decrease unnecessary readmissions. Scoping review informed by the Joanna Briggs Institute methodology. A database search was undertaken using Pubmed, CINAHL, PsycInfo, Cochrane, Embase and grey literature sources. Data from the included studies were mapped and summarised in a narrative summary. To synthesise the information that was given about each intervention, we conducted a qualitative inductive content analysis. Results are reported in accordance with the guidelines for reporting Items for systematic review and meta-analyses extension for scoping review (PRISMA-ScR) (Supplementary File 1). 83 documents were included in this review. Based on the information about the interventions, three themes were identified: 'self-management support activities', 'focus of self-management support' and the 'intervention procedure'. Five self-management support activities can be distinguished: 'giving education', 'counselling and coaching', 'enhancing responsibility', 'engaging family-caregivers' and 'supporting transition from hospital to home'. The interventions focused on improving disease-related knowledge and on strengthening several self-management skills. Information about the procedure, development and the theoretical underpinning of the intervention was often limited. Most activities within the nursing interventions to support adult patients' self-management during hospitalisation are the part of regular nursing care. However, the transfer of responsibility for care task to the patient is relatively new. Further research could focus on developing interventions addressing all aspects of self-management and that are embedded in the patient's care pathway across settings. Clinical nurses may improve nursing care by supporting all aspects of patients' self-management and facilitate patients as much as possible for taking responsibility for self-management tasks during hospitalisation.</t>
  </si>
  <si>
    <t>ESCMID guidelines on testing for SARS-CoV-2 in asymptomatic individuals to prevent transmission in the health care setting.</t>
  </si>
  <si>
    <t>Carrara, Elena; Ong, David S Y; Hussein, Khetam; Keske, Siran; Johansson, Anders F; Presterl, Elisabeth; Tsioutis, Constantinos; Tschudin-Sutter, Sarah; Tacconelli, Evelina</t>
  </si>
  <si>
    <t>https://pubmed.ncbi.nlm.nih.gov/35124258</t>
  </si>
  <si>
    <t>This guideline addresses the indications for direct testing of severe acute respiratory syndrome coronavirus 2 (SARS-CoV-2) in asymptomatic individuals in health care facilities, with the aim to prevent SARS-CoV-2 transmissions in these settings. The benefit of testing asymptomatic individuals to create a safe environment for patients and health care workers must be weighed against potential unintended consequences, including delaying necessary treatments owing to false positive results and lower quality of care owing to strict isolation measures. A total of nine PICOs (population, intervention, comparison, outcome) on the topic of testing asymptomatic individuals was selected by the panel members. Subsequently, a literature search for existing guidelines and systematic reviews was performed on PubMed, Epistemonikos, and RecMap using relevant filters available in each database. Data on article/recommendation type, setting, target population, intervention, and quality of the evidence were extracted. Credibility of the systematic reviews was evaluated using the AMSTAR tool, and level of agreement with available recommendation was evaluated with the AGREE II score. Because the evidence available from systematic reviews was deemed insufficiently updated to formulate relevant recommendations, an additional search targeting relevant guidance documents from major public health institutions and original studies was performed. Provisional recommendations were discussed via web conferences until agreement was reached, and final recommendations were formulated according to the GRADE approach. Recommendations were formulated regarding systematic testing in asymptomatic individuals upon admission to a health care setting, during hospital stay, before elective procedures, and before scheduled nonsurgical procedures. Moreover, recommendations regarding testing of asymptomatic visitors, personal caregivers, and health care workers in health care facilities were presented. Recommendations also were given on contact tracing in asymptomatic patients or health care workers and the possibility of a negative screening test to shorten the quarantine period. Furthermore, if applicable, recommendations were specified to transmission rate and vaccination coverage.</t>
  </si>
  <si>
    <t>The effect of shared decision-making on recovery from non-chronic aspecific low back pain in primary care; a post-hoc analysis from the patient, physician and observer perspectives.</t>
  </si>
  <si>
    <t>Sanders, Ariëtte R J; de Wit, Niek J; Zuithoff, Nicolaas P A; van Dulmen, Sandra</t>
  </si>
  <si>
    <t>https://pubmed.ncbi.nlm.nih.gov/35172742</t>
  </si>
  <si>
    <t>Although shared decision-making (SDM) is increasingly accepted in healthcare and has demonstrated merits for several psychological outcomes, the effect on recovery from somatic conditions is still subject to debate. The objective of this study is to measure the effect of SDM on recovery from non-chronic aspecific low back pain (LBP). This study is a post-hoc analysis of data from a cluster-randomised trial that evaluated the effectiveness of SDM on recovery in patients with non-chronic aspecific LBP. In this analysis, we re-evaluate the impact of SDM from three perspectives: that of external observers, participating GPs and participating patients. Recovery was measured with the Visual Analogue Scale (VAS) for pain and with the Roland Morris Disability questionnaire (RMD) and defined as a VAS &lt; 30 and an RMD &lt; 4. Logistic regression was used to analyse the effect of SDM on recovery at 6 and 26 weeks. At 26 weeks, 105 (74%) of all 176 included patients had recovered. No significant effect of SDM on recovery at 6 or 26 weeks after the consultation was found when considering SDM from an observer perspective or a patient perspective. From a GP perspective SDM had a significant effect on recovery, but at 26 weeks only, and with the lowest probability of recovery observed at a medium level of GP-perceived SDM. We found no evidence that SDM as perceived by the patient or by external observation improves recovery from non-chronic aspecific low back pain. The long-term recovery may be better for patients in whom the GP perceives SDM during their consultations. Further research should highlight the hierarchy and the relation between the perspectives, which is needed to come to an integral effect evaluation of SDM. The Netherlands National Trial Register (NTR) number: NTR1960 .</t>
  </si>
  <si>
    <t>Factors associated with masticatory function as measured with the Mixing Ability Test in patients with head and neck cancer before and after treatment: a prospective cohort study.</t>
  </si>
  <si>
    <t>https://pubmed.ncbi.nlm.nih.gov/35106658</t>
  </si>
  <si>
    <t>After treatment for head and neck cancer (HNC), patients often experience major problems in masticatory function. The aim of this prospective cohort study among patients with HNC was to investigate which personal and clinical factors are associated with masticatory function from diagnosis up to 2 years after treatment with curative intent. Masticatory function was measured using the Mixing Ability Test (MAT) before treatment (baseline), and 3, 6, 12, and 24 months after treatment. A linear mixed-effects model with a random intercept and slope was conducted to investigate changes over time and the association with personal (sex, age) and clinical (tumor site, tumor stage, treatment modality) factors as measured at baseline. One-hundred-twenty-five patients were included. The prevalence of masticatory dysfunction was estimated at 29% at M0, 38% at M3, 28% at M6, 26% at M12, and 36% at M24. A higher (worse) MAT score was associated with age, tumor stage, tumor site, timing of assessment, and the interaction between assessment moment and tumor site. In patients with HNC, masticatory function changed over time and dysfunction was associated with a higher age, a tumor in the oral cavity, a higher tumor stage, and a shorter time since treatment. The prevalence of masticatory dysfunction ranged from 26 to 38%.</t>
  </si>
  <si>
    <t>Identifying Sexually Transmitted Infection Risk Groups Based on Behavioral and Psychological Characteristics Among Heterosexuals During the COVID-19 Pandemic.</t>
  </si>
  <si>
    <t>van Wees, Daphne A; Godijk, Noortje G; den Daas, Chantal; Kretzschmar, Mirjam E E; Heijne, Janneke C M</t>
  </si>
  <si>
    <t>sexually transmitted diseases</t>
  </si>
  <si>
    <t>https://pubmed.ncbi.nlm.nih.gov/34475359</t>
  </si>
  <si>
    <t>Measures to reduce coronavirus disease (COVID-19) transmission may impact sexual health. We aimed to examine the impact of COVID-19 on sexual behavior and sexually transmitted infection (STI) testing and to characterize individuals who were at high STI risk. Dutch heterosexual males and females who participated in a cohort study in 2016 to 2018 were invited to fill out 2 questionnaires again in 2020 (age, 21-28 years). We used behavioral and psychological data from: prelockdown (September 2019 to February 2020), lockdown (March to May 2020), and postlockdown (June to August 2020). Behavior change was compared between subgroups identified with latent class analysis. Four latent classes were identified (n = 238). Individuals in class 1 (48% of study population) and class 2 (36%) were at low STI risk and reported mostly steady partnerships. Individuals in class 3 (9%) and class 4 (7%) reported multiple casual partners prelockdown. Class 4 was characterized by lower condom use and health goals, negative infection prevention attitudes, and higher impulsiveness compared with class 3. Furthermore, same/increased partner numbers during lockdown (class 3, 18%; class 4, 56%) and postlockdown (class 3, 36%; class 4, 42%) compared with prelockdown was often reported. Of individuals who wanted an STI test during the pandemic, 62% in class 3 and 56% in class 4 did not get tested, mainly because they were unable to get an appointment. A subgroup of individuals, characterized by low health goals, negative infection prevention attitudes, and high impulsiveness, engaged in high-risk behavior during the pandemic. Identifying these individuals may help provide appropriate health care during strict lockdowns and after relaxation of measures.</t>
  </si>
  <si>
    <t>The progressive relationship between increasing Breslow thickness and decreasing survival is lost in patients with ultrathick melanomas (≥15 mm in thickness).</t>
  </si>
  <si>
    <t>El Sharouni, Mary-Ann; Rawson, Robert V; Sigurdsson, Vigfús; Witkamp, Arjen J; van Gils, Carla H; Scolyer, Richard A; Thompson, John F; van Diest, Paul J; Lo, Serigne N</t>
  </si>
  <si>
    <t>https://pubmed.ncbi.nlm.nih.gov/35121073</t>
  </si>
  <si>
    <t>Survival tends to decrease as the Breslow thickness of a primary melanoma increases. However, little is known about the prognostic value of Breslow thickness in patients with very thick melanomas. We sought to assess survival in patients with melanomas ≥4.0 mm in Breslow thickness. A pooled cohort of 5595 patients (4107 Dutch and 1488 Australian) with melanomas ≥4.0 mm in thickness diagnosed from 2000 to 2014 was analyzed. Standard and spline Cox regressions were generated for overall survival (OS) and recurrence-free survival (RFS). The median follow-up was 3.4 years. The continuous hazard ratios (HRs) for OS and RFS increased steadily as the Breslow thickness increased to 15 mm, stabilized up to 20 mm, and decreased thereafter. Using patients with melanomas 4 to &lt;10 mm thick as a reference group, the categoric HR for OS increased up to the 15- to -&lt;20-mm thickness category and then decreased (HR, 1.46 [95% CI, 1.29-1.66], P &lt; .0001 for 10-&lt;15 mm; HR, 1.97 [95% CI, 1.55-2.51], P &lt; .0001 for 15-&lt;20 mm; and HR, 1.36 [95% CI, 1.07-1.84], P = .045 for ≥20 mm). For the RFS, similar trends were observed. Retrospective study. Small cohorts of patients with melanomas 15-&lt;20mm and ≥20mm. The progressive relationship between increasing Breslow thickness and decreasing survival is lost in patients with melanomas ≥15 mm in thickness.</t>
  </si>
  <si>
    <t>C-reactive protein and hypertension among Ghanaian migrants and their homeland counterparts: the Research on Obesity and Diabetes among African Migrants study.</t>
  </si>
  <si>
    <t>van Apeldoorn, Joshua A N; van der Linden, Eva L; Bahendeka, Silver; Beune, Erik; Meeks, Karlijn A C; Klipstein-Grobusch, Kerstin; van den Born, Bert-Jan; Agyemang, Charles</t>
  </si>
  <si>
    <t>https://pubmed.ncbi.nlm.nih.gov/34478414</t>
  </si>
  <si>
    <t>Hypertension (HTN) is a growing public health problem in sub-Saharan Africa (SSA) and SSA migrants in Europe. Elevated levels of inflammatory marker C-reactive protein (CRP) have been linked to HTN but the relationship of CRP and HTN among SSA populations has not been studied. To address this knowledge gap, we studied the association between CRP and HTN in migrant and nonmigrant SSA populations residing in different settings. Cross-sectional data from the multicentre Research on Obesity and Diabetes among African Migrants (RODAM) study were analysed including 5683 Ghanaians aged at least 18 years, residing in rural and urban Ghana, and Europe. Multivariate logistic regression analyses were used to assess the association between high levels of CRP (≥3 mg/l) and HTN (SBP ≥140 mmHg and/or DBP ≥90 mmHg and/or use of antihypertensive medication) per geographical site and sex. The association between CRP levels and HTN varied by sex and geographical location. In age-adjusted models, there was an association between high CRP levels and HTN in urban-Ghanaian women (odds ratio 1.50, 95% confidence interval 1.10-2.03), and European-Ghanaian men (1.68, 1.16-2.43) and women (1.63, 1.28-2.07). However, these associations were attenuated after adjustment for conventional risk factors, especially BMI. No association was found in rural-Ghanaians or urban-Ghanaian men. Our findings show an association between CRP and HTN among Ghanaian migrants and urban-Ghanaian women, however, this was largely explained by conventional risk factors. Thus, prevention of conventional risk factors, in particular obesity, may help to reduce the potentially low-grade inflammatory mechanism underlying HTN.</t>
  </si>
  <si>
    <t>Incidence and correlates of high blood pressure from childhood to adulthood: the Birth to Twenty study.</t>
  </si>
  <si>
    <t>Meer, Romain; Boateng, Daniel; Klipstein-Grobusch, Kerstin; Norris, Shane A; Kagura, Juliana</t>
  </si>
  <si>
    <t>https://pubmed.ncbi.nlm.nih.gov/34475345</t>
  </si>
  <si>
    <t>There is growing evidence from high-income countries suggesting that hypertension developed in childhood and adolescence persists into adulthood. The objective of this study was to investigate the incidence and risk factors of high blood pressure (BP) in urban black children. We used data from the Birth to Twenty (BT20+) cohort in Johannesburg, South Africa constituting of children born in 1990 and who had their growth, development and blood pressure measured at six follow-up periods over the course of 13 years. High BP was classified as at least 95th percentile for age, sex and height. Incidence rate of high BP was calculated using survival analysis and risk factors were determined by use of Cox proportional hazard regression. Over a follow-up period of 13 years, the overall incidence rate of high BP was 57 cases per 1000 person-years (95% CI 53.2-61.1). Risk for incident high BP increased with rapid relative weight gain in early childhood (hazard ratio =1.11, 95% CI 1.00-1.22), mid-childhood (hazard ratio = 1.13, 95% CI 1.03-1.24) and adolescence (hazard ratio = 1.21, 95% CI 0.99-1.47). Maternal parity significantly increased the risk for incident high BP (hazard ratio = 1.08, 95% CI 1.01-1.15). Maternal parity and relative weight gain were determinants for incident high blood pressure in urban black South African children and adolescents. To reduce the high incidence and the disease burden of high BP, national programs should focus on promoting healthy lifestyle in early stages of life to prevent rapid weight gain and later cardiovascular disease risk. Further research is required to investigate whether incident high BP in childhood predict clinical outcomes in adulthood.</t>
  </si>
  <si>
    <t>The year in cardiovascular medicine 2021: digital health and innovation.</t>
  </si>
  <si>
    <t>Vardas, Panos E; Asselbergs, Folkert W; van Smeden, Maarten; Friedman, Paul</t>
  </si>
  <si>
    <t>https://pubmed.ncbi.nlm.nih.gov/34974610</t>
  </si>
  <si>
    <t>This article presents some of the most important developments in the field of digital medicine that have appeared over the last 12 months and are related to cardiovascular medicine. The article consists of three main sections, as follows: (i) artificial intelligence-enabled cardiovascular diagnostic tools, techniques, and methodologies, (ii) big data and prognostic models for cardiovascular risk protection, and (iii) wearable devices in cardiovascular risk assessment, cardiovascular disease prevention, diagnosis, and management. To conclude the article, the authors present a brief further prospective on this new domain, highlighting existing gaps that are specifically related to artificial intelligence technologies, such as explainability, cost-effectiveness, and, of course, the importance of proper regulatory oversight for each clinical implementation.</t>
  </si>
  <si>
    <t>The role of cognitive and brain reserve in memory decline and atrophy rate in mid and late-life: The SMART-MR study.</t>
  </si>
  <si>
    <t>Vonk, Jet M J; Ghaznawi, Rashid; Zwartbol, Maarten H T; Stern, Yaakov; Geerlings, Mirjam I; ,</t>
  </si>
  <si>
    <t>cortex a journal devoted to the study of the nervous system and behavior</t>
  </si>
  <si>
    <t>https://pubmed.ncbi.nlm.nih.gov/35189525</t>
  </si>
  <si>
    <t>Investigate associations of cognitive and brain reserve with trajectories of memory decline in mid-life and late-life, and whether the relationship of memory decline with atrophy differs as a function of reserve. Participants were 989 Dutch middle-aged to older adults from the SMART-MR prospective cohort, followed up to 12 years with up to 3 measurements of memory and brain MRI. Education and Dutch National Adult Reading Test (DART) were used as proxies of cognitive reserve, and intracranial volume (ICV) and baseline brain parenchymal fraction (BPF) for brain reserve. Univariate growth curve models analyzed associations of reserve with memory decline, and multiple-group bivariate growth curve models tested the longitudinal brain-memory relationship as a function of reserve. Models were additionally stratified by mid-life and late-life. Higher DART, education, and BPF were related to a slower rate of memory decline, particularly in late-life, but ICV was not. A positive covariance indicated that an individual who undergoes atrophy also undergoes memory decline-this relationship did not differ across cognitive or brain reserve, but was not present in mid-life. Memory declined slower than brain volume, yet rates were more similar in the low DART, education, and BPF groups. Higher cognitive (DART, education) and brain reserve (BPF) work protectively in longitudinal memory change. ICV is an inappropriate proxy of brain reserve, failing to show any association with memory performance at baseline or over time. Deconstructing relationships of reserve capacities with longitudinal cognitive and brain outcomes may identify focus areas with potential for intervention.</t>
  </si>
  <si>
    <t>Modeling Benefits, Costs, and Affordability of a Novel Gene Therapy in Hemophilia A.</t>
  </si>
  <si>
    <t>Ten Ham, Renske M T; Walker, Sikon M; Soares, Marta O; Frederix, Geert W J; Leebeek, Frank W G; Fischer, Kathelijn; Coppens, Michiel; Palmer, Stephen J</t>
  </si>
  <si>
    <t>hemasphere</t>
  </si>
  <si>
    <t>https://pubmed.ncbi.nlm.nih.gov/35141470</t>
  </si>
  <si>
    <t>The objective was to undertake an early cost-effectiveness assessment of valoctocogene roxaparvovec (valrox; Roctavian) compared to factor (F)VIII prophylaxis or emicizumab (Hemlibra; Roche HQ, Bazel, Switzerland) in patients with severe Hemophilia A (HA) without FVIII-antibodies. We also aimed to incorporate and quantify novel measures of value such as treatment durability, maximum value-based price (MVBP) and break-even time (ie, time until benefits begin to offset upfront payment). We constructed a Markov model to model bleeds over time which were linked to costs and quality-of-life decrements. In the valrox arm, FVIII over time was estimated combining initial effect and treatment waning and then linked to bleeds. In FVIII and emicizumab arms, bleeds were based on trial evidence. Evidence and assumptions were validated using expert elicitation. Model robustness was tested via sensitivity analyses. A Dutch societal perspective was applied with a 10-year time horizon. Valrox in comparison to FVIII, and emicizumab showed small increases in quality-adjusted life years at lower costs, and were therefore dominant. Valrox' base case MVBP was estimated at €2.65 million/treatment compared to FVIII and €3.5 million/treatment versus emicizumab. Mean break-even time was 8.03 years compared to FVIII and 5.68 years to emicizumab. Early modeling of patients with HA in The Netherlands treated with valrox resulted in estimated improved health and lower cost compared to prophylactic FVIII and emicizumab. We also demonstrated feasibility of incorporation of treatment durability and novel outcomes such as value-based pricing scenarios and break-even time. Future work should aim to better characterize uncertainties and increase translation of early modeling to direct research efforts.</t>
  </si>
  <si>
    <t>Artificial Intelligence and Statistics: Just the Old Wine in New Wineskins?</t>
  </si>
  <si>
    <t>Faes, Livia; Sim, Dawn A; van Smeden, Maarten; Held, Ulrike; Bossuyt, Patrick M; Bachmann, Lucas M</t>
  </si>
  <si>
    <t>frontiers in digital health</t>
  </si>
  <si>
    <t>https://pubmed.ncbi.nlm.nih.gov/35156082</t>
  </si>
  <si>
    <t>A population-based study of 92 clinically recognized risk factors for heart failure: co-occurrence, prognosis and preventive potential.</t>
  </si>
  <si>
    <t>Banerjee, Amitava; Pasea, Laura; Chung, Sheng-Chia; Direk, Kenan; Asselbergs, Folkert W.; Grobbee, Diederick E; Kotecha, Dipak; Anker, Stefan D; Dyszynski, Tomasz; Tyl, Benoît; Denaxas, Spiros; Lumbers, R Thomas; Hemingway, Harry</t>
  </si>
  <si>
    <t>https://pubmed.ncbi.nlm.nih.gov/34969173</t>
  </si>
  <si>
    <t>Primary prevention strategies for heart failure (HF) have had limited success, possibly due to a wide range of underlying risk factors (RFs). Systematic evaluations of the prognostic burden and preventive potential across this wide range of risk factors are lacking. We aimed at estimating evidence, prevalence and co-occurrence for primary prevention and impact on prognosis of RFs for incident HF. We systematically reviewed trials and observational evidence of primary HF prevention across 92 putative aetiologic RFs for HF identified from US and European clinical practice guidelines. We identified 170 885 individuals aged ≥30 years with incident HF from 1997 to 2017, using linked primary and secondary care UK electronic health records (EHR) and rule-based phenotypes (ICD-10, Read Version 2, OPCS-4 procedure and medication codes) for each of 92 RFs. Only 10/92 factors had high quality observational evidence for association with incident HF; 7 had effective randomized controlled trial (RCT)-based interventions for HF prevention (RCT-HF), and 6 for cardiovascular disease prevention, but not HF (RCT-CVD), and the remainder had no RCT-based preventive interventions (RCT-0). We were able to map 91/92 risk factors to EHR using 5961 terms, and 88/91 factors were represented by at least one patient. In the 5 years prior to HF diagnosis, 44.3% had ≥4 RFs. By RCT evidence, the most common RCT-HF RFs were hypertension (48.5%), stable angina (34.9%), unstable angina (16.8%), myocardial infarction (15.8%), and diabetes (15.1%); RCT-CVD RFs were smoking (46.4%) and obesity (29.9%); and RCT-0 RFs were atrial arrhythmias (17.2%), cancer (16.5%), heavy alcohol intake (14.9%). Mortality at 1 year varied across all 91 factors (lowest: pregnancy-related hormonal disorder 4.2%; highest: phaeochromocytoma 73.7%). Among new HF cases, 28.5% had no RCT-HF RFs and 38.6% had no RCT-CVD RFs. 15.6% had either no RF or only RCT-0 RFs. One in six individuals with HF have no recorded RFs or RFs without trials. We provide a systematic map of primary preventive opportunities across a wide range of RFs for HF, demonstrating a high burden of co-occurrence and the need for trials tackling multiple RFs.</t>
  </si>
  <si>
    <t>Development of a Pipeline for Adverse Drug Reaction Identification in Clinical Notes: Word Embedding Models and String Matching.</t>
  </si>
  <si>
    <t>Siegersma, Klaske R; Evers, Maxime; Bots, Sophie H; Groepenhoff, Floor; Appelman, Yolande; Hofstra, Leonard; Tulevski, Igor I; Somsen, G Aernout; den Ruijter, Hester M; Spruit, Marco; Onland-Moret, N Charlotte</t>
  </si>
  <si>
    <t>jmir medical informatics</t>
  </si>
  <si>
    <t>https://pubmed.ncbi.nlm.nih.gov/35076407</t>
  </si>
  <si>
    <t>Knowledge about adverse drug reactions (ADRs) in the population is limited because of underreporting, which hampers surveillance and assessment of drug safety. Therefore, gathering accurate information that can be retrieved from clinical notes about the incidence of ADRs is of great relevance. However, manual labeling of these notes is time-consuming, and automatization can improve the use of free-text clinical notes for the identification of ADRs. Furthermore, tools for language processing in languages other than English are not widely available. The aim of this study is to design and evaluate a method for automatic extraction of medication and Adverse Drug Reaction Identification in Clinical Notes (ADRIN). Dutch free-text clinical notes (N=277,398) and medication registrations (N=499,435) from the Cardiology Centers of the Netherlands database were used. All clinical notes were used to develop word embedding models. Vector representations of word embedding models and string matching with a medical dictionary (Medical Dictionary for Regulatory Activities [MedDRA]) were used for identification of ADRs and medication in a test set of clinical notes that were manually labeled. Several settings, including search area and punctuation, could be adjusted in the prototype to evaluate the optimal version of the prototype. The ADRIN method was evaluated using a test set of 988 clinical notes written on the stop date of a drug. Multiple versions of the prototype were evaluated for a variety of tasks. Binary classification of ADR presence achieved the highest accuracy of 0.84. Reduced search area and inclusion of punctuation improved performance, whereas incorporation of the MedDRA did not improve the performance of the pipeline. The ADRIN method and prototype are effective in recognizing ADRs in Dutch clinical notes from cardiac diagnostic screening centers. Surprisingly, incorporation of the MedDRA did not result in improved identification on top of word embedding models. The implementation of the ADRIN tool may help increase the identification of ADRs, resulting in better care and saving substantial health care costs.</t>
  </si>
  <si>
    <t>Ruling out pulmonary embolism across different healthcare settings: A systematic review and individual patient data meta-analysis.</t>
  </si>
  <si>
    <t>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t>
  </si>
  <si>
    <t>https://pubmed.ncbi.nlm.nih.gov/35077453</t>
  </si>
  <si>
    <t>The challenging clinical dilemma of detecting pulmonary embolism (PE) in suspected patients is encountered in a variety of healthcare settings. We hypothesized that the optimal diagnostic approach to detect these patients in terms of safety and efficiency depends on underlying PE prevalence, case mix, and physician experience, overall reflected by the type of setting where patients are initially assessed. The objective of this study was to assess the capability of ruling out PE by available diagnostic strategies across all possible settings. We performed a literature search (MEDLINE) followed by an individual patient data (IPD) meta-analysis (MA; 23 studies), including patients from self-referral emergency care (n = 12,612), primary healthcare clinics (n = 3,174), referred secondary care (n = 17,052), and hospitalized or nursing home patients (n = 2,410). Multilevel logistic regression was performed to evaluate diagnostic performance of the Wells and revised Geneva rules, both using fixed and adapted D-dimer thresholds to age or pretest probability (PTP), for the YEARS algorithm and for the Pulmonary Embolism Rule-out Criteria (PERC). All strategies were tested separately in each healthcare setting. Following studies done in this field, the primary diagnostic metrices estimated from the models were the "failure rate" of each strategy-i.e., the proportion of missed PE among patients categorized as "PE excluded" and "efficiency"-defined as the proportion of patients categorized as "PE excluded" among all patients. In self-referral emergency care, the PERC algorithm excludes PE in 21% of suspected patients at a failure rate of 1.12% (95% confidence interval [CI] 0.74 to 1.70), whereas this increases to 6.01% (4.09 to 8.75) in referred patients to secondary care at an efficiency of 10%. In patients from primary healthcare and those referred to secondary care, strategies adjusting D-dimer to PTP are the most efficient (range: 43% to 62%) at a failure rate ranging between 0.25% and 3.06%, with higher failure rates observed in patients referred to secondary care. For this latter setting, strategies adjusting D-dimer to age are associated with a lower failure rate ranging between 0.65% and 0.81%, yet are also less efficient (range: 33% and 35%). For all strategies, failure rates are highest in hospitalized or nursing home patients, ranging between 1.68% and 5.13%, at an efficiency ranging between 15% and 30%. The main limitation of the primary analyses was that the diagnostic performance of each strategy was compared in different sets of studies since the availability of items used in each diagnostic strategy differed across included studies; however, sensitivity analyses suggested that the findings were robust. The capability of safely and efficiently ruling out PE of available diagnostic strategies differs for different healthcare settings. The findings of this IPD MA help in determining the optimum diagnostic strategies for ruling out PE per healthcare setting, balancing the trade-off between failure rate and efficiency of each strategy.</t>
  </si>
  <si>
    <t>I'll put up with things for a long time before I need to call anybody': Face work, the Total Institution and the perpetuation of care inequalities.</t>
  </si>
  <si>
    <t>Hope, Jo; Schoonhoven, Lisette; Griffiths, Peter; Gould, Lisa; Bridges, Jackie</t>
  </si>
  <si>
    <t>sociology of health illness</t>
  </si>
  <si>
    <t>https://pubmed.ncbi.nlm.nih.gov/35076086</t>
  </si>
  <si>
    <t>Failures in fundamental care (e.g. nutrition or pain-relief) for hospitalised patients can have serious consequences, including avoidable deaths. Policy rhetoric of 'shared decision-making' fails to consider how structural constraints and power dynamics limit patient agency in nursing staff-patient interactions. Goffman's concepts of face work, the presentation of self and the Total Institution shaped our analysis of interview and focus group data from hospital patients. Patients avoided threatening 'good' patient and staff face by only requesting missed care when staff face was convincing as 'caring' and 'available' ('engaged'). Patients did not request care from 'distracted' staff ('caring' but not 'available'), whilst patient requests were ignored in Total Institution-like 'dismissive' interactions. This meant patients experienced missed care with both 'distracted' and 'dismissive' staff. Patients with higher support needs were less able to carry out their own missed care to protect staff face, so experienced more serious care omissions. These findings show that many elements of the Total Institution survive in modern healthcare settings despite attempts to support individualised care. Unless nursing staff can maintain face as 'engaged' (despite organisational constraints that can reduce their capacity to do so) patient participation in care decisions will remain at the level of rhetoric.</t>
  </si>
  <si>
    <t>Endoscopic intermuscular dissection for deep submucosal invasive cancer in the rectum: a new endoscopic approach.</t>
  </si>
  <si>
    <t>Moons, Leon M G; Bastiaansen, Barbara A J; Richir, Milan C; Hazen, Wouter L; Tuynman, Jurriaan; Elias, Sjoerd G; Schrauwen, Ruud W M; Vleggaar, Frank P; Dekker, Evelien; Bos, Philip; Fariña Sarasqueta, Arantza; Lacle, Miangela; Hompes, Roel; Didden, Paul</t>
  </si>
  <si>
    <t>https://pubmed.ncbi.nlm.nih.gov/35073588</t>
  </si>
  <si>
    <t>The risk of lymph node metastasis associated with deep submucosal invasion should be balanced against the mortality and morbidity of total mesorectal excision (TME). Dissection through the submucosa hinders radical deep resection, and full-thickness resection may influence the outcome of completion TME. Endoscopic intermuscular dissection (EID) in between the circular and longitudinal part of the muscularis propria could potentially provide an R0 resection while leaving the rectal wall intact. In this prospective cohort study, the data of patients treated with EID for suspected deep submucosal invasive rectal cancer between 2018 and 2020 were analyzed. Study outcomes were the percentages of technical success, R0 resection, curative resection, and adverse events. 67 patients (median age 67 years; 73 % men) were included. The median lesion size was 25 mm (interquartile range 20-33 mm). The rates of overall technical success, R0 resection, and curative resection were 96 % (95 %CI 89 %-99 %), 81 % (95 %CI 70 %-89 %), and 45 % (95 %CI 33 %-57 %). Only minor adverse events occurred in eight patients (12 %). EID for deep invasive T1 rectal cancer appears to be feasible and safe, and the high R0 resection rate creates the potential of rectal preserving therapy in 45 % of patients.</t>
  </si>
  <si>
    <t>Individual and contextual factors associated with under- and over-nutrition among school-aged children and adolescents in two Nigerian states: a multi-level analysis.</t>
  </si>
  <si>
    <t>public health nutrition</t>
  </si>
  <si>
    <t>https://pubmed.ncbi.nlm.nih.gov/35067272</t>
  </si>
  <si>
    <t>This study aimed to identify individual and contextual factors that are associated with under- and over-nutrition among school-aged children and adolescents in two Nigerian states. Community-based cross-sectional study. The study was carried out in rural and urban communities of Osun and Gombe States in Nigeria. A total of 1200 school-aged children and adolescents. Multi-level analysis showed that the full models accounted for about 82 % and 39 % of the odds of thinness or overweight/obese across the communities, respectively. Household size (adjusted OR (aOR) 1·10; P = 0·001; 95 % CI (1·04, 1·16)) increased the odds, while the upper wealth index (aOR 0·43; P = 0·016; 95 % CI (0·22, 0·86)) decreased the odds of thinness. Age (aOR 0·86; P &lt; 0·001; 95 % CI (1·26, 8·70)), exclusive breastfeeding (aOR 0·46; P = 0·010; 95 % CI (0·25, 0·83)), physical activity (aOR 0·55; P = 0·001; 95 % CI (0·39, 0·78)) and the upper wealth index (aOR 0·47; P = 0·018; 95 % CI (0·25, 0·88)) were inversely related with overweight/obesity, while residing in Osun State (aOR 3·32; P = 0·015; 95 % CI (1·26, 1·70)), female gender (aOR 1·73; P = 0·015; 95 % CI (1·11, 2·69)) and screen time &gt; 2 h/d (aOR 2·33; P = 0·005; 95 % CI (1·29, 4·19)) were positively associated with overweight/obesity. The study shows that selected community and individual-level factors are strongly associated with thinness and overweight/obesity among school-aged children and adolescents.</t>
  </si>
  <si>
    <t>Clinical trial registration was associated with lower risk of bias compared with non-registered trials among trials included in systematic reviews.</t>
  </si>
  <si>
    <t>Lindsley, Kristina; Fusco, Nicole; Li, Tianjing; Scholten, Rob; Hooft, Lotty</t>
  </si>
  <si>
    <t>https://pubmed.ncbi.nlm.nih.gov/35081449</t>
  </si>
  <si>
    <t>To examine the association between clinical trial registration and risk of bias in clinical trials that have been included in systematic reviews. As a secondary objective, we evaluated the risk of bias among trials registered prospectively vs. retrospectively. Clinical trials published in 2005 or after included in a sample of 100 Cochrane systematic reviews published from 2014-2019. Of 1,177 clinical trials identified, we verified 368 (31%) had been registered, of which 135 (36.7%) were registered prospectively (i.e., before or up to 1 month after enrollment of the first participant). Across the bias domains (one bias assessment for each domain per trial), the percentage of trials at low risk ranged from 29% to 58%; unclear risk ranged from to 26% to 61% and high risk ranged from 2% to 38%. Trials that had been registered had less high or unclear risk of bias in five domains: random sequence generation (univariate risk ratio [RR] 0.69, 95% confidence interval [95% CI] 0.58-0.81), allocation concealment (RR 0.64, 95% CI 0.57-0.72), performance bias (RR 0.65, 95% CI 0.58-0.72), detection bias (RR 0.70, 95% CI 0.62-0.78), and reporting bias (RR 0.62, 95% CI 0.53-0.73). An association between clinical trial registration and high or unclear risk of attrition bias could not be demonstrated nor refuted (RR 1.02, 95% CI 0.89-1.17). It also was observed in terms of overall risk of bias, that registered trials had less high or unclear overall risk of bias than trials that had not been registered (univariate RR 0.29, 95% CI 0.19-0.46). Prospective clinical trial registration was associated with low risks of selection bias due to inadequate allocation concealment, performance bias, and detection bias compared with retrospective clinical trial registration. In a large sample of clinical trials included in recently published systematic reviews of interventions, clinical trial registration was associated with low risk of bias for five of the six domains examined.</t>
  </si>
  <si>
    <t>Population median imputation was noninferior to complex approaches for imputing missing values in cardiovascular prediction models in clinical practice.</t>
  </si>
  <si>
    <t>Berkelmans, Gijs F N; Read, Stephanie H; Gudbjörnsdottir, Soffia; Wild, Sarah H; Franzen, Stefan; van der Graaf, Yolanda; Eliasson, Björn; Visseren, Frank L J; Paynter, Nina P; Dorresteijn, Jannick A N</t>
  </si>
  <si>
    <t>https://pubmed.ncbi.nlm.nih.gov/35066115</t>
  </si>
  <si>
    <t>To compare the validity and robustness of five methods for handling missing characteristics when using cardiovascular disease risk prediction models for individual patients in a real-world clinical setting. The performance of the missing data methods was assessed using data from the Swedish National Diabetes Registry (n = 419,533) with external validation using the Scottish Care Information - diabetes database (n = 226,953). Five methods for handling missing data were compared. Two methods using submodels for each combination of available data, two imputation methods: conditional imputation and median imputation, and one alternative modeling method, called the naïve approach, based on hazard ratios and populations statistics of known risk factors only. The validity was compared using calibration plots and c-statistics. C-statistics were similar across methods in both development and validation data sets, that is, 0.82 (95% CI 0.82-0.83) in the Swedish National Diabetes Registry and 0.74 (95% CI 0.74-0.75) in Scottish Care Information-diabetes database. Differences were only observed after random introduction of missing data in the most important predictor variable (i.e., age). Validity and robustness of median imputation was not dissimilar to more complex methods for handling missing values, provided that the most important predictor variables, such as age, are not missing.</t>
  </si>
  <si>
    <t>Reliability and validity of multicentre surveillance of surgical site infections after colorectal surgery.</t>
  </si>
  <si>
    <t>Verberk, Janneke D M; van Rooden, Stephanie M; Hetem, David J; Wunderink, Herman F; Vlek, Anne L M; Meijer, Corianne; van Ravensbergen, Eva A H; Huijskens, Elisabeth G W; Vainio, Saara J; Bonten, Marc J M; van Mourik, Maaike S M</t>
  </si>
  <si>
    <t>https://pubmed.ncbi.nlm.nih.gov/35063009</t>
  </si>
  <si>
    <t>Surveillance is the cornerstone of surgical site infection prevention programs. The validity of the data collection and awareness of vulnerability to inter-rater variation is crucial for correct interpretation and use of surveillance data. The aim of this study was to investigate the reliability and validity of surgical site infection (SSI) surveillance after colorectal surgery in the Netherlands. In this multicentre prospective observational study, seven Dutch hospitals performed SSI surveillance after colorectal surgeries performed in 2018 and/or 2019. When executing the surveillance, a local case assessment was performed to calculate the overall percentage agreement between raters within hospitals. Additionally, two case-vignette assessments were performed to estimate intra-rater and inter-rater reliability by calculating a weighted Cohen's Kappa and Fleiss' Kappa coefficient. To estimate the validity, answers of the two case-vignettes questionnaires were compared with the answers of an external medical panel. 1111 colorectal surgeries were included in this study with an overall SSI incidence of 8.8% (n = 98). From the local case assessment it was estimated that the overall percent agreement between raters within a hospital was good (mean 95%, range 90-100%). The Cohen's Kappa estimated for the intra-rater reliability of case-vignette review varied from 0.73 to 1.00, indicating substantial to perfect agreement. The inter-rater reliability within hospitals showed more variation, with Kappa estimates ranging between 0.61 and 0.94. In total, 87.9% of the answers given by the raters were in accordance with the medical panel. This study showed that raters were consistent in their SSI-ascertainment (good reliability), but improvements can be made regarding the accuracy (moderate validity). Accuracy of surveillance may be improved by providing regular training, adapting definitions to reduce subjectivity, and by supporting surveillance through automation.</t>
  </si>
  <si>
    <t>Multimorbidity of non-communicable diseases in low-income and middle-income countries: a systematic review and meta-analysis.</t>
  </si>
  <si>
    <t>Asogwa, Ogechukwu Augustina; Boateng, Daniel; Marzà-Florensa, Anna; Peters, Sanne; Levitt, Naomi; van Olmen, Josefien; Klipstein-Grobusch, Kerstin</t>
  </si>
  <si>
    <t>https://pubmed.ncbi.nlm.nih.gov/35063955</t>
  </si>
  <si>
    <t>Multimorbidity is a major public health challenge, with a rising prevalence in low/middle-income countries (LMICs). This review aims to systematically synthesise evidence on the prevalence, patterns and factors associated with multimorbidity of non-communicable diseases (NCDs) among adults residing in LMICs. We conducted a systematic review and meta-analysis of articles reporting prevalence, determinants, patterns of multimorbidity of NCDs among adults aged &gt;18 years in LMICs. For the PROSPERO registered review, we searched PubMed, EMBASE and Cochrane libraries for articles published from 2009 till 30 May 2020. Studies were included if they reported original research on multimorbidity of NCDs among adults in LMICs. The systematic search yielded 3272 articles; 39 articles were included, with a total of 1 220 309 participants. Most studies used self-reported data from health surveys. There was a large variation in the prevalence of multimorbidity; 0.7%-81.3% with a pooled prevalence of 36.4% (95% CI 32.2% to 40.6%). Prevalence of multimorbidity increased with age, and random effect meta-analyses showed that female sex, OR (95% CI): 1.48, 1.33 to 1.64, being well-off, 1.35 (1.02 to 1.80), and urban residence, 1.10 (1.01 to 1.20), respectively were associated with higher odds of NCD multimorbidity. The most common multimorbidity patterns included cardiometabolic and cardiorespiratory conditions. Multimorbidity of NCDs is an important problem in LMICs with higher prevalence among the aged, women, people who are well-off and urban dwellers. There is the need for longitudinal data to access the true direction of multimorbidity and its determinants, establish causation and identify how trends and patterns change over time. CRD42019133453.</t>
  </si>
  <si>
    <t>Leading causes of death and high mortality rates in an HIV endemic setting (Kisumu county, Kenya, 2019).</t>
  </si>
  <si>
    <t>Waruru, Anthony; Onyango, Dickens; Nyagah, Lilly; Sila, Alex; Waruiru, Wanjiru; Sava, Solomon; Oele, Elizabeth; Nyakeriga, Emmanuel; Muuo, Sheru W; Kiboye, Jacqueline; Musingila, Paul K; van der Sande, Marianne A B; Massawa, Thaddeus; Rogena, Emily A; DeCock, Kevin M; Young, Peter W</t>
  </si>
  <si>
    <t>https://pubmed.ncbi.nlm.nih.gov/35051186</t>
  </si>
  <si>
    <t>In resource-limited settings, underlying causes of death (UCOD) often are not ascertained systematically, leading to unreliable mortality statistics. We reviewed medical charts to establish UCOD for decedents at two high volume mortuaries in Kisumu County, Kenya, and compared ascertained UCOD to those notified to the civil registry. Medical experts trained in COD certification examined medical charts and ascertained causes of death for 456 decedents admitted to the mortuaries from April 16 through July 12, 2019. Decedents with unknown HIV status or who had tested HIV-negative &gt;90 days before the date of death were tested for HIV. We calculated annualized all-cause and cause-specific mortality rates grouped according to global burden of disease (GBD) categories and separately for deaths due to HIV/AIDS and expressed estimated deaths per 100,000 population. We compared notified to ascertained UCOD using Cohen's Kappa (κ) and assessed for the independence of proportions using Pearson's chi-squared test. The four leading UCOD were HIV/AIDS (102/442 [23.1%]), hypertensive disease (41/442 [9.3%]), other cardiovascular diseases (23/442 [5.2%]), and cancer (20/442 [4.5%]). The all-cause mortality rate was 1,086/100,000 population. The highest cause-specific mortality was in GBD category II (noncommunicable diseases; 516/100,000), followed by GBD I (communicable, perinatal, maternal, and nutritional; 513/100,000), and III (injuries; 56/100,000). The HIV/AIDS mortality rate was 251/100,000 population. The proportion of deaths due to GBD II causes was higher among females (51.9%) than male decedents (42.1%; p = 0.039). Conversely, more men/boys (8.6%) than women/girls (2.1%) died of GBD III causes (p = 0.002). Most of the records with available recorded and ascertained UCOD (n = 236), 167 (70.8%) had incorrectly recorded UCOD, and agreement between notified and ascertained UCOD was poor (29.2%; κ = 0.26). Mortality from infectious diseases, especially HIV/AIDS, is high in Kisumu County, but there is a shift toward higher mortality from noncommunicable diseases, possibly reflecting an epidemiologic transition and improving HIV outcomes. The epidemiologic transition suggests the need for increased focus on controlling noncommunicable conditions despite the high communicable disease burden. The weak agreement between notified and ascertained UCOD could lead to substantial inaccuracies in mortality statistics, which wholly depend on death notifications.</t>
  </si>
  <si>
    <t>Dairy Product Consumption in Relation to Incident Prediabetes and Longitudinal Insulin Resistance in the Rotterdam Study.</t>
  </si>
  <si>
    <t>Slurink, Isabel A L; Voortman, Trudy; Ochoa-Rosales, Carolina; Ahmadizar, Fariba; Kavousi, Maryam; Kupper, Nina; Smeets, Tom; Soedamah-Muthu, Sabita S</t>
  </si>
  <si>
    <t>https://pubmed.ncbi.nlm.nih.gov/35276774</t>
  </si>
  <si>
    <t>Evidence suggests neutral or moderately beneficial effects of dairy intake on type 2 diabetes mellitus risk. Nevertheless, evidence on associations with early phases of type 2 diabetes remains inconsistent. We aimed to examine associations between dairy-type intake with prediabetes risk and longitudinal insulin resistance. The analytic sample consisted of 6770 participants (aged 62 ± 4 years, 59% female) free of (pre-)diabetes at baseline from the prospective population-based Rotterdam Study. Dairy intake was measured at baseline using food frequency questionnaires. Data on prediabetes (fasting blood glucose 6.1-6.9 mmol/L or non-fasting 7.7-11.1 mmol/L) and the longitudinal homeostatic model assessment of insulin resistance (HOMA-IR) were available from 1993-2015. Associations with these outcomes were analyzed with dairy intake in quartiles (Q4 vs. Q1) and continuous using multivariable Cox proportional hazard models and linear mixed models. During a mean follow-up of 11.3 ± 4.8 years, 1139 incident prediabetes cases were documented (18.8%). In models adjusting for sociodemographic, lifestyle and dietary factors, a higher intake of high-fat yogurt was associated with lower prediabetes risk (HR&lt;sub&gt;Q4vsQ1&lt;/sub&gt; 0.70, 95% CI 0.54-0.91 and HR&lt;sub&gt;serving/day&lt;/sub&gt; 0.67, 0.51-0.89). In addition, a higher intake of high-fat milk was associated with lower prediabetes risk (HR&lt;sub&gt;Q4vsQ1&lt;/sub&gt; 0.81, 0.67-0.97, HR&lt;sub&gt;serving/day&lt;/sub&gt; 0.88, 0.79-0.99). Associations were found for low-fat dairy, low-fat milk and total cheese with a higher prediabetes risk (HR&lt;sub&gt;serving/day&lt;/sub&gt; ranging from 1.05-1.07, not significant in quartiles). Associations with longitudinal HOMA-IR were similar to prediabetes for high-fat yogurt, low-fat dairy and low-fat milk. Fermented dairy, low-fat yogurt, high-fat cheese, cream and ice cream were not associated with the outcomes. In conclusion, a higher intake of high-fat yogurt was associated with a lower prediabetes risk and lower longitudinal insulin resistance. Additionally, high-fat milk was associated with a lower prediabetes risk. Some low-fat dairy types were inconsistently associated with these outcomes. Studies are needed to confirm associations and to examine the influence of confounding by population characteristics.</t>
  </si>
  <si>
    <t>Predicting personalised absolute treatment effects in individual participant data meta-analysis: An introduction to splines.</t>
  </si>
  <si>
    <t>Belias, Michail; Rovers, Maroeska M; Hoogland, Jeroen; Reitsma, Johannes B; Debray, Thomas P A; IntHout, Joanna</t>
  </si>
  <si>
    <t>https://pubmed.ncbi.nlm.nih.gov/35000297</t>
  </si>
  <si>
    <t>Alcohol-attributable burden of cancer in Argentina.</t>
  </si>
  <si>
    <t>van de Luitgaarden, I A T; Bardach, A E; Espinola, N; Schrieks, I C; Grobbee, D E; Beulens, J W J</t>
  </si>
  <si>
    <t>https://pubmed.ncbi.nlm.nih.gov/35042508</t>
  </si>
  <si>
    <t>Alcohol consumption is a risk factor for several types of cancer. Alcohol consumption levels in Argentina are among the highest in the world, and malignant neoplasms are the second cause of death in the country. Public health strategies aimed at reducing alcohol consumption could possibly lead to a decrease in cancer burden. Alcohol-attributable burden has been estimated before in neighboring countries Chile and Brazil. We now aimed to quantify the burden for Argentina. We obtained data on alcohol consumption levels from a national representative health survey and etiologic effect sizes for the association between alcohol and cancer from the most recent comprehensive meta-analysis. We estimated the number of alcohol-attributable cancer-related deaths and disability-adjusted life years (DALYs), stratified by consumption level (light (0.1-12.5 g/day), moderate (12.6-50 g/day), or heavy (&gt; 50 g/day) drinking). We additionally explored which hypothetical scenario would achieve the highest reduction in alcohol-attributable cancer burden: 1) heavy drinkers shifting to moderate drinking or 2) moderate drinkers shifting to light drinking. In 2018, 53% of the Argentinean population consumed alcohol. In men 3.7% of all cancer deaths and DALYs were attributable to alcohol consumption, in women this was 0.8% of all cancer deaths and DALYs. When moderate drinkers would shift to light drinking, 46% of alcohol-attributable cancer deaths and DALYs would be prevented, opposed to only 24% when heavy drinkers would shift to moderate drinking. Most cancer deaths and DALYs were attributable to moderate alcohol consumption (50%). This calls for implementation of population-wide strategies-instead of targeting heavy drinking only-to effectively reduce harmful use of alcohol and its impact on disease burden.</t>
  </si>
  <si>
    <t>Impaired JAK-STAT pathway signaling in leukocytes of the frail elderly.</t>
  </si>
  <si>
    <t>Samson, Leonard Daniël; Engelfriet, Peter; Verschuren, W M Monique; Picavet, H Susan J; Ferreira, José A; de Zeeuw-Brouwer, Mary-Lène; Buisman, Anne-Marie; Boots, A Mieke H</t>
  </si>
  <si>
    <t>https://pubmed.ncbi.nlm.nih.gov/35039055</t>
  </si>
  <si>
    <t>Elderly often show reduced immune functioning and can develop chronic low-grade inflammation. Why some elderly are more prone to become frail is unknown. We investigated whether frailty is associated with altered cytokine signaling through the JAK-STAT pathway in leukocytes of 34 individuals aged 65-74 years. In addition, we investigated how this relation is affected by chronic low-grade inflammation during the previous 20 years. Cytokine signaling was quantified by measuring intracellular STAT1, STAT3, and STAT5 phosphorylation in monocytes, B cells, CD4&lt;sup&gt;+&lt;/sup&gt; T cells and CD8&lt;sup&gt;+&lt;/sup&gt; T cells upon stimulation with IL-2, IL-6, IL-10, IFNα and IFNγ, using phospho-flow cytometry. Presence of chronic low-grade inflammation was investigated by evaluating 18 different plasma inflammatory markers that had been measured repeatedly in the same individuals over the previous 20 years. Frailty was assessed as a score on a frailty index. We found that lower cytokine-induced pSTAT responsiveness in the various cell subsets was seen with higher frailty scores in both men and women, indicative of dysfunctional pSTAT responses in frailer individuals. Associations differed between men and women, with frailer women showing lower pSTAT1 responses in monocytes and frailer men showing lower pSTAT5 responses in CD4&lt;sup&gt;+&lt;/sup&gt; and CD8&lt;sup&gt;+&lt;/sup&gt; T cells. Notably, lower IL-10-induced pSTAT3 responses in men were related to both higher frailty scores and higher CRP levels over the past 20 years. This might indicate poor resolution of low-grade inflammation due to defective regulatory pSTAT signaling in older men. Our results emphasize the importance of preserved JAK-STAT pathway signaling in healthy aging and reveal cellular pSTAT levels as a candidate biomarker of frailty.</t>
  </si>
  <si>
    <t>Nudging customers towards healthier food and beverage purchases in a real-life online supermarket: a multi-arm randomized controlled trial.</t>
  </si>
  <si>
    <t>Stuber, Josine M; Lakerveld, Jeroen; Kievitsbosch, Loes W; Mackenbach, Joreintje D; Beulens, Joline W J</t>
  </si>
  <si>
    <t>https://pubmed.ncbi.nlm.nih.gov/35034635</t>
  </si>
  <si>
    <t>Nudging is increasingly used to promote healthy food choices in supermarkets. Ordering groceries online is gaining in popularity and nudging seems efficacious there as well, but is never comprehensively tested in real-life. We evaluated the real-life effectiveness of nudging in an online supermarket on healthy food purchases. We conducted a multi-arm, parallel-group, individually randomized controlled trial in an online supermarket. During 1 month, all customers were randomized to (1) control condition, (2) information nudges, (3) position nudges, and (4) information and position nudges combined. Allocation was concealed and customers were not blinded, but unaware of the intervention. Mean differences between the control condition and the intervention arms in the total percentage of healthy purchases were assessed with a linear mixed model. We tested for effect modification by area-level deprivation. Based on sales data from 11,775 shoppers, no overall significant effects were detected. Yet, effects were modified by area-level deprivation (p&lt;sub&gt;Arm 2&lt;/sub&gt; &lt; 0.001). Among shoppers from deprived areas, those allocated to information nudges purchased a 2.4% (95%CI 0.8, 4.0) higher percentage of healthy products compared to controls. No significant differences were observed for position (- 1.3%; 95%CI - 2.8, 0.3) and combined nudges (- 0.1%; 95%CI - 1.7, 1.5). Shoppers from non-deprived areas exposed to information nudges (- 1.6%; 95%CI - 3.2, - 0.1) and the combined nudges (- 2.1%; 95%CI - 3.6, - 0.6), but not position nudges (- 0.9%; 95%CI - 2.4, 0.7), purchased a lower percentage of healthy products. Information nudges in an online supermarket can increase healthy product purchases, but only for those living in deprived areas. The adverse effects found on purchasing behaviors for those from non-deprived areas call for further research. Further research should also focus on real-life effects of online healthy food nudging as part of a broader nutrition intervention strategy, and on the equitability of the online nudging intervention within populations. Retrospectively registered in the ISRCTN registry at May 21, 2021 ( ISRCTN10491616 ).</t>
  </si>
  <si>
    <t>Systematic Review Reveals Lack of Causal Methodology Applied to Pooled Longitudinal Observational Infectious Disease Studies.</t>
  </si>
  <si>
    <t>Hufstedler, Heather; Rahman, Sabahat; Danzer, Alexander M; Goymann, Hannah; de Jong, Valentijn M T; Campbell, Harlan; Gustafson, Paul; Debray, Thomas P A; Jaenisch, Thomas; Maxwell, Lauren; Matthay, Ellicott C; Bärnighausen, Till</t>
  </si>
  <si>
    <t>https://pubmed.ncbi.nlm.nih.gov/35045316</t>
  </si>
  <si>
    <t>Among ID studies seeking to make causal inferences and pooling individual-level longitudinal data from multiple infectious disease cohorts, we sought to assess what methods are being used, how those methods are being reported, and whether these factors have changed over time. Systematic review of longitudinal observational infectious disease studies pooling individual-level patient data from 2+ studies published in English in 2009, 2014, or 2019. This systematic review protocol is registered with PROSPERO (CRD42020204104). Our search yielded 1,462 unique articles. Of these, 16 were included in the final review. Our analysis showed a lack of causal inference methods and of clear reporting on methods and the required assumptions. There are many approaches to causal inference which may help facilitate accurate inference in the presence of unmeasured and time-varying confounding. In observational ID studies leveraging pooled, longitudinal IPD, the absence of these causal inference methods and gaps in the reporting of key methodological considerations suggests there is ample opportunity to enhance the rigor and reporting of research in this field. Interdisciplinary collaborations between substantive and methodological experts would strengthen future work.</t>
  </si>
  <si>
    <t>The role of material and psychosocial resources in explaining socioeconomic inequalities in diet: A structural equation modelling approach.</t>
  </si>
  <si>
    <t>Hoenink, Jody C; Waterlander, Wilma; Beulens, Joline W J; Mackenbach, Joreintje D</t>
  </si>
  <si>
    <t>https://pubmed.ncbi.nlm.nih.gov/35097184</t>
  </si>
  <si>
    <t>We examined whether material and psychosocial resources may explain socioeconomic differences in diet quality. Cross-sectional survey data from 1461 Dutch adults (42.5 (SD 13.7) years on average and 64% female) on socio-demographics, diet quality, psychosocial factors and perceptions of and objective healthiness of the food environment were used in a structural equation model to examine mediating pathways. Indicators for socioeconomic position (SEP) were income, educational, and occupational level and the 2015 Dutch Healthy Diet (DHD15) index assessed diet quality. Material resources included food expenditure, perceptions of healthy food accessibility and healthfulness of the food retail environment. Psychosocial resources were cooking skills, resilience to unhealthy food environments, insensitivity to food cues and healthy eating habits. Higher SEP was associated with better diet quality; B&lt;sub&gt;education&lt;/sub&gt; 8.5 (95%CI 6.7; 10.3), B&lt;sub&gt;income&lt;/sub&gt; 5.8 (95%CI 3.7; 7.8) and B&lt;sub&gt;occupation&lt;/sub&gt; 7.5 (95%CI 5.5; 9.4). Material resources did not mediate the association between SEP and diet quality and neither did the psychosocial resources insensitivity to food cues and eating habits. Cooking skills mediated between 13.3% and 19.0% and resilience to unhealthy food environments mediated between 5.9% and 8.6% of the relation between SEP and the DHD15-index. Individual-level factors such as cooking skills can only explain a small proportion of the SEP differences in diet quality. On top of other psychosocial and material resources not included in this study, it is likely that structural factors outside the individual, such as financial, work and living circumstances also play an important role.</t>
  </si>
  <si>
    <t>Better COVID-19 Intensive Care Unit survival in females, independent of age, disease severity, comorbidities, and treatment.</t>
  </si>
  <si>
    <t>Meijs, Daniek A M; van Bussel, Bas C T; Stessel, Björn; Mehagnoul-Schipper, Jannet; Hana, Anisa; Scheeren, Clarissa I E; Peters, Sanne A E; van Mook, Walther N K A; van der Horst, Iwan C C; Marx, Gernot; Mesotten, Dieter; Ghossein-Doha, Chahinda; ,</t>
  </si>
  <si>
    <t>https://pubmed.ncbi.nlm.nih.gov/35031644</t>
  </si>
  <si>
    <t>Although male Severe Acute Respiratory Syndrome Coronavirus 2 (SARS-CoV-2) patients have higher Intensive Care Unit (ICU) admission rates and a worse disease course, a comprehensive analysis of female and male ICU survival and underlying factors such as comorbidities, risk factors, and/or anti-infection/inflammatory therapy administration is currently lacking. Therefore, we investigated the association between sex and ICU survival, adjusting for these and other variables. In this multicenter observational cohort study, all patients with SARS-CoV-2 pneumonia admitted to seven ICUs in one region across Belgium, The Netherlands, and Germany, and requiring vital organ support during the first pandemic wave were included. With a random intercept for a center, mixed-effects logistic regression was used to investigate the association between sex and ICU survival. Models were adjusted for age, Acute Physiology and Chronic Health Evaluation II (APACHE II) score, comorbidities, and anti-infection/inflammatory therapy. Interaction terms were added to investigate effect modifications by sex with country and sex with obesity. A total of 551 patients (29% were females) were included. Mean age was 65.4 ± 11.2 years. Females were more often obese and smoked less frequently than males (p-value 0.001 and 0.042, respectively). APACHE II scores of females and males were comparable. Overall, ICU mortality was 12% lower in females than males (27% vs 39% respectively, p-value &lt; 0.01) with an odds ratio (OR) of 0.62 (95%CI 0.39-0.96, p-value 0.032) after adjustment for age and APACHE II score, 0.63 (95%CI 0.40-0.99, p-value 0.044) after additional adjustment for comorbidities, and 0.63 (95%CI 0.39-0.99, p-value 0.047) after adjustment for anti-infection/inflammatory therapy. No effect modifications by sex with country and sex with obesity were found (p-values for interaction &gt; 0.23 and 0.84, respectively). ICU survival in female SARS-CoV-2 patients was higher than in male patients, independent of age, disease severity, smoking, obesity, comorbidities, anti-infection/inflammatory therapy, and country. Sex-specific biological mechanisms may play a role, emphasizing the need to address diversity, such as more sex-specific prediction, prognostic, and therapeutic approach strategies.</t>
  </si>
  <si>
    <t>Completeness of reporting of clinical prediction models developed using supervised machine learning: a systematic review.</t>
  </si>
  <si>
    <t>https://pubmed.ncbi.nlm.nih.gov/35026997</t>
  </si>
  <si>
    <t>While many studies have consistently found incomplete reporting of regression-based prediction model studies, evidence is lacking for machine learning-based prediction model studies. We aim to systematically review the adherence of Machine Learning (ML)-based prediction model studies to the Transparent Reporting of a multivariable prediction model for Individual Prognosis Or Diagnosis (TRIPOD) Statement. We included articles reporting on development or external validation of a multivariable prediction model (either diagnostic or prognostic) developed using supervised ML for individualized predictions across all medical fields. We searched PubMed from 1 January 2018 to 31 December 2019. Data extraction was performed using the 22-item checklist for reporting of prediction model studies ( www.TRIPOD-statement.org ). We measured the overall adherence per article and per TRIPOD item. Our search identified 24,814 articles, of which 152 articles were included: 94 (61.8%) prognostic and 58 (38.2%) diagnostic prediction model studies. Overall, articles adhered to a median of 38.7% (IQR 31.0-46.4%) of TRIPOD items. No article fully adhered to complete reporting of the abstract and very few reported the flow of participants (3.9%, 95% CI 1.8 to 8.3), appropriate title (4.6%, 95% CI 2.2 to 9.2), blinding of predictors (4.6%, 95% CI 2.2 to 9.2), model specification (5.2%, 95% CI 2.4 to 10.8), and model's predictive performance (5.9%, 95% CI 3.1 to 10.9). There was often complete reporting of source of data (98.0%, 95% CI 94.4 to 99.3) and interpretation of the results (94.7%, 95% CI 90.0 to 97.3). Similar to prediction model studies developed using conventional regression-based techniques, the completeness of reporting is poor. Essential information to decide to use the model (i.e. model specification and its performance) is rarely reported. However, some items and sub-items of TRIPOD might be less suitable for ML-based prediction model studies and thus, TRIPOD requires extensions. Overall, there is an urgent need to improve the reporting quality and usability of research to avoid research waste. PROSPERO, CRD42019161764.</t>
  </si>
  <si>
    <t>Unequal prescription of anticoagulants among females and males with atrial fibrillation and similar stroke risk: Should we omit sex category from the CHA&lt;sub&gt;2&lt;/sub&gt;DS&lt;sub&gt;2&lt;/sub&gt;-VASc score?</t>
  </si>
  <si>
    <t>Seelig, Jaap; Chu, Gordon; Trinks-Roerdink, Emmy M; Pisters, Ron; de Vries, Tim A C; Ten Cate, Hugo; Geersing, Geert-Jan; Rutten, Frans H; Huisman, Menno V; Hemels, Martin E W</t>
  </si>
  <si>
    <t>heart rhythm</t>
  </si>
  <si>
    <t>https://pubmed.ncbi.nlm.nih.gov/35033666</t>
  </si>
  <si>
    <t>Automated surveillance systems for healthcare-associated infections: results from a European survey and experiences from real-life utilization.</t>
  </si>
  <si>
    <t>Verberk, J D M; Aghdassi, S J S; Abbas, M; Nauclér, P; Gubbels, S; Maldonado, N; Palacios-Baena, Z R; Johansson, A F; Gastmeier, P; Behnke, M; van Rooden, S M; van Mourik, M S M</t>
  </si>
  <si>
    <t>https://pubmed.ncbi.nlm.nih.gov/35031393</t>
  </si>
  <si>
    <t>As most automated surveillance (AS) methods to detect healthcare-associated infections (HAIs) have been developed and implemented in research settings, information about the feasibility of large-scale implementation is scarce. To describe key aspects of the design of AS systems and implementation in European institutions and hospitals. An online survey was distributed via e-mail in February/March 2019 among (i) PRAISE (Providing a Roadmap for Automated Infection Surveillance in Europe) network members; (ii) corresponding authors of peer-reviewed European publications on existing AS systems; and (iii) the mailing list of national infection prevention and control focal points of the European Centre for Disease Prevention and Control. Three AS systems from the survey were selected, based on quintessential features, for in-depth review focusing on implementation in practice. Through the survey and the review of three selected AS systems, notable differences regarding the methods, algorithms, data sources, and targeted HAIs were identified. The majority of AS systems used a classification algorithm for semi-automated surveillance and targeted HAIs were mostly surgical site infections, urinary tract infections, sepsis, or other bloodstream infections. AS systems yielded a reduction of workload for hospital staff. Principal barriers of implementation were strict data security regulations as well as creating and maintaining an information technology infrastructure. AS in Europe is characterized by heterogeneity in methods and surveillance targets. To allow for comparisons and encourage homogenization, future publications on AS systems should provide detailed information on source data, methods, and the state of implementation.</t>
  </si>
  <si>
    <t>Maternal near-miss and mortality associated with hypertensive disorders of pregnancy remote from term: a multicenter observational study in Ghana.</t>
  </si>
  <si>
    <t>Drechsel, Katja C E; Adu-Bonsaffoh, Kwame; Olde Loohuis, Klaartje M; Srofenyoh, Emmanuel K; Boateng, Daniel; Browne, Joyce L; ,</t>
  </si>
  <si>
    <t>ajog global reports</t>
  </si>
  <si>
    <t>https://pubmed.ncbi.nlm.nih.gov/36275498</t>
  </si>
  <si>
    <t>Maternal death rates remain high in many low- and middle-income countries. Hypertensive disorders of pregnancy account for 18% of maternal mortality in Ghana. The maternal near-miss approach was designed to evaluate severe (acute) complications in pregnancy, which is useful to detect potential areas for clinical care improvement. This study aimed (1) to determine the incidence of severe maternal complications, maternal near-miss cases, and mortality cases associated with hypertensive disorders of pregnancy remote from term and (2) to assess the health system's performance indicators for the management of hypertensive disorders of pregnancy remote from term in middle-income country referral hospitals. This study was nested in the ongoing Severe Preeclampsia adverse Outcome Triage study, a multicenter observational cohort study, and included women recruited from December 1, 2017, to May 31, 2020, from 5 referral hospitals in Ghana. Women aged &gt;16 years, admitted to the hospital with hypertensive disorders of pregnancy, with gestational age between 26 and 34 weeks were eligible. Near miss was defined according to the World Health Organization and sub-Saharan African near-miss criteria. Descriptive statistics of pregnancy and maternal and perinatal outcomes up to 6 weeks after delivery of women with severe maternal outcomes were presented for maternal deaths and maternal near-miss casigurees and compared with that of women without severe maternal outcomes. The health system's maternal and perinatal performance indicators were calculated. Overall, 447 women with hypertensive disorders of pregnancy were included in the analyses with a mean maternal age of 32 (±5.8) years and mean gestational age at recruitment of 30.5 (±2.4) weeks. Of these patients, 46 (10%) had gestational hypertension, 338 (76%) had preeclampsia, and 63 (14%) had eclampsia. There were 148 near-miss cases (33.1%) and 12 maternal deaths (2.7%). Severe maternal outcomes constituted complications from severe preeclampsia (80/160 [50%]) and eclampsia (63/160 [39.4%]). Concerning organ dysfunction, hematologic and respiratory dysfunctions constituted 59/160 [38.6%] and 23/160 [14.8%] respectively. Nearly all women had a cesarean delivery (347/447 [84%] and 140/160 [93%] in the severe maternal outcome group) and delivered prematurely (83%, with 178/379 [93%] at &lt;32 weeks of gestation). Stillbirth and neonatal deaths occurred in 63 of 455 women (14%) and 81 of 392 women (19%), respectively, constituting a stillbirth ratio of 161 per 1000 live births and neonatal mortality rate of 207 per 1000 live births as there were 392 live births in this cohort. Overall, the intensive care unit admission rate was 12.7% (n=52/409); moreover, 45 of 52 women (86.5%) admitted to the intensive care unit had severe maternal outcomes. The maternal death ratio was 3100 per 100,000 live births, the maternal near-miss-to-mortality ratio was 12.3, and the mortality index was 8%. Maternal near miss and maternal and perinatal mortalities were common in women with hypertensive disorders of pregnancy remote from term in referral hospitals in Ghana. Providing appropriate patient-centered and multidisciplinary quality care for these women is crucial in improving pregnancy outcomes. Context-tailored interventions should be considered in the clinical management of complications associated with hypertensive disorders of pregnancy in resource-limited settings. Further research on interventions to improve timely referral and reduce in-hospital delays in care provision is recommended to facilitate emergency care services for women with hypertensive emergencies.</t>
  </si>
  <si>
    <t>Development of a questionnaire to identify persons with a family history of aneurysmal subarachnoid hemorrhage.</t>
  </si>
  <si>
    <t>Zuurbier, Charlotte Cm; Greving, Jacoba P; Rinkel, Gabriel Je; Ruigrok, Ynte M</t>
  </si>
  <si>
    <t>international journal of stroke official journal of the international stroke society</t>
  </si>
  <si>
    <t>https://pubmed.ncbi.nlm.nih.gov/35014571</t>
  </si>
  <si>
    <t>Preventive screening for intracranial aneurysms is effective in persons with a positive family history of aneurysmal subarachnoid hemorrhage (aSAH), but for many relatives of aSAH patients, it can be difficult to assess whether their relative had an aSAH or another type of stroke. We aimed to develop a family history questionnaire for people in the population who believe they have a first-degree relative who had a stroke and to assess its accuracy to identify relatives of aSAH patients. A questionnaire to distinguish between aSAH and other stroke types (ischemic stroke and intracerebral hemorrhage) was developed by a team of clinicians and consumers. The level of agreement between the questionnaire outcome and medical diagnosis was pilot tested in 30 previously admitted aSAH patients. Next, the sensitivity and specificity of the questionnaire were assessed in 91 first-degree relatives (siblings/children) of previously admitted stroke patients. All 30 aSAH patients were identified by the questionnaire in the pilot study; 29 of 30 first-degree relatives of aSAH patients were correctly identified. The questionnaire had a sensitivity of 97% (95% confidence interval (CI) = 83-100%) and a specificity of 93% (95% CI = 84-98%) when tested in the first-degree relatives of stroke patients. Our questionnaire can help persons to discriminate an aSAH from other types of stroke in their affected relative. This family history questionnaire is developed in the Netherlands but could also be used in other countries after validation.</t>
  </si>
  <si>
    <t>Performance of binary prediction models in high-correlation low-dimensional settings: a comparison of methods.</t>
  </si>
  <si>
    <t>Leeuwenberg, Artuur M; van Smeden, Maarten; Langendijk, Johannes A; van der Schaaf, Arjen; Mauer, Murielle E; Moons, Karel G M; Reitsma, Johannes B; Schuit, Ewoud</t>
  </si>
  <si>
    <t>https://pubmed.ncbi.nlm.nih.gov/35016734</t>
  </si>
  <si>
    <t>Clinical prediction models are developed widely across medical disciplines. When predictors in such models are highly collinear, unexpected or spurious predictor-outcome associations may occur, thereby potentially reducing face-validity of the prediction model. Collinearity can be dealt with by exclusion of collinear predictors, but when there is no a priori motivation (besides collinearity) to include or exclude specific predictors, such an approach is arbitrary and possibly inappropriate. We compare different methods to address collinearity, including shrinkage, dimensionality reduction, and constrained optimization. The effectiveness of these methods is illustrated via simulations. In the conducted simulations, no effect of collinearity was observed on predictive outcomes (AUC, R&lt;sup&gt;2&lt;/sup&gt;, Intercept, Slope) across methods. However, a negative effect of collinearity on the stability of predictor selection was found, affecting all compared methods, but in particular methods that perform strong predictor selection (e.g., Lasso). Methods for which the included set of predictors remained most stable under increased collinearity were Ridge, PCLR, LAELR, and Dropout. Based on the results, we would recommend refraining from data-driven predictor selection approaches in the presence of high collinearity, because of the increased instability of predictor selection, even in relatively high events-per-variable settings. The selection of certain predictors over others may disproportionally give the impression that included predictors have a stronger association with the outcome than excluded predictors.</t>
  </si>
  <si>
    <t>Breastfeeding Is Associated With a Reduced Maternal Cardiovascular Risk: Systematic Review and Meta-Analysis Involving Data From 8 Studies and 1 192 700 Parous Women.</t>
  </si>
  <si>
    <t>Tschiderer, Lena; Seekircher, Lisa; Kunutsor, Setor K; Peters, Sanne A E; O'Keeffe, Linda M; Willeit, Peter</t>
  </si>
  <si>
    <t>https://pubmed.ncbi.nlm.nih.gov/35014854</t>
  </si>
  <si>
    <t>Background Breastfeeding has been robustly linked to reduced maternal risk of breast cancer, ovarian cancer, and type 2 diabetes. We herein systematically reviewed the published evidence on the association of breastfeeding with maternal risk of cardiovascular disease (CVD) outcomes. Methods and Results Our systematic search of PubMed and Web of Science of articles published up to April 16, 2021, identified 8 relevant prospective studies involving 1 192 700 parous women (weighted mean age: 51.3 years at study entry, 24.6 years at first birth; weighted mean number of births: 2.3). A total of 982 566 women (82%) reported having ever breastfed (weighted mean lifetime duration of breastfeeding: 15.6 months). During a weighted median follow-up of 10.3 years, 54 226 CVD, 26 913 coronary heart disease, 30 843 stroke, and 10 766 fatal CVD events were recorded. In a random-effects meta-analysis, the pooled multivariable-adjusted hazard ratios comparing parous women who ever breastfed to those who never breastfed were 0.89 for CVD (95% CI, 0.83-0.95; I&lt;sup&gt;2&lt;/sup&gt;=79.4%), 0.86 for coronary heart disease (95% CI, 0.78-0.95; I&lt;sup&gt;2&lt;/sup&gt;=79.7%), 0.88 for stroke (95% CI, 0.79-0.99; I&lt;sup&gt;2&lt;/sup&gt;=79.6%), and 0.83 for fatal CVD (95% CI, 0.76-0.92; I&lt;sup&gt;2&lt;/sup&gt;=47.7%). The quality of the evidence assessed with the Grading of Recommendations Assessment, Development, and Evaluation tool ranged from very low to moderate, which was mainly driven by high between-studies heterogeneity. Strengths of associations did not differ by mean age at study entry, median follow-up duration, mean parity, level of adjustment, study quality, or geographical region. A progressive risk reduction of all CVD outcomes with lifetime durations of breastfeeding from 0 up to 12 months was found, with some uncertainty about shapes of associations for longer durations. Conclusions Breastfeeding was associated with reduced maternal risk of CVD outcomes.</t>
  </si>
  <si>
    <t>Guidelines and quality criteria for artificial intelligence-based prediction models in healthcare: a scoping review.</t>
  </si>
  <si>
    <t>de Hond, Anne A H; Leeuwenberg, Artuur M; Hooft, Lotty; Kant, Ilse M J; Nijman, Steven W J; van Os, Hendrikus J A; Aardoom, Jiska J; Debray, Thomas P A; Schuit, Ewoud; van Smeden, Maarten; Reitsma, Johannes B; Steyerberg, Ewout W; Chavannes, Niels H; Moons, Karel G M</t>
  </si>
  <si>
    <t>https://pubmed.ncbi.nlm.nih.gov/35013569</t>
  </si>
  <si>
    <t>While the opportunities of ML and AI in healthcare are promising, the growth of complex data-driven prediction models requires careful quality and applicability assessment before they are applied and disseminated in daily practice. This scoping review aimed to identify actionable guidance for those closely involved in AI-based prediction model (AIPM) development, evaluation and implementation including software engineers, data scientists, and healthcare professionals and to identify potential gaps in this guidance. We performed a scoping review of the relevant literature providing guidance or quality criteria regarding the development, evaluation, and implementation of AIPMs using a comprehensive multi-stage screening strategy. PubMed, Web of Science, and the ACM Digital Library were searched, and AI experts were consulted. Topics were extracted from the identified literature and summarized across the six phases at the core of this review: (1) data preparation, (2) AIPM development, (3) AIPM validation, (4) software development, (5) AIPM impact assessment, and (6) AIPM implementation into daily healthcare practice. From 2683 unique hits, 72 relevant guidance documents were identified. Substantial guidance was found for data preparation, AIPM development and AIPM validation (phases 1-3), while later phases clearly have received less attention (software development, impact assessment and implementation) in the scientific literature. The six phases of the AIPM development, evaluation and implementation cycle provide a framework for responsible introduction of AI-based prediction models in healthcare. Additional domain and technology specific research may be necessary and more practical experience with implementing AIPMs is needed to support further guidance.</t>
  </si>
  <si>
    <t>Quality of Life After Stereotactic Body Radiation Therapy Versus Conventional Radiation Therapy in Patients With Bone Metastases.</t>
  </si>
  <si>
    <t>Pielkenrood, Bart J; Gal, Roxanne; Kasperts, Nicolien; Verhoeff, Joost J C; Bartels, Marcia M T J; Seravalli, Enrica; van der Linden, Yvette M; Monninkhof, Evelyn M; Verlaan, Jorrit-Jan; van der Velden, Joanne M; Verkooijen, Helena M</t>
  </si>
  <si>
    <t>https://pubmed.ncbi.nlm.nih.gov/35017007</t>
  </si>
  <si>
    <t>Painful bone metastases hamper quality of life (QoL). The aim of this prespecified secondary analysis of the PRESENT trial was to compare change in global QoL, physical functioning, emotional functioning, functional interference, and psychosocial aspects after conventional radiation therapy (cRT) versus stereotactic body RT (SBRT). A total of 110 patients were enrolled in the phase 2 randomized controlled VERTICAL trial (NCT02364115) following the "trials within cohorts" design and randomized 1:1 to cRT or SBRT. Patient-reported global QoL, physical functioning, emotional functioning, functional interference, and psychosocial aspects were assessed by the European Organization for Research and Treatment of Cancer QoL Questionnaire (QLQ) Core 15 Palliative Care and QLQ Bone Metastases 22 modules. Changes in QoL domains over time were compared between patients treated with cRT and SBRT using intention-to-treat (ITT) and per-protocol (PP) linear mixed model analysis adjusting for baseline scores. Proportions of patients in the cRT versus SBRT arm reporting a clinically relevant change in QoL within 3 months were compared using a χ&lt;sup&gt;2&lt;/sup&gt; test. QoL scores had improved over time and were comparable between groups for all domains in both the ITT and PP analyses, except for functional interference and psychological aspects in the ITT. Functional interference scores had improved more after 12 weeks in the cRT arm than in the SBRT arm (25.5 vs 14.1 points, respectively; effect size [ES] = 0.49, P = .04). Psychosocial aspects scores had improved more after 8 weeks in the cRT arm than in the SBRT arm (12.2 vs 7.3; ES = 0.56, P = .04). No clinically relevant differences between groups at 12 weeks in terms of global QoL, physical functioning, emotional functioning, functional interference, and psychosocial aspects were observed. Palliative RT improves QoL. Both SBRT and cRT have a comparable effect on patient-reported QoL outcomes in patients with painful bone metastases. Functional interference and psychological aspects scores improved more in patients treated with cRT versus patients offered SBRT.</t>
  </si>
  <si>
    <t>Rapid syndromic PCR testing in patients with respiratory tract infections reduces time to results and improves microbial yield.</t>
  </si>
  <si>
    <t>Serigstad, S; Markussen, D; Grewal, H M S; Ebbesen, M; Kommedal, Ø; Heggelund, L; van Werkhoven, C H; Faurholt-Jepsen, D; Clark, T W; Ritz, C; Ulvestad, E; Bjørneklett, R; Knoop, S T; ,</t>
  </si>
  <si>
    <t>https://pubmed.ncbi.nlm.nih.gov/35013351</t>
  </si>
  <si>
    <t>Lack of rapid and comprehensive microbiological diagnosis in patients with community acquired pneumonia (CAP) hampers appropriate antimicrobial therapy. This study evaluates the real-world performance of the BioFire FilmArray Pneumonia panel plus (FAP plus) and explores the feasibility of evaluation in a randomised controlled trial. Patients presenting to hospital with suspected CAP were recruited in a prospective feasibility study. An induced sputum or an endotracheal aspirate was obtained from all participants. The FAP plus turnaround time (TAT) and microbiological yield were compared with standard diagnostic methods (SDs). 96/104 (92%) enrolled patients had a respiratory tract infection (RTI); 72 CAP and 24 other RTIs. Median TAT was shorter for the FAP plus, compared with in-house PCR (2.6 vs 24.1 h, p &lt; 0.001) and sputum cultures (2.6 vs 57.5 h, p &lt; 0.001). The total microbiological yield by the FAP plus was higher compared to SDs (91% (162/179) vs 55% (99/179), p &lt; 0.0001). Haemophilus influenzae, Streptococcus pneumoniae and influenza A virus were the most frequent pathogens. In conclusion, molecular panel testing in adults with CAP was associated with a significant reduction in time to actionable results and increased microbiological yield. The impact on antibiotic use and patient outcome should be assessed in randomised controlled trials.</t>
  </si>
  <si>
    <t>Children born during the hunger season are at a higher risk of severe acute malnutrition: Findings from a Guinea Sahelian ecological zone in Northern Ghana.</t>
  </si>
  <si>
    <t>Nonterah, Engelbert A; Welaga, Paul; Chatio, Samuel T; Kehoe, Sarah H; Ofosu, Winfred; Ward, Kate A; Godfrey, Keith M; Oduro, Abraham R; Newell, Marie-Louise; ,</t>
  </si>
  <si>
    <t>maternal child nutrition</t>
  </si>
  <si>
    <t>https://pubmed.ncbi.nlm.nih.gov/35008126</t>
  </si>
  <si>
    <t>Heightened food insecurity in the hunger season increases the risk of severe acute malnutrition (SAM) in childhood. This study examined the association of season of birth with SAM in a Guinean Sahelian ecological zone. We analyzed routine health and sociodemographic surveillance data from the Navrongo Health and Socio-demographic Surveillance System collected between 2011 and 2018. January-June, the period of highest food insecurity, was defined as the hunger season. We defined moderate acute malnutrition as child mid-upper arm circumference (MUAC) between 115 mm and 135 mm and SAM as MAUC ≤ 115 mm. We used adjusted logistic regression to quantify the association between the season of birth and SAM in children aged 6-35 months. From the 29,452 children studied, 24% had moderate acute malnutrition. Overall, 1.4% had SAM, with a higher prevalence (1.8%) in the hunger season of birth. Compared with those born October-December, adjusted odds ratios (aOR) and 95% confidence interval (95% CI) for SAM were increased for children born in the hunger season: January-March (1.77 [1.31-2.39]) and April-June (1.92 [1.44-2.56]). Low birth weight, age at an assessment of nutritional status, and ethno-linguistic group were also significantly associated with SAM in adjusted analyses. Our study established that being born in the hunger season is associated with a higher risk of severe acute malnutrition. The result implies improvement in the food supply to pregnant and lactating mothers through sustainable agriculture or food system change targeting the hunger season may reduce the burden of severe acute malnutrition.</t>
  </si>
  <si>
    <t>Prevalence and socio-structural determinants of tobacco exposure in young women: Data from the Healthy Trajectories Initiative (HeLTI) study in urban Soweto, South Africa.</t>
  </si>
  <si>
    <t>Soepnel, Larske M; Kolkenbeck-Ruh, Andrea; Crouch, Simone H; Draper, Catherine E; Ware, Lisa J; Lye, Stephen J; Norris, Shane A</t>
  </si>
  <si>
    <t>drug and alcohol dependence</t>
  </si>
  <si>
    <t>https://pubmed.ncbi.nlm.nih.gov/35042098</t>
  </si>
  <si>
    <t>Tobacco use is a major public health risk worldwide, which has increased on the African continent over the past 40 years. Socio-economic factors impact tobacco use and exposure, but little is known about the scope of this problem in young women living in an urban, historically disadvantaged township in contemporary South Africa. This study aimed to identify the prevalence of tobacco use in a cohort of young South African women using serum cotinine, and to assess the association between a number of socio-economic and social factors and tobacco use in this setting. Secondary analysis was conducted on cross-sectional data from the Healthy Life Trajectories Initiative (HeLTI) study. Serum cotinine was measured and a cut-off of ≥ 10 ng/mL was classified as tobacco use. Household socio-economic, socio-demographic and health information were collected by an interviewer-administered questionnaire. Cotinine data was available for 1508 participants, of whom 29.2% (n = 441) had cotinine levels indicative of tobacco use. In regression analyses, moderate to severe socio-economic vulnerability (score 2-3 OR 1.66, p = 0.008; score ≥4: OR 1.63, p = 0.026) and multiparity (OR 1.74, p = 0.013) were associated with tobacco use. In addition, alcohol dependence (OR 3.07, p &lt; 0.001) and drug use (OR 4.84, p &lt; 0.001) were associated with tobacco use. Young women with multiple children, moderate to severe socio-economic vulnerability, and alcohol and drug use were identified as more likely to use tobacco, indicating the need for targeted anti-tobacco interventions to curb the impact of tobacco on the growing burden of noncommunicable diseases in this setting.</t>
  </si>
  <si>
    <t>Guideline Adherence of Asymptomatic Bacteriuria Could Be Improved among General Practitioners in The Netherlands: A Survey Study.</t>
  </si>
  <si>
    <t>van Horrik, Tessa M Z X K; Laan, Bart J; Platteel, Tamara N; Geerlings, Suzanne E</t>
  </si>
  <si>
    <t>https://pubmed.ncbi.nlm.nih.gov/35052953</t>
  </si>
  <si>
    <t>Asymptomatic bacteriuria (ASB) is a common finding in certain populations. This study assessed general practitioners' (GPs') knowledge about ASB and their current clinical practice regarding urine testing. An online survey was used for GPs in the Netherlands from October to December 2020. In total, 99 surveys were included in the analyses. All GPs strongly agreed with the statements about their knowledge and self-confidence regarding urine diagnostics and treatment of ASB. The median knowledge score was 4 out of 6 (IQR 2 to 6). Most GPs (64 of 92; 70%) followed the guideline for the choice of urine diagnostics and reported appropriate indications for urine testing. However, 71/94 (75.5%) GPs would treat patients for ASB if they have diabetes mellitus. Further, 34 (37%) of 92 participants would inappropriately repeat a urine test after a patient was treated for a urinary tract infection (UTI). One-third of the GPs responded that ASB was insufficiently addressed within the guidelines for UTI. These results indicate that knowledge about ASB could be improved in primary care in the Netherlands, mainly in diabetic patients that have ASB, as well as for follow-up tests after treatment for UTI.</t>
  </si>
  <si>
    <t>Cognitive and Motor Development in 3- to 6-Year-Old Children Born to Mothers with Hyperglycaemia First Detected in Pregnancy in an Urban African Population.</t>
  </si>
  <si>
    <t>Soepnel, L M; Nicolaou, V; Draper, C E; Levitt, N S; Klipstein-Grobusch, K; Norris, S A</t>
  </si>
  <si>
    <t>maternal and child health journal</t>
  </si>
  <si>
    <t>https://pubmed.ncbi.nlm.nih.gov/34997436</t>
  </si>
  <si>
    <t>Hyperglycaemia first detected in pregnancy (HFDP), on the rise in urban sub-Saharan Africa (SSA), may negatively impact foetal neurodevelopment, with potential long-term cognitive consequences for the child. Data on this association from SSA is lacking, and we aimed to investigate the association in 3- to 6-year-old children in Soweto, South Africa. In this comparative study, we compared cognitive skills measured with the Herbst Early Childhood Development Criteria test in 95 children born to mothers with HFDP and 99 participants unexposed to maternal HFDP. Fine and gross motor skills were secondary outcomes. Ordinal regression analysis with known confounders was performed for children born at-term. Of children exposed to HFDP born at-term, 24.3% scored 'high' and 25.7% scored 'low' in the cognitive subsection of the test, as opposed to 37.7% and 12.9% in the HFDP-unexposed group, respectively. In ordinal regression, exposed participants had a significantly lower odds of scoring in a higher cognitive category when adjusting for maternal confounders and socio-economic status (OR 0.33, 95% CI 0.15-0.74, p = 0.007). No difference was found in gross motor development between the two groups; differences in fine motor development were attenuated after adjustment for maternal pregnancy factors and household socioeconomic status (OR 0.62, 95% CI 0.28-1.37, p = 0.239). Exposure to HFDP was negatively associated with cognitive development at preschool age. Optimising maternal (preconception) health and early childhood cognitive stimulation could help more children reach their developmental potential.</t>
  </si>
  <si>
    <t>Sex-specific associations of adiposity with cardiometabolic traits in the UK: A multi-life stage cohort study with repeat metabolomics.</t>
  </si>
  <si>
    <t>O'Keeffe, Linda M; Bell, Joshua A; O'Neill, Kate N; Lee, Matthew A; Woodward, Mark; Peters, Sanne A E; Smith, George Davey; Kearney, Patricia M</t>
  </si>
  <si>
    <t>https://pubmed.ncbi.nlm.nih.gov/34990449</t>
  </si>
  <si>
    <t>Sex differences in cardiometabolic disease risk are commonly observed across the life course but are poorly understood and may be due to different associations of adiposity with cardiometabolic risk in females and males. We examined whether adiposity is differently associated with cardiometabolic trait levels in females and males at 3 different life stages. Data were from 2 generations (offspring, Generation 1 [G1] born in 1991/1992 and their parents, Generation 0 [G0]) of a United Kingdom population-based birth cohort study, the Avon Longitudinal Study of Parents and Children (ALSPAC). Follow-up continues on the cohort; data up to 25 y after recruitment to the study are included in this analysis. Body mass index (BMI) and total fat mass from dual-energy X-ray absorptiometry (DXA) were measured at mean age 9 y, 15 y, and 18 y in G1. Waist circumference was measured at 9 y and 15 y in G1. Concentrations of 148 cardiometabolic traits quantified using nuclear magnetic resonance spectroscopy were measured at 15 y, 18 y, and 25 y in G1. In G0, all 3 adiposity measures and the same 148 traits were available at 50 y. Using linear regression models, sex-specific associations of adiposity measures at each time point (9 y, 15 y, and 18 y) with cardiometabolic traits 3 to 6 y later were examined in G1. In G0, sex-specific associations of adiposity measures and cardiometabolic traits were examined cross-sectionally at 50 y. A total of 3,081 G1 and 4,887 G0 participants contributed to analyses. BMI was more strongly associated with key atherogenic traits in males compared with females at younger ages (15 y to 25 y), and associations were more similar between the sexes or stronger in females at 50 y, particularly for apolipoprotein B-containing lipoprotein particles and lipid concentrations. For example, a 1 standard deviation (SD) (3.8 kg/m2) higher BMI at 18 y was associated with 0.36 SD (95% confidence interval [CI] = 0.20, 0.52) higher concentrations of extremely large very-low-density lipoprotein (VLDL) particles at 25 y in males compared with 0.15 SD (95% CI = 0.09, 0.21) in females, P value for sex difference = 0.02. By contrast, at 50 y, a 1 SD (4.8 kg/m2) higher BMI was associated with 0.33 SD (95% CI = 0.25, 0.42) and 0.30 SD (95% CI = 0.26, 0.33) higher concentrations of extremely large VLDL particles in males and females, respectively, P value for sex difference = 0.42. Sex-specific associations of DXA-measured fat mass and waist circumference with cardiometabolic traits were similar to findings for BMI and cardiometabolic traits at each age. The main limitation of this work is its observational nature, and replication in independent cohorts using methods that can infer causality is required. The results of this study suggest that associations of adiposity with adverse cardiometabolic risk begin earlier in the life course among males compared with females and are stronger until midlife, particularly for key atherogenic lipids. Adolescent and young adult males may therefore be high priority targets for obesity prevention efforts.</t>
  </si>
  <si>
    <t>Model-Based Selection for Proton Therapy in Breast Cancer: Development of the National Indication Protocol for Proton Therapy and First Clinical Experiences.</t>
  </si>
  <si>
    <t>Boersma, L J; Sattler, M G A; Maduro, J H; Bijker, N; Essers, M; van Gestel, C M J; Klaver, Y L B; Petoukhova, A L; Rodrigues, M F; Russell, N S; van der Schaaf, A; Verhoeven, K; van Vulpen, M; Schuit, E; Langendijk, J A</t>
  </si>
  <si>
    <t>clinical oncology royal college of radiologists great britain</t>
  </si>
  <si>
    <t>https://pubmed.ncbi.nlm.nih.gov/34996684</t>
  </si>
  <si>
    <t>Proton therapy is a radiation technique that yields less dose in normal tissues than photon therapy. In the Netherlands, proton therapy is reimbursed if the reduced dose to normal tissues is predicted to translate into a prespecified reduction in toxicity, based on nationally approved validated models. The aim of this paper is to present the development of a national indication protocol for proton therapy (NIPP) for model-based selection of breast cancer patients and to report on first clinical experiences. A national proton therapy working group for breast cancer (PWG-BC) screened the literature for prognostic models able to estimate the individual risk of specific radiation-induced side-effects. After critical appraisal and selection of suitable models, a NIPP for breast cancer was written and subjected to comments by all stakeholders. The approved NIPP was subsequently introduced to select breast cancer patients who would benefit most from proton therapy. The model of Darby et al. (N Engl J Med 2013; 368:987-82) was the only model fulfilling the criteria prespecified by the PWG-BC. The model estimates the relative risk of an acute coronary event (ACE) based on the mean heart dose. The absolute lifetime risk of ACE &lt;80 years was calculated by applying this model to the Dutch absolute incidence of ACE for female and male patients, between 40 and 70 years at breast cancer radiotherapy, with/without cardiovascular risk factors. The NIPP was approved for reimbursement in January 2019. Based on a threshold value of a 2% absolute lower risk on ACE for proton therapy compared with photons, 268 breast cancer patients have been treated in the Netherlands with proton therapy between February 2019 and January 2021. The NIPP includes a model that allows the estimation of the absolute risk on ACE &lt;80 years based on mean heart dose. In the first 2 years, 268 breast cancer patients have been treated with proton therapy in The Netherlands.</t>
  </si>
  <si>
    <t>Sex Difference and Rupture Rate of Intracranial Aneurysms: An Individual Patient Data Meta-Analysis.</t>
  </si>
  <si>
    <t>Zuurbier, Charlotte C M; Molenberg, Rob; Mensing, Liselore A; Wermer, Marieke J H; Juvela, Seppo; Lindgren, Antti E; Jääskeläinen, Juha E; Koivisto, Timo; Yamazaki, Tomosato; Uyttenboogaart, Maarten; van Dijk, J Marc C; Aalbers, Marlien W; Morita, Akio; Tominari, Shinjiro; Arai, Hajime; Nozaki, Kazuhiko; Murayama, Yuichi; Ishibashi, Toshihiro; Takao, Hiroyuki; Gondar, Renato; Bijlenga, Philippe; Rinkel, Gabriel J E; Greving, Jacoba P; Ruigrok, Ynte M</t>
  </si>
  <si>
    <t>https://pubmed.ncbi.nlm.nih.gov/34983236</t>
  </si>
  <si>
    <t>In previous studies, women had a higher risk of rupture of intracranial aneurysms than men, but female sex was not an independent risk factor. This may be explained by a higher prevalence of patient- or aneurysm-related risk factors for rupture in women than in men or by insufficient power of previous studies. We assessed sex differences in rupture rate taking into account other patient- and aneurysm-related risk factors for aneurysmal rupture. We searched Embase and Pubmed for articles published until December 1, 2020. Cohorts with available individual patient data were included in our meta-analysis. We compared rupture rates of women versus men using a Cox proportional hazard regression model adjusted for the PHASES score (Population, Hypertension, Age, Size of Aneurysm, Earlier Subarachnoid Hemorrhage From Another Aneurysm, Site of Aneurysm), smoking, and a positive family history of aneurysmal subarachnoid hemorrhage. We pooled individual patient data from 9 cohorts totaling 9940 patients (6555 women, 66%) with 12 193 unruptured intracranial aneurysms, and 24 357 person-years follow-up. Rupture occurred in 163 women (rupture rate 1.04%/person-years [95% CI, 0.89-1.21]) and 63 men (rupture rate 0.74%/person-years [95% CI, 0.58-0.94]). Women were older (61.9 versus 59.5 years), were less often smokers (20% versus 44%), more often had internal carotid artery aneurysms (24% versus 17%), and larger sized aneurysms (≥7 mm, 24% versus 23%) than men. The unadjusted women-to-men hazard ratio was 1.43 (95% CI, 1.07-1.93) and the adjusted women/men ratio was 1.39 (95% CI, 1.02-1.90). Women have a higher risk of aneurysmal rupture than men and this sex difference is not explained by differences in patient- and aneurysm-related risk factors for aneurysmal rupture. Future studies should focus on the factors explaining the higher risk of aneurysmal rupture in women.</t>
  </si>
  <si>
    <t>Depression in Stroke Survivors: Ten-Year Follow-Up. Determinants of the Natural Course of Depressive Symptoms in Stroke Survivors in the Netherlands: The SMART-Medea Study.</t>
  </si>
  <si>
    <t>de Bekker, A; Geerlings, M I; Uitewaal-Poslawsky, I E; de Man-van Ginkel, J M</t>
  </si>
  <si>
    <t>journal of stroke and cerebrovascular diseases the official journal of national stroke association</t>
  </si>
  <si>
    <t>https://pubmed.ncbi.nlm.nih.gov/34995905</t>
  </si>
  <si>
    <t>Stroke is the second most common cause of death and a major cause of disability. Besides the physical consequences, depressive symptoms are frequent in the aftermath after stroke. Every year, approximately 15 million stroke survivors worldwide are at risk of developing post-stroke depression. In this study we describe the natural course of depressive symptoms in stroke patients over a long-period of time post stroke and identify associated determinants. From the Second Manifestations of ARTerial disease-Memory, depression and aging (SMART-Medea) study, an observational prospective cohort study, we selected patients with cerebrovascular disease, and used the biannually collected data of the Patient Health Questionnaire-9 for depressive symptoms. A score of ≥10 indicated the presence of depressive symptoms. A multinomial logistic regression analysis was used to identify prognostic determinants for courses of depressive symptoms after stroke. During a mean follow-up time of 7.9 years, 62% of the 172 participants was never depressed, 19% had a single episode and 19% had recurrent depressive symptoms. Physical function was associated with increased risk for single episode and recurrent depressive symptoms (OR=1.06 [1.01-1.11]). OR's for social, mental and (vascular) comorbidities variables were not significant. Participants' physical function was only measured at baseline. Several relevant variables were not present in this dataset, including information about clinical events during follow-up. Nearly 40% of the participants are confronted with depressive symptoms on the long-term. Physical function plays a substantial part for stroke survivors in the development of these symptoms.</t>
  </si>
  <si>
    <t>Diagnostic accuracy of urine dipstick tests for proteinuria in pregnant women suspected of preeclampsia: A systematic review and meta-analysis.</t>
  </si>
  <si>
    <t>Teeuw, Hannah M; Amoakoh, Hannah Brown; Ellis, Christine Anabelle; Lindsley, Kristina; Browne, Joyce L</t>
  </si>
  <si>
    <t>https://pubmed.ncbi.nlm.nih.gov/35051804</t>
  </si>
  <si>
    <t>Dipstick tests are frequently used as bedside proteinuria tests to evaluate women suspected of preeclampsia and may inform diagnosis in low resource settings lacking laboratory facilities. This systematic review and meta-analysis aimed to (1) estimate the diagnostic accuracy of urine dipsticks in diagnosing proteinuria, (2) compare performance of different dipstick types and (3) estimate their related costs. MEDLINE and EMBASE were searched up to August 1, 2020 for primary studies with cross-sectional diagnostic accuracy data on dipstick test(s) compared to a laboratory reference standard (24-hour protein ≥ 300 mg or protein-creatinine ratio ≥ 30 mg/mmol) in pregnant women ≥ 20 weeks of gestation suspected of preeclampsia. Risk of bias and applicability was assessed with QUADAS-2. Data were analysed using a bivariate model with hierarchical addition of covariates for subgroups. Nineteen studies were included. Protein-only dipsticks at 1 + threshold had a pooled sensitivity of 0.68 [95%CI: 0.57-0.77] and specificity of 0.85 [95% CI: 0.73-0.93] (n = 3700 urine samples, 18 studies). Higher specificity was found with automatedly (0.93 [95% CI: 0.82-0.98]) compared to visually (0.81 [95% CI: 0.65-0.91]) read dipsticks, whereas sensitivity was similar and costs were higher. The use of albumin-creatinine ratio (ACR) dipsticks was only reported in two studies and did not improve accuracy. Heterogeneity in study design and prevalence of preeclampsia amongst studies complicated interpretation of pooled estimates. Urine dipsticks performed poorly at excluding preeclampsia in hypertensive pregnant women. Further development of accurate and low-cost bedside proteinuria tests is warranted.</t>
  </si>
  <si>
    <t>Cardiac resynchronization therapy with or without defibrillator in patients with heart failure.</t>
  </si>
  <si>
    <t>Schrage, Benedikt; Lund, Lars H; Melin, Michael; Benson, Lina; Uijl, Alicia; Dahlström, Ulf; Braunschweig, Frieder; Linde, Cecilia; Savarese, Gianluigi</t>
  </si>
  <si>
    <t>europace european pacing arrhythmias and cardiac electrophysiology journal of the working groups on cardiac pacing arrhythmias and cardiac cellular electrophysiology of the european society of cardiology</t>
  </si>
  <si>
    <t>https://pubmed.ncbi.nlm.nih.gov/34486653</t>
  </si>
  <si>
    <t>Randomized data on the efficacy/safety of cardiac resynchronization therapy with vs. without defibrillator (CRT-D,-P) in heart failure with reduced ejection fraction (HFrEF) are scarce. We aimed to evaluate survival associated with use of CRT-D vs. CRT-P in a contemporary cohort with HFrEF. Patients from Swedish HF Registry treated with CRT-D/CRT-P and fulfilling criteria for primary prevention defibrillator use were included. Logistic regression was used to evaluate predictors of CRT-D non-use. All-cause mortality was compared in CRT-D vs. CRT-P by Cox regression in a 1 : 1 propensity-score-matched cohort. Of 1988 patients with CRT, 1108 (56%) had CRT-D and 880 (44%) CRT-P. Older age, higher ejection fraction (EF), female sex, and the lack of referral to HF nurse-led outpatient clinic were major determinants of CRT-D non-use. After matching, 645 CRT-D patients were compared with 645 with CRT-P. The CRT-D use was associated with lower 1- and 3-year all-cause mortality [hazard ratio (HR):0.76, 95% confidence interval (CI):0.58-0.98; HR: 0.82, 95% CI: 0.68-0.99, respectively]. Results were consistent in all pre-specified subgroups except for CRT-D use being associated with lower 3-year mortality in patients with an EF &lt; 30% but not in those with an EF ≥ 30% (HR: 0.73, 95% CI: 0.59-0.89 and HR: 1.24, 95% CI: 0.83-1.85, respectively; P-interaction = 0.02). In a contemporary HFrEF cohort, CRT-D was associated with lower mortality compared with CRT-P. The CRT-D use was less likely in older patients, females, and in patients not referred to HF nurse-led outpatient clinic. Our findings support the use of CRT-D vs. CRT-P in HFrEF, in particular with severely reduced EF.</t>
  </si>
  <si>
    <t>Sex Differences in Cognitive Functioning with Aging in the Netherlands.</t>
  </si>
  <si>
    <t>Nooyens, Astrid C J; Wijnhoven, Hanneke A H; Schaap, Laura S; Sialino, Lena D; Kok, Almar A L; Visser, Marjolein; Verschuren, W M Monique; Picavet, H Susan J; van Oostrom, Sandra H</t>
  </si>
  <si>
    <t>gerontology</t>
  </si>
  <si>
    <t>https://pubmed.ncbi.nlm.nih.gov/34983049</t>
  </si>
  <si>
    <t>Dementia prevalence in older women is higher than that in men. The purpose of the present study was to investigate whether there is a female disadvantage in cognitive functioning at adult age and/or whether a female disadvantage develops with age. Data of 5,135 women and 4,756 men from the Longitudinal Aging Study Amsterdam (LASA) and the Doetinchem Cohort Study (DCS) were used. In the LASA, memory, processing speed, fluid intelligence, and global cognitive function were measured every 3-4 years since 1992 in persons aged 55+ years for up to 23 years. In the DCS, memory, processing speed, cognitive flexibility, and global cognitive function were measured every 5 years since 1995 in persons aged 45+ years for up to 20 years. Sex differences in cognitive aging were analyzed using linear mixed models and also examined by the 10-year birth cohort or level of education. Women had a better memory, processing speed, flexibility, and, in the DCS only, global cognitive function than men (p's &amp;lt; 0.01). However, women showed up to 10% faster decline in these cognitive domains, except for flexibility, where women showed 9% slower decline. In the LASA, women scored poorer on fluid intelligence (p &amp;lt; 0.01), but their decline was 10% slower than that in men. Female advantage was larger in later born cohorts; adjustment for the educational level increased the female advantage. Women have better memory and processing speed than men at middle age. This female advantage becomes smaller with aging and has increased in more recent birth cohorts.</t>
  </si>
  <si>
    <t>Depression and Dementia: The Role of Cortisol and Vascular Brain Lesions. AGES-Reykjavik Study.</t>
  </si>
  <si>
    <t>Gerritsen, Lotte; Twait, Emma L; Jonsson, Palmi V; Gudnason, Vilmundur; Launer, Lenore J; Geerlings, Mirjam I</t>
  </si>
  <si>
    <t>journal of alzheimers disease jad</t>
  </si>
  <si>
    <t>https://pubmed.ncbi.nlm.nih.gov/34958034</t>
  </si>
  <si>
    <t>Late-life depression (LLD) is related to an increased risk of developing dementia; however, the biological mechanisms explaining this relationship remain unclear. To determine whether the relationship between LLD and dementia can be best explained by the glucocorticoid cascade or vascular hypothesis. Data are from 4,354 persons (mean age 76±5 years) without dementia at baseline from the AGES-Reykjavik Study. LLD was assessed with the MINI diagnostic interview (current and remitted major depressive disorder [MDD]) and the Geriatric Depression Scale-15. Morning and evening salivary cortisol were collected (glucocorticoid cascade hypothesis). White matter hyperintensities (WMH; vascular hypothesis) volume was assessed using 1.5T brain MRI. Using Cox proportional hazard models, we estimated the associations of LLD, cortisol levels, and WMH volume with incident all-cause dementia, AD, and non-AD dementia. During 8.8±3.2 years of follow-up, 843 persons developed dementia, including 397 with AD. Current MDD was associated with an increased risk of developing all-cause dementia (HR = 2.17; 95% CI 1.66-2.67), with risks similar for AD and non-AD, while remitted MDD was not (HR = 1.02; 95% CI 0.55-1.49). Depressive symptoms were also associated with increased risk of dementia, in particular non-AD dementias. Higher levels of evening cortisol increased risk of dementia, but this was independent of MDD. WMH partially explained the relation between current MDD and dementia risk but remained increased (HR = 1.71; 95% CI 1.34-2.08). The current study highlights the importance of LLD in developing dementia. However, neither the glucocorticoid cascade nor the vascular hypotheses fully explained the relation between depression and dementia.</t>
  </si>
  <si>
    <t>Impact of Complications After Pancreatoduodenectomy on Mortality, Organ Failure, Hospital Stay, and Readmission: Analysis of a Nationwide Audit.</t>
  </si>
  <si>
    <t>Smits, F Jasmijn; Verweij, Maaike E; Daamen, Lois A; van Werkhoven, C Henri; Goense, Lucas; Besselink, Marc G; Bonsing, Bert A; Busch, Olivier R; van Dam, Ronald M; van Eijck, Casper H J; Festen, Sebastiaan; Koerkamp, Bas Groot; van der Harst, Erwin; de Hingh, Ignace H; Kazemier, Geert; Klaase, Joost M; van der Kolk, Marion; Liem, Mike; Luyer, Misha D P; Meerdink, Mark; Mieog, J Sven D; Nieuwenhuijs, Vincent B; Roos, Daphne; Schreinemakers, Jennifer M; Stommel, Martijn W; Wit, Fennie; Zonderhuis, Babs M; de Meijer, Vincent E; van Santvoort, Hjalmar C; Molenaar, I Quintus; ,</t>
  </si>
  <si>
    <t>https://pubmed.ncbi.nlm.nih.gov/32502075</t>
  </si>
  <si>
    <t>To quantify the impact of individual complications on mortality, organ failure, hospital stay, and readmission after pancreatoduodenectomy. An initial complication may provoke a sequence of adverse events potentially leading to mortality after pancreatoduodenectomy. This study was conducted to aid prioritization of quality improvement initiatives. Data from consecutive patients undergoing pancreatoduodenectomy (2014-2017) were extracted from the Dutch Pancreatic Cancer Audit. Population attributable fractions (PAF) were calculated for the association of each complication (ie, postoperative pancreatic fistula, postpancreatectomy hemorrhage, bile leakage, delayed gastric emptying, wound infection, and pneumonia) with each unfavorable outcome [ie, in-hospital mortality, organ failure, prolonged hospital stay (&gt;75th percentile), and unplanned readmission), whereas adjusting for confounders and other complications. The PAF represents the proportion of an outcome that could be prevented if a complication would be eliminated completely. Overall, 2620 patients were analyzed. In-hospital mortality occurred in 95 patients (3.6%), organ failure in 198 patients (7.6%), and readmission in 427 patients (16.2%). Postoperative pancreatic fistula and postpancreatectomy hemorrhage had the greatest independent impact on mortality [PAF 25.7% (95% CI 13.4-37.9) and 32.8% (21.9-43.8), respectively] and organ failure [PAF 21.8% (95% CI 12.9-30.6) and 22.1% (15.0-29.1), respectively]. Delayed gastric emptying had the greatest independent impact on prolonged hospital stay [PAF 27.6% (95% CI 23.5-31.8)]. The impact of individual complications on unplanned readmission was smaller than 11%. Interventions focusing on postoperative pancreatic fistula and postpancreatectomy hemorrhage may have the greatest impact on in-hospital mortality and organ failure. To prevent prolonged hospital stay, initiatives should in addition focus on delayed gastric emptying.</t>
  </si>
  <si>
    <t>Missed Acute Coronary Syndrome During Telephone Triage at Out-of-Hours Primary Care: Lessons From A Case-Control Study.</t>
  </si>
  <si>
    <t>Erkelens, Daphne C; Rutten, Frans H; Wouters, Loes T; Kirkels, Harmke G; Poldervaart, Judith M; de Groot, Esther; Damoiseaux, Roger A; Hoes, Arno W; Zwart, Dorien L</t>
  </si>
  <si>
    <t>journal of patient safety</t>
  </si>
  <si>
    <t>https://pubmed.ncbi.nlm.nih.gov/33323890</t>
  </si>
  <si>
    <t>Serious adverse events at out-of-hours services in primary care (OHS-PC) are rare, and the most often concern is missed acute coronary syndrome (ACS). Previous studies on serious adverse events mainly concern root cause analyses, which highlighted errors in the telephone triage process but are hampered by hindsight bias. This study compared the recorded triage calls of patients with chest discomfort contacting the OHS-PC in whom an ACS was missed (cases), with triage calls involving matched controls with chest discomfort but without a missed ACS (controls), with the aim to assess the predictors of missed ACS. A case-control study with data from 2013 to 2017 of 9 OHS-PC in the Netherlands. The cases were matched 1:8 with controls based on age and sex. Clinical, patient, and call characteristics were univariably assessed, and general practitioner experts evaluated the triage while blinded to the final diagnosis or the case-control status. Fifteen missed ACS calls and 120 matched control calls were included. Cases used less cardiovascular medication (38.5% versus 64.1%, P = 0.05) and more often experienced pain other than retrosternal chest pain (63.3% versus 24.7%, P = 0.02) compared with controls. Consultation of the supervising general practitioner (86.7% versus 49.2%, P = 0.02) occurred more often in cases than in controls. Experts rated the triage of cases more often as "poor" (33.3% versus 10.9%, P = 0.001) and "unsafe" (73.3% versus 22.5%, P &lt; 0.001) compared with controls. To facilitate learning from serious adverse events in the future, these should also be bundled and carefully assessed without hindsight bias and within the context of "normal" clinical practice.</t>
  </si>
  <si>
    <t>Long-term exposure to low ambient air pollution concentrations and mortality among 28 million people: results from seven large European cohorts within the ELAPSE project.</t>
  </si>
  <si>
    <t>Stafoggia, Massimo; Oftedal, Bente; Chen, Jie; Rodopoulou, Sophia; Renzi, Matteo; Atkinson, Richard W; Bauwelinck, Mariska; Klompmaker, Jochem O; Mehta, Amar; Vienneau, Danielle; Andersen, Zorana J; Bellander, Tom; Brandt, Jørgen; Cesaroni, Giulia; de Hoogh, Kees; Fecht, Daniela; Gulliver, John; Hertel, Ole; Hoffmann, Barbara; Hvidtfeldt, Ulla A; Jöckel, Karl-Heinz; Jørgensen, Jeanette T; Katsouyanni, Klea; Ketzel, Matthias; Kristoffersen, Doris Tove; Lager, Anton; Leander, Karin; Liu, Shuo; Ljungman, Petter L S; Nagel, Gabriele; Pershagen, Göran; Peters, Annette; Raaschou-Nielsen, Ole; Rizzuto, Debora; Schramm, Sara; Schwarze, Per E; Severi, Gianluca; Sigsgaard, Torben; Strak, Maciek; van der Schouw, Yvonne T; Verschuren, Monique; Weinmayr, Gudrun; Wolf, Kathrin; Zitt, Emanuel; Samoli, Evangelia; Forastiere, Francesco; Brunekreef, Bert; Hoek, Gerard; Janssen, Nicole A H</t>
  </si>
  <si>
    <t>https://pubmed.ncbi.nlm.nih.gov/34998464</t>
  </si>
  <si>
    <t>Long-term exposure to ambient air pollution has been associated with premature mortality, but associations at concentrations lower than current annual limit values are uncertain. We analysed associations between low-level air pollution and mortality within the multicentre study Effects of Low-Level Air Pollution: A Study in Europe (ELAPSE). In this multicentre longitudinal study, we analysed seven population-based cohorts of adults (age ≥30 years) within ELAPSE, from Belgium, Denmark, England, the Netherlands, Norway, Rome (Italy), and Switzerland (enrolled in 2000-11; follow-up until 2011-17). Mortality registries were used to extract the underlying cause of death for deceased individuals. Annual average concentrations of fine particulate matter (PM&lt;sub&gt;2·5&lt;/sub&gt;), nitrogen dioxide (NO&lt;sub&gt;2&lt;/sub&gt;), black carbon, and tropospheric warm-season ozone (O&lt;sub&gt;3&lt;/sub&gt;) from Europe-wide land use regression models at 100 m spatial resolution were assigned to baseline residential addresses. We applied cohort-specific Cox proportional hazard models with adjustment for area-level and individual-level covariates to evaluate associations with non-accidental mortality, as the main outcome, and with cardiovascular, non-malignant respiratory, and lung cancer mortality. Subset analyses of participants living at low pollutant concentrations (as per predefined values) and natural splines were used to investigate the concentration-response function. Cohort-specific effect estimates were pooled in a random-effects meta-analysis. We analysed 28 153 138 participants contributing 257 859 621 person-years of observation, during which 3 593 741 deaths from non-accidental causes occurred. We found significant positive associations between non-accidental mortality and PM&lt;sub&gt;2·5&lt;/sub&gt;, NO&lt;sub&gt;2&lt;/sub&gt;, and black carbon, with a hazard ratio (HR) of 1·053 (95% CI 1·021-1·085) per 5 μg/m&lt;sup&gt;3&lt;/sup&gt; increment in PM&lt;sub&gt;2·5&lt;/sub&gt;, 1·044 (1·019-1·069) per 10 μg/m&lt;sup&gt;3&lt;/sup&gt; NO&lt;sub&gt;2&lt;/sub&gt;, and 1·039 (1·018-1·059) per 0·5 × 10&lt;sup&gt;-5&lt;/sup&gt;/m black carbon. Associations with PM&lt;sub&gt;2·5&lt;/sub&gt;, NO&lt;sub&gt;2&lt;/sub&gt;, and black carbon were slightly weaker for cardiovascular mortality, similar for non-malignant respiratory mortality, and stronger for lung cancer mortality. Warm-season O&lt;sub&gt;3&lt;/sub&gt; was negatively associated with both non-accidental and cause-specific mortality. Associations were stronger at low concentrations: HRs for non-accidental mortality at concentrations lower than the WHO 2005 air quality guideline values for PM&lt;sub&gt;2·5&lt;/sub&gt; (10 μg/m&lt;sup&gt;3&lt;/sup&gt;) and NO&lt;sub&gt;2&lt;/sub&gt; (40 μg/m&lt;sup&gt;3&lt;/sup&gt;) were 1·078 (1·046-1·111) per 5 μg/m&lt;sup&gt;3&lt;/sup&gt; PM&lt;sub&gt;2·5&lt;/sub&gt; and 1·049 (1·024-1·075) per 10 μg/m&lt;sup&gt;3&lt;/sup&gt; NO&lt;sub&gt;2&lt;/sub&gt;. Similarly, the association between black carbon and non-accidental mortality was highest at low concentrations, with a HR of 1·061 (1·032-1·092) for exposure lower than 1·5× 10&lt;sup&gt;-5&lt;/sup&gt;/m, and 1·081 (0·966-1·210) for exposure lower than 1·0× 10&lt;sup&gt;-5&lt;/sup&gt;/m. Long-term exposure to concentrations of PM&lt;sub&gt;2·5&lt;/sub&gt; and NO&lt;sub&gt;2&lt;/sub&gt; lower than current annual limit values was associated with non-accidental, cardiovascular, non-malignant respiratory, and lung cancer mortality in seven large European cohorts. Continuing research on the effects of low concentrations of air pollutants is expected to further inform the process of setting air quality standards in Europe and other global regions. Health Effects Institute.</t>
  </si>
  <si>
    <t>Preventing heart failure: a position paper of the Heart Failure Association in collaboration with the European Association of Preventive Cardiology.</t>
  </si>
  <si>
    <t>Piepoli, Massimo F; Adamo, Marianna; Barison, Andrea; Bestetti, Reinaldo B; Biegus, Jan; Böhm, Michael; Butler, Javed; Carapetis, Jonathan; Ceconi, Claudio; Chioncel, Ovidiu; Coats, Andrew; Crespo-Leiro, Maria G; de Simone, Giovanni; Drexel, Heinz; Emdin, Michele; Farmakis, Dimitros; Halle, Martin; Heymans, Stephane; Jaarsma, Tiny; Jankowska, Ewa; Lainscak, Mitja; Lam, Carolyn S P; Løchen, Maja-Lisa; Lopatin, Yuri; Maggioni, Aldo; Matrone, Benedetta; Metra, Marco; Noonan, Katharine; Pina, Ileana; Prescott, Eva; Rosano, Giuseppe; Seferovic, Petar M; Sliwa, Karen; Stewart, Simon; Uijl, Alicia; Vaartjes, Ilonca; Vermeulen, Roel; Monique Verschuren, W M; Volterrani, Maurizio; von Heahling, Stephan; Hoes, Arno</t>
  </si>
  <si>
    <t>https://pubmed.ncbi.nlm.nih.gov/35083829</t>
  </si>
  <si>
    <t>The heart failure epidemic is growing and its prevention, in order to reduce associated hospital readmission rates and its clinical and economic burden, is a key issue in modern cardiovascular medicine. The present position paper aims to provide practical evidence-based information to support the implementation of effective preventive measures. After reviewing the most common risk factors, an overview of the population attributable risks in different continents is presented, to identify potentially effective opportunities for prevention and to inform preventive strategies. Finally, potential interventions that have been proposed and have been shown to be effective in preventing heart failure are listed.</t>
  </si>
  <si>
    <t>Pulse wave velocity in South African women and children: comparison between the Mobil-O-Graph and SphygmoCor XCEL devices.</t>
  </si>
  <si>
    <t>Kolkenbeck-Ruh, Andrea; Soepnel, Larske Marit; Kim, Andrew Wooyoung; Naidoo, Sanushka; Smith, Wayne; Davies, Justine; Ware, Lisa Jayne</t>
  </si>
  <si>
    <t>https://pubmed.ncbi.nlm.nih.gov/34285149</t>
  </si>
  <si>
    <t>Carotid-femoral pulse wave velocity (PWV) is the gold-standard noninvasive measure of arterial stiffness. Data comparing tonometry-based devices such as the SphygmoCor XCEL to simpler brachial-cuff-based estimates of PWV, such as from the Mobil-O-Graph in African populations are sparse. We therefore aimed to compare PWV measured by the Mobil-O-Graph and the SphygmoCor XCEL device in a sample of South African women and children. Women (n = 85) 29 years [interquartile range (IQR): 29-69] and their children/grandchildren (n = 27) 7 years (IQR: 4-11) were recruited for PWV measurement with Mobil-O-Graph and SphygmoCor XCEL on the same day. Wilcoxon signed-rank test, regression analysis, spearman correlation and Bland-Altman plots were used for PWV comparison between devices. For adults, the SphygmoCor XCEL device had a significantly higher PWV (7.3 m/s, IQR: 6.4-8.5) compared with the Mobil-O-Graph (5.9 m/s, IQR: 5.0-8.1, P = 0.001) with a correlation coefficient of 0.809 (P ≤ 0.001). Bland--Altman analysis indicated an acceptable level of agreement but significant bias (mean difference PWV: 0.90 ± 1.02 m/s; limits of agreement: -1.10 to 2.90). The odds of having a PWV difference more than 1 m/s decreased with a higher age [odds ratio (OR): 0.95, 95% confidence interval (95% CI) = 0.92-0.98] and increased with greater height (OR: 1.10, 95% CI = 1.01-1.21, P = 0.03) in multivariable analysis. In children, the Bland-Altman indicated an excellent level of agreement (-0.03 ± 0.63 m/s; limits of agreement: -1.26 to 1.21), but no correlation was found (rs = 0.08, P = 0.71). Particularly in younger and taller women, the Mobil-O-Graph significantly underestimated PWV compared with the SphygmoCor. Although no correlation was found between the two devices for children, further research is required due to the small sample size. Furthermore, the clinical value of both methods in young African populations requires further investigation.</t>
  </si>
  <si>
    <t>Associations between the fast-food environment and diabetes prevalence in the Netherlands: a cross-sectional study.</t>
  </si>
  <si>
    <t>Ntarladima, Anna-Maria; Karssenberg, Derek; Poelman, Maartje; Grobbee, Diederick E; Lu, Meng; Schmitz, Oliver; Strak, Maciej; Janssen, Nicole; Hoek, Gerard; Vaartjes, Ilonca</t>
  </si>
  <si>
    <t>https://pubmed.ncbi.nlm.nih.gov/34998457</t>
  </si>
  <si>
    <t>Diabetes is a major health concern and is influenced by lifestyle, which can be affected by the neighbourhood environment. Specifically, a fast-food environment can influence eating behaviours and thus diabetes prevalence. Therefore, our aim was to assess the relationship between fast-food environment and diabetes prevalence for urban and rural environments in the Netherlands, using multiple indicators and buffer sizes. In this cross-sectional study, data on a nationwide sample of adults older than 19 years in the Netherlands were taken from the 2012 Dutch national health survey (from Public Health Monitor), in which participants were surveyed on topics related to health and lifestyle behaviour. Fast-food outlet exposures were determined within street-network buffers of 100 m, 400 m, 1000 m, and 1500 m around residential addresses. For each of these buffers, three indicators were calculated: presence (yes or no) of fast-food outlets, fast-food outlet density, and ratio. Logistic regression analyses were carried out to assess associations of these indicators with diabetes, adjusting for potential confounders and stratifying into urban and rural areas. 387 195 adults were surveyed, 284 793 of whom were included in the study. 22 951 (8%) reported having diabetes. Fast-food outlet exposures were positively associated with diabetes prevalence. We did not observe large differences between urban and rural areas. The effect estimates were small for all indicators. For example, in the 400 m buffer in the urban environment, the odds ratio (OR) for having diabetes among people with a fast-food outlet present compared with those without, was 1·006 (95% CI 1·003-1·009) using the presence indicator. The presence indicator showed higher effect estimates and the most consistent results across buffer sizes (ranging from OR 1·005 [95% CI 1·000-1·010] with the 1000 m buffer to 1·016 [1·005-1·028] with the 1500 m buffer in urban areas and from 1·002 [0·998-1·005] with the 1500 m buffer to 1·009 [1·006-1·018] with the 100 m buffer in rural areas) compared with the density and ratio indicators. The results confirm the evidence that the fast-food outlet environment is a diabetes risk factor. All data included were at the individual level and the variability was ensured by the spatial distribution and number of participants. In this study, we only accounted for residential exposure because we were unable to account for exposure outside the residential environment. The findings of this study encourage local governments to consider the potential adverse effects of fast-food exposures and aim at minimising unhealthy food access. Global Geo Health Data Centre, Utrecht University, Netherlands.</t>
  </si>
  <si>
    <t>Causes of death in HIV-infected and HIV-uninfected children aged under-five years in western Kenya.</t>
  </si>
  <si>
    <t>Onyango, Dickens O; Akelo, Victor; van der Sande, Marianne A B; Ridzon, Renee; Were, Joyce A; Agaya, Janet A; Oele, Elizabeth A; Wandiga, Steve; Igunza, Aggrey K; Young, Peter W; Blau, Dianna M; Joseph, Rachael H; Yuen, Courtney M; Zielinski-Gutierrez, Emily; Tippett-Barr, Beth A</t>
  </si>
  <si>
    <t>https://pubmed.ncbi.nlm.nih.gov/34586084</t>
  </si>
  <si>
    <t>Describe the causes of death among infants and children less than 5 years stratified by HIV status. Cross-sectional analysis of causes of death ascertained through minimally invasive tissue sampling (MITS) in the Kenya Child Health and Mortality Prevention Surveillance site. We included decedents aged 28 days to less than 5 years, whose death was reported within 36 h, underwent MITS, and had HIV test results and causes of death determined. MITS specimens were tested using Taqman Array Cards, culture, cytology, histopathology and immunohistochemistry and HIV PCR. A panel evaluated epidemiologic, clinical, verbal autopsy and laboratory data to assign causes of death using ICD-10 guidelines. Causes of death and etiological agents were stratified by HIV status. Of 176 included decedents, 14% (n = 25) were HIV-infected, median viral load was 112 205 copies/ml [interquartile range (IQR) = 9349-2 670 143). HIV-disease (96%; n = 24) and malnutrition (23%; n = 34) were the leading underlying causes of death in HIV-infected and HIV-uninfected decedents, respectively. Malnutrition was more frequent in the causal chain of HIV-infected (56%; n = 14) than HIV-uninfected decedents (31%; n = 49) (P value = 0.03). Viral pneumonia was twice as common in HIV-infected (50%; n = 9) than HIV-uninfected decedents (22%; n = 7) (P value = 0.04). Nearly all HIV-infected decedents' underlying cause of death was HIV disease, which was associated with malnutrition. Our findings underscore the need for strengthening early identification and management of HIV-infected children. Prevention, early diagnosis and treatment of malnutrition could be instrumental in improving the survival of HIV-infected and HIV-uninfected children.</t>
  </si>
  <si>
    <t>Search for Lepton-Flavor Violation in Z-Boson Decays with τ Leptons with the ATLAS Detector.</t>
  </si>
  <si>
    <t>Aad, G; Abbott, B; Abbott, D C; Abed Abud, A; Abeling, K; Abhayasinghe, D K; Abidi, S H; Abramowicz, H; Abreu, H; Abulaiti, Y; Abusleme Hoffman, A C; Acharya, B S; Achkar, B; Adam, L; Adam Bourdarios, C; Adamczyk, L; Adamek, L; Adelman, J; Adiguzel, A; Adorni, S; Adye, T; Affolder, A A; Afik, Y; Agapopoulou, C; Agaras, M N; Agarwala, J; Aggarwal, A; Agheorghiesei, C; Aguilar-Saavedra, J A; Ahmad, A; Ahmadov, F; Ahmed, W S; Ai, X; Aielli, G; Akatsuka, S; Akbiyik, M; Åkesson, T P A; Akimov, A V; Al Khoury, K; Alberghi, G L; Albert, J;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Amrouche, C S; Anastopoulos, C; Andari, N; Andeen, T; And</t>
  </si>
  <si>
    <t>https://pubmed.ncbi.nlm.nih.gov/35061407</t>
  </si>
  <si>
    <t>A search for lepton-flavor-violating Z→eτ and Z→μτ decays with pp collision data recorded by the ATLAS detector at the LHC is presented. This analysis uses 139  fb^{-1} of Run 2 pp collisions at sqrt[s]=13  TeV and is combined with the results of a similar ATLAS search in the final state in which the τ lepton decays hadronically, using the same data set as well as Run 1 data. The addition of leptonically decaying τ leptons significantly improves the sensitivity reach for Z→ℓτ decays. The Z→ℓτ branching fractions are constrained in this analysis to B(Z→eτ)&lt;7.0×10^{-6} and B(Z→μτ)&lt;7.2×10^{-6} at 95% confidence level. The combination with the previously published analyses sets the strongest constraints to date: B(Z→eτ)&lt;5.0×10^{-6} and B(Z→μτ)&lt;6.5×10^{-6} at 95% confidence level.</t>
  </si>
  <si>
    <t>Multimorbidity Among Migrant and Non-Migrant Ghanaians: The RODAM Study.</t>
  </si>
  <si>
    <t>Marzà-Florensa, Anna; Boateng, Daniel; Agyemang, Charles; Beune, Erik; Meeks, Karlijn A C; Bahendeka, Silver; Levitt, Naomi; Klipstein-Grobusch, Kerstin</t>
  </si>
  <si>
    <t>https://pubmed.ncbi.nlm.nih.gov/35035346</t>
  </si>
  <si>
    <t>&lt;b&gt;Objectives:&lt;/b&gt; Multimorbidity is a growing public health concern due to the increasing burden of non-communicable diseases, yet information about multimorbidity in low- and middle-income countries and migrant populations is scarce. We aimed to investigate the distribution and patterns of multimorbidity in rural and urban areas in Ghana and Ghanaian migrants in Europe. &lt;b&gt;Methods:&lt;/b&gt; The RODAM cross-sectional study included 4,833 participants. Multimorbidity was defined as presence of multiple non-communicable chronic conditions. Patterns were determined from frequent combination of conditions. Prevalence ratios were estimated by logistic regression. &lt;b&gt;Results:&lt;/b&gt; Prevalence of multimorbidity was higher in women and in urban Ghana and Europe. We observed a cardiometabolic pattern in all sites as well as circulatory-musculoskeletal and metabolic-musculoskeletal combinations in Ghana. Multimorbidity prevalence ratios were higher in Europe (men 1.47, 95% CI 1.34-1.59, women 1.18, 1.10-1.26) and urban Ghana (men 1.46, 1.31-1.59, women 1.27, 1.19-1.34). &lt;b&gt;Conclusion:&lt;/b&gt; Distribution and patterns of multimorbidity differed by sex and site. With a higher burden of multimorbidity in urban areas, prevention strategies should focus on forestalling its increase in rapidly growing rural areas.</t>
  </si>
  <si>
    <t>Dietary Supplementation throughout Life with Non-Digestible Oligosaccharides and/or n-3 Poly-Unsaturated Fatty Acids in Healthy Mice Modulates the Gut-Immune System-Brain Axis.</t>
  </si>
  <si>
    <t>Szklany, Kirsten; Engen, Phillip A; Naqib, Ankur; Green, Stefan J; Keshavarzian, Ali; Lopez Rincon, Alejandro; Siebrand, Cynthia J; Diks, Mara A P; van de Kaa, Melanie; Garssen, Johan; Knippels, Leon M J; Kraneveld, Aletta D</t>
  </si>
  <si>
    <t>https://pubmed.ncbi.nlm.nih.gov/35011046</t>
  </si>
  <si>
    <t>The composition and activity of the intestinal microbial community structures can be beneficially modulated by nutritional components such as non-digestible oligosaccharides and omega-3 poly-unsaturated fatty acids (n-3 PUFAs). These components affect immune function, brain development and behaviour. We investigated the additive effect of a dietary combination of scGOS:lcFOS and n-3 PUFAs on caecal content microbial community structures and development of the immune system, brain and behaviour from day of birth to early adulthood in healthy mice. Male BALB/cByJ mice received a control or enriched diet with a combination of scGOS:lcFOS (9:1) and 6% tuna oil (n-3 PUFAs) or individually scGOS:lcFOS (9:1) or 6% tuna oil (n-3 PUFAs). Behaviour, caecal content microbiota composition, short-chain fatty acid levels, brain monoamine levels, enterochromaffin cells and immune parameters in the mesenteric lymph nodes (MLN) and spleen were assessed. Caecal content microbial community structures displayed differences between the control and dietary groups, and between the dietary groups. Compared to control diet, the scGOS:lcFOS and combination diets increased caecal saccharolytic fermentation activity. The diets enhanced the number of enterochromaffin cells. The combination diet had no effects on the immune cells. Although the dietary effect on behaviour was limited, serotonin and serotonin metabolite levels in the amygdala were increased in the combination diet group. The combination and individual interventions affected caecal content microbial profiles, but had limited effects on behaviour and the immune system. No apparent additive effect was observed when scGOS:lcFOS and n-3 PUFAs were combined. The results suggest that scGOS:lcFOS and n-3 PUFAs together create a balance-the best of both in a healthy host.</t>
  </si>
  <si>
    <t>Changes in the Diagnosis of Stroke and Cardiovascular Conditions in Primary Care During the First 2 COVID-19 Waves in the Netherlands.</t>
  </si>
  <si>
    <t>Velek, Premysl; Splinter, Marije J; Ikram, M Kamran; Ikram, M Arfan; Leening, Maarten J G; van der Lei, Johan; Olde Hartman, Tim; Peters, Lilian L; Tange, Huibert; Rutten, Frans H; van Weert, Henk; Wolters, Frank J; Bindels, Patrick J E; Licher, Silvan; de Schepper, Evelien I T</t>
  </si>
  <si>
    <t>https://pubmed.ncbi.nlm.nih.gov/34965968</t>
  </si>
  <si>
    <t>Although there is evidence of disruption in acute cerebrovascular and cardiovascular care during the coronavirus disease 2019 (COVID-19) pandemic, its downstream effect in primary care is less clear. We investigated how the pandemic affected utilization of cerebrovascular and cardiovascular care in general practices (GPs) and determined changes in GP-recorded diagnoses of selected cerebrovascular and cardiovascular outcomes. From electronic health records of 166,929 primary care patients aged 30 or over within the Rotterdam region, the Netherlands, we extracted the number of consultations related to cerebrovascular and cardiovascular care, and first diagnoses of selected cerebrovascular and cardiovascular risk factors (hypertension, diabetes, lipid disorders), conditions, and events (angina, atrial fibrillation, TIA, myocardial infarction, stroke). We quantified changes in those outcomes during the first COVID-19 wave (March-May 2020) and thereafter (June-December 2020) by comparing them to the same period in 2016-2019. We also estimated the number of potentially missed diagnoses for each outcome. The number of GP consultations related to cerebrovascular and cardiovascular care declined by 38% (0.62, 95% confidence interval 0.56-0.68) during the first wave, as compared to expected counts based on prepandemic levels. Substantial declines in the number of new diagnoses were observed for cerebrovascular events: 37% for TIA (0.63, 0.41-0.96) and 29% for stroke (0.71, 0.59-0.84), while no significant changes were observed for cardiovascular events (myocardial infarction [0.91, 0.74-1.14], angina [0.77, 0.48-1.25]). The counts across individual diagnoses recovered following June 2020, but the number of GP consultations related to cerebrovascular and cardiovascular care remained lower than expected throughout the June to December period (0.93, 0.88-0.98). While new diagnoses of acute cardiovascular events remained stable during the COVID-19 pandemic, diagnoses of cerebrovascular events declined substantially compared to prepandemic levels, possibly due to incorrect perception of risk by patients. These findings emphasize the need to improve symptom recognition of cerebrovascular events among the general public and to encourage urgent presentation despite any physical distancing measures.</t>
  </si>
  <si>
    <t>High awareness of diabetes as a key cardiovascular risk factor among healthcare professionals but suboptimal treatment: Results from a survey of the European Association of Preventive Cardiology.</t>
  </si>
  <si>
    <t>Hansen, Dominique; Mellbin, Linda; Cosentino, Francesco; De Bacquer, Dirk; Grobbee, Diederick; Van Ryckeghem, Lisa; Standl, Eberhard; Beulens, Joline W J</t>
  </si>
  <si>
    <t>https://pubmed.ncbi.nlm.nih.gov/33611354</t>
  </si>
  <si>
    <t>Urethral and bladder dose-effect relations for late genitourinary toxicity following external beam radiotherapy for prostate cancer in the FLAME trial.</t>
  </si>
  <si>
    <t>Groen, Veerle H; van Schie, Marcel; Zuithoff, Nicolaas P A; Monninkhof, Evelyn M; Kunze-Busch, Martina; de Boer, Johannes C J; van der Voort van Zijp, Jochem; Pos, Floris J; Smeenk, Robert Jan; Haustermans, Karin; Isebaert, Sofie; Draulans, Cédric; Depuydt, Tom; Verkooijen, Helena M; van der Heide, Uulke A; Kerkmeijer, Linda G W</t>
  </si>
  <si>
    <t>https://pubmed.ncbi.nlm.nih.gov/34968470</t>
  </si>
  <si>
    <t>The FLAME trial (NCT01168479) showed that by adding a focal boost to conventional fractionated EBRT in the treatment of localized prostate cancer, the five-year biochemical disease-free survival increased, without significantly increasing toxicity. The aim of the present study was to investigate the association between radiation dose to the bladder and urethra and genitourinary (GU) toxicity grade ≥2 in the entire cohort. The dose-effect relations of the urethra and bladder dose, separately, and GU toxicity grade ≥2 (CTCAE 3.0) up to five years after treatment were assessed. A mixed model analysis for repeated measurements was used, adjusting for age, diabetes mellitus, T-stage, baseline GU toxicity grade ≥1 and institute. Additionally, the association between the dose and separate GU toxicity subdomains were investigated. Dose-effect relations were observed for the dose (Gy) to the bladder D2 cm&lt;sup&gt;3&lt;/sup&gt; and urethra D0.1 cm&lt;sup&gt;3&lt;/sup&gt;, with adjusted odds ratios of 1.14 (95% CI 1.12-1.16, p &lt; 0.0001) and 1.12 (95% CI 1.11-1.14, p &lt; 0.0001), respectively. Additionally, associations between the dose to the urethra and bladder and the subdomains urinary frequency, urinary retention and urinary incontinence were observed. Further increasing the dose to the bladder and urethra will result in a significant increase in GU toxicity following EBRT. Focal boost treatment plans should incorporate a urethral dose-constraint. Further treatment optimization to increase the focal boost dose without increasing the dose to the urethra and other organs at risk should be a focus for future research, as we have shown that a focal boost is beneficial in the treatment of prostate cancer.</t>
  </si>
  <si>
    <t>Why do women do worse after coronary artery bypass grafting?</t>
  </si>
  <si>
    <t>Peters, Sanne A E; Kluin, Jolanda</t>
  </si>
  <si>
    <t>https://pubmed.ncbi.nlm.nih.gov/34524421</t>
  </si>
  <si>
    <t>Impact of 7-valent versus 10-valent pneumococcal conjugate vaccines on primary care consultations across various age groups in the Netherlands, 5 years after the switch: A time-series analysis.</t>
  </si>
  <si>
    <t>Asogwa, Ogechukwu A; de Hoog, Marieke L A; Bruijning-Verhagen, Patricia C J I</t>
  </si>
  <si>
    <t>https://pubmed.ncbi.nlm.nih.gov/34969546</t>
  </si>
  <si>
    <t>In 2011, 10-valent pneumococcal conjugate vaccine (PCV10) replaced PCV7 in The Netherlands. We aimed to assess the impact of this switch on non-invasive pneumococcal disease in primary care across various age-groups, including pneumonia-bronchitis, otitis media (OM) and sinusitis with and without considering pre-PCV10 secular trends. Electronic records of 397,441 individuals included in a regional primary care database from July 2006 to June 2016 were extracted (2,408,762 person-years). We fitted interrupted time-series on annual incidence rates (IR) of primary care diagnosed pneumonia-bronchitis, OM and sinusitis episodes per age-group. We performed these two types of analyses, comparing; 1) the post-PCV10 observed versus expected trend if PCV10 had not been implemented and pre-PCV10 secular trends had continued 2), the pre- versus post-PCV10 observed, model fitted trend. The latter assumes no secular trend. Incidence rate ratios (IRR) were calculated using both methods. We found significant reductions following PCV10 introduction with both analysis methods for pneumonia-bronchitis in the pediatric and adult age-groups, for sinusitis in the age-group 20-50 years and for OM, the effect across various age-groups are uncertain given contradictory results. For other outcomes and age-groups, the effect estimates were not consistent across the two-method used and heavily depended on the strength of the underlying trend. No consistent effects were observed in the elderly population, considering the two methods used. Our study supports some direct and indirect-effect of PCV10 introduction on non-IPD, mainly on pneumonia-bronchitis, but estimates heavily depend on the method of analysis used. Estimates from the two different approaches may differ substantially if underlying trends are strong.</t>
  </si>
  <si>
    <t>Erratum to "Sex differences in emergency medical services management of patients with myocardial infarction: Analysis of routinely collected data for over 110,000 patients" [Am Heart J (2021) 87-91].</t>
  </si>
  <si>
    <t>Hsu, Benjumin; Carcel, Cheryl; Wang, Xia; Peters, Sanne A E; Randall, Deborah A; Havard, Alys; Miller, Matthew; Redfern, Julie; Woodward, Mark; Jorm, Louisa R</t>
  </si>
  <si>
    <t>https://pubmed.ncbi.nlm.nih.gov/34961614</t>
  </si>
  <si>
    <t>Using the ALSFRS-R in multicentre clinical trials for amyotrophic lateral sclerosis: potential limitations in current standard operating procedures.</t>
  </si>
  <si>
    <t>Bakers, Jaap N E; de Jongh, Adriaan D; Bunte, Tommy M; Kendall, Lindsay; Han, Steve S; Epstein, Noam; Lavrov, Arseniy; Beelen, Anita; Visser-Meily, Johanna M A; van den Berg, Leonard H; van Eijk, Ruben P A</t>
  </si>
  <si>
    <t>amyotrophic lateral sclerosis frontotemporal degeneration</t>
  </si>
  <si>
    <t>https://pubmed.ncbi.nlm.nih.gov/34949141</t>
  </si>
  <si>
    <t>&lt;i&gt;Objective:&lt;/i&gt; Uniform data collection is fundamental for multicentre clinical trials. We aim to determine the variability, between ALS trial centers, in the prevalence of unexpected or implausible improvements in the revised ALS functional rating scale (ALSFRS-R) score, and its associations with individual patient and item characteristics.&lt;i&gt;Methods:&lt;/i&gt; We used data from two multicentre studies to estimate the prevalence of an unexpected increase or implausible improvement in the ALSFRS-R score, defined as an increase of 5 points or more between two consecutive, monthly visits. For each patient with a 5-point or more increase, we evaluated the individual contribution of each ALSFRS-R item.&lt;i&gt;Results:&lt;/i&gt; Longitudinal ALSFRS-R scores, originating from 114 trial centers enrolling a total of 1,240 patients, were analyzed. A 5-point or more increase in ALSFRS-R total score was found in 151 (12.2%) patients, with prevalence per study center ranging from 0% to 83%. Bulbar onset, faster disease progression at enrollment, and a lower ALSFRS-R score at baseline were associated with a sudden 5-point or more increase in the ALSFRS-R total score. ALSFRS-R items 2 (saliva), 9 (stairs), 10 (dyspnea), and 11 (orthopnea) were the primary drivers when a 5-point or more increase occurred.&lt;i&gt;Conclusions:&lt;/i&gt; Sudden 5-point or more increases in ALSFRS-R total scores between two consecutive visits are relatively common. These sudden increases were not found to occur with equal frequency in trial centers; which underscores the need for amending existing standard operating procedures toward a universal version and monitoring of data quality during the study, in multicentre research.</t>
  </si>
  <si>
    <t>Patterns of Failure Following External Beam Radiotherapy With or Without an Additional Focal Boost in the Randomized Controlled FLAME Trial for Localized Prostate Cancer.</t>
  </si>
  <si>
    <t>Groen, Veerle H; Haustermans, Karin; Pos, Floris J; Draulans, Cédric; Isebaert, Sofie; Monninkhof, Evelyn M; Smeenk, Robert J; Kunze-Busch, Martina; de Boer, Johannes C J; van der Voort van Zijp, Jochem; Kerkmeijer, Linda G W; van der Heide, Uulke A</t>
  </si>
  <si>
    <t>https://pubmed.ncbi.nlm.nih.gov/34953603</t>
  </si>
  <si>
    <t>Focal dose escalation in external beam radiotherapy (EBRT) showed an increase in 5-yr biochemical disease-free survival in the Focal Lesion Ablative Microboost in Prostate Cancer (FLAME) trial. To analyze the effect of a focal boost to intraprostatic lesions on local failure-free survival (LFS) and regional + distant metastasis-free survival (rdMFS). Patients with intermediate- or high-risk localized prostate cancer were included in FLAME, a phase 3, multicenter, randomized controlled trial. Standard treatment of 77 Gy to the entire prostate in 35 fractions was compared to an additional boost to the macroscopic tumor of up to 95 Gy during EBRT. LFS and rdMFS, measured via any type of imaging, were compared between the treatment arms using Kaplan-Meier and Cox regression analyses. Dose-response curves were created for local failure (LF) and regional + distant metastatic failure (rdMF) using logistic regression. A total of 571 patients were included in the FLAME trial. Over median follow-up of 72 mo (interquartile range 58-86), focal boosting decreased LF (hazard ratio [HR] 0.33, 95% confidence interval [CI] 0.14-0.78) and rdMF (HR 0.58, 95% CI 0.35-0.93). Dose-response curves showed that a greater dose to the tumor resulted in lower LF and rdMF rates. A clear dose-response relation for LF and rdMF was observed, suggesting that adequate focal dose escalation to intraprostatic lesions prevents undertreatment of the primary tumor, resulting in an improvement rdMF. Radiotherapy is a treatment option for high-risk prostate cancer. The FLAME trial has shown that a high dose specifically targeted at the tumor within the prostate will result in better disease outcome, with less likelihood of regional and distant disease spread. The FLAME trial is registered on ClinicalTrials.gov as NCT01168479.</t>
  </si>
  <si>
    <t>Impact of a Patient's Baseline Risk on the Relative Benefit and Harm of a Preventive Treatment Strategy: Applying Trial Results in Clinical Decision Making.</t>
  </si>
  <si>
    <t>de Vries, Tamar I; Stam-Slob, Manon C; Peters, Ron J G; van der Graaf, Yolanda; Westerink, Jan; Visseren, Frank L J</t>
  </si>
  <si>
    <t>https://pubmed.ncbi.nlm.nih.gov/34935407</t>
  </si>
  <si>
    <t>Background For translating an overall trial result into an individual patient's expected absolute treatment effect, differences in relative treatment effect between patients need to be taken into account. The aim of this study was to evaluate whether relative treatment effects of medication in 2 large contemporary trials are influenced by multivariable baseline risk of an individual patient. Methods and Results In 9361 patients from SPRINT (Systolic Blood Pressure Intervention Trial), risk of major adverse cardiovascular events was assessed using a newly derived risk model. In 18 133 patients from the RE-LY (Randomized Evaluation of Long-Term Anticoagulant Therapy) trial, risk of stroke or systemic embolism and major bleeding was assessed using the Global Anticoagulant Registry in the Field-Atrial Fibrillation risk model. Heterogeneity of trial treatment effect was assessed using Cox models of trial allocation, model linear predictor, and their interaction. There was no significant interaction between baseline risk and relative treatment effect from intensive blood pressure lowering in SPRINT (&lt;i&gt;P&lt;/i&gt;=0.92) or from dabigatran compared with warfarin for stroke or systemic embolism in the RE-LY trial (&lt;i&gt;P&lt;/i&gt;=0.71). There was significant interaction between baseline risk and treatment effect from dabigatran versus warfarin in the RE-LY trial (&lt;i&gt;P&lt;/i&gt;&lt;0.001) for major bleeding. Quartile-specific hazard ratios for bleeding ranged from 0.40 (95% CI, 0.26-0.61) to 1.04 (95% CI, 0.83-1.03) for dabigatran, 110 mg, and from 0.61 (95% CI, 0.42-0.88) to 1.20 (95% CI, 0.97-1.50) for dabigatran, 150 mg, compared with warfarin. Conclusions Effect modification of relative treatment effect by individual baseline event risk should be assessed systematically in randomized clinical trials using multivariate risk prediction, not only in terms of treatment efficacy but also for important treatment harms, as a prespecified analysis. Registration URL: https://www.clinicaltrials.gov; Unique identifier: NCT01206062.</t>
  </si>
  <si>
    <t>Implementation of Early Next-Generation Sequencing for Inborn Errors of Immunity: A Prospective Observational Cohort Study of Diagnostic Yield and Clinical Implications in Dutch Genome Diagnostic Centers.</t>
  </si>
  <si>
    <t>Elsink, Kim; Huibers, Manon M H; Hollink, Iris H I M; Simons, Annet; Zonneveld-Huijssoon, Evelien; van der Veken, Lars T; Leavis, Helen L; Henriet, Stefanie S V; van Deuren, Marcel; van de Veerdonk, Frank L; Potjewijd, Judith; Berghuis, Dagmar; Dalm, Virgil A S H; Vermont, Clementien L; van de Ven, Annick A J M; Lambeck, Annechien J A; Abbott, Kristin M; van Hagen, P Martin; de Bree, Godelieve J; Kuijpers, Taco W; Frederix, Geert W J; van Gijn, Mariëlle E; van Montfrans, Joris M; ,</t>
  </si>
  <si>
    <t>https://pubmed.ncbi.nlm.nih.gov/34992599</t>
  </si>
  <si>
    <t>Inborn errors of immunity (IEI) are a heterogeneous group of disorders, affecting different components of the immune system. Over 450 IEI related genes have been identified, with new genes continually being recognized. This makes the early application of next-generation sequencing (NGS) as a diagnostic method in the evaluation of IEI a promising development. We aimed to provide an overview of the diagnostic yield and time to diagnosis in a cohort of patients suspected of IEI and evaluated by an NGS based IEI panel early in the diagnostic trajectory in a multicenter setting in the Netherlands. We performed a prospective observational cohort study. We collected data of 165 patients with a clinical suspicion of IEI without prior NGS based panel evaluation that were referred for early NGS using a uniform IEI gene panel. The diagnostic yield was assessed in terms of definitive genetic diagnoses, inconclusive diagnoses and patients without abnormalities in the IEI gene panel. We also assessed time to diagnosis and clinical implications. For children, the median time from first consultation to diagnosis was 119 days versus 124 days for adult patients (U=2323; p=0.644). The median turn-around time (TAT) of genetic testing was 56 days in pediatric patients and 60 days in adult patients (U=1892; p=0.191). A definitive molecular diagnosis was made in 25/65 (24.6%) of pediatric patients and 9/100 (9%) of adults. Most diagnosed disorders were identified in the categories of immune dysregulation (n=10/25; 40%), antibody deficiencies (n=5/25; 20%), and phagocyte diseases (n=5/25; 20%). Inconclusive outcomes were found in 76/165 (46.1%) patients. Within the patient group with a genetic diagnosis, a change in disease management occurred in 76% of patients. In this cohort, the highest yields of NGS based evaluation for IEI early in the diagnostic trajectory were found in pediatric patients, and in the disease categories immune dysregulation and phagocyte diseases. In cases where a definitive diagnosis was made, this led to important disease management implications in a large majority of patients. More research is needed to establish a uniform diagnostic pathway for cases with inconclusive diagnoses, including variants of unknown significance.</t>
  </si>
  <si>
    <t>Risk Factor Clusters and Cardiovascular Disease in High-Risk Patients: The UCC-SMART Study.</t>
  </si>
  <si>
    <t>Holthuis, Emily I; Visseren, Frank L J; Bots, Michiel L; Peters, Sanne A E; ,</t>
  </si>
  <si>
    <t>https://pubmed.ncbi.nlm.nih.gov/35141126</t>
  </si>
  <si>
    <t>Clustering of vascular risk factors, i.e., the co-existence of two or more risk factors, has been associated with a higher risk of cardiovascular disease (CVD) in the general population. This study aims to firstly, examine patterns of clustering of major cardiovascular risk factors in high-risk patients and their relation with the risk of recurrent cardiovascular disease and all-cause mortality. Secondly, to assess which combinations are associated with the highest risk of CVD and all-cause mortality and to study population attributable fractions. A total of 12,616 patients from the Utrecht Cardiovascular Cohort - Second Manifestations of ARTerial diseases (UCC-SMART) study consisting of patients with or a high risk to develop cardiovascular disease were studied. We constructed sixteen clusters based on four individual modifiable risk factors (hypertension, dyslipidemia, current smoking, overweight). Patients were followed from September 1997 to March 2017. Cox proportional hazard models were used to compute adjusted hazard ratios for CVD risk and all-cause mortality and 95% confidence intervals for clusters, with patients without any risk factor as reference group. The population attributable fractions (PAFs) were calculated. Subgroup analyses were conducted by age and sex. During a mean follow-up period of 8.0 years, 1836 CVD events were registered. The prevalence of patients with zero, one, two, three, and four risk factors was 1.4, 11.4, 32.0, 44.8 and 10.4%. The corresponding hazard ratios (HR) for CVD risk and all-cause mortality were 1.65 (95% CI 0.77; 3.54) for one risk factor, 2.61 (1.24; 5.50) for two, 3.25 (1.55; 6.84) for three, and 3.74 (1.77; 7.93) for four risk factors, with patients without any risk factor as reference group. The PAFs were 6.9, 34.0, 50.1 and 22.2%, respectively. The smoking-hypertension-dyslipidemia combination was associated with the highest HR: 4.06 (1.91; 8.63) and the hypertension-dyslipidemia combination with the highest PAF: 37.1%. Clusters including smoking and hypertension contributed to the highest risk of CVD and all-cause mortality. This study confirms that risk factor clustering is common among patients at high-risk for CVD and is associated with an increased risk of CVD and all-cause mortality.</t>
  </si>
  <si>
    <t>Synovial-Based Tests Outperform Serum Markers to Rule Out Infection in Total Knee Arthroplasty and Total Hip Arthroplasty: A Systematic Review and Meta-Analysis.</t>
  </si>
  <si>
    <t>Goud, Annemarie; Nützinger, Don; van der Bij, Akke; Jenniskens, Kevin; Groenewold, Joel; de Gast, Arthur; Bekkers, Joris E J</t>
  </si>
  <si>
    <t>the journal of arthroplasty</t>
  </si>
  <si>
    <t>https://pubmed.ncbi.nlm.nih.gov/34952165</t>
  </si>
  <si>
    <t>Total knee arthroplasty (TKA) provides successful results in most patients. Periprosthetic joint infection (PJI) accounts for up to 25% of failed TKAs needing revision. In clinical practice, consensus in diagnostic strategy for excluding or diagnosing PJI is still lacking. In this systematic review and meta-analysis, we aim to provide a simplified data-driven diagnostic strategy for aseptic knee and hip revision surgeons to rule out PJI in the outpatient clinic phase. A literature search in EMBASE, MEDLINE, PubMed, and Cochrane was conducted. Studies involving the diagnosis of PJI in patients with failed TKAs and total hip arthroplasties needing revision were identified. Only studies using the Musculoskeletal Infection Society criteria were included. Quality was assessed using MINORS criteria. Meta-analysis was performed for each diagnostic test identified in the included studies. Pooled estimates of diagnostic accuracy measures were calculated using a bivariate model and plotted in summary receiver-operator characteristic curves. Positive and negative predictive values were calculated in a hypothetical sample of patients with a given disease prevalence. Twenty-four studies met the inclusion criteria, describing a total of 2974 patients. Quality scores ranged from 13 to 19. Meta-analysis could be performed on 7 unique diagnostic tests. Highest pooled sensitivity and specificity were demonstrated for α-defensin with values of 86% and 96.6%, respectively. α-defensin and white blood cell count in synovial fluid demonstrate highest negative predictive value values. We recommend, in a clinical setting with low-intermediate prevalence of PJI, performing arthrocentesis and joint fluid analysis using α-defensin and/or white blood cell count before revision TKA and revision total hip arthroplasty surgery to rule out PJI.</t>
  </si>
  <si>
    <t>The comparative and added prognostic value of biomarkers to the Revised Cardiac Risk Index for preoperative prediction of major adverse cardiac events and all-cause mortality in patients who undergo noncardiac surgery.</t>
  </si>
  <si>
    <t>Vernooij, Lisette M; van Klei, Wilton A; Moons, Karel Gm; Takada, Toshihiko; van Waes, Judith; Damen, Johanna Aag</t>
  </si>
  <si>
    <t>https://pubmed.ncbi.nlm.nih.gov/34931303</t>
  </si>
  <si>
    <t>The Revised Cardiac Risk Index (RCRI) is a widely acknowledged prognostic model to estimate preoperatively the probability of developing in-hospital major adverse cardiac events (MACE) in patients undergoing noncardiac surgery. However, the RCRI does not always make accurate predictions, so various studies have investigated whether biomarkers added to or compared with the RCRI could improve this. Primary: To investigate the added predictive value of biomarkers to the RCRI to preoperatively predict in-hospital MACE and other adverse outcomes in patients undergoing noncardiac surgery. Secondary: To investigate the prognostic value of biomarkers compared to the RCRI to preoperatively predict in-hospital MACE and other adverse outcomes in patients undergoing noncardiac surgery. Tertiary: To investigate the prognostic value of other prediction models compared to the RCRI to preoperatively predict in-hospital MACE and other adverse outcomes in patients undergoing noncardiac surgery. We searched MEDLINE and Embase from 1 January 1999 (the year that the RCRI was published) until 25 June 2020. We also searched ISI Web of Science and SCOPUS for articles referring to the original RCRI development study in that period. We included studies among adults who underwent noncardiac surgery, reporting on (external) validation of the RCRI and: - the addition of biomarker(s) to the RCRI; or - the comparison of the predictive accuracy of biomarker(s) to the RCRI; or - the comparison of the predictive accuracy of the RCRI to other models. Besides MACE, all other adverse outcomes were considered for inclusion. We developed a data extraction form based on the CHARMS checklist. Independent pairs of authors screened references, extracted data and assessed risk of bias and concerns regarding applicability according to PROBAST. For biomarkers and prediction models that were added or compared to the RCRI in ≥ 3 different articles, we described study characteristics and findings in further detail. We did not apply GRADE as no guidance is available for prognostic model reviews. We screened 3960 records and included 107 articles.   Over all objectives we rated risk of bias as high in ≥ 1 domain in 90% of included studies, particularly in the analysis domain. Statistical pooling or meta-analysis of reported results was impossible due to heterogeneity in various aspects: outcomes used, scale by which the biomarker was added/compared to the RCRI, prediction horizons and studied populations.  Added predictive value of biomarkers to the RCRI Fifty-one studies reported on the added value of biomarkers to the RCRI. Sixty-nine different predictors were identified derived from blood (29%), imaging (33%) or other sources (38%). Addition of NT-proBNP, troponin or their combination improved the RCRI for predicting MACE (median delta c-statistics: 0.08, 0.14 and 0.12 for NT-proBNP, troponin and their combination, respectively). The median total net reclassification index (NRI) was 0.16 and 0.74 after addition of troponin and NT-proBNP to the RCRI, respectively. Calibration was not reported. To predict myocardial infarction, the median delta c-statistic when NT-proBNP was added to the RCRI was 0.09, and 0.06 for prediction of all-cause mortality and MACE combined. For BNP and copeptin, data were not sufficient to provide results on their added predictive performance, for any of the outcomes. Comparison of the predictive value of biomarkers to the RCRI  Fifty-one studies assessed the predictive performance of biomarkers alone compared to the RCRI. We identified 60 unique predictors derived from blood (38%), imaging (30%) or other sources, such as the American Society of Anesthesiologists (ASA) classification (32%). Predictions were similar between the ASA classification and the RCRI for all studied outcomes. In studies different from those identified in objective 1, the median delta c-statistic was 0.15 and 0.12 in favour of  BNP and NT-proBNP alone, respectively, when compared to the RCRI, for the prediction of MACE. For C-reactive protein, the predictive performance was similar to the RCRI. For other biomarkers and outcomes, data were insufficient to provide summary results. One study reported on calibration and none on reclassification. Comparison of the predictive value of other prognostic models to the RCRI   Fifty-two articles compared the predictive ability of the RCRI to other prognostic models. Of these, 42% developed a new prediction model, 22% updated the RCRI, or another prediction model, and 37% validated an existing prediction model. None of the other prediction models showed better performance in predicting MACE than the RCRI. To predict myocardial infarction and cardiac arrest, ACS-NSQIP-MICA had a higher median delta c-statistic of 0.11 compared to the RCRI. To predict all-cause mortality, the median delta c-statistic was 0.15 higher in favour of ACS-NSQIP-SRS compared to the RCRI. Predictive performance was not better for CHADS&lt;sub&gt;2&lt;/sub&gt;, CHA&lt;sub&gt;2&lt;/sub&gt;DS&lt;sub&gt;2&lt;/sub&gt;-VASc, R&lt;sub&gt;2&lt;/sub&gt;CHADS&lt;sub&gt;2&lt;/sub&gt;, Goldman index, Detsky index or VSG-CRI compared to the RCRI for any of the outcomes. Calibration and reclassification were reported in only one and three studies, respectively. Studies included in this review suggest that the predictive performance of the RCRI in predicting MACE is improved when NT-proBNP, troponin or their combination are added. Other studies indicate that BNP and NT-proBNP, when used in isolation, may even have a higher discriminative performance than the RCRI. There was insufficient evidence of a difference between the predictive accuracy of the RCRI and other prediction models in predicting MACE. However, ACS-NSQIP-MICA and ACS-NSQIP-SRS outperformed the RCRI in predicting myocardial infarction and cardiac arrest combined, and all-cause mortality, respectively. Nevertheless, the results cannot be interpreted as conclusive due to high risks of bias in a majority of papers, and pooling was impossible due to heterogeneity in outcomes, prediction horizons, biomarkers and studied populations. Future research on the added prognostic value of biomarkers to existing prediction models should focus on biomarkers with good predictive accuracy in other settings (e.g. diagnosis of myocardial infarction) and identification of biomarkers from omics data. They should be compared to novel biomarkers with so far insufficient evidence compared to established ones, including NT-proBNP or troponins. Adherence to recent guidance for prediction model studies (e.g. TRIPOD; PROBAST) and use of standardised outcome definitions in primary studies is highly recommended to facilitate systematic review and meta-analyses in the future.</t>
  </si>
  <si>
    <t>Association of childhood maltreatment and cortisol with the severity and stability of depression symptoms.</t>
  </si>
  <si>
    <t>Scarth, Morgan; Vonk, Jet M J; Gerritsen, Lotte; GGeerlings, Mirjam I; ,</t>
  </si>
  <si>
    <t>https://pubmed.ncbi.nlm.nih.gov/34936915</t>
  </si>
  <si>
    <t>Little is known about patterns of depression symptoms over time in older adults. This study aims to assess the association of childhood maltreatment and cortisol levels with latent classes of depression symptoms over ten years in older adults. A total of 752 participants (mean age 61.7±9.5, female 18%) in the Second Manifestations of ARTerial disease-Memory, depression and aging (SMART-Medea) study provided up to twenty measures of depression symptoms over ten years based on the Patient Health Questionnaire-9 (PHQ-9). At baseline, salivary cortisol was measured, and childhood maltreatment was assessed. Responses to the PHQ-9 were indicators in a latent class analysis. Multinomial regression determined associations between class membership and cortisol and maltreatment, adjusting for age, sex, and education. Four distinct classes were identified; never depressed (n=275, 37%), energy/sleep difficulties (n=237, 32%), mild depression symptoms (n=152, 20%) and fluctuating severe depression (n=88, 12%). Childhood maltreatment was associated with mild depression symptoms (OR=1.95, 95% CI: 1.17-3.25) and fluctuating severe depression (OR=3.50, 95% CI: 1.99-6.15). Blunted morning cortisol was associated with energy/sleep difficulties (OR=0.98, 95% CI: 0.95-1.00) and fluctuating severe depression (OR=0.96, 95% CI: 0.92-0.99). There was no evidence for interaction between maltreatment and cortisol. There is limited generalizability due to the cohort consisting of participants with atherosclerosis and being mostly male. This study utilizes retrospective self-reporting of childhood maltreatment. Childhood maltreatment and blunted morning cortisol independently contribute to a worse depression course. Blunted morning cortisol may contribute to sub-clinical depression symptoms, specifically difficulties with energy levels and sleep.</t>
  </si>
  <si>
    <t>Clinical Trial Protocol for PSMA-SELECT: A Dutch National Randomised Study of Prostate-specific Membrane Antigen Positron Emission Tomography/Computed Tomography as a Triage Tool for Pelvic Lymph Node Dissection in Patients Undergoing Radical Prostatectomy.</t>
  </si>
  <si>
    <t>Soeterik, Timo F W; Wever, Lieke; Dijksman, Lea M; Frederix, Geert W J; Van Melick, Harm H E; Monninkhof, Evelyn M; Verkooijen, Helena M; Beerlage, Harrie P; van Basten, Jean-Paul A; van den Bergh, Roderick C N; ,</t>
  </si>
  <si>
    <t>european urology focus</t>
  </si>
  <si>
    <t>https://pubmed.ncbi.nlm.nih.gov/34933831</t>
  </si>
  <si>
    <t>Depressive symptoms, social support, and health-related quality of life: A community-based study in Shanghai, China.</t>
  </si>
  <si>
    <t>Wang, Jie; Zou, Runyu; Wu, Ning; Fu, Hua; He, Yanling; Crawford, Paul; Kane, Eddie; Dai, Junming</t>
  </si>
  <si>
    <t>comprehensive psychiatry</t>
  </si>
  <si>
    <t>https://pubmed.ncbi.nlm.nih.gov/34959003</t>
  </si>
  <si>
    <t>Depressive symptoms erode both physical and mental aspects of health-related quality of life (HRQoL). Social support (SS) may improve HRQoL through its direct effects or buffering effects. The association among depressive symptoms, SS, and HRQoL has been studied in specific groups, but research in the general adult population remains limited. This study examined the association among depressive symptoms, SS, and HRQoL, including exploring whether SS (including its three dimensions: subjective SS, objective SS and support utilization) mediated or moderated the relationship between depressive symptoms and HRQoL among community-based adults. We conducted a cross-sectional survey in six communities in Shanghai, China, and 1642 adult participants with complete information on depressive symptoms and/or SS, and HRQoL were included. Linear regression analysis was used to investigate the association among depressive symptoms, SS, and HRQoL. In addition, we explored the mediating and moderating role of SS in the relationship between depressive symptoms and HRQoL. More depressive symptoms were associated with lower physical HRQoL (B = -0.64, p &lt; .001) and lower mental HRQoL (B = -0.83, p &lt; .001). SS (B = 0.07, p = .02), specifically subjective SS (B = 0.09, p = .03), was positively related to mental HRQoL. After adjusting for covariates, we found no evidence for a mediating role of SS in the relationship between depressive symptoms and HRQoL, while SS (subjective SS and objective SS) moderated the association between depressive symptoms and mental HRQoL. Due to the low voluntary participation rate of employees, participants represented approximately 50% of the individuals approached, thus limiting the generalizability of our findings. Data collected through self-report scales could lead to information bias. SS does not appear to underlie the relationship between depressive symptoms and HRQoL. However, interventions to increase SS (in particular, subjective SS and objective SS) should be studied to determine whether they may be beneficial in alleviating the adverse impact of depressive symptoms on mental HRQoL.</t>
  </si>
  <si>
    <t>Electrocardiographic Features of Left Ventricular Diastolic Dysfunction and Heart Failure With Preserved Ejection Fraction: A Systematic Review.</t>
  </si>
  <si>
    <t>Van Ommen, Anne-Mar; Kessler, Elise Laura; Valstar, Gideon; Onland-Moret, N Charlotte; Cramer, Maarten Jan; Rutten, Frans; Coronel, Ruben; Den Ruijter, Hester</t>
  </si>
  <si>
    <t>frontiers in cardiovascular medicine</t>
  </si>
  <si>
    <t>https://pubmed.ncbi.nlm.nih.gov/34977187</t>
  </si>
  <si>
    <t>&lt;b&gt;Background:&lt;/b&gt; Electrocardiographic features are well-known for heart failure with reduced ejection fraction (HFrEF), but not for left ventricular diastolic dysfunction (LVDD) and heart failure with preserved ejection fraction (HFpEF). As ECG features could help to identify high-risk individuals in primary care, we systematically reviewed the literature for ECG features diagnosing women and men suspected of LVDD and HFpEF. &lt;b&gt;Methods and Results:&lt;/b&gt; Among the 7,127 records identified, only 10 studies reported diagnostic measures, of which 9 studied LVDD. For LVDD, the most promising features were T-end-P/(PQ&lt;sup&gt;*&lt;/sup&gt;age), which is the electrocardiographic equivalent of the passive-to-active filling (AUC: 0.91-0.96), and repolarization times (QTc interval ≥ 350 ms, AUC: 0.85). For HFpEF, the Cornell product ≥ 1,800 mm&lt;sup&gt;*&lt;/sup&gt;ms showed poor sensitivity of 40% (AUC: 0.62). No studies presented results stratified by sex. &lt;b&gt;Conclusion:&lt;/b&gt; Electrocardiographic features are not widely evaluated in diagnostic studies for LVDD and HFpEF. Only for LVDD, two ECG features related to the diastolic interval, and repolarization measures showed diagnostic potential. To improve diagnosis and care for women and men suspected of heart failure, reporting of sex-specific data on ECG features is encouraged.</t>
  </si>
  <si>
    <t>To what extent do citizens support the disinvestment of healthcare interventions? An exploration of the support for four viewpoints on active disinvestment in the Netherlands.</t>
  </si>
  <si>
    <t>Rotteveel, Adriënne H; Lambooij, Mattijs S; van Exel, Job; de Wit, G Ardine</t>
  </si>
  <si>
    <t>https://pubmed.ncbi.nlm.nih.gov/34953417</t>
  </si>
  <si>
    <t>Active disinvestment of healthcare interventions (i.e. discontinuing reimbursement by means of a policy decision) has received limited public support in the past. Previous research has identified four viewpoints on active disinvestment among citizens in the Netherlands. However, it remained unclear how strong these viewpoints are supported by society, and by whom. Therefore, the current study aimed to 1) measure the support for these four viewpoints and 2) assess whether support is associated with background characteristics of citizens. In an online survey, a representative sample of adult citizens in the Netherlands (n = 1794) was asked to rate their agreement with short narratives of the four viewpoints on a 7-point Likert scale. The survey also included questions on sociodemographic characteristics, health status, healthcare utilization, and opinions about responsibility and costs in the healthcare context. Logistic regression models were estimated for each viewpoint to assess the association between viewpoint support and these characteristics. The support for the different viewpoints varied between 46.8% and 57.7% of the sample. Viewpoint support was associated with participants' age, gender, educational level, financial situation, healthcare utilization, opinion on the responsibility of the government for the health of citizens, and opinion on whether the increase in healthcare expenditure and health insurance premiums is considered a problem. Resistance to active disinvestment may partially be explained by the consequences of disinvestment citizens anticipate experiencing themselves. Citizens considering the increase in healthcare expenditure a larger problem were more supportive of disinvestment than those considering it less of a problem.</t>
  </si>
  <si>
    <t>Remote Hospital Care for Recovering COVID-19 Patients Using Telemedicine: A Randomised Controlled Trial.</t>
  </si>
  <si>
    <t>van Goor, Harriët M R; Breteler, Martine J M; van Loon, Kim; de Hond, Titus A P; Reitsma, Johannes B; Zwart, Dorien L M; Kalkman, Cornelis J; Kaasjager, Karin A H</t>
  </si>
  <si>
    <t>https://pubmed.ncbi.nlm.nih.gov/34945234</t>
  </si>
  <si>
    <t>To ensure availability of hospital beds and improve COVID-19 patients' well-being during the ongoing pandemic, hospital care could be offered at home. Retrospective studies show promising results of deploying remote hospital care to reduce the number of days spent in the hospital, but the beneficial effect has yet to be established. We conducted a single centre, randomised trial from January to June 2021, including hospitalised COVID-19 patients who were in the recovery stage of the disease. Hospital care for the intervention group was transitioned to the patient's home, including oxygen therapy, medication and remote monitoring. The control group received in-hospital care as usual. The primary endpoint was the number of hospital-free days during the 30 days following randomisation. Secondary endpoints included health care consumption during the follow-up period and mortality. A total of 62 patients were randomised (31 control, 31 intervention). The mean difference in hospital-free days was 1.7 (26.7 control vs. 28.4 intervention, 95% CI of difference -0.5 to 4.2, &lt;i&gt;p&lt;/i&gt; = 0.112). In the intervention group, the index hospital length of stay was 1.6 days shorter (95% CI -2.4 to -0.8, &lt;i&gt;p&lt;/i&gt; &lt; 0.001), but the total duration of care under hospital responsibility was 4.1 days longer (95% CI 0.5 to 7.7, &lt;i&gt;p&lt;/i&gt; = 0.028). Remote hospital care for recovering COVID-19 patients is feasible. However, we could not demonstrate an increase in hospital-free days in the 30 days following randomisation. Optimising the intervention, timing, and identification of patients who will benefit most from remote hospital care could improve the impact of this intervention.</t>
  </si>
  <si>
    <t>The GetReal Trial Tool: design, assess and discuss clinical drug trials in light of Real World Evidence generation.</t>
  </si>
  <si>
    <t>Zuidgeest, Mira G P; Goetz, Iris; Meinecke, Anna-Katharina; Boateng, Daniel; Irving, Elaine A; van Thiel, Ghislaine J M; Welsing, Paco M J; Oude-Rengerink, Katrien; Grobbee, Diederick E; ,</t>
  </si>
  <si>
    <t>https://pubmed.ncbi.nlm.nih.gov/34929319</t>
  </si>
  <si>
    <t>Methodologies incorporating Real World Elements into clinical trial design (also called pragmatic trials) offer an attractive opportunity to assess the effect of a treatment strategy in routine care and as such guide decision making in practice. Uptake of these methods is slow for several reasons, including uncertainty about acceptability of trial results, lack of experience with the methodology and operational challenges. We developed the "GetReal Trial Tool," an easy-to-use online interface, which allows users to assess the impact of design choices on generalizability to routine clinical practice, while taking into account risk of bias, precision, acceptability and operational feasibility. The tool is grounded in the scientific literature combined with knowledge of experts from academia, pharmaceutical companies, HTA bodies, patient organizations, and regulators. The aim is to help researchers optimize trial design and facilitate translation of evidence from pragmatic trials to clinical practice. In this paper we describe the development, structure and application of the GetReal Trial Tool.</t>
  </si>
  <si>
    <t>Minimum sample size calculations for external validation of a clinical prediction model with a time-to-event outcome.</t>
  </si>
  <si>
    <t>Riley, Richard D; Collins, Gary S; Ensor, Joie; Archer, Lucinda; Booth, Sarah; Mozumder, Sarwar I; Rutherford, Mark J; van Smeden, Maarten; Lambert, Paul C; Snell, Kym I E</t>
  </si>
  <si>
    <t>https://pubmed.ncbi.nlm.nih.gov/34915593</t>
  </si>
  <si>
    <t>Previous articles in Statistics in Medicine describe how to calculate the sample size required for external validation of prediction models with continuous and binary outcomes. The minimum sample size criteria aim to ensure precise estimation of key measures of a model's predictive performance, including measures of calibration, discrimination, and net benefit. Here, we extend the sample size guidance to prediction models with a time-to-event (survival) outcome, to cover external validation in datasets containing censoring. A simulation-based framework is proposed, which calculates the sample size required to target a particular confidence interval width for the calibration slope measuring the agreement between predicted risks (from the model) and observed risks (derived using pseudo-observations to account for censoring) on the log cumulative hazard scale. Precise estimation of calibration curves, discrimination, and net-benefit can also be checked in this framework. The process requires assumptions about the validation population in terms of the (i) distribution of the model's linear predictor and (ii) event and censoring distributions. Existing information can inform this; in particular, the linear predictor distribution can be approximated using the C-index or Royston's D statistic from the model development article, together with the overall event risk. We demonstrate how the approach can be used to calculate the sample size required to validate a prediction model for recurrent venous thromboembolism. Ideally the sample size should ensure precise calibration across the entire range of predicted risks, but must at least ensure adequate precision in regions important for clinical decision-making. Stata and R code are provided.</t>
  </si>
  <si>
    <t>Cerebrospinal fluid leakage costs after craniotomy and health economic assessment of incidence reduction from a hospital perspective in the Netherlands.</t>
  </si>
  <si>
    <t>van Lieshout, Chris; Slot, Emma M H; Kinaci, Ahmet; Kollen, Mare H; Hoving, Eelco W; Frederix, Geert W J; van Doormaal, Tristan P C</t>
  </si>
  <si>
    <t>https://pubmed.ncbi.nlm.nih.gov/34916315</t>
  </si>
  <si>
    <t>We aim to quantify the cost difference between patients with incisional cerebrospinal fluid (iCSF) leakage and those without after intradural cranial surgery. Second, the potential cost savings per patient when a decrease in iCSF leakage rate would be achieved with and without added costs for preventative measures of various price and efficacy are modelled. Health economic assessment from a hospital perspective based on a retrospective cohort study. Dutch tertiary referral centre. We included 616 consecutive patients who underwent intradural cranial surgery between 1 September 2017 and 1 September 2018. Patients undergoing burr hole surgery or transsphenoidal surgery, or who died within 1 month after surgery or were lost to follow-up were excluded. Outcomes of the cost analysis include a detailed breakdown of mean costs per patient for patients with postoperative iCSF leakage and patients without, and the mean cost difference. For the scenario analyses the outcomes are the potential cost savings per 1000 patients when a decrease in iCSF leakage would be achieved. Mean cost difference between patients with and without iCSF leakage was €9665 (95%CI, €5125 to €14 205). The main cost driver was hospital stay with a difference of 8.5 days. A 25% incidence reduction would result in a mean cost saving of -€94 039 (95% CI, -€218 258 to -€7077) per 1000 patients. A maximum cost reduction of -€653 025 (95% CI, -€1 204 243 to -€169 120) per 1000 patients could be achieved if iCSF leakage would be reduced with 75% in all patients, with 72 cases of iCSF leakage avoided. Postoperative iCSF leakage after intradural cranial surgery increases healthcare costs significantly and substantially. From a health economic perspective preventative measures to avoid iCSF leakage should be pursued.</t>
  </si>
  <si>
    <t>Is Blood Pressure Lowering in the Very Elderly With Previous Stroke Associated With a Higher Risk of Adverse Events?</t>
  </si>
  <si>
    <t>Tharmaratnam, Damien; Karayiannis, Christopher C; Collyer, Taya A; Arima, Hisatomi; McClure, Leslie A; Chalmers, John; Anderson, Craig S; Benavente, Oscar R; White, Carole L; Algra, Ale; Moran, Chris; Phan, Thanh G; Wang, Wei C; Srikanth, Velandai; ,</t>
  </si>
  <si>
    <t>https://pubmed.ncbi.nlm.nih.gov/34913363</t>
  </si>
  <si>
    <t>Background We investigated whether blood pressure lowering for secondary prevention is associated with a reduction in recurrent stroke risk and/or a higher risk of adverse events in very elderly compared with younger trial participants. Methods and Results This is a random effects meta-analysis of randomized controlled trials of blood pressure lowering for secondary stroke prevention to evaluate age-stratified (&lt;80, ≥80 years) risk of adverse events. Ovid-MEDLINE was searched for trials between 1970 and 2020. Summary-level data were acquired including outcomes of stroke, cardiovascular events, mortality, and adverse events. Seven trials were included comprising 38 596 participants, of whom 2336 (6.1%) were aged ≥80 years. There was an overall reduction in stroke risk in the intervention group compared with controls (risk ratio [RR], 0.90 [95% CI, 0.80, 0.98], I&lt;sup&gt;2&lt;/sup&gt;=49%), and the magnitude of risk reduction did not differ by age subgroup (&lt;80, ≥80 years). There was no increase in the risk of hypotensive symptoms in the intervention group for patients aged &lt;80 years (RR, 1.19 [95% CI, 0.99], 1.44, I&lt;sup&gt;2&lt;/sup&gt;=0%), but there was an increased risk in those ≥80 years (RR, 2.17 [95% CI, 1.22], 3.86, I&lt;sup&gt;2&lt;/sup&gt;=0%). No increase was observed in the risk of falls, syncope, study withdrawal, or falls in either age subgroup. Conclusions Very elderly people in secondary prevention trials of blood pressure lowering have an increased risk of hypotensive symptoms, but with no statistical increase in the risk of falls, syncope, or mortality. However, evidence is lacking for frail elderly with multiple comorbidities who may be more vulnerable to adverse effects of blood pressure lowering.</t>
  </si>
  <si>
    <t>Topical or oral antibiotics for children with acute otitis media presenting with ear discharge: study protocol of a randomised controlled non-inferiority trial.</t>
  </si>
  <si>
    <t>Hullegie, Saskia; Venekamp, Roderick P; van Dongen, Thijs M A; Mulder, Sanne; van Schaik, Willem; de Wit, G Ardine; Hay, Alastair D; Little, Paul; Moore, Michael V; Sanders, Elisabeth A M; Bonten, Marc J M; Bogaert, Debby; Schilder, Anne Gm; Damoiseaux, Roger A M J</t>
  </si>
  <si>
    <t>https://pubmed.ncbi.nlm.nih.gov/34916313</t>
  </si>
  <si>
    <t>Around 15%-20% of children with acute otitis media present with ear discharge due to a spontaneous tear or perforation of the eardrum (AOMd). Current guidance recommends clinicians to consider oral antibiotics as first-line treatment in this condition. The opening in the eardrum however should allow topical antibiotics to enter the middle ear directly. Local administration of antibiotics does not expose children to systemic side effects and may put less selective resistance pressure on bacteria. Evidence on the effectiveness of this approach in children with AOMd is lacking. A primary care-based, open, individually randomised, controlled, non-inferiority trial. The trial aims to recruit 350 children aged 6 months to 12 years with AOMd and ear pain and/or fever. Participants will be randomised to 7 days of hydrocortisone-bacitracin-colistin eardrops five drops three times daily or amoxicillin oral suspension 50 mg/kg body weight per day, divided over three doses. Parents will keep a daily diary of AOM symptoms, adverse events and complications for 2 weeks. In addition, they will record AOM recurrences, healthcare utilisation and societal costs for 3 months. The primary outcome is the proportion of children without ear pain and fever at day 3. Secondary outcomes include ear pain and fever intensity/severity; days with ear discharge; eardrum perforation at 2 weeks; adverse events during first 2 weeks; costs; and cost effectiveness at 2 weeks and 3 months. The primary analyses will be intention-to-treat and per-protocol analyses will be conducted as well. The medical research ethics committee Utrecht, The Netherlands has given ethical approval (17-400/G-M). Parents/guardians of participants will provide written informed consent. Study results will be submitted for publication in peer-reviewed medical journals and presented at relevant (inter)national scientific meetings. The Netherlands National Trial Register; NTR6723. Date of registration: 27 November 2017.</t>
  </si>
  <si>
    <t>The Impact of COVID-19 from the Perspectives of Dutch District Nurses: A Mixed-Methods Study.</t>
  </si>
  <si>
    <t>Veldhuizen, Jessica D; Zwakhalen, Sandra; Buurman, Bianca M; Bleijenberg, Nienke</t>
  </si>
  <si>
    <t>https://pubmed.ncbi.nlm.nih.gov/34948875</t>
  </si>
  <si>
    <t>Little is known about how COVID-19 affects older patients living at home or how it affects district nursing teams providing care to these patients. This study aims to (1) explore, from the perspectives of Dutch district nurses, COVID-19's impact on patients receiving district nursing care, district nursing teams, and their organisations during the first outbreak in March 2020 as well as one year later; and (2) identify the needs of district nurses regarding future outbreaks. A mixed-methods, two-phase, sequential exploratory design was followed. In total, 36 district nurses were interviewed during the first outbreak (March 2020), of which 18 participated in the follow-up questionnaire in April 2021. Thirteen themes emerged, which showed that the COVID pandemic has substantially impacted patient care and district nursing teams. During the first outbreak, nurses played a crucial role in organising care differently and worked under high pressure, leading to exhaustion, tiredness, and psychosocial problems, including fear of infection. A year later, nurses were better prepared to provide COVID care, but problems regarding work pressure and mental complaints remained. The identified needs focus on a sustainable implementation of leadership roles for district nurses. At the organisational and national levels, more support and appreciation are needed in terms of trust and appropriate policies.</t>
  </si>
  <si>
    <t>Safety and Efficiency of Diagnostic Strategies for Ruling Out Pulmonary Embolism in Clinically Relevant Patient Subgroups : A Systematic Review and Individual-Patient Data Meta-analysis.</t>
  </si>
  <si>
    <t>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t>
  </si>
  <si>
    <t>https://pubmed.ncbi.nlm.nih.gov/34904857</t>
  </si>
  <si>
    <t>How diagnostic strategies for suspected pulmonary embolism (PE) perform in relevant patient subgroups defined by sex, age, cancer, and previous venous thromboembolism (VTE) is unknown. To evaluate the safety and efficiency of the Wells and revised Geneva scores combined with fixed and adapted D-dimer thresholds, as well as the YEARS algorithm, for ruling out acute PE in these subgroups. MEDLINE from 1 January 1995 until 1 January 2021. 16 studies assessing at least 1 diagnostic strategy. Individual-patient data from 20 553 patients. Safety was defined as the diagnostic failure rate (the predicted 3-month VTE incidence after exclusion of PE without imaging at baseline). Efficiency was defined as the proportion of individuals classified by the strategy as "PE considered excluded" without imaging tests. Across all strategies, efficiency was highest in patients younger than 40 years (47% to 68%) and lowest in patients aged 80 years or older (6.0% to 23%) or patients with cancer (9.6% to 26%). However, efficiency improved considerably in these subgroups when pretest probability-dependent D-dimer thresholds were applied. Predicted failure rates were highest for strategies with adapted D-dimer thresholds, with failure rates varying between 2% and 4% in the predefined patient subgroups. Between-study differences in scoring predictor items and D-dimer assays, as well as the presence of differential verification bias, in particular for classifying fatal events and subsegmental PE cases, all of which may have led to an overestimation of the predicted failure rates of adapted D-dimer thresholds. Overall, all strategies showed acceptable safety, with pretest probability-dependent D-dimer thresholds having not only the highest efficiency but also the highest predicted failure rate. From an efficiency perspective, this individual-patient data meta-analysis supports application of adapted D-dimer thresholds. Dutch Research Council. (PROSPERO: CRD42018089366).</t>
  </si>
  <si>
    <t>Trim28 acts as restriction factor of prototype foamy virus replication by modulating H3K9me3 marks and destabilizing the viral transactivator Tas.</t>
  </si>
  <si>
    <t>Yuan, Peipei; Yan, Jun; Wang, Shuang; Guo, Yang; Xi, Xueyan; Han, Song; Yin, Jun; Peng, Biwen; He, Xiaohua; Bodem, Jochen; Liu, Wanhong</t>
  </si>
  <si>
    <t>retrovirology</t>
  </si>
  <si>
    <t>https://pubmed.ncbi.nlm.nih.gov/34903241</t>
  </si>
  <si>
    <t>Prototype foamy virus (PFV) is nonpathogenic complex retroviruses that express a transcriptional transactivator Tas, which is essential for the activity of viral long terminal repeat (LTR) promoter and internal promoter (IP). Tripartite motif-containing protein 28 (Trim28) is well known as a scaffold protein normally enriched in gene promoter region to repress transcription. We sought to determine if whether Trim28 could be enriched in PFV promoter region to participate the establishment of PFV latency infection. In this study, we show that Trim28 restricts Tas-dependent transactivation activity of PFV promoter and negatively regulates PFV replication. Trim28 was found to be enriched in LTR instead of IP promoter regions of PFV genome and contribute to the maintenance of histone H3K9me3 marks on the LTR promoter. Furthermore, Trim28 interacts with Tas and colocalizes with Tas in the nucleus. Besides, we found that Trim28, an E3 ubiquitin ligase, binds directly to and promotes Tas for ubiquitination and degradation. And the RBCC domain of Trim28 is required for the ubiquitination and degradation of Tas. Collectively, our findings not only identify a host factor Trim28 negatively inhibits PFV replication by acting as transcriptional restriction factor enriched in viral LTR promoter through modulating H3K9me3 mark here, but also reveal that Trim28 mediated ubiquitin proteasome degradation of Tas as a mechanism underlying Trim28 restricts Tas-dependent transcription activity of PFV promoter and PFV replication. These findings provide new insights into the process of PFV latency establishment.</t>
  </si>
  <si>
    <t>Common Infections and Antibiotic Prescribing during the First Year of the COVID-19 Pandemic: A Primary Care-Based Observational Cohort Study.</t>
  </si>
  <si>
    <t>Boeijen, Josi A; van der Velden, Alike W; Hullegie, Saskia; Platteel, Tamara N; Zwart, Dorien L M; Damoiseaux, Roger A M J; Venekamp, Roderick P; van de Pol, Alma C</t>
  </si>
  <si>
    <t>https://pubmed.ncbi.nlm.nih.gov/34943733</t>
  </si>
  <si>
    <t>Presentation and antibiotic prescribing for common infectious disease episodes decreased substantially during the first COVID-19 pandemic wave in Dutch general practice. We set out to determine the course of these variables during the first pandemic year. We conducted a retrospective observational cohort study using routine health care data from the Julius General Practitioners' Network. All patients registered in the pre-pandemic year (&lt;i&gt;n&lt;/i&gt; = 425,129) and/or during the first pandemic year (&lt;i&gt;n&lt;/i&gt; = 432,122) were included. Relative risks for the number of infectious disease episodes (respiratory tract/ear, urinary tract, gastrointestinal, and skin), in total and those treated with antibiotics, and proportions of episodes treated with antibiotics (prescription rates) were calculated. Compared to the pre-pandemic year, primary care presentation for common infections remained lower during the full first pandemic year (RR, 0.77; CI, 0.76-0.78), mainly attributed to a sustained decline in respiratory tract/ear and gastrointestinal infection episodes. Presentation for urinary tract and skin infection episodes declined during the first wave, but returned to pre-pandemic levels during the second and start of the third wave. Antibiotic prescription rates were lower during the full first pandemic year (24%) as compared to the pre-pandemic year (28%), mainly attributed to a 10% lower prescription rate for respiratory tract/ear infections; the latter was not accompanied by an increase in complications. The decline in primary care presentation for common infections during the full first COVID-19 pandemic year, together with lower prescription rates for respiratory tract/ear infections, resulted in a substantial reduction in antibiotic prescribing in Dutch primary care.</t>
  </si>
  <si>
    <t>Risk prediction models for discrete ordinal outcomes: Calibration and the impact of the proportional odds assumption.</t>
  </si>
  <si>
    <t>Edlinger, Michael; van Smeden, Maarten; Alber, Hannes F; Wanitschek, Maria; Van Calster, Ben</t>
  </si>
  <si>
    <t>https://pubmed.ncbi.nlm.nih.gov/34897756</t>
  </si>
  <si>
    <t>Calibration is a vital aspect of the performance of risk prediction models, but research in the context of ordinal outcomes is scarce. This study compared calibration measures for risk models predicting a discrete ordinal outcome, and investigated the impact of the proportional odds assumption on calibration and overfitting. We studied the multinomial, cumulative, adjacent category, continuation ratio, and stereotype logit/logistic models. To assess calibration, we investigated calibration intercepts and slopes, calibration plots, and the estimated calibration index. Using large sample simulations, we studied the performance of models for risk estimation under various conditions, assuming that the true model has either a multinomial logistic form or a cumulative logit proportional odds form. Small sample simulations were used to compare the tendency for overfitting between models. As a case study, we developed models to diagnose the degree of coronary artery disease (five categories) in symptomatic patients. When the true model was multinomial logistic, proportional odds models often yielded poor risk estimates, with calibration slopes deviating considerably from unity even on large model development datasets. The stereotype logistic model improved the calibration slope, but still provided biased risk estimates for individual patients. When the true model had a cumulative logit proportional odds form, multinomial logistic regression provided biased risk estimates, although these biases were modest. Nonproportional odds models require more parameters to be estimated from the data, and hence suffered more from overfitting. Despite larger sample size requirements, we generally recommend multinomial logistic regression for risk prediction modeling of discrete ordinal outcomes.</t>
  </si>
  <si>
    <t>Leadership of PhD-prepared nurses working in hospitals and its influence on career development: A qualitative study.</t>
  </si>
  <si>
    <t>van Dongen, Lisa J C; Hafsteinsdóttir, Thóra B</t>
  </si>
  <si>
    <t>https://pubmed.ncbi.nlm.nih.gov/34897871</t>
  </si>
  <si>
    <t>To explore leadership experiences and the influence of leadership on career development of PhD-prepared nurses working in hospitals. The Doctor of Philosophy (PhD) represents the highest level of education for a career in research and scholarship. PhD-prepared nurses have an important role in advancing the nursing discipline by conducting and implementing research finding. Given the rapidly changing health care environment, there is a clear need for PhD-prepared nurses with strong leadership competences. Currently, there is a dearth of studies exploring leadership of PhD-prepared nurses working in hospitals. A descriptive qualitative study. A purposive sample with PhD-prepared nurses employed at clinical departments was used. Twelve interviews were conducted with participants from seven hospitals. Perceptions towards leadership, leadership experiences, leadership barriers and the influence of leadership on career development were discussed. Interviews were thematically analysed. Reporting followed the COREQ guidelines. Three themes addressing leadership experiences were found: (1) "Leadership is needed for career development" describes how participants took initiative and received support from colleagues and mentors; (2) "Practicing leadership behaviours" describes leadership behaviours and feelings associated with leadership and (3) "Leadership influenced by the hospital setting" describes the working environment including struggling nursing research cultures and infrastructures with limited positions, managerial support and opportunities for collaboration. Although participants showed leadership to advance their careers, barriers related to working environment were found. Stakeholders should invest into opportunities to develop and utilise leadership competences and development of strong nursing research cultures and infrastructures with sustainable career frameworks and positions. There is a need for ongoing efforts to build strong leadership competences as well as nursing research cultures and infrastructures with career pathways and suitable positions for PhD-prepared nurses within hospitals to empower them to strengthen nursing.</t>
  </si>
  <si>
    <t>Serum potassium concentration and its association with hypertension among Ghanaian migrants and non-migrants: The RODAM study.</t>
  </si>
  <si>
    <t>Ndong, Amie K; van der Linden, Eva L; Beune, Erik J A J; Meeks, Karlijn A C; Danquah, Ina; Bahendeka, Silver; Klipstein-Grobusch, Kerstin; Schulze, Matthias B; Addo, Juliet; van den Born, Bert-Jan H; Agyemang, Charles</t>
  </si>
  <si>
    <t>https://pubmed.ncbi.nlm.nih.gov/34952692</t>
  </si>
  <si>
    <t>Low serum potassium concentration is associated with hypertension, but whether the same association can be found in African origin populations, is unknown. We assessed serum potassium concentration, and its association with hypertension among Ghanaians living in different geographical locations. Baseline data of 962 rural, 1420 urban, and 2947 migrant Ghanaians from the Research on Obesity and Diabetes among African Migrants study were analysed. Mean serum potassium concentration was compared between the groups, and the association between serum potassium and hypertension was assessed using multivariate regression analyses. Mean serum potassium concentration was higher in rural Ghana (4.28, 95% confidence interval 4.25-4.32 mmol/L) than in Ghanaians living in Amsterdam (3.90, 3.88-3.92 mmol/L) and London (4.11, 4.07-4.14 mmol/L), but lower than in Ghanaians living in urban Ghana (4.38, 4.34-4.42 mmol/L) and Berlin (4.57, 4.51-4.62 mmol/L) in both sexes. In the age-adjusted analyses, serum potassium was associated with hypertension in urban- (odds ratio 0.44, 0.23-0.82), London- (0.34, 0.17-0.64) and Amsterdam-Ghanaian males (0.41, 0.20-0.86), and in rural- (0.49, 0.28-0.84), London- (0.29, 0.17-0.49) and Amsterdam-Ghanaian females (0.33, 0.17-0.64). However, after adjustment for demographic, lifestyle, and health factors, serum potassium was associated with hypertension in Amsterdam-Ghanaian males only (0.12, 0.02-0.59). This study shows differences in mean serum potassium among Ghanaian populations living in different locations in Europe and Ghana, and different associations with hypertension between sites. Further research should focus on elucidating the mechanism underlying potassium handling and blood pressure regulation in African populations, in order to mitigate the burden of hypertension among these populations.</t>
  </si>
  <si>
    <t>Reporting of pressure ulcers and medical device related pressure ulcers in policy and practice: A narrative literature review.</t>
  </si>
  <si>
    <t>Crunden, Ewa A; Schoonhoven, Lisette; Coleman, Susanne B; Worsley, Peter R</t>
  </si>
  <si>
    <t>journal of tissue viability</t>
  </si>
  <si>
    <t>https://pubmed.ncbi.nlm.nih.gov/34949521</t>
  </si>
  <si>
    <t>Pressure ulcers (PUs) occur in a range of care settings, resulting in reduced quality of life for the individual. There has been a growing awareness that medical devices can cause PUs, although reporting has been limited. There is a need to evaluate PU reporting practice and identify whether standards exist for medical device-related pressure ulcers (MDRPUs). To synthesize academic and grey literature relevant to reporting of PUs and MDRPUs in healthcare settings. A systematic search of multiple scientific and grey literature databases was undertaken. Key search terms and Boolean operators were used to identify relevant literature. All sources of evidence discussing reporting practices were included in a synthesis. Primary topics are discussed in the corresponding analysis. Thirty-one evidence sources met the inclusion criteria, including 16 journal articles and 15 policy and guidance documents. The results revealed a variation in reporting practices. MDRPUs were often not identified as a separate category in local and national systems. Policies for related patient safety reporting varied across all organisational levels, with more serious categories of PUs reported more consistently. Reporting to medical device regulatory bodies was not mandatory. This narrative review identified inconsistencies in local and national reporting of PUs and MDRPUs, prohibiting meaningful comparisons and improvements in patient safety. Lack of specific medical device data and low levels of voluntary reporting to regulatory bodies is likely to result in an under-reporting, with little evidence of specific devices which may be a patient safety concern.</t>
  </si>
  <si>
    <t>Lifestyle correlates of eight breast cancer-related metabolites: a cross-sectional study within the EPIC cohort.</t>
  </si>
  <si>
    <t>His, Mathilde; Viallon, Vivian; Dossus, Laure; Schmidt, Julie A; Travis, Ruth C; Gunter, Marc J; Overvad, Kim; Kyrø, Cecilie; Tjønneland, Anne; Lécuyer, Lucie; Rothwell, Joseph A; Severi, Gianluca; Johnson, Theron; Katzke, Verena; Schulze, Matthias B; Masala, Giovanna; Sieri, Sabina; Panico, Salvatore; Tumino, Rosario; Macciotta, Alessandra; Boer, Jolanda M A; Monninkhof, Evelyn M; Olsen, Karina Standahl; Nøst, Therese H; Sandanger, Torkjel M; Agudo, Antonio; Sánchez, Maria-Jose; Amiano, Pilar; Colorado-Yohar, Sandra M; Ardanaz, Eva; Vidman, Linda; Winkvist, Anna; Heath, Alicia K; Weiderpass, Elisabete; Huybrechts, Inge; Rinaldi, Sabina</t>
  </si>
  <si>
    <t>https://pubmed.ncbi.nlm.nih.gov/34886862</t>
  </si>
  <si>
    <t>Metabolomics is a promising molecular tool for identifying novel etiological pathways leading to cancer. In an earlier prospective study among pre- and postmenopausal women not using exogenous hormones, we observed a higher risk of breast cancer associated with higher blood concentrations of one metabolite (acetylcarnitine) and a lower risk associated with higher blood concentrations of seven others (arginine, asparagine, phosphatidylcholines (PCs) aa C36:3, ae C34:2, ae C36:2, ae C36:3, and ae C38:2). To identify determinants of these breast cancer-related metabolites, we conducted a cross-sectional analysis to identify their lifestyle and anthropometric correlates in 2358 women, who were previously included as controls in case-control studies nested within the European Prospective Investigation into Cancer and Nutrition cohort and not using exogenous hormones at blood collection. Associations of each metabolite concentration with 42 variables were assessed using linear regression models in a discovery set of 1572 participants. Significant associations were evaluated in a validation set (n = 786). For the metabolites previously associated with a lower risk of breast cancer, concentrations of PCs ae C34:2, C36:2, C36:3, and C38:2 were negatively associated with adiposity and positively associated with total and saturated fat intakes. PC ae C36:2 was also negatively associated with alcohol consumption and positively associated with two scores reflecting adherence to a healthy lifestyle. Asparagine concentration was negatively associated with adiposity. Arginine and PC aa C36:3 concentrations were not associated to any of the factors examined. For the metabolite previously associated with a higher risk of breast cancer, acetylcarnitine, a positive association with age was observed. These associations may indicate possible mechanisms underlying associations between lifestyle and anthropometric factors, and risk of breast cancer. Further research is needed to identify potential non-lifestyle correlates of the metabolites investigated.</t>
  </si>
  <si>
    <t>Key Considerations in the Health Technology Assessment of Advanced Therapy Medicinal Products in Scotland, The Netherlands, and England.</t>
  </si>
  <si>
    <t>Ten Ham, Renske M T; Frederix, Geert W J; Wu, Olivia; Goettsch, Wim; Leufkens, Hubert G M; Klungel, Olaf H; Hoekman, Jarno</t>
  </si>
  <si>
    <t>https://pubmed.ncbi.nlm.nih.gov/35227451</t>
  </si>
  <si>
    <t>Advanced therapy medicinal products (ATMPs) are highly innovative therapies. Their costs and uncertain value claims have raised concerns among health technology assessment (HTA) bodies and payers. Little is known about how underlying considerations in HTA of ATMPs shape assessment and reimbursement recommendations. We aim to identify and assess key considerations that played a role in HTA of ATMPs underlying reimbursement recommendations. A review of HTA reports was conducted of all authorized ATMPs in Scotland, The Netherlands, and England. Considerations were extracted and categorized into EUnetHTA Core Model domains. Per jurisdiction, considerations were aggregated and key considerations identified (defined as occurring in &gt;1/assessment per jurisdiction). A narrative analysis was conducted comparing key considerations between jurisdictions and different reimbursement recommendations. We identified 15 ATMPs and 18 HTA reports. In The Netherlands and England most key considerations were identified in clinical effectiveness (EFF) and cost- and economic effectiveness (ECO) domains. In Scotland, the social aspects domain yielded most key considerations, followed by ECO and EFF. More uncertainty in evidence and assessment outcomes was accepted when orphan or end-of-life criteria were applied. A higher percentage of considerations supporting recommendations were identified for products with positive recommendations compared with restricted and negative recommendations. This is the first empirical review of HTA's using the EUnetHTA Core Model to identify and structure key considerations retrospectively. It provides insights in supporting and opposing considerations for reimbursement of individual products and differences between jurisdictions. Besides the EFF and ECO domain, the social, ethical, and legal domains seem to bear considerable weight in assessment of ATMPs.</t>
  </si>
  <si>
    <t>Heart failure with preserved, mid-range, and reduced ejection fraction across health care settings: an observational study.</t>
  </si>
  <si>
    <t>de Boer, Annemarijn R; Vaartjes, Ilonca; Gohar, Aisha; Valk, Mark J M; Brugts, Jasper J; Boonman-de Winter, Leandra J M; van Riet, Evelien E; van Mourik, Yvonne; Brunner-La Rocca, Hans-Peter; Linssen, Gerard C M; Hoes, Arno W; Bots, Michiel L; den Ruijter, Hester M; Rutten, Frans H</t>
  </si>
  <si>
    <t>https://pubmed.ncbi.nlm.nih.gov/34889076</t>
  </si>
  <si>
    <t>This study aimed to assess the sex-specific distribution of heart failure (HF) with preserved, mid-range, and reduced ejection fraction across three health care settings. In this descriptive observational study, we retrieved the distribution of HF types [with reduced ejection fraction (HFrEF), mid-range ejection fraction (HFmrEF), and preserved ejection fraction (HFpEF)] for men and women between 65 and 79 years of age in three health care settings from a single country: (i) patients with screening-detected HF in the high-risk community (i.e. those with shortness of breath, frailty, diabetes mellitus, and chronic obstructive pulmonary disease) from four screening studies, (ii) patients with confirmed HF from primary care derived from a single observational study, and (iii) patients with confirmed HF from outpatient cardiology clinics participating in a registry. Among 1407 patients from the high-risk community, 288 had screen-detected HF (15% HFrEF, 12% HFmrEF, 74% HFpEF), and 51% of the screen-detected HF patients were women. In both women (82%) and men (65%), HFpEF was the most prevalent HF type. In the routine general practice population (30 practices, 70 000 individuals), among the 160 confirmed HF cases, 35% had HFrEF, 23% HFmrEF, and 43% HFpEF, and in total, 43% were women. In women, HFpEF was the most prevalent HF type (52%), while in men, this was HFrEF (41%). In outpatient cardiology clinics (n = 34), of the 4742 HF patients (66% HFrEF, 15% HFmrEF, 20% HFpEF), 36% were women. In both women (56%) and men (71%), HFrEF was the most prevalent HF type. Both HF types and sex distribution vary considerably in HF patients of 65-79 years of age among health care settings. From the high-risk community through to general practice to the cardiology outpatient setting, there is a shift in HF type from HFpEF to HFrEF and a decrease in the proportion of HF patients that are women.</t>
  </si>
  <si>
    <t>Time for change: Transitions between HIV risk levels and determinants of behavior change in men who have sex with men.</t>
  </si>
  <si>
    <t>Basten, Maartje G J; van Wees, Daphne A; Matser, Amy; Boyd, Anders; Rozhnova, Ganna; den Daas, Chantal; Kretzschmar, Mirjam E E; Heijne, Janneke C M</t>
  </si>
  <si>
    <t>https://pubmed.ncbi.nlm.nih.gov/34882698</t>
  </si>
  <si>
    <t>As individual sexual behavior is variable over time, the timing of interventions might be vital to reducing HIV transmission. We aimed to investigate transitions between HIV risk levels among men who have sex with men (MSM), and identify determinants associated with behavior change. Participants in a longitudinal cohort study among HIV-negative MSM (Amsterdam Cohort Studies) completed questionnaires about their sexual behavior during biannual visits (2008-2017). Visits were assigned to different HIV risk levels, based on latent classes of behavior. We modelled transitions between risk levels, and identified determinants associated with these transitions at the visit preceding the transition using multi-state Markov models. Based on 7,865 visits of 767 participants, we classified three risk levels: low (73% of visits), medium (22%), and high risk (5%). For MSM at low risk, the six-month probability of increasing risk was 0.11. For MSM at medium risk, the probability of increasing to high risk was 0.08, while the probability of decreasing to low risk was 0.33. For MSM at high risk, the probability of decreasing risk was 0.43. Chemsex, erection stimulants and poppers, high HIV risk perception, and recent STI diagnosis were associated with increased risk at the next visit. High HIV risk perception and young age were associated with decreasing risk. Although the majority of MSM showed no behavior change, a considerable proportion increased HIV risk. Determinants associated with behavior change may help to identify MSM who are likely to increase risk in the near future and target interventions at these individuals, thereby reducing HIV transmission.</t>
  </si>
  <si>
    <t>The power of genetic diversity in genome-wide association studies of lipids.</t>
  </si>
  <si>
    <t>https://pubmed.ncbi.nlm.nih.gov/34887591</t>
  </si>
  <si>
    <t>Increased blood lipid levels are heritable risk factors of cardiovascular disease with varied prevalence worldwide owing to different dietary patterns and medication use&lt;sup&gt;1&lt;/sup&gt;. Despite advances in prevention and treatment, in particular through reducing low-density lipoprotein cholesterol levels&lt;sup&gt;2&lt;/sup&gt;, heart disease remains the leading cause of death worldwide&lt;sup&gt;3&lt;/sup&gt;. Genome-wideassociation studies (GWAS) of blood lipid levels have led to important biological and clinical insights, as well as new drug targets, for cardiovascular disease. However, most previous GWAS&lt;sup&gt;4-23&lt;/sup&gt; have been conducted in European ancestry populations and may have missed genetic variants that contribute to lipid-level variation in other ancestry groups. These include differences in allele frequencies, effect sizes and linkage-disequilibrium patterns&lt;sup&gt;24&lt;/sup&gt;. Here we conduct a multi-ancestry, genome-wide genetic discovery meta-analysis of lipid levels in approximately 1.65 million individuals, including 350,000 of non-European ancestries. We quantify the gain in studying non-European ancestries and provide evidence to support the expansion of recruitment of additional ancestries, even with relatively small sample sizes. We find that increasing diversity rather than studying additional individuals of European ancestry results in substantial improvements in fine-mapping functional variants and portability of polygenic prediction (evaluated in approximately 295,000 individuals from 7 ancestry groupings). Modest gains in the number of discovered loci and ancestry-specific variants were also achieved. As GWAS expand emphasis beyond the identification of genes and fundamental biology towards the use of genetic variants for preventive and precision medicine&lt;sup&gt;25&lt;/sup&gt;, we anticipate that increased diversity of participants will lead to more accurate and equitable&lt;sup&gt;26&lt;/sup&gt; application of polygenic scores in clinical practice.</t>
  </si>
  <si>
    <t>SARS-CoV-2 antibody and T cell responses one year after COVID-19 and the booster effect of vaccination: A prospective cohort study.</t>
  </si>
  <si>
    <t>Mak, Willem A; Koeleman, Johannes G M; van der Vliet, Marijke; Keuren, Frans; Ong, David S Y</t>
  </si>
  <si>
    <t>https://pubmed.ncbi.nlm.nih.gov/34896516</t>
  </si>
  <si>
    <t>First, to describe SARS-CoV-2 T cell and antibody responses in a prospective cohort of healthcare workers that suffered from mild to moderate COVID-19 approximately one year ago. Second, to assess COVID-19 vaccine-induced immune responses in these prior-infected individuals. SARS-CoV-2-specific T cell and anti-SARS-CoV-2-Spike-RBD immunoglobulin G (IgG) responses in blood were determined before COVID-19 vaccination with mRNA-1273, BNT162b2, Ad26.CoV2-S or ChAdOx1-S, two weeks after first vaccination, and after second vaccination. 55 prior SARS-CoV-2 infected and seroconverted individuals were included. S1-specific T cell responses and anti-RBD IgG were detectable one year post SARS-CoV-2 infection: 24 spot-forming cells per 10&lt;sup&gt;6&lt;/sup&gt; peripheral blood mononuclear cells (SFCs/10&lt;sup&gt;6&lt;/sup&gt; PBMCs) after S1 stimulation and anti-RBD IgG concentration of 74 (IQR 36-158) IU/mL. Responses after the first and second vaccination were comparable with S1-specfic T cell responses of 198 (IQR 137-359) and 180 (IQR 103-347) SFCs/10&lt;sup&gt;6&lt;/sup&gt; PBMCs, and IgG concentrations of 6792 (IQR 3386-15,180) and 6326 (IQR 2336-13,440) IU/mL, respectively. These responses retained up to four months after vaccination. Both T cell and IgG responses against SARS-CoV-2 persist for up to one year after COVID-19. A second COVID-19 vaccination in prior-infected individuals did not further increase immune responses in comparison to one vaccination.</t>
  </si>
  <si>
    <t>18F-Fludeoxyglucose-Positron Emission Tomography/Computed Tomography and Laparoscopy for Staging of Locally Advanced Gastric Cancer: A Multicenter Prospective Dutch Cohort Study (PLASTIC).</t>
  </si>
  <si>
    <t>Gertsen, Emma C; Brenkman, Hylke J F; van Hillegersberg, Richard; van Sandick, Johanna W; van Berge Henegouwen, Mark I; Gisbertz, Suzanne S; Luyer, Misha D P; Nieuwenhuijzen, Grard A P; van Lanschot, Jan J B; Lagarde, Sjoerd M; Wijnhoven, Bas P L; de Steur, Wobbe O; Hartgrink, Henk H; Stoot, Jan H M B; Hulsewe, Karel W E; Spillenaar Bilgen, Ernst J; van Det, Marc J; Kouwenhoven, Ewout A; van der Peet, Donald L; Daams, Freek; van Grieken, Nicole C T; Heisterkamp, Joos; van Etten, Boudewijn; van den Berg, Jan Willem; Pierie, Jean Pierre; Eker, Hasan H; Thijssen, Annemieke Y; Belt, Eric J T; van Duijvendijk, Peter; Wassenaar, Eelco; van Laarhoven, Hanneke W M; Wevers, Kevin P; Hol, Lieke; Wessels, Frank J; Haj Mohammad, Nadia; van der Meulen, Miriam P; Frederix, Geert W J; Vegt, Erik; Siersema, Peter D; Ruurda, Jelle P; ,</t>
  </si>
  <si>
    <t>https://pubmed.ncbi.nlm.nih.gov/34705049</t>
  </si>
  <si>
    <t>The optimal staging for gastric cancer remains a matter of debate. To evaluate the value of 18F-fludeoxyglucose-positron emission tomography with computed tomography (FDG-PET/CT) and staging laparoscopy (SL) in addition to initial staging by means of gastroscopy and CT in patients with locally advanced gastric cancer. This multicenter prospective, observational cohort study included 394 patients with locally advanced, clinically curable gastric adenocarcinoma (≥cT3 and/or N+, M0 category based on CT) between August 1, 2017, and February 1, 2020. All patients underwent an FDG-PET/CT and/or SL in addition to initial staging.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</si>
  <si>
    <t>An International Prospective Cohort Study To Validate 2 Prediction Rules for Infections Caused by Third-generation Cephalosporin-resistant Enterobacterales.</t>
  </si>
  <si>
    <t>Deelen, J W Timotëus; Rottier, Wouter C; Giron Ortega, José A; Rodriguez-Baño, Jesús; Harbarth, Stephan; Tacconelli, Evelina; Jacobsson, Gunnar; Zahar, Jean-Ralph; van Werkhoven, Cornelis H; Bonten, Marc J M; ,</t>
  </si>
  <si>
    <t>https://pubmed.ncbi.nlm.nih.gov/32640024</t>
  </si>
  <si>
    <t>The possibility of bloodstream infections caused by third-generation cephalosporin-resistant Enterobacterales (3GC-R-BSI) leads to a trade-off between empiric inappropriate treatment (IAT) and unnecessary carbapenem use (UCU). Accurately predicting 3GC-R-BSI could reduce IAT and UCU. We externally validate 2 previously derived prediction rules for community-onset (CO) and hospital-onset (HO) suspected bloodstream infections. In 33 hospitals in 13 countries we prospectively enrolled 200 patients per hospital in whom blood cultures were obtained and intravenous antibiotics with coverage for Enterobacterales were empirically started. Cases were defined as 3GC-R-BSI or 3GC-R gram-negative infection (3GC-R-GNI) (analysis 2); all other outcomes served as a comparator. Model discrimination and calibration were assessed. Impact on carbapenem use was assessed at several cutoff points. 4650 CO infection episodes were included and the prevalence of 3GC-R-BSI was 2.1% (n = 97). IAT occurred in 69 of 97 (71.1%) 3GC-R-BSI and UCU in 398 of 4553 non-3GC-R-BSI patients (8.7%). Model calibration was good, and the AUC was .79 (95% CI, .75-.83) for 3GC-R-BSI. The prediction rule potentially reduced IAT to 62% (60/97) while keeping UCU comparable at 8.4% or could reduce UCU to 6.3% (287/4553) while keeping IAT equal. IAT and UCU in all 3GC-R-GNIs (analysis 2) improved at similar percentages. 1683 HO infection episodes were included and the prevalence of 3GC-R-BSI was 4.9% (n = 83). Here model calibration was insufficient. A prediction rule for CO 3GC-R infection was validated in an international cohort and could improve empirical antibiotic use. Validation of the HO rule yielded suboptimal performance.</t>
  </si>
  <si>
    <t>Paediatric Hypertension in Africa: A Systematic Review and Meta-Analysis.</t>
  </si>
  <si>
    <t>Crouch, Simone H; Soepnel, Larske M; Kolkenbeck-Ruh, Andrea; Maposa, Innocent; Naidoo, Sanushka; Davies, Justine; Norris, Shane A; Ware, Lisa J</t>
  </si>
  <si>
    <t>https://pubmed.ncbi.nlm.nih.gov/34917909</t>
  </si>
  <si>
    <t>The burden of cardiovascular disease (CVD) and hypertension is rapidly increasing in low- and middle-income countries. This is evident not only in adults, but also in children. Recent estimates of prevalence in children are lacking, particularly in Africa. As such, we conducted a systematic review and meta-analysis to provide updated estimates of paediatric hypertension in Africa. We searched PubMed and EBSCO to identify articles published from January 2017 to November 2020. Studies were assessed for quality. We combined results for meta-analyses using a random effects model (Freeman-Tukey arcsine transformation). Heterogeneity was quantified using the I&lt;sup&gt;2&lt;/sup&gt; statistic. In the narrative synthesis of 53 studies, publication bias was low for 28, moderate for 24, and high for one study. Hypertension prevalence ranged substantially (0·2%-38·9%). Meta-analysis included 41 studies resulting in data on 52918 participants aged 3 to 19 years from ten countries. The pooled prevalence for hypertension (systolic/diastolic BP≥95th percentile) was 7·45% (95%CI 5·30-9·92, I&lt;sup&gt;2&lt;/sup&gt;=98.96%), elevated blood pressure (BP, systolic/diastolic BP≥90th percentile and &lt;95th percentile) 11·38% (95%CI 7·94-15·33, I&lt;sup&gt;2&lt;/sup&gt;=98.97%) and combined hypertension/elevated BP 21·74% (95%CI 15·5-28·69, I&lt;sup&gt;2&lt;/sup&gt;=99.48%). Participants categorized as overweight/with obesity had a higher prevalence of hypertension (18·5% [95%CI 10·2-28·5]) than those categorized as underweight/normal (1·0% [95%CI 0·1-2·6], 4·8% [95%CI 2·9-7·1], p&lt;0·001). There were significant differences in hypertension prevalence when comparing BP measurement methods and classification guidelines. Compared to a previous systematic review conducted in 2017, this study suggests a continued increase in prevalence of paediatric hypertension in Africa, and highlights the potential role of increasing overweight/obesity. This research was funded in part by the Wellcome Trust [Grant number:214082/Z/18/Z]. LJW and SAN are supported by the DSI-NRF Centre of Human Development at the University of the Witwatersrand.</t>
  </si>
  <si>
    <t>A few things to consider when deciding whether or not to conduct underpowered research.</t>
  </si>
  <si>
    <t>Campbell, Harlan; de Jong, Valentijn M T; Debray, Thomas P A; Gustafson, Paul</t>
  </si>
  <si>
    <t>https://pubmed.ncbi.nlm.nih.gov/34875377</t>
  </si>
  <si>
    <t>A Regional Burden of Sequence-Level Variation in the 22q11.2 Region Influences Schizophrenia Risk and Educational Attainment.</t>
  </si>
  <si>
    <t>Breetvelt, Elemi J; Smit, Karel C; van Setten, Jessica; Merico, Daniele; Wang, Xiao; Vaartjes, Ilonca; Bassett, Anne S; Boks, Marco P M; Szatmari, Peter; Scherer, Stephen W; Kahn, René S; Vorstman, Jacob A S</t>
  </si>
  <si>
    <t>biological psychiatry</t>
  </si>
  <si>
    <t>https://pubmed.ncbi.nlm.nih.gov/35063188</t>
  </si>
  <si>
    <t>Genomic loci where recurrent pathogenic copy number variants are associated with psychiatric phenotypes in the population may also be sensitive to the collective impact of multiple functional low-frequency single nucleotide variants (SNVs). We examined the cumulative impact of low-frequency, functional SNVs within the 22q11.2 region on schizophrenia risk in a discovery cohort and an independent replication cohort (N = 1933 and N = 11,128, respectively), as well as the impact on educational attainment (EA) in a third, independent, general population cohort (N = 2081). In the discovery and EA cohorts, SNVs were identified using genotyping arrays; in the replication cohort, whole-exome sequencing was available. For verification, we compared the regional SNV count for schizophrenia cases in the discovery cohort with a normative count distribution derived from a large population dataset (N = 26,500) using bootstrap procedures. In both schizophrenia cohorts, an increased regional SNV burden (≥4 low-frequency SNVs) in the 22q11.2 region was associated with schizophrenia (discovery cohort: odds ratio = 7.48, p = .039; replication cohort: odds ratio = 1.92, p = .004). In the EA cohort, an increased regional SNV burden at 22q11.2 was associated with decreased EA (odds ratio = 4.65, p = .049). Comparing the SNV count for schizophrenia cases with a normative distribution confirmed the unique nature of the distribution for schizophrenia cases (p = .002). In the general population, an increased burden of low-frequency, functional SNVs in the 22q11.2 region is associated with schizophrenia risk and a decrease in EA. These findings suggest that in addition to structural variation, a cumulative regional burden of low-frequency, functional SNVs in the 22q11.2 region can also have a relevant phenotypic impact.</t>
  </si>
  <si>
    <t>Machine learning approaches to characterize the obesogenic urban exposome.</t>
  </si>
  <si>
    <t>Ohanyan, Haykanush; Portengen, Lützen; Huss, Anke; Traini, Eugenio; Beulens, Joline W J; Hoek, Gerard; Lakerveld, Jeroen; Vermeulen, Roel</t>
  </si>
  <si>
    <t>https://pubmed.ncbi.nlm.nih.gov/34991269</t>
  </si>
  <si>
    <t>Characteristics of the urban environment may contain upstream drivers of obesity. However, research is lacking that considers the combination of environmental factors simultaneously. We aimed to explore what environmental factors of the urban exposome are related to body mass index (BMI), and evaluated the consistency of findings across multiple statistical approaches. A cross-sectional analysis was conducted using baseline data from 14,829 participants of the Occupational and Environmental Health Cohort study. BMI was obtained from self-reported height and weight. Geocoded exposures linked to individual home addresses (using 6-digit postcode) of 86 environmental factors were estimated, including air pollution, traffic noise, green-space, built environmental and neighborhood socio-demographic characteristics. Exposure-obesity associations were identified using the following approaches: sparse group Partial Least Squares, Bayesian Model Averaging, penalized regression using the Minimax Concave Penalty, Generalized Additive Model-based boosting Random Forest, Extreme Gradient Boosting, and Multiple Linear Regression, as the most conventional approach. The models were adjusted for individual socio-demographic variables. Environmental factors were ranked according to variable importance scores attributed by each approach and median ranks were calculated across these scores to identify the most consistent associations. The most consistent environmental factors associated with BMI were the average neighborhood value of the homes, oxidative potential of particulate matter air pollution (OP), healthy food outlets in the neighborhood (5 km buffer), low-income neighborhoods, and one-person households in the neighborhood. Higher BMI levels were observed in low-income neighborhoods, with lower average house values, lower share of one-person households and smaller amount of healthy food retailers. Higher BMI levels were observed in low-income neighborhoods, with lower average house values, lower share of one-person households, smaller amounts of healthy food retailers and higher OP levels. Across the approaches, we observed consistent patterns of results based on model's capacity to incorporate linear or nonlinear associations. The pluralistic analysis on environmental obesogens strengthens the existing evidence on the role of neighborhood socioeconomic position, urbanicity and air pollution.</t>
  </si>
  <si>
    <t>Accuracy of approximations to recover incompletely reported logistic regression models depended on other available information.</t>
  </si>
  <si>
    <t>Takada, Toshihiko; Hoogland, Jeroen; van Lieshout, Chris; Schuit, Ewoud; Collins, Gary S; Moons, Karel G M; Reitsma, Johannes B</t>
  </si>
  <si>
    <t>https://pubmed.ncbi.nlm.nih.gov/34863904</t>
  </si>
  <si>
    <t>To provide approximations to recover the full regression equation across different scenarios of incompletely reported prediction models that were developed from binary logistic regression. In a case study, we considered four common scenarios and illustrated their corresponding approximations: (A) Missing: the intercept, Available: the regression coefficients of predictors, overall frequency of the outcome and descriptive statistics of the predictors; (B) Missing: regression coefficients and the intercept, Available: a simplified score; (C) Missing: regression coefficients and the intercept, Available: a nomogram; (D) Missing: regression coefficients and the intercept, Available: a web calculator. In the scenario A, a simplified approach based on the predicted probability corresponding to the average linear predictor was inaccurate. An approximation based on the overall outcome frequency and an approximation of the linear predictor distribution was more accurate, however, the appropriateness of the underlying assumptions cannot be verified in practice. In the scenario B, the recovered equation was inaccurate due to rounding and categorization of risk scores. In the scenarios C and D, the full regression equation could be recovered with minimal error. The accuracy of the approximations in recovering the regression equation varied depending on the available information.</t>
  </si>
  <si>
    <t>Prognostic accuracy of antenatal Doppler ultrasound for adverse perinatal outcomes in low-income and middle-income countries: a systematic review.</t>
  </si>
  <si>
    <t>Ali, Sam; Heuving, Simelina; Kawooya, Michael G; Byamugisha, Josaphat; Grobbee, Diederick E; Papageorghiou, Aris T; Klipstein-Grobusch, Kerstin; Rijken, Marcus J</t>
  </si>
  <si>
    <t>https://pubmed.ncbi.nlm.nih.gov/34857564</t>
  </si>
  <si>
    <t>This systematic review examined available literature on the prognostic accuracy of Doppler ultrasound for adverse perinatal outcomes in low/middle-income countries (LMIC). We searched PubMed, Embase, Cochrane Library and Scopus from inception to April 2020. Observational or interventional studies from LMICs. Singleton pregnancies of any risk profile. Umbilical artery (UA), middle cerebral artery (MCA), cerebroplacental ratio (CPR), uterine artery (UtA), fetal descending aorta (FDA), ductus venosus, umbilical vein and inferior vena cava. Perinatal death, stillbirth, neonatal death, expedited delivery for fetal distress, meconium-stained amniotic fluid, low birth weight, fetal growth restriction, admission to neonatal intensive care unit, neonatal acidosis, Apgar scores, preterm birth, fetal anaemia, respiratory distress syndrome, length of hospital stay, birth asphyxia and composite adverse perinatal outcomes (CAPO). We identified 2825 records, and 30 (including 4977 women) from Africa (40.0%, n=12), Asia (56.7%, n=17) and South America (3.3%, n=01) were included. Many individual studies reported associations and promising predictive values of UA Doppler for various adverse perinatal outcomes mostly in high-risk pregnancies, and moderate to high predictive values of MCA, CPR and UtA Dopplers for CAPO. A few studies suggested that the MCA and FDA may be potent predictors of fetal anaemia. No randomised clinical trial (RCT) was found. Most studies were of suboptimal quality, poorly powered and characterised by wide variations in outcome classifications, the timing for the Doppler tests and study populations. Local evidence to guide how antenatal Doppler ultrasound should be used in LMIC is lacking. Well-designed studies, preferably RCTs, are required. Standardisation of practice and classification of perinatal outcomes across countries, following the international standards, is imperative. CRD42019128546.</t>
  </si>
  <si>
    <t>Correction to: Definition and Prioritization of Data Elements for Cohort Studies and Clinical Trials on Patients with Unruptured Intracranial Aneurysms: Proposal of a Multidisciplinary Research Group.</t>
  </si>
  <si>
    <t>Hackenberg, Katharina A M; Algra, Ale; Al-Shahi Salman, Rustam; Frösen, Juhana; Hasan, David; Juvela, Seppo; Langer, David; Meyers, Philip; Morita, Akio; Rinkel, Gabriel; Etminan, Nima; ,</t>
  </si>
  <si>
    <t>neurocritical care</t>
  </si>
  <si>
    <t>https://pubmed.ncbi.nlm.nih.gov/34608597</t>
  </si>
  <si>
    <t>Predictors of Incident Mild Cognitive Impairment and Its Course in a Diverse Community-Based Population.</t>
  </si>
  <si>
    <t>Angevaare, Milou J; Vonk, Jet M J; Bertola, Laiss; Zahodne, Laura; Watson, Caitlin Wei-Ming; Boehme, Amelia; Schupf, Nicole; Mayeux, Richard; Geerlings, Mirjam I; Manly, Jennifer J</t>
  </si>
  <si>
    <t>https://pubmed.ncbi.nlm.nih.gov/34853178</t>
  </si>
  <si>
    <t>To investigate sociodemographic and medical predictors of incident mild cognitive impairment (MCI) and subsequent course of MCI at follow-up, including sustained MCI diagnosis, classification as cognitively normal, and progression to dementia. Within a community-based cohort, diagnoses of MCI were made with a published algorithm. Diagnosis of dementia was based on clinical consensus. Cox regressions estimated hazard ratios of incident MCI associated with several predictors. Modified Poisson regressions estimated relative risks associated with predictors of diagnostic status at follow-up after incidence. Among 2,903 cognitively normal participants at baseline, 752 developed MCI over an average of 6.3 (SD 4.5) years (incidence rate 56 per 1,000 person-years). Presence of &lt;i&gt;APOE&lt;/i&gt; ε4 and higher medical burden increased risk of incident MCI, while more years of education, more leisure activities, and higher income decreased this risk. Of the incident MCI cases, after an average of 2.4 years of follow-up, 12.9% progressed to dementia, 9.6% declined in functioning and did not meet the algorithmic criteria for MCI but did not meet the clinical criteria for dementia, 29.6% continued to meet MCI criteria, and 47.9% no longer met MCI criteria. Multidomain MCI, presence of &lt;i&gt;APOE&lt;/i&gt; ε4&lt;i&gt;,&lt;/i&gt; depressive symptoms, and antidepressant use increased the risk of progression to dementia. This community-based study showed that almost half of the individuals with incident MCI diagnoses were classified as cognitively normal at follow-up. Predictors of incident MCI demonstrably differed from those of subsequent MCI course; these findings can refine expectations for cognitive and functional course of those presenting with MCI.</t>
  </si>
  <si>
    <t>Rotavirus Vaccine Safety and Effectiveness in Infants With High-Risk Medical Conditions.</t>
  </si>
  <si>
    <t>van Dongen, Josephine A P; Rouers, Elsbeth D M; Schuurman, Rob; Band, Caterina; Watkins, Shannon M; van Houten, Marlies A; Bont, Louis J; Norbruis, Obbe F; Hemels, Marieke A C; van Well, Gijs T J; Vlieger, Arine M; van der Sluijs, Jacqueline; Stas, Helene G; Tramper-Stranders, Gerdien; Kleinlugtenbeld, Elly A; van Kempen, Anne A M W; Wessels, Margreet; van Rossem, Maaike C; Dassel, Carin A C M; Pajkrt, Dasja; Bonten, Marc J M; Bruijning-Verhagen, Patricia C J</t>
  </si>
  <si>
    <t>pediatrics</t>
  </si>
  <si>
    <t>https://pubmed.ncbi.nlm.nih.gov/34814164</t>
  </si>
  <si>
    <t>Rotavirus vaccination has 87% to 100% effectiveness against severe rotavirus acute gastroenteritis (AGE) in healthy infants in high-income countries. Little is known whether infants with medical risk conditions (MRCs) are equally protected and if the vaccine is equally well tolerated. We conducted a quasi-experimental prospective multicenter before-after cohort study to assess the vaccine effectiveness (VE) and safety profile of the human rotavirus vaccine (HRV) among MRC infants that required prolonged or frequent postnatal care. The Netherlands has no national rotavirus immunization program, but HRV was implemented in routine care for MRC infants in 13 Dutch hospitals. Participants in the before and after cohort, HRV unvaccinated and vaccinated, respectively, were followed for occurrence of (rotavirus) AGE. VE of at least 1 dose was estimated by using time-to-event analysis for severe rotavirus AGE. Vaccine-related serious adverse event (AEs) after HRV were retrieved systematically from medical charts. Solicited AEs after vaccinations were prospectively collected and compared between vaccination time points with or without HRV. In total, 1482 high-risk infants with MRC were enrolled, including 631 in the before and 851 in the after cohorts; 1302 infants were premature (88.3%), 447 were small for gestational age (30.2%), and 251 had at least 1 congenital disorder (17.0%). VE against severe rotavirus AGE was 30% (95% confidence interval [CI]: -36% to 65%). Overall, the observed number of rotavirus hospitalizations was low and not significantly different between the cohorts (2 and 2, respectively). The rate of vaccine-related serious AE was 0.24 per 100 vaccine doses. The adjusted risk ratio for any AE after HRV vaccination compared with other routine vaccinations was 1.09 (95% CI: 1.05 to 1.12) for concomitant administration and 0.91 (95% CI: 0.81 to 0.99) for single HRV administration. Gastrointestinal AEs were 10% more frequent after HRV. In contrast to previous findings among healthy term infants, in routine use, HRV offered limited protection to vulnerable medical risk infants. HRV is generally well tolerated in this group in single administration, but when coadministered with routine vaccines, it is associated with higher risk of (mostly gastrointestinal) AE. Our study highlights the importance of studying vaccine performance in subgroups of medically vulnerable infants.</t>
  </si>
  <si>
    <t>Sixty-Day Mortality of Patients With Metastatic Colorectal Cancer Randomized to Systemic Treatment vs Primary Tumor Resection Followed by Systemic Treatment: The CAIRO4 Phase 3 Randomized Clinical Trial.</t>
  </si>
  <si>
    <t>van der Kruijssen, Dave E W; Elias, Sjoerd G; Vink, Geraldine R; van Rooijen, Karlijn L; 't Lam-Boer, Jorine; Mol, Linda; Punt, Cornelis J A; de Wilt, Johannes H W; Koopman, Miriam; ,</t>
  </si>
  <si>
    <t>https://pubmed.ncbi.nlm.nih.gov/34613339</t>
  </si>
  <si>
    <t>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To determine the difference in 60-day mortality between patients randomized to systemic treatment only vs PTR followed by systemic treatment, and to explore risk factors associated with 60-day mortality.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Systemic treatment, consisting of fluoropyrimidine-based chemotherapy with bevacizumab vs PTR followed by fluoropyrimidine-based chemotherapy with bevacizumab. The aim of the current analysis was to compare 60-day mortality rates in both treatment arms. A secondary aim was the identification of risk factors for 60-day mortality in the treatment arms. These aims were not predefined in the study protocol.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ClinicalTrials.gov Identifier: NCT01606098.</t>
  </si>
  <si>
    <t>Does C-reactive protein predict time to recovery and benefit from oseltamivir treatment in primary care patients with influenza-like illness? A randomized controlled trial secondary analysis.</t>
  </si>
  <si>
    <t>Harbin, Nicolay Jonassen; Rystedt, Karin; Lindbaek, Morten; Radzeviciene, Ruta; Westin, Johan; Gunnarsson, Ronny; Butler, Christopher C; van der Velden, Alike W; Verheij, Theo J; Sundvall, Pär-Daniel</t>
  </si>
  <si>
    <t>https://pubmed.ncbi.nlm.nih.gov/34850657</t>
  </si>
  <si>
    <t>Recovery time and treatment effect of oseltamivir in influenza-like illness (ILI) differs between patient groups. A point-of-care test to better predict ILI duration and identify patients who are most likely to benefit from oseltamivir treatment would aid prescribing decisions in primary care. This study aimed to investigate whether a C-reactive protein (CRP) concentration of ≥30 mg/L can predict (1) ILI disease duration, and (2) which patients are most likely to benefit from oseltamivir treatment. Secondary analysis of randomized controlled trial data. Primary care in Lithuania, Sweden and Norway during three consecutive influenza seasons 2016-2018. A total of 277 ILI patients aged one year or older and symptom duration of ≤72 h. Capillary blood CRP concentration at baseline, and ILI recovery time defined as having 'returned to usual daily activity' with residual symptoms minimally interfering. At baseline, 20% (55/277) had CRP concentrations ≥30mg/L (range 0-210). CRP concentration ≥30 mg/L was not associated with recovery time (adjusted hazards ratio (HR) 0.80: 95% CI 0.50-1.3; &lt;i&gt;p&lt;/i&gt; = 0.33). Interaction analysis of CRP concentration ≥30 mg/L and oseltamivir treatment did not identify which patients benefit more from oseltamivir treatment (adjusted HR 0.69: 95% CI 0.37-1.3; &lt;i&gt;p&lt;/i&gt; = 0.23). There was no association between CRP concentration of ≥30 mg/L and recovery time from ILI. Furthermore, CRP could not predict which ILI patients benefit more from oseltamivir treatment. Hence, we do not recommend CRP testing for predicting ILI recovery time or identifying patients who will receive particular benefit from oseltamivir treatment.Key PointsPredicting disease course of influenza-like illness (ILI), and identifying which patients benefit from oseltamivir treatment is a challenge for physicians.• There was no association between CRP concentration at baseline and recovery time in patients consulting with ILI in primary care.• There was no association between CRP concentration at baseline and benefit from oseltamivir treatment.• We, therefore, do not recommend CRP testing for predicting recovery time or in decision-making concerning oseltamivir prescribing in ILI patients.</t>
  </si>
  <si>
    <t>Vital signs of the systemic inflammatory response syndrome in adult patients with acute infections presenting in out-of-hours primary care: A cross-sectional study.</t>
  </si>
  <si>
    <t>Loots, Feike J; Smulders, Daan; Giesen, Paul; Hopstaken, Rogier M; Smits, Marleen</t>
  </si>
  <si>
    <t>https://pubmed.ncbi.nlm.nih.gov/33978531</t>
  </si>
  <si>
    <t>Signs of the systemic inflammatory response syndrome (SIRS) - fever (or hypothermia), tachycardia and tachypnoea - are used in the hospital setting to identify patients with possible sepsis. To determine how frequently abnormalities in the vital signs of SIRS are present in adult out-of-hours (OOH) primary care patients with suspected infections and assess the association with acute hospital referral. We conducted a cross-sectional study at the OOH GP cooperative in Nijmegen, the Netherlands, between August and October 2015. GPs were instructed to record the body temperature, heart rate and respiratory rate of all patients with suspected acute infections. Vital signs of SIRS, other relevant signs and symptoms, and referral state were extracted from the electronic registration system of the OOH GP cooperative retrospectively. Logistic regression analysis was used to evaluate the association between clinical signs and hospital referral. A total of 558 patients with suspected infections were included. At least two SIRS vital signs were abnormal in 35/409 (8.6%) of the clinic consultations and 60/149 (40.3%) of the home visits. Referral rate increased from 13% when no SIRS vital sign was abnormal to 68% when all three SIRS vital signs were abnormal. Independent associations for referral were found for decreased oxygen saturation, hypotension and rapid illness progression, but not for individual SIRS vital signs. Although patients with abnormal vital signs of SIRS were referred more often, decreased oxygen saturation, hypotension and rapid illness progression seem to be most important for GPs to guide further management.</t>
  </si>
  <si>
    <t>Development of an in-house SARS-CoV-2 interferon-gamma ELISpot and plate reader-free spot detection method.</t>
  </si>
  <si>
    <t>https://pubmed.ncbi.nlm.nih.gov/34863782</t>
  </si>
  <si>
    <t>Coronavirus disease 2019 (COVID-19) vaccination programs rolled out in an attempt to stop the COVID-19 pandemic. Besides neutralising antibodies, effective T cell responses are also crucial for protection against severe acute respiratory syndrome coronavirus 2 (SARS-CoV-2) infection and COVID-19 disease severity. To assess SARS-CoV-2-specific T cell immunity, we developed an interferon-gamma (IFN-γ) enzyme-linked immunospot (ELISpot) that can be deployed in research and diagnostic settings. We optimised our ELISpot by testing multiple antigen concentrations to stimulate peripheral blood mononuclear cells of SARS-CoV-2-unexposed, COVID-19 convalescent and COVID-19 vaccinated volunteers. Also, we developed an ELISpot plate reader-free method to detect and quantify spots, which we compared to manual spot counting and automated analysis by an ELISpot plate reader. We observed strong SARS-CoV-2-reactive T cell responses in COVID-19 convalescent, and COVID-19 vaccinated volunteers but absent or only weak responses in unexposed volunteers. Overall, antigens with concentrations from 0.1 to 5.0 μg/mL per peptide elicited similar T cell responses. Also, our plate reader-free detection method reliably detected and quantified SARS-CoV-2-specific T cells, demonstrated by an excellent reliability when compared to manual analysis and automated analysis by an ELISpot plate reader.</t>
  </si>
  <si>
    <t>Pharmacotherapy for smoking cessation: effects by subgroup defined by genetically informed biomarkers.</t>
  </si>
  <si>
    <t>Schuit, Ewoud; Panagiotou, Orestis A; Munafò, Marcus R; Bennett, Derrick A; Bergen, Andrew W; David, Sean P</t>
  </si>
  <si>
    <t>https://pubmed.ncbi.nlm.nih.gov/34847240</t>
  </si>
  <si>
    <t>This review has been withdrawn because it has been found to be in breach of the Cochrane Commercial Sponsorship policy clause 2:  'Individuals who are currently employed or where employed any time in the last three years by a company that has a real or potential financial interest in the outcome of the review (including but not limited to drug companies or medical device manufacturers); or who hold or have applied for a patent related to the review are prohibited from being Cochrane Review authors. In most cases, current or previous employment would be characterized by the affiliation statement made by the author at the title registration, protocol, or review stage of the review'.</t>
  </si>
  <si>
    <t>Prognostic model for predicting survival in very preterm infants: an external validation study.</t>
  </si>
  <si>
    <t>van Beek, P E; Groenendaal, F; Onland, W; Koole, S; Dijk, P H; Dijkman, K P; van den Dungen, Fam; van Heijst, Afj; Kornelisse, R F; Schuerman, Faba; van Westering-Kroon, E; Witlox, Rsgm; Andriessen, P; Schuit, E; ,</t>
  </si>
  <si>
    <t>https://pubmed.ncbi.nlm.nih.gov/34779118</t>
  </si>
  <si>
    <t>To perform a temporal and geographical validation of a prognostic model, considered of highest methodological quality in a recently published systematic review, for predicting survival in very preterm infants admitted to the neonatal intensive care unit. The original model was developed in the UK and included gestational age, birthweight and gender. External validation study in a population-based cohort. Dutch neonatal wards. All admitted white, singleton infants born between 23&lt;sup&gt;+0&lt;/sup&gt; and 32&lt;sup&gt;+6&lt;/sup&gt;  weeks of gestation between 1 January 2015 and 31 December 2019. Additionally, the model's performance was assessed in four populations of admitted infants born between 24&lt;sup&gt;+0&lt;/sup&gt; and 31&lt;sup&gt;+6&lt;/sup&gt;  weeks of gestation: white singletons, non-white singletons, all singletons and all multiples. The original model was applied in all five validation sets. Model performance was assessed in terms of calibration and discrimination and, if indicated, it was updated. Calibration (calibration-in-the-large and calibration slope) and discrimination (c statistic). Out of 6092 infants, 5659 (92.9%) survived. The model showed good external validity as indicated by good discrimination (c statistic 0.82, 95% CI 0.79-0.84) and calibration (calibration-in-the-large 0.003, calibration slope 0.92, 95% CI 0.84-1.00). The model also showed good external validity in the other singleton populations, but required a small intercept update in the multiples population. A high-quality prognostic model predicting survival in very preterm infants had good external validity in an independent, nationwide cohort. The accurate performance of the model indicates that after impact assessment, implementation of the model in clinical practice in the neonatal intensive care unit could be considered. A high-quality model predicting survival in very preterm infants is externally valid in an independent cohort.</t>
  </si>
  <si>
    <t>The Use of Questionable Research Practices to Survive in Academia Examined With Expert Elicitation, Prior-Data Conflicts, Bayes Factors for Replication Effects, and the Bayes Truth Serum.</t>
  </si>
  <si>
    <t>van de Schoot, Rens; Winter, Sonja D; Griffioen, Elian; Grimmelikhuijsen, Stephan; Arts, Ingrid; Veen, Duco; Grandfield, Elizabeth M; Tummers, Lars G</t>
  </si>
  <si>
    <t>https://pubmed.ncbi.nlm.nih.gov/34912255</t>
  </si>
  <si>
    <t>The popularity and use of Bayesian methods have increased across many research domains. The current article demonstrates how some less familiar Bayesian methods can be used. Specifically, we applied expert elicitation, testing for prior-data conflicts, the Bayesian Truth Serum, and testing for replication effects via Bayes Factors in a series of four studies investigating the use of questionable research practices (QRPs). Scientifically fraudulent or unethical research practices have caused quite a stir in academia and beyond. Improving science starts with educating Ph.D. candidates: the scholars of tomorrow. In four studies concerning 765 Ph.D. candidates, we investigate whether Ph.D. candidates can differentiate between ethical and unethical or even fraudulent research practices. We probed the Ph.D.s' willingness to publish research from such practices and tested whether this is influenced by (un)ethical behavior pressure from supervisors or peers. Furthermore, 36 academic leaders (deans, vice-deans, and heads of research) were interviewed and asked to predict what Ph.D.s would answer for different vignettes. Our study shows, and replicates, that some Ph.D. candidates are willing to publish results deriving from even blatant fraudulent behavior-data fabrication. Additionally, some academic leaders underestimated this behavior, which is alarming. Academic leaders have to keep in mind that Ph.D. candidates can be under more pressure than they realize and might be susceptible to using QRPs. As an inspiring example and to encourage others to make their Bayesian work reproducible, we published data, annotated scripts, and detailed output on the Open Science Framework (OSF).</t>
  </si>
  <si>
    <t>Depressive symptom profiles predict dementia onset and brain pathology in older persons. The AGES-Reykjavik study.</t>
  </si>
  <si>
    <t>Gerritsen, Lotte; Sigurdsson, Sigurdur; Jonsson, Palmi V; Gudnason, Vilmundur; Launer, Lenore J; Geerlings, Mirjam I</t>
  </si>
  <si>
    <t>https://pubmed.ncbi.nlm.nih.gov/34923217</t>
  </si>
  <si>
    <t>Late-life depression (LLD) increases risk for dementia and brain pathology, but possibly this is only true for one or more symptom profiles of LLD. In 4354 participants (76 ± 5 years; 58% female) from the Age, Gene/Environment Susceptibility (AGES)-Reykjavik Study, we identified five LLD symptom profiles, based on the Geriatric Depression Scale-15 (no LLD (57%); apathy (31%); apathy with emptiness (2%), mild LLD (8%) and severe LLD (2%)). Cox regression analyses showed that severe LLD, mild LLD and apathy increased risk of dementia up to 12 years, compared to no LLD. Additionally, hippocampal volume loss and white matter lesion increase, were assessed on 1.5 T MR images, at baseline and after 5 years follow-up. Only severe LLD showed increased WML volume over time, but not on hippocampal volume loss. WML increase over time mediated partially the relation between mild LLD and dementia but not for the other symptom profiles. It appears that hippocampal atrophy and LLD are independent predictors for dementia incidence, whereas for mild LLD the risk for dementia is partially mediated by WML changes.</t>
  </si>
  <si>
    <t>Comparison of (Cost-)Effectiveness of Magnetic Resonance Image-Guided High-Intensity-Focused Ultrasound With Standard (Minimally) Invasive Fibroid Treatments: Protocol for a Multicenter Randomized Controlled Trial (MYCHOICE).</t>
  </si>
  <si>
    <t>Anneveldt, Kimberley J; Nijholt, Ingrid M; Schutte, Joke M; Dijkstra, Jeroen R; Frederix, Geert W J; Ista, Erwin; Verpalen, Inez M; Veersema, Sebastiaan; Huirne, Judith A F; Hehenkamp, Wouter J K; Boomsma, Martijn F</t>
  </si>
  <si>
    <t>https://pubmed.ncbi.nlm.nih.gov/34821569</t>
  </si>
  <si>
    <t>Magnetic resonance image-guided high-intensity-focused ultrasound (MR-HIFU) is a rather new, noninvasive option for the treatment of uterine fibroids. It is safe, effective, and has a very short recovery time. However, a lack of prospectively collected data on long-term (cost-)effectiveness of the MR-HIFU treatment compared with standard uterine fibroid care prevents the MR-HIFU treatment from being reimbursed for this indication. Therefore, at this point, when conservative treatment for uterine fibroid symptoms has failed or is not accepted by patients, standard care includes the more invasive treatments hysterectomy, myomectomy, and uterine artery embolization (UAE). Primary outcomes of currently available data on MR-HIFU treatment often consist of technical outcomes, instead of patient-centered outcomes such as quality of life (QoL), and do not include the use of the latest equipment or most up-to-date treatment strategies. Moreover, data on cost-effectiveness are rare and seldom include data on a societal level such as productivity loss or use of painkillers. Because of the lack of reimbursement, broad clinical implementation has not taken place, nor is the proper role of MR-HIFU in uterine fibroid care sufficiently clear. The objective of our study is to determine the long-term (cost-)effectiveness of MR-HIFU compared with standard (minimally) invasive fibroid treatments. The MYCHOICE study is a national, multicenter, open randomized controlled trial with randomization in a 2:1 ratio to MR-HIFU or standard care including hysterectomy, myomectomy, and UAE. The sample size is 240 patients in total. Women are included when they are 18 years or older, in premenopausal stage, diagnosed with symptomatic uterine fibroids, conservative treatment has failed or is not accepted, and eligible for MR-HIFU. Primary outcomes of the study are QoL 24 months after treatment and costs of treatment including direct health care costs, loss of productivity, and patient costs. Inclusion for the MYCHOICE study started in November 2020 and enrollment will continue until 2024. Data collection is expected to be completed in 2026. By collecting data on the long-term (cost-)effectiveness of the MR-HIFU treatment in comparison to current standard fibroid care, we provide currently unavailable evidence about the proper place of MR-HIFU in the fibroid treatment spectrum. This will also facilitate reimbursement and inclusion of MR-HIFU in (inter)national uterine fibroid care guidelines. Netherlands Trial Register NL8863; https://www.trialregister.nl/trial/8863. DERR1-10.2196/29467.</t>
  </si>
  <si>
    <t>Sex-Related Difference in the Association Between Child Neglect and the Accuracy of Body Weight Perception Among Chinese Primary Schoolchildren.</t>
  </si>
  <si>
    <t>Yu, Hong-Jie; Liu, Xiangxiang; Liu, Ming-Wei; Zhang, Min-Zhe; Zheng, Miaobing; He, Qi-Qiang</t>
  </si>
  <si>
    <t>https://pubmed.ncbi.nlm.nih.gov/34888287</t>
  </si>
  <si>
    <t>&lt;b&gt;Introduction:&lt;/b&gt; Body weight perception (BWP) directly determines weight management behaviors. Although child neglect is a well-established risk factor for managing body weight, little is known about its association with the accuracy of BWP. This study aimed to assess the cross-sectional and longitudinal associations between child neglect and BWP accuracy in primary schoolchildren, and explore how these differ based on the sex of the child. &lt;b&gt;Methods:&lt;/b&gt; The sample included 1,063 primary schoolchildren (557 boys and 506 girls, aged 8-10 years) from a two-wave observational study between 2018 and 2019 in Wuhan, China. Child neglect and BWP were investigated using self-administered questionnaires. The accuracy of BWP was defined by comparing the BWP and actual body weight, and it was categorized into three groups-consistent, underestimated, and overestimated. Multinomial logistic regression analysis was conducted with fitting child neglect as the independent variable and the accuracy of BWP as the dependent variable. &lt;b&gt;Results:&lt;/b&gt; The prevalence of weight misperception was ~44% at baseline (underestimation 40%; overestimation 4%) in Chinese primary schoolchildren. In the cross-sectional analysis, children with a higher level of neglect were more likely to misperceive their body weight. Moreover, there was an apparent sex-related difference that boys who experienced a higher level of neglect significantly reported more underestimation, while girls reported more overestimation. There was no significant longitudinal association between child neglect and the change in BWP accuracy. &lt;b&gt;Conclusions:&lt;/b&gt; This study revealed that a higher level of neglect was significantly associated with underestimated BWP in boys and overestimated BWP in girls. The mechanisms of sex-related difference and whether child neglect is involved in the change in BWP, merit further investigations.</t>
  </si>
  <si>
    <t>Cost-effectiveness of whole-exome sequencing in progressive neurological disorders of children.</t>
  </si>
  <si>
    <t>Aaltio, Juho; Hyttinen, Virva; Kortelainen, Mika; Frederix, Gerardus W J; Lönnqvist, Tuula; Suomalainen, Anu; Isohanni, Pirjo</t>
  </si>
  <si>
    <t>european journal of paediatric neurology ejpn official journal of the european paediatric neurology society</t>
  </si>
  <si>
    <t>https://pubmed.ncbi.nlm.nih.gov/34852981</t>
  </si>
  <si>
    <t>To clarify the diagnostic utility and the cost-effectiveness of whole-exome sequencing (WES) as a routine early-diagnostic tool in children with progressive neurological disorders. Patients with infantile-onset severe neurological diseases or childhood-onset progressive neurological disorders were prospectively recruited to this WES study, in the pediatric neurology clinic at Helsinki University Hospital during 2016-2018. A total of 48 patients underwent a singleton WES. A control group of 49 children underwent traditional diagnostic examinations and were retrospectively collected from the hospital records. Their use of health care services, related to the diagnostic process, was gathered. Incremental cost-effectiveness ratio (ICER) per additional diagnosis was calculated from the health care provider perspective. Bootstrapping methods were used to estimate the uncertainty of cost-effectiveness outcomes. WES provided a better diagnostic yield (38%) than diagnostic pathway that did not prioritize WES in early diagnosis (25%). WES outperformed other diagnostic paths especially when made early, within one year of first admission (44%). Cost-effectiveness in our results are conservative, affected by WES costs during 2016-18. WES is an efficient and cost-effective diagnostic tool that should be prioritized in early diagnostic path of children with progressive neurological disorders. The progressively decreasing price of the test improves cost-effectiveness further.</t>
  </si>
  <si>
    <t>Phylogeny and taxonomy of &lt;i&gt;Podosphaera filipendulae&lt;/i&gt; (&lt;i&gt;Erysiphaceae&lt;/i&gt;) revisited.</t>
  </si>
  <si>
    <t>Liu, Shu-Yan; Jin, Danni; Götz, Monika; Bradshaw, Michael; Liu, Miao; Takamatsu, Susumu; Braun, Uwe</t>
  </si>
  <si>
    <t>mycoscience</t>
  </si>
  <si>
    <t>https://pubmed.ncbi.nlm.nih.gov/37090177</t>
  </si>
  <si>
    <t>The phylogeny and taxonomy of &lt;i&gt;Podosphaera filipendulae&lt;/i&gt; (including &lt;i&gt;P. filipendulensis&lt;/i&gt;, syn. nov.) have been examined. Asian, European and North American collections were examined and the nucleotides sequences of their partial rDNA region were determined. In particular, the relationship between &lt;i&gt;P. filipendulae&lt;/i&gt; and &lt;i&gt;P. spiraeae&lt;/i&gt; was analysed. The results confirmed &lt;i&gt;P. filipendulae&lt;/i&gt; and &lt;i&gt;P. spiraeae&lt;/i&gt; as two separate, morphologically similar species. The phylogenetic analysis revealed a similar phylogeny to that of the host genera. Although ITS sequences retrieved from Asian, European and North American specimens of &lt;i&gt;P. filipendulae&lt;/i&gt; on various &lt;i&gt;Filipendula&lt;/i&gt; spp. are identical to sequences from &lt;i&gt;P. macularis&lt;/i&gt; on hop, there is consistently one base substitution at the 5'-end of 28S rRNA gene between the species. This result provides evidence that the hop powdery mildew and &lt;i&gt;P. filipendulae&lt;/i&gt; are biologically and morphologically clearly distinguished, and should be maintained as two separate species.</t>
  </si>
  <si>
    <t>Conceptualizing Vulnerability for Health Effects of the COVID-19 Pandemic and the Associated Measures in Utrecht and Zeist: A Concept Map.</t>
  </si>
  <si>
    <t>van der Ven, Lilian G L; Duinhof, Elisa L; Dückers, Michel L A; Jambroes, Marielle; van Bon-Martens, Marja J H</t>
  </si>
  <si>
    <t>https://pubmed.ncbi.nlm.nih.gov/34831915</t>
  </si>
  <si>
    <t>The COVID-19 pandemic and the associated measures have impacted the health of many. Not all population groups are equally vulnerable to such health effects, possibly increasing health inequalities. We performed a group concept mapping procedure to define a common, context-specific understanding of what makes people vulnerable to health effects of the pandemic and the measures. We organized a two-step, blended brainstorming session with locally involved community members, using the brainstorm focus prompt 'What I think makes people vulnerable for the COVID-19 pandemic and the measures is…'. We asked participants to generate as many statements as possible. Participants then individually structured (sorted and ranked) these statements. The structuring data was analysed using the groupwisdom&lt;sup&gt;TM&lt;/sup&gt; software and then interpreted by the researchers to generate the concept map. Ninety-eight statements were generated by 19 participants. Sixteen participants completed both structuring tasks. The final concept map consisted of 12 clusters of vulnerability factors, indicating a broad conceptualization of vulnerability during the pandemic. It is being used as a basis for future research and local supportive interventions. Concept mapping is an effective method to arrive at a vulnerability assessment in a community in a short time and, moreover, a method that promotes community engagement.</t>
  </si>
  <si>
    <t>Dietary Fatty Acids, Macronutrient Substitutions, Food Sources and Incidence of Coronary Heart Disease: Findings From the EPIC-CVD Case-Cohort Study Across Nine European Countries.</t>
  </si>
  <si>
    <t>Steur, Marinka; Johnson, Laura; Sharp, Stephen J; Imamura, Fumiaki; Sluijs, Ivonne; Key, Timothy J; Wood, Angela; Chowdhury, Rajiv; Guevara, Marcela; Jakobsen, Marianne U; Johansson, Ingegerd; Koulman, Albert; Overvad, Kim; Sánchez, Maria-José; van der Schouw, Yvonne T; Trichopoulou, Antonia; Weiderpass, Elisabete; Wennberg, Maria; Zheng, Ju-Sheng; Boeing, Heiner; Boer, Jolanda M A; Boutron-Ruault, Marie-Christine; Ericson, Ulrika; Heath, Alicia K; Huybrechts, Inge; Imaz, Liher; Kaaks, Rudolf; Krogh, Vittorio; Kühn, Tilman; Kyrø, Cecilie; Masala, Giovanna; Melander, Olle; Moreno-Iribas, Conchi; Panico, Salvatore; Quirós, José R; Rodríguez-Barranco, Miguel; Sacerdote, Carlotta; Santiuste, Carmen; Skeie, Guri; Tjønneland, Anne; Tumino, Rosario; Verschuren, W M Monique; Zamora-Ros, Raul; Dahm, Christina C; Perez-Cornago, Aurora; Schulze, Matthias B; Tong, Tammy Y N; Riboli, Elio; Wareham, Nicholas J; Danesh, John; Butterworth, Adam S; Forouhi, Nita G</t>
  </si>
  <si>
    <t>https://pubmed.ncbi.nlm.nih.gov/34796724</t>
  </si>
  <si>
    <t>Background There is controversy about associations between total dietary fatty acids, their classes (saturated fatty acids [SFAs], monounsaturated fatty acids, and polyunsaturated fatty acids), and risk of coronary heart disease (CHD). Specifically, the relevance of food sources of SFAs to CHD associations is uncertain. Methods and Results We conducted a case-cohort study involving 10 529 incident CHD cases and a random subcohort of 16 730 adults selected from a cohort of 385 747 participants in 9 countries of the EPIC (European Prospective Investigation into Cancer and Nutrition) study. We estimated multivariable adjusted country-specific hazard ratios (HRs) and 95% CIs per 5% of energy intake from dietary fatty acids, with and without isocaloric macronutrient substitutions, using Prentice-weighted Cox regression models and pooled results using random-effects meta-analysis. We found no evidence for associations of the consumption of total or fatty acid classes with CHD, regardless of macronutrient substitutions. In analyses considering food sources, CHD incidence was lower per 1% higher energy intake of SFAs from yogurt (HR, 0.93 [95% CI, 0.88-0.99]), cheese (HR, 0.98 [95% CI, 0.96-1.00]), and fish (HR, 0.87 [95% CI, 0.75-1.00]), but higher for SFAs from red meat (HR, 1.07 [95% CI, 1.02-1.12]) and butter (HR, 1.02 [95% CI, 1.00-1.04]). Conclusions This observational study found no strong associations of total fatty acids, SFAs, monounsaturated fatty acids, and polyunsaturated fatty acids, with incident CHD. By contrast, we found associations of SFAs with CHD in opposite directions dependent on the food source. These findings should be further confirmed, but support public health recommendations to consider food sources alongside the macronutrients they contain, and suggest the importance of the overall food matrix.</t>
  </si>
  <si>
    <t>Added Value of Cognition in the Prediction of Survival in Low and High Grade Glioma.</t>
  </si>
  <si>
    <t>van Kessel, Emma; Schuit, Ewoud; Huenges Wajer, Irene M C; Ruis, Carla; De Vos, Filip Y F L; Verhoeff, Joost J C; Seute, Tatjana; van Zandvoort, Martine J E; Robe, Pierre A; Snijders, Tom J</t>
  </si>
  <si>
    <t>https://pubmed.ncbi.nlm.nih.gov/34867763</t>
  </si>
  <si>
    <t>&lt;b&gt;Background:&lt;/b&gt; Diffuse gliomas, which are at WHO grade II-IV, are progressive primary brain tumors with great variability in prognosis. Our aim was to investigate whether pre-operative cognitive functioning is of added value in survival prediction in these patients. &lt;b&gt;Methods:&lt;/b&gt; In a retrospective cohort study of patients undergoing awake craniotomy between 2010 and 2019 we performed pre-operative neuropsychological assessments in five cognitive domains. Their added prognostic value on top of known prognostic factors was assessed in two patient groups [low- (LGG) and high-grade gliomas (HGG]). We compared Cox proportional hazards regression models with and without the cognitive domain by means of loglikelihood ratios tests (LRT), discriminative performance measures (by AUC), and risk classification [by Integrated Discrimination Index (IDI)]. &lt;b&gt;Results:&lt;/b&gt; We included 109 LGG and 145 HGG patients with a median survival time of 1,490 and 511 days, respectively. The domain memory had a significant added prognostic value in HGG as indicated by an LRT (&lt;i&gt;p&lt;/i&gt;-value = 0.018). The cumulative AUC for HGG with memory included was.78 (&lt;i&gt;SD&lt;/i&gt; = 0.017) and without cognition 0.77 (&lt;i&gt;SD&lt;/i&gt; = 0.018), IDI was 0.043 (0.000-0.102). In LGG none of the cognitive domains added prognostic value. &lt;b&gt;Conclusions:&lt;/b&gt; Our findings indicated that memory deficits, which were revealed with the neuropsychological examination, were of additional prognostic value in HGG to other well-known predictors of survival.</t>
  </si>
  <si>
    <t>Environmental risk factors of type 2 diabetes-an exposome approach.</t>
  </si>
  <si>
    <t>Beulens, Joline W J; Pinho, Maria G M; Abreu, Taymara C; den Braver, Nicole R; Lam, Thao M; Huss, Anke; Vlaanderen, Jelle; Sonnenschein, Tabea; Siddiqui, Noreen Z; Yuan, Zhendong; Kerckhoffs, Jules; Zhernakova, Alexandra; Brandao Gois, Milla F; Vermeulen, Roel C H</t>
  </si>
  <si>
    <t>https://pubmed.ncbi.nlm.nih.gov/34792619</t>
  </si>
  <si>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</si>
  <si>
    <t>&lt;i&gt;KRAS&lt;/i&gt; A146 Mutations Are Associated With Distinct Clinical Behavior in Patients With Colorectal Liver Metastases.</t>
  </si>
  <si>
    <t>van 't Erve, Iris; Wesdorp, Nina J; Medina, Jamie E; Ferreira, Leonardo; Leal, Alessandro; Huiskens, Joost; Bolhuis, Karen; van Waesberghe, Jan-Hein T M; Swijnenburg, Rutger-Jan; van den Broek, Daan; Velculescu, Victor E; Kazemier, Geert; Punt, Cornelis J A; Meijer, Gerrit A; Fijneman, Remond J A</t>
  </si>
  <si>
    <t>https://pubmed.ncbi.nlm.nih.gov/34820593</t>
  </si>
  <si>
    <t>Somatic &lt;i&gt;KRAS&lt;/i&gt; mutations occur in approximately half of the patients with metastatic colorectal cancer (mCRC). Biologic tumor characteristics differ on the basis of the &lt;i&gt;KRAS&lt;/i&gt; mutation variant. &lt;i&gt;KRAS&lt;/i&gt; mutations are known to influence patient prognosis and are used as predictive biomarker for treatment decisions. This study examined clinical features of patients with mCRC with a somatic mutation in &lt;i&gt;KRAS&lt;/i&gt; G12, G13, Q61, K117, or A146. A total of 419 patients with colorectal cancer with initially unresectable liver-limited metastases, who participated in a multicenter prospective trial, were evaluated for tumor tissue &lt;i&gt;KRAS&lt;/i&gt; mutation status. For the subgroup of patients who carried a &lt;i&gt;KRAS&lt;/i&gt; mutation and were treated with bevacizumab and doublet or triplet chemotherapy (N = 156), pretreatment circulating tumor DNA levels were analyzed, and total tumor volume (TTV) was quantified on the pretreatment computed tomography images. Most patients carried a &lt;i&gt;KRAS&lt;/i&gt; G12 mutation (N = 112), followed by mutations in G13 (N = 15), A146 (N = 12), Q61 (N = 9), and K117 (N = 5). High plasma circulating tumor DNA levels were observed for patients carrying a &lt;i&gt;KRAS&lt;/i&gt; A146 mutation versus those with a &lt;i&gt;KRAS&lt;/i&gt; G12 mutation, with median mutant allele frequencies of 48% versus 19%, respectively. Radiologic TTV revealed this difference to be associated with a higher tumor load in patients harboring a &lt;i&gt;KRAS&lt;/i&gt; A146 mutation (median TTV 672 cm&lt;sup&gt;3&lt;/sup&gt; [A146] &lt;i&gt;v&lt;/i&gt; 74 cm&lt;sup&gt;3&lt;/sup&gt; [G12], &lt;i&gt;P&lt;/i&gt; = .036). Moreover, &lt;i&gt;KRAS&lt;/i&gt; A146 mutation carriers showed inferior overall survival compared with patients with mutations in &lt;i&gt;KRAS&lt;/i&gt; G12 (median 10.7 &lt;i&gt;v&lt;/i&gt; 26.4 months; hazard ratio = 2.5; &lt;i&gt;P&lt;/i&gt; = .003). Patients with mCRC with a &lt;i&gt;KRAS&lt;/i&gt; A146 mutation represent a distinct molecular subgroup of patients with higher tumor burden and worse clinical outcomes, who might benefit from more intensive treatments. These results highlight the importance of testing colorectal cancer for all &lt;i&gt;KRAS&lt;/i&gt; mutations in routine clinical care.</t>
  </si>
  <si>
    <t>Missing data is poorly handled and reported in prediction model studies using machine learning: a literature review.</t>
  </si>
  <si>
    <t>Nijman, Swj; Leeuwenberg, A M; Beekers, I; Verkouter, I; Jacobs, Jjl; Bots, M L; Asselbergs, F W; Moons, Kgm; Debray, Tpa</t>
  </si>
  <si>
    <t>https://pubmed.ncbi.nlm.nih.gov/34798287</t>
  </si>
  <si>
    <t>Missing data is a common problem during the development, evaluation, and implementation of prediction models. Although machine learning (ML) methods are often said to be capable of circumventing missing data, it is unclear how these methods are used in medical research. We aim to find out if and how well prediction model studies using machine learning report on their handling of missing data. We systematically searched the literature on published papers between 2018 and 2019 about primary studies developing and/or validating clinical prediction models using any supervised ML methodology across medical fields. From the retrieved studies information about the amount and nature (e.g. missing completely at random, potential reasons for missingness) of missing data and the way they were handled were extracted. We identified 152 machine learning-based clinical prediction model studies. A substantial amount of these 152 papers did not report anything on missing data (n = 56/152). A majority (n = 96/152) reported details on the handling of missing data (e.g., methods used), though many of these (n = 46/96) did not report the amount of the missingness in the data. In these 96 papers the authors only sometimes reported possible reasons for missingness (n = 7/96) and information about missing data mechanisms (n = 8/96). The most common approach for handling missing data was deletion (n = 65/96), mostly via complete-case analysis (CCA) (n = 43/96). Very few studies used multiple imputation (n = 8/96) or built-in mechanisms such as surrogate splits (n = 7/96) that directly address missing data during the development, validation, or implementation of the prediction model. Though missing values are highly common in any type of medical research and certainly in the research based on routine healthcare data, a majority of the prediction model studies using machine learning does not report sufficient information on the presence and handling of missing data. Strategies in which patient data are simply omitted are unfortunately the most often used methods, even though it is generally advised against and well known that it likely causes bias and loss of analytical power in prediction model development and in the predictive accuracy estimates. Prediction model researchers should be much more aware of alternative methodologies to address missing data.</t>
  </si>
  <si>
    <t>QCOVID in Scotland: time to recalibrate our expectations?</t>
  </si>
  <si>
    <t>Gupta, Rishi K; van Smeden, Maarten</t>
  </si>
  <si>
    <t>thorax</t>
  </si>
  <si>
    <t>https://pubmed.ncbi.nlm.nih.gov/34782483</t>
  </si>
  <si>
    <t>Opportunities and Challenges of Web-Based and Remotely Administered Surveys for Patient Preference Studies in a Vulnerable Population.</t>
  </si>
  <si>
    <t>Oliveri, Serena; Lanzoni, Lucilla; Petrocchi, Serena; Janssens, Rosanne; Schoefs, Elise; Huys, Isabelle; Smith, Meredith Y; Smith, Ian P; Veldwijk, Jorien; de Wit, G Ardine; Pravettoni, Gabriella</t>
  </si>
  <si>
    <t>https://pubmed.ncbi.nlm.nih.gov/34848947</t>
  </si>
  <si>
    <t>The application of web-based and remotely administered surveys is becoming increasingly popular due to the fact that it offers numerous advantages over traditional paper-based or computer-based surveys completed in the presence of the researcher. However, it is unclear whether complex preference elicitation tasks administered online in highly vulnerable patient populations are also feasible. This commentary discusses opportunities and challenges of conducting quantitative patient preference studies in lung cancer patients using web-based modes of data collection. We refer to our recent experience in the context of the Patient Preference in Benefit-Risk Assessments during the Drug Life Cycle (PREFER) project. Among the main advantages were the possibility of reaching a wider and geographically distant population in a shorter timeframe while reducing the financial costs of testing, the greater flexibility offered and the reduced burden on the patients. Some limitations were also identified and should be the object of further research, including the potential lack of inclusiveness of the research, the lack of control over who is completing the survey, a poor comprehension of the study material, and ultimately a lower level of engagement with the study. Despite these limitations, experience from the PREFER project suggests that online quantitative methods for data collection may provide a valuable method to explore preferences in vulnerable patient populations beyond the COVID-19 pandemic.</t>
  </si>
  <si>
    <t>The influence of HIV infection and antiretroviral treatment on pulmonary function in individuals in an urban setting in sub-Saharan Africa.</t>
  </si>
  <si>
    <t>https://pubmed.ncbi.nlm.nih.gov/34858656</t>
  </si>
  <si>
    <t>With the roll-out of antiretroviral treatment (ART), the life expectancy of people with HIV and, hence, morbidity from non-communicable diseases, including pulmonary diseases, have increased. This research study aims to investigate whether HIV infection and ART use are associated with pulmonary function, given the high frequency of pulmonary infections, including tuberculosis (TB), associated with HIV. Adults living with HIV (ART-naïve, on first- or second-line ART), and age and sex matched HIV-negative controls were included in a cross-sectional study in Johannesburg, South Africa. Spirometry was performed to determine lung function, measuring the forced expiratory volume in one second (FEV1), the forced vital capacity (FVC) and the FEV1/FVC ratio before (pre), and after (post), short-acting bronchodilator. The association of HIV infection and ART use with pulmonary function was analysed using linear regression models, adjusting for age, gender, body surface area (BSA), employment, education, smoking and TB. Overall, 548 participants (62% women) were included with a mean age of 38 (standard deviation [s.d.] 9.5) years. No effect of HIV or ART on post-FEV1 was observed in adjusted analysis. Additional adjustment for TB resulted in a higher post-FEV1 in participants on ART compared with HIV-negative participants, whereas TB was associated with a lower FEV1. No effect of HIV and ART on post-FEV1/FVC was observed. HIV infection and ART use were not associated with reduced pulmonary function in this urban African population. Tuberculosis showed a mediating effect on the association between HIV, ART and pulmonary function.</t>
  </si>
  <si>
    <t>The Magnitude and Directions of the Associations between Early Life Factors and Metabolic Syndrome Differ across Geographical Locations among Migrant and Non-Migrant Ghanaians-The RODAM Study.</t>
  </si>
  <si>
    <t>van der Heijden, Thijs G W; Chilunga, Felix P; Meeks, Karlijn A C; Addo, Juliet; Danquah, Ina; Beune, Erik J; Bahendeka, Silver K; Klipstein-Grobusch, Kerstin; Mockenhaupt, Frank P; Waltz, Mitzi M; Agyemang, Charles</t>
  </si>
  <si>
    <t>https://pubmed.ncbi.nlm.nih.gov/34831754</t>
  </si>
  <si>
    <t>Early-life factors (ELFs) such as childhood nutrition and childhood socio-economic status could be the drivers of the increase in metabolic syndrome (MetSyn) among African populations, but data are lacking. This study evaluated whether markers of childhood nutritional status and childhood socio-economic status were associated with MetSyn in adulthood among migrant Ghanaians living in Europe and non-migrant Ghanaians living in Ghana. Data from the Research on Obesity and Diabetes among African Migrants (RODAM) study, involving 2008 migrants and 2320 non-migrants aged ≥25 years, were analysed for this study. We used leg-length to height ratio (LHR), which is an anthropometric marker of childhood nutritional status, and parental education, which is a marker of childhood socio-economic status, as proxies. Adjusted odds ratios (AOR) and 95% confidence intervals (95% CI) were calculated by logistic regression with adjustments for demographic and lifestyle factors. Parental education was higher among Ghanaians in Europe than among residents in rural and urban Ghana. The prevalence of MetSyn was 18.5%, 27.7% and 33.5% for rural, urban, and migrant residents, respectively. LHR was inversely associated with MetSyn among migrants. Compared with high paternal education, individuals with low paternal education had lower odds of MetSyn in migrants (AOR 0.71 95% CI 0.54-0.94). In contrast, compared with high maternal education, individuals with intermediate maternal education had higher odds of MetSyn in urban Ghanaians (AOR 4.53 95% CI 1.50-3.74). No associations were found among rural Ghanaians. The magnitude and direction of the associations between ELFs and MetSyn differ across geographical locations. Intermediate maternal education was positively associated with MetSyn among urban Ghanaians, while LHR and low paternal education were inversely associated with MetSyn among migrant Ghanaians. Further research into the interplay of genetics, environment and behaviour is needed to elucidate the underlying pathological mechanisms of MetSyn amongst migrants.</t>
  </si>
  <si>
    <t>Current trends in the application of causal inference methods to pooled longitudinal non-randomised data: a protocol for a methodological systematic review.</t>
  </si>
  <si>
    <t>Yeboah, Edmund; Mauer, Nicole Sibilla; Hufstedler, Heather; Carr, Sinclair; Matthay, Ellicott C; Maxwell, Lauren; Rahman, Sabahat; Debray, Thomas; de Jong, Valentijn M T; Campbell, Harlan; Gustafson, Paul; Jänisch, Thomas; Bärnighausen, Till</t>
  </si>
  <si>
    <t>https://pubmed.ncbi.nlm.nih.gov/34772754</t>
  </si>
  <si>
    <t>Causal methods have been adopted and adapted across health disciplines, particularly for the analysis of single studies. However, the sample sizes necessary to best inform decision-making are often not attainable with single studies, making pooled individual-level data analysis invaluable for public health efforts. Researchers commonly implement causal methods prevailing in their home disciplines, and how these are selected, evaluated, implemented and reported may vary widely. To our knowledge, no article has yet evaluated trends in the implementation and reporting of causal methods in studies leveraging individual-level data pooled from several studies. We undertake this review to uncover patterns in the implementation and reporting of causal methods used across disciplines in research focused on health outcomes. We will investigate variations in methods to infer causality used across disciplines, time and geography and identify gaps in reporting of methods to inform the development of reporting standards and the conversation required to effect change. We will search four databases (EBSCO, Embase, PubMed, Web of Science) using a search strategy developed with librarians from three universities (Heidelberg University, Harvard University, and University of California, San Francisco). The search strategy includes terms such as 'pool*', 'harmoniz*', 'cohort*', 'observational', variations on 'individual-level data'. Four reviewers will independently screen articles using Covidence and extract data from included articles. The extracted data will be analysed descriptively in tables and graphically to reveal the pattern in methods implementation and reporting. This protocol has been registered with PROSPERO (CRD42020143148). No ethical approval was required as only publicly available data were used. The results will be submitted as a manuscript to a peer-reviewed journal, disseminated in conferences if relevant, and published as part of doctoral dissertations in Global Health at the Heidelberg University Hospital.</t>
  </si>
  <si>
    <t>Prevalence of atherosclerosis and association with 5-year outcome: The Norwegian Stroke in the Young Study.</t>
  </si>
  <si>
    <t>Nawaz, Beenish; Fromm, Annette; Øygarden, Halvor; Eide, Geir E; Saeed, Sahrai; Meijer, Rudy; Bots, Michiel L; Sand, Kristin M; Thomassen, Lars; Næss, Halvor; Waje-Andreassen, Ulrike</t>
  </si>
  <si>
    <t>https://pubmed.ncbi.nlm.nih.gov/35342817</t>
  </si>
  <si>
    <t>We studied the prevalence of atherosclerosis among ischaemic stroke patients ≤60 years and controls at the time of the index stroke, and its association with occurrence of new cardiovascular events (CVEs) and mortality at a 5-year follow-up. Prevalent atherosclerosis was assessed for 385 patients and 260 controls in seven vascular areas by electrocardiogram (ECG), ankle-arm index (AAI) and measurement of right and left carotid and femoral intima-media thickness (cIMT and fIMT) and abdominal aorta plaques (AAP). Clinical end-points were any new CVE (stroke, angina, myocardial infarction or peripheral arterial disease) or death from any cause at 5-year follow-up. All results were sex- and age-adjusted; logistic regression and Cox proportional hazards models were applied. Young patients ≤49 years had prevalent atherosclerosis in 1/2 of males and 1/3 of females. Compared with controls, young female patients showed significantly higher prevalent atherosclerosis, &lt;i&gt;p&lt;/i&gt; = 0.024. Ischaemic ECG and mean cIMT were higher in young and middle-aged female patients (&lt;i&gt;p&lt;/i&gt; = 0.044, &lt;i&gt;p&lt;/i&gt; = 0.020, &lt;i&gt;p&lt;/i&gt; = 0.023 and &lt;i&gt;p&lt;/i&gt; &lt;0.001, respectively). Mean fIMT was higher in middle-aged female patients (&lt;i&gt;p&lt;/i&gt; &lt;0.001). Cardiovascular events were associated with ischaemic ECG; AAI ≤0.9, fIMT ≥0.9 mm and increased number of areas with atherosclerosis (NAA) among patients, and with AAP, cIMT ≥0.9 mm, fIMT ≥0.9 mm and NAA among controls. Mortality was associated with higher age, ischaemic ECG and NAA among patients, and cIMT ≥0.9 mm among controls. Atherosclerosis is highly prevalent even in young stroke patients. Some areas and increasing NAA are associated with CVEs and death.</t>
  </si>
  <si>
    <t>Cardiovascular Morbidity and Mortality in Adult Patients With Repaired Aortic Coarctation.</t>
  </si>
  <si>
    <t>Meijs, Timion A; Minderhoud, Savine C S; Muller, Steven A; de Winter, Robbert J; Mulder, Barbara J M; van Melle, Joost P; Hoendermis, Elke S; van Dijk, Arie P J; Zuithoff, Nicolaas P A; Krings, Gregor J; Doevendans, Pieter A; Witsenburg, Maarten; Roos-Hesselink, Jolien W; van den Bosch, Annemien E; Bouma, Berto J; Voskuil, Michiel</t>
  </si>
  <si>
    <t>https://pubmed.ncbi.nlm.nih.gov/34755532</t>
  </si>
  <si>
    <t>Background The long-term burden of cardiovascular disease after repair of coarctation of the aorta (CoA) has not been elucidated. We aimed to determine the incidence of and risk factors for cardiovascular events in adult patients with repaired CoA. Additionally, mortality rates were compared between adults with repaired CoA and the general population. Methods and Results Using the Dutch Congenital Corvitia (CONCOR) registry, patients aged ≥16 years with previous surgical or transcatheter CoA repair from 5 tertiary referral centers were included. Cardiovascular events were recorded, comprising coronary artery disease, stroke/transient ischemic attack, aortic complications, arrhythmias, heart failure hospitalizations, endocarditis, and cardiovascular death. In total, 920 patients (median age, 24 years [range 16-74 years]) were included. After a mean follow-up of 9.3±5.1 years, 191 patients (21%) experienced at least 1 cardiovascular event. A total of 270 cardiovascular events occurred, of which aortic complications and arrhythmias were most frequent. Older age at initial CoA repair (hazard ratio [HR], 1.017; 95% CI, 1.000-1.033 [&lt;i&gt;P&lt;/i&gt;=0.048]) and elevated left ventricular mass index (HR, 1.009; 95% CI, 1.005-1.013 [&lt;i&gt;P&lt;/i&gt;&lt;0.001]) were independently associated with an increased risk of cardiovascular events. The mortality rate was 3.3 times higher than expected based on an age- and sex-matched cohort from the Dutch general population (standardized mortality ratio, 3.3; 95% CI, 2.3-4.4 [&lt;i&gt;P&lt;/i&gt;&lt;0.001]). Conclusions This large, prospective cohort of adults with repaired CoA showed a high burden of cardiovascular events, particularly aortic complications and arrhythmias, during long-term follow-up. Older age at initial CoA repair and elevated left ventricular mass index were independent risk factors for the occurrence of cardiovascular events. Mortality was 3.3-fold higher compared with the general population. These results advocate stringent follow-up after CoA repair and emphasize the need for improved preventive strategies.</t>
  </si>
  <si>
    <t>Diagnostic value of routine chest tube tip culture in surgery for noninfectious lung disease.</t>
  </si>
  <si>
    <t>van Schelt, Martijn; Jenniskens, Kevin; Rentenaar, Rob J; Bronsveld, Inez</t>
  </si>
  <si>
    <t>journal of cardiothoracic surgery</t>
  </si>
  <si>
    <t>https://pubmed.ncbi.nlm.nih.gov/34758852</t>
  </si>
  <si>
    <t>Evaluation of the diagnostic value of routine chest tube tip culture for detection of postoperative infection after surgery for noninfectious lung disease. Included subjects were patients who underwent lung surgery between January 1st 2013 and January 1st 2018 in University Medical Centre Utrecht and of whom a chest tube tip was cultured. Postoperative outcomes included pneumonia, surgical site infection, and empyema within 30 days after surgery. Univariable analysis for diagnostic accuracy of chest tube tip culture results predicting these postoperative outcomes was performed, as well as multivariable analysis using penalized firth logistic regression. Patients developed one or more postoperative infections in 42 out of 210 (20%) lung surgeries. Pneumonia, surgical site infection, and empyema were found in 36 (17%), 8 (4%), and 2 (1%) cases respectively. Chest tube tip culture had a sensitivity of 31%, a specificity of 83%, a positive predictive value of 32%, and a negative predictive value of 83% for postoperative infections. In the subgroup of patients who did not have evidence of postoperative infection at the time of chest tube removal, the drain tip culture's positive and negative predictive value changed to 18% and 92% respectively. Adding additional variables to chest tube tip culture in a prediction model resulting in only limited improvement in diagnostic performance. We found insufficient diagnostic performance to support the practice of routine chest tube tip culture after surgery for noninfectious lung disease. Therefore, routine chest tube tip culture is not advisable and should be omitted to unburden the healthcare process and prevent low value care together with extra costs.</t>
  </si>
  <si>
    <t>Low-grade inflammation as a risk factor for cardiovascular events and all-cause mortality in patients with type 2 diabetes.</t>
  </si>
  <si>
    <t>Sharif, Shahnam; Van der Graaf, Y; Cramer, M J; Kapelle, L J; de Borst, G J; Visseren, Frank L J; Westerink, Jan; ,</t>
  </si>
  <si>
    <t>https://pubmed.ncbi.nlm.nih.gov/34753497</t>
  </si>
  <si>
    <t>Type 2 diabetes is a condition associated with a state of low-grade inflammation caused by adipose tissue dysfunction and insulin resistance. High sensitive-CRP (hs-CRP) is a marker for systemic low-grade inflammation and higher plasma levels have been associated with cardiovascular events in various populations. The aim of the current study is to evaluate the relation between hs-CRP and incident cardiovascular events and all-cause mortality in high-risk type 2 diabetes patients. Prospective cohort study of 1679 type 2 diabetes patients included in the Second Manifestations of ARTerial disease (SMART). Cox proportional hazard models were used to evaluate the risk of hs-CRP on cardiovascular events (composite of myocardial infarction, stroke and vascular mortality) and all-cause mortality. Hs-CRP was log-transformed for continuous analyses. Findings were adjusted for age, sex, BMI, current smoking and alcohol use, non-HDL-cholesterol and micro-albuminuria. 307 new cardiovascular events and 343 deaths occurred during a median follow-up of 7.8 years (IQR 4.2-11.1). A one unit increase in log(hs-CRP) was related to an increased vascular- and all-cause mortality risk (HR 1.21, 95% CI 1.01-1.46 and HR 1.26, 95% CI 1.10-1.45 respectively). No relation was found between log(hs-CRP) and myocardial infarction or stroke. The relations were similar in patients with and without previous vascular disease. Low grade inflammation, as measured by hs-CRP, is an independent risk factor for vascular- and all-cause mortality but not for cardiovascular events in high-risk type 2 diabetes patients. Chronic low-grade inflammation may be a treatment target to lower residual cardiovascular risk in type 2 diabetes patients.</t>
  </si>
  <si>
    <t>Long-Term Risk of Major Bleeding after Discontinuing Anticoagulation for Unprovoked Venous Thromboembolism: A Systematic Review and Meta-analysis.</t>
  </si>
  <si>
    <t>Khan, Faizan; Rahman, Alvi; Tritschler, Tobias; Carrier, Marc; Kearon, Clive; Weitz, Jeffrey I; Schulman, Sam; Couturaud, Francis; Becattini, Cecilia; Agnelli, Giancarlo; Brighton, Timothy A; Lensing, Anthonie W A; Pinede, Laurent; Parpia, Sameer; Geersing, Geert-Jan; Takada, Toshihiko; Bradbury, Charlotte A; Andreozzi, Giuseppe M; Palareti, Gualtiero; Prandoni, Paolo; Buller, Harry R; Mallick, Ranjeeta; Hutton, Brian; Thavorn, Kednapa; Le Gal, Gregoire; Rodger, Marc A; Fergusson, Dean A</t>
  </si>
  <si>
    <t>thrombosis and haemostasis</t>
  </si>
  <si>
    <t>https://pubmed.ncbi.nlm.nih.gov/34753191</t>
  </si>
  <si>
    <t xml:space="preserve"> The long-term risk of major bleeding after discontinuing anticoagulant therapy for a first unprovoked venous thromboembolism (VTE) is uncertain.  To determine the incidence of major bleeding up to 5 years after discontinuing anticoagulation for a first unprovoked VTE.  We searched MEDLINE, EMBASE, and Cochrane CENTRAL (from inception to January 2021) to identify relevant randomized controlled trials (RCTs) and prospective cohort studies reporting major bleeding after discontinuing anticoagulation in patients with a first unprovoked or weakly provoked VTE who had completed (IMAGE_)3 months of initial treatment. Unpublished data on major bleeding events and person-years were obtained from authors of included studies to calculate study-level incidence rates. Random-effects meta-analysis was used to pool results across studies.  Of 1,123 records identified by the search, 20 studies (17 RCTs) and 8,740 patients were included in the analysis. During 13,011 person-years of follow-up after discontinuing anticoagulation, the pooled incidence of major bleeding (&lt;i&gt;n&lt;/i&gt; = 41) and fatal bleeding (&lt;i&gt;n&lt;/i&gt; = 7) per 100 person-years was 0.35 (95% confidence interval [CI]: 0.20-0.54) and 0.09 (95% CI: 0.05-0.15). The 5-year cumulative incidence of major bleeding was of 1.0% (95% CI: 0.4-2.4%). The case-fatality rate of major bleeding after discontinuing anticoagulation was 19.9% (95% CI: 10.6-31.1%).  The risk of major bleeding once anticoagulants are discontinued in patients with a first unprovoked VTE is not zero. Estimates from this study can help clinicians counsel patients about the incremental risk of major bleeding with extended anticoagulation to guide decision making about treatment duration for unprovoked VTE.</t>
  </si>
  <si>
    <t>The relationship between hormonal contraception and cervical dysplasia/cancer controlling for human papillomavirus infection: A systematic review.</t>
  </si>
  <si>
    <t>Anastasiou, Elle; McCarthy, Katharine J; Gollub, Erica L; Ralph, Lauren; van de Wijgert, Janneke H H M; Jones, Heidi E</t>
  </si>
  <si>
    <t>contraception</t>
  </si>
  <si>
    <t>https://pubmed.ncbi.nlm.nih.gov/34752778</t>
  </si>
  <si>
    <t>Studies on the effect of long-term use of combined oral contraceptives (COCs) on cervical dysplasia and/or cancer risk have been inconsistent. Less is known about the effects of other forms of hormonal contraception (HC). We examine whether HC use increases the risk of incident cervical intraepithelial neoplasia (CIN) 2, 3 and/or cancer after accounting for preexisting human papillomavirus (HPV) infection. Systematic review of prospective studies on HC use as risk factor for cervical dysplasia with HPV infection documented prior to outcome assessment including PubMed and EMBASE records between January 2000 and February 2020 (Prospero #CRD42019130725). Among nine eligible studies, seven described recency and type of HC use and therefore comprise the primary analysis; two studies limit comparisons to ever versus never use and are summarized separately. All seven studies explored the relationship between oral contraceptive (OC) use and cervical dysplasia/cancer incidence: two found increased risk (adjusted odds ratio, aOR = 1.5-2.7), one found no association but decreased risk when restricted to women with persistent HPV (adjusted hazard ratio = 0.5), and four found no association. None of the seven studies differentiated between COC and progestin-only pills (POPs) by use recency or duration. The only study that included injectable progestin-only contraception (DMPA) found increased CIN3 incidence among current versus never users (aOR = 1.6). The one study that included Norplant found no association. Two studies included intrauterine device (IUD) use, but did not differentiate between hormonal and copper IUDs, and found no association. We found no consistent evidence that OC use is associated with increased risk for cervical dysplasia/cancer after controlling for HPV infection. There were too few studies of progestin-only injectables, implants or IUDs to assess their effect on cervical dysplasia/cancer risk. Use of single self-reported HC measures and insufficient distinction by hormonal constituent cloud our understanding of whether some HCs increase risk for cervical cancer. Methodologically rigorous studies with distinct HCs measured as time-varying exposures are needed to inform cervical cancer prevention efforts and improve our understanding of cervical cancer etiology.</t>
  </si>
  <si>
    <t>Airborne SARS-CoV-2 in home and hospital environments investigated with a high-powered air sampler.</t>
  </si>
  <si>
    <t>de Man, P; Ortiz, M A; Bluyssen, P M; de Man, S J; Rentmeester, M-J; van der Vliet, M; Wils, E-J; Ong, D S Y</t>
  </si>
  <si>
    <t>https://pubmed.ncbi.nlm.nih.gov/34752804</t>
  </si>
  <si>
    <t>The initial aim was to study the effects of face masks worn by recently infected individuals on the airborne spread of SARS-CoV-2, but findings motivated us to proceed with comparing the presence of SARS-CoV-2 in air samples near infected individuals at home with those near infected intensive care unit (ICU) patients. To assess the presence of SARS-CoV-2 in the air of homes of infected individuals and in ICU rooms of critically ill patients with COVID-19 who were undergoing different forms of potential aerosol-generating medical procedures. A high-volume air sampler method was developed that used a household vacuum cleaner with surgical face masks serving as sample filters. SARS-CoV-2 RNA was harvested from these filters and analysed by polymerase chain reaction. Fog experiments were performed to visualize the airflow around the air sampler. Air samples were acquired in close proximity of infected individuals, with or without wearing face masks, in their homes. Environmental air samples remote from these infected individuals were also obtained, plus samples near patients in the ICU undergoing potential aerosol-generating medical procedures. Wearing a face mask resulted in a delayed and reduced flow of the fog into the air sampler. Face masks worn by infected individuals were found to contain SARS-CoV-2 RNA in 71% of cases. SARS-CoV-2 was detected in air samples regardless of mask experiments. The proportion of positive air samples was higher in the homes (29/41; 70.7%) than in the ICU (4/17; 23.5%) (P &lt; 0.01). SARS-CoV-2 RNA could be detected in air samples by using a vacuum cleaner based air sampler method. Air samples in the home environment of recently infected individuals contained SARS-CoV-2 RNA nearly three times more frequently by comparison with those obtained in ICU rooms during potential aerosol-generating medical procedures.</t>
  </si>
  <si>
    <t>Cereblon enhancer methylation and IMiD resistance in multiple myeloma.</t>
  </si>
  <si>
    <t>Haertle, Larissa; Barrio, Santiago; Munawar, Umair; Han, Seungbin; Zhou, Xiang; Vogt, Cornelia; Fernández, Rafael Alonso; Bittrich, Max; Ruiz-Heredia, Yanira; Da Viá, Matteo; Zovko, Josip; Garitano-Trojaola, Andoni; Bolli, Niccolò; Ruckdeschel, Anna; Stühmer, Thorsten; Chatterjee, Manik; Kull, Miriam; Krönke, Jan; Agirre, Xabier; Martin-Subero, Jose I; Raab, Peter; Einsele, Hermann; Rasche, Leo; Martinez-Lopez, Joaquin; Haaf, Thomas; Kortüm, K Martin</t>
  </si>
  <si>
    <t>blood</t>
  </si>
  <si>
    <t>https://pubmed.ncbi.nlm.nih.gov/34115836</t>
  </si>
  <si>
    <t>Cereblon is the direct binding target of the immunomodulatory drugs (IMiDs) that are commonly used to treat multiple myeloma (MM), the second most frequent hematologic malignancy. Patients respond well to initial treatment with IMiDs, but virtually all patients develop drug resistance over time, and the underlying mechanisms are poorly understood. We identified an as yet undescribed DNA hypermethylation in an active intronic CRBN enhancer. Differential hypermethylation in this region was found to be increased in healthy plasma cells, but was more pronounced in IMiD-refractory MM. Methylation significantly correlated with decreased CRBN expression levels. DNA methyltransferase inhibitor (DNTMi) in vitro experiments induced CRBN enhancer demethylation, and sensitizing effects on lenalidomide treatment were observed in 2 MM cell lines. Thus, we provide first evidence that aberrant CRBN DNA methylation is a novel mechanism of IMiD resistance in MM and may predict IMiD response prior to treatment.</t>
  </si>
  <si>
    <t>Adherence to Direct Oral Anticoagulants in Patients With Non-Valvular Atrial Fibrillation: A Cross-National Comparison in Six European Countries (2008-2015).</t>
  </si>
  <si>
    <t>Sabaté, M; Vidal, X; Ballarin, E; Rottenkolber, M; Schmiedl, S; Grave, B; Huerta, C; Martin-Merino, E; Montero, D; Leon-Muñoz, L M; Gasse, C; Moore, N; Droz, C; Lassalle, R; Aakjær, M; Andersen, M; De Bruin, M L; Souverein, P; Klungel, O H; Gardarsdottir, H; Ibáñez, L</t>
  </si>
  <si>
    <t>https://pubmed.ncbi.nlm.nih.gov/34803665</t>
  </si>
  <si>
    <t>&lt;b&gt;Aims:&lt;/b&gt; To describe and compare the adherence to different direct oral anticoagulants (DOACs) in eight European databases representing six countries. &lt;b&gt;Methods:&lt;/b&gt; Longitudinal drug utilization study of new users (≥18 years) of DOACs (dabigatran, rivaroxaban, apixaban) with a diagnosis of non-valvular atrial fibrillation (2008-2015). Adherence was examined by estimating persistence, switching, and discontinuation rates at 12 months. Primary non-adherence was estimated in BIFAP and SIDIAP databases. &lt;b&gt;Results:&lt;/b&gt; The highest persistence rate was seen for apixaban in the CPRD database (81%) and the lowest for dabigatran in the Mondriaan database (22%). The switching rate for all DOACs ranged from 2.4 to 13.1% (Mondriaan and EGB databases, respectively). Dabigatran had the highest switching rate from 5.0 to 20.0% (Mondriaan and EGB databases, respectively). The discontinuation rate for all DOACs ranged from 16.0 to 63.9% (CPRD and Bavarian CD databases, respectively). Dabigatran had the highest rate of discontinuers, except in the Bavarian CD and AOK NORDWEST databases, ranging from 23.2 to 64.6% (CPRD and Mondriaan databases, respectively). Combined primary non-adherence for examined DOACs was 11.1% in BIFAP and 14.0% in SIDIAP. There were differences in population coverage and in the type of drug data source among the databases. &lt;b&gt;Conclusion:&lt;/b&gt; Despite the differences in the characteristics of the databases and in demographic and baseline characteristics of the included population that could explain some of the observed discrepancies, we can observe a similar pattern throughout the databases. Apixaban was the DOAC with the highest persistence. Dabigatran had the highest proportion of discontinuers and switchers at 12 months in most databases (EMA/2015/27/PH).</t>
  </si>
  <si>
    <t>Determinants of expression of SARS-CoV-2 entry-related genes in upper and lower airways.</t>
  </si>
  <si>
    <t>Aliee, Hananeh; Massip, Florian; Qi, Cancan; Stella de Biase, Maria; van Nijnatten, Jos; Kersten, Elin T G; Kermani, Nazanin Z; Khuder, Basil; Vonk, Judith M; Vermeulen, Roel C H; ,; ,; ,; Neighbors, Margaret; Tew, Gaik W; Grimbaldeston, Michele A; Ten Hacken, Nick H T; Hu, Sile; Guo, Yike; Zhang, Xiaoyu; Sun, Kai; Hiemstra, Pieter S; Ponder, Bruce A; Mäkelä, Mika J; Malmström, Kristiina; Rintoul, Robert C; Reyfman, Paul A; Theis, Fabian J; Brandsma, Corry-Anke; Adcock, Ian M; Timens, Wim; Xu, Cheng-Jian; van den Berge, Maarten; Schwarz, Roland F; Koppelman, Gerard H; Nawijn, M C; Faiz, Alen</t>
  </si>
  <si>
    <t>https://pubmed.ncbi.nlm.nih.gov/34698405</t>
  </si>
  <si>
    <t>Contralateral parenchymal enhancement on MRI is associated with tumor proteasome pathway gene expression and overall survival of early ER+/HER2-breast cancer patients.</t>
  </si>
  <si>
    <t>Ragusi, Max A A; Bismeijer, Tycho; van der Velden, Bas H M; Loo, Claudette E; Canisius, Sander; Wesseling, Jelle; Wessels, Lodewyk F A; Elias, Sjoerd G; Gilhuijs, Kenneth G A</t>
  </si>
  <si>
    <t>breast edinburgh scotland</t>
  </si>
  <si>
    <t>https://pubmed.ncbi.nlm.nih.gov/34763270</t>
  </si>
  <si>
    <t>To assess whether contralateral parenchymal enhancement (CPE) on MRI is associated with gene expression pathways in ER+/HER2-breast cancer, and if so, whether such pathways are related to survival. Preoperative breast MRIs were analyzed of early ER+/HER2-breast cancer patients eligible for breast-conserving surgery included in a prospective observational cohort study (MARGINS). The contralateral parenchyma was segmented and CPE was calculated as the average of the top-10% delayed enhancement. Total tumor RNA sequencing was performed and gene set enrichment analysis was used to reveal gene expression pathways associated with CPE (N = 226) and related to overall survival (OS) and invasive disease-free survival (IDFS) in multivariable survival analysis. The latter was also done for the METABRIC cohort (N = 1355). CPE was most strongly correlated with proteasome pathways (normalized enrichment statistic = 2.04, false discovery rate = .11). Patients with high CPE showed lower tumor proteasome gene expression. Proteasome gene expression had a hazard ratio (HR) of 1.40 (95% CI = 0.89, 2.16; P = .143) for OS in the MARGINS cohort and 1.53 (95% CI = 1.08, 2.14; P = .017) for IDFS, in METABRIC proteasome gene expression had an HR of 1.09 (95% CI = 1.01, 1.18; P = .020) for OS and 1.10 (95% CI = 1.02, 1.18; P = .012) for IDFS. CPE was negatively correlated with tumor proteasome gene expression in early ER+/HER2-breast cancer patients. Low tumor proteasome gene expression was associated with improved survival in the METABRIC data.</t>
  </si>
  <si>
    <t>Cost-Effectiveness of Magnetic Resonance Imaging Screening for Women With Extremely Dense Breast Tissue.</t>
  </si>
  <si>
    <t>Geuzinge, H Amarens; Bakker, Marije F; Heijnsdijk, Eveline A M; van Ravesteyn, Nicolien T; Veldhuis, Wouter B; Pijnappel, Ruud M; de Lange, Stéphanie V; Emaus, Marleen J; Mann, Ritse M; Monninkhof, Evelyn M; de Koekkoek-Doll, Petra K; van Gils, Carla H; de Koning, Harry J; ,</t>
  </si>
  <si>
    <t>https://pubmed.ncbi.nlm.nih.gov/34585249</t>
  </si>
  <si>
    <t>Extremely dense breast tissue is associated with increased breast cancer risk and limited sensitivity of mammography. The DENSE trial showed that additional magnetic resonance imaging (MRI) screening in women with extremely dense breasts resulted in a substantial reduction in interval cancers. The cost-effectiveness of MRI screening for these women is unknown. We used the MISCAN-breast microsimulation model to simulate several screening protocols containing mammography and/or MRI to estimate long-term effects and costs. The model was calibrated using results of the DENSE trial and adjusted to incorporate decreases in breast density with increasing age. Screening strategies varied in the number of MRIs and mammograms offered to women ages 50-75 years. Outcomes were numbers of breast cancers, life-years, quality-adjusted life-years (QALYs), breast cancer deaths, and overdiagnosis. Incremental cost-effectiveness ratios (ICERs) were calculated (3% discounting), with a willingness-to-pay threshold of €22 000. Calibration resulted in a conservative fit of the model regarding MRI detection. Both strategies of the DENSE trial were dominated (biennial mammography; biennial mammography plus MRI). MRI alone every 4 years was cost-effective with €15 620 per QALY. Screening every 3 years with MRI alone resulted in an incremental cost-effectiveness ratio of €37 181 per QALY. All strategies with mammography and/or a 2-year interval were dominated because other strategies resulted in more additional QALYs per additional euro. Alternating mammography and MRI every 2 years was close to the efficiency frontier. MRI screening is cost-effective for women with extremely dense breasts, when applied at a 4-year interval. For a willingness to pay more than €22 000 per QALY gained, MRI at a 3-year interval is cost-effective as well.</t>
  </si>
  <si>
    <t>Effect of Convalescent Plasma on Organ Support-Free Days in Critically Ill Patients With COVID-19: A Randomized Clinical Trial.</t>
  </si>
  <si>
    <t>,; Estcourt, Lise J; Turgeon, Alexis F; McQuilten, Zoe K; McVerry, Bryan J; Al-Beidh, Farah; Annane, Djillali; Arabi, Yaseen M; Arnold, Donald M; Beane, Abigail; Bégin, Philippe; van Bentum-Puijk, Wilma; Berry, Lindsay R; Bhimani, Zahra; Birchall, Janet E; Bonten, Marc J M; Bradbury, Charlotte A; Brunkhorst, Frank M; Buxton, Meredith; Callum, Jeannie L; Chassé, Michaël; Cheng, Allen C; Cove, Matthew E; Daly, James; Derde, Lennie; Detry, Michelle A; De Jong, Menno; Evans, Amy; Fergusson, Dean A; Fish, Matthew; Fitzgerald, Mark; Foley, Claire; Goossens, Herman; Gordon, Anthony C; Gosbell, Iain B; Green, Cameron; Haniffa, Rashan; Harvala, Heli; Higgins, Alisa M; Hills, Thomas E; Hoad, Veronica C; Horvat, Christopher; Huang, David T; Hudson, Cara L; Ichihara, Nao; Laing, Emma; Lamikanra, Abigail A; Lamontagne, François; Lawler, Patrick R; Linstrum, Kelsey; Litton, Edward; Lorenzi, Elizabeth; MacLennan, Sheila; Marshall, John; McAuley, Daniel F; McDyer, John F; McGlothlin, Anna; McGuinness,</t>
  </si>
  <si>
    <t>https://pubmed.ncbi.nlm.nih.gov/34606578</t>
  </si>
  <si>
    <t>The evidence for benefit of convalescent plasma for critically ill patients with COVID-19 is inconclusive. To determine whether convalescent plasma would improve outcomes for critically ill adults with COVID-19. The ongoing Randomized, Embedded, Multifactorial, Adaptive Platform Trial for Community-Acquired Pneumonia (REMAP-CAP) enrolled and randomized 4763 adults with suspected or confirmed COVID-19 between March 9, 2020, and January 18, 2021, within at least 1 domain; 2011 critically ill adults were randomized to open-label interventions in the immunoglobulin domain at 129 sites in 4 countries. Follow-up ended on April 19, 2021. The immunoglobulin domain randomized participants to receive 2 units of high-titer, ABO-compatible convalescent plasma (total volume of 550 mL ± 150 mL) within 48 hours of randomization (n = 1084) or no convalescent plasma (n = 916). The primary ordinal end point was organ support-free days (days alive and free of intensive care unit-based organ support) up to day 21 (range, -1 to 21 days; patients who died were assigned -1 day). The primary analysis was an adjusted bayesian cumulative logistic model. Superiority was defined as the posterior probability of an odds ratio (OR) greater than 1 (threshold for trial conclusion of superiority &gt;99%). Futility was defined as the posterior probability of an OR less than 1.2 (threshold for trial conclusion of futility &gt;95%). An OR greater than 1 represented improved survival, more organ support-free days, or both. The prespecified secondary outcomes included in-hospital survival; 28-day survival; 90-day survival; respiratory support-free days; cardiovascular support-free days; progression to invasive mechanical ventilation, extracorporeal mechanical oxygenation, or death; intensive care unit length of stay; hospital length of stay; World Health Organization ordinal scale score at day 14; venous thromboembolic events at 90 days; and serious adverse events. Among the 2011 participants who were randomized (median age, 61 [IQR, 52 to 70] years and 645/1998 [32.3%] women), 1990 (99%) completed the trial. The convalescent plasma intervention was stopped after the prespecified criterion for futility was met. The median number of organ support-free days was 0 (IQR, -1 to 16) in the convalescent plasma group and 3 (IQR, -1 to 16) in the no convalescent plasma group. The in-hospital mortality rate was 37.3% (401/1075) for the convalescent plasma group and 38.4% (347/904) for the no convalescent plasma group and the median number of days alive and free of organ support was 14 (IQR, 3 to 18) and 14 (IQR, 7 to 18), respectively. The median-adjusted OR was 0.97 (95% credible interval, 0.83 to 1.15) and the posterior probability of futility (OR &lt;1.2) was 99.4% for the convalescent plasma group compared with the no convalescent plasma group. The treatment effects were consistent across the primary outcome and the 11 secondary outcomes. Serious adverse events were reported in 3.0% (32/1075) of participants in the convalescent plasma group and in 1.3% (12/905) of participants in the no convalescent plasma group. Among critically ill adults with confirmed COVID-19, treatment with 2 units of high-titer, ABO-compatible convalescent plasma had a low likelihood of providing improvement in the number of organ support-free days. ClinicalTrials.gov Identifier: NCT02735707.</t>
  </si>
  <si>
    <t>Shared decision making in cancer treatment: A Dutch national survey on patients' preferences and perceptions.</t>
  </si>
  <si>
    <t>Kuijpers, Marieke M T; van Veenendaal, Haske; Engelen, Vivian; Visserman, Ella; Noteboom, Eveline A; Stiggelbout, Anne M; May, Anne M; de Wit, Niek; van der Wall, Elsken; Helsper, Charles W</t>
  </si>
  <si>
    <t>https://pubmed.ncbi.nlm.nih.gov/34729832</t>
  </si>
  <si>
    <t>Shared decision making (SDM) for cancer treatment yields positive results. However, it appears that discussing essential topics for SDM is not fully integrated into treatment decision making yet. Therefore, we aim to explore to what extent discussion of therapy options, treatment consequences, and personal priorities is preferred and perceived by (former) cancer patients. An online questionnaire was distributed by the Dutch Federation of Cancer Patient Organisations among (former) cancer patients in 2018. Among 3785 (former) cancer patients, 3254 patients (86%) had discussed treatments with their health care provider (HCP) and were included for analysis. Mean age was 62.1 ± 11.5; 55% were female. Discussing the option to choose no (further) treatment was rated by 2751 (84.5%) as very important (median score 9/10-IQR 8-10). Its occurrence was perceived by 28% (N = 899), and short- and long-term treatment consequences were discussed in 81% (N = 2626) and 53% (N = 1727), respectively. An unmet wish to discuss short- and long-term consequences was reported by 22% and 26%, respectively. Less than half of the (former) cancer patients perceived that personal priorities (44%) and future plans (34%) were discussed. In the perception of (former) cancer patients, several essential elements for effective SDM are insufficiently discussed during cancer treatment decision making.</t>
  </si>
  <si>
    <t>Why clinical context and relevant protocols matter: author's reply.</t>
  </si>
  <si>
    <t>Impellizzeri, Franco M; McCall, Alan; van Smeden, Maarten</t>
  </si>
  <si>
    <t>https://pubmed.ncbi.nlm.nih.gov/34737060</t>
  </si>
  <si>
    <t>&lt;sup&gt;89&lt;/sup&gt;Zr-pembrolizumab imaging as a non-invasive approach to assess clinical response to PD-1 blockade in cancer.</t>
  </si>
  <si>
    <t>Kok, I C; Hooiveld, J S; van de Donk, P P; Giesen, D; van der Veen, E L; Lub-de Hooge, M N; Brouwers, A H; Hiltermann, T J N; van der Wekken, A J; Hijmering-Kappelle, L B M; Timens, W; Elias, S G; Hospers, G A P; Groen, H J M; Uyterlinde, W; van der Hiel, B; Haanen, J B; de Groot, D J A; Jalving, M; de Vries, E G E</t>
  </si>
  <si>
    <t>https://pubmed.ncbi.nlm.nih.gov/34736925</t>
  </si>
  <si>
    <t>Programmed cell death protein 1 (PD-1) antibody treatment is standard of care for melanoma and non-small-cell lung cancer (NSCLC). Accurately predicting which patients will benefit is currently not possible. Tumor uptake and biodistribution of the PD-1 antibody might play a role. Therefore, we carried out a positron emission tomography (PET) imaging study with zirconium-89 (&lt;sup&gt;89&lt;/sup&gt;Zr)-labeled pembrolizumab before PD-1 antibody treatment. Patients with advanced or metastatic melanoma or NSCLC received 37 MBq (1 mCi) &lt;sup&gt;89&lt;/sup&gt;Zr-pembrolizumab (∼2.5 mg antibody) intravenously plus 2.5 or 7.5 mg unlabeled pembrolizumab. After that, up to three PET scans were carried out on days 2, 4, and 7. Next, PD-1 antibody treatment was initiated. &lt;sup&gt;89&lt;/sup&gt;Zr-pembrolizumab tumor uptake was calculated as maximum standardized uptake value (SUV&lt;sub&gt;max&lt;/sub&gt;) and expressed as geometric mean. Normal organ uptake was calculated as SUV&lt;sub&gt;mean&lt;/sub&gt; and expressed as a mean. Tumor response was assessed according to (i)RECIST v1.1. Eighteen patients, 11 with melanoma and 7 with NSCLC, were included. The optimal dose was 5 mg pembrolizumab, and the optimal time point for PET scanning was day 7. The tumor SUV&lt;sub&gt;max&lt;/sub&gt; did not differ between melanoma and NSCLC (4.9 and 6.5, P = 0.49). Tumor &lt;sup&gt;89&lt;/sup&gt;Zr-pembrolizumab uptake correlated with tumor response (P trend = 0.014) and progression-free (P = 0.0025) and overall survival (P = 0.026). &lt;sup&gt;89&lt;/sup&gt;Zr-pembrolizumab uptake at 5 mg was highest in the spleen with a mean SUV&lt;sub&gt;mean&lt;/sub&gt; of 5.8 (standard deviation ±1.8). There was also &lt;sup&gt;89&lt;/sup&gt;Zr-pembrolizumab uptake in Waldeyer's ring, in normal lymph nodes, and at sites of inflammation. &lt;sup&gt;89&lt;/sup&gt;Zr-pembrolizumab uptake in tumor lesions correlated with treatment response and patient survival. &lt;sup&gt;89&lt;/sup&gt;Zr-pembrolizumab also showed uptake in lymphoid tissues and at sites of inflammation.</t>
  </si>
  <si>
    <t>Apixaban versus no anticoagulation after anticoagulation-associated intracerebral haemorrhage in patients with atrial fibrillation in the Netherlands (APACHE-AF): a randomised, open-label, phase 2 trial.</t>
  </si>
  <si>
    <t>Schreuder, Floris H B M; van Nieuwenhuizen, Koen M; Hofmeijer, Jeannette; Vermeer, Sarah E; Kerkhoff, Henk; Zock, Elles; Luijckx, Gert-Jan; Messchendorp, Gert P; van Tuijl, Julia; Bienfait, H Paul; Booij, Suzanne J; van den Wijngaard, Ido R; Remmers, Michel J M; Schreuder, Antonia H C M L; Dippel, Diederik W; Staals, Julie; Brouwers, Paul J A M; Wermer, Marieke J H; Coutinho, Jonathan M; Kwa, Vincent I H; van Gelder, Isabelle C; Schutgens, Roger E G; Zweedijk, Berber; Algra, Ale; van Dalen, Jan Willem; Jaap Kappelle, L; Rinkel, Gabriel J E; van der Worp, H Bart; Klijn, Catharina J M; ,</t>
  </si>
  <si>
    <t>https://pubmed.ncbi.nlm.nih.gov/34687635</t>
  </si>
  <si>
    <t>In patients with atrial fibrillation who survive an anticoagulation-associated intracerebral haemorrhage, a decision must be made as to whether restarting or permanently avoiding anticoagulation is the best long-term strategy to prevent recurrent stroke and other vascular events. In APACHE-AF, we aimed to estimate the rates of non-fatal stroke or vascular death in such patients when treated with apixaban compared with when anticoagulation was avoided, to inform the design of a larger trial. APACHE-AF was a prospective, randomised, open-label, phase 2 trial with masked endpoint assessment, done at 16 hospitals in the Netherlands. Patients who survived intracerebral haemorrhage while treated with anticoagulation for atrial fibrillation were eligible for inclusion 7-90 days after the haemorrhage. Participants also had a CHA&lt;sub&gt;2&lt;/sub&gt;DS&lt;sub&gt;2&lt;/sub&gt;-VASc score of at least 2 and a score on the modified Rankin scale (mRS) of 4 or less. Participants were randomly assigned (1:1) to receive oral apixaban (5 mg twice daily or a reduced dose of 2·5 mg twice daily) or to avoid anticoagulation (oral antiplatelet agents could be prescribed at the discretion of the treating physician) by a central computerised randomisation system, stratified by the intention to start or withhold antiplatelet therapy in participants randomised to avoiding anticoagulation, and minimised for age and intracerebral haemorrhage location. The primary outcome was a composite of non-fatal stroke or vascular death, whichever came first, during a minimum follow-up of 6 months, analysed using Cox proportional hazards modelling in the intention-to-treat population. APACHE-AF is registered with ClinicalTrials.gov (NCT02565693) and the Netherlands Trial Register (NL4395), and the trial is closed to enrolment at all participating sites. Between Jan 15, 2015, and July 6, 2020, we recruited 101 patients (median age 78 years [IQR 73-83]; 55 [54%] were men and 46 [46%] were women; 100 [99%] were White and one [1%] was Black) a median of 46 days (IQR 21-74) after intracerebral haemorrhage. 50 were assigned to apixaban and 51 to avoid anticoagulation (of whom 26 [51%] started antiplatelet therapy). None were lost to follow-up. Over a median follow-up of 1·9 years (IQR 1·0-3·1; 222 person-years), non-fatal stroke or vascular death occurred in 13 (26%) participants allocated to apixaban (annual event rate 12·6% [95% CI 6·7-21·5]) and in 12 (24%) allocated to avoid anticoagulation (11·9% [95% CI 6·2-20·8]; adjusted hazard ratio 1·05 [95% CI 0·48-2·31]; p=0·90). Serious adverse events that were not outcome events occurred in 29 (58%) of 50 participants assigned to apixaban and 29 (57%) of 51 assigned to avoid anticoagulation. Patients with atrial fibrillation who had an intracerebral haemorrhage while taking anticoagulants have a high subsequent annual risk of non-fatal stroke or vascular death, whether allocated to apixaban or to avoid anticoagulation. Our data underline the need for randomised controlled trials large enough to allow identification of subgroups in whom restarting anticoagulation might be either beneficial or hazardous. Dutch Heart Foundation (grant 2012T077).</t>
  </si>
  <si>
    <t>Change in cervical length after arrested preterm labor and risk of preterm birth.</t>
  </si>
  <si>
    <t>Rennert, K N; Breuking, S H; Schuit, E; Bekker, M N; Woiski, M; de Boer, M A; Sueters, M; Scheepers, H C J; Franssen, M T M; Pajkrt, E; Mol, B W J; Kok, M; Hermans, F J R</t>
  </si>
  <si>
    <t>https://pubmed.ncbi.nlm.nih.gov/33860985</t>
  </si>
  <si>
    <t>To assess the association between preterm birth and cervical length after arrested preterm labor in high-risk pregnant women. In this post-hoc analysis of a randomized clinical trial, transvaginal cervical length was measured in women whose contractions had ceased 48 h after admission for threatened preterm labor. At admission, women were defined as having a high risk of preterm birth based on a cervical length of &lt; 15 mm or a cervical length of 15-30 mm with a positive fetal fibronectin test. Logistic regression analysis was used to investigate the association of cervical length measured at least 48 h after admission and of the change in cervical length between admission and at least 48 h later, with preterm birth before 34 weeks' gestation and delivery within 7 days after admission. A total of 164 women were included in the analysis. Women whose cervical length increased between admission for threatened preterm labor and 48 h later (32%; n = 53) were found to have a lower risk of preterm birth before 34 weeks compared with women whose cervical length did not change (adjusted odds ratio (aOR), 0.24 (95% CI, 0.09-0.69)). The risk in women with a decrease in cervical length between the two timepoints was not different from that in women with no change in cervical length (aOR, 1.45 (95% CI, 0.62-3.41)). Moreover, greater absolute cervical length after 48 h was associated with a lower risk of preterm birth before 34 weeks (aOR, 0.90 (95% CI, 0.84-0.96)) and delivery within 7 days after admission (aOR, 0.91 (95% CI, 0.82-1.02)). Sensitivity analysis in women randomized to receive no intervention showed comparable results. Our study suggests that the risk of preterm birth before 34 weeks is lower in women whose cervical length increases between admission for threatened preterm labor and at least 48 h later when contractions had ceased compared with women in whom cervical length does not change or decreases. © 2021 The Authors. Ultrasound in Obstetrics &amp; Gynecology published by John Wiley &amp; Sons Ltd on behalf of International Society of Ultrasound in Obstetrics and Gynecology.</t>
  </si>
  <si>
    <t>Economic evaluations of exome and genome sequencing in pediatric genetics: considerations towards a consensus strategy.</t>
  </si>
  <si>
    <t>Olde Keizer, Richelle A C M; Henneman, Lidewij; Ploos van Amstel, Johannes Kristian; Vissers, Lisenka E L M; Frederix, Gerardus W J</t>
  </si>
  <si>
    <t>journal of medical economics</t>
  </si>
  <si>
    <t>https://pubmed.ncbi.nlm.nih.gov/34915793</t>
  </si>
  <si>
    <t>Next Generation Sequencing (NGS) is increasingly used for the diagnosis of rare genetic disorders. The aim of this study is to review the different approaches for economic evaluations of Next Generation Sequencing (NGS) in pediatric care used to date, to identify all costs, effects, and time horizons taken into account. A systematic literature review was conducted to identify published economic evaluations of NGS applications in pediatric diagnostics, i.e. exome sequencing (ES) and/or genome sequencing (GS). Information regarding methodological approach, costs, effects, and time horizon was abstracted from these publications. Twenty-eight economic evaluations of ES/GS within pediatrics were identified. Costs included were mainly restricted to direct in-hospital healthcare costs and varied widely in inclusion of sort of costs and time-horizon. Nineteen studies included diagnostic yield and eight studies included cost-effectiveness as outcome measures. Studies varied greatly in terms of included sort of costs data, effects, and time horizon. Large differences in inclusion of cost and effect parameters were identified between studies. Validity of outcomes can therefore be questioned, which hinders valid comparison and widespread generalization of conclusions. In addition to current health economic guidance, specific guidance for evaluations in pediatric care is therefore necessary to improve the validity of outcomes and furthermore facilitate comparable decision-making for implementing novel NGS-based diagnostic modalities in pediatric genetics and beyond.</t>
  </si>
  <si>
    <t>A Strong Decline in the Incidence of Childhood Otitis Media During the COVID-19 Pandemic in the Netherlands.</t>
  </si>
  <si>
    <t>Hullegie, Saskia; Schilder, Anne G M; Marchisio, Paola; de Sévaux, Joline L H; van der Velden, Alike W; van de Pol, Alma C; Boeijen, Josi A; Platteel, Tamara N; Torretta, Sara; Damoiseaux, Roger A M J; Venekamp, Roderick P</t>
  </si>
  <si>
    <t>frontiers in cellular and infection microbiology</t>
  </si>
  <si>
    <t>https://pubmed.ncbi.nlm.nih.gov/34790591</t>
  </si>
  <si>
    <t>Recent reports have highlighted the impact of the COVID-19 pandemic on the incidence of infectious disease illnesses and antibiotic use. This study investigates the effect of the pandemic on childhood incidence of otitis media (OM) and associated antibiotic prescribing in a large primary care-based cohort in the Netherlands. Retrospective observational cohort study using routine health care data from the Julius General Practitioners' Network (JGPN). All children aged 0-12 registered in 62 practices before the COVID-19 pandemic (1 March 2019 - 29 February 2020) and/or during the pandemic (1 March 2020 - 28 February 2021) were included. Data on acute otitis media (AOM), otitis media with effusion (OME), ear discharge episodes and associated antibiotic prescriptions were extracted. Incidence rates per 1,000 child years (IR), incidence rate ratios (IRR) and incidence rate differences (IRD) were compared between the two study periods. OM episodes declined considerably during the COVID-19 pandemic: IR pre-COVID-19 vs COVID-19 for AOM 73.7 vs 27.1 [IRR 0.37]; for OME 9.6 vs 4.1 [IRR 0.43]; and for ear discharge 12.6 vs 5.8 [IRR 0.46]. The absolute number of AOM episodes in which oral antibiotics were prescribed declined accordingly (IRD pre-COVID-19 vs COVID-19: -22.4 per 1,000 child years), but the proportion of AOM episodes with antibiotic prescription was similar in both periods (47% vs 46%, respectively). GP consultation for AOM, OME and ear discharge declined by 63%, 57% and 54% respectively in the Netherlands during the COVID-19 pandemic. Similar antibiotic prescription rates before and during the pandemic indicate that the case-mix presenting to primary care did not considerably change. Our data therefore suggest a true decline as a consequence of infection control measures introduced during the pandemic.</t>
  </si>
  <si>
    <t>Cardiovascular toxicity of contemporary antiretroviral therapy.</t>
  </si>
  <si>
    <t>Vos, Alinda G; Venter, W D F</t>
  </si>
  <si>
    <t>current opinion in hiv and aids</t>
  </si>
  <si>
    <t>https://pubmed.ncbi.nlm.nih.gov/34545036</t>
  </si>
  <si>
    <t>HIV treatment has evolved since the introduction of antiretroviral therapy (ART) in the 1990s. Earlier treatment strategies, and the introduction of integrase inhibitors in preferred first-line ART have fundamentally changed cardiovascular side effects due to HIV infection and ART. This review provides an update on cardiovascular toxicity of contemporary ART. Cardiovascular disease (CVD) risk, including heart failure, is still increased in people living with HIV (PLWH). Exposure to older antiretrovirals, including stavudine and zidovudine, still impact on CVD risk through persistent changes in body fat distribution years after discontinuation. Protease inhibitors (PI) and efavirenz have associated metabolic disturbances and increased risk of CVD, although use is decreasing worldwide. Integrase inhibitors and CCR5 antagonists seem to have negligible immediate CVD toxicity. Weight gain on newer antiretrovirals including integrase inhibitors is a reason for concern. CVD risk should be monitored carefully in PLWH who were exposed to first generation ART, efavirenz or to PIs. Registries should capture ART use and CVD events to stay informed on actual clinical risk in the current era of rapid initiation on integrase inhibitor-based ART.</t>
  </si>
  <si>
    <t>Fifth anniversary of the Sex And Gender Equity in Research (SAGER) guidelines: taking stock and looking ahead.</t>
  </si>
  <si>
    <t>Peters, Sanne A E; Babor, Thomas F; Norton, Robyn N; Clayton, Janine A; Ovseiko, Pavel V; Tannenbaum, Cara; Heidari, Shirin</t>
  </si>
  <si>
    <t>https://pubmed.ncbi.nlm.nih.gov/34815246</t>
  </si>
  <si>
    <t>Quantifying heterogeneity in sexual behaviour and distribution of STIs before and after pre-exposure prophylaxis among men who have sex with men.</t>
  </si>
  <si>
    <t>van Wees, Daphne Amanda; Diexer, Sophie; Rozhnova, Ganna; Matser, Amy; den Daas, Chantal; Heijne, Janneke; Kretzschmar, Mirjam</t>
  </si>
  <si>
    <t>sexually transmitted infections</t>
  </si>
  <si>
    <t>https://pubmed.ncbi.nlm.nih.gov/34716228</t>
  </si>
  <si>
    <t>&lt;b&gt;Objectives:&lt;/b&gt; Pre-exposure prophylaxis (PrEP) use may influence sexual behaviour and transmission of STIs among men who have sex with men (MSM). We aimed to quantify the distribution of STI diagnoses among MSM in the Netherlands based on their sexual behaviour before and after the introduction of PrEP. &lt;b&gt;Methods:&lt;/b&gt; HIV-negative MSM participating in a prospective cohort study (Amsterdam Cohort Studies) completed questionnaires about sexual behaviour and were tested for STI/HIV during biannual visits (2009-2019). We developed a sexual behaviour risk score predictive of STI diagnosis and used it to calculate Gini coefficients for gonorrhoea, chlamydia and syphilis diagnoses in the period before (2009 to mid-2015) and after PrEP (mid-2015 to 2019). Gini coefficients close to zero indicate that STI diagnoses are homogeneously distributed over the population, and close to one indicate that STI diagnoses are concentrated in individuals with a higher risk score. &lt;b&gt;Results:&lt;/b&gt; The sexual behaviour risk score (n=630, n visits=10 677) ranged between 0.00 (low risk) and 3.61 (high risk), and the mean risk score increased from 0.70 (SD=0.66) before to 0.93 (SD=0.80) after PrEP. Positivity rates for chlamydia (4%) and syphilis (1%) remained relatively stable, but the positivity rate for gonorrhoea increased from 4% before to 6% after PrEP. Gini coefficients increased from 0.37 (95% CI 0.30 to 0.43) to 0.43 (95% CI 0.36 to 0.49) for chlamydia, and from 0.37 (95% CI 0.19 to 0.52) to 0.50 (95% CI 0.32 to 0.66) for syphilis comparing before to after PrEP. The Gini coefficient for gonorrhoea remained stable at 0.46 (95% CI 0.40 to 0.52) before and after PrEP. &lt;b&gt;Conclusions:&lt;/b&gt; MSM engaged in more high-risk sexual behaviour and gonorrhoea diagnoses increased after PrEP was introduced. Chlamydia and syphilis diagnoses have become more concentrated in a high-risk subgroup. Monitoring the impact of increasing PrEP coverage on sexual behaviour and STI incidence is important. Improved STI prevention is needed, especially for high-risk MSM.</t>
  </si>
  <si>
    <t>BCG vaccination to reduce the impact of COVID-19 in healthcare workers: Protocol for a randomised controlled trial (BRACE trial).</t>
  </si>
  <si>
    <t>Pittet, Laure F; Messina, Nicole L; Gardiner, Kaya; Orsini, Francesca; Abruzzo, Veronica; Bannister, Samantha; Bonten, Marc; Campbell, John L; Croda, Julio; Dalcolmo, Margareth; Elia, Sonja; Germano, Susie; Goodall, Casey; Gwee, Amanda; Jamieson, Tenaya; Jardim, Bruno; Kollmann, Tobias R; Guimarães Lacerda, Marcus Vinícius; Lee, Katherine J; Legge, Donna; Lucas, Michaela; Lynn, David J; McDonald, Ellie; Manning, Laurens; Munns, Craig F; Perrett, Kirsten P; Prat Aymerich, Cristina; Richmond, Peter; Shann, Frank; Sudbury, Eva; Villanueva, Paola; Wood, Nicholas J; Lieschke, Katherine; Subbarao, Kanta; Davidson, Andrew; Curtis, Nigel; ,</t>
  </si>
  <si>
    <t>https://pubmed.ncbi.nlm.nih.gov/34711598</t>
  </si>
  <si>
    <t>BCG vaccination modulates immune responses to unrelated pathogens. This off-target effect could reduce the impact of emerging pathogens. As a readily available, inexpensive intervention that has a well-established safety profile, BCG is a good candidate for protecting healthcare workers (HCWs) and other vulnerable groups against COVID-19. This international multicentre phase III randomised controlled trial aims to determine if BCG vaccination reduces the incidence of symptomatic and severe COVID-19 at 6 months (co-primary outcomes) compared with no BCG vaccination. We plan to randomise 10 078 HCWs from Australia, The Netherlands, Spain, the UK and Brazil in a 1:1 ratio to BCG vaccination or no BCG (control group). The participants will be followed for 1 year with questionnaires and collection of blood samples. For any episode of illness, clinical details will be collected daily, and the participant will be tested for SARS-CoV-2 infection. The secondary objectives are to determine if BCG vaccination reduces the rate, incidence, and severity of any febrile or respiratory illness (including SARS-CoV-2), as well as work absenteeism. The safety of BCG vaccination in HCWs will also be evaluated. Immunological analyses will assess changes in the immune system following vaccination, and identify factors associated with susceptibility to or protection against SARS-CoV-2 and other infections. Ethical and governance approval will be obtained from participating sites. Results will be published in peer-reviewed open-access journals. The final cleaned and locked database will be deposited in a data sharing repository archiving system. ClinicalTrials.gov NCT04327206.</t>
  </si>
  <si>
    <t>The Prognostic Value of Total Tumor Volume Response Compared With RECIST1.1 in Patients With Initially Unresectable Colorectal Liver Metastases Undergoing Systemic Treatment.</t>
  </si>
  <si>
    <t>Wesdorp, Nina J; Bolhuis, Karen; Roor, Joran; van Waesberghe, Jan-Hein T M; van Dieren, Susan; van Amerongen, Martin J; Chapelle, Thiery; Dejong, Cornelis H C; Engelbrecht, Marc R W; Gerhards, Michael F; Grunhagen, Dirk; van Gulik, Thomas M; Hermans, John J; de Jong, Koert P; Klaase, Joost M; Liem, Mike S L; van Lienden, Krijn P; Molenaar, I Quintus; Patijn, Gijs A; Rijken, Arjen M; Ruers, Theo M; Verhoef, Cornelis; de Wilt, Johannes H W; Swijnenburg, Rutger-Jan; Punt, Cornelis J A; Huiskens, Joost; Kazemier, Geert</t>
  </si>
  <si>
    <t>annals of surgery open perspectives of surgical history education and clinical approaches</t>
  </si>
  <si>
    <t>https://pubmed.ncbi.nlm.nih.gov/37637880</t>
  </si>
  <si>
    <t>Compare total tumor volume (TTV) response after systemic treatment to Response Evaluation Criteria in Solid Tumors (RECIST1.1) and assess the prognostic value of TTV change and RECIST1.1 for recurrence-free survival (RFS) in patients with colorectal liver-only metastases (CRLM). RECIST1.1 provides unidimensional criteria to evaluate tumor response to systemic therapy. Those criteria are accepted worldwide but are limited by interobserver variability and ignore potentially valuable information about TTV. Patients with initially unresectable CRLM receiving systemic treatment from the randomized, controlled CAIRO5 trial (NCT02162563) were included. TTV response was assessed using software specifically developed together with SAS analytics. Baseline and follow-up computed tomography (CT) scans were used to calculate RECIST1.1 and TTV response to systemic therapy. Different thresholds (10%, 20%, 40%) were used to define response of TTV as no standard currently exists. RFS was assessed in a subgroup of patients with secondarily resectable CRLM after induction treatment. A total of 420 CT scans comprising 7820 CRLM in 210 patients were evaluated. In 30% to 50% (depending on chosen TTV threshold) of patients, discordance was observed between RECIST1.1 and TTV change. A TTV decrease of &gt;40% was observed in 47 (22%) patients who had stable disease according to RECIST1.1. In 118 patients with secondarily resectable CRLM, RFS was shorter for patients with less than 10% TTV decrease compared with patients with more than 10% TTV decrease (&lt;i&gt;P&lt;/i&gt; = 0.015), while RECIST1.1 was not prognostic (&lt;i&gt;P&lt;/i&gt; = 0.821). TTV response assessment shows prognostic potential in the evaluation of systemic therapy response in patients with CRLM.</t>
  </si>
  <si>
    <t>Medical Specialists' Perspectives on the Influence of Electronic Medical Record Use on the Quality of Hospital Care: Semistructured Interview Study.</t>
  </si>
  <si>
    <t>van Poelgeest, Rube; Schrijvers, Augustinus; Boonstra, Albert; Roes, Kit</t>
  </si>
  <si>
    <t>https://pubmed.ncbi.nlm.nih.gov/34704955</t>
  </si>
  <si>
    <t>Numerous publications show that electronic medical records (EMRs) may make an important contribution to increasing the quality of care. There are indications that particularly the medical specialist plays an important role in the use of EMRs in hospitals. The aim of this study was to examine how, and by which aspects, the relationship between EMR use and the quality of care in hospitals is influenced according to medical specialists. To answer this question, a qualitative study was conducted in the period of August-October 2018. Semistructured interviews of around 90 min were conducted with 11 medical specialists from 11 different Dutch hospitals. For analysis of the answers, we used a previously published taxonomy of factors that can influence the use of EMRs. The professional experience of the participating medical specialists varied between 5 and 27 years. Using the previously published taxonomy, these medical specialists considered technical barriers the most significant for EMR use. The suboptimal change processes surrounding implementation were also perceived as a major barrier. A final major problem is related to the categories "social" (their relationships with the patients and fellow care providers), "psychological" (based on their personal issues, knowledge, and perceptions), and "time" (the time required to select, implement, and learn how to use EMR systems and subsequently enter data into the system). However, the medical specialists also identified potential technical facilitators, particularly in the assured availability of information to all health care professionals involved in the care of a patient. They see promise in using EMRs for medical decision support to improve the quality of care but consider these possibilities currently lacking. The 11 medical specialists shared positive experiences with EMR use when comparing it to formerly used paper records. The fact that involved health care professionals can access patient data at any time they need is considered important. However, in practice, potential quality improvement lags as long as decision support cannot be applied because of the lack of a fully coded patient record.</t>
  </si>
  <si>
    <t>Characteristics and motives of non-responders in a stepwise cardiometabolic disease prevention program in primary care.</t>
  </si>
  <si>
    <t>Badenbroek, Ilse F; Nielen, Markus M J; Hollander, Monika; Stol, Daphne M; de Wit, Niek J; Schellevis, François G</t>
  </si>
  <si>
    <t>https://pubmed.ncbi.nlm.nih.gov/33970254</t>
  </si>
  <si>
    <t>A high response rate is an important condition for effective prevention programs. We aimed at gaining insight into the characteristics and motives of non-responders in different stages of a stepwise prevention program for cardiometabolic diseases (CMD) in primary care. We performed a non-response analysis within a randomized controlled trial assessing the effectiveness of a stepwise CMD prevention program in the Netherlands. Patients between 45 and 70 years without known CMD were invited for stage 1 of the program, completing a CMD risk score. Patients with an increased risk were advised to visit their general practice for additional measurements, stage 2 of the program. We analyzed determinants of non-response using data from the risk score, electronic medical records, questionnaires and Statistics Netherlands. Non-response in stage 1 was associated with a younger age, male sex, a migration background, a low prosperity score, self-employment, being single and having lower consultations rates in general practice. Non-response in stage 2 was associated with a low prosperity score, being employed, having no chronic illness, smoking, a normal waist circumference, a negative family history for cardiovascular disease or diabetes and having a lower consultation rate. More than half of the non-responders in stage 2 reported not visiting the GP because they did not expect to have any CMD, despite their increased risk. To achieve a larger and more equal uptake of prevention programs for CMD, we should use methods adapted to characteristics of non-responders, such as targeted invitation methods and improved risk communication.</t>
  </si>
  <si>
    <t>Improving early diagnosis of cardiovascular disease in patients with type 2 diabetes and COPD: protocol of the RED-CVD cluster randomised diagnostic trial.</t>
  </si>
  <si>
    <t>Groenewegen, Amy; Zwartkruis, Victor W; Rienstra, Michiel; Hollander, Monika; Koffijberg, Hendrik; Cramer, Maarten Jan Maria; van der Schouw, Yvonne T; Hoes, Arno W; de Boer, Rudolf A; Rutten, Frans H</t>
  </si>
  <si>
    <t>https://pubmed.ncbi.nlm.nih.gov/34702727</t>
  </si>
  <si>
    <t>The early stages of chronic progressive cardiovascular disease (CVD) generally cause non-specific symptoms that patients often do not spontaneously mention to their general practitioner, and are therefore easily missed. A proactive diagnostic strategy has the potential to uncover these frequently missed early stages, creating an opportunity for earlier intervention. This is of particular importance for chronic progressive CVDs with evidence-based therapies known to improve prognosis, such as ischaemic heart disease, atrial fibrillation and heart failure.Patients with type 2 diabetes or chronic obstructive pulmonary disease (COPD) are at particularly high risk of developing CVD. In the current study, we will demonstrate the feasibility and effectiveness of screening these high-risk patients with our early diagnosis strategy, using tools that are readily available in primary care, such as symptom questionnaires (to be filled out by the patients themselves), natriuretic peptide measurement and electrocardiography. The Reviving the Early Diagnosis-CVD trial is a multicentre, cluster randomised diagnostic trial performed in primary care practices across the Netherlands. We aim to include 1300 (2×650) patients who participate in a primary care disease management programme for COPD or type 2 diabetes. Practices will be randomised to the intervention arm (performing the early diagnosis strategy during the routine visits that are part of the disease management programmes) or the control arm (care as usual). The main outcome is the number of newly detected cases with CVDs in both arms, and the subsequent therapies they received. Secondary endpoints include quality of life, cost-effectiveness and the added diagnostic value of family and reproductive history questionnaires and three (novel) biomarkers (high-sensitive troponin-I, growth differentiation factor-15 and suppressor of tumourigenicity 2). Finally newly initiated treatments will be compared in both groups. The protocol was approved by the Medical Ethical Committee of the University Medical Center Utrecht, the Netherlands. Results are expected in 2022 and will be disseminated through international peer-reviewed publications. NTR7360.</t>
  </si>
  <si>
    <t>Intimate partner violence during the COVID-19 pandemic in Western and Southern European countries.</t>
  </si>
  <si>
    <t>Brink, Julia; Cullen, Patricia; Beek, Kristen; Peters, Sanne A E</t>
  </si>
  <si>
    <t>https://pubmed.ncbi.nlm.nih.gov/34406373</t>
  </si>
  <si>
    <t>Intimate partner violence (IPV) is a significant problem with several negative health outcomes. Disasters are linked to increased IPV, but little is known about reporting of and strategies to address IPV during the COVID-19 pandemic. This review maps the IPV reporting during the pandemic and interventions to prevent and respond to IPV in 11 Western and Southern European countries. Government websites, news articles and pre-prints were searched using the terms 'domestic violence' or 'violence' in combination with 'Covid' or 'Corona'. Embase, PubMed, Scopus and Google Scholar were searched using the terms 'domestic violence' and 'partner violence' and 'interventions'. Six countries showed an increase in domestic violence reports (Austria, Belgium, France, Ireland, Spain and UK), two countries a drop (Italy and Portugal), two countries showed no change (The Netherlands and Switzerland) and one country did not provide comparative data (Germany). Common measures to address IPV were starting a campaign (nine countries), creating online support (seven), more funding for alternative accommodation (seven) and support (eight) and use of a code word (four). IPV reports or helpline calls in Western and Southern European countries in the first weeks of COVID-19 measures increased in six countries, remained the same in two countries and showed a decrease in two countries. While this review cannot ascertain the impact of the measures taken by the countries during the pandemic and beyond, this mapping provides a foundation for future research, and an opportunity to trace the efficacy of these strategies.</t>
  </si>
  <si>
    <t>Sex-specific associations of body composition measures with cardiac function and structure after 8 years of follow-up.</t>
  </si>
  <si>
    <t>Remmelzwaal, Sharon; Beulens, Joline W J; Elders, Petra J M; Stehouwer, Coen D A; Handoko, M Louis; Appelman, Yolande; van Empel, Vanessa; Heymans, Stephane R B; van Ballegooijen, A Johanne</t>
  </si>
  <si>
    <t>https://pubmed.ncbi.nlm.nih.gov/34702868</t>
  </si>
  <si>
    <t>We investigated the prospective associations of body composition with cardiac structure and function and explored effect modification by sex and whether inflammation was a mediator in these associations. Total body (BF), trunk (TF) and leg fat (LF), and total lean mass (LM) were measured at baseline by a whole body DXA scan. Inflammatory biomarkers and echocardiographic measures were determined both at baseline and follow-up in the Hoorn Study (n = 321). We performed linear regression analyses with body composition measures as determinant and left ventricular ejection fraction (LVEF), left ventricular mass index (LVMI) or left atrial volume index (LAVI) at follow-up as outcome. Additionally, we performed mediation analysis using inflammation at follow-up as mediator. The study population was 67.7 ± 5.2 years and 50% were female. After adjustment, BF, TF and LF, and LM were associated with LVMI with regression coefficients of 2.9 (0.8; 5.1)g/m&lt;sup&gt;2.7&lt;/sup&gt;, 2.3 (0.6; 4.0)g/m&lt;sup&gt;2.7&lt;/sup&gt;, 2.0 (0.04; 4.0)g/m&lt;sup&gt;2.7&lt;/sup&gt; and - 2.9 (- 5.1; - 0.7)g/m&lt;sup&gt;2.7&lt;/sup&gt;. Body composition measures were not associated with LVEF or LAVI. These associations were not modified by sex or mediated by inflammation. Body composition could play a role in the pathophysiology of LV hypertrophy. Future research should focus on sex differences in regional adiposity in relation with diastolic dysfunction.</t>
  </si>
  <si>
    <t>Methodological issues in meta-analyses of real-world clinical data to infer causality.</t>
  </si>
  <si>
    <t>Uijl, Alicia; Lund, Lars H; Asselbergs, Folkert W; Savarese, Gianluigi</t>
  </si>
  <si>
    <t>https://pubmed.ncbi.nlm.nih.gov/34688720</t>
  </si>
  <si>
    <t>Milk intake and incident stroke and CHD in populations of European descent: a Mendelian randomisation study.</t>
  </si>
  <si>
    <t>Vissers, L E T; Sluijs, I; Burgess, S; Forouhi, N G; Freisling, H; Imamura, F; Nilsson, T K; Renström, F; Weiderpass, E; Aleksandrova, K; Dahm, C C; Perez-Cornago, A; Schulze, M B; Tong, T Y N; Aune, D; Bonet, C; Boer, J M A; Boeing, H; Chirlaque, M D; Conchi, M I; Imaz, L; Jäger, S; Krogh, V; Kyrø, C; Masala, G; Melander, O; Overvad, K; Panico, S; Sánches, M J; Sonestedt, E; Tjønneland, A; Tzoulaki, I; Verschuren, W M M; Riboli, E; Wareham, N J; Danesh, J; Butterworth, A S; van der Schouw, Y T</t>
  </si>
  <si>
    <t>the british journal of nutrition</t>
  </si>
  <si>
    <t>https://pubmed.ncbi.nlm.nih.gov/34670632</t>
  </si>
  <si>
    <t>Higher milk intake has been associated with a lower stroke risk, but not with risk of CHD. Residual confounding or reverse causation cannot be excluded. Therefore, we estimated the causal association of milk consumption with stroke and CHD risk through instrumental variable (IV) and gene-outcome analyses. IV analysis included 29 328 participants (4611 stroke; 9828 CHD) of the European Prospective Investigation into Cancer and Nutrition (EPIC)-CVD (eight European countries) and European Prospective Investigation into Cancer and Nutrition-Netherlands (EPIC-NL) case-cohort studies. rs4988235, a lactase persistence (LP) SNP which enables digestion of lactose in adulthood was used as genetic instrument. Intake of milk was first regressed on rs4988235 in a linear regression model. Next, associations of genetically predicted milk consumption with stroke and CHD were estimated using Prentice-weighted Cox regression. Gene-outcome analysis included 777 024 participants (50 804 cases) from MEGASTROKE (including EPIC-CVD), UK Biobank and EPIC-NL for stroke, and 483 966 participants (61 612 cases) from CARDIoGRAM, UK Biobank, EPIC-CVD and EPIC-NL for CHD. In IV analyses, each additional LP allele was associated with a higher intake of milk in EPIC-CVD (&lt;i&gt;β&lt;/i&gt; = 13·7 g/d; 95 % CI 8·4, 19·1) and EPIC-NL (36·8 g/d; 95 % CI 20·0, 53·5). Genetically predicted milk intake was not associated with stroke (HR per 25 g/d 1·05; 95 % CI 0·94, 1·16) or CHD (1·02; 95 % CI 0·96, 1·08). In gene-outcome analyses, there was no association of rs4988235 with risk of stroke (OR 1·02; 95 % CI 0·99, 1·05) or CHD (OR 0·99; 95 % CI 0·95, 1·03). Current Mendelian randomisation analysis does not provide evidence for a causal inverse relationship between milk consumption and stroke or CHD risk.</t>
  </si>
  <si>
    <t>Correction to: Evaluation of non-invasive imaging parameters in coronary microvascular disease: a systematic review.</t>
  </si>
  <si>
    <t>Groepenhof, F; Klaassen, R G M; Valstar, G B; Bots, S H; Onland-Moret, N C; Ruijter, H M Den; Leiner, T; Eikendal, A L M</t>
  </si>
  <si>
    <t>bmc medical imaging</t>
  </si>
  <si>
    <t>https://pubmed.ncbi.nlm.nih.gov/34670498</t>
  </si>
  <si>
    <t>Difference in Rupture Risk Between Familial and Sporadic Intracranial Aneurysms: An Individual Patient Data Meta-analysis.</t>
  </si>
  <si>
    <t>Zuurbier, Charlotte C M; Mensing, Liselore A; Wermer, Marieke J H; Juvela, Seppo; Lindgren, Antti E; Koivisto, Timo; Jääskeläinen, Juha E; Yamazaki, Tomosato; Molenberg, Rob; van Dijk, J Marc C; Uyttenboogaart, Maarten; Aalbers, Marlien; Morita, Akio; Tominari, Shinjiro; Arai, Hajime; Nozaki, Kazuhiko; Murayama, Yuichi; Ishibashi, Toshihiro; Takao, Hiroyuki; Rinkel, Gabriel J E; Greving, Jacoba P; Ruigrok, Ynte M</t>
  </si>
  <si>
    <t>https://pubmed.ncbi.nlm.nih.gov/34670818</t>
  </si>
  <si>
    <t>We combined individual patient data (IPD) from prospective cohorts of patients with unruptured intracranial aneurysms (UIAs) to assess to what extent patients with familial UIA have a higher rupture risk than those with sporadic UIA. For this IPD meta-analysis, we performed an Embase and PubMed search for studies published up to December 1, 2020. We included studies that (1) had a prospective study design; (2) included 50 or more patients with UIA; (3) studied the natural course of UIA and risk factors for aneurysm rupture including family history for aneurysmal subarachnoid haemorrhage and UIA; and (4) had aneurysm rupture as an outcome. Cohorts with available IPD were included. All studies included patients with newly diagnosed UIA visiting one of the study centers. The primary outcome was aneurysmal rupture. Patients with polycystic kidney disease and moyamoya disease were excluded. We compared rupture rates of familial vs sporadic UIA using a Cox proportional hazard regression model adjusted for PHASES score and smoking. We performed 2 analyses: (1) only studies defining first-degree relatives as parents, children, and siblings and (2) all studies, including those in which first-degree relatives are defined as only parents and children, but not siblings. We pooled IPD from 8 cohorts with a low and moderate risk of bias. First-degree relatives were defined as parents, siblings, and children in 6 cohorts (29% Dutch, 55% Finnish, 15% Japanese), totaling 2,297 patients (17% familial, 399 patients) with 3,089 UIAs and 7,301 person-years follow-up. Rupture occurred in 10 familial cases (rupture rate: 0.89%/person-year; 95% confidence interval [CI] 0.45-1.59) and 41 sporadic cases (0.66%/person-year; 95% CI 0.48-0.89); adjusted hazard ratio (HR) for familial cases 2.56 (95% CI 1.18-5.56). After adding the 2 cohorts excluding siblings as first-degree relatives, resulting in 9,511 patients, the adjusted HR was 1.44 (95% CI 0.86-2.40). The risk of rupture of UIA is 2.5 times higher, with a range from a 1.2 to 5 times higher risk, in familial than in sporadic UIA. When assessing the risk of rupture in UIA, family history should be taken into account.</t>
  </si>
  <si>
    <t>Risk of bias in studies on prediction models developed using supervised machine learning techniques: systematic review.</t>
  </si>
  <si>
    <t>https://pubmed.ncbi.nlm.nih.gov/34670780</t>
  </si>
  <si>
    <t>To assess the methodological quality of studies on prediction models developed using machine learning techniques across all medical specialties. Systematic review. PubMed from 1 January 2018 to 31 December 2019. Articles reporting on the development, with or without external validation, of a multivariable prediction model (diagnostic or prognostic) developed using supervised machine learning for individualised predictions. No restrictions applied for study design, data source, or predicted patient related health outcomes. Methodological quality of the studies was determined and risk of bias evaluated using the prediction risk of bias assessment tool (PROBAST). This tool contains 21 signalling questions tailored to identify potential biases in four domains. Risk of bias was measured for each domain (participants, predictors, outcome, and analysis) and each study (overall). 152 studies were included: 58 (38%) included a diagnostic prediction model and 94 (62%) a prognostic prediction model. PROBAST was applied to 152 developed models and 19 external validations. Of these 171 analyses, 148 (87%, 95% confidence interval 81% to 91%) were rated at high risk of bias. The analysis domain was most frequently rated at high risk of bias. Of the 152 models, 85 (56%, 48% to 64%) were developed with an inadequate number of events per candidate predictor, 62 handled missing data inadequately (41%, 33% to 49%), and 59 assessed overfitting improperly (39%, 31% to 47%). Most models used appropriate data sources to develop (73%, 66% to 79%) and externally validate the machine learning based prediction models (74%, 51% to 88%). Information about blinding of outcome and blinding of predictors was, however, absent in 60 (40%, 32% to 47%) and 79 (52%, 44% to 60%) of the developed models, respectively. Most studies on machine learning based prediction models show poor methodological quality and are at high risk of bias. Factors contributing to risk of bias include small study size, poor handling of missing data, and failure to deal with overfitting. Efforts to improve the design, conduct, reporting, and validation of such studies are necessary to boost the application of machine learning based prediction models in clinical practice. PROSPERO CRD42019161764.</t>
  </si>
  <si>
    <t>Support for using a three-dimensional anatomy application over anatomical atlases in a randomized comparison.</t>
  </si>
  <si>
    <t>Zilverschoon, Marijn; Custers, Eugene J; Ten Cate, Olle; Kruitwagen, Cas L J J; Bleys, Ronald L A W</t>
  </si>
  <si>
    <t>anatomical sciences education</t>
  </si>
  <si>
    <t>https://pubmed.ncbi.nlm.nih.gov/34142455</t>
  </si>
  <si>
    <t>To investigate to what extent the use of a three-dimensional (3D) anatomy computer application can improve the acquisition of anatomical knowledge compared with anatomical atlases, junior and advanced medical students participated in an experiment. Participants were asked to answer anatomical questions with the use of a 3D anatomy application (developed at the University Medical Center in Utrecht, the Netherlands) or anatomy atlases. Every student had to complete two assignments, either with an atlas or with the 3D anatomy application. One assignment consisted of 20 questions about the anatomy of the hand, the other one had 20 questions about the anatomy of the foot. The scores on the assignments and time to complete the assignments were registered and investigated. A total of 76 students participated. Students scored significantly higher and were significantly faster when they used the 3D anatomy application. Junior medical students were significantly faster than advanced medical students and particularly, advanced students who worked with an atlas needed most time. These results suggest that the 3D anatomy application is more effective as a studying tool, when compared to the use of paper atlases, for both junior and advanced medical students. The difference in time could indicate an influence of the increased number of mental steps it takes to convert two-dimensional atlas images to a 3D mental representation compared to using the 3D anatomy application, although practical issues explaining this cannot be ruled out. Future studies should establish whether the application leads to better learning/retention and to more time-efficient studying.</t>
  </si>
  <si>
    <t>Impact of organizational context on patient outcomes in a proactive primary care program:a longitudinal observational study.</t>
  </si>
  <si>
    <t>Smit, Linda C; De Wit, Niek J; Nieuwenhuizen, Meggie L; Schuurmans, Marieke J; Bleijenberg, Nienke</t>
  </si>
  <si>
    <t>https://pubmed.ncbi.nlm.nih.gov/34666699</t>
  </si>
  <si>
    <t>The effectiveness of health care interventions is co-determined by contextual factors. Unknown is the extent of this impact on patient outcomes. Therefore, the aim of this study is to explore which characteristics of general practices are associated with patient outcomes in a proactive primary care program, the U-PROFIT 2.0. A longitudinal observational study was conducted from January 2016 till October 2017. Two questionnaires were send out, one to collect characteristics of general practices such as practice neighbourhood socio-economic status, general practice versus healthcare centre (involving multiple primary care professionals), and professional- frail older patient ratio per practice of general practitioners and practice nurses. Regarding delivering the program, the practice or district nurse who delivered the program, number of years since the start of the implementation, and choice of age threshold for frailty screening were collected. Patient outcomes collected by the second questionnaire and send to frail patients were daily functioning, hospital admissions, emergency department visits, and general practice out-of-hours consultations. Linear and generalized linear mixed models were used. A total of 827 frail older people were included at baseline. Delivery of the program by a district nurse compared to a practice nurse was significantly associated with a decrease in daily functioning on patient-level (β = 2.19; P = &lt; 0.001). Duration since implementation of 3 years compared to 9 years was significantly associated with less out-of-hours consultations to a general practice (OR 0.11; P = 0.001). Applying frailty screening from the age of 75 compared to those targeted from the age of 60 showed a significant increase in emergency visits (OR 5.26; P = 0.03). Three associations regarding the organizational context 1) the nurse who delivered the program, 2) the number of years the program was implemented and 3) the age threshold for defining a frail patient are significant and clinically relevant for frail patients that receive a proactive primary care program. In general, contextual factors need more attention when implementing complex primary care programs which can result in better balanced choices to enhance effective proactive care for older people living in the community.</t>
  </si>
  <si>
    <t>High vitamin K status is prospectively associated with decreased left ventricular mass in women: the Hoorn Study.</t>
  </si>
  <si>
    <t>Beulens, Joline W J; Dal Canto, Elisa; Stehouwer, Coen D A; Rennenberg, Roger J M W; Elders, Petra J M; van Ballegooijen, Adriana Johanne</t>
  </si>
  <si>
    <t>https://pubmed.ncbi.nlm.nih.gov/34666769</t>
  </si>
  <si>
    <t>Vitamin K is associated with reduced cardiovascular disease risk such as heart failure, possibly by carboxylation of matrix-gla protein (MGP), a potent inhibitor of vascular calcification. The relationship of vitamin K intake or status with cardiac structure and function is largely unknown. Therefore this study aims to investigate the prospective association of vitamin K status and intake with echocardiographic measures. This study included 427 participants from the Hoorn Study, a population-based cohort. Vitamin K status was assessed at baseline by plasma desphospho-uncarboxylated MGP (dp-ucMGP) with higher concentrations reflecting lower vitamin K status. Vitamin K intake was assessed at baseline with a validated food-frequency questionnaire. Echocardiography was performed at baseline and after a mean follow-up time of 7.6, SD=±0.7 years. We used linear regression for the association of vitamin K status and intake with left ventricular ejection fraction (LVEF), left atrial volume index (LAVI) and left ventricular mass index (LVMI), adjusted for potential confounders. The mean age was 66.8, SD=±6.1 years (51% were male). A high vitamin K status was prospectively associated with decreased LVMI (change from baseline to follow-up: -5.0, 95% CI: -10.5;0.4 g/m&lt;sup&gt;2.7&lt;/sup&gt;) for the highest quartile compared to the lowest in women (P-interaction sex=0.07). No association was found in men. Vitamin K status was not associated with LVEF or LAVI. Vitamin K intake was not associated with any of the echocardiographic measures. This study showed a high vitamin K status being associated with decreased LVMI only in women, while intakes of vitamin K were not associated with any cardiac structure or function measures. These results extend previous findings for a role of vitamin K status to decrease heart failure risk.</t>
  </si>
  <si>
    <t>Food biodiversity and total and cause-specific mortality in 9 European countries: An analysis of a prospective cohort study.</t>
  </si>
  <si>
    <t>Hanley-Cook, Giles T; Huybrechts, Inge; Biessy, Carine; Remans, Roseline; Kennedy, Gina; Deschasaux-Tanguy, Mélanie; Murray, Kris A; Touvier, Mathilde; Skeie, Guri; Kesse-Guyot, Emmanuelle; Argaw, Alemayehu; Casagrande, Corinne; Nicolas, Geneviève; Vineis, Paolo; Millett, Christopher J; Weiderpass, Elisabete; Ferrari, Pietro; Dahm, Christina C; Bueno-de-Mesquita, H Bas; Sandanger, Torkjel M; Ibsen, Daniel B; Freisling, Heinz; Ramne, Stina; Jannasch, Franziska; van der Schouw, Yvonne T; Schulze, Matthias B; Tsilidis, Konstantinos K; Tjønneland, Anne; Ardanaz, Eva; Bodén, Stina; Cirera, Lluís; Gargano, Giuliana; Halkjær, Jytte; Jakszyn, Paula; Johansson, Ingegerd; Katzke, Verena; Masala, Giovanna; Panico, Salvatore; Rodriguez-Barranco, Miguel; Sacerdote, Carlotta; Srour, Bernard; Tumino, Rosario; Riboli, Elio; Gunter, Marc J; Jones, Andrew D; Lachat, Carl</t>
  </si>
  <si>
    <t>https://pubmed.ncbi.nlm.nih.gov/34662340</t>
  </si>
  <si>
    <t>Food biodiversity, encompassing the variety of plants, animals, and other organisms consumed as food and drink, has intrinsic potential to underpin diverse, nutritious diets and improve Earth system resilience. Dietary species richness (DSR), which is recommended as a crosscutting measure of food biodiversity, has been positively associated with the micronutrient adequacy of diets in women and young children in low- and middle-income countries (LMICs). However, the relationships between DSR and major health outcomes have yet to be assessed in any population. We examined the associations between DSR and subsequent total and cause-specific mortality among 451,390 adults enrolled in the European Prospective Investigation into Cancer and Nutrition (EPIC) study (1992 to 2014, median follow-up: 17 years), free of cancer, diabetes, heart attack, or stroke at baseline. Usual dietary intakes were assessed at recruitment with country-specific dietary questionnaires (DQs). DSR of an individual's yearly diet was calculated based on the absolute number of unique biological species in each (composite) food and drink. Associations were assessed by fitting multivariable-adjusted Cox proportional hazards regression models. In the EPIC cohort, 2 crops (common wheat and potato) and 2 animal species (cow and pig) accounted for approximately 45% of self-reported total dietary energy intake [median (P10-P90): 68 (40 to 83) species consumed per year]. Overall, higher DSR was inversely associated with all-cause mortality rate. Hazard ratios (HRs) and 95% confidence intervals (CIs) comparing total mortality in the second, third, fourth, and fifth (highest) quintiles (Qs) of DSR to the first (lowest) Q indicate significant inverse associations, after stratification by sex, age, and study center and adjustment for smoking status, educational level, marital status, physical activity, alcohol intake, and total energy intake, Mediterranean diet score, red and processed meat intake, and fiber intake [HR (95% CI): 0.91 (0.88 to 0.94), 0.80 (0.76 to 0.83), 0.69 (0.66 to 0.72), and 0.63 (0.59 to 0.66), respectively; PWald &lt; 0.001 for trend]. Absolute death rates among participants in the highest and lowest fifth of DSR were 65.4 and 69.3 cases/10,000 person-years, respectively. Significant inverse associations were also observed between DSR and deaths due to cancer, heart disease, digestive disease, and respiratory disease. An important study limitation is that our findings were based on an observational cohort using self-reported dietary data obtained through single baseline food frequency questionnaires (FFQs); thus, exposure misclassification and residual confounding cannot be ruled out. In this large Pan-European cohort, higher DSR was inversely associated with total and cause-specific mortality, independent of sociodemographic, lifestyle, and other known dietary risk factors. Our findings support the potential of food (species) biodiversity as a guiding principle of sustainable dietary recommendations and food-based dietary guidelines.</t>
  </si>
  <si>
    <t>The changing microRNA landscape by color and cloudiness: a cautionary tale for nipple aspirate fluid biomarker analysis.</t>
  </si>
  <si>
    <t>Patuleia, Susana I S; van der Wall, Elsken; van Gils, Carla H; Bakker, Marije F; Jager, Agnes; Voorhorst-Ogink, Marleen M; van Diest, Paul J; Moelans, Cathy B</t>
  </si>
  <si>
    <t>cellular oncology dordrecht</t>
  </si>
  <si>
    <t>https://pubmed.ncbi.nlm.nih.gov/34655415</t>
  </si>
  <si>
    <t>Investigation of nipple aspirate fluid (NAF)-based microRNAs (miRNAs) as a potential screening tool for women at increased risk of developing breast cancer is the scope of our research. While aiming to identify discriminating NAF-miRNAs between women with different mammographic densities, we were confronted with an unexpected confounder: NAF sample appearance. Here we report and alert for the impact of NAF color and cloudiness on miRNA assessment. Seven classes of NAF colors coupled with cloudiness appearance were established. Using 173 NAF samples from 154 healthy women (19 samples were bilaterally collected), the expression of 14 target and 2 candidate endogenous control (EC) miRNAs was investigated using Taqman Advanced miRNA assays to identify significant differential expression patterns between color-cloudiness classes. Inter- and intra-individual variation of miRNA expression was analyzed using the coefficient of variation (CV). We found that between the seven NAF classes, fold change miRNA expression differences ranged between 2.4 and 19.6 depending on the interrogated miRNA. Clear NAF samples exhibited higher miRNA expression levels compared to cloudy NAF samples with fold change differences ranging between 1.1 and 6.2. Inter-individual and intra-individual miRNA expression was fairly stable (CV &lt; 15 %), but nevertheless impacted by NAF sample appearance. Within NAF classes, inter-individual variation was largest for green samples (CV 6-15 %) and smallest for bloody samples (CV 2-6 %). Our data indicate that NAF color and cloudiness influence miRNA expression and should, therefore, be systematically registered using an objective color classification system. Given that sample appearance is an inherent feature of NAF, these variables should be statistically controlled for in multivariate data analyses. This cautionary note and recommendations could be of value beyond the field of NAF-miRNAs, given that variability in sample color and cloudiness is likewise observed in liquid biopsies such as urine, cerebrospinal fluid and sputum, and could thereby influence the levels of miRNAs and other biomarkers.</t>
  </si>
  <si>
    <t>Patient, family and productivity costs of end-stage renal disease in the Netherlands; exposing non-healthcare related costs.</t>
  </si>
  <si>
    <t>de Vries, Eline F; Los, Jeanine; de Wit, G Ardine; Hakkaart-van Roijen, Leona</t>
  </si>
  <si>
    <t>https://pubmed.ncbi.nlm.nih.gov/34656083</t>
  </si>
  <si>
    <t>Healthcare costs related to ESRD are well-described, but broader societal costs of ESRD are less known. This study aimed to estimate patient and family costs, including informal care costs and out-of-pocket costs, and costs due to productivity loss related to ESRD, for patients receiving dialysis and living with a kidney transplant, using a bottom-up approach. A total of 655 patients were asked to complete a digital questionnaire consisting of two standardised instruments (iMCQ and iPCQ) from November 2016 through January 2017. We applied a retrospective bottom-up cost estimation by combining data from the questionnaire with unit prices from the Dutch costing manual. Our study sample consisted of 230 patients, of which 165 were kidney transplant recipients and 65 received dialysis. The total annual non-healthcare related costs were estimated at €8284 (SD: €14,266) for transplant recipients and €23,488 (SD: €39,434) for dialysis patients. Costs due to productivity loss contributed most to the total non-healthcare costs (66% for transplant recipients and 65% for dialysis patients), followed by informal care costs (26% resp. 29%) and out-of-pocket costs, such as medication and travel expenses (8% resp. 6%). By exposing patient, family and productivity costs, our study revealed that dialysis and transplantation are not only costly within the healthcare system, but also incur high non-healthcare costs (18-23% resp. 35% of the total societal costs). It is important to reveal these types of non-healthcare costs in order to understand the full burden of ESRD for society and the potential impact of new therapies.</t>
  </si>
  <si>
    <t>A Response to a Letter of Vivat and Twycrossrs information.</t>
  </si>
  <si>
    <t>Heijltjes, M T; van Thiel, Gjmw; Rietjens, Jac; van der Heide, A; de Graeff, A; van Delden, Jjm</t>
  </si>
  <si>
    <t>journal of pain and symptom management</t>
  </si>
  <si>
    <t>https://pubmed.ncbi.nlm.nih.gov/34666175</t>
  </si>
  <si>
    <t>Externalizing your eating disorder: a qualitative interview study.</t>
  </si>
  <si>
    <t>Voswinkel, Marthe M; Rijkers, Cleo; van Delden, Johannes J M; van Elburg, Annemarie A</t>
  </si>
  <si>
    <t>journal of eating disorders</t>
  </si>
  <si>
    <t>https://pubmed.ncbi.nlm.nih.gov/34654484</t>
  </si>
  <si>
    <t>Anorexia nervosa (AN) is a psychiatric disorder with an ego-syntonic nature, causing many patients to perceive their AN as part of their personal identity. Therefore, an important part of treatment is the externalization of the eating disorder, in order to help patients to perceive AN as an external influence. Studies on patient experiences of externalization in treatment for AN are sadly missing. The aims of this study were to investigate, first, patients' perspectives on the relation between identity and anorexia nervosa (AN) and second, their experiences of an externalizing approach during treatment. A qualitative interview study was conducted including fourteen patients with AN in either Family Based Treatment, the Maudsley Model for Anorexia Nervosa Treatment for Adults, Specialist Supportive Clinical Management-Severe Enduring or Cognitive Behavioural Therapy-Enhanced. There are important differences in participants' perceptions on how AN is related to identity. AN was perceived as part of identity, as alien or as a different side of the self. Patients' experiences towards an externalizing approach were ambivalent. Externalization was considered helpful, whilst also evoking a negative response. Participants reported feeling as if all their behaviour was referred to as part of AN, which elicited feelings of not being taken seriously or being wrongfully accused of being dishonest. First, there is considerable variation in the perceived relation between AN and identity. Second, an externalizing approach within treatment may lead to so called epistemic injustice. Awareness of these two facts is of importance for clinicians and the therapeutic relationship because that will help them to refrain from actions that can be perceived as epistemic injustice.</t>
  </si>
  <si>
    <t>Take control by letting go? Sustainable employability of nurses in Intensive Care Units.</t>
  </si>
  <si>
    <t>Stalpers, Dewi; Tilburgs, Bram; van Mol, Margo</t>
  </si>
  <si>
    <t>nursing in critical care</t>
  </si>
  <si>
    <t>https://pubmed.ncbi.nlm.nih.gov/34647395</t>
  </si>
  <si>
    <t>Representation of Women in Stroke Clinical Trials: A Review of 281 Trials Involving More Than 500,000 Participants.</t>
  </si>
  <si>
    <t>Carcel, Cheryl; Harris, Katie; Peters, Sanne A E; Sandset, Else Charlotte; Balicki, Grace; Bushnell, Cheryl D; Howard, Virginia J; Reeves, Mathew J; Anderson, Craig S; Kelly, Peter J; Woodward, Mark</t>
  </si>
  <si>
    <t>https://pubmed.ncbi.nlm.nih.gov/34645708</t>
  </si>
  <si>
    <t>Women have been underrepresented in cardiovascular disease clinical trials but there is less certainty over the level of disparity specifically in stroke. We examined the participation of women in trials according to stroke prevalence in the population. Published randomized controlled trials with ≥100 participants enrolled between 1990 and 2020 were identified from ClinicalTrials.gov. To quantify sex disparities in enrollment, we calculated the participation to prevalence ratio (PPR), defined as the percentage of women participating in a trial vs the prevalence of women in the disease population. There were 281 stroke trials eligible for analyses with a total of 588,887 participants, of whom 37.4% were women. Overall, women were represented at a lower proportion relative to their prevalence in the underlying population (mean PPR 0.84; 95% confidence interval [CI] 0.81-0.87). The greatest differences were observed in trials of intracerebral hemorrhage (PPR 0.73; 95% CI 0.71-0.74), trials with a mean age of participants &lt;70 years (PPR 0.81; 95% CI 0.78-0.84), nonacute interventions (PPR 0.80; 95% CI 0.76-0.84), and rehabilitation trials (PPR 0.77; 95% CI 0.71-0.83). These findings did not significantly change over the period from 1990 to 2020 (&lt;i&gt;p&lt;/i&gt; for trend = 0.201). Women are disproportionately underrepresented in stroke trials relative to the burden of disease in the population. Clear guidance and effective implementation strategies are required to improve the inclusion of women and thus broader knowledge of the impact of interventions in clinical trials.</t>
  </si>
  <si>
    <t>External Validation of Risk Prediction Models to Improve Selection of Patients for Carotid Endarterectomy.</t>
  </si>
  <si>
    <t>Poorthuis, Michiel H F; Herings, Reinier A R; Dansey, Kirsten; Damen, Johanna A A; Greving, Jacoba P; Schermerhorn, Marc L; de Borst, Gert J</t>
  </si>
  <si>
    <t>https://pubmed.ncbi.nlm.nih.gov/34634926</t>
  </si>
  <si>
    <t>The net benefit of carotid endarterectomy (CEA) is determined partly by the risk of procedural stroke or death. Current guidelines recommend CEA if 30-day risks are &lt;6% for symptomatic stenosis and &lt;3% for asymptomatic stenosis. We aimed to identify prediction models for procedural stroke or death after CEA and to externally validate these models in a large registry of patients from the United States. We conducted a systematic search in MEDLINE and EMBASE for prediction models of procedural outcomes after CEA. We validated these models with data from patients who underwent CEA in the American College of Surgeons National Surgical Quality Improvement Program (2011-2017). We assessed discrimination using C statistics and calibration graphically. We determined the number of patients with predicted risks that exceeded recommended thresholds of procedural risks to perform CEA. After screening 788 reports, 15 studies describing 17 prediction models were included. Nine were developed in populations including both asymptomatic and symptomatic patients, 2 in symptomatic and 5 in asymptomatic populations. In the external validation cohort of 26 293 patients who underwent CEA, 702 (2.7%) developed a stroke or died within 30-days. C statistics varied between 0.52 and 0.64 using all patients, between 0.51 and 0.59 using symptomatic patients, and between 0.49 to 0.58 using asymptomatic patients. The Ontario Carotid Endarterectomy Registry model that included symptomatic status, diabetes, heart failure, and contralateral occlusion as predictors, had C statistic of 0.64 and the best concordance between predicted and observed risks. This model identified 4.5% of symptomatic and 2.1% of asymptomatic patients with procedural risks that exceeded recommended thresholds. Of the 17 externally validated prediction models, the Ontario Carotid Endarterectomy Registry risk model had most reliable predictions of procedural stroke or death after CEA and can inform patients about procedural hazards and help focus CEA toward patients who would benefit most from it.</t>
  </si>
  <si>
    <t>A prospective, randomized, single-blinded, crossover trial to investigate the effect of a wearable device in addition to a daily symptom diary for the Remote Early Detection of SARS-CoV-2 infections (COVID-RED): a structured summary of a study protocol for a randomized controlled trial.</t>
  </si>
  <si>
    <t>Brakenhoff, Timo B; Franks, Billy; Goodale, Brianna Mae; van de Wijgert, Janneke; Montes, Santiago; Veen, Duco; Fredslund, Eskild K; Rispens, Theo; Risch, Lorenz; Dowling, Ariel V; Folarin, Amos A; Bruijning, Patricia; Dobson, Richard; Heikamp, Tessa; Klaver, Paul; Cronin, Maureen; Grobbee, Diederick E; ,</t>
  </si>
  <si>
    <t>https://pubmed.ncbi.nlm.nih.gov/34635140</t>
  </si>
  <si>
    <t>It is currently thought that most-but not all-individuals infected with SARS-CoV-2 develop symptoms, but the infectious period starts on average 2 days before the first overt symptoms appear. It is estimated that pre- and asymptomatic individuals are responsible for more than half of all transmissions. By detecting infected individuals before they have overt symptoms, wearable devices could potentially and significantly reduce the proportion of transmissions by pre-symptomatic individuals. Using laboratory-confirmed SARS-CoV-2 infections (detected via serology tests [to determine if there are antibodies against the SARS-CoV-2 in the blood] or SARS-CoV-2 infection tests such as polymerase chain reaction [PCR] or antigen tests) as the gold standard, we will determine the sensitivity, specificity, positive predictive value (PPV) and negative predictive value (NPV) for the following two algorithms to detect first time SARS-CoV-2 infection including early or asymptomatic infection: • The algorithm using Ava bracelet data when coupled with self-reported Daily Symptom Diary data (Wearable + Symptom Data Algo; experimental condition) • The algorithm using self-reported Daily Symptom Diary data alone (Symptom Only Algo; control condition) In addition, we will determine which of the two algorithms has superior performance characteristics for detecting SARS-CoV-2 infection including early or asymptomatic infection as confirmed by SARS-CoV-2 virus testing. The trial is a randomized, single-blinded, two-period, two-sequence crossover trial. The study will start with an initial learning phase (maximum of 3 months), followed by period 1 (3 months) and period 2 (3 months). Subjects entering the study at the end of the recruitment period may directly start with period 1 and will not be part of the learning phase. Each subject will undergo the experimental condition (the Wearable + Symptom Data Algo) in either period 1 or period 2 and the control condition (Symptom Only Algo) in the other period. The order will be randomly assigned, resulting in subjects being allocated 1:1 to either sequence 1 (experimental condition first) or sequence 2 (control condition first). Based on demographics, medical history and/or profession, each subject will be stratified at baseline into a high-risk and normal-risk group within each sequence. The trial will be conducted in the Netherlands. A target of 20,000 subjects will be enrolled. Based on demographics, medical history and/or profession, each subject will be stratified at baseline into a high-risk and normal-risk group within each sequence. This results in approximately 6500 normal-risk individuals and 3500 high-risk individuals per sequence. Subjects will be recruited from previously studied cohorts as well as via public campaigns and social media. All data for this study will be collected remotely through the Ava COVID-RED app, the Ava bracelet, surveys in the COVID-RED web portal and self-sampling serology and PCR kits. More information on the study can be found in www.covid-red.eu . During recruitment, subjects will be invited to visit the COVID-RED web portal. After successfully completing the enrolment questionnaire, meeting eligibility criteria and indicating interest in joining the study, subjects will receive the subject information sheet and informed consent form. Subjects can enrol in COVID-RED if they comply with the following inclusion and exclusion criteria: Inclusion criteria: • Resident of the Netherlands • At least 18 years old • Informed consent provided (electronic) • Willing to adhere to the study procedures described in the protocol • Must have a smartphone that runs at least Android 8.0 or iOS 13.0 operating systems and is active for the duration of the study (in the case of a change of mobile number, the study team should be notified) • Be able to read, understand and write Dutch Exclusion criteria: • Previous positive SARS-CoV-2 test result (confirmed either through PCR/antigen or antibody tests; self-reported) • Current suspected (e.g. waiting for test result) COVID-19 infection or symptoms of a COVID-19 infection (self-reported) • Participating in any other COVID-19 clinical drug, vaccine or medical device trial (self-reported) • Electronic implanted device (such as a pacemaker; self-reported) • Pregnant at the time of informed consent (self-reported) • Suffering from cholinergic urticaria (per the Ava bracelet's user manual; self-reported) • Staff involved in the management or conduct of this study INTERVENTION AND COMPARATOR: All subjects will be instructed to complete the Daily Symptom Diary in the Ava COVID-RED app daily, wear their Ava bracelet each night and synchronize it with the app each day for the entire period of study participation. Provided with wearable sensor and/or self-reported symptom data within the last 24 h, the Ava COVID-RED app's underlying algorithms will provide subjects with a real-time indicator of their overall health and well-being. Subjects will see one of three messages, notifying them that no seeming deviations in symptoms and/or physiological parameters have been detected; some changes in symptoms and/or physiological parameters have been detected and they should self-isolate; or alerting them that deviations in their symptoms and/or physiological parameters could be suggestive of a potential COVID-19 infection and to seek additional testing. We will assess the intraperson performance of the algorithms in the experimental condition (Wearable + Symptom Data Algo) and control conditions (Symptom Only Algo). Note that both algorithms will also instruct to seek testing when any SARS-CoV-2 symptoms are reported in line with those defined by the Dutch national institute for public health and the environment 'Rijksinstituut voor Volksgezondheid en Milieu' (RIVM) guidelines. The trial will evaluate the use and performance of the Ava COVID-RED app and Ava bracelet, which uses sensors to measure breathing rate, pulse rate, skin temperature and heart rate variability for the purpose of early and asymptomatic detection and monitoring of SARS-CoV-2 in general and high-risk populations. Using laboratory-confirmed SARS-CoV-2 infections (detected via serology tests, PCR tests and/or antigen tests) as the gold standard, we will determine the sensitivity, specificity, positive predictive value (PPV) and negative predictive value (NPV) for each of the following two algorithms to detect first-time SARS-CoV-2 infection including early or asymptomatic infection: the algorithm using Ava bracelet data when coupled with the self-reported Daily Symptom Diary data and the algorithm using self-reported Daily Symptom Diary data alone. In addition, we will determine which of the two algorithms has superior performance characteristics for detecting SARS-CoV-2 infection including early or asymptomatic infection as confirmed by SARS-CoV-2 virus testing. The protocol contains an additional twenty secondary and exploratory objectives which address, among others, infection incidence rates, health resource utilization, symptoms reported by SARS-CoV-2-infected participants and the rate of breakthrough and asymptomatic SARS-CoV-2 infections among individuals vaccinated against COVID-19. PCR or antigen testing will occur when the subject receives a notification from the algorithm to seek additional testing. Subjects will be advised to get tested via the national testing programme and report the testing result in the Ava COVID-RED app and a survey. If they cannot obtain a test via the national testing programme, they will receive a nasal swab self-sampling kit at home, and the sample will be tested by PCR in a trial-affiliated laboratory. In addition, all subjects will be asked to take a capillary blood sample at home at baseline (between month 0 and 3.5 months after the start of subject recruitment), at the end of the learning phase (month 3; note that this sampling moment is skipped if a subject entered the study at the end of the recruitment period), period 1 (month 6) and period 2 (month 9). These samples will be used for SARS-CoV-2-specific antibody testing in a trial-affiliated laboratory, differentiating between antibodies resulting from a natural infection and antibodies resulting from COVID-19 vaccination (as vaccination will gradually be rolled out during the trial period). Baseline samples will only be analysed if the sample collected at the end of the learning phase is positive, or if the subject entered the study at the end of the recruitment period, and samples collected at the end of period 1 will only be analysed if the sample collected at the end of period 2 is positive. When subjects obtain a positive PCR/antigen or serology test result during the study, they will continue to be in the study but will be moved into a so-called COVID-positive mode in the Ava COVID-RED app. This means that they will no longer receive recommendations from the algorithms but can still contribute and track symptom and bracelet data. The primary analysis of the main objective will be executed using the data collected in period 2 (months 6 through 9). Within this period, serology tests (before and after period 2) and PCR/antigen tests (taken based on recommendations by the algorithms) will be used to determine if a subject was infected with SARS-CoV-2 or not. Within this same time period, it will be determined if the algorithms gave any recommendations for testing. The agreement between these quantities will be used to evaluate the performance of the algorithms and how these compare between the study conditions. All eligible subjects will be randomized using a stratified block randomization approach with an allocation ratio of 1:1 to one of two sequences (experimental condition followed by control condition or control condition followed by experimental condition). Based on demographics, medical history and/or profession, each subject will be stratified at baseline into a high-risk and normal-risk group within each sequence, resulting in approximately equal numbers of high-risk and normal-risk individuals between the sequences. In this study, subjects will be blinded to the study condition and randomization sequence. Relevant study staff and the device manufacturer will be aware of the assigned sequence. The subject will wear the Ava bracelet and complete the Daily Symptom Diary in the Ava COVID-RED app for the full duration of the study, and they will not know if the feedback they receive about their potential infection status will only be based on the data they entered in the Daily Symptom Diary within the Ava COVID-RED app or based on both the data from the Daily Symptom Diary and the Ava bracelet. A total of 20,000 subjects will be recruited and randomized 1:1 to either sequence 1 (experimental condition followed by control condition) or sequence 2 (control condition followed by experimental condition), taking into account their risk level. This results in approximately 6500 normal-risk and 3500 high-risk individuals per sequence. Protocol version: 3.0, dated May 3, 2021. Start of recruitment: February 19, 2021. End of recruitment: June 3, 2021. End of follow-up (estimated): November 2021 TRIAL REGISTRATION: The Netherlands Trial Register on the 18&lt;sup&gt;th&lt;/sup&gt; of February, 2021 with number NL9320 ( https://www.trialregister.nl/trial/9320 )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</si>
  <si>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Impact analysis of rotavirus vaccination in various geographic regions in Western Europe.</t>
  </si>
  <si>
    <t>Verberk, J D M; van Dongen, J A P; van de Kassteele, J; Andrews, N J; van Gaalen, R D; Hahné, S J M; Vennema, H; Ramsay, M; Braeckman, T; Ladhani, S; Thomas, S L; Walker, J L; de Melker, H E; Fischer, T K; Koch, J; Bruijning-Verhagen, P</t>
  </si>
  <si>
    <t>https://pubmed.ncbi.nlm.nih.gov/34635375</t>
  </si>
  <si>
    <t>Universal mass vaccination (UMV) against rotavirus has been implemented in many but not all European countries. This study investigated the impact of UMV on rotavirus incidence trends by comparing European countries with UMV: Belgium, England/Wales and Germany versus countries without UMV: Denmark and the Netherlands. For this observational retrospective cohort study, time series data (2001-2016) on rotavirus detections, meteorological factors and population demographics were collected. For each country, several meteorological and population factors were investigated as possible predictors of rotavirus incidence. The final set of predictors were incorporated in negative binomial models accounting for seasonality and serial autocorrelation, and time-varying incidence rate ratios (IRR) were calculated for each age group and country separately. The overall vaccination impact two years after vaccine implementation was estimated by pooling the results using a random effects meta-analyses. Independent t-tests were used to compare annual epidemics in the pre-vaccination and post-vaccination era to explore any changes in the timing of rotavirus epidemics. The population size and several meteorological factors were predictors for the rotavirus epidemiology. Overall, we estimated a 42% (95%-CI 23;56%) reduction in rotavirus incidence attributable to UMV. Strongest reductions were observed for age-groups 0-, 1- and 2-years (IRR 0.47, 0.48 and 0.63, respectively). No herd effect induced by UMV in neighbouring countries was observed. In all UMV countries, the start and/or stop and corresponding peak of the rotavirus season was delayed by 4-7 weeks. The introduction of rotavirus UMV resulted in an overall reduction of 42% in rotavirus incidence in Western European countries two years after vaccine introduction and caused a change in seasonal pattern. No herd effect induced by UMV neighbouring countries was observed for Denmark and the Netherlands.</t>
  </si>
  <si>
    <t>Diagnostic performance of the Idylla™ respiratory panel for molecular detection of influenza A/B in patients presenting to primary care with influenza-like illness during 3 consecutive influenza seasons.</t>
  </si>
  <si>
    <t>Matheeussen, Veerle; Loens, Katherine; Kuijstermans, Mandy; Jacobs, Kevin; Coenen, Samuel; van der Velden, Alike W; Bongard, Emily; Butler, Chris C; Verheij, Theo Jm; Goossens, Herman; Ieven, Margareta</t>
  </si>
  <si>
    <t>https://pubmed.ncbi.nlm.nih.gov/34653942</t>
  </si>
  <si>
    <t>Influenza virus (IFV) is often encountered in primary care. Implementation of a rapid diagnostic test for its detection at the point-of-care would enable discrimination from other viral causes of influenza-like-illness (ILI) and might be helpful in individual patient management. In this study, the diagnostic performance of such a point-of-care platform was evaluated. Respiratory samples (n = 1490) from ILI-patients in primary care in 15 European countries were collected as part of a prospective clinical trial. Both children (n = 252) and adults (n = 1238) were sampled during 3 consecutive periods of high IFV endemicity. Samples were analysed in a central laboratory, after storage at -70 °C, with the Idylla™ Respiratory Panel, detecting both IFV and RSV, on the Idylla™ platform. The Fast Track Diagnostics (FTD) Respiratory Pathogens 21 plus assay was used as reference. A subset of samples (n = 192) was analysed both fresh and after being frozen. The reference method detected IFV-A in 42% and IFV-B in 13% of the samples. Sensitivity of the Idylla for detection of IFV-A and IFV-B was 98.2% and 92.3% and specificity 97.7% and 98.4% respectively. False negative samples contained significantly lower viral loads than true positive samples (FTD mean Ct-value 30.7 versus 26.1 for IFV-A and 30.4 versus 25.1 for IFV-B, p &lt; 0.001). Comparable results were obtained for Idylla analysis using fresh and frozen samples. The Idylla Respiratory Panel is a promising point-of-care test for detection of IFV in ILI patients due to its excellent diagnostic performance, minimal training requirements and limited hands-on time.</t>
  </si>
  <si>
    <t>Trends in SARS-CoV-2 seroprevalence amongst urban paediatric patients compared with a nationwide cohort in the Netherlands.</t>
  </si>
  <si>
    <t>Rotee, I L M; Ong, D S Y; Koeleman, J G M; Vos, E R A; Tramper-Stranders, G A</t>
  </si>
  <si>
    <t>journal of clinical virology plus</t>
  </si>
  <si>
    <t>https://pubmed.ncbi.nlm.nih.gov/35262026</t>
  </si>
  <si>
    <t>The extent of SARS-CoV-2 infection amongst children and their role in transmission remains unclear. Therefore, we aimed to estimate the SARS-CoV-2 antibody seroprevalence amongst children who presented to our hospital for non-COVID-19-related morbidity during the first and second epidemic wave in 2020 and compared these to the general Dutch paediatric population. We collected residual plasma samples from all paediatric patients (1 month-17 years of age) visiting our clinic or emergency room, who had blood drawing for various medical reasons. Samples were analysed for the presence of total antibodies against SARS-CoV-2 by Wantai ELISA. The seroprevalence in two separate periods (July-Sep 2020, and Oct-Dec 2020) was compared to regional and national data (PIENTER-Corona study, September 2020), and associations with co-morbidities were assessed. A total of 209 samples in period 1 and 240 samples in period 2 were collected (median age 7.1 years, IQR 1.5-13.5). SARS-CoV-2 antibodies were detected in 4.1% and 13.8%, respectively (&lt;i&gt;p&lt;/i&gt;&lt; 0.001). Seroprevalence was higher compared to national paediatric data, but did not differ with regional estimates. Most children with SARS-CoV-2 antibodies were seen in the outpatient clinic for general paediatric problems with no differences in medical reasons for presentation between the two periods. These data confirm a rapid three-fold increase in SARS-CoV-2 seroprevalence in paediatric patients in the second half of 2020 with a trend towards a higher seroprevalence compared to randomly-selected children in a nationwide study. Underlying morbidity in children might not play an important role in acquiring SARS-CoV-2 infection.</t>
  </si>
  <si>
    <t>Understanding MRSA clonal competition within a UK hospital; the possible importance of density dependence.</t>
  </si>
  <si>
    <t>de Vos, Anneke S; de Vlas, Sake J; Lindsay, Jodi A; Kretzschmar, Mirjam E E; Knight, Gwenan M</t>
  </si>
  <si>
    <t>https://pubmed.ncbi.nlm.nih.gov/34662751</t>
  </si>
  <si>
    <t>Methicillin resistant Staphylococcus aureus (MRSA) bacteria cause serious, often healthcare-associated infections and are frequently highly resistant to diverse antibiotics. Multiple MRSA clonal complexes (CCs) have evolved independently and countries have different prevalent CCs. It is unclear when and why the dominant CC in a region may switch. We developed a mathematical deterministic model of MRSA CC competing for limited resource. The model distinguishes 'standard MRSA' and multidrug resistant sub-populations within each CC, allowing for resistance loss and transfer between same CC bacteria. We first analysed how dynamics of this system depend on growth-rate and resistance-potential differences between CCs, and on their resistance gene accumulation. We then fit the model to capture the longitudinal CC dynamics observed at a single UK hospital, which exemplified the UK-wide switch from mainly CC30 to mainly CC22. We find that within a CC, gain and loss of resistance can allow for co-existence of sensitive and resistant sub-populations. Due to more efficient transfer of resistance at higher CC density, more drug resistance can accumulate in the population of a more prevalent CC. We show how this process of density dependent competition, together with prevalence disruption, could explain the relatively sudden switch from mainly CC30 to mainly CC22 in the UK hospital setting. Alternatively, the observed hospital dynamics could be reproduced by assuming that multidrug resistant CC22 evolved only around 2004. We showed how higher prevalence may advantage a CC by allowing it to acquire antimicrobial resistances more easily. Due to this density dependence in competition, dominance in an area can depend on historic contingencies; the MRSA CC that happened to be first could stay dominant because of its high prevalence advantage. This then could help explain the stability, despite frequent stochastic introductions across borders, of geographic differences in MRSA CC.</t>
  </si>
  <si>
    <t>Narrow-spectrum antibiotics for community-acquired pneumonia in Dutch adults (CAP-PACT): a cross-sectional, stepped-wedge, cluster-randomised, non-inferiority, antimicrobial stewardship intervention trial.</t>
  </si>
  <si>
    <t>Schweitzer, Valentijn A; van Heijl, Inger; Boersma, Wim G; Rozemeijer, Wouter; Verduin, Kees; Grootenboers, Marco J; Sankatsing, Sanjay U C; van der Bij, Akke K; de Bruijn, Winnie; Ammerlaan, Heidi S M; Overdevest, Ilse; Roorda-van der Vegt, J M Milena; Engel-Dettmers, Elske M; Ayuketah-Ekokobe, Florence E; Haeseker, Michiel B; Dorigo-Zetsma, J Wendelien; van der Linden, Paul D; Boel, C H Edwin; Oosterheert, Jan J; van Werkhoven, Cornelis H; Bonten, Marc J M; ,</t>
  </si>
  <si>
    <t>https://pubmed.ncbi.nlm.nih.gov/34627499</t>
  </si>
  <si>
    <t>Adults hospitalised to a non-intensive care unit (ICU) ward with moderately severe community-acquired pneumonia are frequently treated with broad-spectrum antibiotics, despite Dutch guidelines recommending narrow-spectrum antibiotics. Therefore, we investigated whether an antibiotic stewardship intervention would reduce the use of broad-spectrum antibiotics in patients with moderately severe community-acquired pneumonia without compromising their safety. In this cross-sectional, stepped-wedge, cluster-randomised, non-inferiority trial (CAP-PACT) done in 12 hospitals in the Netherlands, we enrolled immunocompetent adults (≥18 years) who were admitted to a non-ICU ward and had a working diagnosis of moderately severe community-acquired pneumonia. All participating hospitals started in a control period and every 3 months a block of two hospitals transitioned from the control to the intervention period, with all hospitals eventually ending in the intervention period. The unit of randomisation was the hospital (cluster), and electronic randomisation (by an independent data manager) decided the sequence (the time of intervention) by which hospitals would cross over from the control period to the intervention period. Blinding was not possible. The antimicrobial stewardship intervention was a bundle targeting health-care providers and comprised education, engaging opinion leaders, and prospective audit and feedback of antibiotic use. The co-primary outcomes were broad-spectrum days of therapy per patient, tested by superiority, and 90-day all-cause mortality, tested by non-inferiority with a non-inferiority margin of 3%, and were analysed in the intention-to-treat population, comprising all patients who were enrolled in the control and intervention periods. This trial was prospectively registered at ClinicalTrials.gov, NCT02604628. Between Nov 1, 2015, and Nov 1, 2017, 5683 patients were assessed for eligibility, of whom 4084 (2235 in the control period and 1849 in the intervention period) were included in the intention-to-treat analysis. The adjusted mean broad-spectrum days of therapy per patient were reduced from 6·5 days in the control period to 4·8 days in the intervention period, yielding an absolute reduction of -1·7 days (95% CI -2·4 to -1·1) and a relative reduction of 26·6% (95% CI 18·0-35·3). Crude 90-day mortality was 10·9% (242 of 2228 died) in the control period and 10·8% (199 of 1841) in the intervention period, yielding an adjusted absolute risk difference of 0·4% (90% CI -2·7 to 2·4), indicating non-inferiority. In patients hospitalised with moderately severe community-acquired pneumonia, a multifaceted antibiotic stewardship intervention might safely reduce broad-spectrum antibiotic use. None.</t>
  </si>
  <si>
    <t>[Combinationpills for cardiovascular disease: the missing piece of evidence?].</t>
  </si>
  <si>
    <t>Bots, Michiel L; Rutten, Frans H; Westerik, Jan</t>
  </si>
  <si>
    <t>https://pubmed.ncbi.nlm.nih.gov/34854593</t>
  </si>
  <si>
    <t>In the literature the terms fixed dose combination (FDC) or single pill combination (SPC) emerged as synonyms for the combinationpill. Studies consistently indicated that a cardiovascular FDC increases medication adherence and improves blood and lipid levels. TIPS-3 recently added evidence by showing that a cardiovascular FDC reduces events compared to non-pharmacological treatment. Do we now have all the evidence for widespread implementation of FDC? Some feel the need for direct comparisons between FDC and the use of separate pills with the same FDC components. That will probably never happen. So the best way forward is that, when indicated, physicians put patients on cardiovascular preventive medication, and when stable and adequately controlled, discusses with the patient about the possibilities for an FDC. This will not be applicable to all patients, but likely a large percentage. Please note 94% of vascular patients very much prefers an FDC above separate individual pills.</t>
  </si>
  <si>
    <t>Implementation and Use of Point-of-Care C-Reactive Protein Testing in Nursing Homes.</t>
  </si>
  <si>
    <t>Boere, Tjarda M; Hopstaken, Rogier M; van Tulder, Maurits W; Schellevis, Franҫois G; Verheij, Theo J M; Hertogh, Cees M P M; van Buul, Laura W</t>
  </si>
  <si>
    <t>journal of the american medical directors association</t>
  </si>
  <si>
    <t>https://pubmed.ncbi.nlm.nih.gov/34626578</t>
  </si>
  <si>
    <t>This study evaluated logistics, process data, and barriers/facilitators for the implementation and use of C-reactive protein point-of-care testing (CRP POCT) for suspected lower respiratory tract infections (LRTIs) in nursing home (NH) residents. This process evaluation was performed alongside a cluster randomized, controlled trial (UPCARE study) to evaluate the effect of CRP POCT on antibiotic prescribing for suspected LRTIs in NH residents. Eleven NHs in the Netherlands. Data sources for process data regarding intervention quality included a questionnaire among NH staff, logs, reports, and CRP POCT-analyzer records. Barriers and facilitators for implementation were assessed in focus group interviews with physicians and nurses from 3 NHs. Correct patient selection for CRP POCT and generally continued CRP POCT use indicated good fidelity. The initial training and training of new employees seemed to fit the need, but some POCT-user group sizes had increased over time, which could have impeded frequent use. Users were generally satisfied with CRP POCT and perceived its use feasible and relevant. Facilitators for implementation were initial commitment and active initiation, followed by continued attention and enthusiasm for building routine practice and trust. Short lines of communication between staff, short distance to the POCT-analyzer, 24/7 coverage of staff, and a clear task division facilitated continued attention and routine practice. This process evaluation showed sufficient quality of providing CRP POCT in Dutch NHs. We processed findings of intervention quality and implementation knowledge into key recommendations for CRP POCT implementation in this setting. Future research could focus on CRP POCT use in countries with different organization of care in NHs.</t>
  </si>
  <si>
    <t>Multifaceted antibiotic stewardship intervention using a participatory-action-research approach to improve antibiotic prescribing for urinary tract infections in frail elderly (ImpresU): study protocol for a European qualitative study followed by a pragmatic cluster randomised controlled trial.</t>
  </si>
  <si>
    <t>Hartman, Esther A R; Groen, Wim G; Heltveit-Olsen, Silje Rebekka; Lindbaek, Morten; Hoye, Sigurd; Sundvall, Pär-Daniel; Gunnarsson, Ronny; Skoglund, Ingmarie; Snaebjörnsson Arnljots, Egill; Godycki-Cwirko, Maciej; Kowalczyk, Anna; Platteel, Tamara N; Zuithoff, Nicolaas P A; Monnier, Annelie A; Verheij, Theo J M; Hertogh, Cees M P M; van de Pol, Alma C</t>
  </si>
  <si>
    <t>https://pubmed.ncbi.nlm.nih.gov/34620666</t>
  </si>
  <si>
    <t>Almost 60% of antibiotics in frail elderly are prescribed for alleged urinary tract infections (UTIs). A substantial part of this comprises prescriptions in case of non-specific symptoms or asymptomatic bacteriuria, for which the latest guidelines promote restrictiveness with antibiotics. We aim to reduce inappropriate antibiotic use for UTIs through an antibiotic stewardship intervention (ASI) that encourages to prescribe according to these guidelines. To develop an effective ASI, we first need a better understanding of the complex decision-making process concerning suspected UTIs in frail elderly. Moreover, the implementation approach requires tailoring to the heterogeneous elderly care setting. First, we conduct a qualitative study to explore factors contributing to antibiotic prescribing for UTIs in frail elderly, using semi-structured interviews with general practitioners, nursing staff, patients and informal caregivers. Next, we perform a pragmatic cluster randomised controlled trial in elderly care organisations. A multifaceted ASI is implemented in the intervention group; the control group receives care as usual. The ASI is centred around a decision tool that promotes restrictive antibiotic use, supported by a toolbox with educational materials. For the implementation, we use a modified participatory-action-research approach, guided by the results of the qualitative study. The primary outcome is the number of antibiotic prescriptions for suspected UTIs. We aim to recruit 34 clusters with in total 680 frail elderly residents ≥70 years. Data collection takes place during a 5-month baseline period and a 7-month follow-up period. Finally, we perform a process evaluation. The study has been delayed for 6 months due to COVID-19 and is expected to end in July 2021. Ethical approvals and/or waivers were obtained from the ethical committees in Poland, the Netherlands, Norway and Sweden. The results will be disseminated through publication in peer-reviewed journals and conference presentations. NCT03970356.</t>
  </si>
  <si>
    <t>Antenatal Doppler ultrasound implementation in a rural sub-Saharan African setting: exploring the perspectives of women and healthcare providers.</t>
  </si>
  <si>
    <t>Ali, Sam; Kabajaasi, Olive; Kawooya, Michael G; Byamugisha, Josaphat; Zakus, David; Papageorghiou, Aris T; Klipstein-Grobusch, Kerstin; Rijken, Marcus J</t>
  </si>
  <si>
    <t>https://pubmed.ncbi.nlm.nih.gov/34620186</t>
  </si>
  <si>
    <t>The World Health Organization recommends research to evaluate the effects of a single third trimester Doppler ultrasound examination on preventable deaths in unselected-risk pregnancies, particularly in low- and middle-income countries (LMICs) where the evidence base is scarce. While evaluating such technologies, researchers often ignore women and health care provider perspectives. This study explored the views and experiences of women and healthcare providers regarding the use of advanced ultrasound technology to optimize the health of mothers and their babies in a rural community in mid-western Uganda. We enrolled 53 mothers and 10 healthcare providers, and captured data on their perceptions, barriers, and facilitators to the use of Doppler ultrasound technology using focus group discussions, semi-structured interviews and observations. Using qualitative content analysis, we inductively coded the transcripts in ATLAS.ti 8.0, detecting emerging themes. Women were afraid that ultrasound would harm them or their fetuses and many of them had never seen an ultrasound scan. The majority of the women found their partners supportive to attend antenatal care and use ultrasound services. Healthcare providers in Kagadi Hospital were unfamiliar with Doppler technology and using it to guide clinical decisions. Other barriers to the implementation of Doppler ultrasound included shortage of trained local staff, insufficient equipment, long distance to and from the hospital, and frequent power cuts. We found limited exposure to Doppler ultrasound technology among women and healthcare providers in mid-western Uganda. Engaging male partners may potentially influence the likelihood of accepting and using it to improve the health of women and their fetuses while wide spread myths and misconceptions about it may be changed by community engagement. Healthcare workers experienced difficulties in offering follow-up care to mothers detected with complications and Doppler ultrasound required a high level of training. While introducing advanced ultrasound machines to weak health systems, it is important to adequately train healthcare providers to avoid inappropriate interventions based on misinterpretation of the findings, consider where it is likely to be most beneficial, and embed it with realistic clinical practice guidelines.</t>
  </si>
  <si>
    <t>Characteristics of Participants and Nonparticipants in a Blended Internet-Based Physical Activity Trial for Breast and Prostate Cancer Survivors: Cross-sectional Study.</t>
  </si>
  <si>
    <t>Vd Wiel, Hester J; Stuiver, Martijn M; May, Anne M; van Grinsven, Susan; Benink, Marlou F A; Aaronson, Neil K; Oldenburg, Hester S A; van der Poel, Henk G; van Harten, Wim H; Groen, Wim G</t>
  </si>
  <si>
    <t>jmir cancer</t>
  </si>
  <si>
    <t>https://pubmed.ncbi.nlm.nih.gov/34609311</t>
  </si>
  <si>
    <t>As the number of cancer survivors is increasing, it is important to be able to offer exercise and physical activity (PA)-promoting interventions that are both effective and reasonably accessible. Internet-based interventions are typically less expensive and more accessible alternatives to on-site supervised interventions. Currently, little is known about the characteristics of nonparticipants in PA promotion trials in the cancer survivorship setting, both in general and specifically in trials using internet-supported interventions. This study aims to gain insight into the characteristics associated with nonparticipation in a blended internet-based supported intervention trial to promote PA. Breast and prostate cancer survivors, 3-36 months after primary curative treatment, were invited to participate in the PABLO trial; this trial compared an internet-based intervention to enhance PA levels, with or without additional support from a physical therapist, to usual care. Participants and nonparticipants were asked to complete a comprehensive questionnaire assessing sociodemographics, fatigue, and health-related quality of life. Baseline data for participants and nonparticipants were compared using the independent Student t test and chi-square test. The inclusion rate in the trial was 11.03% (137/1242). Of the nonparticipants, 13.95% (154/1104) completed the questionnaire. Participants were more highly educated (P=.04), had a paid job less often (P=.03), and were on sick leave more often (P=.03). They reported less PA per week, both moderate (P=.03) and vigorous (P&lt;.01), before diagnosis and during leisure time (P&lt;.01, effect size [ES]=0.44). They reported a significantly lower stage of change (P≤.01), lower self-efficacy (P&lt;.01, ES=0.61), perceived barriers to PA (P&lt;.01, ES=0.54), and more general fatigue (P&lt;.01, ES=0.60). Participants reported lower health-related quality of life for most domains (ES ranging from 0.34 for mental health to 0.48 for social functioning). No significant differences were found for other sociodemographics, mood state, or attitudes toward or perceived social support for PA. The participants who self-selected for trial participation reported lower PA levels before diagnosis and a stronger need for support compared with nonparticipants. The trial thus included those patients who might benefit the most from internet-based supportive PA interventions. Netherlands trial register NTR6911; https://www.trialregister.nl/trial/6733.</t>
  </si>
  <si>
    <t>Deep Learning for Automated Triaging of 4581 Breast MRI Examinations from the DENSE Trial.</t>
  </si>
  <si>
    <t>https://pubmed.ncbi.nlm.nih.gov/34609196</t>
  </si>
  <si>
    <t>Background Supplemental screening with MRI has proved beneficial in women with extremely dense breasts. Most MRI examinations show normal anatomic and physiologic variation that may not require radiologic review. Thus, ways to triage these normal MRI examinations to reduce radiologist workload are needed. Purpose To determine the feasibility of an automated triaging method using deep learning (DL) to dismiss the highest number of MRI examinations without lesions while still identifying malignant disease. Materials and Methods This secondary analysis of data from the Dense Tissue and Early Breast Neoplasm Screening, or DENSE, trial evaluated breast MRI examinations from the first screening round performed in eight hospitals between December 2011 and January 2016. A DL model was developed to differentiate between breasts with lesions and breasts without lesions. The model was trained to dismiss breasts with normal phenotypical variation and to triage lesions (Breast Imaging Reporting and Data System [BI-RADS] categories 2-5) using eightfold internal-external validation. The model was trained on data from seven hospitals and tested on data from the eighth hospital, alternating such that each hospital was used once as an external test set. Performance was assessed using receiver operating characteristic analysis. At 100% sensitivity for malignant disease, the fraction of examinations dismissed from radiologic review was estimated. Results A total of 4581 MRI examinations of extremely dense breasts from 4581women (mean age, 54.3 years; interquartile range, 51.5-59.8 years) were included. Of the 9162 breasts, 838 had at least one lesion (BI-RADS category 2-5, of which 77 were malignant) and 8324 had no lesions. At 100% sensitivity for malignant lesions, the DL model considered 90.7% (95% CI: 86.7, 94.7) of the MRI examinations with lesions to be nonnormal and triaged them to radiologic review. The DL model dismissed 39.7% (95% CI: 30.0, 49.4) of the MRI examinations without lesions. The DL model had an average area under the receiver operating characteristic curve of 0.83 (95% CI: 0.80, 0.85) in the differentiation between normal breast MRI examinations and MRI examinations with lesions. Conclusion Automated analysis of breast MRI examinations in women with dense breasts dismissed nearly 40% of MRI scans without lesions while not missing any cancers. ClinicalTrials.gov: NCT01315015 © RSNA, 2021 &lt;i&gt;Online supplemental material is available for this article.&lt;/i&gt; See also the editorial by Joe in this issue.</t>
  </si>
  <si>
    <t>Deferred Consent in an Acute Stroke Trial from a Patient, Proxy, and Physician Perspective: A Cross-Sectional Survey.</t>
  </si>
  <si>
    <t>Koopman, Inez; Verbaan, Dagmar; Vandertop, W Peter; van der Graaf, Rieke; Kompanje, Erwin J O; Post, René; Coert, Bert A; Ploem, Martine C; Sluis, Wouter M; Scheijmans, Féline E V; Rinkel, Gabriel J E; Vergouwen, Mervyn D I</t>
  </si>
  <si>
    <t>https://pubmed.ncbi.nlm.nih.gov/34611811</t>
  </si>
  <si>
    <t>In some acute care trials, immediate informed consent is not possible, but deferred consent is often considered problematic. We investigated the opinions of patients, proxies, and physicians about deferred consent in an acute stroke trial to gain insight into its acceptability and effects. Paper-based surveys were sent to patients who were randomly assigned in the Ultra-early Tranexamic Acid After Subarachnoid Hemorrhage (ULTRA) trial between 2015 and 2018 in two tertiary referral centers and to physicians of centers who agreed or declined to participate. The primary outcome measure was the proportion of respondents who agreed with deferral of consent in the ULTRA trial. Secondary outcomes included respondents' preferred consent procedure for the ULTRA trial, the effect of deferred consent on trust in physicians and scientific research, and the willingness to participate in future research. Eighty-nine of 135 (66%) patients or proxies and 20 of 30 (67%) physicians completed the survey. Of these, 82 of 89 (92%) patients or proxies and 14 of 20 (70%) physicians agreed with deferral of consent in the ULTRA trial. When asked for their preferred consent procedure for the ULTRA trial, 31 of 89 (35%) patients or proxies indicated deferred consent, 15 of 89 (17%) preferred immediate informed consent, and 32 of 89 (36%) had no preference. None of the patients' or proxies' trust in physicians or scientific research had decreased because of the deferred consent procedure. Willingness to participate in future studies remained the same or increased in 84 of 89 (94%) patients or proxies. A large majority of the surveyed patients and proxies and a somewhat smaller majority of the surveyed physicians agreed with deferred consent in the ULTRA trial. Deferred consent may enable acute care trials in an acceptable manner without decreasing trust in medicine. Future research should investigate factors facilitating the responsible use of deferred consent, such as in-depth interviews, to study the minority of participants who agreed with deferred consent but still preferred immediate informed consent.</t>
  </si>
  <si>
    <t>Risk of Rupture After Intracranial Aneurysm Growth.</t>
  </si>
  <si>
    <t>van der Kamp, Laura T; Rinkel, Gabriel J E; Verbaan, Dagmar; van den Berg, René; Vandertop, W Peter; Murayama, Yuichi; Ishibashi, Toshihiro; Lindgren, Antti; Koivisto, Timo; Teo, Mario; St George, Jerome; Agid, Ronit; Radovanovic, Ivan; Moroi, Junta; Igase, Keiji; van den Wijngaard, Ido R; Rahi, Melissa; Rinne, Jaakko; Kuhmonen, Johanna; Boogaarts, Hieronymus D; Wong, George K C; Abrigo, Jill M; Morita, Akio; Shiokawa, Yoshiaki; Hackenberg, Katharina A M; Etminan, Nima; van der Schaaf, Irene C; Zuithoff, Nicolaas P A; Vergouwen, Mervyn D I</t>
  </si>
  <si>
    <t>jama neurology</t>
  </si>
  <si>
    <t>https://pubmed.ncbi.nlm.nih.gov/34459846</t>
  </si>
  <si>
    <t>Unruptured intracranial aneurysms not undergoing preventive endovascular or neurosurgical treatment are often monitored radiologically to detect aneurysm growth, which is associated with an increase in risk of rupture. However, the absolute risk of aneurysm rupture after detection of growth remains unclear. To determine the absolute risk of rupture of an aneurysm after detection of growth during follow-up and to develop a prediction model for rupture. Individual patient data were obtained from 15 international cohorts. Patients 18 years and older who had follow-up imaging for at least 1 untreated unruptured intracranial aneurysm with growth detected at follow-up imaging and with 1 day or longer of follow-up after growth were included. Fusiform or arteriovenous malformation-related aneurysms were excluded. Of the 5166 eligible patients who had follow-up imaging for intracranial aneurysms, 4827 were excluded because no aneurysm growth was detected, and 27 were excluded because they had less than 1 day follow-up after detection of growth. All included aneurysms had growth, defined as 1 mm or greater increase in 1 direction at follow-up imaging. The primary outcome was aneurysm rupture. The absolute risk of rupture was measured with the Kaplan-Meier estimate at 3 time points (6 months, 1 year, and 2 years) after initial growth. Cox proportional hazards regression was used to identify predictors of rupture after growth detection. A total of 312 patients were included (223 [71%] were women; mean [SD] age, 61 [12] years) with 329 aneurysms with growth. During 864 aneurysm-years of follow-up, 25 (7.6%) of these aneurysms ruptured. The absolute risk of rupture after growth was 2.9% (95% CI, 0.9-4.9) at 6 months, 4.3% (95% CI, 1.9-6.7) at 1 year, and 6.0% (95% CI, 2.9-9.1) at 2 years. In multivariable analyses, predictors of rupture were size (7 mm or larger hazard ratio, 3.1; 95% CI, 1.4-7.2), shape (irregular hazard ratio, 2.9; 95% CI, 1.3-6.5), and site (middle cerebral artery hazard ratio, 3.6; 95% CI, 0.8-16.3; anterior cerebral artery, posterior communicating artery, or posterior circulation hazard ratio, 2.8; 95% CI, 0.6-13.0). In the triple-S (size, site, shape) prediction model, the 1-year risk of rupture ranged from 2.1% to 10.6%. Within 1 year after growth detection, rupture occurred in approximately 1 of 25 aneurysms. The triple-S risk prediction model can be used to estimate absolute risk of rupture for the initial period after detection of growth.</t>
  </si>
  <si>
    <t>First-in-Human Study of the Biodistribution and Pharmacokinetics of 89Zr-CX-072, a Novel Immunopet Tracer Based on an Anti-PD-L1 Probody.</t>
  </si>
  <si>
    <t>Kist de Ruijter, Laura; Hooiveld-Noeken, Jahlisa S; Giesen, Danique; Lub-de Hooge, Marjolijn N; Kok, Iris C; Brouwers, Adrienne H; Elias, Sjoerd G; Nguyen, Margaret T L; Lu, Hong; Gietema, Jourik A; Jalving, Mathilde; de Groot, Derk J A; Vasiljeva, Olga; de Vries, Elisabeth G E</t>
  </si>
  <si>
    <t>https://pubmed.ncbi.nlm.nih.gov/34253583</t>
  </si>
  <si>
    <t>CX-072, a PD-L1-targeting Probody therapeutic, is engineered to be activated by tumor proteases that remove a masking peptide. To study effects on biodistribution and pharmacokinetics, we performed 89Zr-CX-072 positron emission tomography (PET) imaging. Patients received ∼1 mg, 37 MBq 89Zr-CX-072 plus 0, 4, or 9 mg unlabeled CX-072 and PET scans at days 2, 4, and 7. After that, treatment comprised 10 mg/kg CX-072 q2 weeks (n = 7) + 3 mg/kg ipilimumab q3w 4× (n = 1). Normal organ tracer uptake was expressed as standardized uptake value (SUV)mean and tumor uptake as SUVmax. PD-L1 expression was measured immunohistochemically in archival tumor tissue. Three of the eight patients included received 10-mg protein dose resulting in a blood pool mean SUVmean ± SD of 4.27 ± 0.45 on day 4, indicating sufficient available tracer. Tumor uptake was highest at day 7, with a geometric mean SUVmax 5.89 (n = 113) and present in all patients. The median follow-up was 12 weeks (4-76+). One patient experienced stable disease and two patients a partial response. PD-L1 tumor expression was 90% in one patient and ≤1% in the other patients. Mean SUVmean ± SD day 4 at 10 mg in the spleen was 8.56 ± 1.04, bone marrow 2.21 ± 0.46, and liver 4.97 ± 0.97. Four patients out of seven showed uptake in normal lymph nodes and Waldeyer's ring. The tracer was intact in the serum or plasma. 89Zr-CX-072 showed tumor uptake, even in lesions with ≤1% PD-L1 expression, and modest uptake in normal lymphoid organs, with no unexpected uptake in other healthy tissues.</t>
  </si>
  <si>
    <t>Search for New Phenomena in Final States with Two Leptons and One or No b-Tagged Jets at sqrt[s]=13  TeV Using the ATLAS Detector.</t>
  </si>
  <si>
    <t>https://pubmed.ncbi.nlm.nih.gov/34652194</t>
  </si>
  <si>
    <t>A search for new phenomena is presented in final states with two leptons and one or no b-tagged jets. The event selection requires the two leptons to have opposite charge, the same flavor (electrons or muons), and a large invariant mass. The analysis is based on the full run-2 proton-proton collision dataset recorded at a center-of-mass energy of sqrt[s]=13  TeV by the ATLAS experiment at the LHC, corresponding to an integrated luminosity of 139  fb^{-1}. No significant deviation from the expected background is observed in the data. Inspired by the B-meson decay anomalies, a four-fermion contact interaction between two quarks (b, s) and two leptons (ee or μμ) is used as a benchmark signal model, which is characterized by the energy scale and coupling, Λ and g_{*}, respectively. Contact interactions with Λ/g_{*} lower than 2.0 (2.4) TeV are excluded for electrons (muons) at the 95% confidence level, still far below the value that is favored by the B-meson decay anomalies. Model-independent limits are set as a function of the minimum dilepton invariant mass, which allow the results to be reinterpreted in various signal scenarios.</t>
  </si>
  <si>
    <t>Impact of Adding Oseltamivir to Usual Care on Quality-Adjusted Life-Years During Influenza-Like Illness.</t>
  </si>
  <si>
    <t>Bruyndonckx, Robin; Bilcke, Joke; van der Velden, Alike W; Li, Xiao; Hens, Niel; Coenen, Samuel; Butler, Christopher C; Beutels, Philippe</t>
  </si>
  <si>
    <t>https://pubmed.ncbi.nlm.nih.gov/35094790</t>
  </si>
  <si>
    <t>The ALIC&lt;sup&gt;4&lt;/sup&gt;E trial has shown that oseltamivir reduces recovery time while increasing the risk of nausea. This secondary analysis of the ALIC&lt;sup&gt;4&lt;/sup&gt;E trial aimed to determine the gain in quality-adjusted life-years (QALYs) associated with adding oseltamivir to usual primary care in patients presenting with influenza-like illness (ILI). Patients with ILI were recruited during the influenza season (2015-2018) in 15 European countries. Patients were assigned to usual care with or without oseltamivir through stratified randomization (age, severity, comorbidities, and symptom onset). Patients' health status was valued with the EQ-5D and visual analog scale (VAS) for up to 28 days. Average EQ-5D and VAS scores over time were estimated for both treatment groups using one-inflated beta regression in children (&lt;13 years old) and adults (≥13 years old). QALY gain was calculated as the difference between the groups. Sensitivity analysis considered the value set to convert EQ-5D answers to summary scores and the follow-up period. In adults, oseltamivir gained 0.0006 (95% confidence interval 0.0002-0.0010) QALYs, whereas no statistically significant gain was found in children (14-day follow-up, EQ-5D). QALY gains were statistically significant in patients aged ≥65 years, patients without relevant comorbidities, or patients experiencing symptoms for ≤48 hours. Using VAS and accounting for 28-day follow-up resulted in higher QALY gain. QALY gain owing to oseltamivir is limited compared with other diseases, and its clinical meaningfulness remains to be determined. Further analysis is needed to evaluate whether QALY gain and its impact on ILI treatment cost render oseltamivir cost-effective.</t>
  </si>
  <si>
    <t>Associations of Serum Uric Acid Levels With Macrovascular and Renal Microvascular Dysfunction Among Individuals From Sub-Saharan Africa.</t>
  </si>
  <si>
    <t>Hayfron-Benjamin, Charles F; van den Born, Bert-Jan; Amoah, Albert G B; Maitland-van der Zee, Anke H; Meeks, Karlijn A C; Beune, Erik J A J; Klipstein-Grobusch, Kerstin; Agyemang, Charles</t>
  </si>
  <si>
    <t>https://pubmed.ncbi.nlm.nih.gov/34648008</t>
  </si>
  <si>
    <t>Serum uric acid (SUA) level is associated with vascular dysfunction in Eurasian populations, but little is known about this association in individuals from sub-Saharan Africa, who have a high prevalence of both relatively high SUA levels and vascular dysfunction. To assess the associations of SUA levels with macrovascular and kidney microvascular dysfunction in individuals of sub-Saharan African ancestry and evaluate potential factors that could mediate these associations. Cross-sectional analyses of baseline data from the multicenter Research on Obesity and Diabetes Among African Migrants study, conducted from 2012 to 2015, were performed from January to March 2021. The population included Ghanaian individuals living in Ghana and Europe. Abnormal SUA levels. Logistic regression was used to examine the associations of SUA level quartiles with microvascular (albuminuria) and macrovascular (peripheral artery disease and coronary artery disease) dysfunction, with adjustments for age, sex, estimated glomerular filtration rate, site of residence, socioeconomic status, alcohol, smoking, diabetes, hypertension, waist-hip ratio, and total cholesterol level. Mediation analysis was performed to assess whether the association was via elevated blood pressure, hemoglobin A1c, and high-sensitivity C-reactive protein levels or via weight-hip ratio. The research questions were formulated after data collection. A total of 4919 Ghanaian individuals (3047 [61.9%] women) aged 25-75 years (mean [SD], 46.26 [11.08] years) were included. There was a significant positive association between SUA quartiles and albuminuria, but not coronary artery disease or peripheral artery disease, after adjustment for covariates. After full adjustment, individuals in the fourth SUA quartile had higher odds of albuminuria (adjusted odds ratio [aOR], 1.54; 95% CI, 1.07-2.21), but not peripheral artery disease (aOR, 1.35; 95% CI, 0.87-2.08) or coronary artery disease (aOR, 1.09; 95% CI, 0.77-1.55), compared with individuals in the first quartile. After full adjustment, systolic and diastolic blood pressure significantly mediated the association between SUA concentrations and albuminuria, accounting for 19.4% of the total association for systolic and 17.2% for diastolic blood pressure; hemoglobin A1c, high-sensitivity C-reactive protein, and waist-hip ratio did not mediate this association. In this cross-sectional study among a sub-Saharan African population, elevated SUA levels were significantly associated with kidney microvascular dysfunction and mediated partly through elevated blood pressure. These findings suggest that individuals from sub-Saharan Africa with elevated SUA levels may benefit from periodic screening for kidney microvascular dysfunction to aid early detection or treatment.</t>
  </si>
  <si>
    <t>Correction to: Polygenic risk scores predict diabetes complications and their response to intensive blood pressure and glucose control.</t>
  </si>
  <si>
    <t>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t>
  </si>
  <si>
    <t>https://pubmed.ncbi.nlm.nih.gov/34448881</t>
  </si>
  <si>
    <t>Psychosocial functioning in adolescents growing up with chronic disease: The Dutch HBSC study.</t>
  </si>
  <si>
    <t>Berkelbach van der Sprenkel, Emma E; Nijhof, Sanne L; Dalmeijer, Geertje W; Onland-Moret, N Charlotte; de Roos, Simone A; Lesscher, Heidi M B; van de Putte, Elise M; van der Ent, Cornelis K; Finkenauer, Catrin; Stevens, Gonneke W J M</t>
  </si>
  <si>
    <t>https://pubmed.ncbi.nlm.nih.gov/34595612</t>
  </si>
  <si>
    <t>Many adolescents worldwide (indirectly) grow up with a chronic disease, which may impact their functioning and wellbeing. The objective of this study is to assess whether adolescents with a (family member with a) chronic disease differ from their healthy counterparts in terms of psychosocial functioning. Data from the Dutch 2013 HBSC-survey were used, including 7168 adolescents (Mean&lt;sub&gt;age&lt;/sub&gt; = 13.7, SD = 1.57, 50.5% female). Participants indicated whether they or one of their family members had a long-term (&gt; 3 months) disease or disability (mental/physical) and were categorized into four groups based on disease presence (none, other, self, both). Psychosocial functioning was assessed in terms of life satisfaction, self-rated health, psychosomatic health, mental health problems, support, substance use, physical exercise, screen time, and school liking. Chronically diseased adolescents (n = 162) reported lower life satisfaction, self-rated and psychosomatic health, more mental health problems, lower peer support, more substance use, and less physical exercise compared to healthy peers. Chronically diseased adolescents who also had a family member with a chronic disease (n = 74) showed comparable outcomes on these life domains, although they did not differ from their healthy peers regarding peer support, substance use, and physical activity. Healthy adolescents with a chronically diseased family member (n = 737) reported significantly lower life satisfaction, self-rated and psychosomatic health, more mental health problems, and less family support compared to healthy peers who grew up in healthy families; however, they reported more positive outcomes than adolescents who had a chronic disease themselves.Conclusion: Having a (family member with a) chronic disease is associated with impaired psychosocial functioning on various life domains. Our findings aid in understanding the psychosocial associates of chronic disease and imply that caregivers should be observant of psychosocial problems among vulnerable adolescents to provide appropriate guidance. What is Known: • Adolescents who grow up with a (family member with a) chronic disease encounter numerous challenges that may be related to poorer developmental outcomes on the long term. What is New: • This study adds a comprehensive overview of the psychosocial functioning of adolescents with a (family member with a) chronic disease, as compared to healthy counterparts that grow up in a healthy family.</t>
  </si>
  <si>
    <t>Painful and swollen tongue: mucosal leishmaniasis due to Leishmania infantum.</t>
  </si>
  <si>
    <t>Chong, Ga-Lai M; Ong, David S Y; de Mendonça Melo, Mariana; van Hellemond, Jaap J</t>
  </si>
  <si>
    <t>https://pubmed.ncbi.nlm.nih.gov/34597767</t>
  </si>
  <si>
    <t>Leishmaniasis is a parasitic disease caused by different Leishmania species. L. infantum is found in the Mediterranean area. It usually causes visceral or cutaneous leishmaniasis, but rarely mucosal leishmaniasis (ML). A 62-year-old man with metastatic non-small-cell lung carcinoma visited the outpatient clinic because of a painful and swollen tongue. Initially, oral candidiasis was suspected and patient was unsuccessfully treated accordingly. Subsequently, a biopsy from the tongue was taken. Histology of the tongue biopsy showed an inflammation with histiocytes and Leishmania amastigotes. Molecular analysis determined these parasites as L. donovani complex. Based on the patient's travel history, ML caused by L. infantum was diagnosed. ML is an unusual presentation of L. infantum. ML is not only caused by Leishmania species endemic in Latin America, but also should be considered in the differential diagnosis for European patients. A biopsy of the affected location is needed to confirm the diagnosis.</t>
  </si>
  <si>
    <t>Performance of prediction models for nephropathy in people with type 2 diabetes: systematic review and external validation study.</t>
  </si>
  <si>
    <t>Slieker, Roderick C; van der Heijden, Amber A W A; Siddiqui, Moneeza K; Langendoen-Gort, Marlous; Nijpels, Giel; Herings, Ron; Feenstra, Talitha L; Moons, Karel G M; Bell, Samira; Elders, Petra J; 't Hart, Leen M; Beulens, Joline W J</t>
  </si>
  <si>
    <t>https://pubmed.ncbi.nlm.nih.gov/34583929</t>
  </si>
  <si>
    <t>To identify and assess the quality and accuracy of prognostic models for nephropathy and to validate these models in external cohorts of people with type 2 diabetes. Systematic review and external validation. PubMed and Embase. Studies describing the development of a model to predict the risk of nephropathy, applicable to people with type 2 diabetes. Screening, data extraction, and risk of bias assessment were done in duplicate. Eligible models were externally validated in the Hoorn Diabetes Care System (DCS) cohort (n=11 450) for the same outcomes for which they were developed. Risks of nephropathy were calculated and compared with observed risk over 2, 5, and 10 years of follow-up. Model performance was assessed based on intercept adjusted calibration and discrimination (Harrell's C statistic). 41 studies included in the systematic review reported 64 models, 46 of which were developed in a population with diabetes and 18 in the general population including diabetes as a predictor. The predicted outcomes included albuminuria, diabetic kidney disease, chronic kidney disease (general population), and end stage renal disease. The reported apparent discrimination of the 46 models varied considerably across the different predicted outcomes, from 0.60 (95% confidence interval 0.56 to 0.64) to 0.99 (not available) for the models developed in a diabetes population and from 0.59 (not available) to 0.96 (0.95 to 0.97) for the models developed in the general population. Calibration was reported in 31 of the 41 studies, and the models were generally well calibrated. 21 of the 64 retrieved models were externally validated in the Hoorn DCS cohort for predicting risk of albuminuria, diabetic kidney disease, and chronic kidney disease, with considerable variation in performance across prediction horizons and models. For all three outcomes, however, at least two models had C statistics &gt;0.8, indicating excellent discrimination. In a secondary external validation in GoDARTS (Genetics of Diabetes Audit and Research in Tayside Scotland), models developed for diabetic kidney disease outperformed those for chronic kidney disease. Models were generally well calibrated across all three prediction horizons. This study identified multiple prediction models to predict albuminuria, diabetic kidney disease, chronic kidney disease, and end stage renal disease. In the external validation, discrimination and calibration for albuminuria, diabetic kidney disease, and chronic kidney disease varied considerably across prediction horizons and models. For each outcome, however, specific models showed good discrimination and calibration across the three prediction horizons, with clinically accessible predictors, making them applicable in a clinical setting. PROSPERO CRD42020192831.</t>
  </si>
  <si>
    <t>The discrete-time Kermack-McKendrick model: A versatile and computationally attractive framework for modeling epidemics.</t>
  </si>
  <si>
    <t>Diekmann, Odo; Othmer, Hans G; Planqué, Robert; Bootsma, Martin C J</t>
  </si>
  <si>
    <t>https://pubmed.ncbi.nlm.nih.gov/34561307</t>
  </si>
  <si>
    <t>The COVID-19 pandemic has led to numerous mathematical models for the spread of infection, the majority of which are large compartmental models that implicitly constrain the generation-time distribution. On the other hand, the continuous-time Kermack-McKendrick epidemic model of 1927 (KM27) allows an arbitrary generation-time distribution, but it suffers from the drawback that its numerical implementation is rather cumbersome. Here, we introduce a discrete-time version of KM27 that is as general and flexible, and yet is very easy to implement computationally. Thus, it promises to become a very powerful tool for exploring control scenarios for specific infectious diseases such as COVID-19. To demonstrate this potential, we investigate numerically how the incidence-peak size depends on model ingredients. We find that, with the same reproduction number and the same initial growth rate, compartmental models systematically predict lower peak sizes than models in which the latent and the infectious period have fixed duration.</t>
  </si>
  <si>
    <t>Parental experiences and perspectives on the value of seizure detection while caring for a child with epilepsy: A qualitative study.</t>
  </si>
  <si>
    <t>van Westrhenen, Anouk; de Lange, Wendela F M; Hagebeuk, Eveline E O; Lazeron, Richard H C; Thijs, Roland D; Kars, Marijke C</t>
  </si>
  <si>
    <t>epilepsy behavior eb</t>
  </si>
  <si>
    <t>https://pubmed.ncbi.nlm.nih.gov/34598099</t>
  </si>
  <si>
    <t>Caring for a child with epilepsy has a significant impact on parental quality of life. Seizure unpredictability and complications, including sudden unexpected death in epilepsy (SUDEP), may cause high parental stress and increased anxiety. Nocturnal supervision with seizure detection devices may lower SUDEP risk and decrease parental burden of seizure monitoring, but little is known about their added value in family homes. We conducted semi-structured in-depth interviews with parents of children with refractory epilepsy participating in the PROMISE trial (NCT03909984) to explore the value of seizure detection in the daily care of their child. Children were aged 4-16 years, treated at a tertiary epilepsy center, had at least one nocturnal major motor seizure per week, and used a wearable seizure detection device (NightWatch) for two months at home. Data were analyzed using inductive thematic analysis. Twenty three parents of nineteen children with refractory epilepsy were interviewed. All parents expressed their fear of missing a large seizure and the possible consequences of not intervening in time. Some parents felt the threat of child loss during every seizure, while others thought about it from time to time. The fear could fluctuate over time, mainly associated with fluctuations of seizure frequency. Most parents described how they developed a protective behavior, driven by this fear. The way parents handled the care of their child and experienced the burden of care influenced their perceptions on the added value of NightWatch. The experienced value of NightWatch depended on the amount of assurance it could offer to reduce their fear and the associated protective behavior as well as their resilience to handle the potential extra burden of care, due to false alarms or technical problems. Healthcare professionals and device companies should be aware of parental protective behavior and the high parental burden of care and develop tailored strategies to optimize seizure detection device care.</t>
  </si>
  <si>
    <t>Use of sepsis-related diagnostic criteria in primary care: a survey among general practitioners.</t>
  </si>
  <si>
    <t>Mulders, Merijn C F; Loots, Feike J; van Nieuwenhoven, Joey; Ter Maaten, Jan C; Bouma, Hjalmar R</t>
  </si>
  <si>
    <t>https://pubmed.ncbi.nlm.nih.gov/33755106</t>
  </si>
  <si>
    <t>Use of sepsis-criteria in hospital settings is effective in realizing early recognition, adequate treatment and reduction of sepsis-associated morbidity and mortality. Whether general practitioners (GPs) use these diagnostic criteria is unknown. To gauge the knowledge and use of various diagnostic criteria. To determine which parameters GPs associate with an increased likelihood of sepsis. Two thousand five hundred and sixty GPs were invited and 229 agreed to participate in a survey, reached out to through e-mail and WhatsApp groups. The survey consisted of two parts: the first part aimed to obtain information about the GP, training and knowledge about sepsis recognition, and the second part tested specific knowledge using six realistic cases. Two hundred and six questionnaires, representing a response rate of 8.1%, were eligible for analysis. Gut feeling (98.1%) was the most used diagnostic method, while systemic inflammatory response syndrome (37.9%), quick Sequential Organ Failure Assessment (qSOFA) (7.8%) and UK Sepsis Trust criteria (UKSTc) (1.5%) were used by the minority of the GPs. Few of the responding GPs had heard of either the qSOFA (27.7%) or the UKSTc (11.7%). Recognition of sepsis varied greatly between GPs. GPs most strongly associated the individual signs of the qSOFA (mental status, systolic blood pressure, capillary refill time and respiratory rate) with diagnosing sepsis in the test cases. GPs mostly use gut feeling to diagnose sepsis and are frequently not familiar with the 'sepsis-criteria' used in hospital settings, although clinical reasoning was mostly in line with the qSOFA score. In order to improve sepsis recognition in primary care, GPs should be educated in the use of available screening tools.</t>
  </si>
  <si>
    <t>Projecting the impact of triple CFTR modulator therapy on intravenous antibiotic requirements in cystic fibrosis using patient registry data combined with treatment effects from randomised trials.</t>
  </si>
  <si>
    <t>Keogh, Ruth H; Cosgriff, Rebecca; Andrinopoulou, Eleni-Rosalina; Brownlee, Keith G; Carr, Siobhán B; Diaz-Ordaz, Karla; Granger, Emily; Jewell, Nicholas P; Lewin, Alex; Leyrat, Clemence; Schlüter, Daniela K; van Smeden, Maarten; Szczesniak, Rhonda D; Connett, Gary J</t>
  </si>
  <si>
    <t>https://pubmed.ncbi.nlm.nih.gov/34556554</t>
  </si>
  <si>
    <t>Cystic fibrosis (CF) is a life-threatening genetic disease, affecting around 10 500 people in the UK. Precision medicines have been developed to treat specific CF-gene mutations. The newest, elexacaftor/tezacaftor/ivacaftor (ELEX/TEZ/IVA), has been found to be highly effective in randomised controlled trials (RCTs) and became available to a large proportion of UK CF patients in 2020. Understanding the potential health economic impacts of ELEX/TEZ/IVA is vital to planning service provision. We combined observational UK CF Registry data with RCT results to project the impact of ELEX/TEZ/IVA on total days of intravenous (IV) antibiotic treatment at a population level. Registry data from 2015 to 2017 were used to develop prediction models for IV days over a 1-year period using several predictors, and to estimate 1-year population total IV days based on standards of care pre-ELEX/TEZ/IVA. We considered two approaches to imposing the impact of ELEX/TEZ/IVA on projected outcomes using effect estimates from RCTs: approach 1 based on effect estimates on FEV&lt;sub&gt;1&lt;/sub&gt;% and approach 2 based on effect estimates on exacerbation rate. ELEX/TEZ/IVA is expected to result in significant reductions in population-level requirements for IV antibiotics of 16.1% (~17 800 days) using approach 1 and 43.6% (~39 500 days) using approach 2. The two approaches require different assumptions. Increased understanding of the mechanisms through which ELEX/TEZ/IVA acts on these outcomes would enable further refinements to our projections. This work contributes to increased understanding of the changing healthcare needs of people with CF and illustrates how Registry data can be used in combination with RCT evidence to estimate population-level treatment impacts.</t>
  </si>
  <si>
    <t>A prospective population-based multicentre study on the impact of maternal body mass index on adverse pregnancy outcomes: Focus on normal weight.</t>
  </si>
  <si>
    <t>van Hoorn, Fieke; de Wit, Leon; van Rossem, Lenie; Jambroes, Marielle; Groenendaal, Floris; Kwee, Anneke; Lamain-de Ruiter, Marije; Franx, Arie; van Rijn, Bas B; Koster, Maria P H; Bekker, Mireille N</t>
  </si>
  <si>
    <t>https://pubmed.ncbi.nlm.nih.gov/34555090</t>
  </si>
  <si>
    <t>Maternal body mass index (BMI) below or above the reference interval (18.5-24.9 kg/m2) is associated with adverse pregnancy outcomes. Whether BMI exerts an effect within the reference interval is unclear. Therefore, we assessed the association between adverse pregnancy outcomes and BMI, in particular within the reference interval, in a general unselected pregnant population. Data was extracted from a prospective population-based multicentre cohort (Risk Estimation for PrEgnancy Complications to provide Tailored care (RESPECT) study) conducted between December 2012 to January 2014. BMI was studied in categories (I: &lt;18.5, II: 18.5-19.9, III: 20.0-22.9, IV: 23.0-24.9, V: 25.0-27.4, VI: 27.5-29.9, VII: &gt;30.0 kg/m2) and as a continuous variable within the reference interval. Adverse pregnancy outcomes were defined as composite endpoints for maternal, neonatal or any pregnancy complication, and for adverse pregnancy outcomes individually. Linear trends were assessed using linear-by-linear association analysis and (adjusted) relative risks by regression analysis. The median BMI of the 3671 included women was 23.2 kg/m2 (IQR 21.1-26.2). Adverse pregnancy outcomes were reported in 1256 (34.2%). Linear associations were observed between BMI categories and all three composite endpoints, and individually for pregnancy-induced hypertension (PIH), preeclampsia, gestational diabetes mellitus (GDM), large-for-gestational-age (LGA) neonates; but not for small-for-gestational-age neonates and preterm birth. Within the reference interval, BMI was associated with the composite maternal endpoint, PIH, GDM and LGA, with adjusted relative risks of 1.15 (95%CI 1.06-1.26), 1.12 (95%CI 1.00-1.26), 1.31 (95%CI 1.11-1.55) and 1.09 (95%CI 1.01-1.17). Graded increase in maternal BMI appears to be an indicator of risk for adverse pregnancy outcomes even among women with a BMI within the reference interval. The extent to which BMI directly contributes to the increased risk in this group should be evaluated in order to determine strategies most valuable for promoting safety and long-term health for mothers and their offspring.</t>
  </si>
  <si>
    <t>Causal analyses of existing databases: the importance of understanding what can be achieved with your data before analysis (commentary on Hernán).</t>
  </si>
  <si>
    <t>Morris, Tim P; van Smeden, Maarten</t>
  </si>
  <si>
    <t>https://pubmed.ncbi.nlm.nih.gov/34560253</t>
  </si>
  <si>
    <t>Effect of C reactive protein point-of-care testing on antibiotic prescribing for lower respiratory tract infections in nursing home residents: cluster randomised controlled trial.</t>
  </si>
  <si>
    <t>Boere, Tjarda M; van Buul, Laura W; Hopstaken, Rogier M; van Tulder, Maurits W; Twisk, Jos W M R; Verheij, Theo J M; Hertogh, Cees M P M</t>
  </si>
  <si>
    <t>https://pubmed.ncbi.nlm.nih.gov/34548288</t>
  </si>
  <si>
    <t>To evaluate whether C reactive protein point-of-care testing (CRP POCT) safely reduces antibiotic prescribing for lower respiratory tract infections in nursing home residents. Pragmatic, cluster randomised controlled trial. The UPCARE study included 11 nursing home organisations in the Netherlands. 84 physicians from 11 nursing home organisations included 241 participants with suspected lower respiratory tract infections from September 2018 to the end of March 2020. Nursing homes allocated to the intervention group had access to CRP POCT. The control group provided usual care without CRP POCT for patients with suspected lower respiratory tract infections. The primary outcome measure was antibiotic prescribing at initial consultation. Secondary outcome measures were full recovery at three weeks, changes in antibiotic management and additional diagnostics during follow-up at one week and three weeks, and hospital admission and all cause mortality at any point (initial consultation, one week, or three weeks). Antibiotics were prescribed at initial consultation for 84 (53.5%) patients in the intervention group and 65 (82.3%) in the control group. Patients in the intervention group had 4.93 higher odds (95% confidence interval 1.91 to 12.73) of not being prescribed antibiotics at initial consultation compared with the control group, irrespective of treating physician and baseline characteristics. The between group difference in antibiotic prescribing at any point from initial consultation to follow-up was 23.6%. Differences in secondary outcomes between the intervention and control groups were 4.4% in full recovery rates at three weeks (86.4% &lt;i&gt;v&lt;/i&gt; 90.8%), 2.2% in all cause mortality rates (3.5% &lt;i&gt;v&lt;/i&gt; 1.3%), and 0.7% in hospital admission rates (7.2% &lt;i&gt;v&lt;/i&gt; 6.5%). The odds of full recovery at three weeks, and the odds of mortality and hospital admission at any point did not significantly differ between groups. CRP POCT for suspected lower respiratory tract infection safely reduced antibiotic prescribing compared with usual care in nursing home residents. The findings suggest that implementing CRP POCT in nursing homes might contribute to reduced antibiotic use in this setting and help to combat antibiotic resistance. Netherlands Trial Register NL5054.</t>
  </si>
  <si>
    <t>Optimising Integrated Stroke Care in Regional Networks: A Nationwide Self-Assessment Study in 2012, 2015 and 2019.</t>
  </si>
  <si>
    <t>Voogdt-Pruis, Helene R; Zonneveld, Nick; Bergsma, Monique; van Wijk, Elize; Kerkhoff, Henk; van der Dussen, Luikje; Kuijpens, Maartje; Vrijhoef, Hubertus J M; Minkman, Mirella M N</t>
  </si>
  <si>
    <t>https://pubmed.ncbi.nlm.nih.gov/34621148</t>
  </si>
  <si>
    <t>To help enhance the quality of integrated stroke care delivery, regional stroke services networks in the Netherlands participated in a self-assessment study in 2012, 2015 and 2019. Coordinators of the regional stroke services networks filled out an online self-assessment questionnaire in 2012, 2015 and 2019. The questionnaire, which was based on the Development Model for Integrated Care, consisted of 97 questions in nine clusters (themes). Cluster scores were calculated as proportions of the activities implemented. Associations between clusters and features of stroke services were assessed by regression analysis. The response rate varied from 93.1% (2012) to 85.5% (2019). Over the years, the regional stroke services networks increased in 'size': the median number of organisations involved and the volume of patients per network increased (7 and 499 in 2019, compared to 5 and 364 in 2012). At the same time, fewer coordinators were appointed for more than 1 day a week in 2019 (35.1%) compared to 2012 (45.9%). Between 2012 and 2019, there were statistically significantly more elements implemented in four out of nine clusters: 'Transparent entrepreneurship' (MD = 18.0% F(1) = 10.693, p = 0.001), 'Roles and tasks' (MD = 14.0% F(1) = 9.255, p = 0.003), 'Patient-centeredness' (MD = 12.9% F(1) = 9.255, p = 0.003), and 'Commitment' (MD = 11.2%, F(1) = 4.982, p = 0.028). A statistically significant positive correlation was found for all clusters between implementation of activities and age of the network. In addition, the number of involved organisations is associated with better execution of implemented activities for 'Transparent entrepreneurship', 'Result-focused learning' and 'Quality of care'. Conversely, there are small but negative associations between the volume of patients and implementation rates for 'Interprofessional teamwork' and 'Patient-centredness'. This long-term analyses of stroke service development in the Netherlands, showed that between 2012 and 2019, integrated care activities within the regional stroke networks increased. Experience in collaboration between organisations within a network benefits the uptake of integrated care activities.</t>
  </si>
  <si>
    <t>Human plasma IgG1 repertoires are simple, unique, and dynamic.</t>
  </si>
  <si>
    <t>Bondt, Albert; Hoek, Max; Tamara, Sem; de Graaf, Bastiaan; Peng, Weiwei; Schulte, Douwe; van Rijswijck, Danique M H; den Boer, Maurits A; Greisch, Jean-François; Varkila, Meri R J; Snijder, Joost; Cremer, Olaf L; Bonten, Marc J M; Heck, Albert J R</t>
  </si>
  <si>
    <t>cell systems</t>
  </si>
  <si>
    <t>https://pubmed.ncbi.nlm.nih.gov/34613904</t>
  </si>
  <si>
    <t>Although humans can produce billions of IgG1 variants through recombination and hypermutation, the diversity of IgG1 clones circulating in human blood plasma has largely eluded direct characterization. Here, we combined several mass-spectrometry-based approaches to reveal that the circulating IgG1 repertoire in human plasma is dominated by a limited number of clones in healthy donors and septic patients. We observe that each individual donor exhibits a unique serological IgG1 repertoire, which remains stable over time but can adapt rapidly to changes in physiology. We introduce an integrative protein- and peptide-centric approach to obtain and validate a full sequence of an individual plasma IgG1 clone de novo. This IgG1 clone emerged at the onset of a septic episode and exhibited a high mutation rate (13%) compared with the closest matching germline DNA sequence, highlighting the importance of de novo sequencing at the protein level. A record of this paper's transparent peer review process is included in the supplemental information.</t>
  </si>
  <si>
    <t>A New Pipeline for the Normalization and Pooling of Metabolomics Data.</t>
  </si>
  <si>
    <t>Viallon, Vivian; His, Mathilde; Rinaldi, Sabina; Breeur, Marie; Gicquiau, Audrey; Hemon, Bertrand; Overvad, Kim; Tjønneland, Anne; Rostgaard-Hansen, Agnetha Linn; Rothwell, Joseph A; Lecuyer, Lucie; Severi, Gianluca; Kaaks, Rudolf; Johnson, Theron; Schulze, Matthias B; Palli, Domenico; Agnoli, Claudia; Panico, Salvatore; Tumino, Rosario; Ricceri, Fulvio; Verschuren, W M Monique; Engelfriet, Peter; Onland-Moret, Charlotte; Vermeulen, Roel; Nøst, Therese Haugdahl; Urbarova, Ilona; Zamora-Ros, Raul; Rodriguez-Barranco, Miguel; Amiano, Pilar; Huerta, José Maria; Ardanaz, Eva; Melander, Olle; Ottoson, Filip; Vidman, Linda; Rentoft, Matilda; Schmidt, Julie A; Travis, Ruth C; Weiderpass, Elisabete; Johansson, Mattias; Dossus, Laure; Jenab, Mazda; Gunter, Marc J; Lorenzo Bermejo, Justo; Scherer, Dominique; Salek, Reza M; Keski-Rahkonen, Pekka; Ferrari, Pietro</t>
  </si>
  <si>
    <t>metabolites</t>
  </si>
  <si>
    <t>https://pubmed.ncbi.nlm.nih.gov/34564446</t>
  </si>
  <si>
    <t>Pooling metabolomics data across studies is often desirable to increase the statistical power of the analysis. However, this can raise methodological challenges as several preanalytical and analytical factors could introduce differences in measured concentrations and variability between datasets. Specifically, different studies may use variable sample types (e.g., serum versus plasma) collected, treated, and stored according to different protocols, and assayed in different laboratories using different instruments. To address these issues, a new pipeline was developed to normalize and pool metabolomics data through a set of sequential steps: (i) exclusions of the least informative observations and metabolites and removal of outliers; imputation of missing data; (ii) identification of the main sources of variability through principal component partial R-square (PC-PR2) analysis; (iii) application of linear mixed models to remove unwanted variability, including samples' originating study and batch, and preserve biological variations while accounting for potential differences in the residual variances across studies. This pipeline was applied to targeted metabolomics data acquired using Biocrates AbsoluteIDQ kits in eight case-control studies nested within the European Prospective Investigation into Cancer and Nutrition (EPIC) cohort. Comprehensive examination of metabolomics measurements indicated that the pipeline improved the comparability of data across the studies. Our pipeline can be adapted to normalize other molecular data, including biomarkers as well as proteomics data, and could be used for pooling molecular datasets, for example in international consortia, to limit biases introduced by inter-study variability. This versatility of the pipeline makes our work of potential interest to molecular epidemiologists.</t>
  </si>
  <si>
    <t>[Meaningful interventions for peripheral arterial disease: Stopping primary referral to the vascular surgeon and angioplasty].</t>
  </si>
  <si>
    <t>Van Houten, Marijn M L; Rubens, Max; Bartelink, Marie-Louise E L; Teijink, Joep A W</t>
  </si>
  <si>
    <t>https://pubmed.ncbi.nlm.nih.gov/34854627</t>
  </si>
  <si>
    <t>Supervised exercise therapy with lifestyle counseling by a specialized physical therapist has replaced endovascular or open revascularization as primary treatment for intermittent claudication for most patients in the Netherlands. Succesful implementation of this guideline-recommended treatment strategy was achieved by warranting availability and quality of care by organizing care around a national network. Further reductions in unnecessary interventions in this population may be achieved when general practitioners and medical specialists collaborate, for instance by making in-hospital vascular diagnostic laboratories accessible for primary care. The implementation of similar interventions for other non-communicable chronic diseases such as chronic obstructive pulmonary disease or coronary heart disease in standard care is lacking, despite a solid evidence base and guideline recommendations.</t>
  </si>
  <si>
    <t>Insights into the association of ACEIs/ARBs use and COVID-19 prognosis: a multistate modelling study of nationwide hospital surveillance data from Belgium.</t>
  </si>
  <si>
    <t>Peñalvo, José L; Genbrugge, Els; Mertens, Elly; Sagastume, Diana; van der Sande, Marianne A B; Widdowson, Marc-Alain; Van Beckhoven, Dominique; ,</t>
  </si>
  <si>
    <t>https://pubmed.ncbi.nlm.nih.gov/34531225</t>
  </si>
  <si>
    <t>The widespread use of angiotensin-converting enzyme inhibitors (ACEIs) and angiotensin receptor blockers (ARBs) by patients with chronic conditions raised early concerns on the potential exacerbation of COVID-19 severity and fatality. Previous studies addressing this question have used standard methods that may lead to biased estimates when analysing hospital data because of the presence of competing events and event-related dependency. We investigated the association of ACEIs/ARBs' use with COVID-19 disease outcomes using time-to-event data in a multistate setting to account for competing events and minimise bias. Nationwide surveillance data from 119 Belgian hospitals. Medical records of 10 866 patients hospitalised from 14 March 2020to 14 June 2020 with a confirmed SARS-CoV-19 infection and information about ACEIs/ARBs' use. Multistate, multivariate Cox-Markov models were used to estimate the hazards of patients transitioning through health states from admission to discharge or death, along with transition probabilities calculated by combining the baseline cumulative hazard and regression coefficients. After accounting for potential confounders, there was no discernable association between ACEIs/ARBs' use and transfer to intensive care unit (ICU). Contrastingly, for patients without ICU transfer, ACEIs/ARBs' use was associated with a modest increase in recovery (HR 1.07, 95% CI 1.01 to 1.13, p=0.027) and reduction in fatality (HR 0.83, 95% CI 0.75 to 0.93, p=0.001) transitions. For patients transferred to ICU admission, no evidence of an association between ACEIs/ARBs' use and recovery (HR 1.16, 95% CI 0.97 to 1.38, p=0.098) or in-hospital death (HR 0.91, 95% CI 0.73 to 1.12, p=0.381) was observed. Male gender and older age were significantly associated with higher risk of ICU admission or death. Chronic cardiometabolic comorbidities were also associated with less recovery. For the first time, a multistate model was used to address magnitude and direction of the association of ACEIs/ARBs' use on COVID-19 progression. By minimising bias, this study provided a robust indication of a protective, although modest, association with recovery and survival.</t>
  </si>
  <si>
    <t>Causal relationship between polycystic ovary syndrome and coronary artery disease: A Mendelian randomisation study.</t>
  </si>
  <si>
    <t>Simons, Pomme I H G; Cornelissen, Merel E B; Valkenburg, Olivier; Onland-Moret, N Charlotte; van der Schouw, Yvonne T; Stehouwer, Coen D A; Burgess, Stephen; Brouwers, Martijn C G J</t>
  </si>
  <si>
    <t>clinical endocrinology</t>
  </si>
  <si>
    <t>https://pubmed.ncbi.nlm.nih.gov/34524719</t>
  </si>
  <si>
    <t>Polycystic ovary syndrome (PCOS) has been associated with an increased risk of coronary artery disease (CAD). However, it remains uncertain whether this increased risk is the result of PCOS per se or, alternatively, is explained by obesity, a common feature of PCOS. The aim of this study was to assess the causal association between PCOS and CAD and the role of obesity herein. We conducted two-sample Mendelian randomisation analyses in large-scale, female-specific datasets to study the association between genetically predicted (1) risk of PCOS and risk of CAD, (2) body mass index (BMI) and risk of PCOS and (3) BMI and risk of CAD. Primary analyses were conducted with the inverse-variance weighted (IVW) method. Simple median, penalized weighted median and contamination mixture analyses were performed to assess the robustness of the outcomes. IVW analyses did not show a statistically significant association between PCOS and CAD (odds ratio [OR]: 0.99, 95% confidence interval [CI]: 0.89, 1.11). In contrast, genetically predicted BMI was statistically significantly associated with an increased odds of PCOS (OR: 3.21, 95% CI: 2.26, 4.56) and CAD (OR: 1.38, 95% CI: 1.14, 1.67). Similar results were obtained when secondary analyses were performed. These sex-specific analyses show that the genetically predicted risk of PCOS is not associated with the risk of CAD. Instead, the genetically predicted risk of obesity (and its downstream metabolic effects) is the common denominator of both PCOS and CAD risk.</t>
  </si>
  <si>
    <t>Can the mean linear energy transfer of organs be directly related to patient toxicities for current head and neck cancer intensity-modulated proton therapy practice?</t>
  </si>
  <si>
    <t>Wagenaar, Dirk; Schuit, Ewoud; van der Schaaf, Arjen; Langendijk, Johannes A; Both, Stefan</t>
  </si>
  <si>
    <t>https://pubmed.ncbi.nlm.nih.gov/34534614</t>
  </si>
  <si>
    <t>The relative biological effectiveness (RBE) of proton therapy is predicted to vary with the dose-weighted average linear energy transfer (LET&lt;sub&gt;d&lt;/sub&gt;). However, RBE values may substantially vary for different clinical endpoints. Therefore, the aim of this study was to assess the feasibility of relating mean D⋅LET&lt;sub&gt;d&lt;/sub&gt; parameters to patient toxicity for HNC patients treated with proton therapy. The delivered physical dose (D) and the voxel-wise product of D and LET&lt;sub&gt;d&lt;/sub&gt; (D⋅LET&lt;sub&gt;d&lt;/sub&gt;) distributions were calculated for 100 head and neck cancer (HNC) proton therapy patients using our TPS (Raystation v6R). The means and covariance matrix of the accumulated D and D⋅LET&lt;sub&gt;d&lt;/sub&gt; of all relevant organs-at-risk (OARs) were used to simulate 2.500 data sets of different sizes. For each dataset, an attempt was made to add mean D⋅LET&lt;sub&gt;d&lt;/sub&gt; parameters to a multivariable NTCP model based on mean D parameters of the same OAR for xerostomia, tube feeding and dysphagia. The likelihood of creating an NTCP model with statistically significant parameters (i.e. power) was calculated as a function of the simulated sample size for various RBE models. The sample size required to have a power of at least 80% to show an independent effect of mean D⋅LET&lt;sub&gt;d&lt;/sub&gt; parameters on toxicity is over 15,000 patients for all toxicities. For current clinical practice, it is not feasible to directly model NTCP with both mean D and mean D⋅LET&lt;sub&gt;d&lt;/sub&gt; of OARs. These findings should not be interpreted as a contradiction of previous evidence for the relationship between RBE and LET&lt;sub&gt;d&lt;/sub&gt;.</t>
  </si>
  <si>
    <t>Cardiometabolic Profiles in Women with a History of Hypertensive and Normotensive Fetal Growth Restriction.</t>
  </si>
  <si>
    <t>Bijl, Rianne C; Cornette, Jérôme M J; Vasak, Blanka; Franx, Arie; Lely, A Titia; Bots, Michiel L; van Rijn, Bas B; Koster, Maria P H</t>
  </si>
  <si>
    <t>journal of womens health</t>
  </si>
  <si>
    <t>https://pubmed.ncbi.nlm.nih.gov/34520259</t>
  </si>
  <si>
    <t>&lt;b&gt;&lt;i&gt;Background:&lt;/i&gt;&lt;/b&gt; The majority of evidence on associations between pregnancy complications and future maternal disease focuses on hypertensive (Ht) complications. We hypothesize that impaired cardiometabolic health after pregnancies complicated by severe fetal growth restriction (FGR) is independent of the co-occurrence of hypertension. &lt;b&gt;&lt;i&gt;Materials and Methods:&lt;/i&gt;&lt;/b&gt; In a prospective cohort of women with a pregnancy complicated by early FGR (delivery &lt;34 weeks gestation), with or without concomitant hypertension, cardiometabolic risk factors were assessed after delivery. A population-based reference cohort was used for comparison, and analyses were adjusted for age, current body mass index (BMI), smoking habits, and hormonal contraceptive use. &lt;b&gt;&lt;i&gt;Results:&lt;/i&gt;&lt;/b&gt; Median time from delivery to assessment was 4 months in both the Ht (&lt;i&gt;N&lt;/i&gt; = 115) and normotensive (Nt) (&lt;i&gt;N&lt;/i&gt; = 42) FGR groups. Compared with the reference group (&lt;i&gt;N&lt;/i&gt; = 380), in both FGR groups lipid profile and glucose homeostasis at assessment were unfavorable. Women with Ht-FGR had the least favorable cardiometabolic profile, with higher prevalence ratios (PRs) for diastolic blood pressure &gt;85 mmHg (PR 4.0, 95% confidence interval [CI] 2.1-6.7), fasting glucose levels &gt;5.6 mmol/L (PR 2.9, 95% CI 1.4-5.6), and total cholesterol levels &gt;6.21 mmol/L (PR 4.5, 95% CI 1.9-8.8), compared with the reference group. Women with Nt-FGR more often had a BMI &gt;30 kg/m&lt;sup&gt;2&lt;/sup&gt; (PR 2.5, 95% CI 1.2-4.7) and high-density lipoprotein-cholesterol levels &lt;1.29 mmol/L (PR 2.4, 95% CI 1.4-3.5), compared with the reference group. &lt;b&gt;&lt;i&gt;Conclusions:&lt;/i&gt;&lt;/b&gt; Women with a history of FGR showed unfavorable short-term cardiometabolic profiles in comparison with a reference group, independent of the co-occurrence of hypertension. Therefore, women with a history of FGR may benefit from cardiovascular risk factor assessment and subsequent risk reduction strategies.</t>
  </si>
  <si>
    <t>Long-Term Risk for Major Bleeding During Extended Oral Anticoagulant Therapy for First Unprovoked Venous Thromboembolism : A Systematic Review and Meta-analysis.</t>
  </si>
  <si>
    <t>Khan, Faizan; Tritschler, Tobias; Kimpton, Miriam; Wells, Philip S; Kearon, Clive; Weitz, Jeffrey I; Büller, Harry R; Raskob, Gary E; Ageno, Walter; Couturaud, Francis; Prandoni, Paolo; Palareti, Gualtiero; Legnani, Cristina; Kyrle, Paul A; Eichinger, Sabine; Eischer, Lisbeth; Becattini, Cecilia; Agnelli, Giancarlo; Vedovati, Maria Cristina; Geersing, Geert-Jan; Takada, Toshihiko; Cosmi, Benilde; Aujesky, Drahomir; Marconi, Letizia; Palla, Antonio; Siragusa, Sergio; Bradbury, Charlotte A; Parpia, Sameer; Mallick, Ranjeeta; Lensing, Anthonie W A; Gebel, Martin; Grosso, Michael A; Thavorn, Kednapa; Hutton, Brian; Le Gal, Gregoire; Fergusson, Dean A; Rodger, Marc A; ,</t>
  </si>
  <si>
    <t>https://pubmed.ncbi.nlm.nih.gov/34516270</t>
  </si>
  <si>
    <t>The long-term risk for major bleeding in patients receiving extended (beyond the initial 3 to 6 months) anticoagulant therapy for a first unprovoked venous thromboembolism (VTE) is uncertain. To determine the incidence of major bleeding during extended anticoagulation of up to 5 years among patients with a first unprovoked VTE, overall, and in clinically important subgroups. MEDLINE, Embase, and the Cochrane Central Register of Controlled Trials from inception to 23 July 2021. Randomized controlled trials (RCTs) and prospective cohort studies reporting major bleeding among patients with a first unprovoked VTE who were to receive oral anticoagulation for a minimum of 6 additional months after completing at least 3 months of initial anticoagulant treatment. Two reviewers independently abstracted data and assessed study quality. Unpublished data required for analyses were obtained from authors of included studies. Among the 14 RCTs and 13 cohort studies included in the analysis, 9982 patients received a vitamin K antagonist (VKA) and 7220 received a direct oral anticoagulant (DOAC). The incidence of major bleeding per 100 person-years was 1.74 events (95% CI, 1.34 to 2.20 events) with VKAs and 1.12 events (CI, 0.72 to 1.62 events) with DOACs. The 5-year cumulative incidence of major bleeding with VKAs was 6.3% (CI, 3.6% to 10.0%). Among patients receiving either a VKA or a DOAC, the incidence of major bleeding was statistically significantly higher among those who were older than 65 years or had creatinine clearance less than 50 mL/min, a history of bleeding, concomitant use of antiplatelet therapy, or a hemoglobin level less than 100 g/L. The case-fatality rate of major bleeding was 8.3% (CI, 5.1% to 12.2%) with VKAs and 9.7% (CI, 3.2% to 19.2%) with DOACs. Data were insufficient to estimate incidence of major bleeding beyond 1 year of extended anticoagulation with DOACs. In patients with a first unprovoked VTE, the long-term risks and consequences of anticoagulant-related major bleeding are considerable. This information will help inform patient prognosis and guide decision making about treatment duration for unprovoked VTE. Canadian Institutes of Health Research. (PROSPERO: CRD42019128597).</t>
  </si>
  <si>
    <t>Navigating with logics: Care for women with hypertensive disorders of pregnancy in a tertiary hospital in Ghana.</t>
  </si>
  <si>
    <t>Vestering, Asra; de Kok, Bregje C; Browne, Joyce L; Adu-Bonsaffoh, Kwame</t>
  </si>
  <si>
    <t>https://pubmed.ncbi.nlm.nih.gov/34600357</t>
  </si>
  <si>
    <t>This paper explores how care for women with hypertensive disorders of pregnancy (HDP) is practiced in a tertiary hospital in Ghana. Partly in response to the persistently high maternal and neonatal mortality rates in Low- and Middle-income countries, efforts to improve quality of maternity care have increased. Quality improvement initiatives are shaped by the underlying conceptualisation of quality of care, often driven by global (WHO) standards and protocols. However, there are tensions between global standards of care and local clients' and providers' understandings of care practices and quality of care. Implementation of standards is further complicated by structural and organisational restrictions that influence providers' possibilities and priorities. Based on ethnographic fieldwork, we explore how clinical guidelines and professionals' and patients' perspectives converge and, more importantly, diverge. We illuminate local, situated care practices and show how professionals creatively deal with tensions that arise on the ground. In this middle-income setting, caring for women with HDP involves tinkering and navigating in contexts of uncertainty, scarcity, varying responsibilities and conflicting interests. We unravelled a complex web of, at times, contradictory logics, from which various forms of care arise and in which different notions of good care co-exist. While practitioners navigated through and with these varying logics of care, the logic of survival permeated all practices. This study provides important initial insights into how professionals might implement and innovatively adapt the latest quality of maternity care guidelines which seek to marry clinical standards and patients' needs, preferences and experiences.</t>
  </si>
  <si>
    <t>Functional versus morphological assessment of vascular age in patients with coronary heart disease.</t>
  </si>
  <si>
    <t>Yurdadogan, Tino; Malsch, Carolin; Kotseva, Kornelia; Wood, David; Leyh, Rainer; Ertl, Georg; Karmann, Wolfgang; Müller-Scholden, Lara; Morbach, Caroline; Breunig, Margret; Wagner, Martin; Gelbrich, Götz; Bots, Michiel L; Heuschmann, Peter U; Störk, Stefan</t>
  </si>
  <si>
    <t>https://pubmed.ncbi.nlm.nih.gov/34518567</t>
  </si>
  <si>
    <t>Communicating cardiovascular risk based on individual vascular age (VA) is a well acknowledged concept in patient education and disease prevention. VA may be derived functionally, e.g. by measurement of pulse wave velocity (PWV), or morphologically, e.g. by assessment of carotid intima-media thickness (cIMT). The purpose of this study was to investigate whether both approaches produce similar results. Within the context of the German subset of the EUROASPIRE IV survey, 501 patients with coronary heart disease underwent (a) oscillometric PWV measurement at the aortic, carotid-femoral and brachial-ankle site (PWVao, PWVcf, PWVba) and derivation of the aortic augmentation index (AIao); (b) bilateral cIMT assessment by high-resolution ultrasound at three sites (common, bulb, internal). Respective VA was calculated using published equations. According to VA derived from PWV, most patients exhibited values below chronological age indicating a counterintuitive healthier-than-anticipated vascular status: for VA&lt;sub&gt;PWVao&lt;/sub&gt; in 68% of patients; for VA&lt;sub&gt;AIao&lt;/sub&gt; in 52% of patients. By contrast, VA derived from cIMT delivered opposite results: e.g. according to VA&lt;sub&gt;total-cIMT&lt;/sub&gt; accelerated vascular aging in 75% of patients. To strengthen the concept of VA, further efforts are needed to better standardise the current approaches to estimate VA and, thereby, to improve comparability and clinical utility.</t>
  </si>
  <si>
    <t>Adverse generational changes in obesity development converge at midlife without increased cardiometabolic risk.</t>
  </si>
  <si>
    <t>Ibi, Dorina; Rietman, M Liset; Picavet, H S J; van Klinken, Jan Bert; van Dijk, Ko Willems; Dollé, Martijn E T; Verschuren, W M Monique</t>
  </si>
  <si>
    <t>https://pubmed.ncbi.nlm.nih.gov/34514749</t>
  </si>
  <si>
    <t>Obesity is becoming a global public health problem, but it is unclear how it impacts different generations over the life course. Here, a descriptive analysis of the age-related changes in anthropometric measures and related cardiometabolic risk factors across different generations was performed. The development of anthropometric measures and related cardiometabolic risk factors was studied during 26 years of follow-up in the Doetinchem Cohort Study (N = 6,314 at baseline). All analyses were stratified by sex and generation, i.e., 10-year age groups (20-29, 30-39, 40-49, and 50-59 years) at baseline. Generalized estimating equations were used to test for generational differences. Weight, BMI, waist circumference, and prevalence of overweight and obesity were higher, in general, in the younger generations during the first 10 to 15 years of follow-up. From age 50 to 59 years onward, these measures converged in all generations of men and women. Among cardiometabolic risk factors, only type 2 diabetes showed an unfavorable shift between the two oldest generations of men. It was observed that, compared with the older generations, the younger generations had obesity at an earlier age but did not reach higher levels at midlife and beyond. This increased exposure to obesity was not (yet) associated with increased prevalence of cardiometabolic risk factors.</t>
  </si>
  <si>
    <t>Why methods matter in a meta-analysis: a reappraisal showed inconclusive injury preventive effect of Nordic hamstring exercise.</t>
  </si>
  <si>
    <t>https://pubmed.ncbi.nlm.nih.gov/34520846</t>
  </si>
  <si>
    <t>The Nordic hamstring exercise (NHE) has been strongly recommended to reduce hamstring injuries in previous meta-analyses (50% reduction in risk of injury). To underline the importance and impact of adopting appropriate methodology for evidence synthesis, we revisited the study selection, reanalyzed and updated the findings of the most recent meta-analysis. Only randomized control trials (RCT) using NHE as one of the prevention arms were selected. Summary effects for risk ratios (RR) for original studies included in the earlier meta-analysis, and new studies identified (update), were re-estimated under the random-effects model and presented with 95% confidence intervals (CI) and prediction intervals (PI). Tentative recommendations were provided according to the Grading of Recommendations Assessment, Development and Evaluation. Only five RCTs out of the 15 studies included in the earlier meta-analysis randomized to NHE. Our update revealed one additional RCT. The point estimate (RR) for the five RCTs previously considered RCTs was 0.56 (95% CI, 0.20-1.52; 95% PI, 0.06-5.14, parametric, and 0.13-1.80, nonparametric). After the update, the RR was 0.59 (95% CI, 0.27-1.29; 95% PI 0.10-3.29, parametric, and 0.17-1.52, nonparametric). Contrary to the conclusions of a recent meta-analysis, as well as earlier meta-analyses, by using more appropriate methodology, the evidence underpinning the protective effect of NHE so far remains inconclusive and mostly derived from high risk of bias RCTs. At best, only conditional recommendation can be provided (for soccer) and future RCTs are warranted.</t>
  </si>
  <si>
    <t>Cerebrovascular disease at young age is related to mother's health during the pregnancy-The Northern Finland Birth Cohort 1966 study.</t>
  </si>
  <si>
    <t>Rissanen, Ina; Geerlings, Mirjam I; Juvela, Seppo; Miettunen, Jouko; Paananen, Markus; Tetri, Sami</t>
  </si>
  <si>
    <t>https://pubmed.ncbi.nlm.nih.gov/34427472</t>
  </si>
  <si>
    <t>For prevention of cerebrovascular diseases at younger age, it is important to understand the risk factors occurring early in life. We investigated the relationship between mothers' general health during pregnancy and the offspring's risk of cerebrovascular disease in age of 15 to 52 years. Within the population-based prospective Northern Finland Birth Cohort 1966, 11,926 persons were followed from antenatal period to 52 years of age. Information on their mother's ill health conditions, i.e., hospitalizations, chronic diseases, medications, vitamin or iron supplement, fever, anemia, mood, and smoking was collected from 24th gestational week onwards. Ischemic and hemorrhagic cerebrovascular diseases of the offspring were identified from national registers in Finland. Cox proportional hazard models were used to estimate the association of mother's health conditions with incidence of cerebrovascular disease in the offspring, with adjustments for potential confounders. During 565,585 person-years of follow-up, 449 (2.8%) of the offspring had a cerebrovascular disease. Hospitalization during pregnancy was associated with an increased risk of cerebrovascular disease in the offspring (hazard ratio (HR) = 1.49; 95% confidence interval (CI) 1.06-2.08) after adjustment for confounders, as was having more than three ill health conditions (HR = 1.89; CI 1.14-3.11). Not using vitamin or iron supplement was associated with increased risk for cerebrovascular disease in the offspring (HR = 1.39; CI 1.01-1.89). The results suggest that the risk of cerebrovascular disease may start as early as during the antenatal period, and the health characteristics of mothers during pregnancy may play a role in cerebrovascular disease risk of the offspring.</t>
  </si>
  <si>
    <t>Long-Term Exposure to Ultrafine Particles and Particulate Matter Constituents and the Risk of Amyotrophic Lateral Sclerosis.</t>
  </si>
  <si>
    <t>Yu, Zhebin; Peters, Susan; van Boxmeer, Loes; Downward, George S; Hoek, Gerard; Kioumourtzoglou, Marianthi-Anna; Weisskopf, Marc G; Hansen, Johnni; van den Berg, Leonard H; Vermeulen, Roel C H</t>
  </si>
  <si>
    <t>environmental health perspectives</t>
  </si>
  <si>
    <t>https://pubmed.ncbi.nlm.nih.gov/34498494</t>
  </si>
  <si>
    <t>Persistent Hypertension Up to One Year Postpartum among Women with Hypertensive Disorders in Pregnancy in a Low-Resource Setting: A Prospective Cohort Study.</t>
  </si>
  <si>
    <t>Ishaku, Salisu M; Jamilu, Tukur; Innocent, Agbo P; Gbenga, Kayode A; Lamaran, Dattijo; Lawal, Oyeneyin; Warren, Charlotte E; Olorunfemi, Owa O; Abubakar, Hanifah D; Karima, Tunau; Patience, Odusolu O; Musa, Abdulkarim; Azubuike, Onyebuchi K; Baffah, Aminu M; Franx, Arie; Grobbee, Diederick E; Browne, Joyce L</t>
  </si>
  <si>
    <t>https://pubmed.ncbi.nlm.nih.gov/34692386</t>
  </si>
  <si>
    <t>Hypertensive disorders in pregnancy (HDPs) are associated with lifelong cardiovascular disease risk. Persistent postpartum hypertension in HDPs could suggest progression to chronic hypertension. This phenomenon has not been well examined in low- and middle-income countries (LIMCs), and most previous follow-ups typically last for maximally six weeks postpartum. We assessed the prevalence of persistent hypertension up to one year in women with HDPs in a low resource setting and determined associated risk factors. A prospective cohort study of women conducted at eight tertiary health care facilities in seven states of Nigeria. Four hundred and ten women with any HDP were enrolled within 24 hours of delivery and followed up at intervals until one year postpartum. Descriptive statistics were performed to express the participants' characteristics. Univariable and multivariable logistic regressions were conducted to identify associated risk factors. Of the 410 women enrolled, 278 were followed up to one year after delivery (follow-up rate 68%). Among women diagnosed with gestational hypertension and pre-eclampsia/eclampsia, 22.3% (95% CI; 8.3-36.3) and 62.1% (95% CI; 52.5-71.9), respectively, had persistent hypertension at six months and this remained similar at one year 22.3% (95% CI; 5.6-54.4) and 61.2% (95% CI; 40.6-77.8). Maternal age and body mass index were significant risk factors for persistent hypertension at one year [aORs = 1.07/year (95% CI; 1.02-1.13) and 1.06/kg/m&lt;sup&gt;2&lt;/sup&gt; (95% CI; 1.01-1.10)], respectively. This study showed a substantial prevalence of persistent hypertension beyond puerperium. Health systems in LMICs need to be organized to anticipate and maintain postpartum monitoring until blood pressure is normalized, or women referred or discharged to family physicians as appropriate. In particular, attention should be given to women who are obese, and or of higher maternal age.</t>
  </si>
  <si>
    <t>Evaluation of non-specific effects of human rotavirus vaccination in medical risk infants.</t>
  </si>
  <si>
    <t>van Dongen, Josephine A P; Rouers, Elsbeth D M; Bonten, Marc J M; Bruijning-Verhagen, Patricia C J; ,</t>
  </si>
  <si>
    <t>https://pubmed.ncbi.nlm.nih.gov/34507856</t>
  </si>
  <si>
    <t>The WHO recommends research into non-specific effects of vaccination. For rotavirus vaccines, these have not yet been well established. We studied non-specific effects up to 18 months of age using data from a quasi-experimental before-after study comparing cohorts of rotavirus vaccinated and unvaccinated infants with medical risk conditions. Infants were enrolled at six weeks of age before and after a stepped-wedge implementation of a hospital-based risk-group rotavirus vaccination program. Other infant vaccinations were administered according to the Dutch National Immunization Program and similar in both cohorts. Non-specific effect outcomes were prospectively collected using monthly questionnaires and included acute hospitalization (excluding for acute gastroenteritis), monthly incidence of acute respiratory illness and eczema. We used time-to-event analysis and negative binomial regression to assess the effect of at least one dose of rotavirus vaccination for each of these outcomes. Findings The analysis included 496 rotavirus unvaccinated and 719 vaccinated medical risk infants. In total, 1067 (88%) were premature, 373 (31%) small for gestational age and 201 (17%) had a congenital pathology. The adjusted hazard ratio for first acute hospitalization was 0·91 (95 %CI 0·76;1·16) for rotavirus vaccinated versus unvaccinated infants. Adjusted incidence rate ratio for acute respiratory illness was 1·05 (95 %CI 0·96;1·15) and for eczema 0·89 (95 %CI 0·69;1·15). The results suggest no, or minimal non-specific effects from rotavirus vaccination on acute hospitalization, acute respiratory illness or eczema in medical risk infants. as NTR5361 in the Dutch trial registry, www.trialregister.nl.</t>
  </si>
  <si>
    <t>Drug exposure misclassification in pharmacoepidemiology: Sources and relative impact.</t>
  </si>
  <si>
    <t>Hempenius, Mirjam; Groenwold, Rolf H H; de Boer, Anthonius; Klungel, Olaf H; Gardarsdottir, Helga</t>
  </si>
  <si>
    <t>https://pubmed.ncbi.nlm.nih.gov/34396634</t>
  </si>
  <si>
    <t>Drug exposure assessment based on dispensing data can be misclassified when patients do not adhere to their therapy or when information about over-the-counter drugs is not captured in the study database. Previous research has considered hypothetical sensitivity and specificity values, whereas this study aims to assess the impact of literature-based real values of exposure misclassification. A synthetic cohort study was constructed based on the proportion of exposure theoretically captured in a database (range 0.5-1.0) and the level of adherence (0.5-1.0). Three scenarios were explored: nondifferential misclassification, differential misclassification (misclassifications dependent on an unmeasured risk factor doubling the outcome risk), and nondifferential misclassification in a comparative effectiveness study (RR&lt;sub&gt;A&lt;/sub&gt; and RR&lt;sub&gt;B&lt;/sub&gt; both 2.0 compared to nonuse, RR&lt;sub&gt;A-B&lt;/sub&gt; 1.0). For the scenarios with nondifferential misclassification, 25% nonadherence or 25% uncaptured exposure changed the RR from 2.0 to 1.75, and 1.95, respectively. Applying different proportions of nonadherence or uncaptured use (20% vs. 40%) for subgroups with and without the risk factor, an RR of 0.95 was observed in the absence of a true effect (i.e., true RR = 1). In the comparative effectiveness study, no effect on RR was seen for different proportions of uncaptured exposure; however, different levels of nonadherence for the drugs (20% vs. 40%) led to an underestimation of RR&lt;sub&gt;A-B&lt;/sub&gt; (0.89). All scenarios led to biased estimates, but the magnitude of the bias differed across scenarios. When testing the robustness of findings of pharmacoepidemiologic studies, we recommend using realistic values of nonadherence and uncaptured exposure based on real-world data.</t>
  </si>
  <si>
    <t>Impact of taxes on purchases of close substitute foods: analysis of cross-price elasticities using data from a randomized experiment.</t>
  </si>
  <si>
    <t>Hoenink, Jody C; Waterlander, Wilma E; Mackenbach, Joreintje D; Mhurchu, Cliona Ni; Wilson, Nick; Beulens, Joline W J; Nghiem, Nhung</t>
  </si>
  <si>
    <t>https://pubmed.ncbi.nlm.nih.gov/34493309</t>
  </si>
  <si>
    <t>To examine the effects of health-related food taxes on substitution and complementary purchases within food groups, including from unhealthier to healthier alternatives and between brands. We used data from a virtual supermarket experiment with data from 4,259 shopping events linked to varying price sets. Substitution or complementary effects within six frequently purchased food categories were analyzed. Products' own- and cross-price elasticities were analyzed using Almost Ideal Demand System models. Overall, 37.5% of cross-price elasticities were significant (p &lt; 0.05) and included values greater than 0.10. Supplementary and complementary effects were particularly found in the dairy, meats and snacks categories. For example, a 1% increase in the price of high saturated fat dairy was associated with a 0.18% (SE 0.06%) increase in purchases of low saturated fat dairy. For name- and home-brand products, significant substitution effects were found in 50% (n = 3) of cases, but only in one case this was above the 0.10 threshold. Given the relatively low own-price elasticities and the limited substitution and complementary effects, relatively high taxes are needed to substantively increase healthy food purchases at the population level. This study included secondary analyses; the original trial was registered in the Australian New Zealand Clinical Trials Registry ACTRN12616000122459 .</t>
  </si>
  <si>
    <t>Predictors of district nursing care utilisation for community-living people in the Netherlands: an exploratory study using claims data.</t>
  </si>
  <si>
    <t>Veldhuizen, Jessica Desirée; Mikkers, Misja Chiljon; Schuurmans, Marieke J; Bleijenberg, Nienke</t>
  </si>
  <si>
    <t>https://pubmed.ncbi.nlm.nih.gov/34489273</t>
  </si>
  <si>
    <t>To explore predictors of district nursing care utilisation for community-living (older) people in the Netherlands using claims data. To cope with growing demands in district nursing care, knowledge about the current utilisation of district nursing care is important. District nursing care as a part of primary care. In this nationwide study, claims data were used from the Dutch risk adjustment system and national information system of health insurers. Samples were drawn of 5500 pairs of community-living people using district nursing care (cases) and people not using district nursing care (controls) for two groups: all ages and aged 75+ years (total N=22 000). The outcome was district nursing care utilisation and the 114 potential predictors included predisposing factors (eg, age), enabling factors (eg, socioeconomic status) and need factors (various healthcare costs). The random forest algorithm was used to predict district nursing care utilisation. The performance of the models and importance of predictors were calculated. For the population of people aged 75+ years, most important predictors were older age, and high costs for general practitioner consultations, aid devices, pharmaceutical care, ambulance transportation and occupational therapy. For the total population, older age, and high costs for pharmaceutical care and aid devices were the most important predictors. People in need of district nursing care are older, visit the general practitioner more often, and use more and/or expensive medications and aid devices. Therefore, close collaboration between the district nurse, general practitioner and the community pharmacist is important. Additional analyses including data regarding health status are recommended. Further research is needed to provide an evidence base for district nursing care to optimise the care for those with high care needs, and guide practice and policymakers' decision-making.</t>
  </si>
  <si>
    <t>Efficacy of Physical Exercise to Offset Anthracycline-Induced Cardiotoxicity: A Systematic Review and Meta-Analysis of Clinical and Preclinical Studies.</t>
  </si>
  <si>
    <t>Naaktgeboren, Willeke R; Binyam, David; Stuiver, Martijn M; Aaronson, Neil K; Teske, Arco J; van Harten, Wim H; Groen, Wim G; May, Anne M</t>
  </si>
  <si>
    <t>https://pubmed.ncbi.nlm.nih.gov/34472371</t>
  </si>
  <si>
    <t>Background Physical exercise is an intervention that might protect against doxorubicin-induced cardiotoxicity. In this meta-analysis and systematic review, we aimed to estimate the effect of exercise on doxorubicin-induced cardiotoxicity and to evaluate mechanisms underlying exercise-mediated cardioprotection using (pre)clinical evidence. Methods and Results We conducted a systematic search in PubMed, Embase, and Cochrane Central Register of Controlled Trials (CENTRAL) databases. Cochrane's and Systematic Review Centre for Laboratory Animal Experimentation (SYRCLE) risk-of-bias tools were used to assess the validity of human and animal studies, respectively. Cardiotoxicity outcomes reported by ≥3 studies were pooled and structured around the type of exercise intervention. Forty articles were included, of which 3 were clinical studies. Overall, in humans (sample sizes ranging from 24 to 61), results were indicative of exercise-mediated cardioprotection, yet they were not sufficient to establish whether physical exercise protects against doxorubicin-induced cardiotoxicity. In animal studies (n=37), a pooled analysis demonstrated that forced exercise interventions significantly mitigated in vivo and ex vivo doxorubicin-induced cardiotoxicity compared with nonexercised controls. Similar yet slightly smaller effects were found for voluntary exercise interventions. We identified oxidative stress and related pathways, and less doxorubicin accumulation as mechanisms underlying exercise-induced cardioprotection, of which the latter could act as an overarching mechanism. Conclusions Animal studies indicate that various exercise interventions can protect against doxorubicin-induced cardiotoxicity in rodents. Less doxorubicin accumulation in cardiac tissue could be a key underlying mechanism. Given the preclinical evidence and limited availability of clinical data, larger and methodologically rigorous clinical studies are needed to clarify the role of physical exercise in preventing cardiotoxicity in patients with cancer. Registration URL: https://www.crd.york.ac.uk/prospero; Unique identifier: CRD42019118218.</t>
  </si>
  <si>
    <t>Psychosocial factors and cancer incidence (PSY-CA): Protocol for individual participant data meta-analyses.</t>
  </si>
  <si>
    <t>van Tuijl, Lonneke A; Voogd, Adri C; de Graeff, Alexander; Hoogendoorn, Adriaan W; Ranchor, Adelita V; Pan, Kuan-Yu; Basten, Maartje; Lamers, Femke; Geerlings, Mirjam I; Abell, Jessica G; Awadalla, Philip; Bakker, Marije F; Beekman, Aartjan T F; Bjerkeset, Ottar; Boyd, Andy; Cui, Yunsong; Galenkamp, Henrike; Garssen, Bert; Hellingman, Sean; Huisman, Martijn; Huss, Anke; Keats, Melanie R; Kok, Almar A L; Luik, Annemarie I; Noisel, Nolwenn; Onland-Moret, N Charlotte; Payette, Yves; Penninx, Brenda W J H; Portengen, Lützen; Rissanen, Ina; Roest, Annelieke M; Rosmalen, Judith G M; Ruiter, Rikje; Schoevers, Robert A; Soave, David M; Spaan, Mandy; Steptoe, Andrew; Stronks, Karien; Sund, Erik R; Sweeney, Ellen; Teyhan, Alison; Vaartjes, Ilonca; van der Willik, Kimberly D; van Leeuwen, Flora E; van Petersen, Rutger; Verschuren, W M Monique; Visseren, Frank; Vermeulen, Roel; Dekker, Joost</t>
  </si>
  <si>
    <t>brain and behavior</t>
  </si>
  <si>
    <t>https://pubmed.ncbi.nlm.nih.gov/34473425</t>
  </si>
  <si>
    <t>Psychosocial factors have been hypothesized to increase the risk of cancer. This study aims (1) to test whether psychosocial factors (depression, anxiety, recent loss events, subjective social support, relationship status, general distress, and neuroticism) are associated with the incidence of any cancer (any, breast, lung, prostate, colorectal, smoking-related, and alcohol-related); (2) to test the interaction between psychosocial factors and factors related to cancer risk (smoking, alcohol use, weight, physical activity, sedentary behavior, sleep, age, sex, education, hormone replacement therapy, and menopausal status) with regard to the incidence of cancer; and (3) to test the mediating role of health behaviors (smoking, alcohol use, weight, physical activity, sedentary behavior, and sleep) in the relationship between psychosocial factors and the incidence of cancer. The psychosocial factors and cancer incidence (PSY-CA) consortium was established involving experts in the field of (psycho-)oncology, methodology, and epidemiology. Using data collected in 18 cohorts (N = 617,355), a preplanned two-stage individual participant data (IPD) meta-analysis is proposed. Standardized analyses will be conducted on harmonized datasets for each cohort (stage 1), and meta-analyses will be performed on the risk estimates (stage 2). PSY-CA aims to elucidate the relationship between psychosocial factors and cancer risk by addressing several shortcomings of prior meta-analyses.</t>
  </si>
  <si>
    <t>Trends in Use and Perceptions About Triplet Chemotherapy Plus Bevacizumab for Metastatic Colorectal Cancer.</t>
  </si>
  <si>
    <t>van Nassau, Sietske C; Bond, Marinde J; Scheerman, Ilva; van Breeschoten, Jesper; Kessels, Rob; Valkenburg-van Iersel, Liselot B; Verheul, Henk M; Buffart, Tineke E; Mekenkamp, Leonie J; Lemmens, Valery E; Koopman, Miriam; Bol, Guus M; ,</t>
  </si>
  <si>
    <t>https://pubmed.ncbi.nlm.nih.gov/34505885</t>
  </si>
  <si>
    <t>Triplet chemotherapy with fluorouracil, folinic acid, oxaliplatin, and irinotecan plus bevacizumab (FOLFOXIRI-B) is an effective first-line treatment option for patients with metastatic colorectal cancer (mCRC). However, the degree of implementation of FOLFOXIRI-B in daily practice is unknown. To evaluate the current adoption rate of FOLFOXIRI-B in patients with mCRC and investigate the perspectives of medical oncologists toward this treatment option. This 1-week, multicenter, cross-sectional study in the Netherlands used a flash mob design, which facilitates ultrafast data generation (flash) through the engagement of numerous researchers (mob). During the study week (March 1-5, 2021), patient data were retrieved from electronic health records of 47 hospitals on patients with mCRC who were referred to a medical oncologist between November 1, 2020, and January 31, 2021. Interviews were simultaneously conducted with 101 medical oncologists from 52 hospitals who regularly treat patients with mCRC. First-line systemic treatment as determined by the treating physician. The FOLFOXIRI-B prescription rate was the main outcome. Current practice was compared with prescription rates in 2015 to 2018. Eligibility for treatment with FOLFOXIRI-B was estimated. An exploratory outcome was medical oncologists' reported perspectives on FOLFOXIRI-B. A total of 5948 patients in the Netherlands (median age [interquartile range], 66 [57-73] years; 3503 [59%] male; and 3712 [62%] with left-sided or rectal tumor) were treated with first-line systemic therapy for synchronous mCRC. A total of 282 patients with mCRC underwent systemic therapy during the study period (2021). Of these 282 patients, 199 (71%) were treated with intensive first-line therapy other than FOLFOXIRI-B, of whom 184 (65%) were treated with oxaliplatin doublets with or without bevacizumab; 14 (5%) with irinotecan doublets with or without bevacizumab, panitumumab, or cetuximab; and 1 (0.4%) with irinotecan with bevacizumab. Fifty-four patients (19%) were treated with fluoropyrimidine monotherapy with or without bevacizumab, 1 patient (0.4%) with panitumumab monotherapy, and 3 (1%) with immune checkpoint inhibitors. In total, 25 patients (9%; 95% CI, 6%-12%) were treated with first-line FOLFOXIRI-B compared with 142 (2%; 95% CI, 2%-3%) in 2015 to 2018. During the study period, 21 of 157 eligible patients (13.4%) in the Netherlands were treated with FOLFOXIRI-B. A total of 87 medical oncologists (86%) reported discussing FOLFOXIRI-B as a treatment option with eligible patients. A total of 47 of 85 (55%) generally communicated a preference for a chemotherapy doublet to patients. These oncologists reported a significantly lower awareness of guidelines and trial results. Toxic effects were the most reported reason to prefer an alternative regimen. The findings of this study suggest that FOLFOXIRI-B prescription rates have marginally increased in the last 5 years. Considering that most medical oncologists discuss this treatment option, the prescription rate found in this study was below expectations. Awareness of guidelines and trial data seems to contribute to the discussion of available treatment options by medical oncologists, and the findings of this study suggest a need for repeated and continuing medical education.</t>
  </si>
  <si>
    <t>A prognostic model, including quantitative fetal fibronectin, to predict preterm labour: the QUIDS meta-analysis and prospective cohort study.</t>
  </si>
  <si>
    <t>Stock, Sarah J; Horne, Margaret; Bruijn, Merel; White, Helen; Heggie, Robert; Wotherspoon, Lisa; Boyd, Kathleen; Aucott, Lorna; Morris, Rachel K; Dorling, Jon; Jackson, Lesley; Chandiramani, Manju; David, Anna; Khalil, Asma; Shennan, Andrew; Baaren, Gert-Jan van; Hodgetts-Morton, Victoria; Lavender, Tina; Schuit, Ewoud; Harper-Clarke, Susan; Mol, Ben; Riley, Richard D; Norman, Jane; Norrie, John</t>
  </si>
  <si>
    <t>health technology assessment winchester england</t>
  </si>
  <si>
    <t>https://pubmed.ncbi.nlm.nih.gov/34498576</t>
  </si>
  <si>
    <t>The diagnosis of preterm labour is challenging. False-positive diagnoses are common and result in unnecessary, potentially harmful treatments (e.g. tocolytics, antenatal corticosteroids and magnesium sulphate) and costly hospital admissions. Measurement of fetal fibronectin in vaginal fluid is a biochemical test that can indicate impending preterm birth. To develop an externally validated prognostic model using quantitative fetal fibronectin concentration, in combination with clinical risk factors, for the prediction of spontaneous preterm birth and to assess its cost-effectiveness. The study comprised (1) a qualitative study to establish the decisional needs of pregnant women and their caregivers, (2) an individual participant data meta-analysis of existing studies to develop a prognostic model for spontaneous preterm birth within 7 days in women with symptoms of preterm labour based on quantitative fetal fibronectin and clinical risk factors, (3) external validation of the prognostic model in a prospective cohort study across 26 UK centres, (4) a model-based economic evaluation comparing the prognostic model with qualitative fetal fibronectin, and quantitative fetal fibronectin with cervical length measurement, in terms of cost per QALY gained and (5) a qualitative assessment of the acceptability of quantitative fetal fibronectin. The model was developed using data from five European prospective cohort studies of quantitative fetal fibronectin. The UK prospective cohort study was carried out across 26 UK centres. Pregnant women at 22&lt;sup&gt;+0&lt;/sup&gt;-34&lt;sup&gt;+6&lt;/sup&gt; weeks' gestation with signs and symptoms of preterm labour. Quantitative fetal fibronectin. Spontaneous preterm birth within 7 days. The individual participant data meta-analysis included 1783 women and 139 events of spontaneous preterm birth within 7 days (event rate 7.8%). The prognostic model that was developed included quantitative fetal fibronectin, smoking, ethnicity, nulliparity and multiple pregnancy. The model was externally validated in a cohort of 2837 women, with 83 events of spontaneous preterm birth within 7 days (event rate 2.93%), an area under the curve of 0.89 (95% confidence interval 0.84 to 0.93), a calibration slope of 1.22 and a Nagelkerke &lt;i&gt;R&lt;/i&gt;&lt;sup&gt;2&lt;/sup&gt; of 0.34. The economic analysis found that the prognostic model was cost-effective compared with using qualitative fetal fibronectin at a threshold for hospital admission and treatment of ≥ 2% risk of preterm birth within 7 days. The outcome proportion (spontaneous preterm birth within 7 days of test) was 2.9% in the validation study. This is in line with other studies, but having slightly fewer than 100 events is a limitation in model validation. A prognostic model that included quantitative fetal fibronectin and clinical risk factors showed excellent performance in the prediction of spontaneous preterm birth within 7 days of test, was cost-effective and can be used to inform a decision support tool to help guide management decisions for women with threatened preterm labour. The prognostic model will be embedded in electronic maternity records and a mobile telephone application, enabling ongoing data collection for further refinement and validation of the model. This study is registered as PROSPERO CRD42015027590 and Current Controlled Trials ISRCTN41598423. This project was funded by the National Institute for Health Research (NIHR) Health Technology Assessment programme and will be published in full in &lt;i&gt;Health Technology Assessment&lt;/i&gt;; Vol. 25, No. 52. See the NIHR Journals Library website for further project information.</t>
  </si>
  <si>
    <t>Correction to: Patient Preferences in Rare Diseases: A Qualitative Study in Neuromuscular Disorders to Inform a Quantitative Preference Study.</t>
  </si>
  <si>
    <t>Jimenez-Moreno, A Cecilia; van Overbeeke, Eline; Pinto, Cathy Anne; Smith, Ian; Sharpe, Jenny; Ormrod, James; Whichello, Chiara; de Bekker-Grob, Esther W; Bullok, Kristin; Levitan, Bennett; Huys, Isabelle; de Wit, G Ardine; Gorman, Grainne</t>
  </si>
  <si>
    <t>https://pubmed.ncbi.nlm.nih.gov/33973155</t>
  </si>
  <si>
    <t>Advance care planning for adolescents with cancer and their parents: study protocol of the BOOST pACP multi-centre randomised controlled trial and process evaluation.</t>
  </si>
  <si>
    <t>van Driessche, Anne; De Vleminck, Aline; Gilissen, Joni; Kars, Marijke C; van der Werff Ten Bosch, Jutte; Deliens, Luc; Cohen, Joachim; Beernaert, Kim</t>
  </si>
  <si>
    <t>bmc pediatrics</t>
  </si>
  <si>
    <t>https://pubmed.ncbi.nlm.nih.gov/34470598</t>
  </si>
  <si>
    <t>Research has highlighted the need for evidence-based interventions to improve paediatric advance care planning (pACP) in adolescents with cancer. Although adolescents express the desire and ability to share their values, beliefs and preferences for treatment, there is a lack of structured multicomponent interventions to improve parent-adolescent communication on different ACP themes including those not limited to end-of-life care. The aim of this study is to evaluate the effectiveness and implementation, context and mechanisms of impact of a novel ACP program in paediatric oncology. We will conduct a multi-centre parallel-group randomised controlled superiority trial with embedded mixed-methods process evaluation in Flanders, Belgium. Adolescents aged 10-18 who have cancer, and their parent(s) will be recruited via all four university hospitals in Flanders, Belgium, and support groups. Families will be randomised to receive care as usual or the multicomponent BOOST pACP program, consisting of three conversation sessions between an external facilitator and the adolescent and parent(s). The primary endpoint is improved parent-adolescent communication from the perspective of the adolescent. Secondary endpoints are adolescents' and parents' attitudes, self-efficacy, intention and behaviour regarding talking about ACP themes with each other, parents' perspective of shared decision making in the last clinical encounter, and the paediatric oncologist's intention and behaviour regarding talking about ACP themes with the family. Measurements will be performed at baseline, at 3 months and at 7 months using structured self-reported questionnaires. We will perform a process evaluation in the intervention group, with measurement throughout and post-intervention, using structured diaries filled out by the facilitators, interviews with facilitators, interviews with involved paediatric oncology teams, and audio-recordings of the BOOST pACP conversations. The BOOST pACP program has been developed to stimulate conversations on ACP themes between parent(s) and the adolescents, simultaneously lowering the threshold to discuss similar themes with healthcare professionals, initiating a process of normalization and integration of ACP in standard care. This combined outcome and process evaluation aims to contribute to building the necessary evidence to improve ACP in paediatric oncology. The study is registered at ISRCTN, ISRCTN33228289 . Registration date: January 22, 2021.</t>
  </si>
  <si>
    <t>Home Care Patients' Experiences with Home Care Nurses' Support in Medication Adherence.</t>
  </si>
  <si>
    <t>Dijkstra, Nienke E; Vervloet, Marcia; Sino, Carolien G M; Heerdink, Eibert R; Nelissen-Vrancken, Marjorie; Bleijenberg, Nienke; de Bruin, Marijn; Schoonhoven, Lisette</t>
  </si>
  <si>
    <t>https://pubmed.ncbi.nlm.nih.gov/34511888</t>
  </si>
  <si>
    <t>To describe nurses' support interventions for medication adherence, and patients' experiences and desired improvements with this care. A two-phase study was performed, including an analysis of questionnaire data and conducted interviews with members of the care panel of the Netherlands Patients Federation. The questionnaire assessed 14 types of interventions, satisfaction (score 0-10) with received interventions, needs, experiences, and desired improvements in nurses' support. Interviews further explored experiences and improvements. Data were analyzed using descriptive statistics and a thematic analysis approach. Fifty-nine participants completed the questionnaire, and 14 of the 59 participants were interviewed. The satisfaction score for interventions was 7.9 (IQR 7-9). The most common interventions were: "noticing when I don't take medication as prescribed" (n = 35), "helping me to find solutions to overcome problems with using medications" (n = 32), "helping me with taking medication" (n = 32), and "explaining the importance of taking medication at the right moment" (n = 32). Fifteen participants missed ≥1 of the 14 interventions. Most mentioned the following: "regularly asking about potential problems with medication use" (33%), "regularly discussing whether using medication is going well" (29%), and "explaining the importance of taking medication at the right moment" (27%). Twenty-two participants experienced the following as positive: improved self-management of adequate medication taking, a professional patient-nurse relationship to discuss adherence problems, and nurses' proactive attitude to arrange practical support for medication use. Thirteen patients experienced the following as negative: insufficient timing of home visits, rushed appearance of nurses, and insufficient expertise about side effects and taking medication. Suggested improvements included performing home visits on time, more time for providing support in medication use, and more expertise about side effects and administering medication. Overall, participants were satisfied, and few participants wanted more interventions. Nurses' support improved participants' self-management of medication taking and enabled patients to discuss their adherence problems. Adequately timed home visits, more time for support, and accurate medication-related knowledge are desired.</t>
  </si>
  <si>
    <t>Adherence to dietary guidelines and cognitive decline from middle age: the Doetinchem Cohort Study.</t>
  </si>
  <si>
    <t>Nooyens, Astrid C J; Yildiz, Berivan; Hendriks, Lisa G; Bas, Sharell; van Boxtel, Martin P J; Picavet, H Susan J; Boer, Jolanda M A; Verschuren, W M Monique</t>
  </si>
  <si>
    <t>https://pubmed.ncbi.nlm.nih.gov/34004676</t>
  </si>
  <si>
    <t>Diet, in particular the Mediterranean diet, has been associated with better cognitive function and less cognitive decline in older populations. To quantify associations of a healthy diet, defined by adherence to either the Mediterranean diet, the WHO guidelines, or Dutch Health Council dietary guidelines, with cognitive function and cognitive decline from middle age into old age. From the Doetinchem Cohort Study, a large population-based longitudinal study, 3644 participants (51% females) aged 45-75 y at baseline, were included. Global cognitive function, memory, processing speed, and cognitive flexibility were assessed at 5-y time intervals up to 20-y follow-up. Adherence to the Mediterranean diet was measured with the modified Mediterranean Diet Score (mMDS), adherence to the WHO dietary guidelines with the Healthy Diet Indicator (HDI), and adherence to the Dutch Health Council dietary guidelines 2015 with the modified Dutch Healthy Diet 2015 index (mDHD15-index). The scores on the dietary indices were classified in tertiles (low, medium, high adherence). Linear mixed models were used to model level and change in cognitive function by adherence to healthy diets. The highest tertiles of the mMDS, HDI, and mDHD15-index were associated with better cognitive function compared with the lowest tertiles (P values &lt;0.01), for instance at age 65 y equal to being 2 y cognitively younger in global cognition. In addition, compared with the lowest tertiles, the highest tertiles of the mMDS, HDI, and mDHD15-index were statistically significantly associated with 6-7% slower global cognitive decline from age 55 to 75 y, but also slower decline in processing speed (for mMDS: 10%; 95% CI: 2, 18%; for mDHD15: 12%; 95% CI: 6, 21%) and cognitive flexibility (for mDHD15: 10%; 95% CI: 4, 18%). Healthier dietary habits, determined by higher adherence to dietary guidelines, are associated with better cognitive function and slower cognitive decline with aging from middle age onwards.</t>
  </si>
  <si>
    <t>Long term exposure to low level air pollution and mortality in eight European cohorts within the ELAPSE project: pooled analysis.</t>
  </si>
  <si>
    <t>Strak, Maciej; Weinmayr, Gudrun; Rodopoulou, Sophia; Chen, Jie; de Hoogh, Kees; Andersen, Zorana J; Atkinson, Richard; Bauwelinck, Mariska; Bekkevold, Terese; Bellander, Tom; Boutron-Ruault, Marie-Christine; Brandt, Jørgen; Cesaroni, Giulia; Concin, Hans; Fecht, Daniela; Forastiere, Francesco; Gulliver, John; Hertel, Ole; Hoffmann, Barbara; Hvidtfeldt, Ulla Arthur; Janssen, Nicole A H; Jöckel, Karl-Heinz; Jørgensen, Jeanette T; Ketzel, Matthias; Klompmaker, Jochem O; Lager, Anton; Leander, Karin; Liu, Shuo; Ljungman, Petter; Magnusson, Patrik K E; Mehta, Amar J; Nagel, Gabriele; Oftedal, Bente; Pershagen, Göran; Peters, Annette; Raaschou-Nielsen, Ole; Renzi, Matteo; Rizzuto, Debora; van der Schouw, Yvonne T; Schramm, Sara; Severi, Gianluca; Sigsgaard, Torben; Sørensen, Mette; Stafoggia, Massimo; Tjønneland, Anne; Verschuren, W M Monique; Vienneau, Danielle; Wolf, Kathrin; Katsouyanni, Klea; Brunekreef, Bert; Hoek, Gerard; Samoli, Evangelia</t>
  </si>
  <si>
    <t>https://pubmed.ncbi.nlm.nih.gov/34470785</t>
  </si>
  <si>
    <t>To investigate the associations between air pollution and mortality, focusing on associations below current European Union, United States, and World Health Organization standards and guidelines. Pooled analysis of eight cohorts. Multicentre project Effects of Low-Level Air Pollution: A Study in Europe (ELAPSE) in six European countries. 325 367 adults from the general population recruited mostly in the 1990s or 2000s with detailed lifestyle data. Stratified Cox proportional hazard models were used to analyse the associations between air pollution and mortality. Western Europe-wide land use regression models were used to characterise residential air pollution concentrations of ambient fine particulate matter (PM&lt;sub&gt;2.5&lt;/sub&gt;), nitrogen dioxide, ozone, and black carbon. Deaths due to natural causes and cause specific mortality. Of 325 367 adults followed-up for an average of 19.5 years, 47 131 deaths were observed. Higher exposure to PM&lt;sub&gt;2.5&lt;/sub&gt;, nitrogen dioxide, and black carbon was associated with significantly increased risk of almost all outcomes. An increase of 5 µg/m&lt;sup&gt;3&lt;/sup&gt; in PM&lt;sub&gt;2.5&lt;/sub&gt; was associated with 13% (95% confidence interval 10.6% to 15.5%) increase in natural deaths; the corresponding figure for a 10 µg/m&lt;sup&gt;3&lt;/sup&gt; increase in nitrogen dioxide was 8.6% (7% to 10.2%). Associations with PM&lt;sub&gt;2.5&lt;/sub&gt;, nitrogen dioxide, and black carbon remained significant at low concentrations. For participants with exposures below the US standard of 12 µg/m&lt;sup&gt;3&lt;/sup&gt; an increase of 5 µg/m&lt;sup&gt;3&lt;/sup&gt; in PM&lt;sub&gt;2.5&lt;/sub&gt; was associated with 29.6% (14% to 47.4%) increase in natural deaths. Our study contributes to the evidence that outdoor air pollution is associated with mortality even at low pollution levels below the current European and North American standards and WHO guideline values. These findings are therefore an important contribution to the debate about revision of air quality limits, guidelines, and standards, and future assessments by the Global Burden of Disease.</t>
  </si>
  <si>
    <t>Long-term exposure to low-level ambient air pollution and incidence of stroke and coronary heart disease: a pooled analysis of six European cohorts within the ELAPSE project.</t>
  </si>
  <si>
    <t>Wolf, Kathrin; Hoffmann, Barbara; Andersen, Zorana J; Atkinson, Richard W; Bauwelinck, Mariska; Bellander, Tom; Brandt, Jørgen; Brunekreef, Bert; Cesaroni, Giulia; Chen, Jie; de Faire, Ulf; de Hoogh, Kees; Fecht, Daniela; Forastiere, Francesco; Gulliver, John; Hertel, Ole; Hvidtfeldt, Ulla Arthur; Janssen, Nicole A H; Jørgensen, Jeanette T; Katsouyanni, Klea; Ketzel, Matthias; Klompmaker, Jochem O; Lager, Anton; Liu, Shuo; MacDonald, Conor J; Magnusson, Patrik K E; Mehta, Amar J; Nagel, Gabriele; Oftedal, Bente; Pedersen, Nancy L; Pershagen, Göran; Raaschou-Nielsen, Ole; Renzi, Matteo; Rizzuto, Debora; Rodopoulou, Sophia; Samoli, Evangelia; van der Schouw, Yvonne T; Schramm, Sara; Schwarze, Per; Sigsgaard, Torben; Sørensen, Mette; Stafoggia, Massimo; Strak, Maciek; Tjønneland, Anne; Verschuren, W M Monique; Vienneau, Danielle; Weinmayr, Gudrun; Hoek, Gerard; Peters, Annette; Ljungman, Petter L S</t>
  </si>
  <si>
    <t>https://pubmed.ncbi.nlm.nih.gov/34508683</t>
  </si>
  <si>
    <t>Long-term exposure to outdoor air pollution increases the risk of cardiovascular disease, but evidence is unclear on the health effects of exposure to pollutant concentrations lower than current EU and US standards and WHO guideline limits. Within the multicentre study Effects of Low-Level Air Pollution: A Study in Europe (ELAPSE), we investigated the associations of long-term exposures to fine particulate matter (PM&lt;sub&gt;2·5&lt;/sub&gt;), nitrogen dioxide (NO&lt;sub&gt;2&lt;/sub&gt;), black carbon, and warm-season ozone (O&lt;sub&gt;3&lt;/sub&gt;) with the incidence of stroke and acute coronary heart disease. We did a pooled analysis of individual data from six population-based cohort studies within ELAPSE, from Sweden, Denmark, the Netherlands, and Germany (recruited 1992-2004), and harmonised individual and area-level variables between cohorts. Participants (all adults) were followed up until migration from the study area, death, or incident stroke or coronary heart disease, or end of follow-up (2011-15). Mean 2010 air pollution concentrations from centrally developed European-wide land use regression models were assigned to participants' baseline residential addresses. We used Cox proportional hazards models with increasing levels of covariate adjustment to investigate the association of air pollution exposure with incidence of stroke and coronary heart disease. We assessed the shape of the concentration-response function and did subset analyses of participants living at pollutant concentrations lower than predefined values. From the pooled ELAPSE cohorts, data on 137 148 participants were analysed in our fully adjusted model. During a median follow-up of 17·2 years (IQR 13·8-19·5), we observed 6950 incident events of stroke and 10 071 incident events of coronary heart disease. Incidence of stroke was associated with PM&lt;sub&gt;2·5&lt;/sub&gt; (hazard ratio 1·10 [95% CI 1·01-1·21] per 5 μg/m&lt;sup&gt;3&lt;/sup&gt; increase), NO&lt;sub&gt;2&lt;/sub&gt; (1·08 [1·04-1·12] per 10 μg/m&lt;sup&gt;3&lt;/sup&gt; increase), and black carbon (1·06 [1·02-1·10] per 0·5 10&lt;sup&gt;-5&lt;/sup&gt;/m increase), whereas coronary heart disease incidence was only associated with NO&lt;sub&gt;2&lt;/sub&gt; (1·04 [1·01-1·07]). Warm-season O&lt;sub&gt;3&lt;/sub&gt; was not associated with an increase in either outcome. Concentration-response curves indicated no evidence of a threshold below which air pollutant concentrations are not harmful for cardiovascular health. Effect estimates for PM&lt;sub&gt;2·5&lt;/sub&gt; and NO&lt;sub&gt;2&lt;/sub&gt; remained elevated even when restricting analyses to participants exposed to pollutant concentrations lower than the EU limit values of 25 μg/m&lt;sup&gt;3&lt;/sup&gt; for PM&lt;sub&gt;2·5&lt;/sub&gt; and 40 μg/m&lt;sup&gt;3&lt;/sup&gt; for NO&lt;sub&gt;2&lt;/sub&gt;. Long-term air pollution exposure was associated with incidence of stroke and coronary heart disease, even at pollutant concentrations lower than current limit values. Health Effects Institute.</t>
  </si>
  <si>
    <t>Oestradiol and the risk of myocardial infarction in women: a cohort study of UK Biobank participants.</t>
  </si>
  <si>
    <t>https://pubmed.ncbi.nlm.nih.gov/33734370</t>
  </si>
  <si>
    <t>It is commonly assumed that high oestradiol levels in women are cardioprotective. We assessed the association between oestradiol and the risk of incident myocardial infarction (MI) in women. We used data from 263 295 female UK Biobank participants [mean age 56.2; standard deviation (SD) 8.0 years] without previous cardiovascular disease (CVD). Associations of oestradiol with age and other cardiovascular risk factors were assessed. Cox proportional hazards models estimated crude, ag- and multiple-adjusted hazard ratios (HR) for MI associated with oestradiol levels. After a mean follow-up of 9 years, 2206 incident cases of MI had been recorded, including 230 events among the 57 204 women (mean age 48) with detectable oestradiol levels. In the unadjusted analyses, a unit higher in log-transformed oestradiol was associated with an HR [95% confidence interval (CI) for MI of 0.73 (0.58; 0.92)]. After adjusting for age, this HR became 0.94 (0.75; 1.17), and after further adjusting for classical CVD risk factors, it was 1.05 (0.83; 1.31. Results were similar in subgroup analyses defined by age, menopausal status, socioeconomic status, contraceptive pill use and the use of hormone replacement therapy. The multivariable-adjusted HR for the 171 431 women (mean age 59) with undetectable levels of oestradiol, compared with those with detectable levels, was 0.97 (0.92; 1.02). Higher levels of oestradiol were not associated with a decreased risk of MI. The presumed cardioprotective effects of oestradiol seem to be largely confounded by age and further confounded by other cardiovascular risk factors.</t>
  </si>
  <si>
    <t>Interventions to control nosocomial transmission of SARS-CoV-2: a modelling study.</t>
  </si>
  <si>
    <t>Pham, Thi Mui; Tahir, Hannan; van de Wijgert, Janneke H H M; Van der Roest, Bastiaan R; Ellerbroek, Pauline; Bonten, Marc J M; Bootsma, Martin C J; Kretzschmar, Mirjam E</t>
  </si>
  <si>
    <t>https://pubmed.ncbi.nlm.nih.gov/34446011</t>
  </si>
  <si>
    <t>Emergence of more transmissible SARS-CoV-2 variants requires more efficient control measures to limit nosocomial transmission and maintain healthcare capacities during pandemic waves. Yet the relative importance of different strategies is unknown. We developed an agent-based model and compared the impact of personal protective equipment (PPE), screening of healthcare workers (HCWs), contact tracing of symptomatic HCWs and restricting HCWs from working in multiple units (HCW cohorting) on nosocomial SARS-CoV-2 transmission. The model was fit on hospital data from the first wave in the Netherlands (February until August 2020) and assumed that HCWs used 90% effective PPE in COVID-19 wards and self-isolated at home for 7 days immediately upon symptom onset. Intervention effects on the effective reproduction number (R&lt;sub&gt;E&lt;/sub&gt;), HCW absenteeism and the proportion of infected individuals among tested individuals (positivity rate) were estimated for a more transmissible variant. Introduction of a variant with 56% higher transmissibility increased - all other variables kept constant - R&lt;sub&gt;E&lt;/sub&gt; from 0.4 to 0.65 (+ 63%) and nosocomial transmissions by 303%, mainly because of more transmissions caused by pre-symptomatic patients and HCWs. Compared to baseline, PPE use in all hospital wards (assuming 90% effectiveness) reduced R&lt;sub&gt;E&lt;/sub&gt; by 85% and absenteeism by 57%. Screening HCWs every 3 days with perfect test sensitivity reduced R&lt;sub&gt;E&lt;/sub&gt; by 67%, yielding a maximum test positivity rate of 5%. Screening HCWs every 3 or 7 days assuming time-varying test sensitivities reduced R&lt;sub&gt;E&lt;/sub&gt; by 9% and 3%, respectively. Contact tracing reduced R&lt;sub&gt;E&lt;/sub&gt; by at least 32% and achieved higher test positivity rates than screening interventions. HCW cohorting reduced R&lt;sub&gt;E&lt;/sub&gt; by 5%. Sensitivity analyses show that our findings do not change significantly for 70% PPE effectiveness. For low PPE effectiveness of 50%, PPE use in all wards is less effective than screening every 3 days with perfect sensitivity but still more effective than all other interventions. In response to the emergence of more transmissible SARS-CoV-2 variants, PPE use in all hospital wards might still be most effective in preventing nosocomial transmission. Regular screening and contact tracing of HCWs are also effective interventions but critically depend on the sensitivity of the diagnostic test used.</t>
  </si>
  <si>
    <t>Challenges in Preloss Care to Parents Facing Their Child's End-of-Life: A Qualitative Study From the Clinicians Perspective.</t>
  </si>
  <si>
    <t>Kochen, Eline M; Teunissen, Saskia C C M; Boelen, Paul A; Jenken, Floor; de Jonge, Roos R; Grootenhuis, Martha A; Kars, Marijke C; ,</t>
  </si>
  <si>
    <t>academic pediatrics</t>
  </si>
  <si>
    <t>https://pubmed.ncbi.nlm.nih.gov/34455098</t>
  </si>
  <si>
    <t>Bereavement care for parents predominantly focuses on care after child loss. However, Health Care Professionals (HCPs) feel responsible for supporting parents who are grieving losses in their child's end-of-life. Preloss care is tailored to the parents' needs, thus highly varying. To better understand the nature of preloss care, this study aims to gain insight into the challenges HCPs encounter while providing care for parents during their child's end-of-life. Exploratory qualitative research using semistructured interviews with physicians and nurses working in neonatology and pediatrics in 3 university pediatric hospitals and 1 child home care service. A multidisciplinary team thematically analyzed the data. Twenty-two HCPs participated in this study. From the HCPs' inner perspective, three dyadic dimensions in preloss care delivery were identified that create tension in HCPs: sustaining hope versus realistic prospects, obtaining emotional closeness versus emotional distance, and exploring emotions versus containing emotions. Throughout preloss care delivery, HCPs weighed which strategies to use based on their perception of parental needs, the situation, and their own competencies. HCPs remained with lingering uncertainties on whether the preloss care they provide constituted optimal care. As a result of the experienced tension, HCPs are at risk for prolonged distress and possibly even compassion fatigue. In order to maintain a positive emotional balance in HCPs, education should focus on adapting positive coping strategies and provide hands-on training. Furthermore, on an institutional level a safe environment should be fostered and well-being could be enhanced through learning by sharing as a team.</t>
  </si>
  <si>
    <t>Antibiotic Intervention Affects Maternal Immunity During Gestation in Mice.</t>
  </si>
  <si>
    <t>Benner, Marilen; Lopez-Rincon, Alejandro; Thijssen, Suzan; Garssen, Johan; Ferwerda, Gerben; Joosten, Irma; van der Molen, Renate G; Hogenkamp, Astrid</t>
  </si>
  <si>
    <t>https://pubmed.ncbi.nlm.nih.gov/34512624</t>
  </si>
  <si>
    <t>Pregnancy is a portentous stage in life, during which countless events are precisely orchestrated to ensure a healthy offspring. Maternal microbial communities are thought to have a profound impact on development. Although antibiotic drugs may interfere in these processes, they constitute the most frequently prescribed medication during pregnancy to prohibit detrimental consequences of infections. Gestational antibiotic intervention is linked to preeclampsia and negative effects on neonatal immunity. Even though perturbations in the immune system of the mother can affect reproductive health, the impact of microbial manipulation on maternal immunity is still unknown. To assess whether antibiotic treatment influences maternal immunity during pregnancy. Pregnant mice were treated with broad-spectrum antibiotics. The maternal gut microbiome was assessed. Numerous immune parameters throughout the maternal body, including placenta and amniotic fluid were investigated and a novel machine-learning ensemble strategy was used to identify immunological parameters that allow distinction between the control and antibiotic-treated group. Antibiotic treatment reduced diversity of maternal microbiota, but litter sizes remained unaffected. Effects of antibiotic treatment on immunity reached as far as the placenta. Four immunological features were identified by recursive feature selection to contribute to the most robust classification (splenic T helper 17 cells and CD5&lt;sup&gt;+&lt;/sup&gt; B cells, CD4&lt;sup&gt;+&lt;/sup&gt; T cells in mesenteric lymph nodes and RORγT mRNA expression in placenta). In the present study, antibiotic treatment was able to affect the carefully coordinated immunity during pregnancy. These findings highlight the importance of inclusion of immunological parameters when studying the effects of medication used during gestation.</t>
  </si>
  <si>
    <t>Disease management with home telemonitoring aimed at substitution of usual care in the Netherlands: Post-hoc analyses of the e-Vita HF study.</t>
  </si>
  <si>
    <t>Brons, Maaike; Rutten, Frans H; Zuithoff, Nicolaas P A; Oerlemans, Marish I F J; Asselbergs, Folkert W; Koudstaal, Stefan</t>
  </si>
  <si>
    <t>journal of cardiology</t>
  </si>
  <si>
    <t>https://pubmed.ncbi.nlm.nih.gov/34454810</t>
  </si>
  <si>
    <t>Home telemonitoring in heart failure (HF) patients may reduce workload of HF nurses by reducing face-to-face contacts. The aim of this study is to assess whether telemonitoring as a substitution could have negative effects as expressed by less reduction in circulating natriuretic peptide levels between baseline and one-year of follow up compared to usual care. A post-hoc analysis of the e-Vita HF trial, a three-arm parallel randomized trial conducted in stable HF patients. Patients were randomized into three arms: (i) usual HF outpatient care, (ii) usual care combined with the use of the website heartfailurematters.org, and (iii) telemonitoring (e-Vita HF platform) instead of face-to-face consultations. Mixed linear model analyses were applied to assess differences in the N-terminal prohormone of brain natriuretic peptide (NT-proBNP) levels between the three arms over a year. A total of 223 participants could be included (mean age 67.1 ± 10.1 years, 27% women, New York Heart Association class I-IV; 39%, 38%, 14%, and 9%). The mean left ventricular ejection fraction was 35 ± 10%. The median of routine face-to-face contacts over a year was 1.0 lower (2.0 vs. 3.0) in the third arm compared with usual care. Median NT-proBNP levels did not significantly differ between the three arms. In stable and optimally treated HF patients, telemonitoring causing a reduction of routine face-to-face contacts seems not to negatively affect hemodynamic status as measured by NT-proBNP levels over time.</t>
  </si>
  <si>
    <t>Effects of exercise in breast cancer patients: implications of the trials within cohorts (TwiCs) design in the UMBRELLA Fit trial.</t>
  </si>
  <si>
    <t>Gal, Roxanne; Monninkhof, Evelyn M; van Gils, Carla H; Groenwold, Rolf H H; Elias, Sjoerd G; van den Bongard, Desirée H J G; Peeters, Petra H M; Verkooijen, Helena M; May, Anne M</t>
  </si>
  <si>
    <t>https://pubmed.ncbi.nlm.nih.gov/34427806</t>
  </si>
  <si>
    <t>The Trials within Cohorts (TwiCs) design aims to overcome problems faced in conventional RCTs. We evaluated the TwiCs design when estimating the effect of exercise on quality of life (QoL) and fatigue in inactive breast cancer survivors. UMBRELLA Fit was conducted within the prospective UMBRELLA breast cancer cohort. Patients provided consent for future randomization at cohort entry. We randomized inactive patients 12-18 months after cohort enrollment. The intervention group (n = 130) was offered a 12-week supervised exercise intervention. The control group (n = 130) was not informed and received usual care. Six-month exercise effects on QoL and fatigue as measured in the cohort were analyzed with intention-to-treat (ITT), instrumental variable (IV), and propensity scores (PS) analyses. Fifty-two percent (n = 68) of inactive patients accepted the intervention. Physical activity increased in patients in the intervention group, but not in the control group. We found no benefit of exercise for dimensions of QoL (ITT difference global QoL: 0.8, 95% CI = - 2.2; 3.8) and fatigue, except for a small beneficial effect on physical fatigue (ITT difference: - 1.1, 95% CI = - 1.8; - 0.3; IV: - 1.9, 95% CI = - 3.3; - 0.5, PS: - 1.2, 95% CI = - 2.3; - 0.2). TwiCs gave insight into exercise intervention acceptance: about half of inactive breast cancer survivors accepted the offer and increased physical activity levels. The offer resulted in no improvement on QoL, and a small beneficial effect on physical fatigue. Netherlands Trial Register (NTR5482/NL.52062.041.15), date of registration: December 07, 2015.</t>
  </si>
  <si>
    <t>Gender-Specific Changes in Life Satisfaction After the COVID-19-Related Lockdown in Dutch Adolescents: A Longitudinal Study.</t>
  </si>
  <si>
    <t>van der Laan, Sabine E I; Finkenauer, Catrin; Lenters, Virissa C; van Harmelen, Anne-Laura; van der Ent, Cornelis K; Nijhof, Sanne L</t>
  </si>
  <si>
    <t>https://pubmed.ncbi.nlm.nih.gov/34446346</t>
  </si>
  <si>
    <t>The purposes of this study were to assess whether mental well-being has changed after introduction of the lockdown measures compared with that before, whether this change differs between boys and girls, and whether this change is associated with COVID-19-related concerns. This is a two-wave prospective study among Dutch adolescents using data collected up to one year before the COVID-19 pandemic (n = 224) and 5-8 weeks after the first introduction of lockdown measures (n = 158). Mental well-being was assessed by three indicators: life satisfaction, internalizing symptoms, and psychosomatic health. General linear model repeated-measures analysis of variance was used to assess whether mental well-being has changed and if this differed by sex. Univariate linear regressions were used to assess associations between COVID-19-related concerns and a change in mental well-being. Life satisfaction decreased (η&lt;sup&gt;2&lt;/sup&gt;&lt;sub&gt;p&lt;/sub&gt; = .079, p &lt; .001), but no change in internalizing symptoms was observed (η&lt;sup&gt;2&lt;/sup&gt;&lt;sub&gt;p&lt;/sub&gt; = .014, p = .14), and psychosomatic health increased (η&lt;sup&gt;2&lt;/sup&gt;&lt;sub&gt;p&lt;/sub&gt; = .194, p &lt; .001) after the introduction of lockdown measures. Boys scored significantly better on all mental health indicators compared with girls at baseline and follow-up. However, boys' life satisfaction significantly decreased at the follow-up (η&lt;sup&gt;2&lt;/sup&gt;&lt;sub&gt;p&lt;/sub&gt; = .038, p = .015), whereas girls' life satisfaction did not change. Concerns about COVID-19 were significantly associated with a lower life satisfaction and more internalizing symptoms. Adolescents', especially boys', life satisfaction decreased during the lockdown. They reported no change in internalizing symptoms and an improved psychosomatic health. Adolescents' mental well-being is expected to vary during the COVID-19 pandemic and should continue to be monitored.</t>
  </si>
  <si>
    <t>What Matters to Patients with Rheumatoid Arthritis When Facing Medical or Non-Medical Treatment Decisions?</t>
  </si>
  <si>
    <t>Cornelissen, Lisa Emily; van der Mark, Elise J; Pennings, Patricia; Maat, Bertha; Foekens, Theo; Willemsen-de Mey, Gerardine; Voogdt-Pruis, Helene R</t>
  </si>
  <si>
    <t>https://pubmed.ncbi.nlm.nih.gov/34465982</t>
  </si>
  <si>
    <t>In rheumatoid arthritis care, patients and healthcare professionals regularly face health treatment decisions. Sorting out what matters to a patient as being relevant to a specific decision is therefore essential. An explorative mixed-methods study was performed to investigate patients' values for health treatment decisions and their importance in order to develop a future decision aid on value clarification. Ten semi-structured interviews with patient partners were conducted followed by an online survey among the broader population of patients. Qualitative content analysis was performed. Data from the online survey were analysed descriptively and quantitatively. According to patients, 17 important health treatment decisions in rheumatoid arthritis care can occur. The most commonly reported decisions concerned the use of medication. A variety of values may guide patients' health treatment decisions. We found 66 values among four domains of values - decisional, situational, external and global. Among decisional values, reported main values were a) effectiveness of treatment on inflammation, functioning, pain and fatigue; b) avoiding negative side-effects; and c) keeping in good physical condition. In addition, situational values turned out to be a) staying independent; b) being able to meet people; and c) leading as normal a life as possible. Furthermore, patients prefer healthcare professionals who a) take comorbidity into account, b) have enough time, and c) take the patient seriously in their choices - the external values. Finally, as global values were expressed a) autonomy; b) self-image, and c) intimacy. All values are specified by underlying quotes, for example, the value effectiveness on inflammation; "That inflammation has got to go, because you've then got the risk that you'll develop all kinds of things in the course of time". A variety of values may guide patients' health treatment decisions within rheumatoid arthritis care. Patients and professionals should discuss patients' values continuously.</t>
  </si>
  <si>
    <t>Long-term risk of recurrent venous thromboembolism among patients receiving extended oral anticoagulant therapy for first unprovoked venous thromboembolism: A systematic review and meta-analysis.</t>
  </si>
  <si>
    <t>Khan, Faizan; Tritschler, Tobias; Kimpton, Miriam; Wells, Philip S; Kearon, Clive; Weitz, Jeffrey I; Büller, Harry R; Raskob, Gary E; Ageno, Walter; Couturaud, Francis; Prandoni, Paolo; Palareti, Gualtiero; Legnani, Cristina; Kyrle, Paul A; Eichinger, Sabine; Eischer, Lisbeth; Becattini, Cecilia; Agnelli, Giancarlo; Vedovati, Maria Cristina; Geersing, Geert-Jan; Takada, Toshihiko; Cosmi, Benilde; Aujesky, Drahomir; Marconi, Letizia; Palla, Antonio; Siragusa, Sergio; Bradbury, Charlotte A; Parpia, Sameer; Mallick, Ranjeeta; Lensing, Anthonie W A; Gebel, Martin; Grosso, Michael A; Shi, Minggao; Thavorn, Kednapa; Hutton, Brian; Le Gal, Gregoire; Rodger, Marc; Fergusson, Dean</t>
  </si>
  <si>
    <t>https://pubmed.ncbi.nlm.nih.gov/34379859</t>
  </si>
  <si>
    <t>The long-term risk for recurrent venous thromboembolism (VTE) during extended anticoagulation for a first unprovoked VTE is uncertain. To determine the incidence of recurrent VTE during extended anticoagulation of up to 5 years in patients with a first unprovoked VTE. MEDLINE, EMBASE, and the Cochrane CENTRAL were searched to identify randomized trials and prospective cohort studies reporting recurrent VTE among patients with a first unprovoked VTE who were to receive anticoagulation for a minimum of six additional months after completing ≥3 months of initial treatment. Unpublished data on number of recurrent VTE and person-years, obtained from authors of included studies, were used to calculate study-level incidence rate, and random-effects meta-analysis was used to pool results. Twenty-six studies and 15 603 patients were included in the analysis. During 11 631 person-years of follow-up, the incidence of recurrent VTE and fatal pulmonary embolism per 100 person-years was 1.41 (95% CI, 1.03-1.84) and 0.09 (0.04-0.16), with 5-year cumulative incidences of 7.1% (3.0%-13.2%) and 1.2% (0.4%-4.6%), respectively. The incidence of recurrent VTE was 1.08 (95% CI, 0.77-1.44) with direct oral anticoagulants and 1.55 (1.01-2.20) with vitamin K antagonists. The case-fatality rate of recurrent VTE was 4.9% (95% CI, 2.2%-8.7%). In patients with a first unprovoked VTE, the long-term risk of recurrent VTE during extended anticoagulation is low but not negligible. Thus, clinicians and patients should be aware of this risk and take appropriate and timely action in case of suspicion of recurrent VTE. Estimates from this study can be used to advise patients on what to expect while receiving extended anticoagulation, and estimate the net clinical benefit of extended treatment to guide long-term management of unprovoked VTE.</t>
  </si>
  <si>
    <t>Alcohol consumption in relation to cardiovascular diseases and mortality: a systematic review of Mendelian randomization studies.</t>
  </si>
  <si>
    <t>van de Luitgaarden, Inge A T; van Oort, Sabine; Bouman, Emma J; Schoonmade, Linda J; Schrieks, Ilse C; Grobbee, Diederick E; van der Schouw, Yvonne T; Larsson, Susanna C; Burgess, Stephen; van Ballegooijen, Adriana J; Onland-Moret, N Charlotte; Beulens, Joline W J</t>
  </si>
  <si>
    <t>https://pubmed.ncbi.nlm.nih.gov/34420153</t>
  </si>
  <si>
    <t>The causal effects of alcohol-in-moderation on cardiometabolic health are continuously debated. Mendelian randomization (MR) is an established method to address causal questions in observational studies. We performed a systematic review of the current evidence from MR studies on the association between alcohol consumption and cardiometabolic diseases, all-cause mortality and cardiovascular risk factors. We performed a systematic search of the literature, including search terms on type of design and exposure. We assessed methodological quality based on key elements of the MR design: use of a full instrumental variable analysis and validation of the three key MR assumptions. We additionally looked at exploration of non-linearity. We reported the direction of the studied associations. Our search yielded 24 studies that were eligible for inclusion. A full instrumental variable analysis was performed in 17 studies (71%) and 13 out of 24 studies (54%) validated all three key assumptions. Five studies (21%) assessed potential non-linearity. In general, null associations were reported for genetically predicted alcohol consumption with the primary outcomes cardiovascular disease (67%) and diabetes (75%), while the only study on all-cause mortality reported a detrimental association. Considering the heterogeneity in methodological quality of the included MR studies, it is not yet possible to draw conclusions on the causal role of moderate alcohol consumption on cardiometabolic health. As MR is a rapidly evolving field, we expect that future MR studies, especially with recent developments regarding instrument selection and non-linearity methodology, will further substantiate this discussion.</t>
  </si>
  <si>
    <t>Consumption of ultra-processed foods associated with weight gain and obesity in adults: A multi-national cohort study.</t>
  </si>
  <si>
    <t>Cordova, Reynalda; Kliemann, Nathalie; Huybrechts, Inge; Rauber, Fernanda; Vamos, Eszter P; Levy, Renata Bertazzi; Wagner, Karl-Heinz; Viallon, Vivian; Casagrande, Corinne; Nicolas, Geneviève; Dahm, Christina C; Zhang, Jie; Halkjær, Jytte; Tjønneland, Anne; Boutron-Ruault, Marie-Christine; Mancini, Francesca Romana; Laouali, Nasser; Katzke, Verena; Srour, Bernard; Jannasch, Franziska; Schulze, Matthias B; Masala, Giovanna; Grioni, Sara; Panico, Salvatore; van der Schouw, Yvonne T; Derksen, Jeroen W G; Rylander, Charlotta; Skeie, Guri; Jakszyn, Paula; Rodriguez-Barranco, Miguel; Huerta, José María; Barricarte, Aurelio; Brunkwall, Lousie; Ramne, Stina; Bodén, Stina; Perez-Cornago, Aurora; Heath, Alicia K; Vineis, Paolo; Weiderpass, Elisabete; Monteiro, Carlos Augusto; Gunter, Marc J; Millett, Christopher; Freisling, Heinz</t>
  </si>
  <si>
    <t>https://pubmed.ncbi.nlm.nih.gov/34455267</t>
  </si>
  <si>
    <t>There is a worldwide shift towards increased consumption of ultra-processed foods (UPF) with concurrent rising prevalence of obesity. We examined the relationship between the consumption of UPF and weight gain and risk of obesity. This prospective cohort included 348 748 men and women aged 25-70 years. Participants were recruited between 1992 and 2000 from 9 European countries in the European Prospective Investigation into Cancer and Nutrition (EPIC) study. Two body weight measures were available, at baseline and after a median follow-up time of 5 years. Foods and drinks were assessed at baseline by dietary questionnaires and classified according to their degree of processing using NOVA classification. Multilevel mixed linear regression was used to estimate the association between UPF consumption and body weight change (kg/5 years). To estimate the relative risk of becoming overweight or obese after 5 years we used Poisson regression stratified according to baseline body mass index (BMI). After multivariable adjustment, higher UPF consumption (per 1 SD increment) was positively associated with weight gain (0·12 kg/5 years, 95% CI 0·09 to 0·15). Comparing highest vs. lowest quintile of UPF consumption was associated with a 15% greater risk (95% CI 1·11, 1·19) of becoming overweight or obese in normal weight participants, and with a 16% greater risk (95% CI 1·09, 1·23) of becoming obese in participants who were overweight at baseline. These results are supportive of public health campaigns to substitute UPF for less processed alternatives for obesity prevention and weight management.</t>
  </si>
  <si>
    <t>Detection of asymptomatic carotid stenosis in patients with lower-extremity arterial disease: development and external validations of a risk score.</t>
  </si>
  <si>
    <t>Poorthuis, M H F; Morris, D R; de Borst, G J; Bots, M L; Greving, J P; Visseren, F L J; Sherliker, P; Clack, R; Clarke, R; Lewington, S; Bulbulia, R; Halliday, A</t>
  </si>
  <si>
    <t>https://pubmed.ncbi.nlm.nih.gov/33876207</t>
  </si>
  <si>
    <t>Recommendations for screening patients with lower-extremity arterial disease (LEAD) to detect asymptomatic carotid stenosis (ACS) are conflicting. Prediction models might identify patients at high risk of ACS, possibly allowing targeted screening to improve preventive therapy and compliance. A systematic search for prediction models for at least 50 per cent ACS in patients with LEAD was conducted. A prediction model in screened patients from the USA with an ankle : brachial pressure index of 0.9 or less was subsequently developed, and assessed for discrimination and calibration. External validation was performed in two independent cohorts, from the UK and the Netherlands. After screening 4907 studies, no previously published prediction models were found. For development of a new model, data for 112 117 patients were used, of whom 6354 (5.7 per cent) had at least 50 per cent ACS and 2801 (2.5 per cent) had at least 70 per cent ACS. Age, sex, smoking status, history of hypercholesterolaemia, stroke/transient ischaemic attack, coronary heart disease and measured systolic BP were predictors of ACS. The model discrimination had an area under the receiver operating characteristic (AUROC) curve of 0.71 (95 per cent c.i. 0.71 to 0.72) for at least 50 per cent ACS and 0.73 (0.72 to 0.73) for at least 70 per cent ACS. Screening the 20 per cent of patients at greatest risk detected 12.4 per cent with at least 50 per cent ACS (number needed to screen (NNS) 8] and 5.8 per cent with at least 70 per cent ACS (NNS 17). This yielded 44.2 and 46.9 per cent of patients with at least 50 and 70 per cent ACS respectively. External validation showed reliable discrimination and adequate calibration. The present risk score can predict significant ACS in patients with LEAD. This approach may inform targeted screening of high-risk individuals to enhance the detection of ACS.</t>
  </si>
  <si>
    <t>Management of superficial venous thrombosis based on individual risk profiles: protocol for the development and validation of three prognostic prediction models in large primary care cohorts.</t>
  </si>
  <si>
    <t>van Royen, F S; van Smeden, M; Moons, K G M; Rutten, F H; Geersing, G J</t>
  </si>
  <si>
    <t>https://pubmed.ncbi.nlm.nih.gov/34404480</t>
  </si>
  <si>
    <t>Superficial venous thrombosis (SVT) is considered a benign thrombotic condition in most patients. However, it also can cause serious complications, such as clot progression to deep venous thrombosis (DVT) and pulmonary embolism (PE). Although most SVT patients are encountered in primary healthcare, studies on SVT nearly all were focused on patients seen in the hospital setting. This paper describes the protocol of the development and external validation of three prognostic prediction models for relevant clinical outcomes in SVT patients seen in primary care: (i) prolonged (painful) symptoms within 14 days since SVT diagnosis, (ii) for clot progression to DVT or PE within 45 days and (iii) for clot recurrence within 12 months. Data will be used from four primary care routine healthcare registries from both the Netherlands and the UK; one UK registry will be used for the development of the prediction models and the remaining three will be used as external validation cohorts. The study population will consist of patients ≥18 years with a diagnosis of SVT. Selection of SVT cases will be based on a combination of ICPC/READ/Snowmed coding and free text clinical symptoms. Predictors considered are sex, age, body mass index, clinical SVT characteristics, and co-morbidities including (history of any) cardiovascular disease, diabetes, autoimmune disease, malignancy, thrombophilia, pregnancy or puerperium and presence of varicose veins. The prediction models will be developed using multivariable logistic regression analysis techniques for models i and ii, and for model iii, a Cox proportional hazards model will be used. They will be validated by internal-external cross-validation as well as external validation. There are currently no prediction models available for predicting the risk of serious complications for SVT patients presenting in primary care settings. We aim to develop and validate new prediction models that should help identify patients at highest risk for complications and to support clinical decision making for this understudied thrombo-embolic disorder. Challenges that we anticipate to encounter are mostly related to performing research in large, routine healthcare databases, such as patient selection, endpoint classification, data harmonisation, missing data and avoiding (predictor) measurement heterogeneity.</t>
  </si>
  <si>
    <t>Evaluating the cascade of care for hypertension in Sierra Leone.</t>
  </si>
  <si>
    <t>Geraedts, Tessa J M; Boateng, Daniel; Lindenbergh, Karel C; van Delft, Diede; Mathéron, Hanna M; Mönnink, Gulia L E; Martens, Janine P J; van Leerdam, Daniel; Vas Nunes, Jonathan; Bu-Buakei Jabbi, Sonnia-Magba; Kpaka, Mohamed S; Westendorp, Josien; van Duinen, Alex J; Sankoh, Osman; Grobusch, Martin P; Bolkan, Håkon A; Klipstein-Grobusch, Kerstin</t>
  </si>
  <si>
    <t>https://pubmed.ncbi.nlm.nih.gov/34350675</t>
  </si>
  <si>
    <t>To assess the care for hypertension in Sierra Leone, by the use of a cascade-of-care approach, to identify where the need for healthcare system interventions is greatest. Using data from a nationwide household survey on surgical conditions undertaken in 1956 participants ≥18 years from October 2019 to March 2020, a cascade of care for hypertension consisting of four categories - hypertensive population, those diagnosed, those treated and those controlled - was constructed. Hypertension was defined as having a blood pressure ≥140/90 mmHg, or self-reported use of antihypertensive medication. Logistic regression analysis was used to investigate factors associated with undiagnosed hypertension. The prevalence of hypertension was 22%. Among those with hypertension, 23% were diagnosed, 11% were treated and 5% had controlled blood pressure. The largest loss to care (77%) was between being hypertensive and receiving a diagnosis. Male sex, age and living in a rural location, were significantly associated with the odds of undiagnosed hypertension. There was no significant difference between men and women in the number of patients with controlled blood pressure. Adults aged 40 or older were observed to be better retained in care compared with those younger than 40 years of age. There is a significant loss to care in the care cascade for hypertension in Sierra Leone. Our results suggest that increasing awareness of cardiovascular risk and risk factor screening for early diagnosis might have a large impact on hypertension care.</t>
  </si>
  <si>
    <t>Reducing False-Positive Screening MRI Rate in Women with Extremely Dense Breasts Using Prediction Models Based on Data from the DENSE Trial.</t>
  </si>
  <si>
    <t>den Dekker, Bianca M; Bakker, Marije F; de Lange, Stéphanie V; Veldhuis, Wouter B; van Diest, Paul J; Duvivier, Katya M; Lobbes, Marc B I; Loo, Claudette E; Mann, Ritse M; Monninkhof, Evelyn M; Veltman, Jeroen; Pijnappel, Ruud M; van Gils, Carla H; ,</t>
  </si>
  <si>
    <t>https://pubmed.ncbi.nlm.nih.gov/34402665</t>
  </si>
  <si>
    <t>Background High breast density increases breast cancer risk and lowers mammographic sensitivity. Supplemental MRI screening improves cancer detection but increases the number of false-positive screenings. Thus, methods to distinguish true-positive MRI screening results from false-positive ones are needed. Purpose To build prediction models based on clinical characteristics and MRI findings to reduce the rate of false-positive screening MRI findings in women with extremely dense breasts. Materials and Methods Clinical characteristics and MRI findings in Dutch breast cancer screening participants (age range, 50-75 years) with positive first-round MRI screening results (Breast Imaging Reporting and Data System 3, 4, or 5) after a normal screening mammography with extremely dense breasts (Volpara density category 4) were prospectively collected within the randomized controlled Dense Tissue and Early Breast Neoplasm Screening (DENSE) trial from December 2011 through November 2015. In this secondary analysis, prediction models were built using multivariable logistic regression analysis to distinguish true-positive MRI screening findings from false-positive ones. Results Among 454 women (median age, 52 years; interquartile range, 50-57 years) with a positive MRI result in a first supplemental MRI screening round, 79 were diagnosed with breast cancer (true-positive findings), and 375 had false-positive MRI results. The full prediction model (area under the receiver operating characteristics curve [AUC], 0.88; 95% CI: 0.84, 0.92), based on all collected clinical characteristics and MRI findings, could have prevented 45.5% (95% CI: 39.6, 51.5) of false-positive recalls and 21.3% (95% CI: 15.7, 28.3) of benign biopsies without missing any cancers. The model solely based on readily available MRI findings and age had a comparable performance (AUC, 0.84; 95% CI: 0.79, 0.88; &lt;i&gt;P&lt;/i&gt; = .15) and could have prevented 35.5% (95% CI: 30.4, 41.1) of false-positive MRI screening results and 13.0% (95% CI: 8.8, 18.6) of benign biopsies. Conclusion Prediction models based on clinical characteristics and MRI findings may be useful to reduce the false-positive first-round screening MRI rate and benign biopsy rate in women with extremely dense breasts. Clinical trial registration no. NCT01315015 © RSNA, 2021 &lt;i&gt;Online supplemental material is available for this article.&lt;/i&gt; See also the editorial by Imbriaco in this issue.</t>
  </si>
  <si>
    <t>Are nudging and pricing strategies on food purchasing behaviors equally effective for all? Secondary analyses from the Supreme Nudge virtual supermarket study.</t>
  </si>
  <si>
    <t>van der Molen, Annemarijn E H; Hoenink, Jody C; Mackenbach, Joreintje D; Waterlander, Wilma; Lakerveld, Jeroen; Beulens, Joline W J</t>
  </si>
  <si>
    <t>appetite</t>
  </si>
  <si>
    <t>https://pubmed.ncbi.nlm.nih.gov/34416288</t>
  </si>
  <si>
    <t>Nudging and pricing strategies are effective in promoting healthier purchases. However, whether the effects are equal across individuals with different personal characteristics is unknown. This exploratory study aimed to examine differential effects of nudging and pricing strategies on food purchases across individuals' levels of impulsivity, price sensitivity, decision-making styles, and food choice motives. Data from a virtual supermarket experiment where participants were exposed to five study conditions (control, nudging, pricing, salient pricing, and salient pricing with nudging) was used. Participants completed questionnaires assessing their impulsivity, price sensitivity, decision-making styles, and food choice motives. The outcome was the percentage of healthy food purchases. Effect modification was analyzed by adding interaction terms to the statistical models and post-hoc probing was conducted for statistically significant interaction terms. We used data from 400 Dutch adult participants (61.3% female, median age 30.0 years (IQR 24.0)). The effects of the nudging and pricing conditions on healthy food purchases were not modified by impulsivity, price sensitivity, decision-making styles, and the food choice motives 'health' and 'price'. Only the interactions of the food choice motive 'natural content of foods' x pricing (B = -1.02, 90%CI = -2.04; -0.01), the food choice motive 'weight control' x nudging (B = -2.15, 90%CI = -3.34; -0.95), and 'weight control' x pricing (B = -1.87, 90%CI = -3.11; -0.62) were statistically significant. Post-hoc probing indicated that nudging and/or pricing strategies were more effective in individuals who gave lower priority to these food choice motives. The effects of nudging and pricing strategies on increasing healthy food purchasing behaviors, at least in a virtual environment, do not seem to be influenced by personal characteristics and may therefore be implemented as general health promoting strategies.</t>
  </si>
  <si>
    <t>Predictors of impaired pulmonary function in people living with HIV in an urban African setting.</t>
  </si>
  <si>
    <t>van Riel, Sarah E; Klipstein-Grobusch, Kerstin; Barth, Roos E; Grobbee, Diederick E; Feldman, Charles; Shaddock, Erica; Stacey, Sarah L; Venter, Willem D F; Vos, Alinda G</t>
  </si>
  <si>
    <t>https://pubmed.ncbi.nlm.nih.gov/34522426</t>
  </si>
  <si>
    <t>Studies have associated HIV with an increased risk of obstructive lung disease (OLD). We aimed to identify the predictive factors for impaired lung function in an urban, African, HIV-positive population. A cross-sectional study was performed in Johannesburg, South Africa, from July 2016 to November 2017. A questionnaire was administered and pre- and post-bronchodilator spirometry conducted. The predictors investigated included age, sex, antiretroviral treatment (ART) duration, body mass index, history of tuberculosis (TB) or pneumonia, occupational exposure, environmental exposure, smoking and symptoms of OLD (cough, wheeze, mucus and dyspnoea). Impaired lung function was defined as a forced expiratory volume in 1 second/forced vital capacity (FEV1/FVC) ratio of &lt; 0.70, or below the 20th percentile of normal. The 98 ART-naïve participants (mean age = 34.0, standard deviation [s.d.] = 8.2), 85 participants on first-line ART (mean age = 36.9, s.d. = 6.6) and 189 participants on second-line ART (mean age = 43.5, s.d. = 7.9) were predominantly female (65.6%). Of the participants, 64 (17.2%) had impaired lung function and 308 had normal lung function. Linear regression identified age (β = -0.003, &lt;i&gt;P&lt;/i&gt; &lt; 0.01), male sex (β = -0.016, &lt;i&gt;P&lt;/i&gt; = 0.03) and history of TB or pneumonia (β = -0.024, &lt;i&gt;P&lt;/i&gt; &lt; 0.01) as independent predictors of a lower FEV1/FVC ratio. Following logistic regression, only a history of TB or pneumonia (odds ratio = 2.58, 95% confidence interval = 1.47-4.52) was significantly related to impaired lung function (area under the receiver operating characteristic curve = 0.64). Our data show that a history of TB or pneumonia predicts impaired lung function. In order to improve timely access to spirometry, clinicians should be alert to the possibility of impaired lung function in people with a history of TB or pneumonia.</t>
  </si>
  <si>
    <t>A tutorial on individualized treatment effect prediction from randomized trials with a binary endpoint.</t>
  </si>
  <si>
    <t>Hoogland, Jeroen; IntHout, Joanna; Belias, Michail; Rovers, Maroeska M; Riley, Richard D; E Harrell, Frank; Moons, Karel G M; Debray, Thomas P A; Reitsma, Johannes B</t>
  </si>
  <si>
    <t>https://pubmed.ncbi.nlm.nih.gov/34402094</t>
  </si>
  <si>
    <t>Randomized trials typically estimate average relative treatment effects, but decisions on the benefit of a treatment are possibly better informed by more individualized predictions of the absolute treatment effect. In case of a binary outcome, these predictions of absolute individualized treatment effect require knowledge of the individual's risk without treatment and incorporation of a possibly differential treatment effect (ie, varying with patient characteristics). In this article, we lay out the causal structure of individualized treatment effect in terms of potential outcomes and describe the required assumptions that underlie a causal interpretation of its prediction. Subsequently, we describe regression models and model estimation techniques that can be used to move from average to more individualized treatment effect predictions. We focus mainly on logistic regression-based methods that are both well-known and naturally provide the required probabilistic estimates. We incorporate key components from both causal inference and prediction research to arrive at individualized treatment effect predictions. While the separate components are well known, their successful amalgamation is very much an ongoing field of research. We cut the problem down to its essentials in the setting of a randomized trial, discuss the importance of a clear definition of the estimand of interest, provide insight into the required assumptions, and give guidance with respect to modeling and estimation options. Simulated data illustrate the potential of different modeling options across scenarios that vary both average treatment effect and treatment effect heterogeneity. Two applied examples illustrate individualized treatment effect prediction in randomized trial data.</t>
  </si>
  <si>
    <t>Importance of testing the internal consistency and construct validity of the Pittsburgh Sleep Quality Index (PSQI) in study groups of day and night shift workers: Example of a sample of long-haul truck drivers in South Africa.</t>
  </si>
  <si>
    <t>Roche, Johanna; Vos, Alinda G; Lalla-Edward, Samanta T; Kamerman, Peter R; Venter, Wd Francois; Scheuermaier, Karine</t>
  </si>
  <si>
    <t>applied ergonomics</t>
  </si>
  <si>
    <t>https://pubmed.ncbi.nlm.nih.gov/34411851</t>
  </si>
  <si>
    <t>Irregular work times promote inconsistent completion of the Pittsburgh Sleep Quality Index (PSQI) among shift workers. We aimed to demonstrate the importance of testing the internal consistency and construct validity of the PSQI and of the Epworth Sleepiness Scale (ESS) by presenting the methodology in a sample of long-haul truckers in South Africa. Internal consistency of the questionnaires was assessed by Cronbach's alpha (defined as raw alpha≥0.70), and construct validity by factor analysis. 302 participants (49.3%) reported at least one night shift/week. Overall, the PSQI and ESS's alpha were 0.42 and 0.85, respectively. The factors explained 19.6% of 57.0% of the variance. The PSQI's alpha was 0.46 in night shift workers and 0.38 in non-night shift workers. In this occupational group, the PSQI must be used with caution. Testing the internal consistency and construct validity among the assessed population seems necessary. Sleep questionnaires adapted to shift workers should be preferred.</t>
  </si>
  <si>
    <t>Long-term exposure to air pollution and liver cancer incidence in six European cohorts.</t>
  </si>
  <si>
    <t>So, Rina; Chen, Jie; Mehta, Amar J; Liu, Shuo; Strak, Maciej; Wolf, Kathrin; Hvidtfeldt, Ulla A; Rodopoulou, Sophia; Stafoggia, Massimo; Klompmaker, Jochem O; Samoli, Evangelia; Raaschou-Nielsen, Ole; Atkinson, Richard; Bauwelinck, Mariska; Bellander, Tom; Boutron-Ruault, Marie-Christine; Brandt, Jørgen; Brunekreef, Bert; Cesaroni, Giulia; Concin, Hans; Forastiere, Francesco; van Gils, Carla H; Gulliver, John; Hertel, Ole; Hoffmann, Barbara; de Hoogh, Kees; Janssen, Nicole; Lim, Youn-Hee; Westendorp, Rudi; Jørgensen, Jeanette T; Katsouyanni, Klea; Ketzel, Matthias; Lager, Anton; Lang, Alois; Ljungman, Petter L; Magnusson, Patrik K E; Nagel, Gabriele; Simonsen, Mette K; Pershagen, Göran; Peter, Raphael S; Peters, Annette; Renzi, Matteo; Rizzuto, Debora; Sigsgaard, Torben; Vienneau, Danielle; Weinmayr, Gudrun; Severi, Gianluca; Fecht, Daniela; Tjønneland, Anne; Leander, Karin; Hoek, Gerard; Andersen, Zorana J</t>
  </si>
  <si>
    <t>https://pubmed.ncbi.nlm.nih.gov/34278567</t>
  </si>
  <si>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(NO&lt;sub&gt;2&lt;/sub&gt; ), particulate matter with diameter &lt;2.5 μm (PM&lt;sub&gt;2.5&lt;/sub&gt; ), black carbon (BC), warm-season ozone (O&lt;sub&gt;3&lt;/sub&gt; ), and eight elemental components of PM&lt;sub&gt;2.5&lt;/sub&gt;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NO&lt;sub&gt;2&lt;/sub&gt; (hazard ratio, 95% confidence interval: 1.17, 1.02-1.35 per 10 μg/m&lt;sup&gt;3&lt;/sup&gt; ), PM&lt;sub&gt;2.5&lt;/sub&gt; (1.12, 0.92-1.36 per 5 μg/m&lt;sup&gt;3&lt;/sup&gt; ), and BC (1.15, 1.00-1.33 per 0.5 10&lt;sup&gt;-5&lt;/sup&gt; /m) and liver cancer incidence. Associations with NO&lt;sub&gt;2&lt;/sub&gt; and BC persisted in two-pollutant models with PM&lt;sub&gt;2.5&lt;/sub&gt; . Most components of PM&lt;sub&gt;2.5&lt;/sub&gt; were associated with the risk of liver cancer, with the strongest associations for sulfur and vanadium, which were robust to adjustment for PM&lt;sub&gt;2.5&lt;/sub&gt; or NO&lt;sub&gt;2&lt;/sub&gt; . Our study suggests that ambient air pollution may increase the risk of liver cancer, even at concentrations below current EU standards.</t>
  </si>
  <si>
    <t>Cross-sectional associations of tau protein biomarkers with semantic and episodic memory in older adults without dementia: A systematic review and meta-analysis.</t>
  </si>
  <si>
    <t>Pelgrim, Teuntje A D; Beran, Magdalena; Twait, Emma L; Geerlings, Mirjam I; Vonk, Jet M J</t>
  </si>
  <si>
    <t>https://pubmed.ncbi.nlm.nih.gov/34400308</t>
  </si>
  <si>
    <t>Pathological tau is suggested to play a role in cognitive deterioration in the preclinical phase of Alzheimer's disease. We investigated cross-sectional associations of tau burden with episodic and semantic memory performance in older adults without dementia. A systematic search in MEDLINE (via PubMed), PsychINFO, and Embase resulted in 24 eligible studies for meta-analysis. Tau burden was assessed using CSF, PET, or histopathological measures. All studies evaluated associations of tau with episodic memory: weighted effect sizes were -0.46 (95 % CI [-0.73; -0.20], p &lt; .001) for episodic composite scores, -0.19 ([-0.36; -0.03], p = .024) for delayed word list recall, and -0.05 ([-0.14; 0.04], p = .257) for logical memory. Fourteen studies evaluated associations of tau with semantic memory: weighted effect sizes were -0.28 ([-0.52; -0.04], p = .023) for semantic composite scores, -0.06 ([-0.16; 0.03], p = .194) for semantic fluency, and 0.06 ([-0.06; 0.18], p = .319) for picture naming. Our findings indicate that tau burden related to both episodic and semantic memory impairment in older individuals without a diagnosis of mild cognitive impairment or manifest dementia, with episodic composite scores showing the strongest association with tau burden. Future potential lies in developing more sensitive scores to detect this subtle cognitive impairment, which could contribute to early identification of individuals in the preclinical phase of Alzheimer's disease, thereby improving early diagnosis and timely intervention.</t>
  </si>
  <si>
    <t>Measurement error in meta-analysis (MEMA)-A Bayesian framework for continuous outcome data subject to non-differential measurement error.</t>
  </si>
  <si>
    <t>Campbell, Harlan; de Jong, Valentijn M T; Maxwell, Lauren; Jaenisch, Thomas; Debray, Thomas P A; Gustafson, Paul</t>
  </si>
  <si>
    <t>https://pubmed.ncbi.nlm.nih.gov/34312994</t>
  </si>
  <si>
    <t>Ideally, a meta-analysis will summarize data from several unbiased studies. Here we look into the less than ideal situation in which contributing studies may be compromised by non-differential measurement error in the exposure variable. Specifically, we consider a meta-analysis for the association between a continuous outcome variable and one or more continuous exposure variables, where the associations may be quantified as regression coefficients of a linear regression model. A flexible Bayesian framework is developed which allows one to obtain appropriate point and interval estimates with varying degrees of prior knowledge about the magnitude of the measurement error. We also demonstrate how, if individual-participant data (IPD) are available, the Bayesian meta-analysis model can adjust for multiple participant-level covariates, these being measured with or without measurement error.</t>
  </si>
  <si>
    <t>Household air pollution from, and fuel efficiency of, different coal types following local cooking practices in Xuanwei, China.</t>
  </si>
  <si>
    <t>Zhang, Yongliang; Meliefste, Kees; Hu, Wei; Li, Jihua; Xu, Jun; Ning, Baofu; Yang, Kaiyun; Chen, Ying; Liu, Dingyu; Wong, Jason; Rahman, Mohammad; Rothman, Nathaniel; Huang, Yunchao; Cassee, Flemming; Vermeulen, Roel; Lan, Qing; Downward, George S</t>
  </si>
  <si>
    <t>https://pubmed.ncbi.nlm.nih.gov/34438166</t>
  </si>
  <si>
    <t>The domestic combustion of smoky (bituminous) coal in the Chinese counties of Xuanwei and Fuyuan, are responsible for some of the highest rates of lung cancer in the world. Cancer rates vary between coal producing regions (deposits) in the area, with coals from Laibin exhibiting particularly high risks and smokeless (anthracite) coal exhibiting lower risks. However, little information is available on the specific burning characteristics of coals from throughout the area. We conducted an extensive controlled burning experiment using coal from multiple deposits in either a traditional firepit or ventilated stove, accompanied by a detailed examination of time-weighted and real-time size-aggregated particle concentrations. Smoky coal caused higher particle concentrations of all sizes than smokeless coal, with variations observed by geological source. Virtually all particle emissions were in the PM&lt;sub&gt;2.5&lt;/sub&gt; fraction (98% - mass based), and 75% and 46% were in the PM&lt;sub&gt;1&lt;/sub&gt; and PM&lt;sub&gt;0.3&lt;/sub&gt; fraction respectively. Real-time concentrations of PM&lt;sub&gt;1&lt;/sub&gt; and PM&lt;sub&gt;0.1&lt;/sub&gt; peaked after coal was added and declined afterwards. Ventilation reduced particle concentrations by up to 15-fold and increased the coal burning rate by 1.9-fold. These findings may provide valuable insight for reducing exposure and adverse health effects associated with domestic coal combustion.</t>
  </si>
  <si>
    <t>Response to letter entitled: Re: Mainstreaming informed consent for genomic sequencing: A call for action: Discussing opt-out options during informed consent discussions in mainstream settings.</t>
  </si>
  <si>
    <t>Bunnik, Eline M; Dondorp, Wybo J; Bredenoord, Annelien L; de Wert, Guido M W R; Cornel, Martina C</t>
  </si>
  <si>
    <t>https://pubmed.ncbi.nlm.nih.gov/34391611</t>
  </si>
  <si>
    <t>Risk-Adjusted Cancer Screening and Prevention (RiskAP): Complementing Screening for Early Disease Detection by a Learning Screening Based on Risk Factors.</t>
  </si>
  <si>
    <t>Schmutzler, Rita K; Schmitz-Luhn, Björn; Borisch, Bettina; Devilee, Peter; Eccles, Diana; Hall, Per; Balmaña, Judith; Boccia, Stefania; Dabrock, Peter; Emons, Günter; Gaissmaier, Wolfgang; Gronwald, Jacek; Houwaart, Stefanie; Huster, Stefan; Kast, Karin; Katalinic, Alexander; Linn, Sabine C; Moorthie, Sowmiya; Pharoah, Paul; Rhiem, Kerstin; Spranger, Tade; Stoppa-Lyonnet, Dominique; van Delden, Johannes Jozef Marten; van den Bulcke, Marc; Woopen, Christiane</t>
  </si>
  <si>
    <t>breast care basel switzerland</t>
  </si>
  <si>
    <t>https://pubmed.ncbi.nlm.nih.gov/35702492</t>
  </si>
  <si>
    <t>Risk-adjusted cancer screening and prevention is a promising and continuously emerging option for improving cancer prevention. It is driven by increasing knowledge of risk factors and the ability to determine them for individual risk prediction. However, there is a knowledge gap between evidence of increased risk and evidence of the effectiveness and efficiency of clinical preventive interventions based on increased risk. This gap is, in particular, aggravated by the extensive availability of genetic risk factor diagnostics, since the question of appropriate preventive measures immediately arises when an increased risk is identified. However, collecting proof of effective preventive measures, ideally by prospective randomized preventive studies, typically requires very long periods of time, while the knowledge about an increased risk immediately creates a high demand for action. Therefore, we propose a risk-adjusted prevention concept that is based on the best current evidence making needed and appropriate preventive measures available, and which is constantly evaluated through outcome evaluation, and continuously improved based on these results. We further discuss the structural and procedural requirements as well as legal and socioeconomical aspects relevant for the implementation of this concept.</t>
  </si>
  <si>
    <t>Midlife Vascular Factors and Prevalence of Mild Cognitive Impairment in Late-Life in Mexico.</t>
  </si>
  <si>
    <t>Arce Rentería, Miguel; Manly, Jennifer J; Vonk, Jet M J; Mejia Arango, Silvia; Michaels Obregon, Alejandra; Samper-Ternent, Rafael; Wong, Rebeca; Barral, Sandra; Tosto, Giuseppe</t>
  </si>
  <si>
    <t>https://pubmed.ncbi.nlm.nih.gov/34376262</t>
  </si>
  <si>
    <t>To estimate the prevalence of mild cognitive impairment (MCI) and its subtypes and investigate the impact of midlife cardiovascular risk factors on late-life MCI among the aging Mexican population. Analyses included a sample of non-demented adults over the age of 55 living in both urban and rural areas of Mexico (N = 1807). MCI diagnosis was assigned based on a comprehensive cognitive assessment assessing the domains of memory, executive functioning, language, and visuospatial ability. The normative sample was selected by means of the robust norms approach. Cognitive impairment was defined by a 1.5-SD cut-off per cognitive domain using normative corrections for age, years of education, and sex. Risk factors included age, education, sex, rurality, depression, insurance status, workforce status, hypertension, diabetes, stroke, and heart disease. The prevalence of amnestic MCI was 5.9%. Other MCI subtypes ranged from 4.2% to 7.7%. MCI with and without memory impairment was associated with older age (OR = 1.01 [1.01, 1.05]; OR = 1.03 [1.01, 1.04], respectively) and residing in rural areas (OR = 1.49 [1.08, 2.06]; OR = 1.35 [1.03, 1.77], respectively). Depression (OR = 1.07 [1.02, 1.12]), diabetes (OR = 1.37 [1.03, 1.82]), and years of education (OR = 0.94 [0.91, 0.97]) were associated with MCI without memory impairment. Midlife CVD increased the odds of MCI in late-life (OR = 1.76 [1.19, 2.59], which was driven by both midlife hypertension and diabetes (OR = 1.70 [1.18, 2.44]; OR = 1.88 [1.19, 2.97], respectively). Older age, depression, low education, rurality, and midlife hypertension and diabetes were associated with higher risk of late-life MCI among older adults in Mexico. Our findings suggest that the causes of cognitive impairment are multifactorial and vary by MCI subtype.</t>
  </si>
  <si>
    <t>Distinct Molecular Signatures of Clinical Clusters in People With Type 2 Diabetes: An IMI-RHAPSODY Study.</t>
  </si>
  <si>
    <t>Slieker, Roderick C; Donnelly, Louise A; Fitipaldi, Hugo; Bouland, Gerard A; Giordano, Giuseppe N; Åkerlund, Mikael; Gerl, Mathias J; Ahlqvist, Emma; Ali, Ashfaq; Dragan, Iulian; Elders, Petra; Festa, Andreas; Hansen, Michael K; van der Heijden, Amber A; Mansour Aly, Dina; Kim, Min; Kuznetsov, Dmitry; Mehl, Florence; Klose, Christian; Simons, Kai; Pavo, Imre; Pullen, Timothy J; Suvitaival, Tommi; Wretlind, Asger; Rossing, Peter; Lyssenko, Valeriya; Legido Quigley, Cristina; Groop, Leif; Thorens, Bernard; Franks, Paul W; Ibberson, Mark; Rutter, Guy A; Beulens, Joline W J; 't Hart, Leen M; Pearson, Ewan R</t>
  </si>
  <si>
    <t>diabetes</t>
  </si>
  <si>
    <t>https://pubmed.ncbi.nlm.nih.gov/34376475</t>
  </si>
  <si>
    <t>Type 2 diabetes is a multifactorial disease with multiple underlying aetiologies. To address this heterogeneity, investigators of a previous study clustered people with diabetes according to five diabetes subtypes. The aim of the current study is to investigate the etiology of these clusters by comparing their molecular signatures. In three independent cohorts, in total 15,940 individuals were clustered based on five clinical characteristics. In a subset, genetic (&lt;i&gt;N&lt;/i&gt; = 12,828), metabolomic (&lt;i&gt;N&lt;/i&gt; = 2,945), lipidomic (&lt;i&gt;N&lt;/i&gt; = 2,593), and proteomic (&lt;i&gt;N&lt;/i&gt; = 1,170) data were obtained in plasma. For each data type, each cluster was compared with the other four clusters as the reference. The insulin-resistant cluster showed the most distinct molecular signature, with higher branched-chain amino acid, diacylglycerol, and triacylglycerol levels and aberrant protein levels in plasma were enriched for proteins in the intracellular PI3K/Akt pathway. The obese cluster showed higher levels of cytokines. The mild diabetes cluster with high HDL showed the most beneficial molecular profile with effects opposite of those seen in the insulin-resistant cluster. This study shows that clustering people with type 2 diabetes can identify underlying molecular mechanisms related to pancreatic islets, liver, and adipose tissue metabolism. This provides novel biological insights into the diverse aetiological processes that would not be evident when type 2 diabetes is viewed as a homogeneous disease.</t>
  </si>
  <si>
    <t>The social licence for data-intensive health research: towards co-creation, public value and trust.</t>
  </si>
  <si>
    <t>Muller, Sam H A; Kalkman, Shona; van Thiel, Ghislaine J M W; Mostert, Menno; van Delden, Johannes J M</t>
  </si>
  <si>
    <t>https://pubmed.ncbi.nlm.nih.gov/34376204</t>
  </si>
  <si>
    <t>The rise of Big Data-driven health research challenges the assumed contribution of medical research to the public good, raising questions about whether the status of such research as a common good should be taken for granted, and how public trust can be preserved. Scandals arising out of sharing data during medical research have pointed out that going beyond the requirements of law may be necessary for sustaining trust in data-intensive health research. We propose building upon the use of a social licence for achieving such ethical governance. We performed a narrative review of the social licence as presented in the biomedical literature. We used a systematic search and selection process, followed by a critical conceptual analysis. The systematic search resulted in nine publications. Our conceptual analysis aims to clarify how societal permission can be granted to health research projects which rely upon the reuse and/or linkage of health data. These activities may be morally demanding. For these types of activities, a moral legitimation, beyond the limits of law, may need to be sought in order to preserve trust. Our analysis indicates that a social licence encourages us to recognise a broad range of stakeholder interests and perspectives in data-intensive health research. This is especially true for patients contributing data. Incorporating such a practice paves the way towards an ethical governance, based upon trust. Public engagement that involves patients from the start is called for to strengthen this social licence. There are several merits to using the concept of social licence as a guideline for ethical governance. Firstly, it fits the novel scale of data-related risks; secondly, it focuses attention on trustworthiness; and finally, it offers co-creation as a way forward. Greater trust can be achieved in the governance of data-intensive health research by highlighting strategic dialogue with both patients contributing the data, and the public in general. This should ultimately contribute to a more ethical practice of governance.</t>
  </si>
  <si>
    <t>Genetic insights into biological mechanisms governing human ovarian ageing.</t>
  </si>
  <si>
    <t>Ruth, Katherine S; Day, Felix R; Hussain, Jazib; Martínez-Marchal, Ana; Aiken, Catherine E; Azad, Ajuna; Thompson, Deborah J; Knoblochova, Lucie; Abe, Hironori; Tarry-Adkins, Jane L; Gonzalez, Javier Martin; Fontanillas, Pierre; Claringbould, Annique; Bakker, Olivier B; Sulem, Patrick; Walters, Robin G; Terao, Chikashi; Turon, Sandra; Horikoshi, Momoko; Lin, Kuang; Onland-Moret, N Charlotte; Sankar, Aditya; Hertz, Emil Peter Thrane; Timshel, Pascal N; Shukla, Vallari; Borup, Rehannah; Olsen, Kristina W; Aguilera, Paula; Ferrer-Roda, Mònica; Huang, Yan; Stankovic, Stasa; Timmers, Paul R H J; Ahearn, Thomas U; Alizadeh, Behrooz Z; Naderi, Elnaz; Andrulis, Irene L; Arnold, Alice M; Aronson, Kristan J; Augustinsson, Annelie; Bandinelli, Stefania; Barbieri, Caterina M; Beaumont, Robin N; Becher, Heiko; Beckmann, Matthias W; Benonisdottir, Stefania; Bergmann, Sven; Bochud, Murielle; Boerwinkle, Eric; Bojesen, Stig E; Bolla, Manjeet K; Boomsma, Dorret I; Bowker, Nicholas; Brody, Jennifer A; B</t>
  </si>
  <si>
    <t>https://pubmed.ncbi.nlm.nih.gov/34349265</t>
  </si>
  <si>
    <t>Reproductive longevity is essential for fertility and influences healthy ageing in women&lt;sup&gt;1,2&lt;/sup&gt;, but insights into its underlying biological mechanisms and treatments to preserve it are limited. Here we identify 290 genetic determinants of ovarian ageing, assessed using normal variation in age at natural menopause (ANM) in about 200,000 women of European ancestry. These common alleles were associated with clinical extremes of ANM; women in the top 1% of genetic susceptibility have an equivalent risk of premature ovarian insufficiency to those carrying monogenic FMR1 premutations&lt;sup&gt;3&lt;/sup&gt;. The identified loci implicate a broad range of DNA damage response (DDR) processes and include loss-of-function variants in key DDR-associated genes. Integration with experimental models demonstrates that these DDR processes act across the life-course to shape the ovarian reserve and its rate of depletion. Furthermore, we demonstrate that experimental manipulation of DDR pathways highlighted by human genetics increases fertility and extends reproductive life in mice. Causal inference analyses using the identified genetic variants indicate that extending reproductive life in women improves bone health and reduces risk of type 2 diabetes, but increases the risk of hormone-sensitive cancers. These findings provide insight into the mechanisms that govern ovarian ageing, when they act, and how they might be targeted by therapeutic approaches to extend fertility and prevent disease.</t>
  </si>
  <si>
    <t>Flaws in the Development and Validation of a Coronavirus Disease 2019 Prediction Model.</t>
  </si>
  <si>
    <t>Collins, Gary S; Riley, Richard D; van Smeden, Maarten</t>
  </si>
  <si>
    <t>https://pubmed.ncbi.nlm.nih.gov/32936916</t>
  </si>
  <si>
    <t>Patient Preferences for Lung Cancer Treatments: A Study Protocol for a Preference Survey Using Discrete Choice Experiment and Swing Weighting.</t>
  </si>
  <si>
    <t>Monzani, Dario; Petrocchi, Serena; Oliveri, Serena; Veldwijk, Jorien; Janssens, Rosanne; Bailo, Luca; Smith, Meredith Y; Smith, Ian; Schoefs, Elise; Nackaerts, Kristiaan; Vandevelde, Marie; Louis, Evelyne; Decaluwé, Herbert; De Leyn, Paul; Declerck, Hanne; Katz, Eva G; Petrella, Francesco; Casiraghi, Monica; Durosini, Ilaria; Galli, Giulia; Garassino, Marina Chiara; de Wit, G Ardine; Pravettoni, Gabriella; Huys, Isabelle</t>
  </si>
  <si>
    <t>https://pubmed.ncbi.nlm.nih.gov/34409049</t>
  </si>
  <si>
    <t>&lt;b&gt;Background:&lt;/b&gt; Advanced treatment options for non-small cell lung cancer (NSCLC) consist of immunotherapy, chemotherapy, or a combination of both. Decisions surrounding NSCLC can be considered as preference-sensitive because multiple treatments exist that vary in terms of mode of administration, treatment schedules, and benefit-risk profiles. As part of the IMI PREFER project, we developed a protocol for an online preference survey for NSCLC patients exploring differences in preferences according to patient characteristics (preference heterogeneity). Moreover, this study will evaluate and compare the use of two different preference elicitation methods, the discrete choice experiment (DCE) and the swing weighting (SW) task. Finally, the study explores how demographic (i.e., age, gender, and educational level) and clinical (i.e., cancer stage and line of treatment) information, health literacy, health locus of control, and quality of life may influence or explain patient preferences and the usefulness of a digital interactive tool in providing information on preference elicitation tasks according to patients. &lt;b&gt;Methods:&lt;/b&gt; An online survey will be implemented with the aim to recruit 510 NSCLC patients in Belgium and Italy. Participants will be randomized 50:50 to first receive either the DCE or the SW. The survey will also collect information on participants' disease-related status, health locus of control, health literacy, quality of life, and perception of the educational tool. &lt;b&gt;Discussion:&lt;/b&gt; This protocol outlines methodological and practical steps to quantitatively elicit and study patient preferences for NSCLC treatment alternatives. Results from this study will increase the understanding of which treatment aspects are most valued by NSCLC patients to inform decision-making in drug development, regulatory approval, and reimbursement. Methodologically, the comparison between the DCE and the SW task will be valuable to gain information on how these preference methods perform against each other in eliciting patient preferences. Overall, this protocol may assist researchers, drug developers, and decision-makers in designing quantitative patient preferences into decision-making along the medical product life cycle.</t>
  </si>
  <si>
    <t>Antithrombotic Therapy for VTE Disease: Second Update of the CHEST Guideline and Expert Panel Report.</t>
  </si>
  <si>
    <t>Stevens, Scott M; Woller, Scott C; Kreuziger, Lisa Baumann; Bounameaux, Henri; Doerschug, Kevin; Geersing, Geert-Jan; Huisman, Menno V; Kearon, Clive; King, Christopher S; Knighton, Andrew J; Lake, Erica; Murin, Susan; Vintch, Janine R E; Wells, Philip S; Moores, Lisa K</t>
  </si>
  <si>
    <t>https://pubmed.ncbi.nlm.nih.gov/34352278</t>
  </si>
  <si>
    <t>This is the 2nd update to the 9th edition of these guidelines. We provide recommendations on 17 PICO (Population, Intervention, Comparator, Outcome) questions, four of which have not been addressed previously. We generate strong and weak recommendations based on high-, moderate-, and low-certainty evidence, using GRADE (Grading of Recommendations, Assessment, Development, and Evaluation) methodology. The panel generated 29 guidance statements, 13 of which are graded as strong recommendations, covering aspects of antithrombotic management of VTE from initial management through secondary prevention and risk reduction of postthrombotic syndrome. Four new guidance statements have been added that did not appear in the 9th edition (2012) or 1st update (2016). Eight statements have been substantially modified from the 1st update. New evidence has emerged since 2016 that further informs the standard of care for patients with VTE. Substantial uncertainty remains regarding important management questions, particularly in limited disease and special patient populations.</t>
  </si>
  <si>
    <t>Executive Summary: Antithrombotic Therapy for VTE Disease: Second Update of the CHEST Guideline and Expert Panel Report.</t>
  </si>
  <si>
    <t>Stevens, Scott M; Woller, Scott C; Baumann Kreuziger, Lisa; Bounameaux, Henri; Doerschug, Kevin; Geersing, Geert-Jan; Huisman, Menno V; Kearon, Clive; King, Christopher S; Knighton, Andrew J; Lake, Erica; Murin, Susan; Vintch, Janine R E; Wells, Philip S; Moores, Lisa K</t>
  </si>
  <si>
    <t>https://pubmed.ncbi.nlm.nih.gov/34352279</t>
  </si>
  <si>
    <t>Shifting toward a healthier dietary pattern through nudging and pricing strategies: A secondary analysis of a randomized virtual supermarket experiment.</t>
  </si>
  <si>
    <t>Stuber, Josine M; Hoenink, Jody C; Beulens, Joline W J; Mackenbach, Joreintje D; Lakerveld, Jeroen</t>
  </si>
  <si>
    <t>https://pubmed.ncbi.nlm.nih.gov/33829225</t>
  </si>
  <si>
    <t>Nudging and salient pricing are promising strategies to promote healthy food purchases, but it is possible their effects differ across food groups. To investigate in which food groups nudging and/or pricing strategies most effectively changed product purchases and resulted in within-food groups substitutions or spillover effects. In total, 318 participants successfully completed a web-based virtual supermarket experiment in the Netherlands. We conducted a secondary analysis of a mixed randomized experiment consisting of 5 conditions (within subject) and 3 arms (between subject) to investigate the single and combined effects of nudging (e.g., making healthy products salient), taxes (25% price increase), and/or subsidies (25% price decrease) across food groups (fruit and vegetables, grains, dairy, protein products, fats, beverages, snacks, and other foods). Generalized linear mixed models were used to estimate the incidence rate ratios and 95% CIs for changes in the number of products purchased. Compared with the control condition, the combination of subsidies on healthy products and taxes on unhealthy products in the nudging and price salience condition was overall the most effective, as the number of healthy purchases from fruit and vegetables increased by 9% [incidence rate ratio (IRR) = 1.09; 95% CI: 1.02, 1.18], grains by 16% (IRR = 1.16; 95% CI: 1.05, 1.28), and dairy by 58% (IRR = 1.58; 95% CI: 1.31, 1.89), whereas the protein and beverage purchases did not significantly change. Regarding unhealthy purchases, grains decreased by 39% (IRR = 0.72; 95% CI: 0.63, 0.82) and dairy by 30% (IRR = 0.77; 95% CI: 0.68, 0.87), whereas beverage and snack purchases did not significantly change. The groups of grains and dairy showed within-food group substitution patterns toward healthier products. Beneficial spillover effects to minimally targeted food groups were seen for unhealthy proteins (IRR = 0.81; 95% CI: 0.73, 0.91). Nudging and salient pricing strategies have a differential effect on purchases of a variety of food groups. The largest effects were found for dairy and grains, which may therefore be the most promising food groups to target in order to achieve healthier purchases. The randomized trial on which the current secondary analyses were based is registered in the Dutch trial registry (NTR7293; www.trialregister.nl).</t>
  </si>
  <si>
    <t>Prediction models: stepwise development and simultaneous validation is a step back.</t>
  </si>
  <si>
    <t>Heinze, Georg; van Smeden, Maarten; Wynants, Laure; Steyerberg, Ewout; van Calster, Ben</t>
  </si>
  <si>
    <t>https://pubmed.ncbi.nlm.nih.gov/34348179</t>
  </si>
  <si>
    <t>Perioperative Systemic Therapy vs Cytoreductive Surgery and Hyperthermic Intraperitoneal Chemotherapy Alone for Resectable Colorectal Peritoneal Metastases: A Phase 2 Randomized Clinical Trial.</t>
  </si>
  <si>
    <t>Rovers, Koen P; Bakkers, Checca; Nienhuijs, Simon W; Burger, Jacobus W A; Creemers, Geert-Jan M; Thijs, Anna M J; Brandt-Kerkhof, Alexandra R M; Madsen, Eva V E; van Meerten, Esther; Tuynman, Jurriaan B; Kusters, Miranda; Versteeg, Kathelijn S; Aalbers, Arend G J; Kok, Niels F M; Buffart, Tineke E; Wiezer, Marinus J; Boerma, Djamila; Los, Maartje; de Reuver, Philip R; Bremers, Andreas J A; Verheul, Henk M W; Kruijff, Schelto; de Groot, Derk Jan A; Witkamp, Arjen J; van Grevenstein, Wilhelmina M U; Koopman, Miriam; Nederend, Joost; Lahaye, Max J; Kranenburg, Onno; Fijneman, Remond J A; van 't Erve, Iris; Snaebjornsson, Petur; Hemmer, Patrick H J; Dijkgraaf, Marcel G W; Punt, Cornelis J A; Tanis, Pieter J; de Hingh, Ignace H J T; ,</t>
  </si>
  <si>
    <t>https://pubmed.ncbi.nlm.nih.gov/34009291</t>
  </si>
  <si>
    <t>To date, no randomized clinical trials have investigated perioperative systemic therapy relative to cytoreductive surgery and hyperthermic intraperitoneal chemotherapy (CRS-HIPEC) alone for resectable colorectal peritoneal metastases (CPM). To assess the feasibility and safety of perioperative systemic therapy in patients with resectable CPM and the response of CPM to neoadjuvant treatment. An open-label, parallel-group phase 2 randomized clinical trial in all 9 Dutch tertiary centers for the surgical treatment of CPM enrolled participants between June 15, 2017, and January 9, 2019. Participants were patients with pathologically proven isolated resectable CPM who did not receive systemic therapy within 6 months before enrollment. Randomization to perioperative systemic therapy or CRS-HIPEC alone. Perioperative systemic therapy comprised either four 3-week neoadjuvant and adjuvant cycles of CAPOX (capecitabine and oxaliplatin), six 2-week neoadjuvant and adjuvant cycles of FOLFOX (fluorouracil, leucovorin, and oxaliplatin), or six 2-week neoadjuvant cycles of FOLFIRI (fluorouracil, leucovorin, and irinotecan) and either four 3-week adjuvant cycles of capecitabine or six 2-week adjuvant cycles of fluorouracil with leucovorin. Bevacizumab was added to the first 3 (CAPOX) or 4 (FOLFOX/FOLFIRI) neoadjuvant cycles. Proportions of macroscopic complete CRS-HIPEC and Clavien-Dindo grade 3 or higher postoperative morbidity. Key secondary outcomes were centrally assessed rates of objective radiologic and major pathologic response of CPM to neoadjuvant treatment. Analyses were done modified intention-to-treat in patients starting neoadjuvant treatment (experimental arm) or undergoing upfront surgery (control arm). In 79 patients included in the analysis (43 [54%] men; mean [SD] age, 62 [10] years), experimental (n = 37) and control (n = 42) arms did not differ significantly regarding the proportions of macroscopic complete CRS-HIPEC (33 of 37 [89%] vs 36 of 42 [86%] patients; risk ratio, 1.04; 95% CI, 0.88-1.23; P = .74) and Clavien-Dindo grade 3 or higher postoperative morbidity (8 of 37 [22%] vs 14 of 42 [33%] patients; risk ratio, 0.65; 95% CI, 0.31-1.37; P = .25). No treatment-related deaths occurred. Objective radiologic and major pathologic response rates of CPM to neoadjuvant treatment were 28% (9 of 32 evaluable patients) and 38% (13 of 34 evaluable patients), respectively. In this randomized phase 2 trial in patients diagnosed with resectable CPM, perioperative systemic therapy seemed feasible, safe, and able to induce response of CPM, justifying a phase 3 trial. ClinicalTrials.gov Identifier: NCT02758951.</t>
  </si>
  <si>
    <t>How Do Care Transitions Work?: Unraveling the Working Mechanisms of Care Transition Interventions.</t>
  </si>
  <si>
    <t>Zwart, Dorien L M; Schnipper, Jeffrey L; Vermond, Debbie; Bates, David W</t>
  </si>
  <si>
    <t>medical care</t>
  </si>
  <si>
    <t>https://pubmed.ncbi.nlm.nih.gov/34228021</t>
  </si>
  <si>
    <t>Failure of safe care transitions after hospital discharge results in unnecessary worsening of symptoms, extended period of illness or readmission to the hospital. The objective of this study was to add to the understanding of the working of care transition interventions between hospital and home through unraveling the contextual elements and mechanisms that may have played a role in the success of these interventions, and by developing a conceptual model of how these components relate to each other. This was a qualitative study using in-person, semi-structured interviews, based on realist evaluation methods. A total of 26 researchers, designers, administrators, and/or practitioners of both current "leading" care transitions interventions and of less successful care transition intervention studies or practices. The contextual elements and working mechanisms of the different care transition intervention studies or practices. Three main contextual factors (internal environment, external environment, and patient population) and 7 working mechanisms (simplifiying, verifiying, connecting, translating, coaching, monitoring, and anticipating) were found to be relevant to the outcome of care transition interventions. Context, Intervention, Mechanism, and Outcome (CIMO) configurations revealed that, in response to these contextual factors, care transition interventions triggered one or several of the mechanisms, in turn generating outcomes, including a safer care transition. We developed a conceptual model which explains the working of care transition interventions within different contexts, and believe it can help support future successful implementation of care transition interventions.</t>
  </si>
  <si>
    <t>Prevalence and Antimicrobial Resistance of Bacteria in Children With Acute Otitis Media and Ear Discharge: A Systematic Review.</t>
  </si>
  <si>
    <t>Hullegie, Saskia; Venekamp, Roderick P; van Dongen, Thijs M A; Hay, Alastair D; Moore, Michael V; Little, Paul; Schilder, Anne G M; Damoiseaux, Roger A M J</t>
  </si>
  <si>
    <t>https://pubmed.ncbi.nlm.nih.gov/34166300</t>
  </si>
  <si>
    <t>Of children with acute otitis media (AOM), 15%-20% present with acute onset ear discharge due to a spontaneous perforation of the tympanic membrane (AOMd). This review aims to quantify the prevalence and antimicrobial resistance (AMR) status of bacteria in children with AOMd in the pneumococcal conjugate vaccine (PCV) era. Systematic searches were performed in PubMed, EMBASE and Cochrane Library from inception to June 7, 2019. Two reviewers extracted relevant data and assessed risk of bias independently. All English studies reporting any prevalence and/or AMR data of bacterial middle ear isolates from children with AOMd were included. Risk of bias was assessed using the Joanna Briggs Institute Critical Appraisal checklist. Of 4088 unique records retrieved, 19 studies (10,560 children) were included. Overall quality was judged good. Streptococcus pneumoniae (median 26.1%, range 9.1%-47.9%), Haemophilus influenzae (median 18.8%, range 3.9%-55.3%), Staphylococcus aureus (median 12.3%, range 2.3%-34.9%) and Streptococcus pyogenes (median 11.8%, range 1.0%-30.9%) were the most prevalent bacteria. In 76.0% (median, range 48.7%-100.0%, 19 studies, 1,429 children) any bacterium was identified. AMR data were sparse and mainly limited to S. pneumoniae. We found no evidence of a clear shift in the prevalence of bacteria and AMR over time. In children with AOMd, S. pneumoniae and H. influenzae are the 2 predominant bacteria, followed by S. aureus and S. pyogenes in the post-PCV era. AMR data are sparse and no clearly change over time was observed. Ongoing surveillance of the microbiology profile in children with AOMd is warranted to guide antibiotic selection and to assess the impact of children's PCV status.</t>
  </si>
  <si>
    <t>Research within international non-governmental organisation programmes in low and middle-income countries: challenges amid opportunities.</t>
  </si>
  <si>
    <t>Ishaku, Salisu Mohammed; van der Harst, Maria; Warren, Charlotte E; Franx, Arie; Kayode, Gbenga Ayodele; Grobbee, Diederick; Browne, Joyce L</t>
  </si>
  <si>
    <t>https://pubmed.ncbi.nlm.nih.gov/34389627</t>
  </si>
  <si>
    <t>Alcohol and Brain Development in Adolescents and Young Adults: A Systematic Review of the Literature and Advisory Report of the Health Council of the Netherlands.</t>
  </si>
  <si>
    <t>de Goede, Janette; van der Mark-Reeuwijk, Kerstin G; Braun, Kees P; le Cessie, Saskia; Durston, Sarah; Engels, Rutger C M E; Goudriaan, Anna E; Moons, Karel G M; Vollebergh, Wilma A M; de Vries, Taco J; Wiers, Reinout W; Oosterlaan, Jaap</t>
  </si>
  <si>
    <t>https://pubmed.ncbi.nlm.nih.gov/33530096</t>
  </si>
  <si>
    <t>Young people, whose brains are still developing, might entail a greater vulnerability to the effects of alcohol consumption on brain function and development. A committee of experts of the Health Council of the Netherlands evaluated the state of scientific knowledge regarding the question whether alcohol negatively influences brain development in young people. A systematic literature search for prospective studies was performed in PubMed and PsychINFO, for longitudinal studies of adolescents or young adults ranging between 12 and 24 y of age at baseline, investigating the relation between alcohol use and outcome measures of brain structure and activity, cognitive functioning, educational achievement, or alcohol use disorder (AUD), with measures at baseline and follow-up of the outcome of interest. Data were extracted from original articles and study quality was assessed using the Newcastle-Ottawa Scale. A total of 77 studies were included, 31 of which were of sufficient quality in relation to the study objectives. There were indications that the gray matter of the brain develops abnormally in young people who drink alcohol. In addition, the more often young people drink or the younger they start, the higher the risk of developing AUD later in life. The evidence on white matter volume or quality, brain activity, cognitive function, and educational achievement is still limited or unclear. The committee found indications that alcohol consumption can have a negative effect on brain development in adolescents and young adults and entails a risk of later AUD. The committee therefore considers it a wise choice for adolescents and young adults not to drink alcohol.</t>
  </si>
  <si>
    <t>Search for Displaced Leptons in sqrt[s]=13  TeV pp Collisions with the ATLAS Detector.</t>
  </si>
  <si>
    <t>Aad, G; Abbott, B; Abbott, D C; Abed Abud, A; Abeling, K; Abhayasinghe, D K; Abidi, S H; AbouZeid, O S; Abraham, N L; Abramowicz, H; Abreu, H; Abulaiti, Y; Acharya, B S; Achkar, B; Adam, L; Adam Bourdarios, C; Adamczyk, L; Adamek, L; Adelman, J;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Amrouche, C S; Anastopoulos, C; Andari, N; Andeen, T;</t>
  </si>
  <si>
    <t>https://pubmed.ncbi.nlm.nih.gov/34397238</t>
  </si>
  <si>
    <t>A search for charged leptons with large impact parameters using 139  fb^{-1} of sqrt[s]=13  TeV pp collision data from the ATLAS detector at the LHC is presented, addressing a long-standing gap in coverage of possible new physics signatures. Results are consistent with the background prediction. This search provides unique sensitivity to long-lived scalar supersymmetric lepton partners (sleptons). For lifetimes of 0.1 ns, selectron, smuon, and stau masses up to 720, 680, and 340  GeV, respectively, are excluded at 95% confidence level, drastically improving on the previous best limits from LEP.</t>
  </si>
  <si>
    <t>Do chronic heart failure symptoms interact with burden of treatment? Qualitative literature systematic review.</t>
  </si>
  <si>
    <t>Austin, Rosalynn C; Schoonhoven, Lisette; Clancy, Mike; Richardson, Alison; Kalra, Paul R; May, Carl R</t>
  </si>
  <si>
    <t>https://pubmed.ncbi.nlm.nih.gov/34330858</t>
  </si>
  <si>
    <t>Explore the interaction between patient experienced symptoms and burden of treatment (BoT) theory in chronic heart failure (CHF). BoT explains how dynamic patient workload (self-care) and their capacity (elements influencing capability), impacts on patients' experience of illness. Review of qualitative research studies. CINAHL, EMBASE, MEDLINE, PsycINFO, Scopus and Web of Science were searched between January 2007 and 2020. Journal articles in English, reporting qualitative studies on lived experience of CHF. 35 articles identified related to the lived experience of 720 patients with CHF. Symptoms with physical and emotional characteristics were identified with breathlessness, weakness, despair and anxiety most prevalent. Identifying symptoms' interaction with BoT framework identified three themes: (1) Symptoms appear to infrequently drive patients to engage in self-care (9.2% of codes), (2) symptoms appear to impede (70.5% of codes) and (3) symptoms form barriers to self-care engagement (20.3% of codes). Symptoms increase illness workload, making completing tasks more difficult; simultaneously, symptoms alter a patient's capacity, through a reduction in their individual capabilities and willingness to access external resources (ie, hospitals) often with devasting impact on patients' lives. Symptoms appear to be integral in the patient experience of CHF and BoT, predominately acting to impede patients' efforts to engage in self-care. Symptoms alter illness workload, increasing complexity and hardship. Patients' capacity is reduced by symptoms, in what they can do and their willingness to ask for help. Symptoms can lower their perceived self-value and roles within society. Symptoms appear to erode a patient's agency, decreasing self-value and generalised physical deconditioning leading to affective paralysis towards self-care regimens. Together describing a state of overwhelming BoT which is thought to be a contributor to poor engagement in self-care and may provide new insights into the perceived poor adherence to self-care in the CHF population. CRD42017077487.</t>
  </si>
  <si>
    <t>Diagnostic accuracy of Ara h 2 for detecting peanut allergy in children.</t>
  </si>
  <si>
    <t>Kansen, Hannah M; van Erp, Francine C; Meijer, Yolanda; Gorissen, Dianne M W; Stadermann, Marike; van Velzen, Maartje F; Keusters, Willem R; Frederix, Geert W J; Knulst, André C; van der, Cornelis K; Le, Thuy-My</t>
  </si>
  <si>
    <t>https://pubmed.ncbi.nlm.nih.gov/34288182</t>
  </si>
  <si>
    <t>Specific IgE to Ara h 2 is a diagnostic test for peanut allergy which may reduce the need for double-blind placebo-controlled food challenges (DBPCFC); however, guidance for using Ara h 2 in place of DBPCFCs has not been validated. To prospectively evaluate 1) diagnostic accuracy of previously published Ara h 2 cut-off levels to diagnose peanut allergy in children and 2) costs. A consecutive series of 150 children age 3.5 to 18 years was evaluated in secondary and tertiary settings in the Netherlands. sIgE to Ara h 2 was the index test, and oral peanut ingestion was the reference test. Oral peanut ingestion was home or supervised introduction for Ara h 2 ≤ 0.1, DBPCFC for 0.1-5.0 and open food challenge for ≥5.0. Costs were calculated using financial healthcare data. A conclusive reference test was performed in 113 children (75%). Sixty-four children (57%) had peanut allergy, as confirmed by a DBPCFC (27/47) or an open challenge (37/50). Forty-nine children (43%) were considered peanut-tolerant after peanut introduction (19/19), a DBPCFC (20/47) or an open challenge (10/50). Area under the curve for Ara h 2 was 0.94 (95% CI 0.90-0.98). The diagnostic flow chart correctly classified 26/26 (100%; 84-100) of children with Ara h 2 ≤ 0.1 as peanut-tolerant and 34/35 (97%; 83-100) of children with Ara h 2 ≥ 5.0 as peanut-allergic. At a cut-off of ≤0.1 and ≥5.0, a sensitivity of respectively 100% (93-100) and 53% (38-67) was observed and a specificity of 53% (38-67) and 98% (87-100). Mean annual costs of the flow chart were estimated as €320-€636 per patient lower than following national allergy guidelines. In this diagnostic accuracy study, which did not take into account pretest probability, we have validated previously published Ara h 2 cut-off levels which are associated with peanut tolerance and allergy.</t>
  </si>
  <si>
    <t>Postoperative circulating tumour DNA is associated with pathologic response and recurrence-free survival after resection of colorectal cancer liver metastases.</t>
  </si>
  <si>
    <t>Bolhuis, Karen; van 't Erve, Iris; Mijnals, Clinton; Delis-Van Diemen, Pien M; Huiskens, Joost; Komurcu, Aysun; Lopez-Yurda, Marta; van den Broek, Daan; Swijnenburg, Rutger-Jan; Meijer, Gerrit A; Punt, Cornelis J A; Fijneman, Remond J A</t>
  </si>
  <si>
    <t>https://pubmed.ncbi.nlm.nih.gov/34333237</t>
  </si>
  <si>
    <t>Recurrence rates after resection of colorectal cancer liver metastases (CRLM) are high and correlate with worse survival. Postoperative circulating tumour DNA (ctDNA) is a promising prognostic biomarker. Focusing on patients with resected CRLM, this study aimed to evaluate the association between the detection of postoperative ctDNA, pathologic response and recurrence-free survival (RFS). Twenty-three patients were selected from an ongoing phase-3 trial who underwent resection of RAS-mutant CRLM after induction systemic treatment. CtDNA analysis was performed by droplet digital PCR using blood samples collected at baseline, before and after resection. Pathologic response of CRLM was determined via the Tumour Regression Grading system. With a median follow-up of 19.6 months, the median RFS for patients with detectable (N = 6, [26%]) and undetectable (N = 17, [74%]) postoperative ctDNA was 4.8 versus 12.1 months, respectively. Among 21 patients with available tumour tissue, pathologic response in patients with detectable compared to undetectable postoperative ctDNA was found in one of six (17%) and 15 of 15 (100%) patients, respectively (p &lt; 0.001). In univariable Cox regression analyses both postoperative detectable ctDNA (HR = 3.3, 95%CI = 1.1-9.6, p = 0.03) and pathologic non-response (HR = 4.6, 95%CI = 1.4-15, p = 0.01) were associated with poorer RFS and were strongly correlated (r = 0.88, p &lt; 0.001). After adjusting for clinical characteristics in pairwise multivariable analyses, postoperative ctDNA status remained associated with RFS. The detection of postoperative ctDNA after secondary resection of CRLM is a promising prognostic factor for RFS and appeared to be highly correlated with pathologic response. None.</t>
  </si>
  <si>
    <t>Primary care for patients with respiratory tract infection before and early on in the COVID-19 pandemic: an observational study in 16 European countries.</t>
  </si>
  <si>
    <t>van der Velden, Alike W; Bax, Eva A; Bongard, Emily; Munck Aabenhus, Rune; Anastasaki, Marilena; Anthierens, Sibyl; Balan, Anca; Böhmer, Femke; Bruno, Pascale; Chlabicz, Slawomir; Coenen, Samuel; Colliers, Annelies; Emmerich, Susanne; Garcia-Sangenis, Ana; Ghazaryan, Hrachuhi; van der Linde, Sanne R; Malania, Lile; Pauer, József; Tomacinschii, Angela; Tonkin-Crine, Sarah; Vellinga, Akke; Zastavnyy, Ihor; Verheij, Theo; Goossens, Herman; Butler, Christopher C</t>
  </si>
  <si>
    <t>https://pubmed.ncbi.nlm.nih.gov/34326052</t>
  </si>
  <si>
    <t>To describe primary health care (consultation characteristics and management) for patients contacting their general practitioner (GP) with a respiratory tract infection (RTI) early on in the COVID-19 pandemic in contrasting European countries, with comparison to prepandemic findings. Primary care in 16 countries (79 practices), when no routine SARS-CoV-2 testing was generally available. Before (n=4376) and early in the pandemic (n=3301), patients with RTI symptoms were registered in this prospective audit study. Consultation characteristics (type of contact and use of PPE) and management characteristics (clinical assessments, diagnostic testing, prescribing, advice and referral) were registered. Differences in these characteristics between countries and between pandemic and prepandemic care are described. Care for patients with RTIs rapidly switched to telephone/video consultations (10% in Armenia, 91% in Denmark), and when consultations were face-to-face, GPs used PPE during 97% (95% CI 96% to 98%) of contacts. Laboratory testing for SARS-CoV-2 in primary care patients with RTIs was rapidly implemented in Denmark (59%) and Germany (31%), while overall testing for C reactive protein decreased. The proportion of patients prescribed antibiotics varied considerably between countries (3% in Belgium, 48% in UK) and was lower during the pandemic compared with the months before, except for Greece, Poland and UK. GPs provided frequent and varied COVID-related advice and more frequently scheduled a follow-up contact (50%, 95% CI 48% to 52%). GPs reported a slightly higher degree of confidence in the likely effectiveness of their management in face-to-face (73% (very) confident, 95% CI 71% to 76%) than in virtual consultations (69%, 95% CI 67% to 71%). Despite between-country variation in consultation characteristics, access to SARS-CoV-2 laboratory testing and medication prescribing, GPs reported a high degree of confidence in managing their patients with RTIs in the emerging pandemic. Insight in the highly variable pandemic responses, as measured in this multicountry audit, can aid in fine-tuning national action and in coordinating a pan-European response during future pandemic threats.</t>
  </si>
  <si>
    <t>Physicians' Opinion and Practice With the Continuous Use of Sedatives in the Last Days of Life.</t>
  </si>
  <si>
    <t>Heijltjes, Madelon T; Morita, Tatsuya; Mori, Masanori; Heckel, Maria; Klein, Carsten; Stiel, Stephanie; Miccinesi, Guido; Deliens, Luc; Robijn, Lenzo; Stone, Patrick; Sykes, Nigel; Hui, David; Krishna, Lalit; van Delden, Johannes J M; van der Heide, Agnes; Rietjens, Judith A C</t>
  </si>
  <si>
    <t>https://pubmed.ncbi.nlm.nih.gov/34333097</t>
  </si>
  <si>
    <t>There are few international studies about the continuous use of sedatives (CUS) in the last days of life. We aim to describe the experiences and opinions regarding CUS of physicians caring for terminally ill patients in seven countries. Questionnaire study about practices and experiences with CUS in the last days of life among physicians caring for terminally ill patients in Belgium (n = 175), Germany (n = 546), Italy (n = 214), Japan (n = 513), the Netherlands (n = 829), United Kingdom (n = 114) and Singapore (n = 21). The overall response rate was 22%. Of the respondents, 88-99% reported that they had clinical experience of CUS in the last 12 months. More than 90% of respondents indicated that they mostly used midazolam for sedation. The use of sedatives to relieve suffering in the last days of life was considered acceptable in cases of physical suffering (87%-99%). This percentage was lower but still substantial in cases of psycho-existential suffering in the absence of physical symptoms (45%-88%). These percentages were lower when the prognosis was at least several weeks (22%-66% for physical suffering and 5%-42% for psycho-existential suffering). Of the respondents, 10% or less agreed with the statement that CUS is unnecessary because suffering can be alleviated with other measures. A substantial proportion (41%-95%) agreed with the statement that a competent patient with severe suffering has the right to demand the use of sedatives in the last days of life. Many respondents in our study considered CUS acceptable for the relief of physical and psycho-existential suffering in the last days of life. The acceptability was lower regarding CUS for psycho-existential suffering and regarding CUS for patients with a longer life expectancy.</t>
  </si>
  <si>
    <t>Role of Up-Front Primary Tumor Resection and Tumor Sidedness in the Survival of Synchronous Metastatic Colon Cancer Patients.</t>
  </si>
  <si>
    <t>van der Kruijssen, Dave E W; van Rooijen, Karlijn L; Kurk, Sophie A; de Wilt, Johannes H W; Punt, Cornelis J A; Vink, Geraldine R; Elias, Sjoerd G; Koopman, Miriam</t>
  </si>
  <si>
    <t>digestive surgery</t>
  </si>
  <si>
    <t>https://pubmed.ncbi.nlm.nih.gov/34320508</t>
  </si>
  <si>
    <t>Uncertainty exists about a possible survival benefit of primary tumor resection (PTR) in synchronous metastatic colon cancer (mCC). Since sidedness of the primary tumor is regarded as an important prognostic factor, our objective was to study the interaction between PTR and sidedness in synchronous mCC. In this retrospective study, we used data from 2 first-line phase 3 randomized controlled trials (RCTs). A mixed Cox regression model was used to study the multiplicative interaction between PTR and sidedness. We adjusted for age, treatment arm, WHO performance status, number of affected organs by metastases, serum lactate dehydrogenase, and year of enrollment. We found that PTR is associated with better survival in both right-sided (hazard ratio [HR] 0.59 [95% confidence interval 0.42-0.8 2]) and left-sided mCC (HR 0.70 [95% confidence interval 0.52-0.93]). The interaction between PTR and sidedness was not significant (p = 0.45). Our data suggest that the prognostic value of PTR is independent of sidedness. Validation of these results will be performed in ongoing RCTs.</t>
  </si>
  <si>
    <t>The Influence of Severe Radiation-Induced Lymphopenia on Overall Survival in Solid Tumors: A Systematic Review and Meta-Analysis.</t>
  </si>
  <si>
    <t>Damen, Pim J J; Kroese, Tiuri E; van Hillegersberg, Richard; Schuit, Ewoud; Peters, Max; Verhoeff, Joost J C; Lin, Steven H; van Rossum, Peter S N</t>
  </si>
  <si>
    <t>https://pubmed.ncbi.nlm.nih.gov/34329738</t>
  </si>
  <si>
    <t>Emerging evidence suggests a detrimental prognostic association between radiation-induced lymphopenia (RIL) and pathologic response, progression-free survival, and overall survival (OS) in patients who undergo radiation therapy for cancer. The aim of this study was to systematically review and meta-analyze the prognostic impact of RIL on OS in patients with solid tumors. PubMed/MEDLINE and Embase were systematically searched. The analysis included intervention and prognostic studies that reported on the prognostic relationship between RIL and survival in patients with solid tumors. An overall pooled adjusted hazard ratio (aHR) was calculated using a random-effects model. Subgroup analyses for different patient-, tumor-, treatment-, and study-related characteristics were performed using meta-regression. Pooling of 21 cohorts within 20 eligible studies demonstrated a statistically significant association between OS and grade ≥3 versus grade 0-2 RIL (n = 16; pooled aHR, 1.65; 95% confidence interval [CI], 1.43-1.90) and grade 4 RIL versus grade 0-3 (n = 5; aHR, 1.53; 95% CI, 1.24-1.90). Moderate heterogeneity among aHRs was observed, mostly attributable to overestimated aHRs in 7 studies likely subject to model-overfitting. Subgroup analysis showed significant prognostic impact of grade ≥3 RIL in 4 brain tumor (aHR, 1.63; 95% CI, 1.06-2.51), 4 lung cancer (aHR, 1.52; 95% CI, 1.01-2.29), and 3 pancreatic cancer (aHR, 1.92; 95% CI, 1.10-3.36) cohorts. This meta-analysis demonstrates a significant detrimental prognostic association between grade ≥3 lymphopenia and OS in patients receiving radiation therapy for solid tumors. This finding appears consistent for tumors of the brain, thorax, and upper abdomen and provides an imperative to further elucidate the potential survival benefit of lymphopenia-mitigating strategies.</t>
  </si>
  <si>
    <t>Interventions for preventing falls and fall-related fractures in community-dwelling older adults: A systematic review and network meta-analysis.</t>
  </si>
  <si>
    <t>Dautzenberg, Lauren; Beglinger, Shanthi; Tsokani, Sofia; Zevgiti, Stella; Raijmann, Renee C M A; Rodondi, Nicolas; Scholten, Rob J P M; Rutjes, Anne W S; Di Nisio, Marcello; Emmelot-Vonk, Marielle; Tricco, Andrea C; Straus, Sharon E; Thomas, Sonia; Bretagne, Lisa; Knol, Wilma; Mavridis, Dimitris; Koek, Huiberdina L</t>
  </si>
  <si>
    <t>journal of the american geriatrics society</t>
  </si>
  <si>
    <t>https://pubmed.ncbi.nlm.nih.gov/34318929</t>
  </si>
  <si>
    <t>To compare the effectiveness of single, multiple, and multifactorial interventions to prevent falls and fall-related fractures in community-dwelling older persons. MEDLINE, Embase, and Cochrane Central Register of Controlled Trials were systematically searched for randomized controlled trials (RCTs) evaluating the effectiveness of fall prevention interventions in community-dwelling adults aged ≥65 years, from inception until February 27, 2019. Two large RCTs (published in 2020 after the search closed) were included in post hoc analyses. Pairwise meta-analysis and network meta-analysis (NMA) were conducted. NMA including 192 studies revealed that the following single interventions, compared with usual care, were associated with reductions in number of fallers: exercise (risk ratio [RR] 0.83; 95% confidence interval [CI] 0.77-0.89) and quality improvement strategies (e.g., patient education) (RR 0.90; 95% CI 0.83-0.98). Exercise as a single intervention was associated with a reduction in falls rate (RR 0.79; 95% CI 0.73-0.86). Common components of multiple interventions significantly associated with a reduction in number of fallers and falls rate were exercise, assistive technology, environmental assessment and modifications, quality improvement strategies, and basic falls risk assessment (e.g., medication review). Multifactorial interventions were associated with a reduction in falls rate (RR 0.87; 95% CI 0.80-0.95), but not with a reduction in number of fallers (RR 0.95; 95% CI 0.89-1.01). The following single interventions, compared with usual care, were associated with reductions in number of fall-related fractures: basic falls risk assessment (RR 0.60; 95% CI 0.39-0.94) and exercise (RR 0.62; 95% CI 0.42-0.90). In keeping with Tricco et al. (2017), several single and multiple fall prevention interventions are associated with fewer falls. In addition to Tricco, we observe a benefit at the NMA-level of some single interventions on preventing fall-related fractures.</t>
  </si>
  <si>
    <t>Incidence and management of acute otitis media in adults: a primary care-based cohort study.</t>
  </si>
  <si>
    <t>Rijk, Merijn H; Hullegie, Saskia; Schilder, Anne G M; Kortekaas, Marlous F; Damoiseaux, Roger A M J; Verheij, Theo J M; Venekamp, Roderick P</t>
  </si>
  <si>
    <t>https://pubmed.ncbi.nlm.nih.gov/33506857</t>
  </si>
  <si>
    <t>Although primarily considered a childhood disease, acute otitis media (AOM) also occurs in adults. Data on the burden of this condition in adults are, however, scarce. To explore the primary care incidence and current management of AOM in adults. All patients aged 15 and older included in the routine health care database of the Julius General Practitioners' Network were followed from 2015 to 2018 (contributing to a total of 1 261 575 person-years). We extracted data on AOM episodes, AOM-related consultations, comorbidities, and antibiotic and analgesic prescriptions. Five thousand three hundred and fifty-eight patients experienced one or more AOM episodes (total number of AOM episodes: 6667; mean 1.2 per patient). The overall AOM incidence was 5.3/1000 person-years and was fairly stable over the study period. Incidence was particularly high in atopic patients (7.3/1000 person-years) and declined with age (from 7.1 in patients 15-39 years of age to 2.7/1000 person-years in those aged 64 years and older). Oral antibiotics, predominantly amoxicillin, were prescribed in 46%, and topical antibiotics in 21% of all episodes. Over the past years, the incidence of AOM in adults in primary care has been stable. Oral antibiotic prescription rates resemble those in children with AOM, whereas a remarkably high topical antibiotic prescription rate was observed. Future prognostic research should inform on the need and feasibility of prospective studies into the best management strategy in this condition.</t>
  </si>
  <si>
    <t>Innovating Clinical Trials for Amyotrophic Lateral Sclerosis: Challenging the Established Order.</t>
  </si>
  <si>
    <t>van Eijk, Ruben P A; Nikolakopoulos, Stavros; Roes, Kit C B; Kendall, Lindsay; Han, Steve S; Lavrov, Arseniy; Epstein, Noam; Kliest, Tessa; de Jongh, Adriaan D; Westeneng, Henk-Jan; Al-Chalabi, Ammar; Van Damme, Philip; Hardiman, Orla; Shaw, Pamela J; McDermott, Christopher J; Eijkemans, Marinus J C; van den Berg, Leonard H</t>
  </si>
  <si>
    <t>https://pubmed.ncbi.nlm.nih.gov/34315786</t>
  </si>
  <si>
    <t>Development of effective treatments for amyotrophic lateral sclerosis (ALS) has been hampered by disease heterogeneity, a limited understanding of underlying pathophysiology, and methodologic design challenges. We have evaluated 2 major themes in the design of pivotal, phase 3 clinical trials for ALS-(1) patient selection and (2) analytical strategy-and discussed potential solutions with the European Medicines Agency. Several design considerations were assessed using data from 5 placebo-controlled clinical trials (n = 988), 4 population-based cohorts (n = 5,100), and 2,436 placebo-allocated patients from the Pooled Resource Open-Access ALS Clinical Trials (PRO-ACT) database. The validity of each proposed design modification was confirmed by means of simulation and illustrated for a hypothetical setting. Compared to classical trial design, the proposed design modifications reduce the sample size by 30.5% and placebo exposure time by 35.4%. By making use of prognostic survival models, one creates a potential to include a larger proportion of the population and maximize generalizability. We propose a flexible design framework that naturally adapts the trial duration when inaccurate assumptions are made at the design stage, such as enrollment or survival rate. In case of futility, the follow-up time is shortened and patient exposure to ineffective treatments or placebo is minimized. For diseases such as ALS, optimizing the use of resources, widening eligibility criteria, and minimizing exposure to futile treatments and placebo is critical to the development of effective treatments. Our proposed design modifications could circumvent important pitfalls and may serve as a blueprint for future clinical trials in this population.</t>
  </si>
  <si>
    <t>Diagnostic accuracy of rapid antigen tests in asymptomatic and presymptomatic close contacts of individuals with confirmed SARS-CoV-2 infection: cross sectional study.</t>
  </si>
  <si>
    <t>Schuit, Ewoud; Veldhuijzen, Irene K; Venekamp, Roderick P; van den Bijllaardt, Wouter; Pas, Suzan D; Lodder, Esther B; Molenkamp, Richard; GeurtsvanKessel, Corine H; Velzing, Jans; Huisman, Robin C; Brouwer, Lieke; Boelsums, Timo L; Sips, Gregorius J; Benschop, Kimberly S M; Hooft, Lotty; van de Wijgert, Janneke H H M; van den Hof, Susan; Moons, Karel G M</t>
  </si>
  <si>
    <t>https://pubmed.ncbi.nlm.nih.gov/34315770</t>
  </si>
  <si>
    <t>To assess the diagnostic test accuracy of two rapid antigen tests in asymptomatic and presymptomatic close contacts of people with SARS-CoV-2 infection on day 5 after exposure. Prospective cross sectional study. Four public health service covid-19 test sites in the Netherlands. 4274 consecutively included close contacts (identified through test-and-trace programme or contact tracing app) aged 16 years or older and asymptomatic for covid-19 when requesting a test. Sensitivity, specificity, and positive and negative predictive values of Veritor System (Beckton Dickinson) and Biosensor (Roche Diagnostics) rapid antigen tests, with reverse-transcriptase polymerase chain reaction (RT-PCR) testing as reference standard. The viral load cut-off above which 95% of people with a positive RT-PCR test result were virus culture positive was used as a proxy of infectiousness. Of 2678 participants tested with Veritor, 233 (8.7%) had a RT-PCR confirmed SARS-CoV-2 infection of whom 149 were also detected by the rapid antigen test (sensitivity 63.9%, 95% confidence interval 57.4% to 70.1%). Of 1596 participants tested with Biosensor, 132 (8.3%) had a RT-PCR confirmed SARS-CoV-2 infection of whom 83 were detected by the rapid antigen test (sensitivity 62.9%, 54.0% to 71.1%). In those who were still asymptomatic at the time of sampling, sensitivity was 58.7% (51.1% to 66.0%) for Veritor (n=2317) and 59.4% (49.2% to 69.1%) for Biosensor (n=1414), and in those who developed symptoms were 84.2% (68.7% to 94.0%; n=219) for Veritor and 73.3% (54.1% to 87.7%; n=158) for Biosensor. When a viral load cut-off was applied for infectiouness (≥5.2 log10 SARS-CoV-2 E gene copies/mL), the overall sensitivity was 90.1% (84.2% to 94.4%) for Veritor and 86.8% (78.1% to 93.0%) for Biosensor, and 88.1% (80.5% to 93.5%) for Veritor and 85.1% (74.3% to 92.6%) for Biosensor, among those who remained asymptomatic throughout. Specificities were &gt;99%, and positive and negative predictive values were &gt;90% and &gt;95%, for both rapid antigen tests in all analyses. The sensitivities of both rapid antigen tests in asymptomatic and presymptomatic close contacts tested on day 5 onwards after close contact with an index case were more than 60%, increasing to more than 85% after a viral load cut-off was applied as a proxy for infectiousness.</t>
  </si>
  <si>
    <t>Neuro-immune interactions in paclitaxel-induced peripheral neuropathy.</t>
  </si>
  <si>
    <t>Vermeer, Cornelia J C; Hiensch, Anouk E; Cleenewerk, Laurence; May, Anne M; Eijkelkamp, Niels</t>
  </si>
  <si>
    <t>https://pubmed.ncbi.nlm.nih.gov/34313190</t>
  </si>
  <si>
    <t>Paclitaxel is a taxane-based chemotherapeutic agent used as a treatment in breast cancer. There is no effective prevention or treatment strategy for the most common side effect of peripheral neuropathy. In this manuscript, we reviewed the molecular mechanisms that contribute to paclitaxel-induced peripheral neuropathy (PIPN) with an emphasis on immune-related processes. A systematic search of the literature was conducted in PubMed, EMBASE and Cochrane Library. The SYRCLE's risk of bias tool was used to assess internal validity. 156 studies conducted with rodent models were included. The risk of bias was high due to unclear methodology. Paclitaxel induces changes in myelinated axons, mitochondrial dysfunction, and mechanical hypersensitivity by affecting ion channels expression and function and facilitating spinal transmission. Paclitaxel-induced inflammatory responses are important contributors to PIPN. Immune-related processes are an important mechanism contributing to PIPN. Studies in humans that validate these mechanistic data are highly needed to facilitate the development of therapeutic strategies.</t>
  </si>
  <si>
    <t>The role of serum and dietary advanced glycation endproducts in relation to cardiac function and structure: The Hoorn Study.</t>
  </si>
  <si>
    <t>Kremers, Sanne H M; Remmelzwaal, Sharon; Schalkwijk, Casper G; Elders, Petra J M; Stehouwer, Coen D A; van Ballegooijen, Adriana J; Beulens, Joline W J</t>
  </si>
  <si>
    <t>https://pubmed.ncbi.nlm.nih.gov/34518083</t>
  </si>
  <si>
    <t>This study aims to investigate the relationship of serum and dietary advanced glycation endproducts (AGEs) with cardiac function and structure after eight years of follow-up. We included 370 Hoorn Study participants (aged 66.4 ± 6.1, 47% women). Serum protein-bound AGEs [N&lt;sup&gt;ε&lt;/sup&gt;-(carboxymethyl)lysine, N&lt;sup&gt;ε&lt;/sup&gt;-(carboxyethyl)lysine, and pentosidine], as well as echocardiography to assess left atrium volume index (LAVI), left ventricle ejection fraction (LVEF), and left ventricle mass index (LVMI), were measured at baseline and after 8 years of follow-up. Dietary AGEs [N&lt;sup&gt;ε&lt;/sup&gt;-(carboxymethyl)lysine and N&lt;sup&gt;ε&lt;/sup&gt;-(carboxyethyl)lysine] were estimated at baseline with a validated food-frequency questionnaire and an AGEs database. Increased pentosidine [-1.4% (-2.6;-0.2)] and overall serum AGEs Z-scores over time [-2.1% (-3.8;-0.5)] were associated with decreased LVEF at follow-up, adjusted for confounders. Glucose metabolism status was an effect modifier (P-for-interaction = 0.04). In participants with impaired glucose metabolism, but not type 2 diabetes, increased pentosidine was associated with decreased LVEF [-4.2 (-8.0;-0.3)%]. Higher dietary N&lt;sup&gt;ε&lt;/sup&gt;-(carboxyethyl)lysine [1.9 (0.1; 3.7)%] and overall dietary AGEs Z-scores [2.1 (0.1; 4.2)%] were associated with higher LVEF at follow-up. However, prior cardiovascular disease (CVD) was an effect modifier (P = 0.02). We found a stronger, non-significant, association of higher dietary (carboxyethyl)lysine with higher LVEF at follow-up in participants without CVD [2.3 (-0.1; 4.7)%] compared to participants with CVD [0.6 (-2.1; 3.4)%]. Overall serum AGEs were longitudinally associated with impaired systolic function. Future research should focus on including changes in dietary AGEs intake over time and the relation of dietary AGEs with cardiac measures needs to be established in intervention studies using low AGEs diets.</t>
  </si>
  <si>
    <t>Balancing Benefits and Risks of Long-Term Antiplatelet Therapy in Noncardioembolic Transient Ischemic Attack or Stroke.</t>
  </si>
  <si>
    <t>Hilkens, Nina A; Algra, Ale; Diener, Hans Christoph; Bath, Philip M; Csiba, László; Hacke, Werner; Kappelle, L Jaap; Koudstaal, Peter J; Leys, Didier; Mas, Jean-Louis; Sacco, Ralph L; Greving, Jacoba P</t>
  </si>
  <si>
    <t>https://pubmed.ncbi.nlm.nih.gov/34304604</t>
  </si>
  <si>
    <t>Lifelong treatment with antiplatelet drugs is recommended following a transient ischemic attack or ischemic stroke. Bleeding complications may offset the benefit of antiplatelet drugs in patients at increased risk of bleeding and low risk of recurrent ischemic events. We aimed to investigate the net benefit of antiplatelet treatment according to an individuals’ bleeding risk. We pooled individual patient data from 6 randomized clinical trials (CAPRIE [Clopidogrel Versus Aspirin in Patients at Risk of Ischemic Events], ESPS-2 [European Stroke Prevention Study-2], MATCH [Management of Atherothrombosis With Clopidogrel in High-Risk Patients], CHARISMA [Clopidogrel for High Atherothrombotic Risk and Ischemic Stabilization, Management, and Avoidance], ESPRIT [European/Australasian Stroke Prevention in Reversible Ischemia Trial], and PRoFESS [Prevention Regimen for Effectively Avoiding Second Strokes]) investigating antiplatelet therapy in the subacute or chronic phase after noncardioembolic transient ischemic attack or stroke. Patients were stratified into quintiles according to their predicted risk of major bleeding with the S2TOP-BLEED score. The annual risk of major bleeding and recurrent ischemic events was assessed per quintile for 4 scenarios: (1) aspirin monotherapy, (2) aspirin-clopidogrel versus aspirin or clopidogrel monotherapy, (3) aspirin-dipyridamole versus clopidogrel, and (4) aspirin versus clopidogrel. Net benefit was calculated for the second, third, and fourth scenario. Thirty seven thousand eighty-seven patients were included in the analyses. Both risk of major bleeding and recurrent ischemic events increased over quintiles of predicted bleeding risk, but risk of ischemic events was consistently higher (eg, from 0.7%/y (bottom quintile) to 3.2%/y (top quintile) for major bleeding on aspirin and from 2.5%/y to 10.2%/y for risk of ischemic events on aspirin). Treatment with aspirin-clopidogrel led to more major bleedings (0.9%–1.7% per year), than reduction in ischemic events (ranging from 0.4% to 0.9/1.0% per year) across all quintiles. There was no clear preference for either aspirin-dipyridamole or clopidogrel according to baseline bleeding risk. Among patients with a transient ischemic attack or ischemic stroke included in clinical trials of antiplatelet therapy, the risk of recurrent ischemic events and of major bleeding increase in parallel. Antiplatelet treatment cannot be individualized solely based on bleeding risk assessment.</t>
  </si>
  <si>
    <t>Control of antimicrobial resistance in Cameroon: Feasibility of implementing the National Action Plan.</t>
  </si>
  <si>
    <t>Amin, Elvis Tajoache; Omeichu, Amadeus Agwenam; Shu, Divine Mamboneh; Ekome, Serge Raoul Ekukole; Njumkeng, Charles; van der Sande, Marianne Antonia Bernarda</t>
  </si>
  <si>
    <t>https://pubmed.ncbi.nlm.nih.gov/34218501</t>
  </si>
  <si>
    <t>Rising antimicrobial resistance is a major threat worldwide. WHO has developed a Global Action Plan and has urged all countries to develop and implement a National Action Plan. We analysed the implementation of the Cameroon National Action Plan by identifying the prioritised activities and assessing possible challenges which could limit implementation. We conducted a review of national documents on the control of antimicrobial resistance, including regulations, policies and guidelines and assessed the health system structure. Publications and other supporting documents were obtained by a systematic literature search. We applied the policy analysis triangle framework and the theory of change to analyse the National Action Plan, actors involved and the process of implementation. The National Action Plan consisted of six strategic objectives, with the first five being a direct translation of the five pillars of the Global Action Plan. The related activities were to be implemented using a phased approach with allocated targets for each year. Several gaps were identified. There was no timeline of activities set per year, the chronology of activities was not consistent, there were no activities or objectives to ensure the sustainability of the National Action Plan like creating awareness on antimicrobial resistance and the indicators for impact evaluation were not included. Among the actors involved, the Ministry of Public Health had the highest interest in the implementation as the lead stakeholder to oversee the overall implementation. However, there was no clear source of funding, and stakeholders at the primary level of the various sectors responsible for implementation were not clearly defined. Despite adequate multisectoral collaboration within the prioritised activities relevant to Cameroon, more is needed for effective implementation of the National Action Plan. The timeline of the different activities, as well as the involvement of key stakeholders at the primary level, needs to be improved. The government's overall commitment to healthcare should be increased and implementation of an action plan should commence at the district or regional level, while challenges in mobilising the necessary funds need to be overcome.</t>
  </si>
  <si>
    <t>Dementia risk in the general population: large-scale external validation of prediction models in the AGES-Reykjavik study.</t>
  </si>
  <si>
    <t>Vonk, Jet M J; Greving, Jacoba P; Gudnason, Vilmundur; Launer, Lenore J; Geerlings, Mirjam I</t>
  </si>
  <si>
    <t>https://pubmed.ncbi.nlm.nih.gov/34308533</t>
  </si>
  <si>
    <t>We aimed to evaluate the external performance of prediction models for all-cause dementia or AD in the general population, which can aid selection of high-risk individuals for clinical trials and prevention. We identified 17 out of 36 eligible published prognostic models for external validation in the population-based AGES-Reykjavik Study. Predictive performance was assessed with c statistics and calibration plots. All five models with a c statistic &gt; .75 (.76-.81) contained cognitive testing as a predictor, while all models with lower c statistics (.67-.75) did not. Calibration ranged from good to poor across all models, including systematic risk overestimation or overestimation for particularly the highest risk group. Models that overestimate risk may be acceptable for exclusion purposes, but lack the ability to accurately identify individuals at higher dementia risk. Both updating existing models or developing new models aimed at identifying high-risk individuals, as well as more external validation studies of dementia prediction models are warranted.</t>
  </si>
  <si>
    <t>Sex differences in emergency medical services management of patients with myocardial infarction: analysis of routinely collected data for over 110,000 patients.</t>
  </si>
  <si>
    <t>https://pubmed.ncbi.nlm.nih.gov/34314728</t>
  </si>
  <si>
    <t>Emergency medical services (EMS) activation is an integral component in managing individuals with myocardial infarction (MI). EMS play a crucial role in early MI symptom recognition, prompt transport to percutaneous coronary intervention centres and timely administration of management. The objective of this study was to examine sex differences in prehospital EMS care of patients hospitalized with Ml using data from a retrospective population-based cohort study of linked health administrative data for people with a hospital diagnosis of MI in Australia (2001-18).</t>
  </si>
  <si>
    <t>Short-Term Outcomes of Secondary Liver Surgery for Initially Unresectable Colorectal Liver Metastases Following Modern Induction Systemic Therapy in the Dutch CAIRO5 Trial.</t>
  </si>
  <si>
    <t>Bolhuis, Karen; Grosheide, Lodi; Wesdorp, Nina J; Komurcu, Aysun; Chapelle, Thiery; Dejong, Cornelis H C; Gerhards, Michael F; Grünhagen, Dirk J; van Gulik, Thomas M; Huiskens, Joost; De Jong, Koert P; Kazemier, Geert; Klaase, Joost M; Liem, Mike S L; Molenaar, I Quintus; Patijn, Gijs A; Rijken, Arjen M; Ruers, Theo M; Verhoef, Cornelis; de Wilt, Johannes H W; Punt, Cornelis J A; Swijnenburg, Rutger-Jan</t>
  </si>
  <si>
    <t>https://pubmed.ncbi.nlm.nih.gov/37635815</t>
  </si>
  <si>
    <t>To present short-term outcomes of liver surgery in patients with initially unresectable colorectal liver metastases (CRLM) downsized by chemotherapy plus targeted agents. The increase of complex hepatic resections of CRLM, technical innovations pushing boundaries of respectability, and use of intensified induction systemic regimens warrant for safety data in a homogeneous multicenter prospective cohort. Patients with initially unresectable CRLM, who underwent complete resection after induction systemic regimens with doublet or triplet chemotherapy, both plus targeted therapy, were selected from the ongoing phase III CAIRO5 study (NCT02162563). Short-term outcomes and risk factors for severe postoperative morbidity (Clavien Dindo grade ≥ 3) were analyzed using logistic regression analysis. A total of 173 patients underwent resection of CRLM after induction systemic therapy. The median number of metastases was 9 and 161 (93%) patients had bilobar disease. Thirty-six (20.8%) 2-stage resections and 88 (51%) major resections (&gt;3 liver segments) were performed. Severe postoperative morbidity and 90-day mortality was 15.6% and 2.9%, respectively. After multivariable analysis, blood transfusion (odds ratio [OR] 2.9 [95% confidence interval (CI) 1.1-6.4], &lt;i&gt;P =&lt;/i&gt; 0.03), major resection (OR 2.9 [95% CI 1.1-7.5], &lt;i&gt;P =&lt;/i&gt; 0.03), and triplet chemotherapy (OR 2.6 [95% CI 1.1-7.5], &lt;i&gt;P =&lt;/i&gt; 0.03) were independently correlated with severe postoperative complications. No association was found between number of cycles of systemic therapy and severe complications (&lt;i&gt;r&lt;/i&gt; = -0.038&lt;i&gt;, P&lt;/i&gt; = 0.31). In patients with initially unresectable CRLM undergoing modern induction systemic therapy and extensive liver surgery, severe postoperative morbidity and 90-day mortality were 15.6% and 2.7%, respectively. Triplet chemotherapy, blood transfusion, and major resections were associated with severe postoperative morbidity.</t>
  </si>
  <si>
    <t>Supervised exercise after oesophageal cancer surgery: the PERFECT multicentre randomized clinical trial.</t>
  </si>
  <si>
    <t>van Vulpen, J K; Hiensch, A E; van Hillegersberg, R; Ruurda, J P; Backx, F J G; Nieuwenhuijzen, G A P; Kouwenhoven, E A; Groenendijk, R P R; van der Peet, D L; Hazebroek, E J; Rosman, C; Wijnhoven, B P L; van Berge Henegouwen, M I; van Laarhoven, H W M; Siersema, P D; May, A M</t>
  </si>
  <si>
    <t>https://pubmed.ncbi.nlm.nih.gov/33837380</t>
  </si>
  <si>
    <t>This study investigated whether a supervised exercise programme improves quality of life (QoL), fatigue and cardiorespiratory fitness in patients in the first year after oesophagectomy.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A supervised exercise programme improved cardiorespiratory fitness and aspects of QoL. Dutch Trial Register NTR 5045 (www.trialregister.nl/trial/4942).</t>
  </si>
  <si>
    <t>Health-related quality of life and symptoms of conservative care versus dialysis in patients with end-stage kidney disease: a systematic review.</t>
  </si>
  <si>
    <t>Verberne, Wouter R; van den Wittenboer, Iris D; Voorend, Carlijn G N; Abrahams, Alferso C; van Buren, Marjolijn; Dekker, Friedo W; van Jaarsveld, Brigit C; van Loon, Ismay N; Mooijaart, Simon P; Ocak, Gurbey; van Delden, Johannes J M; Bos, Willem Jan W</t>
  </si>
  <si>
    <t>https://pubmed.ncbi.nlm.nih.gov/32535622</t>
  </si>
  <si>
    <t>Non-dialytic conservative care (CC) has been proposed as a viable alternative to maintenance dialysis for selected older patients to treat end-stage kidney disease (ESKD). This systematic review compares both treatment pathways on health-related quality of life (HRQoL) and symptoms, which are major outcomes for patients and clinicians when deciding on preferred treatment. We searched PubMed, Embase, Cochrane Library, Cumulative Index to Nursing and Allied Health Literature (CINAHL) Plus and PsycINFO from inception to 1 October 2019 for studies comparing patient-reported HRQoL outcomes or symptoms between patients who chose either CC or dialysis for ESKD. Eleven observational cohort studies were identified comprising 1718 patients overall. There were no randomized controlled trials. Studies were susceptible to selection bias and confounding. In most studies, patients who chose CC were older and had more comorbidities and worse functional status than patients who chose dialysis. Results were broadly consistent across studies, despite considerable clinical and methodological heterogeneity. Patient-reported physical health outcomes and symptoms appeared to be worse in patients who chose CC compared with patients who chose dialysis but had not yet started, but similar compared with patients on dialysis. Mental health outcomes were similar between patients who chose CC or dialysis, including before and after dialysis start. In patients who chose dialysis, the burden of kidney disease and impact on daily life increased after dialysis start. The available data, while heterogeneous, suggest that in selected older patients, CC has the potential to achieve similar HRQoL and symptoms compared with a dialysis pathway. High-quality prospective studies are needed to confirm these provisional findings.</t>
  </si>
  <si>
    <t>Direct and Indirect Costs of Influenza-Like Illness Treated with and Without Oseltamivir in 15 European Countries: A Descriptive Analysis Alongside the Randomised Controlled ALIC&lt;sup&gt;4&lt;/sup&gt;E Trial.</t>
  </si>
  <si>
    <t>Li, Xiao; Bilcke, Joke; van der Velden, Alike W; Bongard, Emily; Bruyndonckx, Robin; Sundvall, Pär-Daniel; Harbin, Nicolay J; Coenen, Samuel; Francis, Nick; Bruno, Pascale; Garcia-Sangenis, Ana; Glinz, Dominik; Kosiek, Katarzyna; Mikó-Pauer, Réka; Radzeviciene Jurgute, Ruta; Seifert, Bohumil; Tsakountakis, Nikolaos; Aabenhus, Rune; Butler, Christopher C; Beutels, Philippe</t>
  </si>
  <si>
    <t>clinical drug investigation</t>
  </si>
  <si>
    <t>https://pubmed.ncbi.nlm.nih.gov/34292510</t>
  </si>
  <si>
    <t>Influenza-like illness (ILI) leads to a substantial disease burden every winter in Europe; however, oseltamivir is not frequently prescribed to ILI patients in the primary-care setting. An open-label, multi-country, multi-season, randomised controlled trial investigated the effectiveness of oseltamivir for treating ILI in 15 European countries. We aimed to evaluate whether patients presenting with ILI in primary care and being managed with the addition of oseltamivir to usual care had lower average direct and indirect costs compared to patients with usual care alone. Resource use data were extracted from participants' daily diaries. Itemised country-specific unit costs were collected through official tariffs, pharmacies or literature. Costs were converted to 2018 values. The null hypothesis was tested based on one-sided credible intervals (CrIs) obtained by bootstrapping. Base-case analysis estimated direct cost and productivity losses using itemised costed resource use and the human capital approach. Scenario analyses with self-reported spending rather than itemised costing were also performed. Patients receiving oseltamivir (N = 1306) reported fewer healthcare visits, medication uses, hospital attendances and paid-work hours lost than the other patients (N = 1298). Excluding the oseltamivir cost, the average direct costs were lower in patients treated with oseltamivir from all perspectives, but these differences were not statistically significant (perspective of patient: €17 [0-95% Crl: 16-19] vs. €24 [5-100% Crl: 18-29]; healthcare provider: €37 [28-67] vs. €44 [25-55]; healthcare payers: €54 [45-85] vs. €68 [45-81]; and society: €423 [399-478] vs. €451 [390-478]). Scenario and age-group analyses confirmed these findings, but with some between-country differences. The average direct and indirect costs were consistently lower in patients treated with oseltamivir than in patients without from four perspectives (excluding the oseltamivir cost). However, these differences were not statistically significant.</t>
  </si>
  <si>
    <t>Association of Ischemic Imaging Phenotype With Progression of Brain Atrophy and Cerebrovascular Lesions on MRI: The SMART-MR Study.</t>
  </si>
  <si>
    <t>Rissanen, Ina; Lucci, Carlo; Ghaznawi, Rashid; Hendrikse, Jeroen; Kappelle, L Jaap; Geerlings, Mirjam I; ,</t>
  </si>
  <si>
    <t>https://pubmed.ncbi.nlm.nih.gov/34290128</t>
  </si>
  <si>
    <t>To investigate the association of silent vascular lesions, imaging negative ischemia, and symptomatic cerebrovascular disease with long-term progression of brain atrophy and cerebrovascular lesions in patients with arterial disease. Within the Second Manifestations of Arterial Disease-Magnetic Resonance (SMART-MR) study, stroke status of participants at baseline was classified as no cerebrovascular disease (reference group, n = 829), symptomatic cerebrovascular disease (n = 206), silent vascular lesion (n = 157), and imaging-negative ischemia (n = 90) according to clinical and MRI findings. With the use of linear mixed models, changes in brain and white matter hyperintensity (WMH) volumes at baseline and during 12 years of follow-up were studied in stroke classifications. Relative risks were estimated for new infarcts during follow-up associated with stroke classifications. Analyses were adjusted for age, sex, cardiovascular risk factors, and medications. Symptomatic cerebrovascular disease associated with 0.35 SD (95% confidence interval [CI] 0.24-0.47) smaller brain volume and 0.61 SD (95% CI 0.48-0.74) larger WMH volume at baseline and increased risk for new infarcts during follow-up (risk ratio [RR] 2.89, 95% CI 2.00-4.16). Silent vascular lesions were associated with 0.15 SD (95% CI 0.01-0.88) smaller brain volume, 0.02 SD (95% CI 0.01-0.03) steeper brain atrophy slope, and 0.48 SD (95% CI 0.32-0.64) larger WMH volume at baseline, in addition to increased risk for lacunes (RR 2.08, 95% CI 1.48-2.94). Individuals with imaging-negative ischemia had increased risk for cortical infarcts (RR 2.88, 95% CI 2.17-3.82). Patients with symptomatic cerebrovascular disease, silent vascular lesions, or imaging-negative ischemia have a different course of brain volume loss and cerebrovascular lesion development. These findings may have implications for future stroke risk and dementia and need further investigation.</t>
  </si>
  <si>
    <t>Effects of and Lessons Learned from an Internet-Based Physical Activity Support Program (with and without Physiotherapist Telephone Counselling) on Physical Activity Levels of Breast and Prostate Cancer Survivors: The PABLO Randomized Controlled Trial.</t>
  </si>
  <si>
    <t>van de Wiel, H J; Stuiver, M M; May, A M; van Grinsven, S; Aaronson, N K; Oldenburg, H S A; van der Poel, H G; Koole, S N; Retèl, V P; van Harten, W H; Groen, W G</t>
  </si>
  <si>
    <t>https://pubmed.ncbi.nlm.nih.gov/34359567</t>
  </si>
  <si>
    <t>We developed an Internet-based physical activity (PA) support program (IPAS), which is embedded in a patient portal. We evaluated the effectiveness and costs of IPAS alone (online only) or IPAS combined with physiotherapist telephone counselling (blended care), compared to a control group. Breast or prostate cancer survivors, 3-36 months after completing primary treatment, were randomized to 6-months access to online only, blended care, or a control group. At baseline and 6-month post-baseline, minutes of moderate-to-vigorous PA (MVPA) were measured by accelerometers. Secondary outcomes were self-reported PA, fatigue, mood, health-related quality of life, attitude toward PA, and costs. (Generalized) linear models were used to compare the outcomes between groups. We recruited 137 survivors (participation rate 11%). We did not observe any significant between-group differences in MVPA or secondary outcomes. Adherence was rather low and satisfaction scores were low to moderate, with better scores for blended care. Costs for both interventions were low. Recruitment to the study was challenging and the interventions were less efficacious than anticipated, which led to lessons learned for future trials. Suggestions for future research are as follows: improved accessibility of the support program, increased frequency of support, and use of activity trackers.</t>
  </si>
  <si>
    <t>Double burden of malnutrition among school-aged children and adolescents: evidence from a community-based cross-sectional survey in two Nigerian States.</t>
  </si>
  <si>
    <t>Adeomi, Adeleye; Fatusi, Adesegun; Klipstein-Grobusch, Kerstin</t>
  </si>
  <si>
    <t>aas open research</t>
  </si>
  <si>
    <t>https://pubmed.ncbi.nlm.nih.gov/34805744</t>
  </si>
  <si>
    <t>&lt;b&gt;Background:&lt;/b&gt; Double burden of malnutrition (DBM) is the co-existence of overweight/obesity and undernutrition. Rising prevalence rates of childhood overweight/obesity in Nigeria have been reported, whilst undernutrition continues to be prevalent. This study aimed to estimate the prevalence and distribution of underweight, stunting, thinness, overweight/obesity, and DBM among school-aged children and adolescents in two Nigerian States. &lt;b&gt;Methods:&lt;/b&gt; This was a community-based cross-sectional study carried out in Osun and Gombe States. A total of 1,200 children aged 6 - 19 years were recruited using multi-stage sampling technique. Weight, height and data on demographic, socio-economic, household/family characteristics of the children were collected using structured interviewer administered questionnaires. Nutritional status was calculated using the WHO 2007 reference values using BMI-for-age (thinness, overweight/obesity), height-for-age (stunting) and weight-for-age (underweight). DBM was described at the population and individual levels. &lt;b&gt;Results:&lt;/b&gt; The mean age of the respondents was 11.6 ± 3.8 years. The overall prevalence rate of stunting was 34.9%, underweight was 13.5%, thinness was 10.3% and overweight/obese was 11.4% and 4.0% had individual level DBM, which typifies the DBM at individual and population levels. These rates differed significantly across demographic, socio-economic and household/family characteristics (p &lt; 0.05). Gombe State, which is in the Northern part of Nigeria, had significantly higher burden of stunted, underweight and thin children than Osun State, while Osun State, in the Southern part of Nigeria, had a significantly higher burden of overweight/obesity. &lt;b&gt;Conclusions:&lt;/b&gt; The study found evidence of DBM both at population and individual levels. The overall prevalence rates of stunting, underweight, thinness and overweight/obesity in this study were high, and they differed significantly across the demographic, socio-economic and household/family characteristics. There is the need for government and all other stakeholders to design nutritional educational programmes that will target both under- and over-nutrition among older children in the different contexts.</t>
  </si>
  <si>
    <t>Vaginal bacterial load in the second trimester is associated with early preterm birth recurrence: a nested case-control study.</t>
  </si>
  <si>
    <t>Goodfellow, L; Verwijs, M C; Care, A; Sharp, A; Ivandic, J; Poljak, B; Roberts, D; Bronowski, C; Gill, A C; Darby, A C; Alfirevic, A; Muller-Myhsok, B; Alfirevic, Z; van de Wijgert, Jhhm</t>
  </si>
  <si>
    <t>https://pubmed.ncbi.nlm.nih.gov/34139060</t>
  </si>
  <si>
    <t>To assess the association between vaginal microbiome (VMB) composition and recurrent early spontaneous preterm birth (sPTB)/preterm prelabour rupture of membranes (PPROM). Nested case-control study. UK tertiary referral hospital. High-risk women with previous sPTB/PPROM &lt;34&lt;sup&gt;+0&lt;/sup&gt;  weeks' gestation who had a recurrence (n = 22) or delivered at ≥37&lt;sup&gt;+0&lt;/sup&gt;  weeks without PPROM (n = 87). Vaginal swabs collected between 15 and 22 weeks' gestation were analysed by 16S rRNA gene sequencing and 16S quantitative PCR. Recurrent early sPTB/PPROM. Of the 109 high-risk women, 28 had anaerobic vaginal dysbiosis, with the remainder dominated by lactobacilli (Lactobacillus iners 36/109, Lactobacillus crispatus 23/109, or other 22/109). VMB type and diversity were not associated with recurrence. Women with a recurrence, compared to those without, had a higher median vaginal bacterial load (8.64 versus 7.89 log&lt;sub&gt;10&lt;/sub&gt; cells/mcl, adjusted odds ratio [aOR] 1.90, 95% CI 1.01-3.56, P = 0.047) and estimated Lactobacillus concentration (8.59 versus 7.48 log&lt;sub&gt;10&lt;/sub&gt; cells/mcl, aOR 2.35, (95% CI 1.20-4.61, P = 0.013). A higher recurrence risk was associated with higher median bacterial loads for each VMB type after stratification, although statistical significance was reached only for L. iners domination (aOR 3.44, 95% CI 1.06-11.15, P = 0.040). Women with anaerobic dysbiosis or L. iners domination had a higher median vaginal bacterial load than women with a VMB dominated by L. crispatus or other lactobacilli (8.54, 7.96, 7.63, and 7.53 log&lt;sub&gt;10&lt;/sub&gt; cells/mcl, respectively). Vaginal bacterial load is associated with early sPTB/PPROM recurrence. Domination by lactobacilli other than L. iners may protect women from developing high bacterial loads. Future PTB studies should quantify vaginal bacteria and yeasts. Increased vaginal bacterial load in the second trimester may be associated with recurrent early spontaneous preterm birth.</t>
  </si>
  <si>
    <t>Communicating personalised statin therapy-effects as 10-year CVD-risk or CVD-free life-expectancy: does it improve decisional conflict? Three-armed, blinded, randomised controlled trial.</t>
  </si>
  <si>
    <t>Jaspers, Nicole E M; Visseren, Frank L J; van der Graaf, Yolanda; Smulders, Yvo M; Damman, Olga C; Brouwers, Corline; Rutten, Guy E H M; Dorresteijn, Jannick A N</t>
  </si>
  <si>
    <t>https://pubmed.ncbi.nlm.nih.gov/34272216</t>
  </si>
  <si>
    <t>To determine whether communicating personalised statin therapy-effects obtained by prognostic algorithm leads to lower decisional conflict associated with statin use in patients with stable cardiovascular disease (CVD) compared with standard (non-personalised) therapy-effects. Hypothesis-blinded, three-armed randomised controlled trial SETTING AND PARTICIPANTS: 303 statin users with stable CVD enrolled in a cohort INTERVENTION: Participants were randomised in a 1:1:1 ratio to standard practice (control-group) or one of two intervention arms. Intervention arms received standard practice plus (1) a &lt;i&gt;personalised health profile&lt;/i&gt;, (2) educational videos and (3) a structured telephone consultation. Intervention arms received personalised estimates of prognostic changes associated with both discontinuation of current statin and intensification to the most potent statin type and dose (ie, atorvastatin 80 mg). Intervention arms differed in how these changes were expressed: either change in individual 10-year absolute CVD risk (iAR-group) or CVD-free life-expectancy (iLE-group) calculated with the SMART-REACH model (http://U-Prevent.com). Primary outcome was patient decisional conflict score (DCS) after 1 month. The score varies from 0 (no conflict) to 100 (high conflict). Secondary outcomes were collected at 1 or 6 months: DCS, quality of life, illness perception, patient activation, patient perception of statin efficacy and shared decision-making, self-reported statin adherence, understanding of statin-therapy, post-randomisation low-density lipoprotein cholesterol level and physician opinion of the intervention. Outcomes are reported as median (25th- 75th percentile). Decisional conflict differed between the intervention arms: median control 27 (20-43), iAR-group 22 (11-30; p-value vs control 0.001) and iLE-group 25 (10-31; p-value vs control 0.021). No differences in secondary outcomes were observed. In patients with clinically manifest CVD, providing personalised estimations of treatment-effects resulted in a small but significant decrease in decisional conflict after 1 month. The results support the use of personalised predictions for supporting decision-making. NTR6227/NL6080.</t>
  </si>
  <si>
    <t>Bidirectional learning opportunities: How GP-supervisors and trainees exchange knowledge.</t>
  </si>
  <si>
    <t>Welink, Lisanne S; van Charldorp, Tessa C; Di Colandrea, Laura; Bartelink, Marie-Louise L; Pype, Peter; Damoiseaux, Roger A M J; de Groot, Esther</t>
  </si>
  <si>
    <t>https://pubmed.ncbi.nlm.nih.gov/34176147</t>
  </si>
  <si>
    <t>Workplace-based learning conversations can be a good opportunity for supervisors and trainees to learn from each other. When both professionals discuss their specific knowledge openly with each other, learning conversations may be a useful educational tool, for instance for learning how to apply evidence-based medicine (EBM) in the workplace. We do, however, need a better understanding of how the exchange of knowledge provides opportunities for such bidirectional learning. The aim of this study was therefore to analyse how trainees and supervisors currently handle bidirectional learning opportunities by describing in detail how supervisors respond to knowledge expressed by trainees during a learning conversation. We video-recorded learning conversations between supervisors and trainees in general practice (GP). Within these learning conversations, EBM discussions on medical topics were selected and transcribed. We then identified, analysed using Conversation Analysis (CA) and categorised each expression of knowledge by the trainee and the supervisor's subsequent response. We found that when a trainee expresses knowledge during the learning conversation, supervisors either (a) refute the expressed knowledge, (b) immediately suggest an alternative or (c) pose (additional) questions. These responses have consequences for the learning opportunities of both trainee and supervisor: it is only when supervisors pose further questions that trainees are encouraged to elaborate on their knowledge, leading to a bidirectional learning opportunity. Improving EBM learning opportunities for both supervisors and trainees requires more than simply instructing trainees to express knowledge-based-for instance-on recent evidence more often. Inflexible institutional roles related to historical claims of supervisors' epistemic authority hamper bidirectional learning. Posing open questions during learning conversations enhances the flexibility of institutional roles while also creating bidirectional learning opportunities.</t>
  </si>
  <si>
    <t>A comparison of associations with childhood lung function between air pollution exposure assessment methods with and without accounting for time-activity patterns.</t>
  </si>
  <si>
    <t>Ntarladima, Anna-Maria; Karssenberg, Derek; Vaartjes, Ilonca; Grobbee, Diederick E; Schmitz, Oliver; Lu, Meng; Boer, Jolanda; Koppelman, Gerard; Vonk, Judith; Vermeulen, Roel; Hoek, Gerard; Gehring, Ulrike</t>
  </si>
  <si>
    <t>https://pubmed.ncbi.nlm.nih.gov/34280420</t>
  </si>
  <si>
    <t>To investigate associations between annual average air pollution exposures and health, most epidemiological studies rely on estimated residential exposures because information on actual time-activity patterns can only be collected for small populations and short periods of time due to costs and logistic constraints. In the current study, we aim to compare exposure assessment methodologies that use data on time-activity patterns of children with residence-based exposure assessment. We compare estimated exposures and associations with lung function for residential exposures and exposures accounting for time activity patterns. We compared four annual average air pollution exposure assessment methodologies; two rely on residential exposures only, the other two incorporate estimated time activity patterns. The time-activity patterns were based on assumptions about the activity space and make use of available external data sources for the duration of each activity. Mapping of multiple air pollutants (NO&lt;sub&gt;2&lt;/sub&gt;, NO&lt;sub&gt;X&lt;/sub&gt;, PM&lt;sub&gt;2.5&lt;/sub&gt;, PM&lt;sub&gt;2.5&lt;/sub&gt;absorbance, PM&lt;sub&gt;10&lt;/sub&gt;) at a fine resolution as input to exposure assessment was based on land use regression modelling. First, we assessed the correlations between the exposures from the four exposure methods. Second, we compared estimates of the cross-sectional associations between air pollution exposures and lung function at age 8 within the PIAMA birth cohort study for the four exposure assessment methodologies. The exposures derived from the four exposure assessment methodologies were highly correlated (R &gt; 0.95) for all air pollutants. Similar statistically significant decreases in lung function were found for all four methods. For example, for NO&lt;sub&gt;2&lt;/sub&gt; the decrease in FEV&lt;sub&gt;1&lt;/sub&gt; was -1.40% (CI; -2.54, -0.24%) per IQR (9.14 μg/m&lt;sup&gt;3&lt;/sup&gt;) for front door exposure, and -1.50% (CI; -2.68, -0.30%) for the methodology which incorporates time activity pattern and actual school addresses. Exposure estimates from methods based on the residential location only and methods including time activity patterns were highly correlated and associated with similar decreases in lung function. Our study illustrates that the annual average exposure to air pollution for 8-year-old children in the Netherlands is sufficiently captured by residential exposures.</t>
  </si>
  <si>
    <t>Partial Protective Effect of Bivalent Human Papillomavirus 16/18 Vaccination Against Anogenital Warts in a Large Cohort of Dutch Primary Care Patients.</t>
  </si>
  <si>
    <t>Woestenberg, Petra J; Guevara Morel, Alejandra E; Bogaards, Johannes A; Hooiveld, Mariëtte; Schurink-van 't Klooster, Tessa M; Hoebe, Christian J P A; van der Sande, Marianne A B; van Benthem, Birgit H B</t>
  </si>
  <si>
    <t>https://pubmed.ncbi.nlm.nih.gov/32421775</t>
  </si>
  <si>
    <t>There is ongoing debate about the possible protective effect of the bivalent human papillomavirus (2vHPV) vaccine, targeting oncogenic types HPV-16/18, against anogenital warts (AGWs), commonly attributed to HPV-6/11. We performed a retrospective registry-based open cohort study to assess the effect of 2vHPV vaccination on AGWs. We linked general practice (ie, primary care) data from women born between 1993 and 2002, who had been eligible for HPV vaccination in the Netherlands, to the Dutch national immunization registry on an individual level. Women were followed until their first AGW diagnosis or end of follow-up. Adjusted incidence rate ratios (aIRRs) were estimated using Poisson regression with vaccination status as a time-dependent exposure. We linked data of 96 468 women with a total of 328 019 years observation time and 613 AGW diagnoses (incidence: 1.87/1000 person-years). At the end of follow-up, 61% were 2vHPV vaccinated (≥ 1 dose) of whom 91% were fully vaccinated. The AGW incidence was lower among those with ≥ 1 dose vs 0 doses (aIRR, 0.75 [95% confidence interval {CI}, .64-.88]). The effect of vaccination was stronger after full vaccination (aIRR, 0.72 [95% CI, .61-.86]) and for women who were offered vaccination at 12-13 years of age (aIRR, 0.69 [95% CI, .51-.93]) vs those at 13-16 years of age (aIRR, 0.77 [95% CI, .64-.93]). This is the largest population-based study so far to examine the effect of 2vHPV vaccination on AGWs, with reliable individual information on AGW diagnoses and vaccination status. The results indicate that 2vHPV vaccination partially protects against AGWs, especially when administered in early adolescence.</t>
  </si>
  <si>
    <t>Culture and community perceptions on diet for maternal and child health: a qualitative study in rural northern Ghana.</t>
  </si>
  <si>
    <t>Dalaba, Maxwell A; Nonterah, Engelbert A; Chatio, Samuel T; Adoctor, James K; Watson, Daniella; Barker, Mary; Ward, Kate A; Debpuur, Cornelius</t>
  </si>
  <si>
    <t>bmc nutrition</t>
  </si>
  <si>
    <t>https://pubmed.ncbi.nlm.nih.gov/34261513</t>
  </si>
  <si>
    <t>This study explored cultural and community perceptions of optimal diet for maternal and child health in northern Ghana. This was an exploratory cross-sectional study using qualitative methods for data collection. Data were collected between March and April 2019 consisting of 10 focus group discussions with men and women community members between 18 and 50 years in the Kassena-Nankana districts of Ghana. Data were organised using QSR NVivo 12 qualitative software to facilitate thematic analysis. All study participants recognised the importance of an optimal diet for mother, child and better pregnancy and breastfeeding outcomes. However, there were different cultural beliefs and taboos about what foods are healthy and non-healthy for women at different stages of the reproductive period. Foods perceived to be unhealthy for pregnant women were fatty foods and fresh meat (uncooked or unprocessed meat) due to the belief that they can lead to delivery complications, which many women feared. In addition, some participants relayed the cultural belief that pregnant woman should not eat eggs because it would make the child a thief. Lactating mothers are not to eat foods such as vigna subterranean known locally as bambara bean and "gari" (local meal made from cassava) because it is believed to inhibit breastmilk production. Participants emphasised that food insecurity and economic constraints meant women could not achieve optimal diet and could not afford to be selective in food choices. Community members recognized the importance of optimal nutrition but were constrained by poverty and cultural barriers. A dual approach which targets improvements of local food production and economic empowerment in combination with community-based discussion and education of the impacts of food taboos on health, should facilitate improvement in the diets of women and future generations.</t>
  </si>
  <si>
    <t>Heart failure medication dosage and survival in women and men seen at outpatient clinics.</t>
  </si>
  <si>
    <t>Bots, Sophie Heleen; Onland-Moret, N Charlotte; Tulevski, Igor I; van der Harst, Pim; Cramer, Maarten J M; Asselbergs, Folkert W; Somsen, G Aernout; den Ruijter, Hester M</t>
  </si>
  <si>
    <t>https://pubmed.ncbi.nlm.nih.gov/34261736</t>
  </si>
  <si>
    <t>Women with heart failure with reduced ejection fraction (HFrEF) may reach optimal treatment effect at half of the guideline-recommended medication dose. This study investigates prescription practice and its relation with survival of patients with HF in daily care. Electronic health record data from 13 Dutch outpatient cardiology clinics were extracted for HF receiving at least one guideline-recommended HF medication. Dose changes over consecutive prescriptions were modelled using natural cubic splines. Inverse probability-weighted Cox regression was used to assess the relationship between dose (reference≥50% target dose) and all-cause mortality. The study population comprised 561 women (29% HFrEF (ejection fraction (EF)&lt;40%), 49% heart failure with preserved ejection fraction (EF≥50%); HFpEF and 615 men (47% and 25%, respectively). During a median follow-up of 3.7 years, 252 patients died (48% women; 167 HFrEF, 84 HFpEF). Nine hundred thirty-four patients (46% women) received ACE inhibitors (ACEIs) or angiotensin receptor blockers (ARBs), 795 (48% women) beta blockers and 178 (42% women) mineralocorticoid receptor antagonists (MRAs). In both sexes, the mean target dose across prescriptions was 50% for ACEI/ARBs and beta blockers, and 100% for MRAs. ACEI/ARB dose of &lt;50% was associated with lower mortality in women but not in men with HFrEF. This was not seen in patients with HFpEF. Beta-blocker dose was not associated with all-cause mortality. Patients with HF seen in outpatient cardiology clinics receive half of the guideline-recommended medication dose. Lower ACEI/ARB dose was associated with improved survival in women with HFrEF. These results underscore the importance of (re)defining optimal medical therapy for women with HFrEF.</t>
  </si>
  <si>
    <t>The association of energy and macronutrient intake with all-cause mortality, cardiovascular disease and dementia: findings from 120 963 women and men in the UK Biobank.</t>
  </si>
  <si>
    <t>McKenzie, Briar L; Harris, Katie; Peters, Sanne A E; Webster, Jacqui; Woodward, Mark</t>
  </si>
  <si>
    <t>https://pubmed.ncbi.nlm.nih.gov/34256879</t>
  </si>
  <si>
    <t>This study aimed to investigate the association between individual and combinations of macronutrients with premature death, CVD and dementia. Sex differences were investigated. Data were utilised from a prospective cohort of 120 963 individuals (57 % women) within the UK Biobank, who completed ≥ two 24-h diet recalls. The associations of macronutrients, as percentages of total energy intake, with outcomes were investigated. Combinations of macronutrients were defined using k-means cluster analysis, with clusters explored in association with outcomes. There was a higher risk of death with high carbohydrate intake (hazard ratios (HR), 95 % CI upper &lt;i&gt;v.&lt;/i&gt; lowest third 1·13 (1·03, 1·23)), yet a lower risk with higher intakes of protein (upper &lt;i&gt;v.&lt;/i&gt; lowest third 0·82 (0·76, 0·89)). There was a lower risk of CVD with moderate intakes (middle &lt;i&gt;v.&lt;/i&gt; lowest third) of energy and protein (sub distribution HR (SHR), 0·87 (0·79, 0·97) and 0·87 (0·79, 0·96), respectively). There was a lower risk of dementia with moderate energy intake (SHR 0·71 (0·52, 0·96)). Sex differences were identified. The dietary cluster characterised by low carbohydrate, low fat and high protein was associated with a lower risk of death (HR 0·84 (0·76, 0·93)) compared with the reference cluster and a lower risk of CVD for men (SHR 0·83 (0·71, 0·97)). Given that associations were evident, both as single macronutrients and for combinations with other macronutrients for death, and for CVD in men, we suggest that the biggest benefit from diet-related policy and interventions will be when combinations of macronutrients are targeted.</t>
  </si>
  <si>
    <t>Effectiveness of contact tracing apps for SARS-CoV-2: a rapid systematic review.</t>
  </si>
  <si>
    <t>Jenniskens, Kevin; Bootsma, Martin C J; Damen, Johanna A A G; Oerbekke, Michiel S; Vernooij, Robin W M; Spijker, René; Moons, Karel G M; Kretzschmar, Mirjam E E; Hooft, Lotty</t>
  </si>
  <si>
    <t>https://pubmed.ncbi.nlm.nih.gov/34253676</t>
  </si>
  <si>
    <t>To systematically review evidence on effectiveness of contact tracing apps (CTAs) for SARS-CoV-2 on epidemiological and clinical outcomes. Rapid systematic review. EMBASE (OVID), MEDLINE (PubMed), BioRxiv and MedRxiv were searched up to 28 October 2020. Studies, both empirical and model-based, assessing effect of CTAs for SARS-CoV-2 on reproduction number (R), total number of infections, hospitalisation rate, mortality rate, and other epidemiologically and clinically relevant outcomes, were eligible for inclusion. Empirical and model-based studies were critically appraised using separate checklists. Data on type of study (ie, empirical or model-based), sample size, (simulated) time horizon, study population, CTA type (and associated interventions), comparator and outcomes assessed, were extracted. The most important findings were extracted and narratively summarised. Specifically for model-based studies, characteristics and values of important model parameters were collected. 2140 studies were identified, of which 17 studies (2 empirical, 15 model-based studies) were eligible and included in this review. Both empirical studies were observational (non-randomised) studies and at high risk of bias, most importantly due to risk of confounding. Risk of bias of model-based studies was considered low for 12 out of 15 studies. Most studies demonstrated beneficial effects of CTAs on R, total number of infections and mortality rate. No studies assessed effect on hospitalisation. Effect size was dependent on model parameters values used, but in general, a beneficial effect was observed at CTA adoption rates of 20% or higher. CTAs have the potential to be effective in reducing SARS-CoV-2 related epidemiological and clinical outcomes, though effect size depends on other model parameters (eg, proportion of asymptomatic individuals, or testing delays), and interventions after CTA notification. Methodologically sound comparative empirical studies on effectiveness of CTAs are required to confirm findings from model-based studies.</t>
  </si>
  <si>
    <t>Lopinavir-ritonavir and hydroxychloroquine for critically ill patients with COVID-19: REMAP-CAP randomized controlled trial.</t>
  </si>
  <si>
    <t>Arabi, Yaseen M; Gordon, Anthony C; Derde, Lennie P G; Nichol, Alistair D; Murthy, Srinivas; Beidh, Farah Al; Annane, Djillali; Swaidan, Lolowa Al; Beane, Abi; Beasley, Richard; Berry, Lindsay R; Bhimani, Zahra; Bonten, Marc J M; Bradbury, Charlotte A; Brunkhorst, Frank M; Buxton, Meredith; Buzgau, Adrian; Cheng, Allen; De Jong, Menno; Detry, Michelle A; Duffy, Eamon J; Estcourt, Lise J; Fitzgerald, Mark; Fowler, Rob; Girard, Timothy D; Goligher, Ewan C; Goossens, Herman; Haniffa, Rashan; Higgins, Alisa M; Hills, Thomas E; Horvat, Christopher M; Huang, David T; King, Andrew J; Lamontagne, Francois; Lawler, Patrick R; Lewis, Roger; Linstrum, Kelsey; Litton, Edward; Lorenzi, Elizabeth; Malakouti, Salim; McAuley, Daniel F; McGlothlin, Anna; Mcguinness, Shay; McVerry, Bryan J; Montgomery, Stephanie K; Morpeth, Susan C; Mouncey, Paul R; Orr, Katrina; Parke, Rachael; Parker, Jane C; Patanwala, Asad E; Rowan, Kathryn M; Santos, Marlene S; Saunders, Christina T; Seymour, Christopher W; Shankar</t>
  </si>
  <si>
    <t>intensive care medicine</t>
  </si>
  <si>
    <t>https://pubmed.ncbi.nlm.nih.gov/34251506</t>
  </si>
  <si>
    <t>To study the efficacy of lopinavir-ritonavir and hydroxychloroquine in critically ill patients with coronavirus disease 2019 (COVID-19). Critically ill adults with COVID-19 were randomized to receive lopinavir-ritonavir, hydroxychloroquine, combination therapy of lopinavir-ritonavir and hydroxychloroquine or no antiviral therapy (control). The primary endpoint was an ordinal scale of organ support-free days. Analyses used a Bayesian cumulative logistic model and expressed treatment effects as an adjusted odds ratio (OR) where an OR &gt; 1 is favorable. We randomized 694 patients to receive lopinavir-ritonavir (n = 255), hydroxychloroquine (n = 50), combination therapy (n = 27) or control (n = 362). The median organ support-free days among patients in lopinavir-ritonavir, hydroxychloroquine, and combination therapy groups was 4 (- 1 to 15), 0 (- 1 to 9) and-1 (- 1 to 7), respectively, compared to 6 (- 1 to 16) in the control group with in-hospital mortality of 88/249 (35%), 17/49 (35%), 13/26 (50%), respectively, compared to 106/353 (30%) in the control group. The three interventions decreased organ support-free days compared to control (OR [95% credible interval]: 0.73 [0.55, 0.99], 0.57 [0.35, 0.83] 0.41 [0.24, 0.72]), yielding posterior probabilities that reached the threshold futility (≥ 99.0%), and high probabilities of harm (98.0%, 99.9% and &gt; 99.9%, respectively). The three interventions reduced hospital survival compared with control (OR [95% CrI]: 0.65 [0.45, 0.95], 0.56 [0.30, 0.89], and 0.36 [0.17, 0.73]), yielding high probabilities of harm (98.5% and 99.4% and 99.8%, respectively). Among critically ill patients with COVID-19, lopinavir-ritonavir, hydroxychloroquine, or combination therapy worsened outcomes compared to no antiviral therapy.</t>
  </si>
  <si>
    <t>Molecular subtype-specific efficacy of anti-EGFR therapy in colorectal cancer is dependent on the chemotherapy backbone.</t>
  </si>
  <si>
    <t>Ten Hoorn, Sanne; Sommeijer, Dirkje W; Elliott, Faye; Fisher, David; de Back, Tim R; Trinh, Anne; Koens, Lianne; Maughan, Tim; Seligmann, Jenny; Seymour, Matthew T; Quirke, Phil; Adams, Richard; Richman, Susan D; Punt, Cornelis J A; Vermeulen, Louis</t>
  </si>
  <si>
    <t>https://pubmed.ncbi.nlm.nih.gov/34253874</t>
  </si>
  <si>
    <t>Patient selection for addition of anti-EGFR therapy to chemotherapy for patients with RAS and BRAF wildtype metastatic colorectal cancer can still be optimised. Here we investigate the effect of anti-EGFR therapy on survival in different consensus molecular subtypes (CMSs) and stratified by primary tumour location. Retrospective analyses, using the immunohistochemistry-based CMS classifier, were performed in the COIN (first-line oxaliplatin backbone with or without cetuximab) and PICCOLO trial (second-line irinotecan with or without panitumumab). Tumour tissue was available for 323 patients (20%) and 349 (41%), respectively. When using an irinotecan backbone, anti-EGFR therapy is effective in both CMS2/3 and CMS4 in left-sided primary tumours (progression-free survival (PFS): HR 0.44, 95% CI 0.26-0.75, P = 0.003 and HR 0.12, 95% CI 0.04-0.36, P &lt; 0.001, respectively) and in CMS4 right-sided tumours (PFS HR 0.17, 95% CI 0.04-0.71, P = 0.02). Efficacy using an oxaliplatin backbone was restricted to left-sided CMS2/3 tumours (HR 0.57, 95% CI 0.36-0.96, P = 0.034). The subtype-specific efficacy of anti-EGFR therapy is dependent on the chemotherapy backbone. This may provide the possibility of subtype-specific treatment strategies for a more optimal use of anti-EGFR therapy.</t>
  </si>
  <si>
    <t>Exploring key elements of approaches that support childrens' preferences during painful and stressful medical procedures: A scoping review.</t>
  </si>
  <si>
    <t>Segers, Elisabeth W; Ketelaar, Marjolijn; Taddio, Anna; de Man, Marjorie A C P; Schoonhoven, Lisette; van de Putte, Elise M; van den Hoogen, Agnes</t>
  </si>
  <si>
    <t>journal of pediatric nursing</t>
  </si>
  <si>
    <t>https://pubmed.ncbi.nlm.nih.gov/34266719</t>
  </si>
  <si>
    <t>Children undergoing medical procedures can experience pain and distress. While numerous interventions exist to mitigate pain and distress, the ability to individualize the intervention to suit the needs and preferences of individual children is emerging as an important aspect of providing family-centered care and shared decision making. To date, the approaches for supporting children to express their preferences have not been systematically identified and described. A scoping review was conducted to identify such approaches and to describe the elements that are included in them. Studies that (a) described approaches with the aim to support children to express their coping preferences during medical procedures; (b) included the option for children to choose coping interventions; (c) included a child (1--18 years). Searches were conducted in December 2019 and November 2020 in the following databases: Cinahl, Embase, PubMed and Psycinfo. Thirteen studies were identified that included six distinct approaches. Four important key elements were identified: 1) Aid to express preferences or choice, 2) Information Provision, 3) Assessment of feelings/emotions, 4) Feedback/Reflection and Reward. Identified approaches incorporate components of shared decision-making to support children in expressing their preferences during medical procedures and treatments. Children undergoing medical procedures can be supported in expressing their coping needs and preferences by using components of shared decision-making.</t>
  </si>
  <si>
    <t>Dairy product consumption and incident prediabetes in Dutch middle-aged adults: the Hoorn Studies prospective cohort.</t>
  </si>
  <si>
    <t>Slurink, Isabel A L; den Braver, Nicolette R; Rutters, Femke; Kupper, Nina; Smeets, Tom; Elders, Petra J M; Beulens, Joline W J; Soedamah-Muthu, Sabita S</t>
  </si>
  <si>
    <t>https://pubmed.ncbi.nlm.nih.gov/34245355</t>
  </si>
  <si>
    <t>Our aim was to investigate prospective associations of consumption of total dairy and dairy types with incident prediabetes in a Dutch population-based study. Two enrolment waves of the Hoorn Studies were harmonized, resulting in an analytic sample of 2262 participants without (pre-) diabetes at enrolment (mean age 56 ± 7.3 years; 50% male). Baseline dietary intake was assessed by validated food frequency questionnaires. Relative risks (RRs) were calculated between dairy, fermented dairy, milk, yogurt (all total/high/low fat), cream and ice cream and prediabetes. Additionally, substituting one serving/day of dairy types associated with prediabetes with alternative dairy types was analysed. During a mean 6.4 ± 0.7 years of follow-up, 810 participants (35.9%) developed prediabetes. High fat fermented dairy, cheese and high fat cheese were associated with a 17% (RR 0.83, 95% CI 0.69-0.99, p&lt;sub&gt;trend&lt;/sub&gt; = 0.04), 14% (RR 0.86, 95% CI 0.73-1.02, p&lt;sub&gt;trend&lt;/sub&gt; = 0.04) and 21% (RR 0.79, 95% CI 0.66-0.94, p&lt;sub&gt;trend&lt;/sub&gt; = 0.01) lower risk of incident prediabetes, respectively, in top compared to bottom quartiles, after adjustment for confounders. High fat cheese consumption was continuously associated with lower prediabetes risk (RR&lt;sub&gt;servings/day&lt;/sub&gt; 0.94, 95% CI 0.88-1.00, p = 0.04). Total dairy and other dairy types were not associated with prediabetes risk in adjusted models, irrespective of fat content (RR ~ 1). Replacing high fat cheese with alternative dairy types was not associated with prediabetes risk. The highest intake of high fat fermented dairy, cheese and high fat cheese were associated with a lower risk of prediabetes, whereas other dairy types were not associated. Cheese seems to be inversely associated with type 2 diabetes risk, despite high levels of saturated fatty acids and sodium.</t>
  </si>
  <si>
    <t>Ten-year risk of fatal cardiovascular disease and its association with metabolic risk factors among waste pickers in South Africa.</t>
  </si>
  <si>
    <t>Made, Felix; Nonterah, Engelbert A; Tlotleng, Nonhlanhla; Ntlebi, Vusi; Naicker, Nisha</t>
  </si>
  <si>
    <t>https://pubmed.ncbi.nlm.nih.gov/34246223</t>
  </si>
  <si>
    <t>Cardiovascular disease (CVD) is the leading cause of death among non-communicable diseases in South Africa. Several metabolic risk factors contribute to the development of CVD. Informal workers such as waste pickers could be unhealthy lifestyle naive, and most public health research on CVD does not include this understudied population. This study estimated the 10-year risk of fatal CVD and its association with metabolic risk factors in an understudied study population of waste pickers in Johannesburg, South Africa. A cross-sectional survey was conducted among waste pickers in two landfill sites in Johannesburg. We used the Systematic Coronary Risk Evaluation (SCORE) risk charts to estimate the 10-year risk of fatal CVD. We then employed ordinary least squares regression to assess the association between the 10-year risk of fatal CVD with metabolic risk factors. Other variables adjusted in the regression model were HIV status, education, income, injuries from work, clinic visits in the previous 12 months, and alcohol consumption. A total of 370 waste pickers were included in this analysis, 265 (73.41%) were males. The mean age of the participants was 34 years. The majority were between the age of 20 and 39 years. More than 55% of the waste pickers did not visit a clinic in the previous 12 months, and 68.57% were smoking. The 10-year survival probability from CVD was more than 99% for both males and females. In the multivariable regression model, elevated blood glucose showed a non-significant increase in the mean percentage of 10-year risk of fatal CVD. Waste pickers who were overweight/obese, and hypertensive had high statistically significant mean percentages of the 10-year risk of fatal CVD compared to those who did not have the metabolic risk factors. Prevention of 10-year risk of fatal CVD in this understudied population of waste pickers should target the control of obesity, hypertension, and diabetes. Health awareness and education for waste pickers will be an important step in reducing the burden of these metabolic risk factors. We further recommend that health systems should recognize waste pickers as a high-risk group and consider extensive CVDs surveillance.</t>
  </si>
  <si>
    <t>Automatic Prediction of Recurrence of Major Cardiovascular Events: A Text Mining Study Using Chest X-Ray Reports.</t>
  </si>
  <si>
    <t>Bagheri, Ayoub; Groenhof, T Katrien J; Asselbergs, Folkert W; Haitjema, Saskia; Bots, Michiel L; Veldhuis, Wouter B; de Jong, Pim A; Oberski, Daniel L</t>
  </si>
  <si>
    <t>journal of healthcare engineering</t>
  </si>
  <si>
    <t>https://pubmed.ncbi.nlm.nih.gov/34306597</t>
  </si>
  <si>
    <t>We used EHR data of patients included in the Second Manifestations of ARTerial disease (SMART) study. We propose a deep learning-based multimodal architecture for our text mining pipeline that integrates neural text representation with preprocessed clinical predictors for the prediction of recurrence of major cardiovascular events in cardiovascular patients. Text preprocessing, including cleaning and stemming, was first applied to filter out the unwanted texts from X-ray radiology reports. Thereafter, text representation methods were used to numerically represent unstructured radiology reports with vectors. Subsequently, these text representation methods were added to prediction models to assess their clinical relevance. In this step, we applied logistic regression, support vector machine (SVM), multilayer perceptron neural network, convolutional neural network, long short-term memory (LSTM), and bidirectional LSTM deep neural network (BiLSTM). We performed various experiments to evaluate the added value of the text in the prediction of major cardiovascular events. The two main scenarios were the integration of radiology reports (1) with classical clinical predictors and (2) with only age and sex in the case of unavailable clinical predictors. In total, data of 5603 patients were used with 5-fold cross-validation to train the models. In the first scenario, the multimodal BiLSTM (MI-BiLSTM) model achieved an area under the curve (AUC) of 84.7%, misclassification rate of 14.3%, and F1 score of 83.8%. In this scenario, the SVM model, trained on clinical variables and bag-of-words representation, achieved the lowest misclassification rate of 12.2%. In the case of unavailable clinical predictors, the MI-BiLSTM model trained on radiology reports and demographic (age and sex) variables reached an AUC, F1 score, and misclassification rate of 74.5%, 70.8%, and 20.4%, respectively. Using the case study of routine care chest X-ray radiology reports, we demonstrated the clinical relevance of integrating text features and classical predictors in our text mining pipeline for cardiovascular risk prediction. The MI-BiLSTM model with word embedding representation appeared to have a desirable performance when trained on text data integrated with the clinical variables from the SMART study. Our results mined from chest X-ray reports showed that models using text data in addition to laboratory values outperform those using only known clinical predictors.</t>
  </si>
  <si>
    <t>Protocol for development of a reporting guideline (TRIPOD-AI) and risk of bias tool (PROBAST-AI) for diagnostic and prognostic prediction model studies based on artificial intelligence.</t>
  </si>
  <si>
    <t>Collins, Gary S; Dhiman, Paula; Andaur Navarro, Constanza L; Ma, Jie; Hooft, Lotty; Reitsma, Johannes B; Logullo, Patricia; Beam, Andrew L; Peng, Lily; Van Calster, Ben; van Smeden, Maarten; Riley, Richard D; Moons, Karel Gm</t>
  </si>
  <si>
    <t>https://pubmed.ncbi.nlm.nih.gov/34244270</t>
  </si>
  <si>
    <t>The Transparent Reporting of a multivariable prediction model of Individual Prognosis Or Diagnosis (TRIPOD) statement and the Prediction model Risk Of Bias ASsessment Tool (PROBAST) were both published to improve the reporting and critical appraisal of prediction model studies for diagnosis and prognosis. This paper describes the processes and methods that will be used to develop an extension to the TRIPOD statement (TRIPOD-artificial intelligence, AI) and the PROBAST (PROBAST-AI) tool for prediction model studies that applied machine learning techniques. TRIPOD-AI and PROBAST-AI will be developed following published guidance from the EQUATOR Network, and will comprise five stages. Stage 1 will comprise two systematic reviews (across all medical fields and specifically in oncology) to examine the quality of reporting in published machine-learning-based prediction model studies. In stage 2, we will consult a diverse group of key stakeholders using a Delphi process to identify items to be considered for inclusion in TRIPOD-AI and PROBAST-AI. Stage 3 will be virtual consensus meetings to consolidate and prioritise key items to be included in TRIPOD-AI and PROBAST-AI. Stage 4 will involve developing the TRIPOD-AI checklist and the PROBAST-AI tool, and writing the accompanying explanation and elaboration papers. In the final stage, stage 5, we will disseminate TRIPOD-AI and PROBAST-AI via journals, conferences, blogs, websites (including TRIPOD, PROBAST and EQUATOR Network) and social media. TRIPOD-AI will provide researchers working on prediction model studies based on machine learning with a reporting guideline that can help them report key details that readers need to evaluate the study quality and interpret its findings, potentially reducing research waste. We anticipate PROBAST-AI will help researchers, clinicians, systematic reviewers and policymakers critically appraise the design, conduct and analysis of machine learning based prediction model studies, with a robust standardised tool for bias evaluation. Ethical approval has been granted by the Central University Research Ethics Committee, University of Oxford on 10-December-2020 (R73034/RE001). Findings from this study will be disseminated through peer-review publications. CRD42019140361 and CRD42019161764.</t>
  </si>
  <si>
    <t>The evidence for pharmacist care in outpatients with heart failure: a systematic review and meta-analysis.</t>
  </si>
  <si>
    <t>Schumacher, Pia M; Becker, Nicolas; Tsuyuki, Ross T; Griese-Mammen, Nina; Koshman, Sheri L; McDonald, Michael A; Bouvy, Marcel; Rutten, Frans H; Laufs, Ulrich; Böhm, Michael; Schulz, Martin</t>
  </si>
  <si>
    <t>https://pubmed.ncbi.nlm.nih.gov/34240570</t>
  </si>
  <si>
    <t>Patients with heart failure (HF) have poor outcomes, including poor quality of life, and high morbidity and mortality. In addition, they have a high medication burden due to the multiple drug therapies now recommended by guidelines. Previous reviews, including studies in hospital settings, provided evidence that pharmacist care improves outcomes in patients with HF. Because most HF is managed outside of hospitals, we aimed to synthesize the evidence for pharmacist care in outpatients with HF. We conducted a systematic literature search in PubMed of randomized controlled trials (RCTs) and integrated the evidence on patient outcomes in a meta-analysis. We found 24 RCTs performed in 10 countries, including 8029 patients. The data revealed consistent improvements in medication adherence (independent of the measuring instrument) and knowledge, physical function, and disease and medication management. Sixteen RCTs were included in meta-analyses. Differences in all-cause mortality (odds ratio (OR) = 0.97 [95% CI, 0.84-1.12], Q-statistic, P = 0.49, I&lt;sup&gt;2&lt;/sup&gt;  = 0%), all-cause hospitalizations (OR = 0.86 [0.73-1.03], Q-statistic, P = 0.01, I&lt;sup&gt;2&lt;/sup&gt;  = 45.5%), and HF hospitalizations (OR = 0.89 [0.77-1.02], Q-statistic, P = 0.11, I&lt;sup&gt;2&lt;/sup&gt;  = 0%) were not statistically significant. We also observed an improvement in the standardized mean difference for generic quality of life of 0.75 ([0.49-1.01], P &lt; 0.01), with no indication of heterogeneity (Q-statistic, P = 0.64; I&lt;sup&gt;2&lt;/sup&gt;  = 0%). Results indicate that pharmacist care improves medication adherence and knowledge, symptom control, and some measures of quality of life in outpatients with HF. Given the increasing complexity of guideline-directed medical therapy, pharmacists' unique focus on medication management, titration, adherence, and patient teaching should be considered part of the management strategy for these vulnerable patients.</t>
  </si>
  <si>
    <t>Clinical judgement versus self-rating of demoralization in outpatients with a substance-use disorder: A cross-sectional study.</t>
  </si>
  <si>
    <t>van Tongeren, Marjolein J; Markus, Wiebren; Stringer, Barbara; de Man, Janneke M; de Jong, Cornelis A J; van Meijel, Berno</t>
  </si>
  <si>
    <t>perspectives in psychiatric care</t>
  </si>
  <si>
    <t>https://pubmed.ncbi.nlm.nih.gov/34240425</t>
  </si>
  <si>
    <t>To investigate the ability of case managers, working in ambulatory treatment settings specialized in addiction care, to clinically judge demoralization in substance-dependent patients. In a cross-sectional study, clinical judgments of case managers were compared with the patients' scores on the Demoralization Scale, by calculating the sensitivity and specificity scores. Case managers identified demoralization in 85% of the cases (sensitivity), the specificity of 62% suggests that demoralization was overestimated by case managers. Demoralization is a frequently occurring phenomenon in patients. Methods should be developed that allow professionals and patients to identify demoralization collaboratively, and to develop tailored interventions to prevent demoralization and its negative consequences.</t>
  </si>
  <si>
    <t>Five versus seven days of nitrofurantoin for urinary tract infections in women with diabetes: a retrospective cohort study.</t>
  </si>
  <si>
    <t>Hendriks-Spoor, Kelly D; Wille, Floor L; Doesschate, Thijs Ten; Dorigo-Zetsma, Julia W; Verheij, Theo J M; van Werkhoven, Cornelis H</t>
  </si>
  <si>
    <t>https://pubmed.ncbi.nlm.nih.gov/34245906</t>
  </si>
  <si>
    <t>To compare the effectiveness of 5 versus 7 days of nitrofurantoin treatment for urinary tract infection (UTI) in women with diabetes. Data were collected retrospectively from Dutch general practitioners between 2013 and 2020. Nitrofurantoin prescriptions with a duration of 5 days (5DN) or 7 days (7DN) in women with diabetes were included. Inverse propensity weighting was performed to calculate adjusted risk differences (RD) for treatment failure within 28 days. Secondary outcomes were 14-day treatment failure, severe treatment failure and 28-day treatment failure in defined risk groups. Nitrofurantoin was prescribed in 6866 episodes, 3247 (47.3%) episodes with 5DN and 3619 (52.7%) episodes with 7DN. Patients in the 7DN group had more co-morbidities, more diabetes-related complications and were more insulin-dependent. There were 517/3247 (15.9%) failures in the 5DN group versus 520/3619 (14.4%) in the 7DN group. The adjusted RD for failure within 28 days was 1.4% (95% CI -0.6 to 3.4). We found no clinically significant difference in treatment failure in women with diabetes with UTI treated with either 5DN or 7DN within 28 days. A 5-day treatment should be considered to reduce cumulative nitrofurantoin exposure in DM patients.</t>
  </si>
  <si>
    <t>Development and validation of a risk prediction model of preterm birth for women with preterm labour symptoms (the QUIDS study): A prospective cohort study and individual participant data meta-analysis.</t>
  </si>
  <si>
    <t>Stock, Sarah J; Horne, Margaret; Bruijn, Merel; White, Helen; Boyd, Kathleen A; Heggie, Robert; Wotherspoon, Lisa; Aucott, Lorna; Morris, Rachel K; Dorling, Jon; Jackson, Lesley; Chandiramani, Manju; David, Anna L; Khalil, Asma; Shennan, Andrew; van Baaren, Gert-Jan; Hodgetts-Morton, Victoria; Lavender, Tina; Schuit, Ewoud; Harper-Clarke, Susan; Mol, Ben W; Riley, Richard D; Norman, Jane E; Norrie, John</t>
  </si>
  <si>
    <t>https://pubmed.ncbi.nlm.nih.gov/34228732</t>
  </si>
  <si>
    <t>Timely interventions in women presenting with preterm labour can substantially improve health outcomes for preterm babies. However, establishing such a diagnosis is very challenging, as signs and symptoms of preterm labour are common and can be nonspecific. We aimed to develop and externally validate a risk prediction model using concentration of vaginal fluid fetal fibronectin (quantitative fFN), in combination with clinical risk factors, for the prediction of spontaneous preterm birth and assessed its cost-effectiveness. Pregnant women included in the analyses were 22+0 to 34+6 weeks gestation with signs and symptoms of preterm labour. The primary outcome was spontaneous preterm birth within 7 days of quantitative fFN test. The risk prediction model was developed and internally validated in an individual participant data (IPD) meta-analysis of 5 European prospective cohort studies (2009 to 2016; 1,783 women; mean age 29.7 years; median BMI 24.8 kg/m2; 67.6% White; 11.7% smokers; 51.8% nulliparous; 10.4% with multiple pregnancy; 139 [7.8%] with spontaneous preterm birth within 7 days). The model was then externally validated in a prospective cohort study in 26 United Kingdom centres (2016 to 2018; 2,924 women; mean age 28.2 years; median BMI 25.4 kg/m2; 88.2% White; 21% smokers; 35.2% nulliparous; 3.5% with multiple pregnancy; 85 [2.9%] with spontaneous preterm birth within 7 days). The developed risk prediction model for spontaneous preterm birth within 7 days included quantitative fFN, current smoking, not White ethnicity, nulliparity, and multiple pregnancy. After internal validation, the optimism adjusted area under the curve was 0.89 (95% CI 0.86 to 0.92), and the optimism adjusted Nagelkerke R2 was 35% (95% CI 33% to 37%). On external validation in the prospective UK cohort population, the area under the curve was 0.89 (95% CI 0.84 to 0.94), and Nagelkerke R2 of 36% (95% CI: 34% to 38%). Recalibration of the model's intercept was required to ensure overall calibration-in-the-large. A calibration curve suggested close agreement between predicted and observed risks in the range of predictions 0% to 10%, but some miscalibration (underprediction) at higher risks (slope 1.24 (95% CI 1.23 to 1.26)). Despite any miscalibration, the net benefit of the model was higher than "treat all" or "treat none" strategies for thresholds up to about 15% risk. The economic analysis found the prognostic model was cost effective, compared to using qualitative fFN, at a threshold for hospital admission and treatment of ≥2% risk of preterm birth within 7 days. Study limitations include the limited number of participants who are not White and levels of missing data for certain variables in the development dataset. In this study, we found that a risk prediction model including vaginal fFN concentration and clinical risk factors showed promising performance in the prediction of spontaneous preterm birth within 7 days of test and has potential to inform management decisions for women with threatened preterm labour. Further evaluation of the risk prediction model in clinical practice is required to determine whether the risk prediction model improves clinical outcomes if used in practice. The study was approved by the West of Scotland Research Ethics Committee (16/WS/0068). The study was registered with ISRCTN Registry (ISRCTN 41598423) and NIHR Portfolio (CPMS: 31277).</t>
  </si>
  <si>
    <t>The Effect of Amoxicillin in Adult Patients Presenting to Primary Care with Acute Cough Predicted to Have Pneumonia or a Combined Viral-Bacterial Infection.</t>
  </si>
  <si>
    <t>Bruyndonckx, Robin; Stuart, Beth; Little, Paul; Hens, Niel; Ieven, Margareta; Butler, Christopher C; Verheij, Theo J M; Goossens, Herman; Coenen, Samuel; The Grace Project Group,</t>
  </si>
  <si>
    <t>https://pubmed.ncbi.nlm.nih.gov/34356738</t>
  </si>
  <si>
    <t>While most cases of acute cough are self-limiting, antibiotics are prescribed to over 50%. This proportion is inappropriately high given that benefit from treatment with amoxicillin could only be demonstrated in adults with pneumonia (based on chest radiograph) or combined viral-bacterial infection (based on modern microbiological methodology). As routine use of chest radiographs and microbiological testing is costly, clinical prediction rules could be used to identify these patient subsets. In this secondary analysis of data from a multicentre randomised controlled trial in adults presenting to primary care with acute cough, we used prediction rules for pneumonia or combined infection and assessed the effect of amoxicillin in patients predicted to have pneumonia or combined infection on symptom duration, symptom severity and illness deterioration. In total, 2056 patients that fulfilled all inclusion criteria were randomised, 1035 to amoxicillin, 1021 to placebo. Neither patients with a predicted pneumonia nor patients with a predicted combined infection were significantly more likely to benefit from amoxicillin. While the studied clinical prediction rules may help primary care clinicians to reduce antibiotic prescribing for low-risk patients, they did not identify adult acute cough patients that would benefit from amoxicillin treatment.</t>
  </si>
  <si>
    <t>Polygenic risk scores predict diabetes complications and their response to intensive blood pressure and glucose control.</t>
  </si>
  <si>
    <t>https://pubmed.ncbi.nlm.nih.gov/34226943</t>
  </si>
  <si>
    <t>Type 2 diabetes increases the risk of cardiovascular and renal complications, but early risk prediction could lead to timely intervention and better outcomes. Genetic information can be used to enable early detection of risk. We developed a multi-polygenic risk score (multiPRS) that combines ten weighted PRSs (10 wPRS) composed of 598 SNPs associated with main risk factors and outcomes of type 2 diabetes, derived from summary statistics data of genome-wide association studies. The 10 wPRS, first principal component of ethnicity, sex, age at onset and diabetes duration were included into one logistic regression model to predict micro- and macrovascular outcomes in 4098 participants in the ADVANCE study and 17,604 individuals with type 2 diabetes in the UK Biobank study. The model showed a similar predictive performance for cardiovascular and renal complications in different cohorts. It identified the top 30% of ADVANCE participants with a mean of 3.1-fold increased risk of major micro- and macrovascular events (p = 6.3 × 10&lt;sup&gt;-21&lt;/sup&gt; and p = 9.6 × 10&lt;sup&gt;-31&lt;/sup&gt;, respectively) and a 4.4-fold (p = 6.8 × 10&lt;sup&gt;-33&lt;/sup&gt;) higher risk of cardiovascular death. While in ADVANCE overall, combined intensive blood pressure and glucose control decreased cardiovascular death by 24%, the model identified a high-risk group in whom it decreased the mortality rate by 47%, and a low-risk group in whom it had no discernible effect. High-risk individuals had the greatest absolute risk reduction with a number needed to treat of 12 to prevent one cardiovascular death over 5 years. This novel multiPRS model stratified individuals with type 2 diabetes according to risk of complications and helped to target earlier those who would receive greater benefit from intensive therapy.</t>
  </si>
  <si>
    <t>Patterns of Immune Activation in HIV and Non HIV Subjects and Its Relation to Cardiovascular Disease Risk.</t>
  </si>
  <si>
    <t>Vos, Alinda G; Dodd, Caitlin N; Delemarre, Eveline M; Nierkens, Stefan; Serenata, Celicia; Grobbee, Diederick E; Klipstein-Grobusch, Kerstin; Venter, W D Francois</t>
  </si>
  <si>
    <t>https://pubmed.ncbi.nlm.nih.gov/34290695</t>
  </si>
  <si>
    <t>Insight into inflammation patterns is needed to understand the pathophysiology of HIV and related cardiovascular disease (CVD). We assessed patterns of inflammation related to HIV infection and CVD risk assessed with carotid intima media thickness (CIMT). A cross-sectional study was performed in Johannesburg, South Africa, including participants with HIV who were virally suppressed on anti-retroviral therapy (ART) as well as HIV-negative participants who were family members or friends to the HIV-positive participants. Information was collected on CVD risk factors and CIMT. Inflammation was measured with the Olink panel 'inflammation', allowing to simultaneously assess 92 inflammation markers. Differences in inflammation patterns between HIV-positive and HIV-negative participants were explored using a principal component analysis (PCA) and ANCOVA. The impact of differentiating immune markers, as identified by ANCOVA, on CIMT was assessed using linear regression while adjusting for classic CVD risk factors. In total, 185 HIV-positive and 104 HIV negative participants, 63% females, median age 40.7 years (IQR 35.4 - 47.7) were included. HIV-positive individuals were older (+6 years, p &lt;0.01) and had a higher CIMT (p &lt;0.01). No clear patterns of inflammation were identified by use of PCA. Following ANCOVA, nine immune markers differed significantly between HIV-positive and HIV-negative participants, including PDL1. PDL1 was independently associated with CIMT, but upon stratification this effect remained for HIV-negative individuals only. HIV positive patients on stable ART and HIV negative controls had similar immune activation patterns. CVD risk in HIV-positive participants was mediated by inflammation markers included in this study.</t>
  </si>
  <si>
    <t>Rural and urban migration to Europe in relation to cardiovascular disease risk: does it matter where you migrate from?</t>
  </si>
  <si>
    <t>Jansen, E S; Agyemang, C; Boateng, D; Danquah, I; Beune, E; Smeeth, L; Klipstein-Grobusch, K; Stronks, K; Meeks, K A C</t>
  </si>
  <si>
    <t>public health</t>
  </si>
  <si>
    <t>https://pubmed.ncbi.nlm.nih.gov/34233244</t>
  </si>
  <si>
    <t>To assess whether the environmental context (i.e. rural vs urban) in which individuals in low- and middle-income countries have resided most of their lives is associated with estimated cardiovascular disease (CVD) risk after migration to a high-income country. Data from the Research on Obesity and Diabetes among African Migrants (RODAM) study were used including 1699 Ghanaian participants aged 40-79 years who had migrated to Europe from Ghana (1549 of urban origin, 150 of rural origin). Ten-year CVD risk was estimated using the Pooled Cohort Equation, with estimates ≥7.5% defining elevated CVD risk. Comparisons between urban and rural origin migrant groups were made using proportions and adjusted odds ratios (ORs). The proportion of migrants with an elevated CVD-risk score was substantially higher among rural migrants than among urban migrants (45% vs. 37%, OR = 1.44, 95% confidence interval [CI]:1.03-2.02), which persisted after adjustment for education level, site of residence in Europe (London, Amsterdam or Berlin), length of stay in Europe, physical activity, energy intake and alcohol consumption (OR = 1.67, 95% CI: 1.05-2.67). Our findings indicate that migrants who spent most of their lives in a rural setting before migration to Europe may have a higher CVD risk than those of urban origins. Further work is needed to confirm these findings in other migrant populations and to unravel the mechanisms driving the differential CVD risk between urban and rural migrants.</t>
  </si>
  <si>
    <t>Mandibular range of motion in children with juvenile idiopathic arthritis with and without clinically established temporomandibular joint involvement and in healthy children; a cross-sectional study.</t>
  </si>
  <si>
    <t>de Sonnaville, Willemijn F C; Speksnijder, Caroline M; Zuithoff, Nicolaas P A; Verkouteren, Daan R C; Wulffraat, Nico W; Steenks, Michel H; Rosenberg, Antoine J W P</t>
  </si>
  <si>
    <t>pediatric rheumatology online journal</t>
  </si>
  <si>
    <t>https://pubmed.ncbi.nlm.nih.gov/34217306</t>
  </si>
  <si>
    <t>Recognition of temporomandibular joint (TMJ) involvement in children with juvenile idiopathic arthritis (JIA) has gained increasing attention in the past decade. The clinical assessment of mandibular range of motion characteristics is part of the recommended variables to detect TMJ involvement in children with JIA. The aim of this study was to explore explanatory variables for mandibular range of motion outcomes in children with JIA, with and without clinically established TMJ involvement, and in healthy children. This cross-sectional study included children with JIA and healthy children of age 6-18 years. Mandibular range of motion variables included active and passive maximum interincisal opening (AMIO and PMIO), protrusion, laterotrusion, dental midline shift in AMIO and in protrusion. Additionally, the TMJ screening protocol and palpation pain were assessed. Adjusted linear regression analyses of AMIO, PMIO, protrusion, and laterotrusion were performed to evaluate the explanatory factors. Two adjusted models were constructed: model 1 to compare children with JIA and healthy children, and model 2 to compare children with JIA with and without TMJ involvement. A total of 298 children with JIA and 169 healthy children were included. Length was an explanatory variable for the mandibular range of motion excursions. Each centimeter increase in length increased AMIO (0.14 mm), PMIO (0.14 mm), and protrusion (0.02 mm). Male gender increased AMIO by 1.35 mm. Having JIA negatively influenced AMIO (3.57 mm), PMIO (3.71 mm), and protrusion (1.03 mm) compared with healthy children, while the discrepancy between left and right laterotrusion raised 0.68 mm. Children with JIA and TMJ involvement had a 8.27 mm lower AMIO, 7.68 mm lower PMIO and 0.96 mm higher discrepancy in left and right laterotrusion compared to healthy children. All mandibular range of motion items were restricted in children with JIA compared with healthy children. In children with JIA and TMJ involvement, AMIO, PMIO and the discrepancy between left and right laterotrusion were impaired more severely. The limitation in protrusion and laterotrusion was hardly clinically relevant. Overall, AMIO is the mandibular range of motion variable with the highest restriction (in millimeters) in children with JIA and clinically established TMJ involvement compared to healthy children.</t>
  </si>
  <si>
    <t>Estimating regional prevalence of chronic hepatitis C with a capture-recapture analysis.</t>
  </si>
  <si>
    <t>Kracht, Patricia A M; Arends, Joop E; Hoepelman, Andy I M; Kretzschmar, Mirjam E E</t>
  </si>
  <si>
    <t>https://pubmed.ncbi.nlm.nih.gov/34217261</t>
  </si>
  <si>
    <t>The hepatitis C virus (HCV) infection is a candidate disease for micro-elimination. Accurate baseline HCV prevalence estimation is essential to monitor progress to micro-elimination but can be methodologically challenging in low-endemic regions like the Netherlands due to lack of disaggregated data by age or risk-groups on the number of chronic HCV patients (i.e. HCV RNA positive). This study estimates the number of patients that has had a chronic HCV infection (ever-chronic) in the Utrecht region of the Netherlands. In the Utrecht province in the Netherlands, positive HCV tests from the period 2001-2015 from one diagnostic center and four hospital laboratories were collected. A two-source capture-recapture method was used to analyze the overlap between the two registries (with 92% HCV RNA and 8% HCV immunoblot confirmed infections) to obtain the number of ever-chronic HCV infections in the Utrecht region. The Utrecht region was defined as an area with a 25 km radius from the Utrecht city center. The current viremic HCV prevalence was calculated by taking into account the proportion of cured and deceased HCV patients from a local HCV retrieval (REACH) project. The estimated number of ever-chronic HCV patients was 1245 (95% CI 1164-1326) and would indicate a prevalence of 0.10 (95% CI 0.09-0.10) in the Utrecht region. This is 30% (95% CI 21-38%) more than the number of known HCV patients in the records. The ever-chronic HCV prevalence was highest in the 1960-1969 age cohort (0.16; 95% CI 0.14-0.18). Since 50% of the HCV patients were cured or deceased in the REACH-project, the number of current viremic HCV patients was estimated at 623 individuals in the Utrecht region (prevalence 0.05%). The results of this study suggest a low ever-chronic and current HCV prevalence in the Utrecht area in the Netherlands, but other studies need to confirm this.</t>
  </si>
  <si>
    <t>Governing Gene Drive Technologies: A Qualitative Interview Study.</t>
  </si>
  <si>
    <t>de Graeff, N; Jongsma, Karin R; Lunshof, Jeantine E; Bredenoord, Annelien L</t>
  </si>
  <si>
    <t>ajob empirical bioethics</t>
  </si>
  <si>
    <t>https://pubmed.ncbi.nlm.nih.gov/34219621</t>
  </si>
  <si>
    <t>Gene drive technologies (GDTs) bias the inheritance of a genetic element within a population of non-human organisms, promoting its progressive spread across this population. If successful, GDTs may be used to counter intractable problems such as vector-borne diseases. A key issue in the debate on GDTs relates to what governance is appropriate for these technologies. While governance mechanisms for GDTs are to a significant extent proposed and shaped by professional experts, the perspectives of these experts have not been explored in depth. A total of 33 GDT experts from different professional disciplines were interviewed to identify, better understand, and juxtapose their perspectives on GDT governance. The pseudonymized transcripts were analyzed thematically. Three main themes were identified: (1) engagement of communities, stakeholders, and publics; (2) power dynamics, and (3) decision-making. There was broad consensus amongst respondents that it is important to engage communities, stakeholders, and publics. Nonetheless, respondents had diverging views on the reasons for doing so and the timing and design of engagement. Respondents also outlined complexities and challenges related to engagement. Moreover, they brought up the power dynamics that are present in GDT research. Respondents stressed the importance of preventing the recurrence of historical injustices and reflected on dilemmas regarding whether and to what extent (foreign) researchers can legitimately make demands regarding local governance. Finally, respondents had diverging views on whether decisions about GDTs should be made in the same way as decisions about other environmental interventions, and on the decision-making model that should be used to decide about GDT deployment. The insights obtained in this interview study give rise to recommendations for the design and evaluation of GDT governance. Moreover, these insights point to unresolved normative questions that need to be addressed to move from general commitments to concrete obligations.</t>
  </si>
  <si>
    <t>Guideline-Directed Medical Therapy in Females with Heart Failure with Reduced Ejection Fraction.</t>
  </si>
  <si>
    <t>Agarwal, Anubha; Peters, Sanne A E; Chandramouli, Chanchal; Lam, Carolyn S P; Figtree, Gemma A; Arnott, Clare</t>
  </si>
  <si>
    <t>https://pubmed.ncbi.nlm.nih.gov/34213729</t>
  </si>
  <si>
    <t>This narrative review synthesizes sex differences in guideline-directed medical therapy (GDMT) use and response among female patients with heart failure with reduced ejection fraction (HFrEF), discusses female representation in HFrEF clinical trials, and outlines future areas of investigation to reduce sex disparities in HFrEF care globally. Observational registries suggest sex-specific disparities persist in GDMT rates, and there may be key sex-specific differences in optimal dosing of GDMT in HFrEF patients. Underrepresentation of female patients in HF clinical trials is a key barrier, and sex disparities in HF clinical trial leadership may influence sex-specific knowledge generation of medical management of HFrEF patients. There are important sex-specific differences in GDMT use and response among female HFrEF patients that warrant further study. Increasing female representation in HFrEF clinical trials, diversifying HF trial leadership, and embedding sex-specific approaches in the lifecycle of research from conception to reporting are essential to decreasing sex disparities in clinical care of all HFrEF patients.</t>
  </si>
  <si>
    <t>The mediating role of unhealthy behavior in the relationship between shift work and perceived health.</t>
  </si>
  <si>
    <t>Proper, Karin I; Jaarsma, Eva; Robroek, Suzan J W; Schram, Jolinda L D; Boshuizen, Hendriek; Picavet, H Susan J; Verschuren, W M Monique; van Oostrom, Sandra H</t>
  </si>
  <si>
    <t>https://pubmed.ncbi.nlm.nih.gov/34215233</t>
  </si>
  <si>
    <t>Little is known about the relationship between shift work and perceived health, including potential underlying mechanisms such as unhealthy behaviors. The aim of this study was to investigate whether unhealthy behaviors mediate the relationship between shift work and perceived mental and physical health, taking into account potential differences by level of education. Data from 1633 workers participating in the Doetinchem Cohort Study during 1995-2016 were used. Being engaged in shift work was determined at 1 year preceding the assessment of health behaviors. Mental and physical health were assessed after 5 years of follow-up by the 5-item Mental Health Inventory and the physical functioning scale of the 36-item Short Form Health Survey. Smoking, physical inactivity, alcohol consumption, and overweight were considered as potential mediators and education was treated as moderator. Moderated mediation analyses using generalized estimated equations were performed. Shift work was not statistically significantly related to either mental or physical health. Despite this, statistically significant mediation effects of smoking (Beta - 0.09; 95% Confidence Interval - 0.20 - -0.01, respectively B -0.09; 95%CI -0.21 - -0.01) and physical inactivity (B 0.11; 95%CI 0.03-0.23, respectively B 0.08; 95%CI 0.01-0.18) were found in the relationship between shift work and mental or physical health. Direct and indirect effects outweighed each other in the relationship between shift work and mental health, since the direction of these effects was opposite. The relationship between shift work, unhealthy behavior, and health was not different by educational level. Shift workers did not report lower mental or physical health than non-shift workers. Though mediation effects of unhealthy behavior were observed in the relationship between shift work and perceived health, these small effects had minor public health relevance.</t>
  </si>
  <si>
    <t>Developing the building blocks to elucidate the impact of the urban exposome on cardiometabolic-pulmonary disease: The EU EXPANSE project.</t>
  </si>
  <si>
    <t>Vlaanderen, Jelle; de Hoogh, Kees; Hoek, Gerard; Peters, Annette; Probst-Hensch, Nicole; Scalbert, Augustin; Melén, Erik; Tonne, Cathryn; de Wit, G Ardine; Chadeau-Hyam, Marc; Katsouyanni, Klea; Esko, Tõnu; Jongsma, Karin R; Vermeulen, Roel</t>
  </si>
  <si>
    <t>environmental epidemiology philadelphia pa</t>
  </si>
  <si>
    <t>https://pubmed.ncbi.nlm.nih.gov/34414346</t>
  </si>
  <si>
    <t>By 2030, more than 80% of Europe's population will live in an urban environment. The urban exposome, consisting of factors such as where we live and work, where and what we eat, our social network, and what chemical and physical hazards we are exposed to, provides important targets to improve population health. The EXPANSE (EXposome Powered tools for healthy living in urbAN SEttings) project will study the impact of the urban exposome on the major contributors to Europe's burden of disease: Cardio-Metabolic and Pulmonary Disease. EXPANSE will address one of the most pertinent questions for urban planners, policy makers, and European citizens: "How to maximize one's health in a modern urban environment?" EXPANSE will take the next step in exposome research by (1) bringing together exposome and health data of more than 55 million adult Europeans and OMICS information for more than 2 million Europeans; (2) perform personalized exposome assessment for 5,000 individuals in five urban regions; (3) applying ultra-high-resolution mass-spectrometry to screen for chemicals in 10,000 blood samples; (4) evaluating the evolution of the exposome and health through the life course; and (5) evaluating the impact of changes in the urban exposome on the burden of cardiometabolic and pulmonary disease. EXPANSE will translate its insights and innovations into research and dissemination tools that will be openly accessible via the EXPANSE toolbox. By applying innovative ethics-by-design throughout the project, the social and ethical acceptability of these tools will be safeguarded. EXPANSE is part of the European Human Exposome Network.</t>
  </si>
  <si>
    <t>Exploring the evolution and epidemiology of European CC1-MRSA-IV: tracking a multidrug-resistant community-associated meticillin-resistant &lt;i&gt;Staphylococcus aureus&lt;/i&gt; clone.</t>
  </si>
  <si>
    <t>Earls, Megan R; Steinig, Eike J; Monecke, Stefan; Samaniego Castruita, José A; Simbeck, Alexandra; Schneider-Brachert, Wulf; Vremerǎ, Teodora; Dorneanu, Olivia S; Loncaric, Igor; Bes, Michèle; Lacoma, Alicia; Prat Aymerich, Cristina; Wernery, Ulrich; Armengol-Porta, Marc; Blomfeldt, Anita; Duchene, Sebastian; Bartels, Mette D; Ehricht, Ralf; Coleman, David C</t>
  </si>
  <si>
    <t>microbial genomics</t>
  </si>
  <si>
    <t>https://pubmed.ncbi.nlm.nih.gov/34223815</t>
  </si>
  <si>
    <t>This study investigated the evolution and epidemiology of the community-associated and multidrug-resistant &lt;i&gt;Staphylococcus aureus&lt;/i&gt; clone European CC1-MRSA-IV. Whole-genome sequences were obtained for 194 European CC1-MRSA-IV isolates (189 of human and 5 of animal origin) from 12 countries, and 10 meticillin-susceptible precursors (from North-Eastern Romania; all of human origin) of the clone. Phylogenetic analysis was performed using a maximum-likelihood approach, a time-measured phylogeny was reconstructed using Bayesian analysis, and &lt;i&gt;in silico&lt;/i&gt; microarray genotyping was performed to identify resistance, virulence-associated and SCC&lt;i&gt;mec&lt;/i&gt; (staphylococcal cassette chromosome &lt;i&gt;mec&lt;/i&gt;) genes. Isolates were typically sequence type 1 (190/204) and &lt;i&gt;spa&lt;/i&gt; type t127 (183/204). Bayesian analysis indicated that European CC1-MRSA-IV emerged in approximately 1995 before undergoing rapid expansion in the late 1990s and 2000s, while spreading throughout Europe and into the Middle East. Phylogenetic analysis revealed an unstructured meticillin-resistant &lt;i&gt;S. aureus&lt;/i&gt; (MRSA) population, lacking significant geographical or temporal clusters. The MRSA were genotypically multidrug-resistant, consistently encoded &lt;i&gt;seh&lt;/i&gt;, and intermittently (34/194) encoded an undisrupted &lt;i&gt;hlb&lt;/i&gt; gene with concomitant absence of the lysogenic phage-encoded genes &lt;i&gt;sak&lt;/i&gt; and &lt;i&gt;scn&lt;/i&gt;. All MRSA also harboured a characteristic ~5350 nt insertion in SCC&lt;i&gt;mec&lt;/i&gt; adjacent to &lt;i&gt;orfX&lt;/i&gt;. Detailed demographic data from Denmark showed that there, the clone is typically (25/35) found in the community, and often (10/35) among individuals with links to South-Eastern Europe. This study elucidated the evolution and epidemiology of European CC1-MRSA-IV, which emerged from a meticillin-susceptible lineage prevalent in North-Eastern Romania before disseminating rapidly throughout Europe.</t>
  </si>
  <si>
    <t>Identifying adults with acute rhinosinusitis in primary care that benefit most from antibiotics: protocol of an individual patient data meta-analysis using multivariable risk prediction modelling.</t>
  </si>
  <si>
    <t>Venekamp, Roderick P; Hoogland, Jeroen; van Smeden, Maarten; Rovers, Maroeska M; De Sutter, An I; Merenstein, Daniel; van Essen, Gerrit A; Kaiser, Laurent; Liira, Helena; Little, Paul; Bucher, Heiner Cc; Reitsma, Johannes B</t>
  </si>
  <si>
    <t>https://pubmed.ncbi.nlm.nih.gov/34210729</t>
  </si>
  <si>
    <t>Acute rhinosinusitis (ARS) is a prime reason for doctor visits and among the conditions with highest antibiotic overprescribing rates in adults. To reduce inappropriate prescribing, we aim to predict the absolute benefit of antibiotic treatment for individual adult patients with ARS by applying multivariable risk prediction methods to individual patient data (IPD) of multiple randomised placebo-controlled trials. This is an update and re-analysis of a 2008 IPD meta-analysis on antibiotics for adults with clinically diagnosed ARS. First, the reference list of the 2018 Cochrane review on antibiotics for ARS will be reviewed for relevant studies published since 2008. Next, the systematic searches of CENTRAL, MEDLINE and Embase of the Cochrane review will be updated to 1 September 2020. Methodological quality of eligible studies will be assessed using the Cochrane Risk of Bias 2 tool. The primary outcome is cure at 8-15 days. Regression-based methods will be used to model the risk of being cured based on relevant predictors and treatment, while accounting for clustering. Such model allows for risk predictions as a function of treatment and individual patient characteristics and hence gives insight into individualised absolute benefit. Candidate predictors will be based on literature, clinical reasoning and availability. Calibration and discrimination will be evaluated to assess model performance. Resampling techniques will be used to assess internal validation. In addition, internal-external cross-validation procedures will be used to inform on between-study differences and estimate out-of-sample model performance. Secondarily, we will study possible heterogeneity of treatment effect as a function of outcome risk. In this study, no identifiable patient data will be used. As such, the Medical Research Involving Humans Subject Act (WMO) does not apply and official ethical approval is not required. Results will be submitted for publication in international peer-reviewed journals. CRD42020220108.</t>
  </si>
  <si>
    <t>Interaction Between Primary Tumor Resection, Primary Tumor Location, and Survival in Synchronous Metastatic Colorectal Cancer: A Population-Based Study.</t>
  </si>
  <si>
    <t>van der Kruijssen, Dave E W; Brouwer, Nelleke P M; van der Kuil, Auke J S; Verhoeven, Rob H A; Elias, Sjoerd G; Vink, Geraldine R; Punt, Cornelis J A; de Wilt, Johannes H W; Koopman, Miriam</t>
  </si>
  <si>
    <t>american journal of clinical oncology</t>
  </si>
  <si>
    <t>https://pubmed.ncbi.nlm.nih.gov/33899807</t>
  </si>
  <si>
    <t>Location of the primary tumor has prognostic value and predicts the effect of certain therapeutics in synchronous metastatic colorectal cancer. We investigated whether the association between primary tumor resection (PTR) and overall survival (OS) also depends on tumor location.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Upfront PTR is associated with improved survival regardless of primary tumor location. Patients with RCC appear to have less benefit because of higher mortality during 2 to 3 months after PTR.</t>
  </si>
  <si>
    <t>PRAISE: providing a roadmap for automated infection surveillance in Europe.</t>
  </si>
  <si>
    <t>van Mourik, Maaike S M; van Rooden, Stephanie M; Abbas, Mohamed; Aspevall, Olov; Astagneau, Pascal; Bonten, Marc J M; Carrara, Elena; Gomila-Grange, Aina; de Greeff, Sabine C; Gubbels, Sophie; Harrison, Wendy; Humphreys, Hilary; Johansson, Anders; Koek, Mayke B G; Kristensen, Brian; Lepape, Alain; Lucet, Jean-Christophe; Mookerjee, Siddharth; Naucler, Pontus; Palacios-Baena, Zaira R; Presterl, Elisabeth; Pujol, Miquel; Reilly, Jacqui; Roberts, Christopher; Tacconelli, Evelina; Teixeira, Daniel; Tängdén, Thomas; Valik, John Karlsson; Behnke, Michael; Gastmeier, Petra; ,</t>
  </si>
  <si>
    <t>https://pubmed.ncbi.nlm.nih.gov/34217466</t>
  </si>
  <si>
    <t>Healthcare-associated infections (HAI) are among the most common adverse events of medical care. Surveillance of HAI is a key component of successful infection prevention programmes. Conventional surveillance - manual chart review - is resource intensive and limited by concerns regarding interrater reliability. This has led to the development and use of automated surveillance (AS). Many AS systems are the product of in-house development efforts and heterogeneous in their design and methods. With this roadmap, the PRAISE network aims to provide guidance on how to move AS from the research setting to large-scale implementation, and how to ensure the delivery of surveillance data that are uniform and useful for improvement of quality of care. The PRAISE network brings together 30 experts from ten European countries. This roadmap is based on the outcome of two workshops, teleconference meetings and review by an independent panel of international experts. This roadmap focuses on the surveillance of HAI within networks of healthcare facilities for the purpose of comparison, prevention and quality improvement initiatives. The roadmap does the following: discusses the selection of surveillance targets, different organizational and methodologic approaches and their advantages, disadvantages and risks; defines key performance requirements of AS systems and suggestions for their design; provides guidance on successful implementation and maintenance; and discusses areas of future research and training requirements for the infection prevention and related disciplines. The roadmap is supported by accompanying documents regarding the governance and information technology aspects of implementing AS. Large-scale implementation of AS requires guidance and coordination within and across surveillance networks. Transitions to large-scale AS entail redevelopment of surveillance methods and their interpretation, intensive dialogue with stakeholders and the investment of considerable resources. This roadmap can be used to guide future steps towards implementation, including designing solutions for AS and practical guidance checklists.</t>
  </si>
  <si>
    <t>Prognostic value of breast MRI characteristics before and during neoadjuvant endocrine therapy in patients with ER+/HER2- breast cancer.</t>
  </si>
  <si>
    <t>Ragusi, Max Aa; Winter-Warnars, Gonneke Ao; Wesseling, Jelle; Linn, Sabine C; Beets-Tan, Regina G; van der Velden, Bas Hm; Elias, Sjoerd G; Gilhuijs, Kenneth Ga; Loo, Claudette E</t>
  </si>
  <si>
    <t>the british journal of radiology</t>
  </si>
  <si>
    <t>https://pubmed.ncbi.nlm.nih.gov/34142870</t>
  </si>
  <si>
    <t>To investigate whether BIRADS MRI characteristics before or during neoadjuvant endocrine therapy (NET) are associated with the preoperative endocrine prognostic index (PEPI) in ER+/HER2- breast cancer patients. This retrospective observational cohort study included 35 ER+/HER2- patients with 38 tumors (3 bilateral cases) treated with NET. The pre- and midtreatment (after 3 months) MRIs were evaluated by two breast radiologists for BIRADS imaging characteristics, shrinkage pattern, and radiologic response. PEPI was used as end point. PEPI is based on the post-treatment surgical specimen's pT- and pN-stage, Ki67, and ER-status. Tumors were assigned PEPI-1 (good prognosis) or PEPI-2/3 (poor prognosis). We investigated whether pre- and midtreatment BIRADS characteristics were associated with PEPI. Median patient age was 65 years (interquartile interval [IQI]: 53, 70). 17 tumors (44.7%) were associated with good prognosis (PEPI-1), and 21 tumors (55.3%) with poor prognosis (PEPI-2/3). A larger reduction in tumor size after 3 months of NET was significantly associated with PEPI; 10 mm (IQI: 5, 13.5) in PEPI-1 tumors &lt;i&gt;vs&lt;/i&gt; 4.5 mm (IQI: 3, 7; &lt;i&gt;p&lt;/i&gt; = .045) in PEPI-2/3 tumors. Other BIRADS characteristics, shrinkage pattern or radiologic response were not associated with PEPI. Only a larger reduction in tumor size on MRI after 3 months of NET was associated with PEPI-1 (good prognosis) in ER+/HER2- breast cancer patients. MRI characteristics previously reported to be associated with prognosis during neoadjuvant chemotherapy are not necessarily associated with prognosis during NET in ER+/HER2- breast cancer patients.</t>
  </si>
  <si>
    <t>Response to the Comment on "Meta-analysis of Effect of Volume (Hospital and Operator) on Carotid Revascularization Outcomes".</t>
  </si>
  <si>
    <t>Poorthuis, Michiel H F; Brand, Eelco C; Halliday, Alison; Bulbulia, Richard; Bots, Michiel L; de Borst, Gert J</t>
  </si>
  <si>
    <t>https://pubmed.ncbi.nlm.nih.gov/31268898</t>
  </si>
  <si>
    <t>&lt;sup&gt;177&lt;/sup&gt;Lu-PSMA for advanced prostate cancer: are we ready to play big?</t>
  </si>
  <si>
    <t>Hehakaya, Charisma; Moors, Ellen H M; Verkooijen, Helena M; Grobbee, Diederick E; Verburg, Frederik A; Lam, Marnix G E H</t>
  </si>
  <si>
    <t>european journal of nuclear medicine and molecular imaging</t>
  </si>
  <si>
    <t>https://pubmed.ncbi.nlm.nih.gov/33161440</t>
  </si>
  <si>
    <t>Outbreak of Coronavirus Disease 2019 (COVID-19) in a Nursing Home Associated With Aerosol Transmission as a Result of Inadequate Ventilation.</t>
  </si>
  <si>
    <t>de Man, Peter; Paltansing, Sunita; Ong, David S Y; Vaessen, Norbert; van Nielen, Gerard; Koeleman, Johannes G M</t>
  </si>
  <si>
    <t>https://pubmed.ncbi.nlm.nih.gov/32857130</t>
  </si>
  <si>
    <t>Recognizing the ethical implications of stem cell research: A call for broadening the scope.</t>
  </si>
  <si>
    <t>stem cell reports</t>
  </si>
  <si>
    <t>https://pubmed.ncbi.nlm.nih.gov/34214488</t>
  </si>
  <si>
    <t>The ethical implications of stem cell research are often described in terms of risks, side effects, safety, and therapeutic value, which are examples of so-called hard impacts. Hard impacts are typically measurable and quantifiable. To understand the broader spectrum of ethical implications of stem cell research on science and society, it is equally important to recognize soft impacts. Soft impacts are the effects on behavior, experiences, actions, moral values, and social structures; these are often indirect effects of stem cell research. The combined notions of hard and soft impacts offer a broader way of thinking about the social and ethical implications of stem cell research and can help to steer stem cell research into a sociable desirable direction. Soft impacts enable researchers to become more aware of the broad range of significant implications involved in their work and deserve equal attention for understanding such ethical and societal effects of stem cell research.</t>
  </si>
  <si>
    <t>High HIV prevalence among decedents received by two high-volume mortuaries in Kisumu, western Kenya, 2019.</t>
  </si>
  <si>
    <t>Onyango, Dickens O; van der Sande, Marianne A B; Musingila, Paul; Kinywa, Eunice; Opollo, Valarie; Oyaro, Boaz; Nyakeriga, Emmanuel; Waruru, Anthony; Waruiru, Wanjiru; Mwangome, Mary; Macharia, Teresia; Young, Peter W; Junghae, Muthoni; Ngugi, Catherine; De Cock, Kevin M; Rutherford, George W</t>
  </si>
  <si>
    <t>https://pubmed.ncbi.nlm.nih.gov/34197509</t>
  </si>
  <si>
    <t>Accurate data on HIV-related mortality are necessary to evaluate the impact of HIV interventions. In low- and middle-income countries (LMIC), mortality data obtained through civil registration are often of poor quality. Though not commonly conducted, mortuary surveillance is a potential complementary source of data on HIV-associated mortality. During April-July 2019, we assessed HIV prevalence, the attributable fraction among the exposed, and the population attributable fraction among decedents received by two high-volume mortuaries in Kisumu County, Kenya, where HIV prevalence in the adult population was estimated at 18% in 2019 with high ART coverage (76%). Stillbirths were excluded. The two mortuaries receive 70% of deaths notified to the Kisumu East civil death registry; this registry captures 45% of deaths notified in Kisumu County. We conducted hospital chart reviews to determine the HIV status of decedents. Decedents without documented HIV status, including those dead on arrival, were tested using HIV antibody tests or polymerase chain reaction (PCR) consistent with national HIV testing guidelines. Decedents aged less than 15 years were defined as children. We estimated annual county deaths by applying weights that incorporated the study period, coverage of deaths, and mortality rates observed in the study. The two mortuaries received a total of 1,004 decedents during the study period, of which 95.1% (955/1004) were available for study; 89.1% (851/955) of available decedents were enrolled of whom 99.4% (846/851) had their HIV status available from medical records and post-mortem testing. The overall population-based, age- and sex-adjusted mortality rate was 12.4 per 1,000 population. The unadjusted HIV prevalence among decedents was 28.5% (95% confidence interval (CI): 25.5-31.6). The age- and sex-adjusted mortality rate in the HIV-infected population (40.7/1000 population) was four times higher than in the HIV-uninfected population (10.2/1000 population). Overall, the attributable fraction among the HIV-exposed was 0.71 (95% CI: 0.66-0.76) while the HIV population attributable fraction was 0.17 (95% CI: 0.14-0.20). In children the attributable fraction among the exposed and population attributable fraction were 0.92 (95% CI: 0.89-0.94) and 0.11 (95% CI: 0.08-0.15), respectively. Over one quarter (28.5%) of decedents received by high-volume mortuaries in western Kenya were HIV-positive; overall, HIV was considered the cause of death in 17% of the population (19% of adults and 11% of children). Despite substantial scale-up of HIV services, HIV disease remains a leading cause of death in western Kenya. Despite progress, increased efforts remain necessary to prevent and treat HIV infection and disease.</t>
  </si>
  <si>
    <t>Cortical cerebral microinfarcts on 7T MRI: Risk factors, neuroimaging correlates and cognitive functioning - The Medea-7T study.</t>
  </si>
  <si>
    <t>Zwartbol, Maarten Ht; Rissanen, Ina; Ghaznawi, Rashid; de Bresser, Jeroen; Kuijf, Hugo J; Blom, Kim; Witkamp, Theo D; Koek, Huiberdina L; Biessels, Geert Jan; Hendrikse, Jeroen; Geerlings, Mirjam I</t>
  </si>
  <si>
    <t>https://pubmed.ncbi.nlm.nih.gov/34187229</t>
  </si>
  <si>
    <t>We determined the occurrence and association of cortical cerebral microinfarcts (CMIs) at 7 T MRI with risk factors, neuroimaging markers of small and large vessel disease, and cognitive functioning. Within the Medea-7T study, a diverse cohort of older persons with normal cognition, patients with vascular disease, and memory clinic patients, we included 386 participants (68 ± 9 years) with available 7 T and 1.5 T/3T brain MRI, and risk factor and neuropsychological data. CMIs were found in 10% of participants and were associated with older age (RR = 1.79 per +10 years, 95%CI 1.28-2.50), history of stroke or TIA (RR = 4.03, 95%CI 2.18-7.43), cortical infarcts (RR = 5.28, 95%CI 2.91-9.55), lacunes (RR = 5.66, 95%CI 2.85-11.27), cerebellar infarcts (RR = 2.73, 95%CI 1.27-5.84) and decreased cerebral blood flow (RR = 1.35 per -100 ml/min, 95%CI 1.00-1.83), after adjustment for age and sex. Furthermore, participants with &gt;2 CMIs had 0.5 SD (95%CI 0.05-0.91) lower global cognitive performance, compared to participants without CMIs. Our results indicate that CMIs on 7 T MRI are observed in vascular and memory clinic patients with similar frequency, and are associated with older age, history of stroke or TIA, other brain infarcts, and poorer global cognitive functioning.</t>
  </si>
  <si>
    <t>Impact of the suspension and restart of the Dutch breast cancer screening program on breast cancer incidence and stage during the COVID-19 pandemic.</t>
  </si>
  <si>
    <t>Eijkelboom, Anouk H; de Munck, Linda; Lobbes, Marc B I; van Gils, Carla H; Wesseling, Jelle; Westenend, Pieter J; Guerrero Paez, Cristina; Pijnappel, Ruud M; Verkooijen, Helena M; Broeders, Mireille J M; Siesling, Sabine; ,</t>
  </si>
  <si>
    <t>https://pubmed.ncbi.nlm.nih.gov/34217417</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</si>
  <si>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cT1&lt;sub&gt;,&lt;/sub&gt;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</si>
  <si>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Editorial: Viral Infections in the Intensive Care Unit.</t>
  </si>
  <si>
    <t>Maraolo, Alberto E; Barac, Aleksandra; Cremer, Olaf L; Ong, David S Y</t>
  </si>
  <si>
    <t>https://pubmed.ncbi.nlm.nih.gov/34277675</t>
  </si>
  <si>
    <t>Anorectal dose-effect relations for late gastrointestinal toxicity following external beam radiotherapy for prostate cancer in the FLAME trial.</t>
  </si>
  <si>
    <t>Groen, Veerle H; Zuithoff, Nicolaas P A; van Schie, Marcel; Monninkhof, Evelyn M; Kunze-Busch, Martina; de Boer, Hans C J; van der Voort van Zyp, Jochem; Pos, Floris J; Smeenk, Robert Jan; Haustermans, Karin; Isebaert, Sofie; Draulans, Cédric; Depuydt, Tom; Verkooijen, Helena M; van der Heide, Uulke A; Kerkmeijer, Linda G W</t>
  </si>
  <si>
    <t>https://pubmed.ncbi.nlm.nih.gov/34214614</t>
  </si>
  <si>
    <t>The phase III FLAME trial (NCT01168479) showed an increase in five-year biochemical disease-free survival, with no significant increase in toxicity when adding a focal boost to external beam radiotherapy (EBRT) for localized prostate cancer [Kerkmeijer et al. JCO 2021]. The aim of this study was to investigate the association between delivered radiation dose to the anorectum and gastrointestinal (GI) toxicity (grade ≥2). All patients in the FLAME trial were analyzed, irrespective of treatment arm. The dose-effect relation of the anorectal dose parameters (D2cm&lt;sup&gt;3&lt;/sup&gt; and D50%) and GI toxicity grade ≥2 in four years of follow-up was assessed using a mixed model analysis for repeated measurements, adjusted for age, cardiovascular disease, diabetes mellitus, T-stage, baseline toxicity grade ≥1, hormonal therapy and institute. A dose-effect relation for D2cm&lt;sup&gt;3&lt;/sup&gt; and D50% was observed with adjusted odds ratios of 1.17 (95% CI 1.13-1.21, p &lt; 0.0001) and 1.20 (95% CI 1.14-1.25, p &lt; 0.0001) for GI toxicity, respectively. Although there was no difference in toxicity between study arms, a higher radiation dose to the anorectum was associated with a statistically significant increase in GI toxicity following EBRT for prostate cancer. This dose-effect relation was present for both large and small anorectal volumes. Therefore, further increase in dose to the anorectum should be weighed against the benefit of focal dose escalation for prostate cancer.</t>
  </si>
  <si>
    <t>Reporting of prognostic clinical prediction models based on machine learning methods in oncology needs to be improved.</t>
  </si>
  <si>
    <t>Dhiman, Paula; Ma, Jie; Navarro, Constanza Andaur; Speich, Benjamin; Bullock, Garrett; Damen, Johanna Aa; Kirtley, Shona; Hooft, Lotty; Riley, Richard D; Van Calster, Ben; Moons, Karel G M; Collins, Gary S</t>
  </si>
  <si>
    <t>https://pubmed.ncbi.nlm.nih.gov/34214626</t>
  </si>
  <si>
    <t>Evaluate the completeness of reporting of prognostic prediction models developed using machine learning methods in the field of oncology. We conducted a systematic review, searching the MEDLINE and Embase databases between 01/01/2019 and 05/09/2019, for non-imaging studies developing a prognostic clinical prediction model using machine learning methods (as defined by primary study authors) in oncology. We used the Transparent Reporting of a multivariable prediction model for Individual Prognosis Or Diagnosis (TRIPOD) statement to assess the reporting quality of included publications. We described overall reporting adherence of included publications and by each section of TRIPOD. Sixty-two publications met the inclusion criteria. 48 were development studies and 14 were development with validation studies. 152 models were developed across all publications. Median adherence to TRIPOD reporting items was 41% [range: 10%-67%] and at least 50% adherence was found in 19% (n=12/62) of publications. Adherence was lower in development only studies (median: 38% [range: 10%-67%]); and higher in development with validation studies (median: 49% [range: 33%-59%]). Reporting of clinical prediction models using machine learning in oncology is poor and needs urgent improvement, so readers and stakeholders can appraise the study methods, understand study findings, and reduce research waste.</t>
  </si>
  <si>
    <t>Developing a reporting guideline for artificial intelligence-centred diagnostic test accuracy studies: the STARD-AI protocol.</t>
  </si>
  <si>
    <t>Sounderajah, Viknesh; Ashrafian, Hutan; Golub, Robert M; Shetty, Shravya; De Fauw, Jeffrey; Hooft, Lotty; Moons, Karel; Collins, Gary; Moher, David; Bossuyt, Patrick M; Darzi, Ara; Karthikesalingam, Alan; Denniston, Alastair K; Mateen, Bilal Akhter; Ting, Daniel; Treanor, Darren; King, Dominic; Greaves, Felix; Godwin, Jonathan; Pearson-Stuttard, Jonathan; Harling, Leanne; McInnes, Matthew; Rifai, Nader; Tomasev, Nenad; Normahani, Pasha; Whiting, Penny; Aggarwal, Ravi; Vollmer, Sebastian; Markar, Sheraz R; Panch, Trishan; Liu, Xiaoxuan; ,</t>
  </si>
  <si>
    <t>https://pubmed.ncbi.nlm.nih.gov/34183345</t>
  </si>
  <si>
    <t>Standards for Reporting of Diagnostic Accuracy Study (STARD) was developed to improve the completeness and transparency of reporting in studies investigating diagnostic test accuracy. However, its current form, STARD 2015 does not address the issues and challenges raised by artificial intelligence (AI)-centred interventions. As such, we propose an AI-specific version of the STARD checklist (STARD-AI), which focuses on the reporting of AI diagnostic test accuracy studies. This paper describes the methods that will be used to develop STARD-AI. The development of the STARD-AI checklist can be distilled into six stages. (1) A project organisation phase has been undertaken, during which a Project Team and a Steering Committee were established; (2) An item generation process has been completed following a literature review, a patient and public involvement and engagement exercise and an online scoping survey of international experts; (3) A three-round modified Delphi consensus methodology is underway, which will culminate in a teleconference consensus meeting of experts; (4) Thereafter, the Project Team will draft the initial STARD-AI checklist and the accompanying documents; (5) A piloting phase among expert users will be undertaken to identify items which are either unclear or missing. This process, consisting of surveys and semistructured interviews, will contribute towards the explanation and elaboration document and (6) On finalisation of the manuscripts, the group's efforts turn towards an organised dissemination and implementation strategy to maximise end-user adoption. Ethical approval has been granted by the Joint Research Compliance Office at Imperial College London (reference number: 19IC5679). A dissemination strategy will be aimed towards five groups of stakeholders: (1) academia, (2) policy, (3) guidelines and regulation, (4) industry and (5) public and non-specific stakeholders. We anticipate that dissemination will take place in Q3 of 2021.</t>
  </si>
  <si>
    <t>Framing the potential of public frameshift peptides as immunotherapy targets in colon cancer.</t>
  </si>
  <si>
    <t>Spaanderman, Ide T; Peters, Fleur S; Jongejan, Aldo; Redeker, Egbert J W; Punt, Cornelis J A; Bins, Adriaan D</t>
  </si>
  <si>
    <t>https://pubmed.ncbi.nlm.nih.gov/34181673</t>
  </si>
  <si>
    <t>Approximately 15% of Colon Cancers are Microsatellite Instable (MSI). Frameshift Peptides (FPs) formed in MSI Colon Cancer are potential targets for immunotherapeutic strategies. Here we comprehensively characterize the mutational landscape of 71 MSI Colon Cancer patients from the cancer genome atlas (TCGA). We confirm that the mutations in MSI Colon Cancers are frequently frameshift deletions (23% in MSI; 1% in microsatellite stable), We find that these mutations cluster at specific locations in the genome which are mutated in up to 41% of the patients. We filter these for an adequate variant allele frequency, a sufficient mean mRNA level and the formation of a Super Neo Open Reading Frame (SNORF). Finally, we check the influence of Nonsense Mediated Decay (MMD) by comparing RNA and DNA sequencing results. Thereby we identify a set of 20 NMD-escaping Public FPs (PFPs) that cover over 90% of MSI Colon, 62.2% of MSI Endometrial and 58.8% of MSI Stomach cancer patients and 3 out of 4 Lynch patients in the TCGA-COAD. This underlines the potential for PFP directed immunotherapy, both in a therapeutic and a prophylactic setting in multiple types of MSI cancers.</t>
  </si>
  <si>
    <t>Patients' preferred and perceived level of involvement in decision making for cancer treatment: A systematic review.</t>
  </si>
  <si>
    <t>Noteboom, Eveline A; May, Anne M; van der Wall, Elsken; de Wit, Niek J; Helsper, Charles W</t>
  </si>
  <si>
    <t>https://pubmed.ncbi.nlm.nih.gov/34146446</t>
  </si>
  <si>
    <t>Patient involvement in decision making is conditional for personalised treatment decisions. We aim to provide an up-to-date overview of patients' preferred and perceived level of involvement in decision making for cancer treatment. A systematic search was performed in PubMed, EMBASE, PsycINFO and CINAHL for articles published between January 2009 and January 2020. Search terms were 'decision making', 'patient participation', 'oncology', 'perception' and 'treatment'. Inclusion criteria were: written in English, peer-reviewed, reporting patients' preferred and perceived level of involvement, including adult cancer patients and concerning decision making for cancer treatment. The percentages of patients preferring and perceiving an active, shared or passive decision role and the (dis)concordance are presented. Quality assessment was performed with a modified version of the New-Castle Ottawa Scale. 31 studies were included. The median percentage of patients preferring an active, shared or passive role in decision making was respectively 25%, 46%, and 27%. The median percentage of patients perceiving an active, shared or passive role was respectively 27%, 39%, and 34%. The median concordance in preferred and perceived role of all studies was 70%. Disconcordance was highest for a shared role; 42%. Patients' preferences for involvement in cancer treatment decision vary widely. A significant number of patients perceived a decisional role other than preferred. Improvements in patient involvement have been observed in the last decade. However, there is still room for improvement and physicians should explore patients' preferences for involvement in decision making in order to truly deliver personalised cancer care.</t>
  </si>
  <si>
    <t>SARS-CoV-2 antibody response dynamics and heterogeneous diagnostic performance of four serological tests and a neutralization test in symptomatic healthcare workers with non-severe COVID-19.</t>
  </si>
  <si>
    <t>Ong, David S Y; Keuren, Frans; van der Vliet, Marijke; Boxma-de Klerk, Bianca M; Koeleman, Johannes G M</t>
  </si>
  <si>
    <t>https://pubmed.ncbi.nlm.nih.gov/34229209</t>
  </si>
  <si>
    <t>Most COVID-19 patients experience non-severe illness. The presence of SARS-CoV-2 antibodies suggest possible protection against re-infections in prior SARS-CoV-2 infected individuals. The aims of this prospective observational study were to longitudinally assess the antibody response during the first 4-6 months after polymerase chain reaction (PCR) confirmed SARS-CoV-2 infection, and to study the diagnostic performance of four different enzyme-linked immunosorbent assays (ELISAs) and a surrogate virus neutralization test (sVNT) in symptomatic healthcare workers (HCWs) with non-severe COVID-19. HCWs in a teaching hospital were included between March 8 and June 15, 2020, when they had a PCR-confirmed SARS-CoV-2 infection in the past 3 months. The performances of four ELISAs (Wantai, Bio-Rad Platelia, BioTrading Immy clarus, and Euroimmun) were evaluated in serum samples obtained at the moment of study inclusion and subsequently at 1, 2 and 3 months thereafter. Furthermore, in the last available serum sample sVNT by GenScript was performed. 309 samples from 80 positive HCWs were included of whom 70 (88%) were SARS-CoV-2 seropositive. The detection rates of SARS-CoV-2 antibodies by the different ELISAs were heterogenous ranging from 64% for the Euroimmun ELISA to 88% for the Wantai ELISA. The Wantai ELISA had the highest and almost perfect agreement with sVNT (96%, Cohen's kappa 0.83). SARS-CoV-2 (neutralizing) antibodies were detectable in most symptomatic individuals with non-severe COVID-19. The presence of antibodies remained stable up to six months after initial infection. There is large variability in diagnostic test performance between ELISA tests.</t>
  </si>
  <si>
    <t>National Protocol for Model-Based Selection for Proton Therapy in Head and Neck Cancer.</t>
  </si>
  <si>
    <t>Langendijk, Johannes A; Hoebers, Frank J P; de Jong, Martin A; Doornaert, Patricia; Terhaard, Chris H J; Steenbakkers, Roel J H M; Hamming-Vrieze, Olga; van de Kamer, Jeroen B; Verbakel, Wilko F A R; Keskin-Cambay, Fatma; Reitsma, Johannes B; van der Schaaf, Arjen; Boersma, Liesbeth J; Schuit, Ewoud</t>
  </si>
  <si>
    <t>international journal of particle therapy</t>
  </si>
  <si>
    <t>https://pubmed.ncbi.nlm.nih.gov/34285961</t>
  </si>
  <si>
    <t>In the Netherlands, the model-based approach is used to identify patients with head and neck cancer who may benefit most from proton therapy in terms of prevention of late radiation-induced side effects in comparison with photon therapy. To this purpose, a National Indication Protocol Proton therapy for Head and Neck Cancer patients (NIPP-HNC) was developed, which has been approved by the health care authorities. When patients qualify according to the guidelines of the NIPP-HNC, proton therapy is fully reimbursed. This article describes the procedures that were followed to develop this NIPP-HNC and provides all necessary information to introduce model-based selection for patients with head and neck cancer into routine clinical practice.</t>
  </si>
  <si>
    <t>Dealing with Discontinuity in Cancer Care Trajectories: Patients' Solutions.</t>
  </si>
  <si>
    <t>Vermond, Debbie; El Habhoubi, Souad; de Groot, Esther; Bronkhorst, Larike; de Wit, Niek; Zwart, Dorien</t>
  </si>
  <si>
    <t>https://pubmed.ncbi.nlm.nih.gov/34169481</t>
  </si>
  <si>
    <t>Patients with cancer require specialized care from different care providers, challenging continuity of care in terms of information, relationships, and/or management. The recognition of discontinuity of care has led to different initiatives by the healthcare system over the years. Yet, making use of the theory on boundary objects and brokers, this research explores the active role of patients themselves in resolving discontinuity along their care trajectories. Semi-structured interviews were conducted with 33 patients to unravel the discontinuities that they experience and their attempts to resolve these. Interview data were analyzed using directed-content analysis informed by concepts from boundary crossing literature (i.e., data were searched for potential boundary objects and brokers). To re-establish continuity of care, patients actively use the objects and people provided by the healthcare system when these meet their needs. Patients also introduce own objects and people into the care trajectory. As such, information and management discontinuity can typically be resolved. Relational continuity appears to be more difficult to resolve, in some cases leaving patients to take drastic measures, such as changing care providers. The use of boundary crossing theory in improving care from a patient perspective is relatively novel. When patients and providers together address the objects and people that support establishing continuity of care, a continuous care process may be encouraged. We advocate an integrated approach, rather than provider or healthcare system initiatives exclusively, to patient care and continuity.</t>
  </si>
  <si>
    <t>Gender-stratified analyses of symptoms associated with acute coronary syndrome in telephone triage: a cross-sectional study.</t>
  </si>
  <si>
    <t>Wouters, Loes T C M; Zwart, Dorien L M; Erkelens, Daphne C A; De Groot, Esther; van Smeden, Maarten; Hoes, Arno W; Damoiseaux, Roger A M J; Rutten, Frans H</t>
  </si>
  <si>
    <t>https://pubmed.ncbi.nlm.nih.gov/34172542</t>
  </si>
  <si>
    <t>To identify clinical variables that are associated with the diagnosis acute coronary syndrome (ACS) in women and men with chest discomfort who contact out-of-hours primary care (OHS-PC) by telephone, and to explore whether there are indications whether these variables differ among women and men. Cross-sectional study in which we compared patient and call characteristics of triage call recordings between women with and without ACS, and men with and without ACS. Nine OHS-PC in the Netherlands. 993 women and 802 men who called OHS-PC for acute chest discomfort (pain, pressure, tightness or discomfort) between 2014 and 2016. Diagnosis of ACS retrieved from the patient's medical record in general practice, including hospital specialists' discharge letters. Among 1795 patients (mean age 58.8 (SD 19.5) years, 55.3% women), 15.0% of men and 8.6% of women had an ACS. In both sexes, retrosternal chest pain was associated with ACS (women with ACS vs without 62.3% vs 40.3%, p=0.002; men with ACS vs without 52.5% vs 39.7%, p=0.032; gender interaction, p=0.323), as was pressing/heavy/tightening pain (women 78.6% vs 61.5%, p=0.011; men 82.1% vs 57.4%, p=&lt;0.001; gender interaction, p=0.368) and radiation to the arm (women 75.6% vs 45.9%, p&lt;0.001; men 56.0% vs 34.8%, p&lt;0.001; gender interaction, p=0.339). Results indicate that only in women were severe pain (65.4% vs 38.1%, p=0.006; gender interaction p=0.007) and radiation to jaw (50.0% vs 22.9%, p=0.007; gender interaction p=0.015) associated with ACS.Ambulances were dispatched equally in women (72.9%) and men with ACS (70.0%). Our results indicate there were more similarities than differences in symptoms associated with the diagnosis ACS for women and men. Important exceptions were pain severity and radiation of pain in women. Whether these differences have an impact on predicting ACS needs to be further investigated with multivariable analyses. NTR7331.</t>
  </si>
  <si>
    <t>Early Cost-effectiveness Analysis of Risk-Based Selection Strategies for Adjuvant Treatment in Stage II Colon Cancer: The Potential Value of Prognostic Molecular Markers.</t>
  </si>
  <si>
    <t>Jongeneel, Gabrielle; Greuter, Marjolein J E; Kunst, Natalia; van Erning, Felice N; Koopman, Miriam; Medema, Jan P; Vermeulen, Louis; Ijzermans, Jan N M; Vink, Geraldine R; Punt, Cornelis J A; Coupé, Veerle M H</t>
  </si>
  <si>
    <t>https://pubmed.ncbi.nlm.nih.gov/34162659</t>
  </si>
  <si>
    <t>To explore the potential value of consensus molecular subtypes (CMS) in stage II colon cancer treatment selection, we carried out an early cost-effectiveness assessment of a CMS-based strategy for adjuvant chemotherapy. We used a Markov cohort model to evaluate three selection strategies: (i) the Dutch guideline strategy (MSS+pT4), (ii) the mutation-based strategy (MSS plus a BRAF and/or KRAS mutation or MSS plus pT4), and (iii) the CMS-based strategy (CMS4 or pT4). Outcomes were number of colon cancer deaths per 1,000 patients, total discounted costs per patient (pp), and quality-adjusted life-years (QALY) pp. The analyses were conducted from a Dutch societal perspective. The robustness of model predictions was assessed in sensitivity analyses. To evaluate the value of future research, we performed a value of information (VOI) analysis. The Dutch guideline strategy resulted in 8.10 QALYs pp and total costs of €23,660 pp. The CMS-based and mutation-based strategies were more effective and more costly, with 8.12 and 8.13 QALYs pp and €24,643 and €24,542 pp, respectively. Assuming a threshold of €50,000/QALY, the mutation-based strategy was considered as the optimal strategy in an incremental analysis. However, the VOI analysis showed substantial decision uncertainty driven by the molecular markers (expected value of partial perfect information: €18M). On the basis of current evidence, our analyses suggest that the mutation-based selection strategy would be the best use of resources. However, the extensive decision uncertainty for the molecular markers does not allow selection of an optimal strategy at present. Future research is needed to eliminate decision uncertainty driven by molecular markers.</t>
  </si>
  <si>
    <t>A prospective, randomized, single-blinded, crossover trial to investigate the effect of a wearable device in addition to a daily symptom diary for the remote early detection of SARS-CoV-2 infections (COVID-RED): a structured summary of a study protocol for a randomized controlled trial.</t>
  </si>
  <si>
    <t>https://pubmed.ncbi.nlm.nih.gov/34158099</t>
  </si>
  <si>
    <t>It is currently thought that most-but not all-individuals infected with SARS-CoV-2 develop symptoms, but that the infectious period starts on average two days before the first overt symptoms appear. It is estimated that pre- and asymptomatic individuals are responsible for more than half of all transmissions. By detecting infected individuals before they have overt symptoms, wearable devices could potentially and significantly reduce the proportion of transmissions by pre-symptomatic individuals. Using laboratory-confirmed SARS-CoV-2 infections (detected via serology tests [to determine if there are antibodies against the SARS-CoV-2 in the blood] or SARS-CoV-2 infection tests such as polymerase chain reaction [PCR] or antigen tests) as the gold standard, we will determine the sensitivity, specificity, positive predictive value (PPV) and negative predictive value (NPV) for the following two algorithms to detect first time SARS-CoV-2 infection including early or asymptomatic infection: the algorithm using Ava bracelet data when coupled with self-reported Daily Symptom Diary data (Wearable + Symptom Data Algo; experimental condition) the algorithm using self-reported Daily Symptom Diary data alone (Symptom Only Algo; control condition) In addition, we will determine which of the two algorithms has superior performance characteristics for detecting SARS-CoV-2 infection including early or asymptomatic infection as confirmed by SARS-CoV-2 virus testing. The trial is a randomized, single-blinded, two-period, two-sequence crossover trial. All subjects will participate in an initial Learning Phase (varying from 2 weeks to 3 months depending on enrolment date), followed by two contiguous 3-month test phases, Period 1 and Period 2. Each subject will undergo the experimental condition (the Wearable + Symptom Data Algo) in one of these periods and the control condition (Symptom Only Algo) in the other period. The order will be randomly assigned, resulting in subjects being allocated 1:1 to either Sequence 1 (experimental condition first) or Sequence 2 (control condition first). Based on demographics, medical history and/or profession, each subject will be stratified at baseline into a high-risk and normal-risk group within each sequence. The trial will be conducted in the Netherlands. A target of 20,000 subjects will be enrolled. Based on demographics, medical history and/or profession, each subject will be stratified at baseline into a high-risk and normal-risk group within each sequence. This results in approximately 6,500 normal-risk individuals and 3,500 high-risk individuals per sequence. Subjects will be recruited from previously studied cohorts as well as via public campaigns and social media. All data for this study will be collected remotely through the Ava COVID-RED app, the Ava bracelet, surveys in the COVID-RED web portal, and self-sampling serology and PCR kits. During recruitment, subjects will be invited to visit the COVID-RED web portal ( www.covid-red.eu ). After successfully completing the enrolment questionnaire, meeting eligibility criteria and indicating interest in joining the study, subjects will receive the subject information sheet and informed consent form. Subjects can enrol in COVID-RED if they comply with the following inclusion and exclusion criteria. Resident of the Netherlands At least 18 years old Informed consent provided (electronic) Willing to adhere to the study procedures described in the protocol Must have a smartphone that runs at least Android 8.0 or iOS 13.0 operating systems and is active for the duration of the study (in the case of a change of mobile number, study team should be notified) Be able to read, understand and write Dutch Exclusion criteria: Previous positive SARS-CoV-2 test result (confirmed either through PCR/antigen or antibody tests; self-reported) Previously received a vaccine developed specifically for COVID-19 or in possession of an appointment for vaccination in the near future (self-reported) Current suspected (e.g., waiting for test result) COVID-19 infection or symptoms of a COVID-19 infection (self-reported) Participating in any other COVID-19 clinical drug, vaccine, or medical device trial (self-reported) Electronic implanted device (such as a pacemaker; self-reported) Pregnant at time of informed consent (self-reported) Suffering from cholinergic urticaria (per the Ava bracelet's User Manual; self-reported) Staff involved in the management or conduct of this study INTERVENTION AND COMPARATOR: All subjects will be instructed to complete the Daily Symptom Diary in the Ava COVID-RED app daily, wear their Ava bracelet each night and synchronise it with the app each day for the entire period of study participation. Provided with wearable sensor and/or self-reported symptom data within the last 24 hours, the Ava COVID-RED app's underlying algorithms will provide subjects with a real-time indicator of their overall health and well-being. Subjects will see one of three messages, notifying them that: no seeming deviations in symptoms and/or physiological parameters have been detected; some changes in symptoms and/or physiological parameters have been detected and they should self-isolate; or alerting them that deviations in their symptoms and/or physiological parameters could be suggestive of a potential COVID-19 infection and to seek additional testing. We will assess intraperson performance of the algorithms in the experimental condition (Wearable + Symptom Data Algo) and control conditions (Symptom Only Algo). The trial will evaluate the use and performance of the Ava COVID-RED app and Ava bracelet, which uses sensors to measure breathing rate, pulse rate, skin temperature, and heart rate variability for the purpose of early and asymptomatic detection and monitoring of SARS-CoV-2 in general and high-risk populations. Using laboratory-confirmed SARS-CoV-2 infections (detected via serology tests, PCR tests and/or antigen tests) as the gold standard, we will determine the sensitivity, specificity, positive predictive value (PPV) and negative predictive value (NPV) for each of the following two algorithms to detect first-time SARS-CoV-2 infection including early or asymptomatic infection: the algorithm using Ava Bracelet data when coupled with the self-reported Daily Symptom Diary data, and the algorithm using self-reported Daily Symptom Diary data alone. In addition, we will determine which of the two algorithms has superior performance characteristics for detecting SARS-CoV-2 infection including early or asymptomatic infection as confirmed by SARS-CoV-2 virus testing. The protocol contains an additional seventeen secondary outcomes which address infection incidence rates, health resource utilization, symptoms reported by SARS-CoV-2 infected participants, and the rate of breakthrough and asymptomatic SARS-CoV-2 infections among individuals vaccinated against COVID-19. PCR or antigen testing will occur when the subject receives a notification from the algorithm to seek additional testing. Subjects will be advised to get tested via the national testing programme, and report the testing result in the Ava COVID-RED app and a survey. If they cannot obtain a test via the national testing programme, they will receive a nasal swab self-sampling kit at home, and the sample will be tested by PCR in a trial-affiliated laboratory. In addition, all subjects will be asked to take a capillary blood sample at home at baseline (Month 0), and at the end of the Learning Phase (Month 3), Period 1 (Month 6) and Period 2 (Month 9). These samples will be used for SARS-CoV-2-specific antibody testing in a trial-affiliated laboratory, differentiating between antibodies resulting from a natural infection and antibodies resulting from COVID-19 vaccination (as vaccination will gradually be rolled out during the trial period). Baseline samples will only be analysed if the sample collected at the end of the Learning Phase is positive, and samples collected at the end of Period 1 will only be analysed if the sample collected at the end of Period 2 is positive. When subjects obtain a positive PCR/antigen or serology test result during the study, they will continue to be in the study but will be moved into a so-called "COVID-positive" mode in the Ava COVID-RED app. This means that they will no longer receive recommendations from the algorithms but can still contribute and track symptom and bracelet data. The primary analysis of the main objective will be executed using data collected in Period 2 (Month 6 through 9). Within this period, serology tests (before and after Period 2) and PCR/antigen tests (taken based on recommendations by the algorithms) will be used to determine if a subject was infected with SARS-CoV-2 or not. Within this same time period, it will be determined if the algorithms gave any recommendations for testing. The agreement between these quantities will be used to evaluate the performance of the algorithms and how these compare between the study conditions. All eligible subjects will be randomized using a stratified block randomization approach with an allocation ratio of 1:1 to one of two sequences (experimental condition followed by control condition or control condition followed by experimental condition). Based on demographics, medical history and/or profession, each subject will be stratified at baseline into a high-risk and normal-risk group within each sequence, resulting in equal numbers of high-risk and normal-risk individuals between the sequences. In this study, subjects will be blinded as to study condition and randomization sequence. Relevant study staff and the device manufacturer will be aware of the assigned sequence. The subject will wear the Ava bracelet and complete the Daily Symptom Diary in the Ava COVID-RED app for the full duration of the study, and they will not know if the feedback they receive about their potential infection status will only be based on data they entered in the Daily Symptom Diary within the Ava COVID-RED app or based on both the data from the Daily Symptom Diary and the Ava bracelet. 20,000 subjects will be recruited and randomized 1:1 to either Sequence 1 (experimental condition followed by control condition) or Sequence 2 (control condition followed by experimental condition), taking into account their risk level. This results in approximately 6,500 normal-risk and 3,500 high-risk individuals per sequence. Protocol version: 1.2, dated January 22&lt;sup&gt;nd&lt;/sup&gt;, 2021 Start of recruitment: February 22&lt;sup&gt;nd&lt;/sup&gt;, 2021 End of recruitment (estimated): April 2021 End of follow-up (estimated): December 2021 TRIAL REGISTRATION: The trial has been registered at the Netherlands Trial Register on the 18&lt;sup&gt;th&lt;/sup&gt; of February, 2021 with number NL9320 ( https://www.trialregister.nl/trial/9320 )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</si>
  <si>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Attributable mortality of vancomycin resistance in ampicillin-resistant &lt;i&gt;Enterococcus faecium&lt;/i&gt; bacteremia in Denmark and the Netherlands: A matched cohort study.</t>
  </si>
  <si>
    <t>Rottier, Wouter C; Pinholt, Mette; van der Bij, Akke K; Arpi, Magnus; Blank, Sybrandus N; Nabuurs-Franssen, Marrigje H; Ruijs, Gijs J H M; Tersmette, Matthijs; Ossewaarde, Jacobus M; Groenwold, Rolf H; Westh, Henrik; Bonten, Marc J M; ,; ,</t>
  </si>
  <si>
    <t>https://pubmed.ncbi.nlm.nih.gov/35670618</t>
  </si>
  <si>
    <t>To study whether replacement of nosocomial ampicillin-resistant &lt;i&gt;Enterococcus faecium&lt;/i&gt; (ARE) clones by vancomycin-resistant &lt;i&gt;E. faecium&lt;/i&gt; (VRE), belonging to the same genetic lineages, increases mortality in patients with &lt;i&gt;E. faecium&lt;/i&gt; bacteremia, and to evaluate whether any such increase is mediated by a delay in appropriate antibiotic therapy. Retrospective, matched-cohort study. The study included 20 Dutch and Danish hospitals from 2009 to 2014. Within the study period, 63 patients with VRE bacteremia (36 Dutch and 27 Danish) were identified and subsequently matched to 234 patients with ARE bacteremia (130 Dutch and 104 Danish) for hospital, ward, length of hospital stay prior to bacteremia, and age. For all patients, 30-day mortality after bacteremia onset was assessed. The risk ratio (RR) reflecting the impact of vancomycin resistance on 30-day mortality was estimated using Cox regression with further analytic control for confounding factors. The 30-day mortality rates were 27% and 38% for ARE in the Netherlands and Denmark, respectively, and the 30-day mortality rates were 33% and 48% for VRE in these respective countries. The adjusted RR for 30-day mortality for VRE was 1.54 (95% confidence interval, 1.06-2.25). Although appropriate antibiotic therapy was initiated later for VRE than for ARE bacteremia, further analysis did not reveal mediation of the increased mortality risk. Compared to ARE bacteremia, VRE bacteremia was associated with higher 30-day mortality. One explanation for this association would be increased virulence of VRE, although both phenotypes belong to the same well-characterized core genomic lineage. Alternatively, it may be the result of unmeasured confounding.</t>
  </si>
  <si>
    <t>Unraveling the genetic complexities of combined retinal dystrophy and hearing impairment.</t>
  </si>
  <si>
    <t>Bahena, Paulina; Daftarian, Narsis; Maroofian, Reza; Linares, Paola; Villalobos, Daniel; Mirrahimi, Mehraban; Rad, Aboulfazl; Doll, Julia; Hofrichter, Michaela A H; Koparir, Asuman; Röder, Tabea; Han, Seungbin; Sabbaghi, Hamideh; Ahmadieh, Hamid; Behboudi, Hassan; Villanueva-Mendoza, Cristina; Cortés-Gonzalez, Vianney; Zamora-Ortiz, Rocio; Kohl, Susanne; Kuehlewein, Laura; Darvish, Hossein; Alehabib, Elham; Arenas-Sordo, Maria de la Luz; Suri, Fatemeh; Vona, Barbara; Haaf, Thomas</t>
  </si>
  <si>
    <t>human genetics</t>
  </si>
  <si>
    <t>https://pubmed.ncbi.nlm.nih.gov/34148116</t>
  </si>
  <si>
    <t>Usher syndrome, the most prevalent cause of combined hereditary vision and hearing impairment, is clinically and genetically heterogeneous. Moreover, several conditions with phenotypes overlapping Usher syndrome have been described. This makes the molecular diagnosis of hereditary deaf-blindness challenging. Here, we performed exome sequencing and analysis on 7 Mexican and 52 Iranian probands with combined retinal degeneration and hearing impairment (without intellectual disability). Clinical assessment involved ophthalmological examination and hearing loss questionnaire. Usher syndrome, most frequently due to biallelic variants in MYO7A (USH1B in 16 probands), USH2A (17 probands), and ADGRV1 (USH2C in 7 probands), was diagnosed in 44 of 59 (75%) unrelated probands. Almost half of the identified variants were novel. Nine of 59 (15%) probands displayed other genetic entities with dual sensory impairment, including Alström syndrome (3 patients), cone-rod dystrophy and hearing loss 1 (2 probands), and Heimler syndrome (1 patient). Unexpected findings included one proband each with Scheie syndrome, coenzyme Q10 deficiency, and pseudoxanthoma elasticum. In four probands, including three Usher cases, dual sensory impairment was either modified/aggravated or caused by variants in distinct genes associated with retinal degeneration and/or hearing loss. The overall diagnostic yield of whole exome analysis in our deaf-blind cohort was 92%. Two (3%) probands were partially solved and only 3 (5%) remained without any molecular diagnosis. In many cases, the molecular diagnosis is important to guide genetic counseling, to support prognostic outcomes and decisions with currently available and evolving treatment modalities.</t>
  </si>
  <si>
    <t>Inflammatory potential of the diet and risk of breast cancer in the European Investigation into Cancer and Nutrition (EPIC) study.</t>
  </si>
  <si>
    <t>Castro-Espin, Carlota; Agudo, Antonio; Bonet, Catalina; Katzke, Verena; Turzanski-Fortner, Renée; Aleksandrova, Krasimira; Schulze, Matthias B; Tjønneland, Anne; Dahm, Christina C; Quirós, José-Ramón; Sánchez, María-José; Amiano, Pilar; Chirlaque, María-Dolores; Ardanaz, Eva; Masala, Giovanna; Sieri, Sabina; Tumino, Rosario; Sacerdote, Carlotta; Panico, Salvatore; May, Anne M; Bodén, Stina; Gram, Inger T; Skeie, Guri; Laouali, Nasser; Shah, Sanam; Severi, Gianluca; Aune, Dagfinn; Merritt, Melissa A; Cairat, Manon; Weiderpass, Elisabete; Riboli, Elio; Dossus, Laure; Jakszyn, Paula</t>
  </si>
  <si>
    <t>https://pubmed.ncbi.nlm.nih.gov/34148186</t>
  </si>
  <si>
    <t>The role of chronic inflammation on breast cancer (BC) risk remains unclear beyond as an underlying mechanism of obesity and physical activity. We aimed to evaluate the association between the inflammatory potential of the diet and risk of BC overall, according to menopausal status and tumour subtypes. Within the European Prospective Investigation into Cancer and Nutrition cohort, 318,686 women were followed for 14 years, among whom 13,246 incident BC cases were identified. The inflammatory potential of the diet was characterized by an inflammatory score of the diet (ISD). Multivariable Cox regression models were used to assess the potential effect of the ISD on BC risk by means of hazard ratios (HR) and 95% confidence intervals (CI). ISD was positively associated with BC risk. Each increase of one standard deviation (1-Sd) of the score increased by 4% the risk of BC (HR = 1.04; 95% CI 1.01-1.07). Women in the highest quintile of the ISD (indicating a most pro-inflammatory diet) had a 12% increase in risk compared with those in the lowest quintile (HR = 1.12; 95% CI 1.04-1.21) with a significant trend. The association was strongest among premenopausal women, with an 8% increased risk for 1-Sd increase in the score (HR = 1.08; 95% CI 1.01-1.14). The pattern of the association was quite homogeneous by BC subtypes based on hormone receptor status. There were no significant interactions between ISD and body mass index, physical activity, or alcohol consumption. Women consuming more pro-inflammatory diets as measured by ISD are at increased risk for BC, especially premenopausal women.</t>
  </si>
  <si>
    <t>Rapid screening method for the detection of SARS-CoV-2 variants of concern.</t>
  </si>
  <si>
    <t>Ong, David S Y; Koeleman, Johannes G M; Vaessen, Norbert; Breijer, Simone; Paltansing, Sunita; de Man, Peter</t>
  </si>
  <si>
    <t>https://pubmed.ncbi.nlm.nih.gov/34182300</t>
  </si>
  <si>
    <t>Comprehensive and up-to-date monitoring of severe acute respiratory syndrome coronavirus 2 (SARS-CoV-2) variants of concern (VOC) is crucial as these are characterized by their increased transmissibility, immune evasion and virulence. To describe the wide-scale implementation of a reverse transcriptase polymerase chain reaction (RT-PCR) multiple variants assay with melting curve analysis as a routine procedure. We prospectively performed multiple variants RT-PCR on consecutive SARS-CoV-2 RT-PCR positive samples from patients, healthcare workers and nursing home residents from our hospital catchment area. This technique was implemented in our automated Roche FLOW system with a turn-around time of 6 h. Between February 1 and May 2, 2021, 989 samples were tested by the variant RT-PCR. Our method was validated by comparison of variant RT-PCR to whole genome sequencing testing. We observed an increase over time in the proportion of UK variant that became the dominant variant, and the concurrent emergence of the South-African and Brazilian variants. Prompt public health responses for infection control were possible because of this rapid screening method, resulting in early detection and reduction of unnoticed spread of VOC as early as possible. A variant RT-PCR with additional melting curve analyses is a feasible, rapid and efficient screening strategy that can be implemented in routine microbiological laboratories.</t>
  </si>
  <si>
    <t>Discussing overweight in dogs during a regular consultation in general practice in the Netherlands.</t>
  </si>
  <si>
    <t>Aldewereld, Celine M; Monninkhof, Evelyn M; Kroese, Floor M; de Ridder, Denise T D; Nielen, Mirjam; Corbee, Ronald J</t>
  </si>
  <si>
    <t>journal of animal physiology and animal nutrition</t>
  </si>
  <si>
    <t>https://pubmed.ncbi.nlm.nih.gov/34143535</t>
  </si>
  <si>
    <t>In previous studies, it has been demonstrated that, similar to general practitioners, veterinarians find it difficult to discuss overweight in dogs. This study aimed to provide insight in the barriers and motivators for veterinarians to discuss overweight in dogs and to compare the results with findings from human medicine. Sub-hypotheses were postulated based on existing literature to investigate if lack of time, fear of offending clients, or lack of skills were potential barriers, and if feeling responsible and feeling compassion were potential motivators for veterinarians to discuss overweight in dogs. To this end, an online survey (n = 59) was conducted. Furthermore, 15 small animal clinicians working in general practice were interviewed by semi-structured face-to-face interviews. Results from the online survey indicated that veterinarians find it sometimes difficult to discuss overweight in dogs. Veterinarians who responded to the online survey did not experience strong barriers but did make use of motivators (e.g. feeling responsible and feeling compassion) when discussing overweight in dogs. Interestingly, results from the semi-structured face-to-face interviews showed that the responding veterinarians did experience strong barriers, as well as motivators, when discussing overweight in dogs with their clients. The most prominent barrier was customer dissatisfaction, whereas lack of time and lack of skills were also experienced. The most prominent motivator was feeling responsible for animal health and preventive veterinary medicine. These findings were strikingly similar to previous research on discussing childhood overweight by general practitioners. To improve treatment and prevention of overweight in dogs, veterinarians need more communication skills and should be more aware of the motivators that drive their self-motivation. Improving awareness on overweight and its comorbidities should be a One Health issue.</t>
  </si>
  <si>
    <t>Prevalence and determinants of chronic kidney disease in women with hypertensive disorders in pregnancy in Nigeria: a cohort study.</t>
  </si>
  <si>
    <t>Ishaku, Salisu M; Olanrewaju, Timothy Olusegun; Browne, Joyce L; Klipstein-Grobusch, Kerstin; Kayode, Gbenga A; Franx, Arie; Grobbee, Diederick E; Warren, Charlotte E</t>
  </si>
  <si>
    <t>https://pubmed.ncbi.nlm.nih.gov/34144676</t>
  </si>
  <si>
    <t>Worldwide, hypertensive disorders in pregnancy (HDPs) complicate between 5 and 10% of pregnancies. Sub-Saharan Africa (SSA) is disproportionately affected by a high burden of HDPs and chronic kidney disease (CKD). Despite mounting evidence associating HDPs with the development of CKD, data from SSA are scarce. Women with HDPs (n = 410) and normotensive women (n = 78) were recruited at delivery and prospectively followed-up at 9 weeks, 6 months and 1 year postpartum. Serum creatinine was measured at all time points and the estimated glomerular filtration rates (eGFR) using CKD-Epidemiology equation determined. CKD was defined as decreased eGFR&lt; 60 mL/min/1.73m&lt;sup&gt;2&lt;/sup&gt; lasting for ≥ 3 months. Prevalence of CKD at 6 months and 1 year after delivery was estimated. Logistic regression analyses were conducted to evaluate risk factors for CKD at 6 months and 1 year postpartum. Within 24 h of delivery, 9 weeks, and 6 months postpartum, women with HDPs were more likely to have a decreased eGFR compared to normotensive women (12, 5.7, 4.3% versus 0, 2 and 2.4%, respectively). The prevalence of CKD in HDPs at 6 months and 1 year postpartum was 6.1 and 7.6%, respectively, as opposed to zero prevalence in the normotensive women for the corresponding periods. Proportions of decreased eGFR varied with HDP sub-types and intervening postpartum time since delivery, with pre-eclampsia/eclampsia showing higher prevalence than chronic and gestational hypertension. Only maternal age was independently shown to be a risk factor for decreased eGFR at 6 months postpartum (aOR = 1.18/year; 95%CI 1.04-1.34). Prior HDP was associated with risk of future CKD, with prior HDPs being more likely to experience evidence of CKD over periods of postpartum follow-up. Routine screening of women following HDP-complicated pregnancies should be part of a postpartum monitoring program to identify women at higher risk. Future research should report on both the eGFR and total urinary albumin excretion to enable detection of women at risk of future deterioration of renal function.</t>
  </si>
  <si>
    <t>Mecor: An R package for measurement error correction in linear regression models with a continuous outcome.</t>
  </si>
  <si>
    <t>Nab, Linda; van Smeden, Maarten; Keogh, Ruth H; Groenwold, Rolf H H</t>
  </si>
  <si>
    <t>computer methods and programs in biomedicine</t>
  </si>
  <si>
    <t>https://pubmed.ncbi.nlm.nih.gov/34311414</t>
  </si>
  <si>
    <t>Measurement error in a covariate or the outcome of regression models is common, but is often ignored, even though measurement error can lead to substantial bias in the estimated covariate-outcome association. While several texts on measurement error correction methods are available, these methods remain seldomly applied. To improve the use of measurement error correction methodology, we developed mecor, an R package that implements measurement error correction methods for regression models with a continuous outcome. Measurement error correction requires information about the measurement error model and its parameters. This information can be obtained from four types of studies, used to estimate the parameters of the measurement error model: an internal validation study, a replicates study, a calibration study and an external validation study. In the package mecor, regression calibration methods and a maximum likelihood method are implemented to correct for measurement error in a continuous covariate in regression analyses. Additionally, methods of moments methods are implemented to correct for measurement error in the continuous outcome in regression analyses. Variance estimation of the corrected estimators is provided in closed form and using the bootstrap.</t>
  </si>
  <si>
    <t>Genome-wide homozygosity and risk of four non-Hodgkin lymphoma subtypes.</t>
  </si>
  <si>
    <t>Moore, Amy; Machiela, Mitchell J; Machado, Moara; Wang, Sophia S; Kane, Eleanor; Slager, Susan L; Zhou, Weiyin; Carrington, Mary; Lan, Qing; Milne, Roger L; Birmann, Brenda M; Adami, Hans-Olov; Albanes, Demetrius; Arslan, Alan A; Becker, Nikolaus; Benavente, Yolanda; Bisanzi, Simonetta; Boffetta, Paolo; Bracci, Paige M; Brennan, Paul; Brooks-Wilson, Angela R; Canzian, Federico; Caporaso, Neil; Clavel, Jacqueline; Cocco, Pierluigi; Conde, Lucia; Cox, David G; Cozen, Wendy; Curtin, Karen; De Vivo, Immaculata; de Sanjose, Silvia; Foretova, Lenka; Gapstur, Susan M; Ghesquières, Hervè; Giles, Graham G; Glenn, Martha; Glimelius, Bengt; Gao, Chi; Habermann, Thomas M; Hjalgrim, Henrik; Jackson, Rebecca D; Liebow, Mark; Link, Brian K; Maynadie, Marc; McKay, James; Melbye, Mads; Miligi, Lucia; Molina, Thierry J; Monnereau, Alain; Nieters, Alexandra; North, Kari E; Offit, Kenneth; Patel, Alpa V; Piro, Sara; Ravichandran, Vignesh; Riboli, Elio; Salles, Gilles; Severson, Richard K; Skibola, Christi</t>
  </si>
  <si>
    <t>journal of translational genetics and genomics</t>
  </si>
  <si>
    <t>https://pubmed.ncbi.nlm.nih.gov/34622145</t>
  </si>
  <si>
    <t>Recessive genetic variation is thought to play a role in non-Hodgkin lymphoma (NHL) etiology. Runs of homozygosity (ROH), defined based on long, continuous segments of homozygous SNPs, can be used to estimate both measured and unmeasured recessive genetic variation. We sought to examine genome-wide homozygosity and NHL risk. We used data from eight genome-wide association studies of four common NHL subtypes: 3061 chronic lymphocytic leukemia (CLL), 3814 diffuse large B-cell lymphoma (DLBCL), 2784 follicular lymphoma (FL), and 808 marginal zone lymphoma (MZL) cases, as well as 9374 controls. We examined the effect of homozygous variation on risk by: (1) estimating the fraction of the autosome containing runs of homozygosity (FROH); (2) calculating an inbreeding coefficient derived from the correlation among uniting gametes (F3); and (3) examining specific autosomal regions containing ROH. For each, we calculated beta coefficients and standard errors using logistic regression and combined estimates across studies using random-effects meta-analysis. We discovered positive associations between FROH and CLL (β = 21.1, SE = 4.41, &lt;i&gt;P&lt;/i&gt; = 1.6 × 10&lt;sup&gt;-6&lt;/sup&gt;) and FL (β = 11.4, SE = 5.82, &lt;i&gt;P&lt;/i&gt; = 0.02) but not DLBCL (&lt;i&gt;P&lt;/i&gt; = 1.0) or MZL (&lt;i&gt;P&lt;/i&gt; = 0.91). For F3, we observed an association with CLL (β = 27.5, SE = 6.51, &lt;i&gt;P&lt;/i&gt; = 2.4 × 10&lt;sup&gt;-5&lt;/sup&gt;). We did not find evidence of associations with specific ROH, suggesting that the associations observed with FROH and F3 for CLL and FL risk were not driven by a single region of homozygosity. Our findings support the role of recessive genetic variation in the etiology of CLL and FL; additional research is needed to identify the specific loci associated with NHL risk.</t>
  </si>
  <si>
    <t>Controlling the pandemic during the SARS-CoV-2 vaccination rollout.</t>
  </si>
  <si>
    <t>Viana, João; van Dorp, Christiaan H; Nunes, Ana; Gomes, Manuel C; van Boven, Michiel; Kretzschmar, Mirjam E; Veldhoen, Marc; Rozhnova, Ganna</t>
  </si>
  <si>
    <t>https://pubmed.ncbi.nlm.nih.gov/34135335</t>
  </si>
  <si>
    <t>There is a consensus that mass vaccination against SARS-CoV-2 will ultimately end the COVID-19 pandemic. However, it is not clear when and which control measures can be relaxed during the rollout of vaccination programmes. We investigate relaxation scenarios using an age-structured transmission model that has been fitted to age-specific seroprevalence data, hospital admissions, and projected vaccination coverage for Portugal. Our analyses suggest that the pressing need to restart socioeconomic activities could lead to new pandemic waves, and that substantial control efforts prove necessary throughout 2021. Using knowledge on control measures introduced in 2020, we anticipate that relaxing measures completely or to the extent as in autumn 2020 could launch a wave starting in April 2021. Additional waves could be prevented altogether if measures are relaxed as in summer 2020 or in a step-wise manner throughout 2021. We discuss at which point the control of COVID-19 would be achieved for each scenario.</t>
  </si>
  <si>
    <t>Incidence of atrial fibrillation, ischaemic heart disease and heart failure in patients with diabetes.</t>
  </si>
  <si>
    <t>Groenewegen, Amy; Zwartkruis, Victor W; Cekic, Betül; de Boer, Rudolf A; Rienstra, Michiel; Hoes, Arno W; Rutten, Frans H; Hollander, Monika</t>
  </si>
  <si>
    <t>https://pubmed.ncbi.nlm.nih.gov/34134731</t>
  </si>
  <si>
    <t>Diabetes has strongly been linked to atrial fibrillation, ischaemic heart disease and heart failure. The epidemiology of these cardiovascular diseases is changing, however, due to changes in prevalence of obesity-related conditions and preventive measures. Recent population studies on incidence of atrial fibrillation, ischaemic heart disease and heart failure in patients with diabetes are needed. A dynamic longitudinal cohort study was performed using primary care databases of the Julius General Practitioners' Network. Diabetes status was determined at baseline (1 January 2014 or upon entering the cohort) and participants were followed-up for atrial fibrillation, ischaemic heart disease and heart failure until 1 February 2019. Age and sex-specific incidence and incidence rate ratios were calculated. Mean follow-up was 4.2 years, 12,168 patients were included in the diabetes group, and 130,143 individuals in the background group. Incidence rate ratios, adjusted for age and sex, were 1.17 (95% confidence interval 1.06-1.30) for atrial fibrillation, 1.66 (1.55-1.83) for ischaemic heart disease, and 2.36 (2.10-2.64) for heart failure. Overall, incidence rate ratios were highest in the younger age categories, converging thereafter. There is a clear association between diabetes and incidence of the major chronic progressive heart diseases, notably with heart failure with a more than twice increased risk.</t>
  </si>
  <si>
    <t>Residential exposure to fast-food restaurants and its association with diet quality, overweight and obesity in the Netherlands: a cross-sectional analysis in the EPIC-NL cohort.</t>
  </si>
  <si>
    <t>Harbers, Marjolein C; Beulens, Joline W J; Boer, Jolanda Ma; Karssenberg, Derek; Mackenbach, Joreintje D; Rutters, Femke; Vaartjes, Ilonca; Verschuren, W M Monique; van der Schouw, Yvonne T</t>
  </si>
  <si>
    <t>https://pubmed.ncbi.nlm.nih.gov/34134701</t>
  </si>
  <si>
    <t>Unhealthy food environments may contribute to unhealthy diets and risk of overweight and obesity through increased consumption of fast-food. Therefore, we aimed to study the association of relative exposure to fast-food restaurants (FFR) with overall diet quality and risk of overweight and obesity in a sample of older adults. We analyzed cross-sectional data of the EPIC-NL cohort (n = 8,231). Data on relative FFR exposure was obtained through linkage of home address in 2015 with a retail outlet database. We calculated relative exposure to FFR by dividing the densities of FFR in street-network buffers of 400, 1000, and 1500 m around the home of residence by the density of all food retailers in the corresponding buffer. We calculated scores on the Dutch Healthy Diet 2015 (DHD15) index using data from a validated food-frequency questionnaire. BMI was categorized into normal weight (BMI &lt; 25), overweight (25 ≤ BMI &lt; 30), and obesity (BMI ≥ 30). We used multivariable linear regression (DHD15-index) and multinomial logistic regression (weight status), using quartiles of relative FFR exposure as independent variable, adjusting for lifestyle and environmental characteristics. Relative FFR exposure was not significantly associated with DHD15-index scores in the 400, 1000, and 1500 m buffers (β&lt;sub&gt;Q4vsQ1&lt;/sub&gt;= -0.21 [95 %CI: -1.12; 0.70]; β&lt;sub&gt;Q4vsQ1&lt;/sub&gt;= -0.12 [95 %CI: -1.10; 0.87]; β&lt;sub&gt;Q4vsQ1&lt;/sub&gt; = 0.37 [95 %CI: -0.67; 1.42], respectively). Relative FFR exposure was also not related to overweight in consecutive buffers (OR&lt;sub&gt;Q4vsQ1&lt;/sub&gt;=1.10 [95 %CI: 0.97; 1.25]; OR&lt;sub&gt;Q4vsQ1&lt;/sub&gt;=0.97 [95 %CI: 0.84; 1.11]; OR&lt;sub&gt;Q4vsQ1&lt;/sub&gt;= 1.04 [95 %CI: 0.90-1.20]); estimates for obesity were similar to those of overweight. A high proportion of FFR around the home of residence was not associated with diet quality or overweight and obesity in this large Dutch cohort of older adults. We conclude that although the food environment may be a determinant of food choice, this may not directly translate into effects on diet quality and weight status. Methodological improvements are warranted to provide more conclusive evidence.</t>
  </si>
  <si>
    <t>Biological Subphenotypes of Acute Respiratory Distress Syndrome Show Prognostic Enrichment in Mechanically Ventilated Patients without Acute Respiratory Distress Syndrome.</t>
  </si>
  <si>
    <t>Heijnen, Nanon F L; Hagens, Laura A; Smit, Marry R; Cremer, Olaf L; Ong, David S Y; van der Poll, Tom; van Vught, Lonneke A; Scicluna, Brendon P; Schnabel, Ronny M; van der Horst, Iwan C C; Schultz, Marcus J; Bergmans, Dennis C J J; Bos, Lieuwe D J</t>
  </si>
  <si>
    <t>https://pubmed.ncbi.nlm.nih.gov/33465019</t>
  </si>
  <si>
    <t>&lt;b&gt;Rationale:&lt;/b&gt; Recent studies showed that biological subphenotypes in acute respiratory distress syndrome (ARDS) provide prognostic enrichment and show potential for predictive enrichment. &lt;b&gt;Objectives:&lt;/b&gt; To determine whether these subphenotypes and their prognostic and potential for predictive enrichment could be extended to other patients in the ICU, irrespective of fulfilling the definition of ARDS. &lt;b&gt;Methods:&lt;/b&gt; This is a secondary analysis of a prospective observational study of adult patients admitted to the ICU. We tested the prognostic enrichment of both cluster-derived and latent-class analysis (LCA)-derived biological ARDS subphenotypes by evaluating the association with clinical outcome (ICU-day, 30-day mortality, and ventilator-free days) using logistic regression and Cox regression analysis. We performed a principal component analysis to compare blood leukocyte gene expression profiles between subphenotypes and the presence of ARDS. &lt;b&gt;Measurements and Main Results:&lt;/b&gt; We included 2,499 mechanically ventilated patients (674 with and 1,825 without ARDS). The cluster-derived "reactive" subphenotype was, independently of ARDS, significantly associated with a higher probability of ICU mortality, higher 30-day mortality, and a lower probability of successful extubation while alive compared with the "uninflamed" subphenotype. The blood leukocyte gene expression profiles of individual subphenotypes were similar for patients with and without ARDS. LCA-derived subphenotypes also showed similar profiles. &lt;b&gt;Conclusions:&lt;/b&gt; The prognostic and potential for predictive enrichment of biological ARDS subphenotypes may be extended to mechanically ventilated critically ill patients without ARDS. Using the concept of biological subphenotypes for splitting cohorts of critically ill patients could add to improving future precision-based trial strategies and lead to identifying treatable traits for all critically ill patients.</t>
  </si>
  <si>
    <t>Plasma Testosterone Levels and Atherosclerotic Plaque Gene Expression in Men With Advanced Atherosclerosis.</t>
  </si>
  <si>
    <t>Groepenhoff, Floor; Diez Benavente, Ernest; Boltjes, Arjan; Timmerman, Nathalie; Waissi, Farahnaz; Hartman, Robin J G; Onland-Moret, N C; Pasterkamp, Gerard; Den Ruijter, Hester</t>
  </si>
  <si>
    <t>https://pubmed.ncbi.nlm.nih.gov/34195238</t>
  </si>
  <si>
    <t>&lt;b&gt;Aims:&lt;/b&gt; Low plasma testosterone levels have been shown to predict worse outcome in men with severe atherosclerotic disease. We hypothesized that a low plasma testosterone level affects disease risk through changes in gene expression in atherosclerotic plaques. Therefore, we studied plasma testosterone levels in relation to gene expression levels in atherosclerotic plaque tissue of men with advanced atherosclerotic disease. &lt;b&gt;Methods:&lt;/b&gt; Plasma testosterone levels were measured in 203 men undergoing carotid endarterectomy. The corresponding atherosclerotic plaque tissue was used for RNA sequencing. First, we assessed how often the androgen receptor gene was expressed in the plaque. Second, correlations between plasma testosterone levels and pre-selected testosterone-sensitive genes were assessed. Finally, differences within the RNA expression profile of the plaque as a whole, characterized into gene regulatory networks and at individual gene level were assessed in relation to testosterone levels. &lt;b&gt;Results:&lt;/b&gt; Testosterone plasma levels were low with a median of 11.6 nmol/L (IQR: 8.6-13.8). RNA-seq of the plaque resulted in reliable expression data for 18,850 genes to be analyzed. Within the RNA seq data, the androgen-receptor gene was expressed in 189 out of 203 (93%) atherosclerotic plaques of men undergoing carotid endarterectomy. The androgen receptor gene expression was not associated with testosterone plasma levels. There were no significant differences in gene expression of atherosclerotic plaques between different endogenous testosterone levels. This remained true for known testosterone-sensitive genes, the complete transcriptomic profile, male-specific gene co-expression modules as well as for individual genes. &lt;b&gt;Conclusion:&lt;/b&gt; In men with severe atherosclerotic disease the androgen receptor is highly expressed in plaque tissue. However, plasma testosterone levels were neither associated with pre-selected testosterone sensitive genes, gene expression profiles nor gene regulatory networks in late-stage atherosclerotic plaques. The effect of testosterone on gene expression of the late-stage atherosclerotic plaque appears limited, suggesting that alternate mechanisms explain its effect on clinical outcomes.</t>
  </si>
  <si>
    <t>Worse capecitabine treatment outcome in patients with a low skeletal muscle mass is not explained by altered pharmacokinetics.</t>
  </si>
  <si>
    <t>Molenaar-Kuijsten, Laura; Jacobs, Bart Albertus Wilhelmus; Kurk, Sophie Alberdine; May, Anne Maria; Dorlo, Thomas Petrus Catharina; Beijnen, Jacob Hendrik; Steeghs, Neeltje; Huitema, Alwin Dagmar Redmar</t>
  </si>
  <si>
    <t>https://pubmed.ncbi.nlm.nih.gov/34121365</t>
  </si>
  <si>
    <t>A low skeletal muscle mass (SMM) has been associated with increased toxicity and shorter survival in cancer patients treated with capecitabine, an oral prodrug of 5-fluorouracil (5-FU). Capecitabine and its metabolites are highly water-soluble and, therefore, more likely to distribute to lean tissues. The pharmacokinetics (PK) in patients with a low SMM could be changed, for example, by reaching higher maximum plasma concentrations. In this study, we aimed to examine whether the association between a low SMM and increased toxicity and shorter survival could be explained by altered PK of capecitabine and its metabolites. Previously, a population PK model of capecitabine and metabolites in patients with solid tumors was developed. In our analysis, we included patients from this previous analysis for which evaluable abdominal computed tomography (CT)-scans were available. SMM was measured on CT-scans, by single slice evaluation at the third lumbar vertebra, using the Slice-o-Matic software. The previously developed population PK model was extended with SMM as a covariate, to assess the association between SMM and capecitabine and metabolite PK. PK and SMM data were available from 151 cancer patients with solid tumors. From the included patients, 55% had a low SMM. No relevant relationships were found between SMM and the PK parameters of capecitabine and, the active and toxic metabolite, 5-FU. SMM only correlated with the PK of the, most hydrophilic, but inactive and non-toxic, metabolite α-fluoro-β-alanine (FBAL). Patients with a low SMM had a smaller apparent volume of distribution and lower apparent clearance of FBAL. No alterations in PK of capecitabine and the active and toxic metabolite 5-FU were observed in patients with a low SMM. Therefore, the previously identified increased toxicity and shorter survival in patients with a low SMM, could not be explained by changes in pharmacokinetic characteristics of capecitabine and metabolites.</t>
  </si>
  <si>
    <t>Call Characteristics of Patients Suspected of Transient Ischemic Attack (TIA) or Stroke During Out-of-Hours Service: A Comparison Between Men and Women.</t>
  </si>
  <si>
    <t>Exalto, Lieza G; van Doorn, Sander; Erkelens, D Carmen A; Smit, Karin; Rutten, Frans H; Kappelle, L Jaap; Zwart, Dorien L M</t>
  </si>
  <si>
    <t>https://pubmed.ncbi.nlm.nih.gov/34194384</t>
  </si>
  <si>
    <t>&lt;b&gt;Background:&lt;/b&gt; In the Netherlands, a digital decision support system for telephone triage at out-of-hours services in primary care (OHS-PC) is used. Differences in help-seeking behavior between men and women when transient ischemic attack (TIA) or stroke is suspected could potentially affect telephone triage and allocation of urgency. &lt;b&gt;Aim:&lt;/b&gt; To assess patient and call characteristics and allocated urgencies between women and men who contacted OHS-PC with suspected TIA/stroke. &lt;b&gt;Methods:&lt;/b&gt; A cross-sectional study of 1,266 telephone triage recordings of subjects with suspected neurological symptoms calling the OHS-PC between 2014 and 2016. The allocated urgencies were derived from the electronic medical records of the OHS-PC and the final diagnosis from the patient's own general practitioner, including diagnoses based on hospital specialist letters. &lt;b&gt;Results:&lt;/b&gt; Five hundred forty-six men (mean age = 67.3 ± 17.1) and 720 women (mean age = 69.6 ± 19.5) were included. TIA/stroke was diagnosed in 294 men (54%) (mean age = 72.3 ± 13.6) and 366 women (51%) (mean age = 78.0 ± 13.8). In both genders, FAST (face-arm-speech test) symptoms were common in TIA/stroke (men 78%, women 82%) but also in no TIA/stroke (men 63%, women 62%). Men with TIA/stroke had shorter call durations than men without TIA/stroke (7.10 vs. 8.20 min, &lt;i&gt;p&lt;/i&gt; = 0.001), whereas in women this difference was smaller and not significant (7.41 vs. 7.56 min, &lt;i&gt;p&lt;/i&gt; = 0.41). Both genders were allocated high urgency in 75% of the final TIA/stroke cases. &lt;b&gt;Conclusion:&lt;/b&gt; Overall, patient and call characteristics are mostly comparable between men and women, and these only modestly assist in identifying TIA/stroke. There were no gender differences in allocated urgencies after telephone triage in patients with TIA/stroke.</t>
  </si>
  <si>
    <t>Response to our reviewers.</t>
  </si>
  <si>
    <t>Durán, Juan Manuel; Jongsma, Karin Rolanda</t>
  </si>
  <si>
    <t>journal of medical ethics</t>
  </si>
  <si>
    <t>https://pubmed.ncbi.nlm.nih.gov/34127529</t>
  </si>
  <si>
    <t>Efficacy of bone-substitute materials use in immediate dental implant placement: A systematic review and meta-analysis.</t>
  </si>
  <si>
    <t>Zaki, John; Yusuf, Nermin; El-Khadem, Ahmed; Scholten, Rob J P M; Jenniskens, Kevin</t>
  </si>
  <si>
    <t>clinical implant dentistry and related research</t>
  </si>
  <si>
    <t>https://pubmed.ncbi.nlm.nih.gov/34118175</t>
  </si>
  <si>
    <t>To assess the efficacy of using a bone substitute material (BSM) in the fixture-socket gap in patients undergoing tooth extraction and immediate implant placement. MEDLINE, EMBASE, and CENTRAL databases were searched for randomized controlled trials (RCTs). RCTs were screened for eligibility, and data were extracted by two authors independently. Risk of bias (ROB) was assessed using Cochrane's ROB tool 2.0. Primary outcomes were implant failure, overall complications, and soft-tissue esthetics. Secondary outcomes were vertical buccal bone resorption, vertical interproximal bone resorption, horizontal buccal bone resorption, and mid-buccal mucosal recession. Meta-analysis was performed using random-effects model with generic inverse variance weighing. GRADE was used to grade the certainty of the evidence. After screening 19 544 potentially eligible references, 20 RCTs were included in this review, with a total of 848 patients (916 sites). Most included RCTs were deemed of some concerns (53%) or at low (38%) risk of bias, except for overall complications (high ROB). Implant failure did not differ significantly RR = 0.92 (confidence intervals [CI] 0.34 to 2.46) between using a BSM compared with not using a BSM (NoBSM). BSM use resulted in less horizontal buccal bone resorption (MD = -0.52 mm [95% CI -0.74 to -0.30]), a higher esthetic score (MD = 1.49 [95% CI 0.46 to 2.53]), but also more complications (RR = 3.50 [95% CI 1.11 to 11.1] compared with NoBSM. Too few trials compared types of BSMs against each other to allow for pooled analyses. The certainty of the evidence was considered moderate for all outcomes except implant failure (low), overall complications (very low), and vertical interproximal bone resorption (very low). BSM use during immediate implant placement reduces horizontal buccal bone resorption and improves the periimplant soft-tissue esthetics. Although BSM use increases the risk of predominantly minor complications.</t>
  </si>
  <si>
    <t>Role of C reactive protein and procalcitonin in the diagnosis of lower respiratory tract infection in children in the outpatient setting.</t>
  </si>
  <si>
    <t>Pérez-López, Andrés; Irwin, Adam; Rodrigo, Carlos; Prat-Aymerich, Cristina</t>
  </si>
  <si>
    <t>https://pubmed.ncbi.nlm.nih.gov/34117023</t>
  </si>
  <si>
    <t>Genome-wide DNA methylation analysis on C-reactive protein among Ghanaians suggests molecular links to the emerging risk of cardiovascular diseases.</t>
  </si>
  <si>
    <t>Chilunga, Felix P; Henneman, Peter; Venema, Andrea; Meeks, Karlijn A C; Requena-Méndez, Ana; Beune, Erik; Mockenhaupt, Frank P; Smeeth, Liam; Bahendeka, Silver; Danquah, Ina; Klipstein-Grobusch, Kerstin; Adeyemo, Adebowale; Mannens, Marcel M A M; Agyemang, Charles</t>
  </si>
  <si>
    <t>npj genomic medicine</t>
  </si>
  <si>
    <t>https://pubmed.ncbi.nlm.nih.gov/34117263</t>
  </si>
  <si>
    <t>Molecular mechanisms at the intersection of inflammation and cardiovascular diseases (CVD) among Africans are still unknown. We performed an epigenome-wide association study to identify loci associated with serum C-reactive protein (marker of inflammation) among Ghanaians and further assessed whether differentially methylated positions (DMPs) were linked to CVD in previous reports, or to estimated CVD risk in the same population. We used the Illumina Infinium® HumanMethylation450 BeadChip to obtain DNAm profiles of blood samples in 589 Ghanaians from the RODAM study (without acute infections, not taking anti-inflammatory medications, CRP levels &lt; 40 mg/L). We then used linear models to identify DMPs associated with CRP concentrations. Post-hoc, we evaluated associations of identified DMPs with elevated CVD risk estimated via ASCVD risk score. We also performed subset analyses at CRP levels ≤10 mg/L and replication analyses on candidate probes. Finally, we assessed for biological relevance of our findings in public databases. We subsequently identified 14 novel DMPs associated with CRP. In post-hoc evaluations, we found that DMPs in PC, BTG4 and PADI1 showed trends of associations with estimated CVD risk, we identified a separate DMP in MORC2 that was associated with CRP levels ≤10 mg/L, and we successfully replicated 65 (24%) of previously reported DMPs. All DMPs with gene annotations (13) were biologically linked to inflammation or CVD traits. We have identified epigenetic loci that may play a role in the intersection between inflammation and CVD among Ghanaians. Further studies among other Africans are needed to confirm our findings.</t>
  </si>
  <si>
    <t>Routine clinical care data from thirteen cardiac outpatient clinics: design of the Cardiology Centers of the Netherlands (CCN) database.</t>
  </si>
  <si>
    <t>Bots, Sophie H; Siegersma, Klaske R; Onland-Moret, N Charlotte; Asselbergs, Folkert W; Somsen, G Aernout; Tulevski, Igor I; den Ruijter, Hester M; Hofstra, Leonard</t>
  </si>
  <si>
    <t>https://pubmed.ncbi.nlm.nih.gov/34112101</t>
  </si>
  <si>
    <t>Despite the increasing availability of clinical data due to the digitalisation of healthcare systems, data often remain inaccessible due to the diversity of data collection systems. In the Netherlands, Cardiology Centers of the Netherlands (CCN) introduced "one-stop shop" diagnostic clinics for patients suspected of cardiac disease by their general practitioner. All CCN clinics use the same data collection system and standardised protocol, creating a large regular care database. This database can be used to describe referral practices, evaluate risk factors for cardiovascular disease (CVD) in important patient subgroups, and develop prediction models for use in daily care. The current database contains data on all patients who underwent a cardiac workup in one of the 13 CCN clinics between 2007 and February 2018 (n = 109,151, 51.9% women). Data were pseudonymised and contain information on anthropometrics, cardiac symptoms, risk factors, comorbidities, cardiovascular and family history, standard blood laboratory measurements, transthoracic echocardiography, electrocardiography in rest and during exercise, and medication use. Clinical follow-up is based on medical need and consisted of either a repeat visit at CCN (43.8%) or referral for an external procedure in a hospital (16.5%). Passive follow-up via linkage to national mortality registers is available for 95% of the database. The CCN database provides a strong base for research into historically underrepresented patient groups due to the large number of patients and the lack of in- and exclusion criteria. It also enables the development of artificial intelligence-based decision support tools. Its contemporary nature allows for comparison of daily care with the current guidelines and protocols. Missing data is an inherent limitation, as the cardiologist could deviate from standardised protocols when clinically indicated. The CCN database offers the opportunity to conduct research in a unique population referred from the general practitioner to the cardiologist for diagnostic workup. This, in combination with its large size, the representation of historically underrepresented patient groups and contemporary nature makes it a valuable tool for expanding our knowledge of cardiovascular diseases. Not applicable.</t>
  </si>
  <si>
    <t>Replication and cross-validation of type 2 diabetes subtypes based on clinical variables: an IMI-RHAPSODY study.</t>
  </si>
  <si>
    <t>Slieker, Roderick C; Donnelly, Louise A; Fitipaldi, Hugo; Bouland, Gerard A; Giordano, Giuseppe N; Åkerlund, Mikael; Gerl, Mathias J; Ahlqvist, Emma; Ali, Ashfaq; Dragan, Iulian; Festa, Andreas; Hansen, Michael K; Mansour Aly, Dina; Kim, Min; Kuznetsov, Dmitry; Mehl, Florence; Klose, Christian; Simons, Kai; Pavo, Imre; Pullen, Timothy J; Suvitaival, Tommi; Wretlind, Asger; Rossing, Peter; Lyssenko, Valeriya; Legido-Quigley, Cristina; Groop, Leif; Thorens, Bernard; Franks, Paul W; Ibberson, Mark; Rutter, Guy A; Beulens, Joline W J; 't Hart, Leen M; Pearson, Ewan R</t>
  </si>
  <si>
    <t>https://pubmed.ncbi.nlm.nih.gov/34110439</t>
  </si>
  <si>
    <t>Five clusters based on clinical characteristics have been suggested as diabetes subtypes: one autoimmune and four subtypes of type 2 diabetes. In the current study we replicate and cross-validate these type 2 diabetes clusters in three large cohorts using variables readily measured in the clinic. In three independent cohorts, in total 15,940 individuals were clustered based on age, BMI, HbA&lt;sub&gt;1c&lt;/sub&gt;, random or fasting C-peptide, and HDL-cholesterol. Clusters were cross-validated against the original clusters based on HOMA measures. In addition, between cohorts, clusters were cross-validated by re-assigning people based on each cohort's cluster centres. Finally, we compared the time to insulin requirement for each cluster. Five distinct type 2 diabetes clusters were identified and mapped back to the original four All New Diabetics in Scania (ANDIS) clusters. Using C-peptide and HDL-cholesterol instead of HOMA2-B and HOMA2-IR, three of the clusters mapped with high sensitivity (80.6-90.7%) to the previously identified severe insulin-deficient diabetes (SIDD), severe insulin-resistant diabetes (SIRD) and mild obesity-related diabetes (MOD) clusters. The previously described ANDIS mild age-related diabetes (MARD) cluster could be mapped to the two milder groups in our study: one characterised by high HDL-cholesterol (mild diabetes with high HDL-cholesterol [MDH] cluster), and the other not having any extreme characteristic (mild diabetes [MD]). When these two milder groups were combined, they mapped well to the previously labelled MARD cluster (sensitivity 79.1%). In the cross-validation between cohorts, particularly the SIDD and MDH clusters cross-validated well, with sensitivities ranging from 73.3% to 97.1%. SIRD and MD showed a lower sensitivity, ranging from 36.1% to 92.3%, where individuals shifted from SIRD to MD and vice versa. People belonging to the SIDD cluster showed the fastest progression towards insulin requirement, while the MDH cluster showed the slowest progression. Clusters based on C-peptide instead of HOMA2 measures resemble those based on HOMA2 measures, especially for SIDD, SIRD and MOD. By adding HDL-cholesterol, the MARD cluster based upon HOMA2 measures resulted in the current clustering into two clusters, with one cluster having high HDL levels. Cross-validation between cohorts showed generally a good resemblance between cohorts. Together, our results show that the clustering based on clinical variables readily measured in the clinic (age, HbA&lt;sub&gt;1c&lt;/sub&gt;, HDL-cholesterol, BMI and C-peptide) results in informative clusters that are representative of the original ANDIS clusters and stable across cohorts. Adding HDL-cholesterol to the clustering resulted in the identification of a cluster with very slow glycaemic deterioration.</t>
  </si>
  <si>
    <t>Towards a Responsible Transition to Learning Healthcare Systems in Precision Medicine: Ethical Points to Consider.</t>
  </si>
  <si>
    <t>Wouters, Roel H P; van der Graaf, Rieke; Rigter, Tessel; Bunnik, Eline M; Ploem, M Corrette; de Wert, Guido M W R; Dondorp, Wybo J; Cornel, Martina C; Bredenoord, Annelien L</t>
  </si>
  <si>
    <t>https://pubmed.ncbi.nlm.nih.gov/34200580</t>
  </si>
  <si>
    <t>Learning healthcare systems have recently emerged as a strategy to continuously use experiences and outcomes of clinical care for research purposes in precision medicine. Although it is known that learning healthcare transitions in general raise important ethical challenges, the ethical ramifications of such transitions in the specific context of precision medicine have not extensively been discussed. Here, we describe three levers that institutions can pull to advance learning healthcare systems in precision medicine: (1) changing testing of individual variability (such as genes); (2) changing prescription of treatments on the basis of (genomic) test results; and/or (3) changing the handling of data that link variability and treatment to clinical outcomes. Subsequently, we evaluate how patients can be affected if one of these levers are pulled: (1) patients are tested for different or more factors than before the transformation, (2) patients receive different treatments than before the transformation and/or (3) patients' data obtained through clinical care are used, or used more extensively, for research purposes. Based on an analysis of the aforementioned mechanisms and how these potentially affect patients, we analyze why learning healthcare systems in precision medicine need a different ethical approach and discuss crucial points to consider regarding this approach.</t>
  </si>
  <si>
    <t>Nitrofurantoin 100 mg versus 50 mg prophylaxis for urinary tract infections, a cohort study.</t>
  </si>
  <si>
    <t>Ten Doesschate, Thijs; Hendriks, Kelly; van Werkhoven, Cornelis Henri; van der Hout, Evelien C; Platteel, Tamara N; Groenewegen, Irene A M; Muller, Anouk E; Hoepelman, Andy I M; Bonten, Marc J M; Geerlings, Suzanne E</t>
  </si>
  <si>
    <t>https://pubmed.ncbi.nlm.nih.gov/34111584</t>
  </si>
  <si>
    <t>Guidelines do not distinguish between 50 mg or 100 mg nitrofurantoin as daily prophylaxis for recurrent urinary tract infection (UTI), although 50 mg might have a better safety profile. Our objective was to compare the effectiveness and safety of both regimens. Data were retrospectively collected from 84 Dutch GP practices between 2013 and 2020. Nitrofurantoin prescriptions of 100 mg and 50 mg every 24 hours in women were included. Cox proportional hazard regression analysis was used to calculate hazard ratios on first episode of UTI, pyelonephritis and (adverse) events. Patients were followed for the duration of consecutive repeated prescriptions, assuming non-informative right censoring, up to 1 year. Nitrofurantoin prophylaxis was prescribed in 1893 patients. Median lengths of follow up were 90 days (interquartile range (IQR) 37-179 days) for 100 mg (n = 551) and 90 days (IQR 30-146 days) for 50 mg (n = 1342) with few differences in baseline characteristics between populations. Under 100 mg and 50 mg, 82/551 (14.9%) and 199/1342 (14.8%) developed UTI and 46/551 (8.3%) and 81/1342 (6.0%) developed pyelonephritis, respectively. Adjusted HRs of 100 mg versus 50 mg were 1.01 (95% CI 0.78-1.30) on first UTI, 1.37 (95% CI 0.95-1.98) on first pyelonephritis episode, 1.82 (95% CI 1.20-2.74) on first consultation for cough, 2.68 for dyspnoea (95% CI 1.11-6.45) and 2.43 for nausea (95% CI 1.03-5.74). Daily prophylaxis for recurrent UTI with 100 mg instead of 50 mg nitrofurantoin was associated with an equivalent hazard on UTI or pyelonephritis, and a higher hazard on cough, dyspnoea and nausea. We recommend 50 mg nitrofurantoin as daily prophylaxis.</t>
  </si>
  <si>
    <t>Urine NMR-based TB metabolic fingerprinting for the diagnosis of TB in children.</t>
  </si>
  <si>
    <t>Comella-Del-Barrio, Patricia; Izquierdo-Garcia, José Luis; Gautier, Jacqueline; Doresca, Mariette Jean Coute; Campos-Olivas, Ramón; Santiveri, Clara M; Muriel-Moreno, Beatriz; Prat-Aymerich, Cristina; Abellana, Rosa; Pérez-Porcuna, Tomas M; Cuevas, Luis E; Ruiz-Cabello, Jesús; Domínguez, José</t>
  </si>
  <si>
    <t>https://pubmed.ncbi.nlm.nih.gov/34099838</t>
  </si>
  <si>
    <t>Tuberculosis (TB) is a major cause of morbidity and mortality in children, and early diagnosis and treatment are crucial to reduce long-term morbidity and mortality. In this study, we explore whether urine nuclear magnetic resonance (NMR)-based metabolomics could be used to identify differences in the metabolic response of children with different diagnostic certainty of TB. We included 62 children with signs and symptoms of TB and 55 apparently healthy children. Six of the children with presumptive TB had bacteriologically confirmed TB, 52 children with unconfirmed TB, and 4 children with unlikely TB. Urine metabolic fingerprints were identified using high- and low-field proton NMR platforms and assessed with pattern recognition techniques such as principal components analysis and partial least squares discriminant analysis. We observed differences in the metabolic fingerprint of children with bacteriologically confirmed and unconfirmed TB compared to children with unlikely TB (p = 0.041 and p = 0.013, respectively). Moreover, children with unconfirmed TB with X-rays compatible with TB showed differences in the metabolic fingerprint compared to children with non-pathological X-rays (p = 0.009). Differences in the metabolic fingerprint in children with different diagnostic certainty of TB could contribute to a more accurate characterisation of TB in the paediatric population. The use of metabolomics could be useful to improve the prediction of TB progression and diagnosis in children.</t>
  </si>
  <si>
    <t>Determinants of Food Choice and Perceptions of Supermarket-Based Nudging Interventions among Adults with Low Socioeconomic Position: The SUPREME NUDGE Project.</t>
  </si>
  <si>
    <t>Harbers, Marjolein C; Middel, Cédric N H; Stuber, Josine M; Beulens, Joline W J; Rutters, Femke; van der Schouw, Yvonne T</t>
  </si>
  <si>
    <t>https://pubmed.ncbi.nlm.nih.gov/34200437</t>
  </si>
  <si>
    <t>Nudging has received ample attention in scientific literature as an environmental strategy to promote healthy diets, and may be effective for reaching populations with low socioeconomic position (SEP). Therefore, the objective of this study was to investigate how the determinants of food choice shape the perceptions regarding supermarket-based nudging strategies among adults with low SEP. We conducted semi-structured interviews among fifteen adults with low SEP using a pre-defined topic list and visual examples of nudges. Interviews were recorded and transcribed verbatim and content analysis was used to analyse the data. The results show that food costs, convenience, healthiness, taste, and habits were frequently mentioned as determinants of food choice. However, the relative importance of these determinants seemed to be context-dependent. Interviewees generally had a positive attitude towards nudges, especially when they were aligned with product preferences, information needs, and beliefs about the food environment. Still, some interviewees also expressed distrust towards nudging strategies, suspecting ulterior motives. We conclude that nudging strategies should target foods which align with product preferences and information needs. However, the suspicion of ulterior motives highlights an important concern which should be considered when implementing supermarket-based nudging strategies.</t>
  </si>
  <si>
    <t>Capturing Data in Rare Disease Registries to Support Regulatory Decision Making: A Survey Study Among Industry and Other Stakeholders.</t>
  </si>
  <si>
    <t>Jonker, Carla J; de Vries, Sieta T; van den Berg, H Marijke; McGettigan, Patricia; Hoes, Arno W; Mol, Peter G M</t>
  </si>
  <si>
    <t>https://pubmed.ncbi.nlm.nih.gov/34091881</t>
  </si>
  <si>
    <t>In rare diseases, registry-based studies can be used to provide natural history data pre-approval and complement drug efficacy and/or safety knowledge post-approval. The objective of this study was to investigate the opinion of stakeholders about key aspects of rare disease registries that are used to support regulatory decision making and to compare the responses of employees from industry to other stakeholders. A web-based survey was used to gauge the importance of (1) common data elements (including safety outcomes), (2) data quality and (3) governance aspects that are generic across different rare diseases. The survey included 47 questions. The data were collected in the period April-October 2019. Seventy-three respondents completed ≥ 80% of the survey. Most of the respondents were from the industry (n = 42, 57%). For safety data, 31 (42%) respondents were in favour of collecting all adverse events. For data quality, the respondents found a level of 30% reasonable for source data verification. For missing data, a level of 20% was considered acceptable. Compared to responders from industry, the other stakeholders found it less relevant to share data with industry and found it less acceptable if the registry is financed by industry. This study showed that the opinion towards data and governance is well aligned across parties, and issues of data and governance on their own should not pose a barrier to collaboration. This finding is supportive of the European Medicines Agency's efforts to encourage stakeholders to work with existing registries when collecting data to support regulatory decision making.</t>
  </si>
  <si>
    <t>Metabolic syndrome following hypertensive disorders in pregnancy in a low-resource setting: A cohort study.</t>
  </si>
  <si>
    <t>Ishaku, Salisu M; Karima, Tunau; Oboirien, Khadijat A; Innocent, Agbo P; Lawal, Oyeneyin; Jamilu, Tukur; Browne, Joyce L; Gbenga, Kayode A; Azubuike, Onyebuchi K; Lamaran, Dattijo M; Baffah, Aminu M; Olorunfemi, Owa O; Patience, Odusolu O; Charlotte, Warren E; Abubakar, Hanifah D; Musa, Abdulkarim; Franx, Arie; Grobbee, Diederick E</t>
  </si>
  <si>
    <t>https://pubmed.ncbi.nlm.nih.gov/34119878</t>
  </si>
  <si>
    <t>Hypertensive disorders in pregnancy (HDPs) are associated with risk of future metabolic syndrome. Despite the huge burden of HDPs in sub-Saharan Africa, this association has not been adequately studied in this population. This was a prospective cohort study on pregnant women recruited between August 2017 - April 2018 and followed up to one year after their deliveries and evaluated for presence of metabolic syndrome at delivery, nine weeks, six months and one year. Prevalence of metabolic syndrome RESULTS: A total of 488 pregnant women were included: 410 and 78 with HDPs and normotensive, respectively. None of the normotensive had metabolic syndrome until one year (1.7% = 1 out of 59 observations), while among those with HDPs were 17.4% (71 of 407), 8.7% (23 of 263), 4.7% (11 of 232) and 6.1% (17 of 278), at delivery, nine weeks, six months and one year postpartum, respectively. High BMI and blood pressure were the drivers of metabolic syndrome in this population. The incidence rate in HDPs versus normotensive at one year were, respectively, 57.5/1000 persons' year (95%CI; 35.8 - 92.6) and 16.9/1000 persons' years (95%CI; 2.4-118.3), with incidence rate ratio of 3.4/1000 person's years. Only parity significantly predicted the presence of metabolic syndrome at one year [(aOR= 3.26/delivery (95%CI; 1.21-8.79)]. HDPs were associated with a higher incidence of metabolic syndrome up to one year postpartum. Women with HDPs should be routinely screened for metabolic syndrome within the first year postpartum to reduce cardiometabolic risks.</t>
  </si>
  <si>
    <t>Early health economic analysis of 1.5 T MRI-guided radiotherapy for localized prostate cancer: Decision analytic modelling.</t>
  </si>
  <si>
    <t>Hehakaya, Charisma; van der Voort van Zyp, Jochem R N; Vanneste, Ben G L; Grutters, Janneke P C; Grobbee, Diederick E; Verkooijen, Helena M; Frederix, Geert W J</t>
  </si>
  <si>
    <t>https://pubmed.ncbi.nlm.nih.gov/34089754</t>
  </si>
  <si>
    <t>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MR-Linac is found to be cost-effective compared to 20 and 39 fractions EBRT at baseline. For MR-Linac to become cost-effective over 5 fractions EBRT and LDR brachytherapy, it has to reduce complications substantially or be offered at lower costs.</t>
  </si>
  <si>
    <t>Age at Menopause and Risk of Ischemic and Hemorrhagic Stroke.</t>
  </si>
  <si>
    <t>Welten, Sabrina J G C; Onland-Moret, N Charlotte; Boer, Jolanda M A; Verschuren, W M Monique; van der Schouw, Yvonne T</t>
  </si>
  <si>
    <t>https://pubmed.ncbi.nlm.nih.gov/34078111</t>
  </si>
  <si>
    <t>The few epidemiological studies that addressed the association between age at menopause and ischemic and hemorrhagic stroke risk in women had conflicting findings. We aimed to investigate whether age at (natural and surgical) menopause is a risk factor for total, ischemic, and hemorrhagic stroke in women. We analyzed data from 16 244 postmenopausal women, aged 26 to 70 years at recruitment who were enrolled in the European Prospective Investigation into Cancer and Nutrition-Netherlands cohort between 1993 and 1997. Participants were followed for the occurrence of stroke until January 1, 2011. At baseline, participants filled in questionnaires about health, reproductive history including age at menopause, diet, and lifestyle. Cox regression was used to investigate the association between age at menopause and stroke. All analyses were adjusted for age, smoking, systolic blood pressure, and body mass index. Mean age of menopause was 46.4 (7.0) years. A total of 830 strokes (571 ischemic, 162 hemorrhagic, 97 unclassified) were identified. Earlier menopause was associated with an increased risk of total stroke. Compared with women who experienced menopause between 50 and 54 years old, women who underwent menopause before age 40 years had 1.48× higher risk (95% CI, 1.19-1.85) of total stroke. In continuous analyses, we observed a 2% lower total stroke risk for each year menopause was delayed (hazard ratio, 0.98 [95% CI, 0.97-0.99]). The risk between earlier menopause and stroke was confined to ischemic stroke, earlier menopause was not associated with hemorrhagic stroke. The association with age at menopause was stronger for natural menopause (hazard ratio &lt;40 versus 50-54 years, 1.74 [95% CI, 1.12-2.70]) than for surgical menopause (hazard ratio &lt;40 versus 50-54 years, 1.26 [95% CI, 0.84-1.89]). The risk of total and ischemic stroke decreased with an increase in age at menopause. Whether this should have clinical consequences such as intensified risk factor control should be subject of further studies.</t>
  </si>
  <si>
    <t>The sex difference in gait speed among older adults: how do sociodemographic, lifestyle, social and health determinants contribute?</t>
  </si>
  <si>
    <t>Sialino, Lena D; Schaap, Laura A; van Oostrom, Sandra H; Picavet, H Susan J; Twisk, Johannes W R; Verschuren, W M Monique; Visser, Marjolein; Wijnhoven, Hanneke A H</t>
  </si>
  <si>
    <t>https://pubmed.ncbi.nlm.nih.gov/34078276</t>
  </si>
  <si>
    <t>This study explores whether a sex difference in sensitivity to (strength of the association) and/or in exposure to (prevalence) determinants of gait speed contributes to the observed lower gait speed among older women compared to men. Data from the Longitudinal Aging Study Amsterdam (LASA) were used. In total 2407 men and women aged 55-81 years were included, with baseline measurements in 1992/2002 and follow-up measurements every 3-4 years for 15/25 years. Multivariable mixed model analysis was used to investigate sex differences in sensitivity (interaction term with sex) and in exposure to (change of the sex difference when adjusted) socio-demographic, lifestyle, social and health determinants of gait speed. Women had a 0.054 m/s (95 % CI: 0.076 - 0.033, adjusted for height and age) lower mean gait speed compared to men. In general, men and women had similar determinants of gait speed. However, higher BMI and lower physical activity were more strongly associated with lower gait speed in women compared to men (i.e. higher sensitivity). More often having a lower educational level, living alone and having more chronic diseases, pain and depressive symptoms among women compared to men also contributed to observed lower gait speed in women (i.e. higher exposure). In contrast, men more often being a smoker, having a lower physical activity and a smaller personal network size compared to women contributed to a lower gait speed among men (i.e. higher exposure). Both a higher sensitivity and higher exposure to determinants of gait speed among women compared to men contributes to the observed lower gait speed among older women. The identified (modifiable) contributing factors should be taken into account when developing prevention and/or treatment strategies aimed to enhance healthy physical aging. This might require a sex-specific approach in both research and clinical practice, which is currently often lacking.</t>
  </si>
  <si>
    <t>Therapeutic inertia in the management of hypertension in primary care.</t>
  </si>
  <si>
    <t>Ali, Dalia H; Kiliç, Birsen; Hart, Huberta E; Bots, Michiel L; Biermans, Marion C J; Spiering, Wilko; Rutten, Frans H; Hollander, Monika</t>
  </si>
  <si>
    <t>https://pubmed.ncbi.nlm.nih.gov/33560056</t>
  </si>
  <si>
    <t>Therapeutic inertia is considered to be an obstacle to effective blood pressure (BP) control. To identify patient characteristics associated with therapeutic inertia in patients with hypertension managed in primary care and to assess reasons not to intensify therapy. A Dutch cohort study was conducted using electronic health record data of patients registered in the Julius General Practitioners' Network (n = 530 564). Patients with a diagnosis of hypertension, SBP at least 140 and/or DBP at least 90 mmHg, and one or two BP-lowering drug(s) were included. Therapeutic inertia was defined as not undertaking therapeutic action in follow-up despite uncontrolled BP. Multivariable logistic regression was used to identify characteristics associated with inertia. Furthermore, an exploratory survey was performed in which general practitioners of 114 patients were asked for reasons not to intensify treatment. We identified 6400 (10% of all patients with hypertension) uncontrolled patients on one or two BP-lowering drugs. Therapeutic inertia was 87%, similar in men and women. Older age, lower systolic, diastolic and near-target SBP, and diabetes were positively associated, while renal insufficiency and heart failure were inversely related to inertia. General practitioners did not intensify therapy because they first, considered office BP measurements as nonrepresentative (27%); second, waited for next BP readings (21%); third, wanted to optimize lifestyle first (19%). Eleven percent of patients explicitly did not want to change treatment. Therapeutic inertia is common in primary care patients with uncontrolled hypertension. Older age, and closer to target BP, but also concurrent diabetes were associated with inertia.</t>
  </si>
  <si>
    <t>Methodology over metrics: current scientific standards are a disservice to patients and society.</t>
  </si>
  <si>
    <t>Van Calster, Ben; Wynants, Laure; Riley, Richard D; van Smeden, Maarten; Collins, Gary S</t>
  </si>
  <si>
    <t>https://pubmed.ncbi.nlm.nih.gov/34077797</t>
  </si>
  <si>
    <t>Covid-19 research made it painfully clear that the scandal of poor medical research, as denounced by Altman in 1994, persists today. The overall quality of medical research remains poor, despite longstanding criticisms. The problems are well known, but the research community fails to properly address them. We suggest that most problems stem from an underlying paradox: although methodology is undeniably the backbone of high-quality and responsible research, science consistently undervalues methodology. The focus remains more on the destination (research claims and metrics) than on the journey. Notwithstanding, research should serve society more than the reputation of those involved. While we notice that many initiatives are being established to improve components of the research cycle, these initiatives are too disjointed. The overall system is monolithic and slow to adapt. We assert that top-down action is needed from journals, universities, funders and governments to break the cycle and put methodology first. These actions should involve the widespread adoption of registered reports, balanced research funding between innovative, incremental and methodological research projects, full recognition and demystification of peer review, improved methodological review of reports, adherence to reporting guidelines, and investment in methodological education and research. Currently, the scientific enterprise is doing a major disservice to patients and society.</t>
  </si>
  <si>
    <t>How digital health affects the patient-physician relationship: An empirical-ethics study into the perspectives and experiences in obstetric care.</t>
  </si>
  <si>
    <t>Jongsma, K R; Bekker, M N; Haitjema, S; Bredenoord, A L</t>
  </si>
  <si>
    <t>https://pubmed.ncbi.nlm.nih.gov/34090186</t>
  </si>
  <si>
    <t>Digital health technologies are believed to change the patient-physician relationship. Such changes are still speculative, as there are no studies in which both patients and health care professionals are asked for their experiences and perspectives on how digital health affects the patient-physician relationship. We performed a qualitative interview study (n = 25) to identify relevant aspects of the patient-physician relationship as perceived by both health care professionals (n = 14) and patients (n = 11) of a digital monitoring platform for hypertensive disorders related to pregnancy. We focus on roles, responsibilities and medical decision-making. Digital monitoring helps patients to better understand their own condition and contributes to shared decision-making in terms of information exchange. Yet for clinical decision-making both patients and health care professionals argue that health care professionals should stay in the lead. The collected data is by some health care professionals considered hard data that allows objective and more standardized decision-making, while others believe digital monitoring requires further interpretation in order to personalize the clinical care to the patient. Digital technologies have subtle, yet double-edged, effects on the patient-physician relationship in terms of roles and responsibilities and the value addressed to the digital data. These insights let to 6 ethical recommendations for the implementation of digital health technologies to replace and support clinical care.</t>
  </si>
  <si>
    <t>Chromosomal copy number heterogeneity predicts survival rates across cancers.</t>
  </si>
  <si>
    <t>van Dijk, Erik; van den Bosch, Tom; Lenos, Kristiaan J; El Makrini, Khalid; Nijman, Lisanne E; van Essen, Hendrik F B; Lansu, Nico; Boekhout, Michiel; Hageman, Joris H; Fitzgerald, Rebecca C; Punt, Cornelis J A; Tuynman, Jurriaan B; Snippert, Hugo J G; Kops, Geert J P L; Medema, Jan Paul; Ylstra, Bauke; Vermeulen, Louis; Miedema, Daniël M</t>
  </si>
  <si>
    <t>https://pubmed.ncbi.nlm.nih.gov/34045449</t>
  </si>
  <si>
    <t>Survival rates of cancer patients vary widely within and between malignancies. While genetic aberrations are at the root of all cancers, individual genomic features cannot explain these distinct disease outcomes. In contrast, intra-tumour heterogeneity (ITH) has the potential to elucidate pan-cancer survival rates and the biology that drives cancer prognosis. Unfortunately, a comprehensive and effective framework to measure ITH across cancers is missing. Here, we introduce a scalable measure of chromosomal copy number heterogeneity (CNH) that predicts patient survival across cancers. We show that the level of ITH can be derived from a single-sample copy number profile. Using gene-expression data and live cell imaging we demonstrate that ongoing chromosomal instability underlies the observed heterogeneity. Analysing 11,534 primary cancer samples from 37 different malignancies, we find that copy number heterogeneity can be accurately deduced and predicts cancer survival across tissues of origin and stages of disease. Our results provide a unifying molecular explanation for the different survival rates observed between cancer types.</t>
  </si>
  <si>
    <t>Predicting recurrence in patients with sentinel node-negative melanoma: validation of the EORTC nomogram using population-based data.</t>
  </si>
  <si>
    <t>El Sharouni, M A; Ahmed, T; Witkamp, A J; Sigurdsson, V; van Gils, C H; Nieweg, O E; Scolyer, R A; Thompson, J F; van Diest, P J; Lo, S N</t>
  </si>
  <si>
    <t>https://pubmed.ncbi.nlm.nih.gov/34043770</t>
  </si>
  <si>
    <t>Identifying patients with sentinel node (SN)-negative melanoma who are at greatest risk of recurrence is important. The European Organization for Research and Treatment of Cancer (EORTC) Melanoma Group proposed a prognostic model that has not been validated in population-based data. The EORTC nomogram includes Breslow thickness, ulceration status and anatomical location as parameters. The aim of this study was to validate the EORTC model externally using a large national data set. Adults with histologically proven, invasive cutaneous melanoma with a negative SN biopsy in the Netherlands between 2000 and 2014 were identified from the Dutch Pathology Registry, and relevant data were extracted. The EORTC nomogram was used to predict recurrence-free survival. The predictive performance of the nomogram was assessed by discrimination (C-statistic) and calibration. A total of 8795 patients met the eligibility criteria, of whom 14·7 per cent subsequently developed metastatic disease. Of these recurrences, 20·9 per cent occurred after the first 5 years of follow-up. Validation of the EORTC nomogram showed a C-statistic of 0·70 (95 per cent c.i. 0·68 to 0·71) for recurrence-free survival, with excellent calibration (R2 = 0·99; P = 0·999, Hosmer-Lemeshow test). This population-based validation confirmed the value of the EORTC nomogram in predicting recurrence-free survival in patients with SN-negative melanoma. The EORTC nomogram could be used in clinical practice for personalizing follow-up and selecting high-risk patients for trials of adjuvant systemic therapy.</t>
  </si>
  <si>
    <t>Prevalence, serotype and antibiotic susceptibility of Group B Streptococcus isolated from pregnant women in Jakarta, Indonesia.</t>
  </si>
  <si>
    <t>Safari, Dodi; Gultom, Septiani Madonna; Tafroji, Wisnu; Azzahidah, Athiya; Soesanti, Frida; Khoeri, Miftahuddin Majid; Prayitno, Ari; Pimenta, Fabiana C; da Gloria Carvalho, Maria; Uiterwaal, Cuno S P M; Putri, Nina Dwi</t>
  </si>
  <si>
    <t>https://pubmed.ncbi.nlm.nih.gov/34043711</t>
  </si>
  <si>
    <t>Group B Streptococcus (GBS) is a bacterial pathogen which is a leading cause of neonatal infection. Currently, there are limited GBS data available from the Indonesian population. In this study, GBS colonization, serotype distribution and antimicrobial susceptibility profile of isolates were investigated among pregnant women in Jakarta, Indonesia. Demographics data, clinical characteristics and vaginal swabs were collected from 177 pregnant women (mean aged: 28.7 years old) at 29-40 weeks of gestation. Bacterial culture identification tests and latex agglutination were performed for GBS. Serotyping was done by conventional multiplex PCR and antibiotic susceptibility testing by broth microdilution. GBS colonization was found in 53 (30%) pregnant women. Serotype II was the most common serotype (30%) followed by serotype III (23%), Ia and IV (13% each), VI (8%), Ib and V (6% each), and one non-typeable strain. All isolates were susceptible to vancomycin, penicillin, ampicillin, cefotaxime, daptomycin and linezolid. The majority of GBS were resistant to tetracycline (89%) followed by clindamycin (21%), erythromycin (19%), and levofloxacin (6%). The serotype III was more resistant to erythromycin, clindamycin, and levofloxacin and these isolates were more likely to be multidrug resistant (6 out of 10) compared to other serotypes. This report provides demographics of GBS colonization and isolate characterization in pregnant women in Indonesia. The results may facilitate preventive strategies to reduce neonatal GBS infection and improve its treatment.</t>
  </si>
  <si>
    <t>Where to go to in chlamydia control? From infection control towards infectious disease control.</t>
  </si>
  <si>
    <t>van Bergen, Jan E A M; Hoenderboom, Bernice Maria; David, Silke; Deug, Febe; Heijne, Janneke C M; van Aar, Fleur; Hoebe, Christian J P A; Bos, Hanna; Dukers-Muijrers, Nicole H T M; Götz, Hannelore M; Low, Nicola; Morré, Servaas Antonie; Herrmann, Bjőrn; van der Sande, Marianne A B; de Vries, Henry J C; Ward, Helen; van Benthem, Birgit H B</t>
  </si>
  <si>
    <t>https://pubmed.ncbi.nlm.nih.gov/34045364</t>
  </si>
  <si>
    <t>The clinical and public health relevance of widespread case finding by testing for asymptomatic chlamydia infections is under debate. We wanted to explore future directions for chlamydia control and generate insights that might guide for evidence-based strategies. In particular, we wanted to know the extent to which we should pursue testing for asymptomatic infections at both genital and extragenital sites. We synthesised findings from published literature and from discussions among national and international chlamydia experts during an invitational workshop. We described changing perceptions in chlamydia control to inform the development of recommendations for future avenues for chlamydia control in the Netherlands. Despite implementing a range of interventions to control chlamydia, there is no practice-based evidence that population prevalence can be reduced by screening programmes or widespread opportunistic testing. There is limited evidence about the beneficial effect of testing on pelvic inflammatory disease prevention. The risk of tubal factor infertility resulting from chlamydia infection is low and evidence on the preventable fraction remains uncertain. Overdiagnosis and overtreatment with antibiotics for self-limiting and non-viable infections have contributed to antimicrobial resistance in other pathogens and may affect oral, anal and genital microbiota. These changing insights could affect the outcome of previous cost-effectiveness analysis. The balance between benefits and harms of widespread testing to detect asymptomatic chlamydia infections is changing. The opinion of our expert group deviates from the existing paradigm of 'test and treat' and suggests that future strategies should reduce, rather than expand, the role of widespread testing for asymptomatic chlamydia infections.</t>
  </si>
  <si>
    <t>Trends of Stroke Incidence and 28-Day All-Cause Mortality after a Stroke in Malaysia: A Linkage of National Data Sources.</t>
  </si>
  <si>
    <t>Hwong, Wen Yea; Ang, Swee Hung; Bots, Michiel L; Sivasampu, Sheamini; Selvarajah, Sharmini; Law, Wan Chung; Latif, Lydia Abdul; Vaartjes, Ilonca</t>
  </si>
  <si>
    <t>https://pubmed.ncbi.nlm.nih.gov/34211825</t>
  </si>
  <si>
    <t>Data on nationwide trends for stroke metrics are crucial to understand the extent of the disease burden to a country's health system. Yet, this information remains scarce in low- and middle-income countries. This study investigated trends of stroke incidence and 28-day all-cause mortality after a stroke from 2008 to 2016 in Malaysia, through linkage across national data sources. Hospital admissions with a principal diagnosis of stroke or transient ischemic attack were included. Cases with first stroke were identified through linkage of hospital admission registers where age and sex-standardized trends of stroke incidence and its subtypes were calculated. By linking hospital registers to the National Death Register, the 28-day all-cause mortality rates after a stroke were estimated. Mann-Kendall's test was used for trend evaluation. From 243,765 records, the trend of stroke incidence showed an increase of 4.9% in men and a drop of 3.8% among women. Incidences were higher in men, at 99.1 per 100,000 population in 2008 and 103.9 per 100,000 in 2016 than women (80.3 per 100,000 in 2008 and 77.2 per 100,000 in 2016). There was a substantial increase in stroke incidence among those below 65 years old, with the largest increase of 53.3% in men aged between 35-39 years and 50.4% in women of similar age group. The trend for 28-day all-cause mortality showed a decline for men at -13.1% and women, -10.6%. Women had higher mortality from stroke (22.0% in 2008 and 19.7% in 2016) than men (19.4% in 2008 to 17.2% in 2016). This first empirical study on stroke trends in Malaysia revealed a worrying increase in stroke incidence among the younger population. Despite a declining trend, mortality rates remained moderately high especially in women. Comprehensive strategies to strengthen the prevention and management of stroke care are warranted.</t>
  </si>
  <si>
    <t>Effects on staff outcomes and process evaluation of the educating nursing staff effectively (TENSE) program for managing challenging behavior in nursing home residents with dementia: A cluster-randomized controlled trial.</t>
  </si>
  <si>
    <t>Bielderman, Annemiek; Nieuwenhuis, Aniek; Hazelhof, Theo J G M; van Gaal, Betsie G I; Schoonhoven, Lisette; Akkermans, Reinier P; Spijker, Anouk; Koopmans, Raymond T C M; Gerritsen, Debby L</t>
  </si>
  <si>
    <t>https://pubmed.ncbi.nlm.nih.gov/34171518</t>
  </si>
  <si>
    <t>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The aim of this cluster-randomized controlled trial was to examine the short-term (3 months) and long-term (9 months) effects of the TENSE training program on experienced stress, work contentment, and stress reactions at work in nursing staff working in dementia special care units. Cluster-randomized controlled trial.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The TENSE training program did not have an effect on experienced stress, work contentment, nor stress reactions at work of nursing staff working in dementia special care units. In future studies, more focus on practicing new skills seems needed. NTR (Dutch Trial Registration) number NTR3620.</t>
  </si>
  <si>
    <t>Insights into therapeutic products, preclinical research models, and clinical trials in cardiac regenerative and reparative medicine: where are we now and the way ahead. Current opinion paper of the ESC Working Group on Cardiovascular Regenerative and Reparative Medicine.</t>
  </si>
  <si>
    <t>Grigorian-Shamagian, Lilian; Sanz-Ruiz, Ricardo; Climent, Andreu; Badimon, Lina; Barile, Lucio; Bolli, Roberto; Chamuleau, Steven; Grobbee, Diederick E; Janssens, Stefan; Kastrup, Jens; Kragten-Tabatabaie, Leyla; Madonna, Rosalinda; Mathur, Anthony; Menasché, Philippe; Pompilio, Giulio; Prosper, Felipe; Sena, Emily; Smart, Nicola; Zimmermann, Wolfgram-Hubertus; Fernández-Avilés, Francisco</t>
  </si>
  <si>
    <t>cardiovascular research</t>
  </si>
  <si>
    <t>https://pubmed.ncbi.nlm.nih.gov/33258961</t>
  </si>
  <si>
    <t>Great expectations have been set around the clinical potential of regenerative and reparative medicine in the treatment of cardiovascular diseases [i.e. in particular, heart failure (HF)]. Initial excitement, spurred by encouraging preclinical data, resulted in a rapid translation into clinical research. The sobering outcome of the resulting clinical trials suggests that preclinical testing may have been insufficient to predict clinical outcome. A number of barriers for clinical translation include the inherent variability of the biological products and difficulties to develop potency and quality assays, insufficient rigour of the preclinical research and reproducibility of the results, manufacturing challenges, and scientific irregularities reported in the last years. The failure to achieve clinical success led to an increased scrutiny and scepticism as to the clinical readiness of stem cells and gene therapy products among clinicians, industry stakeholders, and funding bodies. The present impasse has attracted the attention of some of the most active research groups in the field, which were then summoned to analyse the position of the field and tasked to develop a strategy, to re-visit the undoubtedly promising future of cardiovascular regenerative and reparative medicine, based on lessons learned over the past two decades. During the scientific retreat of the ESC Working Group on Cardiovascular Regenerative and Reparative Medicine (CARE) in November 2018, the most relevant and timely research aspects in regenerative and/or reparative medicine were presented and critically discussed, with the aim to lay out a strategy for the future development of the field. We report herein the main ideas and conclusions of that meeting.</t>
  </si>
  <si>
    <t>Minimum sample size for external validation of a clinical prediction model with a binary outcome.</t>
  </si>
  <si>
    <t>Riley, Richard D; Debray, Thomas P A; Collins, Gary S; Archer, Lucinda; Ensor, Joie; van Smeden, Maarten; Snell, Kym I E</t>
  </si>
  <si>
    <t>https://pubmed.ncbi.nlm.nih.gov/34031906</t>
  </si>
  <si>
    <t>In prediction model research, external validation is needed to examine an existing model's performance using data independent to that for model development. Current external validation studies often suffer from small sample sizes and consequently imprecise predictive performance estimates. To address this, we propose how to determine the minimum sample size needed for a new external validation study of a prediction model for a binary outcome. Our calculations aim to precisely estimate calibration (Observed/Expected and calibration slope), discrimination (C-statistic), and clinical utility (net benefit). For each measure, we propose closed-form and iterative solutions for calculating the minimum sample size required. These require specifying: (i) target SEs (confidence interval widths) for each estimate of interest, (ii) the anticipated outcome event proportion in the validation population, (iii) the prediction model's anticipated (mis)calibration and variance of linear predictor values in the validation population, and (iv) potential risk thresholds for clinical decision-making. The calculations can also be used to inform whether the sample size of an existing (already collected) dataset is adequate for external validation. We illustrate our proposal for external validation of a prediction model for mechanical heart valve failure with an expected outcome event proportion of 0.018. Calculations suggest at least 9835 participants (177 events) are required to precisely estimate the calibration and discrimination measures, with this number driven by the calibration slope criterion, which we anticipate will often be the case. Also, 6443 participants (116 events) are required to precisely estimate net benefit at a risk threshold of 8%. Software code is provided.</t>
  </si>
  <si>
    <t>Comparative assessment of the prevalence, practices and factors associated with self-medication with antibiotics in Africa.</t>
  </si>
  <si>
    <t>Yeika, Eugene Vernyuy; Ingelbeen, Brecht; Kemah, Ben-Lawrence; Wirsiy, Frankline Sevidzem; Fomengia, Joseph Nkeangu; van der Sande, Marianne A B</t>
  </si>
  <si>
    <t>https://pubmed.ncbi.nlm.nih.gov/33942448</t>
  </si>
  <si>
    <t>To evaluate and compare the prevalence, reasons, sources and factors associated with self-medication with antibiotics (SMA) within Africa. Systematic review and meta-analysis. An electronic search of PubMed and Google Scholar databases was performed for observational studies conducted between January 2005 and February 2020. Two reviewers independently screened abstracts and full texts using the PRISMA flowchart and performed quality assessment of eligible studies. Both qualitative and quantitative syntheses were carried out. Forty studies from 19 countries were eligible for qualitative synthesis. The prevalence of SMA in Africa ranged from 12.1% to 93.9% with a median prevalence of 55.7% (IQR 41-75%). Western Africa was the sub-region with the highest reported prevalence of 70.1% (IQR 48.3-82.1%), followed by Northern Africa with 48.1% (IQR 41.1-64.3%). We identified 27 antibiotics used for self-medication from 13 different antibiotic classes. Most frequently used antibiotics were penicillins (31 studies), tetracyclines (25 studies) and fluoroquinolones (23 studies). 41% of these antibiotics belong to the WHO Watch Group. The most frequent indications for SMA were upper respiratory tract infections (27 studies), gastrointestinal tract symptoms (25 studies) and febrile illnesses (18 studies). Common sources of antibiotics used for self-medication were community pharmacies (31 studies), family/friends (20 studies), leftover antibiotics (19 studies) and patent medicine stores (18 studies). The most frequently reported factor associated with SMA was no education/low educational status (nine studies). The prevalence of SMA is high in Africa and varies across sub-regions with the highest prevalence reported in Western Africa. Drivers of SMA are complex, comprising of socio-economic factors and insufficient access to health care coupled with poorly implemented policies regulating antibiotic sales.</t>
  </si>
  <si>
    <t>Human papillomavirus vaccinations matter!</t>
  </si>
  <si>
    <t>van der Sande, Marianne A B; van der Loeff, Maarten F Schim</t>
  </si>
  <si>
    <t>https://pubmed.ncbi.nlm.nih.gov/34043962</t>
  </si>
  <si>
    <t>Clinical evaluation of rapid point-of-care antigen tests for diagnosis of SARS-CoV-2 infection.</t>
  </si>
  <si>
    <t>Koeleman, Johannes G M; Brand, Henk; de Man, Stijn J; Ong, David S Y</t>
  </si>
  <si>
    <t>european journal of clinical microbiology infectious diseases official publication of the european society of clinical microbiology</t>
  </si>
  <si>
    <t>https://pubmed.ncbi.nlm.nih.gov/34021840</t>
  </si>
  <si>
    <t>The RT-qPCR in respiratory specimens is the gold standard for diagnosing acute COVID-19 infections. However, this test takes considerable time before test results become available, thereby delaying patients from being diagnosed, treated, and isolated immediately. Rapid antigen tests could overcome this problem. In the first study, clinical performances of five rapid antigen tests were compared to RT-qPCR in upper respiratory specimens from 40 patients with positive and 40 with negative RTq-PCR results. In the second study, the rapid antigen test with one of the best test characteristics (Romed) was evaluated in a large prospective collection of upper respiratory specimens from 900 different COVID-19-suspected patients (300 emergency room patients, 300 nursing home patients, and 300 health care workers). Test specificities ranged from 87.5 to 100.0%, and test sensitivities from 55.0 to 80.0%. The clinical specificity of the Romed test was 99.8% (95% CI 98.9-100). Overall clinical sensitivity in the study population was 73.3% (95% CI 67.9-78.2), whereas sensitivity in the different patient groups varied from 65.3 to 86.7%. Sensitivity was 83.0 to 86.7% in patients with short duration of symptoms. In a population with a COVID-19 prevalence of 1%, the negative predictive value in all patients was 99.7%. There is a large variability in diagnostic performance between rapid antigen tests. The Romed rapid antigen test showed a good clinical performance in patients with high viral loads (RT-qPCR cycle threshold ≤30), which makes this antigen test suitable for rapid identification of COVID-19-infected health care workers and patients.</t>
  </si>
  <si>
    <t>Endovascular Therapy for Stroke Due to Basilar-Artery Occlusion.</t>
  </si>
  <si>
    <t>Langezaal, Lucianne C M; van der Hoeven, Erik J R J; Mont'Alverne, Francisco J A; de Carvalho, João J F; Lima, Fabrício O; Dippel, Diederik W J; van der Lugt, Aad; Lo, Rob T H; Boiten, Jelis; Lycklama À Nijeholt, Geert J; Staals, Julie; van Zwam, Wim H; Nederkoorn, Paul J; Majoie, Charles B L M; Gerber, Johannes C; Mazighi, Mikael; Piotin, Michel; Zini, Andrea; Vallone, Stefano; Hofmeijer, Jeannette; Martins, Sheila O; Nolte, Christian H; Szabo, Kristina; Dias, Francisco A; Abud, Daniel G; Wermer, Marieke J H; Remmers, Michel J M; Schneider, Hauke; Rueckert, Christina M; de Laat, Karlijn F; Yoo, Albert J; van Doormaal, Pieter-Jan; van Es, Adriaan C G M; Emmer, Bart J; Michel, Patrik; Puetz, Volker; Audebert, Heinrich J; Pontes-Neto, Octavio M; Vos, Jan-Albert; Kappelle, L Jaap; Algra, Ale; Schonewille, Wouter J; ,</t>
  </si>
  <si>
    <t>https://pubmed.ncbi.nlm.nih.gov/34010530</t>
  </si>
  <si>
    <t>The effectiveness of endovascular therapy in patients with stroke caused by basilar-artery occlusion has not been well studied. We randomly assigned patients within 6 hours after the estimated time of onset of a stroke due to basilar-artery occlusion, in a 1:1 ratio, to receive endovascular therapy or standard medical care. The primary outcome was a favorable functional outcome, defined as a score of 0 to 3 on the modified Rankin scale (range, 0 to 6, with 0 indicating no disability, 3 indicating moderate disability, and 6 indicating death) at 90 days. The primary safety outcomes were symptomatic intracranial hemorrhage within 3 days after the initiation of treatment and mortality at 90 days. A total of 300 patients were enrolled (154 in the endovascular therapy group and 146 in the medical care group). Intravenous thrombolysis was used in 78.6% of the patients in the endovascular group and in 79.5% of those in the medical group. Endovascular treatment was initiated at a median of 4.4 hours after stroke onset. A favorable functional outcome occurred in 68 of 154 patients (44.2%) in the endovascular group and 55 of 146 patients (37.7%) in the medical care group (risk ratio, 1.18; 95% confidence interval [CI], 0.92 to 1.50). Symptomatic intracranial hemorrhage occurred in 4.5% of the patients after endovascular therapy and in 0.7% of those after medical therapy (risk ratio, 6.9; 95% CI, 0.9 to 53.0); mortality at 90 days was 38.3% and 43.2%, respectively (risk ratio, 0.87; 95% CI, 0.68 to 1.12). Among patients with stroke from basilar-artery occlusion, endovascular therapy and medical therapy did not differ significantly with respect to a favorable functional outcome, but, as reflected by the wide confidence interval for the primary outcome, the results of this trial may not exclude a substantial benefit of endovascular therapy. Larger trials are needed to determine the efficacy and safety of endovascular therapy for basilar-artery occlusion. (Funded by the Dutch Heart Foundation and others; BASICS ClinicalTrials.gov number, NCT01717755; Netherlands Trial Register number, NL2500.).</t>
  </si>
  <si>
    <t>Sex differences in the association between major cardiovascular risk factors in midlife and dementia: a cohort study using data from the UK Biobank.</t>
  </si>
  <si>
    <t>https://pubmed.ncbi.nlm.nih.gov/34006267</t>
  </si>
  <si>
    <t>Sex differences in major cardiovascular risk factors for incident (fatal or non-fatal) all-cause dementia were assessed in the UK Biobank. The effects of these risk factors on all-cause dementia were explored by age and socioeconomic status (SES). Cox proportional hazards models were used to estimate hazard ratios (HRs) and women-to-men ratio of HRs (RHR) with 95% confidence intervals (CIs) for systolic blood pressure (SBP) and diastolic blood pressure (DBP), smoking, diabetes, adiposity, stroke, SES and lipids with dementia. Poisson regression was used to estimate the sex-specific incidence rate of dementia for these risk factors. 502,226 individuals in midlife (54.4% women, mean age 56.5 years) with no prevalent dementia were included in the analyses. Over 11.8 years (median), 4068 participants (45.9% women) developed dementia. The crude incidence rates were 5.88 [95% CI 5.62-6.16] for women and 8.42 [8.07-8.78] for men, per 10,000 person-years. Sex was associated with the risk of dementia, where the risk was lower in women than men (HR = 0.83 [0.77-0.89]). Current smoking, diabetes, high adiposity, prior stroke and low SES were associated with a greater risk of dementia, similarly in women and men. The relationship between blood pressure (BP) and dementia was U-shaped in men but had a dose-response relationship in women: the HR for SBP per 20 mmHg was 1.08 [1.02-1.13] in women and 0.98 [0.93-1.03] in men. This sex difference was not affected by the use of antihypertensive medication at baseline. The sex difference in the effect of raised BP was consistent for dementia subtypes (vascular dementia and Alzheimer's disease). Several mid-life cardiovascular risk factors were associated with dementia similarly in women and men, but not raised BP. Future bespoke BP-lowering trials are necessary to understand its role in restricting cognitive decline and to clarify any sex difference.</t>
  </si>
  <si>
    <t>Daily life participation in childhood chronic disease: a qualitative study on the child's and parent's perspective.</t>
  </si>
  <si>
    <t>Nap-van der Vlist, Merel M; Berkelbach van der Sprenkel, Emma E; Nijhof, Linde N; Grootenhuis, Martha A; van der Ent, Cornelis K; Swart, Joost F; van Royen-Kerkhof, Annet; van Grotel, Martine; van de Putte, Elise M; Nijhof, Sanne L; Kars, Marijke C</t>
  </si>
  <si>
    <t>https://pubmed.ncbi.nlm.nih.gov/34079917</t>
  </si>
  <si>
    <t>To understand how a child with a stable chronic disease and his/her parents shape his/her daily life participation, we assessed: (1) the parents' goals regarding the child's daily life participation, (2) parental strategies regarding the child's participation and () how children and their parents interrelate when their goals regarding participation are not aligned. This was a qualitative study design using a general inductive approach. Families of children 8-19 years with a stable chronic disease (cystic fibrosis, autoimmune disease or postcancer treatment) were recruited from the PROactive study. Simultaneous in-depth interviews were conducted separately with the child and parent(s). Analyses included constant comparison, coding and categorisation. Thirty-one of the 57 invited families (54%) participated. We found that parents predominantly focus on securing their child's well-being, using participation as a means to achieve well-being. Moreover, parents used different strategies to either support participation consistent with the child's healthy peers or support participation with a focus on physical well-being. The degree of friction between parents and their child was based on the level of agreement on who takes the lead regarding the child's participation. Interestingly, parents described participation as primarily a means to achieve the child's well-being, whereas children described participation as more of a goal in itself. Understanding the child's and parent's perspective can help children, parents and healthcare professionals start a dialogue on participation and establish mutual goals. This may help parents and children find ways to interrelate while allowing the child to develop his/her autonomy.</t>
  </si>
  <si>
    <t>Epigenetic age acceleration in the emerging burden of cardiometabolic diseases among migrant and non-migrant African populations: the population based cross-sectional RODAM study.</t>
  </si>
  <si>
    <t>Chilunga, Felix P; Henneman, Peter; Elliott, Hannah R; Cronjé, H Toinét; Walia, Gagandeep K; Meeks, Karlijn A C; Requena-Mendez, Ana; Venema, Andrea; Bahendeka, Silver; Danquah, Ina; Adeyemo, Adebowale; Klipstein-Grobusch, Kerstin; Pieters, Marlien; Mannens, Marcels M A M; Agyemang, Charles</t>
  </si>
  <si>
    <t>https://pubmed.ncbi.nlm.nih.gov/35146471</t>
  </si>
  <si>
    <t>African populations are experiencing health transitions due to rapid urbanization and international migration. However, the role of biological aging in this emerging burden of cardiometabolic diseases (CMD) among migrant and non-migrant Africans is unknown. We aimed to examine differences in epigenetic age acceleration (EAA) as measured by four clocks (Horvath, Hannum, PhenoAge and GrimAge) and their associations with cardiometabolic factors among migrant Ghanaians in Europe and non-migrant Ghanaians. Genome-wide DNA methylation (DNAm) data of 712 Ghanaians from cross-sectional RODAM study were used to quantify EAA. We assessed correlation of DNAmAge measures with chronological age, and then performed linear regressions to determine associations of body mass index (BMI), fasting blood glucose (FBG), blood pressure, alcohol consumption, smoking, physical activity, and one-carbon metabolism nutrients with EAA among migrant and non-migrants. We replicated our findings among 172 rural-urban sibling pairs from India migration study and among 120 native South Africans from PURE-SA-NW study. We found that Ghanaian migrants have lower EAA than non-migrants. Within migrants, higher FBG was positively associated with EAA measures. Within non-migrants, higher BMI, and Vitamin B9 (folate) intake were negatively associated with EAA measures. Our findings on FBG, BMI and folate were replicated in the independent cohorts. Our study shows that migration is negatively associated with EAA among Ghanaians. Moreover, cardiometabolic factors are differentially associated with EAA within migrant and non-migrant subgroups. Our results call for context-based interventions for CMD among transitioning populations that account for effects of biological aging. European Commission.</t>
  </si>
  <si>
    <t>Stakeholder Perspectives on Barriers and Facilitators on the Implementation of the 1000 Days Plus Nutrition Policy Activities in Ghana.</t>
  </si>
  <si>
    <t>Galaurchi, Anne; Chatio, Samuel T; Beeri, Paula; Oduro, Abraham R; Ofosu, Winfred; Hanson, Mark; Newell, Marie-Louise; Norris, Shane A; Ward, Kate A; Nonterah, Engelbert A; Biesma, Regien; On Behalf Of The INPreP Study Group,</t>
  </si>
  <si>
    <t>https://pubmed.ncbi.nlm.nih.gov/34067735</t>
  </si>
  <si>
    <t>Optimizing nutrition in the preconception and 1000 days periods have long-term benefits such as higher economic productivity, reduced risk of related non-communicable diseases and increased health and well-being. Despite Ghana's recent progress in reducing malnutrition, the situation is far from optimal. This qualitative study analyzed the maternal and child health nutrition policy framework in Ghana to identify the current barriers and facilitators to the implementation of nutrition policies and programs relating to the first 1000 days plus. Data analyzed included in-depth interviews and focus group discussions conducted in Ghana between March and April 2019. Participants were composed of experts from government agencies, civil society organizations, community-based organizations and international partners at national and subnational levels. Seven critical areas were identified: planning policy implementation, resources, leadership and stakeholders' engagement, implementation guidance and ongoing communication, organizational culture, accountability and governance and coverage. The study showed that, to eradicate malnutrition in Ghana, priorities of individual stakeholders have to be merged and aligned into a single 1000 days plus nutrition policy framework. Furthermore, this study may support stakeholders in implementing successfully the 1000 days plus nutrition policy activities in Ghana.</t>
  </si>
  <si>
    <t>Anti-infectious decontamination strategies in Dutch intensive care units: A survey study on contemporary practice and heterogeneity.</t>
  </si>
  <si>
    <t>Elderman, J H; Ong, D S Y; van der Voort, P H J; Wils, E-J</t>
  </si>
  <si>
    <t>https://pubmed.ncbi.nlm.nih.gov/34052572</t>
  </si>
  <si>
    <t>Despite increasing evidence and updated national guidelines, practice of anti-infectious strategies appears to vary in the Netherlands. This study aimed to determine the variation of current practices of anti-infectious strategies in Dutch ICUs. In 2018 and 2019 an online survey of all Dutch ICUs was conducted with detailed questions on their anti-infectious strategies. 89% (63 of 71) of the Dutch ICUs responded to the online survey. The remaining ICUs were contacted by telephone. 47 (66%) of the Dutch ICUs used SDD, 14 (20%) used SOD and 10 (14%) used neither SDD nor SOD. Within these strategies considerable heterogeneity was observed in the start criteria of SDD/SOD, the regimen adjustments based on microbiological surveillance and the monitoring of the interventions. The proportion of Dutch ICUs applying SDD or SOD increased over time. Considerable heterogeneity in the regimens was reported. The impact of the observed differences within SDD and SOD practices on clinical outcome remains to be explored.</t>
  </si>
  <si>
    <t>Quality control strategies for brain MRI segmentation and parcellation: Practical approaches and recommendations - insights from the Maastricht study.</t>
  </si>
  <si>
    <t>Monereo-Sánchez, Jennifer; de Jong, Joost J A; Drenthen, Gerhard S; Beran, Magdalena; Backes, Walter H; Stehouwer, Coen D A; Schram, Miranda T; Linden, David E J; Jansen, Jacobus F A</t>
  </si>
  <si>
    <t>neuroimage</t>
  </si>
  <si>
    <t>https://pubmed.ncbi.nlm.nih.gov/34000406</t>
  </si>
  <si>
    <t>Quality control of brain segmentation is a fundamental step to ensure data quality. Manual quality control strategies are the current gold standard, although these may be unfeasible for large neuroimaging samples. Several options for automated quality control have been proposed, providing potential time efficient and reproducible alternatives. However, those have never been compared side to side, which prevents consensus in the appropriate quality control strategy to use. This study aimed to elucidate the changes manual editing of brain segmentations produce in morphological estimates, and to analyze and compare the effects of different quality control strategies on the reduction of the measurement error. Structural brain MRI from 259 participants of The Maastricht Study were used. Morphological estimates were automatically extracted using FreeSurfer 6.0. Segmentations with inaccuracies were manually edited, and morphological estimates were compared before and after editing. In parallel, 12 quality control strategies were applied to the full sample. Those included: two manual strategies, in which images were visually inspected and either excluded or manually edited; five automated strategies, where outliers were excluded based on the tools "MRIQC" and "Qoala-T", and the metrics "morphological global measures", "Euler numbers" and "Contrast-to-Noise ratio"; and five semi-automated strategies, where the outliers detected through the mentioned tools and metrics were not excluded, but visually inspected and manually edited. In order to quantify the effects of each quality control strategy, the proportion of unexplained variance relative to the total variance was extracted after the application of each strategy, and the resulting differences compared. Manually editing brain surfaces produced particularly large changes in subcortical brain volumes and moderate changes in cortical surface area, thickness and hippocampal volumes. The performance of the quality control strategies depended on the morphological measure of interest. Overall, manual quality control strategies yielded the largest reduction in relative unexplained variance. The best performing automated alternatives were those based on Euler numbers and MRIQC scores. The exclusion of outliers based on global morphological measures produced an increase of relative unexplained variance. Manual quality control strategies are the most reliable solution for quality control of brain segmentation and parcellation. However, measures must be taken to prevent the subjectivity associated with these strategies. The detection of inaccurate segmentations based on Euler numbers or MRIQC provides a time efficient and reproducible alternative. The exclusion of outliers based on global morphological estimates must be avoided.</t>
  </si>
  <si>
    <t>Colorectal Cancer Care and Patients' Perceptions Before and During COVID-19: Implications for Subsequent SARS-CoV-2 Infection Waves.</t>
  </si>
  <si>
    <t>Derksen, Jeroen W G; May, Anne M; van de Poll-Franse, Lonneke V; de Rooij, Belle H; Hafkenscheid, Dorothee A; Verkooijen, Helena M; Koopman, Miriam; Vink, Geraldine R</t>
  </si>
  <si>
    <t>https://pubmed.ncbi.nlm.nih.gov/34373848</t>
  </si>
  <si>
    <t>Changes in colorectal cancer (CRC) care planning because of the coronavirus disease 2019 (COVID-19) pandemic and associated health-related quality of life (HRQoL) and well-being of patients with CRC are unknown. We report changes in CRC care and patient-reported outcomes including HRQoL, distress, and loneliness during the first wave of severe acute respiratory syndrome coronavirus 2 (SARS-CoV-2). In April 2020, 4984 patients included in the nationwide Prospective Dutch Colorectal Cancer cohort were invited to complete a COVID-19-specific questionnaire, together with the validated European Organisation for Research and Treatment of Cancer Core Quality of Life Questionnaire (QLQ-C30), De Jong Gierveld, and Hospital Anxiety and Depression Scale. Clinical data were obtained from the Netherlands Cancer Registry. Scores were compared with the year prior to COVID-19 and with an age- and sex-matched control population during COVID-19. In total, 3247 (65.1%) patients responded between April and June 2020. Of the patients, 17% had canceled, postponed, or changed hospital visits to a telephone or video consult, and 5.3% had adjusted, postponed, or canceled treatment. Compared with controls, patients reported worse HRQoL but comparable distress and less social loneliness (patients = 21.2%; controls = 32.9%). Compared with pre-COVID-19, clinically meaningful deterioration of HRQoL was more prevalent in patients with changes in cancer care planning than in patients without changes. Prior to undergoing or currently undergoing treatment and infection worries were associated with lower HRQoL. CRC patients reported equal anxiety and depression but worse HRQoL than the control population. Changes in care planning were associated with deterioration of HRQoL and increased anxiety. In case of 1 or more risk factors, health-care specialists should discuss (mental) health status and possible support during future SARS-CoV-2 infection waves or comparable pandemics.</t>
  </si>
  <si>
    <t>National point prevalence study on carriage of multidrug-resistant microorganisms in Dutch long-term care facilities in 2018.</t>
  </si>
  <si>
    <t>van Kleef, Esther; Wielders, Cornelia C H; Schouls, Leo M; Feenstra, Sabiena G; Hertogh, Cees M P M; Bonten, Marc J M; van Weert, Yolanda; Tostmann, Alma; van der Lubben, Mariken; de Greeff, Sabine C; ,</t>
  </si>
  <si>
    <t>https://pubmed.ncbi.nlm.nih.gov/33694365</t>
  </si>
  <si>
    <t>Long-term care facilities (LTCFs) may act as a reservoir of ESBL-producing Enterobacterales (ESBL-E) and carbapenemase-producing Enterobacterales (CPE) for hospitals and the general population. In this study, we estimated the prevalence and molecular epidemiology of rectal carriage with ESBL-E and CPE in residents of Dutch LTCFs between March 2018 and December 2018. LTCFs were geographically selected across the country. For each LTCF, a random sample of residents were tested for ESBL-E and CPE in 2018. To identify risk factors for high carriage prevalence and/or individual carriage, characteristics of LTCFs and of a subset of the tested residents were collected. WGS was conducted on isolates from LTCFs with an ESBL-E prevalence of &gt;10% and all CPE isolates to identify institutional clonal transmission. A total of 4420 residents of 159 LTCFs were included. The weighted mean ESBL-E prevalence was 8.3% (95% CI: 6.8-10.0) and no CPE were found. In 53 LTCFs (33%), where ESBL-E prevalence was &gt;10%, MLST using WGS (wgMLST) was performed. This included 264 isolates, the majority being Escherichia coli (n = 224) followed by Klebsiella pneumoniae (n = 30). Genetic clusters were identified in more than half (30/53; 57%) of high ESBL-positive LTCFs. Among the E. coli isolates, blaCTX-M-15 (92/224; 41%) and blaCTX-M-27 (40/224; 18%) were the most prevalent ESBL-encoding genes. For K. pneumoniae isolates, the most common was blaCTX-M-15 (23/30; 80%). The estimated prevalence of ESBL-E rectal carriage in Dutch LTCFs is 8.3% and resistance is observed mainly in E. coli with predominance of blaCTX-M-15 and blaCTX-M-27. ESBL-E prevalence in LTCFs seems comparable to previously reported prevalence in hospitals and the general population.</t>
  </si>
  <si>
    <t>Between the city and the farm: food environments in artisanal mining communities in Upper Guinea.</t>
  </si>
  <si>
    <t>Nordhagen, Stella; Fofana, Mohamed L; Barry, Alpha O; Diallo, Sadio; Songbono, Joseph L; Stokes-Walters, Ronald; Zhang, Laetitia X; Klemm, Rolf; Winch, Peter J</t>
  </si>
  <si>
    <t>https://pubmed.ncbi.nlm.nih.gov/33975667</t>
  </si>
  <si>
    <t>Artisanal and small-scale mining (ASM) is a widespread livelihood in low- and middle-income countries; however, many in ASM communities face high levels of poverty and malnutrition. The food environments in ASM communities have non-agricultural rural characteristics that differ from those in urban and agricultural rural areas examined in much existing food environment literature. We examine these complex external and personal food environments in ASM communities via a study using qualitative and quantitative methods. Market surveys and a cross-sectional household survey, plus qualitative mining site non-participant observations and in-depth structured interviews, were conducted in three waves. Eighteen study sites in ASM communities in northern Guinea. Surveys covered mothers in mining households with young children (n 613); in-depth interviews engaged caregivers of young children (n 45), food vendors (n 40) and young single miners (n 15); observations focused on mothers of young children (n 25). The external food environment in these ASM communities combines widespread availability of commercially processed and staple-heavy foods with lower availability and higher prices for more nutritious, non-staple foods. Within the personal food environment, miners are constrained in their food choices by considerable variability in daily cash income and limited time for acquisition and preparation. We demonstrate that ASM communities have characteristics of both urban and rural populations and argue for greater nuance and appreciation of complexity in food environment research and resultant policy and programming.</t>
  </si>
  <si>
    <t>Indocyanine green versus technetium-99m with blue dye for sentinel lymph node detection in early-stage cervical cancer: A systematic review and meta-analysis.</t>
  </si>
  <si>
    <t>Baeten, Ilse G T; Hoogendam, Jacob P; Jeremiasse, Bernadette; Braat, Arthur J A T; Veldhuis, Wouter B; Jonges, Geertruida N; Jürgenliemk-Schulz, Ina M; van Gils, Carla H; Zweemer, Ronald P; Gerestein, Cornelis G</t>
  </si>
  <si>
    <t>cancer reports hoboken nj</t>
  </si>
  <si>
    <t>https://pubmed.ncbi.nlm.nih.gov/33973745</t>
  </si>
  <si>
    <t>The fluorescent dye indocyanine green (ICG) has emerged as a promising tracer for intraoperative detection of sentinel lymph nodes (SLNs) in early-stage cervical cancer. Although researchers suggest the SLN detection of ICG is equal to the more conventional combined approach of a radiotracer and blue dye, no consensus has been reached. We aimed to assess the differences in overall and bilateral SLN detection rates with ICG versus the combined approach, the radiotracer technetium-99m (&lt;sup&gt;99m&lt;/sup&gt; Tc) with blue dye. We searched MEDLINE, Embase, and the Cochrane Library from inception to January 1, 2020 and included studies reporting on a comparison of SLN detection with ICG versus &lt;sup&gt;99m&lt;/sup&gt; Tc with blue dye in early-stage cervical cancer. The overall and bilateral detection rates were pooled with random-effects meta-analyses. From 118 studies retrieved seven studies (one cross-sectional; six retrospective cohorts) were included, encompassing 589 patients. No significant differences were found in the pooled overall SLN detection rate of ICG versus &lt;sup&gt;99m&lt;/sup&gt; Tc with blue dye. Meta-analyses of all studies showed ICG to result in a higher bilateral SLN detection rate than &lt;sup&gt;99m&lt;/sup&gt; Tc with blue dye; 90.3% (95%CI, 79.8-100.0%) with ICG versus 73.5% (95%CI, 66.4-80.6%) with 99mTc with blue dye. This resulted in a significant and clinically relevant risk difference of 16.6% (95%CI, 5.3-28.0%). With sensitivity analysis, the risk difference of the bilateral detection rate maintained in favor of ICG but was no longer significant (13.2%, 95%CI -0.8-27.3%). ICG appears to provide higher bilateral SLN detection rates compared to &lt;sup&gt;99m&lt;/sup&gt; Tc with blue dye in patients with early-stage cervical cancer. However, in adherence with the Grading of Recommendations, Assessment, Development, and Evaluation (GRADE) guidelines, the quality of evidence is too low to provide strong recommendations and directly omit the combined approach of &lt;sup&gt;99m&lt;/sup&gt; Tc with blue dye.</t>
  </si>
  <si>
    <t>Evaluation of a multilevel implementation program for timeout and shared decision making in breast cancer care: a mixed methods study among 11 hospital teams.</t>
  </si>
  <si>
    <t>van Veenendaal, Haske; Voogdt-Pruis, Helene R; Ubbink, Dirk T; van Weele, Esther; Koco, Lejla; Schuurman, Maaike; Oskam, Jannie; Visserman, Ella; Hilders, Carina G J M</t>
  </si>
  <si>
    <t>https://pubmed.ncbi.nlm.nih.gov/34016497</t>
  </si>
  <si>
    <t>Evaluation of a multilevel implementation program on shared decision making (SDM) for breast cancer clinicians.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Our program supported breast cancer clinicians to adopt SDM. To implement SDM, multilevel approaches are needed that reinforce intrinsic motivation by demonstrating benefits for patients and clinicians.</t>
  </si>
  <si>
    <t>New-user and prevalent-user designs and the definition of study time origin in pharmacoepidemiology: A review of reporting practices.</t>
  </si>
  <si>
    <t>Luijken, Kim; Spekreijse, Judith J; van Smeden, Maarten; Gardarsdottir, Helga; Groenwold, Rolf H H</t>
  </si>
  <si>
    <t>https://pubmed.ncbi.nlm.nih.gov/33899305</t>
  </si>
  <si>
    <t>Guidance reports for observational comparative effectiveness and drug safety research recommend implementing a new-user design whenever possible, since it reduces the risk of selection bias in exposure effect estimation compared to a prevalent-user design. The uptake of this guidance has not been studied extensively. We reviewed 89 observational effectiveness and safety cohort studies published in six pharmacoepidemiological journals in 2018 and 2019. We developed an extraction tool to assess how frequently new-user and prevalent-user designs were reported to be implemented. For studies that implemented a new-user design in both treatment arms, we extracted information about the extent to which the moment of meeting eligibility criteria, treatment initiation, and start of follow-up were reported to be aligned. Of the 89 studies included, 40% reported implementing a new-user design for both the study exposure arm and the comparator arm, while 13% reported implementing a prevalent-user design in both arms. The moment of meeting eligibility criteria, treatment initiation, and start of follow-up were reported to be aligned in both treatment arms in 53% of studies that reported implementing a new-user design. We provided examples of studies that minimized the risk of introducing bias due to unclear definition of time origin in unexposed participants, immortal time, or a time lag. Almost half of the included studies reported implementing a new-user design. Implications of misalignment of study design origin were difficult to assess because it would require explicit reporting of the target estimand in original studies. We recommend that the choice for a particular study time origin is explicitly motivated to enable assessment of validity of the study.</t>
  </si>
  <si>
    <t>Predicting sentinel node positivity in patients with melanoma: external validation of a risk-prediction calculator (the Melanoma Institute Australia nomogram) using a large European population-based patient cohort.</t>
  </si>
  <si>
    <t>El Sharouni, M A; Varey, A H R; Witkamp, A J; Ahmed, T; Sigurdsson, V; van Diest, P J; Scolyer, R A; Thompson, J F; Lo, S N; van Gils, C H</t>
  </si>
  <si>
    <t>https://pubmed.ncbi.nlm.nih.gov/33657653</t>
  </si>
  <si>
    <t>A nomogram to predict sentinel node (SN) positivity [the Melanoma Institute Australia (MIA) nomogram] was recently developed and externally validated using two large single-institution databases. However, there remains a need to further validate the nomogram's performance using population-based data. To perform further validation of the nomogram using a European national patient cohort. Patients with cutaneous melanoma who underwent SN biopsy in the Netherlands between 2000 and 2014 were included. Their data were obtained from the Dutch Pathology Registry. The predictive performance of the nomogram was assessed by discrimination (C-statistic) and calibration. Negative predictive values (NPVs) were calculated at various predicted probability cutoffs. Of the 3049 patients who met the eligibility criteria, 23% (691) were SN positive. Validation of the MIA nomogram (including the parameters Breslow thickness, ulceration, age, melanoma subtype and lymphovascular invasion) showed a good C-statistic of 0·69 (95% confidence interval 0·66-0·71) with excellent calibration (R&lt;sup&gt;2&lt;/sup&gt; = 0·985, P = 0·40). The NPV of 90·1%, found at a 10% predicted probability cutoff for having a positive SN biopsy, implied that by using the nomogram, a 16·3% reduction in the rate of performing an SN biopsy could be achieved with an error rate of 1·6%. Validation of the MIA nomogram considering mitotic rate as present or absent showed a C-statistic of 0·70 (95% confidence interval 0·68-0·74). This population-based validation study in European patients with melanoma confirmed the value of the MIA nomogram in predicting SN positivity. Its use will spare low-risk patients the inconvenience, cost and potential risks of SN biopsy while ensuring that high-risk patients are still identified.</t>
  </si>
  <si>
    <t>How to interpret and use COVID-19 serology and immunology tests.</t>
  </si>
  <si>
    <t>Ong, David S Y; Fragkou, Paraskevi C; Schweitzer, Valentijn A; Chemaly, Roy F; Moschopoulos, Charalampos D; Skevaki, Chrysanthi; ,</t>
  </si>
  <si>
    <t>https://pubmed.ncbi.nlm.nih.gov/33975005</t>
  </si>
  <si>
    <t>Although molecular tests are considered the reference standard for coronavirus disease 2019 (COVID-19) diagnostics, serological and immunological tests may be useful in specific settings. This review summarizes the underlying principles and performance of COVID-19 serological and immunological testing. Selected peer-reviewed publications on COVID-19 related serology and immunology published between December 2019 and March 2021. Serological tests are highly specific but heterogeneous in their sensitivity for the diagnosis of COVID-19. For certain indications, including delayed disease presentations, serological tests can have added value. The presence of antibodies against SARS-CoV-2 may indicate a recent or past COVID-19 infection. Lateral flow immunoassay (LFIA) antibody tests have the advantages of being easy and fast to perform, but many have a low sensitivity in acute settings. Enzyme-linked immunosorbent assay (ELISA) and chemiluminescence immunoassays (CLIAs) have higher sensitivities. Besides humoral immunity, cellular immunity is also essential for successful host defences against viruses. Enzyme-linked immunospot (ELISpot) assays can be used to measure T-cell responses against SARS-CoV-2. The presence of cross-reactive SARS-CoV-2-specific T cells in never exposed patients suggests the possibility of cellular immunity induced by other circulating coronaviruses. T-cell responses against SARS-CoV-2 have also been detected in recovered COVID-19 patients with no detectable antibodies. Serological and immunological tests are primarily applied for population-based seroprevalence studies to evaluate the effectiveness of COVID-19 control measures and increase our understanding of the immunology behind COVID-19. Combining molecular diagnostics with serological tests may optimize the detection of COVID-19. As not all infected patients will develop antibodies against SARS-CoV-2, assessment of cellular immunity may provide complementary information on whether a patient has been previously infected with COVID-19. More studies are needed to understand the correlations of these serological and immunological parameters with protective immunity, taking into account the different circulating virus variants.</t>
  </si>
  <si>
    <t>Investigating sex differences in the accuracy of dietary assessment methods to measure energy intake in adults: a systematic review and meta-analysis.</t>
  </si>
  <si>
    <t>McKenzie, Briar L; Coyle, Daisy H; Santos, Joseph Alvin; Burrows, Tracy; Rosewarne, Emalie; Peters, Sanne A E; Carcel, Cheryl; Jaacks, Lindsay M; Norton, Robyn; Collins, Clare E; Woodward, Mark; Webster, Jacqui</t>
  </si>
  <si>
    <t>https://pubmed.ncbi.nlm.nih.gov/33564834</t>
  </si>
  <si>
    <t>To inform the interpretation of dietary data in the context of sex differences in diet-disease relations, it is important to understand whether there are any sex differences in accuracy of dietary reporting. To quantify sex differences in self-reported total energy intake (TEI) compared with a reference measure of total energy expenditure (TEE). Six electronic databases were systematically searched for published original research articles between 1980 and April 2020. Studies were included if they were conducted in adult populations with measures for both females and males of self-reported TEI and TEE from doubly labeled water (DLW). Studies were screened and quality assessed independently by 2 authors. Random-effects meta-analyses were conducted to pool the mean differences between TEI and TEE for, and between, females and males, by method of dietary assessment. From 1313 identified studies, 31 met the inclusion criteria. The studies collectively included information on 4518 individuals (54% females). Dietary assessment methods included 24-h recalls (n = 12, 2 with supplemental photos of food items consumed), estimated food records (EFRs; n = 11), FFQs (n = 10), weighed food records (WFRs, n = 5), and diet histories (n = 2). Meta-analyses identified underestimation of TEI by females and males, ranging from -1318 kJ/d (95% CI: -1967, -669) for FFQ to -2650 kJ/d (95% CI: -3492, -1807) for 24-h recalls for females, and from -1764 kJ/d (95% CI: -2285, -1242) for FFQ to -3438 kJ/d (95% CI: -5382, -1494) for WFR for males. There was no difference in the level of underestimation by sex, except when using EFR, for which males underestimated energy intake more than females (by 590 kJ/d, 95% CI: 35, 1,146). Substantial underestimation of TEI across a range of dietary assessment methods was identified, similar by sex. These underestimations should be considered when assessing TEI and interpreting diet-disease relations.</t>
  </si>
  <si>
    <t>Realities and challenges of breastfeeding policy in the context of HIV: a qualitative study on community perspectives on facilitators and barriers related to breastfeeding among HIV positive mothers in Baringo County, Kenya.</t>
  </si>
  <si>
    <t>Samburu, Betty Mogesi; Kimiywe, Judith; Young, Sera Lewise; Wekesah, Frederick Murunga; Wanjohi, Milka Njeri; Muriuki, Peter; Madise, Nyovani Janet; Griffiths, Paula L; Kimani-Murage, Elizabeth W</t>
  </si>
  <si>
    <t>international breastfeeding journal</t>
  </si>
  <si>
    <t>https://pubmed.ncbi.nlm.nih.gov/33964950</t>
  </si>
  <si>
    <t>Although recent policies have sought to increase the rates of exclusive breastfeeding (EBF) and continued breastfeeding for HIV exposed infants, few programs have considered the multiple social and cultural barriers to the practice. Therefore, to generate evidence for exclusive and continued breastfeeding policies in Kenya, we examined community perspectives on the facilitators and barriers in adherence to EBF for the HIV positive mothers. Qualitative research was conducted in Koibatek, a sub-County in Baringo County Kenya, in August 2014 among 205 respondents. A total of 14 focus group discussions (n = 177), 14 In-depth Interviews and 16 key informant interviews were conducted. Transcribed data was analyzed thematically. NVivo version 10.0 computer qualitative software program was used to manage and facilitate the analysis. Facilitators to exclusive breastfeeding were perceived to include counselling at the health facility, desire to have a healthy baby, use of antiretroviral drugs and health benefits associated with breastmilk. Barriers to EBF included poor dissemination of policies, knowledge gap, misinterpretation of EBF, inadequate counselling, attitude of mother and health workers due to fear of vertical HIV transmission, stigma related to misconception and misinformation that EBF is only compulsory for HIV positive mothers, stigma related to HIV and disclosure, social pressure, lack of male involvement, cultural practices and traditions, employment, food insecurity. There are multiple facilitators and barriers of optimal breastfeeding that needs a holistic approach to interventions aimed at achieving elimination of mother to child transmission. Extension of infant feeding support in the context of HIV to the community while building on existing interventions such as the Baby Friendly Community Initiative is key to providing confidential support services for the additional needs faced by HIV positive mothers.</t>
  </si>
  <si>
    <t>Sex differences in the association of prediabetes and type 2 diabetes with microvascular complications and function: The Maastricht Study.</t>
  </si>
  <si>
    <t>de Ritter, Rianneke; Sep, Simone J S; van der Kallen, Carla J H; van Greevenbroek, Marleen M J; de Jong, Marit; Vos, Rimke C; Bots, Michiel L; Reulen, Jos P H; Houben, Alfons J H M; Webers, Carroll A B; Berendschot, Tos T J M; Dagnelie, Pieter C; Eussen, Simone J P M; Schram, Miranda T; Koster, Annemarie; Peters, Sanne A E; Stehouwer, Coen D A</t>
  </si>
  <si>
    <t>https://pubmed.ncbi.nlm.nih.gov/33962619</t>
  </si>
  <si>
    <t>Women with type 2 diabetes are disproportionally affected by macrovascular complications; we here investigated whether this is also the case for microvascular complications and retinal microvascular measures. In a population-based cohort study of individuals aged 40-75 years (n = 3410; 49% women, 29% type 2 diabetes (oversampled by design)), we estimated sex-specific associations, and differences therein, of (pre)diabetes (reference: normal glucose metabolism), and of continuous measures of glycemia with microvascular complications and retinal measures (nephropathy, sensory neuropathy, and retinal arteriolar and venular diameters and dilatation). Sex differences were analyzed using regression models with interaction terms (i.e. sex-by- (pre)diabetes and sex-by-glycemia) and were adjusted for potential confounders. Men with type 2 diabetes (but not those with prediabetes) compared to men with normal glucose metabolism, (and men with higher levels of glycemia), had significantly higher prevalences of nephropathy (odds ratio: 1.58 95% CI (1.01;2.46)) and sensory neuropathy (odds ratio: 2.46 (1.67;3.63)), larger retinal arteriolar diameters (difference: 4.29 µm (1.22;7.36)) and less retinal arteriolar dilatation (difference: - 0.74% (- 1.22; - 0.25)). In women, these associations were numerically in the same direction, but generally not statistically significant (odds ratios: 1.71 (0.90;3.25) and 1.22 (0.75;1.98); differences: 0.29 µm (- 3.50;4.07) and: - 0.52% (- 1.11;0.08), respectively). Interaction analyses revealed no consistent pattern of sex differences in the associations of either prediabetes or type 2 diabetes or glycemia with microvascular complications or retinal measures. The prevalence of advanced-stage complications was too low for evaluation. Our findings show that women with type 2 diabetes are not disproportionately affected by early microvascular complications.</t>
  </si>
  <si>
    <t>Micro-costing diagnostics in oncology: from single-gene testing to whole- genome sequencing.</t>
  </si>
  <si>
    <t>Pasmans, Clémence T B; Tops, Bastiaan B J; Steeghs, Elisabeth M P; Coupé, Veerle M H; Grünberg, Katrien; de Jong, Eiko K; Schuuring, Ed M D; Willems, Stefan M; Ligtenberg, Marjolijn J L; Retèl, Valesca P; van Snellenberg, Hans; de Bruijn, Ewart; Cuppen, Edwin; Frederix, Geert W J</t>
  </si>
  <si>
    <t>expert review of pharmacoeconomics outcomes research</t>
  </si>
  <si>
    <t>https://pubmed.ncbi.nlm.nih.gov/33852815</t>
  </si>
  <si>
    <t>&lt;b&gt;Purpose&lt;/b&gt;: Predictive diagnostics play an increasingly important role in personalized medicine for cancer treatment. Whole-genome sequencing (WGS)-based treatment selection is expected to rapidly increase worldwide. This study aimed to calculate and compare the total cost of currently used diagnostic techniques and of WGS in treatment of non-small cell lung carcinoma (NSCLC), melanoma, colorectal cancer (CRC), and gastrointestinal stromal tumor (GIST) in the Netherlands.&lt;b&gt;Methods&lt;/b&gt;: The activity-based costing (ABC) method was conducted to calculate total cost of included diagnostic techniques based on data provided by Dutch pathology laboratories and the Dutch-centralized cancer WGS facility. Costs were allocated to four categories: capital costs, maintenance costs, software costs, and operational costs.&lt;b&gt;Results&lt;/b&gt;: The total cost per cancer patient per technique varied from € 58 (Sanger sequencing, three amplicons) to € 2925 (paired tumor-normal WGS). The operational costs accounted for the vast majority (over 90%) of the total per cancer patient technique costs.&lt;b&gt;Conclusion&lt;/b&gt;: This study outlined in detail all costing aspects and cost prices of current and new diagnostic modalities used in treatment of NSCLC, melanoma, CRC, and GIST in the Netherlands. Detailed cost differences and value comparisons between these diagnostic techniques enable future economic evaluations to support decision-making.</t>
  </si>
  <si>
    <t>Specialized nutrition improves muscle function and physical activity without affecting chemotherapy efficacy in C26 tumour-bearing mice.</t>
  </si>
  <si>
    <t>Wijler, Liza A; Raats, Danielle A E; Elias, Sjoerd G; Dijk, Francina J; Quirindongo, Hanil; May, Anne M; Furber, Matthew J W; Dorresteijn, Bram; van Dijk, Miriam; Kranenburg, Onno</t>
  </si>
  <si>
    <t>https://pubmed.ncbi.nlm.nih.gov/33956410</t>
  </si>
  <si>
    <t>Skeletal muscle wasting and fatigue are commonly observed in cancer patients receiving chemotherapy and associated with reduced treatment outcome and quality of life. Nutritional support may mitigate these side effects, but potential interference with chemotherapy efficacy could be of concern. Here, we investigated the effects of an ω-3 polyunsaturated fatty acid (eicosapentaenoic acid and docosahexaenoic acid), leucine-enriched, high-protein (100% whey), additional vitamin D, and prebiotic fibres 'specific nutritional composition' (SNC) and chemotherapy on state-of-the-art tumour organoids and muscle cells and studied muscle function, physical activity, systemic inflammation, and chemotherapy efficacy in a mouse model of aggressive colorectal cancer (CRC). Tumour-bearing mice received a diet with or without SNC. Chemotherapy treatment consisted of oxaliplatin and 5-fluorouracil. Tumour formation was monitored by calliper measurements. Physical activity was continuously monitored by infrared imaging. Ex vivo muscle performance was determined by myography, muscle fatty acid composition by gas chromatography, and plasma cytokine levels by Luminex xMAP technology. Patient-derived CRC organoids and C2C12 myotubes were used to determine whether SNC affects chemotherapy sensitivity in vitro. Specific nutritional composition increased muscle contraction capacity of chemotherapy-treated tumour-bearing mice (P &lt; 0.05) and enriched ω-3 fatty acid composition in muscle without affecting treatment efficacy (P &lt; 0.0001). Mice receiving SNC maintained physical activity after chemotherapy and showed decreased systemic inflammation. Therapeutic response of CRC organoids was unaffected by SNC nutrients, while cell viability and protein synthesis of muscle cells significantly improved. The results show that specialized nutritional support can be used to maintain muscle function and physical activity levels during chemotherapy without increasing tumour viability. Therefore, nutritional strategies have potential value in promoting cancer and chemotherapy tolerance.</t>
  </si>
  <si>
    <t>A scoping review of rebel nurse leadership: Descriptions, competences and stimulating/hindering factors.</t>
  </si>
  <si>
    <t>de Kok, Eline; Weggelaar-Jansen, Anne Marie; Schoonhoven, Lisette; Lalleman, Pieterbas</t>
  </si>
  <si>
    <t>https://pubmed.ncbi.nlm.nih.gov/33955620</t>
  </si>
  <si>
    <t>To (1) give an overview of rebel nurse leadership by summarising descriptions of positive deviance, tempered radicals and healthcare rebels; (2) examine the competences of nurse rebel leadership; and (3) describe factors that stimulate or hinder the development of rebel nurse leadership. Research shows nurses have lower intention to leave their jobs when they can control their work practices, show leadership and provide the best care. However, organisational rules and regulations do not always fit the provision of good care, which challenges nurses to show leadership and deviate from the rules and regulations to benefit the patient. Three concepts describe this practice: positive deviance, healthcare rebels and tempered radicals. Scoping review using the Joanna Briggs Institute methodology and PRISMA-ScR checklist. Papers describing positive deviance, healthcare rebels and tempered radicals in nursing were identified by searching Scopus, CINAHL, PubMed and PsycINFO. After data extraction, these three concepts were analysed to study the content of descriptions and definitions, competences and stimulating and hindering factors. Of 2705 identified papers, 25 were included. The concept descriptions yielded three aspects: (1) positive deviance approach, (2) unconventional and non-confirmative behaviour and (3) relevance of networks and relationships. The competences were the ability to: (1) collaborate in/outside the organisation, (2) gain and share expert (evidence-based) knowledge, (3) critically reflect on working habits/problems in daily care and dare to challenge the status quo and (4) generate ideas to improve care. The factors that stimulate or hinder the development of rebel nurse leadership are as follows: (1) dialogue and reflection, (2) networking conditions and (3) the managers' role. Based on our analysis, we summarise the descriptions given of rebel nurse leadership, the mentioned competences and provide an overview of the factors that stimulate or hinder rebel nurse leadership. The descriptions produced in this review of rebel nurse leadership and the stimulating or hindering factors listed should help nurses and managers encourage rebel leadership.</t>
  </si>
  <si>
    <t>[Urinary tract infections in general practice; diagnostics and treatment can be improved].</t>
  </si>
  <si>
    <t>Platteel, Tamara N; Knottnerus, Bart J</t>
  </si>
  <si>
    <t>https://pubmed.ncbi.nlm.nih.gov/34346612</t>
  </si>
  <si>
    <t>This is a commentary on the article of Van der Spek et al. on the workload, diagnostic work-up and treatment of urinary tract infections in adults during out-of-hours primary care. Despite a well-established Dutch guideline on urinary tract infections, correctly diagnosing and prescribing antibiotics for urinary tract infections is a challenge that needs major improvement, especially during out-of-hours GP care.</t>
  </si>
  <si>
    <t>Carbohydrate-dense snacks are a key feature of the nutrition transition among Ghanaian adults - findings from the RODAM study.</t>
  </si>
  <si>
    <t>Assmus, Frauke; Galbete, Cecilia; Knueppel, Sven; Schulze, Matthias B; Beune, Erik; Meeks, Karlijn; Nicolaou, Mary; Amoah, Stephen; Agyemang, Charles; Klipstein-Grobusch, Kerstin; Bahendeka, Silver; Spranger, Joachim; Mockenhaupt, Frank P; Smeeth, Liam; Stronks, Karien; Danquah, Ina</t>
  </si>
  <si>
    <t>food nutrition research</t>
  </si>
  <si>
    <t>https://pubmed.ncbi.nlm.nih.gov/34512231</t>
  </si>
  <si>
    <t>African populations in sub-Saharan Africa and African migrants in Europe are facing a rapid upsurge in obesity. This trend has been related to urbanization, migration and associated shifts in lifestyle, including dietary habits. Whether changes in eating patterns contribute to the rising burden of obesity among African populations is currently unknown. Our aims in conducting this study were to characterize eating patterns among Ghanaian adults living in their country of origin and in Europe and to explore associations of meal patterns with body mass index (BMI). Within the cross-sectional RODAM (Research on Obesity and Diabetes among African Migrants) study, data of single 24-h dietary recalls from Ghanaian adults in rural Ghana (&lt;i&gt;n&lt;/i&gt; = 20), urban Ghana (&lt;i&gt;n&lt;/i&gt; = 42), and Europe (&lt;i&gt;n&lt;/i&gt; = 172) were recorded. Eating frequencies, energy intake, and macronutrient composition of eating occasions (EOs, i.e. meals or snacks) were compared between study sites based on descriptive statistics and &lt;i&gt;χ&lt;/i&gt; &lt;sup&gt;2&lt;/sup&gt;-/Kruskal-Wallis tests. A rising gradient of EO frequencies from rural Ghana through urban Ghana to Europe was observed, mainly reflecting the differences in snacking frequencies (≥1 snack per day: 20 vs. 48 vs. 52%, &lt;i&gt;P&lt;/i&gt; = 0.008). Meal frequencies were similar across study sites (≥3 meals per day: 30 vs. 33 vs. 38%, &lt;i&gt;P&lt;/i&gt; = 0.80). Meals were rich in carbohydrates (median 54.5, interquartile range (IQR): 43.2-64.0 energy%) and total fats (median: 27.0, IQR: 19.9-34.4 energy %); their protein content was lowest in rural Ghana, followed by urban Ghana and Europe (&lt;i&gt;P&lt;/i&gt; = 0.0005). Snacks mainly contained carbohydrates (median: 75.7, IQR: 61.0-89.2 energy%). In linear regression analyses, there was a non-significant trend for an inverse association between snacking frequencies and BMI. The observed integration of carbohydrate-dense snacks into the diet supports the growing evidence for a nutrition transition among African populations undergoing socioeconomic development. This analysis constitutes a starting point to further investigate the nutritional implications of increased snacking frequencies on obesity and metabolic health in these African populations.</t>
  </si>
  <si>
    <t>Obesity and adiposity of 3- to 6-year-old children born to mothers with hyperglycaemia first detected in pregnancy in an urban South African setting.</t>
  </si>
  <si>
    <t>Soepnel, Larske M; Nicolaou, Veronique; Slater, Christine; Chidumwa, Glory; Levitt, Naomi S; Klipstein-Grobusch, Kerstin; Norris, Shane A</t>
  </si>
  <si>
    <t>annals of human biology</t>
  </si>
  <si>
    <t>https://pubmed.ncbi.nlm.nih.gov/33955800</t>
  </si>
  <si>
    <t>Understanding the association between maternal metabolic conditions in pregnancy and the risk of childhood overweight, a growing concern in sub-Saharan Africa (SSA), helps to identify opportunities for childhood obesity prevention. To assess the association between hyperglycaemia first detected in pregnancy (HFDP) (gestational diabetes mellitus [GDM] and diabetes in pregnancy [DIP]) and child obesity and adiposity in pre-school-aged children in South Africa, independently of maternal BMI. Measurement of anthropometry and fat mass index (FMI) by the deuterium dilution method was done for 102 3-6-year-old children born to mothers with HFDP and 102 HFDP-unexposed children. Hierarchical regression analysis and generalised structural equation modelling (GSEM) were performed. The prevalence of overweight/obesity was 10.5% and 11.1% in children exposed to GDM and DIP, respectively, and 3.9% in the HFDP-unexposed group. Log-transformed FMI was significantly higher in the DIP-exposed group (&lt;i&gt;β&lt;/i&gt; = 0.166, 95% CI = 0.014-0.217 &lt;i&gt;p&lt;/i&gt;= .026), but not when adjusting for maternal pregnancy BMI (&lt;i&gt;β&lt;/i&gt; = 0.226, 95% CI = 0.003-0.015, &lt;i&gt;p&lt;/i&gt; = .004). GSEM showed significant total effects of maternal BMI and birth weight on FMI/BMI. Maternal pregnancy BMI seems to play a greater role in the development of childhood adiposity than maternal hyperglycaemia, requiring further research and identifying maternal BMI as a relevant prevention target in our setting.</t>
  </si>
  <si>
    <t>Developing more generalizable prediction models from pooled studies and large clustered data sets.</t>
  </si>
  <si>
    <t>de Jong, Valentijn M T; Moons, Karel G M; Eijkemans, Marinus J C; Riley, Richard D; Debray, Thomas P A</t>
  </si>
  <si>
    <t>https://pubmed.ncbi.nlm.nih.gov/33948970</t>
  </si>
  <si>
    <t>Prediction models often yield inaccurate predictions for new individuals. Large data sets from pooled studies or electronic healthcare records may alleviate this with an increased sample size and variability in sample characteristics. However, existing strategies for prediction model development generally do not account for heterogeneity in predictor-outcome associations between different settings and populations. This limits the generalizability of developed models (even from large, combined, clustered data sets) and necessitates local revisions. We aim to develop methodology for producing prediction models that require less tailoring to different settings and populations. We adopt internal-external cross-validation to assess and reduce heterogeneity in models' predictive performance during the development. We propose a predictor selection algorithm that optimizes the (weighted) average performance while minimizing its variability across the hold-out clusters (or studies). Predictors are added iteratively until the estimated generalizability is optimized. We illustrate this by developing a model for predicting the risk of atrial fibrillation and updating an existing one for diagnosing deep vein thrombosis, using individual participant data from 20 cohorts (N = 10 873) and 11 diagnostic studies (N = 10 014), respectively. Meta-analysis of calibration and discrimination performance in each hold-out cluster shows that trade-offs between average and heterogeneity of performance occurred. Our methodology enables the assessment of heterogeneity of prediction model performance during model development in multiple or clustered data sets, thereby informing researchers on predictor selection to improve the generalizability to different settings and populations, and reduce the need for model tailoring. Our methodology has been implemented in the R package metamisc.</t>
  </si>
  <si>
    <t>Maximum bite force in children with juvenile idiopathic arthritis with and without clinical established temporomandibular joint involvement and in healthy children: a cross-sectional study.</t>
  </si>
  <si>
    <t>journal of oral rehabilitation</t>
  </si>
  <si>
    <t>https://pubmed.ncbi.nlm.nih.gov/33780558</t>
  </si>
  <si>
    <t>In children with juvenile idiopathic arthritis (JIA), the temporomandibular joint (TMJ) can be involved, resulting in dysfunction of the masticatory system. Bite force is one of the variables that reflects the function of the masticatory system. The aim of this study was to compare maximum bite force in children with JIA, with and without TMJ involvement and with healthy children. Children with JIA and healthy children between the ages 6 and 18 were included in this cross-sectional study. The clinical examination consisted of measuring the anterior maximum voluntary bite force (AMVBF), assessment of the TMJ screening protocol items and TMJ, masseter and temporal muscle palpation pain. Unadjusted linear regression analyses were performed to evaluate the explanatory factors for AMVBF. Two adjusted models were constructed with corrections for age and gender differences: model 1 to compare children with JIA and healthy children and model 2 to compare children with JIA with and without TMJ involvement. In this cross-sectional study, 298 children with JIA and 169 healthy children participated. AMVBF was 24 Newton (N) lower in children with JIA, when compared with healthy children (95%CI: -35.5--12.4, p = .000). When children with JIA also had clinically established TMJ involvement, AMVBF was reduced 42 N (component JIA:-16.78, 95% CI -28.96--4.59, p = .007 and component TMJ involvement:-25.36, 95% CI -40.08--10.63, p = .001). Age and male gender increased AMVBF. Children with JIA had a reduction in the AMVBF compared with healthy children. In children with JIA and clinically established TMJ involvement, AMVBF was more reduced.</t>
  </si>
  <si>
    <t>Continuation of Anti-TNF in Patients With Ulcerative Colitis in Remission Is Not Cost-effective Compared With Treatment Withdrawal: A Markov Model.</t>
  </si>
  <si>
    <t>Mahmoud, Remi; van Lieshout, Chris; Frederix, Geert W J; Jharap, Bindia; Oldenburg, Bas</t>
  </si>
  <si>
    <t>journal of crohns colitis</t>
  </si>
  <si>
    <t>https://pubmed.ncbi.nlm.nih.gov/33125060</t>
  </si>
  <si>
    <t>Anti-tumour necrosis factor alpha [anti-TNF] treatment accounts for 31% of health care expenditures associated with ulcerative colitis [UC]. Withdrawal of anti-TNF in patients with UC in remission may decrease side effects and infections, while promoting cost containment. Approximately 36% of patients relapse within 12-24 months of anti-TNF withdrawal, but reintroduction of treatment is successful in 80% of patients. We aimed to evaluate the cost-effectiveness of continuation versus withdrawal of anti-TNF in patients with UC in remission. We developed a Markov model comparing cost-effectiveness of anti-TNF continuation versus withdrawal, from a health care provider perspective. Transition probabilities were calculated from literature, or estimated by an expert panel of 11 gastroenterologists. Deterministic and probabilistic sensitivity analyses were performed to account for assumptions and uncertainty. The cost-effectiveness threshold was set at an incremental cost-effectiveness ratio of €80,000 per quality-adjusted life-year [QALY]. At 5 years, anti-TNF withdrawal was less costly [-€10,781 per patient], but also slightly less effective [-0.04 QALY per patient] than continued treatment. Continuation of anti-TNF compared with withdrawal costs €300,390/QALY, exceeding the cost-effectiveness threshold. Continued therapy would become cost-effective if the relapse rate following anti-TNF withdrawal was ≥43% higher, or if adalimumab or infliximab [biosimilar] prices fell below €87/40 mg and €66/100 mg, respectively. Continuation of anti-TNF in UC patients in remission is not cost-effective compared with withdrawal. A stop-and-reintroduction strategy is cost-saving but is slightly less effective than continued therapy. This strategy could be improved by identifying patients at increased risk of relapse.</t>
  </si>
  <si>
    <t>A simplified decision rule to rule out deep vein thrombosis using clinical assessment and D-dimer.</t>
  </si>
  <si>
    <t>Xu, Keying; de Wit, Kerstin; Geersing, Geert-Jan; Takada, Toshihiko; Schutgens, Roger; Elf, Johan; Kearon, Clive; Parpia, Sameer</t>
  </si>
  <si>
    <t>https://pubmed.ncbi.nlm.nih.gov/33834620</t>
  </si>
  <si>
    <t>Current clinical decision rules to exclude deep vein thrombosis (DVT) are underused partly because of their complexity. A simplified rule that can be easily applied would be more appealing to use in clinical practice. We used individual patient data from prospective diagnostic studies of patients suspected of DVT to develop a new clinical decision rule. The primary outcome was presence of DVT either at initial testing or during follow-up. DVT was considered safely excluded if the upper 95% confidence interval (CI) of DVT prevalence was &lt;2%. Four studies and 3368 patients were eligible for this analysis. Overall prevalence of DVT was 17%. In addition to D-dimer, two variables, calf swelling and DVT as the most likely diagnosis, are included in the new rule. Based on these two variables, two clinical pretest probability (CPTP) groups were defined; low (none of the two items present) and high (at least one of the items present). DVT can be safely excluded in patients with low CPTP with a D-dimer &lt;500 ng/mL (prevalence = 0.1%; 95% CI, 0.0-0.8), low CPTP with a D-dimer between 500 ng/ml and 1000 ng/ml (prevalence = 0.3%; 95% CI, 0.0-1.7), and D-dimer &lt;500 ng/ml in patients with high CPTP (prevalence = 0.3%; 95% CI, 0.0-1.0). The combination of D-dimer and Wells items resulted in a simple clinical decision rule with 3 items. The results suggest that the rule can safely exclude DVT. Prospective validation is required.</t>
  </si>
  <si>
    <t>Revised UNAIDS/WHO Ethical Guidance for HIV Prevention Trials.</t>
  </si>
  <si>
    <t>van der Graaf, Rieke; Reis, Andreas; Godfrey-Faussett, Peter</t>
  </si>
  <si>
    <t>https://pubmed.ncbi.nlm.nih.gov/33502463</t>
  </si>
  <si>
    <t>Sex differences in risk factors for cognitive decline and dementia, including death as a competing risk, in individuals with diabetes: Results from the ADVANCE trial.</t>
  </si>
  <si>
    <t>Gong, Jessica; Harris, Katie; Hackett, Maree; Peters, Sanne A E; Brodaty, Henry; Cooper, Mark; Hamet, Pavel; Harrap, Stephen; Mancia, Giuseppe; MacMahon, Stephen; Chalmers, John; Woodward, Mark</t>
  </si>
  <si>
    <t>https://pubmed.ncbi.nlm.nih.gov/33783955</t>
  </si>
  <si>
    <t>To estimate the associations between risk factors and cognitive decline (CD)/dementia, and the sex differences in these risk factors in individuals with type 2 diabetes, while accounting for the competing risk of death. The Action in Diabetes and Vascular Disease: Preterax and Diamicron Modified Release Controlled Evaluation (ADVANCE) trial of 11,140 individuals with type 2 diabetes was used to estimate the odds of CD/dementia using multinomial logistic regression. During a median 5-year follow-up, 1827 participants (43.2% women) had CD/dementia (1718 with CD only; 21 with dementia only; 88 with CD and dementia), and 929 (31.0% women) died without CD/dementia. Women had lower odds of CD/dementia than men (odds ratio [OR] [95% confidence interval], 0.88 [0.77, 1.00]); older age, higher total cholesterol, HbA1c, waist circumference, waist-to-height ratio, moderately increased albumin-creatinine ratio, stroke/transient ischaemic attack and retinal disease were each associated with greater odds of CD/dementia; higher years at education completion, baseline cognitive function, taller stature and current alcohol use were inversely associated. Higher waist circumference (women-to-men ratio of ORs [ROR], 1.05 [1.00, 1.10] per 5 cm) and presence of anxiety/depression (ROR, 1.28 [1.01, 1.63]) were associated with greater ORs for CD/dementia in women than men. Several risk factors were associated with CD/dementia. Higher waist circumference and mental health symptoms were more strongly associated with CD/dementia in women than men. Further studies should examine the mechanisms that underlie these sex differences.</t>
  </si>
  <si>
    <t>Sex differences in the longitudinal relationship of low-grade inflammation and echocardiographic measures in the Hoorn and FLEMENGHO Study.</t>
  </si>
  <si>
    <t>Remmelzwaal, Sharon; Beulens, Joline W J; Elders, Petra J M; Stehouwer, Coen D A; Zhang, Zhenyu; Handoko, M Louis; Appelman, Yolande; van Empel, Vanessa; Heymans, Stephane R B; Thijs, Lutgarde; Staessen, Jan A; van Ballegooijen, A Johanne</t>
  </si>
  <si>
    <t>https://pubmed.ncbi.nlm.nih.gov/33945586</t>
  </si>
  <si>
    <t>This study aimed to determine the within-person and between-persons associations of low-grade inflammation (LGI) and endothelial dysfunction (ED) with echocardiographic measures related to diastolic dysfunction (DD) in two general populations and whether these associations differed by sex. Biomarkers and echocardiographic measures were measured at both baseline and follow-up in the Hoorn Study (n = 383) and FLEMENGHO (n = 491). Individual biomarker levels were combined into either a Z-score of LGI (CRP, SAA, IL-6, IL-8, TNF-α and sICAM-1) or ED (sICAM-1, sVCAM-1, sE-selectin and sTM). Mixed models were used to determine within-person and between-persons associations of biomarker Z-scores with left ventricular ejection fraction (LVEF), left ventricular mass index (LVMI) and left atrial volume index (LAVI). These associations were adjusted for a-priori selected confounders. Overall Z-scores for LGI or ED were not associated with echocardiographic measures. Effect modification by sex was apparent for ED with LVEF in both cohorts (P-for interaction = 0.08 and 0.06), but stratified results were not consistent. Effect modification by sex was apparent for TNF-α in the Hoorn Study and E-selectin in FLEMENGHO with LVEF (P-for interaction≤0.05). In the Hoorn Study, women whose TNF-α levels increased with 1-SD over time had a decrease in LVEF of 2.2 (-4.5;0.01) %. In FLEMENGHO, men whose E-selectin levels increased with 1-SD over time had a decrease in LVEF of 1.6 (-2.7;-0.5) %. Our study did not show consistent associations of LGI and ED with echocardiographic measures. Some evidence of effect modification by sex was present for ED and specific biomarkers.</t>
  </si>
  <si>
    <t>Bacterial agents in vulvovaginitis and vaginal discharge: a 10-year retrospective study in the Netherlands.</t>
  </si>
  <si>
    <t>Bruins, Marjan J; Dos Santos, Claudy Oliveira; Damoiseaux, Roger A M J; Ruijs, Gijs J H M</t>
  </si>
  <si>
    <t>https://pubmed.ncbi.nlm.nih.gov/33942163</t>
  </si>
  <si>
    <t>Vulvovaginitis is a common problem in the GP's practice. Causes are bacterial vaginosis (BV), Candida infection and sexually transmitted infections (STIs). Only if empirical treatment fails, a vaginal swab is sent in for culture and BV detection. However, without culture essential, bacterial pathogens may escape diagnosis. Many molecular BV assays have recently appeared on the marketplace, all quite differing in price and targets. However, for years, the Nugent score has been the gold standard for BV detection. We analysed retrospectively 10 years of microbiology results of vulvovaginal swabs, focusing on less frequently reported bacterial pathogens, and assessed the characteristics of BV diagnostics. Vulvovaginal swabs sent in between 2010 and 2020 from &gt; 11,000 GP patients with vulvovaginitis associated symptoms, but negative STI tests, were analysed. First cultures and repeat cultures after at least 6 months were included in four age groups: &lt; 12, 12-17, 18-51 and &gt; 51 years. Candida species and BV were most frequently found, with the highest prevalence in premenopausal women. Haemophilus influenzae, beta-haemolytic streptococci, Streptococcus pneumoniae and Staphylococcus aureus were isolated in 5.6% of all cultures, with the highest percentages in children and postmenopausal women. If empirical treatment of vulvovaginitis fails, bacterial culture should be performed to detect all potentially pathogenic microorganisms to obtain a higher rate of successful diagnosis and treatment, avoiding unnecessary antimicrobial use and costs. For BV detection, molecular testing may seem attractive, but Nugent scoring still remains the low-cost gold standard. We recommend incorporating the above in the appropriate guidelines.</t>
  </si>
  <si>
    <t>Persistent Symptoms and Health Needs of Women and Men With Non-Obstructed Coronary Arteries in the Years Following Coronary Angiography.</t>
  </si>
  <si>
    <t>Groepenhoff, Floor; Eikendal, Anouk L M; Rittersma, Z H Saskia; Gijsberts, Crystel M; Asselbergs, Folkert W; Hoefer, Imo E; Pasterkamp, Gerard; Rutten, Frans H; Onland-Moret, N Charlotte; Den Ruijter, Hester M</t>
  </si>
  <si>
    <t>https://pubmed.ncbi.nlm.nih.gov/34012986</t>
  </si>
  <si>
    <t>&lt;b&gt;Background:&lt;/b&gt; The prognosis of women and men with persistent anginal complaints and non-obstructed coronary arteries is impaired as compared with asymptomatic women and men. The increased healthcare burden in the hospital due to repeated coronary angiography in these women and men has been documented, yet little is known about the percentage of women and men who remain symptomatic and under care of the general practitioner in the years following a coronary angiographic outcome of non-obstructed coronary arteries. &lt;b&gt;Methods:&lt;/b&gt; From the Utrecht Coronary Biobank study, including individuals who underwent a coronary angiography from 2011 to 2015 (&lt;i&gt;N&lt;/i&gt; = 2,546, 27% women), we selected women and men with non-obstructed coronary arteries (&lt;i&gt;N&lt;/i&gt; = 687, 39% women). This population was linked to the Julius General Practitioners Network (JGPN); a database with routine care data of general practitioners. For every individual with non-obstructed coronary arteries, we selected an asymptomatic non-referred age-, sex-, and general practitioner-matched individual from the JGPN. We compared the healthcare consumption of men and women with non-obstructed coronary arteries to these matched individuals. The McNemar's test was used for pairwise comparison, and sex differences were assessed using stratified analyses. &lt;b&gt;Results:&lt;/b&gt; The prevalence of non-obstructed coronary arteries was higher in women as compared with men (39 vs. 23%). During a median follow-up of 7 years [IQR 6.4-8.0], 89% of the individuals with non-obstructed coronary arteries (91% women and 87% men) visited their general practitioner for one or more cardiovascular consultations. This was compared to 34% of the matched individuals (89 vs. 34%, &lt;i&gt;p&lt;/i&gt; &lt; 0.001). The consultations were most often for angina (equivalents) (57 vs. 11%, &lt;i&gt;p&lt;/i&gt; &lt; 0.001) and heart failure (10 vs. 2%, &lt;i&gt;p&lt;/i&gt; = 0.015). In addition, they more often consulted the general practitioner for psychosocial complaints (31 vs. 15%, &lt;i&gt;p&lt;/i&gt; = 0.005). Findings were similar for women and men. &lt;b&gt;Conclusions:&lt;/b&gt; A coronary angiographic outcome of non-obstructed coronary arteries is more common in women than in men. In the years following the coronary angiography, the majority of the population remains symptomatic. Both women and men with non-obstructed coronary arteries had higher health needs for angina, heart failure, and psychosocial complaints than matched asymptomatic individuals.</t>
  </si>
  <si>
    <t>The Uptake and Use of Telemonitoring in Chronic Care Between 2014 and 2019: Nationwide Survey Among Patients and Health Care Professionals in the Netherlands.</t>
  </si>
  <si>
    <t>Huygens, Martine W J; Voogdt-Pruis, Helene R; Wouters, Myrah; Meurs, Maaike M; van Lettow, Britt; Kleijweg, Conchita; Friele, Roland D</t>
  </si>
  <si>
    <t>https://pubmed.ncbi.nlm.nih.gov/33938808</t>
  </si>
  <si>
    <t>Telemonitoring could offer solutions to the mounting challenges for health care and could improve patient self-management. Studies have addressed the benefits and challenges of telemonitoring for certain patient groups. This paper will examine the nationwide uptake of telemonitoring in chronic care in the Netherlands from 2014 to 2019 by means of an annual representative survey among patients and health care professionals. Between 2014 and 2019, approximately 2900 patients with chronic diseases, 700 nurses, and 500 general practitioners (GPs) and medical specialists received a questionnaire. About 30 questions addressed topics about the use of eHealth and experiences with it, including data about telemonitoring. Between 2014 and 2019, the use of telemonitoring remained stable for all groups except medical specialists. In medical specialist departments, the use of telemonitoring increased from 11.2% (18/161) in 2014 to 19.6% (36/184) in 2019 (χ&lt;sup&gt;2&lt;/sup&gt;&lt;sub&gt;4&lt;/sub&gt;=12.3; P=.02). In 2019, telemonitoring was used by 5.8% (28/485) of people with chronic disease. This was 18.2% (41/225) in GP organizations and 40.4% (44/109), 38.0% (78/205), and 8.9% (29/325) in the organizations of nurses working in primary, secondary, and elderly care, respectively. Up to 10% of the targeted patient group such as diabetics were regarded by health care professionals as suitable for using telemonitoring. The main benefits mentioned by the patients were "comfort" (421/1043, 40.4%) and "living at home for longer/more comfortably" (334/1047, 31.9%). Health care professionals added "improvement of self-management" (63/176, 35.8% to 57/71, 80.3%), "better understanding of the patient's condition" (47/176, 26.7% to 42/71, 59.2%), "reduction of workload" (53/134, 39.6% of nurses in elderly care), "better tailoring of care plan to the patient's situation" (95/225, 42.2% of GPs), and "saves time for patients/caregivers" (61/176, 34.7% of medical specialists). Disadvantages mentioned by professionals were that "it takes time to monitor data" (13/130, 10% to 108/225, 48.0%), "it takes time to follow up alerts" (15/130, 11.5% to 117/225, 52.0%), and "it is difficult to estimate which patients can work with telemonitoring" (22/113, 19.5% to 94/225, 41.8%). The uptake of telemonitoring in Dutch chronic care remained stable during 2014-2019 but increased among medical specialists. According to both patients and professionals, telemonitoring improves the quality of life and quality of care. Skills for suitably including eligible patients and for allocating the tasks of data monitoring and follow-up care within the team would help to further increase the use of telemonitoring.</t>
  </si>
  <si>
    <t>Economic and cost-effectiveness analysis of the Community-Level Interventions for Pre-eclampsia (CLIP) trials in India, Pakistan and Mozambique.</t>
  </si>
  <si>
    <t>Bone, Jeffrey N; Khowaja, Asif R; Vidler, Marianne; Payne, Beth A; Bellad, Mrutyunjaya B; Goudar, Shivaprasad S; Mallapur, Ashalata A; Munguambe, Khatia; Qureshi, Rahat N; Sacoor, Charfudin; Sevene, Esperanca; Frederix, Geert W J; Bhutta, Zulfiqar A; Mitton, Craig; Magee, Laura A; von Dadelszen, Peter; ,</t>
  </si>
  <si>
    <t>https://pubmed.ncbi.nlm.nih.gov/34031134</t>
  </si>
  <si>
    <t>The Community-Level Interventions for Pre-eclampsia (CLIP) trials (NCT01911494) in India, Pakistan and Mozambique (February 2014-2017) involved community engagement and task sharing with community health workers for triage and initial treatment of pregnancy hypertension. Maternal and perinatal mortality was less frequent among women who received ≥8 CLIP contacts. The aim of this analysis was to assess the incremental costs and cost-effectiveness of the CLIP intervention overall in comparison to standard of care, and by PIERS (Pre-eclampsia Integrated Estimate of RiSk) On the Move (POM) mobile health application visit frequency. Included were all women enrolled in the three CLIP trials who had delivered with known outcomes by trial end. According to the number of POM-guided home contacts received (0, 1-3, 4-7, ≥8), costs were collected from annual budgets and spending receipts, with inclusion of family opportunity costs in Pakistan. A decision tree model was built to determine the cost-effectiveness of the intervention (vs usual care), based on the primary clinical endpoint of years of life lost (YLL) for mothers and infants. A probabilistic sensitivity analysis was used to assess uncertainty in the cost and clinical outcomes. The incremental per pregnancy cost of the intervention was US$12.66 (India), US$11.51 (Pakistan) and US$13.26 (Mozambique). As implemented, the intervention was not cost-effective due largely to minimal differences in YLL between arms. However, among women who received ≥8 CLIP contacts (four in Pakistan), the probability of health system and family (Pakistan) cost-effectiveness was ≥80% (all countries). The intervention was likely to be cost-effective for women receiving ≥8 contacts in Mozambique and India, and ≥4 in Pakistan, supporting WHO guidance on antenatal contact frequency. NCT01911494.</t>
  </si>
  <si>
    <t>Prognostic Models Predicting Mortality in Preterm Infants: Systematic Review and Meta-analysis.</t>
  </si>
  <si>
    <t>van Beek, Pauline E; Andriessen, Peter; Onland, Wes; Schuit, Ewoud</t>
  </si>
  <si>
    <t>https://pubmed.ncbi.nlm.nih.gov/33879518</t>
  </si>
  <si>
    <t>Prediction models can be a valuable tool in performing risk assessment of mortality in preterm infants. Summarizing prognostic models for predicting mortality in very preterm infants and assessing their quality. Medline was searched for all articles (up to June 2020). All developed or externally validated prognostic models for mortality prediction in liveborn infants born &lt;32 weeks' gestation and/or &lt;1500 g birth weight were included. Data were extracted by 2 independent authors. Risk of bias (ROB) and applicability assessment was performed by 2 independent authors using Prediction model Risk of Bias Assessment Tool. One hundred forty-two models from 35 studies reporting on model development and 112 models from 33 studies reporting on external validation were included. ROB assessment revealed high ROB in the majority of the models, most often because of inadequate (reporting of) analysis. Internal and external validation was lacking in 41% and 96% of these models. Meta-analyses revealed an average C-statistic of 0.88 (95% confidence interval [CI]: 0.83-0.91) for the Clinical Risk Index for Babies score, 0.87 (95% CI: 0.81-0.92) for the Clinical Risk Index for Babies II score, and 0.86 (95% CI: 0.78-0.92) for the Score for Neonatal Acute Physiology Perinatal Extension II score. Occasionally, an external validation study was included, but not the development study, because studies developed in the presurfactant era or general NICU population were excluded. Instead of developing additional mortality prediction models for preterm infants, the emphasis should be shifted toward external validation and consecutive adaption of the existing prediction models.</t>
  </si>
  <si>
    <t>Publisher Correction: Discovery of rare variants associated with blood pressure regulation through meta-analysis of 1.3 million individuals.</t>
  </si>
  <si>
    <t>Surendran, Praveen; Feofanova, Elena V; Lahrouchi, Najim; Ntalla, Ioanna; Karthikeyan, Savita; Cook, James; Chen, Lingyan; Mifsud, Borbala; Yao, Chen; Kraja, Aldi T; Cartwright, James H; Hellwege, Jacklyn N; Giri, Ayush; Tragante, Vinicius; Thorleifsson, Gudmar; Liu, Dajiang J; Prins, Bram P; Stewart, Isobel D; Cabrera, Claudia P; Eales, James M; Akbarov, Artur; Auer, Paul L; Bielak, Lawrence F; Bis, Joshua C; Braithwaite, Vickie S; Brody, Jennifer A; Daw, E Warwick; Warren, Helen R; Drenos, Fotios; Nielsen, Sune Fallgaard; Faul, Jessica D; Fauman, Eric B; Fava, Cristiano; Ferreira, Teresa; Foley, Christopher N; Franceschini, Nora; Gao, He; Giannakopoulou, Olga; Giulianini, Franco; Gudbjartsson, Daniel F; Guo, Xiuqing; Harris, Sarah E; Havulinna, Aki S; Helgadottir, Anna; Huffman, Jennifer E; Hwang, Shih-Jen; Kanoni, Stavroula; Kontto, Jukka; Larson, Martin G; Li-Gao, Ruifang; Lindström, Jaana; Lotta, Luca A; Lu, Yingchang; Luan, Jian'an; Mahajan, Anubha; Malerba, Giovanni; Masca, Nich</t>
  </si>
  <si>
    <t>nature genetics</t>
  </si>
  <si>
    <t>https://pubmed.ncbi.nlm.nih.gov/33727701</t>
  </si>
  <si>
    <t>Data Science and Biostatistics; Global Health and Bioethics; Data Science and Biostatistics; Global Health and Bioethics; Data Science and Biostatistics; Global Health and Bioethics; Data Science and Biostatistics; Epidemiology and Health Economics; Data Science and Biostatistics; Global Health and Bioethics; Global Health and Bioethics</t>
  </si>
  <si>
    <t>Limitations of the PRODIGE 7 trial.</t>
  </si>
  <si>
    <t>Rovers, Koen P; Kok, Niels F M; Punt, Cornelis J A; Tanis, Pieter J; de Hingh, Ignace H J T</t>
  </si>
  <si>
    <t>https://pubmed.ncbi.nlm.nih.gov/33932372</t>
  </si>
  <si>
    <t>Identification of distinct phenotypic clusters in heart failure with preserved ejection fraction.</t>
  </si>
  <si>
    <t>Uijl, Alicia; Savarese, Gianluigi; Vaartjes, Ilonca; Dahlström, Ulf; Brugts, Jasper J; Linssen, Gerard C M; van Empel, Vanessa; Brunner-La Rocca, Hans-Peter; Asselbergs, Folkert W; Lund, Lars H; Hoes, Arno W; Koudstaal, Stefan</t>
  </si>
  <si>
    <t>https://pubmed.ncbi.nlm.nih.gov/33779119</t>
  </si>
  <si>
    <t>We aimed to derive and validate clinically useful clusters of patients with heart failure with preserved ejection fraction (HFpEF; left ventricular ejection fraction ≥50%). We derived a cluster model from 6909 HFpEF patients from the Swedish Heart Failure Registry (SwedeHF) and externally validated this in 2153 patients from the Chronic Heart Failure ESC-guideline based Cardiology practice Quality project (CHECK-HF) registry. In SwedeHF, the median age was 80 [interquartile range 72-86] years, 52% of patients were female and most frequent comorbidities were hypertension (82%), atrial fibrillation (68%), and ischaemic heart disease (48%). Latent class analysis identified five distinct clusters: cluster 1 (10% of patients) were young patients with a low comorbidity burden and the highest proportion of implantable devices; cluster 2 (30%) patients had atrial fibrillation, hypertension without diabetes; cluster 3 (25%) patients were the oldest with many cardiovascular comorbidities and hypertension; cluster 4 (15%) patients had obesity, diabetes and hypertension; and cluster 5 (20%) patients were older with ischaemic heart disease, hypertension and renal failure and were most frequently prescribed diuretics. The clusters were reproduced in the CHECK-HF cohort. Patients in cluster 1 had the best prognosis, while patients in clusters 3 and 5 had the worst age- and sex-adjusted prognosis. Five distinct clusters of HFpEF patients were identified that differed in clinical characteristics, heart failure drug therapy and prognosis. These results confirm the heterogeneity of HFpEF and form a basis for tailoring trial design to individualized drug therapy in HFpEF patients.</t>
  </si>
  <si>
    <t>Apparent treatment resistant hypertension and the risk of recurrent cardiovascular events and mortality in patients with established vascular disease.</t>
  </si>
  <si>
    <t>Groenland, Eline H; Bots, Michiel L; Asselbergs, Folkert W; de Borst, Gert J; Kappelle, L Jaap; Visseren, Frank L J; Spiering, Wilko; ,</t>
  </si>
  <si>
    <t>https://pubmed.ncbi.nlm.nih.gov/33932429</t>
  </si>
  <si>
    <t>To quantify the relation between apparent treatment resistant hypertension (aTRH) and the risk of recurrent major adverse cardiovascular events (MACE including stroke, myocardial infarction and vascular death) and mortality in patients with stable vascular disease. 7455 hypertensive patients with symptomatic vascular disease were included from the ongoing UCC-SMART cohort between 1996 and 2019. aTRH was defined as an office blood pressure ≥140/90 mmHg despite treatment with ≥3 antihypertensive drugs including a diuretic. Cox proportional hazard models were used to quantify the relation between aTRH and the risk of recurrent MACE and all-cause mortality. In addition, survival for patients with aTRH was assessed, taking competing risk of non-vascular mortality into account. A total of 1557 MACE and 1882 deaths occurred during a median follow-up of 9.0 years (interquartile range 4.8-13.1 years). Compared to patients with non-aTRH, the 614 patients (8%) with aTRH were at increased risk of cardiovascular mortality (HR 1.27; 95% CI 1.03-1.56) and death from any cause (HR 1.25; 95% CI 1.07-1.45) but not recurrent MACE (HR 1.13; 95% CI 0.95-1.34). At the age of 50 years, patients with aTRH after a first cardiovascular event on average had a 6.4 year shorter median life expectancy free of recurrent MACE than patients with non-aTRH. In hypertensive patients with clinically manifest vascular disease, aTRH is related to a higher risk of vascular death and death from any cause. Moreover, patients with aTRH after a first cardiovascular event have a 6.4 year shorter median life expectancy free of recurrent cardiovascular disease.</t>
  </si>
  <si>
    <t>Current trends in the application of causal inference methods to pooled longitudinal observational infectious disease studies-A protocol for a methodological systematic review.</t>
  </si>
  <si>
    <t>Hufstedler, Heather; Matthay, Ellicott C; Rahman, Sabahat; de Jong, Valentijn M T; Campbell, Harlan; Gustafson, Paul; Debray, Thomas; Jaenisch, Thomas; Maxwell, Lauren; Bärnighausen, Till</t>
  </si>
  <si>
    <t>https://pubmed.ncbi.nlm.nih.gov/33914795</t>
  </si>
  <si>
    <t>Pooling (or combining) and analysing observational, longitudinal data at the individual level facilitates inference through increased sample sizes, allowing for joint estimation of study- and individual-level exposure variables, and better enabling the assessment of rare exposures and diseases. Empirical studies leveraging such methods when randomization is unethical or impractical have grown in the health sciences in recent years. The adoption of so-called "causal" methods to account for both/either measured and/or unmeasured confounders is an important addition to the methodological toolkit for understanding the distribution, progression, and consequences of infectious diseases (IDs) and interventions on IDs. In the face of the Covid-19 pandemic and in the absence of systematic randomization of exposures or interventions, the value of these methods is even more apparent. Yet to our knowledge, no studies have assessed how causal methods involving pooling individual-level, observational, longitudinal data are being applied in ID-related research. In this systematic review, we assess how these methods are used and reported in ID-related research over the last 10 years. Findings will facilitate evaluation of trends of causal methods for ID research and lead to concrete recommendations for how to apply these methods where gaps in methodological rigor are identified. We will apply MeSH and text terms to identify relevant studies from EBSCO (Academic Search Complete, Business Source Premier, CINAHL, EconLit with Full Text, PsychINFO), EMBASE, PubMed, and Web of Science. Eligible studies are those that apply causal methods to account for confounding when assessing the effects of an intervention or exposure on an ID-related outcome using pooled, individual-level data from 2 or more longitudinal, observational studies. Titles, abstracts, and full-text articles, will be independently screened by two reviewers using Covidence software. Discrepancies will be resolved by a third reviewer. This systematic review protocol has been registered with PROSPERO (CRD42020204104).</t>
  </si>
  <si>
    <t>Correction to: Longitudinal trajectories of diet quality and subsequent mortality among Chinese adults: results from the China health and nutrition survey 1997-2015.</t>
  </si>
  <si>
    <t>Liu, Ming-Wei; McNaughton, Sarah A; He, Qi-Qiang; Leech, Rebecca</t>
  </si>
  <si>
    <t>https://pubmed.ncbi.nlm.nih.gov/33926474</t>
  </si>
  <si>
    <t>Rapid evolution and host immunity drive the rise and fall of carbapenem resistance during an acute Pseudomonas aeruginosa infection.</t>
  </si>
  <si>
    <t>Wheatley, Rachel; Diaz Caballero, Julio; Kapel, Natalia; de Winter, Fien H R; Jangir, Pramod; Quinn, Angus; Del Barrio-Tofiño, Ester; López-Causapé, Carla; Hedge, Jessica; Torrens, Gabriel; Van der Schalk, Thomas; Xavier, Basil Britto; Fernández-Cuenca, Felipe; Arenzana, Angel; Recanatini, Claudia; Timbermont, Leen; Sifakis, Frangiscos; Ruzin, Alexey; Ali, Omar; Lammens, Christine; Goossens, Herman; Kluytmans, Jan; Kumar-Singh, Samir; Oliver, Antonio; Malhotra-Kumar, Surbhi; MacLean, Craig</t>
  </si>
  <si>
    <t>https://pubmed.ncbi.nlm.nih.gov/33911082</t>
  </si>
  <si>
    <t>It is well established that antibiotic treatment selects for resistance, but the dynamics of this process during infections are poorly understood. Here we map the responses of Pseudomonas aeruginosa to treatment in high definition during a lung infection of a single ICU patient. Host immunity and antibiotic therapy with meropenem suppressed P. aeruginosa, but a second wave of infection emerged due to the growth of oprD and wbpM meropenem resistant mutants that evolved in situ. Selection then led to a loss of resistance by decreasing the prevalence of low fitness oprD mutants, increasing the frequency of high fitness mutants lacking the MexAB-OprM efflux pump, and decreasing the copy number of a multidrug resistance plasmid. Ultimately, host immunity suppressed wbpM mutants with high meropenem resistance and fitness. Our study highlights how natural selection and host immunity interact to drive both the rapid rise, and fall, of resistance during infection.</t>
  </si>
  <si>
    <t>Pesticide Exposure of Residents Living Close to Agricultural Fields in the Netherlands: Protocol for an Observational Study.</t>
  </si>
  <si>
    <t>Figueiredo, Daniel M; Krop, Esmeralda J M; Duyzer, Jan; Gerritsen-Ebben, Rianda M; Gooijer, Yvonne M; Holterman, Henk J; Huss, Anke; Jacobs, Cor M J; Kivits, Carla M; Kruijne, Roel; Mol, Hans J G J; Oerlemans, Arné; Sauer, Pieter J J; Scheepers, Paul T J; van de Zande, Jan C; van den Berg, Erik; Wenneker, Marcel; Vermeulen, Roel C H</t>
  </si>
  <si>
    <t>https://pubmed.ncbi.nlm.nih.gov/33908892</t>
  </si>
  <si>
    <t>Application of pesticides in the vicinity of homes has caused concern regarding possible health effects in residents living nearby. However, the high spatiotemporal variation of pesticide levels and lack of knowledge regarding the contribution of exposure routes greatly complicates exposure assessment approaches. The objective of this paper was to describe the study protocol of a large exposure survey in the Netherlands assessing pesticide exposure of residents living close (&lt;250 m) to agricultural fields; to better understand possible routes of exposure; to develop an integrative exposure model for residential exposure; and to describe lessons learned. We performed an observational study involving residents living in the vicinity of agricultural fields and residents living more than 500 m away from any agricultural fields (control subjects). Residential exposures were measured both during a pesticide use period after a specific application and during the nonuse period for 7 and 2 days, respectively. We collected environmental samples (outdoor and indoor air, dust, and garden and field soils) and personal samples (urine and hand wipes). We also collected data on spraying applications as well as on home characteristics, participants' demographics, and food habits via questionnaires and diaries. Environmental samples were analyzed for 46 prioritized pesticides. Urine samples were analyzed for biomarkers of a subset of 5 pesticides. Alongside the field study, and by taking spray events and environmental data into account, we developed a modeling framework to estimate environmental exposure of residents to pesticides. Our study was conducted between 2016 and 2019. We assessed 96 homes and 192 participants, including 7 growers and 28 control subjects. We followed 14 pesticide applications, applying 20 active ingredients. We collected 4416 samples: 1018 air, 445 dust (224 vacuumed floor, 221 doormat), 265 soil (238 garden, 27 fields), 2485 urine, 112 hand wipes, and 91 tank mixtures. To our knowledge, this is the first study on residents' exposure to pesticides addressing all major nondietary exposure sources and routes (air, soil, dust). Our protocol provides insights on used sampling techniques, the wealth of data collected, developed methods, modeling framework, and lessons learned. Resources and data are open for future collaborations on this important topic. RR1-10.2196/27883.</t>
  </si>
  <si>
    <t>Prognostic models for predicting the risk of foot ulcer or amputation in people with type 2 diabetes: a systematic review and external validation study.</t>
  </si>
  <si>
    <t>Beulens, Joline W J; Yauw, Josan S; Elders, Petra J M; Feenstra, Talitha; Herings, Ron; Slieker, Roderick C; Moons, Karel G M; Nijpels, Giel; van der Heijden, Amber A</t>
  </si>
  <si>
    <t>https://pubmed.ncbi.nlm.nih.gov/33904946</t>
  </si>
  <si>
    <t>Approximately 25% of people with type 2 diabetes experience a foot ulcer and their risk of amputation is 10-20 times higher than that of people without type 2 diabetes. Prognostic models can aid in targeted monitoring but an overview of their performance is lacking. This study aimed to systematically review prognostic models for the risk of foot ulcer or amputation and quantify their predictive performance in an independent cohort. A systematic review identified studies developing prognostic models for foot ulcer or amputation over minimal 1 year follow-up applicable to people with type 2 diabetes. After data extraction and risk of bias assessment (both in duplicate), selected models were externally validated in a prospective cohort with a 5 year follow-up in terms of discrimination (C statistics) and calibration (calibration plots). We identified 21 studies with 34 models predicting polyneuropathy, foot ulcer or amputation. Eleven models were validated in 7624 participants, of whom 485 developed an ulcer and 70 underwent amputation. The models for foot ulcer showed C statistics (95% CI) ranging from 0.54 (0.54, 0.54) to 0.81 (0.75, 0.86) and models for amputation showed C statistics (95% CI) ranging from 0.63 (0.55, 0.71) to 0.86 (0.78, 0.94). Most models underestimated the ulcer or amputation risk in the highest risk quintiles. Three models performed well to predict a combined endpoint of amputation and foot ulcer (C statistics &gt;0.75). Thirty-four prognostic models for the risk of foot ulcer or amputation were identified. Although the performance of the models varied considerably, three models performed well to predict foot ulcer or amputation and may be applicable to clinical practice.</t>
  </si>
  <si>
    <t>Associations between dietary amino acid intakes and blood concentration levels.</t>
  </si>
  <si>
    <t>Iguacel, Isabel; Schmidt, Julie A; Perez-Cornago, Aurora; Van Puyvelde, Heleen; Travis, Ruth; Stepien, Magdalena; Scalbert, Augustin; Casagrande, Corinne; Weiderpass, Elisabete; Riboli, Elio; Schulze, Matthias B; Skeie, Guri; Bodén, Stina; Boeing, Heiner; Cross, Amanda J; Harlid, Sophia; Jensen, Torill Enget; Huerta, José M; Katzke, Verena; Kühn, Tilman; Lujan-Barroso, Leila; Masala, Giovanna; Rodriguez-Barranco, Miguel; Rostgaard-Hansen, Agnetha Linn; van der Schouw, Yvonne T; Vermeulen, Roel; Tagliabue, Giovanna; Tjønneland, Anne; Trevisan, Morena; Ferrari, Pietro; Gunter, Marc J; Huybrechts, Inge</t>
  </si>
  <si>
    <t>https://pubmed.ncbi.nlm.nih.gov/34130023</t>
  </si>
  <si>
    <t>Emerging evidence suggests a role of amino acids (AAs) in the development of various diseases including renal failure, liver cirrhosis, diabetes and cancer. However, mechanistic pathways and the effects of dietary AA intakes on circulating levels and disease outcomes are unclear. We aimed to compare protein and AA intakes, with their respective blood concentrations in the European Prospective Investigation into Cancer and Nutrition (EPIC) cohort. Dietary protein and AA intakes were assessed via the EPIC dietary questionnaires (DQ) and 24-h dietary recalls (24-HDR). A subsample of 3768 EPIC participants who were free of cancer had blood AA concentrations measured. To investigate how circulating levels relate to their respective intakes, dietary AA intake was examined in quintiles and ANOVA tests were run. Pearson correlations were examined for continous associations between intakes and blood concentrations. Dietary AA intakes (assessed with the DQ) and blood AA concentrations were not strongly correlated (-0.15 ≤ r ≤ 0.17) and the direction of the correlations depended on AA class: weak positive correlations were found for most essential AAs (isoleucine, leucine, lysine, methionine, threonine, tryptophan, and valine) and conditionally essential AAs (arginine and tyrosine), while negative associations were found for non-essential AAs. Similar results were found when using the 24-HDR. When conducting ANOVA tests for essential AAs, higher intake quintiles were linked to higher blood AA concentrations, except for histidine and phenylalanine. For non-essential AAs and glycine, an inverse relationship was observed. Conditionally-essential AAs showed mixed results. Weak positive correlations and dose responses were found between most essential and conditionally essential AA intakes, and blood concentrations, but not for the non-essential AAs. These results suggest that intake of dietary AA might be related to physiological AA status, particularly for the essential AAs. However, these results should be further evaluated and confirmed in large-scale prospective studies.</t>
  </si>
  <si>
    <t>Social deprivation as a risk factor for COVID-19 mortality among women and men in the UK Biobank: nature of risk and context suggests that social interventions are essential to mitigate the effects of future pandemics.</t>
  </si>
  <si>
    <t>Woodward, Mark; Peters, Sanne A E; Harris, Katie</t>
  </si>
  <si>
    <t>journal of epidemiology and community health</t>
  </si>
  <si>
    <t>https://pubmed.ncbi.nlm.nih.gov/33906905</t>
  </si>
  <si>
    <t>To investigate sex differences in the effects of social deprivation on COVID-19 mortality and to place these effects in context with other diseases. Prospective population-based study. UK Biobank. 501 865 participants (54% women). COVID-19 as the underlying cause of death. Of 472 946 participants alive when COVID-19 was first apparent in the UK (taken as 1 February 2020), 217 (34% women) died from COVID-19 over the next 10 months, resulting in an incidence, per 100 000 person years, of 100.65 (95% CI 79.47 to 121.84) for women and 228.59 (95% CI 194.88 to 262.30) for men. Greater social deprivation, quantified using the Townsend Deprivation Score, was associated with greater risk of fatal COVD-19. Adjusted for age and ethnicity, HRs for women and men, comparing those in the most with the least deprived national fifths, were 3.66 (2.82 to 4.75) for women and 3.00 (2.46 to 3.66) for men. Adjustments for key baseline lifestyle factors attenuated these HRs to 2.20 (1.63 to 2.96) and 2.62 (2.12 to 3.24), respectively. There was evidence of a log-linear trend in the deprivation-fatal COVID-19 association, of similar magnitude to the equivalent trends for the associations between deprivation and fatal influenza or pneumonia and fatal cardiovascular disease. For all three causes of death, there was no evidence of a sex difference in the associations. Higher social deprivation is a risk factor for death from COVID-19 on a continuous scale, with two to three times the risk in the most disadvantaged 20% compared with the least. Similarities between the social gradients in COVID-19, influenza/pneumonia and cardiovascular disease mortality, the lack of sex differences in these effects, and the partial mediation of lifestyle factors suggest that better social policies are crucial to alleviate the general medical burden, including from the current, and potential future, viral pandemics.</t>
  </si>
  <si>
    <t>Integrated cardiovascular risk management programme versus usual care in patients at high cardiovascular risk: an observational study in general practice.</t>
  </si>
  <si>
    <t>Marchal, Suzanne; van 't Hof, Arnoud Wj; Bilo, Henk Jg; Deijns, Sander J; Heeg, Jan Evert; Schoenmakers, Marieke; Schouwink, Michiel; Schwantje, Olof; Bots, Michiel L; Hoes, Arno W; Hollander, Monika</t>
  </si>
  <si>
    <t>https://pubmed.ncbi.nlm.nih.gov/33436457</t>
  </si>
  <si>
    <t>Cardiovascular diseases (CVDs) are the leading cause of death worldwide. Despite the impact of CVDs, risk factors are often insufficiently controlled in patients at high risk. Recently, integrated multidisciplinary cardiovascular risk management (CVRM) programmes have been introduced in primary care. To investigate the effects of a CVRM programme on systolic blood pressure (SBP) and low-density lipoprotein (LDL)-cholesterol. A prospective observational study was undertaken in patients at high cardiovascular (CV) risk who were aged 40-80 years. Integrated CVRM care was compared with usual care in general practice in the Netherlands. Intervention and usual care patients were matched at baseline on age, sex, and presence of CVD. During 1 year of follow-up, patients received integrated or usual CVRM care in general practice. Primary outcomes were SBP and LDL-cholesterol. Secondary outcomes included calculated 10-year CV risk, body mass index (BMI), lifestyle (smoking, physical activity, and dietary habits), medication use, patient satisfaction, healthcare consumption, morbidity, comorbidity, and mortality. Mixed-model analyses were used to assess the outcomes. Totals of 372 and 317 patients were included in the intervention and usual care group, respectively. Mean age at baseline was 65.1 years and 66.2 years, respectively, and 42% were female in both groups. After 1 year, no differences were observed in: SBP (137.2 mmHg versus 139.0 mmHg in the intervention and usual care group, respectively); LDL-cholesterol (2.6 mmol/l in both groups); or in any of the secondary outcomes. Integrated CVRM care in general practice did not lead to a lower SBP or LDL-cholesterol in patients at high CV risk. Further research is needed to improve CVRM.</t>
  </si>
  <si>
    <t>Nurses' perceptions of their role with respect to promoting physical activity in adult patients: a systematic review.</t>
  </si>
  <si>
    <t>van Hell-Cromwijk, Marlies; Metzelthin, Silke F; Schoonhoven, Lisette; Verstraten, Carolien; Kroeze, Willemieke; de Man van Ginkel, Janneke M</t>
  </si>
  <si>
    <t>https://pubmed.ncbi.nlm.nih.gov/33899286</t>
  </si>
  <si>
    <t>To identify the nurses' perceptions of their role with respect to promoting physical activity in adult patients and factors related to this role perceptions. Ageing and chronic diseases are often accompanied by a decrease in physical activity. Nurses are in an excellent position to promote physical activity, because of their close and frequent interactions with patients. However, they often fail to actively stimulate patients to physical activity due to a lack of time, competing priorities and their focus on acute problems. Unclear was how nurses view their professional role in the promotion of physical activity. Systematic literature review. PubMed, COCHRANE and CINAHL EBSCO were searched for papers published from 2006 to September 2019. Two reviewers independently assessed the methodological quality, using MMAT criteria. Thematic synthesis was used to analyse the data. The PRISMA statement was followed for reporting. Overall, 10 quantitative, eight qualitative and one mixed methods study were included in the review. Analyses of these studies resulted in six themes: (1) active and professional role; (2) the recognised importance; (3) fear of patient falling; (4) patient's present health and need; (5) interdisciplinary context and responsibility; and (6) nurses' knowledge. Nurses perceive they have an active role in the promotion of physical activity and consider it as important and part of their professional role. Clear guidance increased education and stronger awareness of guidelines might enable nurses to translate their perceived role into daily practice. This will enhance professional fulfilment as well as patients' physical activity. The findings guide the development of interventions that aim to improve nursing care with respect to the promotion of physical activity and help managers and educators to provide appropriate resources and education.</t>
  </si>
  <si>
    <t>Ten-Year Outcome of Neoadjuvant Chemoradiotherapy Plus Surgery for Esophageal Cancer: The Randomized Controlled CROSS Trial.</t>
  </si>
  <si>
    <t>Eyck, Ben M; van Lanschot, J Jan B; Hulshof, Maarten C C M; van der Wilk, Berend J; Shapiro, Joel; van Hagen, Pieter; van Berge Henegouwen, Mark I; Wijnhoven, Bas P L; van Laarhoven, Hanneke W M; Nieuwenhuijzen, Grard A P; Hospers, Geke A P; Bonenkamp, Johannes J; Cuesta, Miguel A; Blaisse, Reinoud J B; Busch, Olivier R; Creemers, Geert-Jan M; Punt, Cornelis J A; Plukker, John Th M; Verheul, Henk M W; Spillenaar Bilgen, Ernst J; van der Sangen, Maurice J C; Rozema, Tom; Ten Kate, Fiebo J W; Beukema, Jannet C; Piet, Anna H M; van Rij, Caroline M; Reinders, Janny G; Tilanus, Hugo W; Steyerberg, Ewout W; van der Gaast, Ate; ,</t>
  </si>
  <si>
    <t>https://pubmed.ncbi.nlm.nih.gov/33891478</t>
  </si>
  <si>
    <t>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The median follow-up was 147 months (interquartile range, 134-157). Patients receiving neoadjuvant chemoradiotherapy had better overall survival (hazard ratio [HR], 0.70; 95% CI, 0.55 to 0.89). The effect of neoadjuvant chemoradiotherapy on overall survival was not time-dependent (&lt;i&gt;P&lt;/i&gt; value for interaction, &lt;i&gt;P&lt;/i&gt; = .73), and landmark analyses suggested a stable effect on overall survival up to 10 years of follow-up. The absolute 10-year overall survival benefit was 13% (38% &lt;i&gt;v&lt;/i&gt;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The overall survival benefit of patients with locally advanced resectable esophageal or junctional cancer who receive preoperative chemoradiotherapy according to CROSS persists for at least 10 years.</t>
  </si>
  <si>
    <t>DNA methylation as the link between migration and the major noncommunicable diseases: the RODAM study.</t>
  </si>
  <si>
    <t>Chilunga, Felix P; Henneman, Peter; Venema, Andrea; Meeks, Karlijn Ac; Gonzalez, Juan R; Ruiz-Arenas, Carlos; Requena-Méndez, Ana; Beune, Erik; Spranger, Joachim; Smeeth, Liam; Bahendeka, Silver; Owusu-Dabo, Ellis; Klipstein-Grobusch, Kerstin; Adeyemo, Adebowale; Mannens, Marcel Mam; Agyemang, Charles</t>
  </si>
  <si>
    <t>epigenomics</t>
  </si>
  <si>
    <t>https://pubmed.ncbi.nlm.nih.gov/33890479</t>
  </si>
  <si>
    <t>&lt;b&gt;Aim:&lt;/b&gt; We assessed epigenome-wide DNA methylation (DNAm) differences between migrant and non-migrant Ghanaians. &lt;b&gt;Materials &amp; methods:&lt;/b&gt; We used the Illumina Infinium&lt;sup&gt;®&lt;/sup&gt; HumanMethylation450 BeadChip to profile DNAm of 712 Ghanaians in whole blood. We used linear models to detect differentially methylated positions (DMPs) associated with migration. We performed multiple post hoc analyses to validate our findings. &lt;b&gt;Results:&lt;/b&gt; We identified 13 DMPs associated with migration (delta-beta values: 0.2-4.5%). Seven DMPs in &lt;i&gt;CPLX2&lt;/i&gt;, &lt;i&gt;EIF4E3&lt;/i&gt;, &lt;i&gt;MEF2D&lt;/i&gt;, &lt;i&gt;TLX3&lt;/i&gt;, &lt;i&gt;ST8SIA1&lt;/i&gt;, &lt;i&gt;ANG&lt;/i&gt; and &lt;i&gt;CHRM3&lt;/i&gt; were independent of extrinsic genomic influences in public databases. Two DMPs in &lt;i&gt;NLRC5&lt;/i&gt; were associated with duration of stay in Europe among migrants. All DMPs were biologically linked to migration-related factors. &lt;b&gt;Conclusion:&lt;/b&gt; Our findings provide the first insights into DNAm differences between migrants and non-migrants.</t>
  </si>
  <si>
    <t>Circulating Levels of Testosterone, Sex Hormone Binding Globulin and Colorectal Cancer Risk: Observational and Mendelian Randomization Analyses.</t>
  </si>
  <si>
    <t>Dimou, Niki; Mori, Nagisa; Harlid, Sophia; Harbs, Justin; Martin, Richard M; Smith-Byrne, Karl; Papadimitriou, Nikos; Bishop, D Timothy; Casey, Graham; Colorado-Yohar, Sandra M; Cotterchio, Michelle; Cross, Amanda J; Marchand, Loic Le; Lin, Yi; Offit, Kenneth; Onland-Moret, N Charlotte; Peters, Ulrike; Potter, John D; Rohan, Thomas E; Weiderpass, Elisabete; Gunter, Marc J; Murphy, Neil</t>
  </si>
  <si>
    <t>https://pubmed.ncbi.nlm.nih.gov/33879453</t>
  </si>
  <si>
    <t>Epidemiologic studies evaluating associations between sex steroid hormones and colorectal cancer risk have yielded inconsistent results. To elucidate the role of circulating levels of testosterone, and sex hormone-binding globulin (SHBG) in colorectal cancer risk, we conducted observational and Mendelian randomization (MR) analyses. The observational analyses included 333,530 participants enrolled in the UK Biobank with testosterone and SHBG measured. HRs and 95% confidence intervals (CI) were estimated using multivariable Cox proportional hazards models. For MR analyses, genetic variants robustly associated with hormone levels were identified and their association with colorectal cancer (42,866 cases/42,752 controls) was examined using two-sample MR. In the observational analysis, there was little evidence that circulating levels of total testosterone were associated with colorectal cancer risk; the MR analyses showed a greater risk for women (OR per 1-SD = 1.09; 95% CI, 1.01-1.17), although pleiotropy may have biased this result. Higher SHBG concentrations were associated with greater colorectal cancer risk for women (HR per 1-SD = 1.16; 95% CI, 1.05-1.29), but was unsupported by the MR analysis. There was little evidence of associations between free testosterone and colorectal cancer in observational and MR analyses. Circulating concentrations of sex hormones are unlikely to be causally associated with colorectal cancer. Additional experimental studies are required to better understand the possible role of androgens in colorectal cancer development. Our results from large-scale analyses provide little evidence for sex hormone pathways playing a causal role in colorectal cancer development.&lt;i&gt;See related commentary by Hang and Shen, p. 1302&lt;/i&gt;.</t>
  </si>
  <si>
    <t>Evaluating the Potential Benefit of a Combined Weight Loss Program in Dogs and Their Owners.</t>
  </si>
  <si>
    <t>Niese, J Rebecca; Mepham, Tierney; Nielen, Mirjam; Monninkhof, Evelyn M; Kroese, Floor M; de Ridder, Denise T D; Corbee, Ronald J</t>
  </si>
  <si>
    <t>frontiers in veterinary science</t>
  </si>
  <si>
    <t>https://pubmed.ncbi.nlm.nih.gov/33959652</t>
  </si>
  <si>
    <t>&lt;b&gt;Introduction:&lt;/b&gt; Little has been published on the psychological bond between the owner and the pet, and how this might influence shared habits that could lead to overweight and obesity. Another factor that could improve the effectiveness of a weight loss plan, is that the owner would see the dog as a weight loss partner and therefore this could increase the motivation to follow the assigned diet and exercise guidelines. &lt;b&gt;Objective:&lt;/b&gt; The aim of this research was to evaluate the potential mutual effects of weight loss programs for both dogs and dog owners. &lt;b&gt;Methods:&lt;/b&gt; Two studies were conducted: In the human-centered trial, 60 dog owners were enrolled, who signed up to receive dietary and exercise recommendations to lose weight themselves during an 8 week period, from which 29 were randomly assigned to also get recommendations for their dog. For the dog-centered trial, we selected 13 dog owners that wanted their dog to lose weight during a 6 week period, from which 7 were randomly assigned to also get recommendations for themselves. The average weight loss over the time period was recorded. A questionnaire was used to evaluate diet and exercise habits, as well as information about the relationship between the dog and owner. &lt;b&gt;Results:&lt;/b&gt; The average human weight loss was 2.6% in the owner+dog group (&lt;i&gt;n&lt;/i&gt; = 29) and 2.3% in the owner only group (&lt;i&gt;n&lt;/i&gt; = 31; &lt;i&gt;p&lt;/i&gt; &gt; 0.05). Forty percent (24/60) of the dogs in the human-centered trial were overweight. The overweight dogs in the owner+dog group (&lt;i&gt;n&lt;/i&gt; = 12/29) lost 3.7% of their body weight, compared to 1.2% in the overweight dogs from the owner only group (&lt;i&gt;n&lt;/i&gt; = 12/31; &lt;i&gt;p&lt;/i&gt; &gt; 0.05). In the dog-centered trial, the 7 dogs in the dog+owner group lost 8.0% of their body weight, vs. 8.3% in the six dogs in the dog only group (&lt;i&gt;p&lt;/i&gt; &gt; 0.05). The owners in the dog+owner group lost 2.5% of their body weight, compared to 0.5% in the dog only group (&lt;i&gt;p&lt;/i&gt; &gt; 0.05). In both trials owners' perceived responsibility for both their own and their dogs' weight significantly increased. In addition, habit strength regarding unhealthy feeding and exercise behaviors in relation to the dogs decreased, and self-efficacy in relation to providing the dog with healthy food and exercise increased. &lt;b&gt;Conclusion:&lt;/b&gt; Active weight loss in either dog owner or dog, seemed to lead to passive weight loss in the other, especially when some tools or guidelines were provided. These findings support mutual benefits of weight loss programs for dogs and dog owners, and support future weight loss programs to be a One Health approach.</t>
  </si>
  <si>
    <t>Type 2 diabetes and COPD: treatment in the right healthcare setting? An observational study.</t>
  </si>
  <si>
    <t>Willink, R P; Vos, Rimke C; Looijmans-van den Akker, I; Hart, Huberta E</t>
  </si>
  <si>
    <t>bmc family practice</t>
  </si>
  <si>
    <t>https://pubmed.ncbi.nlm.nih.gov/33879081</t>
  </si>
  <si>
    <t>Type 2 diabetes (T2DM) and COPD are chronic medical conditions, for which patients need lifelong healthcare. The aim of this study is to examine in which healthcare setting patients with T2DM and COPD receive their care, and if this is the correct healthcare setting according to guidelines. T2DM and COPD patients from five primary care practices were included. Data concerning healthcare setting and patient- and clinical characteristics were extracted from the electronic medical records. Patient profiles treated in primary care were compared with the profiles of those treated in secondary care. In patients treated in secondary care we evaluated whether treatment allocation was according to the guidelines and if back-referral to primary care should take place. Of the T2DM and COPD patients 7.6% and 29.6% respectively, were treated in secondary care, and 72.7% respectively 31.4% of these were according to the guideline. T2DM patients treated in primary care were older (63 versus 57 years, p &lt; 0.01, had a shorter diabetes duration (8 versus 11 years, p &lt; 0.01) and lower HbA1c (53.0 versus 63.5 mmol/l, p &lt; 0.01) than those treated in secondary care. Those with COPD treated in primary care used less inhalation medication (75.2 versus 90.1%, p &lt; 0.01) and had better spirometry results (67.39 versus 57.53 FEV&lt;sub&gt;1&lt;/sub&gt;%pred, p &lt; 0.01). The majority of the patients with T2DM and COPD were correctly treated in primary care and on average patients with a better health condition were treated in primary care.. Also, those who were treated in secondary care were most of the time treated in the correct treatment setting according to the guidelines.</t>
  </si>
  <si>
    <t>Association Between Diet Quality and Cardiometabolic Risk Factor Clustering Stratified by Socioeconomic Status Among Chinese Children.</t>
  </si>
  <si>
    <t>Liu, Mingwei; Chen, Qiu-Tong; Li, Zhuo-Chen; Zhang, Jie; Wang, Pei-Gang; He, Qi-Qiang</t>
  </si>
  <si>
    <t>journal of the academy of nutrition and dietetics</t>
  </si>
  <si>
    <t>https://pubmed.ncbi.nlm.nih.gov/33893062</t>
  </si>
  <si>
    <t>Few studies have evaluated the long-term relationship between diet quality and cardiometabolic risk factor clustering among children. The moderating effect of socio-economic status (SES) is of interest. To investigate the association between diet quality with cardiometabolic risk among Chinese children and to explore the moderating effect of SES. In this cohort study, 5 waves (1997-2009) of the China Health and Nutrition Survey were used. Diet quality was measured by a modified version of the Chinese Children Dietary Index (mCCDI) based on Dietary Guidelines for Chinese. Children between the ages of 7 and 17 (n = 2903) who completed at least 2 surveys were included. Those who missed measures or had hypertension or diabetes at baseline were excluded. The fasting blood samples were collected in 2009. Waist circumference (WC) and blood pressure (BP) were measured in each survey. A continuous cardiometabolic risk score (MetScore) was derived by a confirmatory factor analysis of 5 components: WC, BP, glucose, triglycerides, and high-density lipoprotein cholesterol. Considering the latency period of the effect of behaviors, the mCCDI was lagged by the period between surveys. Linear regression was used to analyze the association of mCCDI with MetScore and its components. Mixed effect linear regression and lagged mCCDI were used for WC and BP models. Higher mCCDI was independently associated with a lower MetScore at follow-up (β: -.11; 95% CI: -.18 to -.04). Higher lagged mCCDI over time was associated with a lower WC z score overall (β: -.05; 95% CI: -.08 to -.01) and among children in the low SES group (β: -.09; 95% CI: -.14 to -.04) but not those in the high SES group. When examining the 15 mCDDI components separately, scores for 5 components: more grains, vegetables, soybeans and its products; less sugar-sweetened beverages; and more diet variety were significantly associated with a lower MetScore. Among Chinese children, higher diet quality measured by mCCDI was independently associated with a lower MetScore at follow-up.</t>
  </si>
  <si>
    <t>The methodological quality of 176,620 randomized controlled trials published between 1966 and 2018 reveals a positive trend but also an urgent need for improvement.</t>
  </si>
  <si>
    <t>Vinkers, Christiaan H; Lamberink, Herm J; Tijdink, Joeri K; Heus, Pauline; Bouter, Lex; Glasziou, Paul; Moher, David; Damen, Johanna A; Hooft, Lotty; Otte, Willem M</t>
  </si>
  <si>
    <t>plos biology</t>
  </si>
  <si>
    <t>https://pubmed.ncbi.nlm.nih.gov/33872298</t>
  </si>
  <si>
    <t>Many randomized controlled trials (RCTs) are biased and difficult to reproduce due to methodological flaws and poor reporting. There is increasing attention for responsible research practices and implementation of reporting guidelines, but whether these efforts have improved the methodological quality of RCTs (e.g., lower risk of bias) is unknown. We, therefore, mapped risk-of-bias trends over time in RCT publications in relation to journal and author characteristics. Meta-information of 176,620 RCTs published between 1966 and 2018 was extracted. The risk-of-bias probability (random sequence generation, allocation concealment, blinding of patients/personnel, and blinding of outcome assessment) was assessed using a risk-of-bias machine learning tool. This tool was simultaneously validated using 63,327 human risk-of-bias assessments obtained from 17,394 RCTs evaluated in the Cochrane Database of Systematic Reviews (CDSR). Moreover, RCT registration and CONSORT Statement reporting were assessed using automated searches. Publication characteristics included the number of authors, journal impact factor (JIF), and medical discipline. The annual number of published RCTs substantially increased over 4 decades, accompanied by increases in authors (5.2 to 7.8) and institutions (2.9 to 4.8). The risk of bias remained present in most RCTs but decreased over time for allocation concealment (63% to 51%), random sequence generation (57% to 36%), and blinding of outcome assessment (58% to 52%). Trial registration (37% to 47%) and the use of the CONSORT Statement (1% to 20%) also rapidly increased. In journals with a higher impact factor (&gt;10), the risk of bias was consistently lower with higher levels of RCT registration and the use of the CONSORT Statement. Automated risk-of-bias predictions had accuracies above 70% for allocation concealment (70.7%), random sequence generation (72.1%), and blinding of patients/personnel (79.8%), but not for blinding of outcome assessment (62.7%). In conclusion, the likelihood of bias in RCTs has generally decreased over the last decades. This optimistic trend may be driven by increased knowledge augmented by mandatory trial registration and more stringent reporting guidelines and journal requirements. Nevertheless, relatively high probabilities of bias remain, particularly in journals with lower impact factors. This emphasizes that further improvement of RCT registration, conduct, and reporting is still urgently needed.</t>
  </si>
  <si>
    <t>Erratum: Unexpected low frequency of respiratory symptoms in an HIV-positive urban sub-Saharan population compared to an HIV-negative control group.</t>
  </si>
  <si>
    <t>Kummerow, Maren; Shaddock, Erica J; Klipstein-Grobusch, Kerstin; Barth, Roos B; Grobbee, Diederick E; Francois Venter, W D; Feldman, Charles; Vos, Alinda</t>
  </si>
  <si>
    <t>https://pubmed.ncbi.nlm.nih.gov/33936790</t>
  </si>
  <si>
    <t>[This corrects the article DOI: 10.4102/sajhivmed.v20i1.1010.].</t>
  </si>
  <si>
    <t>Advanced image analytics predicting clinical outcomes in patients with colorectal liver metastases: A systematic review of the literature.</t>
  </si>
  <si>
    <t>Wesdorp, N J; van Goor, V J; Kemna, R; Jansma, E P; van Waesberghe, J H T M; Swijnenburg, R J; Punt, C J A; Huiskens, J; Kazemier, G</t>
  </si>
  <si>
    <t>surgical oncology</t>
  </si>
  <si>
    <t>https://pubmed.ncbi.nlm.nih.gov/33866191</t>
  </si>
  <si>
    <t>To better select patients with colorectal liver metastases (CRLM) for an optimal selection of treatment strategy (i.e. local, systemic or combined treatment) new prognostic models are warranted. In the last decade, radiomics has emerged as a field to create predictive models based on imaging features. This systematic review aims to investigate the current state and potential of radiomics to predict clinical outcomes in patients with CRLM. A comprehensive literature search was conducted in the electronic databases of PubMed, Embase, and Cochrane Library, according to PRISMA guidelines. Original studies reporting on radiomics predicting clinical outcome in patients diagnosed with CRLM were included. Clinical outcomes were defined as response to systemic treatment, recurrence of disease, and survival (overall, progression-free, disease-free). Primary outcome was the predictive performance of radiomics. A narrative synthesis of the results was made. Methodological quality was assessed using the radiomics quality score. In 11 out of 14 included studies, radiomics was predictive for response to treatment, recurrence of disease, survival, or a combination of outcomes. Combining clinical parameters and radiomic features in multivariate modelling often improved the predictive performance. Different types of individual features were found prognostic. Noticeable were the contrary levels of heterogeneous and homogeneous features in patients with good response. The methodological quality as assessed by the radiomics quality score varied considerably between studies. Radiomics appears a promising non-invasive method to predict clinical outcome and improve personalized decision-making in patients with CRLM. However, results were contradictory and difficult to compare. Standardized prospective studies are warranted to establish the added value of radiomics in patients with CRLM.</t>
  </si>
  <si>
    <t>Treatment Strategies for GLILD in Common Variable Immunodeficiency: A Systematic Review.</t>
  </si>
  <si>
    <t>Lamers, Olivia A C; Smits, Bas M; Leavis, Helen Louisa; de Bree, Godelieve J; Cunningham-Rundles, Charlotte; Dalm, Virgil A S H; Ho, Hsi-En; Hurst, John R; IJspeert, Hanna; Prevaes, Sabine M P J; Robinson, Alex; van Stigt, Astrid C; Terheggen-Lagro, Suzanne; van de Ven, Annick A J M; Warnatz, Klaus; van de Wijgert, Janneke H H M; van Montfrans, Joris</t>
  </si>
  <si>
    <t>https://pubmed.ncbi.nlm.nih.gov/33936030</t>
  </si>
  <si>
    <t>Besides recurrent infections, a proportion of patients with Common Variable Immunodeficiency Disorders (CVID) may suffer from immune dysregulation such as granulomatous-lymphocytic interstitial lung disease (GLILD). The optimal treatment of this complication is currently unknown. Experienced-based expert opinions have been produced, but a systematic review of published treatment studies is lacking. To summarize and synthesize the published literature on the efficacy of treatments for GLILD in CVID. We performed a systematic review using the PRISMA guidelines. Papers describing treatment and outcomes in CVID patients with radiographic and/or histologic evidence of GLILD were included. Treatment regimens and outcomes of treatment were summarized. 6124 papers were identified and 42, reporting information about 233 patients in total, were included for review. These papers described case series or small, uncontrolled studies of monotherapy with glucocorticoids or other immunosuppressants, rituximab monotherapy or rituximab plus azathioprine, abatacept, or hematopoietic stem cell transplantation (HSCT). Treatment response rates varied widely. Cross-study comparisons were complicated because different treatment regimens, follow-up periods, and outcome measures were used. There was a trend towards more frequent GLILD relapses in patients treated with corticosteroid monotherapy when compared to rituximab-containing treatment regimens based on qualitative endpoints. HSCT is a promising alternative to pharmacological treatment of GLILD, because it has the potential to not only contain symptoms, but also to resolve the underlying pathology. However, mortality, especially among immunocompromised patients, is high. We could not draw definitive conclusions regarding optimal pharmacological treatment for GLILD in CVID from the current literature since quantitative, well-controlled evidence was lacking. While HSCT might be considered a treatment option for GLILD in CVID, the risks related to the procedure are high. Our findings highlight the need for further research with uniform, objective and quantifiable endpoints. This should include international registries with standardized data collection including regular pulmonary function tests (with carbon monoxide-diffusion), uniform high-resolution chest CT radiographic scoring, and uniform treatment regimens, to facilitate comparison of treatment outcomes and ultimately randomized clinical trials.</t>
  </si>
  <si>
    <t>Incidence and predictive biomarkers of Clostridioides difficile infection in hospitalized patients receiving broad-spectrum antibiotics.</t>
  </si>
  <si>
    <t>van Werkhoven, Cornelis H; Ducher, Annie; Berkell, Matilda; Mysara, Mohamed; Lammens, Christine; Torre-Cisneros, Julian; Rodríguez-Baño, Jesús; Herghea, Delia; Cornely, Oliver A; Biehl, Lena M; Bernard, Louis; Dominguez-Luzon, M Angeles; Maraki, Sofia; Barraud, Olivier; Nica, Maria; Jazmati, Nathalie; Sablier-Gallis, Frederique; de Gunzburg, Jean; Mentré, France; Malhotra-Kumar, Surbhi; Bonten, Marc J M; Vehreschild, Maria J G T; ,</t>
  </si>
  <si>
    <t>https://pubmed.ncbi.nlm.nih.gov/33854064</t>
  </si>
  <si>
    <t>Trial enrichment using gut microbiota derived biomarkers by high-risk individuals can improve the feasibility of randomized controlled trials for prevention of Clostridioides difficile infection (CDI). Here, we report in a prospective observational cohort study the incidence of CDI and assess potential clinical characteristics and biomarkers to predict CDI in 1,007 patients ≥ 50 years receiving newly initiated antibiotic treatment with penicillins plus a beta-lactamase inhibitor, 3&lt;sup&gt;rd&lt;/sup&gt;/4&lt;sup&gt;th&lt;/sup&gt; generation cephalosporins, carbapenems, fluoroquinolones or clindamycin from 34 European hospitals. The estimated 90-day cumulative incidences of a first CDI episode is 1.9% (95% CI 1.1-3.0). Carbapenem treatment (Hazard Ratio (95% CI): 5.3 (1.7-16.6)), toxigenic C. difficile rectal carriage (10.3 (3.2-33.1)), high intestinal abundance of Enterococcus spp. relative to Ruminococcus spp. (5.4 (2.1-18.7)), and low Shannon alpha diversity index as determined by 16 S rRNA gene profiling (9.7 (3.2-29.7)), but not normalized urinary 3-indoxyl sulfate levels, predicts an increased CDI risk.</t>
  </si>
  <si>
    <t>Microbiota-based markers predictive of development of Clostridioides difficile infection.</t>
  </si>
  <si>
    <t>Berkell, Matilda; Mysara, Mohamed; Xavier, Basil Britto; van Werkhoven, Cornelis H; Monsieurs, Pieter; Lammens, Christine; Ducher, Annie; Vehreschild, Maria J G T; Goossens, Herman; de Gunzburg, Jean; Bonten, Marc J M; Malhotra-Kumar, Surbhi; ,</t>
  </si>
  <si>
    <t>https://pubmed.ncbi.nlm.nih.gov/33854066</t>
  </si>
  <si>
    <t>Antibiotic-induced modulation of the intestinal microbiota can lead to Clostridioides difficile infection (CDI), which is associated with considerable morbidity, mortality, and healthcare-costs globally. Therefore, identification of markers predictive of CDI could substantially contribute to guiding therapy and decreasing the infection burden. Here, we analyze the intestinal microbiota of hospitalized patients at increased CDI risk in a prospective, 90-day cohort-study before and after antibiotic treatment and at diarrhea onset. We show that patients developing CDI already exhibit significantly lower diversity before antibiotic treatment and a distinct microbiota enriched in Enterococcus and depleted of Ruminococcus, Blautia, Prevotella and Bifidobacterium compared to non-CDI patients. We find that antibiotic treatment-induced dysbiosis is class-specific with beta-lactams further increasing enterococcal abundance. Our findings, validated in an independent prospective patient cohort developing CDI, can be exploited to enrich for high-risk patients in prospective clinical trials, and to develop predictive microbiota-based diagnostics for management of patients at risk for CDI.</t>
  </si>
  <si>
    <t>Patient-derived organoids as a predictive biomarker for treatment response in cancer patients.</t>
  </si>
  <si>
    <t>Wensink, G Emerens; Elias, Sjoerd G; Mullenders, Jasper; Koopman, Miriam; Boj, Sylvia F; Kranenburg, Onno W; Roodhart, Jeanine M L</t>
  </si>
  <si>
    <t>https://pubmed.ncbi.nlm.nih.gov/33846504</t>
  </si>
  <si>
    <t>Effective predictive biomarkers are needed to enable personalized medicine and increase treatment efficacy and survival for cancer patients, thereby reducing toxic side effects and treatment costs. Patient-derived organoids (PDOs) enable individualized tumour response testing. Since 2018, 17 publications have examined PDOs as a potential predictive biomarker in the treatment of cancer patients. We review and provide a pooled analysis of the results regarding the use of PDOs in individualized tumour response testing, focusing on evidence for analytical validity, clinical validity and clinical utility. We identify future perspectives to accelerate the implementation of PDOs as a predictive biomarker in the treatment of cancer patients.</t>
  </si>
  <si>
    <t>Long-Term Exposure to Fine Particle Elemental Components and Natural and Cause-Specific Mortality-a Pooled Analysis of Eight European Cohorts within the ELAPSE Project.</t>
  </si>
  <si>
    <t>Chen, Jie; Rodopoulou, Sophia; de Hoogh, Kees; Strak, Maciej; Andersen, Zorana J; Atkinson, Richard; Bauwelinck, Mariska; Bellander, Tom; Brandt, Jørgen; Cesaroni, Giulia; Concin, Hans; Fecht, Daniela; Forastiere, Francesco; Gulliver, John; Hertel, Ole; Hoffmann, Barbara; Hvidtfeldt, Ulla Arthur; Janssen, Nicole A H; Jöckel, Karl-Heinz; Jørgensen, Jeanette; Katsouyanni, Klea; Ketzel, Matthias; Klompmaker, Jochem O; Lager, Anton; Leander, Karin; Liu, Shuo; Ljungman, Petter; MacDonald, Conor J; Magnusson, Patrik K E; Mehta, Amar; Nagel, Gabriele; Oftedal, Bente; Pershagen, Göran; Peters, Annette; Raaschou-Nielsen, Ole; Renzi, Matteo; Rizzuto, Debora; Samoli, Evangelia; van der Schouw, Yvonne T; Schramm, Sara; Schwarze, Per; Sigsgaard, Torben; Sørensen, Mette; Stafoggia, Massimo; Tjønneland, Anne; Vienneau, Danielle; Weinmayr, Gudrun; Wolf, Kathrin; Brunekreef, Bert; Hoek, Gerard</t>
  </si>
  <si>
    <t>https://pubmed.ncbi.nlm.nih.gov/33844598</t>
  </si>
  <si>
    <t>Inconsistent associations between long-term exposure to particles with an aerodynamic diameter &lt;math xmlns="http://www.w3.org/1998/Math/MathML"&gt;&lt;mrow&gt;&lt;mo&gt;≤&lt;/mo&gt;&lt;mn&gt;2.5&lt;/mn&gt;&lt;mo&gt; &lt;/mo&gt;&lt;mo&gt;μ&lt;/mo&gt;&lt;mi&gt;m&lt;/mi&gt;&lt;/mrow&gt;&lt;/math&gt; [fine particulate matter (&lt;math xmlns="http://www.w3.org/1998/Math/MathML"&gt;&lt;mrow&gt;&lt;msub&gt;&lt;mrow&gt;&lt;mrow&gt;&lt;mtext&gt;PM&lt;/mtext&gt;&lt;/mrow&gt;&lt;/mrow&gt;&lt;mrow&gt;&lt;mrow&gt;&lt;mn&gt;2.5&lt;/mn&gt;&lt;/mrow&gt;&lt;/mrow&gt;&lt;/msub&gt;&lt;/mrow&gt;&lt;/math&gt;)] components and mortality have been reported, partly related to challenges in exposure assessment. We investigated the associations between long-term exposure to &lt;math xmlns="http://www.w3.org/1998/Math/MathML"&gt;&lt;mrow&gt;&lt;msub&gt;&lt;mrow&gt;&lt;mrow&gt;&lt;mtext&gt;PM&lt;/mtext&gt;&lt;/mrow&gt;&lt;/mrow&gt;&lt;mrow&gt;&lt;mrow&gt;&lt;mn&gt;2.5&lt;/mn&gt;&lt;/mrow&gt;&lt;/mrow&gt;&lt;/msub&gt;&lt;/mrow&gt;&lt;/math&gt; elemental components and mortality in a large pooled European cohort; to compare health effects of &lt;math xmlns="http://www.w3.org/1998/Math/MathML"&gt;&lt;mrow&gt;&lt;msub&gt;&lt;mrow&gt;&lt;mrow&gt;&lt;mtext&gt;PM&lt;/mtext&gt;&lt;/mrow&gt;&lt;/mrow&gt;&lt;mrow&gt;&lt;mrow&gt;&lt;mn&gt;2.5&lt;/mn&gt;&lt;/mrow&gt;&lt;/mrow&gt;&lt;/msub&gt;&lt;/mrow&gt;&lt;/math&gt; components estimated with two exposure modeling approaches, namely, supervised linear regression (SLR) and random forest (RF) algorithms. We pooled data from eight European cohorts with 323,782 participants, average age 49 y at baseline (1985-2005). Residential exposure to 2010 annual average concentration of eight &lt;math xmlns="http://www.w3.org/1998/Math/MathML"&gt;&lt;mrow&gt;&lt;msub&gt;&lt;mrow&gt;&lt;mrow&gt;&lt;mtext&gt;PM&lt;/mtext&gt;&lt;/mrow&gt;&lt;/mrow&gt;&lt;mrow&gt;&lt;mrow&gt;&lt;mn&gt;2.5&lt;/mn&gt;&lt;/mrow&gt;&lt;/mrow&gt;&lt;/msub&gt;&lt;/mrow&gt;&lt;/math&gt; components [copper (Cu), iron (Fe), potassium (K), nickel (Ni), sulfur (S), silicon (Si), vanadium (V), and zinc (Zn)] was estimated with Europe-wide SLR and RF models at a &lt;math xmlns="http://www.w3.org/1998/Math/MathML"&gt;&lt;mrow&gt;&lt;mn&gt;100&lt;/mn&gt;&lt;mo&gt;×&lt;/mo&gt;&lt;mn&gt;100&lt;/mn&gt;&lt;mo&gt; &lt;/mo&gt;&lt;mi&gt;m&lt;/mi&gt;&lt;/mrow&gt;&lt;/math&gt; scale. We applied Cox proportional hazards models to investigate the associations between components and natural and cause-specific mortality. In addition, two-pollutant analyses were conducted by adjusting each component for &lt;math xmlns="http://www.w3.org/1998/Math/MathML"&gt;&lt;mrow&gt;&lt;msub&gt;&lt;mrow&gt;&lt;mrow&gt;&lt;mtext&gt;PM&lt;/mtext&gt;&lt;/mrow&gt;&lt;/mrow&gt;&lt;mrow&gt;&lt;mrow&gt;&lt;mn&gt;2.5&lt;/mn&gt;&lt;/mrow&gt;&lt;/mrow&gt;&lt;/msub&gt;&lt;/mrow&gt;&lt;/math&gt; mass and nitrogen dioxide (&lt;math xmlns="http://www.w3.org/1998/Math/MathML"&gt;&lt;mrow&gt;&lt;msub&gt;&lt;mrow&gt;&lt;mtext&gt;NO&lt;/mtext&gt;&lt;/mrow&gt;&lt;mrow&gt;&lt;mn&gt;2&lt;/mn&gt;&lt;/mrow&gt;&lt;/msub&gt;&lt;/mrow&gt;&lt;/math&gt;) separately. We observed 46,640 natural-cause deaths with 6,317,235 person-years and an average follow-up of 19.5 y. All SLR-modeled components were statistically significantly associated with natural-cause mortality in single-pollutant models with hazard ratios (HRs) from 1.05 to 1.27. Similar HRs were observed for RF-modeled Cu, Fe, K, S, V, and Zn with wider confidence intervals (CIs). HRs for SLR-modeled Ni, S, Si, V, and Zn remained above unity and (almost) significant after adjustment for both &lt;math xmlns="http://www.w3.org/1998/Math/MathML"&gt;&lt;mrow&gt;&lt;msub&gt;&lt;mrow&gt;&lt;mrow&gt;&lt;mtext&gt;PM&lt;/mtext&gt;&lt;/mrow&gt;&lt;/mrow&gt;&lt;mrow&gt;&lt;mrow&gt;&lt;mn&gt;2.5&lt;/mn&gt;&lt;/mrow&gt;&lt;/mrow&gt;&lt;/msub&gt;&lt;/mrow&gt;&lt;/math&gt; and &lt;math xmlns="http://www.w3.org/1998/Math/MathML"&gt;&lt;mrow&gt;&lt;msub&gt;&lt;mrow&gt;&lt;mtext&gt;NO&lt;/mtext&gt;&lt;/mrow&gt;&lt;mrow&gt;&lt;mn&gt;2&lt;/mn&gt;&lt;/mrow&gt;&lt;/msub&gt;&lt;/mrow&gt;&lt;/math&gt;. HRs only remained (almost) significant for RF-modeled K and V in two-pollutant models. The HRs for V were 1.03 (95% CI: 1.02, 1.05) and 1.06 (95% CI: 1.02, 1.10) for SLR- and RF-modeled exposures, respectively, per &lt;math xmlns="http://www.w3.org/1998/Math/MathML"&gt;&lt;mrow&gt;&lt;mn&gt;2&lt;/mn&gt;&lt;msup&gt;&lt;mrow&gt;&lt;mo&gt; &lt;/mo&gt;&lt;mtext&gt;ng&lt;/mtext&gt;&lt;mo&gt;/&lt;/mo&gt;&lt;mi&gt;m&lt;/mi&gt;&lt;/mrow&gt;&lt;mrow&gt;&lt;mn&gt;3&lt;/mn&gt;&lt;/mrow&gt;&lt;/msup&gt;&lt;/mrow&gt;&lt;/math&gt;, adjusting for &lt;math xmlns="http://www.w3.org/1998/Math/MathML"&gt;&lt;mrow&gt;&lt;msub&gt;&lt;mrow&gt;&lt;mrow&gt;&lt;mtext&gt;PM&lt;/mtext&gt;&lt;/mrow&gt;&lt;/mrow&gt;&lt;mrow&gt;&lt;mrow&gt;&lt;mn&gt;2.5&lt;/mn&gt;&lt;/mrow&gt;&lt;/mrow&gt;&lt;/msub&gt;&lt;/mrow&gt;&lt;/math&gt; mass. Associations with cause-specific mortality were less consistent in two-pollutant models. Long-term exposure to V in &lt;math xmlns="http://www.w3.org/1998/Math/MathML"&gt;&lt;mrow&gt;&lt;msub&gt;&lt;mrow&gt;&lt;mrow&gt;&lt;mtext&gt;PM&lt;/mtext&gt;&lt;/mrow&gt;&lt;/mrow&gt;&lt;mrow&gt;&lt;mrow&gt;&lt;mn&gt;2.5&lt;/mn&gt;&lt;/mrow&gt;&lt;/mrow&gt;&lt;/msub&gt;&lt;/mrow&gt;&lt;/math&gt; was most consistently associated with increased mortality. Associations for the other components were weaker for exposure modeled with RF than SLR in two-pollutant models. https://doi.org/10.1289/EHP8368.</t>
  </si>
  <si>
    <t>High discordance rate in assessing sentinel node positivity in cutaneous melanoma: Expert review may reduce unjustified adjuvant treatment.</t>
  </si>
  <si>
    <t>El Sharouni, Mary-Ann; Laeijendecker, Annelien E; Suijkerbuijk, Karijn Pm; Witkamp, Arjen J; Sigurdsson, Vigfús; van Diest, Paul J; van Gils, Carla H; Blokx, Willeke Am</t>
  </si>
  <si>
    <t>https://pubmed.ncbi.nlm.nih.gov/33848712</t>
  </si>
  <si>
    <t>Identification of sentinel node (SN) metastases can set the adjuvant systemic therapy indication for patients with stage III melanoma. Studies re-evaluating the diagnosis of initially positive SN biopsies are scarce. Dutch patients with melanoma who underwent SN biopsy between 2003 and 2014 were selected from PALGA, the Dutch Pathology Registry. Histopathological slides of SN-positive patients were retrieved for review. A random sample was reassessed by an expert melanoma pathologist. Recurrence-free survival (RFS) of patients who were misclassified (false-positive) was compared with those with a true positive SN status. For comparison, a group of SN-negative patients was included. Multivariable logistic analysis was performed to assess clinicopathological characteristics associated with misclassification of SN status. Diagnosis was downgraded from melanoma metastasis to nodal nevus in 38 of the 322 reviewed patients (11.8%). Considering the inclusion criteria of phase III adjuvant trials, at least 4.3% of patients would have falsely qualified for adjuvant therapy. In multivariable analysis, patients with a low SN tumour burden and subcapsular SN tumour location had a significantly higher chance of being misclassified. The five-year RFS of the 38 downgraded patients was 86.7% (95% confidence interval [CI] = 72.6-96.6), similar to the 85.9% (95% CI = 84.9-86.8, p = 0.18) for 6413 SN-negative patients and better than the 53.2% (95% CI = 47.2-59.9, p = 0.009) of 284 patients who were truly SN positive upon review. More than 10% of originally positive SN biopsies of patients with melanoma concern misclassified nodal nevi. We advocate that when adjuvant treatment is considered in patients with stage III melanoma, SN biopsies should be reassessed by an expert melanoma pathologist.</t>
  </si>
  <si>
    <t>Older Adults' and Their Informal Caregivers' Experiences and Needs regarding Nutritional Care Provided in the Periods before, during and after Hospitalization: A Qualitative Study.</t>
  </si>
  <si>
    <t>Ten Cate, Debbie; Mellema, Mattanja; Ettema, Roelof G A; Schuurmans, Marieke J; Schoonhoven, Lisette</t>
  </si>
  <si>
    <t>journal of nutrition in gerontology and geriatrics</t>
  </si>
  <si>
    <t>https://pubmed.ncbi.nlm.nih.gov/33835889</t>
  </si>
  <si>
    <t>To enhance prevention and treatment of malnutrition in older adults before, during and after hospitalization, deeper understanding of older adults' and informal caregivers' perspective on nutritional care is important. One-time in-depth interviews were conducted with 15 older adults who had been discharged from hospital, and seven informal caregivers. We explored their experiences and needs regarding nutritional care provided in the periods before, during and after hospitalization. Five themes emerged from the data: (1) dietary intake, (2) food service during hospitalization, (3) nutrition-related activities, (4) whose job it is to give nutritional care, and (5) competing care priorities. Further, several opinions about nutritional issues were identified. Older adults and informal caregivers did not always experience optimal nutritional care. When discussing nutritional care, they mainly focused on the in-hospital period. When providing nutritional care and developing guidelines, older adults' and informal caregivers' perspective on nutritional care should be incorporated. Here, the periods before, during and after hospitalization should be taken into account equally.</t>
  </si>
  <si>
    <t>An anomaly detection approach to identify chronic brain infarcts on MRI.</t>
  </si>
  <si>
    <t>van Hespen, Kees M; Zwanenburg, Jaco J M; Dankbaar, Jan W; Geerlings, Mirjam I; Hendrikse, Jeroen; Kuijf, Hugo J</t>
  </si>
  <si>
    <t>https://pubmed.ncbi.nlm.nih.gov/33833297</t>
  </si>
  <si>
    <t>The performance of current machine learning methods to detect heterogeneous pathology is limited by the quantity and quality of pathology in medical images. A possible solution is anomaly detection; an approach that can detect all abnormalities by learning how 'normal' tissue looks like. In this work, we propose an anomaly detection method using a neural network architecture for the detection of chronic brain infarcts on brain MR images. The neural network was trained to learn the visual appearance of normal appearing brains of 697 patients. We evaluated its performance on the detection of chronic brain infarcts in 225 patients, which were previously labeled. Our proposed method detected 374 chronic brain infarcts (68% of the total amount of brain infarcts) which represented 97.5% of the total infarct volume. Additionally, 26 new brain infarcts were identified that were originally missed by the radiologist during radiological reading. Our proposed method also detected white matter hyperintensities, anomalous calcifications, and imaging artefacts. This work shows that anomaly detection is a powerful approach for the detection of multiple brain abnormalities, and can potentially be used to improve the radiological workflow efficiency by guiding radiologists to brain anomalies which otherwise remain unnoticed.</t>
  </si>
  <si>
    <t>Investigator-initiated Randomized Controlled Trials in Infectious Diseases: Better Value for Money for Registration Trials of New Antimicrobials.</t>
  </si>
  <si>
    <t>Paul, Mical; Harbarth, Stephan; Huttner, Angela; Thwaites, Guy E; Theuretzbacher, Ursula; Bonten, Marc J M; Leibovici, Leonard</t>
  </si>
  <si>
    <t>https://pubmed.ncbi.nlm.nih.gov/32619238</t>
  </si>
  <si>
    <t>Randomized controlled trials (RCTs) conducted by the industry are expensive, especially trials conducted for registration of new drugs for multidrug-resistant (MDR) bacteria. Lower-cost investigator-initiated trials have recently been successful in recruiting patients with severe infections caused by MDR bacteria. In this viewpoint, we contrast the aims, methods, and resulting costs of industry-led and investigator-initiated trials and ask whether contemporary registration trial costs are justified. Contract research organizations, delivering and monitoring industry-sponsored trials at a significant cost, have little incentive to make trials more efficient or less expensive. The value of universal monitoring of all trial data is questionable. We propose that clinical trial networks play a more influential role in RCT design and planning, lead adaptive risk-based trial monitoring, and work with the industry to maximize efficient recruitment and lower costs in registration trials for the approval of new antimicrobials.</t>
  </si>
  <si>
    <t>Hospital and home care nurses' experiences and perceptions regarding nutritional care for older adults to prevent and treat malnutrition: A cross-sectional study.</t>
  </si>
  <si>
    <t>Ten Cate, Debbie; Schoonhoven, Lisette; Huisman-de Waal, Getty; Schuurmans, Marieke J; Ettema, Roelof G A</t>
  </si>
  <si>
    <t>https://pubmed.ncbi.nlm.nih.gov/33829601</t>
  </si>
  <si>
    <t>To gain insight into the experiences and perceptions of hospital and home care nurses regarding nutritional care for older adults to prevent and treat malnutrition. In-depth knowledge about hospital and home care nurses' experiences and perceptions can contribute to optimise nutritional care for older adults across the care continuum between hospital and home to prevent and treat malnutrition. Multicentre cross-sectional descriptive study. A validated questionnaire addressing malnutrition was used. A total of 1,135 questionnaires were sent to hospital and home care nurses. The STROBE statement was followed for reporting. The response rate was 49% (n = 556). Of all the nurses, 37% perceived the prevalence of malnutrition among their care recipients between 10% and 25%. Almost 22% of the nurses neither agreed nor disagreed or disagreed with the statement that prevention of malnutrition is possible. More than 28% of the nurses reported that malnutrition is a small or no problem. Over 95% of the hospital nurses and 52.5% of the home care nurses stated they screened routinely for malnutrition. The nurses considered several interventions for treating malnutrition important. Over 81% of the nurses indicated they wanted to follow further training. Most hospital and home care nurses perceived that nutritional care for older adults to prevent and treat malnutrition was important. A fair group of nurses, however, had the opposite perception. Raising the awareness of all hospital and home care nurses about the importance of nutritional care for older adults is pivotal to increase the chance of successfully providing nursing nutritional care. Nurses should follow training for consolidation of nutritional care. Nurses are well-positioned to take a leadership role to improve continuity and quality of nutritional care across the care continuum between hospital and home.</t>
  </si>
  <si>
    <t>Questions and answers on workup diagnosis and risk stratification: a companion document of the 2020 ESC Guidelines for the management of acute coronary syndromes in patients presenting without persistent ST-segment elevation.</t>
  </si>
  <si>
    <t>Barthélémy, Olivier; Jobs, Alexander; Meliga, Emanuele; Mueller, Christian; Rutten, Frans H; Siontis, George C M; Thiele, Holger; Collet, Jean-Philippe; ,</t>
  </si>
  <si>
    <t>https://pubmed.ncbi.nlm.nih.gov/32860030</t>
  </si>
  <si>
    <t>Heterogeneity of Associations between Total and Types of Fish Intake and the Incidence of Type 2 Diabetes: Federated Meta-Analysis of 28 Prospective Studies Including 956,122 Participants.</t>
  </si>
  <si>
    <t>Pastorino, Silvia; Bishop, Tom; Sharp, Stephen J; Pearce, Matthew; Akbaraly, Tasnime; Barbieri, Natalia B; Bes-Rastrollo, Maira; Beulens, Joline W J; Chen, Zhengming; Du, Huaidong; Duncan, Bruce B; Goto, Atsushi; Härkänen, Tommi; Hashemian, Maryam; Kromhout, Daan; Järvinen, Ritva; Kivimaki, Mika; Knekt, Paul; Lin, Xu; Lund, Eiliv; Magliano, Dianna J; Malekzadeh, Reza; Martínez-González, Miguel Ángel; O'Donoghue, Gráinne; O'Gorman, Donal; Poustchi, Hossein; Rylander, Charlotta; Sawada, Norie; Shaw, Jonathan E; Schmidt, Maria; Soedamah-Muthu, Sabita S; Sun, Liang; Wen, Wanqing; Wolk, Alicja; Shu, Xiao-Ou; Zheng, Wei; Wareham, Nicholas J; Forouhi, Nita G</t>
  </si>
  <si>
    <t>https://pubmed.ncbi.nlm.nih.gov/33917229</t>
  </si>
  <si>
    <t>The association between fish consumption and new-onset type 2 diabetes is inconsistent and differs according to geographical location. We examined the association between the total and types of fish consumption and type 2 diabetes using individual participant data from 28 prospective cohort studies from the Americas (6), Europe (15), the Western Pacific (6), and the Eastern Mediterranean (1) comprising 956,122 participants and 48,084 cases of incident type 2 diabetes. Incidence rate ratios (IRRs) for associations of total fish, shellfish, fatty, lean, fried, freshwater, and saltwater fish intake and type 2 diabetes were derived for each study, adjusting for a consistent set of confounders and combined across studies using random-effects meta-analysis. We stratified all analyses by sex due to observed interaction (&lt;i&gt;p&lt;/i&gt; = 0.002) on the association between fish and type 2 diabetes. In women, for each 100 g/week higher intake the IRRs (95% CIs) of type 2 diabetes were 1.02 (1.01-1.03, &lt;i&gt;I&lt;/i&gt;&lt;sup&gt;2&lt;/sup&gt; = 61%) for total fish, 1.04 (1.01-1.07, &lt;i&gt;I&lt;/i&gt;&lt;sup&gt;2&lt;/sup&gt; = 46%) for fatty fish, and 1.02 (1.00-1.04, &lt;i&gt;I&lt;/i&gt;&lt;sup&gt;2&lt;/sup&gt; = 33%) for lean fish. In men, all associations were null. In women, we observed variation by geographical location: IRRs for total fish were 1.03 (1.02-1.04, &lt;i&gt;I&lt;/i&gt;&lt;sup&gt;2&lt;/sup&gt; = 0%) in the Americas and null in other regions. In conclusion, we found evidence of a neutral association between total fish intake and type 2 diabetes in men, but there was a modest positive association among women with heterogeneity across studies, which was partly explained by geographical location and types of fish intake. Future research should investigate the role of cooking methods, accompanying foods and environmental pollutants, but meanwhile, existing dietary regional, national, or international guidelines should continue to guide fish consumption within overall healthy dietary patterns.</t>
  </si>
  <si>
    <t>Longitudinal trajectories of diet quality and subsequent mortality among Chinese adults: results from the China health and nutrition survey 1997-2015.</t>
  </si>
  <si>
    <t>https://pubmed.ncbi.nlm.nih.gov/33827574</t>
  </si>
  <si>
    <t>China has witnessed a significant nutritional transition. However, there is a gap in the literature investigating the association between change of diet and mortality among Chinese. Thus, we aimed to explore the longitudinal trajectories of diet quality over 10 years (from 1997 to 2006) and the subsequent risk of death till 2015 among Chinese adults. Data from the China Health and Nutrition Survey were analyzed in 6398 adults. Dietary intake was assessed using three consecutive 24-h recalls. Diet quality was assessed by the Chinese Healthy Eating Index (CHEI), which includes 17 components and is based on the Dietary Guidelines for Chinese. Latent Class Growth Analysis was conducted to derive trajectories of diet quality over 10 years. Cox proportional hazard regression was used to calculate hazard ratios for total mortality. Four distinct CHEI trajectories were identified: 1) worsening; 2) low-moderate-low; 3) improving; 4) high-moderate-high. Group 3 had the lowest mortality rate (5.6%) in the subsequent 9 years, while the groups with worsening or low diet quality had a higher mortality rate (Group 1: 7.5%; Group 2: 10.8%). In the fully adjusted model, compared to group 2, mortality rates were lower for group 3 (RR = 0.73; 95% CI: 0.55, 0.97) and group 4 (RR = 0.76; 95% CI: 0.59, 0.98). No associations with mortality were found for the group 1, when compared to group 2. Long-term improved diet quality and adherence to the Dietary Guidelines for Chinese may decrease the risk of death in Chinese adults.</t>
  </si>
  <si>
    <t>Mini-gut feelings: perspectives of people with cystic fibrosis on the ethics and governance of organoid biobanking.</t>
  </si>
  <si>
    <t>Lensink, Michael A; Boers, Sarah N; M Gulmans, Vincent A; Jongsma, Karin R; Bredenoord, Annelien L</t>
  </si>
  <si>
    <t>personalized medicine</t>
  </si>
  <si>
    <t>https://pubmed.ncbi.nlm.nih.gov/33825546</t>
  </si>
  <si>
    <t>&lt;b&gt;Aim:&lt;/b&gt; Organoid technology has enormous potential for precision medicine, such as has recently been demonstrated in the field of cystic fibrosis. However, storage and use of organoids has been associated with ethical challenges and there is currently a lack of harmony in regulation and guidelines to govern the rapid emergence of 'organoid medicine'. Developing sound governance demands incorporation of the perspectives of patients as key stakeholders. &lt;b&gt;Materials &amp; methods:&lt;/b&gt; We conducted 17 semi-structured interviews with people with cystic fibrosis to explore their perspectives on the ethics and governance of organoid biobanking. &lt;b&gt;Results:&lt;/b&gt; We identified three themes: prioritization of research and trust, ambivalent views on commercial involvement and transparency and control. &lt;b&gt;Conclusion:&lt;/b&gt; Our study offers important insights for ethically robust governance of 'organoid medicine'.</t>
  </si>
  <si>
    <t>Internal-external cross-validation helped to evaluate the generalizability of prediction models in large clustered datasets.</t>
  </si>
  <si>
    <t>Takada, Toshihiko; Nijman, Steven; Denaxas, Spiros; Snell, Kym I E; Uijl, Alicia; Nguyen, Tri-Long; Asselbergs, Folkert W; Debray, Thomas P A</t>
  </si>
  <si>
    <t>https://pubmed.ncbi.nlm.nih.gov/33836256</t>
  </si>
  <si>
    <t>To illustrate how to evaluate the need of complex strategies for developing generalizable prediction models in large clustered datasets. We developed eight Cox regression models to estimate the risk of heart failure using a large population-level dataset. These models differed in the number of predictors, the functional form of the predictor effects (non-linear effects and interaction) and the estimation method (maximum likelihood and penalization). Internal-external cross-validation was used to evaluate the models' generalizability across the included general practices. Among 871,687 individuals from 225 general practices, 43,987 (5.5%) developed heart failure during a median follow-up time of 5.8 years. For discrimination, the simplest prediction model yielded a good concordance statistic, which was not much improved by adopting complex strategies. Between-practice heterogeneity in discrimination was similar in all models. For calibration, the simplest model performed satisfactorily. Although accounting for non-linear effects and interaction slightly improved the calibration slope, it also led to more heterogeneity in the observed/expected ratio. Similar results were found in a second case study involving patients with stroke. In large clustered datasets, prediction model studies may adopt internal-external cross-validation to evaluate the generalizability of competing models, and to identify promising modelling strategies.</t>
  </si>
  <si>
    <t>The effect of on-shelf sugar labeling on beverage sales in the supermarket: a comparative interrupted time series analysis of a natural experiment.</t>
  </si>
  <si>
    <t>Hoenink, J C; Stuber, J M; Lakerveld, J; Waterlander, W; Beulens, J W J; Mackenbach, J D</t>
  </si>
  <si>
    <t>https://pubmed.ncbi.nlm.nih.gov/33823851</t>
  </si>
  <si>
    <t>Nutrition labels show potential in increasing healthy food and beverage purchases, but their effectiveness seems to depend on the type of label, the targeted food category and the setting, and evidence on their impact in real-world settings is limited. The aim of this study was to evaluate the effectiveness of an industry-designed on-shelf sugar label on the sales of beverages with no, low, medium and high sugar content implemented within a real-world supermarket. In week 17 of 2019, on-shelf sugar labels were implemented by a Dutch supermarket chain. Non-alcoholic beverages were classified using a traffic-light labeling system and included the beverage categories "green" for sugar free (&lt; 1.25 g/250 ml), "blue" for low sugar (1.25-6.24 g/250 ml), "yellow" for medium sugar (6.25-13.5 g/250 ml) and "amber" for high sugar (&gt; 13.5 g/250 ml). Store-level data on beverage sales and revenue from 41 randomly selected supermarkets for 13 weeks pre-implementation and 21 weeks post-implementation were used for analysis. In total, 30 stores implemented the on-shelf sugar labels by week 17, and the 11 stores that had not were used as comparisons. Outcome measures were differences in the number of beverages sold in the four label categories and the total revenue from beverage sales in implementation stores relative to comparison stores. Analyses were conducted using a multiple-group Interrupted Time Series Approach. Results of individual store data were combined using random effect meta-analyses. At the end of the intervention period, the changes in sales of beverages with green (B 3.4, 95%CI -0.3; 7.0), blue (B 0.0, 95%CI -0.6; 0.7), yellow (B 1.3, 95%CI -0.9; 3.5), and amber (B 0.9, 95%CI -5.5; 7.3) labels were not significantly different between intervention and comparison stores. The changes in total revenues for beverages at the end of the intervention period were also not significantly different between intervention and comparison stores. The implementation of an on-shelf sugar labeling system did not significantly decrease unhealthy beverage sales or significantly increase healthier beverage sales. Nutrition labeling initiatives combined with complementary strategies, such as pricing strategies or other healthy food nudging approaches, should be considered to promote healthier beverage purchases.</t>
  </si>
  <si>
    <t>Editor's Choice - Risk of Stroke before Revascularisation in Patients with Symptomatic Carotid Stenosis: A Pooled Analysis of Randomised Controlled Trials.</t>
  </si>
  <si>
    <t>Fisch, Urs; von Felten, Stefanie; Wiencierz, Andrea; Jansen, Olav; Howard, George; Hendrikse, Jeroen; Halliday, Alison; Fraedrich, Gustav; Eckstein, Hans-Henning; Calvet, David; Bulbulia, Richard; Becquemin, Jean-Pierre; Algra, Ale; Rothwell, Peter; Ringleb, Peter; Mas, Jean-Louis; Brown, Martin M; Brott, Thomas G; Bonati, Leo H; ,</t>
  </si>
  <si>
    <t>https://pubmed.ncbi.nlm.nih.gov/33827781</t>
  </si>
  <si>
    <t>Current guidelines recommending rapid revascularisation of symptomatic carotid stenosis are largely based on data from clinical trials performed at a time when best medical therapy was potentially less effective than today. The risk of stroke and its predictors among patients with symptomatic carotid stenosis awaiting revascularisation in recent randomised controlled trials (RCTs) and in medical arms of earlier RCTs was assessed. The pooled data of individual patients with symptomatic carotid stenosis randomised to stenting (CAS) or endarterectomy (CEA) in four recent RCTs, and of patients randomised to medical therapy in three earlier RCTs comparing CEA vs. medical therapy, were compared. The primary outcome event was any stroke occurring between randomisation and treatment by CAS or CEA, or within 120 days after randomisation. A total of 4 754 patients from recent trials and 1 227 from earlier trials were included. In recent trials, patients were randomised a median of 18 (IQR 7, 50) days after the qualifying event (QE). Twenty-three suffered a stroke while waiting for revascularisation (cumulative 120 day risk 1.97%, 95% confidence interval [CI] 0.75 - 3.17). Shorter time from QE until randomisation increased stroke risk after randomisation (χ&lt;sup&gt;2&lt;/sup&gt; = 6.58, p = .011). Sixty-one patients had a stroke within 120 days of randomisation in the medical arms of earlier trials (cumulative risk 5%, 95% CI 3.8 - 6.2). Stroke risk was lower in recent than earlier trials when adjusted for time between QE and randomisation, age, severity of QE, and degree of carotid stenosis (HR 0.47, 95% CI 0.25 - 0.88, p = .019). Patients with symptomatic carotid stenosis enrolled in recent large RCTs had a lower risk of stroke after randomisation than historical controls. The added benefit of carotid revascularisation to modern medical care needs to be revisited in future studies. Until then, adhering to current recommendations for early revascularisation of patients with symptomatic carotid stenosis considered to require invasive treatment is advisable.</t>
  </si>
  <si>
    <t>Combined assessment of early and late-phase outcomes in orphan drug development.</t>
  </si>
  <si>
    <t>Pateras, Konstantinos; Nikolakopoulos, Stavros; Roes, Kit C B</t>
  </si>
  <si>
    <t>https://pubmed.ncbi.nlm.nih.gov/33813759</t>
  </si>
  <si>
    <t>In drug development programs, proof-of-concept Phase II clinical trials typically have a biomarker as a primary outcome, or an outcome that can be observed with relatively short follow-up. Subsequently, the Phase III clinical trials aim to demonstrate the treatment effect based on a clinical outcome that often needs a longer follow-up to be assessed. Early-phase outcomes or biomarkers are typically associated with late-phase outcomes and they are often included in Phase III trials. The decision to proceed to Phase III development is based on analysis of the early-Phase II outcome data. In rare diseases, it is likely that only one Phase II trial and one Phase III trial are available. In such cases and before drug marketing authorization requests, positive results of the early-phase outcome of Phase II trials are then likely seen as supporting (or even replicating) positive Phase III results on the late-phase outcome, without a formal retrospective combined assessment and without accounting for between-study differences. We used double-regression modeling applied to the Phase II and Phase III results to numerically mimic this informal retrospective assessment. We provide an analytical solution for the bias and mean square error of the overall effect that leads to a corrected double-regression. We further propose a flexible Bayesian double-regression approach that minimizes the bias by accounting for between-study differences via discounting the Phase II early-phase outcome when they are not in line with the Phase III biomarker outcome results. We illustrate all methods with an orphan drug example for Fabry disease.</t>
  </si>
  <si>
    <t>Conversion of a colorectal cancer guideline into clinical decision trees with assessment of validity.</t>
  </si>
  <si>
    <t>Keikes, Lotte; Kos, Milan; Verbeek, Xander A A M; Van Vegchel, Thijs; Nagtegaal, Iris D; Lahaye, Max J; Méndez Romero, Alejandra; De Bruijn, Sandra; Verheul, Henk M W; Rütten, Heidi; Punt, Cornelis J A; Tanis, Pieter J; Van Oijen, Martijn G H</t>
  </si>
  <si>
    <t>https://pubmed.ncbi.nlm.nih.gov/33760073</t>
  </si>
  <si>
    <t>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</si>
  <si>
    <t>COVID-19 and the Emerging Regulatory Guidance for Ongoing Clinical Trials in the European Union.</t>
  </si>
  <si>
    <t>de Jong, Amos Jochanan; Santa-Ana-Tellez, Yared; van Thiel, Ghislaine José Madeleine Wilhelmien; Zuidgeest, Mira Gerta Petra; Siiskonen, Satu Johanna; Mistry, Dinesh; de Boer, Anthonius; Gardarsdottir, Helga; ,</t>
  </si>
  <si>
    <t>https://pubmed.ncbi.nlm.nih.gov/33666223</t>
  </si>
  <si>
    <t>The coronavirus disease 2019 (COVID-19) pandemic and the accompanying control measures have significantly affected clinical trial (CT) conduct, and sponsors have needed to make rapid changes to their CT operations. As a result, regulatory guidance was pivotal during the initial phases of the pandemic. This study aimed to evaluate the regulatory readiness and guidance related to COVID-19 in the European Union (EU). The European Medicines Agency (EMA) and national competent authorities' (NCAs') websites were searched in September and October 2020 for guidances on the management of CTs during the pandemic published from January 2020 onward. "Regulatory readiness" was defined as the number of days from the first European COVID-19 case (January 24, 2020) to the first published guidance by the respective NCA. "Regulatory guidance" was evaluated by coding the guidances for the following predefined operational trial activities important for ongoing CTs: obtaining informed consent, participant information, clinic visits, home health visits, telemedicine visits, self-monitoring, investigational medicinal product (IMP) supply, IMP adherence monitoring, CT monitoring, documentation management, regulatory management, and safety management. Twenty-four of the 27 EU NCAs published country-specific guidance. The time from the first European COVID-19 case to the first published EMA guidance was 56 days and ranged from 47 to 66 days for the first national guidances. Guidance was provided most frequently for regulatory management (24/24), safety management (23/24), documentation management (22/24), and CT monitoring (22/24). The regulatory guidance provided during the pandemic, ensuring participant safety and data integrity, may now be the starting point to innovate future CT conduct.</t>
  </si>
  <si>
    <t>Acute Gastroenteritis Disease Burden in Infants With Medical Risk Conditions in the Netherlands.</t>
  </si>
  <si>
    <t>van Dongen, Josephine A P; Rouers, Elsbeth D M; Schuurman, Rob; Bonten, Marc J M; Bruijning-Verhagen, Patricia; ,</t>
  </si>
  <si>
    <t>https://pubmed.ncbi.nlm.nih.gov/33230056</t>
  </si>
  <si>
    <t>Infants with medical risk conditions are vulnerable to childhood infections including acute gastroenteritis (AGE). To guide prevention programs, we quantified AGE incidence, severity and virus prevalence among medical risk infants in the Netherlands. This prospective cohort-study was part of the RIVAR-project recruiting infants with prematurity, low birth weight or severe congenital conditions in 13 hospitals. Follow-up included 18 monthly health questionnaires detailing AGE symptoms and healthcare usage. Parents were also instructed to notify when an infant developed AGE, to collect a stool sample and complete a daily severity score (Modified Vesikari Severity). Stool samples were analyzed by real-time polymerase chain reaction for rotavirus, norovirus, adenovirus and astrovirus. Between November 2014 and October 2017, 631 infants participated during 9125 person-months of observation. In total, 559 episodes were identified. The mean AGE incidence rate was 73.5 per 100 person-years (PY) (95% confidence interval: 67.6-79.9) and increased with age [incidence rate: 48.3 (39.8-58.3) vs. 80.2 (73.0-88.1)/100 PY for ages 1-5 vs. 6-18 months, respectively]. Healthcare was attended for 38.1% (213/559) and 26.8% (68/254) were classified as severe based on the Modified Vesikari Severity. Stool samples were obtained from 254 AGE episodes. Norovirus was identified in 65 (25.6%) and rotavirus in 44 (17.7%). Adenovirus and astrovirus together accounted for 8.3% (N = 21). Severe AGE occurred most frequently in rotavirus positive episodes. The observed AGE incidence, severity and healthcare usage among medical risk infants confirms substantial disease burden. Norovirus and rotavirus are the dominant pathogens and severe episodes occurred most frequently in children with rotavirus infection. AGE prevention in medical risk infants should be prioritized.</t>
  </si>
  <si>
    <t>Clinical prediction models: diagnosis versus prognosis.</t>
  </si>
  <si>
    <t>van Smeden, Maarten; Reitsma, Johannes B; Riley, Richard D; Collins, Gary S; Moons, Karel Gm</t>
  </si>
  <si>
    <t>https://pubmed.ncbi.nlm.nih.gov/33775387</t>
  </si>
  <si>
    <t>Clinical prediction models play an increasingly important role in contemporary clinical care, by informing healthcare professionals, patients and their relatives about outcome risks, with the aim to facilitate (shared) medical decision making and improve health outcomes. Diagnostic prediction models aim to calculate an individual's risk that a disease is already present, whilst prognostic prediction models aim to calculate the risk of particular heath states occurring in the future. This article serves as a primer for diagnostic and prognostic clinical prediction models, by discussing the basic terminology, some of the inherent challenges, and the need for validation of predictive performance and the evaluation of impact of these models in clinical care.</t>
  </si>
  <si>
    <t>Health-related quality of life in patients with microsatellite instability-high or mismatch repair deficient metastatic colorectal cancer treated with first-line pembrolizumab versus chemotherapy (KEYNOTE-177): an open-label, randomised, phase 3 trial.</t>
  </si>
  <si>
    <t>Andre, Thierry; Amonkar, Mayur; Norquist, Josephine M; Shiu, Kai-Keen; Kim, Tae Won; Jensen, Benny Vittrup; Jensen, Lars Henrik; Punt, Cornelis J A; Smith, Denis; Garcia-Carbonero, Rocio; Sevilla, Isabel; De La Fouchardiere, Christelle; Rivera, Fernando; Elez, Elena; Diaz, Luis A; Yoshino, Takayuki; Van Cutsem, Eric; Yang, Ping; Farooqui, Mohammed; Le, Dung T</t>
  </si>
  <si>
    <t>https://pubmed.ncbi.nlm.nih.gov/33812497</t>
  </si>
  <si>
    <t>In the KEYNOTE-177 study, pembrolizumab monotherapy provided statistically significant and clinically meaningful improvements in progression-free survival versus chemotherapy as first-line treatment in patients with microsatellite instability-high or mismatch repair-deficient metastatic colorectal cancer. To further support the efficacy and safety findings of the KEYNOTE-177 study, results of the health-related quality of life (HRQOL) analyses are reported here. KEYNOTE-177 is an open-label, randomised, phase 3 trial being done at 192 cancer centres in 23 countries, in patients aged 18 years and older with microsatellite instability-high or mismatch repair-deficient metastatic colorectal cancer, with an Eastern Cooperative Oncology Group performance status of 0 or 1, and who had not received previous systemic therapy for metastatic disease. Eligible patients were randomly assigned (1:1) centrally by use of interactive voice response or integrated web response technology to receive pembrolizumab 200 mg intravenously every 3 weeks or investigator's choice chemotherapy (mFOLFOX6 [leucovorin, fluorouracil, and oxaliplatin] or FOLFIRI [leucovorin, fluorouracil, and irinotecan] intravenously every 2 weeks with or without intravenous bevacizumab or cetuximab). Patients and investigators were not masked to treatment assignment. The primary endpoints were progression-free survival (previously reported) and overall survival (data to be reported at the time of the final analysis). HRQOL outcomes were evaluated as prespecified exploratory endpoints. The analysis population comprised all randomly assigned patients who received at least one dose of study treatment and completed at least one HRQOL assessment. HRQOL outcomes were mean change from baseline to prespecified week 18 in European Organisation for Research and Treatment of Cancer Quality of Life Questionnaire Core 30 (EORTC QLQ-C30) and EORTC Quality of Life Questionnaire-Colorectal 29 (EORTC QLQ-CR29) scale and item scores, and in the EuroQoL 5 Dimensions 3 Levels (EQ-5D-3L) visual analogue scale and health utility scores; the proportion of patients with improved, stable, or deteriorated scores from baseline to prespecified week 18 in EORTC QLQ-C30 scales and items; and time to deterioration in EORTC QLQ-C30 global health status/quality of life (GHS/QOL), physical functioning, social functioning, and fatigue scores and EORTC QLQ-CR29 urinary incontinence scores. The threshold for a small and clinically meaningful mean difference in EORTC QLQ-C30 score was 5-8 points. This study is registered with ClinicalTrials.gov, NCT02563002 and is ongoing; recruitment is closed. Between Feb 11, 2016, and Feb 19, 2018, 307 patients were enrolled and randomly assigned to receive pembrolizumab (n=153) or chemotherapy (n=154). The HRQOL analysis population comprised 294 patients (152 receiving pembrolizumab and 142 receiving chemotherapy). As of Feb 19, 2020, median time from randomisation to data cutoff was 32·4 months (IQR 27·7-37·8). Least squares mean (LSM) change from baseline to prespecified week 18 showed a clinically meaningful improvement in EORTC QLQ-C30 GHS/QOL scores with pembrolizumab versus chemotherapy (between-group LSM difference 8·96 [95% CI 4·24-13·69]; two-sided nominal p=0·0002). Median time to deterioration was longer with pembrolizumab versus chemotherapy for GHS/QOL (hazard ratio 0·61 [95% CI 0·38-0·98]; one-sided nominal p=0·019), physical functioning (0·50 [95% CI 0·32-0·81]; one-sided nominal p=0·0016), social functioning (0·53 [95% CI 0·32-0·87]; one-sided nominal p=0·0050), and fatigue scores (0·48 [95% CI 0·33-0·69]; one-sided nominal p&lt;0·0001). Pembrolizumab monotherapy led to clinically meaningful improvements in HRQOL compared with chemotherapy in patients with previously untreated microsatellite instability-high or mismatch repair-deficient metastatic colorectal cancer. These data, along with the previously reported clinical benefits, support pembrolizumab as a first-line treatment option for this population. Merck Sharp &amp; Dohme, a subsidiary of Merck &amp; Co, Kenilworth, NJ, USA.</t>
  </si>
  <si>
    <t>What influences the outcome of active disinvestment processes in healthcare? A qualitative interview study on five recent cases of active disinvestment.</t>
  </si>
  <si>
    <t>Rotteveel, Adriënne H; Lambooij, Mattijs S; van de Rijt, Joline J A; van Exel, Job; Moons, Karel G M; de Wit, G Ardine</t>
  </si>
  <si>
    <t>https://pubmed.ncbi.nlm.nih.gov/33794869</t>
  </si>
  <si>
    <t>Recent attempts of active disinvestment (i.e. withdrawal of reimbursement by means of a policy decision) of reimbursed healthcare interventions in the Netherlands have differed in their outcome: some attempts were successful, with interventions actually being disinvested. Other attempts were terminated at some point, implying unsuccessful disinvestment. This study aimed to obtain insight into recent active disinvestment processes, and to explore what aspects affect their outcome. Semi-structured interviews were conducted from January to December 2018 with stakeholders (e.g. patients, policymakers, physicians) who were involved in the policy process of five cases for which the full or partial withdrawal of reimbursement was considered in the Netherlands between 2007 and 2017: benzodiazepines, medication for Fabry disease, quit smoking programme, psychoanalytic therapy and maternity care assistance. These cases covered both interventions that were eventually disinvested and interventions for which reimbursement was maintained after consideration. Interviews were transcribed verbatim, double coded and analyzed using thematic analysis. The 37 interviews showed that support for disinvestment from stakeholders, especially from healthcare providers and policymakers, strongly affected the outcome of the disinvestment process. Furthermore, the institutional role of stakeholders as legitimized by the Dutch health insurance system, their financial interests in maintaining or discontinuing reimbursement, and the possibility to relieve the consequences of disinvestment for current patients affected the outcome of the disinvestment process as well. A poor organization of patient groups may make it difficult for patients to exert pressure, which may contribute to successful disinvestment. No evidence was found of a consistent role of the formal Dutch package criteria (i.e. effectiveness, cost-effectiveness, necessity and feasibility) in active disinvestment processes. Contextual factors as well as the possibility to relieve the consequences of disinvestment for current patients are important determinants of the outcome of active disinvestment processes. These results provide insight into active disinvestment processes and their determinants, and provide guidance to policymakers for a potentially more successful approach for future active disinvestment processes.</t>
  </si>
  <si>
    <t>The prognostic value of serological titres for clinical outcomes during treatment and follow-up of patients with chronic Q fever.</t>
  </si>
  <si>
    <t>Buijs, Sheila B; van Roeden, Sonja E; van Werkhoven, Cornelis H; Hoepelman, Andy I M; Wever, Peter C; Bleeker-Rovers, Chantal P; Oosterheert, Jan Jelrik</t>
  </si>
  <si>
    <t>https://pubmed.ncbi.nlm.nih.gov/33813120</t>
  </si>
  <si>
    <t>We assessed the prognostic value of phase I IgG titres during treatment and follow-up of chronic Q fever. We performed a retrospective cohort study to analyse the course of phase I IgG titres in chronic Q fever. We used a multivariable time-varying Cox regression to assess our primary (first disease-related event) and secondary (therapy failure) outcomes. In a second analysis, we evaluated serological characteristics after 1 year of therapy (fourfold decrease in phase I IgG titre, absence of phase II IgM and reaching phase I IgG titre of ≤1:1024) with multivariable Cox regression. In total, 337 patients that were treated for proven (n = 284, 84.3%) or probable (n = 53, 15.7%) chronic Q fever were included. Complications occurred in 190 (56.4%), disease-related mortality in 71 (21.1%) and therapy failure in 142 (42.1%) patients. The course of phase I IgG titres was not associated with first disease-related event (HR 1.00, 95% CI 0.86-1.15) or therapy failure (HR 1.02, 95% CI 0.91-1.15). Similar results were found for the serological characteristics for the primary (HR 0.97, 95% CI 0.62-1.51; HR 1.12, 95% CI 0.66-1.90; HR 0.99, 95% CI 0.57-1.69, respectively) and secondary outcomes (HR 0.86, 95% CI 0.57-1.29; HR 1.37, 95% CI 0.86-2.18; HR 0.80, 95% CI 0.48-1.34, respectively). Coxiella burnetii serology does not reliably predict disease-related events or therapy failure during treatment and follow-up of chronic Q fever. Alternative markers for disease management are needed, but, for now, management should be based on clinical factors, PCR results, and imaging results.</t>
  </si>
  <si>
    <t>Publisher Correction: LifeTime and improving European healthcare through cell-based interceptive medicine.</t>
  </si>
  <si>
    <t>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t>
  </si>
  <si>
    <t>https://pubmed.ncbi.nlm.nih.gov/33731935</t>
  </si>
  <si>
    <t>Responsible Research with Human Tissues: The Need for Reciprocity Toward Both Collectives and Individuals.</t>
  </si>
  <si>
    <t>Lensink, Michael A; Jongsma, Karin R; Boers, Sarah N; van Delden, Johannes J M; Bredenoord, Annelien L</t>
  </si>
  <si>
    <t>the american journal of bioethics ajob</t>
  </si>
  <si>
    <t>https://pubmed.ncbi.nlm.nih.gov/33825632</t>
  </si>
  <si>
    <t>Experiences and needs of persons living with a household member infected with SARS-CoV-2: A mixed method study.</t>
  </si>
  <si>
    <t>Verberk, Janneke D M; Anthierens, Sibyl A; Tonkin-Crine, Sarah; Goossens, Herman; Kinsman, John; de Hoog, Marieke L A; Bielicki, Julia A; Bruijning-Verhagen, Patricia C J L; Gobat, Nina H</t>
  </si>
  <si>
    <t>https://pubmed.ncbi.nlm.nih.gov/33788890</t>
  </si>
  <si>
    <t>Households are important sites for transmission of SARS-CoV-2 and preventive measures are recommended. This study aimed to 1) investigate the impact of living with a person infected with SARS-CoV-2; 2) understand how household members implemented infection control recommendations in their home; and 3) identify the information and support needs of household members. For this observational mixed-methods study, households with a person with confirmed SARS-CoV-2 infection were recruited via drive-through testing sites of Municipal Health Services, healthcare worker screening or hospital emergency visits in the University Medical Centre Utrecht, the Netherlands and via primary care physicians, hospital emergency visits or preoperative screening in the University Hospital of Antwerp, Belgium. We recorded household characteristics, including characteristics of all household members, together with their views on prevention measures. In a subset of households one adult household member was asked to participate in an interview investigating their views on preventive measures. Survey data were analysed using descriptive statistics and interview data by rapid framework analysis. A triangulation protocol was used to integrate findings. Thirty-four households (120 household members) were included in the quantitative survey. Twenty-two households were invited to be interviewed, of which 18 completed an interview (response 81.8%). Survey data showed that almost all households implemented some preventive measures, the use of face masks being least frequently reported. Measures taken depended on what was physically possible, the perceived severity of illness of the index patient and to what extent household members were willing to limit social interaction. Respondents did not believe in the effectiveness of wearing face masks within the house, and from the interviews this was explained by media coverage of face masks, impracticality and the stigma associated with wearing masks. Interviewees reported that quarantine had a high emotional burden and wished to have more information about the exact duration of quarantine, their own COVID-19 status, symptoms and when to seek medical help. People were willing to implement prevention measures, however actual adherence depended on perceived severity of illness and the perceived risk of becoming infected. Homes are social environments and recommendations for infection prevention should account for this context. Incorporating our findings into policy making could provide households with more relevant and actionable advice.</t>
  </si>
  <si>
    <t>Sex Disparities in Cardiovascular Risk Factor Assessment and Screening for Diabetes-Related Complications in Individuals With Diabetes: A Systematic Review.</t>
  </si>
  <si>
    <t>de Jong, Marit; Peters, Sanne A E; de Ritter, Rianneke; van der Kallen, Carla J H; Sep, Simone J S; Woodward, Mark; Stehouwer, Coen D A; Bots, Michiel L; Vos, Rimke C</t>
  </si>
  <si>
    <t>https://pubmed.ncbi.nlm.nih.gov/33859615</t>
  </si>
  <si>
    <t>Insight in sex disparities in the detection of cardiovascular risk factors and diabetes-related complications may improve diabetes care. The aim of this systematic review is to study whether sex disparities exist in the assessment of cardiovascular risk factors and screening for diabetes-related complications. PubMed was systematically searched up to April 2020, followed by manual reference screening and citations checks (snowballing) using Google Scholar. Observational studies were included if they reported on the assessment of cardiovascular risk factors (HbA1c, lipids, blood pressure, smoking status, or BMI) and/or screening for nephropathy, retinopathy, or performance of feet examinations, in men and women with diabetes separately. Studies adjusting their analyses for at least age, or when age was considered as a covariable but left out from the final analyses for various reasons (i.e. backward selection), were included for qualitative analyses. No meta-analyses were planned because substantial heterogeneity between studies was expected. A modified Newcastle-Ottawa Quality Assessment Scale for cohort studies was used to assess risk of bias. Overall, 81 studies were included. The majority of the included studies were from Europe or North America (84%).The number of individuals per study ranged from 200 to 3,135,019 and data were extracted from various data sources in a variety of settings. Screening rates varied considerably across studies. For example, screening rates for retinopathy ranged from 13% to 90%, with half the studies reporting screening rates less than 50%. Mixed findings were found regarding the presence, magnitude, and direction of sex disparities with regard to the assessment of cardiovascular risk factors and screening for diabetes-related complications, with some evidence suggesting that women, compared with men, may be more likely to receive retinopathy screening and less likely to receive foot exams. Overall, no consistent pattern favoring men or women was found with regard to the assessment of cardiovascular risk factors and screening for diabetes-related complications, and screening rates can be improved for both sexes.</t>
  </si>
  <si>
    <t>Checkpoint inhibition: protecting against or predisposing for second primary tumors?</t>
  </si>
  <si>
    <t>Suijkerbuijk, K P M; May, A M; van Eijs, M J M</t>
  </si>
  <si>
    <t>https://pubmed.ncbi.nlm.nih.gov/33794292</t>
  </si>
  <si>
    <t>Guidance for the design and reporting of studies evaluating the clinical performance of tests for present or past SARS-CoV-2 infection.</t>
  </si>
  <si>
    <t>Doust, Jenny A; Bell, Katy J L; Leeflang, Mariska M G; Dinnes, Jacqueline; Lord, Sally J; Mallett, Sue; van de Wijgert, Janneke H H M; Sandberg, Sverre; Adeli, Khosrow; Deeks, Jonathan J; Bossuyt, Patrick M; Horvath, Andrea R</t>
  </si>
  <si>
    <t>https://pubmed.ncbi.nlm.nih.gov/33782084</t>
  </si>
  <si>
    <t>Mainstreaming informed consent for genomic sequencing: A call for action.</t>
  </si>
  <si>
    <t>Bunnik, Eline M; Dondorp, Wybo J; Bredenoord, Annelien L; de Wert, Guido; Cornel, Martina C</t>
  </si>
  <si>
    <t>https://pubmed.ncbi.nlm.nih.gov/33784533</t>
  </si>
  <si>
    <t>The wider availability of genomic sequencing, notably gene panels, in cancer care allows for personalised medicine or the tailoring of clinical management to the genetic characteristics of tumours. While the primary aim of mainstream genomic sequencing of cancer patients is therapy-focussed, genomic testing may yield three types of results beyond the answer to the clinical question: suspected germline mutations, variants of uncertain significance (VUS), and unsolicited findings pertaining to other conditions. Ideally, patients should be prepared beforehand for the clinical and psychosocial consequences of such findings, for themselves and for their family members, and be given the opportunity to autonomously decide whether or not to receive such unsolicited genomic information. When genomic tests are mainstreamed into cancer care, so should accompanying informed consent practices. This paper outlines what mainstream oncologists may learn from the ethical tradition of informed consent for genomic sequencing, as developed within clinical genetics. It argues that mainstream informed consent practices should focus on preparing patients for three types of unsolicited outcomes, briefly and effectively. Also, it argues that when the chance of unsolicited findings is very low, opt-out options need not be actively offered. The use of a layered approach - integrated in information systems - should render informed consent feasible for non-geneticist clinicians in mainstream settings. (Inter) national guidelines for mainstreaming informed consent for genomic sequencing must be developed.</t>
  </si>
  <si>
    <t>Individual participant data meta-analysis for external validation, recalibration, and updating of a flexible parametric prognostic model.</t>
  </si>
  <si>
    <t>Ensor, Joie; Snell, Kym I E; Debray, Thomas P A; Lambert, Paul C; Look, Maxime P; Mamas, Mamas A; Moons, Karel G M; Riley, Richard D</t>
  </si>
  <si>
    <t>https://pubmed.ncbi.nlm.nih.gov/33768582</t>
  </si>
  <si>
    <t>Individual participant data (IPD) from multiple sources allows external validation of a prognostic model across multiple populations. Often this reveals poor calibration, potentially causing poor predictive performance in some populations. However, rather than discarding the model outright, it may be possible to modify the model to improve performance using recalibration techniques. We use IPD meta-analysis to identify the simplest method to achieve good model performance. We examine four options for recalibrating an existing time-to-event model across multiple populations: (i) shifting the baseline hazard by a constant, (ii) re-estimating the shape of the baseline hazard, (iii) adjusting the prognostic index as a whole, and (iv) adjusting individual predictor effects. For each strategy, IPD meta-analysis examines (heterogeneity in) model performance across populations. Additionally, the probability of achieving good performance in a new population can be calculated allowing ranking of recalibration methods. In an applied example, IPD meta-analysis reveals that the existing model had poor calibration in some populations, and large heterogeneity across populations. However, re-estimation of the intercept substantially improved the expected calibration in new populations, and reduced between-population heterogeneity. Comparing recalibration strategies showed that re-estimating both the magnitude and shape of the baseline hazard gave the highest predicted probability of good performance in a new population. In conclusion, IPD meta-analysis allows a prognostic model to be externally validated in multiple settings, and enables recalibration strategies to be compared and ranked to decide on the least aggressive recalibration strategy to achieve acceptable external model performance without discarding existing model information.</t>
  </si>
  <si>
    <t>Search for Dark Matter Produced in Association with a Dark Higgs Boson Decaying into W^{±}W^{∓} or ZZ in Fully Hadronic Final States from sqrt[s]=13  TeV pp Collisions Recorded with the ATLAS Detector.</t>
  </si>
  <si>
    <t>Aad, G; Abbott, B; Abbott, D C; Abed Abud, A; Abeling, K; Abhayasinghe, D K; Abidi, S H; AbouZeid, O S; Abraham, N L; Abramowicz, H; Abreu, H; Abulaiti, Y; Acharya, B S; Achkar, B; Adam, L; Adam Bourdarios, C; Adamczyk, L; Adamek, L; Adelman, J;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Anastopoulos, C; An</t>
  </si>
  <si>
    <t>https://pubmed.ncbi.nlm.nih.gov/33834820</t>
  </si>
  <si>
    <t>Several extensions of the Standard Model predict the production of dark matter particles at the LHC. An uncharted signature of dark matter particles produced in association with VV=W^{±}W^{∓} or ZZ pairs from a decay of a dark Higgs boson s is searched for using 139  fb^{-1} of pp collisions recorded by the ATLAS detector at a center-of-mass energy of 13 TeV. The s→V(qq[over ¯])V(qq[over ¯]) decays are reconstructed with a novel technique aimed at resolving the dense topology from boosted VV pairs using jets in the calorimeter and tracking information. Dark Higgs scenarios with m_{s}&gt;160  GeV are excluded.</t>
  </si>
  <si>
    <t>Longitudinal Flow Decorrelations in Xe+Xe Collisions at sqrt[s_{NN}]=5.44  TeV with the ATLAS Detector.</t>
  </si>
  <si>
    <t>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Alexopoulos, T; Alfonsi, A; Alfonsi, F; Alhroob, M; Ali, B; Aliev, M; Alimonti, G; Allaire, C; Allbrooke, B M M; Allen, B W; Allport, P P; Aloisio, A; Alonso, F; Alpigiani, C; Alshehri, A A; Alunno Camelia, E; Alvarez Estevez, M; Alviggi, M G; Amaral Coutinho, Y; Ambler, A; Ambroz, L; Amelung, C; Amidei, D; Amor Dos Santos, S P; Amoroso, S; Amrouche, C S; An, F; Anastop</t>
  </si>
  <si>
    <t>https://pubmed.ncbi.nlm.nih.gov/33834811</t>
  </si>
  <si>
    <t>The first measurement of longitudinal decorrelations of harmonic flow amplitudes v_{n} for n=2-4 in Xe+Xe collisions at sqrt[s_{NN}]=5.44  TeV is obtained using 3  μb^{-1} of data with the ATLAS detector at the LHC. The decorrelation signal for v_{3} and v_{4} is found to be nearly independent of collision centrality and transverse momentum (p_{T}) requirements on final-state particles, but for v_{2} a strong centrality and p_{T} dependence is seen. When compared with the results from Pb+Pb collisions at sqrt[s_{NN}]=5.02  TeV, the longitudinal decorrelation signal in midcentral Xe+Xe collisions is found to be larger for v_{2}, but smaller for v_{3}. Current hydrodynamic models reproduce the ratios of the v_{n} measured in Xe+Xe collisions to those in Pb+Pb collisions but fail to describe the magnitudes and trends of the ratios of longitudinal flow decorrelations between Xe+Xe and Pb+Pb. The results on the system-size dependence provide new insights and an important lever arm to separate effects of the longitudinal structure of the initial state from other early and late time effects in heavy-ion collisions.</t>
  </si>
  <si>
    <t>Early childhood infections and body mass index in adolescence.</t>
  </si>
  <si>
    <t>Prins-van Ginkel, Annemarijn C; Wijga, Alet H; Bruijning-Verhagen, Patricia C J; Brunekreef, Bert; Gehring, Ulrike; van der Hoek, Wim; Koppelman, Gerard H; van Rossem, Lenie; van der Sande, Marianne A B; Smit, Henriëtte A</t>
  </si>
  <si>
    <t>https://pubmed.ncbi.nlm.nih.gov/33772146</t>
  </si>
  <si>
    <t>The incidence of childhood overweight and obesity is rising. It is hypothesized that infections in early childhood are associated with being overweight. This study investigated the association between the number of symptomatic infections or antibiotic prescriptions in the first 3 years of life and body mass index (BMI) in adolescence. The current study is part of the Prevention and Incidence of Asthma and Mite Allergy population-based birth cohort study. Weight and height were measured by trained research staff at ages 12 and 16 years. The 3015 active participants at age 18 years were asked for informed consent for general practitioner (GP) data collection and 1519 gave written informed consent. Studied exposures include (1) GP-diagnosed infections, (2) antibiotic prescriptions, and (3) parent-reported infections in the first 3 years of life. Generalized estimating equation analysis was used to determine the association between each of these exposures and BMI z-score. Exposure data and BMI measurement in adolescence were available for 622 participants. The frequencies of GP-diagnosed infections and antibiotic prescriptions were not associated with BMI z-score in adolescence with estimates being 0.14 (95% CI -0.09-0.37) and 0.10 (95% CI -0.14-0.34) for the highest exposure categories, respectively. Having ≥6 parent-reported infections up to age 3 years was associated with a 0.23 (95% CI 0.01-0.44) higher BMI z-score compared to &lt;2 parent-reported infections. For all infectious disease measures an increase in BMI z-score for the highest childhood exposure to infectious disease was observed, although only statistically significant for parent-reported infections. These results do not show an evident link with infection severity, but suggest a possible cumulative effect of repeated symptomatic infections on overweight development.</t>
  </si>
  <si>
    <t>Specialized 16SrX phytoplasmas induce diverse morphological and physiological changes in their respective fruit crops.</t>
  </si>
  <si>
    <t>Gallinger, Jannicke; Zikeli, Kerstin; Zimmermann, Matthias R; Görg, Louisa M; Mithöfer, Axel; Reichelt, Michael; Seemüller, Erich; Gross, Jürgen; Furch, Alexandra C U</t>
  </si>
  <si>
    <t>plos pathogens</t>
  </si>
  <si>
    <t>https://pubmed.ncbi.nlm.nih.gov/33765095</t>
  </si>
  <si>
    <t>The host-pathogen combinations-Malus domestica (apple)/`Candidatus Phytoplasma mali´, Prunus persica (peach)/`Ca. P. prunorum´ and Pyrus communis (pear)/`Ca. P. pyri´ show different courses of diseases although the phytoplasma strains belong to the same 16SrX group. While infected apple trees can survive for decades, peach and pear trees die within weeks to few years. To this date, neither morphological nor physiological differences caused by phytoplasmas have been studied in these host plants. In this study, phytoplasma-induced morphological changes of the vascular system as well as physiological changes of the phloem sap and leaf phytohormones were analysed and compared with non-infected plants. Unlike peach and pear, infected apple trees showed substantial reductions in leaf and vascular area, affecting phloem mass flow. In contrast, in infected pear mass flow and physicochemical characteristics of phloem sap increased. Additionally, an increased callose deposition was detected in pear and peach leaves but not in apple trees in response to phytoplasma infection. The phytohormone levels in pear were not affected by an infection, while in apple and peach trees concentrations of defence- and stress-related phytohormones were increased. Compared with peach and pear trees, data from apple suggest that the long-lasting morphological adaptations in the vascular system, which likely cause reduced sap flow, triggers the ability of apple trees to survive phytoplasma infection. Some phytohormone-mediated defences might support the tolerance.</t>
  </si>
  <si>
    <t>Rapid, point-of-care antigen and molecular-based tests for diagnosis of SARS-CoV-2 infection.</t>
  </si>
  <si>
    <t>Dinnes, Jacqueline; Deeks, Jonathan J; Berhane, Sarah; Taylor, Melissa; Adriano, Ada; Davenport, Clare; Dittrich, Sabine; Emperador, Devy; Takwoingi, Yemisi; Cunningham, Jane; Beese, Sophie; Domen, Julie; Dretzke, Janine; Ferrante di Ruffano, Lavinia; Harris, Isobel M; Price, Malcolm J; Taylor-Phillips, Sian; Hooft, Lotty; Leeflang, Mariska Mg; McInnes, Matthew Df; Spijker, René; Van den Bruel, Ann; ,</t>
  </si>
  <si>
    <t>https://pubmed.ncbi.nlm.nih.gov/33760236</t>
  </si>
  <si>
    <t>Accurate rapid diagnostic tests for SARS-CoV-2 infection could contribute to clinical and public health strategies to manage the COVID-19 pandemic. Point-of-care antigen and molecular tests to detect current infection could increase access to testing and early confirmation of cases, and expediate clinical and public health management decisions that may reduce transmission. To assess the diagnostic accuracy of point-of-care antigen and molecular-based tests for diagnosis of SARS-CoV-2 infection. We consider accuracy separately in symptomatic and asymptomatic population groups. Electronic searches of the Cochrane COVID-19 Study Register and the COVID-19 Living Evidence Database from the University of Bern (which includes daily updates from PubMed and Embase and preprints from medRxiv and bioRxiv) were undertaken on 30 Sept 2020. We checked repositories of COVID-19 publications and included independent evaluations from national reference laboratories, the Foundation for Innovative New Diagnostics and the Diagnostics Global Health website to 16 Nov 2020. We did not apply language restrictions. We included studies of people with either suspected SARS-CoV-2 infection, known SARS-CoV-2 infection or known absence of infection, or those who were being screened for infection. We included test accuracy studies of any design that evaluated commercially produced, rapid antigen or molecular tests suitable for a point-of-care setting (minimal equipment, sample preparation, and biosafety requirements, with results within two hours of sample collection). We included all reference standards that define the presence or absence of SARS-CoV-2 (including reverse transcription polymerase chain reaction (RT-PCR) tests and established diagnostic criteria). Studies were screened independently in duplicate with disagreements resolved by discussion with a third author. Study characteristics were extracted by one author and checked by a second; extraction of study results and assessments of risk of bias and applicability (made using the QUADAS-2 tool) were undertaken independently in duplicate. We present sensitivity and specificity with 95% confidence intervals (CIs) for each test and pooled data using the bivariate model separately for antigen and molecular-based tests. We tabulated results by test manufacturer and compliance with manufacturer instructions for use and according to symptom status. Seventy-eight study cohorts were included (described in 64 study reports, including 20 pre-prints), reporting results for 24,087 samples (7,415 with confirmed SARS-CoV-2). Studies were mainly from Europe (n = 39) or North America (n = 20), and evaluated 16 antigen and five molecular assays. We considered risk of bias to be high in 29 (50%) studies because of participant selection; in 66 (85%) because of weaknesses in the reference standard for absence of infection; and in 29 (45%) for participant flow and timing. Studies of antigen tests were of a higher methodological quality compared to studies of molecular tests, particularly regarding the risk of bias for participant selection and the index test. Characteristics of participants in 35 (45%) studies differed from those in whom the test was intended to be used and the delivery of the index test in 39 (50%) studies differed from the way in which the test was intended to be used. Nearly all studies (97%) defined the presence or absence of SARS-CoV-2 based on a single RT-PCR result, and none included participants meeting case definitions for probable COVID-19. Antigen tests Forty-eight studies reported 58 evaluations of antigen tests. Estimates of sensitivity varied considerably between studies. There were differences between symptomatic (72.0%, 95% CI 63.7% to 79.0%; 37 evaluations; 15530 samples, 4410 cases) and asymptomatic participants (58.1%, 95% CI 40.2% to 74.1%; 12 evaluations; 1581 samples, 295 cases). Average sensitivity was higher in the first week after symptom onset (78.3%, 95% CI 71.1% to 84.1%; 26 evaluations; 5769 samples, 2320 cases) than in the second week of symptoms (51.0%, 95% CI 40.8% to 61.0%; 22 evaluations; 935 samples, 692 cases). Sensitivity was high in those with cycle threshold (Ct) values on PCR ≤25 (94.5%, 95% CI 91.0% to 96.7%; 36 evaluations; 2613 cases) compared to those with Ct values &gt;25 (40.7%, 95% CI 31.8% to 50.3%; 36 evaluations; 2632 cases). Sensitivity varied between brands. Using data from instructions for use (IFU) compliant evaluations in symptomatic participants, summary sensitivities ranged from 34.1% (95% CI 29.7% to 38.8%; Coris Bioconcept) to 88.1% (95% CI 84.2% to 91.1%; SD Biosensor STANDARD Q). Average specificities were high in symptomatic and asymptomatic participants, and for most brands (overall summary specificity 99.6%, 95% CI 99.0% to 99.8%). At 5% prevalence using data for the most sensitive assays in symptomatic people (SD Biosensor STANDARD Q and Abbott Panbio), positive predictive values (PPVs) of 84% to 90% mean that between 1 in 10 and 1 in 6 positive results will be a false positive, and between 1 in 4 and 1 in 8 cases will be missed. At 0.5% prevalence applying the same tests in asymptomatic people would result in PPVs of 11% to 28% meaning that between 7 in 10 and 9 in 10 positive results will be false positives, and between 1 in 2 and 1 in 3 cases will be missed. No studies assessed the accuracy of repeated lateral flow testing or self-testing. Rapid molecular assays Thirty studies reported 33 evaluations of five different rapid molecular tests. Sensitivities varied according to test brand. Most of the data relate to the ID NOW and Xpert Xpress assays. Using data from evaluations following the manufacturer's instructions for use, the average sensitivity of ID NOW was 73.0% (95% CI 66.8% to 78.4%) and average specificity 99.7% (95% CI 98.7% to 99.9%; 4 evaluations; 812 samples, 222 cases). For Xpert Xpress, the average sensitivity was 100% (95% CI 88.1% to 100%) and average specificity 97.2% (95% CI 89.4% to 99.3%; 2 evaluations; 100 samples, 29 cases). Insufficient data were available to investigate the effect of symptom status or time after symptom onset. Antigen tests vary in sensitivity. In people with signs and symptoms of COVID-19, sensitivities are highest in the first week of illness when viral loads are higher. The assays shown to meet appropriate criteria, such as WHO's priority target product profiles for COVID-19 diagnostics ('acceptable' sensitivity ≥ 80% and specificity ≥ 97%), can be considered as a replacement for laboratory-based RT-PCR when immediate decisions about patient care must be made, or where RT-PCR cannot be delivered in a timely manner. Positive predictive values suggest that confirmatory testing of those with positive results may be considered in low prevalence settings. Due to the variable sensitivity of antigen tests, people who test negative may still be infected. Evidence for testing in asymptomatic cohorts was limited. Test accuracy studies cannot adequately assess the ability of antigen tests to differentiate those who are infectious and require isolation from those who pose no risk, as there is no reference standard for infectiousness. A small number of molecular tests showed high accuracy and may be suitable alternatives to RT-PCR. However, further evaluations of the tests in settings as they are intended to be used are required to fully establish performance in practice. Several important studies in asymptomatic individuals have been reported since the close of our search and will be incorporated at the next update of this review. Comparative studies of antigen tests in their intended use settings and according to test operator (including self-testing) are required.</t>
  </si>
  <si>
    <t>Unwillingness to participate in health checks for cardiometabolic diseases: A survey among primary health care patients in five European countries.</t>
  </si>
  <si>
    <t>de Waard, Anne-Karien M; Korevaar, Joke C; Hollander, Monika; Nielen, Mark M J; Seifert, Bohumil; Carlsson, Axel C; Lionis, Christos; Søndergaard, Jens; Schellevis, François G; de Wit, Niek J; ,</t>
  </si>
  <si>
    <t>health science reports</t>
  </si>
  <si>
    <t>https://pubmed.ncbi.nlm.nih.gov/33778166</t>
  </si>
  <si>
    <t>Since cardiometabolic diseases (CMD) are a frequent cause of death worldwide, preventive strategies are needed. Recruiting adults for a health check could facilitate the identification of individuals at risk for CMD. For successful results, participation is crucial. We aimed to identify factors related to unwillingness to participate in CMD health checks. We performed a cross-sectional study in the Czech Republic, Denmark, Greece, the Netherlands, and Sweden. A questionnaire was distributed among persons without known CMD consulting general practice between January and July 2017 within the framework of the SPIMEU study. In total, 1354 persons responded. Nine percent was unwilling to participate in a CMD health check. Male gender, smoking, higher self-rated health, never been invited before, and not willing to pay were related to unwillingness to participate. The most mentioned reason for unwillingness to participate was "I think that I am healthy" (57%). Among the respondents who were willing to participate, 94% preferred an invitation by the general practitioner and 66% was willing to pay. A minority of the respondents was unwilling to participate in a CMD health check with consistent results within the five countries. This provides a promising starting point to increase participation in CMD health checks in primary care.</t>
  </si>
  <si>
    <t>Added value of computed tomography fractional flow reserve in the diagnosis of coronary artery disease.</t>
  </si>
  <si>
    <t>Peper, J; Schaap, J; Kelder, J C; Rensing, B J W M; Grobbee, D E; Leiner, T; Swaans, M J</t>
  </si>
  <si>
    <t>https://pubmed.ncbi.nlm.nih.gov/33762686</t>
  </si>
  <si>
    <t>Multiple non-invasive tests are performed to diagnose coronary artery disease (CAD), but all are limited to either anatomical or functional assessments. Computed tomography derived Fractional Flow Reserve (CT-FFR) based on patient-specific lumped parameter models is a new test combining both characteristics simulating invasive FFR. This study aims to evaluate the added value of CT-FFR over other non-invasive tests to diagnose CAD. Patients with clinical suspicion of angina pectoris between 2010 and 2011 were included in this cross-sectional study. All underwent stress electrocardiography (X-ECG), SPECT, CT coronary angiography (CCTA) and CT-FFR. Invasive coronary angiography (ICA) and FFR were used as reference standard. Five models mimicking the clinical workflow were fitted and the area under receiver operating characteristic (AUROC) curve was used for comparison. 44% of the patients included in the analysis had a FFR of ≤ 0.80. The basic model including pre-test-likelihood and X-ECG had an AUROC of 0.79. The SPECT-strategy had an AUROC of 0.90 (p = 0.008), CCTA-strategy of 0.88 (p &lt; 0.001), 0.93 when adding CT-FFR (p = 0.40) compared to 0.94 when combining CCTA and SPECT. This study shows adding on-site CT-FFR based on patient-specific lumped parameter models leads to an increased AUROC compared to the basic model. It improves the diagnostic work-up beyond SPECT or CCTA and is non-inferior to the combined strategy of SPECT and CCTA in the diagnosis of hemodynamically relevant CAD.</t>
  </si>
  <si>
    <t>Systematically Defined Informative Priors in Bayesian Estimation: An Empirical Application on the Transmission of Internalizing Symptoms Through Mother-Adolescent Interaction Behavior.</t>
  </si>
  <si>
    <t>Schulz, Susanne; Zondervan-Zwijnenburg, Mariëlle; Nelemans, Stefanie A; Veen, Duco; Oldehinkel, Albertine J; Branje, Susan; Meeus, Wim</t>
  </si>
  <si>
    <t>https://pubmed.ncbi.nlm.nih.gov/33841250</t>
  </si>
  <si>
    <t>Bayesian estimation with informative priors permits updating previous findings with new data, thus generating cumulative knowledge. To reduce subjectivity in the process, the present study emphasizes how to systematically weigh and specify informative priors and highlights the use of different aggregation methods using an empirical example that examined whether observed mother-adolescent positive and negative interaction behavior mediate the associations between maternal and adolescent internalizing symptoms across early to mid-adolescence in a 3-year longitudinal multi-method design. The sample consisted of 102 mother-adolescent dyads (39.2% girls, &lt;i&gt;M&lt;/i&gt; &lt;sub&gt;&lt;i&gt;age&lt;/i&gt;&lt;/sub&gt; T1 = 13.0). Mothers and adolescents reported on their internalizing symptoms and their interaction behaviors were observed during a conflict task. We systematically searched for previous studies and used an expert-informed weighting system to account for their relevance. Subsequently, we aggregated the (power) priors using three methods: linear pooling, logarithmic pooling, and fitting a normal distribution to the linear pool by means of maximum likelihood estimation. We compared the impact of the three differently specified informative priors and default priors on the prior predictive distribution, shrinkage, and the posterior estimates. The prior predictive distributions for the three informative priors were quite similar and centered around the observed data mean. The shrinkage results showed that the logarithmic pooled priors were least affected by the data. Most posterior estimates were similar across the different priors. Some previous studies contained extremely specific information, resulting in bimodal posterior distributions for the analyses with linear pooled prior distributions. The posteriors following the fitted normal priors and default priors were very similar. Overall, we found that maternal, but not adolescent, internalizing symptoms predicted subsequent mother-adolescent interaction behavior, whereas negative interaction behavior seemed to predict subsequent internalizing symptoms. Evidence regarding mediation effects remained limited. A systematic search for previous information and an expert-built weighting system contribute to a clear specification of power priors. How information from multiple previous studies should be included in the prior depends on theoretical considerations (e.g., the prior is an updated Bayesian distribution), and may also be affected by pragmatic considerations regarding the impact of the previous results at hand (e.g., extremely specific previous results).</t>
  </si>
  <si>
    <t>Fidelity of primary care nurses' delivery of a behavioural change intervention enhancing physical activity in patients at risk of cardiovascular disease: an observational study.</t>
  </si>
  <si>
    <t>Westland, Heleen; Trappenburg, Jaap C A; Schuurmans, Marieke J; Zonneveld, Michelle H; Schröder, Carin D</t>
  </si>
  <si>
    <t>https://pubmed.ncbi.nlm.nih.gov/33757957</t>
  </si>
  <si>
    <t>To evaluate the fidelity of delivery of a nurse-led intervention to enhance physical activity in patients at risk for cardiovascular diseases, the Activate intervention, by assessing: (1) self-reported fidelity of delivery; (2) observed fidelity of delivery; (3) quality of delivery of the Activate intervention and (4) nurses' beliefs about their capability, motivation, confidence and effectiveness towards delivering the Activate intervention, including behavioural change techniques. An observational study. General practices in the Netherlands. Primary care nurses (n=20) from 16 general practices. Nurses' self-reported fidelity was evaluated using checklists (n=282), and the observed fidelity and quality of delivery were examined using audiorecordings of consultations of the delivery of the Activate intervention (n=42). Nurses' beliefs towards delivering the intervention were assessed using questionnaires (n=72). The self-reported fidelity was 88.1% and observed fidelity was 85.4%, representing high fidelity. The observed fidelity of applied behavioural change techniques was moderate (75.0%). The observed quality of delivery was sufficient and varied among nurses (mean 2.9; SD 4.4; range 0-4). Nurses' beliefs about their capability, motivation, confidence and effectiveness towards delivering the intervention increased over time. Nurses delivered most intervention components as intended with sufficient quality. Nurses believed they were capable, motivated and confident to deliver the intervention. They believed the intervention was effective to increase patients' physical activity level. Despite the high fidelity and moderate fidelity of applied behavioural change techniques, the varying quality of delivery within and across nurses might have diluted the effectiveness of the Activate intervention. NCT02725203.</t>
  </si>
  <si>
    <t>Adaptive sample size determination for the development of clinical prediction models.</t>
  </si>
  <si>
    <t>Christodoulou, Evangelia; van Smeden, Maarten; Edlinger, Michael; Timmerman, Dirk; Wanitschek, Maria; Steyerberg, Ewout W; Van Calster, Ben</t>
  </si>
  <si>
    <t>https://pubmed.ncbi.nlm.nih.gov/33745449</t>
  </si>
  <si>
    <t>We suggest an adaptive sample size calculation method for developing clinical prediction models, in which model performance is monitored sequentially as new data comes in. We illustrate the approach using data for the diagnosis of ovarian cancer (n = 5914, 33% event fraction) and obstructive coronary artery disease (CAD; n = 4888, 44% event fraction). We used logistic regression to develop a prediction model consisting only of a priori selected predictors and assumed linear relations for continuous predictors. We mimicked prospective patient recruitment by developing the model on 100 randomly selected patients, and we used bootstrapping to internally validate the model. We sequentially added 50 random new patients until we reached a sample size of 3000 and re-estimated model performance at each step. We examined the required sample size for satisfying the following stopping rule: obtaining a calibration slope ≥ 0.9 and optimism in the c-statistic (or AUC) &lt; = 0.02 at two consecutive sample sizes. This procedure was repeated 500 times. We also investigated the impact of alternative modeling strategies: modeling nonlinear relations for continuous predictors and correcting for bias on the model estimates (Firth's correction). Better discrimination was achieved in the ovarian cancer data (c-statistic 0.9 with 7 predictors) than in the CAD data (c-statistic 0.7 with 11 predictors). Adequate calibration and limited optimism in discrimination was achieved after a median of 450 patients (interquartile range 450-500) for the ovarian cancer data (22 events per parameter (EPP), 20-24) and 850 patients (750-900) for the CAD data (33 EPP, 30-35). A stricter criterion, requiring AUC optimism &lt; = 0.01, was met with a median of 500 (23 EPP) and 1500 (59 EPP) patients, respectively. These sample sizes were much higher than the well-known 10 EPP rule of thumb and slightly higher than a recently published fixed sample size calculation method by Riley et al. Higher sample sizes were required when nonlinear relationships were modeled, and lower sample sizes when Firth's correction was used. Adaptive sample size determination can be a useful supplement to fixed a priori sample size calculations, because it allows to tailor the sample size to the specific prediction modeling context in a dynamic fashion.</t>
  </si>
  <si>
    <t>Glucocorticoid use and risk of first and recurrent venous thromboembolism: self-controlled case-series and cohort study.</t>
  </si>
  <si>
    <t>Orsi, Fernanda A; Lijfering, Willem M; Geersing, Geert-Jan; Rosendaal, Frits R; Dekkers, Olaf M; le Cessie, Saskia; Cannegieter, Suzanne C</t>
  </si>
  <si>
    <t>https://pubmed.ncbi.nlm.nih.gov/33748963</t>
  </si>
  <si>
    <t>Glucocorticoid treatment increases venous thromboembolism (VTE) risk. Whether this is due to the medication or the underlying disease, or affects the risk of VTE recurrence, has been difficult to determine. The aim of our present study was to quantify the risk for first and recurrent VTE associated with oral glucocorticoids use, considering the underlying disease. A total of 2547 patients with VTE from the Multiple Environmental and Genetic Assessment of Risk Factors for Venous Thrombosis (MEGA) study were linked to the Dutch Pharmaceutical Statistics register. The risk of first VTE during periods of exposure with oral glucocorticoids was estimated by the self-controlled case series method and that of recurrent VTE was examined in a cohort design. The incidence rate ratio (IRR) of first VTE in the period of glucocorticoid treatment was 3·51 [95% confidence interval (CI) 2·55-4·80]. This IRR was 2·53 (95% CI 1·10-5·72) in the week before treatment started, 5·28 (95% CI 2·89-9·53) in the first 7 days of treatment, remained elevated afterwards and decreased to 1·55 (95% CI 0·85-3·12) after 6 months, as compared to unexposed periods. The hazard ratio for recurrence was 2·72 (95% CI 1·64-4·78) in treatment periods as compared with no treatment. The increased risk of VTE associated with oral glucocorticoid treatment is due to a combined effect of the treatment and the underlying disease, remaining high during the first months of prescription.</t>
  </si>
  <si>
    <t>Neighborhood walkability, physical activity and changes in glycemic markers in people with type 2 diabetes: The Hoorn Diabetes Care System cohort.</t>
  </si>
  <si>
    <t>Braver, N R; Rutters, F; Wagtendonk, A J; Kok, J G; Harms, P P; Brug, J; Beulens, J W J; Lakerveld, J</t>
  </si>
  <si>
    <t>https://pubmed.ncbi.nlm.nih.gov/33756438</t>
  </si>
  <si>
    <t>Studies investigating neighborhood walkability and physical activity in people with type 2 diabetes (T2D) mainly used self-report measures, and only few studies assessed the association with glycemic control. This study assessed the associations between objectively measured (i.e. GIS based) and subjectively measured (i.e. questionnaire-based) neighborhood walkability and changes in glycemic markers in people with T2D, and whether this association was mediated by device-measured physical activity (PA), in the Diabetes Care System Cohort (n = 1230). Neither objective or subjectively measured walkability was associated with glycemic control. In mediation analyses we observed no overall mediation by PA.</t>
  </si>
  <si>
    <t>SAFE@HOME: Cost analysis of a new care pathway including a digital health platform for women at increased risk of preeclampsia.</t>
  </si>
  <si>
    <t>van den Heuvel, Josephus F M; van Lieshout, Christiaan; Franx, Arie; Frederix, Geert; Bekker, Mireille N</t>
  </si>
  <si>
    <t>https://pubmed.ncbi.nlm.nih.gov/33813364</t>
  </si>
  <si>
    <t>To perform a cost analysis of the use of a new care pathway with a digital health platform for blood pressure telemonitoring for women at risk of preeclampsia. This is a cost analysis of a case-control study with women with chronic hypertension, history of preeclampsia, maternal cardiac or kidney disease at intake of pregnancy. Antenatal care with a reduced visit schedule and a digital health platform (SAFE@HOME, n = 97) was compared to a retrospective control group (n = 133) with usual care without self-monitoring. Costs per pregnancy (€) of healthcare consumption of antenatal clinic visits, ultrasound assessments, antenatal admissions, laboratory and other diagnostic tests, and societal costs such as traveling and work absence. Baseline characteristics and perinatal outcomes were similar between both groups. A significant reduction of antenatal visits, ultrasounds and hypertension-related admissions was associated with use of the digital platform. In the SAFE@HOME group, costs of antenatal care, including the costs of the digital platform, were 19.7% lower compared to the control group (median €3616 [IQR 3071 - 5329] vs €4504 [IQR 3515-6923], p = 0.001). Total costs per pregnancy, including societal costs, were also reduced (€7485 [IQR 6338-10,173] vs €9150, [IQR 7546-12,286] p &lt; 0.001). Each euro invested in the platform saved on average €8 of antenatal care resources. The use of a digital platform for blood pressure and symptom monitoring in antenatal care for high-risk women is associated with lower costs compared to conventional care, while observed maternal and neonatal outcomes are similar.</t>
  </si>
  <si>
    <t>Adiposity Phenotypes and Subclinical Atherosclerosis in Adults from Sub-Saharan Africa: An H3Africa AWI-Gen Study.</t>
  </si>
  <si>
    <t>Nonterah, Engelbert A; Bots, Michiel L; Oduro, Abraham; Agongo, Godfred; Soo, Cassandra C; Micklesfield, Lisa K; Mashinya, Felistas; Boua, Palwendé R; Mohamed, Shukri F; Wade, Alisha N; Kyobutungi, Catherine; Tinto, Halidou; Norris, Shane A; Tollman, Stephen M; Ramsay, Michèle; Grobbee, Diederick E; Klipstein-Grobusch, Kerstin; Crowther, Nigel J; ,</t>
  </si>
  <si>
    <t>https://pubmed.ncbi.nlm.nih.gov/33833943</t>
  </si>
  <si>
    <t>Obesity and adipose tissue distribution contribute to an increased risk of cardiovascular disease (CVD) by promoting atherosclerosis. This association has been poorly studied in sub-Saharan Africa (SSA) despite the rising prevalence of cardiovascular disease. We determined the association between various adiposity phenotypes and carotid intima-media thickness (CIMT), a proxy of subclinical atherosclerosis, in a large SSA population. A population-based cross-sectional study was performed from 2013-2016 in Burkina Faso, Ghana, Kenya and South Africa. Body mass index (BMI), waist (WC), hip circumferences (HC), visceral (VAT) and subcutaneous adipose tissue (SCAT) using B-mode ultrasound were measured. Ultrasonography of left and right far wall CIMT of the common carotid artery was used as an indicator of subclinical atherosclerosis. Individual participant data meta-analyses were used to determine the associations between adiposity phenotypes and CIMT in the pooled sample while adjusted multivariable linear regression analyses were used for site specific analyses. Data were obtained from 9,010 adults (50.3% women and a mean age of 50± 6years). Men had higher levels of visceral fat than women while women had higher BMI, waist and hip circumference and subcutaneous fat than men at all sites except Burkina Faso. In the pooled analyses, BMI (β-value [95% CIs]: 19.5 [16.8, 22.3] μm) showed the strongest relationship with CIMT followed by VAT (5.86 [4.65, 7.07] μm), SCAT (5.00 [2.85, 7.15] μm), WC (1.27 [1.09, 1.44] μm) and HC (1.23 [1.04, 1.42] μm). Stronger associations were observed in men than in women. Obesity within SSA will likely result in higher levels of atherosclerosis and promote the occurrence of cardio- and cerebrovascular events, especially in males, unless addressed through primary prevention of obesity in both rural and urban communities across Africa. The inverse association of VAT with CIMT in Burkina Faso and Ghana requires further investigation. All adiposity phenotypes were positively associated with common carotid intima-media thickness (CIMT) in the entire cohort (pooled analyses).BMI had the strongest association with CIMT compared to other phenotypes.The magnitude of association between adiposity phenotypes and CIMT was higher in men than in women.Subcutaneous adipose tissue was inversely associated with CIMT only in women.An unexpected finding was the inverse association of visceral adipose tissue with CIMT in Burkina Faso and Ghana.</t>
  </si>
  <si>
    <t>Community engagement and feedback of results in the H3Africa AWI-Gen project: Experiences from the Navrongo Demographic and Health Surveillance site in Northern Ghana.</t>
  </si>
  <si>
    <t>Agongo, Godfred; Debpuur, Cornelius; Amenga-Etego, Lucas; Nonterah, Engelbert A; Kaburise, Michael B; Oduro, Abraham; Ramsay, Michele; Tindana, Paulina</t>
  </si>
  <si>
    <t>https://pubmed.ncbi.nlm.nih.gov/33959702</t>
  </si>
  <si>
    <t>Community and Public engagement (CE) have gained traction as an ethical best practice for the conduct of genomics research, particularly in the context of Africa. In the past 10 years, there has been growing scholarship on the value and practice of engaging key stakeholders including communities involved in genomics research. However, not much has been documented on how research teams, particularly in international collaborative research projects, are navigating the complex process of engagement including the return of key research findings. This paper is part of a series of papers describing the CE processes used in the AWI-Gen study sites. We describe the key processes of engagement, challenges encountered and the major lessons learned. We pay particular attention to the experiences in returning research results to participants and communities within the Demographic and Health Surveillance site in northern Ghana.</t>
  </si>
  <si>
    <t>Functional impairment, symptom severity, and overall quality of life in patients with advanced lung or colorectal cancer in six European countries: baseline findings from the ACTION study.</t>
  </si>
  <si>
    <t>Verkissen, Mariëtte N; De Vleminck, Aline; Groenvold, Mogens; Jabbarian, Lea J; Bulli, Francesco; Cools, Wilfried; van Delden, Johannes J M; Lunder, Urška; Miccinesi, Guido; Payne, Sheila A; Pollock, Kristian; Rietjens, Judith A C; Deliens, Luc</t>
  </si>
  <si>
    <t>https://pubmed.ncbi.nlm.nih.gov/33742242</t>
  </si>
  <si>
    <t>People with advanced cancer often suffer from various symptoms, which can arise from the cancer itself and its treatment, the illness experience, and/or co-morbid conditions. Important patient-reported outcomes such as functional status, symptom severity, and quality of life (QoL) might differ between countries, as countries vary with regard to contextual factors such as their healthcare system. To assess self-reported emotional functioning, physical functioning, symptoms, and overall QoL in patients with advanced lung or colorectal cancer from six European countries, particularly in relation to their country of residence. We used baseline patient data from the ACTION trial, including socio-demographic and clinical data as well as patient-reported data regarding functioning, symptoms, and overall QoL (EORTC QLQ-C15-PAL). Data from 1117 patients (55% lung cancer stage III/IV, 45% colorectal cancer stage IV) were used. The highest (worst) average symptom score was found for fatigue. We found similarities but also important differences in the outcomes across countries. The best scores (the highest for emotional functioning and QoL, the lowest for symptoms) were reported by Dutch and Danish patients. Belgian patients reported relatively low emotional functioning. The optimization of functioning, symptom relief, and overall QoL should be important objectives of healthcare professionals who take care of patients with advanced cancer. There are similarities, but also substantial differences across countries in functional status, symptoms, and overall QoL. Policymakers should take these differences into account and invest in offering health care catered to the needs of their population.</t>
  </si>
  <si>
    <t>Diagnostic performance and clinical implications for enhancing a hybrid quantitative flow ratio-FFR revascularization decision-making strategy.</t>
  </si>
  <si>
    <t>Peper, Joyce; van Hamersvelt, Robbert W; Rensing, Benno J W M; van Kuijk, Jan-Peter; Voskuil, Michiel; Berg, Jurriën M Ten; Schaap, Jeroen; Kelder, Johannes C; Grobbee, Diederick E; Leiner, Tim; Swaans, Martin J</t>
  </si>
  <si>
    <t>https://pubmed.ncbi.nlm.nih.gov/33742077</t>
  </si>
  <si>
    <t>Invasive fractional flow reserve (FFR) adoption remains low mainly due to procedural and operator related factors as well as costs. Alternatively, quantitative flow ratio (QFR) achieves a high accuracy mainly outside the intermediate zone without the need for hyperaemia and wire-use. We aimed to determine the diagnostic performance of QFR and to evaluate a QFR-FFR hybrid strategy in which FFR is measured only in the intermediate zone. This retrospective study included 289 consecutive patients who underwent invasive coronary angiography and FFR. QFR was calculated for all vessels in which FFR was measured. The QFR-FFR hybrid approach was modelled using the intermediate zone of 0.77-0.87 in which FFR-measurements are recommended. The sensitivity, specificity, and accuracy on a per vessel-based analysis were 84.6%, 86.3% and 85.6% for QFR and 88.0%, 92.9% and 90.3% for the QFR-FFR hybrid approach. The diagnostic accuracy of QFR-FFR hybrid strategy with invasive FFR measurement was 93.4% and resulted in a 56.7% reduction in the need for FFR. QFR has a good correlation and agreement with invasive FFR. A hybrid QFR-FFR approach could extend the use of QFR and reduces the proportion of invasive FFR-measurements needed while improving accuracy.</t>
  </si>
  <si>
    <t>Statistical integration of two omics datasets using GO2PLS.</t>
  </si>
  <si>
    <t>Gu, Zhujie; El Bouhaddani, Said; Pei, Jiayi; Houwing-Duistermaat, Jeanine; Uh, Hae-Won</t>
  </si>
  <si>
    <t>https://pubmed.ncbi.nlm.nih.gov/33736604</t>
  </si>
  <si>
    <t>Nowadays, multiple omics data are measured on the same samples in the belief that these different omics datasets represent various aspects of the underlying biological systems. Integrating these omics datasets will facilitate the understanding of the systems. For this purpose, various methods have been proposed, such as Partial Least Squares (PLS), decomposing two datasets into joint and residual subspaces. Since omics data are heterogeneous, the joint components in PLS will contain variation specific to each dataset. To account for this, Two-way Orthogonal Partial Least Squares (O2PLS) captures the heterogeneity by introducing orthogonal subspaces and better estimates the joint subspaces. However, the latent components spanning the joint subspaces in O2PLS are linear combinations of all variables, while it might be of interest to identify a small subset relevant to the research question. To obtain sparsity, we extend O2PLS to Group Sparse O2PLS (GO2PLS) that utilizes biological information on group structures among variables and performs group selection in the joint subspace. The simulation study showed that introducing sparsity improved the feature selection performance. Furthermore, incorporating group structures increased robustness of the feature selection procedure. GO2PLS performed optimally in terms of accuracy of joint score estimation, joint loading estimation, and feature selection. We applied GO2PLS to datasets from two studies: TwinsUK (a population study) and CVON-DOSIS (a small case-control study). In the first, we incorporated biological information on the group structures of the methylation CpG sites when integrating the methylation dataset with the IgG glycomics data. The targeted genes of the selected methylation groups turned out to be relevant to the immune system, in which the IgG glycans play important roles. In the second, we selected regulatory regions and transcripts that explained the covariance between regulomics and transcriptomics data. The corresponding genes of the selected features appeared to be relevant to heart muscle disease. GO2PLS integrates two omics datasets to help understand the underlying system that involves both omics levels. It incorporates external group information and performs group selection, resulting in a small subset of features that best explain the relationship between two omics datasets for better interpretability.</t>
  </si>
  <si>
    <t>Who is afraid of black box algorithms? On the epistemological and ethical basis of trust in medical AI.</t>
  </si>
  <si>
    <t>https://pubmed.ncbi.nlm.nih.gov/33737318</t>
  </si>
  <si>
    <t>The use of black box algorithms in medicine has raised scholarly concerns due to their opaqueness and lack of trustworthiness. Concerns about potential bias, accountability and responsibility, patient autonomy and compromised trust transpire with black box algorithms. These worries connect epistemic concerns with normative issues. In this paper, we outline that black box algorithms are less problematic for epistemic reasons than many scholars seem to believe. By outlining that more transparency in algorithms is not always necessary, and by explaining that computational processes are indeed methodologically opaque to humans, we argue that the reliability of algorithms provides reasons for trusting the outcomes of medical artificial intelligence (AI). To this end, we explain how &lt;i&gt;computational reliabilism&lt;/i&gt;, which does not require transparency and supports the reliability of algorithms, justifies the belief that results of medical AI are to be trusted. We also argue that several ethical concerns remain with black box algorithms, even when the results are trustworthy. Having justified knowledge from reliable indicators is, therefore, necessary but not sufficient for normatively justifying physicians to act. This means that deliberation about the results of reliable algorithms is required to find out what is a desirable action. Thus understood, we argue that such challenges should not dismiss the use of black box algorithms altogether but should inform the way in which these algorithms are designed and implemented. When physicians are trained to acquire the necessary skills and expertise, and collaborate with medical informatics and data scientists, black box algorithms can contribute to improving medical care.</t>
  </si>
  <si>
    <t>Fair allocation of cryopreserved donor oocytes: towards an accountable process.</t>
  </si>
  <si>
    <t>Kool, E M; van der Graaf, R; Bos, A M E; Fauser, B C J M; Bredenoord, A L</t>
  </si>
  <si>
    <t>https://pubmed.ncbi.nlm.nih.gov/33394023</t>
  </si>
  <si>
    <t>A growing number of people desire ART with cryopreserved donor oocytes. The allocation of these oocytes to couples and mothers to be is a 2-fold process. The first step is to select a pool of recipients. The second step is to decide who should be treated first. Prioritizing recipients is critical in settings where demand outstrips supply. So far, the issue of how to fairly allocate cryopreserved donor oocytes has been poorly addressed. Our ethical analysis aims to support clinics involved in allocation decisions by formulating criteria for recipient selection irrespective of supply (Part I) and recipient prioritization in case supply is limited (Part II). Relevant criteria for recipient selection are: a need for treatment to experience parenthood; a reasonable chance for successful treatment; the ability to safely undergo an oocyte donation pregnancy; and the ability to establish a stable and loving relationship with the child. Recipients eligible for priority include those who: have limited time left for treatment; have not yet experienced parenthood; did not undergo previous treatment with cryopreserved donor oocytes; and contributed to the supply of donor oocytes by bringing a donor to the bank. While selection criteria function as a threshold principle, we argue that the different prioritization criteria should be carefully balanced. Since specifying and balancing the allocation criteria undoubtedly raises a moral dispute, a fair and legitimate allocation process is warranted (Part III). We argue that allocation decisions should be made by a multidisciplinary committee, staffed by relevant experts with a variety of perspectives. Furthermore, the committees' reasoning behind decisions should be transparent and accessible to those affected: clinicians, donors, recipients and children born from treatment. Insight into the reasons that underpin allocation decisions allows these stakeholders to understand, review and challenge decisions, which is also known as accountability for reasonableness.</t>
  </si>
  <si>
    <t>Timing of recurrence after surgery in pelvic organ prolapse.</t>
  </si>
  <si>
    <t>Roos, Eveline J; Schuit, Ewoud</t>
  </si>
  <si>
    <t>international urogynecology journal</t>
  </si>
  <si>
    <t>https://pubmed.ncbi.nlm.nih.gov/33730233</t>
  </si>
  <si>
    <t>The aim of this study was to determine when women are at risk for recurrent pelvic organ prolapse (POP). From 2010 to 2018, all women with symptomatic prolapse, Pelvic Organ Prolapse Quantification (pop-Q) stage 2 in at least one compartment and prolapse surgery were included. The primary outcome measure was POP recurrence. Kaplan-Meier estimates were calculated, survival curves were created, and differences in survival curves were tested with log-rank test. Cox proportional hazard regression was used to investigate associations between recurrence and the number and type of involved compartment(s) and type of surgery. Forty-six (16.8%) out of 274 patients had POP recurrence during a mean follow-up time of 55 ± 32 months. The mean age was 64 ± 12 years. The hazard of recurrence increased the most in the first 2 years after POP surgery, flattened in years 3 and 4 and remained almost stable in the years thereafter, regardless of the site and number of involved compartment(s). The hazard of recurrence over time seemed the largest when all three compartments were involved. However, there was no statistically significant difference in recurrence between the numbers of (p = 0.65) or in the combination of involved compartments (p = 0.19). There was no difference in POP recurrence over time between prolapse repair with either sacrospinous ligament fixation or vaginal hysterectomy (p = 0.48). Women are at the highest risk of POP recurrence in the first 2 years after POP surgery independent of the number or combination of involved compartment(s).</t>
  </si>
  <si>
    <t>Development of imaging-based risk scores for prediction of intracranial haemorrhage and ischaemic stroke in patients taking antithrombotic therapy after ischaemic stroke or transient ischaemic attack: a pooled analysis of individual patient data from cohort studies.</t>
  </si>
  <si>
    <t>Best, Jonathan G; Ambler, Gareth; Wilson, Duncan; Lee, Keon-Joo; Lim, Jae-Sung; Shiozawa, Masayuki; Koga, Masatoshi; Li, Linxin; Lovelock, Caroline; Chabriat, Hugues; Hennerici, Michael; Wong, Yuen Kwun; Mak, Henry Ka Fung; Prats-Sanchez, Luis; Martínez-Domeño, Alejandro; Inamura, Shigeru; Yoshifuji, Kazuhisa; Arsava, Ethem Murat; Horstmann, Solveig; Purrucker, Jan; Lam, Bonnie Yin Ka; Wong, Adrian; Kim, Young Dae; Song, Tae-Jin; Lemmens, Robin; Eppinger, Sebastian; Gattringer, Thomas; Uysal, Ender; Tanriverdi, Zeynep; Bornstein, Natan M; Ben Assayag, Einor; Hallevi, Hen; Molad, Jeremy; Nishihara, Masashi; Tanaka, Jun; Coutts, Shelagh B; Polymeris, Alexandros; Wagner, Benjamin; Seiffge, David J; Lyrer, Philippe; Algra, Ale; Kappelle, L Jaap; Al-Shahi Salman, Rustam; Jäger, Hans R; Lip, Gregory Y H; Fischer, Urs; El-Koussy, Marwan; Mas, Jean-Louis; Legrand, Laurence; Karayiannis, Christopher; Phan, Thanh; Gunkel, Sarah; Christ, Nicolas; Abrigo, Jill; Leung, Thomas; Chu, Winnie; Chappell</t>
  </si>
  <si>
    <t>https://pubmed.ncbi.nlm.nih.gov/33743239</t>
  </si>
  <si>
    <t>Balancing the risks of recurrent ischaemic stroke and intracranial haemorrhage is important for patients treated with antithrombotic therapy after ischaemic stroke or transient ischaemic attack. However, existing predictive models offer insufficient performance, particularly for assessing the risk of intracranial haemorrhage. We aimed to develop new risk scores incorporating clinical variables and cerebral microbleeds, an MRI biomarker of intracranial haemorrhage and ischaemic stroke risk. We did a pooled analysis of individual-patient data from the Microbleeds International Collaborative Network (MICON), which includes 38 hospital-based prospective cohort studies from 18 countries. All studies recruited participants with previous ischaemic stroke or transient ischaemic attack, acquired baseline MRI allowing quantification of cerebral microbleeds, and followed-up participants for ischaemic stroke and intracranial haemorrhage. Participants not taking antithrombotic drugs were excluded. We developed Cox regression models to predict the 5-year risks of intracranial haemorrhage and ischaemic stroke, selecting candidate predictors on biological relevance and simplifying models using backward elimination. We derived integer risk scores for clinical use. We assessed model performance in internal validation, adjusted for optimism using bootstrapping. The study is registered on PROSPERO, CRD42016036602. The included studies recruited participants between Aug 28, 2001, and Feb 4, 2018. 15 766 participants had follow-up for intracranial haemorrhage, and 15 784 for ischaemic stroke. Over a median follow-up of 2 years, 184 intracranial haemorrhages and 1048 ischaemic strokes were reported. The risk models we developed included cerebral microbleed burden and simple clinical variables. Optimism-adjusted c indices were 0·73 (95% CI 0·69-0·77) with a calibration slope of 0·94 (0·81-1·06) for the intracranial haemorrhage model and 0·63 (0·62-0·65) with a calibration slope of 0·97 (0·87-1·07) for the ischaemic stroke model. There was good agreement between predicted and observed risk for both models. The MICON risk scores, incorporating clinical variables and cerebral microbleeds, offer predictive value for the long-term risks of intracranial haemorrhage and ischaemic stroke in patients prescribed antithrombotic therapy for secondary stroke prevention; external validation is warranted. British Heart Foundation and Stroke Association.</t>
  </si>
  <si>
    <t>Tobacco Smoking and Risk of Second Primary Lung Cancer.</t>
  </si>
  <si>
    <t>Aredo, Jacqueline V; Luo, Sophia J; Gardner, Rebecca M; Sanyal, Nilotpal; Choi, Eunji; Hickey, Thomas P; Riley, Thomas L; Huang, Wen-Yi; Kurian, Allison W; Leung, Ann N; Wilkens, Lynne R; Robbins, Hilary A; Riboli, Elio; Kaaks, Rudolf; Tjønneland, Anne; Vermeulen, Roel C H; Panico, Salvatore; Le Marchand, Loïc; Amos, Christopher I; Hung, Rayjean J; Freedman, Neal D; Johansson, Mattias; Cheng, Iona; Wakelee, Heather A; Han, Summer S</t>
  </si>
  <si>
    <t>journal of thoracic oncology official publication of the international association for the study of lung cancer</t>
  </si>
  <si>
    <t>https://pubmed.ncbi.nlm.nih.gov/33722709</t>
  </si>
  <si>
    <t>Lung cancer survivors are at high risk of developing a second primary lung cancer (SPLC). However, SPLC risk factors have not been established and the impact of tobacco smoking remains controversial. We examined the risk factors for SPLC across multiple epidemiologic cohorts and evaluated the impact of smoking cessation on reducing SPLC risk. We analyzed data from 7059 participants in the Multiethnic Cohort (MEC) diagnosed with an initial primary lung cancer (IPLC) between 1993 and 2017. Cause-specific proportional hazards models estimated SPLC risk. We conducted validation studies using the Prostate, Lung, Colorectal, and Ovarian Cancer Screening Trial (N = 3423 IPLC cases) and European Prospective Investigation into Cancer and Nutrition (N = 4731 IPLC cases) cohorts and pooled the SPLC risk estimates using random effects meta-analysis. Overall, 163 MEC cases (2.3%) developed SPLC. Smoking pack-years (hazard ratio [HR] = 1.18 per 10 pack-years, p &lt; 0.001) and smoking intensity (HR = 1.30 per 10 cigarettes per day, p &lt; 0.001) were significantly associated with increased SPLC risk. Individuals who met the 2013 U.S. Preventive Services Task Force's screening criteria at IPLC diagnosis also had an increased SPLC risk (HR = 1.92; p &lt; 0.001). Validation studies with the Prostate, Lung, Colorectal, and Ovarian Cancer Screening Trial and European Prospective Investigation into Cancer and Nutrition revealed consistent results. Meta-analysis yielded pooled HRs of 1.16 per 10 pack-years (p&lt;sub&gt;meta&lt;/sub&gt; &lt; 0.001), 1.25 per 10 cigarettes per day (p&lt;sub&gt;meta&lt;/sub&gt; &lt; 0.001), and 1.99 (p&lt;sub&gt;meta&lt;/sub&gt; &lt; 0.001) for meeting the U.S. Preventive Services Task Force's criteria. In MEC, smoking cessation after IPLC diagnosis was associated with an 83% reduction in SPLC risk (HR = 0.17; p &lt; 0.001). Tobacco smoking is a risk factor for SPLC. Smoking cessation may reduce the risk of SPLC. Additional strategies for SPLC surveillance and screening are warranted.</t>
  </si>
  <si>
    <t>Association of White Matter Hyperintensity Markers on MRI and Long-term Risk of Mortality and Ischemic Stroke: The SMART-MR Study.</t>
  </si>
  <si>
    <t>Ghaznawi, Rashid; Geerlings, Mirjam I; Jaarsma-Coes, Myriam; Hendrikse, Jeroen; de Bresser, Jeroen; ,</t>
  </si>
  <si>
    <t>https://pubmed.ncbi.nlm.nih.gov/33727406</t>
  </si>
  <si>
    <t>To determine whether white matter hyperintensity (WMH) markers on MRI are associated with long-term risk of mortality and ischemic stroke. We included consecutive patients with manifest arterial disease enrolled in the Second Manifestations of Arterial Disease-Magnetic Resonance (SMART-MR) study. We obtained WMH markers (volume, type, and shape) from brain MRI scans performed at baseline using an automated algorithm. During follow-up, occurrence of death and ischemic stroke was recorded. Using Cox regression, we investigated associations of WMH markers with risk of mortality and ischemic stroke, adjusting for demographics, cardiovascular risk factors, and cerebrovascular disease. We included 999 patients (59 ± 10 years; 79% male) with a median follow-up of 12.5 years (range 0.2-16.0 years). A greater periventricular or confluent WMH volume was independently associated with a greater risk of vascular death (hazard ratio [HR] 1.29, 95% confidence interval [CI] 1.13-1.47) for a 1-unit increase in natural log-transformed WMH volume and ischemic stroke (HR 1.53, 95% CI 1.26-1.86). A confluent WMH type was independently associated with a greater risk of vascular (HR 1.89, 95% CI 1.15-3.11) and nonvascular death (HR 1.65, 95% CI 1.01-2.73) and ischemic stroke (HR 2.83, 95% CI 1.36-5.87). A more irregular shape of periventricular or confluent WMH, as expressed by an increase in concavity index, was independently associated with a greater risk of vascular (HR 1.20, 95% CI 1.05-1.38 per SD increase) and nonvascular death (HR 1.21, 95% CI 1.03-1.42) and ischemic stroke (HR 1.28, 95% CI 1.05-1.55). WMH volume, type, and shape are associated with long-term risk of mortality and ischemic stroke in patients with manifest arterial disease.</t>
  </si>
  <si>
    <t>Supplemental Breast MRI for Women with Extremely Dense Breasts: Results of the Second Screening Round of the DENSE Trial.</t>
  </si>
  <si>
    <t>Veenhuizen, Stefanie G A; de Lange, Stéphanie V; Bakker, Marije F; Pijnappel, Ruud M; Mann, Ritse M; Monninkhof, Evelyn M; Emaus, Marleen J; de Koekkoek-Doll, Petra K; Bisschops, Robertus H C; Lobbes, Marc B I; de Jong, Mathijn D F; Duvivier, Katya M; Veltman, Jeroen; Karssemeijer, Nico; de Koning, Harry J; van Diest, Paul J; Mali, Willem P T M; van den Bosch, Maurice A A J; van Gils, Carla H; Veldhuis, Wouter B; ,</t>
  </si>
  <si>
    <t>https://pubmed.ncbi.nlm.nih.gov/33724062</t>
  </si>
  <si>
    <t>Background In the first (prevalent) supplemental MRI screening round of the Dense Tissue and Early Breast Neoplasm Screening (DENSE) trial, a considerable number of breast cancers were found at the cost of an increased false-positive rate (FPR). In incident screening rounds, a lower cancer detection rate (CDR) is expected due to a smaller pool of prevalent cancers, and a reduced FPR, due to the availability of prior MRI examinations. Purpose To investigate screening performance indicators of the second round (incidence round) of the DENSE trial. Materials and Methods The DENSE trial (ClinicalTrials.gov: NCT01315015) is embedded within the Dutch population-based biennial mammography screening program for women aged 50-75 years. MRI examinations were performed between December 2011 and January 2016. Women were eligible for the second round when they again had a negative screening mammogram 2 years after their first MRI. The recall rate, biopsy rate, CDR, FPR, positive predictive values, and distributions of tumor characteristics were calculated and compared with results of the first round using 95% CIs and χ&lt;sup&gt;2&lt;/sup&gt; tests. Results A total of 3436 women (median age, 56 years; interquartile range, 48-64 years) underwent a second MRI screening. The CDR was 5.8 per 1000 screening examinations (95% CI: 3.8, 9.0) compared with 16.5 per 1000 screening examinations (95% CI: 13.3, 20.5) in the first round. The FPR was 26.3 per 1000 screening examinations (95% CI: 21.5, 32.3) in the second round versus 79.8 per 1000 screening examinations (95% CI: 72.4, 87.9) in the first round. The positive predictive value for recall was 18% (20 of 110 participants recalled; 95% CI: 12.1, 26.4), and the positive predictive value for biopsy was 24% (20 of 84 participants who underwent biopsy; 95% CI: 16.0, 33.9), both comparable to that of the first round. All tumors in the second round were stage 0-I and node negative. Conclusion The incremental cancer detection rate in the second round was 5.8 per 1000 screening examinations-compared with 16.5 per 1000 screening examinations in the first round. This was accompanied by a strong reduction in the number of false-positive results. © RSNA, 2021 &lt;i&gt;Online supplemental material is available for this article.&lt;/i&gt; See also the editorial by Moy and Gao in this issue.</t>
  </si>
  <si>
    <t>New York Heart Association class is strongly associated with mortality beyond heart failure in symptomatic women.</t>
  </si>
  <si>
    <t>Siegersma, Klaske R; Groepenhoff, Floor; Onland-Moret, N Charlotte; Tulevski, Igor I; Hofstra, Leonard; Somsen, G Aernout; Den Ruijter, Hester M</t>
  </si>
  <si>
    <t>https://pubmed.ncbi.nlm.nih.gov/33346810</t>
  </si>
  <si>
    <t>Methodological Priorities for Patient Preferences Research: Stakeholder Input to the PREFER Public-Private Project.</t>
  </si>
  <si>
    <t>Smith, Ian P; DiSantostefano, Rachael L; de Bekker-Grob, Esther W; Levitan, Bennett; Berlin, Conny; Veldwijk, Jorien; de Wit, G Ardine</t>
  </si>
  <si>
    <t>https://pubmed.ncbi.nlm.nih.gov/33721265</t>
  </si>
  <si>
    <t>Preferred reporting items for journal and conference abstracts of systematic reviews and meta-analyses of diagnostic test accuracy studies (PRISMA-DTA for Abstracts): checklist, explanation, and elaboration.</t>
  </si>
  <si>
    <t>Cohen, Jérémie F; Deeks, Jonathan J; Hooft, Lotty; Salameh, Jean-Paul; Korevaar, Daniël A; Gatsonis, Constantine; Hopewell, Sally; Hunt, Harriet A; Hyde, Chris J; Leeflang, Mariska M; Macaskill, Petra; McGrath, Trevor A; Moher, David; Reitsma, Johannes B; Rutjes, Anne W S; Takwoingi, Yemisi; Tonelli, Marcello; Whiting, Penny; Willis, Brian H; Thombs, Brett; Bossuyt, Patrick M; McInnes, Matthew D F</t>
  </si>
  <si>
    <t>https://pubmed.ncbi.nlm.nih.gov/33722791</t>
  </si>
  <si>
    <t>For many users of the biomedical literature, abstracts may be the only source of information about a study. Hence, abstracts should allow readers to evaluate the objectives, key design features, and main results of the study. Several evaluations have shown deficiencies in the reporting of journal and conference abstracts across study designs and research fields, including systematic reviews of diagnostic test accuracy studies. Incomplete reporting compromises the value of research to key stakeholders. The authors of this article have developed a 12 item checklist of preferred reporting items for journal and conference abstracts of systematic reviews and meta-analyses of diagnostic test accuracy studies (PRISMA-DTA for Abstracts). This article presents the checklist, examples of complete reporting, and explanations for each item of PRISMA-DTA for Abstracts.</t>
  </si>
  <si>
    <t>End-stage kidney disease in patients with clinically manifest vascular disease; incidence and risk factors: results from the UCC-SMART cohort study.</t>
  </si>
  <si>
    <t>Østergaard, Helena Bleken; Westerink, Jan; Verhaar, Marianne C; Bots, Michiel L; Asselbergs, Folkert W; de Borst, Gert J; Kappelle, L Jaap; Visseren, Frank L J; van der Leeuw, Joep; ,</t>
  </si>
  <si>
    <t>journal of nephrology</t>
  </si>
  <si>
    <t>https://pubmed.ncbi.nlm.nih.gov/33713332</t>
  </si>
  <si>
    <t>Patients with cardiovascular disease (CVD) are at increased risk of end-stage kidney disease (ESKD). Insights into the incidence and role of modifiable risk factors for end-stage kidney disease may provide means for prevention in patients with cardiovascular disease. We included 8402 patients with stable cardiovascular disease. Incidence rates (IRs) for end-stage kidney disease were determined stratified according to vascular disease location. Cox proportional hazard models were used to assess the risk of end-stage kidney disease for the different determinants. Sixty-five events were observed with a median follow-up of 8.6 years. The overall incidence rate of end-stage kidney disease was 0.9/1000 person-years. Patients with polyvascular disease had the highest incidence rate (1.8/1000 person-years). Smoking (Hazard ratio (HR) 1.87; 95% CI 1.10-3.19), type 2 diabetes (HR 1.81; 95% CI 1.05-3.14), higher systolic blood pressure (HR 1.37; 95% CI 1.24-1.52/10 mmHg), lower estimated glomerular filtration rate (eGFR) (HR 2.86; 95% CI 2.44-3.23/10 mL/min/1.73 m&lt;sup&gt;2&lt;/sup&gt;) and higher urine albumin/creatinine ratio (uACR) (HR 1.19; 95% CI 1.15-1.23/10 mg/mmol) were independently associated with elevated risk of end-stage kidney disease. Body mass index (BMI), waist circumference, non-HDL-cholesterol and exercise were not independently associated with risk of end-stage kidney disease. Incidence of end-stage kidney disease in patients with cardiovascular disease varies according to vascular disease location. Several modifiable risk factors for end-stage kidney disease were identified in patients with cardiovascular disease. These findings highlight the potential of risk factor management in patients with manifest cardiovascular disease.</t>
  </si>
  <si>
    <t>An elevated ankle-brachial index is not a valid proxy for peripheral medial arterial calcification.</t>
  </si>
  <si>
    <t>Hoek, Anna G; Zwakenberg, Sabine R; Elders, Petra J M; de Jong, Pim A; Spiering, Wilko; Bartstra, Jonas W; Doesburg, Teddo; van der Heijden, Amber A; van der Schouw, Yvonne T; Beulens, Joline W J; ,</t>
  </si>
  <si>
    <t>https://pubmed.ncbi.nlm.nih.gov/33770564</t>
  </si>
  <si>
    <t>The ankle brachial index (ABI) is often used as a proxy for medial arterial calcification (MAC) in studies investigating MAC as a cardiovascular risk factor, but evidence supporting this hypothesis is sparse. This study aims to investigate the use of an elevated ABI as proxy for MAC, as visualized with computed tomography (CT). Cross-sectional data of 718 participants with, or at risk of cardiovascular disease was used. The ABI was calculated using cutoffs &gt;1.4 and &gt; 1.3. The presence of MAC was assessed in the crural and femoral arteries by CT imaging. Modified Poisson regression was used to assess the association between an elevated ABI and the presence of MAC, and test characteristics were calculated. MAC was found in 25.0% of participants. An ABI &gt;1.4 was found in 8.7% of participants, of whom 45.2% had MAC. An elevated ABI was significantly associated with the presence of MAC (RR 1.74, CI: 1.26-2.40). However, poor positive specific agreement (23.3%, CI: 13.9-34.3), sensitivity (15.7%, CI: 10.4-21.1) and positive predictive value (45.2%, CI: 32.8-57.5) were found. Despite good specificity (93.6%, CI: 91.6-95.7) the area under the receiving operator curve remained poor (54.7%, CI: 51.8-57.6). Negative specific agreement (84.5%, CI: 81.4-87.0) and negative predictive value (77.0%, CI: 73.7-80.2) were acceptable. An elevated ABI is insufficient to serve as a true diagnostic proxy for MAC. Studies that have drawn conclusions on the association between MAC and cardiovascular disease, solely based on the ABI, are likely to underestimate the found effects.</t>
  </si>
  <si>
    <t>Model-based effectiveness and cost-effectiveness of risk-based selection strategies for adjuvant chemotherapy in Dutch stage II colon cancer patients.</t>
  </si>
  <si>
    <t>Jongeneel, Gabrielle; Greuter, Marjolein J E; van Erning, Felice N; Koopman, Miriam; Vink, Geraldine R; Punt, Cornelis J A; Coupé, Veerle M H</t>
  </si>
  <si>
    <t>therapeutic advances in gastroenterology</t>
  </si>
  <si>
    <t>https://pubmed.ncbi.nlm.nih.gov/33786064</t>
  </si>
  <si>
    <t>We aimed to evaluate the cost-effectiveness of risk-based strategies to improve the selection of surgically treated stage II colon cancer (CC) patients for adjuvant chemotherapy. Using the 'Personalized Adjuvant TreaTment in EaRly stage coloN cancer' (PATTERN) model, we evaluated five selection strategies: (1) no chemotherapy, (2) Dutch guideline recommendations assuming observed adherence, (3) Dutch guideline recommendations assuming perfect adherence, (4) biomarker mutation OR pT4 stage strategy in which patients with &lt;i&gt;MSS&lt;/i&gt; status combined with a pT4 stage or a mutation in &lt;i&gt;BRAF&lt;/i&gt; and/or &lt;i&gt;KRAS&lt;/i&gt; receive chemotherapy assuming perfect adherence and (5) biomarker mutation AND pT4 stage strategy in which patients with &lt;i&gt;MSS&lt;/i&gt; status combined with a pT4 stage tumor and a &lt;i&gt;BRAF&lt;/i&gt; and/or &lt;i&gt;KRAS&lt;/i&gt; mutation receive chemotherapy assuming perfect adherence. Outcomes were number of CC deaths per 1000 patients and total discounted costs and quality-adjusted life-years (QALYs) per patient (pp). Analyses were conducted from a societal perspective. The robustness of model predictions was assessed in sensitivity analyses. The reference strategy, that is, no adjuvant chemotherapy, resulted in 139 CC deaths in a cohort of 1000 patients, 8.077 QALYs pp and total costs of €22,032 pp. Strategies 2-5 were more effective (range 8.094-8.217 QALYs pp and range 118-136 CC deaths per 1000 patients) and more costly (range €22,404-€25,102 pp). Given a threshold of €50,000/QALY, the optimal use of resources would be to treat patients with either the full adherence strategy and biomarker mutation OR pT4 stage strategy. Selection of stage II CC patients for chemotherapy can be improved by either including biomarker status in the selection strategy or by improving adherence to the Dutch guideline recommendations.</t>
  </si>
  <si>
    <t>Model-based evaluation of school- and non-school-related measures to control the COVID-19 pandemic.</t>
  </si>
  <si>
    <t>Rozhnova, Ganna; van Dorp, Christiaan H; Bruijning-Verhagen, Patricia; Bootsma, Martin C J; van de Wijgert, Janneke H H M; Bonten, Marc J M; Kretzschmar, Mirjam E</t>
  </si>
  <si>
    <t>https://pubmed.ncbi.nlm.nih.gov/33712603</t>
  </si>
  <si>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(R&lt;sub&gt;e&lt;/sub&gt;) with non-school-based measures are exhausted or undesired and R&lt;sub&gt;e&lt;/sub&gt;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R&lt;sub&gt;e&lt;/sub&gt; below 1, with unchanged non-school-based contacts.</t>
  </si>
  <si>
    <t>Comparative genomics of ESBL-producing Escherichia coli (ESBL-Ec) reveals a similar distribution of the 10 most prevalent ESBL-Ec clones and ESBL genes among human community faecal and extra-intestinal infection isolates in the Netherlands (2014-17).</t>
  </si>
  <si>
    <t>Verschuuren, T D; van Hout, D; Arredondo-Alonso, S; Fluit, A C; Reuland, E A; Top, J; Schürch, A C; Bosch, T; Bonten, M J M; Kluytmans, J A J W; Willems, R J L</t>
  </si>
  <si>
    <t>https://pubmed.ncbi.nlm.nih.gov/33428729</t>
  </si>
  <si>
    <t>The human gut microbiota is an important reservoir of ESBL-producing Escherichia coli (ESBL-Ec). Community surveillance studies of ESBL-Ec to monitor circulating clones and ESBL genes are logistically challenging and costly. To evaluate if isolates obtained in routine clinical practice can be used as an alternative to monitor the distribution of clones and ESBL genes circulating in the community. WGS was performed on 451 Dutch ESBL-Ec isolates (2014-17), including 162 community faeces and 289 urine and blood isolates. We compared proportions of 10 most frequently identified STs, PopPUNK-based sequence clusters (SCs) and ESBL gene subtypes and the degree of similarity using Czekanowski's proportional similarity index (PSI). Nine out of 10 most prevalent STs and SCs and 8/10 most prevalent ESBL genes in clinical ESBL-Ec were also the most common types in community faeces. The proportions of ST131 (39% versus 23%) and SC131 (40% versus 25%) were higher in clinical isolates than in community faeces (P &lt; 0.01). Within ST131, H30Rx (C2) subclade was more prevalent among clinical isolates (55% versus 26%, P &lt; 0.01). The proportion of ESBL gene blaCTX-M-1 was lower in clinical isolates (5% versus 18%, P &lt; 0.01). Czekanowski's PSI confirmed that the differences in ESBL-Ec from community faeces and clinical isolates were limited. Distributions of the 10 most prevalent clones and ESBL genes from ESBL-Ec community gut colonization and extra-intestinal infection overlapped in majority, indicating that isolates from routine clinical practice could be used to monitor ESBL-Ec clones and ESBL genes in the community.</t>
  </si>
  <si>
    <t>A systematic review of classifications systems to determine complexity of patient care needs in palliative care.</t>
  </si>
  <si>
    <t>Grant, Matthew; de Graaf, Everlien; Teunissen, Saskia</t>
  </si>
  <si>
    <t>https://pubmed.ncbi.nlm.nih.gov/33706600</t>
  </si>
  <si>
    <t>Providing the right care for each individual patient is a key element of quality palliative care. Complexity is a relatively new concept, defined as the nature of patients' situations and the extent of resulting needs. Classifying patients according to the complexity of their care needs can guide integration of services, anticipatory discussions, health service planning, resource management and determination of needs for specialist or general palliative care. However, there is no consistent approach to interpreting and classifying complexity of patient needs. The aim of this article is to identify and describe classification systems for complexity of patient care needs in palliative care. Narrative systematic review (PROSPERO registration number CRD42020182102). MEDLINE, Embase, CINAHL and PsychINFO databases were searched without time limitations. Articles were included that described classification systems for complexity of care requirements in populations with palliative care needs. In total, 4301 records were screened, with nine articles identified reporting the use of patient classification systems in populations with palliative care needs. These articles included the use of six classification systems: HexCom, Perroca Scale, AN-SNAP, Hui Major Criteria, IDC-Pal and PALCOM. These systems were heterogenous in the manner they determined complexity of care needs. The HexCom and IDC-Pal systems contained items that covered all domains of complexity as described by Hodiamont; personal, social support, health care team and environment. Although six classification systems have been developed, they access differing aspects of care needs and their application has been limited. The HexCOM and IDC-Pal systems offer the broadest determinations of complexity from an individual perspective. Further research is needed to apply these systems to populations external to those in which they were developed, and to appreciate how they may integrate with, and impact, clinical care.</t>
  </si>
  <si>
    <t>Cost-effectiveness of a stepwise cardiometabolic disease prevention program: results of a randomized controlled trial in primary care.</t>
  </si>
  <si>
    <t>Stol, Daphne M; Over, Eelco A B; Badenbroek, Ilse F; Hollander, Monika; Nielen, Mark M J; Kraaijenhagen, Roderik A; Schellevis, François G; de Wit, Niek J; de Wit, G Ardine</t>
  </si>
  <si>
    <t>https://pubmed.ncbi.nlm.nih.gov/33691699</t>
  </si>
  <si>
    <t>Cardiometabolic diseases (CMD) are the major cause of death worldwide and are associated with a lower quality of life and high healthcare costs. To prevent a further rise in CMD and related healthcare costs, early detection and adequate management of individuals at risk could be an effective preventive strategy. The objective of this study was to determine long-term cost-effectiveness of stepwise CMD risk assessment followed by individualized treatment if indicated compared to care as usual. A computer-based simulation model was used to project long-term health benefits and cost-effectiveness, assuming the prevention program was implemented in Dutch primary care. A randomized controlled trial in a primary care setting in which 1934 participants aged 45-70 years without recorded CMD or CMD risk factors participated. The intervention group was invited for stepwise CMD risk assessment through a risk score (step 1), additional risk assessment at the practice in case of increased risk (step 2) and individualized follow-up treatment if indicated (step 3). The control group was not invited for risk assessment, but completed a health questionnaire. Results of the effectiveness analysis on systolic blood pressure (- 2.26 mmHg; 95% CI - 4.01: - 0.51) and total cholesterol (- 0.15 mmol/l; 95% CI - 0.23: - 0.07) were used in this analysis. Outcome measures were the costs and benefits after 1-year follow-up and long-term (60 years) cost-effectiveness of stepwise CMD risk assessment compared to no assessment. A computer-based simulation model was used that included data on disability weights associated with age and disease outcomes related to CMD. Analyses were performed taking a healthcare perspective. After 1 year, the average costs in the intervention group were 260 Euro higher than in the control group and differences were mainly driven by healthcare costs. No meaningful change was found in EQ 5D-based quality of life between the intervention and control groups after 1-year follow-up (- 0.0154; 95% CI - 0.029: 0.004). After 60 years, cumulative costs of the intervention were 41.4 million Euro and 135 quality-adjusted life years (QALY) were gained. Despite improvements in blood pressure and cholesterol, the intervention was not cost-effective (ICER of 306,000 Euro/QALY after 60 years). Scenario analyses did not allow for a change in conclusions with regard to cost-effectiveness of the intervention. Implementation of this primary care-based CMD prevention program is not cost-effective in the long term. Implementation of this program in primary care cannot be recommended. Dutch Trial Register NTR4277 , registered on 26 November 2013.</t>
  </si>
  <si>
    <t>[Gastric acid suppression and antibiotic resistance; the role of a meta-analysis].</t>
  </si>
  <si>
    <t>Bonten, M J M; van Werkhoven, C H</t>
  </si>
  <si>
    <t>https://pubmed.ncbi.nlm.nih.gov/33720556</t>
  </si>
  <si>
    <t>We discuss a meta-analysis that reported on the association between gastric acid suppression and carriage with antibiotic resistant bacteria, with a special focus on the association for carriage with ESBL-producing Gram-negative bacteria in non-hospitalized subjects. Results from a recent population-based study (not included in the meta-analysis) were added to this subgroup of the meta-analysis. The data point to a positive, yet minor, association between gastric acid suppression and carriage with ESBL-producing Gram-negative bacteria in non-hospitalized subjects in the Netherlands.</t>
  </si>
  <si>
    <t>The Importance of Radiation Dose to the Atherosclerotic Plaque in the Left Anterior Descending Coronary Artery for Radiation-Induced Cardiac Toxicity of Breast Cancer Patients?</t>
  </si>
  <si>
    <t>van den Bogaard, Veerle A B; Spoor, Daan S; van der Schaaf, Arjen; van Dijk, Lisanne V; Schuit, Ewoud; Sijtsema, Nanna M; Langendijk, Johannes A; Maduro, John H; Crijns, Anne P G</t>
  </si>
  <si>
    <t>https://pubmed.ncbi.nlm.nih.gov/33713741</t>
  </si>
  <si>
    <t>Radiation-induced acute coronary events (ACEs) may occur as a treatment-related late adverse effect of breast cancer (BC) radiation. However, the underlying mechanisms behind this radiation-induced cardiac disease remain to be determined. The objective of this study was to test the hypothesis that radiation dose to calcified atherosclerotic plaques in the left anterior descending coronary artery (LAD) is a better predictor for ACEs than radiation dose to the whole heart or left ventricle in patients with BC treated with radiation therapy. The study cohort consisted of 910 patients with BC treated with postoperative radiation therapy after breast-conserving surgery. In total, 163 patients had an atherosclerotic plaque in the LAD. The endpoint was the occurrence of an ACE after treatment. For each individual patient, the mean heart dose, volume of the left ventricle receiving ≥5 Gy (LV-V5), mean LAD dose, and mean dose to calcified atherosclerotic plaques in the LAD, if present, were acquired based on planning computed tomography scans. Cox regression analysis was used to analyze the effects on the cumulative incidence of ACEs. The median follow-up time was 9.2 years (range, 0.1-14.3 years). In total, 38 patients (4.2%) developed an ACE during follow-up. For patients with an atherosclerotic plaque (n = 163), the mean dose to the atherosclerotic plaque was the strongest predictor for ACEs, even after correction for cardiovascular risk factors (hazard ratio [HR], 1.269; 95% CI, 1.090-1.477; P = .002). The LV-V5 was associated with ACEs in patients without atherosclerotic plaques in the LAD (n = 680) (HR, 1.021; 95% CI, 1.003-1.039; P = .023). The results of this study suggest that radiation dose to pre-existing calcified atherosclerotic plaques in the LAD is strongly associated with the development of ACEs in patients with BC.</t>
  </si>
  <si>
    <t>Relationship between classic vascular risk factors and cumulative recurrent cardiovascular event burden in patients with clinically manifest vascular disease: results from the UCC-SMART prospective cohort study.</t>
  </si>
  <si>
    <t>de Vries, Tamar Irene; Westerink, Jan; Bots, Michiel L; Asselbergs, Folkert W; Smulders, Yvo M; Visseren, Frank L J</t>
  </si>
  <si>
    <t>https://pubmed.ncbi.nlm.nih.gov/34006017</t>
  </si>
  <si>
    <t>The aim of the current study was to assess the relationship between classic cardiovascular risk factors and risk of not only the first recurrent atherosclerotic cardiovascular event, but also the total number of non-fatal and fatal cardiovascular events in patients with recently clinically manifest cardiovascular disease (CVD). Prospective cohort study. Tertiary care centre. 7239 patients with a recent first manifestation of CVD from the prospective UCC-SMART (Utrecht Cardiovascular Cohort - Second Manifestations of ARTerial disease) cohort study. Total cardiovascular events, including myocardial infarction, stroke, vascular interventions, major limb events and cardiovascular mortality. During a median follow-up of 8.9 years, 1412 patients had one recurrent cardiovascular event, while 1290 patients had two or more recurrent events, with a total of 5457 cardiovascular events during follow-up. The HRs for the first recurrent event and cumulative event burden using Prentice-Williams-Peterson models, respectively, were 1.36 (95% CI 1.25 to 1.48) and 1.26 (95% CI 1.17 to 1.35) for smoking, 1.14 (95% CI 1.11 to 1.18) and 1.09 (95% CI 1.06 to 1.12) for non-high-density lipoprotein (HDL) cholesterol, and 1.05 (95% CI 1.03 to 1.07) and 1.04 (95% CI 1.03 to 1.06) for systolic blood pressure per 10 mm Hg. In a cohort of patients with established CVD, systolic blood pressure, non-HDL cholesterol and current smoking are important risk factors for not only the first, but also subsequent recurrent events during follow-up. Recurrent event analysis captures the full cumulative burden of CVD in patients.</t>
  </si>
  <si>
    <t>Experts' moral views on gene drive technologies: a qualitative interview study.</t>
  </si>
  <si>
    <t>de Graeff, N; Jongsma, Karin R; Bredenoord, Annelien L</t>
  </si>
  <si>
    <t>https://pubmed.ncbi.nlm.nih.gov/33685438</t>
  </si>
  <si>
    <t>Gene drive technologies (GDTs) promote the rapid spread of a particular genetic element within a population of non-human organisms. Potential applications of GDTs include the control of insect vectors, invasive species and agricultural pests. Whether, and if so, under what conditions, GDTs should be deployed is hotly debated. Although broad stances in this debate have been described, the convictions that inform the moral views of the experts shaping these technologies and related policies have not been examined in depth in the academic literature. In this qualitative study, we interviewed GDT experts (n = 33) from different disciplines to identify and better understand their moral views regarding these technologies. The pseudonymized transcripts were analyzed thematically. The respondents' moral views were principally influenced by their attitudes towards (1) the uncertainty related to GDTs; (2) the alternatives to which they should be compared; and (3) the role humans should have in nature. Respondents agreed there is epistemic uncertainty related to GDTs, identified similar knowledge gaps, and stressed the importance of realistic expectations in discussions on GDTs. They disagreed about whether uncertainty provides a rationale to refrain from field trials ('risks of intervention' stance) or to proceed with phased testing to obtain more knowledge given the harms of the status quo ('risks of non-intervention' stance). With regards to alternatives to tackle vector-borne diseases, invasive species and agricultural pests, respondents disagreed about which alternatives should be considered (un)feasible and (in)sufficiently explored: conventional strategies ('downstream solutions' stance) or systematic changes to health care, political and agricultural systems ('upstream solutions' stance). Finally, respondents held different views on nature and whether the use of GDTs is compatible with humans' role in nature ('interference' stance) or not ('non-interference stance'). This interview study helps to disentangle the debate on GDTs by providing a better understanding of the moral views of GDT experts. The obtained insights provide valuable stepping-stones for a constructive debate about underlying value conflicts and call attention to topics that deserve further (normative) reflection. Further evaluation of these issues can facilitate the debate on and responsible development of GDTs.</t>
  </si>
  <si>
    <t>Developing leadership in postdoctoral nurses: A longitudinal mixed-methods study.</t>
  </si>
  <si>
    <t>van Dongen, Lisa; Cardiff, Shaun; Kluijtmans, Manon; Schoonhoven, Lisette; Hamers, Jan P H; Schuurmans, Marieke J; Hafsteinsdóttir, Thóra B</t>
  </si>
  <si>
    <t>nursing outlook</t>
  </si>
  <si>
    <t>https://pubmed.ncbi.nlm.nih.gov/33750611</t>
  </si>
  <si>
    <t>Postdoctoral nurses have an important role in advancing nursing by generating knowledge and building networks in research, practice, and education which requires effective leadership. Therefore, the Leadership Mentoring in Nursing Research programme for postdoctoral nurses was developed. This study was to evaluate expectations, experiences, and perceived influence of the leadership mentoring programme on leadership and professional development, professional identity, and research productivity of postdoctoral nurses. A longitudinal mixed-method study with a concurrent triangulation design was used with data collected through semistructured interviews and online surveys. The leadership mentoring programme was found to be valuable by the participants who described strengthened leadership and professional development and development of professional identities. Participants showed increased research productivity and many moved to new/higher positions. The leadership mentoring programme was found to enhance the leadership and professional development of postdoctoral nurses and support them in their academic careers.</t>
  </si>
  <si>
    <t>Correction to: Built environmental characteristics and diabetes: a systematic review and meta-analysis.</t>
  </si>
  <si>
    <t>den Braver, N R; Lakerveld, J; Rutters, F; Schoonmade, L J; Brug, J; Beulens, J W J</t>
  </si>
  <si>
    <t>https://pubmed.ncbi.nlm.nih.gov/33676484</t>
  </si>
  <si>
    <t>Cost of childhood acute otitis media in primary care in the Netherlands: economic analysis alongside a cluster randomised controlled trial.</t>
  </si>
  <si>
    <t>van Uum, Rick T; Venekamp, Roderick P; Pasmans, Clémence T B; de Wit, G Ardine; Sjoukes, Alies; van der Pol, Alma C; Damoiseaux, Roger A M J; Schilder, Anne G M</t>
  </si>
  <si>
    <t>https://pubmed.ncbi.nlm.nih.gov/33663491</t>
  </si>
  <si>
    <t>Acute otitis media (AOM) is among the most common paediatric conditions managed in primary care. Most recent estimates of the cost of AOM date from a decade ago and lack a full societal perspective. We therefore explored the societal cost of childhood AOM in the Netherlands within the setting of a trial comparing the effectiveness of an intervention aimed at educating general practitioners (GPs) about pain management in AOM compared to usual care. Economic analysis alongside a cluster randomised controlled trial conducted between February 2015 and May 2018 in 37 practices (94 GPs). In total, 224 children with AOM were included of which 223 (99%) completed the trial (intervention: n = 94; control: n = 129). The cost of AOM due to health care costs, patient and family costs, and productivity losses by parent caregivers were retrieved from study diaries and primary care electronic health records, during 28-day follow-up. We calculated mean cost (€ and $) per AOM episode per patient with standard deviations (SD, in €) regardless of study group assignment because there was no clinical effect of the trial intervention. In sensitivity analysis, we calculated cost in the intervention and usual care group, after exclusion of extreme outliers. Mean total AOM cost per patient were €565.93 or $638.78 (SD €1071.01); nearly 90% of these costs were due to productivity losses experienced by parents. After exclusion of outliers, AOM cost was €526.70 or $594.50 (SD €987.96) and similar in the intervention and usual care groups: €516.10 or $582.53 (SD €949.69) and €534.55 or $603.36 (SD €920.55) respectively. At €566 or $639 per episode, societal cost of AOM is higher than previously known and mainly driven by productivity losses by children's parents. Considering its high incidence, AOM poses a significant economic burden that extends beyond direct medical costs. Netherlands Trial Register no. NTR4920: http://www.trialregister.nl/trialreg/admin/rctview.asp?TC=4920 .</t>
  </si>
  <si>
    <t>Impact of anticoagulant exposure misclassification on the bleeding risk of direct oral anticoagulants.</t>
  </si>
  <si>
    <t>Hempenius, Mirjam; Groenwold, Rolf H H; Souverein, Patrick C; de Boer, Anthonius; Klungel, Olaf H; Gardarsdottir, Helga</t>
  </si>
  <si>
    <t>https://pubmed.ncbi.nlm.nih.gov/33543516</t>
  </si>
  <si>
    <t>Drug exposure status based on routinely collected data might be misclassified when the database contains only prescriptions from 1 type of prescriber (e.g. general practitioner and not specialist). This study aims to quantify the impact of such exposure misclassification on the risk of major bleeding and stroke/transient ischaemic attack (TIA)associated with direct oral anticoagulants (DOACs) vs. vitamin K antagonists (VKAs). Incident anticoagulant users (&gt;12 mo free of anticoagulation use) in the Dutch PHARMO Database Network between 2008 and 2017 were included. Drug exposure was assessed using pharmacy dispensing information. The risks of hospital admission of major bleeding for DOAC vs. VKA users was assessed with Cox regression analysis, where exposure was based on all dispensings, on general practitioner (GP)-prescribed dispensings only or on specialist-prescribed dispensings only. Hazard ratios (HRs) were estimated also for hospitalization for gastrointestinal bleeding, intracranial bleeding and stroke/TIA. We included 99 182 VKA-initiators and 21 795 DOAC-initiators. Use of DOAC was associated with a lower risk of major bleeding compared to VKA use; HR 0.79 (95% confidence interval 0.70-0.90), 0.78 (0.68-0.91) and 0.62 (0.50-0.76), for exposure based on complete dispensing information, only GP- and only specialist-prescribed dispensings, respectively. Similar results were found for the other bleeding outcomes. For stroke/TIA the HRs were 0.96 (0.84-1.09), 1.00 (0.84-1.18) and 0.72 (0.58-0.90), respectively. Including only GP-prescribed anticoagulant dispensings in this case did not materially impact the effect estimates compared to including all anticoagulant dispensings. Including only specialist-prescribed dispensings, however, strengthened the effect estimates.</t>
  </si>
  <si>
    <t>Association between Practising Religion and Cardiovascular Disease Risk among Ghanaian Non-Migrants and Migrants in Europe: The RODAM Study.</t>
  </si>
  <si>
    <t>Michgelsen, Jessica; Boateng, Daniel; Meeks, Karlijn A C; Beune, Erik; Addo, Juliet; Bahendeka, Silver; Stronks, Karien; Agyemang, Charles</t>
  </si>
  <si>
    <t>https://pubmed.ncbi.nlm.nih.gov/33801505</t>
  </si>
  <si>
    <t>(1) Background: Sub-Saharan African migrants residing in high-income countries are more affected by cardiovascular diseases (CVDs) and associated risk factors than host populations for unclear reasons. The aim was to explore the associations of religion and religious affiliations with CVD risk among Ghanaian non-migrants and migrants in Europe. (2) Methods: The 10-year CVD risk was estimated using pooled cohort equations for 3004 participants from the cross-sectional Research on Obesity and Diabetes among African Migrants (RODAM) study. Logistic regression analyses were conducted to assess associations between religion and elevated CVD risk (score ≥ 7.5) with adjustment for covariates. (3) Results: Religious men in Europe had a lower 10-year CVD risk compared with non-religious men (adjusted OR 0.51; 95% confidence interval 0.30-0.85), specifically men affiliated with Seventh-Day Adventism (0.24; 0.11-0.53) followed by other affiliations (0.32; 0.11-0.94) and Roman Catholicism (0.42; 0.21-0.86). The opposite was found in Ghana, with religious women having higher odds for elevated 10-year CVD risk (1.53; 1.02-2.30) compared with their non-religious counterparts, specifically women affiliated with Reformed Christianity (1.73; 1.03-2.90) and other denominations (2.81; 1.20-6.54). Associations were not significant for men in Ghana and women in Europe. Adjustments for social support, stress, and health behaviors did not meaningfully alter the associations. (4) Conclusions: Christian religious Ghanaian men living in Europe seem to have lower CVD risk compared with their non-religious counterparts, while Christian religious women in Ghana appear to have increased CVD risk. Further unravelling the contributing factors and the differences between sex and environmental settings is needed.</t>
  </si>
  <si>
    <t>Temporal trends in heart failure medication prescription in a population-based cohort study.</t>
  </si>
  <si>
    <t>Uijl, Alicia; Vaartjes, Ilonca; Denaxas, S; Hemingway, Harry; Shah, Anoop; Cleland, J; Grobbee, Diederick; Hoes, Arno; Asselbergs, Folkert W; Koudstaal, Stefan</t>
  </si>
  <si>
    <t>https://pubmed.ncbi.nlm.nih.gov/33653753</t>
  </si>
  <si>
    <t>We examined temporal heart failure (HF) prescription patterns in a large representative sample of real-world patients in the UK, using electronic health records (EHR). From primary and secondary care EHR, we identified 85 732 patients with a HF diagnosis between 2002 and 2015. Almost 50% of patients with HF were women and the median age was 79.1 (IQR 70.2-85.7) years, with age at diagnosis increasing over time. We found several trends in pharmacological HF management, including increased beta blocker prescriptions over time (29% in 2002-2005 and 54% in 2013-2015), which was not observed for mineralocorticoid receptor-antagonists (MR-antagonists) (18% in 2002-2005 and 18% in 2013-2015); higher prescription rates of loop diuretics in women and elderly patients together with lower prescription rates of angiotensin-converting enzyme inhibitors and/or angiotensin II receptor blockers, beta blockers or MR-antagonists in these patients; little change in medication prescription rates occurred after 6 months of HF diagnosis and, finally, patients hospitalised for HF who had no recorded follow-up in primary care had considerably lower prescription rates compared with patients with a HF diagnosis in primary care with or without HF hospitalisation. In the general population, the use of MR-antagonists for HF remained low and did not change throughout 13 years of follow-up. For most patients, few changes were seen in pharmacological management of HF in the 6 months following diagnosis.</t>
  </si>
  <si>
    <t>Inflammation Mediates Exercise Effects on Fatigue in Patients with Breast Cancer.</t>
  </si>
  <si>
    <t>Hiensch, Anouk E; Mijwel, Sara; Bargiela, David; Wengström, Yvonne; May, Anne M; Rundqvist, Helene</t>
  </si>
  <si>
    <t>https://pubmed.ncbi.nlm.nih.gov/32910094</t>
  </si>
  <si>
    <t>The randomized controlled OptiTrain trial showed beneficial effects on fatigue after a 16-wk exercise intervention in patients with breast cancer undergoing adjuvant chemotherapy. We hypothesize that exercise alters systemic inflammation and that this partially mediates the beneficial effects of exercise on fatigue. Two hundred and forty women scheduled for chemotherapy were randomized to 16 wk of resistance and high-intensity interval training (RT-HIIT), moderate-intensity aerobic and high-intensity interval training (AT-HIIT), or usual care (UC). In the current mechanistic analyses, we included all participants with &gt;60% attendance and a random selection of controls (RT-HIIT = 30, AT-HIIT = 27, UC = 29). Fatigue (Piper Fatigue Scale) and 92 markers (e.g., interleukin-6 [IL-6] and tumor necrosis factor α [TNF-α]) were assessed at baseline and postintervention. Mediation analyses were conducted to explore whether changes in inflammation markers mediated the effect of exercise on fatigue. Overall, chemotherapy led to an increase in inflammation. The increases in IL-6 (pleiotropic cytokine) and CD8a (T-cell surface glycoprotein) were however significantly less pronounced after RT-HIIT compared with UC (-0.47, 95% confidence interval = -0.87 to -0.07, and -0.28, 95% confidence interval = -0.57 to 0.004, respectively). Changes in IL-6 and CD8a significantly mediated the exercise effects on both general and physical fatigue by 32.0% and 27.7%, and 31.2% and 26.4%, respectively. No significant between-group differences in inflammatory markers at 16 wk were found between AT-HIIT and UC. This study is the first showing that supervised RT-HIIT partially counteracted the increase in inflammation during chemotherapy, i.e., IL-6 and soluble CD8a, which resulted in lower fatigue levels postintervention. Exercise, including both resistance and high-intensity aerobic training, might be put forward as an effective treatment to reduce chemotherapy-induced inflammation and subsequent fatigue.</t>
  </si>
  <si>
    <t>Therapeutic outcome of early-phase clinical trials in multiple myeloma: a meta-analysis.</t>
  </si>
  <si>
    <t>van Nieuwenhuijzen, Niels; Frunt, Rowan; May, Anne M; Minnema, Monique C</t>
  </si>
  <si>
    <t>blood cancer journal</t>
  </si>
  <si>
    <t>https://pubmed.ncbi.nlm.nih.gov/33649328</t>
  </si>
  <si>
    <t>Great progress in the treatment of patients with multiple myeloma (MM) has been made due to the development of novel drugs. Patients with relapsed/refractory MM (RRMM) can be enrolled in early-phase clinical trials, but their performance across the last decade is unknown. We conducted a meta-analysis on the overall response rate (ORR) and toxicity. PubMed, Embase, and Cochrane Library were systematically searched for phase I and phase II trials investigating an experimental compound as a single agent or in combination with dexamethasone, published from January 1, 2010 to July 1, 2020. Eighty-eight articles were included, describing 61 phase I trials involving 1835 patients and 37 phase II trials involving 2644 patients. There was a high degree of heterogeneity. Using a random-effects model, the 95% CIs of the estimated ORR were 8-17% for phase I trials and 18-28% for phase II trials. There were significant subgroup differences in ORR between the years of publication in phase I trials and between drug classes in both phase I and phase II trials. The ORR in early-phase clinical trials in RRMM is substantial, especially in phase II trials, but due to high heterogeneity a general assessment of clinical benefit before participation is difficult to offer to patients.</t>
  </si>
  <si>
    <t>"If you don't find anything, you can't eat" - Mining livelihoods and income, gender roles, and food choices in northern Guinea.</t>
  </si>
  <si>
    <t>Stokes-Walters, Ronald; Fofana, Mohammed Lamine; Songbono, Joseph Lamilé; Barry, Alpha Oumar; Diallo, Sadio; Nordhagen, Stella; Zhang, Laetitia X; Klemm, Rolf D; Winch, Peter J</t>
  </si>
  <si>
    <t>resources policy</t>
  </si>
  <si>
    <t>https://pubmed.ncbi.nlm.nih.gov/33767524</t>
  </si>
  <si>
    <t>Artisanal and small-scale mining (ASM) continues to grow as a viable economic activity in sub-Saharan Africa. The health and environmental impacts of the industry, notably linked to the use of potentially toxic chemicals, has been well documented. What has not been explored to the same extent is how pressures associated with ASM affect food choices of individuals and families living in mining camps. This paper presents research conducted in 18 mining sites in northern Guinea exploring food choices and the various factors affecting food decision-making practices. Two of the most influential factors to emerge from this study are income variability and gender roles. Results from this study suggest that through artisanal mining, women have the opportunity to earn a larger income that would otherwise be unavailable through agriculture. However, this benefit of potentially earning a larger income is often reduced or constrained by existing gender roles both at the mines and in the home, such as disparity in pay between men and women and increased pressures on women's time. This limits the potential benefit to household food decision-making that could have been gained from higher income. These results do not seek to establish one livelihood as superior; rather, they demonstrate that even when presented with opportunities to earn higher incomes, women still face many of the same barriers and challenges that they would in other economic activities. Additionally, while work and time demands on women change upon arrival in the mining camps, existing gender roles and expectations do not, further restricting women's decision-making capacity.</t>
  </si>
  <si>
    <t>Population Impact of Girls-Only Human Papillomavirus 16/18 Vaccination in The Netherlands: Cross-Protective and Second-Order Herd Effects.</t>
  </si>
  <si>
    <t>Hoes, Joske; Woestenberg, Petra J; Bogaards, Johannes A; King, Audrey J; de Melker, Hester E; Berkhof, Johannes; Hoebe, Christian J P A; van der Sande, Marianne A B; van Benthem, Birgit H B; ,</t>
  </si>
  <si>
    <t>https://pubmed.ncbi.nlm.nih.gov/33249475</t>
  </si>
  <si>
    <t>Human papillomavirus (HPV) vaccination programs achieve substantial population-level impact, with effects extending beyond protection of vaccinated individuals. We assessed trends in HPV prevalence up to 8 years postvaccination among men and women in the Netherlands, where bivalent HPV vaccination, targeting HPV types 16/18, has been offered to (pre)adolescent girls since 2009 with moderate vaccination coverage. We used data from the PASSYON study, a survey initiated in 2009 (prevaccination) and repeated biennially among 16- to 24-year-old visitors of sexual health centers. We studied genital HPV positivity from 2009 to 2017 among women, heterosexual men, and unvaccinated women using Poisson generalized estimating equation models, adjusted for individual- and population-level confounders. Trends were studied for 25 HPV types detected by the SPF10-LiPA25 platform. A total of 6354 women (64.7% self-reported unvaccinated) and 2414 heterosexual men were included. Percentual declines in vaccine types HPV-16/18 were observed for all women (12.6% per year [95% confidence interval {CI}, 10.6-14.5]), heterosexual men (13.0% per year [95% CI, 8.3-17.5]), and unvaccinated women (5.4% per year [95% CI, 2.9-7.8]). We observed significant declines in HPV-31 (all women and heterosexual men), HPV-45 (all women), and in all high-risk HPV types pooled (all women and heterosexual men). Significant increases were observed for HPV-56 (all women) and HPV-52 (unvaccinated women). Our results provide evidence for first-order herd effects among heterosexual men against HPV-16/18 and cross-protective types. Additionally, we show second-order herd effects against vaccine types among unvaccinated women. These results are promising regarding population-level and clinical impact of girls-only bivalent HPV vaccination in a country with moderate vaccine uptake.</t>
  </si>
  <si>
    <t>Substitution of pure fruit juice for fruit and sugar-sweetened beverages and cardiometabolic risk in European Prospective Investigation into Cancer and Nutrition (EPIC)-NL: a prospective cohort study.</t>
  </si>
  <si>
    <t>Scheffers, Floor R; Boer, Jolanda Ma; Wijga, Alet H; van der Schouw, Yvonne T; Smit, Henriëtte A; Verschuren, Wm Monique</t>
  </si>
  <si>
    <t>https://pubmed.ncbi.nlm.nih.gov/33641692</t>
  </si>
  <si>
    <t>Dietary guidelines on pure fruit juice differ between countries regarding the question whether pure fruit juice (without added sugars) is an acceptable substitute for fruit or should be avoided because of its comparable sugar content with that of sugar-sweetened beverages (SSB). We modelled whether substituting pure fruit juice for fruit or SSB was associated with cardiometabolic risk. Prospective cohort study. Based on a validated FFQ at baseline, we calculated the relative contribution of pure fruit juice to total consumption of fruit and pure fruit juice (${{{\rm{pure}}\;{\rm{fruit}}\;{\rm{juice}}\;\;\left( {{\rm{g}}/{\rm{day}}} \right)} \over {{\rm{fruit}}\; + \;{\rm{pure}}\;{\rm{fruit}}\;{\rm{juice}}\;\left( {{\rm{g}}/{\rm{day}}} \right)}}$) and to total consumption of SSB and pure fruit juice (${{{\rm{pure}}\;{\rm{fruit}}\;{\rm{juice}}\;\;\left( {{\rm{g}}/{\rm{day}}} \right)} \over {{\rm{SSBs}}\; + \;{\rm{pure}}\;{\rm{fruit}}\;{\rm{juice}}\;\left( {{\rm{g}}/{\rm{day}}} \right)}}$). In multivariate analyses (Cox regression), we assessed associations with incidence of type 2 diabetes, CVD, CHD and stroke after an average follow-up of 14·6 years. About 35 000 participants from the EPIC-NL study, aged 20-70 years at enrolment. Substitution of pure fruit juice for SSB was associated with lower risk of all endpoints. For type 2 diabetes and CHD, for example, drinking 75-100 % (as compared with 0-&lt;25 %) of total SSB + pure fruit juice as pure fruit juice showed hazard ratio (95 % CI) of 0·74 (95 % CI 0·64, 0·85) and 0·85 (95 % CI 0·76, 0·96), respectively. Substitution of pure fruit juice for fruit was not associated with the risk of type 2 diabetes, CVD, CHD and stroke. Substituting pure fruit juice for SSB was associated with lower cardiometabolic risk, whereas substituting pure fruit juice for fruit was not associated with cardiometabolic risk.</t>
  </si>
  <si>
    <t>Association between Oncostatin M Expression and Inflammatory Phenotype in Experimental Arthritis Models and Osteoarthritis Patients.</t>
  </si>
  <si>
    <t>Garcia, Joao Pedro; Utomo, Lizette; Rudnik-Jansen, Imke; Du, Jie; Zuithoff, Nicolaas P A; Krouwels, Anita; van Osch, Gerjo J V M; Creemers, Laura B</t>
  </si>
  <si>
    <t>cells</t>
  </si>
  <si>
    <t>https://pubmed.ncbi.nlm.nih.gov/33673583</t>
  </si>
  <si>
    <t>Pro-inflammatory cytokines are considered to play a major role in osteoarthritis (OA), yet so far, the specific cytokines involved in the pathology of OA have not been identified. Oncostatin M (OSM) is a cytokine from the interleukin 6 (IL-6) family that has been shown to be elevated in synovial fluid of most rheumatoid arthritis (RA) patients, but only in a limited subset of OA patients. Little is known about OSM in the different joint tissues during OA and how its expression correlates with hallmarks of disease. Here, we mapped OSM expression in the joint tissues of two rat models of arthritis: an acute inflammatory model and an instability-induced osteoarthritic model. OSM expression was correlated with hallmarks of OA, namely cartilage damage, synovitis, and osteophyte formation. Reanalysis of an existing dataset on cytokine profiling of OA synovial fluid was performed to assess pattern differences between patients positive and negative for OSM. In the inflammatory model, OSM expression correlated with synovitis and osteophyte formation but not with cartilage damage. On the contrary, in the instability model of OA, an increase in synovitis, cartilage damage, and osteophyte formation was observed without changes in OSM expression. In line with these findings, synovial fluid of OA patients with detectable OSM contained higher levels of other inflammatory cytokines, namely interferon gamma (IFN-γ), IL-1α and tumor necrosis factor alpha (TNF-α), likely indicating a more inflammatory state. Taken together these data indicate OSM might play a prominent role in inflammatory phenotypes of OA.</t>
  </si>
  <si>
    <t>Patient Preferences in Rare Diseases: A Qualitative Study in Neuromuscular Disorders to Inform a Quantitative Preference Study.</t>
  </si>
  <si>
    <t>https://pubmed.ncbi.nlm.nih.gov/33660162</t>
  </si>
  <si>
    <t>It has become increasingly important to include patient preference information in decision-making processes for drug development. As neuromuscular disorders represent multisystem, debilitating, and progressive rare diseases with few treatment options, this study aimed to explore unmet health care needs and patient treatment preferences for two neuromuscular disorders, myotonic dystrophy type 1 (DM1) and mitochondrial myopathies (MM) to inform early stages of drug development. Fifteen semi-structured interviews and five focus group discussions (FGDs) were held with DM1 and MM adult patients and caregivers. Topics discussed included (1) reasons for study participation; (2) disease signs/symptoms and their impact on daily lives; (3) top desired benefits; and (4) acceptability of risks and tolerance levels for a hypothetical new treatment. Data were analyzed following a thematic 'code' approach. A total of 52 participants representing a wide range of disease severities participated. 'Muscle strength' and 'energy and endurance' were the disease-related unmet needs most often mentioned. Additionally, improved 'balance', 'cognition' and 'gut function' were the top desired treatment benefits, while 'damage to the liver, kidneys or eyes' was the most concerning risk. Factors influencing their tolerance to risks related to previously having experienced the risk and differentiation between permanent and temporary risks. A few differences were elicited between patients and caregivers. This qualitative study provided an open forum to elicit treatment-desired benefits and acceptable risks to be established by patients themselves. These findings can inform decisions for developing new treatments and the design of clinical trials for DM1 and MM.</t>
  </si>
  <si>
    <t>Exploring the relation between modelled and perceived workload of nurses and related job demands, job resources and personal resources; a longitudinal study.</t>
  </si>
  <si>
    <t>van den Oetelaar, Wilhelmina F J M; Roelen, Corné A M; Grolman, Wilko; Stellato, Rebecca K; van Rhenen, Willem</t>
  </si>
  <si>
    <t>https://pubmed.ncbi.nlm.nih.gov/33635900</t>
  </si>
  <si>
    <t>Calculating a modelled workload based on objective measures. Exploring the relation between this modelled workload and workload as perceived by nurses, including the effects of specific job demands, job resources and personal resources on the relation. Academic hospital in the Netherlands. Six surgical wards, capacity 15-30 beds. Data collected over 15 consecutive day shifts. Modelled workload is calculated as a ratio of required care time, based on patient characteristics, baseline care time and time for non-patient related activities, and allocated care time, based on the amount of available nurses. Both required and allocated care time are corrected for nurse proficiency. Five dimensions of perceived workload were determined by questionnaires. Both the modelled and the perceived workloads were measured on a daily basis. Linear mixed effects models study the longitudinal relation between this modelled and workload as perceived by nurses and the effects of personal resources, job resources and job demands. ANOVA and post-hoc tests were used to identify differences in modelled workload between wards. Modelled workload varies roughly between 70 and 170%. Significant differences in modelled workload between wards were found but confidence intervals were wide. Modelled workload is positively associated with all five perceived workload measures (work pace, amount of work, mental load, emotional load, physical load). In addition to modelled workload, the job resource support of colleagues and job demands time spent on direct patient care and time spent on registration had the biggest significant effects on perceived workload. The modelled workload does not exactly predict perceived workload, however there is a correlation between the two. The modelled workload can be used to detect differences in workload between wards, which may be useful in distributing workload more evenly in order prevent issues of over- and understaffing and organizational justice. Extra effort to promote team work is likely to have a positive effect on perceived workload. Nurse management can stimulate team cohesion, especially when workload is high. Registered nurses perceive a higher workload than other nurses. When the proportion of direct patient care in a workday is higher, the perceived workload is also higher. Further research is recommended. The findings of this research can help nursing management in allocating resources and directing their attention to the most relevant factors for balancing workload.</t>
  </si>
  <si>
    <t>Diagnosing serious infections in older adults presenting to ambulatory care: a systematic review.</t>
  </si>
  <si>
    <t>Struyf, Thomas; Boon, Hanne A; van de Pol, Alma C; Tournoy, Jos; Schuermans, Alexander; Verheij, Theo J M; Verbakel, Jan Y; Van den Bruel, Ann</t>
  </si>
  <si>
    <t>https://pubmed.ncbi.nlm.nih.gov/32584974</t>
  </si>
  <si>
    <t>to summarise all available evidence on the accuracy of clinical features and blood tests for diagnosing serious infections in older patients presenting to ambulatory care. systematic review, searching seven databases using a comprehensive search strategy. We included cross-sectional prospective diagnostic studies on (1) clinical features, (2) diagnostic prediction rules based on clinical features alone, (3) blood tests and (4) diagnostic prediction rules combining clinical features and blood tests. Study participants had to be community-dwelling adults aged ≥65 years, in whom a physician suspected an infection. We used QUADAS-2 to assess risk of bias. We calculated measures of diagnostic accuracy and present descriptive statistics. out of 13,757 unique articles, only six studies with a moderate to high risk of bias were included. There was substantial clinical heterogeneity across these studies. Clinical features had LR- ≥0.61 and LR+ ≤4.94. Twelve prediction rules using clinical features had LR- ≥0.30 and LR+ ≤2.78. There was evidence on four blood tests of which procalcitonin was the most often investigated: levels &lt;0.37 ng/ml (LR- = 0.20; 95%CI 0.10-0.42) were suitable to rule out sepsis in moderately high prevalence situations. Two diagnostic prediction rules combining clinical features and procalcitonin had LR- of ≤0.12 (95%CI 0.05-0.33) and LR+ of maximum 1.39 (95%CI 1.30-1.49). we found few studies on the diagnostic accuracy of clinical features and blood tests to detect serious infections in older people presenting to ambulatory care. The risk of bias was mostly moderate to high, leading to substantial uncertainty.</t>
  </si>
  <si>
    <t>Recursive ensemble feature selection provides a robust mRNA expression signature for myalgic encephalomyelitis/chronic fatigue syndrome.</t>
  </si>
  <si>
    <t>Metselaar, Paula I; Mendoza-Maldonado, Lucero; Li Yim, Andrew Yung Fong; Abarkan, Ilias; Henneman, Peter; Te Velde, Anje A; Schönhuth, Alexander; Bosch, Jos A; Kraneveld, Aletta D; Lopez-Rincon, Alejandro</t>
  </si>
  <si>
    <t>https://pubmed.ncbi.nlm.nih.gov/33633136</t>
  </si>
  <si>
    <t>Myalgic encephalomyelitis/chronic fatigue syndrome (ME/CFS) is a chronic disorder characterized by disabling fatigue. Several studies have sought to identify diagnostic biomarkers, with varying results. Here, we innovate this process by combining both mRNA expression and DNA methylation data. We performed recursive ensemble feature selection (REFS) on publicly available mRNA expression data in peripheral blood mononuclear cells (PBMCs) of 93 ME/CFS patients and 25 healthy controls, and found a signature of 23 genes capable of distinguishing cases and controls. REFS highly outperformed other methods, with an AUC of 0.92. We validated the results on a different platform (AUC of 0.95) and in DNA methylation data obtained from four public studies on ME/CFS (99 patients and 50 controls), identifying 48 gene-associated CpGs that predicted disease status as well (AUC of 0.97). Finally, ten of the 23 genes could be interpreted in the context of the derailed immune system of ME/CFS.</t>
  </si>
  <si>
    <t>Epidemiology and Health Economics; Epidemiology and Health Economics; Data Science and Biostatistics; Epidemiology and Health Economics; Epidemiology and Health Economics; Epidemiology and Health Economics</t>
  </si>
  <si>
    <t>O-serotype distribution of Escherichia coli bloodstream infection isolates in critically ill patients in The Netherlands.</t>
  </si>
  <si>
    <t>Verboom, D M; Varkila, M R J; Morrow, B; Davies, T; Ibarra de Palacios, P; Poolman, J; Hermans, P W M; Dudley, E G; Roberts, E; Cremer, O L; Bonten, M J M</t>
  </si>
  <si>
    <t>https://pubmed.ncbi.nlm.nih.gov/33642161</t>
  </si>
  <si>
    <t>Invasive infections by extra-intestinal pathogenic Escherichia coli (ExPEC) strains are increasing. We determined O-serogroups of E. coli isolates from ICU patients having bloodstream infections (BSI) and the potential coverage of a 10-valent O-polysaccharide conjugate vaccine currently in development for the prevention of invasive ExPEC disease. We studied E. coli BSI among patients admitted to a tertiary ICU in the Netherlands between April 2011 and November 2016. O-serogroups were determined in vitro by agglutination and whole genome sequencing. Among 714 ICU patients having BSI, 70 (10%) had an E. coli BSI. Among 68 (97%) isolates serogrouped, the most common serogroups were O25 (n = 11; 16%), O8 (n = 5; 7%), O2 (n = 4; 6%), O6 (n = 4; 6%), and O15 (n = 4; 6%). The theoretical coverage of a 10-valent ExPEC vaccine was 54% (n = 37). A multi-valent ExPEC O-polysaccharide conjugate vaccine in development could potentially aid in the prevention of E. coli BSI in Dutch ICU patients.</t>
  </si>
  <si>
    <t>The probability of receiving a kidney transplantation in end-stage kidney disease patients who are treated with haemodiafiltration or haemodialysis: a pooled individual participant data from four randomised controlled trials.</t>
  </si>
  <si>
    <t>Vernooij, Robin W M; Law, Way; Peters, Sanne A E; Canaud, Bernard; Davenport, Andrew; Grooteman, Muriel P C; Kircelli, Fatih; Locatelli, Francesco; Maduell, Francisco; Morena, Marion; Nubé, Menso J; Ok, Ercan; Torres, Ferran; Woodward, Mark; Blankestijn, Peter J; Bots, Michiel L; ,</t>
  </si>
  <si>
    <t>https://pubmed.ncbi.nlm.nih.gov/33632160</t>
  </si>
  <si>
    <t>Due to a critical shortage of available kidney grafts, most patients with Stage 5 Chronic Kidney Disease (CKD5) require bridging dialysis support. It remains unclear whether treatment by different dialysis modalities changes the selection and/or preparation of a potential transplant candidate. Therefore, we assessed whether the likelihood of receiving kidney transplant (both living or deceased kidney donors) differs between haemodialysis (HD) and online haemodiafiltration (HDF) in patients with CKD5D. Individual participant data from four randomised controlled trials comparing online HDF with HD were used. Information on kidney transplant was obtained during follow-up. The likelihood of receiving a kidney transplant was compared between HD and HDF, and evaluated across different subgroups: age, sex, diabetes, history of cardiovascular disease, albumin, dialysis vintage, fistula, and level of convection volume standardized to body surface area. Hazard ratios (HRs), with corresponding 95% confidence intervals (95% CI), comparing the effect of online HDF versus HD on the likelihood of receiving a kidney transplant, were estimated using Cox proportional hazards models with a random effect for study. After a median follow-up of 2.5 years (Q1 to Q3: 1.9-3.0), 331 of the 1620 (20.4%) patients with CKD5D received a kidney transplant. This concerned 22% (n = 179) of patients who were treated with online HDF compared with 19% (n = 152) of patients who were treated with HD. No differences in the likelihood of undergoing a kidney transplant were found between the two dialysis modalities in both the crude analyse (HR: 1.07, 95% CI: 0.86-1.33) and adjusted analysis for age, sex, diabetes, cardiovascular history, albumin, and creatinine (HR: 1.15, 95%-CI: 0.92-1.44). There was no evidence for a differential effect across subgroups based on patient- and disease-characteristics nor in different categories of convection volumes. Treatment with HD and HDF does not affect the selection and/or preparation of CKD5D patients for kidney transplant given that the likelihood of receiving a kidney transplant does not differ between the dialysis modalities. These finding persisted across a variety of subgroups differing in patient and disease characteristics and is not affected by the level of convection volume delivered during HDF treatment sessions.</t>
  </si>
  <si>
    <t>Challenges Associated with the Safety Signal Detection Process for Medical Devices.</t>
  </si>
  <si>
    <t>Pane, Josep; Verhamme, Katia M C; Villegas, Dorian; Gamez, Laura; Rebollo, Irene; Sturkenboom, Miriam C J M</t>
  </si>
  <si>
    <t>medical devices auckland nz</t>
  </si>
  <si>
    <t>https://pubmed.ncbi.nlm.nih.gov/33658868</t>
  </si>
  <si>
    <t>Previous safety issues involving medical devices have stressed the need for better safety signal detection. Various European Union (EU) national competent authorities have started to focus on strengthening the analysis of vigilance data. Consequently, article 90 of the new EU regulation states that the European Commission shall put in place systems and processes to actively monitor medical device safety signals. A systematic literature review was conducted to synthesize the current state of knowledge and investigate the present tools used for medical device safety signal detection. An electronic literature search was performed in Embase, Medline, Cochrane, Web of science, and Google scholar from inception until January 2017. Articles that included terms related to medical devices and terms associated with safety were selected. A further selection was based on the abstract review. A full review of the remaining articles was conducted to decide on which articles finally to consider relevant for this review. Completeness was assessed based on the content of the articles. Our search resulted in a total of 20,819 articles, of which 24 met the inclusion criteria and were subject to data extraction and completeness scoring. A wide range of data sources, especially spontaneous reporting systems and registries, used for the detection and assessment of product problems and patient harms associated with the use of medical devices, were studied. Coding is remarkably heterogeneous, no agreement on the preferred methods for signal detection exists, and no gold standard for signal detection has been established thus far. Data source harmonization, the development of gold standard signal detection methodologies and the standardization of coding dictionaries are amongst the recommendations to support the implementation of a new proactive approach to signal detection. The new safety surveillance system will be able to use real-world evidence to support regulatory decision-making across all jurisdictions.</t>
  </si>
  <si>
    <t>Temporal trends in stroke incidence and case-fatality rates in Arcadia, Greece: A sequential, prospective, population-based study.</t>
  </si>
  <si>
    <t>Karantali, Eleni; Vemmos, Konstantinos; Tsampalas, Evangelos; Xynos, Konstantinos; Karachalia, Persefoni; Lambrou, Dimitrios; Angeloglou, Stella; Kazakou, Maria; Karagianni, Aikaterini; Aravantinou-Fatorou, Konstantina; Karakatsani, Eleftheria; Bots, Michiel L; Karamatzianni, Georgia; Bellos, Stavros; Ntiloudis, Romanos; Lypiridou, Maria; Gamvoula, Anastasia; Georgiopoulos, Georgios; Ajdini, Erold; Gatselis, Nikolaos; Makaritsis, Konstantinos; Korompoki, Eleni; Ntaios, George</t>
  </si>
  <si>
    <t>https://pubmed.ncbi.nlm.nih.gov/33527879</t>
  </si>
  <si>
    <t>Stroke incidence and case-fatality are reported to decline in high-income countries during the last decades. Epidemiological studies are important for health services to organize prevention and treatment strategies. The aim of this population-based study was to determine temporal trends of stroke incidence and case-fatality rates of first-ever stroke in Arcadia, a prefecture in southern Greece. All first-ever stroke cases in the Arcadia prefecture were ascertained using the same standard criteria and multiple overlapping sources in three study periods: from November 1993 to October 1995; 2004; and 2015-2016. Crude and age-adjusted to European population incidence rates were compared using Poisson regression. Twenty-eight days case fatality rates were estimated and compared using the same method. In total, 1315 patients with first-ever stroke were identified. The age-standardized incidence to the European population was 252 per 100,000 person-years (95% CI 231-239) in 1993/1995, 252 (95% CI 223-286) in 2004, and 211 (192-232) in 2015/2016. The overall age- and sex-adjusted incidence rates fell by 16% (incidence rates ratio 0.84, 95% CI: 0.72-0.97). Similarly, 28-day case-fatality rate decreased by 28% (case fatality rate ratio = 0.72, 95% CI: 0.58-0.90). This population-based study reports a significant decline in stroke incidence and mortality rates in southern Greece between 1993 and 2016.</t>
  </si>
  <si>
    <t>GP involvement after a cancer diagnosis; patients' call to improve decision support.</t>
  </si>
  <si>
    <t>Noteboom, Eveline A; Perfors, Ietje Aa; May, Anne M; Stegmann, Mariken E; Duijts, Saskia Fa; Visserman, Ella A; Engelen, Vivian; Richel, Carol; van der Wall, Elsken; de Wit, Niek; Helsper, Charles W</t>
  </si>
  <si>
    <t>https://pubmed.ncbi.nlm.nih.gov/33172850</t>
  </si>
  <si>
    <t>Shared decision making (SDM) is considered important to realise personalised cancer care. Increased GP involvement after a diagnosis is advocated to improve SDM. To explore whether patients with cancer are in need of GP involvement in cancer care in general and in SDM, and whether GP involvement occurs. An online national survey was distributed by the Dutch Federation of Cancer Patient Organisations (NFK) in May 2019. The survey was sent to (former) patients with cancer. Topics included GP involvement in cancer care in general and in SDM. Descriptive statistics and quotes were used. Among 4763 (former) patients with cancer, 59% (&lt;i&gt;n&lt;/i&gt; = 2804) expressed a need for GP involvement in cancer care. Of these patients, 79% (&lt;i&gt;n&lt;/i&gt; = 2193) experienced GP involvement. Regarding GP involvement in SDM, 82% of patients (&lt;i&gt;n&lt;/i&gt; = 3724) expressed that the GP should 'listen to patients' worries and considerations', 69% (&lt;i&gt;n&lt;/i&gt; = 3130) to 'check patients' understanding of information', 66% (&lt;i&gt;n&lt;/i&gt; = 3006) to 'discuss patients' priorities in life and the consequences of treatment options for these priorities', and 67% (&lt;i&gt;n&lt;/i&gt; = 3045) to 'create awareness of the patient's role in the decision making'. This happened in 47%, 17%, 15% and 10% of these patients, respectively. The majority of (former) patients with cancer expressed a need for active GP involvement in cancer care. GP support in the fundamental SDM steps is presently insufficient. Therefore, GPs should be made aware of these needs and enabled to support their patients with cancer in SDM.</t>
  </si>
  <si>
    <t>The impact of the new Dutch guideline on cardiovascular risk management in patients with COPD: a retrospective study.</t>
  </si>
  <si>
    <t>Nies, Lonneke Me; Akker, Ingrid Looijmans-van den; Rozendaal, Liesbeth; Baar, Brenda; Vos, Rimke C; Hart, Huberta E</t>
  </si>
  <si>
    <t>https://pubmed.ncbi.nlm.nih.gov/33199309</t>
  </si>
  <si>
    <t>Patients with chronic obstructive pulmonary disease (COPD) have an independent increased risk of cardiovascular (CV) disease. Cardiovascular risk (CVR) assessment should be offered to all patients with COPD, according to the new Dutch CVR management (CVRM) guideline (May 2019). To evaluate the impact of the new CVRM guideline on the care of patients with COPD in primary care. A retrospective study took place within five primary healthcare centres located in The Netherlands. In accordance with the guideline, the CVR of all patients with COPD was estimated and categorised. Data from 2014-2019 were used for the qualitative risk assessment based on comorbidities, and the quantitative Systematic Coronary Risk Evaluation (SCORE). In addition, the guideline-based follow-up was investigated. Of the 391 patients with COPD, 84.1% (&lt;i&gt;n&lt;/i&gt; = 329) had complete data on CVR assessment: 90.3% (&lt;i&gt;n&lt;/i&gt; = 297) had a (very) high risk, and 9.7% (&lt;i&gt;n&lt;/i&gt; = 32) a low-to-moderate risk. Of the patients with (very) high risk, 73.4% (&lt;i&gt;n&lt;/i&gt; = 218) received guideline-based follow-up (primary care: 95.4%, secondary care: 4.6%). In 15.9% (&lt;i&gt;n&lt;/i&gt; = 62) of all patients with COPD, the CVR profile was not measured and of the (very) high-risk patients, 26.6% (&lt;i&gt;n&lt;/i&gt; = 79) were not enroled in a CV care programme. Whereas in the majority of patients with COPD the CVR is already known, for one out of six patients this CVR still has to be assessed according to the recently updated guideline. Moreover, once a (very) high risk has been assessed, as a consequence CV treatment of risk factors should be intensified in one out of four patients with COPD. Adherence to the new CVRM guideline could provide improvement in CVRM in more than a third of all patients with COPD.</t>
  </si>
  <si>
    <t>Relationship between sleep disorders, HIV status and cardiovascular risk: cross-sectional study of long-haul truck drivers from Southern Africa.</t>
  </si>
  <si>
    <t>Roche, Johanna; Vos, Alinda G; Lalla-Edward, Samanta T; Venter, W D Francois; Scheuermaier, Karine</t>
  </si>
  <si>
    <t>occupational and environmental medicine</t>
  </si>
  <si>
    <t>https://pubmed.ncbi.nlm.nih.gov/33622782</t>
  </si>
  <si>
    <t>Long-haul truck drivers (TDs) may have lifestyles that promote cardiovascular disease (CVD), including diet, sleep and activity issues. Most studies conducted among truckers investigated the relationship between poor sleep and cardiometabolic health, but none assessed whether suspected obstructive sleep apnoea (OSA) and shortened sleep were associated with markers of cardiometabolic risk. We determined whether sleep disorders and circadian misalignment were associated with chronic inflammation and CVD risk in TDs from Southern Africa. Participants were recruited at roadside wellness centres in Gauteng and Free State Provinces, South Africa. OSA risk was assessed using the Berlin Questionnaire, while sleep duration and sleep quality were assessed using items from the Pittsburgh Sleep Quality Index. Clinical information, neck circumference (NC), metabolic profile, elevated BP, HIV status and C-reactive protein (CRP) were collected. CVD risk was assessed using the Framingham Risk Score (FRS). Out of 575 participants aged on average 37.7 years, 17.2% were at OSA risk, 72.0% had elevated BP, 9.4% had HIV and 28.0% were obese. Mean sleep duration was 7.4±1.8 hours, and 49.6% reported working night shift at least once a week. Shortened sleep, OSA risk, age, body mass index, NC and years as full-time TD were associated with greater FRS independently of HIV status and night shift. Working night shift was associated with higher CRP levels in HIV+ compared with HIV- participants. Circadian misalignment in HIV, and OSA and short sleep duration in all truckers were associated with increased CVD risk. Truckers should be given careful attention in terms of health management and sleep education.</t>
  </si>
  <si>
    <t>Incidence, Prevalence, and Geographical Clustering of Motor Neuron Disease in the Netherlands.</t>
  </si>
  <si>
    <t>de Jongh, Adriaan D; van Eijk, Ruben P A; Peters, Susan M; van Es, Michael A; Horemans, Anja M C; van der Kooi, Anneke J; Voermans, Nicol C; Vermeulen, Roel C H; Veldink, Jan H; van den Berg, Leonard H</t>
  </si>
  <si>
    <t>https://pubmed.ncbi.nlm.nih.gov/33472922</t>
  </si>
  <si>
    <t>To assess time trends in motor neuron disease (MND) incidence, prevalence, and mortality and to investigate geographic clustering of MND cases in the Netherlands from 1998 to 2017, we analyzed data from the Netherlands Personal Records database, the Netherlands MND Center, and the Netherlands Patient Association of Neuromuscular Diseases. In this prospective cohort study, Poisson regression was used to assess time trends in MND risk. We calculated age- and sex-standardized, observed, and expected cases for 1,694 areas. Bayesian smoothed risk mapping was used to investigate geographic MND risk. We identified 7,992 MND cases, reflecting an incidence of 2.64 (95% confidence interval [CI] 2.62-2.67) per 100,000 person-years and a prevalence of 9.5 (95% CI 9.1-10.0) per 100,000 persons. Highest age-standardized prevalence and mortality rates occurred at a later age in men than in women (&lt;i&gt;p&lt;/i&gt; &lt; 0.001). Unadjusted mortality rates increased by 53.2% from 2.57 per 100,000 person-years in 1998 to 3.86 per 100,000 person-years in 2017. After adjustment for age and sex, an increase in MND mortality rate of 14.1% (95% CI 5.7%-23.2%, &lt;i&gt;p&lt;/i&gt; &lt; 0.001) remained. MND relative risk ranged from 0.78 to 1.43 between geographic areas; multiple urban and rural high-risk areas were identified. We found a significant national increase in MND mortality from 1998 through 2017, explained only partly by an aging Dutch population, and a geographic variability in MND risk, suggesting a role for environmental or demographic risk factors.</t>
  </si>
  <si>
    <t>Medication Adherence After Acute Coronary Syndrome in Women Compared With Men: A Systematic Review and Meta-Analysis.</t>
  </si>
  <si>
    <t>Bots, Sophie H; Inia, Jose A; Peters, Sanne A E</t>
  </si>
  <si>
    <t>https://pubmed.ncbi.nlm.nih.gov/34816194</t>
  </si>
  <si>
    <t>&lt;b&gt;Introduction:&lt;/b&gt; Pharmacological treatment is an important component of secondary prevention in acute coronary syndrome (ACS) survivors. However, adherence to medication regimens is often suboptimal, reducing the effectiveness of treatment. It has been suggested that sex influences adherence to cardiovascular medication, but results differ across studies, and a systematic overview is lacking. &lt;b&gt;Methods:&lt;/b&gt; We performed a systematic search of PubMed and EMBASE on 16 October 2019. Studies that reported sex-specific adherence for one or more specific medication classes for ACS patients were included. Odds ratios, or equivalent, were extracted per medication class and combined using a random effects model. &lt;b&gt;Results:&lt;/b&gt; In total, we included 28 studies of which some had adherence data for more than one medication group. There were 7 studies for angiotensin-converting enzyme inhibitors (ACEIs) or angiotensin II receptor blockers (ARBs) (&lt;i&gt;n&lt;/i&gt; = 100,909, 37% women), 8 studies for antiplatelet medication (&lt;i&gt;n&lt;/i&gt; = 37,804, 27% women), 11 studies for beta-blockers (&lt;i&gt;n&lt;/i&gt; = 191,339, 38% women), and 17 studies for lipid-lowering medication (&lt;i&gt;n&lt;/i&gt; = 318,837, 35% women). Women were less adherent to lipid-lowering medication than men (OR = 0.87, 95% CI 0.82-0.92), but this sex difference was not observed for antiplatelet medication (OR = 0.95, 95% CI 0.83-1.09), ACEIs/ARBs (OR = 0.95, 95% CI 0.78-1.17), or beta-blockers (OR = 0.97, 95% CI 0.86-1.11). &lt;b&gt;Conclusion:&lt;/b&gt; Women with ACS have poorer adherence to lipid-lowering medication than men with the same condition. There are no differences in adherence to antiplatelet medication, ACEIs/ARBs, and beta-blockers between women and men with ACS.</t>
  </si>
  <si>
    <t>Medium-Induced Modification of Z-Tagged Charged Particle Yields in Pb+Pb Collisions at 5.02 TeV with the ATLAS Detector.</t>
  </si>
  <si>
    <t>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t>
  </si>
  <si>
    <t>https://pubmed.ncbi.nlm.nih.gov/33666476</t>
  </si>
  <si>
    <t>The yield of charged particles opposite to a Z boson with large transverse momentum (p_{T}) is measured in 260  pb^{-1} of pp and 1.7  nb^{-1} of Pb+Pb collision data at 5.02 TeV per nucleon pair recorded with the ATLAS detector at the Large Hadron Collider. The Z boson tag is used to select hard-scattered partons with specific kinematics, and to observe how their showers are modified as they propagate through the quark-gluon plasma created in Pb+Pb collisions. Compared with pp collisions, charged-particle yields in Pb+Pb collisions show significant modifications as a function of charged-particle p_{T} in a way that depends on event centrality and Z boson p_{T}. The data are compared with a variety of theoretical calculations and provide new information about the medium-induced energy loss of partons in a p_{T} regime difficult to measure through other channels.</t>
  </si>
  <si>
    <t>Classifying maternal deaths in Suriname using WHO ICD-MM: different interpretation by Physicians, National and International Maternal Death Review Committees.</t>
  </si>
  <si>
    <t>Kodan, Lachmi R; Verschueren, Kim J C; McCaw-Binns, Affette M; Tjon Kon Fat, Ray; Browne, Joyce L; Rijken, Marcus J; Bloemenkamp, Kitty W M</t>
  </si>
  <si>
    <t>https://pubmed.ncbi.nlm.nih.gov/33608026</t>
  </si>
  <si>
    <t>The World Health Organization (WHO) provides a framework (ICD-MM) to classify pregnancy-related deaths systematically, which enables global comparison among countries. We compared the classification of pregnancy-related deaths in Suriname by the attending physician and by the national maternal death review (MDR) committee and among the MDR committees of Suriname, Jamaica and the Netherlands. There were 89 possible pregnancy-related deaths in Suriname between 2010 and 2014. Nearly half (47%) were classified differently by the Surinamese MDR committee as compared to the classification of the attending physicians. All three MDR committees agreed that 18% (n = 16/89) of the cases were no maternal deaths. Out of the remaining 73 cases, there was disagreement regarding whether 15% (n = 11) were maternal deaths. The Surinamese and Jamaican MDR committees achieved greater consensus in classification than the Surinamese and the Netherlands MDR committees. The Netherlands MDR committee classified more deaths as unspecified than Surinamese and the Jamaican MDR committees. Underlying causes that achieved a high level of agreement among the three committees were abortive outcomes and obstetric hemorrhage, while little agreement was reported for unspecified and other direct causes. The issues encountered during maternal death classification using the ICD-MM guidelines included classification of suicide during early pregnancy; when to assume pregnancy without objective evidence; how to count maternal deaths occurring outside the country of residence; the relevance of direct or indirect cause attribution; and how to select the underlying cause when direct and indirect conditions or multiple comorbidities co-occur. Addressing these classification barriers in future revisions of the ICD-MM guidelines could enhance the feasibility of maternal death classification and facilitate global comparison. Insight into the underlying causes of pregnancy-related deaths is essential to develop policies to avert preventable deaths. The WHO International Classification of Diseases-Maternal Mortality (ICD-MM) guidelines provide a framework to standardize maternal death classifications and enable comparison in and among countries over time. However, despite the implementation of these guidelines, differences in classification remain. We evaluated consensus on maternal death classification using the ICD-MM guidelines. The classification of pregnancy-related deaths in Suriname during 2010-2014 was compared in the country (between the attending physician and the national maternal death review (MDR) committee), and among the MDR committees from Suriname, Jamaica and the Netherlands. All reviewers applied the ICD-MM guidelines. The inter-rater reliability (Fleiss kappa [κ]) was used to measure agreement. Out of the 89 cases certified by attending physicians, 47% (n = 42) were classified differently by the Surinamese MDR committee. The three MDR committees agreed that 18% (n = 16/89) of these cases were no maternal deaths, and, therefore, excluded from further analyses. However, opinions differed whether 15% (n = 11) of the remaining 73 cases were maternal deaths. The MDR committees achieved moderate agreement classifying the deaths into type (direct, indirect and unspecified) (κ = 0.53) and underlying cause group (κ = 0.52). The Netherlands MDR committee classified more maternal deaths as unspecified (19%), than the Jamaican (7%) and Surinamese (4%) committees did. The mutual agreement between the Surinamese and Jamaican MDR committees (κ = 0.69 vs κ = 0.63) was better than between the Surinamese and the Netherlands MDR committees (κ = 0.48 vs κ = 0.49) for classification into type and underlying cause group, respectively. Agreement on the underlying cause category was excellent for abortive outcomes (κ = 0.85) and obstetric hemorrhage (κ = 0.74) and fair for unspecified (κ = 0.29) and other direct causes (κ = 0.32). Maternal death classification differs in Suriname and among MDR committees from different countries, despite using the ICD-MM guidelines on similar cases. Specific challenges in applying these guidelines included attribution of underlying cause when comorbidities occurred, the inclusion of deaths from suicides, and maternal deaths that occurred outside the country of residence.</t>
  </si>
  <si>
    <t>Development and Validation of Nomograms to Predict Local, Regional, and Distant Recurrence in Patients With Thin (T1) Melanomas.</t>
  </si>
  <si>
    <t>El Sharouni, Mary-Ann; Ahmed, Tasnia; Varey, Alexander H R; Elias, Sjoerd G; Witkamp, Arjen J; Sigurdsson, Vigfús; Suijkerbuijk, Karijn P M; van Diest, Paul J; Scolyer, Richard A; van Gils, Carla H; Thompson, John F; Blokx, Willeke A M; Lo, Serigne N</t>
  </si>
  <si>
    <t>https://pubmed.ncbi.nlm.nih.gov/33600211</t>
  </si>
  <si>
    <t>Although the prognosis of patients with thin primary cutaneous melanomas (T1, ≤ 1.0 mm) is generally excellent, some develop recurrence. We sought to develop and validate a model predicting recurrences in patients with thin melanomas. A Dutch population-based cohort (n = 25,930, development set) and a cohort from an Australian melanoma treatment center (n = 2,968, validation set) were analyzed (median follow-up 6.7 and 12.0 years, respectively). Multivariable Cox models were generated for local, regional, and distant recurrence-free survival (RFS). Discrimination was assessed using Harrell's C-statistic for each outcome. Each nomogram performance was evaluated using calibration plots defining low-risk and high-risk groups as the lowest and top 5% of the nomogram risk score, respectively. The nomograms' C-statistics were compared with those of a model including the current American Joint Committee on Cancer staging parameters (T-stage and sentinel node status). Local, regional, and distant recurrences were found in 209 (0.8%), 503 (1.9%), and 203 (0.8%) Dutch patients, respectively, and 23 (0.8%), 61 (2.1%), and 75 (2.5%) Australian patients, respectively. C-statistics of 0.79 (95% CI, 0.75 to 0.82) for local RFS, 0.77 (95% CI, 0.75 to 0.78) for regional RFS, and 0.80 (95% CI, 0.77 to 0.83) for distant RFS were obtained for the development model. External validation showed C-statistics of 0.80 (95% CI, 0.69 to 0.90), 0.76 (95% CI, 0.70 to 0.82), and 0.74 (95% CI, 0.69 to 0.80), respectively. Calibration plots showed a good match between predicted and observed rates. Using the nomogram, the C-statistic was increased by 9%-12% for the development cohort and by 11%-15% for the validation cohort, compared with a model including only T-stage and sentinel node status. Most patients with thin melanomas have an excellent prognosis, but some develop recurrence. The presented nomograms can accurately identify a subgroup at high risk. An online calculator is available at www.melanomarisk.org.au.</t>
  </si>
  <si>
    <t>Impact of the COVID-19 Pandemic on Antibiotic Prescribing for Common Infections in The Netherlands: A Primary Care-Based Observational Cohort Study.</t>
  </si>
  <si>
    <t>van de Pol, Alma C; Boeijen, Josi A; Venekamp, Roderick P; Platteel, Tamara; Damoiseaux, Roger A M J; Kortekaas, Marlous F; van der Velden, Alike W</t>
  </si>
  <si>
    <t>https://pubmed.ncbi.nlm.nih.gov/33670657</t>
  </si>
  <si>
    <t>In 2020, the COVID-19 pandemic brought dramatic changes in the delivery of primary health care across the world, presumably changing the number of consultations for infectious diseases and antibiotic use. We aimed to assess the impact of the pandemic on infections and antibiotic prescribing in Dutch primary care. All patients included in the routine health care database of the Julius General Practitioners' Network were followed from March through May 2019 (&lt;i&gt;n&lt;/i&gt; = 389,708) and March through May 2020 (&lt;i&gt;n&lt;/i&gt; = 405,688). We extracted data on consultations for respiratory/ear, urinary tract, gastrointestinal and skin infections using the International Classification of Primary Care (ICPC) codes. These consultations were combined in disease episodes and linked to antibiotic prescriptions. The numbers of infectious disease episodes (total and those treated with antibiotics), complications, and antibiotic prescription rates (i.e., proportion of episodes treated with antibiotics) were calculated and compared between the study periods in 2019 and 2020. Fewer episodes were observed during the pandemic months than in the same months in 2019 for both the four infectious disease entities and complications such as pneumonia, mastoiditis and pyelonephritis. The largest decline was seen for gastrointestinal infections (relative risk (RR), 0.54; confidence interval (CI), 0.51 to 0.58) and skin infections (RR, 0.71; CI, 0.67 to 0.75). The number of episodes treated with antibiotics declined as well, with the largest decrease seen for respiratory/ear infections (RR, 0.54; CI, 0.52 to 0.58). The antibiotic prescription rate for respiratory/ear infections declined from 21% to 13% (difference -8.0% (CI, -8.8 to -7.2)), yet the prescription rates for other infectious disease entities remained similar or increased slightly. The decreases in primary care infectious disease episodes and antibiotic use were most pronounced in weeks 15-19, mid-COVID-19 wave, after an initial peak in respiratory/ear infection presentation in week 11, the first week of lock-down. In conclusion, our findings indicate that the COVID-19 pandemic has had profound effects on the presentation of infectious disease episodes and antibiotic use in primary care in the Netherlands. Consequently, the number of infectious disease episodes treated with antibiotics decreased. We found no evidence of an increase in complications.</t>
  </si>
  <si>
    <t>Feasibility of continuous monitoring of vital signs in surgical patients on a general ward: an observational cohort study.</t>
  </si>
  <si>
    <t>Leenen, Jobbe P L; Dijkman, Eline M; van Dijk, Joris D; van Westreenen, Henderik L; Kalkman, Cor; Schoonhoven, Lisette; Patijn, Gijsbert A</t>
  </si>
  <si>
    <t>https://pubmed.ncbi.nlm.nih.gov/33597138</t>
  </si>
  <si>
    <t>To determine feasibility, in terms of acceptability and system fidelity, of continuous vital signs monitoring in abdominal surgery patients on a general ward. Observational cohort study. Tertiary teaching hospital. Postoperative abdominal surgical patients (n=30) and nurses (n=23). Patients were continuously monitored with the SensiumVitals wearable device until discharge in addition to usual care, which is intermittent Modified Early Warning Score measurements. Heart rate, respiratory rate and axillary temperature were monitored every 2 min. Values and trends were visualised and alerts sent to the nurses. System fidelity was measured by analysis of the monitoring data. Acceptability by patients and nurses was assessed using questionnaires. Thirty patients were monitored for a median duration of 81 hours (IQR 47-143) per patient, resulting in 115 217 measurements per parameter. In total, 19% (n=21 311) of heart rate, 51% (n=59 184) of respiratory rate and 9% of temperature measurements showed artefacts (n=10 269). The system algorithm sent 972 alerts (median alert rate of 4.5 per patient per day), of which 90.3% (n=878) were system alerts and 9.7% (n=94) were vital sign alerts. 35% (n=33) of vital sign alerts were true positives. 93% (n=25) of patients rated the patch as comfortable, 67% (n=18) felt safer and 89% (n=24) would like to wear it next time in the hospital. Nurses were neutral about usefulness, with a median score of 3.5 (IQR 3.1-4) on a 7-point Likert scale, ease of use 3.7 (IQR 3.2-4.8) and satisfaction 3.7 (IQR 3.2-4.8), but agreed on ease of learning at 5.0 (IQR 4.0-5.8). Neutral scores were mostly related to the perceived limited fidelity of the system. Continuous monitoring of vital signs with a wearable device was well accepted by patients. Nurses' ratings were highly variable, resulting in on average neutral attitude towards remote monitoring. Our results suggest it is feasible to monitor vital signs continuously on general wards, although acceptability of the device among nurses needs further improvement.</t>
  </si>
  <si>
    <t>The Prospective Dutch Colorectal Cancer (PLCRC) cohort: real-world data facilitating research and clinical care.</t>
  </si>
  <si>
    <t>Derksen, Jeroen W G; Vink, Geraldine R; Elferink, Marloes A G; Roodhart, Jeanine M L; Verkooijen, Helena M; van Grevenstein, Wilhelmina M U; Siersema, Peter D; May, Anne M; Koopman, Miriam; ,</t>
  </si>
  <si>
    <t>https://pubmed.ncbi.nlm.nih.gov/33594104</t>
  </si>
  <si>
    <t>Real-world data (RWD) sources are important to advance clinical oncology research and evaluate treatments in daily practice. Since 2013, the Prospective Dutch Colorectal Cancer (PLCRC) cohort, linked to the Netherlands Cancer Registry, serves as an infrastructure for scientific research collecting additional patient-reported outcomes (PRO) and biospecimens. Here we report on cohort developments and investigate to what extent PLCRC reflects the "real-world". Clinical and demographic characteristics of PLCRC participants were compared with the general Dutch CRC population (n = 74,692, Dutch-ref). To study representativeness, standardized differences between PLCRC and Dutch-ref were calculated, and logistic regression models were evaluated on their ability to distinguish cohort participants from the Dutch-ref (AU-ROC 0.5 = preferred, implying participation independent of patient characteristics). Stratified analyses by stage and time-period (2013-2016 and 2017-Aug 2019) were performed to study the evolution towards RWD. In August 2019, 5744 patients were enrolled. Enrollment increased steeply, from 129 participants (1 hospital) in 2013 to 2136 (50 of 75 Dutch hospitals) in 2018. Low AU-ROC (0.65, 95% CI: 0.64-0.65) indicates limited ability to distinguish cohort participants from the Dutch-ref. Characteristics that remained imbalanced in the period 2017-Aug'19 compared with the Dutch-ref were age (65.0 years in PLCRC, 69.3 in the Dutch-ref) and tumor stage (40% stage-III in PLCRC, 30% in the Dutch-ref). PLCRC approaches to represent the Dutch CRC population and will ultimately meet the current demand for high-quality RWD. Efforts are ongoing to improve multidisciplinary recruitment which will further enhance PLCRC's representativeness and its contribution to a learning healthcare system.</t>
  </si>
  <si>
    <t>Exploring the characteristics of a local demand for African wild meat: A focus group study of long-term Ghanaian residents in the Netherlands.</t>
  </si>
  <si>
    <t>Morrison-Lanjouw, Sandrella M; Coutinho, Roel A; Boahene, Kwasi; Pool, Robert</t>
  </si>
  <si>
    <t>https://pubmed.ncbi.nlm.nih.gov/33592000</t>
  </si>
  <si>
    <t>While there is a growing body of research documenting unregulated African wild meat imports into Europe from the Africa continent, the drivers of this demand are virtually unknown. This study employs focus group discussions and a survey questionnaire to examine the attitudes and practices related to African wild meat consumption in the city of Amsterdam, Netherlands. The Ghanaian community was selected as the object of this study, as it is the largest West African population in the Netherlands and represents an important part of Dutch society. We model our report on a recent US study of the Liberian community of Minneapolis, Minnesota, which allows for the comparison of results between two Western countries. The overall perceived health risk of consuming African wild meat in The Netherlands is low and unlikely to deter consumption. However, local prices for the meat may be prohibitive in some cases. Incentives include health benefits, cultural drivers and a strong preference for the taste of African wild meat over all local meat alternatives. The study calls for further research into the nature of the drivers of demand for African wild meat as well as its public health consequences, in the Netherlands and beyond.</t>
  </si>
  <si>
    <t>Agarose-resolvable InDel markers based on whole genome re-sequencing in cucumber.</t>
  </si>
  <si>
    <t>Adedze, Yawo Mawunyo Nevame; Lu, Xia; Xia, Yingchun; Sun, Qiuyue; Nchongboh, Chofong G; Alam, Md Amirul; Liu, Menghua; Yang, Xue; Zhang, Wenting; Deng, Zhijun; Li, Wenhu; Si, Longting</t>
  </si>
  <si>
    <t>https://pubmed.ncbi.nlm.nih.gov/33594240</t>
  </si>
  <si>
    <t>Insertion and Deletion (InDel) are common features in genomes and are associated with genetic variation. The whole-genome re-sequencing data from two parents (X1 and X2) of the elite cucumber (Cucumis sativus) hybrid variety Lvmei No.1 was used for genome-wide InDel polymorphisms analysis. Obtained sequence reads were mapped to the genome reference sequence of Chinese fresh market type inbred line '9930' and gaps conforming to InDel were pinpointed. Further, the level of cross-parents polymorphism among five pairs of cucumber breeding parents and their corresponding hybrid varieties were used for evaluating hybrid seeds purity test efficiency of InDel markers. A panel of 48 cucumber breeding lines was utilized for PCR amplification versatility and phylogenetic analysis of these markers. In total, 10,470 candidate InDel markers were identified for X1 and X2. Among these, 385 markers with more than 30 nucleotide difference were arbitrary chosen. These markers were selected for experimental resolvability through electrophoresis on an Agarose gel. Two hundred and eleven (211) accounting for 54.81% of markers could be validated as single and clear polymorphic pattern while 174 (45.19%) showed unclear or monomorphic genetic bands between X1 and X2. Cross-parents polymorphism evaluation recorded 68 (32.23%) of these markers, which were designated as cross-parents transferable (CPT) InDel markers. Interestingly, the marker InDel114 presented experimental transferability between cucumber and melon. A panel of 48 cucumber breeding lines including parents of Lvmei No. 1 subjected to PCR amplification versatility using CPT InDel markers successfully clustered them into fruit and common cucumber varieties based on phylogenetic analysis. It is worth noting that 16 of these markers were predominately associated to enzymatic activities in cucumber. These agarose-based InDel markers could constitute a valuable resource for hybrid seeds purity testing, germplasm classification and marker-assisted breeding in cucumber.</t>
  </si>
  <si>
    <t>Estimation of manufacturing development costs of cell-based therapies: a feasibility study.</t>
  </si>
  <si>
    <t>Ten Ham, Renske M T; Nievaart, Julianne C; Hoekman, Jarno; Cooper, Rachel S; Frederix, Geert W J; Leufkens, Hubert G M; Klungel, Olaf H; Ovelgönne, Hans; Hoefnagel, Marcel H N; Turner, Marc L; Mountford, Joanne C</t>
  </si>
  <si>
    <t>cytotherapy</t>
  </si>
  <si>
    <t>https://pubmed.ncbi.nlm.nih.gov/33593688</t>
  </si>
  <si>
    <t>Cell-based therapies (CBTs) provide opportunities to treat rare and high-burden diseases. Manufacturing development of these innovative products is said to be complex and costly. However, little research is available providing insight into resource use and cost drivers. Therefore, this study aimed to assess the feasibility of estimating the cost of manufacturing development of two cell-based therapy case studies using a CBT cost framework specifically designed for small-scale cell-based therapies. A retrospective costing study was conducted in which the cost of developing an adoptive immunotherapy of Epstein-Barr virus-specific cytotoxic T lymphocytes (CTLs) and a pluripotent stem cell (PSC) master cell bank was estimated. Manufacturing development was defined as products advancing from technology readiness level 3 to 6. The study was conducted in a Scottish facility. Development steps were recreated via developer focus groups. Data were collected from facility administrative and financial records and developer interviews. Application of the manufacturing cost framework to retrospectively estimate the manufacturing design cost of two case studies in one Scottish facility appeared feasible. Manufacturing development cost was estimated at £1,201,016 for CTLs and £494,456 for PSCs. Most costs were accrued in the facility domain (56% and 51%), followed by personnel (20% and 32%), materials (19% and 15%) and equipment (4% and 2%). Based on this study, it seems feasible to retrospectively estimate resources consumed in manufacturing development of cell-based therapies. This fosters inclusion of cost in the formulation and dissemination of best practices to facilitate early and sustainable patient access and inform future cost-conscious manufacturing design decisions.</t>
  </si>
  <si>
    <t>Endovascular treatment for basilar artery occlusion: A systematic review and meta-analysis.</t>
  </si>
  <si>
    <t>Katsanos, Aristeidis H; Safouris, Apostolos; Nikolakopoulos, Stavros; Mavridis, Dimitris; Goyal, Nitin; Psychogios, Marios N; Magoufis, Georgios; Krogias, Christos; Catanese, Luciana; Van Adel, Brian; Raphaeli, Guy; Sarraj, Amrou; Themistocleous, Marios; Kararizou, Evangelia; Turc, Guillaume; Arthur, Adam; Alexandrov, Andrei V; Tsivgoulis, Georgios</t>
  </si>
  <si>
    <t>european journal of neurology</t>
  </si>
  <si>
    <t>https://pubmed.ncbi.nlm.nih.gov/33482047</t>
  </si>
  <si>
    <t>Independent randomized controlled clinical trials (RCTs) have provided robust evidence for endovascular treatment (EVT) as the standard of care treatment for acute large vessel occlusions in the anterior circulation. We examined available studies specific to posterior cerebral circulation ischemic strokes to see if any conclusions can be drawn regarding EVT options. We performed a systematic literature search to identify studies evaluating the safety and efficacy of EVT versus standard medical treatment for patients with acute basilar artery occlusion (BAO). We extracted data for outcomes of interest and presented associations between the two groups with the use of risk ratios (RRs) or odds ratios (ORs), with corresponding 95% confidence intervals (CIs). We used a random-effects model to pool the effect estimates. We identified five studies (two RCTs, three observational cohorts) including a total of 1098 patients. Patients receiving EVT had a higher risk of symptomatic intracranial hemorrhage (sICH) compared to those receiving non-interventional medical management (RR 5.42, 95% CI 2.74-10.71). Nonsignificant trends towards modified Rankin Scale (mRS) scores 0-2 (RR 1.02, 95% CI 0.74-1.41), mRS scores 0-3 (RR = 0.97, 95% CI 0.64-1.47), overall functional improvement (OR 0.93, 95% CI 0.57-1.51), and all-cause mortality (RR 1.03, 95% CI 0.78-1.35) at 3 months were seen. Although EVT increases the probability of sICH, the available data do not exclude the possibility of improved functional outcomes over standard therapy. As larger studies are challenged by the perceived lack of equipoise in this vulnerable patient population, results of ongoing RCTs are expected to provide substantial input for future meta-analyses.</t>
  </si>
  <si>
    <t>Added value of cardiovascular calcifications for prediction of recurrent cardiovascular events and cardiovascular interventions in patients with established cardiovascular disease.</t>
  </si>
  <si>
    <t>van 't Klooster, Cilie C; van der Graaf, Yolanda; Nathoe, Hendrik M; Bots, Michiel L; de Borst, Gert J; Visseren, Frank L J; Leiner, Tim; ,</t>
  </si>
  <si>
    <t>the international journal of cardiovascular imaging</t>
  </si>
  <si>
    <t>https://pubmed.ncbi.nlm.nih.gov/33580447</t>
  </si>
  <si>
    <t>The purpose is to investigate the added prognostic value of coronary artery calcium (CAC), thoracic aortic calcium (TAC), and heart valve calcium scores for prediction of a combined endpoint of recurrent major cardiovascular events and cardiovascular interventions (MACE +) in patients with established cardiovascular disease (CVD). In total, 567 patients with established CVD enrolled in a substudy of the UCC-SMART cohort, entailing cardiovascular CT imaging and calcium scoring, were studied. Five Cox proportional hazards models for prediction of 4-year risk of MACE + were developed; traditional CVD risk predictors only (model I), with addition of CAC (model II), TAC (model III), heart valve calcium (model IV), and all calcium scores (model V). Bootstrapping was performed to account for optimism. During a median follow-up of 3.43 years (IQR 2.28-4.74) 77 events occurred (MACE+). Calibration of predicted versus observed 4-year risk for model I without calcium scores was good, and the c-statistic was 0.65 (95%CI 0.59-0.72). Calibration for models II-V was similar to model I, and c-statistics were 0.67, 0.65, 0.65, and 0.68 for model II, III, IV, and V, respectively. NRIs showed improvement in risk classification by model II (NRI 15.24% (95%CI 0.59-29.39)) and model V (NRI 20.00% (95%CI 5.59-34.92)), but no improvement for models III and IV. In patients with established CVD, addition of the CAC score improved performance of a risk prediction model with classical risk factors for the prediction of the combined endpoint MACE+ . Addition of the TAC or heart valve score did not improve risk predictions.</t>
  </si>
  <si>
    <t>Medication review interventions to reduce hospital readmissions in older people.</t>
  </si>
  <si>
    <t>Dautzenberg, Lauren; Bretagne, Lisa; Koek, Huiberdina L; Tsokani, Sofia; Zevgiti, Stella; Rodondi, Nicolas; Scholten, Rob J P M; Rutjes, Anne W; Di Nisio, Marcello; Raijmann, Renee C M A; Emmelot-Vonk, Marielle; Jennings, Emma L M; Dalleur, Olivia; Mavridis, Dimitris; Knol, Wilma</t>
  </si>
  <si>
    <t>https://pubmed.ncbi.nlm.nih.gov/33576506</t>
  </si>
  <si>
    <t>To assess the efficacy of medication review as an isolated intervention and with several co-interventions for preventing hospital readmissions in older adults. Ovid MEDLINE, Embase, The Cochrane Central Register of Controlled Trials and CINAHL were searched for randomized controlled trials evaluating the effectiveness of medication review interventions with or without co-interventions to prevent hospital readmissions in hospitalized or recently discharged adults aged ≥65, until September 13, 2019. Included outcomes were "at least one all-cause hospital readmission within 30 days and at any time after discharge from the index admission." Twenty-five studies met the inclusion criteria. Of these, 11 studies (7,318 participants) contributed to the network meta-analysis (NMA) on all-cause hospital readmission within 30 days. Medication review in combination with (a) medication reconciliation and patient education (risk ratio (RR) 0.45; 95% confidence interval (CI) 0.26-0.80) and (b) medication reconciliation, patient education, professional education and transitional care (RR 0.64; 95% CI 0.49-0.84) were associated with a lower risk of all-cause hospital readmission compared to usual care. Medication review in isolation did not significantly influence hospital readmissions (RR 1.06; 95% CI 0.45-2.51). The NMA on all-cause hospital readmission at any time included 24 studies (11,677 participants). Medication review combined with medication reconciliation, patient education, professional education and transitional care resulted in a reduction of hospital readmissions (RR 0.82; 95% CI 0.74-0.91) compared to usual care. The quality of the studies included in this systematic review raised some concerns, mainly regarding allocation concealment, blinding and contamination. Medication review in combination with medication reconciliation, patient education, professional education and transitional care, was associated with a lower risk of hospital readmissions compared to usual care. An effect of medication review without co-interventions was not demonstrated. Trials of higher quality are needed in this field.</t>
  </si>
  <si>
    <t>Performance of Risk Assessment Models for Prevalent or Undiagnosed Type 2 Diabetes Mellitus in a Multi-Ethnic Population-The Helius Study.</t>
  </si>
  <si>
    <t>Obura, Morgan O; van Valkengoed, Irene Gm; Rutters, Femke; 't Hart, Leen M; Rauh, Simone P; Moll van Charante, Eric P; Snijder, Marieke B; Beulens, Joline W J</t>
  </si>
  <si>
    <t>https://pubmed.ncbi.nlm.nih.gov/33598393</t>
  </si>
  <si>
    <t>Most risk assessment models for type 2 diabetes (T2DM) have been developed in Caucasians and Asians; little is known about their performance in other ethnic groups. We aimed to identify existing models for the risk of prevalent or undiagnosed T2DM and externally validate them in a multi-ethnic population currently living in the Netherlands. A literature search to identify risk assessment models for prevalent or undiagnosed T2DM was performed in PubMed until December 2017. We validated these models in 4,547 Dutch, 3,035 South Asian Surinamese, 4,119 African Surinamese, 2,326 Ghanaian, 3,598 Turkish, and 3,894 Moroccan origin participants from the HELIUS (Healthy LIfe in an Urban Setting) cohort study performed in Amsterdam. Model performance was assessed in terms of discrimination (C-statistic) and calibration (Hosmer-Lemeshow test). We identified 25 studies containing 29 models for prevalent or undiagnosed T2DM. C-statistics varied between 0.77-0.92 in Dutch, 0.66-0.83 in South Asian Surinamese, 0.70-0.82 in African Surinamese, 0.61-0.81 in Ghanaian, 0.69-0.86 in Turkish, and 0.69-0.87 in the Moroccan populations. The C-statistics were generally lower among the South Asian Surinamese, African Surinamese, and Ghanaian populations and highest among the Dutch. Calibration was poor (Hosmer-Lemeshow p &lt; 0.05) for all models except one. Generally, risk models for prevalent or undiagnosed T2DM show moderate to good discriminatory ability in different ethnic populations living in the Netherlands, but poor calibration. Therefore, these models should be recalibrated before use in clinical practice and should be adapted to the situation of the population they are intended to be used in.</t>
  </si>
  <si>
    <t>Poor cardiovascular health is associated with subclinical atherosclerosis in apparently healthy sub-Saharan African populations: an H3Africa AWI-Gen study.</t>
  </si>
  <si>
    <t>Nonterah, Engelbert A; Crowther, Nigel J; Oduro, Abraham; Agongo, Godfred; Micklesfield, Lisa K; Boua, Palwendé R; Choma, Solomon S R; Mohamed, Shukri F; Sorgho, Herman; Tollman, Stephen M; Norris, Shane A; Raal, Frederick J; Grobbee, Diederick E; Ramsay, Michelé; Bots, Michiel L; Klipstein-Grobusch, Kerstin; ,</t>
  </si>
  <si>
    <t>https://pubmed.ncbi.nlm.nih.gov/33563289</t>
  </si>
  <si>
    <t>The cardiovascular health index (CVHI) introduced by the American Heart Association is a valid, accessible, simple, and translatable metric for monitoring cardiovascular health in a population. Components of the CVHI include the following seven cardiovascular risk factors (often captured as life's simple 7): smoking, dietary intake, physical activity, body mass index, blood pressure, glucose, and total cholesterol. We sought to expand the evidence for its utility to under-studied populations in sub-Saharan Africa, by determining its association with common carotid intima-media thickness (CIMT). We conducted a cross-sectional study involving 9011 participants drawn from Burkina Faso, Ghana, Kenya, and South Africa. We assessed established classical cardiovascular risk factors and measured carotid intima-media thickness of the left and right common carotid arteries using B-mode ultrasonography. Adjusted multilevel mixed-effect linear regression was used to determine the association of CVHI with common CIMT. In the combined population, an individual participant data meta-analyses random-effects was used to conduct pooled comparative sub-group analyses for differences between countries, sex, and socio-economic status. The mean age of the study population was 51 ± 7 years and 51% were women, with a mean common CIMT of 637 ± 117 μm and CVHI score of 10.3 ± 2.0. Inverse associations were found between CVHI and common CIMT (β-coefficients [95% confidence interval]: Burkina Faso, - 6.51 [- 9.83, - 3.20] μm; Ghana, - 5.42 [- 8.90, - 1.95]; Kenya, - 6.58 [- 9.05, - 4.10]; and South Africa, - 7.85 [- 9.65, - 6.05]). Inverse relations were observed for women (- 4.44 [- 6.23, - 2.65]) and men (- 6.27 [- 7.91, - 4.64]) in the pooled sample. Smoking (p &lt; 0.001), physical activity (p &lt; 0.001), and hyperglycemia (p &lt; 0.001) were related to CIMT in women only, while blood pressure and obesity were related to CIMT in both women and men (p &lt; 0.001). This large pan-African population study demonstrates that CVHI is a strong marker of subclinical atherosclerosis, measured by common CIMT and importantly demonstrates that primary prevention of atherosclerotic cardiovascular disease in this understudied population should target physical activity, smoking, obesity, hypertension, and hyperglycemia.</t>
  </si>
  <si>
    <t>Tumour-stroma ratio has poor prognostic value in nonpedunculated T1 colorectal cancer: A multicentre case-cohort study.</t>
  </si>
  <si>
    <t>Dang, Hao; van Pelt, Gabi W; Haasnoot, Krijn J C; Backes, Yara; Elias, Sjoerd G; Seerden, Tom C J; Schwartz, Matthijs P; Spanier, Bernhard W M; de Vos Tot Nederveen Cappel, Wouter H; van Bergeijk, Jeroen D; Kessels, Koen; Geesing, Joost M J; Groen, John N; Borg, Frank Ter; Wolfhagen, Frank H J; Seldenrijk, Cornelis A; Raicu, Mihaela G; Milne, Anya N; van Lent, Anja U G; Brosens, Lodewijk A A; Johan A Offerhaus, G; Siersema, Peter D; Tollenaar, Rob A E M; Hardwick, James C H; Hawinkels, Lukas J A C; Moons, Leon M G; Lacle, Miangela M; Mesker, Wilma E; Boonstra, Jurjen J; ,</t>
  </si>
  <si>
    <t>https://pubmed.ncbi.nlm.nih.gov/33566452</t>
  </si>
  <si>
    <t>Current risk stratification models for early invasive (T1) colorectal cancer are not able to discriminate accurately between prognostic favourable and unfavourable tumours, resulting in over-treatment of a large (&gt;80%) proportion of T1 colorectal cancer patients. The tumour-stroma ratio (TSR), which is a measure for the relative amount of desmoplastic tumour stroma, is reported to be a strong independent prognostic factor in advanced-stage colorectal cancer, with a high stromal content being associated with worse prognosis and survival. We aimed to investigate whether the TSR predicts clinical outcome in patients with non-pedunculated T1 colorectal cancer. Haematoxylin and eosin (H&amp;E)-stained tumour tissue slides from a retrospective multicentre case cohort of patients with nonpedunculated surgically treated T1 colorectal cancer were assessed for TSR by two independent observers who were blinded for clinical outcomes. The primary end point was adverse outcome, which was defined as the presence of lymph node metastasis in the resection specimen or colorectal cancer recurrence during follow-up. All 261 patients in the case cohort had H&amp;E slides available for TSR scoring. Of these, 183 were scored as stroma-low, and 78 were scored as stroma-high. There was moderate inter-observer agreement κ = 0.42). In total, 41 patients had lymph node metastasis, 17 patients had recurrent cancer and five had both. Stroma-high tumours were not associated with an increased risk for an adverse outcome (adjusted hazard ratio = 0.66, 95% confidence interval 0.37-1.18; p = 0.163). Our study emphasises that existing prognosticators may not be simply extrapolated to T1 colorectal cancers, even though their prognostic value has been widely validated in more advanced-stage tumours.</t>
  </si>
  <si>
    <t>Recruitment of Participants for a 3D Virtual Supermarket: Cross-sectional Observational Study.</t>
  </si>
  <si>
    <t>Hoenink, Jody C; Mackenbach, Joreintje D; van der Laan, Laura Nynke; Lakerveld, Jeroen; Waterlander, Wilma; Beulens, Joline W J</t>
  </si>
  <si>
    <t>https://pubmed.ncbi.nlm.nih.gov/33560230</t>
  </si>
  <si>
    <t>Virtual supermarkets offer a practical and affordable setting to test the efficacy of different pricing and nudging strategies before they are implemented in the real world. Despite the advantages of using virtual supermarkets for this purpose, conducting studies in online settings is challenging with regard to recruitment and retention of sufficient and suitable participants. To describe cost, time, and retention with regard to participants recruited using various strategies and potential sociodemographic differences between participants recruited via different strategies. This cross-sectional study used data from a randomized controlled trial in which 455 Dutch adults with low and high educational levels were invited to shop 5 times in a 3D virtual supermarket. Participants were recruited via social media and flyers. A log that tracked the costs of and time spent on the different recruitment strategies was kept by the study team. Outcome measures included the cost of recruitment strategies, the time investment by researchers, and recruitment and attrition rates of participants in the study. The median age of study completers was 31.0 (IQR 25.0) and 157 out of 346 study completers (45.4%) were highly educated. Out of the 455 included participants, 235 (51.6%) were recruited via social media campaigns, 131 (28.8%) via home-delivered flyers, 38 (8.4%) via flyers directly distributed by the study team, and 46 (10.1%) via word-of-mouth. Of all paid recruitment strategies, social media campaigns were the cheapest and least time-consuming, whereas the distribution of flyers by the study team was the most expensive and time-consuming recruitment strategy. Age, sex, overweight status, employment situation, and number of adults within the household varied by recruitment strategy. Using different recruitment strategies resulted in the efficient recruitment of a representative study sample and retention of participants was relatively high. While "word-of-mouth" was the most cost- and time-effective recruitment strategy, using only one type of recruitment strategy could result in a demographically skewed study population.</t>
  </si>
  <si>
    <t>Guidelines for the use and interpretation of assays for monitoring autophagy (4th edition)&lt;sup&gt;1&lt;/sup&gt;.</t>
  </si>
  <si>
    <t>Klionsky, Daniel J; Abdel-Aziz, Amal Kamal; Abdelfatah, Sara; Abdellatif, Mahmoud; Abdoli, Asghar; Abel, Steffen; Abeliovich, Hagai; Abildgaard, Marie H; Abudu, Yakubu Princely; Acevedo-Arozena, Abraham; Adamopoulos, Iannis E; Adeli, Khosrow; Adolph, Timon E; Adornetto, Annagrazia; Aflaki, Elma; Agam, Galila; Agarwal, Anupam; Aggarwal, Bharat B; Agnello, Maria; Agostinis, Patrizia; Agrewala, Javed N; Agrotis, Alexander; Aguilar, Patricia V; Ahmad, S Tariq; Ahmed, Zubair M; Ahumada-Castro, Ulises; Aits, Sonja; Aizawa, Shu; Akkoc, Yunus; Akoumianaki, Tonia; Akpinar, Hafize Aysin; Al-Abd, Ahmed M; Al-Akra, Lina; Al-Gharaibeh, Abeer; Alaoui-Jamali, Moulay A; Alberti, Simon; Alcocer-Gómez, Elísabet; Alessandri, Cristiano; Ali, Muhammad; Alim Al-Bari, M Abdul; Aliwaini, Saeb; Alizadeh, Javad; Almacellas, Eugènia; Almasan, Alexandru; Alonso, Alicia; Alonso, Guillermo D; Altan-Bonnet, Nihal; Altieri, Dario C; Álvarez, Élida M C; Alves, Sara; Alves da Costa, Cristine; Alzaharna, Mazen M; Amadio</t>
  </si>
  <si>
    <t>autophagy</t>
  </si>
  <si>
    <t>https://pubmed.ncbi.nlm.nih.gov/33634751</t>
  </si>
  <si>
    <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t>
  </si>
  <si>
    <t>Anthropometric indices and their cut-off points in relation to type 2 diabetes among Ghanaian migrants and non-migrants: The RODAM study.</t>
  </si>
  <si>
    <t>Darko, Samuel N; Meeks, Karlijn A C; Owiredu, William K B A; Laing, Edwin F; Boateng, Daniel; Beune, Erik; Addo, Juliet; de-Graft Aikins, Ama; Bahendeka, Silver; Mockenhaupt, Frank; Spranger, Joachim; Agyei-Baffour, Peter; Klipstein-Grobusch, Kerstin; Smeeth, Liam; Agyemang, Charles; Owusu-Dabo, Ellis</t>
  </si>
  <si>
    <t>https://pubmed.ncbi.nlm.nih.gov/33571601</t>
  </si>
  <si>
    <t>To compare body mass index (BMI), waist circumference (WC) and waist-to-hip ratio (WHR) as determinants of type 2 diabetes (T2DM) and determine optimal cut-offs in a sub-Saharan African population. Data from the RODAM study including Ghanaians aged 25-70 living in rural Ghana, urban Ghana and Europe were used. Logistic regression was used to assess associations between BMI, WC, WHR and T2DM status, by sex and site. Area under the curve (AUC) were constructed to discriminate between indices and establish performance and cut-off values. WHR had the strongest association with T2DM in men and women across sites, except for rural men. The highest adjusted odds ratio (aOR) and AUC were in rural women for WHR (aOR = 2.09, 95%CI = 1.47-2.99; AUC = 0.71). Among migrants, WHR had higher AUCs compared with BMI (p &lt; 0.01) and WC (p &lt; 0.05). Cut-offs for BMI and WC in men were lower compared with the WHO reference across sites (WC: 85.4-93.7 vs 102 cm, BMI: 23.1-28.2 vs 30.0 kg/m&lt;sup&gt;2&lt;/sup&gt;). WHR outperformed BMI and WC as anthropometric indices in relation to T2DM among Ghanaian migrants. The lower BMI and WC cut-offs for T2DM than WHO established standards, highlights the need for African specific cut-offs to avoid missing high risk populations.</t>
  </si>
  <si>
    <t>Parents' perspectives on nusinersen treatment for children with spinal muscular atrophy.</t>
  </si>
  <si>
    <t>van Kruijsbergen, Mette; Schröder, Carin D; Ketelaar, Marjolijn; van der Pol, W Ludo; Cuppen, Inge; van der Geest, Annette; Asselman, Fay-Lynn; Fischer, Maarten J; Visser-Meily, Johanna M A; Kars, Marijke C</t>
  </si>
  <si>
    <t>developmental medicine and child neurology</t>
  </si>
  <si>
    <t>https://pubmed.ncbi.nlm.nih.gov/33550591</t>
  </si>
  <si>
    <t>To gain insight into parents' perspectives about their decision-making process concerning nusinersen treatment for their child, including perceived needs and concerns, and to explore factors that influence this process. This was an exploratory qualitative interview study among parents of children with spinal muscular atrophy types 1 to 3. Data were analysed using inductive thematic analysis. Nineteen parents of 16 children representing 13 families participated. A wide variety of perspectives was reported ranging from a biomedical approach, which focused on battling the disease, to a holistic approach, which aimed for a good quality of life for their child. The most important factors that helped parents to decide were honest and neutral communication with their physician and access to available information. It is important physicians understand that there are different perspectives influencing the decision-making process. Physicians should create an environment that allows parents to accept or reject treatment by communicating honestly and openly with them and by discussing both options extensively. Clear information about pros and cons, recent developments in research, and the experiences of other parents should be made available to enable parents to make an informed decision. What this paper adds Parents perceived different needs and concerns about nusinersen treatment, which emphasized individual differences. Parents' perspectives varied from battling the disease to preserving quality of life. Life expectancy, stopping deterioration, and improving quality of life were the perceived benefits of nusinersen treatment. Open communication about the pros and cons of treatment with clinicians facilitated decision-making. Clear and honest information facilitated the alignment of values and goals.</t>
  </si>
  <si>
    <t>Patient Preferences for Lung Cancer Treatment: A Qualitative Study Protocol Among Advanced Lung Cancer Patients.</t>
  </si>
  <si>
    <t>Durosini, Ilaria; Janssens, Rosanne; Arnou, Reinhard; Veldwijk, Jorien; Smith, Meredith Y; Monzani, Dario; Smith, Ian; Galli, Giulia; Garassino, Marina; Katz, Eva G; Bailo, Luca; Louis, Evelyne; Vandevelde, Marie; Nackaerts, Kristiaan; de Wit, G Ardine; Pravettoni, Gabriella; Huys, Isabelle</t>
  </si>
  <si>
    <t>https://pubmed.ncbi.nlm.nih.gov/33634069</t>
  </si>
  <si>
    <t>&lt;b&gt;Introduction:&lt;/b&gt; Lung cancer is the deadliest and most prevalent cancer worldwide. Lung cancer treatments have different characteristics and are associated with a range of benefits and side effects for patients. Such differences may raise uncertainty among drug developers, regulators, payers, and clinicians regarding the value of these treatment effects to patients. The value of conducting patient preference studies (using qualitative and/or quantitative methods) for benefits and side effects of different treatment options has been recognized by healthcare stakeholders, such as drug developers, regulators, health technology assessment bodies, and clinicians. However, evidence-based guidelines on how and when to conduct and use these studies in drug decision-making are lacking. As part of the Innovative Medicines Initiative PREFER project, we developed a protocol for a qualitative study that aims to understand which treatment characteristics are most important to lung cancer patients and to develop attributes and levels for inclusion in a subsequent quantitative preference survey. &lt;b&gt;Methods:&lt;/b&gt; The study protocol specifies a four-phased approach: (i) a scoping literature review of published literature, (ii) four focus group discussions with stage III and IV Non-Small Cell Lung Cancer patients, (iii) two nominal group discussions with stage III and IV Non-Small Cell Lung Cancer patients, and (iv) multi-stakeholder discussions involving clinicians and preference experts. &lt;b&gt;Discussion:&lt;/b&gt; This protocol outlines methodological and practical steps as to how qualitative research can be applied to identify and develop attributes and levels for inclusion in patient preference studies aiming to inform decisions across the drug life cycle. The results of this study are intended to inform a subsequent quantitative preference survey that assesses patient trade-offs regarding lung cancer treatment options. This protocol may assist researchers, drug developers, and decision-makers in designing qualitative studies to understand which treatment aspects are most valued by patients in drug development, regulation, and reimbursement.</t>
  </si>
  <si>
    <t>Cerebrospinal fluid leakage after cranial surgery in the pediatric population-a systematic review and meta-analysis.</t>
  </si>
  <si>
    <t>Slot, Emma M H; van Baarsen, Kirsten M; Hoving, Eelco W; Zuithoff, Nicolaas P A; van Doormaal, Tristan P C</t>
  </si>
  <si>
    <t>childs nervous system chns official journal of the international society for pediatric neurosurgery</t>
  </si>
  <si>
    <t>https://pubmed.ncbi.nlm.nih.gov/33538867</t>
  </si>
  <si>
    <t>Cerebrospinal fluid (CSF) leakage is a common complication after neurosurgical intervention. It is associated with substantial morbidity and increased healthcare costs. The current systematic review and meta-analysis aim to quantify the incidence of cerebrospinal fluid leakage in the pediatric population and identify its risk factors. The authors followed the PRISMA guidelines. The Embase, PubMed, and Cochrane database were searched for studies reporting CSF leakage after intradural cranial surgery in patients up to 18 years old. Meta-analysis of incidences was performed using a generalized linear mixed model. Twenty-six articles were included in this systematic review. Data were retrieved of 2929 patients who underwent a total of 3034 intradural cranial surgeries. Surprisingly, only four of the included articles reported their definition of CSF leakage. The overall CSF leakage rate was 4.4% (95% CI 2.6 to 7.3%). The odds of CSF leakage were significantly greater for craniectomy as opposed to craniotomy (OR 4.7, 95% CI 1.7 to 13.4) and infratentorial as opposed to supratentorial surgery (OR 5.9, 95% CI 1.7 to 20.6). The odds of CSF leakage were significantly lower for duraplasty use versus no duraplasty (OR 0.41 95% CI 0.2 to 0.9). The overall CSF leakage rate after intradural cranial surgery in the pediatric population is 4.4%. Risk factors are craniectomy and infratentorial surgery. Duraplasty use is negatively associated with CSF leak. We suggest defining a CSF leak as "leakage of CSF through the skin," as an unambiguous definition is fundamental for future research.</t>
  </si>
  <si>
    <t>Mental Well-being and General Health in Adolescents with Asthma: The Prevention and Incidence of Asthma and Mite Allergy Birth Cohort Study.</t>
  </si>
  <si>
    <t>van der Laan, Sabine E I; de Hoog, Marieke L A; Nijhof, Sanne L; Gehring, Ulrike; Vonk, Judith M; van der Ent, Cornelis K; Wijga, Alet H</t>
  </si>
  <si>
    <t>https://pubmed.ncbi.nlm.nih.gov/33548259</t>
  </si>
  <si>
    <t>To assess whether adolescents with asthma experience a lower mental well-being and lower general health than their peers without asthma. Data from the Prevention and Incidence of Asthma and Mite Allergy study were used. At the ages of 11, 14, 17, and 20 years, 2651, 2522, 2094, and 2206 participants, respectively, completed questionnaires. Their parents completed questionnaires at the ages of 11 (n = 2660), 14 (n = 2338), and 17 years (n = 1872). Asthma was defined according to the Mechanisms of the Development of Allergy criteria. Mental well-being was measured using the Mental Health Index-5 and was reported by the adolescents. General health, measured on a 4-point Likert scale, was reported by the adolescents and their parents. We estimated associations of asthma with mental well-being and perceived general health using generalized estimating equations. At ages 11, 14, 17, and 20 years, 6.7%, 6.9%, 5.0%, and 6.6%, respectively, of the adolescents had asthma. Adolescents with asthma did not score differently on the Mental Health Index than their peers without asthma. Adolescents with asthma were less likely to experience good or excellent health than their peers without asthma (aOR, 0.37; 95% CI, 0.26-0.51 for intermittent asthma and 0.33; 95% CI, 0.25-0.41 for persistent asthma). These results remain similar across the different ages. The mental well-being of adolescents with asthma is similar to that of their peers without asthma, although adolescents with asthma are less likely to perceive a good or excellent general health.</t>
  </si>
  <si>
    <t>Comprehensive toxicity risk profiling in radiation therapy for head and neck cancer: A new concept for individually optimised treatment.</t>
  </si>
  <si>
    <t>Van den Bosch, Lisa; van der Schaaf, Arjen; van der Laan, Hans Paul; Hoebers, Frank J P; Wijers, Oda B; van den Hoek, Johanna G M; Moons, Karel G M; Reitsma, Johannes B; Steenbakkers, Roel J H M; Schuit, Ewoud; Langendijk, Johannes A</t>
  </si>
  <si>
    <t>https://pubmed.ncbi.nlm.nih.gov/33545258</t>
  </si>
  <si>
    <t>A comprehensive individual toxicity risk profile is needed to improve radiation treatment optimisation, minimising toxicity burden, in head and neck cancer (HNC) patients. We aimed to develop and externally validate NTCP models for various toxicities at multiple time points. Using logistic regression, we determined the relationship between normal tissue irradiation and the risk of 22 toxicities at ten time points during and after treatment in 750 HNC patients. The toxicities involved swallowing, salivary, mucosal, speech, pain and general complaints. Studied predictors included patient, tumour and treatment characteristics and dose parameters of 28 organs. The resulting NTCP models were externally validated in 395 HNC patients. The NTCP models involved 14 organs that were associated with at least one toxicity. The oral cavity was the predominant organ, associated with 12 toxicities. Other important organs included the parotid and submandibular glands, buccal mucosa and swallowing muscles. In addition, baseline toxicity, treatment modality, and tumour site were common predictors of toxicity. The median discrimination performance (AUC) of the models was 0.71 (interquartile range: 0.68-0.75) at internal validation and 0.67 (interquartile range: 0.62-0.71) at external validation. We established a comprehensive individual toxicity risk profile that provides essential insight into how radiation exposure of various organs translates into multiple acute and late toxicities. This comprehensive understanding of radiation-induced toxicities enables a new radiation treatment optimisation concept that balances multiple toxicity risks simultaneously and minimises the overall toxicity burden for an individual HNC patient who needs to undergo radiation treatment.</t>
  </si>
  <si>
    <t>Cost-effectiveness of a Diet and Resistance Exercise Intervention in Community-Dwelling Older Adults: ProMuscle in Practice.</t>
  </si>
  <si>
    <t>Dorhout, Berber G; Haveman-Nies, Annemien; van Dongen, Ellen J I; Wezenbeek, Nick L W; Doets, Esmée L; Bulten, Anneke; de Wit, G Ardine; de Groot, Lisette C P G M</t>
  </si>
  <si>
    <t>https://pubmed.ncbi.nlm.nih.gov/33548182</t>
  </si>
  <si>
    <t>Ageing is associated with a decline in functioning and a loss of independence, which will lead to increased health care costs in the future. The ProMuscle in Practice intervention was found to be effective in improving muscle strength, muscle mass, and functioning of older adults. The current study assesses the cost-effectiveness and perceived benefits of the intervention. Trial-based cost-effectiveness analysis complemented by interviews. A total of 168 community-dwelling older adults were included. Intervention participants started with a 12-week intensive support program, comprising resistance exercise guided by physiotherapists and consultations with a dietitian to increase protein intake. To maintain the adapted lifestyle pattern, they continued with a 12-week moderate support intervention. The control group received usual care. Costs and outcomes were measured at baseline, after 12 and 24 weeks. Costs were assessed from a societal perspective. Health care use, out-of-pocket costs, and productivity losses were measured using questionnaires. Intervention costs were quantified according to bottom-up micro-costing. Outcomes included quality of life (EQ-5D-5L) and physical functioning (Short Physical Performance Battery [SPPB]). Bootstrap analyses were used to generate cost-effectiveness planes and acceptability curves. Interviews with participants and professionals were conducted after 24 weeks to measure perceived benefits. An Incremental Cost-Effectiveness Ratio of €2988 ($3385)/point increase in SPPB was found. The intervention has an 82.4% probability of being cost-effective at a willingness to pay (WTP) of €12.000 ($13.559)/point increase in SPPB. No change in quality of life was found according to EQ-5D-5L. Interviews, however, revealed a wide range of function-related perceived benefits. At a WTP of €12.000 ($13.559)/point increase in SPPB, the intervention was found to have an 82.4% probability of being cost-effective. Because generic quality of life questionnaires seem unable to detect subtle changes in public health interventions, future studies are advised to include targeted and specific questionnaires.</t>
  </si>
  <si>
    <t>An old friend who has overstayed their welcome: the ALSFRS-R total score as primary endpoint for ALS clinical trials.</t>
  </si>
  <si>
    <t>van Eijk, Ruben P A; de Jongh, Adriaan D; Nikolakopoulos, Stavros; McDermott, Christopher J; Eijkemans, Marinus J C; Roes, Kit C B; van den Berg, Leonard H</t>
  </si>
  <si>
    <t>https://pubmed.ncbi.nlm.nih.gov/33527843</t>
  </si>
  <si>
    <t>&lt;i&gt;Objective:&lt;/i&gt; The ALSFRS-R is limited by multidimensionality, which originates from the summation of various subscales. This prevents a direct comparison between patients with identical total scores. We aim to evaluate how multidimensionality affects the performance of the ALSFRS-R in clinical trials. &lt;i&gt;Methods:&lt;/i&gt; We simulated clinical trial data with different treatment effects for the ALSFRS-R total score and its subscales (i.e. bulbar, fine motor, gross motor and respiratory). We considered scenarios where treatment reduced the rate of ALSFRS-R subscale decline either uniformly (i.e. all subscales respond identically to treatment) or non-uniformly (i.e. subscales respond differently to treatment). Two main analytical strategies were compared: (1) analyzing only the total score or (2) utilizing a subscale-based test (i.e. alternative strategy). For each analytical strategy, we calculated the empirical power and required sample size. &lt;i&gt;Results:&lt;/i&gt; Both strategies are valid when there is no treatment benefit and provide adequate control of type 1 error. If all subscales respond identically to treatment, using the total score is the most powerful approach. As the differences in treatment responses between subscales increase, the more the total score becomes affected. For example, to detect a 40% reduction in the bulbar rate of decline with 80% power, the total score requires 1380 patients, whereas this is 336 when using the alternative strategy. &lt;i&gt;Conclusions:&lt;/i&gt; Ignoring the multidimensional structure of the ALSFRS-R total score could have negative consequences for ALS clinical trials. We propose determining treatment benefit on a subscale level, prior to stating whether a treatment is generally effective.</t>
  </si>
  <si>
    <t>Bibliotherapy for Sexual Dysfunctions: A Systematic Review and Meta-Analysis.</t>
  </si>
  <si>
    <t>van Lankveld, Jacques J D M; van de Wetering, Fleur T; Wylie, Kevan; Scholten, Rob J P M</t>
  </si>
  <si>
    <t>https://pubmed.ncbi.nlm.nih.gov/33547017</t>
  </si>
  <si>
    <t>The objective of this study was to assess the efficacy of bibliotherapy for sexual dysfunctions, when compared with no treatment and compared with other interventions. MEDLINE, EMBASE, and PsycINFO were searched from 1970 to January 2020. Selection criteria were randomized controlled trials evaluating assisted or unassisted bibliotherapy for all types of sexual dysfunctions compared with no treatment (wait list or placebo) or with other psychological interventions. Bibliotherapy is defined as psychological treatment using printed instruction to be used by the individual or couple suffering from sexual dysfunction. Primary outcome measures were male and female sexual functioning level and continuation/remission of sexual dysfunction. Secondary outcomes were sexual satisfaction and dropout rate. Sexual functioning and sexual satisfaction were self-reported by participants using validated questionnaires. Fifteen randomized controlled trials with a total of 1,113 participants (781 women; 332 men) met inclusion criteria. Compared with no treatment, unassisted bibliotherapy resulted in larger proportions of female participants reporting remission of sexual dysfunction, and sexual satisfaction was higher in treated participants, both female and male participants. Compared with no treatment, assisted bibliotherapy had significant positive effects on female sexual functioning; no effects on male sexual functioning were found. Results of unassisted and assisted bibliotherapy did not differ from those of other intervention types on any outcome. Throughout, no differences between study conditions were found regarding dropout rates. The certainty of the evidence for all outcomes was rated as very low. We found indications of positive effects of bibliotherapy for sexual dysfunctions. Across studies, more significant effects were found for women than for men. However, owing to limitations in the study designs and imprecision of the findings, we were unable to draw firm conclusions about the use of bibliotherapy for sexual dysfunction. More high quality and larger trials are needed. Relevant outcome measures for future studies should be defined as well as unified grading systems to measure these endpoints. In addition, future studies should report on treatment acceptability and adherence. van Lankveld JJDM, van de Wetering FT, Wylie, K et al. Bibliotherapy for Sexual Dysfunctions: A Systematic Review and Meta-Analysis. J Sex Med 2021;18:582-614.</t>
  </si>
  <si>
    <t>Reducing Inappropriate Proton Pump Inhibitors Use for Stress Ulcer Prophylaxis in Hospitalized Patients: Systematic Review of De-Implementation Studies.</t>
  </si>
  <si>
    <t>Orelio, Claudia C; Heus, Pauline; Kroese-van Dieren, Judith J; Spijker, René; van Munster, Barbara C; Hooft, Lotty</t>
  </si>
  <si>
    <t>journal of general internal medicine</t>
  </si>
  <si>
    <t>https://pubmed.ncbi.nlm.nih.gov/33532958</t>
  </si>
  <si>
    <t>A large proportion of proton pump inhibitor (PPI) prescriptions, including those for stress ulcer prophylaxis (SUP), are inappropriate. Our study purpose was to systematically review the effectiveness of de-implementation strategies aimed at reducing inappropriate PPI use for SUP in hospitalized, non-intensive care unit (non-ICU) patients. We searched MEDLINE and Embase databases (from inception to January 2020). Two authors independently screened references, performed data extraction, and critical appraisal. Randomized trials and comparative observational studies were eligible for inclusion. Criteria developed by the Cochrane Effective Practice and Organisation of Care (EPOC) group were used for critical appraisal. Besides the primary outcome (inappropriate PPI prescription or use), secondary outcomes included (adverse) pharmaceutical effects and healthcare use. We included ten studies in this review. Most de-implementation strategies contained an educational component (meetings and/or materials), combined with either clinical guideline implementation (n = 5), audit feedback (n = 3), organizational culture (n = 4), or reminders (n = 1). One study evaluating the de-implementation strategy effectiveness showed a significant reduction (RR 0.14; 95% CI 0.03-0.55) of new inappropriate PPI prescriptions. Out of five studies evaluating the effectiveness of de-implementing inappropriate PPI use, four found a significant reduction (RR 0.21; 95% CI 0.18-0.26 to RR 0.76; 95% CI 0.68-0.86). No significant differences in the occurrence of pharmaceutical effects (n = 1) and in length of stay (n = 3) were observed. Adverse pharmaceutical effects were reported in two studies and five studies reported on PPI or total drug costs. No pooled effect estimates were calculated because of large statistical heterogeneity between studies. All identified studies reported mainly educational interventions in combination with one or multiple other intervention strategies and all interventions were targeted at providers. Most studies found a small to moderate reduction of (inappropriate) PPI prescriptions or use.</t>
  </si>
  <si>
    <t>Effect of metabolic genetic variants on long-term disease comorbidity in patients with type 2 diabetes.</t>
  </si>
  <si>
    <t>Abedian, Shifteh; Abbasi, Ali; de Boer, Anthonius; Stricker, Bruno H; Bakker, Stephan J L; van der Harst, Pim; Sedaghat, Sanaz; Darvishian, Maryam; Ikram, M Arfan; Navis, Gerjan; Dehghan, Abbas; Pen, Ido; Stolk, Ronald P; Snieder, Harold; Klungel, Olaf H; Souverein, Patrick; Alizadeh, Behrooz Z</t>
  </si>
  <si>
    <t>https://pubmed.ncbi.nlm.nih.gov/33531528</t>
  </si>
  <si>
    <t>Underlying genetic determinants contribute to developing type 2 diabetes (T2D) future diseases. The present study aimed to identify which genetic variants are associated with the incident of the major T2D co-morbid disease. First, we conducted a discovery study by investigating the genetic associations of comorbid diseases within the framework of the Utrecht Cardiovascular Pharmacogenetic studies by turning information of &gt; 25 years follow-up data of 1237 subjects whom were genotyped and included in the discovery study. We performed Cox proportional-hazards regression to examine associations between genetic variants and comorbid diseases including cardiovascular diseases (CVD), chronic eye disease, cancer, neurologic diseases and chronic kidney disease. Secondly, we replicated our findings in two independent cohorts consisting of 1041 subjects. Finally, we performed a meta-analysis by combining the discovery and two replication cohorts. We ascertained 390 (39.7%) incident cases of CVD, 182 (16.2%) of chronic eye disease, 155 (13.8%) of cancer, 31 (2.7%) of neurologic disease and 13 (1.1%) of chronic kidney disease during a median follow-up of 10.2 years. In the discovery study, we identified a total of 39 Single Nucleotide Polymorphisms (SNPs) associated with comorbid diseases. The replication study, confirmed that rs1870849 and rs8051326 may play a role in the incidence of chronic eye disease in T2D patients. Half of patients developed at least one comorbid disease, with CVD occurring most often and earliest followed by chronic eye disease. Further research is needed to confirm the associations of two associated SNPs with chronic eye disease in T2D.</t>
  </si>
  <si>
    <t>Electrocardiographic and echocardiographic abnormalities in urban African people living with HIV in South Africa.</t>
  </si>
  <si>
    <t>Roozen, Geert V T; Meel, Ruchika; Peper, Joyce; Venter, William D F; Barth, Roos E; Grobbee, Diederick E; Klipstein-Grobusch, Kerstin; Vos, Alinda G</t>
  </si>
  <si>
    <t>https://pubmed.ncbi.nlm.nih.gov/33529208</t>
  </si>
  <si>
    <t>Studies from high income countries report that HIV-positive people have an impaired systolic and diastolic cardiac function compared to HIV-negative people. It is unclear if results can be translated directly to the Sub-Saharan Africa context. This study assesses electro- and echocardiographic characteristics in an urban African population, comparing HIV-positive people (treated and not yet treated) with HIV-negative controls. We conducted a cross-sectional study in Johannesburg, South Africa. We enrolled HIV-positive participants from three randomized controlled trials that had recruited participants from routine HIV testing programs. HIV-negative controls were recruited from the community. Data were collected on demographics, cardiovascular risk factors, medical history and electrocardiographic and echocardiographic characteristics. In total, 394 HIV-positive participants and 153 controls were enrolled. The mean age of HIV-positive participants was 40±9 years (controls: 35±10 years), and 34% were male (controls: 50%). Of HIV-positive participants 36% were overweight or obese (controls: 44%), 23% had hypertension (controls: 28%) and 12% were current smoker (controls: 37%). Median time since HIV diagnosis was 6.0 years (IQR 2.3-10.0) and median treatment duration was 4.0 years (IQR 0.0-8.0), 50% had undetectable viral load. The frequency of anatomical cardiac abnormalities was low and did not differ between people with and without HIV. We observed no relation between HIV or anti-retroviral therapy (ART) and systolic or diastolic heart function. There was an association between ART use and corrected QT interval: +11.8 ms compared to HIV-negative controls (p&lt;0.01) and +18.9 ms compared to ART-naïve participants (p = 0.01). We also observed a higher left ventricular mass index in participants on ART (+7.8 g/m2, p&lt;0.01), but this association disappeared after adjusting for CD4 cell count, viral load and HIV-duration. The low number of major cardiac abnormalities in this relatively young, well managed urban African HIV-positive population is reassuring. The increase in corrected QT interval and left ventricular mass may contribute to higher cardiac mortality and morbidity in people living with HIV in the long term.</t>
  </si>
  <si>
    <t>Association of Histologic Regression With a Favorable Outcome in Patients With Stage 1 and Stage 2 Cutaneous Melanoma.</t>
  </si>
  <si>
    <t>El Sharouni, Mary-Ann; Aivazian, Karina; Witkamp, Arjen J; Sigurdsson, Vigfús; van Gils, Carla H; Scolyer, Richard A; Thompson, John F; van Diest, Paul J; Lo, Serigne N</t>
  </si>
  <si>
    <t>https://pubmed.ncbi.nlm.nih.gov/33355600</t>
  </si>
  <si>
    <t>Although regression is commonly observed in cutaneous melanoma, it is uncertain whether it is associated with patient prognosis. To determine whether histologically confirmed regression was associated with better or worse survival in patients with primary cutaneous melanoma. This cohort study analyzed data from 2 large cohorts of adults (one in the Netherlands and the other in Australia) with histologically proven, stage 1 and 2 primary, invasive cutaneous melanoma with known regression status treated between 2000 and 2014, with median follow-up times of 4.5 and 11.1 years for the Dutch and Australian cohorts, respectively. For the Dutch patients, population-based data from PALGA, the Dutch Pathology Registry, were used, and follow-up data were retrieved from the Netherlands Cancer Registry. For the Australian patients, data from the database of a large, specialized melanoma treatment center were used. Multivariable Cox proportional hazards analyses were performed per cohort to assess recurrence-free survival (RFS) and overall survival (OS), and subgroup analyses according to Breslow thickness category and melanoma subtype were performed. A total of 17 271 Dutch patients and 4980 Australian patients were included. In both cohorts, survival outcomes were better for patients with disease regression. For Dutch patients, the hazard ratio (HR) for those with disease regression was 0.55 (95% CI, 0.48-0.63; P &lt; .001) for RFS and 0.87 (95% CI, 0.79-0.96; P = .004) for OS; for the Australian patients, the HR was 0.61 (95% CI, 0.52-0.72; P &lt; .001) for RFS and 0.73 (95% CI, 0.64-0.84; P &lt; .001) for OS. Subgroup analyses showed that the presence of regression improved RFS within thin and intermediate Breslow thickness melanomas in both cohorts. For patients with superficial spreading melanoma (SSM) subtype, regression improved RFS and OS in both cohorts. For Dutch patients with SSM, the HR for those with disease regression was 0.54 (95% CI, 0.46-0.63; P &lt; .001) for RFS and 0.86 (95% CI, 0.76-0.96; P = .009) for OS; for the Australian patients with SSM, the HR was 0.67 (95% CI, 0.52-0.85; P = .001) for RFS and 0.72 (95% CI, 0.59-0.88; P = .001) for OS. In 2 large patient cohorts from 2 different continents, regression was a favorable prognostic factor for patients with stage 1 and 2 melanomas, especially in those with thin and intermediate thickness tumors and those with SSM subtype.</t>
  </si>
  <si>
    <t>Perceived Care and Well-being of Patients With Cancer and Matched Norm Participants in the COVID-19 Crisis: Results of a Survey of Participants in the Dutch PROFILES Registry.</t>
  </si>
  <si>
    <t>van de Poll-Franse, Lonneke V; de Rooij, Belle H; Horevoorts, Nicole J E; May, Anne M; Vink, Geraldine R; Koopman, Miriam; van Laarhoven, Hanneke W M; Besselink, Marc G; Oerlemans, Simone; Husson, Olga; Beijer, Sandra; Ezendam, Nicole P M; Raijmakers, Natasja J H; Wollersheim, Barbara M; Hoedjes, Meeke; Siesling, Sabine; van Eenbergen, Mies C; Mols, Floortje</t>
  </si>
  <si>
    <t>https://pubmed.ncbi.nlm.nih.gov/33237294</t>
  </si>
  <si>
    <t>As the resolution of the coronavirus disease 2019 (COVID-19) crisis is unforeseeable, and/or a second wave of infections may arrive in the fall of 2020, it is important to evaluate patients' perspectives to learn from this. To assess how Dutch patients with cancer perceive cancer treatment and follow-up care (including experiences with telephone and video consultations [TC/VC]) and patients' well-being in comparison with a norm population during the COVID-19 crisis. Cross-sectional study of patients participating in the Dutch Patient Reported Outcomes Following Initial Treatment and Long-term Evaluation of Survivorship (PROFILES) registry and a norm population who completed a questionnaire from April to May 2020. Logistic regression analysis assessed factors associated with changes in cancer care (treatment or follow-up appointment postponed/canceled or changed to TC/VC). Differences in quality of life, anxiety/depression, and loneliness between patients and age-matched and sex-matched norm participants were evaluated with regression models. The online questionnaire was completed by 4094 patients (48.6% response), of whom most were male (2493 [60.9%]) and had a mean (SD) age of 63.0 (11.1) years. Of these respondents, 886 (21.7%) patients received treatment; 2725 (55.6%) received follow-up care. Treatment or follow-up appointments were canceled for 390 (10.8%) patients, whereas 160 of 886 (18.1%) in treatment and 234 of 2725 (8.6%) in follow-up had it replaced by a TC/VC. Systemic therapy, active surveillance, or surgery were associated with cancellation of treatment or follow-up appointment. Younger age, female sex, comorbidities, metastasized cancer, being worried about getting severe acute respiratory syndrome coronavirus 2 (SARS-CoV-2), and receiving supportive care were associated with replacement of a consultation with a TC/VC. Patients and norm participants reported that the COVID-19 crisis made them contact their general practitioner (852 of 4068 [20.9%] and 218 of 979 [22.3%]) or medical specialist/nurse (585 of 4068 [14.4%] and 144 of 979 [14.7%]) less quickly when they had physical complaints or concerns. Most patients who had a TC/VC preferred a face-to-face consultation, but 151 of 394 (38.3%) were willing to use a TC/VC again. Patients with cancer were more worried about getting infected with SARS-CoV-2 compared with the 977 norm participants (917 of 4094 [22.4%] vs 175 of 977 [17.9%]). Quality of life, anxiety, and depression were comparable, but norm participants more often reported loneliness (114 of 977 [11.7%] vs 287 of 4094 [7.0%]) than patients with cancer (P = .009). Among patients with cancer in the Netherlands, 1 in 3 reported changes in cancer care in the first weeks of the COVID-19 crisis. Long-term outcomes need to be monitored. The crisis may affect the mental well-being of the general population relatively more than that of patients with cancer.</t>
  </si>
  <si>
    <t>Surgical Decompression for Space-Occupying Hemispheric Infarction: A Systematic Review and Individual Patient Meta-analysis of Randomized Clinical Trials.</t>
  </si>
  <si>
    <t>Reinink, Hendrik; Jüttler, Eric; Hacke, Werner; Hofmeijer, Jeannette; Vicaut, Eric; Vahedi, Katayoun; Slezins, Janis; Su, Yingying; Fan, Linlin; Kumral, Emre; Greving, Jacoba P; Algra, Ale; Kappelle, L Jaap; van der Worp, H Bart; Neugebauer, Hermann</t>
  </si>
  <si>
    <t>https://pubmed.ncbi.nlm.nih.gov/33044488</t>
  </si>
  <si>
    <t>In patients with space-occupying hemispheric infarction, surgical decompression reduces the risk of death and increases the chance of a favorable outcome. Uncertainties, however, still remain about the benefit of this treatment for specific patient groups. To assess whether surgical decompression for space-occupying hemispheric infarction is associated with a reduced risk of death and an increased chance of favorable outcomes, as well as whether this association is modified by patient characteristics. MEDLINE, Embase, the Cochrane Central Register of Controlled Trials, and the Stroke Trials Registry were searched from database inception to October 9, 2019, for English-language articles that reported on the results of randomized clinical trials of surgical decompression vs conservative treatment in patients with space-occupying hemispheric infarction. Published and unpublished randomized clinical trials comparing surgical decompression with medical treatment alone were selected. Patient-level data were extracted from the trial databases according to a predefined protocol and statistical analysis plan. The Preferred Reporting Items for Systematic Reviews and Meta-analyses (PRISMA) reporting guideline and the Cochrane Collaboration's tool for assessing risk of bias were used. One-stage, mixed-effect logistic regression modeling was used for all analyses. The primary outcome was a favorable outcome (modified Rankin Scale [mRS] score ≤3) at 1 year after stroke. Secondary outcomes included death, reasonable (mRS score ≤4) and excellent (mRS score ≤2) outcomes at 6 months and 1 year, and an ordinal shift analysis across all levels of the mRS. Variables for subgroup analyses were age, sex, presence of aphasia, stroke severity, time to randomization, and involved vascular territories. Data from 488 patients from 7 trials from 6 countries were available for analysis. The risk of bias was considered low to moderate for 6 studies. Surgical decompression was associated with a decreased chance of death (adjusted odds ratio, 0.16; 95% CI, 0.10-0.24) and increased chance of a favorable outcome (adjusted odds ratio, 2.95; 95% CI, 1.55-5.60), without evidence of heterogeneity of treatment effect across any of the prespecified subgroups. Too few patients were treated later than 48 hours after stroke onset to allow reliable conclusions in this subgroup, and the reported proportions of elderly patients reaching a favorable outcome differed considerably among studies. The results suggest that the benefit of surgical decompression for space-occupying hemispheric infarction is consistent across a wide range of patients. The benefit of surgery after day 2 and in elderly patients remains uncertain.</t>
  </si>
  <si>
    <t>Associations between the built environment and obesity: an umbrella review.</t>
  </si>
  <si>
    <t>Lam, Thao Minh; Vaartjes, Ilonca; Grobbee, Diederick E; Karssenberg, Derek; Lakerveld, Jeroen</t>
  </si>
  <si>
    <t>https://pubmed.ncbi.nlm.nih.gov/33526041</t>
  </si>
  <si>
    <t>In the past two decades, the built environment emerged as a conceptually important determinant of obesity. As a result, an abundance of studies aiming to link environmental characteristics to weight-related outcomes have been published, and multiple reviews have attempted to summarise these studies under different scopes and domains. We set out to summarise the accumulated evidence across domains by conducting a review of systematic reviews on associations between any aspect of the built environment and overweight or obesity. Seven databases were searched for eligible publications from the year 2000 onwards. We included systematic literature reviews, meta-analyses and pooled analyses of observational studies in the form of cross-sectional, case-control, longitudinal cohort, ecological, descriptive, intervention studies and natural experiments. We assessed risk of bias and summarised results structured by built environmental themes such as food environment, physical activity environment, urban-rural disparity, socioeconomic status and air pollution. From 1850 initial hits, 32 systematic reviews were included, most of which reported equivocal evidence for associations. For food- and physical activity environments, associations were generally very small or absent, although some characteristics within these domains were consistently associated with weight status such as fast-food exposure, urbanisation, land use mix and urban sprawl. Risks of bias were predominantly high. Thus far, while most studies have not been able to confirm the assumed influence of built environments on weight, there is evidence for some obesogenic environmental characteristics. Registration: This umbrella review was registered on PROSPERO under ID CRD42019135857.</t>
  </si>
  <si>
    <t>Author Correction: Genome-wide association study of intracranial aneurysms identifies 17 risk loci and genetic overlap with clinical risk factors.</t>
  </si>
  <si>
    <t>Bakker, Mark K; van der Spek, Rick A A; van Rheenen, Wouter; Morel, Sandrine; Bourcier, Romain; Hostettler, Isabel C; Alg, Varinder S; van Eijk, Kristel R; Koido, Masaru; Akiyama, Masato; Terao, Chikashi; Matsuda, Koichi; Walters, Robin G; Lin, Kuang; Li, Liming; Millwood, Iona Y; Chen, Zhengming; Rouleau, Guy A; Zhou, Sirui; Rannikmäe, Kristiina; Sudlow, Cathie L M; Houlden, Henry; van den Berg, Leonard H; Dina, Christian; Naggara, Olivier; Gentric, Jean-Christophe; Shotar, Eimad; Eugène, François; Desal, Hubert; Winsvold, Bendik S; Børte, Sigrid; Johnsen, Marianne Bakke; Brumpton, Ben M; Sandvei, Marie Søfteland; Willer, Cristen J; Hveem, Kristian; Zwart, John-Anker; Verschuren, W M Monique; Friedrich, Christoph M; Hirsch, Sven; Schilling, Sabine; Dauvillier, Jérôme; Martin, Olivier; ,; ,; ,; ,; ,; ,; ,; Jones, Gregory T; Bown, Matthew J; Ko, Nerissa U; Kim, Helen; Coleman, Jonathan R I; Breen, Gerome; Zaroff, Jonathan G; Klijn, Catharina J M; Malik, Rainer; Dichgans, Martin; Sarguru</t>
  </si>
  <si>
    <t>https://pubmed.ncbi.nlm.nih.gov/33353957</t>
  </si>
  <si>
    <t>Correction to: Adherence to a food group-based dietary guideline and incidence of prediabetes and type 2 diabetes.</t>
  </si>
  <si>
    <t>Braver, Nicolette R den; Rutters, Femke; van der Spek, Andrea L J Kortlever; Ibi, Dorina; Looman, Moniek; Geelen, Anouk; Elders, Petra; van der Heijden, Amber A; Brug, Johannes; Lakerveld, Jeroen; Soedamah-Muthu, Sabita S; Beulens, Joline W J</t>
  </si>
  <si>
    <t>https://pubmed.ncbi.nlm.nih.gov/33399978</t>
  </si>
  <si>
    <t>Evidence-based interventions to reduce mortality among preterm and low-birthweight neonates in low-income and middle-income countries: a systematic review and meta-analysis.</t>
  </si>
  <si>
    <t>Kleinhout, Mirjam Y; Stevens, Merel M; Osman, Kwabena Aqyapong; Adu-Bonsaffoh, Kwame; Groenendaal, Floris; Biza Zepro, Nejimu; Rijken, Marcus J; Browne, Joyce L</t>
  </si>
  <si>
    <t>https://pubmed.ncbi.nlm.nih.gov/33602687</t>
  </si>
  <si>
    <t>Preterm birth is the leading cause of under-five-mortality worldwide, with the highest burden in low-income and middle-income countries (LMICs). The aim of this study was to synthesise evidence-based interventions for preterm and low birthweight (LBW) neonates in LMICs, their associated neonatal mortality rate (NMR), and barriers and facilitators to their implementation. This study updates all existing evidence on this topic and reviews evidence on interventions that have not been previously considered in current WHO recommendations. Six electronic databases were searched until 3 March 2020 for randomised controlled trials reporting NMR of preterm and/or LBW newborns following any intervention in LMICs. Risk ratios for mortality outcomes were pooled where appropriate using a random effects model (PROSPERO registration number: CRD42019139267). 1236 studies were identified, of which 49 were narratively synthesised and 9 contributed to the meta-analysis. The studies included 39 interventions in 21 countries with 46 993 participants. High-quality evidence suggested significant reduction of NMR following antenatal corticosteroids (Pakistan risk ratio (RR) 0.89; 95% CI 0.80 to 0.99|Guatemala 0.74; 0.68 to 0.81), single cord (0.65; 0.50 to 0.86) and skin cleansing with chlorhexidine (0.72; 0.55 to 0.95), early BCG vaccine (0.64; 0.48 to 0.86; I&lt;sup&gt;2&lt;/sup&gt; 0%), community kangaroo mother care (OR 0.73; 0.55 to 0.97; I&lt;sup&gt;2&lt;/sup&gt; 0%) and home-based newborn care (preterm 0.25; 0.14 to 0.48|LBW 0.42; 0.27 to 0.65). No effects on perinatal (essential newborn care 1.02; 0.91 to 1.14|neonatal resuscitation 0.95; 0.84 to 1.07) or 7-day NMR (essential newborn care 1.03; 0.83 to 1.27|neonatal resuscitation 0.92; 0.77 to 1.09) were observed after training birth attendants. The findings of this study encourage the implementation of additional, evidence-based interventions in the current (WHO) guidelines and to be selective in usage of antenatal corticosteroids, to reduce mortality among preterm and LBW neonates in LMICs. Given the global commitment to end all preventable neonatal deaths by 2030, continuous evaluation and improvement of the current guidelines should be a priority on the agenda.</t>
  </si>
  <si>
    <t>Costs Associated With Timely and Delayed Surgical Treatment of Spinal Metastases.</t>
  </si>
  <si>
    <t>van Tol, Floris R; Massier, Julie R A; Frederix, Geert W J; Öner, F Cumhur; Verkooijen, Helena M; Verlaan, Jorrit-Jan</t>
  </si>
  <si>
    <t>global spine journal</t>
  </si>
  <si>
    <t>https://pubmed.ncbi.nlm.nih.gov/33511876</t>
  </si>
  <si>
    <t>Retrospective cohort study. Symptoms caused by spinal metastases are often difficult to distinguish from symptoms caused by non-malignant spinal disease, complicating timely diagnosis, referral and treatment. The ensuing delays may promote the risk of neurological deficits or severe mechanical instability and consequent emergency surgery, leading to poorer prognosis. Presumably, treatment delay may subsequently lead to more health-care consumption and therefore increased average costs of treatment. All patients surgically treated for spinal metastases were included in the current study. Based on the presence of alarming symptoms and urgency of the required intervention, patients were categorized as having received timely or delayed treatment. Pre-surgical, in-hospital, aftercare and total costs were analyzed and compared between the 2 groups. In total, 299 patients were included, of which 205 underwent timely and 94 delayed treatment. There was no significant difference in pre-surigcal costs (€3.229,13 in the timely treated group &lt;i&gt;vs.&lt;/i&gt; €2.528,70 in the delayed treatment group, p = 0.849). The in-hospital costs (€16.738,49 &lt;i&gt;vs.&lt;/i&gt; €13.108,81, p &lt; 0.001) and the aftercare costs (€13.950,37 &lt;i&gt;vs&lt;/i&gt;. 3.981,93, p &lt; 0.001) were significantly higher for delayed treatment &lt;i&gt;vs.&lt;/i&gt; timely treatment, respectively. The total costs were €33.741,71 for delayed treatment and €20.318,52 for timely treatment (p &lt; 0.001). The total costs for timely treated patients with spinal metastases are significantly lower compared with patients receiving delayed treatment. Investing in the optimization of referral patterns may therefore reduce the overall pretreatment delay and subsequently increase patient outcome, leading to better clinical outcomes at lower costs.</t>
  </si>
  <si>
    <t>Feasibility and acceptability of frequent vaginal self-sampling at home by Rwandan women at high risk of urogenital tract infections.</t>
  </si>
  <si>
    <t>Verwijs, Marijn C; Agaba, Stephen; Umulisa, Marie-Michele; van de Wijgert, Janneke H H M</t>
  </si>
  <si>
    <t>https://pubmed.ncbi.nlm.nih.gov/33514681</t>
  </si>
  <si>
    <t>To establish temporal links between vaginal microbiota (VMB) data and incident clinical events, frequent longitudinal vaginal sampling is required. Self-collection of swabs at the participant's home may be useful to avoid overburdening research clinics and participants. One-off vaginal self-sampling for STI or cervical cancer screening programmes has been shown to be feasible and acceptable to women in multiple studies, including in sub-Saharan Africa, but the feasibility and acceptability of frequent longitudinal vaginal sampling in the context of VMB sequencing studies is unknown. Twelve participants of a randomised clinical trial in Kigali, Rwanda, self-collected vaginal swabs three times a week for a month. We studied feasibility by comparing DNA concentrations, proportions of samples with &gt;1000 16S rRNA amplicon sequencing reads and VMB composition outcomes of self-collected swabs with clinician-collected swabs. We evaluated the acceptability of self-collection using structured face-to-face interviews and a focus group discussion. The participants collected vaginal swabs at 131 different time points. One woman stopped self-sampling after one try due to a social harm. All self-sampled swabs generated &gt;1000 rRNA amplicon sequencing reads, and the DNA concentration of self-sampled swabs and clinician-sampled swabs did not differ significantly (Kruskal-Wallis p=0.484). Self-sampled and clinician-sampled swabs generated similar VMB composition data. Participants reported feeling very comfortable during self-sampling (11/12; 91.7%) and that self-sampling had become easier over time (12/12; 100%). They mentioned reduced travel time and travel costs as advantages of self-sampling at home. Frequent longitudinal vaginal sampling at home is feasible and acceptable to participants, even in the context of a low-resource setting, as long as adequate counselling is provided. NCT02459665.</t>
  </si>
  <si>
    <t>Educational strategies to enhance EBM teaching and learning in the workplace: a focus group study.</t>
  </si>
  <si>
    <t>Welink, Lisanne; de Groot, Esther; Damoiseaux, Roger; Bartelink, Marie-Louise</t>
  </si>
  <si>
    <t>bmj evidencebased medicine</t>
  </si>
  <si>
    <t>https://pubmed.ncbi.nlm.nih.gov/33514649</t>
  </si>
  <si>
    <t>This study aimed to gather and synthesise educational strategies that can improve teaching and learning of evidence-based medicine (EBM) in the workplace, and make them concrete by listing ideas for implementing these strategies. Insight into current workplace-based EBM teaching and learning in general practice was the starting point to generate these strategies and ideas. Exploratory, qualitative focus group study, applying the consensus method of the nominal group technique. Postgraduate medical education; general practitioner (GP) specialty training at University Medical Centre Utrecht, the Netherlands PARTICIPANTS: 33 GPs and 17 GP trainees, divided in four focus groups. Using opportunistic sampling, participants were selected from the GP workplace because of their role as supervisor or trainee. An overview of educational strategies and ideas on how to implement these strategies in the workplace, followed by the participants' global ranking of the most useful ideas. The supervisors and trainees generated a list of educational improvement strategies that can be applied in learning conversations, while observing each other's consultations, and in (multidisciplinary) learning opportunities in the workplace. Table 1 presents the educational strategies and suggestions for implementing them. Ideas regarded as most useful include taking turns to conduct consultations and observing the other, holding a structured, in-depth discussion after observation, preparing and discussing articles found in relevant journals and on-the-spot searching for relevant evidence during learning conversations. Participants provided an extensive list of educational strategies and ideas on how to implement EBM learning in daily practice. As a great deal of GP training takes place in clinical practice, supervisors and trainees could apply the suggested ideas to enhance EBM teaching and learning in the workplace.</t>
  </si>
  <si>
    <t>A widening gap between boys and girls in musculoskeletal complaints, while growing up from age 11 to age 20 - the PIAMA birth Cohort study.</t>
  </si>
  <si>
    <t>Picavet, H Susan J; Gehring, Ulrike; van Haselen, Amanda; Koppelman, Gerard H; van de Putte, Elise M; Vader, Sarah; van der Wouden, J Hans C; Schmits, Ruben J H; Smit, Henriette A; Wijga, Alet</t>
  </si>
  <si>
    <t>european journal of pain london england</t>
  </si>
  <si>
    <t>https://pubmed.ncbi.nlm.nih.gov/33405263</t>
  </si>
  <si>
    <t>The adolescent years represent a key period for the development of musculoskeletal complaints (MSC) and the differences between boys and girls. We evaluated the prevalence and course of MSC and factors associated with MSC while growing up from age 11 to age 20. Questionnaire-based data at age 11 (n = 2,638), age 14 (n = 2,517), age 17 (n = 2,094) and at age 20 (n = 2,206) from the ongoing Prevention and Incidence of Asthma and Mite Allergy (PIAMA) birth cohort were analyzed. MSC refers to pain of lower back, upper- and/or lower extremities. A multivariable logistic regression analysis was used to evaluate a number of factors in relation to persistent pain (pain reported at three out of four measurements). Prevalence of MSC increased from 14.2% at age 11 to 22.1% at age 20 for boys, and from 17.4% at age 11 to 37.9% at age 20 for girls. Persistent pain was found among 5.1% of the boys and 16.5% of the girls. Being bullied, sleeping problems and tiredness during the day were significantly associated with persistent pain, in both boys and girls, while the latter two were more prevalent among girls. Self-reported (sports-) accidents, and among girls also early onset of puberty, were also significantly associated with persistent pain, but lifestyle factors, such as physical activity and smoking, were not. The prevalence of MSC increases during adolescence, with a widening gap between boys and girls. The factors associated with MSC are similar in boys and girls, though the prevalence of some of these differ by sex. Measuring a group of youngsters 4 times between age 11 and 20 shows an increase in the percentage reporting musculoskeletal complaints (MSC) with a widening gap between girls and boys, with more pain among girls. Boys and girls do hardly differ with respect to factors associated with MSC, being mainly psychosocial factors and (sports) accidents.</t>
  </si>
  <si>
    <t>Nasopharyngeal Microbiota Profiles in Rural Venezuelan Children Are Associated With Respiratory and Gastrointestinal Infections.</t>
  </si>
  <si>
    <t>Verhagen, Lilly M; Rivera-Olivero, Ismar A; Clerc, Melanie; Chu, Mei Ling J N; van Engelsdorp Gastelaars, Jody; Kristensen, Maartje I; Berbers, Guy A M; Hermans, Peter W M; de Jonge, Marien I; de Waard, Jacobus H; Bogaert, Debby</t>
  </si>
  <si>
    <t>https://pubmed.ncbi.nlm.nih.gov/31919525</t>
  </si>
  <si>
    <t>Recent research suggests that the microbiota affects susceptibility to both respiratory tract infections (RTIs) and gastrointestinal infections (GIIs). In order to optimize global treatment options, it is important to characterize microbiota profiles across different niches and geographic/socioeconomic areas where RTI and GII prevalences are high. We performed 16S sequencing of nasopharyngeal swabs from 209 Venezuelan Amerindian children aged 6 weeks-59 months who were participating in a 13-valent pneumococcal conjugate vaccine (PCV13) study. Using random forest models, differential abundance testing, and regression analysis, we determined whether specific bacteria were associated with RTIs or GIIs and variation in PCV13 response. Microbiota compositions differed between children with or without RTIs (P = .018) or GIIs (P = .001). Several species were associated with the absence of infections. Some of these health-associated bacteria are also observed in developed regions, such as Corynebacterium (log2(fold change [FC]) = 3.30 for RTIs and log2(FC) = 1.71 for GIIs), while others are not commonly observed in developed regions, such as Acinetobacter (log2(FC) = 2.82 and log2(FC) = 5.06, respectively). Klebsiella spp. presence was associated with both RTIs (log2(FC) = 5.48) and GIIs (log2(FC) = 7.20). The nasopharyngeal microbiota of rural Venezuelan children included several bacteria that thrive in tropical humid climates. Interestingly, nasopharyngeal microbiota composition not only differed in children with an RTI but also in those with a GII, which suggests a reciprocal interplay between the 2 environments. Knowledge of region-specific microbiota patterns enables tailoring of preventive and therapeutic approaches.</t>
  </si>
  <si>
    <t>Absence of Consistent Sex Differences in Outcomes From Symptomatic Carotid Endarterectomy and Stenting Randomized Trials.</t>
  </si>
  <si>
    <t>Howard, Virginia J; Algra, Ale; Howard, George; Bonati, Leo H; de Borst, Gert J; Bulbulia, Richard; Calvet, David; Eckstein, Hans-Henning; Fraedrich, Gustav; Greving, Jacoba P; Halliday, Alison; Hendrikse, Jeroen; Jansen, Olav; Brown, Martin M; Mas, Jean-Louis; Ringleb, Peter A; Brott, Thomas G; ,</t>
  </si>
  <si>
    <t>https://pubmed.ncbi.nlm.nih.gov/33493046</t>
  </si>
  <si>
    <t>CREST (Carotid Revascularization Endarterectomy Versus Stenting Trial) reported a higher periprocedural risk for any stroke, death, or myocardial infarction for women randomized to carotid artery stenting (CAS) compared with women randomized to carotid endarterectomy (CEA). No difference in risk by treatment was detected for women relative to men in the 4-year primary outcome. We aimed to conduct a pooled analysis among symptomatic patients in large randomized trials to provide more precise estimates of sex differences in the CAS-to-CEA risk for any stroke or death during the 120-day periprocedural period and ipsilateral stroke thereafter. Data from the Carotid Stenosis Trialists' Collaboration included outcomes from symptomatic patients in EVA-3S (Endarterectomy Versus Angioplasty in Patients With Symptomatic Severe Carotid Stenosis), SPACE (Stent-Protected Angioplasty Versus Carotid Endarterectomy in Symptomatic Patients), ICSS (International Carotid Stenting Study), and CREST. The primary outcome was any stroke or death within 120 days after randomization and ipsilateral stroke thereafter. Event rates and relative risks were estimated using Poisson regression; effect modification by sex was assessed with a sex-by-treatment-by-trial interaction term, with significant interaction defined a priori as &lt;i&gt;P&lt;/i&gt;≤0.10. Over a median 2.7 years of follow-up, 433 outcomes occurred in 3317 men and 1437 women. The CAS-to-CEA relative risk of the primary outcome was significantly lower for women compared with men in 1 trial, nominally lower in another, and nominally higher in the other two. The sex-by-treatment-by-trial interaction term was significant (&lt;i&gt;P&lt;/i&gt;=0.065), indicating heterogeneity among trials. Contributors to this heterogeneity are primarily differences in periprocedural period. When the trials are nevertheless pooled, there were no significant sex differences in risk in any follow-up period. There were significant differences between trials in the magnitude of sex differences in treatment effect (CAS-to-CEA relative risk), indicating pooling data from these trials to estimate sex differences might not be valid. Whether sex is acting as an effect modifier of the CAS-to-CEA treatment effect in symptomatic patients remains uncertain. Registration: URL: https://www.clinicaltrials.gov; Unique identifier: NCT00190398 (EVA-3S) and NCT00004732 (CREST). URL: https://www.isrctn.com; Unique identifier: ISRCTN57874028 (SPACE) and ISRCTN25337470 (ICSS).</t>
  </si>
  <si>
    <t>Longitudinal effects of adjuvant chemotherapy and related neuropathy on health utility in stage II and III colon cancer patients: A prospective cohort study.</t>
  </si>
  <si>
    <t>Jongeneel, Gabrielle; Greuter, Marjolein J E; van Erning, Felice N; Twisk, Jos W R; Koopman, Miriam; Punt, Cornelis J A; Vink, Geraldine R; Coupé, Veerle M H</t>
  </si>
  <si>
    <t>https://pubmed.ncbi.nlm.nih.gov/33460468</t>
  </si>
  <si>
    <t>Patient's quality of life should be included in clinical decision making regarding the administration of adjuvant chemotherapy (ACT) in stage II/III colon cancer. Therefore, quality of life, summarized as health utility (HU), was evaluated for patients treated with and without ACT. Furthermore, the role of chemotherapy-induced peripheral neuropathy (CIPN) on HU was evaluated. Patients diagnosed with stage II/III colon cancer between 2011 and 2019 and participating in the Prospective Dutch ColoRectal Cancer cohort were included (n = 914). HU scores were assessed with the EQ-5D-5L at baseline, 3, 6, 12, 18, and 24 months. Patients treated with ACT received mainly capecitabine and oxaliplatin (57%) or capecitabine monotherapy (40%) (average duration: 3.5 months). HU 3 to 18 months after diagnosis (potential ACT period + 12 months follow-up) was compared between patients treated with and without ACT using a mixed model adjusted for age, sex and education level. Subsequently, the CIPN sensory, motor and autonomy scales, measured using the EORTC QLQ-CIPN20, were independently included in the model to evaluate the impact of neuropathy. Using a mixed model, a significant difference of -0.039 (95% confidence interval: -0.062; -0.015) in HU was found between patients treated with and without ACT. Including the CIPN sensory, motor and autonomy scales decreased the difference with 0.019, 0.015 and 0.02, respectively. HU 3 to 18 months after diagnosis is significantly lower in patients treated with ACT vs without ACT. This difference is on the boundary of clinical relevance and appears to be partly related to the sensory and motor neuropathy-related side effects of ACT.</t>
  </si>
  <si>
    <t>Modelling the impact of tailored behavioural interventions on chlamydia transmission.</t>
  </si>
  <si>
    <t>van Wees, Daphne A; den Daas, Chantal; Kretzschmar, Mirjam E E; Heijne, Janneke C M</t>
  </si>
  <si>
    <t>https://pubmed.ncbi.nlm.nih.gov/33495513</t>
  </si>
  <si>
    <t>Behavioural interventions tailored to psychological characteristics of an individual can effectively achieve risk-reducing behaviour. The impact of tailored interventions on population-level chlamydia prevalence is unknown. We aimed to assess the impact on overall chlamydia prevalence five years after the introduction of an intervention aimed at increasing self-efficacy, social norms, attitudes and intentions towards condom use (i.e., condom intervention), and an intervention aimed at increasing health goals and decreasing impulsiveness (i.e., impulsiveness intervention). A pair model, informed by longitudinal psychological and behavioural data of young heterosexuals visiting sexual health centers, with susceptible-infected-susceptible structure was developed. The intervention effect was defined as an increased proportion of each subgroup moving to the desired subgroup (i.e., lower risk subgroup). Interventions tailored to subgroup-specific characteristics, assuming differential intervention effects in each subgroup, more effectively reduced overall chlamydia prevalence compared to non-tailored interventions. The most effective intervention was the tailored condom intervention, which was assumed to result in a relative reduction in chlamydia prevalence of 18% versus 12% in the non-tailored scenario. Thus, it is important to assess multiple psychological and behavioural characteristics of individuals. Tailored interventions may be more successful in achieving risk-reducing behaviour, and consequently, reduce chlamydia prevalence more effectively.</t>
  </si>
  <si>
    <t>Treatment decision-making and the added value of the general practitioner: A qualitative exploration of cancer patients' perspectives.</t>
  </si>
  <si>
    <t>Noteboom, Eveline A; Vervoort, Sigrid C J M; May, Anne M; van Dorst, Eleonora B L; van Lindert, Anne S R; van Elst, Maarten W; Bijlsma, Rhodé M; van der Wall, Elsken; de Wit, Niek J; Helsper, Charles W</t>
  </si>
  <si>
    <t>https://pubmed.ncbi.nlm.nih.gov/33491834</t>
  </si>
  <si>
    <t>Cancer patients are increasingly involved in decision-making for cancer treatment. General practitioners' (GPs) support in this process is advocated. Therefore, GPs need to be aware of patients' treatment decision-making process and their potential role. We aim to understand the treatment decision-making process and to explore the added value of GP involvement, from the perspective of cancer patients treated with curative intent. An explorative qualitative study was performed. Semi-structured interviews were conducted with 20 purposively sampled Dutch cancer patients treated with curative intent. Patients' treatment decision-making process was dominated by a focus on 'safeguarding survival'. Patients generally followed the treatment plan as proposed by their physician and did not always experience having a treatment choice. The majority of patients expressed added value for GP involvement, mainly to provide psychological support, but also for providing shared decision-making (SDM) support. The treatment decision-making process of cancer patients treated with curative intent is dominated by the urge to 'safeguard survival'. GPs should be aware of their added value in providing psychological support and their potential role to support SDM following a cancer diagnosis.</t>
  </si>
  <si>
    <t>Should germline genome editing be allowed? The effect of treatment characteristics on public acceptability.</t>
  </si>
  <si>
    <t>van Dijke, I; van Wely, M; Berkman, B E; Bredenoord, A L; Henneman, L; Vliegenthart, R; Repping, S; Hendriks, S</t>
  </si>
  <si>
    <t>https://pubmed.ncbi.nlm.nih.gov/33242333</t>
  </si>
  <si>
    <t>To what extent do characteristics of germline genome editing (GGE) determine whether the general public supports permitting the clinical use of GGE? The risk that GGE would cause congenital abnormalities had the largest effect on support for allowing GGE, followed by effectiveness of GGE, while costs, the type of application (disease or enhancement) and the effect on child well-being had moderate effects. Scientific progress on GGE has increased the urgency of resolving whether and when clinical application of GGE may be ethically acceptable. Various expert bodies have suggested that the treatment characteristics will be key in determining whether GGE is acceptable. For example, GGE with substantial risks (e.g. 15% chance of a major congenital abnormality) may be acceptable to prevent a severe disease but not to enhance non-medical characteristics or traits of an otherwise healthy embryo (e.g. eye colour or perhaps in the future more complex traits, such as intelligence). While experts have called for public engagement, it is unclear whether and how much the public acceptability of GGE is affected by the treatment characteristics proposed by experts. The vignette-based survey was disseminated in 2018 among 1857 members of the Dutch general public. An online research panel was used to recruit a sample representing the adult Dutch general public. A literature review identified the key treatment characteristics of GGE: the effect on the well-being of the future child, use for disease or enhancement, risks for the future child, effectiveness (here defined as the chance of a live birth, assuming that if the GGE was not successful, the embryo would not be transferred), cost and availability of alternative treatments/procedures to prevent the genetic disease or provide enhancement (i.e. preimplantation genetic testing (PGT)), respectively. For each treatment characteristic, 2-3 levels were defined to realistically represent GGE and its current alternatives, donor gametes and ICSI with PGT. Twelve vignettes were created by fractional factorial design. A multinominal logit model assessed how much each treatment characteristic affected participants' choices. The 1136 respondents (response rate 61%) were representative of the Dutch adult population in several demographics. Respondents were between 18 and 89 years of age. When no alternative treatment/procedure is available, the risk that GGE would cause (other) congenital abnormalities had the largest effect on whether the Dutch public supported allowing GGE (coefficient = -3.07), followed by effectiveness (coefficient = 2.03). Costs (covered by national insurance, coefficient = -1.14), the type of application (disease or enhancement; coefficient = -1.07), and the effect on child well-being (coefficient = 0.97) had similar effects on whether GGE should be allowed. If an alternative treatment/procedure (e.g. PGT) was available, participants were not categorically opposed to GGE, however, they were strongly opposed to using GGE for enhancement (coefficient = -3.37). The general acceptability of GGE was higher than participants' willingness to personally use it (P &lt; 0.001). When participants considered whether they would personally use GGE, the type of application (disease or enhancement) was more important, whereas effectiveness and costs (covered by national insurance) were less important than when they considered whether GGE should be allowed. Participants who were male, younger and had lower incomes were more likely to allow GGE when no alternative treatment/procedure is available. Some (e.g. ethnic, religious) minorities were not well represented. To limit complexity, not all characteristics of GGE could be included (e.g. out-of-pocket costs), therefore, the views gathered from the vignettes reflect only the choices presented to the respondents. The non-included characteristics could be connected to and alter the importance of the studied characteristics. This would affect how closely the reported coefficients reflect 'real-life' importance. This study is the first to quantify the substantial impact of GGE's effectiveness, costs (covered by national insurance), and effect on child well-being on whether the public considered GGE acceptable. In general, the participants were strikingly risk-averse, in that they weighed the risks of GGE more heavily than its benefits. Furthermore, although only a single study in one country, the results suggests that-if sufficiently safe and effective-the public may approve of using GGE (presumably combined with PGT) instead of solely PGT to prevent passing on a disease. The reported public views can serve as input for future consideration of the ethics and governance of GGE. Young Academy of the Royal Dutch Academy of Sciences (UPS/RB/745), Alliance Grant of the Amsterdam Reproduction and Development Research Institute (2017-170116) and National Institutes of Health Intramural Research Programme. No competing interests. N/A.</t>
  </si>
  <si>
    <t>The impact of the COVID-19 pandemic on the care and management of patients with acute cardiovascular disease: a systematic review.</t>
  </si>
  <si>
    <t>Kiss, Pauline; Carcel, Cheryl; Hockham, Carinna; Peters, Sanne A E</t>
  </si>
  <si>
    <t>https://pubmed.ncbi.nlm.nih.gov/33151274</t>
  </si>
  <si>
    <t>The COVID-19 pandemic has disrupted healthcare services around the world, which may have serious implications for the prognosis of patients with acute cardiovascular disease. We conducted a systematic review to assess the extent to which health services related to the care and management of acute cardiovascular events have been impacted during the COVID-19 pandemic. PubMed, MedRxiv, and Google Scholar were searched for observational studies published up to 12 August 2020 for studies that assessed the impact of the pandemic on the care and management of people with acute cardiovascular disease (CVD). In total, 27 articles were included. Of these, 16 examined the impact on acute coronary syndromes (ACS), eight on strokes, one on ACS and strokes, and two on other types of CVD. When comparing the COVID-19 period to non-COVID-19 periods, 11 studies observed a decrease in ACS admissions ranging between 40% and 50% and 5 studies showed a decrease in stroke admissions of between 12% and 40%. Four studies showed a larger reduction in non-ST-segment elevation myocardial infarctions compared to ST-segment elevation myocardial infarctions. A decrease in the number of reperfusion procedures, a shortening in the lengths of stay at the hospital, and longer symptom-to-door times were also observed. The COVID-19 pandemic has led to a substantial decrease in the rate of admissions for acute CVD, reductions in the number of procedures, shortened lengths of stay at the hospital, and longer delays between the onset of the symptoms and hospital treatment. The impact on patient's prognosis needs to be quantified in future studies.</t>
  </si>
  <si>
    <t>International comparison of pressure ulcer measures in long-term care facilities: Assessing the methodological robustness of 4 approaches to point prevalence measurement.</t>
  </si>
  <si>
    <t>Poldrugovac, Mircha; Padget, Michael; Schoonhoven, Lisette; Thompson, Nicola D; Klazinga, Niek S; Kringos, Dionne S</t>
  </si>
  <si>
    <t>https://pubmed.ncbi.nlm.nih.gov/33558099</t>
  </si>
  <si>
    <t>Pressure ulcer indicators are among the most frequently used performance measures in long-term care settings. However, measurement systems vary and there is limited knowledge about the international comparability of different measurement systems. The aim of this analysis was to identify possible avenues for international comparisons of data on pressure ulcer prevalence among residents of long-term care facilities. A descriptive analysis of the four point prevalence measurement systems programs used in 28 countries on three continents was performed. The criteria for the description and analysis were based on the scientific literature on criteria for indicator selection, on issues in international comparisons of data and on specific challenges of pressure ulcer measurements. The four measurement systems use a prevalence measure based on very similar numerator and denominator definitions. All four measurement systems also collect data on patient mobility. They differ in the pressure ulcer classifications used and the requirements for a head-to-toe resident examination. The regional or country representativeness of long-term care facilities also varies among the four measurement systems. Methodological differences among the point prevalence measurement systems are an important barrier to reliable comparisons of pressure ulcer prevalence data. The alignment of the methodologies may be improved by implementing changes to the study protocols, such as aligning the classification of pressure ulcers and requirements for a head-to-toe resident skin assessment. The effort required for each change varies. All these elements need to be considered by any initiative to facilitate international comparison and learning.</t>
  </si>
  <si>
    <t>The Impact of a Standardized Pre-visit Laboratory Testing Panel in the Internal Medicine Outpatient Clinic: a Controlled "On-Off" Trial.</t>
  </si>
  <si>
    <t>Vrijsen, B E L; Ten Berg, M J; Naaktgeboren, C A; Vis, J Y; Dijstelbloem, H M; Westerink, J; Dekker, D; Hoefer, I E; Haitjema, S; Hulsbergen-Veelken, C A R; van Solinge, W W; Kaasjager, H A H</t>
  </si>
  <si>
    <t>https://pubmed.ncbi.nlm.nih.gov/33483828</t>
  </si>
  <si>
    <t>In several settings, a shorter time to diagnosis has been shown to lead to improved clinical outcomes. The implementation of a rapid laboratory testing allows for a pre-visit testing in the outpatient clinic, meaning that test results are available during the first outpatient visit. To determine whether the pre-visit laboratory testing leads to a shorter time to diagnosis in the general internal medicine outpatient clinic. An "on-off" trial, allocating subjects to one of two treatment arms in consecutive alternating blocks. All new referrals to the internal medicine outpatient clinic of a university hospital were included, excluding second opinions. A total of 595 patients were eligible; one person declined to participate, leaving data from 594 patients for analysis. In the intervention group, patients had a standardized pre-visit laboratory testing before the first visit. The primary outcome was the time to diagnosis. Secondary outcomes were the correctness of the preliminary diagnosis on the first day, health care utilization, and patient and physician satisfaction. There was no difference in time to diagnosis between the two groups (median 35 days vs 35 days; hazard ratio 1.03 [0.87-1.22]; p = .71). The pre-visit testing group had higher proportions of both correct preliminary diagnoses on day 1 (24% vs 14%; p = .003) and diagnostic workups being completed on day 1 (10% vs 3%; p &lt; .001). The intervention group had more laboratory tests done (50.0 [interquartile range (IQR) 39.0-69.0] vs 43.0 [IQR 31.0-68.5]; p &lt; .001). Otherwise, there were no differences between the groups. Pre-visit testing did not lead to a shorter overall time to diagnosis. However, a greater proportion of patients had a correct diagnosis on the first day. Further studies should focus on customizing pre-visit laboratory panels, to improve their efficacy. NL5009.</t>
  </si>
  <si>
    <t>Focal Boost to the Intraprostatic Tumor in External Beam Radiotherapy for Patients With Localized Prostate Cancer: Results From the FLAME Randomized Phase III Trial.</t>
  </si>
  <si>
    <t>Kerkmeijer, Linda G W; Groen, Veerle H; Pos, Floris J; Haustermans, Karin; Monninkhof, Evelyn M; Smeenk, Robert Jan; Kunze-Busch, Martina; de Boer, Johannes C J; van der Voort van Zijp, Jochem; van Vulpen, Marco; Draulans, Cédric; van den Bergh, Laura; Isebaert, Sofie; van der Heide, Uulke A</t>
  </si>
  <si>
    <t>https://pubmed.ncbi.nlm.nih.gov/33471548</t>
  </si>
  <si>
    <t>This study investigates whether focal boosting of the macroscopic visible tumor with external beam radiotherapy increases biochemical disease-free survival (bDFS) in patients with localized prostate cancer.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Median follow-up was 72 months. Biochemical DFS was significantly higher in the focal boost compared with the standard arm (hazard ratio 0.45, 95% CI, 0.28 to 0.71, &lt;i&gt;P&lt;/i&gt; &lt; .001). At 5-year follow-up bDFS was 92% and 85%, respectively. We did not observe differences in prostate cancer-specific survival (&lt;i&gt;P&lt;/i&gt; = .49) and overall survival (&lt;i&gt;P&lt;/i&gt; = .50). The cumulative incidence of late genitourinary and GI toxicity grade ≥ 2 was 23% and 12% in the standard arm versus 28% and 13% in the focal boost arm, respectively. Both for late toxicity as health-related quality of life, differences were small and not statistically significant.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</si>
  <si>
    <t>Placenta Pathology From Term Born Neonates With Normal or Adverse Outcome.</t>
  </si>
  <si>
    <t>Nikkels, Peter Gj; Evers, Annemieke Cc; Schuit, Ewoud; Brouwers, Hens Aa; Bruinse, Hein W; Bont, Louis; Houben, Michiel L; Kwee, Anneke</t>
  </si>
  <si>
    <t>pediatric and developmental pathology the official journal of the society for pediatric pathology and the paediatric pathology society</t>
  </si>
  <si>
    <t>https://pubmed.ncbi.nlm.nih.gov/33470918</t>
  </si>
  <si>
    <t>The incidence of umbilical cord or placental parenchyma abnormalities associated with mortality or morbidity of term infants is lacking. Placentas of 55 antepartum stillbirths (APD), 21 intrapartum stillbirths (IPD), 12 neonatal deaths (ND), and 80 admissions to a level 3 neonatal intensive care unit (NS) were studied and compared with 439 placentas from neonates from normal term pregnancies and normal outcome after vaginal delivery (NPVD) and with 105 placentas after an elective caesarian sections (NPEC). NPVD and NPEC placentas showed no or one abnormality in 70% and placentas from stillbirth showed two or more abnormalities in 80% of cases. APD placentas more frequently had a low weight and less formation of terminal villi. Hypercoiling was more often present in all study groups. Severe chronic villitis was almost exclusively present in APD placentas. Chorioamnionitis was significantly more frequent in APD, IPD and NS placentas and funisitis was more often observed in IPD and NS placentas. Multiple placental abnormalities are significantly more frequent in placentas from term neonates with severe perinatal morbidity and mortality. These placental abnormalities are thought to be associated with disturbed oxygen transfer or with inflammation.</t>
  </si>
  <si>
    <t>Platelet aggregation inhibitor prescription for newly diagnosed peripheral arterial disease in the Netherlands: a cohort study.</t>
  </si>
  <si>
    <t>Brand, Aarent Rt; Houben, Eline; Bezemer, Irene D; Visseren, Frank L J; Bots, Michiel L; Herings, Ron Mc; de Borst, Gert-Jan</t>
  </si>
  <si>
    <t>https://pubmed.ncbi.nlm.nih.gov/33472782</t>
  </si>
  <si>
    <t>Pharmacological treatment of peripheral arterial disease (PAD) comprises of antiplatelet therapy (APT), blood pressure control and cholesterol optimisation. Guidelines provide class-I recommendations on the prescription, but there are little data on the actual prescription practices. Our study provides insight into the prescription of medication among patients with PAD in the Netherlands and reports a 'real-world' patient journey through primary and secondary care. We conducted a cohort study among patients newly diagnosed with PAD between 2010 and 2014. Data were obtained from the PHARMO Database Network, a population-based network of electronic pharmacy, primary and secondary healthcare setting records in the Netherlands. The source population for this study comprised almost 1 million individuals. 'Newly diagnosed' was defined as a recorded International Classification of Primary Care code for PAD, a PAD-specific WCIA examination code or a diagnosis recorded as free text episode in the general practitioner records with no previous PAD diagnosis record and no prescription of P2Y12 inhibitors or aspirin the preceding year. The patient journey was defined by at least 1 year of database history and follow-up relative to the index date. Between 2010 and 2014, we identified 3677 newly diagnosed patients with PAD. Most patients (91%) were diagnosed in primary care. Almost half of all patients (49%) had no APT dispensing record. Within this group, 33% received other anticoagulant therapy (vitamin K antagonist or direct oral anticoagulant). Mono-APT was dispensed as aspirin (40% of patients) or P2Y12 inhibitors (2.5% of patients). Dual APT combining aspirin with a P2Y12 inhibitor was dispensed to 8.5% of the study population. Half of all patients with newly diagnosed PAD are not treated conforming to (international) guideline recommendations on thromboembolism prevention through APT. At least 33% of all patients with newly diagnosed PAD do not receive any antithrombotic therapy. Evaluation and improvement of APT prescription and thereby improved prevention of (secondary) cardiovascular events is warranted.</t>
  </si>
  <si>
    <t>Societal views in the Netherlands on active disinvestment of publicly funded healthcare interventions.</t>
  </si>
  <si>
    <t>Rotteveel, A H; Reckers-Droog, V T; Lambooij, M S; de Wit, G A; van Exel, N J A</t>
  </si>
  <si>
    <t>https://pubmed.ncbi.nlm.nih.gov/33516087</t>
  </si>
  <si>
    <t>To obtain public support for the active disinvestment (i.e. policy decision to stop reimbursement) of healthcare interventions, it is important to have insight in what the public thinks about disinvestment and which considerations they find relevant in this context. Currently, evidence on relevant considerations in the disinvestment context is limited. Therefore, this study aimed to explore the societal views in the Netherlands on the active disinvestment of healthcare interventions and obtain insight into the considerations that are relevant for those holding the different views. A Q-methodology study was conducted among a purposively selected sample of citizens (n = 43). Data were collected in June and July 2019. Participants individually ranked a set of 43 statements broadly covering the issues that participants could consider relevant in the disinvestment context, from 'least agree' to 'most agree'. Qualitative feedback on the statement ranking was collected from each participant using a questionnaire. Principal component analysis followed by oblimin rotation was used to identify clusters of participants with similar statement rankings. These clusters/factors were interpreted as distinct viewpoints using the factor arrays and qualitative questionnaire responses of participants. Four viewpoints were identified. People holding viewpoint I believe that reimbursement of necessary healthcare should be maintained, irrespective of its costs. People holding viewpoint II agree with viewpoint I, although they believe that necessity should be objectively determined. People holding viewpoint III think that unnecessary, ineffective and inefficient healthcare should be disinvested. People holding viewpoint IV, consider it most important that disinvestment decision-making processes are transparent and consistent. Insight in the distinct viewpoints identified in this study contributes to a better understanding of why it has been considered difficult to obtain public support for disinvestment of healthcare interventions, and can help policymakers to change their approach to disinvestment to increase public support.</t>
  </si>
  <si>
    <t>Breeding brains? Patients' and laymen's perspectives on cerebral organoids.</t>
  </si>
  <si>
    <t>Haselager, Dolly R; Boers, Sarah N; Jongsma, Karin R; Vinkers, Christiaan H; Broekman, Marike L; Bredenoord, Annelien L</t>
  </si>
  <si>
    <t>https://pubmed.ncbi.nlm.nih.gov/33471559</t>
  </si>
  <si>
    <t>&lt;b&gt;Aim:&lt;/b&gt; To explore the perspectives of patients and laymen with regard to the development, use and storage of cerebral organoids, in order to contribute to the ethical debate about this technology. &lt;b&gt;Materials &amp; methods:&lt;/b&gt; In depth semi-structured interviews with 28 patients and laymen were conducted. A qualitative thematic analysis was undertaken using a constant comparative method. &lt;b&gt;Results:&lt;/b&gt; Three interrelated themes emerged from the empirical material: moral value; willingness to donate; and elements of good governance. &lt;b&gt;Conclusion:&lt;/b&gt; Patients and laymen are most concerned about cerebral organoids potentially developing consciousness and potential misuse. They support the use of cerebral organoids under the conditions that donors are adequately informed and that there will be good governance. Perspectives of patients and laymen are helpful to enable responsible development and use of cerebral organoids in practice.</t>
  </si>
  <si>
    <t>Incidence Rates of Autoimmune Diseases in European Healthcare Databases: A Contribution of the ADVANCE Project.</t>
  </si>
  <si>
    <t>Willame, Corinne; Dodd, Caitlin; van der Aa, Lieke; Picelli, Gino; Emborg, Hanne-Dorthe; Kahlert, Johnny; Gini, Rosa; Huerta, Consuelo; Martín-Merino, Elisa; McGee, Chris; de Lusignan, Simon; Roberto, Giuseppe; Villa, Marco; Weibel, Daniel; Titievsky, Lina; Sturkenboom, Miriam C J M</t>
  </si>
  <si>
    <t>https://pubmed.ncbi.nlm.nih.gov/33462778</t>
  </si>
  <si>
    <t>The public-private ADVANCE collaboration developed and tested a system to generate evidence on vaccine benefits and risks using European electronic healthcare databases. In the safety of vaccines, background incidence rates are key to allow proper monitoring and assessment. The goals of this study were to compute age-, sex-, and calendar-year stratified incidence rates of nine autoimmune diseases in seven European healthcare databases from four countries and to assess validity by comparing with published data. Event rates were calculated for the following outcomes: acute disseminated encephalomyelitis, Bell's palsy, Guillain-Barré syndrome, immune thrombocytopenia purpura, Kawasaki disease, optic neuritis, narcolepsy, systemic lupus erythematosus, and transverse myelitis. Cases were identified by diagnosis codes. Participating organizations/databases originated from Denmark, Italy, Spain, and the UK. The source population comprised all persons registered, with at least 1 year of data prior to the study start, or follow-up from birth. Stratified incidence rates were computed per database over the period 2003 to 2014. Between 2003 and 2014, 148,947 incident cases of nine autoimmune diseases were identified. Crude incidence rates were highest for Bell's palsy [23.8/100,000 person-years (PYs), 95% confidence interval (CI) 23.6-24.1] and lowest for Kawasaki disease (0.7/100,000 PYs, 95% CI 0.6-0.7). Specific patterns were observed by sex, age, calendar time, and data sources. Rates were comparable with published estimates. A range of autoimmune events could be identified in the ADVANCE system. Estimation of rates indicated consistency across selected European healthcare databases, as well as consistency with US published data.</t>
  </si>
  <si>
    <t>Real-time imputation of missing predictor values improved the application of prediction models in daily practice.</t>
  </si>
  <si>
    <t>Nijman, Steven Willem Joost; Groenhof, T Katrien J; Hoogland, Jeroen; Bots, Michiel L; Brandjes, Menno; Jacobs, John J L; Asselbergs, Folkert W; Moons, Karel G M; Debray, Thomas P A</t>
  </si>
  <si>
    <t>https://pubmed.ncbi.nlm.nih.gov/33482294</t>
  </si>
  <si>
    <t>In clinical practice, many prediction models cannot be used when predictor values are missing. We, therefore, propose and evaluate methods for real-time imputation. We describe (i) mean imputation (where missing values are replaced by the sample mean), (ii) joint modeling imputation (JMI, where we use a multivariate normal approximation to generate patient-specific imputations), and (iii) conditional modeling imputation (CMI, where a multivariable imputation model is derived for each predictor from a population). We compared these methods in a case study evaluating the root mean squared error (RMSE) and coverage of the 95% confidence intervals (i.e., the proportion of confidence intervals that contain the true predictor value) of imputed predictor values. -RMSE was lowest when adopting JMI or CMI, although imputation of individual predictors did not always lead to substantial improvements as compared to mean imputation. JMI and CMI appeared particularly useful when the values of multiple predictors of the model were missing. Coverage reached the nominal level (i.e., 95%) for both CMI and JMI. Multiple imputations using either CMI or JMI is recommended when dealing with missing predictor values in real-time settings.</t>
  </si>
  <si>
    <t>Risk of 28-day readmissions among stroke patients in Malaysia (2008-2015): Trends, causes and its associated factors.</t>
  </si>
  <si>
    <t>Ang, Swee Hung; Hwong, Wen Yea; Bots, Michiel L; Sivasampu, Sheamini; Abdul Aziz, Aznida Firzah; Hoo, Fan Kee; Vaartjes, Ilonca</t>
  </si>
  <si>
    <t>https://pubmed.ncbi.nlm.nih.gov/33465103</t>
  </si>
  <si>
    <t>Risk of readmissions is an important quality indicator for stroke care. Such information is limited among low- and middle-income countries. We assessed the trends for 28-day readmissions after a stroke in Malaysia from 2008 to 2015 and evaluated the causes and factors associated with readmissions in 2015. Using the national hospital admission records database, we included all stroke patients who were discharged alive between 2008 and 2015 for this secondary data analysis. The risk of readmissions was described in proportion and trends. Reasons were coded according to the International Classification of Diseases, 10th Edition. Multivariable logistic regression was performed to identify factors associated with readmissions. Among 151729 patients, 11 to 13% were readmitted within 28 days post-discharge from their stroke events each year. The trend was constant for ischemic stroke but decreasing for hemorrhagic stroke. The leading causes for readmissions were recurrent stroke (32.1%), pneumonia (13.0%) and sepsis (4.8%). The risk of 28-day readmission was higher among those with stroke of hemorrhagic (adjusted odds ratio (AOR): 1.52) and subarachnoid hemorrhage (AOR: 2.56) subtypes, and length of index admission &gt;3 days (AOR: 1.48), but lower among younger age groups of 35-64 (AORs: 0.61-0.75), p values &lt;0.001. The risk of 28-day readmission remained constant from 2008 to 2015, where one in eight stroke patients required readmission, mainly attributable to preventable causes. Age, ethnicity, stroke subtypes and duration of the index admission influenced the risk of readmission. Efforts should focus on minimizing potentially preventable admissions, especially among those at higher risk.</t>
  </si>
  <si>
    <t>Management decisions on unruptured intracranial aneurysms before and after implementation of the PHASES score.</t>
  </si>
  <si>
    <t>Hollands, Laurie J; Vergouwen, Mervyn D I; Greving, Jacoba P; Wermer, Marieke J H; Rinkel, Gabriël J E; Algra, Annemijn M</t>
  </si>
  <si>
    <t>journal of the neurological sciences</t>
  </si>
  <si>
    <t>https://pubmed.ncbi.nlm.nih.gov/33524781</t>
  </si>
  <si>
    <t>In management decisions on saccular unruptured intracranial aneurysms (UIAs) the risk of rupture is an important factor. The PHASES score, introduced in 2014, provides absolute 5-year risks of rupture based on six easily retrievable patient and aneurysm characteristics. We assessed whether management decisions on UIAs changed after implementation of the PHASES score. We included all patients with UIAs who were referred to two Dutch tertiary referral centers for aneurysm care in the Netherlands (University Medical Center Utrecht (UMCU) and Leiden University Medical Center (LUMC)) between 2011 and 2017. Analyses were done on an aneurysm level. We calculated the overall proportion of UIAs with a decision to treat before and after PHASES implementation and studied the influence of age and center on post-implementation management changes. We included 623 patients with 803 UIAs. The proportion of UIAs with a decision to treat was 123/360 (34.2%) before and 117/443 (26.4%) after PHASES implementation (absolute risk difference: -7.8%; 95% CI: -14.1 to -1.4). The decision to treat was made at a higher median PHASES score after implementation (7 points (IQR 5;10) pre- versus 8 points (IQR 5;10) post-implementation; p = 0.14). The reduced proportion with a treatment decision after implementation was most pronounced in patients &lt;50 years (-22.3%; 95% CI: -39.2 to -3.4) and was restricted to treatment decisions made at the UMCU (-10.6%; 95% CI: -18.5 to -2.5). Management of UIAs changed following implementation of the PHASES score, but the impact of PHASES implementation on treatment decisions differed across age subgroups and centers.</t>
  </si>
  <si>
    <t>The prognostic value of the hamstring outcome score to predict the risk of hamstring injuries.</t>
  </si>
  <si>
    <t>van de Hoef, P A; Brink, M S; van der Horst, N; van Smeden, M; Backx, F J G</t>
  </si>
  <si>
    <t>journal of science and medicine in sport</t>
  </si>
  <si>
    <t>https://pubmed.ncbi.nlm.nih.gov/33478885</t>
  </si>
  <si>
    <t>Hamstring injuries are common among soccer players. The hamstring outcome score (HaOS) might be useful to identify amateur players at risk of hamstring injury. Therefore the aims of this study were: To determine the association between the HaOS and prior and new hamstring injuries in amateur soccer players, and to determine the prognostic value of the HaOS for identifying players with or without previous hamstring injuries at risk of future injury. Cohort study. HaOS scores and information about previous injuries were collected at baseline and new injuries were prospectively registered during a cluster-randomized controlled trial involving 400 amateur soccer players. Analysis of variance and t-tests were used to determine the association between the HaOS and previous and new hamstring injury, respectively. Logistic regression analysis indicated the prognostic value of the HaOS for predicting new hamstring injuries. Analysis of data of 356 players indicated that lower HaOS scores were associated with more previous hamstring injuries (F=17.4; p=0.000) and that players with lower HaOS scores sustained more new hamstring injuries (T=3.59, df=67.23, p=0.001). With a conventional HaOS score cut-off of 80%, logistic regression models yielded a probability of hamstring injuries of 11%, 18%, and 28% for players with 0,1, or 2 hamstring injuries in the previous season, respectively. The HaOS is associated with previous and future hamstring injury and might be a useful tool to provide players with insight into their risk of sustaining a new hamstring injury risk when used in combination with previous injuries.</t>
  </si>
  <si>
    <t>Developing a regional transmural care database: A roadmap.</t>
  </si>
  <si>
    <t>Vermond, Debbie; Helsper, Charles W; Kortekaas, Marlous F; Boekema, Nicole; de Groot, Esther; de Wit, Niek J; Zwart, Dorien L M</t>
  </si>
  <si>
    <t>international journal of medical informatics</t>
  </si>
  <si>
    <t>https://pubmed.ncbi.nlm.nih.gov/33485218</t>
  </si>
  <si>
    <t>In primary care health care systems, primary care physicians (PCPs) provide most basic care services, and if necessary, refer to secondary care for specialized work-up and treatment. If hospital care is required, agreement between PCPs and secondary care physicians (SCPs) on the conditions for patient referral and back-referral are considered crucial to providing high quality patient care. The regional healthcare network of Utrecht, a region in the Netherlands, developed a set of collaborative patient care agreements (CPCAs) for specific chronic conditions. Even though these CPCA are endorsed by all relevant regional health care organisations, the adoption of these agreements in practice remains substandard. In this project, through linkage of routine care data, as registered in daily practice by PCPs and SCPs, a regional transmural care database (RTD) was developed for monitoring the use of the CPCAs. Its data was transformed into' mirror data' used to support PCPs and SCPs in discussing and improving current practice and to support a learning healthcare system within the region. The development of the RTD is part of a larger action research project on joint care, called ZOUT (an acronym which is translated as "The right care at the right place in the Utrecht region"). The RTD includes data from three regional hospitals, and about 70 affiliated primary care practices which are united in the Julius General Practitioners Network (JGPN). These data were extracted, linked and presented in the form of mirror data, following simple methods to allow replication of our approach. CPCAs addressing transmural care for three chronic conditions were selected. Data from the primary care practices and the hospitals were linked by an independent trusted third party. This enabled relevant hospital data to be added to the primary care dataset, thereby providing transmural routine care data for individual patients. During the development of the RTD, a roadmap was created including a detailed step-by-step checklist of the organizational, administrative, technical and legal arrangements which needed to be made. Legal and administrative challenges proved most challenging. Also, incompleteness of data and the impossibility to translate several agreements into extractable data limited the potential for providing a comprehensive overview of the extent to which agreements in the CPCA were adhered to in daily care. We present a systematic, comprehensive (technical as well as practical) and reproducible roadmap to developing a regional transmural care database suitable for generating mirror data on joint transmural care between PCPs and SCPs. This approach includes all technical steps in data selection and linkage, as well as the substantive steps that need to be taken in the analysis and application of the results. The mirror data, which reflects the follow-up of agreements formulated in the CPCAs, enabled shared reflection and discussion between PCPs and SCPs. This supports the search for bottlenecks and potentialities for improving daily collaborative care, thereby showing great potential to serve a learning regional healthcare system.</t>
  </si>
  <si>
    <t>Trends in maternal mortality in Suriname: 3 confidential enquiries in 3 decades.</t>
  </si>
  <si>
    <t>Kodan, Lachmi R; Verschueren, Kim J C; Paidin, Raez; Paidin, Rubinah; Browne, Joyce L; Bloemenkamp, Kitty W M; Rijken, Marcus J; ,</t>
  </si>
  <si>
    <t>https://pubmed.ncbi.nlm.nih.gov/36275195</t>
  </si>
  <si>
    <t>The Sustainable Development Goal target 3.1 aims to reduce the global maternal mortality ratio to less than 70 per 100,000 live births. Great disparities reported in maternal mortality ratio between and within countries make this target unachievable. To gain more insight into such disparities and to monitor and describe trends, confidential enquiries into maternal deaths are crucial. We aimed to study the trend in maternal mortality ratio, causes, delay in access and quality of care, and "lessons learned" in Suriname, over almost 3 decades with 3 confidential enquiries into maternal deaths and provide recommendations to prevent maternal deaths. The third national confidential enquiry into maternal deaths was conducted between 2015 and 2019 in Suriname by prospective, population-based surveillance and multidisciplinary systematic maternal death review. Subsequently, a comparative analysis with previous confidential enquiry into maternal deaths was performed: confidential enquiry into maternal deaths I (a prospective study, 1991-1993) and confidential enquiry into maternal deaths II (a retrospective study, 2010-2014). We identified 62 maternal deaths and recorded 48,881 live births (maternal mortality ratio, 127/100,000 live births) between 2015-2019. Of the women who died, 14 of 62 (23%) were in poor condition when entering a health facility, whereas 11 of 62 (18%) died at home or during transportation. The maternal mortality ratio decreased over the years, (226 [n=64]; 130 [n=65]; and 127 [n=62]), with underreporting rates of 62%, 26%, and 24%, respectively in confidential enquiry into maternal deaths I, II and III. Of the women deceased, 36 (56%), 37 (57%), and 40 (63%) were of African descent; 46 (72%), 45 (69%), and 47 (76%) died after birth; and 47 (73%), 55 (84%), and 48 (77%) died in the hospital, respectively, in confidential enquiries into maternal deaths I, II, and III. Significantly more women were uninsured in confidential enquiry into maternal deaths III (15 of 59 [25%,]) than in confidential enquiry into maternal deaths II (0%) and I (6 of 64 [9%]). Obstetrical hemorrhage was less often the underlying cause of death over the years (19 of 64 [30%], vs 13 of 65 [20%], vs 7 of 62 [11%]), whereas all other obstetrical causes occurred more often in confidential enquiry into maternal deaths III (eg, suicide [0; 1 of 65 (2%); 5 of 62 (8%)]) and unspecified deaths (1 of 64 [2%]; 3 of 65 [5%]; and 11 of 62 [18%] in confidential enquiry into maternal deaths I, II and III respectively). Maternal deaths were preventable in nearly half of the cases in confidential enquiry into maternal deaths II (28 of 65) and III (29 of 62). Delay in quality of care occurred in at least two-thirds of cases (41 of 62 [65%], 47 of 59 [80%], and 47 of 61 [77%]) over the years. Suriname's maternal mortality rate has decreased throughout the past 3 decades, yet the trend is too slow to achieve the Sustainable Development Goal 3.1. Preventable maternal deaths can be reduced by ensuring high-quality facility-based obstetrical and postpartum care, universal access to care especially for vulnerable women (of African descent and low socioeconomic class), and by addressing specific underlying causes of maternal deaths.</t>
  </si>
  <si>
    <t>Applications and Recruitment Performance of Web-Based Respondent-Driven Sampling: Scoping Review.</t>
  </si>
  <si>
    <t>Helms, Yannick B; Hamdiui, Nora; Kretzschmar, Mirjam E E; Rocha, Luis E C; van Steenbergen, Jim E; Bengtsson, Linus; Thorson, Anna; Timen, Aura; Stein, Mart L</t>
  </si>
  <si>
    <t>https://pubmed.ncbi.nlm.nih.gov/33448935</t>
  </si>
  <si>
    <t>Web-based respondent-driven sampling is a novel sampling method for the recruitment of participants for generating population estimates, studying social network characteristics, and delivering health interventions. However, the application, barriers and facilitators, and recruitment performance of web-based respondent-driven sampling have not yet been systematically investigated. Our objectives were to provide an overview of published research using web-based respondent-driven sampling and to investigate factors related to the recruitment performance of web-based respondent-driven sampling. We conducted a scoping review on web-based respondent-driven sampling studies published between 2000 and 2019. We used the process evaluation of complex interventions framework to gain insights into how web-based respondent-driven sampling was implemented, what mechanisms of impact drove recruitment, what the role of context was in the study, and how these components together influenced the recruitment performance of web-based respondent-driven sampling. We included 18 studies from 8 countries (high- and low-middle income countries), in which web-based respondent-driven sampling was used for making population estimates (n=12), studying social network characteristics (n=3), and delivering health-related interventions (n=3). Studies used web-based respondent-driven sampling to recruit between 19 and 3448 participants from a variety of target populations. Studies differed greatly in the number of seeds recruited, the proportion of successfully recruiting participants, the number of recruitment waves, the type of incentives offered to participants, and the duration of data collection. Studies that recruited relatively more seeds, through online platforms, and with less rigorous selection procedures reported relatively low percentages of successfully recruiting seeds. Studies that did not offer at least one guaranteed material incentive reported relatively fewer waves and lower percentages of successfully recruiting participants. The time of data collection was shortest in studies with university students. Web-based respondent-driven sampling can be successfully applied to recruit individuals for making population estimates, studying social network characteristics, and delivering health interventions. In general, seed and peer recruitment may be enhanced by rigorously selecting and motivating seeds, offering at least one guaranteed material incentive, and facilitating adequate recruitment options regarding the target population's online connectedness and communication behavior. Potential trade-offs should be taken into account when implementing web-based respondent-driven sampling, such as having less opportunities to implement rigorous seed selection procedures when recruiting many seeds, as well as issues around online rather than physical participation, such as the risk of cheaters participating repeatedly.</t>
  </si>
  <si>
    <t>Glycoproteoform Profiles of Individual Patients' Plasma Alpha-1-Antichymotrypsin are Unique and Extensively Remodeled Following a Septic Episode.</t>
  </si>
  <si>
    <t>Čaval, Tomislav; Lin, Yu-Hsien; Varkila, Meri; Reiding, Karli R; Bonten, Marc J M; Cremer, Olaf L; Franc, Vojtech; Heck, Albert J R</t>
  </si>
  <si>
    <t>https://pubmed.ncbi.nlm.nih.gov/33519818</t>
  </si>
  <si>
    <t>Sepsis and septic shock remain the leading causes of death in intensive care units (ICUs), yet the pathogenesis originating from the inflammatory response during sepsis remains ambiguous. Acute-phase proteins are typically highly glycosylated, and the nature of the glycans have been linked to the incidence and severity of such inflammatory responses. To further build upon these findings we here monitored, the longitudinal changes in the plasma proteome and, in molecular detail, glycoproteoform profiles of alpha-1-antichymotrypsin (AACT) extracted from plasma of ten individual septic patients. For each patient we included four different time-points, including post-operative (before sepsis) and following discharge from the ICU. We isolated AACT from plasma depleted for albumin, IgG and serotransferrin and used high-resolution native mass spectrometry to qualitatively and quantitatively monitor the multifaceted glycan microheterogeneity of desialylated AACT, which allowed us to monitor how changes in the glycoproteoform profiles reflected the patient's physiological state. Although we observed a general trend in the remodeling of the AACT glycoproteoform profiles, e.g. increased fucosylation and branching/LacNAc elongation, each patient exhibited unique features and responses, providing a resilient proof-of-concept for the importance of personalized longitudinal glycoproteoform profiling. Importantly, we observed that the AACT glycoproteoform changes induced by sepsis did not readily subside after discharge from ICU.</t>
  </si>
  <si>
    <t>The application of WHO ICD-PM: Feasibility for the classification of timing and causes of perinatal deaths in a busy birth centre in a low-income country.</t>
  </si>
  <si>
    <t>Housseine, Natasha; Snieder, Anne; Binsillim, Mithle; Meguid, Tarek; Browne, Joyce L; Rijken, Marcus J</t>
  </si>
  <si>
    <t>https://pubmed.ncbi.nlm.nih.gov/33444424</t>
  </si>
  <si>
    <t>To assess the feasibility of the application of International Classification of Diseases-10-to perinatal mortality (ICD-PM) in a busy low-income referral hospital and determine the timing and causes of perinatal deaths, and associated maternal conditions. Prospective application of ICD-PM. Referral hospital of Mnazi Mmoja Hospital, Zanzibar, United Republic of Tanzania. Stillbirths and neonatal deaths with a birth weight above 1000 grams born between October 16th 2017 to May 31st 2018. Clinical information and an adapted WHO ICD-PM interactive excel-based system were used to capture and classify the deaths according to timing, causes and associated maternal complications. Descriptive analysis was performed. Timing and causes of perinatal mortality and their associated maternal conditions. There were 661 perinatal deaths of which 248 (37.5%) were neonatal deaths and 413 (62.5%) stillbirths. Of the stillbirths, 128 (31%) occurred antepartum, 129 (31%) intrapartum and for 156 (38%) the timing was unknown. Half (n = 64/128) of the antepartum stillbirths were unexplained. Two-thirds (67%, n = 87/129) of intrapartum stillbirths followed acute intrapartum events, and 30% (39/129) were unexplained. Of the neonatal deaths, 40% died after complications of intrapartum events. Problems of documentation, lack of perinatal death audits, capacity for investigations, and guidelines for the unambiguous objective assignment of timing and primary causes of death are major threats for accurate determination of timing and specific primary causes of perinatal deaths.</t>
  </si>
  <si>
    <t>Clinical profile and contemporary management of patients with heart failure with preserved ejection fraction: results from the CHECK-HF registry.</t>
  </si>
  <si>
    <t>Uijl, A; Veenis, J F; Brunner-La Rocca, H P; van Empel, V; Linssen, G C M; Asselbergs, F W; van der Lee, C; Eurlings, L W M; Kragten, H; Al-Windy, N Y Y; van der Spank, A; Koudstaal, S; Brugts, J J; Hoes, A W</t>
  </si>
  <si>
    <t>https://pubmed.ncbi.nlm.nih.gov/33439465</t>
  </si>
  <si>
    <t>Clinical management of heart failure with preserved ejection fraction (HFpEF) centres on treating comorbidities and is likely to vary between countries. Thus, to provide insight into the current management of HFpEF, studies from multiple countries are required. We evaluated the clinical profiles and current management of patients with HFpEF in the Netherlands. We included 2153 patients with HFpEF (defined as a left ventricular ejection fraction ≥ 50%) from the CHECK-HF registry, which included patients from 2013 to 2016. Median age was 77 (IQR 15) years, 55% were women and the most frequent comorbidities were hypertension (51%), renal insufficiency (45%) and atrial fibrillation (AF, 38%). Patients between 65 and 80 years and those over 80 years had on average more comorbidities (up to 64% and 74%, respectively, with two or more comorbidities) than patients younger than 65 years (38% with two or more comorbidities, p-value &lt; 0.001). Although no specific drugs are available for HFpEF, treating comorbidities is advised. Beta-blockers were most frequently prescribed (78%), followed by loop diuretics (74%), renin-angiotensin system (RAS) inhibitors (67%) and mineralocorticoid receptor antagonists (MRAs, 39%). Strongest predictors for loop-diuretic use were older age, higher New York Heart Association class and AF. The medical HFpEF profile is determined by the underlying comorbidities, sex and age. Comorbidities are highly prevalent in HFpEF patients, especially in elderly HFpEF patients. Despite the lack of evidence, many HFpEF patients receive regular beta-blockers, RAS inhibitors and MRAs, often for the treatment of comorbidities.</t>
  </si>
  <si>
    <t>Development and validation of the ISARIC 4C Deterioration model for adults hospitalised with COVID-19: a prospective cohort study.</t>
  </si>
  <si>
    <t>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t>
  </si>
  <si>
    <t>the lancet respiratory medicine</t>
  </si>
  <si>
    <t>https://pubmed.ncbi.nlm.nih.gov/33444539</t>
  </si>
  <si>
    <t>Prognostic models to predict the risk of clinical deterioration in acute COVID-19 cases are urgently required to inform clinical management decisions. We developed and validated a multivariable logistic regression model for in-hospital clinical deterioration (defined as any requirement of ventilatory support or critical care, or death) among consecutively hospitalised adults with highly suspected or confirmed COVID-19 who were prospectively recruited to the International Severe Acute Respiratory and Emerging Infections Consortium Coronavirus Clinical Characterisation Consortium (ISARIC4C) study across 260 hospitals in England, Scotland, and Wales. Candidate predictors that were specified a priori were considered for inclusion in the model on the basis of previous prognostic scores and emerging literature describing routinely measured biomarkers associated with COVID-19 prognosis. We used internal-external cross-validation to evaluate discrimination, calibration, and clinical utility across eight National Health Service (NHS) regions in the development cohort. We further validated the final model in held-out data from an additional NHS region (London). 74 944 participants (recruited between Feb 6 and Aug 26, 2020) were included, of whom 31 924 (43·2%) of 73 948 with available outcomes met the composite clinical deterioration outcome. In internal-external cross-validation in the development cohort of 66 705 participants, the selected model (comprising 11 predictors routinely measured at the point of hospital admission) showed consistent discrimination, calibration, and clinical utility across all eight NHS regions. In held-out data from London (n=8239), the model showed a similarly consistent performance (C-statistic 0·77 [95% CI 0·76 to 0·78]; calibration-in-the-large 0·00 [-0·05 to 0·05]); calibration slope 0·96 [0·91 to 1·01]), and greater net benefit than any other reproducible prognostic model. The 4C Deterioration model has strong potential for clinical utility and generalisability to predict clinical deterioration and inform decision making among adults hospitalised with COVID-19. National Institute for Health Research (NIHR), UK Medical Research Council, Wellcome Trust, Department for International Development, Bill &amp; Melinda Gates Foundation, EU Platform for European Preparedness Against (Re-)emerging Epidemics, NIHR Health Protection Research Unit (HPRU) in Emerging and Zoonotic Infections at University of Liverpool, NIHR HPRU in Respiratory Infections at Imperial College London.</t>
  </si>
  <si>
    <t>Can Previous Associations of Single Nucleotide Polymorphisms in the &lt;i&gt;TLR2&lt;/i&gt;, &lt;i&gt;NOD1&lt;/i&gt;, &lt;i&gt;CXCR5&lt;/i&gt;, and &lt;i&gt;IL10&lt;/i&gt; Genes in the Susceptibility to and Severity of &lt;i&gt;Chlamydia trachomatis&lt;/i&gt; Infections Be Confirmed?</t>
  </si>
  <si>
    <t>Jukema, Jelmer B; Hoenderboom, Bernice M; van Benthem, Birgit H B; van der Sande, Marianne A B; de Vries, Henry J C; Hoebe, Christian J P A; Dukers-Muijrers, Nicole H T M; Bax, Caroline J; Morré, Servaas A; Ouburg, Sander</t>
  </si>
  <si>
    <t>pathogens basel switzerland</t>
  </si>
  <si>
    <t>https://pubmed.ncbi.nlm.nih.gov/33430411</t>
  </si>
  <si>
    <t>Clear inter-individual differences exist in the response to &lt;i&gt;C. trachomatis&lt;/i&gt; (CT) infections and reproductive tract complications in women. Host genetic variation like single nucleotide polymorphisms (SNPs) have been associated with differences in response to CT infection, and SNPs might be used as a genetic component in a tubal-pathology predicting algorithm. Our aim was to confirm the role of four genes by investigating proven associated SNPs in the susceptibility and severity of a CT infection. A total of 1201 women from five cohorts were genotyped and analyzed for &lt;i&gt;TLR2&lt;/i&gt; + 2477 G &gt; A, &lt;i&gt;NOD1&lt;/i&gt; + 32656 T -&gt; GG, &lt;i&gt;CXCR5&lt;/i&gt; + 10950 T &gt; C, and &lt;i&gt;IL10&lt;/i&gt; - 1082 A &gt; G. Results confirmed that &lt;i&gt;NOD1&lt;/i&gt; + 32656 T -&gt;GG was associated with an increased risk of a symptomatic CT infection (OR: 1.9, 95%CI: 1.1-3.4, &lt;i&gt;p&lt;/i&gt; = 0.02), but we did not observe an association with late complications. &lt;i&gt;IL10&lt;/i&gt; - 1082 A &gt; G appeared to increase the risk of late complications (i.e., ectopic pregnancy/tubal factor infertility) following a CT infection (OR = 2.8, 95%CI: 1.1-7.1, &lt;i&gt;p&lt;/i&gt; = 0.02). Other associations were not found. Confirmatory studies are important, and large cohorts are warranted to further investigate SNPs' role in the susceptibility and severity of a CT infection.</t>
  </si>
  <si>
    <t>Evaluation of non-invasive imaging parameters in coronary microvascular disease: a systematic review.</t>
  </si>
  <si>
    <t>Groepenhoff, F; Klaassen, R G M; Valstar, G B; Bots, S H; Onland-Moret, N C; Den Ruijter, H M; Leiner, T; Eikendal, A L M</t>
  </si>
  <si>
    <t>https://pubmed.ncbi.nlm.nih.gov/33407208</t>
  </si>
  <si>
    <t>Coronary microvascular dysfunction (CMD) is an important underlying cause of angina pectoris. Currently, no diagnostic tool is available to directly visualize the coronary microvasculature. Invasive microvascular reactivity testing is the diagnostic standard for CMD, but several non-invasive imaging techniques are being evaluated. However, evidence on reported non-invasive parameters and cut-off values is limited. Thus, we aimed to provide an overview of reported non-invasive parameters and corresponding cut-off values for CMD. Pubmed and EMBASE databases were systematically searched for studies enrolling patients with angina pectoris without obstructed coronary arteries, investigating at least one non-invasive imaging technique to quantify CMD. Methodological quality assessment of included studies was performed using QUADAS-2. Thirty-seven studies were included. Ten cardiac magnetic resonance studies reported MPRI and nine positron emission tomography (PET) and transthoracic echocardiography (TTE) studies reported CFR. Mean MPRI ranged from 1.47 ± 0.36 to 2.01 ± 0.41 in patients and from 1.50 ± 0.47 to 2.68 ± 0.49 in controls without CMD. Reported mean CFR in PET and TTE ranged from 1.39 ± 0.31 to 2.85 ± 1.35 and 1.69 ± 0.40 to 2.40 ± 0.40 for patients, and 2.68 ± 0.83 to 4.32 ± 1.78 and 2.65 ± 0.65 to 3.31 ± 1.10 for controls, respectively. This systematic review summarized current evidence on reported parameters and cut-off values to diagnose CMD for various non-invasive imaging modalities. In current clinical practice, CMD is generally diagnosed with a CFR less than 2.0. However, due to heterogeneity in methodology and reporting of outcome measures, outcomes could not be compared and no definite reference values could be provided.</t>
  </si>
  <si>
    <t>Effects of 13-valent pneumococcal conjugate vaccination of adults on lower respiratory tract infections and antibiotic use in primary care: authors' response.</t>
  </si>
  <si>
    <t>van Werkhoven, Cornelis H; Bolkenbaas, Marieke; Huijts, Susanne M; Verheij, Theo J M; Bonten, Marc J M</t>
  </si>
  <si>
    <t>https://pubmed.ncbi.nlm.nih.gov/33421575</t>
  </si>
  <si>
    <t>How can we build and maintain the resilience of our health care professionals during COVID-19? Recommendations based on a scoping review.</t>
  </si>
  <si>
    <t>Rieckert, Anja; Schuit, Ewoud; Bleijenberg, Nienke; Ten Cate, Debbie; de Lange, Wendela; de Man-van Ginkel, Janneke M; Mathijssen, Elke; Smit, Linda C; Stalpers, Dewi; Schoonhoven, Lisette; Veldhuizen, Jessica D; Trappenburg, Jaap Ca</t>
  </si>
  <si>
    <t>https://pubmed.ncbi.nlm.nih.gov/33408212</t>
  </si>
  <si>
    <t>To explore how to build and maintain the resilience of frontline healthcare professionals exposed to COVID-19 outbreak working conditions. Scoping review supplemented with expert interviews to validate the findings. Hospitals. We searched PubMed, Embase, PsycINFO, CINAHL, bioRxiv and medRxiv systematically and grey literature for articles focusing on the impact of COVID-19-like working conditions on the physical and/or mental health of healthcare professionals in a hospital setting. Articles using an empirical design about determinants or causes of physical and/or mental health and about interventions, measures and policies to preserve physical and/or mental health were included. Four experts were interviewed to reflect on the results from the scoping review. In total, 4471 records were screened leading to an inclusion of 73 articles. Recommendations prior to the outbreak fostering resilience included optimal provision of education and training, resilience training and interventions to create a feeling of being prepared. Recommendations during the outbreak consisted of (1) enhancing resilience by proper provision of information, psychosocial support and treatment (eg, create enabling conditions such as forming a psychosocial support team), monitoring the health status of professionals and using various forms and content of psychosocial support (eg, encouraging peer support, sharing and celebrating successes), (2) tasks and responsibilities, in which attention should be paid to kind of tasks, task mix and responsibilities as well as the intensity and weight of these tasks and (3) work patterns and working conditions. Findings of the review were validated by experts. Recommendations were developed on how to build and maintain resilience of frontline healthcare professionals exposed to COVID-19 outbreak working conditions. These practical and easy to implement recommendations can be used by hospitals and other healthcare organisations to foster and preserve short-term and long-term physical and mental health and employability of their professionals.</t>
  </si>
  <si>
    <t>Laparoscopic Versus Open Gastrectomy for Gastric Cancer (LOGICA): A Multicenter Randomized Clinical Trial.</t>
  </si>
  <si>
    <t>van der Veen, Arjen; Brenkman, Hylke J F; Seesing, Maarten F J; Haverkamp, Leonie; Luyer, Misha D P; Nieuwenhuijzen, Grard A P; Stoot, Jan H M B; Tegels, Juul J W; Wijnhoven, Bas P L; Lagarde, Sjoerd M; de Steur, Wobbe O; Hartgrink, Henk H; Kouwenhoven, Ewout A; Wassenaar, Eelco B; Draaisma, Werner A; Gisbertz, Suzanne S; van der Peet, Donald L; May, Anne M; Ruurda, Jelle P; van Hillegersberg, Richard; ,</t>
  </si>
  <si>
    <t>https://pubmed.ncbi.nlm.nih.gov/34581617</t>
  </si>
  <si>
    <t>The oncological efficacy and safety of laparoscopic gastrectomy are under debate for the Western population with predominantly advanced gastric cancer undergoing multimodality treatment. In 10 experienced upper GI centers in the Netherlands, patients with resectable (cT1-4aN0-3bM0) gastric adenocarcinoma were randomly assigned to either laparoscopic or open gastrectomy. No masking was performed. The primary outcome was hospital stay. Analyses were performed by intention to treat. It was hypothesized that laparoscopic gastrectomy leads to shorter hospital stay, less postoperative complications, and equal oncological outcomes. Between 2015 and 2018, a total of 227 patients were randomly assigned to laparoscopic (n = 115) or open gastrectomy (n = 112). Preoperative chemotherapy was administered to 77 patients (67%) in the laparoscopic group and 87 patients (78%) in the open group. Median hospital stay was 7 days (interquartile range, 5-9) in both groups (&lt;i&gt;P&lt;/i&gt; = .34). Median blood loss was less in the laparoscopic group (150 &lt;i&gt;v&lt;/i&gt; 300 mL, &lt;i&gt;P&lt;/i&gt; &lt; .001), whereas mean operating time was longer (216 &lt;i&gt;v&lt;/i&gt; 182 minutes, &lt;i&gt;P&lt;/i&gt; &lt; .001). Both groups did not differ regarding postoperative complications (44% &lt;i&gt;v&lt;/i&gt; 42%, &lt;i&gt;P&lt;/i&gt; = .91), in-hospital mortality (4% &lt;i&gt;v&lt;/i&gt; 7%, &lt;i&gt;P&lt;/i&gt; = .40), 30-day readmission rate (9.6% &lt;i&gt;v&lt;/i&gt; 9.1%, &lt;i&gt;P&lt;/i&gt; = 1.00), R0 resection rate (95% &lt;i&gt;v&lt;/i&gt; 95%, &lt;i&gt;P&lt;/i&gt; = 1.00), median lymph node yield (29 &lt;i&gt;v&lt;/i&gt; 29 nodes, &lt;i&gt;P&lt;/i&gt; = .49), 1-year overall survival (76% &lt;i&gt;v&lt;/i&gt; 78%, &lt;i&gt;P&lt;/i&gt; = .74), and global health-related quality of life up to 1 year postoperatively (mean differences between + 1.5 and + 3.6 on a 1-100 scale; 95% CIs include zero). Laparoscopic gastrectomy did not lead to a shorter hospital stay in this Western multicenter randomized trial of patients with predominantly advanced gastric cancer. Postoperative complications and oncological efficacy did not differ between laparoscopic gastrectomy and open gastrectomy.</t>
  </si>
  <si>
    <t>Implementation of an interprofessional collaboration in practice program: a feasibility study using social network analysis.</t>
  </si>
  <si>
    <t>Smit, Linda C; Dikken, Jeroen; Moolenaar, Nienke M; Schuurmans, Marieke J; de Wit, Niek J; Bleijenberg, Nienke</t>
  </si>
  <si>
    <t>pilot and feasibility studies</t>
  </si>
  <si>
    <t>https://pubmed.ncbi.nlm.nih.gov/33407919</t>
  </si>
  <si>
    <t>Due to multimorbidity and geriatric problems, older people often require both psychosocial and medical care. Collaboration between medical and social professionals is a prerequisite to deliver high-quality care for community-living older people. Effective, safe, and person-centered care relies on skilled interprofessional collaboration and practice. Little is known about interprofessional education to increase interprofessional collaboration in practice (IPCP) in the context of community care for older people. This study examines the feasibility of the implementation of an IPCP program in three community districts and determines its potential to increase interprofessional collaboration between primary healthcare professionals caring for older people. A feasibility study was conducted to determine the acceptability and feasibility of data collection and analysis regarding interprofessional collaboration in network development. A questionnaire was used to measure the learning experience and the acquisition of knowledge and skills regarding the program. Network development was assessed by distributing a social network survey among professionals attending the program as well as professionals not attending the program at baseline and 5.5 months after. Network development was determined by calculating the number, reciprocity, value, and diversity of contacts between professionals using social network analysis. The IPCP program was found to be instructive and the knowledge and skills gained were applicable in practice. Social network analysis was feasible to conduct and revealed a spill-over effect regarding network development. Program participants, as well as non-program participants, had larger, more reciprocal, and more diverse interprofessional networks than they did before the program. This study showed the feasibility of implementing an IPCP program in terms of acceptability, feasibility of data collection, and social network analysis to measure network development, and indicated potential to increase interprofessional collaboration between primary healthcare professionals. Both program participants and non-program participants developed a larger, more collaborative, and diverse interprofessional network.</t>
  </si>
  <si>
    <t>Lessons learned from the Amsterdam Cohort Studies among people who use drugs: a historical perspective.</t>
  </si>
  <si>
    <t>van Santen, Daniela K; Coutinho, Roel A; van den Hoek, Anneke; van Brussel, Giel; Buster, Marcel; Prins, Maria</t>
  </si>
  <si>
    <t>harm reduction journal</t>
  </si>
  <si>
    <t>https://pubmed.ncbi.nlm.nih.gov/33407562</t>
  </si>
  <si>
    <t>The Netherlands is well known for its early adoption of harm reduction (HR) programs at the height of its heroin crisis in the 1970s/1980s, including the implementation of the first needle and syringe program worldwide. In this manuscript, we describe how the Amsterdam Cohort Studies (ACS) among people who use drugs (PWUD) was conceived within the context of the Dutch HR approach, including the challenges scientists faced while establishing this cohort. This required striking a balance between public health and individual benefit, solving research dilemmas in the face of uncertainty, developing controversial innovative and cutting-edge interventions, which changed the prevention landscape for PWUD, and using longitudinal cohort data to provide unique insights. Studies from the ACS covering follow-up between 1985 and 2016 revealed that participation in both opioid agonist therapy and needle and syringe programs led to a major decrease in the risk of HIV and hepatitis B and C infection acquisition. ACS data have shown that the observed decrease in incidence also likely included shifts in drug markets and drug culture over time, selective mortality among those with the highest levels of risk behaviour, demographic changes of the PWUD population, and progression of the HIV and HCV epidemics. Moreover, HR programs in the Netherlands provided services beyond care for drug use, such as social support and welfare services, likely contributing to its success in curbing the HIV and viral hepatitis epidemics, increasing access and retention to HIV and HCV care and ultimately decreases in overdose mortality over time. Given the low coverage of HR programs in certain regions, it is unsurprising that continued HIV and HCV outbreaks occur and that transmission is ongoing in many countries worldwide. If we aim to reach the World Health Organization viral hepatitis and HIV elimination targets in 2030, as well as to improve the life of PWUD beyond infection risk, comprehensive HR programs need to be integrated as a part of prevention services, as in the Netherlands. We should use the evidence generated by longstanding cohorts, including the ACS, as a basis for which implementation and improved coverage of integrated HR services can be achieved for PWUD worldwide.</t>
  </si>
  <si>
    <t>Study protocol of a randomized, double-blind, placebo-controlled, multi-center trial to treat antipsychotic-induced weight gain: the Metformin-Lifestyle in antipsychotic users (MELIA) trial.</t>
  </si>
  <si>
    <t>de Boer, Nini; Guloksuz, Sinan; van Baal, Caroline; Willebrands, Leonie; Deenik, Jeroen; Vinkers, Christiaan H; Rossum, Inge Winter-van; Zinkstok, Janneke; Wilting, Ingeborg; Zantvoord, Jasper B; Backx, Frank; Swildens, Wilma E; Schouw, Marieke; Bogers, Jan; Hulshof, Folkwin; de Knijff, Rudolf; Duindam, Peter; Veereschild, Mike; Bak, Maarten; Frederix, Geert; de Haan, Lieuwe; van Os, Jim; Cahn, Wiepke; Luykx, Jurjen J</t>
  </si>
  <si>
    <t>bmc psychiatry</t>
  </si>
  <si>
    <t>https://pubmed.ncbi.nlm.nih.gov/33402159</t>
  </si>
  <si>
    <t>Antipsychotic-induced Weight Gain (AiWG) is a debilitating and common adverse effect of antipsychotics. AiWG negatively impacts life expectancy, quality of life, treatment adherence, likelihood of developing type-2 diabetes and readmission. Treatment of AiWG is currently challenging, and there is no consensus on the optimal management strategy. In this study, we aim to evaluate the use of metformin for the treatment of AiWG by comparing metformin with placebo in those receiving treatment as usual, which includes a lifestyle intervention. In this randomized, double-blind, multicenter, placebo-controlled, pragmatic trial with a follow-up of 52 weeks, we aim to include 256 overweight participants (Body Mass Index (BMI) &gt; 25 kg/m&lt;sup&gt;2&lt;/sup&gt;) of at least 16 years of age. Patients are eligible if they have been diagnosed with schizophrenia spectrum disorder and if they have been using an antipsychotic for at least three months. Participants will be randomized with a 1:1 allocation to placebo or metformin, and will be treated for a total of 26 weeks. Metformin will be started at 500 mg b.i.d. and escalated to 1000 mg b.i.d. 2 weeks thereafter (up to a maximum of 2000 mg daily). In addition, all participants will undergo a lifestyle intervention as part of the usual treatment consisting of a combination of an exercise program and dietary consultations. The primary outcome measure is difference in body weight as a continuous trait between the two arms from treatment inception until 26 weeks of treatment, compared to baseline. Secondary outcome measures include: 1) Any element of metabolic syndrome (MetS); 2) Response, defined as ≥5% body weight loss at 26 weeks relative to treatment inception; 3) Quality of life; 4) General mental and physical health; and 5) Cost-effectiveness. Finally, we aim to assess whether genetic liability to BMI and MetS may help estimate the amount of weight reduction following initiation of metformin treatment. The pragmatic design of the current trial allows for a comparison of the efficacy and safety of metformin in combination with a lifestyle intervention in the treatment of AiWG, facilitating the development of guidelines on the interventions for this major health problem. This trial was registered in the Netherlands Trial Register (NTR) at  https://www.trialregister.nl/trial/8440 as NTR NL8840 on March 8, 2020.</t>
  </si>
  <si>
    <t>Development and validation of a lifestyle-based model for colorectal cancer risk prediction: the LiFeCRC score.</t>
  </si>
  <si>
    <t>Aleksandrova, Krasimira; Reichmann, Robin; Kaaks, Rudolf; Jenab, Mazda; Bueno-de-Mesquita, H Bas; Dahm, Christina C; Eriksen, Anne Kirstine; Tjønneland, Anne; Artaud, Fanny; Boutron-Ruault, Marie-Christine; Severi, Gianluca; Hüsing, Anika; Trichopoulou, Antonia; Karakatsani, Anna; Peppa, Eleni; Panico, Salvatore; Masala, Giovanna; Grioni, Sara; Sacerdote, Carlotta; Tumino, Rosario; Elias, Sjoerd G; May, Anne M; Borch, Kristin B; Sandanger, Torkjel M; Skeie, Guri; Sánchez, Maria-Jose; Huerta, José María; Sala, Núria; Gurrea, Aurelio Barricarte; Quirós, José Ramón; Amiano, Pilar; Berntsson, Jonna; Drake, Isabel; van Guelpen, Bethany; Harlid, Sophia; Key, Tim; Weiderpass, Elisabete; Aglago, Elom K; Cross, Amanda J; Tsilidis, Konstantinos K; Riboli, Elio; Gunter, Marc J</t>
  </si>
  <si>
    <t>https://pubmed.ncbi.nlm.nih.gov/33390155</t>
  </si>
  <si>
    <t>Nutrition and lifestyle have been long established as risk factors for colorectal cancer (CRC). Modifiable lifestyle behaviours bear potential to minimize long-term CRC risk; however, translation of lifestyle information into individualized CRC risk assessment has not been implemented. Lifestyle-based risk models may aid the identification of high-risk individuals, guide referral to screening and motivate behaviour change. We therefore developed and validated a lifestyle-based CRC risk prediction algorithm in an asymptomatic European population. The model was based on data from 255,482 participants in the European Prospective Investigation into Cancer and Nutrition (EPIC) study aged 19 to 70 years who were free of cancer at study baseline (1992-2000) and were followed up to 31 September 2010. The model was validated in a sample comprising 74,403 participants selected among five EPIC centres. Over a median follow-up time of 15 years, there were 3645 and 981 colorectal cancer cases in the derivation and validation samples, respectively. Variable selection algorithms in Cox proportional hazard regression and random survival forest (RSF) were used to identify the best predictors among plausible predictor variables. Measures of discrimination and calibration were calculated in derivation and validation samples. To facilitate model communication, a nomogram and a web-based application were developed. The final selection model included age, waist circumference, height, smoking, alcohol consumption, physical activity, vegetables, dairy products, processed meat, and sugar and confectionary. The risk score demonstrated good discrimination overall and in sex-specific models. Harrell's C-index was 0.710 in the derivation cohort and 0.714 in the validation cohort. The model was well calibrated and showed strong agreement between predicted and observed risk. Random survival forest analysis suggested high model robustness. Beyond age, lifestyle data led to improved model performance overall (continuous net reclassification improvement = 0.307 (95% CI 0.264-0.352)), and especially for young individuals below 45 years (continuous net reclassification improvement = 0.364 (95% CI 0.084-0.575)). LiFeCRC score based on age and lifestyle data accurately identifies individuals at risk for incident colorectal cancer in European populations and could contribute to improved prevention through motivating lifestyle change at an individual level.</t>
  </si>
  <si>
    <t>Adherence to Drinking Guidelines and Reasons for Alcohol Consumption Cessation in the Southern Cone of Latin America - Findings from the CESCAS Study.</t>
  </si>
  <si>
    <t>van de Luitgaarden, Inge A T; Gulayin, Pablo E; Gutierrez, Laura; Calandrelli, Matías; Mores, Nora; Ponzo, Jacqueline; Lanas, Fernando; Schrieks, Ilse C; Grobbee, Diederick E; Beulens, Joline W J; Irazola, Vilma</t>
  </si>
  <si>
    <t>https://pubmed.ncbi.nlm.nih.gov/33598382</t>
  </si>
  <si>
    <t>Alcohol consumption is a risk factor for morbidity and mortality globally. Consumption levels in Southern Latin America are among the highest in the world. To describe consumption patterns and adherence to guidelines in the general adult population of Southern Latin America, as well as exploration of reasons for alcohol cessation and the advising role of the health worker in this decision. In 7,520 participants from the Centro de Excelencia en Salud Cardiovascular para el America del Sur (CESCAS) cohort, consumption patterns were described and the proportion excessive drinkers (i.e. &gt;7 units/week for women and &gt;14 for men or binge drinking: &gt;4 (women) or &gt;5 (men) units at a single occasion) was calculated. Former drinkers were asked if they had quit alcohol consumption on the advice of a health worker and/or because of health reasons. Furthermore, among former drinkers, multivariable logistic regression analysis was performed to assess which participant characteristics were independently associated with the chance of quitting consumption on a health worker's advice. Mean age was 54.8 years (SD = 10.8), 42% was male. Current drinking was reported by 44.6%, excessive drinking by 8.5% of the population. In former drinkers, 23% had quit alcohol consumption because of health reasons, half of them had additionally quit on the advice of a health worker. The majority of former drinkers however had other, unknown, reasons. When alcohol cessation was based on a health worker's advice, sex, country of residence, educational status and frequency of visiting a physician were independent predictors. In this Southern American population-based sample, most participants adhered to the alcohol consumption guidelines. The advising role of the health worker in quitting alcohol consumption was only modest and the motivation for the majority of former drinkers remains unknown. A more detailed assessment of actual advice rates and exploration of additional reasons for alcohol cessation might be valuable for alcohol policy making.</t>
  </si>
  <si>
    <t>Can continuous remote vital sign monitoring reduce the number of room visits to patients suspected of COVID-19: A quasi-experimental study.</t>
  </si>
  <si>
    <t>van Goor, H M R; Eddahchouri, Y; van Loon, K; Bredie, S J H; Schoonhoven, L; Kaasjager, H A H; van Goor, H</t>
  </si>
  <si>
    <t>https://pubmed.ncbi.nlm.nih.gov/33465579</t>
  </si>
  <si>
    <t>Continuous remote monitoring of vital signs on the hospital ward gained popularity during the Severe Acute Respiratory Syndrome coronavirus 2 pandemic due to its ability to support early detection of respiratory failure, and the possibility to do so without physical contact between patient and clinician. The effect of continuous monitoring on patient room visits has not been established yet. To assess the impact of continuous monitoring on the number of patient room visits for patients suspected of Corona Virus Disease 2019 (COVID-19) and the use of personal protection equipment. We performed a before-after study at a ward with private rooms for patients suspected of COVID-19 at a tertiary hospital in Nijmegen, The Netherlands. Non-participant observers observed hospital staff during day, evening and night shifts to record patient room visits and personal protection equipment usage. After eleven days, wearable continuous vital sign monitoring was introduced. An interrupted time series analysis was applied to evaluate the effect of continuous monitoring on the number of patient room visits, visits for obtaining vital signs (Modified Early Warning Score visits) and the amount of personal protection equipment used. During the 45 day study period, 86 shifts were observed. During each shift, approximately six rooms were included. A total of 2347 patient room visits were recorded. The slope coefficient for the number of patient room visits did not change after introducing continuous vital sign monitoring (B -0.003, 95% confidence interval -0.022/0.016). The slope coefficients of the number of Modified Early Warning Score visits and the amount of personal protection equipment used did not change either (B -0.002, 95% confidence interval -0.021/0.017 and B 0.046, 95% confidence interval -0.008/0.099). The number of Modified Early Warning Score visits did show a decline over the entire study period, however this decline was not influenced by the intervention. Evening and night shifts were associated with fewer patient room visits compared to day shifts. Introduction of continuous vital sign monitoring at a general ward for patients with suspected COVID-19 did not reduce the number of patient room visits or the usage of personal protection equipment by hospital staff. The number of Modified Early Warning Score visits declined over time, but this was not related to the introduction of continuous monitoring. Detailed analysis of the influence of continuous monitoring on the workflow of hospital staff reveals key points to increase efficacy of this intervention.</t>
  </si>
  <si>
    <t>A short, 8-week course of imiquimod 5% cream versus podophyllotoxin in the treatment of anogenital warts: A retrospective comparative cohort study.</t>
  </si>
  <si>
    <t>Nicolaidou, Electra; Kanelleas, Antonios; Nikolakopoulos, S; Bezrodnii, G; Nearchou, E; Gerodimou, M; Papadopoulou-Skordou, E; Paparizos, V; Rigopoulos, D</t>
  </si>
  <si>
    <t>indian journal of dermatology venereology and leprology</t>
  </si>
  <si>
    <t>https://pubmed.ncbi.nlm.nih.gov/31650979</t>
  </si>
  <si>
    <t>Studies comparing head-to-head treatment modalities for anogenital warts are lacking. We sought to compare a short, 8-week course of imiquimod 5% cream to versus the standard 4 week course of podophyllotoxin in the treatment of anogenital warts and to assess factors that may affect response to treatment. This was a retrospective cohort study. We reviewed medical files of otherwise healthy patients with a first episode of anogenital warts who were treated with either a short, 8-week course of imiquimod or the standard 4-week course of podophyllotoxin. Inverse probability of treatment weighted (IPTW). Logistic regression was employed to evaluate factors that may affect response to therapy. The study included 347 patients. In patients with lesions on dry, keratinized anatomical sites, the complete clearance rates were 7.6% for imiquimod and 27.9% for podophyllotoxin (P &lt; 0.001). In patients with lesions on moist, partially keratinized sites, no difference between the treatments was revealed. Significant predictors of &gt; 50% reduction in wart area were location of lesions [odds ratio (OR) (95% confidence interval (CI)): 3.6 (1.84-7.08), P = 0.0002] for "partially keratinized" versus "keratinized" sites and treatment used [OR (95% CI): 1.79 (1.08-2.97), P = 0.024] for podophyllotoxin versus imiquimod. The retrospective design of the study was a limitation that we mitigated against with the use of IPTW logistic regression. A standard 4 week course of Podophyllotoxin was more effective than an 8-week course of imiquimod only for lesions on keratinized sites. Treatment with podophyllotoxin and location of lesions on partially keratinized sites were independent predictors of &gt;50% reduction in wart area.</t>
  </si>
  <si>
    <t>Comment on Williamson et al. (OpenSAFELY): The Table 2 Fallacy in a Study of COVID-19 Mortality Risk Factors.</t>
  </si>
  <si>
    <t>Westreich, Daniel; Edwards, Jessie K; van Smeden, Maarten</t>
  </si>
  <si>
    <t>https://pubmed.ncbi.nlm.nih.gov/33065610</t>
  </si>
  <si>
    <t>Estimation of the effect of surrogate multi-omic biomarkers.</t>
  </si>
  <si>
    <t>Fuady, Angga M; El Bouhaddani, Said; Uh, Hae-Won; Houwing-Duistermaat, Jeanine</t>
  </si>
  <si>
    <t>theoretical biology forum</t>
  </si>
  <si>
    <t>https://pubmed.ncbi.nlm.nih.gov/35502731</t>
  </si>
  <si>
    <t>Multiple technologies which measure the same omics data set but are based on different aspects of the molecules exist. In practice, studies use different technologies and have therefore different biomarkers. An example is the glycan age index, which is constructed by three different ultra-performance liquid chromatography (UPLC) IgG glycans, and is a biomarker for biological age. A second technology is liquid chromatography- mass spectrometry (LCMS). To estimate the effect of a biomarker on an outcome variable, two issues need to be addressed. Firstly, a measurement error is needed to map one technology to the other one using a calibration study. Here, we consider two approaches, namely one based on the chemical properties of the two technologies and one based on the estimation of this relationship using O2PLS. Secondly, the use of an approximation of the biomarker in the main study needs to be taken into account by use of a regression calibration method. The performance of the two approaches is studied via simulations. The methods are used to estimate the relationship between glycan age and menopause. We have data from two cohorts, namely Korcula and Vis. In conclusion, (1) both measurement error models give similar results and suggest that there is an association between the glycan age index and the menopause status, (2) the chemical mapping approach outperforms O2PLS in the low measurement error variance, while on the larger measurement error variance, O2PLS works better, (3) statistical efficiency is lost due to increased noise level by adding irrelevant information.</t>
  </si>
  <si>
    <t>Investigating the impact of Down syndrome on methylation and glycomics with two-stage PO2PLS.</t>
  </si>
  <si>
    <t>Gu, Zhujie; El Bouhaddani, Said; Houwing-Duistermaat, Jeanine; Uh, Hae-Won</t>
  </si>
  <si>
    <t>https://pubmed.ncbi.nlm.nih.gov/35502729</t>
  </si>
  <si>
    <t>Down syndrome (DS) is a condition that leads to precocious and accelerated aging in affected subjects. Several alterations in DS cases have been reported at a molecular level, particularly in methylation and glycosylation. Investigating the relation between methylation, glycomics and DS can lead to new insights underlying the atypical aging. We consider a data integration approach, where we investigate how DS affects the parts of glycomics and methylation which are correlated, and which CpG sites and glycans are relevant. Our motivating datasets consist of methylation and glycomics data, measured on 29 DS patients and their unaffected siblings and mothers. The family-based case-control design needs to be taken into account when studying the relationship between methylation, glycomics and DS. We propose a two-stage approach to first integrate methylation and glycomics data, and then link the joint information to Down syndrome. For the data integration step, we consider probabilistic two-way orthogonal partial least squares (PO2PLS). PO2PLS models two omics datasets in terms of low-dimensional joint and omic-specific latent components, and takes into account heterogeneity across the omics data. The relationship between the omics data can be statistically tested. The joint components represent the joint information in methylation and glycomics. In the second stage, we apply a linear mixed model to the relationship between DS and the joint methylation and glycomics components. For the components that are significantly as sociated with DS, we identify the most important CpG sites and glycans. A simulation study is conducted to evaluate the performance of our approach. The results showed that the effects of DS on the omics data can be detected in a large sample size, and the accuracy of the feature selection was high in both small and large sample sizes. Our approach is applied to the DS datasets, a significant effect of DS on the joint components is found. The identified CpG sites and glycans appeared to be related to DS. Our proposed method that jointly analyzes multiple omics data with an outcome variable may provide new insight into the molecular implications of DS at different omics levels.</t>
  </si>
  <si>
    <t>Dissemination of Direct Healthcare Professional Communications on Medication Errors for Medicinal Products in the EU: An Explorative Study on Relevant Factors.</t>
  </si>
  <si>
    <t>Hoeve, Christina E; de Vries, Esther; Mol, Peter G M; Sturkenboom, Miriam C J M; Straus, Sabine M J M</t>
  </si>
  <si>
    <t>https://pubmed.ncbi.nlm.nih.gov/33355904</t>
  </si>
  <si>
    <t>When serious medication errors (ME) are identified, communication to the field may be necessary. In the EU, communication of serious safety issues, such as medication errors associated with adverse drug reactions, is done through direct healthcare professional communications (DHPCs). We aimed to identify how often DHPCs about medication errors are distributed, and we explored factors associated with these ME DHPCs. We performed a descriptive study of all centrally authorised products (CAPs) approved before 1 May 2019 in the EU. All DHPCs issued between 1 January 2001 and 1 May 2019 were reviewed for ME content. Characteristics of CAPs were collected from the website of the European Medicines Agency. A Kaplan-Meier survival analysis was performed to estimate the 5- and 10-year probability of the occurrence of a first ME DHPC. A logistic regression was performed to explore risk factors for ME DHPCs. A total of 678 CAPs were included, of which 35 required an ME DHPC during the study period. The 5-year probability for a CAP to have a first ME DHPC was 2.5% (95% CI 1.1-3.9) and the 10-year probability was 4.4% (95% CI 2.2-6.5). Among products with an ME DHPC, the 5-year probability of a second ME DHPC was 21.3% (95% CI 0.2-38.0). The risk of ME DHPCs was increased for products with multiple pharmaceutical formulations, enteral liquid or parenteral injection preparations, and products classified as nervous system agents or antineoplastic and immunomodulating agents. The absolute number of ME DHPCs for CAPs is low and does not give rise to immediate concern. We identified potential risk factors for ME DHPCs that should be taken into account during approval procedures or line extensions.</t>
  </si>
  <si>
    <t>Introduction or Discontinuation of Additional Risk Minimisation Measures During the Life Cycle of Medicines in Europe.</t>
  </si>
  <si>
    <t>Francisca, Reynold D C; Baba, Emna; Hoeve, Christina E; Zomerdijk, Inge M; Sturkenboom, Miriam C J M; Straus, Sabine M J M</t>
  </si>
  <si>
    <t>https://pubmed.ncbi.nlm.nih.gov/33000427</t>
  </si>
  <si>
    <t>Additional risk minimisation measures (aRMMs) may be required to minimise important risks of medicines. aRMMs may be required at the time of authorisation, but may also be introduced or discontinued during the product life cycle as new safety information arises. The aim of this study is to describe post-authorisation introductions of new aRMMs and discontinuations of existing aRMMs for medicines authorised in the European Union (EU). We performed a retrospective cohort study that included all new active substances authorised through the EU centralised procedure between January 1st 2006 and December 31st 2017. Data was extracted from European Public Assessment Reports available on the website of the European Medicines Agency (ema.europa.eu). Medicines were followed up from the date of marketing authorisation (MA) until first introduction or discontinuation of aRMMs, excluding Direct Healthcare Professional Communications (DHPCs), withdrawal/suspension/revocation of the MA, or July 1st 2018, when data extraction took place. Descriptive statistics were used to analyse frequency data, and survival analysis was used to calculate 5- and 10-year probability of introduction or discontinuation of aRMMs. A total of 476 medicines were authorised during the study period. The probability of getting aRMMs after authorisation for products authorised without aRMMs was 3.5% [95% confidence interval (CI) 1.2-5.7] within 5 years after authorisation and 6.9% (95% CI 2.6-11) within 10 years after authorisation. For products authorised with aRMMs, the probability of discontinuation of aRMMs was 0.9% (95% CI 0-2.6) within 5 years and 8.3% (95% CI 0-16.1) within 10 years after authorisation. We found low probabilities of introduction and discontinuation of aRMMs (excluding DHPCs) during the product life cycle for medicines authorised between 2006 and 2017. The low rate of discontinuation may potentially be due to a lack of robust data on effectiveness of aRMMs. Further research is needed to get more insight into the dynamics of aRMMs during the medicine life cycle.</t>
  </si>
  <si>
    <t>Biomarkers of Alzheimer's Disease and Cerebrovascular Lesions and Clinical Progression in Patients with Subjective Cognitive Decline: A Systematic Review.</t>
  </si>
  <si>
    <t>Scarth, Morgan; Rissanen, Ina; Scholten, Rob J P M; Geerlings, Mirjam I</t>
  </si>
  <si>
    <t>https://pubmed.ncbi.nlm.nih.gov/34397412</t>
  </si>
  <si>
    <t>Early identification of Alzheimer's disease (AD) may be extremely beneficial for delaying disease progression. Subjective cognitive decline (SCD) may be an early indicator of AD pathology. Not all individuals with SCD will eventually develop AD, making it critical to identify biomarkers during the SCD stage which indicate likely clinical progression. The present review aims to summarize available data on structural MRI and cerebrospinal fluid (CSF) biomarkers and their association with clinical progression to mild cognitive impairment (MCI) or AD in people with SCD. Database searches were conducted using Embase and PubMed until June 2020. Longitudinal studies assessing biomarkers in individuals with SCD and assessing clinical progression to MCI/AD were included. Two assessors performed data extraction and assessed the risk of bias in the included studies. Data were synthesized narratively. An initial search identified 1,065 papers; after screening and review 14 studies were included. Sample size of the included studies ranged from 28-674, mean age was 60.0-68.6 years, and 10.2%-52%of participants converted to MCI/AD. Lower levels of CSF Aβ42 were consistently associated with clinical progression. Combination measures identifying an AD-like profile of Aβ42 and tau levels were strongly associated with clinical progression. Biomarkers identified with structural MRI were less conclusive, as some studies found significant associations while others did not. Biomarkers may be able to predict clinical progression in those with cognitive complaints. Aβ42, or combinations of Aβ42 and tau may be useful biomarkers in identifying individuals with SCD who will progress to MCI/AD.</t>
  </si>
  <si>
    <t>Sex and Cardiovascular Function in Relation to Vascular Brain Injury in Patients with Cognitive Complaints.</t>
  </si>
  <si>
    <t>Kuipers, Sanne; Biessels, Geert Jan; Greving, Jacoba P; Amier, Raquel P; de Bresser, Jeroen; Bron, Esther E; van der Flier, Wiesje M; van der Geest, Rob J; Hooghiemstra, Astrid M; van Oostenbrugge, Robert J; van Osch, Matthias J P; Kappelle, L Jaap; Exalto, Lieza G; ,</t>
  </si>
  <si>
    <t>https://pubmed.ncbi.nlm.nih.gov/34511498</t>
  </si>
  <si>
    <t>Emerging evidence shows sex differences in manifestations of vascular brain injury in memory clinic patients. We hypothesize that this is explained by sex differences in cardiovascular function. To assess the relation between sex and manifestations of vascular brain injury in patients with cognitive complaints, in interaction with cardiovascular function. 160 outpatient clinic patients (68.8±8.5 years, 38% female) with cognitive complaints and vascular brain injury from the Heart-Brain Connection study underwent a standardized work-up, including heart-brain MRI. We calculated sex differences in vascular brain injury (lacunar infarcts, non-lacunar infarcts, white matter hyperintensities [WMHs], and microbleeds) and cardiovascular function (arterial stiffness, cardiac index, left ventricular [LV] mass index, LV mass-to-volume ratio and cerebral blood flow). In separate regression models, we analyzed the interaction effect between sex and cardiovascular function markers on manifestations of vascular brain injury with interaction terms (sex*cardiovascular function marker). Males had more infarcts, whereas females tended to have larger WMH-volumes. Males had higher LV mass indexes and LV mass-to-volume ratios and lower CBF values compared to females. Yet, we found no interaction effect between sex and individual cardiovascular function markers in relation to the different manifestations of vascular brain injury (p-values interaction terms &gt; 0.05). Manifestations of vascular brain injury in patients with cognitive complaints differed by sex. There was no interaction between sex and cardiovascular function, warranting further studies to explain the observed sex differences in injury patterns.</t>
  </si>
  <si>
    <t>The Diagnostic Yield of Routine Admission Blood Cultures in Critically Ill Patients.</t>
  </si>
  <si>
    <t>Verboom, Diana M; van de Groep, Kirsten; Boel, C H Edwin; Haas, Pieter Jan A; Derde, Lennie P G; Cremer, Olaf L; Bonten, Marc J M</t>
  </si>
  <si>
    <t>https://pubmed.ncbi.nlm.nih.gov/33165029</t>
  </si>
  <si>
    <t>Although the Surviving Sepsis Campaign bundle recommends obtaining blood cultures within 1 hour of sepsis recognition, adherence is suboptimal in many settings. We, therefore, implemented routine blood culture collection for all nonelective ICU admissions (regardless of infection suspicion) and evaluated its diagnostic yield. A before-after analysis. A mixed-ICU of a tertiary care hospital in the Netherlands. Patients acutely admitted to the ICU between January 2015 and December 2018. Automatic orders for collecting a single set of blood cultures immediately upon ICU admission were implemented on January 1, 2017. Blood culture results and the impact of contaminated blood cultures were compared for 2015-2016 (before period) and 2017-2018 (after period). Positive blood cultures were categorized as bloodstream infection or contamination. Blood cultures were obtained in 573 of 1,775 patients (32.3%) and in 1,582 of 1,871 patients (84.5%) in the before and after periods, respectively (p &lt; 0.0001), and bloodstream infection was diagnosed in 95 patients (5.4%) and 154 patients (8.2%) in both study periods (relative risk 1.5; 95% CI 1.2-2.0; p = 0.0006). The estimated number needed to culture for one additional patient with bloodstream infection was 17. Blood culture contamination occurred in 40 patients (2.3%) and 180 patients (9.6%) in the before period and after period, respectively (relative risk 4.3; 95% CI 3.0-6.0; p &lt; 0.0001). Rate of vancomycin use or presumed episodes of catheter-related bloodstream infections treated with antibiotics did not differ between both study periods. Implementation of routine blood cultures was associated with a 1.5-fold increase of detected bloodstream infection. The 4.3-fold increase in contaminated blood cultures was not associated with an increase in vancomycin use in the ICU.</t>
  </si>
  <si>
    <t>Association of Pre-diagnostic Antibody Responses to Escherichia coli and Bacteroides fragilis Toxin Proteins with Colorectal Cancer in a European Cohort.</t>
  </si>
  <si>
    <t>Butt, Julia; Jenab, Mazda; Werner, Jill; Fedirko, Veronika; Weiderpass, Elisabete; Dahm, Christina C; Tjønneland, Anne; Olsen, Anja; Boutron-Ruault, Marie-Christine; Rothwell, Joseph A; Severi, Gianluca; Kaaks, Rudolf; Turzanski-Fortner, Renée; Aleksandrova, Krasimira; Schulze, Matthias; Palli, Domenico; Pala, Valeria; Panico, Salvatore; Tumino, Rosario; Sacerdote, Carlotta; Bueno-de-Mesquita, Bas; Van Gils, Carla H; Gram, Inger Torhild; Lukic, Marko; Sala, Núria; Sánchez Pérez, María José; Ardanaz, Eva; Chirlaque, María-Dolores; Palmquist, Richard; Löwenmark, Thyra; Travis, Ruth C; Heath, Alicia; Cross, Amanda J; Freisling, Heinz; Zouiouich, Semi; Aglago, Elom; Waterboer, Tim; Hughes, David J</t>
  </si>
  <si>
    <t>gut microbes</t>
  </si>
  <si>
    <t>https://pubmed.ncbi.nlm.nih.gov/33874856</t>
  </si>
  <si>
    <t>Experimental evidence has implicated genotoxic &lt;i&gt;Escherichia coli&lt;/i&gt; (&lt;i&gt;E. coli&lt;/i&gt;) and enterotoxigenic &lt;i&gt;Bacteroides fragilis&lt;/i&gt; (ETBF) in the development of colorectal cancer (CRC). However, evidence from epidemiological studies is sparse. We therefore assessed the association of serological markers of &lt;i&gt;E. coli&lt;/i&gt; and ETBF exposure with odds of developing CRC in the European Prospective Investigation into Nutrition and Cancer (EPIC) study.Serum samples of incident CRC cases and matched controls (n = 442 pairs) were analyzed for immunoglobulin (Ig) A and G antibody responses to seven &lt;i&gt;E. coli&lt;/i&gt; proteins and two isoforms of the ETBF toxin via multiplex serology. Multivariable-adjusted conditional logistic regression analyses were used to estimate odds ratios (ORs) and 95% confidence intervals (CIs) for the association of sero-positivity to &lt;i&gt;E. coli&lt;/i&gt; and ETBF with CRC.The IgA-positivity of any of the tested &lt;i&gt;E. coli&lt;/i&gt; antigens was associated with higher odds of developing CRC (OR: 1.42; 95% CI: 1.05-1.91). Dual-positivity for both IgA and IgG to &lt;i&gt;E. coli&lt;/i&gt; and ETBF was associated with &gt;1.7-fold higher odds of developing CRC, with a significant association only for IgG (OR: 1.75; 95% CI: 1.04, 2.94). This association was more pronounced when restricted to the proximal colon cancers (OR: 2.62; 95% CI: 1.09, 6.29) compared to those of the distal colon (OR: 1.24; 95% CI: 0.51, 3.00) (&lt;i&gt;p&lt;sub&gt;heterogeneity&lt;/sub&gt; &lt;/i&gt;= 0.095). Sero-positivity to &lt;i&gt;E. coli&lt;/i&gt; and ETBF was associated with CRC development, suggesting that co-infection of these bacterial species may contribute to colorectal carcinogenesis. These findings warrant further exploration in larger prospective studies and within different population groups.</t>
  </si>
  <si>
    <t>Observation and Measurement of Forward Proton Scattering in Association with Lepton Pairs Produced via the Photon Fusion Mechanism at ATLAS.</t>
  </si>
  <si>
    <t>https://pubmed.ncbi.nlm.nih.gov/33449771</t>
  </si>
  <si>
    <t>The observation of forward proton scattering in association with lepton pairs (e^{+}e^{-}+p or μ^{+}μ^{-}+p) produced via photon fusion is presented. The scattered proton is detected by the ATLAS Forward Proton spectrometer, while the leptons are reconstructed by the central ATLAS detector. Proton-proton collision data recorded in 2017 at a center-of-mass energy of sqrt[s]=13  TeV are analyzed, corresponding to an integrated luminosity of 14.6  fb^{-1}. A total of 57 (123) candidates in the ee+p (μμ+p) final state are selected, allowing the background-only hypothesis to be rejected with a significance exceeding 5 standard deviations in each channel. Proton-tagging techniques are introduced for cross-section measurements in the fiducial detector acceptance, corresponding to σ_{ee+p}=11.0±2.6(stat)±1.2(syst)±0.3(lumi) and σ_{μμ+p}=7.2±1.6(stat)±0.9(syst)±0.2(lumi)  fb in the dielectron and dimuon channel, respectively.</t>
  </si>
  <si>
    <t>Scale-up integrated care for diabetes and hypertension in Cambodia, Slovenia and Belgium (SCUBY): a study design for a quasi-experimental multiple case study.</t>
  </si>
  <si>
    <t>van Olmen, Josefien; Menon, Sonia; Poplas Susič, Antonija; Ir, Por; Klipstein-Grobusch, Kerstin; Wouters, Edwin; Peñalvo, José L; Zavrnik, Črt; Te, Vannarath; Martens, Monika; Danhieux, Katrien; Chham, Savina; Stojnić, Natasa; Buffel, Veerle; Yem, Sokunthea; White, Gareth; Boateng, Daniel; Klemenc-Ketis, Zalika; Prevolnik, Valentina Rupel; Remmen, Roy; Van Damme, Wim</t>
  </si>
  <si>
    <t>https://pubmed.ncbi.nlm.nih.gov/33373278</t>
  </si>
  <si>
    <t>Health systems worldwide struggle to manage the growing burden of type 2 diabetes and hypertension. Many patients receive suboptimal care, especially those most vulnerable. An evidence-based Integrated Care Package (ICP) with primary care-based diagnosis, treatment, education and self-management support and collaboration, leads to better health outcomes, but there is little knowledge of how to scale-up. The Scale-up integrated care for diabetes and hypertension project (SCUBY) aims to address this problem by roadmaps for scaling-up ICP in different types of health systems: a developing health system in a lower middle-income country (Cambodia); a centrally steered health system in a high-income country (Slovenia); and a publicly funded highly privatised health-care health system in a high-income country (Belgium). In a quasi-experimental multi-case design, country-specific scale-up strategies are developed, implemented and evaluated. A three-dimensional framework assesses scale-up along three axes: (1) increase in population coverage; (2) expansion of the ICP package; and (3) integration into the health system. The study includes a formative, intervention and evaluation phase. The intervention entails the development and implementation of an improved scale-up strategy through a roadmap with a minimum dataset to monitor proximal and distal outcomes. The SCUBY project is expected to result in three different roadmaps, tailored to the specific health system and country context, to progress scale-up of the ICP along three dimensions. These roadmaps can be adapted to other health systems with similar typology. Implementation is expected to increase the number of well-controlled patients with type 2 diabetes and hypertension in Cambodia, to reduce inequities in care and increase patient empowerment in Belgium and Slovenia.</t>
  </si>
  <si>
    <t>Investigation of stillbirth causes in Suriname: application of the WHO ICD-PM tool to national-level hospital data.</t>
  </si>
  <si>
    <t>Prüst, Zita D; Verschueren, Kim J C; Bhikha-Kori, Gieta A A; Kodan, Lachmi R; Bloemenkamp, Kitty W M; Browne, Joyce L; Rijken, Marcus J</t>
  </si>
  <si>
    <t>https://pubmed.ncbi.nlm.nih.gov/32777997</t>
  </si>
  <si>
    <t>Suriname has one of the highest stillbirth rates in Latin America and the Caribbean. To facilitate data comparison of perinatal deaths, the World Health Organization developed the International Classification of Diseases-10 Perinatal Mortality (ICD-PM). We aimed to (1) assess characteristics and risk indicators of women with a stillbirth, (2) determine the timing and causes of stillbirths according to the ICD-PM with critical evaluation of its application and (3) propose recommendations for the reduction of stillbirths in Suriname. A hospital-based, nation-wide, cross-sectional study was conducted in all hospitals within Suriname during one-year (2017). The medical files of stillbirths (gestation ≥28 weeks/birth weight ≥1000 grams) were reviewed and classified using ICD-PM. We used descriptive statistics and multiple logistic regression analyses. The stillbirth rate in Suriname was 14.4/1000 births (n=131 stillbirths, n=9089 total births). Medical files were available for 86% (n=113/131) of stillbirths. Women of African descent had the highest stillbirth rate and two times the odds of stillbirth (OR 2.1, 95%CI 1.4-3.1) compared to women of other ethnicities. One third (33%, n=37/113) of stillbirths occurred after hospital admission. The timing was antepartum in 85% (n=96/113), intrapartum in 11% (n=12/113) and unknown in 4% (n=5/113). Antepartum stillbirths were caused by &lt;i&gt;hypoxia&lt;/i&gt; in 46% (n=44/96). In 41% (n=39/96) the cause was unspecified. &lt;i&gt;Maternal medical and surgical conditions&lt;/i&gt; were present in 50% (n=57/113), mostly hypertensive disorders. Stillbirth reduction strategies in Suriname call for targeting ethnic disparities, improving antenatal services, implementing perinatal death audits and improving diagnostic post-mortem investigations. ICD-PM limited the formulation of recommendations due to many stillbirths of 'unspecified' causes. Based on our study findings, we also recommend addressing some challenges with applying the ICD-PM. CTG: Cardiotocography; ENAP: Every Newborn Action Plan (ENAP); ICD-PM: The WHO application of ICD-10 to deaths during the perinatal period - perinatal mortality; SBR: Stillbirth rate; SGA: Small for gestational age; WHO: World Health Organization; LMIC: Low- and middle-income countries; FHR: foetal heart rate.</t>
  </si>
  <si>
    <t>Prognostic Factors for Advanced Colorectal Neoplasia in Inflammatory Bowel Disease: Systematic Review and Meta-analysis.</t>
  </si>
  <si>
    <t>Wijnands, Anouk M; de Jong, Michiel E; Lutgens, Maurice W M D; Hoentjen, Frank; Elias, Sjoerd G; Oldenburg, Bas; ,</t>
  </si>
  <si>
    <t>gastroenterology</t>
  </si>
  <si>
    <t>https://pubmed.ncbi.nlm.nih.gov/33385426</t>
  </si>
  <si>
    <t>Patients with inflammatory bowel disease (IBD) have an increased risk of colorectal cancer (CRC). We performed a systematic review and meta-analysis to identify all prognostic factors for advanced colorectal neoplasia (aCRN, high-grade dysplasia, or CRC) in patients with IBD.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</si>
  <si>
    <t>Microbial Contamination of Chicken Litter Manure and Antimicrobial Resistance Threat in an Urban Area Setting in Cameroon.</t>
  </si>
  <si>
    <t>Ngogang, Marie Paule; Ernest, Tambo; Kariuki, Jennifer; Mouliom Mouiche, Mohamed Moctar; Ngogang, Jeanne; Wade, Abel; van der Sande, Marianne Antonia Bernada</t>
  </si>
  <si>
    <t>https://pubmed.ncbi.nlm.nih.gov/33383622</t>
  </si>
  <si>
    <t>We conducted a pilot study to assess microbiological safety of chicken litter, an affordable organic and main fertilizer used in Cameroon and worldwide. A convenience sampling of 26 farms was done and a questionnaire was administered. Samples of litter were aseptically collected. &lt;i&gt;E. coli&lt;/i&gt; and &lt;i&gt;Salmonella&lt;/i&gt; spp. were isolated using CLSI standards. Antibiotic susceptibility testing was performed using the disc diffusion method and a micro broth dilution method for colistin. In broiler farms, 90% of participating farmers gave antibiotic prophylaxis. The prevalence of &lt;i&gt;E. coli&lt;/i&gt; and &lt;i&gt;Salmonella&lt;/i&gt; spp. was 59.1% and 15.5%, respectively. All &lt;i&gt;E. coli&lt;/i&gt; isolates were multidrug resistant as well as 36.4% for &lt;i&gt;Salmonella&lt;/i&gt; spp. No resistance was found against cefepime and imipenem. All &lt;i&gt;Salmonella&lt;/i&gt; spp. tested were found sensitive to colistin while 26.7% of &lt;i&gt;E. coli&lt;/i&gt; spp. were colistin resistant. Contamination of chicken litter may be an underestimated source of antimicrobial resistance (AMR) transmission towards animals, humans and the environment with multidrug resistant &lt;i&gt;E. coli&lt;/i&gt; and &lt;i&gt;Salmonella&lt;/i&gt; spp. This shows the need and opportunity for a One Health approach in AMR surveillance and control in Cameroon. Continued surveillance in chicken litter would enable monitoring of AMR risks and trends.</t>
  </si>
  <si>
    <t>Real-life impact of clinical prediction rules for venous thromboembolism in primary care: a cross-sectional cohort study.</t>
  </si>
  <si>
    <t>van Maanen, Rosanne; Kingma, Annelieke E C; Oudega, Ruud; Rutten, Frans H; Moons, Karel; Geersing, Geert-Jan</t>
  </si>
  <si>
    <t>https://pubmed.ncbi.nlm.nih.gov/33372074</t>
  </si>
  <si>
    <t>Clinical prediction rules (CPRs) followed by D-dimer testing were shown to safely rule out venous thromboembolism (VTE) in about half of all suspected patients in controlled and experienced study settings. Yet, its real-life impact in primary care is unknown. The aim of this study was to determine the real-life impact of CPRs for suspected VTE in primary care. Cross-sectional cohort study. Primary care in the Netherlands. Patients with suspected deep venous thrombosis (n=993) and suspected pulmonary embolism (n=484). General practitioners received an educational instruction on how to use CPRs in suspected VTE. We did not rectify incorrect application of the CPR in order to mimic daily clinical care. Primary outcomes were the diagnostic failure rate, defined as the 3-month incidence of VTE in the non-referred group, and the efficiency, defined as the proportion of non-referred patients in the total study population. Secondary outcomes were determinants for and consequences of &lt;i&gt;incorrect&lt;/i&gt; application of the CPRs. In 267 of the included 1477 patients, VTE was confirmed. When CPRs were correctly applied, the failure rate was 1.51% (95% CI 0.77 to 2.86), and the efficiency was 58.1% (95% CI 55.2 to 61.0). However, the CPRs were incorrectly applied in 339 patients, which resulted in an increased failure rate of 3.31% (95% CI 1.07 to 8.76) and a decreased efficiency of 35.7% (95% CI 30.6 to 41.1). The presence of concurrent heart failure increased the likelihood of incorrect application (adjusted OR 3.26; 95% CI 1.47 to 7.21). Correct application of CPRs for VTE in primary care is associated with an acceptable low failure rate at a high efficiency. Importantly, in nearly a quarter of patients, the CPRs were incorrectly applied that resulted in a higher failure rate and a considerably lower efficiency.</t>
  </si>
  <si>
    <t>Bayesian evidence synthesis in case of multi-cohort datasets: An illustration by multi-informant differences in self-control.</t>
  </si>
  <si>
    <t>Kevenaar, Sofieke T; Zondervan-Zwijnenburg, Maria A J; Blok, Elisabet; Schmengler, Heiko; Fakkel, M Ties; de Zeeuw, Eveline L; van Bergen, Elsje; Onland-Moret, N Charlotte; Peeters, Margot; Hillegers, Manon H J; Boomsma, Dorret I; Oldehinkel, Albertine J</t>
  </si>
  <si>
    <t>developmental cognitive neuroscience</t>
  </si>
  <si>
    <t>https://pubmed.ncbi.nlm.nih.gov/33434882</t>
  </si>
  <si>
    <t>The trend toward large-scale collaborative studies gives rise to the challenge of combining data from different sources efficiently. Here, we demonstrate how Bayesian evidence synthesis can be used to quantify and compare support for competing hypotheses and to aggregate this support over studies. We applied this method to study the ordering of multi-informant scores on the ASEBA Self Control Scale (ASCS), employing a multi-cohort design with data from four Dutch cohorts. Self-control reports were collected from mothers, fathers, teachers and children themselves. The available set of reporters differed between cohorts, so in each cohort varying components of the overarching hypotheses were evaluated. We found consistent support for the partial hypothesis that parents reported more self-control problems than teachers. Furthermore, the aggregated results indicate most support for the combined hypothesis that children report most problem behaviors, followed by their mothers and fathers, and that teachers report the fewest problems. However, there was considerable inconsistency across cohorts regarding the rank order of children's reports. This article illustrates Bayesian evidence synthesis as a method when some of the cohorts only have data to evaluate a partial hypothesis. With Bayesian evidence synthesis, these cohorts can still contribute to the aggregated results.</t>
  </si>
  <si>
    <t>Impact of COVID-19 on Tuberculosis Control.</t>
  </si>
  <si>
    <t>Comella-Del-Barrio, Patricia; De Souza-Galvão, Maria Luiza; Prat-Aymerich, Cristina; Domínguez, José</t>
  </si>
  <si>
    <t>archivos de bronconeumologia</t>
  </si>
  <si>
    <t>https://pubmed.ncbi.nlm.nih.gov/34629626</t>
  </si>
  <si>
    <t>Systematic evaluation and external validation of 22 prognostic models among hospitalised adults with COVID-19: an observational cohort study.</t>
  </si>
  <si>
    <t>Gupta, Rishi K; Marks, Michael; Samuels, Thomas H A; Luintel, Akish; Rampling, Tommy; Chowdhury, Humayra; Quartagno, Matteo; Nair, Arjun; Lipman, Marc; Abubakar, Ibrahim; van Smeden, Maarten; Wong, Wai Keong; Williams, Bryan; Noursadeghi, Mahdad; ,</t>
  </si>
  <si>
    <t>https://pubmed.ncbi.nlm.nih.gov/32978307</t>
  </si>
  <si>
    <t>The number of proposed prognostic models for coronavirus disease 2019 (COVID-19) is growing rapidly, but it is unknown whether any are suitable for widespread clinical implementation.We independently externally validated the performance of candidate prognostic models, identified through a living systematic review, among consecutive adults admitted to hospital with a final diagnosis of COVID-19. We reconstructed candidate models as per original descriptions and evaluated performance for their original intended outcomes using predictors measured at the time of admission. We assessed discrimination, calibration and net benefit, compared to the default strategies of treating all and no patients, and against the most discriminating predictors in univariable analyses.We tested 22 candidate prognostic models among 411 participants with COVID-19, of whom 180 (43.8%) and 115 (28.0%) met the endpoints of clinical deterioration and mortality, respectively. Highest areas under receiver operating characteristic (AUROC) curves were achieved by the NEWS2 score for prediction of deterioration over 24 h (0.78, 95% CI 0.73-0.83), and a novel model for prediction of deterioration &lt;14 days from admission (0.78, 95% CI 0.74-0.82). The most discriminating univariable predictors were admission oxygen saturation on room air for in-hospital deterioration (AUROC 0.76, 95% CI 0.71-0.81), and age for in-hospital mortality (AUROC 0.76, 95% CI 0.71-0.81). No prognostic model demonstrated consistently higher net benefit than these univariable predictors, across a range of threshold probabilities.Admission oxygen saturation on room air and patient age are strong predictors of deterioration and mortality among hospitalised adults with COVID-19, respectively. None of the prognostic models evaluated here offered incremental value for patient stratification to these univariable predictors.</t>
  </si>
  <si>
    <t>Accuracy of continuous glucose monitoring in preterm infants: a systematic review and meta-analysis.</t>
  </si>
  <si>
    <t>Nava, Chiara; Modiano Hedenmalm, Astrid; Borys, Franciszek; Hooft, Lotty; Bruschettini, Matteo; Jenniskens, Kevin</t>
  </si>
  <si>
    <t>https://pubmed.ncbi.nlm.nih.gov/33361084</t>
  </si>
  <si>
    <t>Continuous glucose monitoring (CGM) could be a valuable instrument for measurement of glucose concentration in preterm neonate. We undertook a systematic review and meta-analysis to compare the diagnostic accuracy of CGM devices to intermittent blood glucose evaluation methods for the detection of hypoglycaemic or hypoglycaemic events in preterm infants. A structured electronic database search was performed for studies that assessed the accuracy of CGM against any intermittent blood glucose testing methods in detecting episodes of altered glycaemia in preterm infants. No restrictions were used. Three review authors screened records and included studies. Risk of bias was assessed using the Quality Assessment of Diagnostic Accuracy Studies-2 tool. From individual patient data (IPD), sensitivity and specificity were determined using predefined thresholds. The mean absolute relative difference (MARD) of the studied CGM devices was assessed and if those satisfied the accuracy requirements (EN ISO 15197). IPD datasets were meta-analysed using a logistic mixed-effects model. A bivariate model was used to estimate the summary &lt;b&gt;receiver operating characteristic curve&lt;/b&gt; (ROC) curve and extract the area under the curve (AUC). The overall level of certainty of the evidence was assessed using Grading of Recommendations Assessment, Development and Evaluation. Among 4481 records, 11 were included. IPD datasets were obtained for five studies. Only two of the studies showed an MARD lower than 10%, with none of the five CGM devices studied satisfying the European Union (EU) ISO 15197 requirements. Pooled sensitivity and specificity of CGM devices for hypoglycaemia were 0.39 and 0.99, whereas for hyperglycaemia were 0.87 and 0.99, respectively. The AUC was 0.70 and 0.86, respectively. The certainty of the evidence was considered as low to moderate. Limitations primarily related to the lack of representative population, reference standard and CGM device. CGM devices demonstrated low sensitivity for detecting hypoglycaemia in preterm infants, however, provided high accuracy for detection of hyperglycaemia. CRD42020152248.</t>
  </si>
  <si>
    <t>Universal risk assessment upon hospital admission for screening of carriage with multidrug-resistant micro-organisms in a Dutch tertiary care centre.</t>
  </si>
  <si>
    <t>van Hout, D; Bruijning-Verhagen, P C J; Blok, H E M; Troelstra, A; Bonten, M J M</t>
  </si>
  <si>
    <t>https://pubmed.ncbi.nlm.nih.gov/33347938</t>
  </si>
  <si>
    <t>In Dutch hospitals a six-point questionnaire is currently mandatory for risk assessment to identify carriers of multidrug-resistant organisms (MDROs) at the time of hospitalization. Presence of one or more risk factors is followed by pre-emptive isolation and microbiological culturing. To evaluate the yield of the universal risk assessment in identifying MDRO carriers upon hospitalization. A cross-sectional study was performed using routine healthcare data in a Dutch tertiary hospital between January 1&lt;sup&gt;st&lt;/sup&gt;, 2015 and August 1&lt;sup&gt;st&lt;/sup&gt;, 2019. MDRO risk assessment upon hospitalization included assessment of: known MDRO carriage, previous hospitalization in another Dutch hospital during an outbreak or a foreign hospital, living in an asylum centre, exposure to livestock farming, and household membership of a meticillin-resistant Staphylococcus aureus carrier. In total, 144,051 admissions of 84,485 unique patients were included; 4480 (3.1%) admissions had a positive MDRO risk assessment. In 1516 (34%) admissions microbiological screening was performed, of which 341 (23%) yielded MDRO. Eighty-one patients were categorized as new MDRO carriers, as identified through MDRO risk assessment, reflecting 0.06% (95% confidence interval: 0.04-0.07) of all admissions and 1.8% (1.4-2.2) of those with positive risk assessment. As a result, the number of 'MDRO risk assessments needed to perform' and individual 'MDRO questions needed to ask' to detect one new MDRO carrier upon hospitalization were 1778 and 10,420, respectively. The yield of the current strategy of MDRO risk assessment upon hospitalization is limited and it needs thorough reconsideration.</t>
  </si>
  <si>
    <t>The Number of Concomitant Drugs and the Safety of Direct Oral Anticoagulants in Routine Care Patients with Atrial Fibrillation.</t>
  </si>
  <si>
    <t>van den Dries, Carline J; van Doorn, Sander; Souverein, Patrick; Pajouheshnia, Romin; Moons, Karel G M; Hoes, Arno W; Geersing, Geert-Jan; van den Ham, Hendrika A</t>
  </si>
  <si>
    <t>https://pubmed.ncbi.nlm.nih.gov/33376941</t>
  </si>
  <si>
    <t>&lt;b&gt;Background&lt;/b&gt;  The benefit of direct oral anticoagulants (DOACs) versus vitamin K antagonists (VKAs) on major bleeding was less prominent among atrial fibrillation (AF) patients with polypharmacy in post-hoc randomized controlled trials analyses. Whether this phenomenon also exists in routine care is unknown. The aim of the study is to investigate whether the number of concomitant drugs prescribed modifies safety and effectiveness of DOACs compared with VKAs in AF patients treated in general practice. &lt;b&gt;Study Design&lt;/b&gt;  Adult, nonvalvular AF patients with a first DOAC or VKA prescription between January 2010 and July 2018 were included, using data from the United Kingdom Clinical Practice Research Datalink. Primary outcome was major bleeding, secondary outcomes included types of major bleeding, nonmajor bleeding, ischemic stroke, and all-cause mortality. Effect modification was assessed using Cox proportional hazard regression, stratified for the number of concomitant drugs into three strata (0-5, 6-8, ≥9 drugs), and by including the continuous variable in an interaction term with the exposure (DOAC vs. VKA). &lt;b&gt;Results&lt;/b&gt;  A total of 63,600 patients with 146,059 person-years of follow-up were analyzed (39,840 person-years of DOAC follow-up). The median age was 76 years in both groups, the median number of concomitant drugs prescribed was 7. Overall, the hazard of major bleeding was similar between VKA-users and DOAC-users (hazard ratio [HR] 0.98; 95% confidence interval [CI] 0.87-1.11), though for apixaban a reduction in major bleeding was observed (HR 0.81; 95% CI 0.68-0.98). Risk of stroke was comparable, while risk of nonmajor bleeding was lower in DOAC users compared with VKA users (HR 0.92; 95% CI 0.88-0.97). We did not observe any evidence for an impact of polypharmacy on the relative risk of major bleeding between VKA and DOAC across our predefined three strata of concomitant drug use ( &lt;i&gt;p&lt;/i&gt; -value for interaction = 0.65). For mortality, however, risk of mortality was highest among DOAC users, increasing with polypharmacy and independent of the type of DOAC prescribed ( &lt;i&gt;p&lt;/i&gt; -value for interaction &lt;0.01). &lt;b&gt;Conclusion&lt;/b&gt;  In this large observational, population-wide study of AF patients, risk of bleeding, and ischemic stroke were comparable between DOACs and VKAs, irrespective of the number of concomitant drugs prescribed. In AF patients with increasing polypharmacy, our data appeared to suggest an unexplained yet increased risk of mortality in DOAC-treated patients, compared with VKA recipients.</t>
  </si>
  <si>
    <t>Learning Conversations with Trainees: An Undervalued but Useful EBM Learning Opportunity for Clinical Supervisors.</t>
  </si>
  <si>
    <t>Welink, Lisanne S; de Groot, Esther; Bartelink, Marie-Louise E L; Van Roy, Kaatje; Damoiseaux, Roger A M J; Pype, Peter</t>
  </si>
  <si>
    <t>teaching and learning in medicine</t>
  </si>
  <si>
    <t>https://pubmed.ncbi.nlm.nih.gov/33356617</t>
  </si>
  <si>
    <t>&lt;i&gt;Phenomenon:&lt;/i&gt; Supervisors and trainees can learn skills related to evidence-based medicine from each other in the workplace by collaborating and interacting, in this way benefiting from each other's strengths. This study explores supervisors' perceptions of how they currently learn evidence-based medicine by engaging in learning conversations with their trainee. &lt;i&gt;Approach:&lt;/i&gt; Semi-structured, video-stimulated elicitation interviews were held with twenty-two Dutch and Belgian supervisors in general practice. Supervisors were shown fragments of their video-recorded learning conversations, allowing them to reflect. Recorded interviews were analyzed using a grounded theory-based approach.&lt;i&gt;Findings:&lt;/i&gt; Supervisors did not immediately perceive workplace learning conversations as an opportunity to learn evidence-based medicine from their trainee. They mostly saw these conversations as a learning opportunity for trainees and a chance to maintain the quality of care within their practice. Nevertheless, during the interviews, supervisors did acknowledge that learning conversations help them to gain up-to-date knowledge and search skills or more awareness of their own knowledge or gaps in their knowledge. Not identified as a learning outcome was how to apply evidence-based medicine within a clinical practice by combining evidence with clinical expertise and the patient's preferences. &lt;i&gt;Insights:&lt;/i&gt; Supervisors acknowledge that they learn elements of the three aspects of evidence-based medicine by having learning conversations with their trainee, but they currently see this as secondary to the trainee's learning process. Emphasizing opportunities for bidirectional learning could improve learning of evidence-based medicine during workplace learning conversations.</t>
  </si>
  <si>
    <t>The quality and clinical applicability of recommendations in pressure injury guidelines: A systematic review of clinical practice guidelines.</t>
  </si>
  <si>
    <t>Gillespie, Brigid M; Latimer, Sharon; Walker, Rachel M; McInnes, Elizabeth; Moore, Zena; Eskes, Anne M; Li, Zhaoyu; Schoonhoven, Lisette; Boorman, Rhonda J; Chaboyer, Wendy</t>
  </si>
  <si>
    <t>https://pubmed.ncbi.nlm.nih.gov/33508730</t>
  </si>
  <si>
    <t>Pressure injuries are one of the most frequently occurring, yet preventable hospital-acquired adverse events. Given there are many clinical practice guidelines available on the prevention and treatment of pressure injuries, it is useful to understand the quality of these guidelines and the clinical application of their recommendations. To critically evaluate the quality and applicability of the recommendations in pressure injury prevention and treatment clinical practice guidelines. Systematic review, reported using the Preferred Reporting Items for Systematic Reviews and Meta-Analyses guidelines. We systematically searched the literature published from 2005 to 2020 using MEDLINE, EMBASE, CINAHL, the Cochrane Library, ProQuest and PubMed electronic databases, and nine guideline repositories. We assessed overall quality using the validated Appraisal of Guidelines for Research and Evaluation II (AGREE II) and AGREE Recommendation Excellence (AGREE-REX) tools. Overall % mean scores across AGREE II and AGREE-REX domains were calculated for each guideline. Clinical practice guidelines were then ranked in tertiles based on "high", "moderate" or "low" quality. The review protocol was registered in the International Prospective Register of Systematic Reviews. Initial combined database and repository searches yielded 3247 documents. Of these,73 full text documents were reviewed. The final analysis included 12 complete guidelines and 14 related documents. Overall AGREE II scores ranged from 32% to 96% while AGREE-REX scores were generally lower ranging from 10% to 75%. Combined % mean scores across AGREE II and AGREE-REX criteria suggest that four guidelines were ranked as "high" (range 69% to 85%) and are recommended without modification. These included; the 2019 International Guideline, the 2016 Canadian Guideline, the 2014 NICE Guideline, and the 2013 Belgian Guideline. There is disparity in the quality of the included guidelines, however four high quality guidelines are available. These guidelines could ideally be implemented in daily practice and adapted to local policies.</t>
  </si>
  <si>
    <t>Course of Disease and Clinical Outcome of Infective Endocarditis in HIV-infected Individuals: A Systematic Review and Meta-analysis.</t>
  </si>
  <si>
    <t>Bos, Joris; Antonides, Christiaan F J; Barth, Roos E; Klipstein-Grobusch, Kerstin; Meel, Ruchika; Vos, Alinda G</t>
  </si>
  <si>
    <t>aids reviews</t>
  </si>
  <si>
    <t>https://pubmed.ncbi.nlm.nih.gov/33401286</t>
  </si>
  <si>
    <t>Infective endocarditis (IE) causes substantial morbidity and mortality if untreated. The clinical course of IE might be different in HIV-positive patients as a result of immune dysfunction. This systematic review investigates the clinical course of IE in HIV-positive compared to HIV-negative patients. A systematic search was performed in PubMed, EMBASE, and Cochrane Library and registered in PROSPERO (CRD42016048649). All articles from 1996 and onward addressing the clinical outcome of HIV-positive adults suffering from IE were reviewed and included based on predefined inclusion and exclusion criteria. A meta-analysis was performed for the outcome mortality. Twenty-three articles were included of which eight included HIVpositive patients only, and 15 compared HIV-positive to HIV-negative patients. Two studies included patients on antiretroviral therapy (ART). HIV and intravenous drug use (IVDU) were closely related. Mortality was higher in HIV-positive patients with a CD4 count below 200 cells/μl than in HIV-positive patients with a higher CD4 count, while mortality was similar for HIV-positive compared to HIV-negative patients (risk ratio = 0.86 [95% confidence interval: 0.53-1.40]). No difference was found in length of hospital stay or rehospitalization. Clinical outcomes were strongly related to the right- or left-sided endocarditis. The clinical course of IE is not different for patients with and without HIV. Clinical outcomes were mainly associated with other factors, such as IVDU and side of cardiac involvement, rather than HIV status.</t>
  </si>
  <si>
    <t>Statistical method for modeling sequencing data from different technologies in longitudinal studies with application to Huntington disease.</t>
  </si>
  <si>
    <t>Fuady, Angga M; van Roon-Mom, Willeke M C; Kiełbasa, Szymon M; Uh, Hae-Won; Houwing-Duistermaat, Jeanine J</t>
  </si>
  <si>
    <t>https://pubmed.ncbi.nlm.nih.gov/33350510</t>
  </si>
  <si>
    <t>Advancement of gene expression measurements in longitudinal studies enables the identification of genes associated with disease severity over time. However, problems arise when the technology used to measure gene expression differs between time points. Observed differences between the results obtained at different time points can be caused by technical differences. Modeling the two measurements jointly over time might provide insight into the causes of these different results. Our work is motivated by a study of gene expression data of blood samples from Huntington disease patients, which were obtained using two different sequencing technologies. At time point 1, DeepSAGE technology was used to measure the gene expression, with a subsample also measured using RNA-Seq technology. At time point 2, all samples were measured using RNA-Seq technology. Significant associations between gene expression measured by DeepSAGE and disease severity using data from the first time point could not be replicated by the RNA-Seq data from the second time point. We modeled the relationship between the two sequencing technologies using the data from the overlapping samples. We used linear mixed models with either DeepSAGE or RNA-Seq measurements as the dependent variable and disease severity as the independent variable. In conclusion, (1) for one out of 14 genes, the initial significant result could be replicated with both technologies using data from both time points; (2) statistical efficiency is lost due to disagreement between the two technologies, measurement error when predicting gene expressions, and the need to include additional parameters to account for possible differences.</t>
  </si>
  <si>
    <t>Effects of a time out consultation with the general practitioner on cancer treatment decision-making: a randomised controlled trial: Time out with the general practitioner and cancer treatment decision.</t>
  </si>
  <si>
    <t>Perfors, Ietje A A; Noteboom, Eveline A; de Wit, Niek J; van der Wall, Elsken; Visserman, Ella A; van Dalen, Thijs; Verhagen, Marc A M T; Witkamp, Arjen J; Koelemij, Ron; Flinterman, Annebeth E; van Dorst, Eleonora B L; Pruissen-Peeters, Kim A B M; Moons, Leon M G; Schramel, Franz M N H; van Rens, Marcel T M; Ernst, Miranda F; May, Anne M; Helsper, Charles W</t>
  </si>
  <si>
    <t>https://pubmed.ncbi.nlm.nih.gov/33245150</t>
  </si>
  <si>
    <t>Improving shared decision-making (SDM) enables more tailored cancer treatment decisions. We evaluated a Time Out consultation (TOC) with the general practitioner (GP), between cancer diagnosis and treatment decision, which aims at supporting SDM and improving continuity of primary care. This study aims to evaluate the effects of a TOC on perceived SDM, information provision and self-efficacy. This randomised controlled trial included newly diagnosed patients with curable cancer (breast, lung, colorectal, gynaecologic and melanoma) from four Dutch hospitals. Primary outcome is perceived SDM and secondary outcomes are information provision and self-efficacy. One hundred fifty-four patients (control n = 77, intervention n = 77) - female: 75%, mean age: 61 (SD ± 11.9). In the intervention group, 80.5% (n = 62) had a TOC, of which 82.3% (n = 51) took place after treatment decision. Perceived SDM was lower in the intervention group (-8.9 [95% CI: 0.6-17.1]). Among those with a TOC before treatment decision (n = 11), perceived SDM was comparable to the control group (66.5 ± 27.2 vs. 67.9 ± 26.1). Even though patients are motivated to have a TOC, implementing a TOC between diagnosis and treatment decision is challenging. Effects of a timely TOC could not be established. Non-timely TOC decreased perceived SDM. Planning of the TOC should be optimised, and future research should establish if adequately timed TOC results in improved SDM in cancer patients.</t>
  </si>
  <si>
    <t>Developing excellence in biostatistics leadership, training and science in Africa: How the Sub-Saharan Africa Consortium for Advanced Biostatistics (SSACAB) training unites expertise to deliver excellence.</t>
  </si>
  <si>
    <t>Chirwa, Tobias F; Matsena Zingoni, Zvifadzo; Munyewende, Pascalia; Manda, Samuel O; Mwambi, Henry; Kandala, Ngianga-Bakwin; Kinyanjui, Samson; Young, Taryn; Musenge, Eustasius; Simbeye, Jupiter; Musonda, Patrick; Mahande, Michael Johnson; Weke, Patrick; Onyango, Nelson Owuor; Kazembe, Lawrence; Tumwesigye, Nazarius Mbona; Zuma, Khangelani; Yende-Zuma, Nonhlanhla; Omanyondo Ohambe, Marie-Claire; Kweku, Emmanuel Nakua; Maposa, Innocent; Ayele, Birhanu; Achia, Thomas; Machekano, Rhoderick; Thabane, Lehana; Levin, Jonathan; Eijkemans, Marinus J C; Carpenter, James; Chasela, Charles; Klipstein-Grobusch, Kerstin; Todd, Jim</t>
  </si>
  <si>
    <t>https://pubmed.ncbi.nlm.nih.gov/33501413</t>
  </si>
  <si>
    <t>The increase in health research in sub-Saharan Africa (SSA) has led to a high demand for biostatisticians to develop study designs, contribute and apply statistical methods in data analyses. Initiatives exist to address the dearth in statistical capacity and lack of local biostatisticians in SSA health projects. The Sub-Saharan African Consortium for Advanced Biostatistics (SSACAB) led by African institutions was initiated to improve biostatistical capacity according to the needs identified by African institutions, through collaborative masters and doctoral training in biostatistics. SACCAB has created a critical mass of biostatisticians and a network of institutions over the last five years and has strengthened biostatistics resources and capacity for health research studies in SSA.  SSACAB comprises 11 universities and four research institutions which are supported by four European universities.  In 2015, only four universities had established Masters programmes in biostatistics and SSACAB supported the remaining seven to develop Masters programmes. In 2019 the University of the Witwatersrand became the first African institution to gain Royal Statistical Society accreditation for a Biostatistics Masters programme. A total of 150 fellows have been awarded scholarships to date of which 123 are Masters fellowships (41 female) of whom 58 have already graduated. Graduates have been employed in African academic (19) and research (15) institutions and 10 have enrolled for PhD studies. A total of 27 (10 female) PhD fellowships have been awarded; 4 of them are due to graduate by 2020. To date, SSACAB Masters and PhD students have published 17 and 31 peer-reviewed articles, respectively. SSACAB has also facilitated well-attended conferences, face-to-face and online short courses. Pooling of limited biostatistics resources in SSA combined with co-funding from external partners has shown to be an effective strategy for the development and teaching of advanced biostatistics methods, supervision and mentoring of PhD candidates.</t>
  </si>
  <si>
    <t>Molecular Detection of &lt;i&gt;Mycobacterium tuberculosis&lt;/i&gt; in Oral Mucosa from Patients with Presumptive Tuberculosis.</t>
  </si>
  <si>
    <t>Molina-Moya, Barbara; Ciobanu, Nelly; Hernandez, Marta; Prat-Aymerich, Cristina; Crudu, Valeriu; Adams, Emily R; Codreanu, Alexandru; Sloan, Derek J; Cuevas, Luis E; Dominguez, Jose</t>
  </si>
  <si>
    <t>https://pubmed.ncbi.nlm.nih.gov/33371314</t>
  </si>
  <si>
    <t>Tuberculosis (TB) diagnosis is increasingly based on the detection of &lt;i&gt;Mycobacterium tuberculosis&lt;/i&gt; complex (MTBC) DNA in sputum using molecular diagnostic tests as the first test for diagnosis. However, sputum can be difficult to obtain in children, patients without productive cough, and the elderly and approaches testing non-sputum samples are needed. We evaluated whether TB can be detected from the oral mucosa of patients with TB. Adults with presumptive TB were examined using culture, Xpert MTB/RIF, smear microscopy and X-Rays. Oral mucosa swabs collected on PrimeStore-MTM, stored at room temperature if tested within 30 days or at -20 °C if examined at a later time. RT-PCR was performed to detect &lt;i&gt;M. tuberculosis&lt;/i&gt; DNA. Eighty patients had bacteriologically-confirmed TB, 34 had bacteriologically-negative TB (negative tests but abnormal X-rays) and 152 were considered not to have TB (not TB). Oral swabs RT-PCR were positive in 29/80 (36.3%) bacteriologically-confirmed, 9/34 (26.5%) bacteriologically-negative and 29/152 (19.1%) not TB. The yield varied among samples stored for less and more than 30 days (&lt;i&gt;p&lt;/i&gt; = 0.013) from 61% (11/18) and 29% (18/62) among bacteriologically confirmed, and 30.8% (4/13) and 23.8% (5/21) among bacteriologically-negative participants. Among not TB patients, the specificity was 80.9% (123/152), being 78.3% (18/23) among samples stored less than 30 days and 81.4% (105/129) among samples stored for more than 30 days (&lt;i&gt;p&lt;/i&gt; = 0.46). The detection of &lt;i&gt;M. tuberculosis&lt;/i&gt; in oral mucosa samples is feasible, but storage conditions may affect the yield.</t>
  </si>
  <si>
    <t>Association of weight loss and weight loss maintenance following diabetes diagnosis by screening and incidence of cardiovascular disease and all-cause mortality: An observational analysis of the ADDITION-Europe trial.</t>
  </si>
  <si>
    <t>Strelitz, Jean; Sharp, Stephen J; Khunti, Kamlesh; Vos, Rimke C; Rutten, Guy E H M; Webb, David R; Witte, Daniel R; Sandbaek, Annelli; Wareham, Nicholas J; Griffin, Simon J</t>
  </si>
  <si>
    <t>https://pubmed.ncbi.nlm.nih.gov/33269535</t>
  </si>
  <si>
    <t>Short-term weight loss may lead to remission of type 2 diabetes but the effect of maintained weight loss on cardiovascular disease (CVD) is unknown. We quantified the associations between changes in weight 5 years following a diagnosis of diabetes, and incident CVD events and mortality up to 10 years after diagnosis. Observational analysis of the ADDITION-Europe trial of 2730 adults with screen-detected type 2 diabetes from the UK, Denmark and the Netherlands. We defined weight change based on the maintenance at 5 years of weight loss achieved during the year after diabetes diagnosis, and as 5-year overall change in weight. Incident CVD events (n = 229) and all-cause mortality (n = 225) from 5 to 10 years follow-up were ascertained from medical records. Gaining &gt;2% weight during the year after diabetes diagnosis was associated with higher hazard of all-cause mortality versus maintaining weight [hazard ratio (95% confidence interval): 3.18 (1.30-7.82)]. Losing ≥5% weight 1 year after diagnosis was also associated with mortality, whether or not weight loss was maintained at 5 years: 2.47 (0.99-6.21) and 2.72 (1.17-6.30), respectively. Losing ≥10% weight over 5 years was associated with mortality among those with body mass index &lt;30 kg/m&lt;sup&gt;2&lt;/sup&gt; [4.62 (1.87-11.42)]. Associations with CVD incidence were inconclusive. Both weight loss and weight gain after screen-detected diabetes diagnosis were associated with higher mortality, but not CVD events, particularly among participants without obesity. The clinical implications of weight loss following a diagnosis of diabetes probably depend on its magnitude and timing, and may differ by body mass index status. Personalization of weight loss advice and support may be warranted.</t>
  </si>
  <si>
    <t>Real-time imputation of missing predictor values in clinical practice.</t>
  </si>
  <si>
    <t>Nijman, Steven W J; Hoogland, Jeroen; Groenhof, T Katrien J; Brandjes, Menno; Jacobs, John J L; Bots, Michiel L; Asselbergs, Folkert W; Moons, Karel G M; Debray, Thomas P A</t>
  </si>
  <si>
    <t>https://pubmed.ncbi.nlm.nih.gov/36711167</t>
  </si>
  <si>
    <t>Use of prediction models is widely recommended by clinical guidelines, but usually requires complete information on all predictors, which is not always available in daily practice. We aim to describe two methods for real-time handling of missing predictor values when using prediction models in practice. We compare the widely used method of mean imputation (M-imp) to a method that personalizes the imputations by taking advantage of the observed patient characteristics. These characteristics may include both prediction model variables and other characteristics (auxiliary variables). The method was implemented using imputation from a joint multivariate normal model of the patient characteristics (joint modelling imputation; JMI). Data from two different cardiovascular cohorts with cardiovascular predictors and outcome were used to evaluate the real-time imputation methods. We quantified the prediction model's overall performance [mean squared error (MSE) of linear predictor], discrimination (c-index), calibration (intercept and slope), and net benefit (decision curve analysis). When compared with mean imputation, JMI substantially improved the MSE (0.10 vs. 0.13), c-index (0.70 vs. 0.68), and calibration (calibration-in-the-large: 0.04 vs. 0.06; calibration slope: 1.01 vs. 0.92), especially when incorporating auxiliary variables. When the imputation method was based on an external cohort, calibration deteriorated, but discrimination remained similar. We recommend JMI with auxiliary variables for real-time imputation of missing values, and to update imputation models when implementing them in new settings or (sub)populations.</t>
  </si>
  <si>
    <t>Search for Heavy Resonances Decaying into a Photon and a Hadronically Decaying Higgs Boson in pp Collisions at sqrt[s]=13  TeV with the ATLAS Detector.</t>
  </si>
  <si>
    <t>https://pubmed.ncbi.nlm.nih.gov/33416363</t>
  </si>
  <si>
    <t>This Letter presents a search for the production of new heavy resonances decaying into a Higgs boson and a photon using proton-proton collision data at sqrt[s]=13  TeV collected by the ATLAS detector at the LHC. The data correspond to an integrated luminosity of 139  fb^{-1}. The analysis is performed by reconstructing hadronically decaying Higgs boson (H→bb[over ¯]) candidates as single large-radius jets. A novel algorithm using information about the jet constituents in the center-of-mass frame of the jet is implemented to identify the two b quarks in the single jet. No significant excess of events is observed above the expected background. Upper limits are set on the production cross-section times branching fraction for narrow spin-1 resonances decaying into a Higgs boson and a photon in the resonance mass range from 0.7 to 4 TeV, cross-section times branching fractions are excluded between 11.6 fb and 0.11 fb at a 95% confidence level.</t>
  </si>
  <si>
    <t>Discovery and validation of an NMR-based metabolomic profile in urine as TB biomarker.</t>
  </si>
  <si>
    <t>Izquierdo-Garcia, José Luis; Comella-Del-Barrio, Patricia; Campos-Olivas, Ramón; Villar-Hernández, Raquel; Prat-Aymerich, Cristina; De Souza-Galvão, Maria Luiza; Jiménez-Fuentes, Maria Angeles; Ruiz-Manzano, Juan; Stojanovic, Zoran; González, Adela; Serra-Vidal, Mar; García-García, Esther; Muriel-Moreno, Beatriz; Millet, Joan Pau; Molina-Pinargote, Israel; Casas, Xavier; Santiago, Javier; Sabriá, Fina; Martos, Carmen; Herzmann, Christian; Ruiz-Cabello, Jesús; Domínguez, José</t>
  </si>
  <si>
    <t>https://pubmed.ncbi.nlm.nih.gov/33339845</t>
  </si>
  <si>
    <t>Despite efforts to improve tuberculosis (TB) detection, limitations in access, quality and timeliness of diagnostic services in low- and middle-income countries are challenging for current TB diagnostics. This study aimed to identify and characterise a metabolic profile of TB in urine by high-field nuclear magnetic resonance (NMR) spectrometry and assess whether the TB metabolic profile is also detected by a low-field benchtop NMR spectrometer. We included 189 patients with tuberculosis, 42 patients with pneumococcal pneumonia, 61 individuals infected with latent tuberculosis and 40 uninfected individuals. We acquired the urine spectra from high and low-field NMR. We characterised a TB metabolic fingerprint from the Principal Component Analysis. We developed a classification model from the Partial Least Squares-Discriminant Analysis and evaluated its performance. We identified a metabolic fingerprint of 31 chemical shift regions assigned to eight metabolites (aminoadipic acid, citrate, creatine, creatinine, glucose, mannitol, phenylalanine, and hippurate). The model developed using low-field NMR urine spectra correctly classified 87.32%, 85.21% and 100% of the TB patients compared to pneumococcal pneumonia patients, LTBI and uninfected individuals, respectively. The model validation correctly classified 84.10% of the TB patients. We have identified and characterised a metabolic profile of TB in urine from a high-field NMR spectrometer and have also detected it using a low-field benchtop NMR spectrometer. The models developed from the metabolic profile of TB identified by both NMR technologies were able to discriminate TB patients from the rest of the study groups and the results were not influenced by anti-TB treatment or TB location. This provides a new approach in the search for possible biomarkers for the diagnosis of TB.</t>
  </si>
  <si>
    <t>Postpartum hemorrhage in Suriname: A national descriptive study of hospital births and an audit of case management.</t>
  </si>
  <si>
    <t>Kodan, Lachmi R; Verschueren, Kim J C; Prüst, Zita D; Zuithoff, Nicolaas P A; Rijken, Marcus J; Browne, Joyce L; Klipstein-Grobusch, Kerstin; Bloemenkamp, Kitty W M; Grunberg, Antoon W</t>
  </si>
  <si>
    <t>https://pubmed.ncbi.nlm.nih.gov/33338049</t>
  </si>
  <si>
    <t>Postpartum hemorrhage (PPH) is the leading cause of direct maternal mortality globally and in Suriname. We aimed to study the prevalence, risk indicators, causes, and management of PPH to identify opportunities for PPH reduction. A nationwide retrospective descriptive study of all hospital deliveries in Suriname in 2017 was performed. Logistic regression analysis was applied to identify risk indicators for PPH (≥ 500ml blood loss). Management of severe PPH (blood loss ≥1,000ml or ≥500ml with hypotension or at least three transfusions) was evaluated via a criteria-based audit using the national guideline. In 2017, the prevalence of PPH and severe PPH in Suriname was 9.2% (n = 808/8,747) and 2.5% (n = 220/8,747), respectively. PPH varied from 5.8% to 15.8% across the hospitals. Risk indicators associated with severe PPH included being of African descent (Maroon aOR 2.1[95%CI 1.3-3.3], Creole aOR 1.8[95%CI 1.1-3.0]), multiple pregnancy (aOR 3.4[95%CI 1.7-7.1]), delivery in Hospital D (aOR 2.4[95%CI 1.7-3.4]), cesarean section (aOR 3.9[95%CI 2.9-5.3]), stillbirth (aOR 6.4 [95%CI 3.4-12.2]), preterm birth (aOR 2.1[95%CI 1.3-3.2]), and macrosomia (aOR 2.8 [95%CI 1.5-5.0]). Uterine atony (56.7%, n = 102/180[missing 40]) and retained placenta (19.4%, n = 35/180[missing 40]), were the main causes of severe PPH. A criteria-based audit revealed that women with severe PPH received prophylactic oxytocin in 61.3% (n = 95/155[missing 65]), oxytocin treatment in 68.8% (n = 106/154[missing 66]), and tranexamic acid in 4.9% (n = 5/103[missing 117]). PPH prevalence and risk indicators in Suriname were similar to international and regional reports. Inconsistent blood loss measurement, varied maternal and perinatal characteristics, and variable guideline adherence contributed to interhospital prevalence variation. PPH reduction in Suriname can be achieved through prevention by practicing active management of the third stage of labor in every birth and considering risk factors, early recognition by objective and consistent blood loss measurement, and prompt treatment by adequate administration of oxytocin and tranexamic acid according to national guidelines.</t>
  </si>
  <si>
    <t>Adiposity, metabolites, and colorectal cancer risk: Mendelian randomization study.</t>
  </si>
  <si>
    <t>Bull, Caroline J; Bell, Joshua A; Murphy, Neil; Sanderson, Eleanor; Davey Smith, George; Timpson, Nicholas J; Banbury, Barbara L; Albanes, Demetrius; Berndt, Sonja I; Bézieau, Stéphane; Bishop, D Timothy; Brenner, Hermann; Buchanan, Daniel D; Burnett-Hartman, Andrea; Casey, Graham; Castellví-Bel, Sergi; Chan, Andrew T; Chang-Claude, Jenny; Cross, Amanda J; de la Chapelle, Albert; Figueiredo, Jane C; Gallinger, Steven J; Gapstur, Susan M; Giles, Graham G; Gruber, Stephen B; Gsur, Andrea; Hampe, Jochen; Hampel, Heather; Harrison, Tabitha A; Hoffmeister, Michael; Hsu, Li; Huang, Wen-Yi; Huyghe, Jeroen R; Jenkins, Mark A; Joshu, Corinne E; Keku, Temitope O; Kühn, Tilman; Kweon, Sun-Seog; Le Marchand, Loic; Li, Christopher I; Li, Li; Lindblom, Annika; Martín, Vicente; May, Anne M; Milne, Roger L; Moreno, Victor; Newcomb, Polly A; Offit, Kenneth; Ogino, Shuji; Phipps, Amanda I; Platz, Elizabeth A; Potter, John D; Qu, Conghui; Quirós, J Ramón; Rennert, Gad; Riboli, Elio; Sakoda, Lori C; Schaf</t>
  </si>
  <si>
    <t>https://pubmed.ncbi.nlm.nih.gov/33327948</t>
  </si>
  <si>
    <t>Higher adiposity increases the risk of colorectal cancer (CRC), but whether this relationship varies by anatomical sub-site or by sex is unclear. Further, the metabolic alterations mediating the effects of adiposity on CRC are not fully understood. We examined sex- and site-specific associations of adiposity with CRC risk and whether adiposity-associated metabolites explain the associations of adiposity with CRC. Genetic variants from genome-wide association studies of body mass index (BMI) and waist-to-hip ratio (WHR, unadjusted for BMI; N = 806,810), and 123 metabolites from targeted nuclear magnetic resonance metabolomics (N = 24,925), were used as instruments. Sex-combined and sex-specific Mendelian randomization (MR) was conducted for BMI and WHR with CRC risk (58,221 cases and 67,694 controls in the Genetics and Epidemiology of Colorectal Cancer Consortium, Colorectal Cancer Transdisciplinary Study, and Colon Cancer Family Registry). Sex-combined MR was conducted for BMI and WHR with metabolites, for metabolites with CRC, and for BMI and WHR with CRC adjusted for metabolite classes in multivariable models. In sex-specific MR analyses, higher BMI (per 4.2 kg/m&lt;sup&gt;2&lt;/sup&gt;) was associated with 1.23 (95% confidence interval (CI) = 1.08, 1.38) times higher CRC odds among men (inverse-variance-weighted (IVW) model); among women, higher BMI (per 5.2 kg/m&lt;sup&gt;2&lt;/sup&gt;) was associated with 1.09 (95% CI = 0.97, 1.22) times higher CRC odds. WHR (per 0.07 higher) was more strongly associated with CRC risk among women (IVW OR = 1.25, 95% CI = 1.08, 1.43) than men (IVW OR = 1.05, 95% CI = 0.81, 1.36). BMI or WHR was associated with 104/123 metabolites at false discovery rate-corrected P ≤ 0.05; several metabolites were associated with CRC, but not in directions that were consistent with the mediation of positive adiposity-CRC relations. In multivariable MR analyses, associations of BMI and WHR with CRC were not attenuated following adjustment for representative metabolite classes, e.g., the univariable IVW OR for BMI with CRC was 1.12 (95% CI = 1.00, 1.26), and this became 1.11 (95% CI = 0.99, 1.26) when adjusting for cholesterol in low-density lipoprotein particles. Our results suggest that higher BMI more greatly raises CRC risk among men, whereas higher WHR more greatly raises CRC risk among women. Adiposity was associated with numerous metabolic alterations, but none of these explained associations between adiposity and CRC. More detailed metabolomic measures are likely needed to clarify the mechanistic pathways.</t>
  </si>
  <si>
    <t>Is the time of calling helpful for differentiating transient ischaemic attack and stroke from mimics in primary care out-of-hours services? A cross-sectional study.</t>
  </si>
  <si>
    <t>Erkelens, Daphne Ca; Zwart, Dorien L; van der Meer, Gerben H; Wouters, Loes Tcm; De Groot, Esther; Damoiseaux, Roger Amj; Hoes, Arno W; Rutten, Frans H</t>
  </si>
  <si>
    <t>https://pubmed.ncbi.nlm.nih.gov/33334837</t>
  </si>
  <si>
    <t>Telephone triage of patients suspected of transient ischaemic attack (TIA) or stroke is challenging. Both TIA and stroke more likely occur during daytime, with a peak in the morning hours. Thus, the time of calling might be a helpful determinant during telephone triage. We assessed the time of calling in patients with stroke-like symptoms who called the out-of-hours services in primary care (OHS-PC), and evaluated whether the time of calling differed between patients with TIA or stroke compared with those with mimics. Cross-sectional study. Six OHS-PC locations in the Netherlands. 1269 telephone triage recordings of patients calling the OHS-PC because of stroke-like symptoms. We collected information on patient characteristics, symptoms, time of calling and urgency allocation. The final diagnosis related to each triage call was based on letters from the neurologist (retrieved from the patient's general practitioner). The primary outcome measures were the time of calling hourly and 4 hourly, and the risk of TIA or stroke/hour. The secondary outcome measure was the risk ratio of TIA or stroke in the morning (08:00-12:00h) versus other hours. Mean age was 68.6 (SD±18.5) years, 56.9% were women and 50.0% had a TIA or stroke. The risk ratio of TIA or stroke among people calling with stroke-like symptoms between 08:00-12:00h versus other hours was 1.13 (95% CI 1.00 to 1.28, p=0.070). After correction for age and sex, the adjusted risk ratio was 0.94 (95% CI 0.80 to 1.10, p=0.434). In patients who called the OHS-PC because of stroke-like symptoms, the time of calling did not differ between patients with TIA or stroke and patients with mimics. The Netherlands National Trial Registry (NTR7331).</t>
  </si>
  <si>
    <t>Status of Theory Use in Self-Care Research.</t>
  </si>
  <si>
    <t>Jaarsma, Tiny; Westland, Heleen; Vellone, Ercole; Freedland, Kenneth E; Schröder, Carin; Trappenburg, Jaap C A; Strömberg, Anna; Riegel, Barbara</t>
  </si>
  <si>
    <t>https://pubmed.ncbi.nlm.nih.gov/33348884</t>
  </si>
  <si>
    <t>Theories can provide a foundation to explain behavior, investigate relationships, and to predict the effect of interventions. The aim of the study was to clarify the use of theories in studies testing interventions to promote self-care. A scoping review. PubMed, EMBASE, PsychINFO, and CINAHL were searched from January 2008 through January 2019. Nine common chronic conditions were included. We included studies testing a self-care intervention if they used a randomized controlled trial design. The study was registered in PROSPERO (#123719). The search retrieved 9309 potential studies, of which 233 were included in the review. In total, 76 (33%) of the 233 studies used a theory and 24 different theories were used. Bandura's social cognitive theory was the most frequently used (48 studies), but 22 other theories were used in a minority of studies. Most studies used theories minimally to justify or provide a rationale for the study, to develop the intervention, to select outcomes, and/or to explain the results. Only eight studies fully used a theory in the rationale, intervention development, choice of outcomes, and discussion. The use of theories to guide self-care research is limited, which may pose a barrier in accumulating knowledge underlying self-care interventions.</t>
  </si>
  <si>
    <t>Advanced analytics and artificial intelligence in gastrointestinal cancer: a systematic review of radiomics predicting response to treatment.</t>
  </si>
  <si>
    <t>Wesdorp, Nina J; Hellingman, Tessa; Jansma, Elise P; van Waesberghe, Jan-Hein T M; Boellaard, Ronald; Punt, Cornelis J A; Huiskens, Joost; Kazemier, Geert</t>
  </si>
  <si>
    <t>https://pubmed.ncbi.nlm.nih.gov/33326049</t>
  </si>
  <si>
    <t>Advanced medical image analytics is increasingly used to predict clinical outcome in patients diagnosed with gastrointestinal tumors. This review provides an overview on the value of radiomics in predicting response to treatment in patients with gastrointestinal tumors. A systematic review was conducted, according to PRISMA guidelines. The protocol was prospectively registered (PROSPERO: CRD42019128408). PubMed, Embase, and Cochrane databases were searched. Original studies reporting on the value of radiomics in predicting response to treatment in patients with a gastrointestinal tumor were included. A narrative synthesis of results was conducted. Results were stratified by tumor type. Quality assessment of included studies was performed, according to the radiomics quality score. The comprehensive literature search identified 1360 unique studies, of which 60 articles were included for analysis. In 37 studies, radiomics models and individual radiomic features showed good predictive performance for response to treatment (area under the curve or accuracy &gt; 0.75). Various strategies to construct predictive models were used. Internal validation of predictive models was often performed, while the majority of studies lacked external validation. None of the studies reported predictive models implemented in clinical practice. Radiomics is increasingly used to predict response to treatment in patients suffering from gastrointestinal cancer. This review demonstrates its great potential to help predict response to treatment and improve patient selection and early adjustment of treatment strategy in a non-invasive manner.</t>
  </si>
  <si>
    <t>Cardiovascular imaging of women and men visiting the outpatient clinic with chest pain or discomfort: design and rationale of the ARGUS Study.</t>
  </si>
  <si>
    <t>Groepenhoff, Floor; Eikendal, Anouk L M; Bots, Sophie Heleen; van Ommen, Anne-Mar; Overmars, L M; Kapteijn, Daniek; Pasterkamp, Gerard; Reiber, Johan H C; Hautemann, David; Menken, Roxana; Wittekoek, Marianne E; Hofstra, Leonard; Onland-Moret, N Charlotte; Haitjema, Saskia; Hoefer, Imo; Leiner, Tim; den Ruijter, Hester M</t>
  </si>
  <si>
    <t>https://pubmed.ncbi.nlm.nih.gov/33323438</t>
  </si>
  <si>
    <t>Chest pain or discomfort affects 20%-40% of the general population over the course of their life and may be a symptom of myocardial ischaemia. For the diagnosis of obstructive macrovascular coronary artery disease (CAD), algorithms have been developed; however, these do not exclude microvascular angina. This may lead to false reassurance of symptomatic patients, mainly women, with functionally significant, yet non-obstructive coronary vascular disease. Therefore, this study aims to estimate the prevalence of both macrovascular and microvascular coronary vascular disease in women and men presenting with chest pain or discomfort, and to subsequently develop a decision-support tool to aid cardiologists in referral to cardiovascular imaging for both macrovascular and microvascular CAD evaluation. Women and men with chest pain or discomfort, aged 45 years and older, without a history of cardiovascular disease, who are referred to an outpatient cardiology clinic by their general practitioner are eligible for inclusion. Coronary CT angiography is used for anatomical imaging. Additionally, myocardial perfusion imaging by adenosine stress cardiac MRI is performed to detect functionally significant coronary vascular disease. Electronic health record data, collected during regular cardiac work-up, including medical history, cardiovascular risk factors, physical examination, echocardiography, (exercise) ECG and blood samples for standard cardiovascular biomarkers and research purposes, are obtained. Participants will be classified as positive or negative for coronary vascular disease based on all available data by expert panel consensus (a cardiovascular radiologist and two cardiologists). After completion of the clinical study, all collected data will be used to develop a decision support tool using predictive modelling and machine-learning techniques. The study protocol was approved by the Institutional Review Board of the University Medical Center Utrecht. Results will be disseminated through national and international conferences and in peer-reviewed journals in cardiovascular disease. Trialregister.nl Registry NL8702.</t>
  </si>
  <si>
    <t>Endothelium-Derived Extracellular Vesicles Associate with Poor Prognosis in Metastatic Colorectal Cancer.</t>
  </si>
  <si>
    <t>Nanou, Afroditi; Mol, Linda; Coumans, Frank A W; Koopman, Miriam; Punt, Cornelis J A; Terstappen, Leon W M M</t>
  </si>
  <si>
    <t>https://pubmed.ncbi.nlm.nih.gov/33333805</t>
  </si>
  <si>
    <t>Elevated, tumor-derived extracellular vesicle (tdEV) and circulating tumor cell (CTC) loads in metastatic cancer are associated with poor clinical outcome. Herein, we investigate whether endothelium-derived extracellular vesicles (edEVs) can be detected in the blood of metastatic colorectal cancer (mCRC) patients, and whether those vesicles associate with prognosis. The open-source ACCEPT (Automated CTC Classification, Enumeration, and Phenotyping) software was used to enumerate edEVs, tdEVs, and other objects from digitally stored CellSearch images acquired after CTC and circulating endothelial cell (CEC) enrichment from the blood of 395 mCRC patients before the initiation of a new therapy. Patients had participated in the prospective phase III CAIRO2 study. The presence of edEVs was found 5- to 10-fold higher than CECs. The hazard ratio (HR) (95% CI) of progression-free survival (PFS) for increased CTCs (≥3 in 7.5 mL), tdEVs (≥40 in 7.5 mL), and edEVs (≥287 in 4.0 mL.) was 1.4 (1.1-1.9), 2.0 (1.5-2.6), and 1.7 (1.2-2.5), respectively. The HR of Overall Survival (OS) for increased CTCs, tdEVs and edEVs was 2.2 (1.7-3.0), 2.7 (2.0-3.5), and 2.1 (1.5-2.8), respectively. There was no cut-off value for CECs, leading to a dichotomization of patients with a significant HR. Only tdEVs remained a significant predictor of OS in the final multivariable model.</t>
  </si>
  <si>
    <t>Evaluating a cardiovascular disease risk management care continuum within a learning healthcare system: a prospective cohort study.</t>
  </si>
  <si>
    <t>Groenhof, T Katrien J; Lely, A Titia; Haitjema, Saskia; Nathoe, Hendrik M; Kortekaas, Marlous F; Asselbergs, Folkert W; Bots, Michiel L; Hollander, Monika; ,</t>
  </si>
  <si>
    <t>https://pubmed.ncbi.nlm.nih.gov/33144367</t>
  </si>
  <si>
    <t>Many patients now present with multimorbidity and chronicity of disease. This means that multidisciplinary management in a care continuum, integrating primary care and hospital care services, is needed to ensure high quality care. To evaluate cardiovascular risk management (CVRM) via linkage of health data sources, as an example of a multidisciplinary continuum within a learning healthcare system (LHS). In this prospective cohort study, data were linked from the Utrecht Cardiovascular Cohort (UCC) to the Julius General Practitioners' Network (JGPN) database. UCC offers structured CVRM at referral to the University Medical Centre (UMC) Utrecht. JGPN consists of electronic health record (EHR) data from referring GPs. The cardiovascular risk factors were extracted for each patient 13 months before referral (JGPN), at UCC inclusion, and during 12 months follow-up (JGPN). The following areas were assessed: registration of risk factors; detection of risk factor(s) requiring treatment at UCC; communication of risk factors and actionable suggestions from the specialist to the GP; and change of management during follow-up. In 52% of patients, ≥1 risk factors were registered (that is, extractable from structured fields within routine care health records) before UCC. In 12%-72% of patients, risk factor(s) existed that required (change or start of) treatment at UCC inclusion. Specialist communication included the complete risk profile in 67% of letters, but lacked actionable suggestions in 86%. In 29% of patients, at least one risk factor was registered after UCC. Change in management in GP records was seen in 21%-58% of them. Evaluation of a multidisciplinary LHS is possible via linkage of health data sources. Efforts have to be made to improve registration in primary care, as well as communication on findings and actionable suggestions for follow-up to bridge the gap in the CVRM continuum.</t>
  </si>
  <si>
    <t>The association between GP organisational factors and the effectiveness of a prevention programme for cardiometabolic diseases: a prospective intervention study.</t>
  </si>
  <si>
    <t>Badenbroek, Ilse F; Stol, Daphne M; Nielen, Markus Mj; Hollander, Monika; de Wit, Niek J; Schellevis, François G</t>
  </si>
  <si>
    <t>https://pubmed.ncbi.nlm.nih.gov/33144369</t>
  </si>
  <si>
    <t>Owing to the rising disease burden of cardiometabolic diseases (CMD), prevention programmes for CMD are increasingly implemented in primary care. Organisational practice characteristics and availability of preventive services may be associated with a more effective programme. To identify possible organisational success factors from general practices related to an effective primary prevention programme for CMD. A prospective intervention study involving 37 Dutch general practices was undertaken. Patients aged 45-70 years without known CMD, hypertension, or hypercholesterolemia were invited for the prevention programme. The outcome measures were an improvement (yes/no) in four different CMD risk factors between baseline and 1-year follow-up on an individual level (body mass index [BMI], smoking, systolic blood pressure, and cholesterol ratio). Multivariate logistic regression analysis was used for assessing associations between practice organisational characteristics and outcomes. Just over half of the participants showed an improvement on one or more risk factors. Marginal differences were found in the four different outcomes between the practices with different organisational characteristics. None of the practice characteristics that were tested showed a significant association with an improvement in one of the outcome measures. In this study, general practice organisational and preventive service characteristics showed no impact on the effectiveness of a CMD prevention programme. Possible explanations could be the effectiveness of protocolised pharmaceutical treatment and only limited contribution of lifestyle programmes on the improvement of CMD risk factors.</t>
  </si>
  <si>
    <t>Evaluation of lexical clarification by patients reading their clinical notes: a quasi-experimental interview study.</t>
  </si>
  <si>
    <t>van Mens, Hugo J T; van Eysden, Mirte M; Nienhuis, Remko; van Delden, Johannes J M; de Keizer, Nicolette F; Cornet, Ronald</t>
  </si>
  <si>
    <t>https://pubmed.ncbi.nlm.nih.gov/33319706</t>
  </si>
  <si>
    <t>Patients benefit from access to their medical records. However, clinical notes and letters are often difficult to comprehend for most lay people. Therefore, functionality was implemented in the patient portal of a Dutch university medical centre (UMC) to clarify medical terms in free-text data. The clarifications consisted of synonyms and definitions from a Dutch medical terminology system. We aimed to evaluate to what extent these lexical clarifications match the information needs of the patients. Secondarily, we evaluated how the clarifications and the functionality could be improved. We invited participants from the patient panel of the UMC to read their own clinical notes. They marked terms they found difficult and rated the ease of these terms. After the functionality was activated, participants rated the clarifications provided by the functionality, and the functionality itself regarding ease and usefulness. Ratings were on a scale from 0 (very difficult) to 100 (very easy). We calculated the median number of terms not understood per participant, the number of terms with a clarification, the overlap between these numbers (coverage), and the precision and recall. We included 15 participants from the patient panel. They marked a median of 21 (IQR 19.5-31) terms as difficult in their text files, while only a median of 2 (IQR 1-4) of these terms were clarified by the functionality. The median precision was 6.5% (IQR 2.3-14.25%) and the median recall 8.3% (IQR 4.7-13.5%) per participant. However, participants rated the functionality with median ease of 98 (IQR 93.5-99) and a median usefulness of 79 (IQR 52.5-97). Participants found that many easy terms were unnecessarily clarified, that some clarifications were difficult, and that some clarifications contained mistakes. Patients found the functionality easy to use and useful. However, in its current form it only helped patients to understand few terms they did not understand, patients found some clarifications to be difficult, and some to be incorrect. This shows that lexical clarification is feasible even when limited terms are available, but needs further development to fully use its potential.</t>
  </si>
  <si>
    <t>Poor compliance of clinical trial registration among trials included in systematic reviews: a cohort study.</t>
  </si>
  <si>
    <t>Lindsley, Kristina; Fusco, Nicole; Teeuw, Hannah; Mooij, Eva; Scholten, Rob; Hooft, Lotty</t>
  </si>
  <si>
    <t>https://pubmed.ncbi.nlm.nih.gov/33333165</t>
  </si>
  <si>
    <t>The objective of the study was to examine whether clinical trials that have been included in systematic reviews have been registered in clinical trial registers and, when they have, whether results of the trials were included in the clinical trial register. This study used a sample of 100 systematic reviews published by the Cochrane Musculoskeletal, Oral, Skin and Sensory Network between 2014 and 2019. We identified 2,000 trials (369,778 participants) from a sample of 100 systematic reviews. The median year of trial publication was 2007. Of 1,177 trials published in 2005 or later, a clinical trial registration record was identified for 368 (31%). Of these registered trials, 135 (37%) were registered prospectively and results were posted for 114 (31%); most registered trials evaluated pharmaceutical interventions (62%). Of trials published in the last 10 years, the proportion of registered trials increased to 38% (261 of 682). Although some improvement in clinical trial registration has been observed in recent years, the proportion of registered clinical trials included in recently published systematic reviews remains less than desirable. Prospective clinical trial registration provides an essential role in assessing the risk of bias and judging the quality of evidence in systematic reviews of intervention safety and effectiveness.</t>
  </si>
  <si>
    <t>Vaccines safety and maternal knowledge for enhanced maternal immunization acceptability in rural Uganda: A qualitative study approach.</t>
  </si>
  <si>
    <t>Kajungu, Dan; Muhoozi, Michael; Stark, James; Weibel, Daniel; Sturkenboom, Miriam C J M</t>
  </si>
  <si>
    <t>https://pubmed.ncbi.nlm.nih.gov/33301495</t>
  </si>
  <si>
    <t>Maternal immunization is a successful and cost-effective public health strategy. It protects pregnant women and their infants from vaccine-preventable diseases. Uganda is exploring new vaccines for pregnant women like replacing Tetanus Toxoid (TT) with Tetanus-Diphtheria (Td). Research on knowledge, attitudes, beliefs, and willingness among pregnant women is needed before the introduction of vaccines for pregnant women. This study was aimed at exploring maternal knowledge, attitudes, willingness, and beliefs towards maternal immunization among pregnant women in rural Uganda. This was a qualitative descriptive study. Ten focus group discussions (FGDs) were conducted at antenatal care (ANC) clinics and in a rural community of Uganda. Five key informant interviews (KIIs) were done with health workers, for triangulation. Considering context and research characteristics, data were collected and thematically analyzed. Women were familiar with the importance of maternal vaccines, had positive attitudes, and expressed willingness to take them. Acceptance of a new vaccine could be affected by worries of pregnant women and that of their partners, who influence health seeking decisions in a home concerning adverse events, following the maternal immunization (AEFI). There were misconceptions about introduction of vaccines such as the belief that vaccines treat malaria and general body weakness, and being used as guinea pigs to test for the vaccine before its introduction to the larger population. A range of diverse sentiments and beliefs may affect uptake and acceptability of vaccines that are introduced in communities. For instance, ignoring vaccine safety concerns may impede maternal immunization acceptability, because pregnant women and their husbands are concerned about AEFI. Moreover, husbands make all health-seeking decisions at home, and their opinion is key, when considering such interventions.</t>
  </si>
  <si>
    <t>The Association of Vitamin D and Vitamin K Status with Subclinical Measures of Cardiovascular Health and All-Cause Mortality in Older Adults: The Hoorn Study.</t>
  </si>
  <si>
    <t>Dal Canto, Elisa; Beulens, Joline W J; Elders, Petra; Rutters, Femke; Stehouwer, Coen D A; van der Heijden, Amber A; van Ballegooijen, Adriana J</t>
  </si>
  <si>
    <t>the journal of nutrition</t>
  </si>
  <si>
    <t>https://pubmed.ncbi.nlm.nih.gov/33119768</t>
  </si>
  <si>
    <t>A low vitamin D and K status has been associated with increased cardiovascular disease (CVD) risk but the evidence of their combined effect on cardiovascular health is limited. Our study aimed to investigate the prospective association of vitamin D and K status with subclinical measures of cardiovascular health and all-cause mortality among a population of Dutch Caucasians. We performed an observational prospective study on 601 participants of the Hoorn Study (mean ± SD age: 70 ± 6 y, 50.4% women, BMI: 27.2 ± 4.0 kg/m2), of whom 321 underwent an echocardiogram in 2000-2001 and 2007-2009. Vitamin D and K status was assessed at baseline by serum 25-hydroxyvitamin D [25(OH)D] and plasma desphospho-uncarboxylated matrix-gla protein (dp-ucMGP)-high concentrations indicate low vitamin K status. Vital status was assessed from baseline until 2018. We studied the association of categories of 25(OH)D (stratified by the clinical cutoff of 50 mmol/L) and dp-ucMGP (stratified by the median value of 568 pmol/L) with echocardiographic measures using linear regression and with all-cause mortality using Cox regression, adjusted for confounders. Compared with markers of normal vitamin D and K status, markers of low vitamin D and K status were prospectively associated with increased left ventricular mass index (5.9 g/m2.7; 95% CI: 1.8, 10.0 g/m2.7). Participants with low vitamin D and K status were also at increased risk of all-cause mortality with an HR of 1.64 (95% CI: 1.12, 2.39) compared with normal vitamin D and K status. A combination of low vitamin D and K status is associated with adverse cardiac remodeling and increased risk of all-cause mortality in men and women. Future studies should investigate whether vitamin D and K supplementation could help to improve cardiovascular health and to decrease CVD risk.</t>
  </si>
  <si>
    <t>[Reflections on health care: hypes as a valve mechanism of the health care system].</t>
  </si>
  <si>
    <t>Huisman, Frank G</t>
  </si>
  <si>
    <t>https://pubmed.ncbi.nlm.nih.gov/33332044</t>
  </si>
  <si>
    <t>Physicians and other health care workers sometimes face thoughts and systems that are utterly strange to them. This articles argues that 'medical hypes' deserve to be taken seriously, because they contribute to keeping the health care system and society at large vital.</t>
  </si>
  <si>
    <t>Diabetes and COVID-19-Related Mortality in Women and Men in the UK Biobank: Comparisons With Influenza/Pneumonia and Coronary Heart Disease.</t>
  </si>
  <si>
    <t>https://pubmed.ncbi.nlm.nih.gov/33293345</t>
  </si>
  <si>
    <t>Organoids for personalized treatment of Cystic Fibrosis: Professional perspectives on the ethics and governance of organoid biobanking.</t>
  </si>
  <si>
    <t>Lensink, Michael A; Boers, Sarah N; Jongsma, Karin R; Carter, Sarah E; van der Ent, Cornelis K; Bredenoord, Annelien L</t>
  </si>
  <si>
    <t>https://pubmed.ncbi.nlm.nih.gov/33303364</t>
  </si>
  <si>
    <t>Organoid technology is emerging rapidly as a valuable tool for precision medicine, particularly in the field of Cystic Fibrosis (CF). However, biobank storage and use of patient-derived organoids raises specific ethical and practical challenges that demand sound governance. We examined the perspectives of professionals affiliated with CF or organoids on the ethical aspects of organoid biobanking for CF precision medicine. By conducting this study parallel to the process of innovation and development of organoid biobanking, its findings are valuable for the design of responsible governance frameworks. To identify relevant themes and attitudes we conducted 21 semi-structured qualitative interviews with professionals in the field of organoid technology, biobanking, or CF research and care. We identified three key challenges, as well as the suggestions of professionals on how to address them: (1) The challenges associated with commercial involvement, trust, and ownership, (2) Navigating the blurring boundary between research and clinical care, (3) Appropriate approaches to the informed consent procedure. Sound governance of organoid biobanks aimed at precision medicine requires coming to terms with the fact that its stakeholders no longer belong to separate domains. Responsible governance should be aimed at finding a sound, context-sensitive balance between integration of ongoing co-operation and mutual consideration of interests, and maintaining a feasible and sustainable research climate.</t>
  </si>
  <si>
    <t>Accuracy of telephone triage in patients suspected of transient ischaemic attack or stroke: a cross-sectional study.</t>
  </si>
  <si>
    <t>Erkelens, Daphne C; Rutten, Frans H; Wouters, Loes T; Dolmans, L Servaas; de Groot, Esther; Damoiseaux, Roger A; Zwart, Dorien L</t>
  </si>
  <si>
    <t>https://pubmed.ncbi.nlm.nih.gov/33278874</t>
  </si>
  <si>
    <t>The Netherlands Triage Standard (NTS) is a widely used decision support tool for telephone triage at Dutch out-of-hours primary care services (OHS-PC), which, however, has never been validated against clinical outcomes. We aimed to determine the accuracy of the NTS urgency allocation for patients with neurological symptoms suggestive of a transient ischaemic attack (TIA) or stroke, with the clinical outcomes TIA, stroke, and other (neurologic) life-threatening events (LTEs) as the reference. A cross-sectional study of telephone triage recordings of patients with neurological symptoms calling the OHS-PC between 2014 and 2016.The allocated NTS urgencies were derived from the electronic medical records of the OHS-PC. The clinical outcomes were retrieved from the electronic medical records of the patients' own general practitioners. The accuracy of a high NTS urgency allocation (medical help within 3 h) was calculated in terms of sensitivity, specificity, positive and negative predictive values (PPV and NPV) with the clinical outcomes TIA/stroke/other LTEs as the reference. Of 1269 patients, 635 (50.0%) received the diagnosis TIA/stroke (34.2% TIA/minor stroke, 15.8% major ischaemic or haemorrhagic stroke), and 4.8% other LTEs. For TIA/stroke/other LTEs, the sensitivity and specificity of the NTS urgency allocation were 0.72 (95%CI 0.68-0.75) and 0.48 (95%CI 0.43-0.52), and the PPV and NPV were 0.62 (95%CI 0.60-0.64) and 0.58 (95%CI 0.54-0.62). The NTS decision support tool used in Dutch OHS-PC performed poor to moderately regarding safety (sensitivity) and efficiency (specificity) in allocating adequate urgencies to patients with and without TIA/stroke/other LTEs. The Netherlands National Trial Register, identification number NTR7331 /Trial NL7134 .</t>
  </si>
  <si>
    <t>High Variability in Implementation of Selective-Prevention Services for Cardiometabolic Diseases in Five European Primary Care Settings.</t>
  </si>
  <si>
    <t>Lionis, Christos; Anastasaki, Marilena; Bertsias, Antonios; Angelaki, Agapi; Carlsson, Axel C; Gudjonsdottir, Hrafnhildur; Wändell, Per; Larrabee Sonderlund, Anders; Thilsing, Trine; Søndergaard, Jens; Seifert, Bohumil; Kral, Norbert; De Wit, Niek J; Hollander, Monika; Korevaar, Joke; Schellevis, François</t>
  </si>
  <si>
    <t>https://pubmed.ncbi.nlm.nih.gov/33291815</t>
  </si>
  <si>
    <t>(1) Background: Cardiometabolic diseases are the most common cause of death worldwide. As part of a collaborative European study, this paper aims to explore the implementation of primary care selective-prevention services in five European countries. We assessed the implementation process of the selective-prevention services, participants' cardiometabolic profile and risk and participants' evaluation of the services, in terms of feasibility and impact in promoting a healthy lifestyle. (2) Methods: Eligible participants were primary care patients, 40-65 years of age, without any diagnosis of cardiometabolic disease. Two hundred patients were invited to participate per country. The extent to which participants adopted and completed the implementation of selective-prevention services was recorded. Patient demographics, lifestyle-related cardiometabolic risk factors and opinions on the implementation's feasibility were also collected. (3) Results: Acceptance rates varied from 19.5% (n = 39/200) in Sweden to 100% (n = 200/200) in the Czech Republic. Risk assessment completion rates ranged from 65.4% (n = 70/107) in Greece to 100% (n = 39/39) in Sweden. On a ten-point scale, the median (25-75% quartile) of participant-reported implementation feasibility ranged from 7.4 (6.9-7.8) in Greece to 9.2 (8.2-9.9) in Sweden. Willingness to change lifestyle exceeded 80% in all countries. (4) Conclusions: A substantial variation in the implementation of selective-prevention receptiveness and patient risk profile was observed among countries. Our findings suggest that the design and implementation of behavior change cardiometabolic programmes in each country should be informed by the local context and provide some background evidence towards this direction, which can be even more relevant during the current pandemic period.</t>
  </si>
  <si>
    <t>Sex Differences in the Risk of Coronary Heart Disease Associated With Type 2 Diabetes: A Mendelian Randomization Analysis.</t>
  </si>
  <si>
    <t>Peters, Tricia M; Holmes, Michael V; Richards, J Brent; Palmer, Tom; Forgetta, Vincenzo; Lindgren, Cecilia M; Asselbergs, Folkert W; Nelson, Christopher P; Samani, Nilesh J; McCarthy, Mark I; Mahajan, Anubha; Davey Smith, George; Woodward, Mark; O'Keeffe, Linda M; Peters, Sanne A E</t>
  </si>
  <si>
    <t>https://pubmed.ncbi.nlm.nih.gov/33277303</t>
  </si>
  <si>
    <t>Observational studies have demonstrated that type 2 diabetes is a stronger risk factor for coronary heart disease (CHD) in women compared with men. However, it is not clear whether this reflects a sex differential in the causal effect of diabetes on CHD risk or results from sex-specific residual confounding. Using 270 single nucleotide polymorphisms (SNPs) for type 2 diabetes identified in a type 2 diabetes genome-wide association study, we performed a sex-stratified Mendelian randomization (MR) study of type 2 diabetes and CHD using individual participant data in UK Biobank (251,420 women and 212,049 men). Weighted median, MR-Egger, MR-pleiotropy residual sum and outlier, and radial MR from summary-level analyses were used for pleiotropy assessment. MR analyses showed that genetic risk of type 2 diabetes increased the odds of CHD for women (odds ratio 1.13 [95% CI 1.08-1.18] per 1-log unit increase in odds of type 2 diabetes) and men (1.21 [1.17-1.26] per 1-log unit increase in odds of type 2 diabetes). Sensitivity analyses showed some evidence of directional pleiotropy; however, results were similar after correction for outlier SNPs. This MR analysis supports a causal effect of genetic liability to type 2 diabetes on risk of CHD that is not stronger for women than men. Assuming a lack of bias, these findings suggest that the prevention and management of type 2 diabetes for CHD risk reduction is of equal priority in both sexes.</t>
  </si>
  <si>
    <t>Editorial: Innovative Approaches in Diagnosis of Emerging/Re-emerging Infectious Diseases.</t>
  </si>
  <si>
    <t>Barac, Aleksandra; Poljak, Mario; Ong, David S Y</t>
  </si>
  <si>
    <t>frontiers in microbiology</t>
  </si>
  <si>
    <t>https://pubmed.ncbi.nlm.nih.gov/33343557</t>
  </si>
  <si>
    <t>Working nights and lower leisure-time physical activity associate with chronic pain in Southern African long-distance truck drivers: A cross-sectional study.</t>
  </si>
  <si>
    <t>Wadley, Antonia L; Iacovides, Stella; Roche, Johanna; Scheuermaier, Karine; Venter, W D Francois; Vos, Alinda G; Lalla-Edward, Samanta T</t>
  </si>
  <si>
    <t>https://pubmed.ncbi.nlm.nih.gov/33270793</t>
  </si>
  <si>
    <t>In South Africa, the trucking industry employs over 70,000 people and the prevalence of chronic pain in this occupational group was reported at 10%. We investigated factors associated with chronic pain in truck drivers including mental health, physical activity, and sleep, as no study has done so. Southern African male, long-distance truck drivers were recruited at truck stops in Gauteng and Free State Provinces, South Africa (n = 614). Chronic pain was defined as pain present for at least the last three months. Depressive symptoms were assessed with the Patient Health Questionnaire-9, post-traumatic stress disorder with the Posttraumatic Stress Disorder Checklist for DSM-5 (PCL-5), exposure to traumatic events with the Life Events Checklist-5 (LEC-5) and daytime sleepiness with the Epworth Sleepiness Scale. Sleep quality was measured on a four-point Likert scale. Leisure-time physical activity was measured using the Godin-Shephard leisure-time physical activity questionnaire. Associations between these factors, demographic factors and chronic pain were investigated. Multivariate analysis showed that working ≥ 2 nights/week (OR = 2.68, 95% CI = 1.55-4.68) was associated with chronic pain and physical activity was protective (OR = 0.97, 95% CI 0.95-0.98). In an exploratory analysis, greater depressive symptoms (p = 0.004), daytime sleepiness (p = 0.01) and worse sleep quality (p = 0.001) was associated with working ≥ 2 nights/week. Lower leisure-time physical activity was associated with worse sleep quality (p = 0.006), but not daytime sleepiness or depressive symptoms (p&gt;0.05). There is a clear relationship between working nights and activity levels, and chronic pain, sleep quality, and depression in truck drivers.</t>
  </si>
  <si>
    <t>Long-term exposure to fine particle elemental components and lung cancer incidence in the ELAPSE pooled cohort.</t>
  </si>
  <si>
    <t>Hvidtfeldt, Ulla Arthur; Chen, Jie; Andersen, Zorana Jovanovic; Atkinson, Richard; Bauwelinck, Mariska; Bellander, Tom; Brandt, Jørgen; Brunekreef, Bert; Cesaroni, Giulia; Concin, Hans; Fecht, Daniela; Forastiere, Francesco; van Gils, Carla H; Gulliver, John; Hertel, Ole; Hoek, Gerard; Hoffmann, Barbara; de Hoogh, Kees; Janssen, Nicole; Jørgensen, Jeanette Therming; Katsouyanni, Klea; Jöckel, Karl-Heinz; Ketzel, Matthias; Klompmaker, Jochem O; Lang, Alois; Leander, Karin; Liu, Shuo; Ljungman, Petter L S; Magnusson, Patrik K E; Mehta, Amar Jayant; Nagel, Gabriele; Oftedal, Bente; Pershagen, Göran; Peter, Raphael Simon; Peters, Annette; Renzi, Matteo; Rizzuto, Debora; Rodopoulou, Sophia; Samoli, Evangelia; Schwarze, Per Everhard; Severi, Gianluca; Sigsgaard, Torben; Stafoggia, Massimo; Strak, Maciej; Vienneau, Danielle; Weinmayr, Gudrun; Wolf, Kathrin; Raaschou-Nielsen, Ole</t>
  </si>
  <si>
    <t>https://pubmed.ncbi.nlm.nih.gov/33278469</t>
  </si>
  <si>
    <t>An association between long-term exposure to fine particulate matter (PM&lt;sub&gt;2.5&lt;/sub&gt;) and lung cancer has been established in previous studies. PM&lt;sub&gt;2.5&lt;/sub&gt; is a complex mixture of chemical components from various sources and little is known about whether certain components contribute specifically to the associated lung cancer risk. The present study builds on recent findings from the "Effects of Low-level Air Pollution: A Study in Europe" (ELAPSE) collaboration and addresses the potential association between specific elemental components of PM&lt;sub&gt;2.5&lt;/sub&gt; and lung cancer incidence. We pooled seven cohorts from across Europe and assigned exposure estimates for eight components of PM&lt;sub&gt;2.5&lt;/sub&gt; representing non-tail pipe emissions (copper (Cu), iron (Fe), and zinc (Zn)), long-range transport (sulfur (S)), oil burning/industry emissions (nickel (Ni), vanadium (V)), crustal material (silicon (Si)), and biomass burning (potassium (K)) to cohort participants' baseline residential address based on 100 m by 100 m grids from newly developed hybrid models combining air pollution monitoring, land use data, satellite observations, and dispersion model estimates. We applied stratified Cox proportional hazards models, adjusting for potential confounders (age, sex, calendar year, marital status, smoking, body mass index, employment status, and neighborhood-level socio-economic status). The pooled study population comprised 306,550 individuals with 3916 incident lung cancer events during 5,541,672 person-years of follow-up. We observed a positive association between exposure to all eight components and lung cancer incidence, with adjusted HRs of 1.10 (95% CI 1.05, 1.16) per 50 ng/m&lt;sup&gt;3&lt;/sup&gt; PM&lt;sub&gt;2.5&lt;/sub&gt; K, 1.09 (95% CI 1.02, 1.15) per 1 ng/m&lt;sup&gt;3&lt;/sup&gt; PM&lt;sub&gt;2.5&lt;/sub&gt; Ni, 1.22 (95% CI 1.11, 1.35) per 200 ng/m&lt;sup&gt;3&lt;/sup&gt; PM&lt;sub&gt;2.5&lt;/sub&gt; S, and 1.07 (95% CI 1.02, 1.12) per 200 ng/m&lt;sup&gt;3&lt;/sup&gt; PM&lt;sub&gt;2.5&lt;/sub&gt; V. Effect estimates were largely unaffected by adjustment for nitrogen dioxide (NO&lt;sub&gt;2&lt;/sub&gt;). After adjustment for PM&lt;sub&gt;2.5&lt;/sub&gt; mass, effect estimates of K, Ni, S, and V were slightly attenuated, whereas effect estimates of Cu, Si, Fe, and Zn became null or negative. Our results point towards an increased risk of lung cancer in connection with sources of combustion particles from oil and biomass burning and secondary inorganic aerosols rather than non-exhaust traffic emissions. Specific limit values or guidelines targeting these specific PM&lt;sub&gt;2.5&lt;/sub&gt; components may prove helpful in future lung cancer prevention strategies.</t>
  </si>
  <si>
    <t>The Rhythm of Risk: Sexual Behaviour, PrEP Use and HIV Risk Perception Between 1999 and 2018 Among Men Who Have Sex with Men in Amsterdam, The Netherlands.</t>
  </si>
  <si>
    <t>Basten, Maartje; den Daas, Chantal; Heijne, Janneke C M; Boyd, Anders; Davidovich, Udi; Rozhnova, Ganna; Kretzschmar, Mirjam; Matser, Amy</t>
  </si>
  <si>
    <t>aids and behavior</t>
  </si>
  <si>
    <t>https://pubmed.ncbi.nlm.nih.gov/33269426</t>
  </si>
  <si>
    <t>HIV risk perception plays a crucial role in the uptake of preventive strategies. We investigated how risk perception and its determinants changed between 1999 and 2018 in an open, prospective cohort of 1323 HIV-negative men who have sex with men (MSM). Risk perception, defined as the perceived likelihood of acquiring HIV in the past 6 months, changed over time: being relatively lower in 2008-2011, higher in 2012-2016, and again lower in 2017-2018. Irrespective of calendar year, condomless anal intercourse (AI) with casual partners and high numbers of partners were associated with higher risk perception. In 2017-2018, condomless receptive AI with a partner living with HIV was no longer associated with risk perception, while PrEP use and condomless AI with a steady partner were associated with lower risk perception. We showed that risk perception has fluctuated among MSM in the past 20 years. The Undetectable equals Untransmittable statement and PrEP coincided with lower perceived risk.</t>
  </si>
  <si>
    <t>Needs, barriers and facilitators of older adults towards eHealth in general practice: a qualitative study.</t>
  </si>
  <si>
    <t>Vergouw, Johannes William; Smits-Pelser, Hanneke; Kars, Marijke C; van Houwelingen, Thijs; van Os-Medendorp, Harmieke; Kort, Helianthe; Bleijenberg, Nienke</t>
  </si>
  <si>
    <t>primary health care research development</t>
  </si>
  <si>
    <t>https://pubmed.ncbi.nlm.nih.gov/33263272</t>
  </si>
  <si>
    <t>The strain on health care services is increasing due to an ageing population and the increasing prevalence of chronic health conditions. eHealth could contribute to optimise effective and efficient care to older adults with one or more chronic health conditions in the general practice. The aim of this study was to identify the needs, barriers and facilitators amongst community-dwelling older adults (60+) suffering from one or more chronic health conditions, in using online eHealth applications to support general practice services. A qualitative study, using semi-structured followed by think-aloud interviews, was conducted in the Netherlands. The semi-structured interviews, supported by an interview guide were conducted and analysed thematically. The think-aloud method was used to collect data about the cognitive process while the participant was completing a task within online eHealth applications. Verbal analysis according to the Chi approach was conducted to analyse the think-aloud interviews. A total of n = 19 older adults with a mean age of 73 years participated. The ability to have immediate contact with the GP on important health issues was identified as an important need. Identified barriers were non-familiarity with the online eHealth applications and a mismatch of user health needs. The low computer experience resulted in non-familiarity with the online eHealth applications. Faltering applications resulted in participants refusing to participate in the use of online eHealth applications. Convenience, efficiency and the instant availability of eHealth via applications were identified as important facilitators. To improve the use and acceptability of eHealth applications amongst older adults in the general practice, the applications should be tailored to meet individual needs. More attention should be given to improving the user-friendliness of these applications and to the promotion of the benefits such as facilitating older adults independent living for longer.</t>
  </si>
  <si>
    <t>Prediction Models for Physical, Cognitive, and Mental Health Impairments After Critical Illness: A Systematic Review and Critical Appraisal.</t>
  </si>
  <si>
    <t>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t>
  </si>
  <si>
    <t>https://pubmed.ncbi.nlm.nih.gov/33060502</t>
  </si>
  <si>
    <t>Improved ability to predict impairments after critical illness could guide clinical decision-making, inform trial enrollment, and facilitate comprehensive patient recovery. A systematic review of the literature was conducted to investigate whether physical, cognitive, and mental health impairments could be predicted in adult survivors of critical illness. A systematic search of PubMed and the Cochrane Library (Prospective Register of Systematic Reviews ID: CRD42018117255) was undertaken on December 8, 2018, and the final searches updated on January 20, 2019. Four independent reviewers assessed titles and abstracts against study eligibility criteria. Studies were eligible if a prediction model was developed, validated, or updated for impairments after critical illness in adult patients. Discrepancies were resolved by consensus or an independent adjudicator. Data on study characteristics, timing of outcome measurement, candidate predictors, and analytic strategies used were extracted. Risk of bias was assessed using the Prediction model Risk Of Bias Assessment Tool. Of 8,549 screened studies, three studies met inclusion. All three studies focused on the development of a prediction model to predict (1) a mental health composite outcome at 3 months post discharge, (2) return-to-pre-ICU functioning and residence at 6 months post discharge, and (3) physical function 2 months post discharge. Only one model had been externally validated. All studies had a high risk of bias, primarily due to the sample size, and statistical methods used to develop and select the predictors for the prediction published model. We only found three studies that developed a prediction model of any post-ICU impairment. There are several opportunities for improvement for future prediction model development, including the use of standardized outcomes and time horizons, and improved study design and statistical methodology.</t>
  </si>
  <si>
    <t>Duration of adjuvant treatment for patients with stage III colon cancer.</t>
  </si>
  <si>
    <t>Koopman, Miriam; Punt, Cornelis J A</t>
  </si>
  <si>
    <t>https://pubmed.ncbi.nlm.nih.gov/33271085</t>
  </si>
  <si>
    <t>Person-centered diabetes care and patient activation in people with type 2 diabetes.</t>
  </si>
  <si>
    <t>Rutten, Guy E H M; Van Vugt, Heidi; de Koning, Eelco</t>
  </si>
  <si>
    <t>https://pubmed.ncbi.nlm.nih.gov/33323460</t>
  </si>
  <si>
    <t>The American Diabetes Association and the European Association for the Study of Diabetes advocate a person-centered approach to enhance patient engagement in self-care activities. To that purpose, people with diabetes need adequate diabetes knowledge, motivation, skills and confidence. These prerequisites are captured by the concept 'patient activation'. The Dutch Diabetes Federation implemented a person-centered consultation model for the annual diabetes review. To assess its relationship with patient activation, we measured the &lt;i&gt;change&lt;/i&gt; in patient activation, and in person and disease-related factors in people with type 2 diabetes after their second person-centered annual review. Observational study in 47 primary care practices and six outpatient hospital clinics. 1 year. From 2.617 people with diabetes and capable of completing questionnaires (no additional exclusion criteria) 1.487 (56.8%) participated, 1366 with type 2 diabetes. patient activation (13-item Patient Activation Measure, score 0-100). Before the first and after the second review, participants completed questionnaires. Medical data were retrieved from electronic records. We performed a repeated measure analysis using a linear mixed model in 1299 participants, who completed the first set of questionnaires. In 1299 participants (41.6% female, mean age 66 years, median diabetes duration 10 years, median glycated hemoglobin (HbA1c) 6.8%/51 mmol/mol), the mean baseline activation level was 58.9 (SD 11.7). Independent of actual diabetes care, activation levels increased 1.53 units (95% CI 0.67 to 2.39, p=0.001). Several diabetes perceptions improved significantly; diabetes distress level decreased significantly. Body mass index (-0.22, 95% CI -0.33 to -0.10, p&lt;0.001) and low-density lipoprotein cholesterol (-2.71 mg/dL, 95% CI -4.64 to -0.77, p=0.004) decreased, HbA1c increased 0.08% (95% CI 0.03 to 0.12) (p=0.001). Person-centered diabetes care was associated with a slightly higher patient activation level, improved diabetes perception and small improvements in clinical outcomes. Person-centered care may enhance patient engagement, but one should not expect substantial improvement in patient outcomes in the short term.</t>
  </si>
  <si>
    <t>The ESC Global Affairs Committee (2018-20): tackling cardiovascular disease worldwide.</t>
  </si>
  <si>
    <t>Grobbee, Diederick E</t>
  </si>
  <si>
    <t>https://pubmed.ncbi.nlm.nih.gov/33245755</t>
  </si>
  <si>
    <t>Applicability of the WHO maternal near-miss tool: A nationwide surveillance study in Suriname.</t>
  </si>
  <si>
    <t>Verschueren, Kim Jc; Kodan, Lachmi R; Paidin, Raëz R; Samijadi, Sarah M; Paidin, Rubinah R; Rijken, Marcus J; Browne, Joyce L; Bloemenkamp, Kitty Wm</t>
  </si>
  <si>
    <t>journal of global health</t>
  </si>
  <si>
    <t>https://pubmed.ncbi.nlm.nih.gov/33214899</t>
  </si>
  <si>
    <t>Maternal near-miss (MNM) is an important maternal health quality-of-care indicator. To facilitate comparison between countries, the World Health Organization (WHO) developed the "MNM-tool". However, several low- and middle-income countries have proposed adaptations to prevent underreporting, ie, Namibian and Sub-Sahara African (SSA)-criteria. This study aims to assess MNM and associated factors in middle-income country Suriname by applying the three different MNM tools. A nationwide prospective population-based cohort study was conducted using the Suriname Obstetric Surveillance System (SurOSS). We included women with MNM-criteria defined by WHO-, Namibian- and SSA-tools during one year (March 2017-February 2018) and used hospital births (86% of total) as a reference group. There were 9114 hospital live births in Suriname in the one-year study period. SurOSS identified 71 women with WHO-MNM (8/1000 live births, mortality-index 12%), 118 with Namibian-MNM (13/1000 live births, mortality-index 8%), and 242 with SSA-MNM (27/1000 live births, mortality-index 4%). Namibian- and SSA-tools identified all women with WHO-criteria. Blood transfusion thresholds and eclampsia explained the majority of differences in MNM prevalence. Eclampsia was not considered a WHO-MNM in 80% (n = 35/44) of cases. Nevertheless, mortality-index for MNM with hypertensive disorders was 17% and the most frequent underlying cause of maternal deaths (n = 4/10, 40%) and MNM (n = 24/71, 34%). Women of advanced age and maroon ethnicity had twice the odds of WHO-MNM (respectively adjusted odds ratio (aOR) = 2.6, 95% confidence interval (CI) = 1.4-4.8 and aOR = 2.0, 95% CI = 1.2-3.6). The stillbirths rate among women with WHO-MNM was 193/1000births, with six times higher odds than women without MNM (aOR = 6.8, 95%CI = 3.0-15.8). While the prevalence and mortality-index differ between the three MNM tools, the underlying causes of and factors associated with MNM were comparable. The MNM ratio in Suriname is comparable to other countries in the region. The WHO-tool underestimates the prevalence of MNM (high mortality-index), while the adapted tools may overestimate MNM and compromise global comparability. Contextualized MNM-criteria per obstetric transition stage may improve comparability and reduce underreporting. While MNM studies facilitate international comparison, audit will remain necessary to identify shortfalls in quality-of-care and improve maternal outcomes.</t>
  </si>
  <si>
    <t>Plasma Trough Concentrations of Antihypertensive Drugs for the Assessment of Treatment Adherence: A Meta-Analysis.</t>
  </si>
  <si>
    <t>Groenland, Eline H; van Kleef, Monique E A M; Bots, Michiel L; Visseren, Frank L J; van der Elst, Kim C M; Spiering, Wilko</t>
  </si>
  <si>
    <t>https://pubmed.ncbi.nlm.nih.gov/33249865</t>
  </si>
  <si>
    <t>Biochemical drug screening by liquid chromatography-tandem mass spectrometry in plasma is an accurate method for the quantification of plasma concentrations of antihypertensive medications in patients with hypertension. Trough concentrations could possibly be used as drug-specific cutoff values in the biochemical assessment of (non-)adherence. We performed a literature review and meta-analysis of pharmacokinetic studies to determine plasma trough concentrations of amlodipine, hydrochlorothiazide, and valsartan. PubMed was searched for pharmacokinetic studies up to September 2020. Eligible studies reported steady-state mean trough concentration and their variance. Pooled trough concentrations were estimated using a three-level random effects meta-analytic model. Moderator analyses were performed to explore sources of heterogeneity. One thousand three hundred eighteen potentially relevant articles were identified of which 45 were eligible for inclusion. The pooled mean trough concentration was 9.2 ng/mL (95% CI, 7.5-10.8) for amlodipine, 41.0 ng/mL (95% CI, 17.4-64.7) for hydrochlorothiazide, and 352.9 ng/mL (95% CI, 243.5-462.3) for valsartan. Substantial heterogeneity was present for all 3 pooled estimates. Moderator analyses identified dosage as a significant moderator for the pooled trough concentration of amlodipine (β&lt;sub&gt;1&lt;/sub&gt;=0.9; &lt;i&gt;P&lt;/i&gt;&lt;0.05), mean age, and mean body weight for the mean trough concentration of hydrochlorothiazide (β&lt;sub&gt;1&lt;/sub&gt;=2.2, &lt;i&gt;P&lt;/i&gt;&lt;0.05, respectively, β&lt;sub&gt;1&lt;/sub&gt;=-4.0, &lt;i&gt;P&lt;/i&gt;&lt;0.05) and no significant moderators for valsartan. Plasma trough concentrations of amlodipine, hydrochlorothiazide, and valsartan, measured with liquid chromatography-tandem mass spectrometry, are highly heterogeneous over the different studies. Use of the pooled trough concentration as a cutoff in the biochemical assessment of adherence can result in inaccurate diagnosis of (non-)adherence, which may seriously harm the patient-physician relationship, and is therefore not recommended.</t>
  </si>
  <si>
    <t>Post-load glucose subgroups and associated metabolic traits in individuals with type 2 diabetes: An IMI-DIRECT study.</t>
  </si>
  <si>
    <t>Obura, Morgan; Beulens, Joline W J; Slieker, Roderick; Koopman, Anitra D M; Hoekstra, Trynke; Nijpels, Giel; Elders, Petra; Koivula, Robert W; Kurbasic, Azra; Laakso, Markku; Hansen, Tue H; Ridderstråle, Martin; Hansen, Torben; Pavo, Imre; Forgie, Ian; Jablonka, Bernd; Ruetten, Hartmut; Mari, Andrea; McCarthy, Mark I; Walker, Mark; Heggie, Alison; McDonald, Timothy J; Perry, Mandy H; De Masi, Federico; Brunak, Søren; Mahajan, Anubha; Giordano, Giuseppe N; Kokkola, Tarja; Dermitzakis, Emmanouil; Viñuela, Ana; Pedersen, Oluf; Schwenk, Jochen M; Adamski, Jurek; Teare, Harriet J A; Pearson, Ewan R; Franks, Paul W; 't Hart, Leen M; Rutters, Femke; ,</t>
  </si>
  <si>
    <t>https://pubmed.ncbi.nlm.nih.gov/33253307</t>
  </si>
  <si>
    <t>Subclasses of different glycaemic disturbances could explain the variation in characteristics of individuals with type 2 diabetes (T2D). We aimed to examine the association between subgroups based on their glucose curves during a five-point mixed-meal tolerance test (MMT) and metabolic traits at baseline and glycaemic deterioration in individuals with T2D. The study included 787 individuals with newly diagnosed T2D from the Diabetes Research on Patient Stratification (IMI-DIRECT) Study. Latent class trajectory analysis (LCTA) was used to identify distinct glucose curve subgroups during a five-point MMT. Using general linear models, these subgroups were associated with metabolic traits at baseline and after 18 months of follow up, adjusted for potential confounders. At baseline, we identified three glucose curve subgroups, labelled in order of increasing glucose peak levels as subgroup 1-3. Individuals in subgroup 2 and 3 were more likely to have higher levels of HbA1c, triglycerides and BMI at baseline, compared to those in subgroup 1. At 18 months (n = 651), the beta coefficients (95% CI) for change in HbA1c (mmol/mol) increased across subgroups with 0.37 (-0.18-1.92) for subgroup 2 and 1.88 (-0.08-3.85) for subgroup 3, relative to subgroup 1. The same trend was observed for change in levels of triglycerides and fasting glucose. Different glycaemic profiles with different metabolic traits and different degrees of subsequent glycaemic deterioration can be identified using data from a frequently sampled mixed-meal tolerance test in individuals with T2D. Subgroups with the highest peaks had greater metabolic risk.</t>
  </si>
  <si>
    <t>Sentinel node biopsy in patients with melanoma improves the accuracy of staging when added to clinicopathological features of the primary tumor.</t>
  </si>
  <si>
    <t>El Sharouni, M-A; Stodell, M D; Ahmed, T; Suijkerbuijk, K P M; Cust, A E; Witkamp, A J; Sigurdsson, V; van Diest, P J; Scolyer, R A; Thompson, J F; van Gils, C H; Lo, S N</t>
  </si>
  <si>
    <t>https://pubmed.ncbi.nlm.nih.gov/33253862</t>
  </si>
  <si>
    <t>It has been claimed, without supporting evidence, that knowledge of sentinel node (SN) status does not provide more accurate prognostic information than basic clinicopathological features of a primary cutaneous melanoma. We sought to investigate this claim and to quantify any additional value of SN status in predicting survival outcome. Data for a Dutch population-based cohort of melanoma patients (n = 9272) and for a validation cohort from a large Australian melanoma treatment center (n = 5644) were analyzed. Patients were adults diagnosed between 2004 and 2014 with histologically-proven, primary invasive cutaneous melanoma who underwent SN biopsy. Multivariable Cox proportional hazards analyses were carried out in the Dutch cohort to assess recurrence-free survival (RFS), melanoma-specific survival (MSS) and overall survival (OS). The findings were validated using the Australian cohort. Discrimination (Harrell's C-statistic), net benefit using decision curve analysis and net reclassification index (NRI) were calculated. The Dutch cohort showed an improved C-statistic from 0.74 to 0.78 for OS and from 0.74 to 0.76 for RFS when SN status was included in the model with Breslow thickness, sex, age, site, mitoses, ulceration, regression and melanoma subtype. In the Australian cohort, the C-statistic increased from 0.70 to 0.73 for OS, 0.70 to 0.74 for RFS and 0.72 to 0.76 for MSS. Decision curve analyses showed that the 3-year and 5-year risk of death or recurrence were more accurately classified with a model that included SN status. At 3 years, sensitivity increased by 12% for both OS and RFS in the development cohort, and by 10% and 6% for OS and RFS, respectively, in the validation cohort. Knowledge of SN status significantly improved the predictive accuracy for RFS, MSS and OS when added to a comprehensive suite of established clinicopathological prognostic factors. However, clinicians and patients must consider the magnitude of the improvement when weighing up the advantages and disadvantages of SN biopsy for melanoma.</t>
  </si>
  <si>
    <t>Can an mhealth clinical decision-making support system improve adherence to neonatal healthcare protocols in a low-resource setting?</t>
  </si>
  <si>
    <t>Amoakoh, Hannah Brown; Klipstein-Grobusch, Kerstin; Agyepong, Irene Akua; Amoakoh-Coleman, Mary; Kayode, Gbenga A; Reitsma, J B; Grobbee, Diederick E; Ansah, Evelyn K</t>
  </si>
  <si>
    <t>https://pubmed.ncbi.nlm.nih.gov/33243172</t>
  </si>
  <si>
    <t>This study assessed health workers' adherence to neonatal health protocols before and during the implementation of a mobile health (mHealth) clinical decision-making support system (mCDMSS) that sought to bridge access to neonatal health protocol gap in a low-resource setting. We performed a cross-sectional document review within two purposively selected clusters (one poorly-resourced and one well-resourced), from each arm of a cluster-randomized trial at two different time points: before and during the trial. The total trial consisted of 16 clusters randomized into 8 intervention and 8 control clusters to assess the impact of an mCDMSS on neonatal mortality in Ghana. We evaluated health workers' adherence (expressed as percentages) to birth asphyxia, neonatal jaundice and cord sepsis protocols by reviewing medical records of neonatal in-patients using a checklist. Differences in adherence to neonatal health protocols within and between the study arms were assessed using Wilcoxon rank-sum and permutation tests for each morbidity type. In addition, we tracked concurrent neonatal health improvement activities in the clusters during the 18-month intervention period. In the intervention arm, mean adherence was 35.2% (SD = 5.8%) and 43.6% (SD = 27.5%) for asphyxia; 25.0% (SD = 14.8%) and 39.3% (SD = 27.7%) for jaundice; 52.0% (SD = 11.0%) and 75.0% (SD = 21.2%) for cord sepsis protocols in the pre-intervention and intervention periods respectively. In the control arm, mean adherence was 52.9% (SD = 16.4%) and 74.5% (SD = 14.7%) for asphyxia; 45.1% (SD = 12.8%) and 64.6% (SD = 8.2%) for jaundice; 53.8% (SD = 16.0%) and 60.8% (SD = 11.7%) for cord sepsis protocols in the pre-intervention and intervention periods respectively. We observed nonsignificant improvement in protocol adherence in the intervention clusters but significant improvement in protocol adherence in the control clusters. There were 2 concurrent neonatal health improvement activities in the intervention clusters and over 12 in the control clusters during the intervention period. Whether mHealth interventions can improve adherence to neonatal health protocols in low-resource settings cannot be ascertained by this study. Neonatal health improvement activities are however likely to improve protocol adherence. Future mHealth evaluations of protocol adherence must account for other concurrent interventions in study contexts.</t>
  </si>
  <si>
    <t>Search for Higgs Boson Decays into a Z Boson and a Light Hadronically Decaying Resonance Using 13 TeV pp Collision Data from the ATLAS Detector.</t>
  </si>
  <si>
    <t>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Anastopoulos, C</t>
  </si>
  <si>
    <t>https://pubmed.ncbi.nlm.nih.gov/33315463</t>
  </si>
  <si>
    <t>A search for Higgs boson decays into a Z boson and a light resonance in two-lepton plus jet events is performed, using a pp collision dataset with an integrated luminosity of 139  fb^{-1} collected at sqrt[s]=13  TeV by the ATLAS experiment at the CERN LHC. The resonance considered is a light boson with a mass below 4 GeV from a possible extended scalar sector or a charmonium state. Multivariate discriminants are used for the event selection and for evaluating the mass of the light resonance. No excess of events above the expected background is found. Observed (expected) 95% confidence-level upper limits are set on the Higgs boson production cross section times branching fraction to a Z boson and the signal resonance, with values in the range 17-340 pb (16_{-5}^{+6}-320_{-90}^{+130}  pb) for the different light spin-0 boson mass and branching fraction hypotheses, and with values of 110 and 100 pb (100_{-30}^{+40} and 100_{-30}^{+40}  pb) for the η_{c} and J/ψ hypotheses, respectively.</t>
  </si>
  <si>
    <t>A Workflow for Missing Values Imputation of Untargeted Metabolomics Data.</t>
  </si>
  <si>
    <t>Faquih, Tariq; van Smeden, Maarten; Luo, Jiao; le Cessie, Saskia; Kastenmüller, Gabi; Krumsiek, Jan; Noordam, Raymond; van Heemst, Diana; Rosendaal, Frits R; van Hylckama Vlieg, Astrid; Willems van Dijk, Ko; Mook-Kanamori, Dennis O</t>
  </si>
  <si>
    <t>https://pubmed.ncbi.nlm.nih.gov/33256233</t>
  </si>
  <si>
    <t>Metabolomics studies have seen a steady growth due to the development and implementation of affordable and high-quality metabolomics platforms. In large metabolite panels, measurement values are frequently missing and, if neglected or sub-optimally imputed, can cause biased study results. We provided a publicly available, user-friendly &lt;i&gt;R&lt;/i&gt; script to streamline the imputation of missing endogenous, unannotated, and xenobiotic metabolites. We evaluated the multivariate imputation by chained equations (MICE) and k-nearest neighbors (kNN) analyses implemented in our script by simulations using measured metabolites data from the Netherlands Epidemiology of Obesity (NEO) study (&lt;i&gt;n&lt;/i&gt; = 599). We simulated missing values in four unique metabolites from different pathways with different correlation structures in three sample sizes (599, 150, 50) with three missing percentages (15%, 30%, 60%), and using two missing mechanisms (completely at random and not at random). Based on the simulations, we found that for MICE, larger sample size was the primary factor decreasing bias and error. For kNN, the primary factor reducing bias and error was the metabolite correlation with its predictor metabolites. MICE provided consistently higher performance measures particularly for larger datasets (&lt;i&gt;n&lt;/i&gt; &gt; 50). In conclusion, we presented an imputation workflow in a publicly available &lt;i&gt;R&lt;/i&gt; script to impute untargeted metabolomics data. Our simulations provided insight into the effects of sample size, percentage missing, and correlation structure on the accuracy of the two imputation methods.</t>
  </si>
  <si>
    <t>Strategies to reduce the use of low-value medical tests in primary care: a systematic review.</t>
  </si>
  <si>
    <t>Takada, Toshihiko; Heus, Pauline; van Doorn, Sander; Naaktgeboren, Christiana A; Weenink, Jan-Willem; van Dulmen, Simone A; Hooft, Lotty</t>
  </si>
  <si>
    <t>https://pubmed.ncbi.nlm.nih.gov/33199293</t>
  </si>
  <si>
    <t>It is recognised that medical tests are overused in primary care; however, it is unclear how best to reduce their use. To identify which strategies are effective in reducing the use of low-value medical tests in primary care settings. Systematic review. The databases MEDLINE, EMBASE, and Rx for Change were searched (January 1990 to November 2019) for randomised controlled trials (RCTs) that evaluated strategies to reduce the use of low-value medical tests in primary care settings. Two reviewers selected eligible RCTs, extracted data, and assessed their risk of bias. Of the 16 RCTs included in the review, 11 reported a statistically significant reduction in the use of low-value medical tests. The median of the differences between the relative reductions in the intervention and control arms was 17% (interquartile range 12% to 24%). Strategies using reminders or audit/feedback showed larger reduction than those without these components (22% versus 14%, and 22% versus 13%, respectively) and patient-targeted strategies showed larger reductions than those not targeted at patients (51% versus 17%). Very few studies investigated the sustainability of the effect, adverse events, cost-effectiveness, or patient-reported outcomes related to reducing the use of low-value tests. This review indicates that it is possible to reduce the use of low-value medical tests in primary care, especially by using multiple components including reminders, audit/feedback, and patient-targeted interventions. To implement these strategies widely in primary care settings, more research is needed not only to investigate their effectiveness, but also to examine adverse events, cost-effectiveness, and patient-reported outcomes.</t>
  </si>
  <si>
    <t>Prevalence of ECG abnormalities in people with type 2 diabetes: The Hoorn Diabetes Care System cohort.</t>
  </si>
  <si>
    <t>Harms, Peter P; van der Heijden, Amber A; Rutters, Femke; Tan, Hanno L; Beulens, Joline W J; Nijpels, Giel; Elders, Petra; ,</t>
  </si>
  <si>
    <t>https://pubmed.ncbi.nlm.nih.gov/33280986</t>
  </si>
  <si>
    <t>The American Diabetes Association, and the joint European Society of Cardiology and European Association for the Study of Diabetes guidelines recommend a resting ECG in people with type 2 diabetes with hypertension or suspected cardiovascular disease (CVD). However, knowledge on the prevalence of ECG abnormalities is incomplete. We aimed to analyse the prevalence of ECG abnormalities and their cross-sectional associations with cardiovascular risk factors in people with type 2 diabetes. We used data of the Diabetes Care System cohort obtained in 2018. ECG abnormalities were defined using the Minnesota Classification and categorised into types of abnormalities. The prevalence was calculated for the total population (n = 8068) and the subgroup of people without a history of CVD (n = 6494). Logistic regression models were used to asses cross-sectional associations. Approximately one-third of the total population had minor (16.0%) or major (13.1%) ECG abnormalities. Of the participants without a CVD history, approximately one-quarter had minor (14.9%) or major (9.1%) ECG abnormalities, and for those with hypertension or very high CVD risk, the prevalence was 27.5% and 39.6%, respectively. ECG abnormalities were significantly and consistently associated with established CVD risk factors. Resting ECG abnormalities are common in all people with type 2 diabetes (29.1%), including those without a history of CVD (24.0%), and their prevalence is related to traditional cardiovascular risk factors such as older age, male sex, hypertension, lower HDL cholesterol, higher BMI, and smoking behaviour.</t>
  </si>
  <si>
    <t>Text-mining in electronic healthcare records can be used as efficient tool for screening and data collection in cardiovascular trials: a multicenter validation study.</t>
  </si>
  <si>
    <t>van Dijk, Wouter B; Fiolet, Aernoud T L; Schuit, Ewoud; Sammani, Arjan; Groenhof, T Katrien J; van der Graaf, Rieke; de Vries, Martine C; Alings, Marco; Schaap, Jeroen; Asselbergs, Folkert W; Grobbee, Diederick E; Groenwold, Rolf H H; Mosterd, Arend</t>
  </si>
  <si>
    <t>https://pubmed.ncbi.nlm.nih.gov/33248277</t>
  </si>
  <si>
    <t>This study aimed to validate trial patient eligibility screening and baseline data collection using text-mining in electronic healthcare records (EHRs), comparing the results to those of an international trial. In three medical centers with different EHR vendors, EHR-based text-mining was used to automatically screen patients for trial eligibility and extract baseline data on nineteen characteristics. First, the yield of screening with automated EHR text-mining search was compared with manual screening by research personnel. Second, the accuracy of extracted baseline data by EHR text mining was compared to manual data entry by research personnel. Of the 92,466 patients visiting the out-patient cardiology departments, 568 (0.6%) were enrolled in the trial during its recruitment period using manual screening methods. Automated EHR data screening of all patients showed that the number of patients needed to screen could be reduced by 73,863 (79.9%). The remaining 18,603 (20.1%) contained 458 of the actual participants (82.4% of participants). In trial participants, automated EHR text-mining missed a median of 2.8% (Interquartile range [IQR] across all variables 0.4-8.5%) of all data points compared to manually collected data. The overall accuracy of automatically extracted data was 88.0% (IQR 84.7-92.8%). Automatically extracting data from EHRs using text-mining can be used to identify trial participants and to collect baseline information.</t>
  </si>
  <si>
    <t>Ideal Cardiovascular Health Index and Its Determinants in a Rural South African Population.</t>
  </si>
  <si>
    <t>Ketelaar, E J; Vos, A G; Godijk, N G; Scheuermaier, K; Devillé, W; Tempelman, H; Coutinho, R A; Venter, W D F; Grobbee, D E; Klipstein-Grobusch, K</t>
  </si>
  <si>
    <t>https://pubmed.ncbi.nlm.nih.gov/33299772</t>
  </si>
  <si>
    <t>The ideal cardiovascular health index (CVHI) is a measure to summarize cardiovascular (CV) health, and includes smoking, body-mass index, physical activity, blood pressure, glucose, total cholesterol, and diet. This study aimed to assess CV health using the CVHI and determinants on CV health in a rural African population, and correlate carotid intima-media thickness (CIMT), a surrogate marker for atherosclerosis, with CVHI. A cross-sectional analysis was performed on baseline data of the Ndlovu Cohort Study, located in rural South Africa. CVHI score (CVHIs) was calculated by the sum of favourable CVHI factors (range 0 to 7). Logistic regression was performed to examine the association of age, sex, HIV-status, education level, employment status, and income with good CV health (5-7 favourable health factors). Mean CIMT was displayed by poor, intermediate and good CV health. The study included 1927 participants with a mean age of 38.7 years (SD ± 12.8). Of the factors contributing to the CVHI, glucose and total cholesterol scored best; diet least good. Average CVHIs for the population was 4.4 (SD ± 1.2) and 53% of the population had a good CV health. Determinants associated with good CV health were younger age, higher educational attainment, and HIV positivity. CVHIs showed good agreement with CIMT. CVHIs showed that more than half of the participants had a good CV health. Agreement between CVHIs and CIMT indicates potential use of CVHIs as a surrogate marker for CV risk. The study highlights the importance of education for health promotion; good CV health in HIV-positive participants may in part be attributed to more frequent health care contact and provision of chronic disease care. Good cardiovascular health (CVH) was observed in 53% of the study population.In global comparison, rural African study participants showed a good CVH score.HIV positivity was associated with a good CVH score.CVH score showed good agreement with carotid intima-media thickness.</t>
  </si>
  <si>
    <t>How to ensure we can track and trace global use of COVID-19 vaccines?</t>
  </si>
  <si>
    <t>Vander Stichele, Robert H; Hay, Christian; Fladvad, Malin; Sturkenboom, Miriam C J M; Chen, Robert T</t>
  </si>
  <si>
    <t>https://pubmed.ncbi.nlm.nih.gov/33293161</t>
  </si>
  <si>
    <t>Pneumococcal conjugate vaccines for preventing acute otitis media in children.</t>
  </si>
  <si>
    <t>de Sévaux, Joline Lh; Venekamp, Roderick P; Lutje, Vittoria; Hak, Eelko; Schilder, Anne Gm; Sanders, Elisabeth Am; Damoiseaux, Roger Amj</t>
  </si>
  <si>
    <t>https://pubmed.ncbi.nlm.nih.gov/33231293</t>
  </si>
  <si>
    <t>Prior to introducing pneumococcal conjugate vaccines (PCVs), Streptococcus pneumoniae was most commonly isolated from the middle ear fluid of children with acute otitis media (AOM). Reducing nasopharyngeal colonisation of this bacterium by PCVs may lead to a decline in AOM. The effects of PCVs deserve ongoing monitoring since studies from the post-PCV era report a shift in causative otopathogens towards non-vaccine serotypes and other bacteria. This updated Cochrane Review was first published in 2002 and updated in 2004, 2009, 2014, and 2019. To assess the effect of PCVs in preventing AOM in children up to 12 years of age. We searched CENTRAL, MEDLINE, Embase, CINAHL, LILACS, Web of Science, and two trials registers, ClinicalTrials.gov and WHO ICTRP, to 11 June 2020. Randomised controlled trials of PCV versus placebo or control vaccine. We used the standard methodological procedures expected by Cochrane. The primary outcomes were frequency of all-cause AOM and adverse effects. Secondary outcomes included frequency of pneumococcal AOM and frequency of recurrent AOM (defined as three or more AOM episodes in six months or four or more in one year). We used GRADE to assess the certainty of the evidence. We included 15 publications of 11 trials (60,733 children, range 74 to 37,868 per trial) of 7- to 11-valent PCVs versus control vaccines (meningococcus type C vaccine in three trials, and hepatitis A or B vaccine in eight trials). We included one additional publication of a previously included trial for this 2020 update. We did not find any relevant trials with the newer 13-valent PCV. Most studies were funded by pharmaceutical companies. Overall, risk of bias was low. In seven trials (59,415 children), PCVs were administered in early infancy, whilst four trials (1318 children) included children aged one year and over who were either healthy or had a history of respiratory illness. There was considerable clinical heterogeneity across studies, therefore we reported results from individual studies. PCV administered in early infancy PCV7 The licenced 7-valent PCV with CRM197 as carrier protein (CRM197-PCV7) was associated with a 6% (95% confidence interval (CI) -4% to 16%; 1 trial; 1662 children) and 6% (95% CI 4% to 9%; 1 trial; 37,868 children) relative risk reduction (RRR) in low-risk infants (moderate-certainty evidence), but was not associated with a reduction in all-cause AOM in high-risk infants (RRR -5%, 95% CI -25% to 12%). PCV7 with the outer membrane protein complex of Neisseria meningitidis serogroup B as carrier protein (OMPC-PCV7) was not associated with a reduction in all-cause AOM (RRR -1%, 95% CI -12% to 10%; 1 trial; 1666 children; low-certainty evidence). CRM197-PCV7 and OMPC-PCV7 were associated with 20% (95% CI 7% to 31%) and 25% (95% CI 11% to 37%) RRR in pneumococcal AOM, respectively (2 trials; 3328 children; high-certainty evidence), and CRM197-PCV7 with 9% (95% CI -12% to 27%) and 10% (95% CI 7% to 13%) RRR in recurrent AOM (2 trials; 39,530 children; moderate-certainty evidence). PHiD-CV10/11 The effect of a licenced 10-valent PCV conjugated to protein D, a surface lipoprotein of Haemophilus influenzae, (PHiD-CV10) on all-cause AOM in healthy infants varied from 6% (95% CI -6% to 17%; 1 trial; 5095 children) to 15% (95% CI -1% to 28%; 1 trial; 7359 children) RRR (low-certainty evidence). PHiD-CV11 was associated with 34% (95% CI 21% to 44%) RRR in all-cause AOM (1 trial; 4968 children; moderate-certainty evidence). PHiD-CV10 and PHiD-CV11 were associated with 53% (95% CI 16% to 74%) and 52% (95% CI 37% to 63%) RRR in pneumococcal AOM (2 trials; 12,327 children; high-certainty evidence), and PHiD-CV11 with 56% (95% CI -2% to 80%) RRR in recurrent AOM (1 trial; 4968 children; low-certainty evidence). PCV administered at a later age PCV7 We found no evidence of a beneficial effect on all-cause AOM of administering CRM197-PCV7 in children aged 1 to 7 years with a history of respiratory illness or frequent AOM (2 trials; 457 children; moderate-certainty evidence) and CRM197-PCV7 combined with a trivalent influenza vaccine in children aged 18 to 72 months with a history of respiratory tract infections (1 trial; 597 children; moderate-certainty evidence). CRM197-PCV9 In 1 trial including 264 healthy daycare attendees aged 1 to 3 years, CRM197-PCV9 was associated with 17% (95% CI -2% to 33%) RRR in parent-reported all-cause otitis media (very low-certainty evidence). Adverse events Nine trials reported on adverse effects (77,389 children; high-certainty evidence). Mild local reactions and fever were common in both groups, and occurred more frequently in PCV than in control vaccine groups: redness (&lt; 2.5 cm): 5% to 20% versus 0% to 16%; swelling (&lt; 2.5 cm): 5% to 12% versus 0% to 8%; and fever (&lt; 39 °C): 15% to 44% versus 8% to 25%. More severe redness (&gt; 2.5 cm), swelling (&gt; 2.5 cm), and fever (&gt; 39 °C) occurred less frequently (0% to 0.9%, 0.1% to 1.3%, and 0.4% to 2.5%, respectively) in children receiving PCV, and did not differ significantly between PCV and control vaccine groups. Pain or tenderness, or both, was reported more frequently in PCV than in control vaccine groups: 3% to 38% versus 0% to 8%. Serious adverse events judged to be causally related to vaccination were rare and did not differ significantly between groups, and no fatal serious adverse event judged causally related to vaccination was reported. Administration of the licenced CRM197-PCV7 and PHiD-CV10 during early infancy is associated with large relative risk reductions in pneumococcal AOM. However, the effects of these vaccines on all-cause AOM is far more uncertain based on low- to moderate-certainty evidence. We found no evidence of a beneficial effect on all-cause AOM of administering PCVs in high-risk infants, after early infancy, and in older children with a history of respiratory illness. Compared to control vaccines, PCVs were associated with an increase in mild local reactions (redness, swelling), fever, and pain and/or tenderness. There was no evidence of a difference in more severe local reactions, fever, or serious adverse events judged to be causally related to vaccination.</t>
  </si>
  <si>
    <t>Ultra-processed food consumption patterns among older adults in the Netherlands and the role of the food environment.</t>
  </si>
  <si>
    <t>Pinho, Maria Gabriela M; Lakerveld, Jeroen; Harbers, Marjolein C; Sluijs, Ivonne; Vermeulen, Roel; Huss, Anke; Boer, Jolanda M A; Verschuren, W M Monique; Brug, Johannes; Beulens, Joline W J; Mackenbach, Joreintje D</t>
  </si>
  <si>
    <t>https://pubmed.ncbi.nlm.nih.gov/33236180</t>
  </si>
  <si>
    <t>To describe the patterns of ultra-processed foods (UPFs) consumption in the Netherlands; to test if exposure to the food environment is associated with UPFs consumption; and if this association differed across educational levels and neighbourhood urbanisation. Cross-sectional study using 2015-data of 8104 older adults from the Dutch EPIC cohort. Proportion of UPFs consumption was calculated from a validated food-frequency questionnaire. Exposure to the food environment was defined as proximity and availability of supermarkets, fast-food restaurants, full-service restaurants, convenience stores, candy stores and cafés. Consumption of UPFs was expressed as both percentage of total grams and total kilocalories. The study population was aged 70(± 10 SD) years and 80.5% was female. Average UPFs consumption was 17.8% of total food intake in grams and 37% of total energy intake. Those who consumed greater amounts of UPFs had a poorer overall diet quality. Adjusted linear regression models showed that closer proximity and larger availability to any type of food retailer was associated with lower UPFs consumption (both in grams and kilocalories). Somewhat stronger significant associations were found for proximity to restaurants (β = - 1.6%, 95% confidence interval (CI) = - 2.6; - 0.6), and supermarkets (β = - 2.2%, 95%CI = - 3.3; - 1.1); i.e., Individuals living within 500 m from the closest supermarket, as compared to 1500 m, had 2.6% less calories from UPFs. No differences were found on analyses stratified for urbanisation and education. Using various measures of exposure to the food environment, we found that exposure to restaurants and supermarkets was associated with somewhat lower consumption of UPFs.</t>
  </si>
  <si>
    <t>Discovery of rare variants associated with blood pressure regulation through meta-analysis of 1.3 million individuals.</t>
  </si>
  <si>
    <t>https://pubmed.ncbi.nlm.nih.gov/33230300</t>
  </si>
  <si>
    <t>Genetic studies of blood pressure (BP) to date have mainly analyzed common variants (minor allele frequency &gt; 0.05). In a meta-analysis of up to ~1.3 million participants, we discovered 106 new BP-associated genomic regions and 87 rare (minor allele frequency ≤ 0.01) variant BP associations (P &lt; 5 × 10&lt;sup&gt;-8&lt;/sup&gt;), of which 32 were in new BP-associated loci and 55 were independent BP-associated single-nucleotide variants within known BP-associated regions. Average effects of rare variants (44% coding) were ~8 times larger than common variant effects and indicate potential candidate causal genes at new and known loci (for example, GATA5 and PLCB3). BP-associated variants (including rare and common) were enriched in regions of active chromatin in fetal tissues, potentially linking fetal development with BP regulation in later life. Multivariable Mendelian randomization suggested possible inverse effects of elevated systolic and diastolic BP on large artery stroke. Our study demonstrates the utility of rare-variant analyses for identifying candidate genes and the results highlight potential therapeutic targets.</t>
  </si>
  <si>
    <t>The Predictive Value of Low Skeletal Muscle Mass Assessed on Cross-Sectional Imaging for Anti-Cancer Drug Toxicity: A Systematic Review and Meta-Analysis.</t>
  </si>
  <si>
    <t>Huiskamp, Laura F J; Chargi, Najiba; Devriese, Lot A; May, Anne M; Huitema, Alwin D R; de Bree, Remco</t>
  </si>
  <si>
    <t>https://pubmed.ncbi.nlm.nih.gov/33238530</t>
  </si>
  <si>
    <t>Low skeletal muscle mass (LSMM) is increasingly recognized for its predictive value for adverse events in cancer patients. In specific, the predictive value of LSMM has been demonstrated for anti-cancer drug toxicity in a variety of cancer types and anti-cancer drugs. However, due to the limited sample size and study populations focused on a single cancer type, an overall predictive value of LSMM for anti-cancer drug toxicity remains unknown. Therefore, this review aims to provide a comprehensive overview of the predictive value of LSMM and perform a meta-analysis to analyse the overall effect. A systematic search was conducted of MEDLINE, Scopus, EMBASE, and Cochrane. Inclusion criteria were skeletal muscle mass (SMM) evaluated with computed tomography (CT) or magnetic resonance imaging (MRI), articles published in English, SMM studied in humans, SMM measurement normalized for height, and patients did not receive an intervention to treat or prevent LSMM. A meta-analysis was performed using a random-effects model and expressed in odds ratio (OR) with 95% confidence interval (CI). Heterogeneity was assessed using χ&lt;sup&gt;2&lt;/sup&gt; and I&lt;sup&gt;2&lt;/sup&gt; statistics. The search yielded 907 studies. 31 studies were included in the systematic review. Sample sizes ranged from 21 to 414 patients. The occurrence of LSMM ranged from 12.2% to 89.0%. The most frequently studied cancer types were oesophageal, renal, colorectal, breast, and head and neck cancer. Patients with LSMM had a higher risk of severe toxicity (OR 4.08; 95% CI 2.48-6.70; &lt;i&gt;p&lt;/i&gt; &lt; 0.001) and dose-limiting toxicity (OR 2.24; 95% CI 1.28-3.92; &lt;i&gt;p&lt;/i&gt; &lt; 0.001) compared to patients without LSMM. To conclude, the predictive value of LSMM for anti-cancer drug toxicity can be observed across cancer types. This information increases the need for further research into interventions that could treat LSMM as well as the possibility to adapt treatment regimens based on the presence of LSMM.</t>
  </si>
  <si>
    <t>Sex differences in mental health among older adults: investigating time trends and possible risk groups with regard to age, educational level and ethnicity.</t>
  </si>
  <si>
    <t>Sialino, Lena D; van Oostrom, Sandra H; Wijnhoven, Hanneke A H; Picavet, Susan; Verschuren, W M Monique; Visser, Marjolein; Schaap, Laura A</t>
  </si>
  <si>
    <t>https://pubmed.ncbi.nlm.nih.gov/33222516</t>
  </si>
  <si>
    <t>Older women report lower mental health compared to men, yet little is known about the nature of this sex difference. Therefore, this study investigates time trends and possible risk groups. Data from the Doetinchem Cohort Study (DCS) and the Longitudinal Aging Study Amsterdam (LASA) were used. General mental health was assessed every 5 years, from 1995 to 1998 onwards (DCS, &lt;i&gt;n&lt;/i&gt;&lt;b&gt; &lt;/b&gt;=&lt;b&gt; &lt;/b&gt;1412, 20-year follow-up, baseline age 55-64 years). Depressive and anxiety symptoms were assessed for two birth cohorts, from 1992/1993 onwards (LASA cohort 1, &lt;i&gt;n&lt;/i&gt; = 967, 24-year follow-up, age 55-65 years,) and 2002/2003 onwards (LASA cohort 2, &lt;i&gt;n&lt;/i&gt; = 1002, 12-year follow-up, age 55-65 years) with follow-up measurements every 3-4 years. Mixed model analyses showed that older women had a worse general mental health (-6.95; -8.36 to 5.53; range 0-100, ∼10% lower), more depressive symptoms (2.09; 1.53-2.63; range 0-60, ∼30% more) and more anxiety symptoms (0.86; 0.54-1.18; range 0-11, ∼30% more) compared to men. These sex differences remained stable until the age of 75 years, where after they decreased due to an accelerated decline in mental health for men compared to women. Sex differences and their course by age were consistent over successive birth cohorts, educational levels and ethnic groups (Caucasian vs. Turkish/Moroccan). There is a consistent female disadvantage in mental health across different sociodemographic groups and over decennia (1992 vs. 2002) with no specific risk groups.</t>
  </si>
  <si>
    <t>Cardiac complications in patients hospitalised with COVID-19.</t>
  </si>
  <si>
    <t>Linschoten, Marijke; Peters, Sanne; van Smeden, Maarten; Jewbali, Lucia S; Schaap, Jeroen; Siebelink, Hans-Marc; Smits, Peter C; Tieleman, Robert G; van der Harst, Pim; van Gilst, Wiek H; Asselbergs, Folkert W; ,</t>
  </si>
  <si>
    <t>european heart journal acute cardiovascular care</t>
  </si>
  <si>
    <t>https://pubmed.ncbi.nlm.nih.gov/33222494</t>
  </si>
  <si>
    <t>To determine the frequency and pattern of cardiac complications in patients hospitalised with coronavirus disease (COVID-19). CAPACITY-COVID is an international patient registry established to determine the role of cardiovascular disease in the COVID-19 pandemic. In this registry, data generated during routine clinical practice are collected in a standardised manner for patients with a (highly suspected) severe acute respiratory syndrome coronavirus 2 (SARS-CoV-2) infection requiring hospitalisation. For the current analysis, consecutive patients with laboratory confirmed COVID-19 registered between 28 March and 3 July 2020 were included. Patients were followed for the occurrence of cardiac complications and pulmonary embolism from admission to discharge. In total, 3011 patients were included, of which 1890 (62.8%) were men. The median age was 67 years (interquartile range 56-76); 937 (31.0%) patients had a history of cardiac disease, with pre-existent coronary artery disease being most common (&lt;i&gt;n&lt;/i&gt;=463, 15.4%). During hospitalisation, 595 (19.8%) patients died, including 16 patients (2.7%) with cardiac causes. Cardiac complications were diagnosed in 349 (11.6%) patients, with atrial fibrillation (&lt;i&gt;n&lt;/i&gt;=142, 4.7%) being most common. The incidence of other cardiac complications was 1.8% for heart failure (&lt;i&gt;n&lt;/i&gt;=55), 0.5% for acute coronary syndrome (&lt;i&gt;n&lt;/i&gt;=15), 0.5% for ventricular arrhythmia (&lt;i&gt;n&lt;/i&gt;=14), 0.1% for bacterial endocarditis (&lt;i&gt;n&lt;/i&gt;=4) and myocarditis (&lt;i&gt;n&lt;/i&gt;=3), respectively, and 0.03% for pericarditis (&lt;i&gt;n&lt;/i&gt;=1). Pulmonary embolism was diagnosed in 198 (6.6%) patients. This large study among 3011 hospitalised patients with COVID-19 shows that the incidence of cardiac complications during hospital admission is low, despite a frequent history of cardiovascular disease. Long-term cardiac outcomes and the role of pre-existing cardiovascular disease in COVID-19 outcome warrants further investigation.</t>
  </si>
  <si>
    <t>No signs of subclinical atherosclerosis after risk-reducing salpingo-oophorectomy in BRCA1/2 mutation carriers.</t>
  </si>
  <si>
    <t>van Bommel, Majke H D; de Jong, Marieke Arts; Steenbeek, Miranda P; Bots, Michiel L; van Westerop, Liselore L M; Hopman, Maria T E; Hoogerbrugge, Nicoline; de Hullu, Joanne A; Maas, Angela H E M</t>
  </si>
  <si>
    <t>https://pubmed.ncbi.nlm.nih.gov/33229237</t>
  </si>
  <si>
    <t>BRCA1/2 mutation carriers are generally exposed to early menopause due to risk-reducing salpingo-oophorectomy (RRSO) around the age of 40 years. This risk-reducing intervention is based on a 10-40% life-time risk of ovarian cancer in this population. Although effective, premature and acute menopause induces non-cancer related morbidity in both the short and long term. Little is known about the impact of RRSO on the cardiovascular system. This cross-sectional study explored the relationship between time since RRSO and signs of subclinical atherosclerosis, as measured by carotid intima-media thickness (CIMT) and pulse wave velocity (PWV), in 165 BRCA1/2 mutation carriers. All participants, aged 40 to 63 years, underwent RRSO before the age of 45 years, and at least 5 years ago. Cardiovascular risk factors were assessed by questionnaires and a single screening visit. Data were analyzed using linear regression models. Mean CIMT was 692.7 μm (SD 87.0), and mean central PWV 6.40 m/s (SD 1.42). After adjustment for age and several relevant cardiovascular risk factors, time since RRSO was not associated with CIMT (β=0.68 μm; 95% CI -4.02, 5.38) and PWV (β=44 mm/s; 95% CI -32, 120). Compared to women of a reference group from the general population, lower systolic blood pressure [mean difference 12 mmHg; 95% confidence interval (CI) 10, 14] was found in BRCA1/2 mutation carriers. We found that, in BRCA1/2 mutation carriers, at 5 to 24 years follow-up, time since RRSO is not related to development of subclinical atherosclerosis. However, the follow-up period in these relatively young women might have been too short.</t>
  </si>
  <si>
    <t>Primary mismatch repair deficient IDH-mutant astrocytoma (PMMRDIA) is a distinct type with a poor prognosis.</t>
  </si>
  <si>
    <t>Suwala, Abigail K; Stichel, Damian; Schrimpf, Daniel; Kloor, Matthias; Wefers, Annika K; Reinhardt, Annekathrin; Maas, Sybren L N; Kratz, Christian P; Schweizer, Leonille; Hasselblatt, Martin; Snuderl, Matija; Abedalthagafi, Malak Sameer J; Abdullaev, Zied; Monoranu, Camelia M; Bergmann, Markus; Pekrun, Arnulf; Freyschlag, Christian; Aronica, Eleonora; Kramm, Christof M; Hinz, Felix; Sievers, Philipp; Korshunov, Andrey; Kool, Marcel; Pfister, Stefan M; Sturm, Dominik; Jones, David T W; Wick, Wolfgang; Unterberg, Andreas; Hartmann, Christian; Dodgshun, Andrew; Tabori, Uri; Wesseling, Pieter; Sahm, Felix; von Deimling, Andreas; Reuss, David E</t>
  </si>
  <si>
    <t>acta neuropathologica</t>
  </si>
  <si>
    <t>https://pubmed.ncbi.nlm.nih.gov/33216206</t>
  </si>
  <si>
    <t>Diffuse IDH-mutant astrocytoma mostly occurs in adults and carries a favorable prognosis compared to IDH-wildtype malignant gliomas. Acquired mismatch repair deficiency is known to occur in recurrent IDH-mutant gliomas as resistance mechanism towards alkylating chemotherapy. In this multi-institutional study, we report a novel epigenetic group of 32 IDH-mutant gliomas with proven or suspected hereditary mismatch repair deficiency. None of the tumors exhibited a combined 1p/19q deletion. These primary mismatch repair-deficient IDH-mutant astrocytomas (PMMRDIA) were histologically high-grade and were mainly found in children, adolescents and young adults (median age 14 years). Mismatch repair deficiency syndromes (Lynch or Constitutional Mismatch Repair Deficiency Syndrom (CMMRD)) were clinically diagnosed and/or germline mutations in DNA mismatch repair genes (MLH1, MSH6, MSH2) were found in all cases, except one case with a family and personal history of colon cancer and another case with MSH6-deficiency available only as recurrent tumor. Loss of at least one of the mismatch repair proteins was detected via immunohistochemistry in all, but one case analyzed. Tumors displayed a hypermutant genotype and microsatellite instability was present in more than half of the sequenced cases. Integrated somatic mutational and chromosomal copy number analyses showed frequent inactivation of TP53, RB1 and activation of RTK/PI3K/AKT pathways. In contrast to the majority of IDH-mutant gliomas, more than 60% of the samples in our cohort presented with an unmethylated MGMT promoter. While the rate of immuno-histochemical ATRX loss was reduced, variants of unknown significance were more frequently detected possibly indicating a higher frequency of ATRX inactivation by protein malfunction. Compared to reference cohorts of other IDH-mutant gliomas, primary mismatch repair-deficient IDH-mutant astrocytomas have by far the worst clinical outcome with a median survival of only 15 months irrespective of histological or molecular features. The findings reveal a so far unknown entity of IDH-mutant astrocytoma with high prognostic relevance. Diagnosis can be established by aligning with the characteristic DNA methylation profile, by DNA-sequencing-based proof of mismatch repair deficiency or immunohistochemically demonstrating loss-of-mismatch repair proteins.</t>
  </si>
  <si>
    <t>Routine laboratory testing to determine if a patient has COVID-19.</t>
  </si>
  <si>
    <t>Stegeman, Inge; Ochodo, Eleanor A; Guleid, Fatuma; Holtman, Gea A; Yang, Bada; Davenport, Clare; Deeks, Jonathan J; Dinnes, Jacqueline; Dittrich, Sabine; Emperador, Devy; Hooft, Lotty; Spijker, René; Takwoingi, Yemisi; Van den Bruel, Ann; Wang, Junfeng; Langendam, Miranda; Verbakel, Jan Y; Leeflang, Mariska Mg; ,</t>
  </si>
  <si>
    <t>https://pubmed.ncbi.nlm.nih.gov/33211319</t>
  </si>
  <si>
    <t>Specific diagnostic tests to detect severe acute respiratory syndrome coronavirus 2 (SARS-CoV-2) and resulting COVID-19 disease are not always available and take time to obtain results. Routine laboratory markers such as white blood cell count, measures of anticoagulation, C-reactive protein (CRP) and procalcitonin, are used to assess the clinical status of a patient. These laboratory tests may be useful for the triage of people with potential COVID-19 to prioritize them for different levels of treatment, especially in situations where time and resources are limited. To assess the diagnostic accuracy of routine laboratory testing as a triage test to determine if a person has COVID-19. On 4 May 2020 we undertook electronic searches in the Cochrane COVID-19 Study Register and the COVID-19 Living Evidence Database from the University of Bern, which is updated daily with published articles from PubMed and Embase and with preprints from medRxiv and bioRxiv. In addition, we checked repositories of COVID-19 publications. We did not apply any language restrictions. We included both case-control designs and consecutive series of patients that assessed the diagnostic accuracy of routine laboratory testing as a triage test to determine if a person has COVID-19. The reference standard could be reverse transcriptase polymerase chain reaction (RT-PCR) alone; RT-PCR plus clinical expertise or and imaging; repeated RT-PCR several days apart or from different samples; WHO and other case definitions; and any other reference standard used by the study authors. Two review authors independently extracted data from each included study. They also assessed the methodological quality of the studies, using QUADAS-2. We used the 'NLMIXED' procedure in SAS 9.4 for the hierarchical summary receiver operating characteristic (HSROC) meta-analyses of tests for which we included four or more studies. To facilitate interpretation of results, for each meta-analysis we estimated summary sensitivity at the points on the SROC curve that corresponded to the median and interquartile range boundaries of specificities in the included studies. We included 21 studies in this review, including 14,126 COVID-19 patients and 56,585 non-COVID-19 patients in total. Studies evaluated a total of 67 different laboratory tests. Although we were interested in the diagnotic accuracy of routine tests for COVID-19, the included studies used detection of SARS-CoV-2 infection through RT-PCR as reference standard. There was considerable heterogeneity between tests, threshold values and the settings in which they were applied. For some tests a positive result was defined as a decrease compared to normal vaues, for other tests a positive result was defined as an increase, and for some tests both increase and decrease may have indicated test positivity. None of the studies had either low risk of bias on all domains or low concerns for applicability for all domains. Only three of the tests evaluated had a summary sensitivity and specificity over 50%. These were: increase in interleukin-6, increase in C-reactive protein and lymphocyte count decrease. Blood count Eleven studies evaluated a decrease in white blood cell count, with a median specificity of 93% and a summary sensitivity of 25% (95% CI 8.0% to 27%; very low-certainty evidence). The 15 studies that evaluated an increase in white blood cell count had a lower median specificity and a lower corresponding sensitivity. Four studies evaluated a decrease in neutrophil count. Their median specificity was 93%, corresponding to a summary sensitivity of 10% (95% CI 1.0% to 56%; low-certainty evidence). The 11 studies that evaluated an increase in neutrophil count had a lower median specificity and a lower corresponding sensitivity. The summary sensitivity of an increase in neutrophil percentage (4 studies) was 59% (95% CI 1.0% to 100%) at median specificity (38%; very low-certainty evidence). The summary sensitivity of an increase in monocyte count (4 studies) was 13% (95% CI 6.0% to 26%) at median specificity (73%; very low-certainty evidence). The summary sensitivity of a decrease in lymphocyte count (13 studies) was 64% (95% CI 28% to 89%) at median specificity (53%; low-certainty evidence). Four studies that evaluated a decrease in lymphocyte percentage showed a lower median specificity and lower corresponding sensitivity. The summary sensitivity of a decrease in platelets (4 studies) was 19% (95% CI 10% to 32%) at median specificity (88%; low-certainty evidence). Liver function tests The summary sensitivity of an increase in alanine aminotransferase (9 studies) was 12% (95% CI 3% to 34%) at median specificity (92%; low-certainty evidence). The summary sensitivity of an increase in aspartate aminotransferase (7 studies) was 29% (95% CI 17% to 45%) at median specificity (81%) (low-certainty evidence). The summary sensitivity of a decrease in albumin (4 studies) was 21% (95% CI 3% to 67%) at median specificity (66%; low-certainty evidence). The summary sensitivity of an increase in total bilirubin (4 studies) was 12% (95% CI 3.0% to 34%) at median specificity (92%; very low-certainty evidence). Markers of inflammation The summary sensitivity of an increase in CRP (14 studies) was 66% (95% CI 55% to 75%) at median specificity (44%; very low-certainty evidence). The summary sensitivity of an increase in procalcitonin (6 studies) was 3% (95% CI 1% to 19%) at median specificity (86%; very low-certainty evidence). The summary sensitivity of an increase in IL-6 (four studies) was 73% (95% CI 36% to 93%) at median specificity (58%) (very low-certainty evidence). Other biomarkers The summary sensitivity of an increase in creatine kinase (5 studies) was 11% (95% CI 6% to 19%) at median specificity (94%) (low-certainty evidence). The summary sensitivity of an increase in serum creatinine (four studies) was 7% (95% CI 1% to 37%) at median specificity (91%; low-certainty evidence). The summary sensitivity of an increase in lactate dehydrogenase (4 studies) was 25% (95% CI 15% to 38%) at median specificity (72%; very low-certainty evidence). Although these tests give an indication about the general health status of patients and some tests may be specific indicators for inflammatory processes, none of the tests we investigated are useful for accurately ruling in or ruling out COVID-19 on their own. Studies were done in specific hospitalized populations, and future studies should consider non-hospital settings to evaluate how these tests would perform in people with milder symptoms.</t>
  </si>
  <si>
    <t>Tumour-stroma ratio has poor prognostic value in non-pedunculated T1 colorectal cancer: A multi-centre case-cohort study.</t>
  </si>
  <si>
    <t>Dang, Hao; van Pelt, Gabi W; Haasnoot, Krijn Jc; Backes, Yara; Elias, Sjoerd G; Seerden, Tom Cj; Schwartz, Matthijs P; Spanier, Bernhard Wm; de Vos Tot Nederveen Cappel, Wouter H; van Bergeijk, Jeroen D; Kessels, Koen; Geesing, Joost Mj; Groen, John N; Ter Borg, Frank; Wolfhagen, Frank Hj; Seldenrijk, Cornelis A; Raicu, Mihaela G; Milne, Anya N; van Lent, Anja Ug; Brosens, Lodewijk Aa; Offerhaus, G Johan A; Siersema, Peter D; Tollenaar, Rob Aem; Hardwick, James Ch; Hawinkels, Lukas Jac; Moons, Leon Mg; Lacle, Miangela M; Mesker, Wilma E; Boonstra, Jurjen J; ,</t>
  </si>
  <si>
    <t>https://pubmed.ncbi.nlm.nih.gov/33210982</t>
  </si>
  <si>
    <t>Current risk stratification models for early invasive (T1) colorectal cancer are not able to discriminate accurately between prognostic favourable and unfavourable tumours, resulting in over-treatment of a large (&gt;80%) proportion of T1 colorectal cancer patients. The tumour-stroma ratio (TSR), which is a measure for the relative amount of desmoplastic tumour stroma, is reported to be a strong independent prognostic factor in advanced-stage colorectal cancer, with a high stromal content being associated with worse prognosis and survival. We aimed to investigate whether the TSR predicts clinical outcome in patients with non-pedunculated T1 colorectal cancer. Hematoxylin and eosin (H&amp;E)-stained tumour tissue slides from a retrospective multi-centre case cohort of patients with non-pedunculated surgically treated T1 colorectal cancer were assessed for TSR by two independent observers who were blinded for clinical outcomes. The primary end point was adverse outcome, which was defined as the presence of lymph node metastasis in the resection specimen or colorectal cancer recurrence during follow-up. All 261 patients in the case cohort had H&amp;E slides available for TSR scoring. Of these, 183 were scored as stroma-low, and 78 were scored as stroma-high. There was moderate inter-observer agreement (κ = 0.42). In total, 41 patients had lymph node metastasis, 17 patients had recurrent cancer and five had both. Stroma-high tumours were not associated with an increased risk for an adverse outcome (adjusted hazard ratio = 0.66, 95% confidence interval 0.37-1.18; &lt;i&gt;p&lt;/i&gt; = 0.163). Our study emphasises that existing prognosticators may not be simply extrapolated to T1 colorectal cancers, even though their prognostic value has been widely validated in more advanced-stage tumours.</t>
  </si>
  <si>
    <t>Early-Stage Feasibility of a Mobile Health Intervention (Copilot) to Enhance Exacerbation-Related Self-Management in Patients With Chronic Obstructive Pulmonary Disease: Multimethods Approach.</t>
  </si>
  <si>
    <t>Korpershoek, Yvonne Jg; Holtrop, Tjitske; Vervoort, Sigrid Cjm; Schoonhoven, Lisette; Schuurmans, Marieke J; Trappenburg, Jaap Ca</t>
  </si>
  <si>
    <t>https://pubmed.ncbi.nlm.nih.gov/33211013</t>
  </si>
  <si>
    <t>There is an emergence of mobile health (mHealth) interventions to support self-management in patients with chronic obstructive pulmonary disease (COPD). Recently, an evidence-driven mHealth intervention has been developed to support patients with COPD in exacerbation-related self-management: the Copilot app. Health care providers (HCPs) are important stakeholders as they are the ones who have to provide the app to patients, personalize the app, and review the app. It is, therefore, important to investigate at an early stage whether the app is feasible in the daily practice of the HCPs. The aim of this study is to evaluate the perceived feasibility of the Copilot app in the daily practice of HCPs. A multimethods design was used to investigate how HCPs experience working with the app and how they perceive the feasibility of the app in their daily practice. The feasibility areas described by Bowen et al were used for guidance. HCPs were observed while performing tasks in the app and asked to think aloud. The System Usability Scale was used to investigate the usability of the app, and semistructured interviews were conducted to explore the feasibility of the app. The study was conducted in primary, secondary, and tertiary care settings in the Netherlands from February 2019 to September 2019. In total, 14 HCPs participated in this study-8 nurses, 5 physicians, and 1 physician assistant. The HCPs found the app acceptable to use. The expected key benefits of the app were an increased insight into patient symptoms, more structured patient conversations, and more tailored self-management support. The app especially fits within the available time and workflow of nurses. The use of the app will be influenced by the autonomy of the professional, the focus of the organization on eHealth, costs associated with the app, and compatibility with the current systems used. Most HCPs expressed that there are conditions that must be met to be able to use the app. The app can be integrated into the existing care paths of primary, secondary, and tertiary health care settings. Individual organizational factors must be taken into account when integrating the app into daily practice. This early-stage feasibility study shows that the Copilot app is feasible to use in the daily practice of HCPs and can be integrated into primary, secondary, and tertiary health care settings in the Netherlands. The app was considered to best fit the role of the nurses. The app will be less feasible for those organizations in which many conditions need to be met to use the app. This study provides a new approach to evaluate the perceived feasibility of mHealth interventions at an early stage and provides valuable insights for further feasibility testing.</t>
  </si>
  <si>
    <t>Acute otitis media in children.</t>
  </si>
  <si>
    <t>Venekamp, Roderick P; Schilder, Anne G M; van den Heuvel, Maaike; Hay, Alastair D</t>
  </si>
  <si>
    <t>https://pubmed.ncbi.nlm.nih.gov/33208317</t>
  </si>
  <si>
    <t>Educational intervention to increase nurses' knowledge, self-efficacy and usage of telehealth: A multi-setting pretest-posttest study.</t>
  </si>
  <si>
    <t>van Houwelingen, Thijs; Ettema, Roelof G A; Bleijenberg, Nienke; van Os-Medendorp, Harmieke; Kort, Helianthe S M; Ten Cate, Olle</t>
  </si>
  <si>
    <t>https://pubmed.ncbi.nlm.nih.gov/33583723</t>
  </si>
  <si>
    <t>The widespread use of telehealth, providing healthcare remotely, is hampered by various barriers. Dutch nurses currently working in practice never received education in this new way of healthcare delivery. Education is frequently suggested as a strategy to overcome barriers in telehealth use. However, the nature and effectiveness of such education has not yet been specified and tested in practice. In a previous study, we identified 14 nursing telehealth activities and accompanying competencies. In the current study, we established the effectiveness of training in these competencies on nurses' subjective knowledge, self-efficacy and usage of telehealth. A two-day tailored training program in nursing telehealth activities was evaluated in a Dutch context among 37 participants across three settings: (a) twelve primary care (PC), (b) fourteen homecare (HC) and (c) eleven hospital (H) nurses. In each team, telehealth knowledge significantly increased during the training sessions. In each team, nurses' telehealth self-efficacy also significantly increased 6-10 weeks after the training. After the training, the number of remote consultations increased from 2 to 12 in primary care, 12 to 35 in homecare and decreased from 28 to 17 in the hospital setting. We conclude that training nurses in telehealth activities contributes to their knowledge and self-efficacy.</t>
  </si>
  <si>
    <t>Value of social network analysis for developing and evaluating complex healthcare interventions: a scoping review.</t>
  </si>
  <si>
    <t>Smit, Linda C; Dikken, Jeroen; Schuurmans, Marieke J; de Wit, Niek J; Bleijenberg, Nienke</t>
  </si>
  <si>
    <t>https://pubmed.ncbi.nlm.nih.gov/33203632</t>
  </si>
  <si>
    <t>Most complex healthcare interventions target a network of healthcare professionals. Social network analysis (SNA) is a powerful technique to study how social relationships within a network are established and evolve. We identified in which phases of complex healthcare intervention research SNA is used and the value of SNA for developing and evaluating complex healthcare interventions. A scoping review was conducted using the Arksey and O'Malley methodological framework. We included complex healthcare intervention studies using SNA to identify the study characteristics, level of complexity of the healthcare interventions, reported strengths and limitations, and reported implications of SNA. The Preferred Reporting Items for Systematic Reviews and Meta-Analyses Extension for Scoping Reviews 2018 was used to guide the reporting. Among 2466 identified studies, 40 studies were selected for analysis. At first, the results showed that SNA seems underused in evaluating complex intervention research. Second, SNA was not used in the development phase of the included studies. Third, the reported implications in the evaluation and implementation phase reflect the value of SNA in addressing the implementation and population complexity. Fourth, pathway complexity and contextual complexity of the included interventions were unclear or unable to access. Fifth, the use of a mixed methods approach was reported as a strength, as the combination and integration of a quantitative and qualitative method clearly establishes the results. SNA is a widely applicable method that can be used in different phases of complex intervention research. SNA can be of value to disentangle and address the level of complexity of complex healthcare interventions. Furthermore, the routine use of SNA within a mixed method approach could yield actionable insights that would be useful in the transactional context of complex interventions.</t>
  </si>
  <si>
    <t>Plasma Vitamin C and Type 2 Diabetes: Genome-Wide Association Study and Mendelian Randomization Analysis in European Populations.</t>
  </si>
  <si>
    <t>Zheng, Ju-Sheng; Luan, Jian'an; Sofianopoulou, Eleni; Imamura, Fumiaki; Stewart, Isobel D; Day, Felix R; Pietzner, Maik; Wheeler, Eleanor; Lotta, Luca A; Gundersen, Thomas E; Amiano, Pilar; Ardanaz, Eva; Chirlaque, María-Dolores; Fagherazzi, Guy; Franks, Paul W; Kaaks, Rudolf; Laouali, Nasser; Mancini, Francesca Romana; Nilsson, Peter M; Onland-Moret, N Charlotte; Olsen, Anja; Overvad, Kim; Panico, Salvatore; Palli, Domenico; Ricceri, Fulvio; Rolandsson, Olov; Spijkerman, Annemieke M W; Sánchez, María-José; Schulze, Matthias B; Sala, Núria; Sieri, Sabina; Tjønneland, Anne; Tumino, Rosario; van der Schouw, Yvonne T; Weiderpass, Elisabete; Riboli, Elio; Danesh, John; Butterworth, Adam S; Sharp, Stephen J; Langenberg, Claudia; Forouhi, Nita G; Wareham, Nicholas J</t>
  </si>
  <si>
    <t>https://pubmed.ncbi.nlm.nih.gov/33203707</t>
  </si>
  <si>
    <t>Higher plasma vitamin C levels are associated with lower type 2 diabetes risk, but whether this association is causal is uncertain. To investigate this, we studied the association of genetically predicted plasma vitamin C with type 2 diabetes. We conducted genome-wide association studies of plasma vitamin C among 52,018 individuals of European ancestry to discover novel genetic variants. We performed Mendelian randomization analyses to estimate the association of genetically predicted differences in plasma vitamin C with type 2 diabetes in up to 80,983 case participants and 842,909 noncase participants. We compared this estimate with the observational association between plasma vitamin C and incident type 2 diabetes, including 8,133 case participants and 11,073 noncase participants. We identified 11 genomic regions associated with plasma vitamin C (&lt;i&gt;P&lt;/i&gt; &lt; 5 × 10&lt;sup&gt;-8&lt;/sup&gt;), with the strongest signal at &lt;i&gt;SLC23A1&lt;/i&gt;, and 10 novel genetic loci including &lt;i&gt;SLC23A3&lt;/i&gt;, &lt;i&gt;CHPT1&lt;/i&gt;, &lt;i&gt;BCAS3&lt;/i&gt;, &lt;i&gt;SNRPF&lt;/i&gt;, &lt;i&gt;RER1&lt;/i&gt;, &lt;i&gt;MAF&lt;/i&gt;, &lt;i&gt;GSTA5&lt;/i&gt;, &lt;i&gt;RGS14&lt;/i&gt;, &lt;i&gt;AKT1&lt;/i&gt;, and &lt;i&gt;FADS1&lt;/i&gt;. Plasma vitamin C was inversely associated with type 2 diabetes (hazard ratio per SD 0.88; 95% CI 0.82, 0.94), but there was no association between genetically predicted plasma vitamin C (excluding &lt;i&gt;FADS1&lt;/i&gt; variant due to its apparent pleiotropic effect) and type 2 diabetes (1.03; 95% CI 0.96, 1.10). These findings indicate discordance between biochemically measured and genetically predicted plasma vitamin C levels in the association with type 2 diabetes among European populations. The null Mendelian randomization findings provide no strong evidence to suggest the use of vitamin C supplementation for type 2 diabetes prevention.</t>
  </si>
  <si>
    <t>Genome-wide association study of intracranial aneurysms identifies 17 risk loci and genetic overlap with clinical risk factors.</t>
  </si>
  <si>
    <t>https://pubmed.ncbi.nlm.nih.gov/33199917</t>
  </si>
  <si>
    <t>Rupture of an intracranial aneurysm leads to subarachnoid hemorrhage, a severe type of stroke. To discover new risk loci and the genetic architecture of intracranial aneurysms, we performed a cross-ancestry, genome-wide association study in 10,754 cases and 306,882 controls of European and East Asian ancestry. We discovered 17 risk loci, 11 of which are new. We reveal a polygenic architecture and explain over half of the disease heritability. We show a high genetic correlation between ruptured and unruptured intracranial aneurysms. We also find a suggestive role for endothelial cells by using gene mapping and heritability enrichment. Drug-target enrichment shows pleiotropy between intracranial aneurysms and antiepileptic and sex hormone drugs, providing insights into intracranial aneurysm pathophysiology. Finally, genetic risks for smoking and high blood pressure, the two main clinical risk factors, play important roles in intracranial aneurysm risk, and drive most of the genetic correlation between intracranial aneurysms and other cerebrovascular traits.</t>
  </si>
  <si>
    <t>Sleep characteristics across the lifespan in 1.1 million people from the Netherlands, United Kingdom and United States: a systematic review and meta-analysis.</t>
  </si>
  <si>
    <t>Kocevska, Desana; Lysen, Thom S; Dotinga, Aafje; Koopman-Verhoeff, M Elisabeth; Luijk, Maartje P C M; Antypa, Niki; Biermasz, Nienke R; Blokstra, Anneke; Brug, Johannes; Burk, Wiliam J; Comijs, Hannie C; Corpeleijn, Eva; Dashti, Hassan S; de Bruin, Eduard J; de Graaf, Ron; Derks, Ivonne P M; Dewald-Kaufmann, Julia F; Elders, Petra J M; Gemke, Reinoldus J B J; Grievink, Linda; Hale, Lauren; Hartman, Catharina A; Heijnen, Cobi J; Huisman, Martijn; Huss, Anke; Ikram, M Arfan; Jones, Samuel E; Velderman, Mariska Klein; Koning, Maaike; Meijer, Anne Marie; Meijer, Kim; Noordam, Raymond; Oldehinkel, Albertine J; Groeniger, Joost Oude; Penninx, Brenda W J H; Picavet, H Susan J; Pieters, Sara; Reijneveld, Sijmen A; Reitz, Ellen; Renders, Carry M; Rodenburg, Gerda; Rutters, Femke; Smith, Matt C; Singh, Amika S; Snijder, Marieke B; Stronks, Karien; Ten Have, Margreet; Twisk, Jos W R; Van de Mheen, Dike; van der Ende, Jan; van der Heijden, Kristiaan B; van der Velden, Peter G; van Lenthe, Frank J;</t>
  </si>
  <si>
    <t>nature human behaviour</t>
  </si>
  <si>
    <t>https://pubmed.ncbi.nlm.nih.gov/33199855</t>
  </si>
  <si>
    <t>We aimed to obtain reliable reference charts for sleep duration, estimate the prevalence of sleep complaints across the lifespan and identify risk indicators of poor sleep. Studies were identified through systematic literature search in Embase, Medline and Web of Science (9 August 2019) and through personal contacts. Eligible studies had to be published between 2000 and 2017 with data on sleep assessed with questionnaires including ≥100 participants from the general population. We assembled individual participant data from 200,358 people (aged 1-100 years, 55% female) from 36 studies from the Netherlands, 471,759 people (40-69 years, 55.5% female) from the United Kingdom and 409,617 people (≥18 years, 55.8% female) from the United States. One in four people slept less than age-specific recommendations, but only 5.8% slept outside of the 'acceptable' sleep duration. Among teenagers, 51.5% reported total sleep times (TST) of less than the recommended 8-10 h and 18% report daytime sleepiness. In adults (≥18 years), poor sleep quality (13.3%) and insomnia symptoms (9.6-19.4%) were more prevalent than short sleep duration (6.5% with TST &lt; 6 h). Insomnia symptoms were most frequent in people spending ≥9 h in bed, whereas poor sleep quality was more frequent in those spending &lt;6 h in bed. TST was similar across countries, but insomnia symptoms were 1.5-2.9 times higher in the United States. Women (≥41 years) reported sleeping shorter times or slightly less efficiently than men, whereas with actigraphy they were estimated to sleep longer and more efficiently than man. This study provides age- and sex-specific population reference charts for sleep duration and efficiency which can help guide personalized advice on sleep length and preventive practices.</t>
  </si>
  <si>
    <t>Associations between the development of PTSD symptoms and longitudinal changes in the DNA methylome of deployed military servicemen: A comparison with polygenic risk scores.</t>
  </si>
  <si>
    <t>van der Wal, Sija J; Maihofer, Adam X; Vinkers, Christiaan H; Smith, Alicia K; Nievergelt, Caroline M; Cobb, Dawayland O; Uddin, Monica; Baker, Dewleen G; Zuithoff, Nicolaas P A; Rutten, Bart P F; Vermetten, Eric; Geuze, Elbert; Boks, Marco P</t>
  </si>
  <si>
    <t>comprehensive psychoneuroendocrinology</t>
  </si>
  <si>
    <t>https://pubmed.ncbi.nlm.nih.gov/35755626</t>
  </si>
  <si>
    <t>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&lt;i&gt;EP300&lt;/i&gt;/&lt;i&gt;miRNA1281&lt;/i&gt; was associated with a delayed onset of PTSD compared to a resilient profile. Polygenic risk, in contrast, was related to PTSD onset within six months after deployment but was not associated with long term outcomes. The present study suggests predictive utility of changes in DNA methylation for the subsequent development of PTSD symptoms and showed that the currently available measure of polygenic risk is primarily related to non-delayed disease onset.</t>
  </si>
  <si>
    <t>Long-term low-level ambient air pollution exposure and risk of lung cancer - A pooled analysis of 7 European cohorts.</t>
  </si>
  <si>
    <t>Hvidtfeldt, Ulla Arthur; Severi, Gianluca; Andersen, Zorana Jovanovic; Atkinson, Richard; Bauwelinck, Mariska; Bellander, Tom; Boutron-Ruault, Marie-Christine; Brandt, Jørgen; Brunekreef, Bert; Cesaroni, Giulia; Chen, Jie; Concin, Hans; Forastiere, Francesco; van Gils, Carla H; Gulliver, John; Hertel, Ole; Hoek, Gerard; Hoffmann, Barbara; de Hoogh, Kees; Janssen, Nicole; Jöckel, Karl-Heinz; Jørgensen, Jeanette Therming; Katsouyanni, Klea; Ketzel, Matthias; Klompmaker, Jochem O; Krog, Norun Hjertager; Lang, Alois; Leander, Karin; Liu, Shuo; Ljungman, Petter L S; Magnusson, Patrik K E; Mehta, Amar Jayant; Nagel, Gabriele; Oftedal, Bente; Pershagen, Göran; Peter, Raphael Simon; Peters, Annette; Renzi, Matteo; Rizzuto, Debora; Rodopoulou, Sophia; Samoli, Evangelia; Schwarze, Per Everhard; Sigsgaard, Torben; Simonsen, Mette Kildevæld; Stafoggia, Massimo; Strak, Maciek; Vienneau, Danielle; Weinmayr, Gudrun; Wolf, Kathrin; Raaschou-Nielsen, Ole; Fecht, Daniela</t>
  </si>
  <si>
    <t>https://pubmed.ncbi.nlm.nih.gov/33197787</t>
  </si>
  <si>
    <t>Ambient air pollution has been associated with lung cancer, but the shape of the exposure-response function - especially at low exposure levels - is not well described. The aim of this study was to address the relationship between long-term low-level air pollution exposure and lung cancer incidence. The "Effects of Low-level Air Pollution: a Study in Europe" (ELAPSE) collaboration pools seven cohorts from across Europe. We developed hybrid models combining air pollution monitoring, land use data, satellite observations, and dispersion model estimates for nitrogen dioxide (NO&lt;sub&gt;2&lt;/sub&gt;), fine particulate matter (PM&lt;sub&gt;2.5&lt;/sub&gt;), black carbon (BC), and ozone (O&lt;sub&gt;3&lt;/sub&gt;) to assign exposure to cohort participants' residential addresses in 100 m by 100 m grids. We applied stratified Cox proportional hazards models, adjusting for potential confounders (age, sex, calendar year, marital status, smoking, body mass index, employment status, and neighborhood-level socio-economic status). We fitted linear models, linear models in subsets, Shape-Constrained Health Impact Functions (SCHIF), and natural cubic spline models to assess the shape of the association between air pollution and lung cancer at concentrations below existing standards and guidelines. The analyses included 307,550 cohort participants. During a mean follow-up of 18.1 years, 3956 incident lung cancer cases occurred. Median (Q1, Q3) annual (2010) exposure levels of NO&lt;sub&gt;2&lt;/sub&gt;, PM&lt;sub&gt;2.5&lt;/sub&gt;, BC and O&lt;sub&gt;3&lt;/sub&gt; (warm season) were 24.2 µg/m&lt;sup&gt;3&lt;/sup&gt; (19.5, 29.7), 15.4 µg/m&lt;sup&gt;3&lt;/sup&gt; (12.8, 17.3), 1.6 10&lt;sup&gt;-5&lt;/sup&gt;m&lt;sup&gt;-1&lt;/sup&gt; (1.3, 1.8), and 86.6 µg/m&lt;sup&gt;3&lt;/sup&gt; (78.5, 92.9), respectively. We observed a higher risk for lung cancer with higher exposure to PM&lt;sub&gt;2.5&lt;/sub&gt; (HR: 1.13, 95% CI: 1.05, 1.23 per 5 µg/m&lt;sup&gt;3&lt;/sup&gt;). This association was robust to adjustment for other pollutants. The SCHIF, spline and subset analyses suggested a linear or supra-linear association with no evidence of a threshold. In subset analyses, risk estimates were clearly elevated for the subset of subjects with exposure below the EU limit value of 25 µg/m&lt;sup&gt;3&lt;/sup&gt;. We did not observe associations between NO&lt;sub&gt;2&lt;/sub&gt;, BC or O&lt;sub&gt;3&lt;/sub&gt; and lung cancer incidence. Long-term ambient PM&lt;sub&gt;2.5&lt;/sub&gt; exposure is associated with lung cancer incidence even at concentrations below current EU limit values and possibly WHO Air Quality Guidelines.</t>
  </si>
  <si>
    <t>Advance care planning in patients with advanced cancer: A 6-country, cluster-randomised clinical trial.</t>
  </si>
  <si>
    <t>Korfage, Ida J; Carreras, Giulia; Arnfeldt Christensen, Caroline M; Billekens, Pascalle; Bramley, Louise; Briggs, Linda; Bulli, Francesco; Caswell, Glenys; Červ, Branka; van Delden, Johannes J M; Deliens, Luc; Dunleavy, Lesley; Eecloo, Kim; Gorini, Giuseppe; Groenvold, Mogens; Hammes, Bud; Ingravallo, Francesca; Jabbarian, Lea J; Kars, Marijke C; Kodba-Čeh, Hana; Lunder, Urska; Miccinesi, Guido; Mimić, Alenka; Ozbič, Polona; Payne, Sheila A; Polinder, Suzanne; Pollock, Kristian; Preston, Nancy J; Seymour, Jane; Simonič, Anja; Thit Johnsen, Anna; Toccafondi, Alessandro; Verkissen, Mariëtte N; Wilcock, Andrew; Zwakman, Marieke; van der Heide, Agnes; Rietjens, Judith A C</t>
  </si>
  <si>
    <t>https://pubmed.ncbi.nlm.nih.gov/33186365</t>
  </si>
  <si>
    <t>Advance care planning (ACP) supports individuals to define, discuss, and record goals and preferences for future medical treatment and care. Despite being internationally recommended, randomised clinical trials of ACP in patients with advanced cancer are scarce. To test the implementation of ACP in patients with advanced cancer, we conducted a cluster-randomised trial in 23 hospitals across Belgium, Denmark, Italy, Netherlands, Slovenia, and United Kingdom in 2015-2018. Patients with advanced lung (stage III/IV) or colorectal (stage IV) cancer, WHO performance status 0-3, and at least 3 months life expectancy were eligible. The ACTION Respecting Choices ACP intervention as offered to patients in the intervention arm included scripted ACP conversations between patients, family members, and certified facilitators; standardised leaflets; and standardised advance directives. Control patients received care as usual. Main outcome measures were quality of life (operationalised as European Organisation for Research and Treatment of Cancer [EORTC] emotional functioning) and symptoms. Secondary outcomes were coping, patient satisfaction, shared decision-making, patient involvement in decision-making, inclusion of advance directives (ADs) in hospital files, and use of hospital care. In all, 1,117 patients were included (442 intervention; 675 control), and 809 (72%) completed the 12-week questionnaire. Patients' age ranged from 18 to 91 years, with a mean of 66; 39% were female. The mean number of ACP conversations per patient was 1.3. Fidelity was 86%. Sixteen percent of patients found ACP conversations distressing. Mean change in patients' quality of life did not differ between intervention and control groups (T-score -1.8 versus -0.8, p = 0.59), nor did changes in symptoms, coping, patient satisfaction, and shared decision-making. Specialist palliative care (37% versus 27%, p = 0.002) and AD inclusion in hospital files (10% versus 3%, p &lt; 0.001) were more likely in the intervention group. A key limitation of the study is that recruitment rates were lower in intervention than in control hospitals. Our results show that quality of life effects were not different between patients who had ACP conversations and those who received usual care. The increased use of specialist palliative care and AD inclusion in hospital files of intervention patients is meaningful and requires further study. Our findings suggest that alternative approaches to support patient-centred end-of-life care in this population are needed. ISRCTN registry ISRCTN63110516.</t>
  </si>
  <si>
    <t>Cardiovascular risk factors and lifestyle behaviours in relation to longevity: a Mendelian randomization study.</t>
  </si>
  <si>
    <t>van Oort, S; Beulens, J W J; van Ballegooijen, A J; Burgess, S; Larsson, S C</t>
  </si>
  <si>
    <t>journal of internal medicine</t>
  </si>
  <si>
    <t>https://pubmed.ncbi.nlm.nih.gov/33107078</t>
  </si>
  <si>
    <t>The American Heart Association introduced the Life's Simple 7 initiative to improve cardiovascular health by modifying cardiovascular risk factors and lifestyle behaviours. It is unclear whether these risk factors are causally associated with longevity. This study aimed to investigate causal associations of Life's Simple 7 modifiable risk factors, as well as sleep and education, with longevity using the two-sample Mendelian randomization design. Instrumental variables for the modifiable risk factors were obtained from large-scale genome-wide association studies. Data on longevity beyond the 90&lt;sup&gt;th&lt;/sup&gt; survival percentile were extracted from a genome-wide association meta-analysis with 11,262 cases and 25,483 controls whose age at death or last contact was ≤ the 60&lt;sup&gt;th&lt;/sup&gt; survival percentile. Risk factors associated with a lower odds of longevity included the following: genetic liability to type 2 diabetes (OR 0.88; 95% CI: 0.84;0.92), genetically predicted systolic and diastolic blood pressure (per 1-mmHg increase: 0.96; 0.94;0.97 and 0.95; 0.93;0.97), body mass index (per 1-SD increase: 0.80; 0.74;0.86), low-density lipoprotein cholesterol (per 1-SD increase: 0.75; 0.65;0.86) and smoking initiation (0.75; 0.66;0.85). Genetically increased high-density lipoprotein cholesterol (per 1-SD increase: 1.23; 1.08;1.41) and educational level (per 1-SD increase: 1.64; 1.45;1.86) were associated with a higher odds of longevity. Fasting glucose and other lifestyle factors were not significantly associated with longevity. Most of the Life's Simple 7 modifiable risk factors are causally related to longevity. Prevention strategies should focus on modifying these risk factors and reducing education inequalities to improve cardiovascular health and longevity.</t>
  </si>
  <si>
    <t>Genome-wide association analysis of type 2 diabetes in the EPIC-InterAct study.</t>
  </si>
  <si>
    <t>Cai, Lina; Wheeler, Eleanor; Kerrison, Nicola D; Luan, Jian'an; Deloukas, Panos; Franks, Paul W; Amiano, Pilar; Ardanaz, Eva; Bonet, Catalina; Fagherazzi, Guy; Groop, Leif C; Kaaks, Rudolf; Huerta, José María; Masala, Giovanna; Nilsson, Peter M; Overvad, Kim; Pala, Valeria; Panico, Salvatore; Rodriguez-Barranco, Miguel; Rolandsson, Olov; Sacerdote, Carlotta; Schulze, Matthias B; Spijkerman, Annemieke M W; Tjonneland, Anne; Tumino, Rosario; van der Schouw, Yvonne T; Sharp, Stephen J; Forouhi, Nita G; Riboli, Elio; McCarthy, Mark I; Barroso, Inês; Langenberg, Claudia; Wareham, Nicholas J</t>
  </si>
  <si>
    <t>scientific data</t>
  </si>
  <si>
    <t>https://pubmed.ncbi.nlm.nih.gov/33188205</t>
  </si>
  <si>
    <t>Type 2 diabetes (T2D) is a global public health challenge. Whilst the advent of genome-wide association studies has identified &gt;400 genetic variants associated with T2D, our understanding of its biological mechanisms and translational insights is still limited. The EPIC-InterAct project, centred in 8 countries in the European Prospective Investigations into Cancer and Nutrition study, is one of the largest prospective studies of T2D. Established as a nested case-cohort study to investigate the interplay between genetic and lifestyle behavioural factors on the risk of T2D, a total of 12,403 individuals were identified as incident T2D cases, and a representative sub-cohort of 16,154 individuals was selected from a larger cohort of 340,234 participants with a follow-up time of 3.99 million person-years. We describe the results from a genome-wide association analysis between more than 8.9 million SNPs and T2D risk among 22,326 individuals (9,978 cases and 12,348 non-cases) from the EPIC-InterAct study. The summary statistics to be shared provide a valuable resource to facilitate further investigations into the genetics of T2D.</t>
  </si>
  <si>
    <t>Sex differences and heart failure - a story of two tales.</t>
  </si>
  <si>
    <t>Koudstaal, Stefan; Den Ruijter, Hester M; Peters, Sanne A E</t>
  </si>
  <si>
    <t>https://pubmed.ncbi.nlm.nih.gov/33126287</t>
  </si>
  <si>
    <t>Conversion strategies with chemotherapy plus targeted agents for colorectal cancer liver-only metastases: A systematic review.</t>
  </si>
  <si>
    <t>Bolhuis, Karen; Kos, Milan; van Oijen, Martijn G H; Swijnenburg, Rutger-Jan; Punt, Cornelis J A</t>
  </si>
  <si>
    <t>https://pubmed.ncbi.nlm.nih.gov/33189037</t>
  </si>
  <si>
    <t>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Phase II/III randomised trials, published after 2008, regarding first-line systemic conversion therapy in patients or subgroups of patients with CRLM were included. Data on secondary resection outcomes were collected.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</si>
  <si>
    <t>Measuring effects on intima-media thickness: an evaluation of rosuvastatin in Chinese subjects with subclinical atherosclerosis-design, rationale, and methodology of the METEOR-China study.</t>
  </si>
  <si>
    <t>Wang, Yilong; Wang, Anxin; Li, Hongwei; Li, Zhanquan; Hu, Bo; Li, Xiaogang; Zheng, Huaguang; Fu, Lu; Hu, Hongtao; Nie, Zhiyu; Qin, Yulin; Zhao, Bilian; Wei, Di; Karlson, Björn W; Bots, Michiel L; Chen, Yundai; Wang, Yongjun</t>
  </si>
  <si>
    <t>https://pubmed.ncbi.nlm.nih.gov/33176842</t>
  </si>
  <si>
    <t>The beneficial effect of statins on atherosclerosis and cardiovascular outcomes has been well established. The Measuring Effects on intima media Thickness: an Evaluation Of Rosuvastatin (METEOR) global study demonstrated that a 2-year orally administered treatment with rosuvastatin 40 mg daily significantly slowed the progression of carotid intima-media thickness (CIMT) compared to placebo. The current METEOR-China study is designed to evaluate the effect of rosuvastatin 20 mg daily versus placebo on the progression of atherosclerosis measured by CIMT in asymptomatic Chinese subjects. This is a phase 3, randomised, double-blind, placebo-controlled, multicentre parallel-group study. Asymptomatic Chinese subjects with a 10-year ischaemic cardiovascular disease (ICVD) risk &lt; 10% will be recruited at 25 study sites. They will be treated with rosuvastatin 20 mg or placebo for 104 weeks. The primary endpoint is the annualised rate of change in CIMT measured by B-mode ultrasonography. Secondary endpoints include the annualised rate of change in CIMT at three different sections of the carotid artery and changes in the serum lipid profile. Safety parameters will also be assessed. The study will evaluate whether rosuvastatin 20 mg slows the progression of CIMT in asymptomatic Chinese subjects at low risk of ICVD. ClinicalTrials.gov NCT02546323 . Registered on September 10, 2015.</t>
  </si>
  <si>
    <t>Protocol for a systematic review on the methodological and reporting quality of prediction model studies using machine learning techniques.</t>
  </si>
  <si>
    <t>Andaur Navarro, Constanza L; Damen, Johanna A A G; Takada, Toshihiko; Nijman, Steven W J; Dhiman, Paula; Ma, Jie; Collins, Gary S; Bajpai, Ram; Riley, Richard D; Moons, Karel Gm; Hooft, Lotty</t>
  </si>
  <si>
    <t>https://pubmed.ncbi.nlm.nih.gov/33177137</t>
  </si>
  <si>
    <t>Studies addressing the development and/or validation of diagnostic and prognostic prediction models are abundant in most clinical domains. Systematic reviews have shown that the methodological and reporting quality of prediction model studies is suboptimal. Due to the increasing availability of larger, routinely collected and complex medical data, and the rising application of Artificial Intelligence (AI) or machine learning (ML) techniques, the number of prediction model studies is expected to increase even further. Prediction models developed using AI or ML techniques are often labelled as a 'black box' and little is known about their methodological and reporting quality. Therefore, this comprehensive systematic review aims to evaluate the reporting quality, the methodological conduct, and the risk of bias of prediction model studies that applied ML techniques for model development and/or validation. A search will be performed in PubMed to identify studies developing and/or validating prediction models using any ML methodology and across all medical fields. Studies will be included if they were published between January 2018 and December 2019, predict patient-related outcomes, use any study design or data source, and available in English. Screening of search results and data extraction from included articles will be performed by two independent reviewers. The primary outcomes of this systematic review are: (1) the adherence of ML-based prediction model studies to the Transparent Reporting of a multivariable prediction model for Individual Prognosis Or Diagnosis (TRIPOD), and (2) the risk of bias in such studies as assessed using the Prediction model Risk Of Bias ASsessment Tool (PROBAST). A narrative synthesis will be conducted for all included studies. Findings will be stratified by study type, medical field and prevalent ML methods, and will inform necessary extensions or updates of TRIPOD and PROBAST to better address prediction model studies that used AI or ML techniques. Ethical approval is not required for this study because only available published data will be analysed. Findings will be disseminated through peer-reviewed publications and scientific conferences. PROSPERO, CRD42019161764.</t>
  </si>
  <si>
    <t>The Physiological MicroRNA Landscape in Nipple Aspirate Fluid: Differences and Similarities with Breast Tissue, Breast Milk, Plasma and Serum.</t>
  </si>
  <si>
    <t>Patuleia, Susana I S; van Gils, Carla H; Oneto Cao, Angie M; Bakker, Marije F; van Diest, Paul J; van der Wall, Elsken; Moelans, Cathy B</t>
  </si>
  <si>
    <t>https://pubmed.ncbi.nlm.nih.gov/33187146</t>
  </si>
  <si>
    <t>MicroRNAs (miRNAs) target 60% of human messenger RNAs and can be detected in tissues and biofluids without loss of stability during sample processing, making them highly appraised upcoming biomarkers for evaluation of disease. However, reporting of the abundantly expressed miRNAs in healthy samples is often surpassed. Here, we characterized for the first time the physiological miRNA landscape in a biofluid of the healthy breast: nipple aspirate fluid (NAF), and compared NAF miRNA expression patterns with publically available miRNA expression profiles of healthy breast tissue, breast milk, plasma and serum. MiRNA RT-qPCR profiling of NAF (&lt;i&gt;n&lt;/i&gt; = 41) and serum (&lt;i&gt;n&lt;/i&gt; = 23) samples from two healthy female cohorts was performed using the TaqMan OpenArray Human Advanced MicroRNA 754-Panel. MiRNA quantification data based on non-targeted or multi-targeted profiling techniques for breast tissue, breast milk, plasma and serum were retrieved from the literature by means of a systematic search. MiRNAs from each individual study were orderly ranked between 1 and 50, combined into an overall ranking per sample type and compared. NAF expressed 11 unique miRNAs and shared 21/50 miRNAs with breast tissue. Seven miRNAs were shared between the five sample types. Overlap between sample types varied between 42% and 62%. Highly ranked NAF miRNAs have established roles in breast carcinogenesis. This is the first study to characterize and compare the unique physiological NAF-derived miRNA landscape with the physiological expression pattern in breast tissue, breast milk, plasma and serum. Breast-specific sources did not mutually overlap more than with systemic sources. Given their established role in carcinogenesis, NAF miRNA assessment could be a valuable tool in breast tumor diagnostics.</t>
  </si>
  <si>
    <t>Is C-reactive protein associated with influenza A or B in primary care patients with influenza-like illness? A cross-sectional study.</t>
  </si>
  <si>
    <t>Rystedt, Karin; Harbin, Nicolay Jonassen; Lindbaek, Morten; Radzeviciene, Ruta; Gunnarsson, Ronny; Eggertsen, Robert; C Butler, Christopher; van der Velden, Alike W; J Verheij, Theo; Sundvall, Pär-Daniel</t>
  </si>
  <si>
    <t>https://pubmed.ncbi.nlm.nih.gov/33174788</t>
  </si>
  <si>
    <t>Identifying influenza A or B as cause of influenza-like illness (ILI) is a challenge due to non-specific symptoms. An accurate, cheap and easy to use biomarker might enhance targeting influenza-specific management in primary care. The aim of this study was to investigate if C-reactive protein (CRP) is associated with influenza A or B, confirmed with PCR testing, in patients presenting with ILI. Cross-sectional study. Primary care in Lithuania, Norway and Sweden. A total of 277 patients at least 1 year of age consulting primary care with ILI during seasonal influenza epidemics. Capillary blood CRP analysed as a point-of-care test and detection of influenza A or B on nasopharyngeal swabs in adults, and nasal and pharyngeal swabs in children using PCR. The prevalence of positive tests for influenza A among patients was 44% (121/277) and the prevalence of influenza B was 21% (58/277). Patients with influenza A infection could not be identified based on CRP concentration. However, increasing CRP concentration in steps of 10 mg/L was associated with a significantly lower risk for influenza B with an adjusted odds ratio of 0.42 (0.25-0.70; &lt;i&gt;p&lt;/i&gt;&lt;.001). Signs of more severe symptoms like shortness of breath, sweats or chills and dizziness were associated with higher CRP. There was no association between CRP and influenza A. Increased concentration of CRP was associated with a lower risk for having influenza B, a finding that lacks clinical usefulness. Hence, CRP testing should be avoided in ILI, unless bacterial pneumonia is suspected. Key points Identifying influenza A or B as cause of influenza-like illness (ILI) is a challenge due to non-specific symptoms. There was no association between concentration of CRP and influenza A. Increased concentration of CRP was associated with a lower risk for having influenza B, a finding that lacks clinical usefulness. A consequence is that CRP testing should be avoided in ILI, unless bacterial pneumonia or similar is suspected.</t>
  </si>
  <si>
    <t>Antibiotic use prior to seeking medical care in patients with persistent fever: a cross-sectional study in four low- and middle-income countries.</t>
  </si>
  <si>
    <t>Ingelbeen, Brecht; Koirala, Kanika D; Verdonck, Kristien; Barbé, Barbara; Mukendi, Déby; Thong, Phe; El Safi, Sayda; Van Duffel, Lukas; Bottieau, Emmanuel; van der Sande, Marianne A B; Boelaert, Marleen; Chappuis, François; Jacobs, Jan</t>
  </si>
  <si>
    <t>https://pubmed.ncbi.nlm.nih.gov/33188934</t>
  </si>
  <si>
    <t>Community-level antibiotic use contributes to antimicrobial resistance, but is rarely monitored as part of efforts to optimize antibiotic use in low- and middle-income countries (LMICs). We investigated antibiotic use in the 4 weeks before study inclusion for persistent fever. The NIDIAG-Fever (Neglected Infectious diseases DIAGnosis-Fever) study investigated aetiologies of infections in patients ≥5 years old with fever ≥1 week in six healthcare facilities in Cambodia, the Democratic Republic of the Congo (DRC), Nepal, and Sudan. In the present nested cross-sectional study, we describe prevalence and choice of antibiotics before and at study inclusion, applying the Access/Watch/Reserve (AWaRe) classification of the WHO List of Essential Medicines. Factors associated with prior antibiotic use were analysed. Of 1939 participants, 428 (22.1%) reported the prior use of one or more antibiotics, ranging from 6.3% (24/382, Cambodia) to 35.5% (207/583, Nepal). Of 545 reported antibiotics, the most frequent were Watch group antibiotics (351/545, 64.4%), ranging from 23.6% (DRC) to 82.1% (Nepal). Parenteral administration ranged from 5.9% to 69.6% between study sites. Antibiotic use was most frequent among young patients (5-17 years of age; risk ratio 1.42, 95%CI 1.19-1.71) and men (RR 1.29; 95%CI 1.09-1.53). No association was found with specific symptoms. Of 555 antibiotics started before study inclusion, 275 (49.5%) were discontinued at study inclusion. Watch antibiotics were frequently used, and discontinued upon study inclusion. The antibiotic use frequency and choice varied importantly between LMICs. Data on local antibiotic use are essential to guide efforts to optimize antibiotic use in LMICs, should not be restricted to hospitals, and need to take local healthcare utilization into account.</t>
  </si>
  <si>
    <t>Health Care Professionals' Experiences With Preloss Care in Pediatrics: Goals, Strategies, Obstacles, and Facilitators.</t>
  </si>
  <si>
    <t>Kochen, Eline M; Boelen, Paul A; Teunissen, Saskia C C M; Jenken, Floor; de Jonge, Roos R; Grootenhuis, Martha A; Kars, Marijke C; ,</t>
  </si>
  <si>
    <t>https://pubmed.ncbi.nlm.nih.gov/33186732</t>
  </si>
  <si>
    <t>Although parents experience grief when confronted with their child's deterioration and imminent death, most bereavement care is focused on supporting parents after child loss. Insight into intentions and strategies of the health care professionals (HCPs) in preloss care during the end of life is still lacking. To create a starting point for improvement of preloss care, this study explores HCPs' experiences with providing support aimed at parental feelings of grief during the child's end of life. Exploratory qualitative research using individual semistructured interviews with clinicians in pediatrics and neonatology in hospital and homecare settings. Data were thematically analyzed by a multidisciplinary team. Nineteen HCPs participated. HCPs tried to ensure that parents could reflect on the care received as concordant to their preferences and were not hindered in their bereavement as a consequence of their professional actions. Strategies included maximizing parental presence, enabling parental involvement in decision making, and ensuring a dignified death. While using these strategies, HCPs faced several difficulties: uncertainty about the illness course, unpredictability of parental grief responses, and being affected themselves by the child's imminent death. It helped HCPs to develop a bond with parents, find comfort with colleagues, and making joint decisions with colleagues. HCPs strive to improve parental coping after the child's death, yet apply strategies that positively influence parental preparedness and well-being during the end of life as well. Individual HCPs are left with many uncertainties. A more robust approach based on theory, evidence, and training is needed to improve preloss care in pediatrics.</t>
  </si>
  <si>
    <t>Prevalence of chronic kidney disease and risk factors in North-Central Nigeria: a population-based survey.</t>
  </si>
  <si>
    <t>Olanrewaju, Timothy Olusegun; Aderibigbe, Ademola; Popoola, Ademola Alabi; Braimoh, Kolawole Thomas; Buhari, Mikhail Olayinka; Adedoyin, Olanrewaju Timothy; Kuranga, Sulyman Alege; Biliaminu, Sikiru Abayomi; Chijioke, Adindu; Ajape, Abdulwahab Akanbi; Grobbee, Diederick E; Blankestijn, Peter J; Klipstein-Grobusch, Kerstin; ,</t>
  </si>
  <si>
    <t>https://pubmed.ncbi.nlm.nih.gov/33167899</t>
  </si>
  <si>
    <t>Chronic kidney disease (CKD) is a growing challenge in low- and middle-income countries, particularly in sub-Saharan Africa. There is insufficient population-based data on CKD in Nigeria that is required to estimate its true burden, and to design prevention and management strategies. The study aims to determine the prevalence of CKD and its risk factors in Nigeria. We studied 8 urban communities in Kwara State, North-Central zone of Nigeria. Blood pressure, fasting blood sugar, urinalysis, weight, height, waist circumference and hip circumference were obtained. Albuminuria and kidney length were measured by ultrasound while estimated glomerular filtration rate (eGFR) was derived from serum creatinine, using chronic disease epidemiology collaboration (CKD-EPI) equation. Associations of risk factors with CKD were determined by multivariate logistic regression and expressed as adjusted odds ratio (aOR) with corresponding 95% confidence intervals. One thousand three hundred and fifty-three adults ≥18 years (44% males) with mean age of 44.3 ± 14.4 years, were screened. Mean kidney lengths were: right, 93.5 ± 7.0 cm and left, 93.4 ± 7.5 cm. The age-adjusted prevalence of hypertension was 24%; diabetes 4%; obesity 8.7%; albuminuria of &gt; 30 mg/L 7%; and dipstick proteinuria 13%. The age-adjusted prevalence of CKD by estimated GFR &lt; 60 ml/min/1.73m&lt;sup&gt;2&lt;/sup&gt; and/or Proteinuria was 12%. Diabetes (aOR 6.41, 95%CI = 3.50-11.73, P = 0.001), obesity (aOR 1.50, 95%CI = 1.10-2.05, P = 0.011), proteinuria (aOR 2.07, 95%CI = 1.05-4.08, P = 0.035); female sex (aOR 1.67, 95%CI = 1.47-1.89, P = 0.001); and age (aOR 1.89, 95%CI = 1.13-3.17, P = 0.015) were the identified predictors of CKD. CKD and its risk factors are prevalent among middle-aged urban populations in North-Central Nigeria. It is common among women, fueled by diabetes, ageing, obesity, and albuminuria. These data add to existing regional studies of burden of CKD that may serve as template for a national prevention framework for CKD in Nigeria. One of the limitations of the study is that the participants were voluntary community dwellers and as such not representative for the community. The sample may thus have been subjected to selection bias possibly resulting in overestimation of CKD risk factors.</t>
  </si>
  <si>
    <t>Feasibility and success rates of response enhancing strategies in a stepwise prevention program for cardiometabolic diseases in primary care.</t>
  </si>
  <si>
    <t>Badenbroek, Ilse F; Nielen, Marcus M J; Hollander, Monika; Stol, Daphne M; Kraaijenhagen, Roderik A; de Wit, Niek J; Schellevis, François G</t>
  </si>
  <si>
    <t>https://pubmed.ncbi.nlm.nih.gov/33158419</t>
  </si>
  <si>
    <t>Prevention programs for cardiometabolic diseases (CMD), including cardiovascular disease, diabetes mellitus and chronic kidney disease are feasible, but evidence for the cost-effectiveness of selective CMD prevention programs is lacking. Response rates have an important role in effectiveness, but methods to increase response rates have received insufficient attention. The aim of the current study is to determine the feasibility and the success rate of a variety of response enhancing strategies to increase the participation in a selective prevention program for CMD. The INTEGRATE study is a Dutch randomised controlled trial to assess the effectiveness and cost-effectiveness of a stepwise program for CMD prevention. During the INTEGRATE study we developed ten different response enhancing strategies targeted at different stages of non-response and different patient populations and evaluated these in 29 general practices. A face-to-face reminder by the GP increased the response significantly. Digital reminders targeted at patients with an increased CMD risk showed a positive trend towards participation. Sending invitations and reminders by e-mail generated similar response rates, but at lower costs and time investment than the standard way of dissemination. Translated materials, information gatherings at the practice, self-management toolkits, reminders by telephone, information letters, local media attention and SMS text reminders did not increase the response to our program. Inviting or reminding patients by e-mail or during GPs consultation may enhance response rates in a selective prevention program for CMD. Different response-enhancing strategies have different patient target populations and implementation issues, therefore practice characteristics need to be taken into account when implementing such strategies. Dutch trial Register number NTR4277 . Registered 26 November 2013.</t>
  </si>
  <si>
    <t>Dynamics of Intestinal Carriage of Extended-Spectrum Beta-lactamase-Producing Enterobacteriaceae in the Dutch General Population, 2014-2016.</t>
  </si>
  <si>
    <t>van den Bunt, Gerrita; Fluit, Ad C; Bootsma, Martin C J; van Duijkeren, Engeline; Scharringa, Jelle; van Pelt, Wilfrid; Bonten, Marc J M</t>
  </si>
  <si>
    <t>https://pubmed.ncbi.nlm.nih.gov/31688916</t>
  </si>
  <si>
    <t>In the Netherlands, the prevalence of intestinal extended-spectrum beta-lactamase-producing Enterobacteriaceae (ESBL-E) carriage in community-dwelling subjects is ~5%. Little is known about the dynamics of ESBL-E carriage. In a nationwide, population-based study (2014-2016) with 4177 community-dwelling subjects, fecal samples from 656 subjects were collected after 1 (time point [T] = 1) and 6 (T = 2) months. The growth of ESBL-E was quantified and a whole-genome sequence analysis was performed. Subjects were categorized as either an incidental, short-term, or long-term carrier or as a noncarrier. Risk factors were determined by random forest models and logistic regression. The transmissibility and duration of ESBL-E carriage was quantified using a transmission model, which also incorporated previous study data. Out of 656 participants, 96 were ESBL-E carriers at T = 0. Of these, 66 (10.1%) subjects were incidental carriers, 22 (3.3%) were short-term carriers, and 38 (5.8%) were long-term carriers; the remaining 530 (80.8%) were noncarriers. The risk factors for long-term carriage were travelling to Asia, swimming in a sea/ocean, and not changing the kitchen towel daily. The log-transformed colony forming units ratio at T = 0 was predictive for ESBL-E carriage at T = 1 (odds ratio [OR], 1.3; 95% confidence interval [CI], 1.2-1.6) and T = 2 (OR, 1.2; 95% CI, 1.1-1.4). Model simulations revealed a median decolonization rate of 2.83/year, an average duration of carriage of 0.35 years, and an acquisition rate of 0.34/year. The trend of the acquisition rate during the study period was close to 0. The risk factors for long-term ESBL-E carriage were travel- and hygiene-related. The dynamics of ESBL-E carriage in the general Dutch population are characterized by balancing decolonization and acquisition rates.</t>
  </si>
  <si>
    <t>World Antibiotic Awareness Week and European Antibiotic Awareness Day, November 2018: An analysis of the impact of Twitter activity.</t>
  </si>
  <si>
    <t>Mackenzie, Douglas Graham; Ong, David S Y; Ashiru-Oredope, Diane</t>
  </si>
  <si>
    <t>international journal of antimicrobial agents</t>
  </si>
  <si>
    <t>https://pubmed.ncbi.nlm.nih.gov/33160043</t>
  </si>
  <si>
    <t>International antibiotic awareness and stewardship campaigns use social media to disseminate campaign materials. Analysis of campaigns during 2016 and 2017 identified a wide range of hashtags in use, potentially leading to confusion and dilution of the campaign message. This study aimed to examine the impact of different hashtags on the dissemination of information during European Antibiotic Awareness Day and World Antibiotic Awareness Week, November 2018. Tweets were prospectively extracted using Followthehashtag and analysed in Excel and R (14 400 tweets by 5 899 tweeters, with 60 222 retweets). Descriptive analysis and multivariable logistic regression analyses were adjusted for potential confounders. There was a positive association between retweets received and inclusion of media, hashtag(s), mention of other tweeter(s), and number of followers. There was hashtag drift (e.g. the unofficial #WAAW2018 hashtag was used more frequently than the official campaign #WAAW18 hashtag). Analysis of five popular hashtags from the European and worldwide campaigns found a positive association between retweets and the unofficial hashtag #WAAW2018 and the long-established #AntibioticGuardian hashtag. #AntibioticResistance (another official hashtag) was the most frequently used hashtag but did not have a consistent positive association with retweets. Analysis of the contribution of tweeters - tweeters, retweeters, and mentions of tweeters - demonstrated 32 534 accounts in total, 95% of which tweeted and/or retweeted, the great majority being retweeters. This study demonstrates the breadth of participation in international antibiotic awareness campaigns, but also the need for clarity about campaign hashtags, and the need to search beyond official hashtags when evaluating the impact of a campaign.</t>
  </si>
  <si>
    <t>Urinary Melatonin in Relation to Breast Cancer Risk: Nested Case-Control Analysis in the DOM Study and Meta-analysis of Prospective Studies.</t>
  </si>
  <si>
    <t>Wong, Angel T Y; Fensom, Georgina K; Key, Timothy J; Onland-Moret, N Charlotte; Tong, Tammy Y N; Travis, Ruth C</t>
  </si>
  <si>
    <t>https://pubmed.ncbi.nlm.nih.gov/33144281</t>
  </si>
  <si>
    <t>Exposure to higher levels of melatonin may be associated with lower breast cancer risk, but epidemiologic evidence has been limited. We examined the relationship in a case-control study nested within the Diagnostisch Onderzoek Mammacarcinoom (DOM) study and conducted a meta-analysis of prospective studies. Concentrations of 6-sulfatoxymelatonin (aMT6s) in prediagnostic first morning urine voids were measured in 274 postmenopausal women diagnosed with breast cancer and 274 matched controls from the DOM study. Conditional logistic regression models were used to estimate multivariable adjusted ORs of breast cancer for thirds of aMT6s. Meta-analysis of this and previous prospective studies of urinary melatonin with breast cancer risk estimated the inverse-variance weighted averages of study-specific log RRs of breast cancer for the highest versus lowest levels of aMT6s. In the DOM study, the ORs of breast cancer for the middle and highest versus lowest thirds of aMT6s were 0.70 [95% confidence interval (CI), 0.45-1.09] and 0.72 (95% CI, 0.44-1.19), respectively. In the meta-analysis of the DOM study with six previous studies (2,296 cases), RR of breast cancer for the highest versus lowest levels of aMT6s was 0.87 (95% CI, 0.76-1.01). Results from the DOM study, together with the published prospective data, do not support a strong association of melatonin with breast cancer risk. This study adds to the relatively scarce prospective data on melatonin in relation to breast cancer risk. The totality of the prospective evidence does not clearly show an association between melatonin and breast cancer risk, but further data are needed to be able to exclude a modest association.</t>
  </si>
  <si>
    <t>Accuracy of signs, symptoms and blood tests for diagnosing acute bacterial rhinosinusitis and CT-confirmed acute rhinosinusitis in adults: protocol of an individual patient data meta-analysis.</t>
  </si>
  <si>
    <t>Venekamp, Roderick; Hansen, Jens Georg; Reitsma, Johannes B; Ebell, Mark H; Lindbaek, Morten</t>
  </si>
  <si>
    <t>https://pubmed.ncbi.nlm.nih.gov/33148765</t>
  </si>
  <si>
    <t>This protocol outlines a diagnostic individual patient data (IPD) meta-analysis aimed at developing simple prediction models based on readily available signs, symptoms and blood tests to accurately predict acute bacterial rhinosinusitis and CT-confirmed (fluid level or total opacification in any sinus) acute rhinosinusitis (ARS) in adults presenting to primary care with clinically diagnosed ARS, target conditions associated with antibiotic benefit. The systematic searches of PubMed and Embase of a review on the accuracy of signs and symptoms for diagnosing ARS in ambulatory care will be updated to April 2020 to identify relevant studies. Authors of eligible studies will be contacted and invited to provide IPD. Methodological quality of the studies will be assessed using the Quality Assessment of Diagnostic Accuracy Studies-2 tool. Candidate predictor selection will be based on knowledge from existing literature, clinical reasoning and availability. Multivariable logistic regression analyses will be used to develop prediction models aimed at calculating absolute risk estimates. Large unexplained between-study heterogeneity in predictive accuracy of the models will be explored and may lead to either model adjustment or derivation of separate context-specific models. Calibration and discrimination will be evaluated to assess the models' performance. Bootstrap resampling techniques will be used to assess internal validation and to inform on possible adjustment for overfitting. In addition, we aim to perform internal-external cross-validation procedures. In this IPD meta-analysis, no identifiable patient data will be used. As such, the Medical Research Involving Humans Subject Act does not apply, and official ethical approval is not required. Findings will be published in international peer-reviewed journals and presented at scientific conferences. PROSPERO CRD42020175659.</t>
  </si>
  <si>
    <t>Multilevel predictors of controlled CD4 count and blood pressure in an integrated chronic disease management model in rural South Africa: a panel study.</t>
  </si>
  <si>
    <t>Ameh, Soter; Gómez-Olivé, Francesc X; Kahn, Kathleen; Tollman, Stephen; Klipstein-Grobusch, Kerstin</t>
  </si>
  <si>
    <t>https://pubmed.ncbi.nlm.nih.gov/33148729</t>
  </si>
  <si>
    <t>In 2011, The National Department of Health introduced the Integrated Chronic Disease Management (ICDM) model as a pilot programme in selected primary healthcare facilities in South Africa. The objective of this study was to determine individual-level and facility-level predictors of controlled CD4 count and blood pressure (BP) in patients receiving treatment for HIV and hypertension, respectively. A panel study. This study was conducted in the Bushbuckridge Municipality, South Africa from 2011 to 2013. Facility records of patients aged ≥18 years were retrieved from the integrated chronic disease management (ICDM) pilot (n=435) and comparison facilities (n=443) using a three-step probability sampling process. CD4 count and BP control are defined as CD4 count &gt;350 cells/mm&lt;sup&gt;3&lt;/sup&gt; and BP &lt;140/90 mm Hg. A multilevel Least Absolute Shrinkage and Selection Operator binary logistic regression analysis was done at a 5% significance level using STATA V.16. CD4 (cells/mm&lt;sup&gt;3&lt;/sup&gt;) count and BP (mm Hg). Compared with the comparison facilities, patients receiving treatment in the pilot facilities had increased odds of controlling their CD4 count (OR=5.84, 95% CI 3.21-8.22) and BP (OR=1.22, 95% CI 1.04-2.14). Patients aged 50-59 (OR=6.12, 95% CI 2.14-7.21) and ≥60 (OR=7.59, 95% CI 4.75-11.82) years had increased odds of controlling their CD4 counts compared with those aged 18-29 years. Likewise, patients aged 40-49 (OR=5.73, 95% CI 1.98-8.43), 50-59 (OR=7.28, 95% CI 4.33-9.27) and ≥60 (OR=9.31, 95% CI 5.12-13.68) years had increased odds of controlling their BP. In contrast, men had decreased odds of controlling their CD4 count (OR=0.12, 95% CI 0.10-0.46) and BP (OR=0.21, 95% CI 0.19-0.47) than women. The ICDM model had a small but significant effect on BP control, hence, the need to more effectively leverage the HIV programme for optimal BP control in the setting.</t>
  </si>
  <si>
    <t>Clinical profiles of post-load glucose subgroups and their association with glycaemic traits over time: An IMI-DIRECT study.</t>
  </si>
  <si>
    <t>Obura, M; Beulens, J W J; Slieker, R; Koopman, A D M; Hoekstra, T; Nijpels, G; Elders, P; Dekker, J M; Koivula, R W; Kurbasic, A; Laakso, M; Hansen, T H; Ridderstråle, M; Hansen, T; Pavo, I; Forgie, I; Jablonka, B; Ruetten, H; Mari, A; McCarthy, M I; Walker, M; McDonald, T J; Perry, M H; Pearson, E R; Franks, P W; 't Hart, L M; Rutters, F; ,</t>
  </si>
  <si>
    <t>https://pubmed.ncbi.nlm.nih.gov/33067862</t>
  </si>
  <si>
    <t>To examine the hypothesis that, based on their glucose curves during a seven-point oral glucose tolerance test, people at elevated type 2 diabetes risk can be divided into subgroups with different clinical profiles at baseline and different degrees of subsequent glycaemic deterioration. We included 2126 participants at elevated type 2 diabetes risk from the Diabetes Research on Patient Stratification (IMI-DIRECT) study. Latent class trajectory analysis was used to identify subgroups from a seven-point oral glucose tolerance test at baseline and follow-up. Linear models quantified the associations between the subgroups with glycaemic traits at baseline and 18 months. At baseline, we identified four glucose curve subgroups, labelled in order of increasing peak levels as 1-4. Participants in Subgroups 2-4, were more likely to have higher insulin resistance (homeostatic model assessment) and a lower Matsuda index, than those in Subgroup 1. Overall, participants in Subgroups 3 and 4, had higher glycaemic trait values, with the exception of the Matsuda and insulinogenic indices. At 18 months, change in homeostatic model assessment of insulin resistance was higher in Subgroup 4 (β = 0.36, 95% CI 0.13-0.58), Subgroup 3 (β = 0.30; 95% CI 0.10-0.50) and Subgroup 2 (β = 0.18; 95% CI 0.04-0.32), compared to Subgroup 1. The same was observed for C-peptide and insulin. Five subgroups were identified at follow-up, and the majority of participants remained in the same subgroup or progressed to higher peak subgroups after 18 months. Using data from a frequently sampled oral glucose tolerance test, glucose curve patterns associated with different clinical characteristics and different rates of subsequent glycaemic deterioration can be identified.</t>
  </si>
  <si>
    <t>[Forecasting the Pandemic: The Role of Mathematical Models].</t>
  </si>
  <si>
    <t>Gomes, Manuel Carmo; Nunes, Ana; Nogueira, João; Rebelo, Carlota; Viana, João; Rozhnova, Ganna</t>
  </si>
  <si>
    <t>acta medica portuguesa</t>
  </si>
  <si>
    <t>https://pubmed.ncbi.nlm.nih.gov/33160432</t>
  </si>
  <si>
    <t>Anti-Müllerian Hormone Levels and Risk of Cancer in Women.</t>
  </si>
  <si>
    <t>Verdiesen, Renée M G; van Gils, Carla H; Stellato, Rebecca K; Verschuren, W M Monique; Broekmans, Frank J M; de Kat, Annelien C; van der Schouw, Yvonne T; Onland-Moret, N Charlotte</t>
  </si>
  <si>
    <t>https://pubmed.ncbi.nlm.nih.gov/33308632</t>
  </si>
  <si>
    <t>To examine if age-specific anti-Müllerian hormone (AMH) levels are associated with cancer risk; and to investigate if age-related AMH trajectories differ between women who develop cancer and women who do not. More specifically, we examined associations with breast cancer, cancers in other tissues expressing AMH receptor AMHR2, and cancers in non-AMHR2-expressing tissues. We included longitudinal data from 3025 women in the prospective Doetinchem Cohort Study. Cox proportional hazards models were used to assess the association of baseline age-specific AMH tertiles with cancer. We applied linear mixed models to compare age-related AMH trajectories between women who were diagnosed with cancer and women who were not. Cancer (n = 385; 139 breast cancers, 112 cancers in other AMHR2-expressing tissues, 134 cancers in non-AMHR2-expressing tissues). Overall, baseline age-specific AMH levels were not associated with cancer risk, although in women ≤ 40 years an increased risk was suggested for breast cancer (HR&lt;sub&gt;T2:T1&lt;/sub&gt; = 2.06, 95%CI = 0.95-4.48; HR&lt;sub&gt;T3:T1&lt;/sub&gt; = 2.03, 95%CI = 0.91-4.50). Analysis of age-related AMH trajectories suggested that AMH levels were higher at younger ages and declined faster in women who were diagnosed with cancer compared with women who were not, but our results did not provide evidence for actual differences in trajectories. Our results did not provide evidence for an association between age-specific AMH levels and age-related trajectories and risk of cancer. However, effect estimates for breast cancer were in line with risk-increasing effects found in previous studies.</t>
  </si>
  <si>
    <t>External validation of prognostic models predicting pre-eclampsia: individual participant data meta-analysis.</t>
  </si>
  <si>
    <t>Snell, Kym I E; Allotey, John; Smuk, Melanie; Hooper, Richard; Chan, Claire; Ahmed, Asif; Chappell, Lucy C; Von Dadelszen, Peter; Green, Marcus; Kenny, Louise; Khalil, Asma; Khan, Khalid S; Mol, Ben W; Myers, Jenny; Poston, Lucilla; Thilaganathan, Basky; Staff, Anne C; Smith, Gordon C S; Ganzevoort, Wessel; Laivuori, Hannele; Odibo, Anthony O; Arenas Ramírez, Javier; Kingdom, John; Daskalakis, George; Farrar, Diane; Baschat, Ahmet A; Seed, Paul T; Prefumo, Federico; da Silva Costa, Fabricio; Groen, Henk; Audibert, Francois; Masse, Jacques; Skråstad, Ragnhild B; Salvesen, Kjell Å; Haavaldsen, Camilla; Nagata, Chie; Rumbold, Alice R; Heinonen, Seppo; Askie, Lisa M; Smits, Luc J M; Vinter, Christina A; Magnus, Per; Eero, Kajantie; Villa, Pia M; Jenum, Anne K; Andersen, Louise B; Norman, Jane E; Ohkuchi, Akihide; Eskild, Anne; Bhattacharya, Sohinee; McAuliffe, Fionnuala M; Galindo, Alberto; Herraiz, Ignacio; Carbillon, Lionel; Klipstein-Grobusch, Kerstin; Yeo, Seon Ae; Browne, Joyce L; Moo</t>
  </si>
  <si>
    <t>https://pubmed.ncbi.nlm.nih.gov/33131506</t>
  </si>
  <si>
    <t>Pre-eclampsia is a leading cause of maternal and perinatal mortality and morbidity. Early identification of women at risk during pregnancy is required to plan management. Although there are many published prediction models for pre-eclampsia, few have been validated in external data. Our objective was to externally validate published prediction models for pre-eclampsia using individual participant data (IPD) from UK studies, to evaluate whether any of the models can accurately predict the condition when used within the UK healthcare setting. IPD from 11 UK cohort studies (217,415 pregnant women) within the International Prediction of Pregnancy Complications (IPPIC) pre-eclampsia network contributed to external validation of published prediction models, identified by systematic review. Cohorts that measured all predictor variables in at least one of the identified models and reported pre-eclampsia as an outcome were included for validation. We reported the model predictive performance as discrimination (C-statistic), calibration (calibration plots, calibration slope, calibration-in-the-large), and net benefit. Performance measures were estimated separately in each available study and then, where possible, combined across studies in a random-effects meta-analysis. Of 131 published models, 67 provided the full model equation and 24 could be validated in 11 UK cohorts. Most of the models showed modest discrimination with summary C-statistics between 0.6 and 0.7. The calibration of the predicted compared to observed risk was generally poor for most models with observed calibration slopes less than 1, indicating that predictions were generally too extreme, although confidence intervals were wide. There was large between-study heterogeneity in each model's calibration-in-the-large, suggesting poor calibration of the predicted overall risk across populations. In a subset of models, the net benefit of using the models to inform clinical decisions appeared small and limited to probability thresholds between 5 and 7%. The evaluated models had modest predictive performance, with key limitations such as poor calibration (likely due to overfitting in the original development datasets), substantial heterogeneity, and small net benefit across settings. The evidence to support the use of these prediction models for pre-eclampsia in clinical decision-making is limited. Any models that we could not validate should be examined in terms of their predictive performance, net benefit, and heterogeneity across multiple UK settings before consideration for use in practice. PROSPERO ID: CRD42015029349 .</t>
  </si>
  <si>
    <t>Association of Cardiovascular Risk Factors and Lifestyle Behaviors With Hypertension: A Mendelian Randomization Study.</t>
  </si>
  <si>
    <t>van Oort, Sabine; Beulens, Joline W J; van Ballegooijen, Adriana J; Grobbee, Diederick E; Larsson, Susanna C</t>
  </si>
  <si>
    <t>https://pubmed.ncbi.nlm.nih.gov/33131310</t>
  </si>
  <si>
    <t>Hypertension is a major risk factor for cardiovascular disease and mortality. To identify targets for the prevention of hypertension and its associated disease burden, we used the 2-sample Mendelian randomization method to investigate the causal associations of 18 cardiovascular risk factors and lifestyle behaviors with hypertension. From European-descent genome-wide association studies, we selected genetic variants (&lt;i&gt;P&lt;/i&gt;&lt;5×10&lt;sup&gt;-8&lt;/sup&gt;) for type 2 diabetes, fasting glucose, lipids, body mass index, smoking, alcohol and coffee consumption, physical activity, sleep duration, insomnia, and educational level. We extracted the genetic associations with hypertension from 2 European cohorts: the FinnGen Study (15 870 cases and 74 345 controls) and UK Biobank (54 358 cases and 408 652 controls). The inverse-variance weighted method was used as main analysis method. Genetically predicted triglycerides (pooled odds ratio [OR] per 1 SD, 1.17 [1.10-1.25]), body mass index (OR per 1 SD, 1.42 [1.37-1.48]), alcohol dependence (OR, 1.10 [1.06-1.13]), and insomnia (OR, 1.17 [1.13-1.20]) were associated with a higher odds of hypertension. Higher genetically predicted high-density lipoprotein cholesterol (OR per 1 SD, 0.88 [0.83-0.94]) and educational level (OR per 1 SD, 0.56 [0.54-0.59]) were associated with a lower odds of hypertension. Suggestive evidence was obtained for type 2 diabetes, smoking initiation and alcohol consumption with a higher hypertension odds, and longer sleep duration with a lower hypertension odds. This Mendelian randomization study identified high-density lipoprotein cholesterol, triglycerides, body mass index, alcohol dependence, insomnia, and educational level as causal risk factors for hypertension. This implicates that these modifiable risk factors are important targets in the prevention of hypertension.</t>
  </si>
  <si>
    <t>Computed tomography for diagnosis of acute appendicitis in adults.</t>
  </si>
  <si>
    <t>Rud, Bo; Vejborg, Thomas S; Rappeport, Eli D; Reitsma, Johannes B; Wille-Jørgensen, Peer</t>
  </si>
  <si>
    <t>emergencias revista de la sociedad espanola de medicina de emergencias</t>
  </si>
  <si>
    <t>https://pubmed.ncbi.nlm.nih.gov/33275365</t>
  </si>
  <si>
    <t>Microevolution of acquired colistin resistance in Enterobacteriaceae from ICU patients receiving selective decontamination of the digestive tract.</t>
  </si>
  <si>
    <t>Janssen, Axel B; van Hout, Denise; Bonten, Marc J M; Willems, Rob J L; van Schaik, Willem</t>
  </si>
  <si>
    <t>https://pubmed.ncbi.nlm.nih.gov/32712659</t>
  </si>
  <si>
    <t>Colistin is an antibiotic that targets the LPS molecules present in the membranes of Gram-negative bacteria. It is used as a last-resort drug to treat infections with MDR strains. Colistin is also used in selective decontamination of the digestive tract (SDD), a prophylactic therapy used in patients hospitalized in ICUs to selectively eradicate opportunistic pathogens in the oropharyngeal and gut microbiota. To unravel the mechanisms of acquired colistin resistance in Gram-negative opportunistic pathogens obtained from SDD-treated patients. Routine surveillance of 428 SDD-treated patients resulted in 13 strains with acquired colistin resistance (Escherichia coli, n = 9; Klebsiella aerogenes, n = 3; Enterobacter asburiae, n = 1) from 5 patients. Genome sequence analysis showed that these isolates represented multiple distinct colistin-resistant clones but that colistin-resistant strains within the same patient were clonally related. We identified previously described mechanisms that lead to colistin resistance, i.e. a G53 substitution in the response regulator PmrA/BasR and the acquisition of the mobile colistin resistance gene mcr-1.1, but we also observed novel variants of basR with an 18 bp deletion and a G19E substitution in the sensor histidine kinase BasS. We experimentally confirmed that these variants contribute to reduced colistin susceptibility. In a single patient, we observed that colistin resistance in a single E. coli clone evolved through two unique variants in basRS. We show that prophylactic use of colistin during SDD can select for colistin resistance in species that are not intrinsically colistin resistant. This highlights the importance of continued surveillance for strains with acquired colistin resistance in patients treated with SDD.</t>
  </si>
  <si>
    <t>Lower risk of severe checkpoint inhibitor toxicity in more advanced disease.</t>
  </si>
  <si>
    <t>Verheijden, Rik J; May, Anne M; Blank, Christian U; van der Veldt, Astrid A M; Boers-Sonderen, Marye J; Aarts, Maureen J B; van den Berkmortel, Franchette W P J; van den Eertwegh, Alfonsus J M; de Groot, Jan Willem B; van der Hoeven, Jacobus J M; Hospers, Geke A P; Piersma, Djura; van Rijn, Rozemarijn S; Ten Tije, Albert J; Vreugdenhil, Gerard; van Zeijl, Michiel C T; Wouters, Michel W J M; Haanen, John B A G; Kapiteijn, Ellen; Suijkerbuijk, Karijn P M</t>
  </si>
  <si>
    <t>https://pubmed.ncbi.nlm.nih.gov/33199288</t>
  </si>
  <si>
    <t>Immune checkpoint inhibitor (ICI) can cause severe and sometimes fatal immune-related adverse events (irAEs). Since these irAEs mimick immunological disease, a female predominance has been speculated on. Nevertheless, no demographic or tumour-related factors associated with an increased risk of irAEs have been identified until now. Risk ratios of severe (grade ≥3) irAEs for age, sex, WHO performance status, number of comorbidities, stage of disease, number of metastases and serum lactate dehydrogenases (LDH) were estimated using data from anti-PD1-treated patients with advanced melanoma in the prospective nationwide Dutch Melanoma Treatment Registry. 111 (11%) out of 819 anti-programmed cell death 1 treated patients experienced severe irAEs. Patients with non-lung visceral metastases (stage IV M1c or higher) less often experienced severe irAEs (11%) compared with patients with only lung and/or lymph node/soft tissue involvement (stage IV M1b or lower; 19%; adjusted risk ratio (RR&lt;sub&gt;adj&lt;/sub&gt;) 0.63; 95% CI 0.41 to 0.94). Patients with LDH of more than two times upper limit of normal had a non-significantly lower risk of developing severe irAEs than those with normal LDH (RR&lt;sub&gt;adj&lt;/sub&gt; 0.65; 95% CI 0.20 to 2.13). None of the other variables were associated with severe irAEs. In patients with melanoma, more advanced disease is associated with a lower rate of severe irAEs. No association with sex was found.</t>
  </si>
  <si>
    <t>Squamous cell carcinoma of the mandible - Patterns of metastasis and disease recurrence in dependence of localization and therapy.</t>
  </si>
  <si>
    <t>Moratin, Julius; Horn, Dominik; Metzger, Karl; Ristow, Oliver; Flechtenmacher, Christa; Engel, Michael; Hoffmann, Jürgen; Freier, Kolja; Freudlsperger, Christian</t>
  </si>
  <si>
    <t>journal of craniomaxillofacial surgery official publication of the european association for craniomaxillofacial surgery</t>
  </si>
  <si>
    <t>https://pubmed.ncbi.nlm.nih.gov/33199211</t>
  </si>
  <si>
    <t>Oral squamous cell carcinomas exhibit distinct patterns of disease progression, depending on their localisation. This study aimed to evaluate clinicopathological data in patients with tumors of the mandibular alveolar process, to facilitate risk assessment and therapy planning. A retrospective cohort study was designed including patients with squamous cell carcinoma of the mandibular gingiva. Clinical and pathological data were collected to determine the rate of cervical metastases and clinical outcomes depending on tumor stage, localization (anterior, intermediate and posterior) and the extent of tumor resection. 120 patients were included in the analysis. Rate of metastases was 42.6%. Tumors of the anterior part of the mandible exhibited significantly higher rates of bilateral metastases (anterior: 85.7%, intermediate: 15.8%, posterior: 4%, p &lt; 0.001) and local recurrence (anterior: 25%, intermediate: 16.3%, posterior: 5.5%, p = 0.03) compared to posterior malignancies. Tumors of the anterior segment of the mandible are characterized by high rates of metastases and local recurrence. Therefore, we propose radical segmental resection and bilateral neck dissection in those patients.</t>
  </si>
  <si>
    <t>Training general practitioners to improve evidence-based drug treatment of patients with heart failure: a cluster randomised controlled trial.</t>
  </si>
  <si>
    <t>Valk, M J M; Hoes, A W; Mosterd, A; Landman, M A; Zuithoff, N P A; Broekhuizen, B D L; Rutten, F H</t>
  </si>
  <si>
    <t>https://pubmed.ncbi.nlm.nih.gov/32997300</t>
  </si>
  <si>
    <t>To assess whether a single training session for general practitioners (GPs) improves the evidence-based drug treatment of heart failure (HF) patients, especially of those with HF with reduced ejection fraction (HFrEF). A cluster randomised controlled trial was performed for which patients with established HF were eligible. Primary care practices (PCPs) were randomised to care-as-usual or to the intervention group in which GPs received a half-day training session on HF management. Changes in HF medication, health status, hospitalisation and survival were compared between the two groups. Fifteen PCPs with 200 HF patients were randomised to the intervention group and 15 PCPs with 198 HF patients to the control group. Mean age was 76.9 (SD 10.8) years; 52.5% were female. On average, the patients had been diagnosed with HF 3.0 (SD 3.0) years previously. In total, 204 had HFrEF and 194 HF with preserved ejection fraction (HFpEF). In participants with HFrEF, the use of angiotensin-converting enzyme inhibitors/angiotensin receptor blockers decreased in 6 months in both groups [5.2%; (95% confidence interval (CI) 2.0-10.0)] and 5.6% (95% CI 2.8-13.4)], respectively [baseline-corrected odds ratio (OR) 1.07 (95% CI 0.55-2.08)], while beta-blocker use increased in both groups by 5.2% (95% CI 2.0-10.0) and 1.1% (95% CI 0.2-6.3), respectively [baseline-corrected OR 0.82 (95% CI 0.42-1.61)]. For health status, hospitalisations or survival after 12-28 months there were no significant differences between the two groups, also not when separately analysed for HFrEF and HFpEF. A half-day training session for GPs does not improve drug treatment of HF in patients with established HF.</t>
  </si>
  <si>
    <t>Oncology patients were found to understand and accept the Trials within Cohorts design.</t>
  </si>
  <si>
    <t>Young-Afat, Danny A; Gal, Roxanne; Gerlich, Sophie; Burbach, Johannes P M; van der Velden, Joanne M; van den Bongard, Desireé H J G; Intven, Martijn P W; Kasperts, Nicolien; May, Anne M; van der Graaf, Rieke; van Gils, Carla H; Verkooijen, Helena M</t>
  </si>
  <si>
    <t>https://pubmed.ncbi.nlm.nih.gov/33130236</t>
  </si>
  <si>
    <t>The Trials within Cohorts design aims to reduce recruitment difficulties and disappointment bias in pragmatic trials. On cohort enrollment, broad informed consent for randomization is asked, after which cohort participants can be randomized to interventions or serve as controls without further notification. We evaluated patients' recollection, understanding, and acceptance of broad consent in a clinical oncology setting. We surveyed 610 patients with cancer participating in ongoing TwiCs; 482 patients (79%) responded, of which 312 patients shortly after cohort enrollment, 108 patients after randomization to an intervention (12-18 months after cohort enrollment), and a random sample of 62 cohort participants who had not been selected for interventions (1-6 months after cohort enrollment). Shortly after providing cohort consent, 76% of patients (238/312) adequately remembered whether they had given broad consent for randomization. Of patients randomly offered interventions, 76% (82/108) remembered giving broad consent for randomization; 41% (44/108) understood they were randomly selected, 44% (48/108) were not interested in selection procedures, and 10% (11/108) did not understand selection was random. Among patients not selected for interventions, 42% (26/62) understood selection was random; 89% felt neutral regarding the scenario of "not being selected for an intervention while your data were being used in comparison with patients receiving interventions," 10% felt reassured (6/62) and 2% scared/insecure (2/62). Patients adequately remember giving broad consent for randomization shortly after cohort enrollment and after being offered an intervention, but recollection is lower in those never selected for interventions. Patients are acceptant of serving as control without further notifications.</t>
  </si>
  <si>
    <t>Barriers and facilitators to reduce low-value care: a qualitative evidence synthesis.</t>
  </si>
  <si>
    <t>van Dulmen, S A; Naaktgeboren, C A; Heus, Pauline; Verkerk, Eva W; Weenink, J; Kool, Rudolf Bertijn; Hooft, Lotty</t>
  </si>
  <si>
    <t>https://pubmed.ncbi.nlm.nih.gov/33127636</t>
  </si>
  <si>
    <t>To assess barriers and facilitators to de-implementation. A qualitative evidence synthesis with a framework analysis. Medline, Embase, Cochrane Library and Rx for Change databases until September 2018 were searched. We included studies that primarily focused on identifying factors influencing de-implementation or the continuation of low-value care, and studies describing influencing factors related to the effect of a de-implementation strategy. The factors were classified on five levels: individual provider, individual patient, social context, organisational context, economic/political context. We identified 333 factors in 81 articles. Factors related to the individual provider (n=131; 74% barriers, 17% facilitators, 9% both barrier/facilitator) were associated with their attitude (n=72; 55%), knowledge/skills (n=43; 33%), behaviour (n=11; 8%) and provider characteristics (n=5; 4%). Individual patient factors (n=58; 72% barriers, 9% facilitators, 19% both barrier/facilitator) were mainly related to knowledge (n=33; 56%) and attitude (n=13; 22%). Factors related to the social context (n=46; 41% barriers, 48% facilitators, 11% both barrier/facilitator) included mainly professional teams (n=23; 50%) and professional development (n=12; 26%). Frequent factors in the organisational context (n=67; 67% barriers, 25% facilitators, 8% both barrier/facilitator) were available resources (n=28; 41%) and organisational structures and work routines (n=24; 36%). Under the category of economic and political context (n=31; 71% barriers, 13% facilitators, 16% both barrier/facilitator), financial incentives were most common (n=27; 87%). This study provides in-depth insight into the factors within the different (sub)categories that are important in reducing low-value care. This can be used to identify barriers and facilitators in low-value care practices or to stimulate development of strategies that need further refinement. We conclude that multifaceted de-implementation strategies are often necessary for effective reduction of low-value care. Situation-specific knowledge of impeding or facilitating factors across all levels is important for designing tailored de-implementation strategies.</t>
  </si>
  <si>
    <t>Candidate Gene Analysis Reveals Strong Association of &lt;i&gt;CETP&lt;/i&gt; Variants With High Density Lipoprotein Cholesterol and &lt;i&gt;PCSK9&lt;/i&gt; Variants With Low Density Lipoprotein Cholesterol in Ghanaian Adults: An AWI-Gen Sub-Study.</t>
  </si>
  <si>
    <t>Agongo, Godfred; Amenga-Etego, Lucas; Nonterah, Engelbert A; Debpuur, Cornelius; Choudhury, Ananyo; Bentley, Amy R; Oduro, Abraham R; Rotimi, Charles N; Crowther, Nigel J; Ramsay, Michèle; ,; H Africa,</t>
  </si>
  <si>
    <t>frontiers in genetics</t>
  </si>
  <si>
    <t>https://pubmed.ncbi.nlm.nih.gov/33193594</t>
  </si>
  <si>
    <t>Variations in lipid levels are attributed partly to genetic factors. Genome-wide association studies (GWASs) mainly performed in European, African American and Asian cohorts have identified variants associated with LDL-C, HDL-C, total cholesterol (TC) and triglycerides (TG), but few studies have been performed in sub-Saharan Africans. This study evaluated the effect of single nucleotide variants (SNVs) in eight candidate loci (&lt;i&gt;ABCA1&lt;/i&gt;, &lt;i&gt;LCAT&lt;/i&gt;, &lt;i&gt;LPL&lt;/i&gt;, &lt;i&gt;PON1&lt;/i&gt;, &lt;i&gt;CETP&lt;/i&gt;, &lt;i&gt;PCSK9&lt;/i&gt;, &lt;i&gt;MVK&lt;/i&gt;, and &lt;i&gt;MMAB&lt;/i&gt;) on lipid levels among 1855 Ghanaian adults. All lipid levels were measured directly using an automated analyser. DNA was extracted and genotyped using the H3Africa SNV array. Linear regression models were used to test the association between SNVs and log-transformed lipid levels, adjusting for sex, age and waist circumference. In addition Bonferroni correction was performed to account for multiple testing. Several variants of &lt;i&gt;CETP&lt;/i&gt;, &lt;i&gt;LCAT&lt;/i&gt;, &lt;i&gt;PCSK9&lt;/i&gt;, and &lt;i&gt;PON1&lt;/i&gt; (MAF &gt; 0.05) were associated with HDL-C, LDL-C and TC levels at &lt;i&gt;p&lt;/i&gt; &lt; 0.05. The lead variants for association with HDL-C were rs17231520 in &lt;i&gt;CETP&lt;/i&gt; (β = 0.139, &lt;i&gt;p&lt;/i&gt; &lt; 0.0001) and rs1109166 in &lt;i&gt;LCAT&lt;/i&gt; (β = -0.044, &lt;i&gt;p&lt;/i&gt; = 0.028). Lower LDL-C levels were associated with an intronic variant in &lt;i&gt;PCSK9&lt;/i&gt; (rs11806638 [β = -0.055, &lt;i&gt;p&lt;/i&gt; = 0.027]) and increased TC was associated with a variant in &lt;i&gt;PON1&lt;/i&gt; (rs854558 [β = 0.040, &lt;i&gt;p&lt;/i&gt; = 0.020]). &lt;i&gt;In silico&lt;/i&gt; functional analyses indicated that these variants likely influence gene function through their effect on gene transcription. We replicated a strong association between &lt;i&gt;CETP&lt;/i&gt; variants and HDL-C and between &lt;i&gt;PCSK9&lt;/i&gt; variant and LDL-C in West Africans, with two potentially functional variants and identified three novel variants in linkage disequilibrium in &lt;i&gt;PON1&lt;/i&gt; which were associated with increasing TC levels in Ghanaians.</t>
  </si>
  <si>
    <t>Natriuretic peptides for the detection of diastolic dysfunction and heart failure with preserved ejection fraction-a systematic review and meta-analysis.</t>
  </si>
  <si>
    <t>Remmelzwaal, Sharon; van Ballegooijen, Adriana J; Schoonmade, Linda J; Dal Canto, Elisa; Handoko, M Louis; Henkens, Michiel T H M; van Empel, Vanessa; Heymans, Stephane R B; Beulens, Joline W J</t>
  </si>
  <si>
    <t>https://pubmed.ncbi.nlm.nih.gov/33121502</t>
  </si>
  <si>
    <t>An overview of the diagnostic performance of natriuretic peptides (NPs) for the detection of diastolic dysfunction (DD) and heart failure with preserved ejection fraction (HFpEF), in a non-acute setting, is currently lacking. We performed a systematic literature search in PubMed and Embase.com (May 13, 2019). Studies were included when they (1) reported diagnostic performance measures, (2) are for the detection of DD or HFpEF in a non-acute setting, (3) are compared with a control group without DD or HFpEF or with patients with heart failure with reduced ejection fraction, (4) are in a cross-sectional design. Two investigators independently assessed risk of bias of the included studies according to the QUADAS-2 checklist. Results were meta-analysed when three or more studies reported a similar diagnostic measure. From 11,728 titles/abstracts, we included 51 studies. The meta-analysis indicated a reasonable diagnostic performance for both NPs for the detection of DD and HFpEF based on AUC values of approximately 0.80 (0.73-0.87; I&lt;sup&gt;2&lt;/sup&gt; = 86%). For both NPs, sensitivity was lower than specificity for the detection of DD and HFpEF: approximately 65% (51-85%; I&lt;sup&gt;2&lt;/sup&gt; = 95%) versus 80% (70-90%; I&lt;sup&gt;2&lt;/sup&gt; = 97%), respectively. Both NPs have adequate ability to rule out DD: negative predictive value of approximately 85% (78-93%; I&lt;sup&gt;2&lt;/sup&gt; = 95%). The ability of both NPs to prove DD is lower: positive predictive value of approximately 60% (30-90%; I&lt;sup&gt;2&lt;/sup&gt; = 99%). The diagnostic performance of NPs for the detection of DD and HFpEF is reasonable. However, they may be used to rule out DD or HFpEF, and not for the diagnosis of DD or HFpEF.</t>
  </si>
  <si>
    <t>Time trends in the use and appropriateness of natriuretic peptide testing in primary care: an observational study.</t>
  </si>
  <si>
    <t>Valk, Mark; Hoes, Arno W; Mosterd, Arend; Broekhuizen, Brenda; Zuithoff, Nicolaas; Rutten, Frans H</t>
  </si>
  <si>
    <t>https://pubmed.ncbi.nlm.nih.gov/32788172</t>
  </si>
  <si>
    <t>Diagnosing heart failure (HF) is difficult, relying on medical history, symptoms, and signs only. Clinical guidelines recommend natriuretic peptides (NPs) as an additional diagnostic test, notably to exclude HF in suspected patients. NP testing has been available since 2003 for primary care in the Netherlands, but little is known about its uptake. To evaluate the trend in ordering and appropriateness of NP testing in primary care. An observational study was performed between January 2005 and December 2013. Nine Dutch general practices participated, with 21 000 registered people (approximately 4300 aged ≥65 years). The total number of patients undergoing NP testing each year was calculated per 1000 patient years (PY) based on the total practice population. NP levels were used to assess whether NP testing was applied to exclude or confirm HF. The number of NP testing increased from 2.5 per 1000 PY in 2005 to 14.0 per 1000 PY in 2013, with a peak in 2009 of 15.6 per 1000 PY. The proportion of participants with N-terminal B-type natriuretic peptide (NTproBNP) below 125 pg/ml (the exclusionary threshold recommended by the European Society of Cardiology [ESC] guidelines on HF) was on average 30%, and highest in the first year (47%). After a rapid uptake of NP testing in primary care from 2005 onwards, the use of it seemed to stabilise after 2009, thus leaving patients who are prone to HF without an optimal diagnostic work-up.</t>
  </si>
  <si>
    <t>Ethics and the marketing authorization of pharmaceuticals: what happens to ethical issues discovered post-trial and pre-marketing authorization?</t>
  </si>
  <si>
    <t>Bernabe, Rosemarie D L C; van Thiel, Ghislaine J M W; Breekveldt, Nancy S; Gispen, Christine C; van Delden, Johannes J M</t>
  </si>
  <si>
    <t>https://pubmed.ncbi.nlm.nih.gov/33109181</t>
  </si>
  <si>
    <t>In the EU, clinical assessors, rapporteurs and the Committee for Medicinal Products for Human Use are obliged to assess the ethical aspects of a clinical development program and include major ethical flaws in the marketing authorization deliberation processes. To this date, we know very little about the manner that these regulators put this obligation into action. In this paper, we intend to look into the manner and the extent that ethical issues discovered during inspection have reached the deliberation processes. To gather data, we used the Dutch Medicines Evaluation Board database and first searched for the inspections, and their accompanying site inspection reports and integrated inspection reports, related to central marketing authorization applications (henceforth, application/s) of drugs submitted to the European Medicines Agency (EMA) from 2011 to 2015. We then extracted inspection findings that were purely of ethical nature, i.e., those that did not affect the benefit/risk balance of the study (issues related to informed consent, research ethics committees, and respect for persons). Only findings graded at least major by the inspectorate were included. Lastly, to identify how many of the ethically relevant findings (ERFs) reach the application deliberation processes, we extracted the relevant joint response assessment reports and reviewed the sections that discussed inspection findings. From 2011 to 2015, there were 390 processed applications, of which 65 had inspection reports and integrated inspection reports accessible via the database of the Dutch Medicines Evaluation Board. Of the 65, we found ERFs in 37 (56.9%). The majority of the ERFs were graded as major and half of the time it was informed-consent related. A third of these findings were related to research ethics committee processes and requirements. Of the 37 inspections with ERFs, 30 were endorsed in the integrated inspection reports as generally GCP compliant. Day 150 joint response assessment reports and Day 180 list of outstanding issues were reviewed for all 37 inspections, and none of the ERFs were carried over in any of the assessment reports or list of outstanding issues. None of the ethically relevant findings, all of which were graded as major or critical in integrated inspection reports, were explicitly carried over to the joint assessment reports. This calls for more transparency in EMA application deliberations on how ERFs are considered, if at all, in the decision-making processes.</t>
  </si>
  <si>
    <t>Rationale and design of the CLEAR-outcomes trial: Evaluating the effect of bempedoic acid on cardiovascular events in patients with statin intolerance.</t>
  </si>
  <si>
    <t>Nicholls, StephenJ; Lincoff, A Michael; Bays, Harold E; Cho, Leslie; Grobbee, Diederick E; Kastelein, John Jp; Libby, Peter; Moriarty, Patrick M; Plutzky, Jorge; Ray, Kausik K; Thompson, Paul D; Sasiela, William; Mason, Denise; McCluskey, Jaclyn; Davey, Deborah; Wolski, Kathy; Nissen, Steven E</t>
  </si>
  <si>
    <t>https://pubmed.ncbi.nlm.nih.gov/33470195</t>
  </si>
  <si>
    <t>Although statins play a pivotal role in the prevention of atherosclerotic cardiovascular disease, many patients fail to achieve recommended lipid levels due to statin-associated muscle symptoms. Bempedoic acid is an oral pro-drug that is activated in the liver and inhibits cholesterol synthesis in hepatocytes, but is not activated in skeletal muscle which has the potential to avoid muscle-related adverse events. Accordingly, this agent effectively lowers atherogenic lipoproteins in patients who experience statin-associated muscle symptoms. However, the effects of bempedoic acid on cardiovascular morbidity and mortality have not been studied. STUDY DESIGN: Cholesterol Lowering via Bempedoic acid, an ACL-Inhibiting Regimen (CLEAR) Outcomes is a randomized, double-blind, placebo-controlled clinical trial. Included patients must have all of the following: (i) established atherosclerotic cardiovascular disease or have a high risk of developing atherosclerotic cardiovascular disease, (ii) documented statin intolerance, and (iii) an LDL-C ≥100 mg/dL on maximally-tolerated lipid-lowering therapy. The study randomized 14,014 patients to treatment with bempedoic acid 180 mg daily or matching placebo on a background of guideline-directed medical therapy. The primary outcome is a composite of the time to first cardiovascular death, nonfatal myocardial infarction, nonfatal stroke, or coronary revascularization. The trial will continue until 1620 patients experience a primary endpoint, with a minimum of 810 hard ischemic events (cardiovascular death, nonfatal myocardial infarction or nonfatal stroke) and minimum treatment duration of 36 months and a projected median treatment exposure of 42 months. CONCLUSIONS: CLEAR Outcomes will determine whether bempedoic acid 180 mg daily reduces the incidence of adverse cardiovascular events in high vascular risk patients with documented statin intolerance and elevated LDL-C levels.</t>
  </si>
  <si>
    <t>Subtyping Cutaneous Melanoma Matters.</t>
  </si>
  <si>
    <t>El Sharouni, Mary-Ann; van Diest, Paul Johannes; Witkamp, Arjen Joost; Sigurdsson, Vigfús; van Gils, Carla Henrica</t>
  </si>
  <si>
    <t>https://pubmed.ncbi.nlm.nih.gov/33409460</t>
  </si>
  <si>
    <t>Our aim was to investigate the role of melanoma subtype on survival and focus on the effects stratified by Breslow thickness and ulceration status. Patients with cutaneous melanoma stage I, II, or III diagnosed between 2000 and 2014 were derived from the Dutch Nationwide Pathology Registry and overall survival data from the Netherlands Cancer Registry. Patients were followed until 2018. Using multivariable Cox proportional hazards models, hazard ratios were calculated for each melanoma subtype, per Breslow thickness category and ulceration status, and adjusted for age, sex, stage, and localization. A total of 48 361 patients were included: 79.3% had superficial spreading melanoma (SSM), 14.6% nodular melanoma (NM), 5.2% lentigo maligna melanoma, and 0.9% acral lentiginous melanoma (ALM). In the total patient group, using SSM as the reference category, adjusted hazard ratios were 1.06 (95% confidence interval [CI] = 1.01 to 1.12) for NM, 1.02 (95% CI = 0.93 to 1.13) for lentigo maligna melanoma, and 1.26 (95% = CI 1.06 to 1.50) for ALM. Among patients with 1.0 mm or less Breslow thickness and no ulceration, NM showed a twofold increased risk (hazard ratio = 1.96, 95% CI = 1.58 to 2.45) compared with SSM. Compared with 1.0 mm or less SSM without ulceration, the hazard ratio for 1.0 mm or less SSM with ulceration was 1.94 (95% CI = 1.55 to 2.44), and the hazard ratio for 1.0 mm or less NM with ulceration was 3.46 (95% CI = 2.17 to 5.50). NM patients with tumors greater than 1.0 mm did not show worse survival than SSM patients with tumors greater than 1.0 mm. In this large nationwide study, ALM patients showed worse survival than SSM patients. Among patients with melanomas that were thin (1.0 mm or less), NM subtype patients also showed worse survival than SSM patients.</t>
  </si>
  <si>
    <t>Comparing Conventional Chemotherapy to Chronomodulated Chemotherapy for Cancer Treatment: Protocol for a Systematic Review.</t>
  </si>
  <si>
    <t>Kilgallen, Aoife B; Štibler, Urška; Printezi, Markella I; Putker, Marrit; Punt, Cornelis J A; Sluijter, Joost P G; May, Anne M; van Laake, Linda W</t>
  </si>
  <si>
    <t>https://pubmed.ncbi.nlm.nih.gov/33084590</t>
  </si>
  <si>
    <t>Chronomodulated chemotherapy aims to achieve maximum drug safety and efficacy by adjusting the time of treatment to an optimal biological time as determined by the circadian clock. Although it is a promising alternative to conventional (non-time-stipulated) chemotherapy in several instances, the lack of scientific consensus and the increased logistical burden of timed administration limit the use of a chronomodulated administration protocol. With the goal to increase scientific consensus on this subject, we plan to conduct a systematic review of the current literature to compare the drug safety and efficacy of chronomodulated chemotherapy with those of conventional chemotherapy. This systematic review will comply with the PRISMA (Preferred Reporting Items for the Systematic Reviews and Meta-Analysis) guidelines. In order to identify relevant studies, we conducted a comprehensive search in PubMed and Embase on May 18, 2020. We included clinical studies that compare either the safety or efficacy of chronomodulated chemotherapy with that of conventional chemotherapy. Potential studies will be reviewed and screened by 2 independent reviewers. Quality assessment will be performed using the National Institutes of Health's Study Quality Assessment Tool (Quality Assessment of Controlled Intervention Studies). Disagreements will be resolved by consulting a third independent reviewer. This protocol has received funding, and the search for studies from databases commenced on May 18, 2020. The systematic review is planned to be completed by October 31, 2020. In this systematic review, we will compare drug safety and drug efficacy for cancer patients who were administered either chronomodulated chemotherapy or conventional chemotherapy. Moreover, we will highlight the outcomes and quality of the selected trials for this review. PROSPERO International Prospective Register of Systematic Reviews CRD42020177878; https://tinyurl.com/y53w9nq6. PRR1-10.2196/18023.</t>
  </si>
  <si>
    <t>Lessons Learned from Setting Up a Prospective, Longitudinal, Multicenter Study with Women at High Risk for Breast Cancer.</t>
  </si>
  <si>
    <t>Patuleia, Susana I S; Hagenaars, Sophie C; Moelans, Cathy B; Ausems, Margreet G E M; van Gils, Carla H; Tollenaar, Rob A E M; van Diest, Paul J; Mesker, Wilma E; van der Wall, Elsken</t>
  </si>
  <si>
    <t>https://pubmed.ncbi.nlm.nih.gov/33082203</t>
  </si>
  <si>
    <t>Women identified with an increased risk of breast cancer due to mutations in cancer susceptibility genes or a familial history of breast cancer undergo tailored screening with the goal of detecting tumors earlier, when potential curative interventions are still possible. Ideally, screening would identify signs of carcinogenesis even before a tumor is detectable by imaging. This could be achieved by timely signaling of altered biomarker levels for precancerous processes in liquid biopsies. Currently, the Nipple Aspirate Fluid (NAF) and the Trial Early Serum Test BREAST cancer (TESTBREAST), both ongoing, prospective, multicenter studies, are investigating biomarkers in liquid biopsies to improve breast cancer screening in high-risk women. The NAF study focuses on changes over time in miRNA expression levels both in blood and NAF samples, whereas the TESTBREAST study analyzes changes in protein levels in blood samples at sequential interval timepoints. These within-subject changes are studied in relation to later occurrence of breast cancer using a nested case-control design. These longitudinal studies face their own challenges in execution, such as hindrances in logistics and in sample processing that were difficult to anticipate. This article offers insight into those challenges and concurrently aims to provide useful strategies for the set-up of similar studies.&lt;i&gt;See related commentary by Sauter, p. 429&lt;/i&gt;.</t>
  </si>
  <si>
    <t>Self-care of heart failure patients: practical management recommendations from the Heart Failure Association of the European Society of Cardiology.</t>
  </si>
  <si>
    <t>Jaarsma, Tiny; Hill, Loreena; Bayes-Genis, Antoni; La Rocca, Hans-Peter Brunner; Castiello, Teresa; Čelutkienė, Jelena; Marques-Sule, Elena; Plymen, Carla M; Piper, Susan E; Riegel, Barbara; Rutten, Frans H; Ben Gal, Tuvia; Bauersachs, Johann; Coats, Andrew J S; Chioncel, Ovidiu; Lopatin, Yuri; Lund, Lars H; Lainscak, Mitja; Moura, Brenda; Mullens, Wilfried; Piepoli, Massimo F; Rosano, Giuseppe; Seferovic, Petar; Strömberg, Anna</t>
  </si>
  <si>
    <t>https://pubmed.ncbi.nlm.nih.gov/32945600</t>
  </si>
  <si>
    <t>Self-care is essential in the long-term management of chronic heart failure. Heart failure guidelines stress the importance of patient education on treatment adherence, lifestyle changes, symptom monitoring and adequate response to possible deterioration. Self-care is related to medical and person-centred outcomes in patients with heart failure such as better quality of life as well as lower mortality and readmission rates. Although guidelines give general direction for self-care advice, health care professionals working with patients with heart failure need more specific recommendations. The aim of the management recommendations in this paper is to provide practical advice for health professionals delivering care to patients with heart failure. Recommendations for nutrition, physical activity, medication adherence, psychological status, sleep, leisure and travel, smoking, immunization and preventing infections, symptom monitoring, and symptom management are consistent with information from guidelines, expert consensus documents, recent evidence and expert opinion.</t>
  </si>
  <si>
    <t>Who is that nurse?: Transferring knowledge requires clarity about professional titles.</t>
  </si>
  <si>
    <t>Lovink, Marleen H; Persoon, Anke; Finnema, Evelyn; Francke, Anneke L; Schoonhoven, Lissette; Holle, Daniela; Palm, Prof Rebecca; Backhaus, Ramona</t>
  </si>
  <si>
    <t>https://pubmed.ncbi.nlm.nih.gov/33212329</t>
  </si>
  <si>
    <t>Cross-sectional associations of amyloid burden with semantic cognition in older adults without dementia: A systematic review and meta-analysis.</t>
  </si>
  <si>
    <t>Vonk, Jet M J; Twait, Emma L; Scholten, Rob J P M; Geerlings, Mirjam I</t>
  </si>
  <si>
    <t>mechanisms of ageing and development</t>
  </si>
  <si>
    <t>https://pubmed.ncbi.nlm.nih.gov/33091462</t>
  </si>
  <si>
    <t>Previous research suggests the presence of subtle semantic decline in early stages of Alzheimer's disease. This study investigated associations between amyloid burden, a biomarker for Alzheimer's disease, and tasks of semantic impairment in older individuals without dementia. A systematic search in MEDLINE, PsycINFO, and Embase yielded 3691 peer-reviewed articles excluding duplicates. After screening, 41 studies with overall 7495 participants were included in the meta-analysis and quality assessment. The overall weighted effect size of the association between larger amyloid burden and larger semantic impairment was 0.10 (95% CI [-0.03; 0.22], p = 0.128) for picture naming, 0.19 (95% CI [0.11; 0.27], p &lt; 0.001) for semantic fluency, 0.15 (95% CI [-0.15; 0.45], p = 0.326) for vocabulary, and 0.10 (95% CI [-0.14; 0.35], p = 0.405; 2 studies) for WAIS Information. Risk of bias was highest regarding comparability, as effect sizes were often not calculated on covariate-adjusted statistics. The relevance of the indicated amyloid-related decline in semantic fluency for research and clinical applications is likely negligible due to the effect's small magnitude. Future research should develop more sensitive metrics of semantic fluency to optimize its use for early detection of Alzheimer's disease-related cognitive impairment.</t>
  </si>
  <si>
    <t>Association Between β-Blocker Use and Mortality/Morbidity in Patients With Heart Failure With Reduced, Midrange, and Preserved Ejection Fraction and Advanced Chronic Kidney Disease.</t>
  </si>
  <si>
    <t>Fu, Edouard L; Uijl, Alicia; Dekker, Friedo W; Lund, Lars H; Savarese, Gianluigi; Carrero, Juan J</t>
  </si>
  <si>
    <t>https://pubmed.ncbi.nlm.nih.gov/33070637</t>
  </si>
  <si>
    <t>It is unknown if β-blockers reduce mortality/morbidity in patients with heart failure (HF) and advanced chronic kidney disease (CKD), a population underrepresented in HF trials. Observational cohort of HF patients with advanced CKD (estimated glomerular filtration rate &lt;30 mL/min per 1.73 m&lt;sup&gt;2&lt;/sup&gt;) from the Swedish Heart Failure Registry between 2001 and 2016. We first explored associations between β-blocker use, 5-year death, and the composite of cardiovascular death/HF hospitalization among 3775 patients with HF with reduced ejection fraction (HFrEF) and advanced CKD. We compared observed hazards with those from a control cohort of 15 346 patients with HFrEF and moderate CKD (estimated glomerular filtration rate &lt;60-30 mL/min per 1.73 m&lt;sup&gt;2&lt;/sup&gt;), for whom β-blocker trials demonstrate benefit. Second, we explored outcomes associated to β-blocker among advanced CKD participants with preserved (HFpEF; N=2009) and midrange ejection fraction (HFmrEF; N=1514). During a median follow-up of 1.3 years, 2012 patients had a subsequent HF hospitalization, and 2849 died in the HFrEF cohort, of which 2016 died due to cardiovascular causes. Among patients with HFrEF, β-blocker use was associated with lower risk of death (adjusted hazard ratio 0.85 [95% CI, 0.75-0.96]) and cardiovascular mortality/HF hospitalization (0.87 [0.77-0.98]) compared with nonuse. The magnitude of the associations was similar to that observed for HFrEF patients with moderate CKD. Conversely, no significant association was observed for β-blocker users in advanced CKD with HFpEF (death: 0.88 [0.77-1.02], cardiovascular mortality/HF hospitalization: 1.05 [0.90-1.23]) or HFmrEF (death: 0.95 [0.79-1.14], cardiovascular mortality/HF hospitalization: 1.09 [0.90-1.31]). In HFrEF patients with advanced CKD, the use of β-blockers was associated with lower morbidity and mortality. Although inconclusive due to limited power, these benefits were not observed in similar patients with HFpEF or HFmrEF.</t>
  </si>
  <si>
    <t>Characteristics associated with polypharmacy in people with type 2 diabetes: the Dutch Diabetes Pearl cohort.</t>
  </si>
  <si>
    <t>van Oort, S; Rutters, F; Warlé-van Herwaarden, M F; Schram, M T; Stehouwer, C D; Tack, C J; Abbink, E J; Wolffenbuttel, B H; van der Klauw, M M; DeVries, J H; Siegelaar, S E; Sijbrands, E J; Özcan, B; de Valk, H W; Silvius, B; Schroijen, M A; Jazet, I M; van Ballegooijen, A J; Beulens, J W J; Elders, P J; Kramers, C; ,</t>
  </si>
  <si>
    <t>https://pubmed.ncbi.nlm.nih.gov/32961611</t>
  </si>
  <si>
    <t>To describe the prevalence and characteristics of polypharmacy in a Dutch cohort of individuals with type 2 diabetes. We included people with type 2 diabetes from the Diabetes Pearl cohort, of whom 3886 were treated in primary care and 2873 in academic care (secondary/tertiary). With multivariable multinomial logistic regression analyses stratified for line of care, we assessed which sociodemographic, lifestyle and cardiometabolic characteristics were associated with moderate (5-9 medications) and severe polypharmacy (≥10 medications) compared with no polypharmacy (0-4 medications). Mean age was 63 ± 10 years, and 40% were women. The median number of daily medications was 5 (IQR 3-7) in primary care and 7 (IQR 5-10) in academic care. The prevalence of moderate and severe polypharmacy was 44% and 10% in primary care, and 53% and 29% in academic care respectively. Glucose-lowering and lipid-modifying medications were most prevalent. People with severe polypharmacy used a relatively large amount of other (i.e. non-cardiovascular and non-glucose-lowering) medication. Moderate and severe polypharmacy across all lines of care were associated with higher age, low educational level, more smoking, longer diabetes duration, higher BMI and more cardiovascular disease. Severe and moderate polypharmacy are prevalent in over half of people with type 2 diabetes in primary care, and even more in academic care. People with polypharmacy are characterized by poorer cardiometabolic status. These results highlight the significance of polypharmacy in type 2 diabetes.</t>
  </si>
  <si>
    <t>Six months vitamin K treatment does not affect systemic arterial calcification or bone mineral density in diabetes mellitus 2.</t>
  </si>
  <si>
    <t>Bartstra, Jonas W; Draaisma, Fieke; Zwakenberg, Sabine R; Lessmann, Nikolas; Wolterink, Jelmer M; van der Schouw, Yvonne T; de Jong, Pim A; Beulens, Joline W J</t>
  </si>
  <si>
    <t>https://pubmed.ncbi.nlm.nih.gov/33068157</t>
  </si>
  <si>
    <t>Vitamin K-dependent proteins are involved in (patho)physiological calcification of the vasculature and the bones. Type 2 diabetes mellitus (DM2) is associated with increased arterial calcification and increased fractures. This study investigates the effect of 6 months vitamin K2 supplementation on systemic arterial calcification and bone mineral density (BMD) in DM2 patients with a history of cardiovascular disease (CVD). In this pre-specified, post hoc analysis of a double-blind, randomized, controlled clinical trial, patients with DM2 and CVD were randomized to a daily, oral dose of 360 µg vitamin K2 or placebo for 6 months. CT scans were made at baseline and follow-up. Arterial calcification mass was quantified in several large arterial beds and a total arterial calcification mass score was calculated. BMD was assessed in all non-fractured thoracic and lumbar vertebrae. 68 participants were randomized, 35 to vitamin K2 (33 completed follow-up) and 33 to placebo (27 completed follow-up). The vitamin K group had higher arterial calcification mass at baseline [median (IQR): 1694 (812-3584) vs 1182 (235-2445)] for the total arterial calcification mass). Six months vitamin K supplementation did not reduce arterial calcification progression (β [95% CI]: - 0.02 [- 0.10; 0.06] for the total arterial calcification mass) or slow BMD decline (β [95% CI]: - 2.06 [- 11.26; 7.30] Hounsfield units for all vertebrae) when compared to placebo. Six months vitamin K supplementation did not halt progression of arterial calcification or decline of BMD in patients with DM2 and CVD. Future clinical trials may want to pre-select patients with very low vitamin K status and longer follow-up time might be warranted. This trial was registered at clinicaltrials.gov as NCT02839044.</t>
  </si>
  <si>
    <t>Demographic Effects on Longitudinal Semantic Processing, Working Memory, and Cognitive Speed.</t>
  </si>
  <si>
    <t>Vonk, Jet M J; Higby, Eve; Nikolaev, Alexandre; Cahana-Amitay, Dalia; Spiro, Avron; Albert, Martin L; Obler, Loraine K</t>
  </si>
  <si>
    <t>the journals of gerontology series b psychological sciences and social sciences</t>
  </si>
  <si>
    <t>https://pubmed.ncbi.nlm.nih.gov/32609841</t>
  </si>
  <si>
    <t>To better understand and compare effects of aging and education across domains of language and cognition, we investigated whether (a) these domains show different associations with age and education, (b) these domains show similar patterns of age-related change over time, and (c) education moderates the rate of decline in these domains. We analyzed data from 306 older adults aged 55-85 at baseline of whom 116 returned for follow-up 4-8 years later. An exploratory factor analysis identified domains of language and cognition across a range of tasks. A confirmatory factor analysis analyzed cross-sectional associations of age and education with these domains. Subsequently, mixed linear models analyzed longitudinal change as a function of age and moderation by education. We identified 2 language domains, that is, semantic control and semantic memory efficiency, and 2 cognitive domains, that is, working memory and cognitive speed. Older age negatively affected all domains except semantic memory efficiency, and higher education positively affected all domains except cognitive speed at baseline. In language domains, a steeper age-related decline was observed after age 73-74 compared to younger ages, while cognition declined linearly with age. Greater educational attainment did not protect the rate of decline over time in any domain. Separate domains show varying effects of age and education at baseline, language versus cognitive domains show dissimilar patterns of age-related change over time, and education does not moderate the rate of decline in these domains. These findings broaden our understanding of age effects on cognitive and language abilities by placing observed age differences in context.</t>
  </si>
  <si>
    <t>Sex differences in the association between major risk factors and the risk of stroke in the UK Biobank cohort study.</t>
  </si>
  <si>
    <t>Peters, Sanne A E; Carcel, Cheryl; Millett, Elizabeth R C; Woodward, Mark</t>
  </si>
  <si>
    <t>https://pubmed.ncbi.nlm.nih.gov/33067404</t>
  </si>
  <si>
    <t>To determine whether there are sex differences in the association between risk factors and incident stroke, including stroke subtypes. A total of 471,971 (56% women) UK Biobank participants without a history of cardiovascular disease were included. During 9 years of follow-up, 4,662 (44% women) cases of stroke were recorded. Cox models yielded adjusted hazard ratios (HRs) and women-to-men ratios of HRs (RHRs) for stroke associated with 7 risk factors. The incidence rate per 10,000 person-years was 8.66 (8.29-9.04) in women and 13.96 (13.44-14.50) in men for any stroke, 6.06 (5.75-6.38) in women and 11.35 (10.88; 11.84) in men for ischemic stroke, and 1.56 (1.41-1.73) in women and 2.23 (2.02-2.45) in men for hemorrhagic stroke. The association between increases in blood pressure, body anthropometry, and lipids, diabetes, and atrial fibrillation and any stroke was similar between men and women. Hypertension, smoking, and a low socioeconomic status were associated with a greater HR of any stroke in women than men; the RHRs were 1.36 (1.26-1.47), 1.18 (1.02-1.36), and 1.17 (1.03-1.33), respectively. Diabetes was associated with a higher HR of ischemic stroke in women than men (RHR 1.25 [1.00-1.56]). Atrial fibrillation was associated with a higher HR of hemorrhagic stroke in women than men (RHR 2.80 [1.07-7.36]). Several risk factors are more strongly associated with the risk of any stroke or stroke subtypes in women compared with men. Despite this, the incidence of stroke remains higher among men than women.</t>
  </si>
  <si>
    <t>Socioeconomic characteristics of patients with coronary heart disease in relation to their cardiovascular risk profile.</t>
  </si>
  <si>
    <t>De Bacquer, Dirk; van de Luitgaarden, Inge A T; De Smedt, Delphine; Vynckier, Pieter; Bruthans, Jan; Fras, Zlatko; Jankowski, Piotr; Dolzhenko, Marina; Kotseva, Kornelia; Wood, David; De Backer, Guy</t>
  </si>
  <si>
    <t>https://pubmed.ncbi.nlm.nih.gov/33067329</t>
  </si>
  <si>
    <t>People's socioeconomic status (SES) has a major impact on the risk of atherosclerotic cardiovascular disease (ASCVD) in primary prevention. In patients with existing ASCVD these associations are less documented. Here, we evaluate to what extent SES is still associated with patients' risk profile in secondary prevention. Based on results from a large sample of patients with coronary heart disease from the European Action on Secondary and Primary Prevention through Intervention to Reduce Events study, the relationship between SES and cardiovascular risk was examined. A SES summary score was empirically constructed from the patients' educational level, self-perceived income, living situation and perception of loneliness. Analyses are based on observations in 8261 patients with coronary heart disease from 27 countries. Multivariate logistic regression analyses demonstrate that a low SES is associated (OR, 95% CI) with lifestyles such as smoking in men (1.63, 1.37 to 1.95), physical activity in men (1.51, 1.28 to 1.78) and women (1.77, 1.32 to 2.37) and obesity in men 1.28 (1.11 to 1.49) and women 1.65 (1.30 to 2.10). Patients with a low SES have more raised blood pressure in men (1.24, 1.07 to 1.43) and women (1.31, 1.03 to 1.67), used less statins and were less adherent to them. Cardiac rehabilitation programmes were less advised and attended by patients with a low SES. Access to statins in middle-income countries was suboptimal leaving about 80% of patients not reaching the low-density lipoprotein cholesterol target of &lt;1.8 mmol/L. Patients' socioeconomic level was also strongly associated with markers of well-being. These results illustrate the complexity of the associations between SES, well-being and secondary prevention in patients with ASCVD. They emphasise the need for integrating innovative policies in programmes of cardiac rehabilitation and secondary prevention.</t>
  </si>
  <si>
    <t>The association between circulating 25-hydroxyvitamin D metabolites and type 2 diabetes in European populations: A meta-analysis and Mendelian randomisation analysis.</t>
  </si>
  <si>
    <t>Zheng, Ju-Sheng; Luan, Jian'an; Sofianopoulou, Eleni; Sharp, Stephen J; Day, Felix R; Imamura, Fumiaki; Gundersen, Thomas E; Lotta, Luca A; Sluijs, Ivonne; Stewart, Isobel D; Shah, Rupal L; van der Schouw, Yvonne T; Wheeler, Eleanor; Ardanaz, Eva; Boeing, Heiner; Dorronsoro, Miren; Dahm, Christina C; Dimou, Niki; El-Fatouhi, Douae; Franks, Paul W; Fagherazzi, Guy; Grioni, Sara; Huerta, José María; Heath, Alicia K; Hansen, Louise; Jenab, Mazda; Jakszyn, Paula; Kaaks, Rudolf; Kühn, Tilman; Khaw, Kay-Tee; Laouali, Nasser; Masala, Giovanna; Nilsson, Peter M; Overvad, Kim; Olsen, Anja; Panico, Salvatore; Quirós, J Ramón; Rolandsson, Olov; Rodríguez-Barranco, Miguel; Sacerdote, Carlotta; Spijkerman, Annemieke M W; Tong, Tammy Y N; Tumino, Rosario; Tsilidis, Konstantinos K; Danesh, John; Riboli, Elio; Butterworth, Adam S; Langenberg, Claudia; Forouhi, Nita G; Wareham, Nicholas J</t>
  </si>
  <si>
    <t>https://pubmed.ncbi.nlm.nih.gov/33064751</t>
  </si>
  <si>
    <t>Prior research suggested a differential association of 25-hydroxyvitamin D (25(OH)D) metabolites with type 2 diabetes (T2D), with total 25(OH)D and 25(OH)D3 inversely associated with T2D, but the epimeric form (C3-epi-25(OH)D3) positively associated with T2D. Whether or not these observational associations are causal remains uncertain. We aimed to examine the potential causality of these associations using Mendelian randomisation (MR) analysis. We performed a meta-analysis of genome-wide association studies for total 25(OH)D (N = 120,618), 25(OH)D3 (N = 40,562), and C3-epi-25(OH)D3 (N = 40,562) in participants of European descent (European Prospective Investigation into Cancer and Nutrition [EPIC]-InterAct study, EPIC-Norfolk study, EPIC-CVD study, Ely study, and the SUNLIGHT consortium). We identified genetic variants for MR analysis to investigate the causal association of the 25(OH)D metabolites with T2D (including 80,983 T2D cases and 842,909 non-cases). We also estimated the observational association of 25(OH)D metabolites with T2D by performing random effects meta-analysis of results from previous studies and results from the EPIC-InterAct study. We identified 10 genetic loci associated with total 25(OH)D, 7 loci associated with 25(OH)D3 and 3 loci associated with C3-epi-25(OH)D3. Based on the meta-analysis of observational studies, each 1-standard deviation (SD) higher level of 25(OH)D was associated with a 20% lower risk of T2D (relative risk [RR]: 0.80; 95% CI 0.77, 0.84; p &lt; 0.001), but a genetically predicted 1-SD increase in 25(OH)D was not significantly associated with T2D (odds ratio [OR]: 0.96; 95% CI 0.89, 1.03; p = 0.23); this result was consistent across sensitivity analyses. In EPIC-InterAct, 25(OH)D3 (per 1-SD) was associated with a lower risk of T2D (RR: 0.81; 95% CI 0.77, 0.86; p &lt; 0.001), while C3-epi-25(OH)D3 (above versus below lower limit of quantification) was positively associated with T2D (RR: 1.12; 95% CI 1.03, 1.22; p = 0.006), but neither 25(OH)D3 (OR: 0.97; 95% CI 0.93, 1.01; p = 0.14) nor C3-epi-25(OH)D3 (OR: 0.98; 95% CI 0.93, 1.04; p = 0.53) was causally associated with T2D risk in the MR analysis. Main limitations include the lack of a non-linear MR analysis and of the generalisability of the current findings from European populations to other populations of different ethnicities. Our study found discordant associations of biochemically measured and genetically predicted differences in blood 25(OH)D with T2D risk. The findings based on MR analysis in a large sample of European ancestry do not support a causal association of total 25(OH)D or 25(OH)D metabolites with T2D and argue against the use of vitamin D supplementation for the prevention of T2D.</t>
  </si>
  <si>
    <t>Increasing Fusion Rate Between 1 and 2 Years After Instrumented Posterolateral Spinal Fusion and the Role of Bone Grafting.</t>
  </si>
  <si>
    <t>Lehr, A Mechteld; Oner, F Cumhur; Delawi, Diyar; Stellato, Rebecca K; Hoebink, Eric A; Kempen, Diederik H R; van Susante, Job L C; Castelein, René M; Kruyt, Moyo C; ,</t>
  </si>
  <si>
    <t>spine</t>
  </si>
  <si>
    <t>https://pubmed.ncbi.nlm.nih.gov/32459724</t>
  </si>
  <si>
    <t>Two-year clinical and radiographic follow-up of a double-blind, multicenter, randomized, intra-patient controlled, non-inferiority trial comparing a bone graft substitute (AttraX Putty) with autograft in instrumented posterolateral fusion (PLF) surgery. The aim of this study was to compare PLF rates between 1 and 2 years of follow-up and between graft types, and to explore the role of bone grafting based on the location of the PLF mass. There are indications that bony fusion proceeds over time, but it is unknown to what extent this can be related to bone grafting. A total of 100 adult patients underwent a primary, single- or multilevel, thoracolumbar PLF. After instrumentation and preparation for grafting, the randomized allocation side of AttraX Putty was disclosed. The contralateral posterolateral gutters were grafted with autograft. At 1-year follow-up, and in case of no fusion at 2 years, the fusion status of both sides of each segment was blindly assessed on CT scans. Intertransverse and facet fusion were scored separately. Difference in fusion rates after 1 and 2 years and between grafts were analyzed with a Generalized Estimating Equations (GEE) model (P &lt; 0.05). The 2-year PLF rate (66 patients) was 70% at the AttraX Putty and 68% at the autograft side, compared to 55% and 52% after 1 year (87 patients). GEE analysis demonstrated a significant increase for both conditions (odds ratio 2.0, 95% confidence interval 1.5-2.7, P &lt; 0.001), but no difference between the grafts (P = 0.595). Ongoing bone formation was only observed between the facet joints. This intra-patient controlled trial demonstrated a significant increase in PLF rate between 1 and 2 years after instrumented thoracolumbar fusion, but no difference between AttraX Putty and autograft. Based on the location of the PLF mass, this increase is most likely the result of immobilization instead of grafting. 1.</t>
  </si>
  <si>
    <t>Anti-Müllerian hormone levels and risk of type 2 diabetes in women.</t>
  </si>
  <si>
    <t>Verdiesen, Renée M G; Onland-Moret, N Charlotte; van Gils, Carla H; Stellato, Rebecca K; Spijkerman, Annemieke M W; Picavet, H Susan J; Broekmans, Frank J M; Verschuren, W M Monique; van der Schouw, Yvonne T</t>
  </si>
  <si>
    <t>https://pubmed.ncbi.nlm.nih.gov/33048171</t>
  </si>
  <si>
    <t>Given its role in ovarian follicle development, circulating anti-Müllerian hormone (AMH) is considered to be a marker of reproductive ageing. Although accelerated reproductive ageing has been associated with a higher risk of type 2 diabetes, research on the relationship between AMH and type 2 diabetes risk is scarce. Therefore, we aimed to investigate whether age-specific AMH levels and age-related AMH trajectories are associated with type 2 diabetes risk in women. We measured AMH in repeated plasma samples from 3293 female participants (12,460 samples in total), aged 20-59 years at recruitment, from the Doetinchem Cohort Study, a longitudinal study with follow-up visits every 5 years. We calculated age-specific AMH tertiles at baseline to account for the strong AMH-age correlation. Cox proportional hazards models adjusted for confounders were used to assess the association between baseline age-specific AMH tertiles and incident type 2 diabetes. We applied linear mixed models to compare age-related AMH trajectories for women who developed type 2 diabetes with trajectories for women who did not develop diabetes. During a median follow-up of 20 years, 163 women developed type 2 diabetes. Lower baseline age-specific AMH levels were associated with a higher type 2 diabetes risk (HR&lt;sub&gt;T2vsT3&lt;/sub&gt; 1.24 [95% CI 0.81, 1.92]; HR&lt;sub&gt;T1vsT3&lt;/sub&gt; 1.62 [95% CI 1.06, 2.48]; p&lt;sub&gt;trend&lt;/sub&gt; = 0.02). These findings seem to be supported by predicted AMH trajectories, which suggested that plasma AMH levels were lower at younger ages in women who developed type 2 diabetes compared with women who did not. The trajectories also suggested that AMH levels declined at a slower rate in women who developed type 2 diabetes, although differences in trajectories were not statistically significant. We observed that lower age-specific AMH levels were associated with a higher risk of type 2 diabetes in women. Longitudinal analyses did not show clear evidence of differing AMH trajectories between women who developed type 2 diabetes compared with women who did not, possibly because these analyses were underpowered. Further research is needed to investigate whether AMH is part of the biological mechanism explaining the association between reproductive ageing and type 2 diabetes. Graphical abstract.</t>
  </si>
  <si>
    <t>Survival of patients with deficient mismatch repair metastatic colorectal cancer in the pre-immunotherapy era.</t>
  </si>
  <si>
    <t>Wensink, G Emerens; Elferink, Marloes A G; May, Anne M; Mol, Linda; Hamers, Patricia A H; Bakker, Sandra D; Creemers, Geert-Jan; de Groot, Jan Willem B; de Klerk, Gerty J; Haberkorn, Brigitte C M; Haringhuizen, Annebeth W; Hoekstra, Ronald; Hunting, J Cornelis B; Kerver, Emile D; Mathijssen-van Stein, Danielle; Polée, Marco B; Pruijt, Johannes F M; Quarles van Ufford-Mannesse, Patricia; Radema, Sandra; Rietbroek, Ronald C; Simkens, Lieke H J; Tanis, Bea C; Ten Bokkel Huinink, Daan; Tjin-A-Ton, Manuel L R; Tromp-van Driel, Cathrien S; Troost, Monique M; van de Wouw, Agnes J; van den Berkmortel, Franchette W P J; van der Pas, Anke J M; van der Velden, Ankie M T; van Dijk, Marjan A; van Dodewaard-de Jong, Joyce M; van Druten, Edith B; van Voorthuizen, Theo; Jan Veldhuis, Gerrit; Verheul, Henk M W; Vestjens, Hanneke J H M J; Vincent, Jeroen; Kranenburg, Onno W; Punt, Cornelis J A; Vink, Geraldine R; Roodhart, Jeanine M L; Koopman, Miriam</t>
  </si>
  <si>
    <t>https://pubmed.ncbi.nlm.nih.gov/33046804</t>
  </si>
  <si>
    <t>Metastatic colorectal cancer patients with deficient mismatch repair (dMMR mCRC) benefit from immunotherapy. Interpretation of the single-arm immunotherapy trials is complicated by insignificant survival data during systemic non-immunotherapy. We present survival data on a large, comprehensive cohort of dMMR mCRC patients, treated with or without systemic non-immunotherapy. Two hundred and eighty-one dMMR mCRC patients (n = 54 from three prospective Phase 3 CAIRO trials; n = 227 from the Netherlands Cancer Registry). Overall survival was analysed from diagnosis of mCRC (OS), from initiation of first-line (OS1) and second-line (OS2) systemic treatment. Cox regression analysis examined prognostic factors. As comparison for OS 2746 MMR proficient mCRC patients were identified. Of 281 dMMR patients, 62% received first-line and 26% second-line treatment. Median OS was 16.0 months (13.8-19.6) with antitumour therapy and 2.5 months (1.8-3.5) in untreated patients. OS1 was 12.8 months (10.7-15.2) and OS2 6.2 months (5.4-8.9) in treated dMMR patients. Treated dMMR patients had a 7.6-month shorter median OS than pMMR patients. Available data from immunotherapy trials lack a control arm with standard systemic treatment. Given the poor outcome compared to the immunotherapy results, our data strongly suggest a survival benefit of immunotherapy in dMMR mCRC patients.</t>
  </si>
  <si>
    <t>Sex Differences in Incident and Recurrent Coronary Events and All-Cause Mortality.</t>
  </si>
  <si>
    <t>Peters, Sanne A E; Colantonio, Lisandro D; Chen, Ligong; Bittner, Vera; Farkouh, Michael E; Rosenson, Robert S; Jackson, Elizabeth A; Dluzniewski, Paul; Poudel, Bharat; Muntner, Paul; Woodward, Mark</t>
  </si>
  <si>
    <t>journal of the american college of cardiology</t>
  </si>
  <si>
    <t>https://pubmed.ncbi.nlm.nih.gov/33032737</t>
  </si>
  <si>
    <t>Women have lower age-specific rates of incident coronary heart disease (CHD) than men. It is unclear whether women remain at lower risk for CHD events versus men following a myocardial infarction (MI). This study assessed sex differences in recurrent MI, recurrent CHD events, and mortality among patients with MI and compared these associations with sex differences in a control group without a history of CHD. This study analyzed data for 171,897 women and 167,993 men age 21 years or older with health insurance in the United States who had a MI hospitalization in 2015 or 2016. Patients with a MI were frequency matched by age and calendar year to 687,588 women and 671,972 men without CHD. Beneficiaries were followed until December 2017 for MI, CHD (i.e., MI or coronary revascularization), and in Medicare for all-cause mortality. Age-standardized rates of MI per 1,000 person-years were 4.5 in women and 5.7 in men without CHD (hazard ratio [HR]: 0.64; 95% confidence interval [CI]: 0.62 to 0.67) and 60.2 in women and 59.8 in men with MI (HR: 0.94; 95% CI: 0.92 to 0.96). CHD rates in women versus men were 6.3 versus 10.7 among those without CHD (HR: 0.53; 95% CI: 0.51 to 0.54) and 84.5 versus 99.3 among those with MI (HR: 0.87; 95% CI: 0.85 to 0.89). All-cause mortality rates in women versus men were 63.7 versus 59.0 among those without CHD (HR: 0.72; 95% CI: 0.71 to 0.73) and 311.6 versus 284.5 among those with MI (HR: 0.90; 95% CI: 0.89 to 0.92). The lower risk for MI, CHD, and all-cause mortality in women versus men is considerably attenuated following a MI.</t>
  </si>
  <si>
    <t>Obesity as a risk factor for COVID-19 mortality in women and men in the UK biobank: Comparisons with influenza/pneumonia and coronary heart disease.</t>
  </si>
  <si>
    <t>Peters, Sanne A E; MacMahon, Stephen; Woodward, Mark</t>
  </si>
  <si>
    <t>https://pubmed.ncbi.nlm.nih.gov/32969132</t>
  </si>
  <si>
    <t>Obesity is associated with severe COVID-19 outcomes, yet, it is unclear whether the risk of COVID-19 mortality associated with obesity is similar between the sexes. We used data from the UK Biobank to assess the risk of COVID-19 mortality associated with various anthropometric measures in women and men. To put these results in context, we also compared these estimates with those for mortality from influenza/pneumonia and coronary heart disease (CHD). The analyses included 502 493 individuals (54% women), of whom 410 (36% women) died from COVID-19, 549 (36% women) died from influenza/pneumonia and 3355 (19% women) died from CHD. A higher body mass index (BMI), waist circumference, waist-to-hip ratio and waist-to-height ratio were each associated with a greater risk of death from COVID-19, influenza/pneumonia and CHD in both sexes, with the exception of the association between higher BMI and the risk of influenza/pneumonia death in men. A higher BMI was associated with a stronger risk of COVID-19 mortality in women than men; the women-to-men ratio of hazard ratios was 1.20 (95% confidence interval 1.00; 1.43). This study demonstrates the role of obesity in COVID-19 mortality and shows that the relative effects of a higher BMI on COVID-19 mortality may be stronger in women than men.</t>
  </si>
  <si>
    <t>Anticipating the future of the child and family in pediatric palliative care: a qualitative study into the perspectives of parents and healthcare professionals.</t>
  </si>
  <si>
    <t>Verberne, Lisa M; Fahner, Jurrianne C; Sondaal, Stephanie F V; Schouten-van Meeteren, Antoinette Y N; de Kruiff, Chris C; van Delden, Johannes J M; Kars, Marijke C</t>
  </si>
  <si>
    <t>https://pubmed.ncbi.nlm.nih.gov/33030601</t>
  </si>
  <si>
    <t>Preparing for future scenarios in pediatric palliative care is perceived as complex and challenging by both families and healthcare professionals. This interpretative qualitative study using thematic analysis aims to explore how parents and healthcare professionals anticipate the future of the child and family in pediatric palliative care. Single and repeated interviews were undertaken with 42 parents and 35 healthcare professionals of 24 children, receiving palliative care. Anticipating the future was seen in three forms: goal-directed conversations, anticipated care, and guidance on the job. Goal-directed conversations were initiated by either parents or healthcare professionals to ensure others could align with their perspective regarding the future. Anticipated care meant healthcare professionals or parents organized practical care arrangements for future scenarios with or without informing each other. Guidance on the job was a form of short-term anticipation, whereby healthcare professionals guide parents ad hoc through difficult situations.Conclusion: Anticipating the future of the child and family is mainly focused on achievement of individual care goals of both families and healthcare professionals, practical arrangements in advance, and short-term anticipation when a child deteriorates. A more open approach early in disease trajectories exploring perspectives on the future could allow parents to anticipate more gradually and to integrate their preferences into the care of their child. What is Known: • Anticipating the future in pediatric palliative care occurs infrequently and too late. What is New: • Healthcare professionals and parents use different strategies to anticipate the future of children receiving palliative care, both intentionally and unwittingly. Strategies to anticipate the future are goal-directed conversations, anticipated care, and guidance on the job. • Parents and healthcare professionals are engaged to a limited extent in ongoing explorative conversations that support shared decision-making regarding future care and treatment.</t>
  </si>
  <si>
    <t>The YOUth study: Rationale, design, and study procedures.</t>
  </si>
  <si>
    <t>Onland-Moret, N Charlotte; Buizer-Voskamp, Jacobine E; Albers, Maria E W A; Brouwer, Rachel M; Buimer, Elizabeth E L; Hessels, Roy S; de Heus, Roel; Huijding, Jorg; Junge, Caroline M M; Mandl, René C W; Pas, Pascal; Vink, Matthijs; van der Wal, Juliëtte J M; Hulshoff Pol, Hilleke E; Kemner, Chantal</t>
  </si>
  <si>
    <t>https://pubmed.ncbi.nlm.nih.gov/33075722</t>
  </si>
  <si>
    <t>Behavioral development in children shows large inter-individual variation, and is driven by the interplay between biological, psychological, and environmental processes. However, there is still little insight into how these processes interact. The YOUth cohort specifically focuses on two core characteristics of behavioral development: social competence and self-regulation. Social competence refers to the ability to engage in meaningful interactions with others, whereas self-regulation is the ability to control one's emotions, behavior, and impulses, to balance between reactivity and control of the reaction, and to adjust to the prevailing environment. YOUth is an accelerated population-based longitudinal cohort study with repeated measurements, centering on two groups: YOUth Baby &amp; Child and YOUth Child &amp; Adolescent. YOUth Baby &amp; Child aims to include 3,000 pregnant women, their partners and children, wheras YOUth Child &amp; Adolescent aims to include 2,000 children aged between 8 and 10 years old and their parents. All participants will be followed for at least 6 years, and potentially longer. In this paper we describe in detail the design of this study, the population included, the determinants, intermediate neurocognitive measures and outcomes included in the study. Furthermore, we describe in detail the procedures of inclusion, informed consent, and study participation.</t>
  </si>
  <si>
    <t>Protocol of a multicentre, prospective cohort study that evaluates cost-effectiveness of two perioperative care strategies for potential obstructive sleep apnoea in morbidly obese patients undergoing bariatric surgery.</t>
  </si>
  <si>
    <t>van Veldhuisen, Sophie L; Kuppens, Kim; de Raaff, Christel A L; Wiezer, Marinus J; de Castro, Steve M M; van Veen, Ruben N; Swank, Dingeman J; Demirkiran, Ahmet; Boerma, Evert-Jan G; Greve, Jan-Willem M; van Dielen, Francois M H; Frederix, Geert W J; Hazebroek, Eric J</t>
  </si>
  <si>
    <t>https://pubmed.ncbi.nlm.nih.gov/33033026</t>
  </si>
  <si>
    <t>Despite the high prevalence of obstructive sleep apnoea (OSA) in obese patients undergoing bariatric surgery, OSA is undiagnosed in the majority of patients and thus untreated. While untreated OSA is associated with an increased risk of preoperative and postoperative complications, no evidence-based guidelines on perioperative care for these patients are available. The aim of the POPCORN study (&lt;i&gt;P&lt;/i&gt;ost-&lt;i&gt;O&lt;/i&gt;perative &lt;i&gt;P&lt;/i&gt;ulse oximetry without OSA s&lt;i&gt;C&lt;/i&gt;reening vs perioperative continuous positive airway pressure (CPAP) treatment following &lt;i&gt;O&lt;/i&gt;SA sc&lt;i&gt;R&lt;/i&gt;ee&lt;i&gt;N&lt;/i&gt;ing by polygraphy (PG)) is to evaluate which perioperative strategy is the most cost-effective for obese patients undergoing bariatric surgery without a history of OSA. In this multicentre observational cohort study, data from 1380 patients who will undergo bariatric surgery will be collected. Patients will receive either postoperative care with pulse oximetry monitoring and supplemental oxygen during the first postoperative night, or care that includes preoperative PG and CPAP treatment in case of moderate or severe OSA. Local protocols for perioperative care in each participating hospital will determine into which cohort a patient is placed. The primary outcome is cost-effectiveness, which will be calculated by comparing all healthcare costs with the quality-adjusted life-years (QALYs, calculated using EQ-5D questionnaires). Secondary outcomes are mortality, complications within 30 days after surgery, readmissions, reoperations, length of stay, weight loss, generic quality of life (QOL), OSA-specific QOL, OSA symptoms and CPAP adherence. Patients will receive questionnaires before surgery and 1, 3, 6 and 12 months after surgery to report QALYs and other patient-reported outcomes. Approval from the Medical Research Ethics Committees United was granted in accordance with the Dutch law for Medical Research Involving Human Subjects Act (WMO) (reference number W17.050). Results will be submitted for publication in peer-reviewed journals and presented at (inter)national conferences. NTR6991.</t>
  </si>
  <si>
    <t>Effect of Hydrocortisone on Mortality and Organ Support in Patients With Severe COVID-19: The REMAP-CAP COVID-19 Corticosteroid Domain Randomized Clinical Trial.</t>
  </si>
  <si>
    <t>Angus, Derek C; Derde, Lennie; Al-Beidh, Farah; Annane, Djillali; Arabi, Yaseen; Beane, Abigail; van Bentum-Puijk, Wilma; Berry, Lindsay; Bhimani, Zahra; Bonten, Marc; Bradbury, Charlotte; Brunkhorst, Frank; Buxton, Meredith; Buzgau, Adrian; Cheng, Allen C; de Jong, Menno; Detry, Michelle; Estcourt, Lise; Fitzgerald, Mark; Goossens, Herman; Green, Cameron; Haniffa, Rashan; Higgins, Alisa M; Horvat, Christopher; Hullegie, Sebastiaan J; Kruger, Peter; Lamontagne, Francois; Lawler, Patrick R; Linstrum, Kelsey; Litton, Edward; Lorenzi, Elizabeth; Marshall, John; McAuley, Daniel; McGlothin, Anna; McGuinness, Shay; McVerry, Bryan; Montgomery, Stephanie; Mouncey, Paul; Murthy, Srinivas; Nichol, Alistair; Parke, Rachael; Parker, Jane; Rowan, Kathryn; Sanil, Ashish; Santos, Marlene; Saunders, Christina; Seymour, Christopher; Turner, Anne; van de Veerdonk, Frank; Venkatesh, Balasubramanian; Zarychanski, Ryan; Berry, Scott; Lewis, Roger J; McArthur, Colin; Webb, Steven A; Gordon, Anthony C; ,; Al</t>
  </si>
  <si>
    <t>https://pubmed.ncbi.nlm.nih.gov/32876697</t>
  </si>
  <si>
    <t>Evidence regarding corticosteroid use for severe coronavirus disease 2019 (COVID-19) is limited. To determine whether hydrocortisone improves outcome for patients with severe COVID-19. An ongoing adaptive platform trial testing multiple interventions within multiple therapeutic domains, for example, antiviral agents, corticosteroids, or immunoglobulin. Between March 9 and June 17, 2020, 614 adult patients with suspected or confirmed COVID-19 were enrolled and randomized within at least 1 domain following admission to an intensive care unit (ICU) for respiratory or cardiovascular organ support at 121 sites in 8 countries. Of these, 403 were randomized to open-label interventions within the corticosteroid domain. The domain was halted after results from another trial were released. Follow-up ended August 12, 2020. The corticosteroid domain randomized participants to a fixed 7-day course of intravenous hydrocortisone (50 mg or 100 mg every 6 hours) (n = 143), a shock-dependent course (50 mg every 6 hours when shock was clinically evident) (n = 152), or no hydrocortisone (n = 108). The primary end point was organ support-free days (days alive and free of ICU-based respiratory or cardiovascular support) within 21 days, where patients who died were assigned -1 day. The primary analysis was a bayesian cumulative logistic model that included all patients enrolled with severe COVID-19, adjusting for age, sex, site, region, time, assignment to interventions within other domains, and domain and intervention eligibility. Superiority was defined as the posterior probability of an odds ratio greater than 1 (threshold for trial conclusion of superiority &gt;99%). After excluding 19 participants who withdrew consent, there were 384 patients (mean age, 60 years; 29% female) randomized to the fixed-dose (n = 137), shock-dependent (n = 146), and no (n = 101) hydrocortisone groups; 379 (99%) completed the study and were included in the analysis. The mean age for the 3 groups ranged between 59.5 and 60.4 years; most patients were male (range, 70.6%-71.5%); mean body mass index ranged between 29.7 and 30.9; and patients receiving mechanical ventilation ranged between 50.0% and 63.5%. For the fixed-dose, shock-dependent, and no hydrocortisone groups, respectively, the median organ support-free days were 0 (IQR, -1 to 15), 0 (IQR, -1 to 13), and 0 (-1 to 11) days (composed of 30%, 26%, and 33% mortality rates and 11.5, 9.5, and 6 median organ support-free days among survivors). The median adjusted odds ratio and bayesian probability of superiority were 1.43 (95% credible interval, 0.91-2.27) and 93% for fixed-dose hydrocortisone, respectively, and were 1.22 (95% credible interval, 0.76-1.94) and 80% for shock-dependent hydrocortisone compared with no hydrocortisone. Serious adverse events were reported in 4 (3%), 5 (3%), and 1 (1%) patients in the fixed-dose, shock-dependent, and no hydrocortisone groups, respectively. Among patients with severe COVID-19, treatment with a 7-day fixed-dose course of hydrocortisone or shock-dependent dosing of hydrocortisone, compared with no hydrocortisone, resulted in 93% and 80% probabilities of superiority with regard to the odds of improvement in organ support-free days within 21 days. However, the trial was stopped early and no treatment strategy met prespecified criteria for statistical superiority, precluding definitive conclusions. ClinicalTrials.gov Identifier: NCT02735707.</t>
  </si>
  <si>
    <t>Efficacy and safety of systemic induction therapy in initially unresectable locally advanced intrahepatic and perihilar cholangiocarcinoma: A systematic review.</t>
  </si>
  <si>
    <t>Belkouz, Ali; Nooijen, Lynn E; Riady, Hanae; Franken, Lotte C; van Oijen, Martijn G H; Punt, Cornelis J A; Erdmann, Joris I; Klümpen, Heinz-Josef</t>
  </si>
  <si>
    <t>cancer treatment reviews</t>
  </si>
  <si>
    <t>https://pubmed.ncbi.nlm.nih.gov/33075684</t>
  </si>
  <si>
    <t>According to international guidelines, induction therapy may be considered in selected patients with initially unresectable locally advanced cholangiocarcinoma. The criteria for (un)resectability in cholangiocarcinoma varies between studies and no consensus-based agreement is available about these criteria. By performing a systematic literature review, we aimed to investigate the efficacy and safety of systemic induction therapy in initially unresectable locally advanced perihilar (pCCA) and intrahepatic cholangiocarcinoma (iCCA) and summarize resectability criteria used across studies. A literature search was performed in PubMed, EMBASE, Web of Science and Cochrane library to identify studies on systemic induction therapy in locally advanced pCCA and/or iCCA. The primary outcome was resection rate (RR) after induction therapy and secondary outcomes were overall survival (OS) and objective response rate (ORR). Ten studies with a total of 1167 patients met the inclusion criteria and were included in this review. Among these patients, 334 (28.6%) were treated with systemic induction therapy. Across the studies, different types of chemotherapy regimens were administered (e.g., gemcitabine (based) chemotherapy and 5-FU (based) chemotherapy). Only six studies provided sufficient data and were used to analyze pooled (radical) resection rates. After induction therapy, 94 patients (39.2%) underwent a resection, of which R0 resections (22.9%). Pooled data on OS showed, better OS for chemotherapy plus resection versus chemotherapy only (pooled HR = 0.31, 95% CI = 0.19-0.50; P value &lt; 0.0001). Adequately selected patients with locally advanced pCCA or iCCA may benefit from induction therapy followed by surgical resection. Prospective randomized controlled trials are warranted.</t>
  </si>
  <si>
    <t>Intracranial vessel wall lesions on 7T MRI and MRI features of cerebral small vessel disease: The SMART-MR study.</t>
  </si>
  <si>
    <t>Zwartbol, Maarten Ht; van der Kolk, Anja G; Kuijf, Hugo J; Witkamp, Theo D; Ghaznawi, Rashid; Hendrikse, Jeroen; Geerlings, Mirjam I; ,</t>
  </si>
  <si>
    <t>https://pubmed.ncbi.nlm.nih.gov/33023386</t>
  </si>
  <si>
    <t>The etiology of cerebral small vessel disease (CSVD) is the subject of ongoing research. Although intracranial atherosclerosis (ICAS) has been proposed as a possible cause, studies on their relationship remain sparse. We used 7 T vessel wall magnetic resonance imaging (MRI) to study the association between intracranial vessel wall lesions-a neuroimaging marker of ICAS-and MRI features of CSVD. Within the SMART-MR study, cross-sectional analyses were performed in 130 patients (68 ± 9 years; 88% male). ICAS burden-defined as the number of vessel wall lesions-was determined on 7 T vessel wall MRI. CSVD features were determined on 1.5 T and 7 T MRI. Associations between ICAS burden and CSVD features were estimated with linear or modified Poisson regression, adjusted for age, sex, vascular risk factors, and medication use. In 125 patients, ≥1 vessel wall lesions were found (mean 8.5 ± 5.7 lesions). ICAS burden (per + 1 SD) was associated with presence of large subcortical and/or cortical infarcts (RR = 1.65; 95%CI: 1.12-2.43), lacunes (RR = 1.45; 95% CI: 1.14-1.86), cortical microinfarcts (RR = 1.48; 95%CI: 1.13-1.94), and total white matter hyperintensity volume (&lt;i&gt;b&lt;/i&gt; = 0.24; 95%CI: 0.02-0.46). Concluding, patients with a higher ICAS burden had more CSVD features, although no evidence of co-location was observed. Further longitudinal studies are required to determine if ICAS precedes development of CSVD.</t>
  </si>
  <si>
    <t>The burden of bacteremic and non-bacteremic Gram-negative infections: A prospective multicenter cohort study in a low-resistance country.</t>
  </si>
  <si>
    <t>Deelen, J W Timotëus; Rottier, Wouter C; van Werkhoven, Cornelis H; Woudt, Sjoukje H S; Buiting, Anton G M; Dorigo-Zetsma, J Wendelien; Kluytmans, Jan A J W; van der Linden, Paul D; Thijsen, Steven F T; Vlaminckx, Bart J M; Weersink, Annemarie J L; Ammerlaan, Heidi S M; Bonten, Marc J M; ,</t>
  </si>
  <si>
    <t>https://pubmed.ncbi.nlm.nih.gov/33031834</t>
  </si>
  <si>
    <t>Objectives There is a global increase in infections caused by Gram-negative bacteria. The majority of research is on bacteremic Gram-negative infections (GNI), leaving a knowledge gap on the burden of non-bacteremic GNI. Our aim is to describe characteristics and determine the burden of bacteremic and non-bacteremic GNI in hospitalized patients in the Netherlands. Methods We conducted a prospective cohort study of patients in eight hospitals with microbiologically confirmed GNI, between June 2013 and November 2015. In each hospital the first five adults meeting the eligibility criteria per week were enrolled. We estimated the national incidence and mortality of GNI by combining the cohort data with a national surveillance database for antimicrobial resistance. Results 1,954 patients with GNI were included of which 758 (39%) were bloodstream infections (BSI). 243 GNI (12%) involved multi-drug resistant pathogens. 30-day mortality rate was 11.1% (n = 217) Estimated national incidences of non-bacteremic GNI and bacteremic GNI in hospitalized adults were 74 (95% CI 58 - 89) and 86 (95% CI 72-100) per 100,000 person years, yielding estimated annual numbers of 30-day all-cause mortality deaths of 1,528 (95% CI 1,102-1,954) for bacteremic and 982 (95% CI 688 - 1,276) for non-bacteremic GNI. Conclusion GNI form a large mortality burden in a low-resistance country. A third of the associated mortality occurs after non-bacteremic GNI.</t>
  </si>
  <si>
    <t>Clinician-Scientists in-and-between Research and Practice: How Social Identity Shapes Brokerage.</t>
  </si>
  <si>
    <t>de Groot, Esther; Baggen, Yvette; Moolenaar, Nienke; Stevens, Diede; van Tartwijk, Jan; Damoiseaux, Roger; Kluijtmans, Manon</t>
  </si>
  <si>
    <t>minerva</t>
  </si>
  <si>
    <t>https://pubmed.ncbi.nlm.nih.gov/33041374</t>
  </si>
  <si>
    <t>Clinician-scientists (CSs) are vital in connecting the worlds of research and practice. Yet, there is little empirical insight into how CSs perceive and act upon their in-and-between position between these socio-culturally distinct worlds. To better understand and support CSs' training and career development, this study aims to gain insight into CSs' social identity and brokerage. The authors conducted semi-structured, in-depth interviews with 17, purposively sampled, CSs to elicit information on their social identity and brokerage. The CSs differ in how they perceive their social identity. Some CSs described their social identity strongly as either a research or clinical identity (dominant research or clinical identity). Other CSs described combined research and clinical identities, which might sometimes be compartmentalised, intersected or merged (non-dominant-identity). In the types of brokerage that they employ, all CSs act as representatives. CSs with a non-dominant identity mostly act as liaison and show considerable variability in their repertoire, including representative and gatekeeper. CSs with a dominant identity have less diversity in their brokerage types. Those with a dominant research identity typically act as a gatekeeper. Combining lenses of social identity theory and brokerage types helps understand CSs who have a dual position in-and-between the worlds of clinical practice and research. Professional development programs should explicitly address CSs' professional identities and subsequent desired brokerage. Research and policy should aim to clarify and leverage the position of CSs in-and-between research and practice.</t>
  </si>
  <si>
    <t>Investigator initiated research in times of COVID-19: Let's go digital!</t>
  </si>
  <si>
    <t>Schuitenmaker, Jeroen M; Oude Nijhuis, Renske A B; Bredenoord, Annelien L; Fockens, Paul; Bredenoord, Albert J</t>
  </si>
  <si>
    <t>neurogastroenterology and motility</t>
  </si>
  <si>
    <t>https://pubmed.ncbi.nlm.nih.gov/33025718</t>
  </si>
  <si>
    <t>Defining asthma in children: how well do parents, doctors and spirometry agree?</t>
  </si>
  <si>
    <t>Korsten, Koos; Naaktgeboren, Christiana A; Bont, Louis J; van der Ent, Cornelis K; de Hoog, Marieke L A</t>
  </si>
  <si>
    <t>https://pubmed.ncbi.nlm.nih.gov/33043055</t>
  </si>
  <si>
    <t>Because diagnosing asthma in school-aged children is challenging, a variety of proxies for asthma are used in clinical practice and research settings as indicators of this disease. We aimed to provide insight into the agreement between various asthma indicators based on parental report, medical diagnosis and spirometry. Children from the WHISTLER birth cohort performed spirometry and were followed up with parental ISAAC (International Study of Asthma and Allergies in Childhood) questionnaires about asthma at 5 and 8 years of age. Medical data were extracted from primary care records. We compared 15 asthma indicators based on parental report, medical diagnosis and spirometry using positive agreement, κ statistics and latent class cluster analysis. At 5 years of age, 1007 children completed a study visit, while 803 children visited at 8 years of age. Depending on the indicator, the responder and child's age, the asthma prevalence ranged from 0.2% to 26.6%. Cluster analysis revealed classes related to the presence of recent symptoms and a decreased lung function. Agreement between parents and doctors was generally low with κ coefficients ranging from 0.07 (recent wheeze) to 0.52 (recent asthma medication). Additionally, parental report showed to be sensitive to recall bias over time. Dependent on the asthma indicator, the responder and the age of the child, substantial differences in agreement were observed between commonly used indicators associated with asthmatic disease in school-aged children. Most agreement between parents and doctors was seen for objective and recent indicators such as the recent use of asthma medication. We advocate caution when literature with different asthma indicators is compared.</t>
  </si>
  <si>
    <t>Integration of a palliative approach into heart failure care: a European Society of Cardiology Heart Failure Association position paper.</t>
  </si>
  <si>
    <t>Hill, Loreena; Prager Geller, Tal; Baruah, Resham; Beattie, James M; Boyne, Josiane; de Stoutz, Noemi; Di Stolfo, Giuseppe; Lambrinou, Ekaterini; Skibelund, Anne K; Uchmanowicz, Izabella; Rutten, Frans H; Čelutkienė, Jelena; Piepoli, Massimo Francesco; Jankowska, Ewa A; Chioncel, Ovidiu; Ben Gal, Tuvia; Seferovic, Petar M; Ruschitzka, Frank; Coats, Andrew J S; Strömberg, Anna; Jaarsma, Tiny</t>
  </si>
  <si>
    <t>https://pubmed.ncbi.nlm.nih.gov/32892431</t>
  </si>
  <si>
    <t>The Heart Failure Association of the European Society of Cardiology has published a previous position paper and various guidelines over the past decade recognizing the value of palliative care for those affected by this burdensome condition. Integrating palliative care into evidence-based heart failure management remains challenging for many professionals, as it includes the identification of palliative care needs, symptom control, adjustment of drug and device therapy, advance care planning, family and informal caregiver support, and trying to ensure a 'good death'. This new position paper aims to provide day-to-day practical clinical guidance on these topics, supporting the coordinated provision of palliation strategies as goals of care fluctuate along the heart failure disease trajectory. The specific components of palliative care for symptom alleviation, spiritual and psychosocial support, and the appropriate modification of guideline-directed treatment protocols, including drug deprescription and device deactivation, are described for the chronic, crisis and terminal phases of heart failure.</t>
  </si>
  <si>
    <t>Small steps, big change. Forging a public-private health insurance system in the Netherlands.</t>
  </si>
  <si>
    <t>Bertens, R M; Vonk, R A A</t>
  </si>
  <si>
    <t>https://pubmed.ncbi.nlm.nih.gov/33065497</t>
  </si>
  <si>
    <t>History helps us to better understand the particulars of the form and functions of institutions. In this paper we present the case study of the evolution of health care financing in the Netherlands over the past 150 years, through the lens of incremental institutional change. Our historical and political analysis is based on a review of secondary literature as well as relevant policy documents, parliamentary debates and archival material. We use the conceptual framework of incremental institutional change (i.e. layering, conversion, drift and displacement) for our analysis. The constitutional program of the mid-nineteenth century laid down the foundations of a 'private initiative first, government last'-approach to health care financing in the Netherlands. Over the course of 150 years this led to the evolution of a complex layered system of financial arrangements consisting of direct public funding, national, social and private health insurance with complex interdependencies. This was not a conscious strategy, but a result of the fact that the central government in the Netherlands preferred to tackle specific problems in health care financing with very specific measures, so as not to intrude on the trade of civil society and commercial business in health care. Regulatory authority and statist power in and over health care financing is not something that was created through dramatic reform in the Netherlands, but came about through many decades of small, incremental, yet accumulating changes. This provides a case study for further analysis of incremental versus rapid change in health care systems internationally.</t>
  </si>
  <si>
    <t>Structural Antibiotic Surveillance and Stewardship via Indication-Linked Quality Indicators: Pilot in Dutch Primary Care.</t>
  </si>
  <si>
    <t>van der Velden, Alike W; van Triest, Mieke I; Schoffelen, Annelot F; Verheij, Theo J M</t>
  </si>
  <si>
    <t>https://pubmed.ncbi.nlm.nih.gov/33023009</t>
  </si>
  <si>
    <t>Insight into antibiotic prescribing quality is key to general practitioners (GPs) to improve their prescribing behavior and to national antibiotic surveillance and stewardship programs. Additionally to numbers of prescribed antibiotics, quality indicators (QIs) linked to the clinical indication for prescribing are urgently needed. The aim of this proof of concept study was to define indication-linked QIs which can be easily implemented in Dutch primary care by collaborating with data-extraction/processing companies that routinely process patient data for GP practices. An expert group of academic and practicing GPs defined indication-linked QIs for which outcomes can be derived from routine care data. QI outcomes were calculated and fed back to GPs from 44 practices, associations between QI outcomes were determined, and GPs' opinions and suggestions with respect to the new set were captured using an online questionnaire. The new set comprises: (1) total number of prescribed antibiotics per 1000 registered patients and percentages of generally non-1st choice antibiotics; (2) prescribing percentages for episodes of upper and lower respiratory tract infection; (3) 1st choice prescribing for episodes of tonsillitis, pneumonia and cystitis in women. Large inter-practice variation in QI outcomes was found. The validity of the QI outcomes was confirmed by associations that were expected. The new set was highly appreciated by GPs and additional QIs were suggested. We conclude that it proved feasible to provide GPs with informative, indication-linked feedback of their antibiotic prescribing quality by collaborating with established data extraction/processing companies. Based on GPs' suggestions the set will be refined and extended and used in the near future as yearly feedback with benchmarking for GPs and for national surveillance and stewardship purposes.</t>
  </si>
  <si>
    <t>Adiposity and Endometrial Cancer Risk in Postmenopausal Women: A Sequential Causal Mediation Analysis.</t>
  </si>
  <si>
    <t>Dashti, S Ghazaleh; English, Dallas R; Simpson, Julie A; Karahalios, Amalia; Moreno-Betancur, Margarita; Biessy, Carine; Rinaldi, Sabina; Ferrari, Pietro; Tjønneland, Anne; Halkjær, Jytte; Dahm, Christina C; Vistisen, Helene Tilma; Menegaux, Florence; Perduca, Vittorio; Severi, Gianluca; Aleksandrova, Krasimira; Schulze, Matthias B; Masala, Giovanna; Sieri, Sabina; Tumino, Rosario; Macciotta, Alessandra; Panico, Salvatore; Hiensch, Anouk E; May, Anne M; Quirós, J Ramón; Agudo, Antonio; Sánchez, Maria-Jose; Amiano, Pilar; Colorado-Yohar, Sandra; Ardanaz, Eva; Allen, Naomi E; Weiderpass, Elisabete; Fortner, Renée Turzanski; Christakoudi, Sofia; Tsilidis, Konstantinos K; Riboli, Elio; Kaaks, Rudolf; Gunter, Marc J; Viallon, Vivian; Dossus, Laure</t>
  </si>
  <si>
    <t>https://pubmed.ncbi.nlm.nih.gov/33008875</t>
  </si>
  <si>
    <t>Adiposity increases endometrial cancer risk, possibly through inflammation, hyperinsulinemia, and increasing estrogens. We aimed to quantify the mediating effects of adiponectin (anti-inflammatory adipocytokine); IL6, IL1-receptor antagonist, TNF receptor 1 and 2, and C-reactive protein (inflammatory status biomarkers); C-peptide (hyperinsulinemia biomarker); and free estradiol and estrone (estrogen biomarkers) in the adiposity-endometrial cancer link in postmenopausal women. We used data from a case-control study within the European Prospective Investigation into Cancer and Nutrition (EPIC). Eligible women did not have cancer, hysterectomy, and diabetes; did not use oral contraceptives or hormone therapy; and were postmenopausal at recruitment. Mediating pathways from adiposity to endometrial cancer were investigated by estimating natural indirect (NIE) and direct (NDE) effects using sequential mediation analysis. The study included 163 cases and 306 controls. The adjusted OR for endometrial cancer for body mass index (BMI) ≥30 versus ≥18.5-&lt;25 kg/m&lt;sup&gt;2&lt;/sup&gt; was 2.51 (95% confidence interval, 1.26-5.02). The ORs&lt;sup&gt;NIE&lt;/sup&gt; were 1.95 (1.01-3.74) through all biomarkers [72% proportion mediated (PM)] decomposed as: 1.35 (1.06-1.73) through pathways originating with adiponectin (33% PM); 1.13 (0.71-1.80) through inflammation beyond (the potential influence of) adiponectin (13% PM); 1.05 (0.88-1.24) through C-peptide beyond adiponectin and inflammation (5% PM); and 1.22 (0.89-1.67) through estrogens beyond preceding biomarkers (21% PM). The OR&lt;sup&gt;NDE&lt;/sup&gt; not through biomarkers was 1.29 (0.54-3.09). Waist circumference gave similar results. Reduced adiponectin and increased inflammatory biomarkers, C-peptide, and estrogens mediated approximately 70% of increased odds of endometrial cancer in women with obesity versus normal weight. If replicated, these results could have implications for identifying targets for intervention to reduce endometrial cancer risk in women with obesity.</t>
  </si>
  <si>
    <t>Improving pain management in childhood acute otitis media in general practice: a cluster randomised controlled trial of a GP-targeted educational intervention.</t>
  </si>
  <si>
    <t>van Uum, Rick T; Venekamp, Roderick P; Zuithoff, Nicolaas Pa; Sjoukes, Alies; van de Pol, Alma C; Schilder, Anne Gm; Damoiseaux, Roger Amj</t>
  </si>
  <si>
    <t>https://pubmed.ncbi.nlm.nih.gov/32839161</t>
  </si>
  <si>
    <t>Pain management in acute otitis media (AOM) is often suboptimal, potentially leading to unnecessary discomfort, GP reconsultation, and antibiotic prescribing. To assess the effectiveness of a GP-targeted educational intervention to improve pain management in children with AOM. Pragmatic, cluster randomised controlled trial (RCT). GPs in 37 practices (intervention &lt;i&gt;n&lt;/i&gt; = 19; control &lt;i&gt;n&lt;/i&gt; = 18) across the Netherlands recruited 224 children with GP-confirmed AOM and ear pain (intervention &lt;i&gt;n&lt;/i&gt; = 94; control &lt;i&gt;n&lt;/i&gt; = 130) between February 2015 and May 2018. GPs in practices allocated to the intervention group were trained (online and face-to-face) to discuss pain management with parents using an information leaflet, and prompted to prescribe weight-appropriate dosed paracetamol. Ibuprofen was additionally prescribed if pain control was still insufficient. GPs in the control group provided usual care. Mean ear pain scores over the first 3 days were similar between groups (4.66 versus 4.36; adjusted mean difference = -0.05; 95% confidence intervals [CI] = -0.93 to 0.83), whereas analgesic use, in particular ibuprofen, was higher in the intervention group. The total number of antibiotic prescriptions during the 28-day follow-up was similar (mean rate 0.43 versus 0.47; adjusted rate ratio [aRR] 0.97; 95% CI = 0.68 to 1.38). Parents of children in the intervention group were more likely to reconsult for AOM-related complaints (mean rate 0.70 versus 0.41; aRR 1.73; 95% CI = 1.14 to 2.62). An intervention aimed at improving pain management for AOM increases analgesic use, particularly ibuprofen, but does not provide symptomatic benefit. GPs are advised to carefully weigh the potential benefits of ibuprofen against its possible harms.</t>
  </si>
  <si>
    <t>Unraveling patients' readiness in advance care planning conversations: a qualitative study as part of the ACTION Study.</t>
  </si>
  <si>
    <t>Zwakman, M; Milota, M M; van der Heide, A; Jabbarian, L J; Korfage, I J; Rietjens, J A C; van Delden, J J M; Kars, M C</t>
  </si>
  <si>
    <t>https://pubmed.ncbi.nlm.nih.gov/33001268</t>
  </si>
  <si>
    <t>Patients' readiness for advance care planning (ACP) is often considered a prerequisite for starting ACP conversations. Healthcare professionals' uncertainty about patients' readiness hampers the uptake of ACP in clinical practice. This study aims To determine how patients' readiness is expressed and develops throughout an ACP conversation. A qualitative sub-study into the ACTION ACP conversations collected as part of the international Phase III multicenter cluster-randomized clinical trial. A purposeful sample was taken of ACP conversations of patients with advanced lung or colorectal cancer who participated in the ACTION study between May 2015 and December 2018 (n = 15). A content analysis of the ACP conversations was conducted. All patients (n = 15) expressed both signs of not being ready and of being ready. Signs of being ready included anticipating possible future scenarios or demonstrating an understanding of one's disease. Signs of not being ready included limiting one's perspective to the here and now or indicating a preference not to talk about an ACP topic. Signs of not being ready occurred more often when future-oriented topics were discussed. Despite showing signs of not being ready, patients were able to continue the conversation when a new topic was introduced. Healthcare professionals should be aware that patients do not have to be ready for all ACP topics to be able to participate in an ACP conversation. They should be sensitive to signs of not being ready and develop the ability to adapt the conversation accordingly.</t>
  </si>
  <si>
    <t>Complex clinical scenarios with the use of direct oral anticoagulants in patients with atrial fibrillation: a multidisciplinary expert advisory board.</t>
  </si>
  <si>
    <t>Mulder, B A; Ten Berg, J; Ten Cate, H; van Es, N; Hemels, M E W; Kappelle, L J; Bearda Bakker, H B; de Borst, G J; Drenth, D J; Geersing, G J; Rienstra, M</t>
  </si>
  <si>
    <t>https://pubmed.ncbi.nlm.nih.gov/32394366</t>
  </si>
  <si>
    <t>The risk of developing atrial fibrillation (AF) and the risk of stroke both increase with advancing age. As such, many individuals have, or will develop, an indication for oral anticoagulation to reduce the risk of stroke. Currently, a large number of anticoagulants are available, including vitamin K antagonists, direct thrombin or factor Xa inhibitors (the last two also referred to as direct oral anticoagulants or DOACs), and different dosages are available. Of the DOACs, rivaroxaban can be obtained in the most different doses: 2.5 mg, 5 mg, 15 mg and 20 mg. Many patients develop co-morbidities and/or undergo procedures that may require the temporary combination of anticoagulation with antiplatelet therapy. In daily practice, clinicians encounter complex scenarios that are not always described in the treatment guidelines, and clear recommendations are lacking. Here, we report the outcomes of a multidisciplinary advisory board meeting, held in Utrecht (The Netherlands) on 3 June 2019, on decision making in complex clinical situations regarding the use of DOACs. The advisory board consisted of Dutch cardiovascular specialists: (interventional) cardiologist, internist, neurologist, vascular surgeon and general practitioners invited according to personal title and specific field of expertise.</t>
  </si>
  <si>
    <t>Sex differences in cardiometabolic risk factors, pharmacological treatment and risk factor control in type 2 diabetes: findings from the Dutch Diabetes Pearl cohort.</t>
  </si>
  <si>
    <t>de Jong, Marit; Oskam, Marieke J; Sep, Simone J S; Ozcan, Behiye; Rutters, Femke; Sijbrands, Eric J G; Elders, Petra J M; Siegelaar, Sarah E; DeVries, J Hans; Tack, Cees J; Schroijen, Marielle; de Valk, Harold W; Abbink, Evertine J; Stehouwer, Coen D A; Jazet, Ingrid; Wolffenbuttel, Bruce H R; Peters, Sanne A E; Schram, Miranda T; ,</t>
  </si>
  <si>
    <t>https://pubmed.ncbi.nlm.nih.gov/33023896</t>
  </si>
  <si>
    <t>Sex differences in cardiometabolic risk factors and their management in type 2 diabetes (T2D) have not been fully identified. Therefore, we aimed to examine differences in cardiometabolic risk factor levels, pharmacological treatment and achievement of risk factor control between women and men with T2D. Cross-sectional data from the Dutch Diabetes Pearl cohort were used (n=6637, 40% women). Linear and Poisson regression analyses were used to examine sex differences in cardiometabolic risk factor levels, treatment, and control. Compared with men, women had a significantly higher body mass index (BMI) (mean difference 1.79 kg/m&lt;sup&gt;2&lt;/sup&gt; (95% CI 1.49 to 2.08)), while no differences were found in hemoglobin A&lt;sub&gt;1c&lt;/sub&gt; (HbA&lt;sub&gt;1c&lt;/sub&gt;) and systolic blood pressure (SBP). Women had lower diastolic blood pressure (-1.94 mm Hg (95% CI -2.44 to -1.43)), higher total cholesterol (TC) (0.44 mmol/L (95% CI 0.38 to 0.51)), low-density lipoprotein cholesterol (LDL-c) (0.26 mmol/L (95% CI 0.22 to 0.31)), and high-density lipoprotein cholesterol (HDL-c) sex-standardized (0.02 mmol/L (95% CI 0.00 to 0.04)), and lower TC:HDL ratio (-0.29 (95% CI -0.36 to -0.23)) and triglycerides (geometric mean ratio 0.91 (95% CI 0.85 to 0.98)). Women had a 16% higher probability of being treated with antihypertensive medication in the presence of high cardiovascular disease (CVD) risk and elevated SBP than men (relative risk 0.84 (95% CI 0.73 to 0.98)), whereas no sex differences were found for glucose-lowering medication and lipid-modifying medication. Among those treated, women were less likely to achieve treatment targets of HbA&lt;sub&gt;1c&lt;/sub&gt; (0.92 (95% CI 0.87 to 0.98)) and LDL-c (0.89 (95% CI 0.85 to 0.92)) than men, while no differences for SBP were found. In this Dutch T2D population, women had a slightly different cardiometabolic risk profile compared with men and a substantially higher BMI. Women had a higher probability of being treated with antihypertensive medication in the presence of high CVD risk and elevated SBP than men, and were less likely than men to achieve treatment targets for HbA&lt;sub&gt;1c&lt;/sub&gt; and LDL levels.</t>
  </si>
  <si>
    <t>Hypertensive Exposure Markers by MRI in Relation to Cerebral Small Vessel Disease and Cognitive Impairment.</t>
  </si>
  <si>
    <t>Amier, Raquel P; Marcks, Nick; Hooghiemstra, Astrid M; Nijveldt, Robin; van Buchem, Mark A; de Roos, Albert; Biessels, Geert Jan; Kappelle, L Jaap; van Oostenbrugge, Robert J; van der Geest, Rob J; Bots, Michiel L; Greving, Jacoba P; Niessen, Wiro J; van Osch, Matthias J P; de Bresser, Jeroen; van de Ven, Peter M; van der Flier, Wiesje M; Brunner-La Rocca, Hans-Peter; van Rossum, Albert C; ,</t>
  </si>
  <si>
    <t>jacc cardiovascular imaging</t>
  </si>
  <si>
    <t>https://pubmed.ncbi.nlm.nih.gov/33011127</t>
  </si>
  <si>
    <t>This study sought to investigate the extent of hypertensive exposure as assessed by cardiovascular magnetic resonance imaging (MRI) in relation to cerebral small vessel disease (CSVD) and cognitive impairment, with the aim of understanding the role of hypertension in the early stages of deteriorating brain health. Preserving brain health into advanced age is one of the great challenges of modern medicine. Hypertension is thought to induce vascular brain injury through exposure of the cerebral microcirculation to increased pressure/pulsatility. Cardiovascular MRI provides markers of (subclinical) hypertensive exposure, such as aortic stiffness by pulse wave velocity (PWV), left ventricular (LV) mass index (LVMi), and concentricity by mass-to-volume ratio. A total of 559 participants from the Heart-Brain Connection Study (431 patients with manifest cardiovascular disease and 128 control participants), age 67.8 ± 8.8 years, underwent 3.0-T heart-brain MRI and extensive neuropsychological testing. Aortic PWV, LVMi, and LV mass-to-volume ratio were evaluated in relation to presence of CSVD and cognitive impairment. Effect modification by patient group was investigated by interaction terms; results are reported pooled or stratified accordingly. Aortic PWV (odds ratio [OR]: 1.17; 95% confidence interval [CI]: 1.05 to 1.30 in patient groups only), LVMi (in carotid occlusive disease, OR: 5.69; 95% CI: 1.63 to 19.87; in other groups, OR: 1.30; 95% CI: 1.05 to 1.62]) and LV mass-to-volume ratio (OR: 1.81; 95% CI: 1.46 to 2.24) were associated with CSVD. Aortic PWV (OR: 1.07; 95% CI: 1.02 to 1.13) and LV mass-to-volume ratio (OR: 1.27; 95% CI: 1.07 to 1.51) were also associated with cognitive impairment. Relations were independent of sociodemographic and cardiac index and mostly persisted after correction for systolic blood pressure or medical history of hypertension. Causal mediation analysis showed significant mediation by presence of CSVD in the relation between hypertensive exposure markers and cognitive impairment. The extent of hypertensive exposure is associated with CSVD and cognitive impairment beyond clinical blood pressure or medical history. The mediating role of CSVD suggests that hypertension may lead to cognitive impairment through the occurrence of CSVD.</t>
  </si>
  <si>
    <t>Diabetes as a risk factor for incident peripheral arterial disease in women compared to men: a systematic review and meta-analysis.</t>
  </si>
  <si>
    <t>Chase-Vilchez, Alyssa Z; Chan, Isaac H Y; Peters, Sanne A E; Woodward, Mark</t>
  </si>
  <si>
    <t>https://pubmed.ncbi.nlm.nih.gov/32979922</t>
  </si>
  <si>
    <t>Previous meta-analyses have suggested that diabetes confers a greater excess risk of coronary heart disease, stroke, vascular dementia, and heart failure in women compared to men. While the underlying mechanism that explains such greater excess risk is unknown, in the current meta-analysis we hypothesized that we would find a similar sex difference in the relationship between diabetes and peripheral arterial disease (PAD). PubMed MEDLINE, the Cochrane Database of Systematic Reviews, and Embase were systematically searched for prospective population-based cohort studies, with no restriction on publication date, language, or country. We included studies that reported the relative risk (RR), and its variability, for incident PAD associated with diabetes in both sexes. We excluded studies that did not adjust at least for age, and in which participants had pre-existing PAD. In cases where sex-specific results were not reported, study authors were contacted. Random-effects meta-analyses with inverse variance weighting were used to obtain summary sex-specific RRs and the women: men ratio of RRs for PAD. The Newcastle-Ottawa scale was used to assess study quality. Data from seven cohorts, totalling 2071,260 participants (49.8% women), were included. The relative risk for incident PAD associated with diabetes compared with no diabetes was 1.96 (95% CI 1.29-2.63) in women and 1.84 (95% CI 1.29-2.86) in men, after adjusting for potential confounders. The multiple-adjusted RR ratio was 1.05 (95% CI 0.90-1.22), with virtually no heterogeneity between studies (I&lt;sup&gt;2&lt;/sup&gt; = 0%). All studies scored 6-8, on the Newcastle-Ottawa scale of 0-9, indicating good quality. Eleven of the 12 studies that met review inclusion criteria did not report sex-specific relative risk, and these data were collected through direct correspondence with the study authors. Consistent with other studies, we found evidence that diabetes is an independent risk factor for PAD. However, in contrast to similar studies of other types of cardiovascular disease, we did not find evidence that diabetes confers a greater excess risk in women compared to men for PAD. More research is needed to explain this sex differential between PAD and other forms of CVD, in the sequelae of diabetes. In addition, we found that very few studies reported the sex-specific relative risk for the association between diabetes and PAD, adding to existing evidence for the need for improved reporting of sex-disaggregated results in cardiovascular disease research.</t>
  </si>
  <si>
    <t>Predicting 10-year risk of recurrent cardiovascular events andcardiovascular interventions in patients with established cardiovascular disease: results from UCC-SMART and REACH.</t>
  </si>
  <si>
    <t>Klooster, C C van 't; Bhatt, D L; Steg, P G; Massaro, J M; Dorresteijn, J A N; Westerink, J; Ruigrok, Y M; de Borst, G J; Asselbergs, F W; van der Graaf, Y; Visseren, F L J; ,</t>
  </si>
  <si>
    <t>https://pubmed.ncbi.nlm.nih.gov/32987048</t>
  </si>
  <si>
    <t>Existing cardiovascular risk scores for patients with established cardiovascular disease (CVD) estimate residual risk of recurrent major cardiovascular events (MACE). The aim of the current study is to develop and externally validate a prediction model to estimate the 10-year combined risk of recurrent MACE and cardiovascular interventions (MACE+) in patients with established CVD. Data of patients with established CVD from the UCC-SMART cohort (N = 8421) were used for model development, and patient data from REACH Western Europe (N = 14,528) and REACH North America (N = 19,495) for model validation. Predictors were selected based on the existing SMART risk score. A Fine and Gray competing risk-adjusted 10-year risk model was developed for the combined outcome MACE+. The model was validated in all patients and in strata of coronary heart disease (CHD), cerebrovascular disease (CeVD), peripheral artery disease (PAD). External calibration for 2-year risk in REACH Western Europe and REACH North America was good, c-statistics were moderate: 0.60 and 0.58, respectively. In strata of CVD at baseline good external calibration was observed in patients with CHD and CeVD, however, poor calibration was seen in patients with PAD. C-statistics for patients with CHD were 0.60 and 0.57, for patients with CeVD 0.62 and 0.61, and for patients with PAD 0.53 and 0.54 in REACH Western Europe and REACH North America, respectively. The 10-year combined risk of recurrent MACE and cardiovascular interventions can be estimated in patients with established CHD or CeVD. However, cardiovascular interventions in patients with PAD could not be predicted reliably.</t>
  </si>
  <si>
    <t>Dijet Resonance Search with Weak Supervision Using sqrt[s]=13  TeV pp Collisions in the ATLAS Detector.</t>
  </si>
  <si>
    <t>https://pubmed.ncbi.nlm.nih.gov/33034503</t>
  </si>
  <si>
    <t>This Letter describes a search for narrowly resonant new physics using a machine-learning anomaly detection procedure that does not rely on signal simulations for developing the analysis selection. Weakly supervised learning is used to train classifiers directly on data to enhance potential signals. The targeted topology is dijet events and the features used for machine learning are the masses of the two jets. The resulting analysis is essentially a three-dimensional search A→BC, for m_{A}∼O(TeV), m_{B},m_{C}∼O(100  GeV) and B, C are reconstructed as large-radius jets, without paying a penalty associated with a large trials factor in the scan of the masses of the two jets. The full run 2 sqrt[s]=13  TeV pp collision dataset of 139  fb^{-1} recorded by the ATLAS detector at the Large Hadron Collider is used for the search. There is no significant evidence of a localized excess in the dijet invariant mass spectrum between 1.8 and 8.2 TeV. Cross-section limits for narrow-width A, B, and C particles vary with m_{A}, m_{B}, and m_{C}. For example, when m_{A}=3  TeV and m_{B}≳200  GeV, a production cross section between 1 and 5 fb is excluded at 95% confidence level, depending on m_{C}. For certain masses, these limits are up to 10 times more sensitive than those obtained by the inclusive dijet search. These results are complementary to the dedicated searches for the case that B and C are standard model bosons.</t>
  </si>
  <si>
    <t>Integrating public health programs and research after the malaria vaccine implementation program (MVIP): Recommendations for next steps.</t>
  </si>
  <si>
    <t>van der Graaf, Rieke; Macklin, Ruth; Rid, Annette; Bhan, Anant; Gefenas, Eugenijus; Greco, Dirceu; Haerry, David; Hurst, Samia; London, Alex John; Saracci, Rodolfo; Sprumont, Dominique; van Delden, Johannes J M</t>
  </si>
  <si>
    <t>https://pubmed.ncbi.nlm.nih.gov/32981780</t>
  </si>
  <si>
    <t>In February 2020, international controversy arose about the ethical acceptability of the WHO Malaria Vaccine Implementation Program (MVIP). Whereas some have argued that this program must be seen as research that is not in line with international ethical standards, notably regarding informed consent and local ethical review, some WHO representatives consider the MVIP as a public health implementation program that need not adhere to these standards. We performed a case analysis in light of the 2016 CIOMS International Ethical Guidelines for Health-related Research involving Humans. We argue that the MVIP has a substantial research component, and that it is prudent to therefore apply ethical norms for research involving humans, such as the CIOMS guidelines. Accordingly, we agree that the ethical requirements of informed consent and independent ethical review have not been met. In addition, we are concerned that the study might not meet CIOMS's social value requirement. We urge WHO to release more details about the process that led to the MVIP program and make the MVIP protocol publicly available. The full protocol should be assessed by the relevant ethics committees, new and already enrolled parents should be informed about the uncertainties under investigation and given a real opportunity to consent or refuse (continued) participation, communities should be engaged, and aspects of MVIP that require alteration in light of ethical review should be altered, if possible. Furthermore, in order to improve good ethical practices, it is necessary to engage in international debate regarding the integration of research and public health programs. Procedurally, vaccine implementation programs that combine both prevention and research should involve the wider international ethics community and ensure participation of the target populations in setting the proper conditions for launching such programs.</t>
  </si>
  <si>
    <t>Supporting maternal and child nutrition: views from community members in rural Northern Ghana.</t>
  </si>
  <si>
    <t>Debpuur, Cornelius; Nonterah, Engelbert A; Chatio, Samuel T; Adoctor, James K; Dambayi, Edith; Beeri, Paula; Nonterah, Esmond W; Ayi-Bisah, Doreen; Watson, Daniella; Kehoe, Sarah H; Dalaba, Maxwell A; Ofosu, Winfred; Aborigo, Raymond; Welaga, Paul; Oduro, Abraham R; Newell, Marie-Louise; Barker, Mary; ,</t>
  </si>
  <si>
    <t>https://pubmed.ncbi.nlm.nih.gov/32972484</t>
  </si>
  <si>
    <t>Despite efforts to improve maternal and child nutrition, undernutrition remains a major public health challenge in Ghana. The current study explored community perceptions of undernutrition and context-specific interventions that could improve maternal and child nutrition in rural Northern Ghana. This exploratory qualitative study used ten focus group discussions to gather primary data. The discussions were recorded, transcribed and coded into themes using Nvivo 12 software to aid thematic analysis. The study was conducted in rural Kassena-Nankana Districts of Northern Ghana. Thirty-three men and fifty-one women aged 18-50 years were randomly selected from the community. Most participants reported poverty, lack of irrigated agricultural land and poor harvests as the main barriers to optimal nutrition. To improve maternal and child nutrition, study participants suggested that the construction of dams at the community level would facilitate all year round farming including rearing of animals. Participants perceived that the provision of agricultural materials such as high yield seedlings, pesticides and fertiliser would help boost agricultural productivity. They also recommended community-based nutrition education by trained health volunteers, focused on types of locally produced foods and appropriate ways to prepare them to help improve maternal and child nutrition. Drawing on these findings and existing literature, we argue that supporting community initiated nutrition interventions such as improved irrigation for dry season farming, provision of agricultural inputs and community education could improve maternal and child nutrition.</t>
  </si>
  <si>
    <t>[Effectiveness of vaccination against influenza in children: is it time for another policy?].</t>
  </si>
  <si>
    <t>Wildenbeest, Joanne G; Verheij, Theo J M</t>
  </si>
  <si>
    <t>https://pubmed.ncbi.nlm.nih.gov/33201640</t>
  </si>
  <si>
    <t>A recent study found no protective effect of influenza vaccination on the frequency of respiratory tract infections in children with pre-existing medical conditions in the Netherlands, based on a retrospective primary care database review. Rightfully, the investigators did not conclude that influenza vaccination for children with pre-existing medical conditions is not effective, but that more information is needed about the effects of influenza vaccination on severe influenza and hospitalisations. Another strategy could be to vaccinate all children against influenza. A recent meta-analysis showed that vaccinating all children against influenza reduced influenza related hospitalizations. The Dutch Health Council is currently re-evaluating influenza vaccination in children. Herd immunity and therefore indirect protection of high risk groups should be taken into consideration when evaluating cost-effectiveness of this strategy.</t>
  </si>
  <si>
    <t>Mode of progression after radioembolization in patients with colorectal cancer liver metastases.</t>
  </si>
  <si>
    <t>van Roekel, Caren; Jongen, Jennifer M J; Smits, Maarten L J; Elias, Sjoerd G; Koopman, Miriam; Kranenburg, Onno; Borel Rinkes, Inne H M; Lam, Marnix G E H</t>
  </si>
  <si>
    <t>ejnmmi research</t>
  </si>
  <si>
    <t>https://pubmed.ncbi.nlm.nih.gov/32960390</t>
  </si>
  <si>
    <t>Radioembolization is an established treatment modality in colorectal cancer patients with liver-dominant disease in a salvage setting. Selection of patients who will benefit most is of vital importance. The aim of this study was to assess response (and mode of progression) at 3 months after radioembolization and the impact of baseline characteristics. Three months after radioembolization with either yttrium-90 resin/glass or holmium-166, anatomic response, according to RECIST 1.1, was evaluated in 90 patients. Correlations between baseline characteristics and efficacy were evaluated. For more detailed analysis of progressive disease as a dismal clinical entity, distinction was made between intra- and extrahepatic progression, and between progression of existing metastases and new metastases. Forty-two patients (47%) had extrahepatic disease (up to five ≥ 1 cm lung nodules, and ≤ 2 cm lymph nodes) at baseline. No patients showed complete response, 5 (5.5%) patients had partial response, 16 (17.8%) had stable disease, and 69 (76.7%) had progressive disease. Most progressive patients (67/69; 97%) had new metastases (intra-hepatic N = 11, extrahepatic N = 32; or both N = 24). Significantly fewer patients had progressive disease in the group of patients presenting without extrahepatic metastases at baseline (63% versus 93%; p = 0.0016). Median overall survival in patients with extrahepatic disease was 6.5 months, versus 10 months in patients without extrahepatic disease at baseline (hazard ratio 1.79, 95%CI 1.24-2.57). Response at 3-month follow-up and survival were heavily influenced by new metastases. Patients with extrahepatic disease at baseline had a worse outcome compared to patients without.</t>
  </si>
  <si>
    <t>Prediction models for COVID-19 clinical decision making.</t>
  </si>
  <si>
    <t>Leeuwenberg, Artuur M; Schuit, Ewoud</t>
  </si>
  <si>
    <t>https://pubmed.ncbi.nlm.nih.gov/32984794</t>
  </si>
  <si>
    <t>Effects of 13-valent pneumococcal conjugate vaccination of adults on lower respiratory tract infections and antibiotic use in primary care: secondary analysis of a double-blind randomized placebo-controlled study.</t>
  </si>
  <si>
    <t>https://pubmed.ncbi.nlm.nih.gov/32971253</t>
  </si>
  <si>
    <t>The efficacy of 13-valent pneumococcal conjugate vaccine (PCV13) in adults to prevent community-acquired pneumonia (CAP) and lower respiratory tract infections (LRTI) not requiring hospitalization is unknown. We determined the effect of PCV13 on CAP, LRTI and antibiotic use in the primary care setting. Community-dwelling immunocompetent adults over 65 years of age were randomized to PCV13 or placebo as part of the double-blind Community-Acquired Pneumonia immunization Trial in Adults (CAPiTA). CAP and LRTI episodes and antibiotic prescription data were extracted from general practitioner information systems of 40 426 individuals. Vaccine efficacy (VE) of PCV13 was determined using Poisson regression with robust standard errors, comparing CAP and non-CAP LRTI episodes, LRTI-specific and total antibiotic prescriptions. In all, 20 195 participants received PCV13 and 20 231 received placebo. A total of 1564 and 1659 CAP episodes occurred in the PCV13 and placebo group, respectively; VE 5.5% (95% CI -2.6% to 13.0%). Non-CAP LRTI episodes occurred 7535 and 7817 times in the PCV13 and placebo groups, respectively; VE 3.4% (95% CI -2.0% to 8.5%). A total of 8835 and 9245 LRTI-related antibiotic courses were prescribed in the PCV13 and placebo arms, respectively; VE 4.2% (95% CI -1.0% to 9.1%). Antibiotic courses for any indication were prescribed 43 386 and 43 309 times, respectively; VE -0.4% (-4.9% to 3.9%). PCV13 vaccination in the elderly is unlikely to cause a relevant reduction in the incidence of CAP, LRTI, LRTI-related antibiotic use or total antibiotic use in primary care.</t>
  </si>
  <si>
    <t>Trends in Recurrent Coronary Heart Disease After Myocardial Infarction Among US Women and Men Between 2008 and 2017.</t>
  </si>
  <si>
    <t>Peters, Sanne A E; Colantonio, Lisandro D; Dai, Yuling; Zhao, Hong; Bittner, Vera; Farkouh, Michael E; Dluzniewski, Paul; Poudel, Bharat; Muntner, Paul; Woodward, Mark</t>
  </si>
  <si>
    <t>https://pubmed.ncbi.nlm.nih.gov/32951451</t>
  </si>
  <si>
    <t>Rates for recurrent coronary heart disease (CHD) events have declined in the United States. However, few studies have assessed whether this decline has been similar among women and men. Data were used from 770 408 US women and 700 477 US men &lt;65 years of age with commercial health insurance through MarketScan and ≥66 years of age with government health insurance through Medicare who had a myocardial infarction (MI) hospitalization between 2008 and 2017. Women and men were followed up for recurrent MI, recurrent CHD events (ie, recurrent MI or coronary revascularization), heart failure hospitalization, and all-cause mortality (Medicare only) in the 365 days after MI. From 2008 to 2017, age-standardized recurrent MI rates per 1000 person-years decreased from 89.2 to 72.3 in women and from 94.2 to 81.3 in men (multivariable-adjusted &lt;i&gt;P&lt;/i&gt; interaction by sex &lt;0.001). Recurrent CHD event rates decreased from 166.3 to 133.3 in women and from 198.1 to 176.8 in men (&lt;i&gt;P&lt;/i&gt; interaction &lt;0.001). Heart failure hospitalization rates decreased from 177.4 to 158.1 in women and from 162.9 to 156.1 in men (&lt;i&gt;P&lt;/i&gt; interaction=0.001). All-cause mortality rates decreased from 403.2 to 389.5 in women and from 436.1 to 417.9 in men (&lt;i&gt;P&lt;/i&gt; interaction=0.82). In 2017, the multivariable-adjusted rate ratios comparing women with men were 0.90 (95% CI, 0.86-0.93) for recurrent MI, 0.80 (95% CI, 0.78-0.82) for recurrent CHD events, 0.99 (95% CI, 0.96-1.01) for heart failure hospitalization, and 0.82 (95% CI, 0.80-0.83) for all-cause mortality. Rates of recurrent MI, recurrent CHD events, heart failure hospitalization, and mortality in the first year after an MI declined considerably between 2008 and 2017 in both men and women, with proportionally greater reductions for women than men. However, rates remain very high, and rates of recurrent MI, recurrent CHD events, and death continue to be higher among men than women.</t>
  </si>
  <si>
    <t>Why magnesium sulfate 'coverage' only is not enough to reduce eclampsia: Lessons learned in a middle-income country.</t>
  </si>
  <si>
    <t>Verschueren, Kim J C; Paidin, Rubinah R; Broekhuis, Annabel; Ramkhelawan, Olivier S S; Kodan, Lachmi R; Kanhai, Humphrey H H; Browne, Joyce L; Bloemenkamp, Kitty W M; Rijken, Marcus J</t>
  </si>
  <si>
    <t>https://pubmed.ncbi.nlm.nih.gov/32979728</t>
  </si>
  <si>
    <t>Determine the eclampsia prevalence and factors associated with eclampsia and recurrent seizures in Suriname and evaluate quality-of-care indicator 'magnesium sulfate (MgSO4) coverage'. A two-year prospective nationwide cohort study was conducted in Suriname and included women with eclampsia at home or in a healthcare facility. We calculated the prevalence by the number of live births obtained from vital registration. Risk factor denominator data concerned hospital births. Descriptive statistics and multivariate regression analysis were performed. Seventy-two women with eclampsia (37/10.000 live births) were identified, including two maternal deaths (case-fatality 2.8%). Nulliparity, African-descent and adolescence were associated with eclampsia. Adolescents with eclampsia had significantly lower BPs (150/100 mmHg) than adult women (168/105 mmHg). The first seizure occurred antepartum in 54% (n = 39/72), intrapartum in 19% (n = 14/72) and postpartum in 26% (n = 19/72). Recurrent seizures were observed in 60% (n = 43/72). MgSO4 was administered to 99% (n = 69/70) of women; however 26% received no loading dosage and, in 22% of cases MgSO4 duration was &lt;24 h, i.e. guideline adherence existed in only 43%. MgSO4 was ceased during CS in all women (n = 40). Stable BP was achieved before CS in 46%. The median seizure-to-delivery interval was 27 h, and ranged from four to 36 h. Solely 'MgSO4 coverage' is not a reliable quality-of-care indicator, as it conceals inadequate MgSO4 dosage and timing, discontinuation during CS, stabilization before delivery, and seizure-to-delivery interval. These other quality-of-care indicators need attention from the international community in order to reduce the prevalence of eclampsia.</t>
  </si>
  <si>
    <t>Diagnostic Strategies toward Clinical Implementation of Liquid Biopsy RAS/BRAF Circulating Tumor DNA Analyses in Patients with Metastatic Colorectal Cancer.</t>
  </si>
  <si>
    <t>van 't Erve, Iris; Greuter, Marjolein J E; Bolhuis, Karen; Vessies, Daan C L; Leal, Alessandro; Vink, Geraldine R; van den Broek, Daan; Velculescu, Victor E; Punt, Cornelis J A; Meijer, Gerrit A; Coupé, Veerle M H; Fijneman, Remond J A</t>
  </si>
  <si>
    <t>the journal of molecular diagnostics jmd</t>
  </si>
  <si>
    <t>https://pubmed.ncbi.nlm.nih.gov/32961317</t>
  </si>
  <si>
    <t>Detection of KRAS, NRAS, and BRAF mutations in tumor tissue is currently used to predict resistance to treatment with anti-epidermal growth factor receptor (EGFR) antibodies in patients with metastatic colorectal cancer (mCRC). Liquid biopsies are minimally invasive, and cell-free circulating tumor DNA (ctDNA) mutation analyses may better represent tumor heterogeneity. This study examined the incorporation of liquid biopsy RAS/BRAF ctDNA analyses into diagnostic strategies to determine mCRC patient eligibility for anti-EGFR therapy. Tumor tissue and liquid biopsies were collected from 100 mCRC patients with liver-only metastases in a multicenter prospective clinical trial. Three diagnostic strategies incorporating droplet digital PCR ctDNA analyses were compared with routine tumor tissue RAS/BRAF mutation profiling using decision tree analyses. Tissue DNA mutations in KRAS, NRAS, and BRAF were present in 54%, 0%, and 3% of mCRC patients, respectively. A 93% concordance was observed between tissue DNA and liquid biopsy ctDNA mutations. The proportion of patients with RAS/BRAF alterations increased from 57% to 60% for diagnostic strategies that combined tissue and liquid biopsy mutation analyses. Consecutive RAS/BRAF ctDNA analysis followed by tissue DNA analysis in case of a liquid biopsy-negative result appeared to be the most optimal diagnostic strategy to comprehensively determine eligibility for anti-EGFR therapy in a cost-saving manner. These results highlight the potential clinical utility of liquid biopsies for detecting primary resistance to anti-EGFR-targeted therapies.</t>
  </si>
  <si>
    <t>Mistreatment during childbirth.</t>
  </si>
  <si>
    <t>Housseine, Natasha; Rijken, Marcus J; Punt, Marieke C; Meguid, Tarek; Franx, Arie; van der Graaf, Rieke; Browne, Joyce L</t>
  </si>
  <si>
    <t>https://pubmed.ncbi.nlm.nih.gov/32950087</t>
  </si>
  <si>
    <t>TRIPOD statement: a preliminary pre-post analysis of reporting and methods of prediction models.</t>
  </si>
  <si>
    <t>Zamanipoor Najafabadi, Amir H; Ramspek, Chava L; Dekker, Friedo W; Heus, Pauline; Hooft, Lotty; Moons, Karel G M; Peul, Wilco C; Collins, Gary S; Steyerberg, Ewout W; van Diepen, Merel</t>
  </si>
  <si>
    <t>https://pubmed.ncbi.nlm.nih.gov/32948578</t>
  </si>
  <si>
    <t>To assess the difference in completeness of reporting and methodological conduct of published prediction models before and after publication of the Transparent Reporting of a multivariable prediction model for Individual Prognosis Or Diagnosis (TRIPOD) statement. In the seven general medicine journals with the highest impact factor, we compared the completeness of the reporting and the quality of the methodology of prediction model studies published between 2012 and 2014 (pre-TRIPOD) with studies published between 2016 and 2017 (post-TRIPOD). For articles published in the post-TRIPOD period, we examined whether there was improved reporting for articles (1) citing the TRIPOD statement, and (2) published in journals that published the TRIPOD statement. A total of 70 articles was included (pre-TRIPOD: 32, post-TRIPOD: 38). No improvement was seen for the overall percentage of reported items after the publication of the TRIPOD statement (pre-TRIPOD 74%, post-TRIPOD 76%, 95% CI of absolute difference: -4% to 7%). For the individual TRIPOD items, an improvement was seen for 16 (44%) items, while 3 (8%) items showed no improvement and 17 (47%) items showed a deterioration. Post-TRIPOD, there was no improved reporting for articles citing the TRIPOD statement, nor for articles published in journals that published the TRIPOD statement. The methodological quality improved in the post-TRIPOD period. More models were externally validated in the same article (absolute difference 8%, post-TRIPOD: 39%), used measures of calibration (21%, post-TRIPOD: 87%) and discrimination (9%, post-TRIPOD: 100%), and used multiple imputation for handling missing data (12%, post-TRIPOD: 50%). Since the publication of the TRIPOD statement, some reporting and methodological aspects have improved. Prediction models are still often poorly developed and validated and many aspects remain poorly reported, hindering optimal clinical application of these models. Long-term effects of the TRIPOD statement publication should be evaluated in future studies.</t>
  </si>
  <si>
    <t>Prevalence and characteristics of older adults with a persistent death wish without severe illness: a large cross-sectional survey.</t>
  </si>
  <si>
    <t>Hartog, Iris D; Zomers, Margot L; van Thiel, Ghislaine J M W; Leget, Carlo; Sachs, Alfred P E; Uiterwaal, Cuno S P M; van den Berg, Vera; van Wijngaarden, Els</t>
  </si>
  <si>
    <t>https://pubmed.ncbi.nlm.nih.gov/32943009</t>
  </si>
  <si>
    <t>Some older persons develop a persistent death wish without being severely ill, often referred to as "completed life" or "tiredness of life". In the Netherlands and Belgium, the question whether these persons should have legal options for euthanasia or physician-assisted suicide (EAS) is intensely debated. Our main aim was to investigate the prevalence and characteristics of older adults with a persistent death wish without severe illness, as the lack of this knowledge is a crucial problem in de debate. We conducted a survey among a representative sample of 32,477 Dutch citizens aged 55+, comprising questions about health, existential issues and the nature of the death wish. Descriptive statistics were used to describe the group with a persistent death wish and no severe illness (PDW-NSI) and several subgroups. A total of 21,294 respondents completed the questionnaire (response rate 65.6%). We identified 267 respondents (1.25%) as having a persistent death wish and no severe illness (PDW-NSI). PDW-NSI did not only occur among the oldest old. Although qualifying themselves as "not severely ill", those with PDW-NSI reported considerable health problems. A substantial minority of the PDW-NSI-group reported having had a death wish their whole lives. Within the group PDW-NSI 155 (0.73%) respondents had an active death wish, of which 36 (0.17% of the total response) reported a wish to actually end their lives. Thus, a death wish did not always equal a wish to actually end one's life. Moreover, the death wishes were often ambiguous. For example, almost half of the PDW-NSI-group (49.1%) indicated finding life worthwhile at this moment. The identified characteristics challenge the dominant "completed life" or "tiredness of life" image of healthy persons over the age of 75 who, overseeing their lives, reasonably decide they would prefer to die. The results also show that death wishes without severe illness are often ambiguous and do not necessarily signify a wish to end one's life. It is of great importance to acknowledge these nuances and variety in the debate and in clinical practice, to be able to adequately recognize the persons involved and tailor to their needs.</t>
  </si>
  <si>
    <t>How do SYMPtoms and management tasks in chronic heart failure imPACT a person's life (SYMPACT)? Protocol for a mixed-methods study.</t>
  </si>
  <si>
    <t>https://pubmed.ncbi.nlm.nih.gov/32940966</t>
  </si>
  <si>
    <t>Patients with chronic heart failure (CHF) struggle to follow self-care plans, which may lead to worsening illness and poor quality of life. Burden of treatment (BoT) describes this workload and its impact on patients' lives. Suggesting the balance between a patient's treatment workload and their capability to manage it is crucial. If BoT is reduced, self-care engagement and quality of life may improve. This article describes the SYMPACT study design and methods used to explore how symptoms and management tasks impact CHF patients' lives. We used a sequential exploratory mixed-methods design to investigate the interaction between symptoms and BoT in CHF patients. If symptoms and BoT are intrinsically linked, then the high level of symptoms experienced by CHF patients may lead to increased treatment burden, which likely decreases patients' engagement with self-care plans. SYMPACT may identify modifiable factors to improve CHF patients' experience.</t>
  </si>
  <si>
    <t>Alcohol consumption patterns across Europe and adherence to the European guidelines in coronary patients: Findings from the ESC-EORP EUROASPIRE V survey.</t>
  </si>
  <si>
    <t>van de Luitgaarden, Inge A T; Schrieks, Ilse C; De Bacquer, Dirk; van Oort, Sabine; Mirrakhimov, Erkin M; Pogosova, Nana; Davletov, Kairat; Dolzhenko, Maryna; van Ballegooijen, Adriana J; Kotseva, Kornelia; Grobbee, Diederick E; Beulens, Joline W J; ,</t>
  </si>
  <si>
    <t>https://pubmed.ncbi.nlm.nih.gov/33011551</t>
  </si>
  <si>
    <t>Alcohol consumption is an important risk factor for cardiovascular morbidity and mortality worldwide. The highest levels of alcohol consumption are observed in Europe, where alcohol as contributing cause of coronary heart disease (CHD) is also most significant. We aimed to describe alcohol consumption patterns across European regions and adherence to the current guidelines in patients with a recent CHD event. The ESC-EORP survey (EUROASPIRE V) has been conducted in 2016-2017 at 131 centers in 27 European countries in 7350 patients with a recent CHD. Median alcohol consumption, as well as the proportion of abstainers and excessive drinkers (i.e. &gt;70 g/week for women and &gt;140 for men, as recommended by the European guidelines on cardiovascular prevention), was calculated for each region. To assess adherence to guidelines, proportions of participants who were advised to reduce excessive alcohol consumption and participants who were incorrectly not advised were calculated per region. Mean age was 64 years (SD: 9.5), 75% were male. Abstention rates were 53% in males and 77% in females, whereas excessive drinking was reported by 9% and 5% of them, respectively. Overall, 57% of the participants were advised to reduce alcohol consumption. In the total population, 3% were incorrectly not advised, however, this percentage differed per region (range: 1%-9%). In regions where alcohol consumption was highest, participants were less often advised to reduce their consumption. In this EUROASPIRE V survey, the majority of CHD patients adhere to the current drinking guidelines, but substantial heterogeneity exists between European regions.</t>
  </si>
  <si>
    <t>The effects of nudges on purchases, food choice, and energy intake or content of purchases in real-life food purchasing environments: a systematic review and evidence synthesis.</t>
  </si>
  <si>
    <t>Harbers, Marjolein C; Beulens, Joline W J; Rutters, Femke; de Boer, Femke; Gillebaart, Marleen; Sluijs, Ivonne; van der Schouw, Yvonne T</t>
  </si>
  <si>
    <t>https://pubmed.ncbi.nlm.nih.gov/32943071</t>
  </si>
  <si>
    <t>Adults with a low socioeconomic position (SEP) are more likely to engage in unhealthy diets as compared to adults with high SEP. However, individual-level educational interventions aiming to improve food choices have shown limited effectiveness in adults with low SEP. Environmental-level interventions such as nudging strategies however, may be more likely to benefit low SEP groups. We aimed to review the evidence for the effectiveness of nudges as classified according to interventions in proximal physical micro-environments typology (TIPPME) to promote healthy purchases, food choice, or affecting energy intake or content of purchases, within real-life food purchasing environments. Second, we aimed to investigate the potentially moderating role of SEP. We systematically searched PubMed, EMBASE, and PsycINFO until 31 January 2018. Studies were considered eligible for inclusion when they i) complied with TIPPME intervention definitions; ii) studied actual purchases, food choice, or energy intake or content of purchases, iii) and were situated in real-life food purchasing environments. Risk of bias was assessed using a quality assessment tool and evidence was synthesized using harvest plots. From the 9210 references identified, 75 studies were included. Studies were generally of weak to moderate quality. The most frequently studied nudges were information (56%), mixed (24%), and position nudges (13%). Harvest plots showed modest tendencies towards beneficial effects on outcomes for information and position nudges. Less evidence was available for other TIPPME nudging interventions for which the harvest plots did not show compelling patterns. Only six studies evaluated the effects of nudges across levels of SEP (e.g., educational level, food security status, job type). Although there were some indications that nudges were more effective in low SEP groups, the limited amount of evidence and different proxies of SEP used warrant caution in the interpretation of findings. Information and position nudges may contribute to improving population dietary behaviours. Evidence investigating the moderating role of SEP was limited, although some studies reported greater effects in low SEP subgroups. We conclude that more high-quality studies obtaining detailed data on participant's SEP are needed. This systematic review is registered in the PROSPERO database ( CRD42018086983 ).</t>
  </si>
  <si>
    <t>Medication self-management: Considerations and decisions by older people living at home.</t>
  </si>
  <si>
    <t>Dijkstra, Nienke E; Sino, Carolien G M; Schuurmans, Marieke J; Schoonhoven, Lisette; Heerdink, Eibert R</t>
  </si>
  <si>
    <t>research in social administrative pharmacy rsap</t>
  </si>
  <si>
    <t>https://pubmed.ncbi.nlm.nih.gov/33627223</t>
  </si>
  <si>
    <t>Medication self-management is complicated for older people. Little is known about older persons' considerations and decisions concerning medication therapy at home. (s): To explore how older people living at home self-manage their medication and what considerations and decisions underpin their medication self-management behavior. Semi-structured interviews with consenting participants (living at home, aged ≥65, ≥5 different prescription medications daily) were recorded and transcribed with supporting photographs. Content was analyzed with a directed approach and presented according to three phases of medication self-management (initiation, execution, and discontinuation). Sixty people were interviewed. In the initiation phase, participants used different techniques to inform healthcare professionals and to fill and check prescriptions. Over-the-counter medication was seldom discussed, and potential interactions were unknown to the participants. Some participants decided to not start treatment after reading the patient information leaflets for fear of side effects. In the execution phase, participants had various methods for integrating the use of new and chronic medication in daily life. Usage problems were discussed with healthcare professionals, but side effects were not discussed, since the participants were not aware that the signs and symptoms of side effects could be medication-related. Furthermore, participants stored medication in various (sometimes incorrect) ways and devised their own systems for ordering and filling repeat prescriptions. In the discontinuation phase, some participants decided to stop or change doses by themselves (because of side effects, therapeutic effects, or a lack of effect). They also mentioned different considerations regarding medication disposal and disposed their medication (in)correctly, stored it for future use, or distributed it to others. Participants' considerations and decisions led to the following: problems in organizing medication intake, inadequate discussion of medication-related information with healthcare professionals, and incorrect and undesirable medication storage and disposal. There is a need for medication self-management observation, monitoring, and assistance by healthcare professionals.</t>
  </si>
  <si>
    <t>Association between nutritional profiles of foods underlying Nutri-Score front-of-pack labels and mortality: EPIC cohort study in 10 European countries.</t>
  </si>
  <si>
    <t>Deschasaux, Mélanie; Huybrechts, Inge; Julia, Chantal; Hercberg, Serge; Egnell, Manon; Srour, Bernard; Kesse-Guyot, Emmanuelle; Latino-Martel, Paule; Biessy, Carine; Casagrande, Corinne; Murphy, Neil; Jenab, Mazda; Ward, Heather A; Weiderpass, Elisabete; Overvad, Kim; Tjønneland, Anne; Rostgaard-Hansen, Agnetha Linn; Boutron-Ruault, Marie-Christine; Mancini, Francesca Romana; Mahamat-Saleh, Yahya; Kühn, Tilman; Katzke, Verena; Bergmann, Manuela M; Schulze, Matthias B; Trichopoulou, Antonia; Karakatsani, Anna; Peppa, Eleni; Masala, Giovanna; Agnoli, Claudia; De Magistris, Maria Santucci; Tumino, Rosario; Sacerdote, Carlotta; Boer, Jolanda Ma; Verschuren, Wm Monique; van der Schouw, Yvonne T; Skeie, Guri; Braaten, Tonje; Redondo, M Luisa; Agudo, Antonio; Petrova, Dafina; Colorado-Yohar, Sandra M; Barricarte, Aurelio; Amiano, Pilar; Sonestedt, Emily; Ericson, Ulrika; Otten, Julia; Sundström, Björn; Wareham, Nicholas J; Forouhi, Nita G; Vineis, Paolo; Tsilidis, Konstantinos K; Knuppel, Ani</t>
  </si>
  <si>
    <t>https://pubmed.ncbi.nlm.nih.gov/32938660</t>
  </si>
  <si>
    <t>To determine if the Food Standards Agency nutrient profiling system (FSAm-NPS), which grades the nutritional quality of food products and is used to derive the Nutri-Score front-of-packet label to guide consumers towards healthier food choices, is associated with mortality. Population based cohort study. European Prospective Investigation into Cancer and Nutrition (EPIC) cohort from 23 centres in 10 European countries. 521 324 adults; at recruitment, country specific and validated dietary questionnaires were used to assess their usual dietary intakes. A FSAm-NPS score was calculated for each food item per 100 g content of energy, sugars, saturated fatty acids, sodium, fibre, and protein, and of fruit, vegetables, legumes, and nuts. The FSAm-NPS dietary index was calculated for each participant as an energy weighted mean of the FSAm-NPS score of all foods consumed. The higher the score the lower the overall nutritional quality of the diet. Associations between the FSAm-NPS dietary index score and mortality, assessed using multivariable adjusted Cox proportional hazards regression models. After exclusions, 501 594 adults (median follow-up 17.2 years, 8 162 730 person years) were included in the analyses. Those with a higher FSAm-NPS dietary index score (highest versus lowest fifth) showed an increased risk of all cause mortality (n=53 112 events from non-external causes; hazard ratio 1.07, 95% confidence interval 1.03 to 1.10, P&lt;0.001 for trend) and mortality from cancer (1.08, 1.03 to 1.13, P&lt;0.001 for trend) and diseases of the circulatory (1.04, 0.98 to 1.11, P=0.06 for trend), respiratory (1.39, 1.22 to 1.59, P&lt;0.001), and digestive (1.22, 1.02 to 1.45, P=0.03 for trend) systems. The age standardised absolute rates for all cause mortality per 10 000 persons over 10 years were 760 (men=1237; women=563) for those in the highest fifth of the FSAm-NPS dietary index score and 661 (men=1008; women=518) for those in the lowest fifth. In this large multinational European cohort, consuming foods with a higher FSAm-NPS score (lower nutritional quality) was associated with a higher mortality for all causes and for cancer and diseases of the circulatory, respiratory, and digestive systems, supporting the relevance of FSAm-NPS to characterise healthier food choices in the context of public health policies (eg, the Nutri-Score) for European populations. This is important considering ongoing discussions about the potential implementation of a unique nutrition labelling system at the European Union level.</t>
  </si>
  <si>
    <t>Patient factors associated with referral to inpatient rehabilitation following knee or hip arthroplasty in a public sector cohort: A prognostic factor study.</t>
  </si>
  <si>
    <t>Naylor, Justine M; Frost, Steve; Farrugia, Melissa; Pavlovic, Natalie; Ogul, Shaniya; Hackett, Danella; Gray, Leeanne; Wright, Rachael; van Smeden, Maarten; Harris, Ian A</t>
  </si>
  <si>
    <t>journal of evaluation in clinical practice</t>
  </si>
  <si>
    <t>https://pubmed.ncbi.nlm.nih.gov/32930469</t>
  </si>
  <si>
    <t>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In the absence of choice, physical impairment and health factors are associated with referral to inpatient rehabilitation following TKA or THA.</t>
  </si>
  <si>
    <t>Association of Routine Infant Vaccinations With Antibody Levels Among Preterm Infants.</t>
  </si>
  <si>
    <t>Rouers, Elsbeth D M; Bruijning-Verhagen, Patricia C J; van Gageldonk, Pieter G M; van Dongen, Josephine A P; Sanders, Elisabeth A M; Berbers, Guy A M</t>
  </si>
  <si>
    <t>https://pubmed.ncbi.nlm.nih.gov/32930758</t>
  </si>
  <si>
    <t>The standard schedule of national immunization programs for infants may not be sufficient to protect extremely and very preterm infants. To evaluate the immunogenicity of routine vaccinations administered to preterm infants. A multicenter, prospective, observational cohort study of preterm infants stratified according to gestational age recruited from 8 hospitals across the Netherlands between October 2015 and October 2017, with follow-up until 12 months of age (October 2018). In total, 296 premature infants were enrolled and compared with a control group of 66 healthy term infants from a 2011 study, immunized according to the same schedule with the same vaccines. Three primary doses of the diphtheria-tetanus toxoids-acellular pertussis-inactivated poliomyelitis-Haemophilus influenza type b-hepatitis B combination vaccine were given at 2, 3, and 4 months after birth followed by a booster at 11 months and a 10-valent pneumococcal conjugate vaccine at 2, 4, and 11 months after birth. Primary end points were (1) proportion of preterm infants who achieved IgG antibody against vaccine antigens at concentrations above the internationally defined threshold for protection after the primary series and booster dose and (2) serum IgG geometric mean concentrations after the primary series and booster vaccination. Proportions and geometric mean concentrations were compared in preterm infants and the control group of term infants. Of 296 preterm infants (56.1% male; mean gestational age, 30 weeks), complete samples before vaccination, 1 month after the primary series, and 1 month after the booster were obtained from 220 preterm infants (74.3%). After the primary series, the proportion of preterm infants across all gestational age groups who achieved protective IgG antibody levels against pertussis toxin, diphtheria, tetanus and 6 of 10 pneumococcal serotypes varied between 83.0% and 100%, Haemophilus influenzae type b between 34.7% and 46.2% (40.6% among all preterm infants overall), and pneumococcal serotypes 4, 6B, 18C, and 23F between 45.8% and 75.1%. After the booster dose, protective antibody levels were achieved in more than 95% of all preterm groups, except for Haemophilus influenzae type b (88.1%). In general, geometric mean concentrations of all vaccine-induced antibodies were significantly lower in all preterm infants vs term infants, except for pertussis toxin and pneumococcal serotypes 4 and 19F after the primary series and booster vaccination. Among preterm infants, administration of routine vaccinations during the first year of life was associated with protective antibody levels against most antigens in the majority of infants after the primary series and booster, except for Haemophilus influenzae type b. However, antibody concentrations were generally lower among preterm infants compared with historical controls.</t>
  </si>
  <si>
    <t>Routinely available antimicrobial susceptibility information can be used to increase the efficiency of screening for carbapenemase-producing &lt;i&gt;Enterobacteriaceae&lt;/i&gt;.</t>
  </si>
  <si>
    <t>Ong, David S Y; Altorf-van der Kuil, Wieke; Vlek, Anne L M; Schouls, Leo M; Schoffelen, Annelot F</t>
  </si>
  <si>
    <t>journal of medical microbiology</t>
  </si>
  <si>
    <t>https://pubmed.ncbi.nlm.nih.gov/32924918</t>
  </si>
  <si>
    <t>&lt;b&gt;Introduction.&lt;/b&gt; Increased carbapenem resistance is often caused by carbapenemase production.&lt;b&gt;Aim&lt;/b&gt;. The objective of our study was to assess which antibiotic susceptibility patterns, as tested by automated systems, are highly associated with the absence of carbapenemase production in &lt;i&gt;Enterobacteriaceae&lt;/i&gt; isolates, and could therefore be used as a screening tool.&lt;b&gt;Methodology.&lt;/b&gt; Routine antibiotic susceptibility testing data from 42 medical microbiology laboratories in the Netherlands in the period between January 2011 and June 2017 were obtained from the national antimicrobial resistance surveillance programme. Data on &lt;i&gt;Enterobacteriaceae&lt;/i&gt; isolates that had an elevated minimum inhibitory concentration (MIC) for carbapenems (meropenem &gt;0.25 mg l&lt;sup&gt;-1&lt;/sup&gt; or imipenem &gt;1.0 mg l&lt;sup&gt;-1&lt;/sup&gt;) were selected and subjected to phenotypic or genotypic carbapenemase production testing. Routinely available amoxicillin/clavulanic acid, piperacillin/tazobactam, cefuroxime and ceftriaxone/cefotaxime susceptibilities were studied in relation to carbapenemase production by calculating the negative predictive value.&lt;b&gt;Results.&lt;/b&gt; No evidence for carbapenemase-producing &lt;i&gt;Enterobacteriaceae&lt;/i&gt; (CPE) was found in 767 of 1007 (76 %) isolates. The negative predictive value was highest for amoxicillin/clavulanic acid (99.6 %) and piperacillin/tazobactam (98.8 %).&lt;b&gt;Conclusion.&lt;/b&gt; &lt;i&gt;Enterobacteriaceae&lt;/i&gt; isolates with elevated carbapenem MICs that are susceptible to amoxicillin/clavulanic acid or piperacillin/tazobactam are unlikely to be carbapenemase producers. Preselection based on this susceptibility pattern may lead to increased laboratory efficiency and reduction of costs. Whether this is also true for countries with a different distribution of CPE species and types or a higher prevalence of CPE needs to be studied.</t>
  </si>
  <si>
    <t>The Launch of the European Patients' Academy on Therapeutic Innovation in the Netherlands: A Qualitative Multi-Stakeholder Analysis.</t>
  </si>
  <si>
    <t>van Rensen, Annemiek; Voogdt-Pruis, Helene R; Vroonland, Eva</t>
  </si>
  <si>
    <t>https://pubmed.ncbi.nlm.nih.gov/33072776</t>
  </si>
  <si>
    <t>&lt;b&gt;Background:&lt;/b&gt; Involving patients' representatives in the research and development of medicinal products (medicines R&amp;D) leads to better medical treatment. In 2014, the European Patients' Academy on Therapeutic Innovation (EUPATI) was started with the goal of increasing the capacity and capabilities of patient representatives in this field. To make this academy more accessible and applicable for the Netherlands, a Dutch version was launched in September 2019. To explore the options for a durable infrastructure for organizing the Dutch EUPATI course, a multi-stakeholder qualitative study was done. The views of various stakeholders from pharmaceutical industry, governmental organizations, patient organizations, and the academic world were examined about the benefits and challenges of this course for patient involvement in medicines R&amp;D. &lt;b&gt;Methods:&lt;/b&gt; From April to June 2019, 10 semi-structured interviews were completed, each with two representatives of all stakeholders involved. In addition, individual Dutch graduates of the European EUPATI (EUPATI fellows) were consulted &lt;i&gt;via&lt;/i&gt; an e-mail questionnaire. Using a directed content analysis based on the Business Canvas Model, the transcribed interviews were coded, analyzed, and final attributes consolidated. &lt;b&gt;Results:&lt;/b&gt; The semi-structured interviews and completed questionnaires explored how the stakeholders are aiming to assist patient involvement in medicines R&amp;D through the Dutch EUPATI course. The building blocks of the Business Canvas Model were described with concrete attributes for making the business case. Stakeholders stated that the Dutch EUPATI course was an incentive for patient involvement in medicines development, for patient-oriented research and outcomes, for the availability of patient representatives (expert ones in particular), and for the content and representation quality of patient representatives. The key values for collaborating in the network as mentioned by the stakeholders were neutrality, patients' interests, equality, independence, shared objectives, long-term commitment, transparency, understanding, trust, and respect. &lt;b&gt;Conclusions:&lt;/b&gt; Patient involvement in medicines R&amp;D is evolving and the demand for qualified patient representatives is growing. Dutch stakeholders confirmed the added value of the patients' academy and expressed their willingness to contribute. Important values and conditions for long term collaboration were formulated.</t>
  </si>
  <si>
    <t>COVID-19 prediction models should adhere to methodological and reporting standards.</t>
  </si>
  <si>
    <t>Collins, Gary S; van Smeden, Maarten; Riley, Richard D</t>
  </si>
  <si>
    <t>https://pubmed.ncbi.nlm.nih.gov/32703773</t>
  </si>
  <si>
    <t>&lt;b&gt;COVID-19 prediction models should adhere to methodological and reporting standards&lt;/b&gt; https://bit.ly/3ebnook</t>
  </si>
  <si>
    <t>Patients with Sore Throat: A Survey of Self-Management and Healthcare-Seeking Behavior in 13 Countries Worldwide.</t>
  </si>
  <si>
    <t>van der Velden, Alike W; Sessa, Aurelio; Altiner, Attila; Pignatari, Antonio Carlos Campos; Shephard, Adrian</t>
  </si>
  <si>
    <t>pragmatic and observational research</t>
  </si>
  <si>
    <t>https://pubmed.ncbi.nlm.nih.gov/32982537</t>
  </si>
  <si>
    <t>Acute sore throat is one of the most common problems for which patients consult their general practitioner and is a key area for inappropriate antibiotic prescribing. The objective of this study was to investigate patients' attitudes related to healthcare-seeking behavior and self-management of sore throat. We conducted an observational, questionnaire-based study across 13 countries (Australia, Brazil, China, France, Germany, Italy, the Philippines, Russia, Saudi Arabia, South Africa, Thailand, the UK and the USA) on respondents who reported having had a sore throat in the previous 12 months. Data were collected on their experiences, contact with healthcare professionals, treatment practices and opinions about antibiotics. A total of 5196 respondents (approximately 400 per country) completed the survey. Over 80% of respondents sought advice for a sore throat, with 30% consulting a general practitioner. The desire to limit the worsening of symptoms was the main reason for seeking treatment. Other reasons concerned resolving persistent symptoms and reducing the impact on daily life/sleep. Self-management for sore throat was mainly medicated sore throat remedies. "Wanting an antibiotic" was rated much lower (55%) than most other reasons for visiting a doctor, but this differed greatly between countries. The percentage of respondents using antibiotics varied widely, for example, 10% in the UK and 45% in Saudi Arabia. There was considerable variation in the proportion of respondents who thought that antibiotics would be effective against sore throat (from 24% in France to 94% in Saudi Arabia). Our findings suggest that knowledge of effective treatments for sore throat varied widely. The results of this study should enable healthcare professionals to better anticipate patients' needs. This will support healthcare professionals in their role as antibiotic stewards, helping to reduce the misuse of antibiotics, and further guiding patients towards symptomatic self-management of sore throat.</t>
  </si>
  <si>
    <t>Comparison of the GeneFinder&lt;sup&gt;TM&lt;/sup&gt; COVID-19 Plus RealAmp Kit on the sample-to-result Platform ELITe InGenius to the national reference method: An added value of N gene target detection?</t>
  </si>
  <si>
    <t>Ong, David S Y; Claas, Eric C J; Breijer, Simone; Vaessen, Norbert</t>
  </si>
  <si>
    <t>https://pubmed.ncbi.nlm.nih.gov/32932152</t>
  </si>
  <si>
    <t>Due to the emergence of the coronavirus disease 2019 (COVID-19) pandemic there is an urgent need for rapid and accurate testing on the severe acute respiratory syndrome coronavirus 2 (SARS-CoV-2). The aim of this study was to assess the diagnostic performance of the GeneFinder&lt;sup&gt;TM&lt;/sup&gt;COVID-19 Plus RealAmp Kit on the ELITe InGenius sample-to-result platform, which is a commercial nucleic acid amplification test (NAT) targeting genes of SARS-CoV-2. Patients were eligible between March 18 and May 27, 2020, when they had respiratory symptoms that were suspected for COVID-19. The InGenius platform was compared to routine in-house NAT that was validated according to the national reference. Of 128 randomly selected patients, 58 (45 %) tested positive and 55 (43 %) tested negative in both platforms. Sensitivity of the InGenius platform was 100 % (95 % confidence interval 94-100). In the remaining 15 (12 %) cases E and RdRp genes were not detected in both platforms but the nucleoprotein (N) gene was tested positive by the InGenius platform. All solitary N gene positive cases were confirmed by a N-gene specific in-house validated NAT, and most of these patients could also be considered positive based on other recently available COVID-19 positive respiratory samples or highly suspected radiological findings. The InGenius platform for SARS-CoV-2 detection has excellent sensitivity, is easy to use and provides fast results. The inclusion of the N gene as a third gene target may further increase sensitivity for the diagnosis of COVID-19 in comparison to the national reference method.</t>
  </si>
  <si>
    <t>LifeTime and improving European healthcare through cell-based interceptive medicine.</t>
  </si>
  <si>
    <t>https://pubmed.ncbi.nlm.nih.gov/32894860</t>
  </si>
  <si>
    <t>Here we describe the LifeTime Initiative, which aims to track, understand and target human cells during the onset and progression of complex diseases, and to analyse their response to therapy at single-cell resolution. This mission will be implemented through the development, integration and application of single-cell multi-omics and imaging, artificial intelligence and patient-derived experimental disease models during the progression from health to disease. The analysis of large molecular and clinical datasets will identify molecular mechanisms, create predictive computational models of disease progression, and reveal new drug targets and therapies. The timely detection and interception of disease embedded in an ethical and patient-centred vision will be achieved through interactions across academia, hospitals, patient associations, health data management systems and industry. The application of this strategy to key medical challenges in cancer, neurological and neuropsychiatric disorders, and infectious, chronic inflammatory and cardiovascular diseases at the single-cell level will usher in cell-based interceptive medicine in Europe over the next decade.</t>
  </si>
  <si>
    <t>Thinking "ethical" when designing an international, cross-disciplinary biomedical research consortium.</t>
  </si>
  <si>
    <t>Torres-Padilla, Maria-Elena; Bredenoord, Annelien L; Jongsma, Karin R; Lunkes, Astrid; Marelli, Luca; Pinheiro, Ines; Testa, Giuseppe</t>
  </si>
  <si>
    <t>the embo journal</t>
  </si>
  <si>
    <t>https://pubmed.ncbi.nlm.nih.gov/32894572</t>
  </si>
  <si>
    <t>This commentary outlines challenges with identifying and implementing ethical, legal and societal considerations when initiating large-scale scientific programs and suggests best practices to ensure responsible research.</t>
  </si>
  <si>
    <t>Interconnectivity between molecular subtypes and tumor stage in colorectal cancer.</t>
  </si>
  <si>
    <t>Coebergh van den Braak, R R J; Ten Hoorn, S; Sieuwerts, A M; Tuynman, J B; Smid, M; Wilting, S M; Martens, J W M; Punt, C J A; Foekens, J A; Medema, J P; IJzermans, J N M; Vermeulen, L</t>
  </si>
  <si>
    <t>https://pubmed.ncbi.nlm.nih.gov/32887573</t>
  </si>
  <si>
    <t>There are profound individual differences in clinical outcomes between colorectal cancers (CRCs) presenting with identical stage of disease. Molecular stratification, in conjunction with the traditional TNM staging, is a promising way to predict patient outcomes. We investigated the interconnectivity between tumor stage and tumor biology reflected by the Consensus Molecular Subtypes (CMSs) in CRC, and explored the possible value of these insights in patients with stage II colon cancer. We performed a retrospective analysis using clinical records and gene expression profiling in a meta-cohort of 1040 CRC patients. The interconnectivity of tumor biology and disease stage was assessed by investigating the association between CMSs and TNM classification. In order to validate the clinical applicability of our findings we employed a meta-cohort of 197 stage II colon cancers. CMS4 was significantly more prevalent in advanced stages of disease (stage I 9.8% versus stage IV 38.5%, p &lt; 0.001). The observed differential gene expression between cancer stages is at least partly explained by the biological differences as reflected by CMS subtypes. Gene signatures for stage III-IV and CMS4 were highly correlated (r = 0.77, p &lt; 0.001). CMS4 cancers showed an increased progression rate to more advanced stages (CMS4 compared to CMS2: 1.25, 95% CI: 1.08-1.46). Patients with a CMS4 cancer had worse survival in the high-risk stage II tumors compared to the total stage II cohort (5-year DFS 41.7% versus 100.0%, p = 0.008). Considerable interconnectivity between tumor biology and tumor stage in CRC exists. This implies that the TNM stage, in addition to the stage of progression, might also reflect distinct biological disease entities. These insights can potentially be utilized to optimize identification of high-risk stage II colon cancers.</t>
  </si>
  <si>
    <t>Sex differences in prevalence, treatment and control of cardiovascular risk factors in England.</t>
  </si>
  <si>
    <t>Pinho-Gomes, Ana Catarina; Peters, Sanne A E; Thomson, Blake; Woodward, Mark</t>
  </si>
  <si>
    <t>https://pubmed.ncbi.nlm.nih.gov/32887737</t>
  </si>
  <si>
    <t>To investigate sex differences in prevalence, treatment and control of major cardiovascular risk factors in England. Data from the Health Survey for England 2012-2017 on non-institutionalised English adults (aged ≥16 years) were used to investigate sex differences in prevalence, treatment and control of major cardiovascular risk factors: body mass index, smoking, systolic blood pressure and hypertension, diabetes, and cholesterol and dyslipidaemia. Physical activity and diet were not assessed in this study. Overall, 49 415 adults (51% women) were included. Sex differences persisted in prevalence of cardiovascular risk factors, with smoking, hypertension, overweight and dyslipidaemia remaining more common in men than in women in 2017. The proportion of individuals with neither hypertension, dyslipidaemia, diabetes nor smoking increased from 32% to 36% in women and from 28% to 29% in men between 2012 and 2017. Treatment and control of hypertension and diabetes improved over time and were comparable in both sexes in 2017 (66% and 51% for treatment and control of hypertension and 73% and 20% for treatment and control of diabetes). However, women were less likely than men to have treated and controlled dyslipidaemia (21% vs 28% for treatment and 15% vs 24% for control, for women versus men in 2017). Important sex differences persist in cardiovascular risk factors in England, with an overall higher number of risk factors in men than in women. A combination of public health policy and individually tailored interventions is required to further reduce the burden of cardiovascular disease in England.</t>
  </si>
  <si>
    <t>A Body Shape Index (ABSI) achieves better mortality risk stratification than alternative indices of abdominal obesity: results from a large European cohort.</t>
  </si>
  <si>
    <t>Christakoudi, Sofia; Tsilidis, Konstantinos K; Muller, David C; Freisling, Heinz; Weiderpass, Elisabete; Overvad, Kim; Söderberg, Stefan; Häggström, Christel; Pischon, Tobias; Dahm, Christina C; Zhang, Jie; Tjønneland, Anne; Halkjær, Jytte; MacDonald, Conor; Boutron-Ruault, Marie-Christine; Mancini, Francesca Romana; Kühn, Tilman; Kaaks, Rudolf; Schulze, Matthias B; Trichopoulou, Antonia; Karakatsani, Anna; Peppa, Eleni; Masala, Giovanna; Pala, Valeria; Panico, Salvatore; Tumino, Rosario; Sacerdote, Carlotta; Quirós, J Ramón; Agudo, Antonio; Sánchez, Maria-Jose; Cirera, Lluís; Barricarte-Gurrea, Aurelio; Amiano, Pilar; Memarian, Ensieh; Sonestedt, Emily; Bueno-de-Mesquita, Bas; May, Anne M; Khaw, Kay-Tee; Wareham, Nicholas J; Tong, Tammy Y N; Huybrechts, Inge; Noh, Hwayoung; Aglago, Elom K; Ellingjord-Dale, Merete; Ward, Heather A; Aune, Dagfinn; Riboli, Elio</t>
  </si>
  <si>
    <t>https://pubmed.ncbi.nlm.nih.gov/32883969</t>
  </si>
  <si>
    <t>Abdominal and general adiposity are independently associated with mortality, but there is no consensus on how best to assess abdominal adiposity. We compared the ability of alternative waist indices to complement body mass index (BMI) when assessing all-cause mortality. We used data from 352,985 participants in the European Prospective Investigation into Cancer and Nutrition (EPIC) and Cox proportional hazards models adjusted for other risk factors. During a mean follow-up of 16.1 years, 38,178 participants died. Combining in one model BMI and a strongly correlated waist index altered the association patterns with mortality, to a predominantly negative association for BMI and a stronger positive association for the waist index, while combining BMI with the uncorrelated A Body Shape Index (ABSI) preserved the association patterns. Sex-specific cohort-wide quartiles of waist indices correlated with BMI could not separate high-risk from low-risk individuals within underweight (BMI &lt; 18.5 kg/m&lt;sup&gt;2&lt;/sup&gt;) or obese (BMI ≥ 30 kg/m&lt;sup&gt;2&lt;/sup&gt;) categories, while the highest quartile of ABSI separated 18-39% of the individuals within each BMI category, which had 22-55% higher risk of death. In conclusion, only a waist index independent of BMI by design, such as ABSI, complements BMI and enables efficient risk stratification, which could facilitate personalisation of screening, treatment and monitoring.</t>
  </si>
  <si>
    <t>Whole-body MRI versus an FDG-PET/CT-based reference standard for staging of paediatric Hodgkin lymphoma: a prospective multicentre study.</t>
  </si>
  <si>
    <t>Spijkers, Suzanne; Littooij, Annemieke S; Kwee, Thomas C; Tolboom, Nelleke; Beishuizen, Auke; Bruin, Marrie C A; Elias, Sjoerd G; van de Brug, Tim; Enríquez, Goya; Sábado, Constantino; Miller, Elka; Granata, Claudio; de Lange, Charlotte; Verzegnassi, Federico; Greer, Mary-Louise C; de Keizer, Bart; Nievelstein, Rutger A J</t>
  </si>
  <si>
    <t>https://pubmed.ncbi.nlm.nih.gov/32880696</t>
  </si>
  <si>
    <t>To assess the concordance of whole-body MRI (WB-MRI) and an FDG-PET/CT-based reference standard for the initial staging in children with Hodgkin lymphoma (HL) METHODS: Children with newly diagnosed HL were included in this prospective, multicentre, international study and underwent WB-MRI and FDG-PET/CT at staging. Two radiologists and a nuclear medicine physician independently evaluated all images. Discrepancies between WB-MRI and FDG-PET/CT were assessed by an expert panel. All FDG-PET/CT errors were corrected to derive the FDG-PET/CT-based reference standard. The expert panel corrected all reader errors in the WB-MRI DWI dataset to form the intrinsic MRI data. Inter-observer agreement for WB-MRI DWI was calculated using overall agreement, specific agreements and kappa statistics. Concordance for correct classification of all disease sites and disease stage between WB-MRI (without DWI, with DWI and intrinsic WB-MRI DWI) and the reference standard was calculated as primary outcome. Secondary outcomes included positive predictive value, negative predictive value and kappa statistics. Clustering within patients was accounted for using a mixed-effect logistic regression model with random intercepts and a multilevel kappa analysis. Sixty-eight children were included. Inter-observer agreement between WB-MRI DWI readers was good for disease stage (κ = 0.74). WB-MRI DWI agreed with the FDG-PET/CT-based reference standard for determining disease stage in 96% of the patients versus 88% for WB-MRI without DWI. Agreement between WB-MRI DWI and the reference standard was excellent for both nodal (98%) and extra-nodal (100%) staging. WB-MRI DWI showed excellent agreement with the FDG-PET/CT-based reference standard. The addition of DWI to the WB-MRI protocol improved the staging agreement. • This study showed excellent agreement between WB-MRI DWI and an FDG-PET/CT-based reference standard for staging paediatric HL. • Diffusion-weighted imaging is a useful addition to WB-MRI in staging paediatric HL. • Inter-observer agreement for WB-MRI DWI was good for both nodal and extra-nodal staging and determining disease stage.</t>
  </si>
  <si>
    <t>Elevated Lp(a) (Lipoprotein[a]) Levels Increase Risk of 30-Day Major Adverse Cardiovascular Events in Patients Following Carotid Endarterectomy.</t>
  </si>
  <si>
    <t>Waissi, Farahnaz; Dekker, Mirthe; Timmerman, Nathalie; Hoogeveen, Renate M; van Bennekom, Joelle; Dzobo, Kim E; Schnitzler, Johan G; Pasterkamp, Gerard; Grobbee, Diederick E; de Borst, Gert J; Stroes, Erik S G; de Kleijn, Dominique P V; Kroon, Jeffrey</t>
  </si>
  <si>
    <t>https://pubmed.ncbi.nlm.nih.gov/32878565</t>
  </si>
  <si>
    <t>General population studies have shown that elevated Lp(a) (lipoprotein[a]) levels are an emerging risk factor for cardiovascular disease and subsequent cardiovascular events. The role of Lp(a) for the risk of secondary MACE in patients undergoing carotid endarterectomy (CEA) is unknown. Our objective is to assess the association of elevated Lp(a) levels with the risk of secondary MACE in patients undergoing CEA. Lp(a) concentrations were determined in preoperative blood samples of 944 consecutive patients with CEA included in the Athero-Express Biobank Study. During 3-year follow-up, major adverse cardiovascular events (MACE), consisting of myocardial infarction, stroke, and cardiovascular death, were documented. After 3 years follow-up, Kaplan-Meier cumulative event rates for MACE were 15.4% in patients with high Lp(a) levels (&gt;137 nmol/L; &gt;80th cohort percentile) and 10.2% in patients with low Lp(a) levels (≤137 nmol/L; ≤80th cohort percentile; log-rank test: &lt;i&gt;P&lt;/i&gt;=0.047). Cox regression analyses adjusted for conventional cardiovascular risk factors revealed a significant association between high Lp(a) levels and 3-year MACE with an adjusted hazard ratio of 1.69 (95% CI, 1.07-2.66). One-third of MACE occurred within 30 days after CEA, with an adjusted hazard ratio for the 30-day risk of MACE of 2.05 (95% CI, 1.01-4.17). Kaplan-Meier curves from time point 30 days to 3 years onward revealed no significant association between high Lp(a) levels and MACE. Lp(a) levels were not associated with histological carotid plaque characteristics. High Lp(a) levels (&gt;137 nmol/L; &gt;80th cohort percentile) are associated with an increased risk of 30-day MACE after CEA. This identifies elevated Lp(a) levels as a new potential risk factor for secondary cardiovascular events in patients after carotid surgery. Future studies are required to investigate whether Lp(a) levels might be useful in guiding treatment algorithms for carotid intervention.</t>
  </si>
  <si>
    <t>Sex differences in intracranial and extracranial atherosclerosis in patients with acute ischemic stroke.</t>
  </si>
  <si>
    <t>Voigt, S; van Os, Hja; van Walderveen, Maa; van der Schaaf, I C; Kappelle, L J; Broersen, A; Velthuis, B K; de Jong, P A; Kockelkoren, R; Kruyt, N D; Algra, A; Wermer, Mjh; ,</t>
  </si>
  <si>
    <t>https://pubmed.ncbi.nlm.nih.gov/32878572</t>
  </si>
  <si>
    <t>To investigate sex differences with respect to presence and location of atherosclerosis in acute ischemic stroke patients. Participants with acute ischemic stroke were included from the Dutch acute stroke trial, a large prospective multicenter cohort study performed between May 2009 and August 2013. All patients received computed tomography/computed tomography-angiography within 9 h of stroke onset. We assessed presence of atherosclerosis in the intra- and extracranial internal carotid and vertebrobasilar arteries. In addition, we determined the burden of intracranial atherosclerosis by quantifying internal carotid and vertebrobasilar artery calcifications, resulting in calcium volumes. Prevalence ratios between women and men were calculated with Poisson regression analysis and adjusted prevalence ratio for potential confounders (age, hypertension, hyperlipidemia, diabetes, smoking, and alcohol use). We included 1397 patients with a mean age of 67 years, of whom 600 (43%) were women. Presence of atherosclerosis in intracranial vessel segments was found as frequently in women as in men (71% versus 72%, adjusted prevalence ratio 0.95; 95% CI 0.89-1.01). In addition, intracranial calcification volume did not differ between women and men in both intracranial internal carotid (large burden 35% versus 33%, adjusted prevalence ratio 0.93; 95% CI 0.73-1.19) and vertebrobasilar arteries (large burden 26% versus 40%, adjusted prevalence ratio 0.69; 95% CI 0.41-1.12). Extracranial atherosclerosis was less common in women than in men (74% versus 81%, adjusted prevalence ratio 0.86; 95% CI 0.81-0.92). In patients with acute ischemic stroke the prevalence of intracranial atherosclerosis does not differ between women and men, while extracranial atherosclerosis is less often present in women compared with men.</t>
  </si>
  <si>
    <t>Determinants of SARS-CoV-2 receptor gene expression in upper and lower airways.</t>
  </si>
  <si>
    <t>Aliee, H; Massip, F; Qi, C; de Biase, M Stella; van Nijnatten, J; Kersten, E T G; Kermani, N Z; Khuder, B; Vonk, J M; Vermeulen, R C H; ,; ,; ,; ,; Neighbors, M; Tew, G W; Grimbaldeston, M; Ten Hacken, N H T; Hu, S; Guo, Y; Zhang, X; Sun, K; Hiemstra, P S; Ponder, B A; Mäkelä, M J; Malmström, K; Rintoul, R C; Reyfman, P A; Theis, F J; Brandsma, C A; Adcock, I M; Timens, W; Xu, C J; van den Berge, M; Schwarz, R F; Koppelman, G H; Nawijn, M C; Faiz, A</t>
  </si>
  <si>
    <t>https://pubmed.ncbi.nlm.nih.gov/32909007</t>
  </si>
  <si>
    <t>The recent outbreak of the severe acute respiratory syndrome coronavirus-2 (SARS-CoV-2), which causes coronavirus disease 2019 (COVID-19), has led to a worldwide pandemic. One week after initial symptoms develop, a subset of patients progresses to severe disease, with high mortality and limited treatment options. To design novel interventions aimed at preventing spread of the virus and reducing progression to severe disease, detailed knowledge of the cell types and regulating factors driving cellular entry is urgently needed. Here we assess the expression patterns in genes required for COVID-19 entry into cells and replication, and their regulation by genetic, epigenetic and environmental factors, throughout the respiratory tract using samples collected from the upper (nasal) and lower airways (bronchi). Matched samples from the upper and lower airways show a clear increased expression of these genes in the nose compared to the bronchi and parenchyma. Cellular deconvolution indicates a clear association of these genes with the proportion of secretory epithelial cells. Smoking status was found to increase the majority of COVID-19 related genes including ACE2 and TMPRSS2 but only in the lower airways, which was associated with a significant increase in the predicted proportion of goblet cells in bronchial samples of current smokers. Both acute and second hand smoke were found to increase ACE2 expression in the bronchus. Inhaled corticosteroids decrease ACE2 expression in the lower airways. No significant effect of genetics on ACE2 expression was observed, but a strong association of DNA- methylation with ACE2 and TMPRSS2- mRNA expression was identified in the bronchus.</t>
  </si>
  <si>
    <t>Problems and Promises of Introducing the Magnetic Resonance Imaging Linear Accelerator Into Routine Care: The Case of Prostate Cancer.</t>
  </si>
  <si>
    <t>Hehakaya, Charisma; Van der Voort van Zyp, Jochem R; Lagendijk, Jan J W; Grobbee, Diederick E; Verkooijen, Helena M; Moors, Ellen H M</t>
  </si>
  <si>
    <t>https://pubmed.ncbi.nlm.nih.gov/32984058</t>
  </si>
  <si>
    <t>The new radiotherapy high field, 1.5 Tesla MRI-guided linear accelerator (MR-Linac) is being clinically introduced. Sensing and evaluating opportunities and barriers at an early stage will facilitate its eventual scale-up. This study investigates the opportunities and barriers to the implementation of MR-Linac into prostate cancer care based on 43 semi-structured interviews with Dutch oncology care professionals, hospital and division directors, patients, payers and industry. The analysis was guided by the Non-adoption, Abandonment, Scale-up, Spread, and Sustainability framework of new medical technologies and services. Opportunities included: the acquirement of (1) advanced MRI-guided radiotherapy technology with (2) the potential for improved patient outcomes and (3) economic benefits, as well as (4) professional development and (5) a higher hospital quality profile. Barriers included: (1) technical complexities, (2) substantial staffing and structural investments, (3) the current lack of empirical evidence of clinical benefits, (4) professional silos, and (5) the presence of patient referral patterns. While our study confirms the expected technical and clinical prospects from the literature, it also reveals economic, organizational, and socio-political challenges.</t>
  </si>
  <si>
    <t>Association of Staphylococcus aureus Colonization and Pneumonia in the Intensive Care Unit.</t>
  </si>
  <si>
    <t>Paling, Fleur P; Hazard, Derek; Bonten, Marc J M; Goossens, Herman; Jafri, Hasan S; Malhotra-Kumar, Surbhi; Sifakis, Frangiscos; Weber, Susanne; Kluytmans, Jan A J W; ,</t>
  </si>
  <si>
    <t>https://pubmed.ncbi.nlm.nih.gov/32997125</t>
  </si>
  <si>
    <t>Carriage of Staphylococcus aureus is associated with S aureus infection. However, associations between S aureus carriage and the development of S aureus intensive care unit (ICU) pneumonia (SAIP) have not been quantified accurately, and interpretation of available data is hampered because of variations in definitions. To quantify associations of patient-related and contextual factors, including S aureus colonization status, with the occurrence of SAIP. This cohort study was conducted in ICUs of 30 hospitals in 11 European countries, geographically spread across 4 regions. Among patients with an anticipated length of stay 48 hours or longer who were undergoing mechanical ventilation at ICU admission, S aureus colonization was ascertained in the nose and lower respiratory tract. From this group, S aureus-colonized and noncolonized patients were enrolled into the study cohort in a 1:1 ratio. Data analysis was performed from May to November 2019. SAIP was defined as any pneumonia during the ICU stay developing 48 hours or more after ICU admission with S aureus isolated from lower respiratory tract specimens or blood samples. The incidence of SAIP was derived in the study cohort and estimated on the weighted incidence calculation for the originating overarching population, while taking competing events into account. Weighted risk factor analysis was performed using Cox multivariable regression. The study cohort consisted of 1933 patients (mean [SD] age, 62.0 [16.0] years); 1252 patients (64.8%) were men, and 950 patients (49.1%) were S aureus carriers at ICU admission. In all, 304 patients (15.7%) developed ICU-acquired pneumonia, of whom 131 patients (6.8%) had SAIP. Weighted SAIP incidences were 11.7 events per 1000 patient-days in the ICU for S aureus-colonized patients and 2.9 events per 1000 patient-days in the ICU for noncolonized patients (overall incidence, 4.9 events per 1000 patient-days in the ICU). The only factor independently associated with SAIP was S aureus colonization status at ICU admission (cause-specific hazard ratio, 3.6; 95% CI, 2.2-6.0; P &lt; .001). There were marked regional differences in SAIP incidence and cause-specific hazard ratios for colonization status. SAIP incidence was 4.9 events per 1000 ICU patient-days for patients undergoing mechanical ventilation at ICU admission (or shortly thereafter). The daily risk of SAIP was 3.6 times higher in patients colonized with S aureus at ICU admission compared with noncolonized patients.</t>
  </si>
  <si>
    <t>Correction to: [89Zr]Zr-cetuximab PET/CT as biomarker for cetuximab monotherapy in patients with RAS wild-type advanced colorectal cancer.</t>
  </si>
  <si>
    <t>van Helden, E J; Elias, S G; Gerritse, S L; van Es, S C; Boon, E; Huisman, M C; van Grieken, N C T; Dekker, H; van Dongen, G A M S; Vugts, D J; Boellaard, R; van Herpen, C M L; de Vries, E G E; Oyen, W J G; Brouwers, A H; Verheul, H M W; Hoekstra, O S; der Houven van Oordt, C W Menke-van</t>
  </si>
  <si>
    <t>https://pubmed.ncbi.nlm.nih.gov/32535653</t>
  </si>
  <si>
    <t>Missing Electronic Supplementary Materials.</t>
  </si>
  <si>
    <t>Delayed Cerebral Ischemia After Aneurysmal Subarachnoid Hemorrhage in Patients With a History of Migraine.</t>
  </si>
  <si>
    <t>van Os, Hendrikus J A; Ruigrok, Ynte M; Verbaan, Dagmar; Dennesen, Paul; Müller, Marcella C A; Coert, Bert A; Algra, Ale; Vergouwen, Mervyn D I; Wermer, Marieke J H</t>
  </si>
  <si>
    <t>https://pubmed.ncbi.nlm.nih.gov/32867601</t>
  </si>
  <si>
    <t>Delayed cerebral ischemia (DCI) is a major contributor to the high morbidity in patients with aneurysmal subarachnoid hemorrhage (aSAH). Spreading depolarizations may play a role in DCI pathophysiology. Because patients with migraine are probably more susceptible to spreading depolarizations, we investigated whether patients with aneurysmal subarachnoid hemorrhage with migraine are at increased risk for DCI. We included patients with aneurysmal subarachnoid hemorrhage from 3 hospitals in the Netherlands. We assessed lifetime migraine history with a short screener. DCI was defined as neurological deterioration lasting &gt;1 hour not attributable to other causes by diagnostic work-up. Adjustments were made for possible confounders in multivariable Cox regression analyses and adjusted hazard ratios (aHR) were calculated. We assessed the interaction effects of age and sex. We included 582 patients (mean age 57 years, 71% women) mostly with mild to moderate aneurysmal subarachnoid hemorrhage of whom 108 (19%) had a history of migraine (57 with aura). Patients with migraine were not at increased risk of developing DCI compared with patients without migraine (22% versus 24%, aHR, 0.89 [95% CI, 0.56-1.43]). Additionally, no increased risk was found in patients with migraine with possible aura (aHR, 0.74 [95% CI, 0.39-1.43]), in women (aHR, 0.88 [95% CI, 0.53-1.45], &lt;i&gt;P&lt;/i&gt;&lt;sub&gt;interaction&lt;/sub&gt;=0.859), or in young patients aged &lt;50 years (aHR, 1.59 [95% CI, 0.72-3.49]), although numbers in these subgroups were limited. We found an interaction between migraine and age with an increased risk of DCI among young patients with migraine (&lt;i&gt;P&lt;/i&gt;&lt;sub&gt;interaction&lt;/sub&gt;=0.075). Patients with migraine are in general not at increased risk of DCI. Future studies should focus in particular on young SAH patients, in whom there might be an association between migraine history and development of DCI.</t>
  </si>
  <si>
    <t>Ethics parallel research: an approach for (early) ethical guidance of biomedical innovation.</t>
  </si>
  <si>
    <t>Jongsma, Karin R; Bredenoord, Annelien L</t>
  </si>
  <si>
    <t>https://pubmed.ncbi.nlm.nih.gov/32867753</t>
  </si>
  <si>
    <t>Our human societies and certainly also (bio) medicine are more and more permeated with technology. There seems to be an increasing awareness among bioethicists that an effective and comprehensive approach to ethically guide these emerging biomedical innovations into society is needed. Such an approach has not been spelled out yet for bioethics, while there are frequent calls for ethical guidance of biomedical innovation, also by biomedical researchers themselves. New and emerging biotechnologies require anticipation of possible effects and implications, meaning the scope is not evaluative after a technology has been fully developed or about hypothetical technologies, but real-time for a real biotechnology. In this paper we aim to substantiate and discuss six ingredients that we increasingly see adopted by ethicists and that together constitute "ethics parallel research". This approach allows to fulfil two aims: guiding the development process of technologies in biomedicine and providing input for the normative evaluation of such technologies. The six ingredients of ethics parallel research are: (1) disentangling wicked problems, (2) upstream or midstream ethical analysis, (3) ethics from within, (4) inclusion of empirical research, (5) public participation and (6) mapping societal impacts, including hard and soft impacts. We will draw on gene editing, organoid technology and artificial intelligence as examples to illustrate these six ingredients. Ethics parallel research brings together these ingredients to ethically analyse and proactively or parallel guide technological development. It widens the roles and judgements from the ethicist to a more anticipatory and constructively guiding role. Ethics parallel research is characterised by a constructive, rather than a purely critical perspective, it focusses on developing best-practices rather than outlining worst practice, and draws on insights from social sciences and philosophy of technology.</t>
  </si>
  <si>
    <t>Glycemic index, glycemic load, and risk of coronary heart disease: a pan-European cohort study.</t>
  </si>
  <si>
    <t>Sieri, Sabina; Agnoli, Claudia; Grioni, Sara; Weiderpass, Elisabete; Mattiello, Amalia; Sluijs, Ivonne; Sanchez, Maria Jose; Jakobsen, Marianne Uhre; Sweeting, Michael; van der Schouw, Yvonne T; Nilsson, Lena Maria; Wennberg, Patrik; Katzke, Verena A; Kühn, Tilman; Overvad, Kim; Tong, Tammy Y N; Conchi, Moreno-Iribas; Quirós, José Ramón; García-Torrecillas, Juan Manuel; Mokoroa, Olatz; Gómez, Jesús-Humberto; Tjønneland, Anne; Sonestedt, Emiliy; Trichopoulou, Antonia; Karakatsani, Anna; Valanou, Elissavet; Boer, Jolanda M A; Verschuren, W M Monique; Boutron-Ruault, Marie-Christine; Fagherazzi, Guy; Madika, Anne-Laure; Bergmann, Manuela M; Schulze, Matthias B; Ferrari, Pietro; Freisling, Heinz; Lennon, Hannah; Sacerdote, Carlotta; Masala, Giovanna; Tumino, Rosario; Riboli, Elio; Wareham, Nicholas J; Danesh, John; Forouhi, Nita G; Butterworth, Adam S; Krogh, Vittorio</t>
  </si>
  <si>
    <t>https://pubmed.ncbi.nlm.nih.gov/32619242</t>
  </si>
  <si>
    <t>High carbohydrate intake raises blood triglycerides, glucose, and insulin; reduces HDLs; and may increase risk of coronary heart disease (CHD). Epidemiological studies indicate that high dietary glycemic index (GI) and glycemic load (GL) are associated with increased CHD risk. The aim of this study was to determine whether dietary GI, GL, and available carbohydrates are associated with CHD risk in both sexes. This large prospective study-the European Prospective Investigation into Cancer and Nutrition-consisted of 338,325 participants who completed a dietary questionnaire. HRs with 95% CIs for a CHD event, in relation to intake of GI, GL, and carbohydrates, were estimated using covariate-adjusted Cox proportional hazard models. After 12.8 y (median), 6378 participants had experienced a CHD event. High GL was associated with greater CHD risk [HR 1.16 (95% CI: 1.02, 1.31) highest vs. lowest quintile, p-trend 0.035; HR 1.18 (95% CI: 1.07, 1.29) per 50 g/day of GL intake]. The association between GL and CHD risk was evident in subjects with BMI (in kg/m2) ≥25 [HR: 1.22 (95% CI: 1.11, 1.35) per 50 g/d] but not in those with BMI &lt;25 [HR: 1.09 (95% CI: 0.98, 1.22) per 50 g/d) (P-interaction = 0.022). The GL-CHD association did not differ between men [HR: 1.19 (95% CI: 1.08, 1.30) per 50 g/d] and women [HR: 1.22 (95% CI: 1.07, 1.40) per 50 g/d] (test for interaction not significant). GI was associated with CHD risk only in the continuous model [HR: 1.04 (95% CI: 1.00, 1.08) per 5 units/d]. High available carbohydrate was associated with greater CHD risk [HR: 1.11 (95% CI: 1.03, 1.18) per 50 g/d]. High sugar intake was associated with greater CHD risk [HR: 1.09 (95% CI: 1.02, 1.17) per 50 g/d]. This large pan-European study provides robust additional support for the hypothesis that a diet that induces a high glucose response is associated with greater CHD risk.</t>
  </si>
  <si>
    <t>The ethics of deferred consent in times of pandemics.</t>
  </si>
  <si>
    <t>van der Graaf, Rieke; Hoogerwerf, Marie-Astrid; de Vries, Martine C</t>
  </si>
  <si>
    <t>https://pubmed.ncbi.nlm.nih.gov/32651580</t>
  </si>
  <si>
    <t>Replacement of Red and Processed Meat With Other Food Sources of Protein and the Risk of Type 2 Diabetes in European Populations: The EPIC-InterAct Study.</t>
  </si>
  <si>
    <t>Ibsen, Daniel B; Steur, Marinka; Imamura, Fumiaki; Overvad, Kim; Schulze, Matthias B; Bendinelli, Benedetta; Guevara, Marcela; Agudo, Antonio; Amiano, Pilar; Aune, Dagfinn; Barricarte, Aurelio; Ericson, Ulrika; Fagherazzi, Guy; Franks, Paul W; Freisling, Heinz; Quiros, Jose R; Grioni, Sara; Heath, Alicia K; Huybrechts, Inge; Katze, Verena; Laouali, Nasser; Mancini, Francesca; Masala, Giovanna; Olsen, Anja; Papier, Keren; Ramne, Stina; Rolandsson, Olov; Sacerdote, Carlotta; Sánchez, Maria-José; Santiuste, Carmen; Simeon, Vittorio; Spijkerman, Annemieke M W; Srour, Bernard; Tjønneland, Anne; Tong, Tammy Y N; Tumino, Rosario; van der Schouw, Yvonne T; Weiderpass, Elisabete; Wittenbecher, Clemens; Sharp, Stephen J; Riboli, Elio; Forouhi, Nita G; Wareham, Nick J</t>
  </si>
  <si>
    <t>https://pubmed.ncbi.nlm.nih.gov/32868270</t>
  </si>
  <si>
    <t>There is sparse evidence for the association of suitable food substitutions for red and processed meat on the risk of type 2 diabetes. We modeled the association between replacing red and processed meat with other protein sources and the risk of type 2 diabetes and estimated its population impact. The European Prospective Investigation into Cancer (EPIC)-InterAct case cohort included 11,741 individuals with type 2 diabetes and a subcohort of 15,450 participants in eight countries. We modeled the replacement of self-reported red and processed meat with poultry, fish, eggs, legumes, cheese, cereals, yogurt, milk, and nuts. Country-specific hazard ratios (HRs) for incident type 2 diabetes were estimated by Prentice-weighted Cox regression and pooled using random-effects meta-analysis. There was a lower hazard for type 2 diabetes for the modeled replacement of red and processed meat (50 g/day) with cheese (HR 0.90, 95% CI 0.83-0.97) (30 g/day), yogurt (0.90, 0.86-0.95) (70 g/day), nuts (0.90, 0.84-0.96) (10 g/day), or cereals (0.92, 0.88-0.96) (30 g/day) but not for replacements with poultry, fish, eggs, legumes, or milk. If a causal association is assumed, replacing red and processed meat with cheese, yogurt, or nuts could prevent 8.8%, 8.3%, or 7.5%, respectively, of new cases of type 2 diabetes. Replacement of red and processed meat with cheese, yogurt, nuts, or cereals was associated with a lower rate of type 2 diabetes. Substituting red and processed meat by other protein sources may contribute to the prevention of incident type 2 diabetes in European populations.</t>
  </si>
  <si>
    <t>European practice patterns and barriers to smoking cessation after a cancer diagnosis in the setting of curative versus palliative cancer treatment.</t>
  </si>
  <si>
    <t>Derksen, Jeroen W G; Warren, Graham W; Jordan, Karin; Rauh, Stefan; Vera García, Ruth; O'Mahony, Deirdre; Ahmed, Samreen; Vuylsteke, Peter; Radulovic, Sinisa; Tsoukalas, Nikolaos; Wysocki, Piotr J; Borner, Markus; Cesas, Alvydas; Elme, Anneli; Minn, Heikki; Ullenhag, Gustav J; Roodhart, Jeanine M L; Koopman, Miriam; May, Anne M</t>
  </si>
  <si>
    <t>https://pubmed.ncbi.nlm.nih.gov/32871527</t>
  </si>
  <si>
    <t>Smoking cessation after a cancer diagnosis is associated with improved overall survival. Few studies have reported oncologists' cessation practice patterns, but differences between the curative and palliative settings have not been described. We aimed to study the oncologist's perceptions on patients' tobacco use, current practices and barriers to providing smoking cessation support, while distinguishing between treatment with curative (C) and palliative (P) intent. In 2019, an online 34-item survey was sent to approximately 6235 oncologists from 16 European countries. Responses were descriptively reported and compared by treatment setting. Responses from 544 oncologists were included. Oncologists appeared to favour addressing tobacco in the curative setting more than in the palliative setting. Oncologists believe that continued smoking impacts treatment outcomes (C: 94%, P: 74%) and that cessation support should be standard cancer care (C: 95%, P: 63%). Most routinely assess tobacco use (C: 93%, P: 78%) and advise patients to stop using tobacco (C: 88%, P: 54%), but only 24% (P)-39% (C) routinely discuss medication options, and only 18% (P)-31% (C) provide cessation support. Hesitation to remove a pleasurable habit (C: 13%, P: 43%) and disbelieve on smoking affecting outcomes (C: 3%, P: 14%) were disparate barriers between the curative and palliative settings (p &lt; 0.001), but dominant barriers of time, resources, education and patient resistance were similar between settings. Oncologists appear to favour addressing tobacco use more in the curative setting; however, they discuss medication options and/or provide cessation support in a minority of cases. All patients who report current smoking should have access to evidence-based smoking cessation support, also patients treated with palliative intent given their increasing survival.</t>
  </si>
  <si>
    <t>Prediction of Lifetime and 10-Year Risk of Cancer in Individual Patients With Established Cardiovascular Disease.</t>
  </si>
  <si>
    <t>van 't Klooster, Cilie C; Ridker, Paul M; Cook, Nancy R; Aerts, Joachim G J V; Westerink, Jan; Asselbergs, Folkert W; van der Graaf, Yolanda; Visseren, Frank L J; ,</t>
  </si>
  <si>
    <t>https://pubmed.ncbi.nlm.nih.gov/34396248</t>
  </si>
  <si>
    <t>Cardiovascular disease (CVD) and cancer share many common risk factors; patients with CVD also may be at risk of developing cancer. The aim of this study was to derive and externally validate prediction models for the estimation of lifetime and 10-year risk for total, colorectal, and lung cancer in patients with established CVD. Data from patients with established CVD from the UCC-SMART cohort (N = 7,280) were used for model development, and from the CANTOS trial (N = 9,322) for model validation. Predictors were selected based on previously published cancer risk scores, clinical availability, and presence in the derivation dataset. Fine and Gray competing risk-adjusted lifetime models were developed for the outcomes total, colorectal, and lung cancer. Selected predictors were age, sex, smoking, weight, height, alcohol use, antiplatelet use, diabetes, and C-reactive protein. External calibration for the 4-year risk of lung, colorectal, and total cancer was reasonable in our models, as was discrimination with C-statistics of 0.74, 0.64, and 0.63, respectively. Median predicted lifetime and 10-year risks in CANTOS were 26% (range 1% to 52%) and 13% (range 1% to 31%) for total cancer; 4% (range 0% to 13%) and 2% (range 0% to 6%) for colorectal cancer; and 5% (range 0% to 37%) and 2% (range 0% to 24%) for lung cancer. Lifetime and 10-year risk of total, colorectal, and lung cancer can be estimated reasonably well in patients with established CVD with readily available clinical predictors. With additional study, these tools could be used in clinical practice to further aid in the emphasis of healthy lifestyle changes and to guide thresholds for targeted diagnostics and screening.</t>
  </si>
  <si>
    <t>Prediction of long-term recurrent ischemic stroke: the added value of non-contrast CT, CT perfusion, and CT angiography.</t>
  </si>
  <si>
    <t>Kauw, Frans; Greving, Jacoba P; Takx, Richard A P; de Jong, Hugo W A M; Schonewille, Wouter J; Vos, Jan A; Wermer, Marieke J H; van Walderveen, Marianne A A; Kappelle, L Jaap; Velthuis, Birgitta K; Dankbaar, Jan W; ,</t>
  </si>
  <si>
    <t>neuroradiology</t>
  </si>
  <si>
    <t>https://pubmed.ncbi.nlm.nih.gov/32857214</t>
  </si>
  <si>
    <t>The aim of this study was to evaluate whether the addition of brain CT imaging data to a model incorporating clinical risk factors improves prediction of ischemic stroke recurrence over 5 years of follow-up. A total of 638 patients with ischemic stroke from three centers were selected from the Dutch acute stroke study (DUST). CT-derived candidate predictors included findings on non-contrast CT, CT perfusion, and CT angiography. Five-year follow-up data were extracted from medical records. We developed a multivariable Cox regression model containing clinical predictors and an extended model including CT-derived predictors by applying backward elimination. We calculated net reclassification improvement and integrated discrimination improvement indices. Discrimination was evaluated with the optimism-corrected c-statistic and calibration with a calibration plot. During 5 years of follow-up, 56 patients (9%) had a recurrence. The c-statistic of the clinical model, which contained male sex, history of hyperlipidemia, and history of stroke or transient ischemic attack, was 0.61. Compared with the clinical model, the extended model, which contained previous cerebral infarcts on non-contrast CT and Alberta Stroke Program Early CT score greater than 7 on mean transit time maps derived from CT perfusion, had higher discriminative performance (c-statistic 0.65, P = 0.01). Inclusion of these CT variables led to a significant improvement in reclassification measures, by using the net reclassification improvement and integrated discrimination improvement indices. Data from CT imaging significantly improved the discriminatory performance and reclassification in predicting ischemic stroke recurrence beyond a model incorporating clinical risk factors only.</t>
  </si>
  <si>
    <t>Validation of an algorithm for semiautomated surveillance to detect deep surgical site infections after primary total hip or knee arthroplasty-A multicenter study.</t>
  </si>
  <si>
    <t>Verberk, Janneke D M; van Rooden, Stephanie M; Koek, Mayke B G; Hetem, David J; Smilde, Annelies E; Bril, Wendy S; Streefkerk, Roel H R A; Hopmans, Titia E M; Bonten, Marc J M; de Greeff, Sabine C; van Mourik, Maaike S M</t>
  </si>
  <si>
    <t>https://pubmed.ncbi.nlm.nih.gov/32856575</t>
  </si>
  <si>
    <t>Surveillance of healthcare-associated infections is often performed by manual chart review. Semiautomated surveillance may substantially reduce workload and subjective data interpretation. We assessed the validity of a previously published algorithm for semiautomated surveillance of deep surgical site infections (SSIs) after total hip arthroplasty (THA) or total knee arthroplasty (TKA) in Dutch hospitals. In addition, we explored the ability of a hospital to automatically select the patients under surveillance. Multicenter retrospective cohort study. Hospitals identified patients who underwent THA or TKA either by procedure codes or by conventional surveillance. For these patients, routine care data regarding microbiology results, antibiotics, (re)admissions, and surgeries within 120 days following THA or TKA were extracted from electronic health records. Patient selection was compared with conventional surveillance and patients were retrospectively classified as low or high probability of having developed deep SSI by the algorithm. Sensitivity, positive predictive value (PPV), and workload reduction were calculated and compared to conventional surveillance. Of 9,554 extracted THA and TKA surgeries, 1,175 (12.3%) were revisions, and 8,378 primary surgeries remained for algorithm validation (95 deep SSIs, 1.1%). Sensitivity ranged from 93.6% to 100% and PPV ranged from 55.8% to 72.2%. Workload was reduced by ≥98%. Also, 2 SSIs (2.1%) missed by the algorithm were explained by flaws in data selection. This algorithm reliably detects patients with a high probability of having developed deep SSI after THA or TKA in Dutch hospitals. Our results provide essential information for successful implementation of semiautomated surveillance for deep SSIs after THA or TKA.</t>
  </si>
  <si>
    <t>Potential impact of missing outcome data on treatment effects in systematic reviews: imputation study.</t>
  </si>
  <si>
    <t>Kahale, Lara A; Khamis, Assem M; Diab, Batoul; Chang, Yaping; Lopes, Luciane Cruz; Agarwal, Arnav; Li, Ling; Mustafa, Reem A; Koujanian, Serge; Waziry, Reem; Busse, Jason W; Dakik, Abeer; Schünemann, Holger J; Hooft, Lotty; Scholten, Rob Jpm; Guyatt, Gordon H; Akl, Elie A</t>
  </si>
  <si>
    <t>https://pubmed.ncbi.nlm.nih.gov/32847800</t>
  </si>
  <si>
    <t>To assess the risk of bias associated with missing outcome data in systematic reviews. Imputation study. Systematic reviews. 100 systematic reviews that included a group level meta-analysis with a statistically significant effect on a patient important dichotomous efficacy outcome. Median percentage change in the relative effect estimate when applying each of the following assumption (four commonly discussed but implausible assumptions (best case scenario, none had the event, all had the event, and worst case scenario) and four plausible assumptions for missing data based on the informative missingness odds ratio (IMOR) approach (IMOR 1.5 (least stringent), IMOR 2, IMOR 3, IMOR 5 (most stringent)); percentage of meta-analyses that crossed the threshold of the null effect for each method; and percentage of meta-analyses that qualitatively changed direction of effect for each method. Sensitivity analyses based on the eight different methods of handling missing data were conducted. 100 systematic reviews with 653 randomised controlled trials were included. When applying the implausible but commonly discussed assumptions, the median change in the relative effect estimate varied from 0% to 30.4%. The percentage of meta-analyses crossing the threshold of the null effect varied from 1% (best case scenario) to 60% (worst case scenario), and 26% changed direction with the worst case scenario. When applying the plausible assumptions, the median percentage change in relative effect estimate varied from 1.4% to 7.0%. The percentage of meta-analyses crossing the threshold of the null effect varied from 6% (IMOR 1.5) to 22% (IMOR 5) of meta-analyses, and 2% changed direction with the most stringent (IMOR 5). Even when applying plausible assumptions to the outcomes of participants with definite missing data, the average change in pooled relative effect estimate is substantive, and almost a quarter (22%) of meta-analyses crossed the threshold of the null effect. Systematic review authors should present the potential impact of missing outcome data on their effect estimates and use this to inform their overall GRADE (grading of recommendations assessment, development, and evaluation) ratings of risk of bias and their interpretation of the results.</t>
  </si>
  <si>
    <t>UMBRELLA protocol: systematic reviews of multivariable biomarker prognostic models developed to predict clinical outcomes in patients with heart failure.</t>
  </si>
  <si>
    <t>Vazquez-Montes, Maria D L A; Debray, Thomas P A; Taylor, Kathryn S; Speich, Benjamin; Jones, Nicholas; Collins, Gary S; Hobbs, F D R Richard; Magriplis, Emmanuella; Maruri-Aguilar, Hugo; Moons, Karel G M; Parissis, John; Perera, Rafael; Roberts, Nia; Taylor, Clare J; Kadoglou, Nikolaos P E; Trivella, Marialena; ,</t>
  </si>
  <si>
    <t>https://pubmed.ncbi.nlm.nih.gov/32864468</t>
  </si>
  <si>
    <t>Heart failure (HF) is a chronic and common condition with a rising prevalence, especially in the elderly. Morbidity and mortality rates in people with HF are similar to those with common forms of cancer. Clinical guidelines highlight the need for more detailed prognostic information to optimise treatment and care planning for people with HF. Besides proven prognostic biomarkers and numerous newly developed prognostic models for HF clinical outcomes, no risk stratification models have been adequately established. Through a number of linked systematic reviews, we aim to assess the quality of the existing models with biomarkers in HF and summarise the evidence they present. We will search MEDLINE, EMBASE, Web of Science Core Collection, and the prognostic studies database maintained by the Cochrane Prognosis Methods Group combining sensitive published search filters, with no language restriction, from 1990 onwards. Independent pairs of reviewers will screen and extract data. Eligible studies will be those developing, validating, or updating any prognostic model with biomarkers for clinical outcomes in adults with any type of HF. Data will be extracted using a piloted form that combines published good practice guidelines for critical appraisal, data extraction, and risk of bias assessment of prediction modelling studies. Missing information on predictive performance measures will be sought by contacting authors or estimated from available information when possible. If sufficient high quality and homogeneous data are available, we will meta-analyse the predictive performance of identified models. Sources of between-study heterogeneity will be explored through meta-regression using pre-defined study-level covariates. Results will be reported narratively if study quality is deemed to be low or if the between-study heterogeneity is high. Sensitivity analyses for risk of bias impact will be performed. This project aims to appraise and summarise the methodological conduct and predictive performance of existing clinically homogeneous HF prognostic models in separate systematic reviews.Registration: PROSPERO registration number CRD42019086990.</t>
  </si>
  <si>
    <t>Design and rationale of DUTCH-AF: a prospective nationwide registry programme and observational study on long-term oral antithrombotic treatment in patients with atrial fibrillation.</t>
  </si>
  <si>
    <t>Chu, Gordon; Seelig, Jaap; Trinks-Roerdink, Emmy M; van Alem, Anouk P; Alings, Marco; van den Bemt, Bart; Boersma, Lucas Va; Brouwer, Marc A; Cannegieter, Suzanne C; Ten Cate, Hugo; Kirchhof, Charles Jhj; Crijns, Harry Jgm; van Dijk, Ewoud J; Elvan, Arif; van Gelder, Isabelle C; de Groot, Joris R; den Hartog, Frank R; de Jong, Jonas Ssg; de Jong, Sylvie; Klok, Frederikus A; Lenderink, Timo; Luermans, Justin G; Meeder, Joan G; Pisters, Ron; Polak, Peter; Rienstra, Michiel; Smeets, Frans; Tahapary, Giovanni Jm; Theunissen, Luc; Tieleman, Robert G; Trines, Serge A; van der Voort, Pepijn; Geersing, Geert-Jan; Rutten, Frans H; Hemels, Martin Ew; Huisman, Menno V</t>
  </si>
  <si>
    <t>https://pubmed.ncbi.nlm.nih.gov/32843516</t>
  </si>
  <si>
    <t>Anticoagulation therapy is pivotal in the management of stroke prevention in atrial fibrillation (AF). Prospective registries, containing longitudinal data are lacking with detailed information on anticoagulant therapy, treatment adherence and AF-related adverse events in practice-based patient cohorts, in particular for non-vitamin K oral anticoagulants (NOAC). With the creation of DUTCH-AF, a nationwide longitudinal AF registry, we aim to provide clinical data and answer questions on the (anticoagulant) management over time and of the clinical course of patients with newly diagnosed AF in routine clinical care. Within DUTCH-AF, our current aim is to assess the effect of non-adherence and non-persistence of anticoagulation therapy on clinical adverse events (eg, bleeding and stroke), to determine predictors for such inadequate anticoagulant treatment, and to validate and refine bleeding prediction models. With DUTCH-AF, we provide the basis for a continuing nationwide AF registry, which will facilitate subsequent research, including future registry-based clinical trials. The DUTCH-AF registry is a nationwide, prospective registry of patients with newly diagnosed 'non-valvular' AF. Patients will be enrolled from primary, secondary and tertiary care practices across the Netherlands. A target of 6000 patients for this initial cohort will be followed for at least 2 years. Data on thromboembolic and bleeding events, changes in antithrombotic therapy and hospital admissions will be registered. Pharmacy-dispensing data will be obtained to calculate parameters of adherence and persistence to anticoagulant treatment, which will be linked to AF-related outcomes such as ischaemic stroke and major bleeding. In a subset of patients, anticoagulation adherence and beliefs about drugs will be assessed by questionnaire. This study protocol was approved as exempt for formal review according to Dutch law by the Medical Ethics Committee of the Leiden University Medical Centre, Leiden, the Netherlands. Results will be disseminated by publications in peer-reviewed journals and presentations at scientific congresses. Trial NL7467, NTR7706 (https://www.trialregister.nl/trial/7464).</t>
  </si>
  <si>
    <t>To what extent do dietary costs explain socio-economic differences in dietary behavior?</t>
  </si>
  <si>
    <t>https://pubmed.ncbi.nlm.nih.gov/32838789</t>
  </si>
  <si>
    <t>Low socio-economic position is associated with consumption of lower quality diets, which may be partly explained by the cost of healthier diets. Therefore, we aimed to investigate the mediating role of dietary costs in the association between educational level and diet quality. We used cross-sectional data from Dutch older adults (N = 9399) in the EPIC-NL cohort. Participants provided information about their own and their partners' highest attained educational level (as proxy for socio-economic position). Dietary behavior was assessed using a food frequency questionnaire from which we derived two diet-quality scores, including the Dutch Healthy Diet index 2015 (DHD15-index) and the Dietary Approaches to Stop Hypertension (DASH) diet. Dietary cost estimates were based on food price data from food stores, and linked to reported consumption of food items. Multiple regression analyses and bootstrapping were used examine the mediating role of dietary cost in the association between educational level and diet quality. Mean age of participants was 70 (SD: 10) years and 77% were women. Dietary costs significantly mediated the association between educational level and diet quality, except for high versus middle individual educational level and the DHD15-index. Depending on the dietary and educational indicator, dietary costs explained between 2 and 7% of the association between educational level and diet quality. Furthermore, associations were found to be modified by sex and age. For the DHD15-index, mediation effects were only present in females and adults older than 65 years, and for the DASH diet mediation effects were only present in females and strongest amongst adults older than 65 years compared to adults younger than 65 years. Dietary costs seems to play a modest role in explaining educational differences in diet quality in an older Dutch population. Further research is needed to investigate which other factors may explain SEP differences in diet quality.</t>
  </si>
  <si>
    <t>Estimating global injuries morbidity and mortality: methods and data used in the Global Burden of Disease 2017 study.</t>
  </si>
  <si>
    <t>James, Spencer L; Castle, Chris D; Dingels, Zachary V; Fox, Jack T; Hamilton, Erin B; Liu, Zichen; Roberts, Nicholas L S; Sylte, Dillon O; Bertolacci, Gregory J; Cunningham, Matthew; Henry, Nathaniel J; LeGrand, Kate E; Abdelalim, Ahmed; Abdollahpour, Ibrahim; Abdulkader, Rizwan Suliankatchi; Abedi, Aidin; Abegaz, Kedir Hussein; Abosetugn, Akine Eshete; Abushouk, Abdelrahman I; Adebayo, Oladimeji M; Adsuar, Jose C; Advani, Shailesh M; Agudelo-Botero, Marcela; Ahmad, Tauseef; Ahmed, Muktar Beshir; Ahmed, Rushdia; Eddine Aichour, Miloud Taki; Alahdab, Fares; Alanezi, Fahad Mashhour; Alema, Niguse Meles; Alemu, Biresaw Wassihun; Alghnam, Suliman A; Ali, Beriwan Abdulqadir; Ali, Saqib; Alinia, Cyrus; Alipour, Vahid; Aljunid, Syed Mohamed; Almasi-Hashiani, Amir; Almasri, Nihad A; Altirkawi, Khalid; Abdeldayem Amer, Yasser Sami; Andrei, Catalina Liliana; Ansari-Moghaddam, Alireza; T Antonio, Carl Abelardo; Anvari, Davood; Yaw Appiah, Seth Christopher; Arabloo, Jalal; Arab-Zozani, Morteza; Ar</t>
  </si>
  <si>
    <t>injury prevention journal of the international society for child and adolescent injury prevention</t>
  </si>
  <si>
    <t>https://pubmed.ncbi.nlm.nih.gov/32839249</t>
  </si>
  <si>
    <t>While there is a long history of measuring death and disability from injuries, modern research methods must account for the wide spectrum of disability that can occur in an injury, and must provide estimates with sufficient demographic, geographical and temporal detail to be useful for policy makers. The Global Burden of Disease (GBD) 2017 study used methods to provide highly detailed estimates of global injury burden that meet these criteria. In this study, we report and discuss the methods used in GBD 2017 for injury morbidity and mortality burden estimation. In summary, these methods included estimating cause-specific mortality for every cause of injury, and then estimating incidence for every cause of injury. Non-fatal disability for each cause is then calculated based on the probabilities of suffering from different types of bodily injury experienced. GBD 2017 produced morbidity and mortality estimates for 38 causes of injury. Estimates were produced in terms of incidence, prevalence, years lived with disability, cause-specific mortality, years of life lost and disability-adjusted life-years for a 28-year period for 22 age groups, 195 countries and both sexes. GBD 2017 demonstrated a complex and sophisticated series of analytical steps using the largest known database of morbidity and mortality data on injuries. GBD 2017 results should be used to help inform injury prevention policy making and resource allocation. We also identify important avenues for improving injury burden estimation in the future.</t>
  </si>
  <si>
    <t>Optimizing patients' functional status during daily nursing care interventions: A systematic review.</t>
  </si>
  <si>
    <t>Verstraten, Carolien C J M M; Metzelthin, Silke F; Schoonhoven, Lisette; Schuurmans, Marieke J; de Man-van Ginkel, Janneke M</t>
  </si>
  <si>
    <t>research in nursing health</t>
  </si>
  <si>
    <t>https://pubmed.ncbi.nlm.nih.gov/32829518</t>
  </si>
  <si>
    <t>Patients often experience a functional decline due to physical inactivity during illness. Nurses can influence the physical activity of patients while assisting them with activities of daily living. The purpose of this study was to identify effective interventions that are embedded in daily nursing care (irrespective of care setting) that aim to optimize the functional status of patients by increasing their physical activity. A systematic review was performed and reported following the preferred reporting items for systematic reviews and meta-analyses. PubMed, CINAHL, and Cochrane were searched for studies from January 2002 to March 2019. The critical appraisal tools from the Joanna Briggs Institute were used to assess the risk of bias in individual studies. Study characteristics, intervention key components, and reported effects of included studies were extracted, summarized narratively, and compared. Twenty studies, evaluating nine different interventions were included. In these interventions, eight key components were identified. Four components were included in all six interventions with a positive effect on mobility, physical activity, or functional status. These components were: assessment of patient's functionality; goal setting with the patient; establishment of an individualized plan; and engagement of patients in physical and daily activity. The effects were limited due to the risk of bias in the studies, small sample sizes, limited clinical meaning of the effects, and variability of the adherence to the interventions. Multicomponent interventions were the most promising to enhance the functional status of patients. Future research should evaluate these interventions using research methods aiming at producing more rigorous evidence.</t>
  </si>
  <si>
    <t>Neck involvement and disease recurrence in adenoid cystic carcinoma of the minor salivary glands: the role of surgery in primary and progressive disease.</t>
  </si>
  <si>
    <t>Moratin, J; Ledermann, A; Schulz, A D; Metzger, K; Ristow, O; Hofele, C; Engel, M; Hoffmann, J; Freier, K; Lang, K; Adeberg, S; Horn, D; Freudlsperger, C</t>
  </si>
  <si>
    <t>international journal of oral and maxillofacial surgery</t>
  </si>
  <si>
    <t>https://pubmed.ncbi.nlm.nih.gov/32847711</t>
  </si>
  <si>
    <t>The aim of this study was to analyse the rates of metastatic events and clinical outcomes of patients with adenoid cystic carcinoma (ACC) of the minor salivary glands and to critically evaluate the role of surgical therapy. A retrospective cohort study was designed including all patients with ACC of the oral minor salivary glands treated in the study department during the years 2010-2017. Relevant clinicopathological data were analysed to determine factors with an impact on overall survival (OS) and progression-free survival (PFS). Forty-one patients with primary ACC of the oral cavity and the oropharynx were included. Cervical metastases were found in 14 patients (34.1%) and were shown to have a significant negative impact on OS (P=0.009) and PFS (P=0.03). Sixteen patients developed disease recurrence during follow-up (39.0%) and most patients exhibited local disease recurrence with or without regional or distant metastases (14/16, 87.5%). Local recurrence was treated successfully with surgery in five cases. We recommend surgical therapy for patients with ACC of the minor salivary glands, including elective neck dissection and microvascular reconstruction, to optimize the planning of adjuvant therapy.</t>
  </si>
  <si>
    <t>Education differentially contributes to cognitive reserve across racial/ethnic groups.</t>
  </si>
  <si>
    <t>Avila, Justina F; Rentería, Miguel Arce; Jones, Richard N; Vonk, Jet M J; Turney, Indira; Sol, Ketlyne; Seblova, Dominika; Arias, Franchesca; Hill-Jarrett, Tanisha; Levy, Shellie-Anne; Meyer, Oanh; Racine, Annie M; Tom, Sarah E; Melrose, Rebecca J; Deters, Kacie; Medina, Luis D; Carrión, Carmen I; Díaz-Santos, Mirella; Byrd, DeAnnah R; Chesebro, Anthony; Colon, Juliet; Igwe, Kay C; Maas, Benjamin; Brickman, Adam M; Schupf, Nicole; Mayeux, Richard; Manly, Jennifer J</t>
  </si>
  <si>
    <t>https://pubmed.ncbi.nlm.nih.gov/32827354</t>
  </si>
  <si>
    <t>We examined whether educational attainment differentially contributes to cognitive reserve (CR) across race/ethnicity. A total of 1553 non-Hispanic Whites (Whites), non-Hispanic Blacks (Blacks), and Hispanics in the Washington Heights-Inwood Columbia Aging Project (WHICAP) completed structural magnetic resonance imaging. Mixture growth curve modeling was used to examine whether the effect of brain integrity indicators (hippocampal volume, cortical thickness, and white matter hyperintensity [WMH] volumes) on memory and language trajectories was modified by education across racial/ethnic groups. Higher educational attainment attenuated the negative impact of WMH burden on memory (β = -0.03; 99% CI: -0.071, -0.002) and language decline (β = -0.024; 99% CI:- 0.044, -0.004), as well as the impact of cortical thinning on level of language performance for Whites, but not for Blacks or Hispanics. Educational attainment does not contribute to CR similarly across racial/ethnic groups.</t>
  </si>
  <si>
    <t>Genetic Determinants of Electrocardiographic P-Wave Duration and Relation to Atrial Fibrillation.</t>
  </si>
  <si>
    <t>Weng, Lu-Chen; Hall, Amelia Weber; Choi, Seung Hoan; Jurgens, Sean J; Haessler, Jeffrey; Bihlmeyer, Nathan A; Grarup, Niels; Lin, Honghuang; Teumer, Alexander; Li-Gao, Ruifang; Yao, Jie; Guo, Xiuqing; Brody, Jennifer A; Müller-Nurasyid, Martina; Schramm, Katharina; Verweij, Niek; van den Berg, Marten E; van Setten, Jessica; Isaacs, Aaron; Ramírez, Julia; Warren, Helen R; Padmanabhan, Sandosh; Kors, Jan A; de Boer, Rudolf A; van der Meer, Peter; Sinner, Moritz F; Waldenberger, Melanie; Psaty, Bruce M; Taylor, Kent D; Völker, Uwe; Kanters, Jørgen K; Li, Man; Alonso, Alvaro; Perez, Marco V; Vaartjes, Ilonca; Bots, Michiel L; Huang, Paul L; Heckbert, Susan R; Lin, Henry J; Kornej, Jelena; Munroe, Patricia B; van Duijn, Cornelia M; Asselbergs, Folkert W; Stricker, Bruno H; van der Harst, Pim; Kääb, Stefan; Peters, Annette; Sotoodehnia, Nona; Rotter, Jerome I; Mook-Kanamori, Dennis O; Dörr, Marcus; Felix, Stephan B; Linneberg, Allan; Hansen, Torben; Arking, Dan E; Kooperberg, Charles; Benjam</t>
  </si>
  <si>
    <t>circulation genomic and precision medicine</t>
  </si>
  <si>
    <t>https://pubmed.ncbi.nlm.nih.gov/32822252</t>
  </si>
  <si>
    <t>The P-wave duration (PWD) is an electrocardiographic measurement that represents cardiac conduction in the atria. Shortened or prolonged PWD is associated with atrial fibrillation (AF). We used exome-chip data to examine the associations between common and rare variants with PWD. Fifteen studies comprising 64 440 individuals (56 943 European, 5681 African, 1186 Hispanic, 630 Asian) and ≈230 000 variants were used to examine associations with maximum PWD across the 12-lead ECG. Meta-analyses summarized association results for common variants; gene-based burden and sequence kernel association tests examined low-frequency variant-PWD associations. Additionally, we examined the associations between PWD loci and AF using previous AF genome-wide association studies. We identified 21 common and low-frequency genetic loci (14 novel) associated with maximum PWD, including several AF loci (&lt;i&gt;TTN&lt;/i&gt;, &lt;i&gt;CAND2&lt;/i&gt;, &lt;i&gt;SCN10A&lt;/i&gt;, &lt;i&gt;PITX2&lt;/i&gt;, &lt;i&gt;CAV1&lt;/i&gt;, &lt;i&gt;SYNPO2L&lt;/i&gt;, &lt;i&gt;SOX5&lt;/i&gt;, &lt;i&gt;TBX5, MYH6, RPL3L&lt;/i&gt;). The top variants at known sarcomere genes (&lt;i&gt;TTN, MYH6&lt;/i&gt;) were associated with longer PWD and increased AF risk. However, top variants at other loci (eg, &lt;i&gt;PITX2&lt;/i&gt; and &lt;i&gt;SCN10A&lt;/i&gt;) were associated with longer PWD but lower AF risk. Our results highlight multiple novel genetic loci associated with PWD, and underscore the shared mechanisms of atrial conduction and AF. Prolonged PWD may be an endophenotype for several different genetic mechanisms of AF.</t>
  </si>
  <si>
    <t>Molecular epidemiology and clinical impact of rhinovirus infections in adults during three epidemic seasons in 11 European countries (2007-2010).</t>
  </si>
  <si>
    <t>Zlateva, Kalina T; van Rijn, Anneloes L; Simmonds, Peter; Coenjaerts, Frank E J; van Loon, Anton M; Verheij, Theo J M; de Vries, Jutte J C; Little, Paul; Butler, Christopher C; van Zwet, Erik W; Goossens, Herman; Ieven, Margareta; Claas, Eric C J; ,</t>
  </si>
  <si>
    <t>https://pubmed.ncbi.nlm.nih.gov/32820081</t>
  </si>
  <si>
    <t>Differences in clinical impact between rhinovirus (RVs) species and types in adults are not well established. The objective of this study was to determine the epidemiology and clinical impact of the different RV species. We conducted a prospective study of RVs infections in adults with acute cough/lower respiratory tract infection (LRTI) and asymptomatic controls. Subjects were recruited from 16 primary care networks located in 11 European countries between 2007 and 2010. RV detection and genotyping was performed by means of real time and conventional reverse-transcriptase polymerase chain reaction assays, followed by sequence analysis. Clinical data were obtained from medical records and patient symptom diaries. RVs were detected in 566 (19%) of 3016 symptomatic adults, 102 (4%) of their 2539 follow-up samples and 67 (4%) of 1677 asymptomatic controls. Genotyping was successful for 538 (95%) symptomatic subjects, 86 (84%) follow-up infections and 62 (93%) controls. RV-A was the prevailing species, associated with an increased risk of LRTI as compared with RV-B (relative risk (RR), 4.5; 95% CI 2.5 to 7.9; p&lt;0.001) and RV-C (RR 2.2; 95% CI 1.2 to 3.9; p=0.010). In symptomatic subjects, RV-A loads were higher than those of RV-B (p=0.015). Symptom scores and duration were similar across species. More RV-A infected patients felt generally unwell in comparison to RV-C (p=0·023). Of the 140 RV types identified, five were new types; asymptomatic infections were associated with multiple types. In adults, RV-A is significantly more often detected in cases with acute cough/LRTI than RV-C, while RV-B infection is often found in asymptomatic patients.</t>
  </si>
  <si>
    <t>The effect of non-organophosphate household pesticides exposure during pregnancy on infants birth sizes and growth rate: a cohort study.</t>
  </si>
  <si>
    <t>Soesanti, Frida; Idris, Nikmah S; Klipstein-Grobusch, Kerstin; Hendarto, Aryono; Grobbee, Diederick E; Uiterwaal, Cuno S P M</t>
  </si>
  <si>
    <t>https://pubmed.ncbi.nlm.nih.gov/32819320</t>
  </si>
  <si>
    <t>To date, there is limited evidence on the effect of antenatal exposure to non-organophosphate household pesticides on infant health. Our hypothesis is that antenatal exposure to non-organophosphate household pesticides will be associated with birth sizes and infant growth rate. In this prospective cohort study, 284 mother-infant pairs were studied. Mothers were recruited at the third trimester in two primary care centers and one private hospital in Jakarta, Indonesia. Mothers filled out questionnaires about exposure to non-organophosphate household pesticides at the 3rd trimester of pregnancy. Birth weight and length were measured at birth. Afterwards, the weight, height, and head circumference (HC) were measured at 7 days, 1, 2, 4, and 6 months of age. Linear mixed modeling and linear regression was performed to calculate growth rate of each infant. Multivariable linear regression adjusted for confounders was used to assess the association between household pesticides exposure and birth sizes and infant growth rate. Based on self-report questionnaires, 133 (46.8%) mothers were exposed to household pesticides during pregnancy. The mean HC at day 7 in the exposed group was - 7.1 mm (95%CI -13.1;-1.2) lower than in the non-exposed group. The difference was more prominent in the non-mosquito pesticide group (linear regression coefficient: - 22.1 mm, 95%CI -36.5;-7.6). No material associations were found between antenatal exposure to household pesticides with other growth measures, including weight gain, length gain, HC increment and weight-to-length gain rates. No modification of effects by breastfeeding was found. Our findings suggest that antenatal exposure to household non-organophosphate pesticides is associated with smaller head circumference at birth.</t>
  </si>
  <si>
    <t>A Review of Methodological Considerations for Economic Evaluations of Gene Therapies and Their Application in Literature.</t>
  </si>
  <si>
    <t>Ten Ham, Renske M T; Klungel, Olaf H; Leufkens, Hubert G M; Frederix, Geert W J</t>
  </si>
  <si>
    <t>https://pubmed.ncbi.nlm.nih.gov/32940245</t>
  </si>
  <si>
    <t>To identify methodological considerations discussed in literature addressing economic evaluations (EEs) of gene therapies (GTs). Additionally, we assessed if these considerations are applied in published GT EEs to increase understanding and explore impact. First a peer-reviewed literature review was performed to identify research addressing methodological considerations of GT EEs until August 2019. Identified considerations were grouped in themes using thematic content analysis. A second literature search was conducted in which we identified published evaluations. The EE quality of reporting was assessed using Consolidated Health Economic Evaluation Reporting Standards. The first literature search yielded 13 articles discussing methodological considerations. The second search provided 12 EEs. Considerations identified were payment models, definition of perspectives, addressing uncertainty, data extrapolation, discount rates, novel value elements, and use of indirect and surrogate endpoints. All EEs scored satisfactory to good according to Consolidated Health Economic Evaluation Reporting Standards. Regarding methodological application, we found 1 methodological element (payment models) was applied in 2 base cases. Scenarios explored alternative perspectives, survival assumptions, and extrapolation methods in 10 EEs. Although EE quality of reporting was considered good, their informativeness for health technology assessment and decision makers seemed limited owing to many uncertainties. We suggest accepted EE methods can broadly be applied to GTs, but few elements may need adjustment. Further research and multi-stakeholder consensus is needed to determine appropriateness and application of individual methodological considerations. For now, we recommend including scenario analyses to explore impact of methodological choices and (clinical) uncertainties. This study contributes to better understanding of perceived appropriate evaluation of GTs and informs best modeling practices.</t>
  </si>
  <si>
    <t>Improving clinical management of colon cancer through CONNECTION, a nation-wide colon cancer registry and stratification effort (CONNECTION II trial): rationale and protocol of a single arm intervention study.</t>
  </si>
  <si>
    <t>van den Berg, I; van de Weerd, S; Roodhart, J M L; Vink, G R; van den Braak, R R J Coebergh; Jimenez, C R; Elias, S G; van Vliet, D; Koelink, M; Hong, E; van Grevenstein, W M U; van Oijen, M G H; Beets-Tan, R G H; van Krieken, J H J M; IJzermans, J N M; Medema, J P; Koopman, M; ,</t>
  </si>
  <si>
    <t>https://pubmed.ncbi.nlm.nih.gov/32811457</t>
  </si>
  <si>
    <t>It is estimated that around 15-30% of patients with early stage colon cancer benefit from adjuvant chemotherapy. We are currently not capable of upfront selection of patients who benefit from chemotherapy, which indicates the need for additional predictive markers for response to chemotherapy. It has been shown that the consensus molecular subtypes (CMSs), defined by RNA-profiling, have prognostic and/or predictive value. Due to postoperative timing of chemotherapy in current guidelines, tumor response to chemotherapy per CMS is not known, which makes the differentiation between the prognostic and predictive value impossible. Therefore, we propose to assess the tumor response per CMS in the neoadjuvant chemotherapy setting. This will provide us with clear data on the predictive value for chemotherapy response of the CMSs. In this prospective, single arm, multicenter intervention study, 262 patients with resectable microsatellite stable cT3-4NxM0 colon cancer will be treated with two courses of neoadjuvant and two courses of adjuvant capecitabine and oxaliplatin. The primary endpoint is the pathological tumor response to neoadjuvant chemotherapy per CMS. Secondary endpoints are radiological tumor response, the prognostic value of these responses for recurrence free survival and overall survival and the differences in CMS classification of the same tumor before and after neoadjuvant chemotherapy. The study is scheduled to be performed in 8-10 Dutch hospitals. The first patient was included in February 2020. Patient selection for adjuvant chemotherapy in early stage colon cancer is far from optimal. The CMS classification is a promising new biomarker, but a solid chemotherapy response assessment per subtype is lacking. In this study we will investigate whether CMS classification can be of added value in clinical decision making by analyzing the predictive value for chemotherapy response. This study can provide the results necessary to proceed to future studies in which (neo) adjuvant chemotherapy may be withhold in patients with a specific CMS subtype, who show no benefit from chemotherapy and for whom possible new treatments can be investigated. This study has been registered in the Netherlands Trial Register (NL8177) at 11-26-2019, https://www.trialregister.nl/trial/8177 . The study has been approved by the medical ethics committee Utrecht (MEC18/712).</t>
  </si>
  <si>
    <t>Sex-specific microRNAs in women with diabetes and left ventricular diastolic dysfunction or HFpEF associate with microvascular injury.</t>
  </si>
  <si>
    <t>Florijn, Barend W; Valstar, Gideon B; Duijs, Jacques M G J; Menken, Roxana; Cramer, Maarten J; Teske, Arco J; Ghossein-Doha, Chahinda; Rutten, Frans H; Spaanderman, Marc E A; den Ruijter, Hester M; Bijkerk, Roel; van Zonneveld, Anton Jan</t>
  </si>
  <si>
    <t>https://pubmed.ncbi.nlm.nih.gov/32811874</t>
  </si>
  <si>
    <t>Left ventricular diastolic dysfunction (LVDD) and heart failure with preserved ejection fraction (HFpEF) are microcirculation defects following diabetes mellitus (DM). Unrecognized HFpEF is more prevalent in women with diabetes compared to men with diabetes and therefore sex-specific diagnostic strategies are needed. Previously, we demonstrated altered plasma miRs in DM patients with microvascular injury [defined by elevated plasma Angiopoietin-2 (Ang-2) levels]. This study hypothesized the presence of sex-differences in plasma miRs and Ang-2 in diabetic (female) patients with LVDD or HFpEF. After a pilot study, we assessed 16 plasma miRs in patients with LVDD (n = 122), controls (n = 244) and female diabetic patients (n = 10). Subsequently, among these miRs we selected and measured plasma miR-34a, -224 and -452 in diabetic HFpEF patients (n = 53) and controls (n = 52). In LVDD patients, miR-34a associated with Ang-2 levels (R&lt;sup&gt;2&lt;/sup&gt; 0.04, R = 0.21, p = 0.001, 95% CI 0.103-0.312), with plasma levels being diminished in patients with DM, while women with an eGFR &lt; 60 ml/min and LVDD had lower levels of miR-34a, -224 and -452 compared to women without an eGFR &lt; 60 ml/min without LVDD. In diabetic HFpEF women (n = 28), plasma Ang-2 levels and the X-chromosome located miR-224/452 cluster increased compared to men. We conclude that plasma miR-34a, -224 and -452 display an association with the microvascular injury marker Ang-2 and are particularly targeted to women with LVDD or HFpEF.</t>
  </si>
  <si>
    <t>Assessment of Bone Lesions with &lt;sup&gt;18&lt;/sup&gt;F-FDG PET Compared with &lt;sup&gt;99m&lt;/sup&gt;Tc Bone Scintigraphy Leads to Clinically Relevant Differences in Metastatic Breast Cancer Management.</t>
  </si>
  <si>
    <t>van Es, Suzanne C; Velleman, Ton; Elias, Sjoerd G; Bensch, Frederike; Brouwers, Adrienne H; Glaudemans, Andor W J M; Kwee, Thomas C; Iersel, Marleen Woltman-van; Maduro, John H; Oosting, Sjoukje F; de Vries, Elisabeth G E; Schröder, Carolina P</t>
  </si>
  <si>
    <t>journal of nuclear medicine official publication society of nuclear medicine</t>
  </si>
  <si>
    <t>https://pubmed.ncbi.nlm.nih.gov/32817140</t>
  </si>
  <si>
    <t>It is unknown whether assessment of potential bone lesions in metastatic breast cancer (MBC) by &lt;sup&gt;18&lt;/sup&gt;F-FDG PET instead of &lt;sup&gt;99m&lt;/sup&gt;Tc bone scintigraphy (BS) supports clinically relevant changes in MBC management. Therefore, we retrospectively compared management recommendations based on bone lesion assessment by &lt;sup&gt;18&lt;/sup&gt;F-FDG PET plus contrast-enhanced CT (ceCT) or BS plus ceCT, for patients with newly diagnosed MBC. &lt;b&gt;Methods:&lt;/b&gt; Baseline ceCT, BS, and &lt;sup&gt;18&lt;/sup&gt;F-FDG PET for all patients included in the IMPACT-MBC study (NCT01957332) at the University Medical Center Groningen were reviewed for bone lesions. If bone lesions were found by any imaging modality, virtual MBC management recommendations were made by a multidisciplinary expert panel, based on either &lt;sup&gt;18&lt;/sup&gt;F-FDG PET plus ceCT or BS plus ceCT. The panel had access to standard clinicopathologic information and baseline imaging findings outside the skeleton. Clinically relevant management differences between the 2 recommendations were defined either as different treatment intent (curative, noncurative, or unable to determine) or as different systemic or local treatment. If no bone lesions were found by any imaging modality, the patients were included in the analyses without expert review. &lt;b&gt;Results:&lt;/b&gt; In total, 3,473 unequivocal bone lesions were identified in 102 evaluated patients (39% by ceCT, 26% by BS, and 87% by &lt;sup&gt;18&lt;/sup&gt;F-FDG PET). Additional bone lesions on &lt;sup&gt;18&lt;/sup&gt;F-FDG PET plus ceCT compared with BS plus ceCT led to change in MBC management recommendations in 16% of patients (95% CI, 10%-24%). BS also changed management compared with &lt;sup&gt;18&lt;/sup&gt;F-FDG PET in 1 patient (1%; 95% CI, 0%-5%). In 26% (95% CI, 19%-36%) of patients, an additional &lt;sup&gt;18&lt;/sup&gt;F-FDG PET exam was requested, because BS provided insufficient information. &lt;b&gt;Conclusion:&lt;/b&gt; In this exploratory analysis of newly diagnosed MBC patients, &lt;sup&gt;18&lt;/sup&gt;F-FDG PET versus BS to assess bone lesions resulted in clinically relevant management differences in 16% of patients. BS delivered insufficient information in over one fourth of patients, resulting in an additional request for &lt;sup&gt;18&lt;/sup&gt;F-FDG PET. On the basis of these data, &lt;sup&gt;18&lt;/sup&gt;F-FDG PET should be considered a primary imaging modality for assessment of bone lesions in newly diagnosed MBC.</t>
  </si>
  <si>
    <t>Reduced parenchymal cerebral blood flow is associated with greater progression of brain atrophy: The SMART-MR study.</t>
  </si>
  <si>
    <t>Ghaznawi, Rashid; Zwartbol, Maarten Ht; Zuithoff, Nicolaas Pa; Bresser, Jeroen de; Hendrikse, Jeroen; Geerlings, Mirjam I; ,</t>
  </si>
  <si>
    <t>https://pubmed.ncbi.nlm.nih.gov/32807000</t>
  </si>
  <si>
    <t>Global cerebral hypoperfusion may be involved in the aetiology of brain atrophy; however, long-term longitudinal studies on this relationship are lacking. We examined whether reduced cerebral blood flow was associated with greater progression of brain atrophy. Data of 1165 patients (61 ± 10 years) from the SMART-MR study, a prospective cohort study of patients with arterial disease, were used of whom 689 participated after 4 years and 297 again after 12 years. Attrition was substantial. Total brain volume and total cerebral blood flow were obtained from magnetic resonance imaging scans and expressed as brain parenchymal fraction (BPF) and parenchymal cerebral blood flow (pCBF). Mean decrease in BPF per year was 0.22% total intracranial volume (95% CI: -0.23 to -0.21). Mean decrease in pCBF per year was 0.24 ml/min per 100 ml brain volume (95% CI: -0.29 to -0.20). Using linear mixed models, lower pCBF at baseline was associated with a greater decrease in BPF over time (&lt;i&gt;p &lt;/i&gt;=&lt;i&gt; &lt;/i&gt;0.01). Lower baseline BPF, however, was not associated with a greater decrease in pCBF (&lt;i&gt;p &lt;/i&gt;=&lt;i&gt; &lt;/i&gt;0.43). These findings indicate that reduced cerebral blood flow is associated with greater progression of brain atrophy and provide further support for a role of cerebral blood flow in the process of neurodegeneration.</t>
  </si>
  <si>
    <t>The relation between VLDL-cholesterol and risk of cardiovascular events in patients with manifest cardiovascular disease.</t>
  </si>
  <si>
    <t>Heidemann, Britt E; Koopal, Charlotte; Bots, Michiel L; Asselbergs, Folkert W; Westerink, Jan; Visseren, Frank L J</t>
  </si>
  <si>
    <t>https://pubmed.ncbi.nlm.nih.gov/32810544</t>
  </si>
  <si>
    <t>Apolipoprotein B containing lipoproteins are atherogenic. There is evidence that with low plasma low density lipoprotein cholesterol (LDL-C) levels residual vascular risk might be caused by triglyceride rich lipoproteins such as very-low density lipoproteins (VLDL), chylomicrons and their remnants. We investigated the relationship between VLDL-cholesterol (VLDL-C) and recurrent major adverse cardiovascular events (MACE), major adverse limb events (MALE) and all-cause mortality in a cohort of patients with cardiovascular disease. Prospective cohort study in 8057 patients with cardiovascular disease from the UCC-SMART study. The relation between calculated VLDL-C levels and the occurrence of MACE, MALE and all-cause mortality was analyzed with Cox regression models. Patients mean age was 60 ± 10 years, 74% were male, 4894 (61%) had coronary artery disease, 2445 (30%) stroke, 1425 (18%) peripheral arterial disease and 684 (8%) patients had an abdominal aorta aneurysm at baseline. A total of 1535 MACE, 571 MALE and 1792 deaths were observed during a median follow up of 8.2 years (interquartile range 4.512.2). VLDL-C was not associated with risk of MACE or all-cause mortality. In the highest quartile of VLDL-C the risk was higher for major adverse limb events (MALE) (HR 1.49; 95%CI 1.16-1.93) compared to the lowest quartile, after adjustment for confounders including LDL-C and lipid lowering medication. In patients with clinically manifest cardiovascular disease plasma VLDL-C confers an increased risk for MALE, but not for MACE and all-cause mortality, independent of established risk factors including LDL-C and lipid-lowering medication.</t>
  </si>
  <si>
    <t>Preferred reporting items for systematic review and meta-analysis of diagnostic test accuracy studies (PRISMA-DTA): explanation, elaboration, and checklist.</t>
  </si>
  <si>
    <t>Salameh, Jean-Paul; Bossuyt, Patrick M; McGrath, Trevor A; Thombs, Brett D; Hyde, Christopher J; Macaskill, Petra; Deeks, Jonathan J; Leeflang, Mariska; Korevaar, Daniël A; Whiting, Penny; Takwoingi, Yemisi; Reitsma, Johannes B; Cohen, Jérémie F; Frank, Robert A; Hunt, Harriet A; Hooft, Lotty; Rutjes, Anne W S; Willis, Brian H; Gatsonis, Constantine; Levis, Brooke; Moher, David; McInnes, Matthew D F</t>
  </si>
  <si>
    <t>https://pubmed.ncbi.nlm.nih.gov/32816740</t>
  </si>
  <si>
    <t>Chances for learning intraprofessional collaboration between residents in hospitals.</t>
  </si>
  <si>
    <t>Looman, Natasja; Fluit, Cornelia; van Wijngaarden, Marielle; de Groot, Esther; Dielissen, Patrick; van Asselt, Dieneke; de Graaf, Jacqueline; Scherpbier-de Haan, Nynke</t>
  </si>
  <si>
    <t>https://pubmed.ncbi.nlm.nih.gov/32564390</t>
  </si>
  <si>
    <t>Intraprofessional collaboration (intraPC) between primary care (PC) doctors and medical specialists (MSs) is becoming increasingly important. Patient safety issues are often related to intraPC. In order to equip doctors well for their task of providing good quality and continuity of care, intraPC needs explicit attention, starting in postgraduate training. Worldwide, PC residents undertake a hospital placement during their postgraduate training, where they work in proximity with MS residents. This placement offers the opportunity to learn intraPC. It is yet unknown whether and how residents learn intraPC and what barriers to and opportunities for exist in learning intraPC during hospital placements. We performed an ethnographic non-participatory observational study in three emergency departments and three geriatric departments of five hospitals in the Netherlands. This was followed by 42 in-depth interviews with the observed residents and supervisors. The observations were used to feed the questions for the in-depth interviews. We analysed the interviews iteratively following the data collection using template analysis. Hospital wards are rich in opportunities for learning intraPC. These opportunities, however, are seldom exploited for various reasons: intraPC receives limited attention when formulating placement goals, so purposeful learning of intraPC hardly takes place; residents lack awareness of the learning of intraPC; MS residents are not accustomed to searching for expertise from PC residents; PC residents adapt to the MS role and they contribute very little of their PC knowledge, and power dynamics in the hospital department negatively influence the learning of intraPC. Therefore, improvements in mindset, professional identity and power dynamics are crucial to facilitate and promote intraPC. Intraprofessional collaboration is not learned spontaneously during hospital placements. To benefit from the abundant opportunities to learn intraPC, adjustments to the set-up of these placements are necessary. Learning intraPC is promoted when there is a collaborative culture, hierarchy is limited, and there is dedicated time for intraPC and support from the supervisor.</t>
  </si>
  <si>
    <t>Mediating effect of soluble B-cell activation immune markers on the association between anthropometric and lifestyle factors and lymphoma development.</t>
  </si>
  <si>
    <t>Saberi Hosnijeh, Fatemeh; Kolijn, Pieter M; Casabonne, Delphine; Nieters, Alexandra; Solans, Marta; Naudin, Sabine; Ferrari, Pietro; Mckay, James D; Weiderpass, Elisabete; Perduca, Vittorio; Besson, Caroline; Mancini, Francesca Romana; Masala, Giovanna; Krogh, Vittorio; Ricceri, Fulvio; Huerta, José M; Petrova, Dafina; Sala, Núria; Trichopoulou, Antonia; Karakatsani, Anna; La Vecchia, Carlo; Kaaks, Rudolf; Canzian, Federico; Aune, Dagfinn; Boeing, Heiner; Schulze, Matthias B; Perez-Cornago, Aurora; Langerak, Anton W; van der Velden, Vincent H J; Vermeulen, Roel</t>
  </si>
  <si>
    <t>https://pubmed.ncbi.nlm.nih.gov/32796953</t>
  </si>
  <si>
    <t>Sustained B-cell activation is an important mechanism contributing to B-cell lymphoma (BCL). We aimed to validate four previously reported B-cell activation markers predictive of BCL risk (sCD23, sCD27, sCD30, and CXCL13) and to examine their possible mediating effects on the association between anthropometric and lifestyle factors and major BCL subtypes. Pre-diagnostic serum levels were measured for 517 BCL cases and 525 controls in a nested case-control study. The odds ratios of BCL were 6.2 in the highest versus lowest quartile for sCD23, 2.6 for sCD30, 4.2 for sCD27, and 2.6 for CXCL13. Higher levels of all markers were associated with increased risk of chronic lymphocytic leukemia (CLL), follicular lymphoma (FL), and diffuse large B-cell lymphoma (DLBCL). Following mutual adjustment for the other immune markers, sCD23 remained associated with all subtypes and CXCL13 with FL and DLBCL. The associations of sCD23 with CLL and DLBCL and CXCL13 with DLBCL persisted among cases sampled &gt; 9 years before diagnosis. sCD23 showed a good predictive ability (area under the curve = 0.80) for CLL, in particular among older, male participants. sCD23 and CXCL13 showed a mediating effect between body mass index (positive) and DLBCL risk, while CXCL13 contributed to the association between physical activity (inverse) and DLBCL. Our data suggest a role of B-cell activation in BCL development and a mediating role of the immune system for lifestyle factors.</t>
  </si>
  <si>
    <t>Non-dispensing pharmacist integrated in the primary care team: effect on the quality of physician's prescribing, a non-randomised comparative study.</t>
  </si>
  <si>
    <t>Sloeserwij, Vivianne M; Zwart, Dorien L M; Hazen, Ankie C M; Poldervaart, Judith M; Leendertse, Anne J; de Bont, Antoinette A; Bouvy, Marcel L; de Wit, Niek J; de Gier, Han J</t>
  </si>
  <si>
    <t>international journal of clinical pharmacy</t>
  </si>
  <si>
    <t>https://pubmed.ncbi.nlm.nih.gov/32789761</t>
  </si>
  <si>
    <t>Background Especially in elderly with polypharmacy, medication can do harm. Clinical pharmacists integrated in primary care teams might improve quality of pharmaceutical care. Objective To assess the effect of non-dispensing clinical pharmacists integrated in primary care teams on general practitioners' prescribing quality. Setting This study was conducted in 25 primary care practices in the Netherlands. Methods Non-randomised, controlled, multi-centre, complex intervention study with pre-post comparison. First, we identified potential prescribing quality indicators from the literature and assessed their feasibility, validity, acceptability, reliability and sensitivity to change. Also, an expert panel assessed the indicators' health impact. Next, using the final set of indicators, we measured the quality of prescribing in practices where non-dispensing pharmacists were integrated in the team (intervention group) compared to usual care (two control groups). Data were extracted anonymously from the healthcare records. Comparisons were made using mixed models correcting for potential confounders. Main outcome measure Quality of prescribing, measured with prescribing quality indicators. Results Of 388 eligible indicators reported in the literature we selected 8. In addition, two more indicators relevant for Dutch general practice were formulated by an expert panel. Scores on all 10 indicators improved in the intervention group after introduction of the non-dispensing pharmacist. However, when compared to control groups, prescribing quality improved solely on the indicator measuring monitoring of the renal function in patients using antihypertensive medication: relative risk of a monitored renal function in the intervention group compared to usual care: 1.03 (95% CI 1.01-1.05, p-value 0.010) and compared to usual care plus: 1.04 (1.01-1.06, p-value 0.004). Conclusion This study did not demonstrate a consistent effect of the introduction of non-dispensing clinical pharmacists in the primary care team on the quality of physician's prescribing.This study is part of the POINT-study, which was registered at The Netherlands National Trial Register with trial registration number NTR-4389.</t>
  </si>
  <si>
    <t>Carbapenem-alternative strategies for complicated urinary tract infections: A systematic review of randomized controlled trials.</t>
  </si>
  <si>
    <t>Ten Doesschate, T; van der Vaart, T W; Damen, J A A; Bonten, M J M; van Werkhoven, C H</t>
  </si>
  <si>
    <t>https://pubmed.ncbi.nlm.nih.gov/32795483</t>
  </si>
  <si>
    <t>The association of the Mediterranean diet with heart failure risk in a Dutch population.</t>
  </si>
  <si>
    <t>Strengers, Julia G; den Ruijter, Hester M; Boer, Jolanda M A; Asselbergs, Folkert W; Verschuren, W M Monique; van der Schouw, Yvonne T; Sluijs, Ivonne</t>
  </si>
  <si>
    <t>https://pubmed.ncbi.nlm.nih.gov/33127254</t>
  </si>
  <si>
    <t>It is still unclear whether a healthy diet can prevent heart failure (HF). Therefore, this study aimed to investigate the association between adherence to a Mediterranean-style diet, reflected by modified Mediterranean Diet Scores (mMDS), and the incidence of HF in men and women. This observational study comprised 9316 men and 27,645 women from the EPIC-NL cohort free from cardiovascular disease at baseline. Dietary intakes were assessed using a validated food frequency questionnaire. mMDS was calculated using a 9-point scale based on consumption of vegetables, legumes, fruit, nuts, seeds, grains, fish, fat ratio, dairy, meat and alcohol. HF events were ascertained by linkage to nation-wide registries. Multivariable Hazard Ratios (HR) and 95% confidence intervals (CI) were estimated by Cox proportional hazards regression models. Over a median follow-up of 15 years (IQR 14-16), 633 HF events occurred: 144 in men (1.5%) and 489 in women (1.8%). The median mMDS was 4 (IQR 3-5). There was significant effect modification by sex (P-value for interaction &lt;0.001), therefore results are stratified for men and women. For men, a higher mMDS associated with lower HF risk (HR: 0.88; 95% CI: 0.79, 0.98 per point increase in mMDS; HR upper category: 0.53; 95% CI: 0.33, 0.86), whereas no association was found in women (HR: 0.98; 95% CI: 0.93, 1.04 per point increase; HR upper category: 1.07; 95% CI: 0.83, 1.36). Adherence to a Mediterranean-style diet may reduce HF risk, particularly in men. The underlying reasons for the differences in findings between men and women need further study.</t>
  </si>
  <si>
    <t>Nurses' perceptions of self-management and self-management support of older patients during hospitalization.</t>
  </si>
  <si>
    <t>Otter, Caroline E M; Smit, Jakobus; Hagedoorn, Ellen I; Keers, Joost C; de Man-van Ginkel, Janneke M; Schoonhoven, Lisette</t>
  </si>
  <si>
    <t>https://pubmed.ncbi.nlm.nih.gov/32798001</t>
  </si>
  <si>
    <t>Four focus group interviews were held with nurses, recruited from eight wards of two general hospitals, to explore nurses' perceptions of self-management and self-management support of older patients during hospitalization. A thematic analyze of the interview transcripts was conducted. Regarding nurses understanding of self-management two perceptions emerged namely 'being self-reliant' and 'being in control'. In terms of their understanding self-management support three perceptions emerged: encouraging patients to perform activities of daily living (ADL); stimulating patient participation; and increasing patients' awareness. We also found seven themes relating to nurses' beliefs regarding older patients' self-management and self-management support during hospitalization. Results indicate that nurses have a limited understanding of self-management and do not fully understand what is expected from them with regards to inpatients' self-management. It is feasible to argue that addressing nurses' beliefs can influence nurses intention and behavior regarding supporting older inpatients' self-management.</t>
  </si>
  <si>
    <t>Patient-reported outcomes after 10-year follow-up of intensive, multifactorial treatment in individuals with screen-detected type 2 diabetes: the ADDITION-Europe trial.</t>
  </si>
  <si>
    <t>Dalsgaard, E-M; Sandbaek, A; Griffin, S J; Rutten, G E H M; Khunti, K; Davies, M J; Irving, G J; Vos, R C; Webb, D R; Wareham, N J; Witte, D R</t>
  </si>
  <si>
    <t>https://pubmed.ncbi.nlm.nih.gov/32530523</t>
  </si>
  <si>
    <t>To present the longer-term impact of multifactorial treatment of type 2 diabetes on self-reported health status, diabetes-specific quality of life, and diabetes treatment satisfaction at 10-year follow up of the ADDITION-Europe trial. The ADDITION-Europe trial enrolled 3057 individuals with screen-detected type 2 diabetes from four centres [Denmark, the UK (Cambridge and Leicester) and the Netherlands], between 2001 and 2006. Participants were randomized at general practice level to intensive treatment or to routine care . The trial ended in 2009 and a 10-year follow-up was performed at the end of 2014. We measured self-reported health status (36-item Short-Form Health Survey and EQ-5D), diabetes-specific quality of life (Audit of Diabetes-Dependent Quality of Life questionnaire), and diabetes treatment satisfaction (Diabetes Treatment Satisfaction Questionnaire) at different time points during the study period. A mixed-effects model was applied to estimate the effect of intensive treatment (intention-to-treat analyses) on patient-reported outcome measures for each centre. Centre-specific estimates were pooled using a fixed effects meta-analysis. There was no difference in patient-reported outcome measures between the routine care and intensive treatment arms in this 10-year follow-up study [EQ-5D: -0.01 (95% CI -0.03, 0.01); Physical Composite Score (36-item Short-Form Health Survey): -0.27 (95% CI -1.11, 0.57), Audit of Diabetes-Dependent Quality of Life questionnaire: -0.01 (95% CI -0.11, 0.10); and Diabetes Treatment Satisfaction Questionnaire: -0.20 (95% CI -0.70, 0.29)]. Intensive, multifactorial treatment of individuals with screen-detected type 2 diabetes did not affect self-reported health status, diabetes-specific quality of life, or diabetes treatment satisfaction at 10-year follow-up compared to routine care.</t>
  </si>
  <si>
    <t>Assessment of the Regulatory Dialogue Between Pharmaceutical Companies and the European Medicines Agency on the Choice of Noninferiority Margins.</t>
  </si>
  <si>
    <t>Althunian, Turki A; de Boer, Anthonius; Mantel-Teeuwisse, Aukje K; Groenwold, Rolf H H; Gispen-de Wied, Christine C; Leufkens, Hubert G M; Klungel, Olaf H</t>
  </si>
  <si>
    <t>clinical therapeutics</t>
  </si>
  <si>
    <t>https://pubmed.ncbi.nlm.nih.gov/32782135</t>
  </si>
  <si>
    <t>Choosing a noninferiority margin is one of the main challenges when designing a noninferiority trial. The European Medicines Agency (EMA) published a guidance report on the choice of margins in 2005. Nonetheless, in 2008 and 2009 they did not accept 41% (35 of 86) of the noninferiority margins that were proposed by pharmaceutical companies in the context of scientific-advice letters. In this study, we focus on whether the EMA's recommendations were followed by pharmaceutical companies, and on a possible relationship with eventual drug approval. Five of the 35 unaccepted margins were equivalence margins; we considered only the 30 unaccepted noninferiority margins in our analysis. Twelve of these margins were defined based on clinical and statistical considerations (the approach recommended by the EMA) and were rejected due to unacceptable clinical considerations. The other 18 margins were rejected because they were considered too wide. The EMA's recommendations were followed in the cases of 10 of the 15 margins (67%) for which information on follow-through of recommendations was available. The main reason for ignoring the EMA's recommendation in the other 5 cases was that the margins had been accepted by the US Food and Drug Administration. The proportions of approved drugs for which recommendations were and were not followed were similar, yet numbers were too low for formal statistical testing. This study shows that the main concern of regulators with regard to noninferiority trials was the strictness of margins from a clinical perspective. Future studies using more recent data, including data on the US Food and Drug Administration, may help in assessing the impact of guideline recommendations on noninferiority margins used for drug approval and may assist in reaching consensus among regulators about the choice of margins.</t>
  </si>
  <si>
    <t>Integrated management of atrial fibrillation in primary care: results of the ALL-IN cluster randomized trial.</t>
  </si>
  <si>
    <t>van den Dries, Carline J; van Doorn, Sander; Rutten, Frans H; Oudega, Ruud; van de Leur, Sjef J C M; Elvan, Arif; Oude Grave, Lisa; Bilo, Henk J G; Moons, Karel G M; Hoes, Arno W; Geersing, Geert-Jan</t>
  </si>
  <si>
    <t>https://pubmed.ncbi.nlm.nih.gov/32112556</t>
  </si>
  <si>
    <t>To evaluate whether integrated care for atrial fibrillation (AF) can be safely orchestrated in primary care. The ALL-IN trial was a cluster randomized, open-label, pragmatic non-inferiority trial performed in primary care practices in the Netherlands. We randomized 26 practices: 15 to the integrated care intervention and 11 to usual care. The integrated care intervention consisted of (i) quarterly AF check-ups by trained nurses in primary care, also focusing on possibly interfering comorbidities, (ii) monitoring of anticoagulation therapy in primary care, and finally (iii) easy-access availability of consultations from cardiologists and anticoagulation clinics. The primary endpoint was all-cause mortality during 2 years of follow-up. In the intervention arm, 527 out of 941 eligible AF patients aged ≥65 years provided informed consent to undergo the intervention. These 527 patients were compared with 713 AF patients in the control arm receiving usual care. Median age was 77 (interquartile range 72-83) years. The all-cause mortality rate was 3.5 per 100 patient-years in the intervention arm vs. 6.7 per 100 patient-years in the control arm [adjusted hazard ratio (HR) 0.55; 95% confidence interval (CI) 0.37-0.82]. For non-cardiovascular mortality, the adjusted HR was 0.47 (95% CI 0.27-0.82). For other adverse events, no statistically significant differences were observed. In this cluster randomized trial, integrated care for elderly AF patients in primary care showed a 45% reduction in all-cause mortality when compared with usual care.</t>
  </si>
  <si>
    <t>CP Properties of Higgs Boson Interactions with Top Quarks in the tt[over ¯]H and tH Processes Using H→γγ with the ATLAS Detector.</t>
  </si>
  <si>
    <t>https://pubmed.ncbi.nlm.nih.gov/32845699</t>
  </si>
  <si>
    <t>A study of the charge conjugation and parity (CP) properties of the interaction between the Higgs boson and top quarks is presented. Higgs bosons are identified via the diphoton decay channel (H→γγ), and their production in association with a top quark pair (tt[over ¯]H) or single top quark (tH) is studied. The analysis uses 139  fb^{-1} of proton-proton collision data recorded at a center-of-mass energy of sqrt[s]=13  TeV with the ATLAS detector at the Large Hadron Collider. Assuming a CP-even coupling, the tt[over ¯]H process is observed with a significance of 5.2 standard deviations. The measured cross section times H→γγ branching ratio is 1.64_{-0.36}^{+0.38}(stat)_{-0.14}^{+0.17}(sys)  fb, and the measured rate for tt[over ¯]H is 1.43_{-0.31}^{+0.33}(stat)_{-0.15}^{+0.21}(sys) times the Standard Model expectation. The tH production process is not observed and an upper limit on its rate of 12 times the Standard Model expectation is set. A CP-mixing angle greater (less) than 43 (-43)° is excluded at 95% confidence level.</t>
  </si>
  <si>
    <t>The Content Validity of the Items Related to the Social and Spiritual Dimensions of the Utrecht Symptom Diary-4 Dimensional From a Patient's Perspective: A Qualitative Study.</t>
  </si>
  <si>
    <t>de Vries, Sita; Lormans, Tom; de Graaf, Everlien; Leget, Carlo; Teunissen, Saskia</t>
  </si>
  <si>
    <t>https://pubmed.ncbi.nlm.nih.gov/32777457</t>
  </si>
  <si>
    <t>In palliative care, caregivers often lack words and competences to discuss patients' needs in social and spiritual dimensions. The Utrecht Symptom Diary-4 Dimensional (USD-4D) is an instrument that can be used to monitor symptoms and needs in the physical, psychological, social, and spiritual dimensions and to optimize communication between patients and caregivers. To assess the content validity of the USD-4D items related to the social and spiritual dimensions from a patient's perspective, measured in terms of comprehensibility, relevance, and comprehensiveness. An explorative qualitative study was conducted using in-depth semistructured interviews and thematic analysis. Twelve participants (male N = 7, 53-87 years old) with an estimated life expectancy of less than one year were recruited in two home care services: a general hospital and a hospice. The instructions, items, and response options were comprehensible for almost all participants. The meaning that was provided to the items was expressed in themes: maintaining personal identity and autonomy, resilience, letting go, perceived balance in one's life, and death and afterlife. This corresponds with the intended meaning. The items were relevant at some points in time. Not all participants had needs for personal care during the interviews. Participants found the USD-4D comprehensive, no key concepts related to the social or spiritual dimensions appeared to be missing. The USD-4D constitutes a content valid PROM from the patient's perspective. The items support patients in identifying needs in the social and spiritual dimensions and in the conversation to further explore these needs.</t>
  </si>
  <si>
    <t>Transcending boundaries for collaborative patient care.</t>
  </si>
  <si>
    <t>Meijer, Loes J; de Groot, Esther; Honing-de Lange, Gerdine; Kearney, Grainne; Schellevis, François G; Damoiseaux, Roger A M J</t>
  </si>
  <si>
    <t>https://pubmed.ncbi.nlm.nih.gov/32767903</t>
  </si>
  <si>
    <t>Dutch general practitioners (GPs) and medical specialists (MSs) create collaborative patient care agreements (CPCAs) to improve intraprofessional collaboration. We set out to identify contradictions between the activity systems of primary and secondary care that could result in expansive learning and new ways of working collaboratively. We analysed nineteen semi-structured interviews using activity theory (AT) as a theoretical framework and using these two activity systems as the units of analysis. There were contradictions within and between the activity systems related, for example, to different understandings of 'care' in generalist and specialist settings. GPs and MSs were able to identify contradictions and learn expansively when they iteratively co-created CPCAs in groups. They found it much harder to tackle contradictions, however, when they disseminated these tools within their respective professional communities, leaving unresolved contradictions and missed opportunities for collaboration. This research shows the educational benefits of taking collective responsibility for improving collaborative patient care.</t>
  </si>
  <si>
    <t>Risk of bias in studies investigating novel diagnostic biomarkers for heart failure with preserved ejection fraction. A systematic review.</t>
  </si>
  <si>
    <t>Henkens, Michiel T H M; Remmelzwaal, Sharon; Robinson, Emma L; van Ballegooijen, Adriana J; Barandiarán Aizpurua, Arantxa; Verdonschot, Job A J; Raafs, Anne G; Weerts, Jerremy; Hazebroek, Mark R; Sanders-van Wijk, Sandra; Handoko, M Louis; den Ruijter, Hester M; Lam, Carolyn S P; de Boer, Rudolf A; Paulus, Walter J; van Empel, Vanessa P M; Vos, Rein; Brunner-La Rocca, Hans-Peter; Beulens, Joline W J; Heymans, Stephane R B</t>
  </si>
  <si>
    <t>https://pubmed.ncbi.nlm.nih.gov/32592317</t>
  </si>
  <si>
    <t>Diagnosing heart failure with preserved ejection fraction (HFpEF) in the non-acute setting remains challenging. Natriuretic peptides have limited value for this purpose, and a multitude of studies investigating novel diagnostic circulating biomarkers have not resulted in their implementation. This review aims to provide an overview of studies investigating novel circulating biomarkers for the diagnosis of HFpEF and determine their risk of bias (ROB). A systematic literature search for studies investigating novel diagnostic HFpEF circulating biomarkers in humans was performed up until 21 April 2020. Those without diagnostic performance measures reported, or performed in an acute heart failure population were excluded, leading to a total of 28 studies. For each study, four reviewers determined the ROB within the QUADAS-2 domains: patient selection, index test, reference standard, and flow and timing. At least one domain with a high ROB was present in all studies. Use of case-control/two-gated designs, exclusion of difficult-to-diagnose patients, absence of a pre-specified cut-off value for the index test without the performance of external validation, the use of inappropriate reference standards and unclear timing of the index test and/or reference standard were the main bias determinants. Due to the high ROB and different patient populations, no meta-analysis was performed. The majority of current diagnostic HFpEF biomarker studies have a high ROB, reducing the reproducibility and the potential for clinical care. Methodological well-designed studies with a uniform reference diagnosis are urgently needed to determine the incremental value of circulating biomarkers for the diagnosis of HFpEF.</t>
  </si>
  <si>
    <t>Prior distributions for variance parameters in a sparse-event meta-analysis of a few small trials.</t>
  </si>
  <si>
    <t>pharmaceutical statistics</t>
  </si>
  <si>
    <t>https://pubmed.ncbi.nlm.nih.gov/32767452</t>
  </si>
  <si>
    <t>In rare diseases, typically only a small number of patients are available for a randomized clinical trial. Nevertheless, it is not uncommon that more than one study is performed to evaluate a (new) treatment. Scarcity of available evidence makes it particularly valuable to pool the data in a meta-analysis. When the primary outcome is binary, the small sample sizes increase the chance of observing zero events. The frequentist random-effects model is known to induce bias and to result in improper interval estimation of the overall treatment effect in a meta-analysis with zero events. Bayesian hierarchical modeling could be a promising alternative. Bayesian models are known for being sensitive to the choice of prior distributions for between-study variance (heterogeneity) in sparse settings. In a rare disease setting, only limited data will be available to base the prior on, therefore, robustness of estimation is desirable. We performed an extensive and diverse simulation study, aiming to provide practitioners with advice on the choice of a sufficiently robust prior distribution shape for the heterogeneity parameter. Our results show that priors that place some concentrated mass on small τ values but do not restrict the density for example, the Uniform(-10, 10) heterogeneity prior on the log(τ&lt;sup&gt;2&lt;/sup&gt; ) scale, show robust 95% coverage combined with less overestimation of the overall treatment effect, across varying degrees of heterogeneity. We illustrate the results with meta-analyzes of a few small trials.</t>
  </si>
  <si>
    <t>Development of a clinical prediction rule for sepsis in primary care: protocol for the TeSD-IT study.</t>
  </si>
  <si>
    <t>Loots, Feike J; Hopstaken, Rogier; Jenniskens, Kevin; Frederix, Geert W J; van de Pol, Alma C; Van den Bruel, Ann; Oosterheert, Jan Jelrik; van Zanten, Arthur R H; Smits, Marleen; Verheij, Theo J M</t>
  </si>
  <si>
    <t>https://pubmed.ncbi.nlm.nih.gov/32775698</t>
  </si>
  <si>
    <t>Early recognition and treatment of sepsis is crucial to prevent detrimental outcomes. General practitioners (GPs) are often the first healthcare providers to encounter seriously ill patients. The aim of this study is to assess the value of clinical information and additional tests to develop a clinical prediction rule to support early diagnosis and management of sepsis by GPs. We will perform a diagnostic study in the setting of out-of-hours home visits in four GP cooperatives in the Netherlands. Acutely ill adult patients suspected of a serious infection will be screened for eligibility by the GP. The following candidate predictors will be prospectively recorded: (1) age, (2) body temperature, (3) systolic blood pressure, (4) heart rate, (5) respiratory rate, (6) peripheral oxygen saturation, (7) mental status, (8) history of rigors, and (9) rate of progression. After clinical assessment by the GP, blood samples will be collected in all patients to measure C-reactive protein, lactate, and procalcitonin. All patients will receive care as usual. The primary outcome is the presence or absence of sepsis within 72 h after inclusion, according to an expert panel. The need for hospital treatment for any indication will be assessed by the expert panel as a secondary outcome. Multivariable logistic regression will be used to design an optimal prediction model first and subsequently derive a simplified clinical prediction rule that enhances feasibility of using the model in daily clinical practice. Bootstrapping will be performed for internal validation of both the optimal model and simplified prediction rule. Performance of both models will be compared to existing clinical prediction rules for sepsis. This study will enable us to develop a clinical prediction rule for the recognition of sepsis in a high-risk primary care setting to aid in the decision which patients have to be immediately referred to a hospital and who can be safely treated at home. As clinical signs and blood samples will be obtained prospectively, near-complete data will be available for analyses. External validation will be needed before implementation in routine care and to determine in which pre-hospital settings care can be improved using the prediction rule. The study is registered in the Netherlands Trial Registry (registration number NTR7026).</t>
  </si>
  <si>
    <t>A Global Analysis of Associations between Fine Particle Air Pollution and Cardiovascular Risk Factors: Feasibility Study on Data Linkage.</t>
  </si>
  <si>
    <t>Zhao, Min; Hoek, Gerard; Strak, Maciej; Grobbee, Diederick E; Graham, Ian; Klipstein-Grobusch, Kerstin; Vaartjes, Ilonca</t>
  </si>
  <si>
    <t>https://pubmed.ncbi.nlm.nih.gov/32923347</t>
  </si>
  <si>
    <t>This paper presents a feasibility study of data linkage between global air pollution data and clinical medical data to assess the associations of PM&lt;sub&gt;2.5&lt;/sub&gt; with cardiovascular risk factors. Cardiovascular risk factor data were obtained from the SUrvey of Risk Factors (SURF) for coronary heart disease (CHD) patients from 10 countries in Europe, Asia, and the Middle-East. Annual average PM&lt;sub&gt;2.5&lt;/sub&gt; concentrations were estimated using recent global WHO PM&lt;sub&gt;2.5&lt;/sub&gt; maps combining satellite and surface monitoring data for the location of the 71 participating centers. Associations of PM&lt;sub&gt;2.5&lt;/sub&gt; with risk factors were assessed by mixed-effect generalized estimation equation models adjusted by sex, age, exercise, body mass index, and smoking. In the final model there was further adjustment for country. Linkage between cardiovascular risk factor data and PM&lt;sub&gt;2.5&lt;/sub&gt; via the postal address of participating hospitals was shown to be feasible, however with several limitations noted.Eight thousand three hundred and ninety two patients (30% women) were included. Globally, an increase of 10 μg/m&lt;sup&gt;3&lt;/sup&gt; in PM&lt;sub&gt;2.5&lt;/sub&gt; was significantly associated with decreased BP and increased glucose. After controlling for country, an increase of 10 μg/m&lt;sup&gt;3&lt;/sup&gt; in PM&lt;sub&gt;2.5&lt;/sub&gt; was associated with decreased BP and increased LDL (SBP: -0.45 mmHg [95% CI: -0.85, -0.06]; DBP: -0.47 mmHg [-0.73, -0.20]; LDL: 0.04 mmol/L [0.01, 0.08]). The association with glucose attenuated (0.08 mmol/L [-0.23, 0.16]). It is feasible to link PM&lt;sub&gt;2.5&lt;/sub&gt; and cardiovascular risk factors but it is still challenging to interpret these observed associations due to unavailability of potential confounders. After country adjustment, PM&lt;sub&gt;2.5&lt;/sub&gt; was associated with small increases in LDL and small decreases in BP. - There are limited studies on the association between air pollution and cardiovascular risk factors for patients with established coronary heart disease in low- and middle-income countries;- Data linkage is an efficient and cost-effective method to maximize the use of existing data to investigate more health related research questions;- It is feasible to determine global associations of air pollution and cardiovascular risk factors by data linkage but it is still challenging in terms of interpretation.</t>
  </si>
  <si>
    <t>Safety and COVID-19 Symptoms in Individuals Recently Vaccinated with BCG: a Retrospective Cohort Study.</t>
  </si>
  <si>
    <t>Moorlag, Simone J C F M; van Deuren, Rosanne C; van Werkhoven, Cornelis H; Jaeger, Martin; Debisarun, Priya; Taks, Esther; Mourits, Vera P; Koeken, Valerie A C M; de Bree, L Charlotte J; Ten Doesschate, Thijs; Cleophas, Maartje C; Smeekens, Sanne; Oosting, Marije; van de Veerdonk, Frank L; Joosten, Leo A B; Ten Oever, Jaap; van der Meer, Jos W M; Curtis, Nigel; Aaby, Peter; Stabell-Benn, Christine; Giamarellos-Bourboulis, Evangelos J; Bonten, Marc; van Crevel, Reinout; Netea, Mihai G</t>
  </si>
  <si>
    <t>https://pubmed.ncbi.nlm.nih.gov/32838341</t>
  </si>
  <si>
    <t>Bacille Calmette-Guérin (BCG) induces long-term boosting of innate immunity, termed trained immunity, and decreases susceptibility to respiratory tract infections. BCG vaccination trials for reducing SARS-CoV-2 infection are underway, but concerns have been raised regarding the potential harm of strong innate immune responses. To investigate the safety of BCG vaccination, we retrospectively assessed coronavirus disease 2019 (COVID-19) and related symptoms in three cohorts of healthy volunteers who either received BCG in the last 5 years or did not. BCG vaccination is not associated with increased incidence of symptoms during the COVID-19 outbreak in the Netherlands. Our data suggest that BCG vaccination might be associated with a decrease in the incidence of sickness during the COVID-19 pandemic (adjusted odds ratio [AOR] 0.58, p &lt; 0.05), and lower incidence of extreme fatigue. In conclusion, recent BCG vaccination is safe, and large randomized trials are needed to reveal if BCG reduces the incidence and/or severity of SARS-CoV-2 infection.</t>
  </si>
  <si>
    <t>Semantic loss marks early Alzheimer's disease-related neurodegeneration in older adults without dementia.</t>
  </si>
  <si>
    <t>Vonk, Jet M J; Bouteloup, Vincent; Mangin, Jean-François; Dubois, Bruno; Blanc, Frédéric; Gabelle, Audrey; Ceccaldi, Mathieu; Annweiler, Cédric; Krolak-Salmon, Pierre; Belin, Catherine; Rivasseau-Jonveaux, Thérèse; Julian, Adrien; Sellal, François; Magnin, Eloi; Chupin, Marie; Habert, Marie-Odile; Chêne, Geneviève; Dufouil, Carole; ,</t>
  </si>
  <si>
    <t>alzheimers dementia amsterdam netherlands</t>
  </si>
  <si>
    <t>https://pubmed.ncbi.nlm.nih.gov/32775598</t>
  </si>
  <si>
    <t>To assess progression of semantic loss in early stages of cognitive decline using semantic and letter fluency performance, and its relation with Alzheimer's disease (AD)-specific neurodegeneration using longitudinal multimodal neuroimaging measures. Change in verbal fluency was analyzed among 2261 non-demented individuals with a follow-up diagnosis of no mild cognitive impairment (MCI), amnestic MCI (aMCI), non-amnestic MCI (naMCI), or incident dementia, using linear mixed models across 4 years of follow-up, and relations with magnetic resonance imaging (MRI; n = 1536) and &lt;sup&gt;18&lt;/sup&gt;F-fluorodeoxyglucose brain positron emission tomography (&lt;sup&gt;18&lt;/sup&gt;F-FDG-PET) imaging (n = 756) using linear regression models across 2 years of follow-up. Semantic fluency declined-fastest in those at higher risk for AD (apolipoprotein E [APOE] e4 carriers, Clinical Dementia Rating score of .5, aMCI, or incident dementia)-while letter fluency did not except for those with incident dementia. Lower baseline semantic fluency was associated with an increase in white matter hyperintensities and total mean cortical thinning over time, and regionally with less hippocampal volume as well as more cortical thinning and reduced &lt;sup&gt;18&lt;/sup&gt;F-FDG-PET uptake in the inferior parietal lobule, entorhinal cortex, isthmus cingulate, and precuneus-posterior cingulate area. In contrast, baseline letter fluency was not associated with change in total nor regional neurodegeneration. Whole-brain neurodegeneration over time was associated with faster decline in both fluencies, while AD-specific regions were associated with a faster rate of decline in semantic but not letter fluency. This study provides strong evidence of distinctive degeneration of semantic abilities early on in relation to both cognitive decline and AD-specific neurodegeneration.</t>
  </si>
  <si>
    <t>Extracellular Vesicle cystatin c is associated with unstable angina in troponin negative patients with acute chest pain.</t>
  </si>
  <si>
    <t>Dekker, Mirthe; Waissi, Farahnaz; van Bennekom, Joelle; Silvis, Max J M; Timmerman, Nathalie; Schoneveld, Arjan H; Grobbee, Diederick E; de Winter, Robbert J; Mosterd, Arend; Timmers, Leo; de Kleijn, Dominique P V</t>
  </si>
  <si>
    <t>https://pubmed.ncbi.nlm.nih.gov/32756583</t>
  </si>
  <si>
    <t>Despite the use of high-sensitive cardiac troponin there remains a group of high-sensitive cardiac troponin negative patients with unstable angina with a non-neglectable risk for future adverse cardiovascular events, emphasising the need for additional risk stratification. Plasma extracellular vesicles are small bilayer membrane vesicles known for their potential role as biomarker source. Their role in unstable angina remains unexplored. We investigate if extracellular vesicle proteins are associated with unstable angina in patients with chest pain and low high-sensitive cardiac troponin. The MINERVA study included patients presenting with acute chest pain but no acute coronary syndrome. We performed an exploratory retrospective case-control analysis among 269 patients. Cases were defined as patients with low high-sensitive cardiac troponin and proven ischemia. Patients without ischemia were selected as controls. Blood samples were fractionated to analyse the EV proteins in three plasma-subfractions: TEX, HDL and LDL. Protein levels were quantified using electrochemiluminescence immunoassay. Lower levels of (adjusted) EV cystatin c in the TEX subfraction were associated with having unstable angina (OR 0.93 95% CI 0.88-0.99). In patients with acute chest pain but low high-sensitive cardiac troponin, lower levels of plasma extracellular vesicle cystatin c are associated with having unstable angina. This finding is hypothesis generating only considering the small sample size and needs to be confirmed in larger cohort studies, but still identifies extracellular vesicle proteins as source for additional risk stratification.</t>
  </si>
  <si>
    <t>From deficit to dialogue in science communication: The dialogue communication model requires additional roles from scientists.</t>
  </si>
  <si>
    <t>Reincke, Cathelijne M; Bredenoord, Annelien L; van Mil, Marc Hw</t>
  </si>
  <si>
    <t>embo reports</t>
  </si>
  <si>
    <t>https://pubmed.ncbi.nlm.nih.gov/32748995</t>
  </si>
  <si>
    <t>The 'one-way' expert model of science communication is out of date. The new dialogue model requires from scientists more than just providing expert knowledge to the publics.</t>
  </si>
  <si>
    <t>The effects of nudging and pricing on healthy food purchasing behavior in a virtual supermarket setting: a randomized experiment.</t>
  </si>
  <si>
    <t>Hoenink, Jody C; Mackenbach, Joreintje D; Waterlander, Wilma; Lakerveld, Jeroen; van der Laan, Nynke; Beulens, Joline W J</t>
  </si>
  <si>
    <t>https://pubmed.ncbi.nlm.nih.gov/32746928</t>
  </si>
  <si>
    <t>Evidence on what strategies - or combination of strategies - are most effective and equitable in promoting healthier diets is needed. This study examined the efficacy of nudging and pricing strategies on increasing healthy food purchases and the potential differential effect by socio-economic position (SEP) among Dutch adults in a virtual supermarket. A randomized study design was conducted within a virtual supermarket (SN VirtuMart). Participants were exposed to five within-subject study conditions (control, nudging, pricing, price salience and price salience with nudging) and randomized to one of three between-subject study arms (a 25% price increase on unhealthy products, a 25% discount on healthy products, or a 25% price increase and discount). In total, 455 participants of low and high SEP (using either education or income as proxy) were randomized to conduct their weekly shopping in a virtual supermarket for five consecutive weeks. The primary outcome included the percentage of healthy purchases. Data were analyzed using linear mixed models. In total, 346 (76%) adults completed all five shops within the SN VirtuMart. Median age was 32.5, 49.2% had high education and 32.8% had high income. Out of the 12 conditions, four conditions were statistically significantly different from the control condition. Nudging and non-salient pricing strategies alone did not statistically significantly increase healthy food purchases, whereas a combination of salient price increases and discounts led to an increase in the percentage of healthy food purchases (B 4.5, 95%CI 2.6; 6.4). Combining salient pricing and nudging strategies led to increases in the percentage of healthy products in all three pricing arms, with largest effects found in the combined price increase and discount arm (B = 4.0, 95%CI = 2.0; 6.0). Effects were not modified by SEP. Combining health-related price increases and discounts and combining these salient pricing strategies with nudges in a supermarket setting seems to stimulate healthy food purchases for both low and high SEP populations. However, further research in real-world settings is needed. This randomized trial ( NTR7293 ) was registered in the Dutch trial registry ( www.trialregister.nl ).</t>
  </si>
  <si>
    <t>Practice Variation in the Adjuvant Treatment of Colon Cancer in the Netherlands: A Population-based Study.</t>
  </si>
  <si>
    <t>Keikes, Lotte; Koopman, Miriam; Lemmens, Valery E P P; VAN Oijen, Martijn G H; Punt, Cornelis J A</t>
  </si>
  <si>
    <t>anticancer research</t>
  </si>
  <si>
    <t>https://pubmed.ncbi.nlm.nih.gov/32727761</t>
  </si>
  <si>
    <t>Adjuvant chemotherapy is recommended for a subgroup of colon cancer patients based on patient and tumour characteristics. Population-based data on the adoption of the prevailing guideline recommendations including the assessment of tumour mismatch repair (MMR) status are limited, while variations in treatment strategies may influence patient outcomes. Therefore, the aim of the study was to assess practice variation in adjuvant chemotherapy administration in colon cancer patients. We examined the association between patient, demographic and tumour characteristics on the odds of being treated with adjuvant chemotherapy in a random sample of adult stage II-III colon cancer patients from the Dutch National Cancer Registry (2008-2015) and assessed its association with survival. The study population consisted of 2,044 patients of whom 18% (79 out of 450) were high-risk stage II and 65% (645 out of 997) were stage III colon cancer and received adjuvant chemotherapy. Chemotherapy administration differed between individual hospitals (high-risk stage II: 0-39%; p=0.01; stage III: 50-78%; p=0.06). Type of hospital (teaching versus academic) and the presence of a pT4 tumour were positively associated (high-risk stage II), and bowel perforation and examined regional lymph nodes (&lt;10) were negatively associated (stage III) with adjuvant treatment. Higher age was associated with non-administration of adjuvant chemotherapy for both stages. Tumour MMR-status assessment increased from 9% to 23% (p&lt;0.001), but 62% of high-risk stage II and 13% of stage III patients did not undergo guideline-recommended MMR-status testing. Adjuvant chemotherapy was correlated with survival for stage III (HR=0.4; 95%CI=0.3-0.5) but not for high-risk stage II patients (HR=1.2; 95%CI=0.7-2.2). Significant practice variation in the adjuvant treatment of colon cancer on hospital level was demonstrated, predominantly in high-risk stage II patients. The implementation of MMR testing was suboptimal. We recommend continuous monitoring of treatment patterns using population-based data, which should facilitate hospital auditing and improve guideline implementation and quality of care for colon cancer patients.</t>
  </si>
  <si>
    <t>Accuracy of telephone triage in primary care patients with chest discomfort: a cross-sectional study.</t>
  </si>
  <si>
    <t>Wouters, Loes Tcm; Rutten, Frans H; Erkelens, Daphne Ca; De Groot, Esther; Damoiseaux, Roger Amj; Zwart, Dorien Lm</t>
  </si>
  <si>
    <t>https://pubmed.ncbi.nlm.nih.gov/32958556</t>
  </si>
  <si>
    <t>To assess the accuracy of semi-automatic assisted telephone triage in patients with acute chest discomfort against the diagnosis of acute coronary syndrome (ACS) or other life-threatening events (LTEs). A cross-sectional study was performed of telephone conversations with 2023 patients with acute chest discomfort (pain, pressure, tightness or discomfort) who called out-of-hours services for primary care (OHS-PC) between 2014 and 2016. Sensitivity, specificity, positive and negative predicted values were calculated for a high urgency (patient seen within one hour) against the diagnoses of ACS and other LTEs. Diagnoses were retrieved from the patients' medical records in general practice, including hospital specialists' discharge letters. Of 2023 patients who called because of chest discomfort, 227 (11.2%) had an ACS (men 14.9%, women 8.2%) and 58 (2.9%) had another LTE (men 3.6%, women 2.3%). The sensitivity and specificity of a high Netherlands Triage System (NTS) urgency allocation against ACS/other LTEs were 0.73 (95% CI 0.68 to 0.78) and 0.43 (95% CI 0.40 to 0.45), respectively. In 13.2% of the calls the triage nurse overruled the NTS urgency, mostly by upscaling (11.0%). The sensitivity and specificity of the final urgency allocation were 0.86 (95% CI 0.81 to 0.90) and 0.34 (95% CI 0.32 to 0.37). The positive and negative predictive values of the final urgency were 0.18 (95% CI 0.17 to 0.19) and 0.94 (95% CI 0.92 to 0.95), respectively. The semi-automatic triage NTS tool underestimated the urgency in 27% of patients with ACS/other LTEs. Overruling by triage nurses improved safety, but still 14% of men and women with ACS/other LTEs received too low urgency, while efficiency remained poor. NTR7331.</t>
  </si>
  <si>
    <t>Antithrombotic management of patients with atrial fibrillation-Dutch anticoagulant initiatives anno 2020.</t>
  </si>
  <si>
    <t>Chu, G; Seelig, J; Trinks-Roerdink, E M; Geersing, G J; Rutten, F H; de Groot, J R; Huisman, M V; Hemels, M E W</t>
  </si>
  <si>
    <t>https://pubmed.ncbi.nlm.nih.gov/32780327</t>
  </si>
  <si>
    <t>In recent years, as more and more experience has been gained with prescribing direct oral anticoagulants (DOACs), new research initiatives have emerged in the Netherlands to improve the safety and appropriateness of DOAC treatment for stroke prevention in patients with atrial fibrillation (AF). These initiatives address several contemporary unresolved issues, such as inappropriate dosing, non-adherence and the long-term management of DOAC treatment. Dutch initiatives have also contributed to the development and improvement of risk prediction models. Although fewer bleeding complications (notably intracranial bleeding) are in general seen with DOACs in comparison with vitamin K antagonists, to successfully identify patients with high bleeding risk and to tailor anticoagulant treatment accordingly to mitigate this increased bleeding risk, is one of the research aims of recent and future years. This review highlights contributions from the Netherlands that aim to address these unresolved issues regarding the anticoagulant management in AF in daily practice, and provides a narrative overview of contemporary stroke and bleeding risk assessment strategies.</t>
  </si>
  <si>
    <t>Treatment decision-making in diffuse cutaneous systemic sclerosis: a patient's perspective.</t>
  </si>
  <si>
    <t>Spierings, Julia; van Rhijn-Brouwer, Femke C C; de Bresser, Carolijn J M; Mosterman, Petra T M; Pieterse, Arwen H; Vonk, Madelon C; Voskuyl, Alexandre E; de Vries-Bouwstra, Jeska K; Kars, Marijke C; van Laar, Jacob M</t>
  </si>
  <si>
    <t>https://pubmed.ncbi.nlm.nih.gov/31808528</t>
  </si>
  <si>
    <t>To examine the treatment decision-making process of patients with dcSSc in the context of haematopoietic stem cell transplantation (HSCT). A qualitative semi-structured interview study was done in patients before or after HSCT, or patients who chose another treatment than HSCT. Thematic analysis was used. Shared decision-making (SDM) was assessed with the 9-item Shared Decision Making Questionnaire (SDM-Q-9). Twenty-five patients [16 male/nine female, median age 47 (range 27-68) years] were interviewed: five pre-HSCT, 16 post-HSCT and four following other treatment. Whereas the SDM-Q-9 showed the decision-making process was perceived as shared [median score 81/100 (range 49-100)], we learned from the interviews that the decision was predominantly made by the rheumatologist, and patients were often steered towards a treatment option. Strong guidance of the rheumatologist was appreciated because of a lack of accessible, reliable and SSc-specific information, due to the approach of the decision-making process of the rheumatologist, the large consequence of the decision and the trust in their doctor. Expectations of outcomes and risks also differed between patients. Furthermore, more than half of patients felt they had no choice but to go for HSCT, due to rapid deterioration of health and the perception of HSCT as 'the holy grail'. This is the first study that provides insight into the decision-making process in dcSSc. This process is negatively impacted by a lack of disease-specific education about treatment options. Additionally, we recommend exploring patients' preferences and understanding of the illness to optimally guide decision-making and to provide tailor-made information.</t>
  </si>
  <si>
    <t>Sex, Gender, and Precision Medicine.</t>
  </si>
  <si>
    <t>jama internal medicine</t>
  </si>
  <si>
    <t>https://pubmed.ncbi.nlm.nih.gov/32511672</t>
  </si>
  <si>
    <t>Utility of emergency call centre, dispatch and ambulance data for syndromic surveillance of infectious diseases: a scoping review.</t>
  </si>
  <si>
    <t>Duijster, Janneke W; Doreleijers, Simone D A; Pilot, Eva; van der Hoek, Wim; Kommer, Geert Jan; van der Sande, Marianne A B; Krafft, Thomas; van Asten, Liselotte C H I</t>
  </si>
  <si>
    <t>https://pubmed.ncbi.nlm.nih.gov/31605491</t>
  </si>
  <si>
    <t>Syndromic surveillance can supplement conventional health surveillance by analyzing less-specific, near-real-time data for an indication of disease occurrence. Emergency medical call centre dispatch and ambulance data are examples of routinely and efficiently collected syndromic data that might assist in infectious disease surveillance. Scientific literature on the subject is scarce and an overview of results is lacking. A scoping review including (i) review of the peer-reviewed literature, (ii) review of grey literature and (iii) interviews with key informants. Forty-four records were selected: 20 peer reviewed and 24 grey publications describing 44 studies and systems. Most publications focused on detecting respiratory illnesses or on outbreak detection at mass gatherings. Most used retrospective data; some described outcomes of temporary systems; only two described continuously active dispatch- and ambulance-based syndromic surveillance. Key informants interviewed valued dispatch- and ambulance-based syndromic surveillance as a potentially useful addition to infectious disease surveillance. Perceived benefits were its potential timeliness, standardization of data and clinical value of the data. Various dispatch- and ambulance-based syndromic surveillance systems for infectious diseases have been reported, although only roughly half are documented in peer-reviewed literature and most concerned retrospective research instead of continuously active surveillance systems. Dispatch- and ambulance-based syndromic data were mostly assessed in relation to respiratory illnesses; reported use for other infectious disease syndromes is limited. They are perceived by experts in the field of emergency surveillance to achieve time gains in detection of infectious disease outbreaks and to provide a useful addition to traditional surveillance efforts.</t>
  </si>
  <si>
    <t>Search for Heavy Higgs Bosons Decaying into Two Tau Leptons with the ATLAS Detector Using pp Collisions at sqrt[s]=13  TeV.</t>
  </si>
  <si>
    <t xml:space="preserve">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Alshehri, A A; Alunno Camelia, E; Alvarez Estevez, M; Alviggi, M G; Amaral Coutinho, Y; Ambler, A; Ambroz, L; Amelung, C; Amidei, D; Amor Dos Santos, S P; Amoroso, S; Amrouche, C S; An, F; </t>
  </si>
  <si>
    <t>https://pubmed.ncbi.nlm.nih.gov/32794886</t>
  </si>
  <si>
    <t>A search for heavy neutral Higgs bosons is performed using the LHC Run 2 data, corresponding to an integrated luminosity of 139  fb^{-1} of proton-proton collisions at sqrt[s]=13  TeV recorded with the ATLAS detector. The search for heavy resonances is performed over the mass range 0.2-2.5 TeV for the τ^{+}τ^{-} decay with at least one τ-lepton decaying into final states with hadrons. The data are in good agreement with the background prediction of the standard model. In the M_{h}^{125} scenario of the minimal supersymmetric standard model, values of tanβ&gt;8 and tanβ&gt;21 are excluded at the 95% confidence level for neutral Higgs boson masses of 1.0 and 1.5 TeV, respectively, where tanβ is the ratio of the vacuum expectation values of the two Higgs doublets.</t>
  </si>
  <si>
    <t>Paradox of HIV stigma in an integrated chronic disease care in rural South Africa: Viewpoints of service users and providers.</t>
  </si>
  <si>
    <t>Ameh, Soter; D'Ambruoso, Lucia; Gómez-Olivé, Francesc Xavier; Kahn, Kathleen; Tollman, Stephen M; Klipstein-Grobusch, Kerstin</t>
  </si>
  <si>
    <t>https://pubmed.ncbi.nlm.nih.gov/32735616</t>
  </si>
  <si>
    <t>An integrated chronic disease management (ICDM) model was introduced by the National Department of Health in South Africa to tackle the dual burden of HIV/AIDS and non-communicable diseases. One of the aims of the ICDM model is to reduce HIV-related stigma. This paper describes the viewpoints of service users and providers on HIV stigma in an ICDM model in rural South Africa. A content analysis of HIV stigmatisation in seven primary health care (PHC) facilities and their catchment communities was conducted in 2013 in the rural Agincourt sub-district, South Africa. Eight Focus Group Discussions were used to obtain data from 61 purposively selected participants who were 18 years and above. Seven In-Depth Interviews were conducted with the nurses-in-charge of the facilities. The transcripts were inductively analysed using MAXQDA 2018 qualitative software. The emerging themes were HIV stigma, HIV testing and reproductive health-related concerns. Both service providers and users perceived implementation of the ICDM model may have led to reduced HIV stigma in the facilities. On the other hand, service users and providers thought HIV stigma increased in the communities because community members thought that home-based carers visited the homes of People living with HIV. Service users thought that routine HIV testing, intended for pregnant women, was linked with unwanted pregnancies among adolescents who wanted to use contraceptives but refused to take an HIV test as a precondition for receiving contraceptives. Although the ICDM model was perceived to have contributed to reducing HIV stigma in the health facilities, it was linked with stigma in the communities. This has implications for practice in the community component of the ICDM model in the study setting and elsewhere in South Africa.</t>
  </si>
  <si>
    <t>Ovarian Cancer Risk Factor Associations by Primary Anatomic Site: The Ovarian Cancer Cohort Consortium.</t>
  </si>
  <si>
    <t>Fortner, Renée T; Rice, Megan S; Knutsen, Synnove F; Orlich, Michael J; Visvanathan, Kala; Patel, Alpa V; Gaudet, Mia M; Tjønneland, Anne; Kvaskoff, Marina; Kaaks, Rudolf; Trichopolou, Antonia; Pala, Valeria; Onland-Moret, N Charlotte; Gram, Inger T; Amiano, Pilar; Idahl, Annika; Allen, Naomi E; Weiderpass, Elisabete; Poynter, Jenny N; Robien, Kim; Giles, Graham G; Milne, Roger L; Setiawan, Veronica W; Merritt, Melissa A; van den Brandt, Piet A; Zeleniuch-Jacquotte, Anne; Arslan, Alan A; O'Brien, Katie M; Sandler, Dale P; Wolk, Alicja; Håkansson, Niclas; Harris, Holly R; Trabert, Britton; Wentzensen, Nicolas; Tworoger, Shelley S; Schouten, Leo J</t>
  </si>
  <si>
    <t>https://pubmed.ncbi.nlm.nih.gov/32732252</t>
  </si>
  <si>
    <t>Epithelial ovarian, fallopian tube, and primary peritoneal cancers have shared developmental pathways. Few studies have prospectively examined heterogeneity in risk factor associations across these three anatomic sites. We identified 3,738 ovarian, 337 peritoneal, and 176 fallopian tube incident cancer cases in 891,731 women from 15 prospective cohorts in the Ovarian Cancer Cohort Consortium. Associations between 18 putative risk factors and risk of ovarian, peritoneal, and fallopian tube cancer, overall and for serous and high-grade serous tumors, were evaluated using competing risks Cox proportional hazards regression. Heterogeneity was assessed by likelihood ratio tests. Most associations did not vary by tumor site (&lt;i&gt;P&lt;/i&gt; &lt;sub&gt;het&lt;/sub&gt; ≥ 0.05). Associations between first pregnancy (&lt;i&gt;P&lt;/i&gt; &lt;sub&gt;het&lt;/sub&gt; = 0.04), tubal ligation (&lt;i&gt;P&lt;/i&gt; &lt;sub&gt;het&lt;/sub&gt; = 0.01), and early-adult (age 18-21 years) body mass index (BMI; &lt;i&gt;P&lt;/i&gt; &lt;sub&gt;het&lt;/sub&gt; = 0.02) and risk differed between ovarian and peritoneal cancers. The association between early-adult BMI and risk further differed between peritoneal and fallopian tube cancer (&lt;i&gt;P&lt;/i&gt; &lt;sub&gt;het&lt;/sub&gt; = 0.03). First pregnancy and tubal ligation were inversely associated with ovarian, but not peritoneal, cancer. Higher early-adult BMI was associated with higher risk of peritoneal, but not ovarian or fallopian tube, cancer. Patterns were generally similar when restricted to serous and high-grade serous cases. Ovarian, fallopian tube, and primary peritoneal cancers appear to have both shared and distinct etiologic pathways, although most risk factors appear to have similar associations by anatomic site. Further studies on the mechanisms underlying the differences in risk profiles may provide insights regarding the developmental origins of tumors arising in the peritoneal cavity and inform prevention efforts.</t>
  </si>
  <si>
    <t>Limited reliability of experts' assessment of telephone triage in primary care patients with chest discomfort.</t>
  </si>
  <si>
    <t>Erkelens, Daphne C; Rutten, Frans H; Wouters, Loes T; de Groot, Esther; Damoiseaux, Roger A; Hoes, Arno W; Zwart, Dorien L</t>
  </si>
  <si>
    <t>https://pubmed.ncbi.nlm.nih.gov/32730853</t>
  </si>
  <si>
    <t>Root cause analyses of serious adverse events (SAE) in out-of-hours primary care (OHS-PC) often point to errors in telephone triage. Such analyses are, however, hampered by hindsight bias. We assessed whether experts, blinded to the outcome, recognize (un)safety of triage of patients with chest discomfort, and we quantified inter-rater reliability. This is a case-control study with triage recordings from 2013-2017 at OHS-PC. Cases were missed acute coronary syndromes (ACSs, considered as SAE). These cases were age- and gender-matched 1:8 with the controls, sampled from the remainder of people calling for chest discomfort. Fifteen experts listened to the recordings and rated the safety of triage. We calculated sensitivity and specificity of recognizing an ACS and the intraclass correlation. In total, 135 calls (15 SAE, 120 matched controls) were relistened. The experts identified ACSs with a sensitivity of 0.86 (95% CI: 0.71-0.95) and a specificity of 0.51 (95% CI: 0.43-0.58). Cases were rated significantly more often as unsafe than the controls (73.3% vs. 22.5%, P &lt; 0.001). The inter-rater reliability for safety was poor: ICC 0.16 (95% CI: 0.00-0.32). Blinded experts rated calls of missed ACSs more often as unsafe than matched control calls, but with a low level of agreement among the experts.</t>
  </si>
  <si>
    <t>Bumetanide for Core Symptoms of Autism Spectrum Disorder (BAMBI): A Single Center, Double-Blinded, Participant-Randomized, Placebo-Controlled, Phase-2 Superiority Trial.</t>
  </si>
  <si>
    <t>Sprengers, Jan J; van Andel, Dorinde M; Zuithoff, Nicolaas P A; Keijzer-Veen, Mandy G; Schulp, Annelien J A; Scheepers, Floortje E; Lilien, Marc R; Oranje, Bob; Bruining, Hilgo</t>
  </si>
  <si>
    <t>journal of the american academy of child and adolescent psychiatry</t>
  </si>
  <si>
    <t>https://pubmed.ncbi.nlm.nih.gov/32730977</t>
  </si>
  <si>
    <t>Recent trials have indicated positive effects of bumetanide in autism spectrum disorder (ASD). We tested efficacy of bumetanide on core symptom domains using a single center, parallel-group, participant-randomized, double-blind, placebo-controlled phase-2 superiority trial in a tertiary hospital in the Netherlands. Unmedicated children aged 7 to 15 years with ASD and IQ ≥55 were block-randomized 1:1 to oral-solution bumetanide versus placebo, titrated to a maximum of 1.0 mg twice daily for 91 days (D91), followed by a 28-day wash-out period. The primary outcome was difference in Social Responsiveness Scale-2 (SRS-2) total score at D91, analyzed by modified intention-to-treat with linear mixed models. A total of 92 participants (mean age 10.5 [SD 2.4] years) enrolled between June 2016 and December 2018. In all, 47 children were allocated to bumetanide and 45 to placebo. Two participants dropped out per treatment arm. After 91 days, bumetanide was not superior to placebo on the primary outcome, the SRS-2 (mean difference -3.16, 95% CI = -9.68 to 3.37, p = .338). A superior effect was found on one of the secondary outcomes, the Repetitive Behavior Scale-Revised (mean difference -4.16, 95% CI = -8.06 to -0.25, p = .0375), but not on the Sensory Profile (mean difference 5.64, 95% CI = -11.30 to 22.57, p = .508) or the Aberrant Behavior Checklist Irritability Subscale (mean difference -0.65, 95% CI = -2.83 to 1.52, p = .552). No significant wash-out effect was observed. Significant adverse effects were predominantly diuretic effects (orthostatic hypotension (17 [36%] versus 5 [11%], p = .007); hypokalemia (24 [51%] versus 0 [0%], p &lt; .0001), the occurrence of which did not statistically influence treatment outcome. The trial outcome was negative in terms of no superior effect on the primary outcome. The secondary outcomes suggest efficacy on repetitive behavior symptoms for a subset of patients. Bumetanide in Autism Medication and Biomarker Study (BAMBI); https://www.clinicaltrialsregister.eu/; 2014-001560-35.</t>
  </si>
  <si>
    <t>House dust endotoxin, asthma and allergic sensitization through childhood into adolescence.</t>
  </si>
  <si>
    <t>Gehring, Ulrike; Wijga, Alet H; Koppelman, Gerard H; Vonk, Judith M; Smit, Henriëtte A; Brunekreef, Bert</t>
  </si>
  <si>
    <t>https://pubmed.ncbi.nlm.nih.gov/32640057</t>
  </si>
  <si>
    <t>House dust endotoxin may have beneficial effects on allergic sensitization and asthma in children. Evidence is scarce for adolescents and most studies so far have been cross-sectional and limited to a single exposure measurement. We assessed associations of house dust endotoxin with asthma and allergic sensitization from birth to age 17 years longitudinally taking into account exposure early in life and at primary school age. We used data of 854 participants of the prospective Dutch PIAMA birth cohort study with house dust endotoxin measurements at 3 months and/or 5-6 years and data on asthma and/or allergic sensitization from at least one of 11 follow-ups until age 17. We assessed overall and age-specific associations of the prevalence of asthma and sensitization with mattress and living room floor dust concentrations (per gram of dust) and loads (per m&lt;sup&gt;2&lt;/sup&gt; of sampling surface). Higher living room floor dust endotoxin concentrations at 3 months were associated with lower odds of asthma until age 4 [odds ratio (95% confidence interval) ranging from 0.70 (0.51-0.97) at age 1 to 0.76 (0.57-1.00) at age 3 per interquartile range increase], but not thereafter in children of allergic mothers. Higher living room floor dust endotoxin at 5-6 years was associated with higher odds of sensitization at 8-16 years [eg odds ratio (95% confidence interval) 1.70 (1.17-2.47) per interquartile range increase in endotoxin load]. House dust endotoxin may have beneficial effects on asthma in preschool children of allergic mothers, which do not persist into adolescence. Beneficial associations with allergic sensitization could not be confirmed.</t>
  </si>
  <si>
    <t>Plasma extracellular vesicle proteins are associated with stress-induced myocardial ischemia in women presenting with chest pain.</t>
  </si>
  <si>
    <t>Dekker, Mirthe; Waissi, Farahnaz; van Bennekom, Joelle; Silvis, Max J M; Timmerman, Nathalie; Bank, Ingrid E M; Walter, Joan E; Mueller, Christian; Schoneveld, A H; Schiffelers, Raymond M; Pasterkamp, Gerard; Grobbee, Diederick E; de Winter, Robbert J; Mosterd, A; de Kleijn, Dominique P V; Timmers, Leo</t>
  </si>
  <si>
    <t>https://pubmed.ncbi.nlm.nih.gov/32704130</t>
  </si>
  <si>
    <t>Diagnosing stable ischemic heart disease (IHD) is challenging, especially in females. Currently, no blood test is available. Plasma extracellular vesicles (EV) are emerging as potential biomarker source. We therefore aimed to identify stress induced ischemia due to stable IHD with plasma extracellular vesicle protein levels in chest pain patients. We analyzed 450 patients suspected for stable IHD who were referred for &lt;sup&gt;82&lt;/sup&gt;Rb PET/CT in the outpatient clinic. Blood samples were collected before PET/CT and plasma EVs were isolated in 3 plasma subfractions named: TEX, HDL, LDL. In total 6 proteins were quantified in each of these subfractions using immuno-bead assays. CD14 and CystatinC protein levels were independent significant predictors of stress-induced ischemia in the LDL and the HDL subfraction and SerpinC1 and SerpinG1 protein levels in the HDL fraction. Subgroup-analysis on sex revealed that these associations were completely attributed to the associations in women. None of the significant EV proteins remained significant in men. Plasma EV proteins levels are associated with the presence of stable IHD in females presenting with chest pain. This finding, if confirmed in larger cohort studies could be a crucial step in improving diagnostic assessment of women with suspected IHD.</t>
  </si>
  <si>
    <t>Relationship between maternal body composition during pregnancy and infant's birth weight in Nairobi informal settlements, Kenya.</t>
  </si>
  <si>
    <t>Wanjohi, Milkah Njeri; Ogada, Irene; Wekesah, Frederick Murunga; Khayeka-Wandabwa, Christopher; Kimani-Murage, Elizabeth W</t>
  </si>
  <si>
    <t>https://pubmed.ncbi.nlm.nih.gov/33521524</t>
  </si>
  <si>
    <t>Maternal nutrition depletion during pregnancy compromises fetal programming, and is a cause of adverse birth outcomes. Maternal body composition measurement using direct body composition assessment methods such as the deuterium dilution technique provides better prediction of birth outcomes as compared with commonly used techniques like anthropometry. This study assessed body composition of pregnant mothers in urban informal settlements in Nairobi, Kenya, and established the relationship between maternal body composition and infant birth weight. Deuterium dilution technique was used to determine body composition, including total body water (TBW), fat-free mass (FFM) and fat mass (FM), among 129 pregnant women who were enrolled into the study in their first or second trimester. Descriptive statistics and regression analysis were applied using Stata V.13. The mean TBW, FFM and FM were 33.3 L (±4.7), 45.7 kg (±6.5) and 17.01 kg (±7.4), respectively. Both TBW and FFM were significantly related to maternal age and gestation/pregnancy stage during body composition assessment while FM was significantly associated with gestation stage during body composition assessment. TBW and FFM were significantly lower in younger mothers (&lt;20 years) compared with older mothers (≥20 years). The mean birth weight was 3.3 kg±0.42 kg. There was a positive association between infant birth weight and maternal TBW (p=0.031) and FFM (p=0.027), but not FM (p=0.88). Non-fat components of the body (TBW and FFM) have a positive association with birth weight. Therefore, interventions to improve optimal maternal feeding practices, to enhance optimal gains in FFM and TBW during pregnancy are recommended, especially among young mothers.</t>
  </si>
  <si>
    <t>Five-Year Outcome of Laparoscopic Fundoplication in Pediatric GERD Patients: a Multicenter, Prospective Cohort Study.</t>
  </si>
  <si>
    <t>Stellato, Rebecca K; Colmer, Nadia; Tytgat, Stefaan H A; van der Zee, David C; van de Peppel-Mauritz, Femke A; Lindeboom, Maud Y A</t>
  </si>
  <si>
    <t>https://pubmed.ncbi.nlm.nih.gov/32700100</t>
  </si>
  <si>
    <t>Gastroesophageal reflux disease (GERD) is a common disease in children. When drug treatment fails, laparoscopic anti-reflux surgery (LARS) is considered. Short-term follow-up studies report high success rates; however, few studies report long-term results. The aim of this study was to describe the long-term effects of LARS in pediatric patients. A prospective, multicenter study of 25 laparoscopic fundoplication patients was performed. At 3 months and 1, 2, and 5 years postoperatively, patients and caregivers were asked to complete the gastroesophageal reflux symptom questionnaire to assess symptoms and the PedsQL™ to assess health-related quality of life (HRQoL). Reflux symptom severity was still significantly improved 5 years after LARS compared with preoperative levels (p &lt; 0.0001). However, 26% of patients reported moderate or severe reflux symptoms. Dysphagia was reported in 13% of patients 5 years after LARS and was more common in children with neurologic impairment and children who underwent a Nissen procedure. The increase in HRQoL 3 months postoperatively appears to decline over time: 5 years after surgery, HRQoL was lower, though not significantly, than 3 months postoperatively. HRQoL at 5 years was still higher, though also not significantly, than preoperative levels. The presence of reflux symptoms after surgery was not significantly associated with lower HRQoL. LARS is effective for therapy-resistant GERD in children. Five years after surgery, reflux symptoms are still improved. However, we observed a decline in symptom-free patients over time. The initial increase in HRQoL shortly after LARS appears to decline over time. Dutch national trial registry Identifier: 2934 ( www.trialregister.nl ).</t>
  </si>
  <si>
    <t>Impact of self-imposed prevention measures and short-term government-imposed social distancing on mitigating and delaying a COVID-19 epidemic: A modelling study.</t>
  </si>
  <si>
    <t>Teslya, Alexandra; Pham, Thi Mui; Godijk, Noortje G; Kretzschmar, Mirjam E; Bootsma, Martin C J; Rozhnova, Ganna</t>
  </si>
  <si>
    <t>https://pubmed.ncbi.nlm.nih.gov/32692736</t>
  </si>
  <si>
    <t>The coronavirus disease (COVID-19) caused by the severe acute respiratory syndrome coronavirus 2 (SARS-CoV-2) has spread to nearly every country in the world since it first emerged in China in December 2019. Many countries have implemented social distancing as a measure to "flatten the curve" of the ongoing epidemics. Evaluation of the impact of government-imposed social distancing and of other measures to control further spread of COVID-19 is urgent, especially because of the large societal and economic impact of the former. The aim of this study was to compare the individual and combined effectiveness of self-imposed prevention measures and of short-term government-imposed social distancing in mitigating, delaying, or preventing a COVID-19 epidemic. We developed a deterministic compartmental transmission model of SARS-CoV-2 in a population stratified by disease status (susceptible, exposed, infectious with mild or severe disease, diagnosed, and recovered) and disease awareness status (aware and unaware) due to the spread of COVID-19. Self-imposed measures were assumed to be taken by disease-aware individuals and included handwashing, mask-wearing, and social distancing. Government-imposed social distancing reduced the contact rate of individuals irrespective of their disease or awareness status. The model was parameterized using current best estimates of key epidemiological parameters from COVID-19 clinical studies. The model outcomes included the peak number of diagnoses, attack rate, and time until the peak number of diagnoses. For fast awareness spread in the population, self-imposed measures can significantly reduce the attack rate and diminish and postpone the peak number of diagnoses. We estimate that a large epidemic can be prevented if the efficacy of these measures exceeds 50%. For slow awareness spread, self-imposed measures reduce the peak number of diagnoses and attack rate but do not affect the timing of the peak. Early implementation of short-term government-imposed social distancing alone is estimated to delay (by at most 7 months for a 3-month intervention) but not to reduce the peak. The delay can be even longer and the height of the peak can be additionally reduced if this intervention is combined with self-imposed measures that are continued after government-imposed social distancing has been lifted. Our analyses are limited in that they do not account for stochasticity, demographics, heterogeneities in contact patterns or mixing, spatial effects, imperfect isolation of individuals with severe disease, and reinfection with COVID-19. Our results suggest that information dissemination about COVID-19, which causes individual adoption of handwashing, mask-wearing, and social distancing, can be an effective strategy to mitigate and delay the epidemic. Early initiated short-term government-imposed social distancing can buy time for healthcare systems to prepare for an increasing COVID-19 burden. We stress the importance of disease awareness in controlling the ongoing epidemic and recommend that, in addition to policies on social distancing, governments and public health institutions mobilize people to adopt self-imposed measures with proven efficacy in order to successfully tackle COVID-19.</t>
  </si>
  <si>
    <t>The associations of major foods and fibre with risks of ischaemic and haemorrhagic stroke: a prospective study of 418 329 participants in the EPIC cohort across nine European countries.</t>
  </si>
  <si>
    <t>Tong, Tammy Y N; Appleby, Paul N; Key, Timothy J; Dahm, Christina C; Overvad, Kim; Olsen, Anja; Tjønneland, Anne; Katzke, Verena; Kühn, Tilman; Boeing, Heiner; Karakatsani, Anna; Peppa, Eleni; Trichopoulou, Antonia; Weiderpass, Elisabete; Masala, Giovanna; Grioni, Sara; Panico, Salvatore; Tumino, Rosario; Boer, Jolanda M A; Verschuren, W M Monique; Quirós, J Ramón; Agudo, Antonio; Rodríguez-Barranco, Miguel; Imaz, Liher; Chirlaque, María-Dolores; Moreno-Iribas, Conchi; Engström, Gunnar; Sonestedt, Emily; Lind, Marcus; Otten, Julia; Khaw, Kay-Tee; Aune, Dagfinn; Riboli, Elio; Wareham, Nicholas J; Imamura, Fumiaki; Forouhi, Nita G; di Angelantonio, Emanuele; Wood, Angela M; Butterworth, Adam S; Perez-Cornago, Aurora</t>
  </si>
  <si>
    <t>https://pubmed.ncbi.nlm.nih.gov/32090257</t>
  </si>
  <si>
    <t>To investigate the associations between major foods and dietary fibre with subtypes of stroke in a large prospective cohort. We analysed data on 418 329 men and women from nine European countries, with an average of 12.7 years of follow-up. Diet was assessed using validated country-specific questionnaires which asked about habitual intake over the past year, calibrated using 24-h recalls. Multivariable-adjusted Cox regressions were used to estimate hazard ratios (HRs) for ischaemic and haemorrhagic stroke associated with consumption of red and processed meat, poultry, fish, dairy foods, eggs, cereals, fruit and vegetables, legumes, nuts and seeds, and dietary fibre. For ischaemic stroke (4281 cases), lower risks were observed with higher consumption of fruit and vegetables combined (HR; 95% CI per 200 g/day higher intake, 0.87; 0.82-0.93, P-trend &lt; 0.001), dietary fibre (per 10 g/day, 0.77; 0.69-0.86, P-trend &lt; 0.001), milk (per 200 g/day, 0.95; 0.91-0.99, P-trend = 0.02), yogurt (per 100 g/day, 0.91; 0.85-0.97, P-trend = 0.004), and cheese (per 30 g/day, 0.88; 0.81-0.97, P-trend = 0.008), while higher risk was observed with higher red meat consumption which attenuated when adjusted for the other statistically significant foods (per 50 g/day, 1.07; 0.96-1.20, P-trend = 0.20). For haemorrhagic stroke (1430 cases), higher risk was associated with higher egg consumption (per 20 g/day, 1.25; 1.09-1.43, P-trend = 0.002). Risk of ischaemic stroke was inversely associated with consumption of fruit and vegetables, dietary fibre, and dairy foods, while risk of haemorrhagic stroke was positively associated with egg consumption. The apparent differences in the associations highlight the importance of examining ischaemic and haemorrhagic stroke subtypes separately.</t>
  </si>
  <si>
    <t>Contralateral parenchymal enhancement on breast MRI before and during neoadjuvant endocrine therapy in relation to the preoperative endocrine prognostic index.</t>
  </si>
  <si>
    <t>Ragusi, Max A A; Loo, Claudette E; van der Velden, Bas H M; Wesseling, Jelle; Linn, Sabine C; Beets-Tan, Regina G; Elias, Sjoerd G; Gilhuijs, Kenneth G A</t>
  </si>
  <si>
    <t>https://pubmed.ncbi.nlm.nih.gov/32691100</t>
  </si>
  <si>
    <t>To investigate whether contralateral parenchymal enhancement (CPE) on MRI during neoadjuvant endocrine therapy (NET) is associated with the preoperative endocrine prognostic index (PEPI) of ER+/HER2- breast cancer. This retrospective observational cohort study included 40 unilateral ER+/HER2- breast cancer patients treated with NET. Patients received NET for 6 to 9 months with MRI response monitoring after 3 and/or 6 months. PEPI was used as endpoint. PEPI is based on surgery-derived pathology (pT- and pN-stage, Ki67, and ER-status) and stratifies patients in three groups with distinct prognoses. Mixed effects and ROC analysis were performed to investigate whether CPE was associated with PEPI and to assess discriminatory ability. The median patient age was 61 (interquartile interval: 52, 69). Twelve patients had PEPI-1 (good prognosis), 15 PEPI-2 (intermediate), and 13 PEPI-3 (poor). High pretreatment CPE was associated with PEPI-3: pretreatment CPE was 39.4% higher on average (95% CI = 1.3, 91.9%; p = .047) compared with PEPI-1. CPE decreased after 3 months in PEPI-2 and PEPI-3. The average reduction was 24.4% (95% CI = 2.6, 41.3%; p = .032) in PEPI-2 and 29.2% (95% CI = 7.8, 45.6%; p = .011) in PEPI-3 compared with baseline. Change in CPE was predictive of PEPI-1 vs PEPI-2+3 (AUC = 0.77; 95% CI = 0.57, 0.96). CPE during NET is associated with PEPI-group in ER+/HER2- breast cancer: a high pretreatment CPE and a decrease in CPE during NET were associated with a poor prognosis after NET on the basis of PEPI. • Change in contralateral breast parenchymal enhancement on MRI during neoadjuvant endocrine therapy distinguished between patients with a good and intermediate/poor prognosis at final pathology. • Patients with a poor prognosis at final pathology showed higher baseline parenchymal enhancement on average compared to patients with a good prognosis. • Patients with an intermediate/poor prognosis at final pathology showed a higher average reduction in parenchymal enhancement after 3 months of neoadjuvant endocrine therapy.</t>
  </si>
  <si>
    <t>Handling missing predictor values when validating and applying a prediction model to new patients.</t>
  </si>
  <si>
    <t>Hoogland, Jeroen; van Barreveld, Marit; Debray, Thomas P A; Reitsma, Johannes B; Verstraelen, Tom E; Dijkgraaf, Marcel G W; Zwinderman, Aeilko H</t>
  </si>
  <si>
    <t>https://pubmed.ncbi.nlm.nih.gov/32687233</t>
  </si>
  <si>
    <t>Missing data present challenges for development and real-world application of clinical prediction models. While these challenges have received considerable attention in the development setting, there is only sparse research on the handling of missing data in applied settings. The main unique feature of handling missing data in these settings is that missing data methods have to be performed for a single new individual, precluding direct application of mainstay methods used during model development. Correspondingly, we propose that it is desirable to perform model validation using missing data methods that transfer to practice in single new patients. This article compares existing and new methods to account for missing data for a new individual in the context of prediction. These methods are based on (i) submodels based on observed data only, (ii) marginalization over the missing variables, or (iii) imputation based on fully conditional specification (also known as chained equations). They were compared in an internal validation setting to highlight the use of missing data methods that transfer to practice while validating a model. As a reference, they were compared to the use of multiple imputation by chained equations in a set of test patients, because this has been used in validation studies in the past. The methods were evaluated in a simulation study where performance was measured by means of optimism corrected C-statistic and mean squared prediction error. Furthermore, they were applied in data from a large Dutch cohort of prophylactic implantable cardioverter defibrillator patients.</t>
  </si>
  <si>
    <t>Informing metastatic colorectal cancer patients by quantifying multiple scenarios for survival time based on real-life data.</t>
  </si>
  <si>
    <t>Hamers, Patricia A H; Elferink, Marloes A G; Stellato, Rebecca K; Punt, Cornelis J A; May, Anne M; Koopman, Miriam; Vink, Geraldine R</t>
  </si>
  <si>
    <t>https://pubmed.ncbi.nlm.nih.gov/32638384</t>
  </si>
  <si>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</si>
  <si>
    <t>Location-specific risk factors for intracerebral hemorrhage: Systematic review and meta-analysis.</t>
  </si>
  <si>
    <t>Jolink, Wilmar M T; Wiegertjes, Kim; Rinkel, Gabriël J E; Algra, Ale; de Leeuw, Frank-Erik; Klijn, Catharina J M</t>
  </si>
  <si>
    <t>https://pubmed.ncbi.nlm.nih.gov/32690784</t>
  </si>
  <si>
    <t>To conduct a systematic review and meta-analysis of studies reporting on risk factors according to location of the intracerebral hemorrhage. We searched PubMed and Embase for cohort and case-control studies reporting ≥100 patients with spontaneous intracerebral hemorrhage that specified the location of the hematoma and reported associations with risk factors published until June 27, 2019. Two authors independently extracted data on risk factors. Estimates were pooled with the generic variance-based random-effects method. After screening 10,013 articles, we included 42 studies totaling 26,174 patients with intracerebral hemorrhage (9,141 lobar and 17,033 nonlobar). Risk factors for nonlobar intracerebral hemorrhage were hypertension (risk ratio [RR] 4.25, 95% confidence interval [CI] 3.05-5.91, &lt;i&gt;I&lt;/i&gt; &lt;sup&gt;2&lt;/sup&gt; = 92%), diabetes mellitus (RR 1.35, 95% CI 1.11-1.64, &lt;i&gt;I&lt;/i&gt; &lt;sup&gt;2&lt;/sup&gt; = 37%), male sex (RR 1.63, 95% CI 1.25-2.14, &lt;i&gt;I&lt;/i&gt; &lt;sup&gt;2&lt;/sup&gt; = 61%), alcohol overuse (RR 1.48, 95% CI 1.21-1.81, &lt;i&gt;I&lt;/i&gt; &lt;sup&gt;2&lt;/sup&gt; = 19%), underweight (RR 2.12, 95% CI 1.12-4.01, &lt;i&gt;I&lt;/i&gt; &lt;sup&gt;2&lt;/sup&gt; = 31%), and being a Black (RR 2.83, 95% CI 1.02-7.84, &lt;i&gt;I&lt;/i&gt; &lt;sup&gt;2&lt;/sup&gt; = 96%) or Hispanic (RR 2.95, 95% CI 1.69-5.14, &lt;i&gt;I&lt;/i&gt; &lt;sup&gt;2&lt;/sup&gt; = 71%) participant compared with being a White participant. Hypertension, but not any of the other risk factors, was also a risk factor for lobar intracerebral hemorrhage (RR 1.83, 95% CI 1.39-2.42, &lt;i&gt;I&lt;/i&gt; &lt;sup&gt;2&lt;/sup&gt; = 76%). Smoking, hypercholesterolemia, and obesity were associated with neither nonlobar nor lobar intracerebral hemorrhage. Hypertension is a risk factor for both nonlobar and lobar intracerebral hemorrhage, although with double the effect for nonlobar intracerebral hemorrhage. Diabetes mellitus, male sex, alcohol overuse, underweight, and being a Black or Hispanic person are risk factors for nonlobar intracerebral hemorrhage only. Hence, the term hypertensive intracerebral hemorrhage for nonlobar intracerebral hemorrhage is not appropriate.</t>
  </si>
  <si>
    <t>Chest CT for triage during COVID-19 on the emergency department: myth or truth?</t>
  </si>
  <si>
    <t>Hermans, Joep J R; Groen, Joost; Zwets, Egon; Boxma-De Klerk, Bianca M; Van Werkhoven, Jacob M; Ong, David S Y; Hanselaar, Wessel E J J; Waals-Prinzen, Lenneke; Brown, Vanessa</t>
  </si>
  <si>
    <t>emergency radiology</t>
  </si>
  <si>
    <t>https://pubmed.ncbi.nlm.nih.gov/32691211</t>
  </si>
  <si>
    <t>We aimed to investigate the diagnostic performance of chest CT compared with first RT-PCR results in adult patients suspected of COVID-19 infection in an ED setting. We also constructed a predictive machine learning model based on chest CT and additional data to improve the diagnostic accuracy of chest CT. This study's cohort consisted of 319 patients who underwent chest CT and RT-PCR testing at the ED. Patient characteristics, demographics, symptoms, vital signs, laboratory tests, and chest CT results (CO-RADS) were collected. With first RT-PCR as reference standard, the diagnostic performance of chest CT using the CO-RADS score was assessed. Additionally, a predictive machine learning model was constructed using logistic regression. Chest CT, with first RT-PCR as a reference, had a sensitivity, specificity, PPV, and NPV of 90.2%, 88.2%, 84.5%, and 92.7%, respectively. The prediction model with CO-RADS, ferritin, leucocyte count, CK, days of complaints, and diarrhea as predictors had a sensitivity, specificity, PPV, and NPV of 89.3%, 93.4%, 90.8%, and 92.3%, respectively. Chest CT, using the CO-RADS scoring system, is a sensitive and specific method that can aid in the diagnosis of COVID-19, especially if RT-PCR tests are scarce during an outbreak. Combining a predictive machine learning model could further improve the accuracy of diagnostic chest CT for COVID-19. Further candidate predictors should be analyzed to improve our model. However, RT-PCR should remain the primary standard of testing as up to 9% of RT-PCR positive patients are not diagnosed by chest CT or our machine learning model.</t>
  </si>
  <si>
    <t>Attributable mortality of antibiotic resistance in gram-negative infections in the Netherlands: a parallel matched cohort study.</t>
  </si>
  <si>
    <t>Rottier, Wouter C; Deelen, J W Timotëus; Caruana, Giorgia; Buiting, Anton G M; Dorigo-Zetsma, J Wendelien; Kluytmans, Jan A J W; van der Linden, Paul D; Thijsen, Steven F T; Vlaminckx, Bart J M; Weersink, Annemarie J L; Ammerlaan, Heidi S M; Bonten, Marc J M</t>
  </si>
  <si>
    <t>https://pubmed.ncbi.nlm.nih.gov/32698043</t>
  </si>
  <si>
    <t>Antibiotic resistance in Gram-negative bacteria has been associated with increased mortality. This was demonstrated mostly for third-generation cephalosporin-resistant (3GC-R) Enterobacterales bacteraemia in international studies. Yet, the burden of resistance specifically in the Netherlands and created by all types of Gram-negative infection has not been quantified. We therefore investigated the attributable mortality of antibiotic resistance in Gram-negative infections in the Netherlands. In eight hospitals, a sample of Gram-negative infections was identified between 2013 and 2016, and separated into resistant and susceptible infection cohorts. Both cohorts were matched 1:1 to non-infected control patients on hospital, length of stay at infection onset, and age. In this parallel matched cohort set-up, 30-day mortality was compared between infected and non-infected patients. The impact of resistance was then assessed by dividing the two separate risk ratios (RRs) for mortality attributable to Gram-negative infection. We identified 1954 Gram-negative infections, of which 1190 (61%) involved Escherichia coli, 210 (11%) Pseudomonas aeruginosa, and 758 (39%) bacteraemia. Resistant Gram-negatives caused 243 infections (12%; 189 (78%) 3GC-R Enterobacterales, nine (4%) multidrug-resistant P. aeruginosa, no carbapenemase-producing Enterobacterales). Subsequently, we matched 1941 non-infected controls. After adjustment, point estimates for RRs comparing mortality between infections and controls were similarly higher than 1 in case of resistant infections and susceptible infections (1.42 (95% confidence interval 0.66-3.09) and 1.32 (1.06-1.65), respectively). By dividing these, the RR reflecting attributable mortality of resistance was calculated as 1.08 (0.48-2.41). In the Netherlands, antibiotic resistance did not increase 30-day mortality in Gram-negative infections.</t>
  </si>
  <si>
    <t>Serial testing of health care workers for tuberculosis infection: A prospective cohort study.</t>
  </si>
  <si>
    <t>Casas, Irma; Esteve, Maria; Guerola, Rosa; Latorre, Irene; Villar-Hernández, Raquel; Mena, Guillermo; Prat-Aymerich, Cristina; Matllo, Joan; Dominguez, Jose</t>
  </si>
  <si>
    <t>https://pubmed.ncbi.nlm.nih.gov/32678856</t>
  </si>
  <si>
    <t>Health Care Workers (HCW) may have an occupational risk of latent tuberculosis infection (LTBI) and TB disease. The objective of this study was to evaluate the performance of the 2-step strategy: tuberculin skin test (TST) followed by confirmation with Interferon (IFN)-γ- release assays (IGRAs) in HCW. A secondary objective was to determine the factors related to conversions and reversions. HCW at risk of occupational exposure who attended the Occupational Department of the Hospital Germans Trias i Pujol were included during the study period (2013-2016). All professionals testing negative for LTBI were included in a cohort study. These workers were followed up with the administration of a TST and an IGRA quantification at least one year after inclusion in the study. Workers with positive TST, regardless of the results of the IGRA tests, were followed-up with an IGRA. 255 workers were enrolled in the study and 108 workers from the same cohort were followed up. During the follow-up period, seven workers presented TST test conversion. One of these conversions was also confirmed by an IGRA test. There were 2 conversions of cases only testing positive with the IGRA. There have been only 2 reversions of cases testing negative with the IGRA. In this study, not all TST conversions were confirmed when using the IGRA test, which highlights the importance of the 2-step strategy. We have detected a low number of conversions and reversions. Our conclusions should be confirmed in studies with a longer follow-up time.</t>
  </si>
  <si>
    <t>Impact of delays on effectiveness of contact tracing strategies for COVID-19: a modelling study.</t>
  </si>
  <si>
    <t>Kretzschmar, Mirjam E; Rozhnova, Ganna; Bootsma, Martin C J; van Boven, Michiel; van de Wijgert, Janneke H H M; Bonten, Marc J M</t>
  </si>
  <si>
    <t>https://pubmed.ncbi.nlm.nih.gov/32682487</t>
  </si>
  <si>
    <t>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(R&lt;sub&gt;CTS&lt;/sub&gt;) for a population with physical distancing measures and various scenarios for isolation of index cases and tracing and quarantine of their contacts. For the most optimistic scenario (testing and tracing delays of 0 days and tracing coverage of 100%), and assuming that around 40% of transmissions occur before symptom onset, the model predicts that the estimated effective reproduction number of 1·2 (with physical distancing only) will be reduced to 0·8 (95% CI 0·7-0·9) by adding contact tracing. The model also shows that a similar reduction can be achieved when testing and tracing coverage is reduced to 80% (R&lt;sub&gt;CTS&lt;/sub&gt; 0·8, 95% CI 0·7-1·0). A testing delay of more than 1 day requires the tracing delay to be at most 1 day or tracing coverage to be at least 80% to keep R&lt;sub&gt;CTS&lt;/sub&gt; below 1. With a testing delay of 3 days or longer, even the most efficient strategy cannot reach R&lt;sub&gt;CTS&lt;/sub&gt; values below 1. The effect of minimising tracing delay (eg, with app-based technology) declines with decreasing coverage of app use, but app-based tracing alone remains more effective than conventional tracing alone even with 20% coverage, reducing the reproduction number by 17·6% compared with 2·5%. The proportion of onward transmissions per index case that can be prevented depends on testing and tracing delays, and given a 0-day tracing delay, ranges from up to 79·9% with a 0-day testing delay to 41·8% with a 3-day testing delay and 4·9% with a 7-day testing delay.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ZonMw, Fundação para a Ciência e a Tecnologia, and EU Horizon 2020 RECOVER.</t>
  </si>
  <si>
    <t>Efficacy of a Standalone Microporous Ceramic Versus Autograft in Instrumented Posterolateral Spinal Fusion: A Multicenter, Randomized, Intrapatient Controlled, Noninferiority Trial.</t>
  </si>
  <si>
    <t>https://pubmed.ncbi.nlm.nih.gov/32080013</t>
  </si>
  <si>
    <t>in the rest of the article written as patient- and observer-blinded, multicenter, randomized, intrapatient controlled, noninferiority trial. The aim of this study was to determine noninferiority of a biphasic calcium-phosphate (AttraX® Putty) as a bone graft substitute for autograft in instrumented posterolateral fusion (PLF). Spinal fusion with autologous bone graft is a frequently performed surgical treatment. Several drawbacks of autografting have driven the development of numerous alternatives including synthetic ceramics. However, clinical evidence for the standalone use of these materials is limited. This study included 100 nontraumatic adults who underwent a primary, single- or multilevel, thoracolumbar, instrumented PLF. After instrumentation and preparation for grafting, the randomized allocation side of AttraX® Putty was disclosed. Autograft was applied to the contralateral side of the fusion trajectory, so each patient served as his/her own control. For the primary efficacy outcome, PLF was assessed at 1-year follow-up on computed tomography scans. Each segment and side was scored as fused, doubtful fusion, or nonunion. After correction for multilevel fusions, resulting in a single score per side, the fusion performance of AttraX Putty was tested with a noninferiority margin of 15% using a 90% confidence interval (CI). There were 49 males and 51 females with a mean age of 55.4 ± 12.0 (range 27-79) years. Two-third of the patients underwent a single-level fusion and 62% an additional interbody fusion procedure. The primary analysis was based on 87 patients, including 146 instrumented segments. The fusion rate of AttraX Putty was 55% versus 52% at the autograft side, with an overall fusion rate of 71%. The 90% CI around the difference in fusion performance excluded the noninferiority margin (difference = 2.3%, 90% CI = -9.1% to +13.7%). The results of this noninferiority trial support the use of AttraX Putty as a standalone bone graft substitute for autograft in instrumented thoracolumbar PLF. 1.</t>
  </si>
  <si>
    <t>Do Surgical Site Infections in Open Aortoiliac Surgery Differ Between Occlusive and Aneurysmal Arterial Disease?</t>
  </si>
  <si>
    <t>Langenberg, Jasper C M; Roijers, Joost; Kluytmans, Jan A J W; de Groot, Hans G W; Ho, Gwan H; Veen, Eelco J; Buimer, Thijs G; der Laan, Lijckle van</t>
  </si>
  <si>
    <t>vascular and endovascular surgery</t>
  </si>
  <si>
    <t>https://pubmed.ncbi.nlm.nih.gov/32666893</t>
  </si>
  <si>
    <t>Surgical site infections (SSI) are frequently seen after aortoiliac vascular surgery (2%-14%). Deep SSIs are associated with graft infection, sepsis, and mortality. This study evaluates the difference in incidence and nature of SSI following open aortoiliac surgery for aneurysmal disease compared to occlusive arterial disease. A retrospective cohort study was conducted, including all consecutive patients who underwent open aortoiliac vascular surgery between January 2005 and December 2016 in the Amphia Hospital, Breda, the Netherlands. Patients were grouped by disease type, either aneurysmal or occlusive arterial disease. Data were gathered, including patient characteristics, potential risk factors, and development of SSI. Surgical site infections were defined in accordance with the criteria of the Centers for Disease Control. Between January 2005 and December 2016, a total of 756 patients underwent open aortoiliac surgery of which 517 had aortoiliac aneurysms and 225 had aortoiliac occlusive disease. The group with occlusive disease was younger, predominantly male, and had more smokers. After exclusion of 228 patients undergoing acute surgery, the SSI rate after elective surgery was 6.2%, with 10 of 301 SSIs in the aneurysmal group (3.0%) and 22 of 213 SSIs in the group with occlusive disease (10.3%, &lt;i&gt;P&lt;/i&gt; &lt; .001). Also, infection-related readmission and reintervention were higher after occlusive surgery, 6.6% versus 0.9% (&lt;i&gt;P&lt;/i&gt; &lt; .001) and 4.2% versus 0.9% (&lt;i&gt;P&lt;/i&gt; = .003), respectively. &lt;i&gt;Staphylococcus aureus&lt;/i&gt; was found as the most common pathogen, causing 64% of SSI in occlusive disease versus 10% in aneurysmal disease (&lt;i&gt;P&lt;/i&gt; = .005). Logistic regression showed occlusive arterial disease and chronic renal disease were associated with SSI. Our study presents evidence for a higher rate of SSI in patients with aortoiliac occlusive disease compared to aortoiliac aneurysmal disease, in part due to inherent use of inguinal incision in patients with occlusive disease. All precautions to prevent SSI should be taken in patients undergoing vascular surgery for arterial occlusive disease.</t>
  </si>
  <si>
    <t>Characteristics of self-care interventions for patients with a chronic condition: A scoping review.</t>
  </si>
  <si>
    <t>Riegel, Barbara; Westland, Heleen; Iovino, Paolo; Barelds, Ingrid; Bruins Slot, Joyce; Stawnychy, Michael A; Osokpo, Onome; Tarbi, Elise; Trappenburg, Jaap C A; Vellone, Ercole; Strömberg, Anna; Jaarsma, Tiny</t>
  </si>
  <si>
    <t>https://pubmed.ncbi.nlm.nih.gov/32768137</t>
  </si>
  <si>
    <t>Self-care is a fundamental element of treatment for patients with a chronic condition and a major focus of many interventions. A large body of research exists describing different types of self-care interventions, but these studies have never been compared across conditions. Examination of heterogeneous interventions could provide insights into effective approaches that should be used in diverse patient populations. To provide a comprehensive and standardized cross-condition overview of interventions to enhance self-care in patients with a chronic condition. Specific aims were to: 1) identify what self-care concepts and behaviors are evaluated in self-care interventions; 2) classify and quantify heterogeneity in mode and type of delivery; 3) quantify the behavior change techniques used to enhance self-care behavior; and 4) assess the dose of self-care interventions delivered. Scoping review DATA SOURCES: Four electronic databases - PubMed, EMBASE, PsychINFO and CINAHL - were searched from January 2008 through January 2019. Randomized controlled trials (RCTs) with concealed allocation to the intervention were included if they compared a behavioral or educational self- care intervention to usual care or another self-care intervention and were conducted in adults. Nine common chronic conditions were included: hypertension, coronary artery disease, arthritis, chronic kidney disease, heart failure, stroke, asthma, chronic obstructive lung disease, and type 2 diabetes mellitus. Diagnoses that are psychiatric (e.g. schizophrenia), acute rather than chronic, or benefitting little from self-care (e.g. dementia) were excluded. Studies had to be reported in English with full-text available. 9309 citations were considered and 233 studies were included in the final review. Most studies addressed type 2 diabetes mellitus (n = 85; 36%), hypertension (n = 32; 14%) or heart failure (n = 27; 12%). The majority (97%) focused on healthy behaviors like physical activity (70%), dietary intake (59%), and medication management (52%). Major deficits found in self-care interventions included a lack of attention to the psychological consequences of chronic illness, technology and behavior change techniques were rarely used, few studies focused on helping patients manage signs and symptoms, and the interventions were rarely innovative. Research reporting was generally poor. Major gaps in targeted areas of self-care were identified. Opportunities exist to improve the quality and reporting of future self-care intervention research. Registration: The study was registered in the PROSPERO database (#123,719).</t>
  </si>
  <si>
    <t>Interactional implications of either/or-questions during telephone triage of callers with chest discomfort in out-of-hours primary care: A conversation analysis.</t>
  </si>
  <si>
    <t>Erkelens, Daphne C; van Charldorp, Tessa C; Vinck, Vera V; Wouters, Loes T; Damoiseaux, Roger A; Rutten, Frans H; Zwart, Dorien L; de Groot, Esther</t>
  </si>
  <si>
    <t>https://pubmed.ncbi.nlm.nih.gov/32693956</t>
  </si>
  <si>
    <t>To explore the interactional implications of either/or-questions on the interaction between people who call out-of-hours services in primary care (OHS-PC) and triage nurses who use a decision support tool called the 'Netherlands Triage Standard' (NTS) during telephone triage. A qualitative study of 68 triage conversations at six Dutch OHS-PC. Patients called the OHS-PC with symptoms, e.g. chest discomfort, suggestive of acute coronary syndrome. Using conversation analysis, we identified two categories of multiple-choice either/or-questions that indicated interactional difficulties, shown in hesitation markers within callers' responses. Our analysis shows that interactional difficulties mainly arise when (i) questions are poorly designed by the triage nurse; or (ii) when the caller's complaints are ambiguously presented reflecting patient's difficulties to verbalize them (e.g. "not feeling well"). The way NTS displays key diagnostic options encourages triage nurses to use multiple-choice either/or-questions. More awareness among triage nurses is needed on undesirable implications of either/or-questions on the interaction. We recommend changing the NTS display of diagnostic options and to use questions with fewer options in order to decrease the chance of formulating ambiguous questions soliciting unclear responses. Furthermore, asking content questions when complaints are ambiguously formulated may specify the presentation of complaints.</t>
  </si>
  <si>
    <t>Ethical challenges for pediatric liver organoid transplantation.</t>
  </si>
  <si>
    <t>Schneemann, Sarah A; Boers, Sarah N; van Delden, Johannes J M; Nieuwenhuis, Edward E S; Fuchs, Sabine A; Bredenoord, Annelien L</t>
  </si>
  <si>
    <t>https://pubmed.ncbi.nlm.nih.gov/32669425</t>
  </si>
  <si>
    <t>Liver organoid transplantation may be a less invasive alternative to liver transplant, but is it ethically acceptable to include children with liver disease in a first-in-human clinical trial of this new intervention?</t>
  </si>
  <si>
    <t>Effectiveness of the baby-friendly community initiative in promoting exclusive breastfeeding among HIV negative and positive mothers: a randomized controlled trial in Koibatek Sub-County, Baringo, Kenya.</t>
  </si>
  <si>
    <t>Samburu, Betty Mogesi; Young, Sera Lewise; Wekesah, Frederick Murunga; Wanjohi, Milkah Njeri; Kimiywe, Judith; Muriuki, Peter; Griffiths, Paula L; McGarvey, Stephen T; Madise, Nyovani Janet; Kimani-Murage, Elizabeth W</t>
  </si>
  <si>
    <t>https://pubmed.ncbi.nlm.nih.gov/32664987</t>
  </si>
  <si>
    <t>Although the baby-friendly community initiative (BFCI) has been proposed as a community-level approach to improve infant feeding practices, there is little data on its variation in effectiveness by HIV status. We conducted a study to determine the effectiveness of BFCI in changing knowledge and attitudes towards exclusive breastfeeding (EBF) and increasing the rates among HIV negative and HIV positive women in rural Kenya. A community-based cluster-randomized controlled trial was implemented from April 2015 to December 2016 among 901 women enrolled across 13 clusters. The intervention groups received a minimum of 12 personalized home-based counselling sessions on infant feeding by trained community health volunteers from their first or second trimester of pregnancy until 6 months postpartum. Other interventions included education sessions at maternal child clinics, mother-to-mother support group meetings and bi-monthly baby-friendly gatherings targeting influencers. The control group received standard health education at the facility and during monthly routine home visits by community health volunteers not trained on BFCI. Primary outcome measures were the rates of EBF at week 1, months 2, 4 and 6 postpartum. Secondary outcomes included knowledge and attitudes regarding breastfeeding for HIV-exposed infants. Statistical methods included analysis of covariance and logistic regression. At 6 months, EBF rates among HIV negative mothers were significantly higher in the BFCI intervention arm compared to the control arm (81.7% versus 42.2% p = 0.001). HIV positive mothers in the intervention arm had higher EBF rates at 6 months than the control but the difference was not statistically significant (81.8% versus 58.4%; p = 0.504). In HIV negative group, there was greater knowledge regarding EBF for HIV-exposed infants in the intervention arm than in the control (92.1% versus 60.7% p = 0.001). Among HIV positive mothers, such knowledge was high among both the intervention and control groups (96% versus 100%, p &gt; 0.1). HIV negative and positive mothers in the intervention arm had more favourable attitudes regarding EBF for HIV-exposed infants than the control (84.5% versus 62.1%, p = 0.001) and (94.6% versus 53.8% to p = 0.001) respectively. BFCI interventions can complement facility-based interventions to improve exclusive and continued breastfeeding knowledge, attitudes, and behaviours among HIV negative and positive women.</t>
  </si>
  <si>
    <t>Understanding the use of observational and randomized data in cardiovascular medicine.</t>
  </si>
  <si>
    <t>Bowman, Louise; Baras, Aris; Bombien, René; Califf, Robert M; Chen, Zhengmin; Gale, Chris P; Gaziano, J Michael; Grobbee, Diederick E; Maggioni, Aldo P; Muse, Evan D; Roden, Dan M; Schroeder, Stefan; Wallentin, Lars; Casadei, Barbara</t>
  </si>
  <si>
    <t>https://pubmed.ncbi.nlm.nih.gov/32016367</t>
  </si>
  <si>
    <t>The availability of large datasets from multiple sources [e.g. registries, biobanks, electronic health records (EHRs), claims or billing databases, implantable devices, wearable sensors, and mobile apps], coupled with advances in computing and analytic technologies, have provided new opportunities for conducting innovative health research. Equally, improved digital access to health information has facilitated the conduct of efficient randomized controlled trials (RCTs) upon which clinical management decisions can be based, for instance, by permitting the identification of eligible patients for recruitment and/or linkage for follow-up via their EHRs. Given these advances in cardiovascular data science and the complexities they behold, it is important that health professionals have clarity on the appropriate use and interpretation of observational, so-called 'real-world', and randomized data in cardiovascular medicine. The Cardiovascular Roundtable of the European Society of Cardiology (ESC) held a workshop to explore the future of RCTs and the current and emerging opportunities for gathering and exploiting complex observational datasets in cardiovascular research. The aim of this article is to provide a perspective on the appropriate use of randomized and observational data and to outline the ESC plans for supporting the collection and availability of clinical data to monitor and improve the quality of care of patients with cardiovascular disease in Europe and provide an infrastructure for undertaking pragmatic RCTs. Moreover, the ESC continues to campaign for greater engagement amongst regulators, industry, patients, and health professionals in the development and application of a more efficient regulatory framework that is able to take maximal advantage of new opportunities for improving the design and efficiency of observational studies and RCT in patients with cardiovascular disease.</t>
  </si>
  <si>
    <t>Association of Factor V Leiden With Subsequent Atherothrombotic Events: A GENIUS-CHD Study of Individual Participant Data.</t>
  </si>
  <si>
    <t>Mahmoodi, Bakhtawar K; Tragante, Vinicius; Kleber, Marcus E; Holmes, Michael V; Schmidt, Amand F; McCubrey, Raymond O; Howe, Laurence J; Direk, Kenan; Allayee, Hooman; Baranova, Ekaterina V; Braund, Peter S; Delgado, Graciela E; Eriksson, Niclas; Gijsberts, Crystel M; Gong, Yan; Hartiala, Jaana; Heydarpour, Mahyar; Pasterkamp, Gerard; Kotti, Salma; Kuukasjärvi, Pekka; Lenzini, Petra A; Levin, Daniel; Lyytikäinen, Leo-Pekka; Muehlschlegel, Jochen D; Nelson, Christopher P; Nikus, Kjell; Pilbrow, Anna P; Wilson Tang, W H; van der Laan, Sander W; van Setten, Jessica; Vilmundarson, Ragnar O; Deanfield, John; Deloukas, Panos; Dudbridge, Frank; James, Stefan; Mordi, Ify R; Teren, Andrej; Bergmeijer, Thomas O; Body, Simon C; Bots, Michiel; Burkhardt, Ralph; Cooper-DeHoff, Rhonda M; Cresci, Sharon; Danchin, Nicolas; Doughty, Robert N; Grobbee, Diederick E; Hagström, Emil; Hazen, Stanley L; Held, Claes; Hoefer, Imo E; Hovingh, G Kees; Johnson, Julie A; Kaczor, Marcin P; Kähönen, Mika; Klungel, O</t>
  </si>
  <si>
    <t>https://pubmed.ncbi.nlm.nih.gov/32654539</t>
  </si>
  <si>
    <t>Studies examining the role of factor V Leiden among patients at higher risk of atherothrombotic events, such as those with established coronary heart disease (CHD), are lacking. Given that coagulation is involved in the thrombus formation stage on atherosclerotic plaque rupture, we hypothesized that factor V Leiden may be a stronger risk factor for atherothrombotic events in patients with established CHD. We performed an individual-level meta-analysis including 25 prospective studies (18 cohorts, 3 case-cohorts, 4 randomized trials) from the GENIUS-CHD (Genetics of Subsequent Coronary Heart Disease) consortium involving patients with established CHD at baseline. Participating studies genotyped factor V Leiden status and shared risk estimates for the outcomes of interest using a centrally developed statistical code with harmonized definitions across studies. Cox proportional hazards regression models were used to obtain age- and sex-adjusted estimates. The obtained estimates were pooled using fixed-effect meta-analysis. The primary outcome was composite of myocardial infarction and CHD death. Secondary outcomes included any stroke, ischemic stroke, coronary revascularization, cardiovascular mortality, and all-cause mortality. The studies included 69 681 individuals of whom 3190 (4.6%) were either heterozygous or homozygous (n=47) carriers of factor V Leiden. Median follow-up per study ranged from 1.0 to 10.6 years. A total of 20 studies with 61 147 participants and 6849 events contributed to analyses of the primary outcome. Factor V Leiden was not associated with the combined outcome of myocardial infarction and CHD death (hazard ratio, 1.03 [95% CI, 0.92-1.16]; &lt;i&gt;I&lt;/i&gt;&lt;sup&gt;&lt;i&gt;2&lt;/i&gt;&lt;/sup&gt;=28%; &lt;i&gt;P&lt;/i&gt;-heterogeneity=0.12). Subgroup analysis according to baseline characteristics or strata of traditional cardiovascular risk factors did not show relevant differences. Similarly, risk estimates for the secondary outcomes including stroke, coronary revascularization, cardiovascular mortality, and all-cause mortality were also close to identity. Factor V Leiden was not associated with increased risk of subsequent atherothrombotic events and mortality in high-risk participants with established and treated CHD. Routine assessment of factor V Leiden status is unlikely to improve atherothrombotic events risk stratification in this population.</t>
  </si>
  <si>
    <t>Intimal and medial calcification in relation to cardiovascular risk factors.</t>
  </si>
  <si>
    <t>Zwakenberg, Sabine R; de Jong, Pim A; Hendriks, Eva J; Westerink, Jan; Spiering, Wilko; de Borst, Gert J; Cramer, Maarten J; Bartstra, Jonas W; Doesburg, Teddo; Rutters, Femke; van der Heijden, Amber A; Schalkwijk, Casper; Schurgers, Leon J; van der Schouw, Yvonne T; Beulens, Joline W J; ,</t>
  </si>
  <si>
    <t>https://pubmed.ncbi.nlm.nih.gov/32658909</t>
  </si>
  <si>
    <t>To assess specific risk factors and biomarkers associated with intimal arterial calcification (IAC) and medial arterial calcification (MAC). We conducted a cross-sectional study in patients with or at risk of vascular disease from the SMART study(n = 520) and the DCS cohort(n = 198). Non-contrast computed tomography scanning of the lower extremities was performed and calcification in the femoral and crural arteries was scored as absent, predominant IAC, predominant MAC or indistinguishable. Multinomial regression models were used to assess the associations between cardiovascular risk factors and calcification patterns. Biomarkers for inflammation, calcification and vitamin K status were measured in a subset of patients with IAC(n = 151) and MAC(n = 151). Femoral calcification was found in 77% of the participants, of whom 38% had IAC, 28% had MAC and 11% were scored as indistinguishable. The absolute agreement between the femoral and crural arteries was high(69%). Higher age, male sex, statin use and history of coronary artery disease were associated with higher prevalences of femoral IAC and MAC compared to absence of calcification. Smoking and low ankle-brachial-index (ABI) were associated with higher prevalence of IAC and high ABI was associated with less IAC. Compared to patients with IAC, patients with MAC more often had diabetes, have a high ABI and were less often smokers. Inactive Matrix-Gla Protein was associated with increased MAC prevalence, while osteonectin was associated with decreased risk of MAC, compared to IAC. When femoral calcification is present, the majority of the patients have IAC or MAC throughout the lower extremity, which have different associated risk factor profiles.</t>
  </si>
  <si>
    <t>Serum Matrix Metalloproteinases and Left Atrial Remodeling-The Hoorn Study.</t>
  </si>
  <si>
    <t>Linssen, Pauline B C; Brunner-La Rocca, Hans-Peter; Schalkwijk, Casper G; Beulens, Joline W J; Elders, Petra J M; van der Heijden, Amber A; Slieker, Roderick C; Stehouwer, Coen D A; Henry, Ronald M A</t>
  </si>
  <si>
    <t>https://pubmed.ncbi.nlm.nih.gov/32668720</t>
  </si>
  <si>
    <t>Extracellular matrix protein turnover may play an important role in left atrial (LA) remodelling. The aim is to investigate the associations between matrix metalloproteinase (MMPs), tissue inhibitor of metalloproteinase (TIMP-1) and LA volume index (LAVI) and if these associations are independent of TIMP-1 levels. Participants from The Hoorn Study, a population-based cohort study (&lt;i&gt;n&lt;/i&gt; = 674), underwent echocardiography. Serum MMPs (i.e., MMP-1, MMP-2, MMP-3, MMP-9, and MMP-10) and TIMP-1 levels were measured with ELISA. Multiple linear regression analyses were used. MMP-1 levels were not associated with LAVI. Higher MMP-2 levels were associated with larger LAVI (regression coefficient per SD increase in MMP (95% CI); 0.03 (0.01; 0.05). Higher MMP-3 and MMP-9 levels were associated with smaller LAVI; -0.04 (-0.07; -0.01) and -0.04 (-0.06; -0.02) respectively. Only in women were higher MMP-10 levels associated with larger LAVI; 0.04 (0.00; 0.07, &lt;i&gt;p&lt;/i&gt;-interaction 0.04). Additionally, only in women were higher TIMP-1 levels associated with smaller LAVI; -0.05 (-0.09; -0.01, &lt;i&gt;p&lt;/i&gt;-interaction 0.03). The associations between MMPs and LAVI were independent of TIMP-1 levels. In conclusion, serum MMPs are associated with LAVI, independent of CVD risk factors and TIMP-1 levels. In addition, these associations differ according to sex and within MMP subgroups. This shows that the role of MMPs in LA remodelling is complex.</t>
  </si>
  <si>
    <t>The impact of STI test results and face-to-face consultations on subsequent behavior and psychological characteristics.</t>
  </si>
  <si>
    <t>van Wees, Daphne A; Drissen, Meggie M C M; den Daas, Chantal; Heijman, Titia; Kretzschmar, Mirjam E E; Heijne, Janneke C M</t>
  </si>
  <si>
    <t>https://pubmed.ncbi.nlm.nih.gov/32659244</t>
  </si>
  <si>
    <t>Sexually transmitted infection (STI) testing without face-to-face counselling is increasingly offered at sexual health centers (SHC), and ordering self-sampling tests online is becoming more popular. However, the impact of testing without counselling on behavior is unknown. We examine the impact of STI testing with and without consultation and the combined effect of a positive test result and treatment consultation, on behavioral and psychological characteristics over time. Data from a longitudinal study among heterosexual SHC visitors aged 18-24 years was used. The impact of a test consultation (participants who tested chlamydia negative with vs. without consultation) and treatment consultation/positive test result (participants who tested chlamydia positive vs. negative), was assessed by comparing behavioral and psychological characteristics before testing (baseline), and at three-week and six-month follow-up, using generalized estimating equation models. Changes after testing were similar between participants who tested chlamydia negative with and without test consultation, namely decreased risk perception, shame, number of partners, and increased knowledge. However, participants who tested chlamydia positive reported stronger increases in health goals and intentions towards condom use, and stronger decreases in the number of partners and stigma, compared to participants who tested negative. Furthermore, condom use increased in chlamydia positive, and decreased in chlamydia negative participants. A treatment consultation/positive test result had a risk-reducing impact on behavioral and psychological characteristics, whereas the impact of a test consultation was limited. Since the majority of young heterosexuals test chlamydia negative, alternative interventions (e.g., online) achieving risk-reducing behavior change targeted to individuals who tested negative are needed.</t>
  </si>
  <si>
    <t>Physicians' and Public Attitudes Toward Euthanasia in People with Advanced Dementia.</t>
  </si>
  <si>
    <t>Brinkman-Stoppelenburg, Arianne; Evenblij, Kirsten; Pasman, H Roeline W; van Delden, Johannes J M; Onwuteaka-Philipsen, Bregje D; van der Heide, Agnes</t>
  </si>
  <si>
    <t>https://pubmed.ncbi.nlm.nih.gov/32652560</t>
  </si>
  <si>
    <t>To explore the opinion of the Dutch general public and of physicians regarding euthanasia in patients with advanced dementia. A cross-sectional survey. The Netherlands. Random samples of 1,965 citizens (response = 1,965/2,641 [75%]) and 1,147 physicians (response = 1,147/2,232 [51%]). The general public was asked to what extent they agreed with the statement "I think that people with dementia should be eligible for euthanasia, even if they no longer understand what is happening (if they have previously asked for it)." Physicians were asked whether they were of the opinion that performing euthanasia is conceivable in patients with advanced dementia, on the basis of a written advance directive, in the absence of severe comorbidities. Multivariable logistic regression was performed to identify factors associated with the acceptance of euthanasia. A total of 60% of the general public agreed that people with advanced dementia should be eligible for euthanasia. Factors associated with a positive attitude toward euthanasia were being female, age between 40 and 69 years, and higher educational level. Considering religion important was associated with lower acceptance. The percentage of physicians who considered it acceptable to perform euthanasia in people with advanced dementia was 24% for general practitioners, 23% for clinical specialists, and 8% for nursing home physicians. Having ever performed euthanasia before was positively associated with physicians considering euthanasia conceivable. Being female, having religious beliefs, and being a nursing home physician were negatively associated with regarding performing euthanasia as conceivable. There is a discrepancy between public acceptance of euthanasia in patients with advanced dementia and physicians' conceivability of performing euthanasia in these patients. This discrepancy may cause tensions in daily practice because patients' and families' expectations may not be met. It urges patients, families, and physicians to discuss mutual expectations in these complex situations in a comprehensive and timely manner. J Am Geriatr Soc 68:2319-2328, 2020.</t>
  </si>
  <si>
    <t>Cost-benefit of outcome adjudication in nine randomised stroke trials.</t>
  </si>
  <si>
    <t>Godolphin, Peter J; Bath, Philip M; Algra, Ale; Berge, Eivind; Chalmers, John; Eliasziw, Misha; Hankey, Graeme J; Hosomi, Naohisa; Ranta, Annamarei; Weimar, Christian; Woodhouse, Lisa J; Montgomery, Alan A</t>
  </si>
  <si>
    <t>https://pubmed.ncbi.nlm.nih.gov/32650688</t>
  </si>
  <si>
    <t>Central adjudication of outcomes is common for randomised trials and should control for differential misclassification. However, few studies have estimated the cost of the adjudication process. We estimated the cost of adjudicating the primary outcome in nine randomised stroke trials (25,436 participants). The costs included adjudicators' time, direct payments to adjudicators, and co-ordinating centre costs (e.g. uploading cranial scans and general set-up costs). The number of events corrected after adjudication was our measure of benefit. We calculated cost per corrected event for each trial and in total. The primary outcome in all nine trials was either stroke or a composite that included stroke. In total, the adjudication process associated with this primary outcome cost in excess of £100,000 for a third of the trials (3/9). Mean cost per event corrected by adjudication was £2295.10 (SD: £1482.42). Central adjudication is a time-consuming and potentially costly process. These costs need to be considered when designing a trial and should be evaluated alongside the potential benefits adjudication brings to determine whether they outweigh this expense.</t>
  </si>
  <si>
    <t>The effect of the CONSORT statement on the amount of "unclear" Risk of Bias reporting in Cochrane Systematic Reviews.</t>
  </si>
  <si>
    <t>Rademaker, Maaike M; Ramakers, Geerte G J; Smit, Adriana L; Hooft, Lotty; Stegeman, Inge</t>
  </si>
  <si>
    <t>https://pubmed.ncbi.nlm.nih.gov/32650340</t>
  </si>
  <si>
    <t>The Consolidated Standards of Reporting Trials (CONSORT) statement aims to improve clarity and consistency of transparency of reporting in Randomized Controlled Trials (RCTs). The Cochrane Risk of Bias (RoB) tool for RCTs helps authors to judge the RoB. as ''low", "high" or "unclear". In this study we aimed to assess whether the implementation and updates of the CONSORT statement influenced the trend of "unclear" RoB scores of RCTs included in Cochrane systematic reviews. All Cochrane reviews published in December to October 2016 were retrieved. The publication year of RCTS included in the reviews were sorted into time frames (≤1995, 1996-2000, 2001-2009 and ≥2010) based on the release- and updates of the CONSORT statement (1996, 2001 and 2010). The association between "unclear" RoB versus "low or high" RoB and the year of publication in different time frames were calculated using a binary logistic regression. Data was extracted from 64 Cochrane reviews, with 989 RCTS (6471 items). The logistic regression showed that the odds of RCTs published ≥2010, compared to ≤1995 were more likely not to report an "unclear" RoB for the total data (Odds Ratio (OR) 0.69 (95% Confidence interval: 0.59-0.80)), random sequence generation (OR 0.32 (0.22-0.47), allocation concealment (0.64 (0.43-0.95)) and incomplete outcome data (OR 0.60 (0.39-0.91)). A slight decrease of "unclear" RoB reporting over time was found. To improve quality of reporting authors are encouraged to adhere to reporting guidelines.</t>
  </si>
  <si>
    <t>Diabetes, Glycated Hemoglobin, and the Risk of Myocardial Infarction in Women and Men: A Prospective Cohort Study of the UK Biobank.</t>
  </si>
  <si>
    <t>https://pubmed.ncbi.nlm.nih.gov/32651263</t>
  </si>
  <si>
    <t>Diabetes has shown to be a stronger risk factor for myocardial infarction (MI) in women than men. Whether sex differences exist across the glycemic spectrum is unknown. We investigated sex differences in the associations of diabetes status and glycated hemoglobin (HbA&lt;sub&gt;1c&lt;/sub&gt;) with the risk of MI. Data were used from 471,399 (56% women) individuals without cardiovascular disease (CVD) included in the UK Biobank. Sex-specific incidence rates were calculated by diabetes status and across levels of HbA&lt;sub&gt;1c&lt;/sub&gt; using Poisson regression. Cox proportional hazards analyses estimated sex-specific hazard ratios (HRs) and women-to-men ratios by diabetes status and HbA&lt;sub&gt;1c&lt;/sub&gt; for MI during a mean follow-up of 9 years. Women had lower incidence rates of MI than men, regardless of diabetes status or HbA&lt;sub&gt;1c&lt;/sub&gt; level. Compared with individuals without diabetes, prediabetes, undiagnosed diabetes, and previously diagnosed diabetes were associated with an increased risk of MI in both sexes. Previously diagnosed diabetes was more strongly associated with MI in women (HR 2.33 [95% CI 1.96; 2.78]) than men (1.81 [1.63; 2.02]), with a women-to-men ratio of HRs of 1.29 (1.05; 1.58). Each 1% higher HbA&lt;sub&gt;1c&lt;/sub&gt;, independent of diabetes status, was associated with an 18% greater risk of MI in both women and men. Although the incidence of MI was higher in men than women, the presence of diabetes is associated with a greater excess relative risk of MI in women. However, each 1% higher HbA&lt;sub&gt;1c&lt;/sub&gt; was associated with an 18% greater risk of MI in both women and men.</t>
  </si>
  <si>
    <t>Extracellular vesicle Cystatin C and CD14 are associated with both renal dysfunction and heart failure.</t>
  </si>
  <si>
    <t>Verbree-Willemsen, Laura; Zhang, Ya-Nan; Ibrahim, Irwani; Ooi, Shirley B S; Wang, Jiong-Wei; Mazlan, Muhammad I; Kuan, Win S; Chan, Siew-Pang; Peelen, Linda M; Grobbee, Diederick E; Richards, A Mark; Lam, Carolyn S P; de Kleijn, Dominique P V</t>
  </si>
  <si>
    <t>https://pubmed.ncbi.nlm.nih.gov/32648717</t>
  </si>
  <si>
    <t>Extracellular vesicles (EVs) are small double-membrane plasma vesicles that play key roles in cellular crosstalk and mechanisms such as inflammation. The role of EVs in combined organ failure such as cardiorenal syndrome has not been investigated. The aim of this study is to identify EV proteins that are associated with renal dysfunction, heart failure, and their combination in dyspnoeic patients. Blood samples were prospectively collected in 404 patients presenting with breathlessness at the emergency department at National University Hospital, Singapore. Renal dysfunction was defined as estimated glomerular filtration rate &lt; 60 mL/min/1.73 m&lt;sup&gt;2&lt;/sup&gt; . The presence of heart failure was independently adjudicated by two clinicians on the basis of the criteria of the European Society of Cardiology guidelines. Protein levels of SerpinG1, SerpinF2, Cystatin C, and CD14 were measured with a quantitative immune assay within three EV sub-fractions and in plasma and were tested for their associations with renal dysfunction, heart failure, and the concurrence of both conditions using multinomial regression analysis, thereby correcting for confounders such as age, gender, ethnicity, and co-morbidities. Renal dysfunction was found in 92 patients (23%), while heart failure was present in 141 (35%). In total, 58 patients (14%) were diagnosed with both renal dysfunction and heart failure. Regression analysis showed that Cystatin C was associated with renal dysfunction, heart failure, and their combination in all three EV sub-fractions and in plasma. CD14 was associated with both renal dysfunction and the combined renal dysfunction and heart failure in all EV sub-fractions, and with presence of heart failure in the high density lipoprotein sub-fraction. SerpinG1 and SerpinF2 were associated with heart failure in, respectively, two and one out of three EV sub-fractions and in plasma, but not with renal dysfunction. We provide the first data showing that Cystatin C and CD14 in circulating EVs are associated with both renal dysfunction and heart failure in patients presenting with acute dyspnoea. This suggests that EV proteins may be involved in the combined organ failure of the cardiorenal syndrome and may represent possible targets for prevention or treatment.</t>
  </si>
  <si>
    <t>Validation of the Dutch version of the Edmonton Symptom Assessment System.</t>
  </si>
  <si>
    <t>van der Baan, Frederieke H; Koldenhof, Josephine J; de Nijs, Ellen J; Echteld, Michael A; Zweers, Danielle; Hesselmann, Ginette M; Vervoort, Sigrid C; Vos, Jan B; de Graaf, Everlien; Witteveen, Petronella O; Suijkerbuijk, Karijn P; de Graeff, Alexander; Teunissen, Saskia C</t>
  </si>
  <si>
    <t>https://pubmed.ncbi.nlm.nih.gov/32643871</t>
  </si>
  <si>
    <t>The Utrecht Symptom Diary (USD) is a Dutch and adapted version of the Edmonton Symptom Assessment System, a patient-reported outcome measurement (PROM) tool to asses and monitor symptoms in cancer patients. This study analyses the validity and responsiveness of the USD and the cutoff points to determine the clinical significance of a symptom score. Observational longitudinal cohort study including adult in- and outpatients treated in an academic hospital in the Netherlands who completed at least one USD as part of routine care (2012-2019). The distress thermometer and problem checklist (DT&amp;PC) was used as a reference PROM. Content, construct and criterion validity, responsiveness, and cutoff points are shown with prevalences, area under receiver operating characteristic (ROC) curve, Chi-squared test, Wilcoxon signed-rank test, and positive and negative predictive values, respectively. A total of 3913 patients completed 22 400 USDs. Content validity was confirmed for all added USD items with prevalences of ≥22%. All USD items also present on the DT&amp;PC demonstrated a good criterion validity (ROC &gt;0.8). Construct validity was confirmed for the USD as a whole and for the items dry mouth, dysphagia and well-being (P &lt; .0001). USD scores differed significantly for patients when improving or deteriorating on the DT&amp;PC which confirmed responsiveness. Optimal cutoff points (3 or 4) differed per symptom. The USD is a valid 12-item PROM for the most prevalent symptoms in cancer patients, which has content, criterion, and construct validity, and detects clinically important changes over time, in both curative and palliative phase.</t>
  </si>
  <si>
    <t>The Healthy Aging Index analyzed over 15 years in the general population: The Doetinchem Cohort Study.</t>
  </si>
  <si>
    <t>Dieteren, Charlotte M; Samson, Leonard D; Schipper, Maarten; van Exel, Job; Brouwer, Werner B F; Verschuren, W M Monique; Picavet, H Susan J</t>
  </si>
  <si>
    <t>https://pubmed.ncbi.nlm.nih.gov/32653354</t>
  </si>
  <si>
    <t>The Healthy Aging Index (HAI), an index of physiological aging, has been demonstrated to predicts mortality, morbidity and disability. We studied the longitudinal development of the HAI to identify aging trajectories and evaluated the role of baseline sociodemographic characteristics and lifestyle factors of the trajectories. Four measurements with intervals of 5 years were included from the Doetinchem Cohort Study. The HAI reflects levels of systolic blood pressure, non-fasting plasma glucose levels, global cognitive functioning, plasma creatinine levels and lung functioning. The HAI score ranges from 0 to 10: higher scores indicate a better health profile. Latent class mixture modelling was used to model within-person change and to identify aging trajectories. Area under the curve was calculated per trajectory to estimate total healthy years. In total, 2324 women and 2013 men were included. One HAI trajectory was identified for women, and two trajectories for men, labelled 'gradual' aging (76%) and 'early' aging (24%). Men who were medium/high educated, below 36 years at baseline, complied with guidelines on physical activity and were not obese in any round were associated with increased odds to 'gradual' aging of 1.46 (CI: 1.18-1.81), 1.93 (CI: 1.42-2.62), 1.26 (1.02-1.57) and 1.76 (1.32-2.35), respectively. Between 30 and 70 years of age, men in the 'early' aging trajectory had the least healthy years (29.6 years), followed by women (30.1 years), and 'gradual' aging men (34.7 years). This study emphasizes that 'physiological aging' is not only an issue of older ages. Between 30 and 70 years of age, 'early' aging men and women had approximately five healthy years less compared to 'gradual' aging men. Lifestyle factors (e.g. nutrition and physical activity) seem to play an important role in optimal aging.</t>
  </si>
  <si>
    <t>Diagnosing deep vein thrombosis in cancer patients with suspected symptoms: An individual participant data meta-analysis.</t>
  </si>
  <si>
    <t>Takada, Toshihiko; van Doorn, Sander; Parpia, Sameer; de Wit, Kerstin; Anderson, David R; Stevens, Scott M; Woller, Scott C; Ten Cate-Hoek, Arina J; Elf, Johan L; Kraaijenhagen, Roderik A; Schutgens, Roger E G; Wells, Phil S; Kearon, Clive; Moons, Karel G M; Geersing, Geert-Jan</t>
  </si>
  <si>
    <t>https://pubmed.ncbi.nlm.nih.gov/32433797</t>
  </si>
  <si>
    <t>A previous individual participant data (IPD) meta-analysis showed that the Wells rule and D-dimer testing cannot exclude suspected deep vein thrombosis (DVT) in cancer patients. To explore reasons for this reduced diagnostic accuracy and to optimize the diagnostic pathway for cancer patients suspected of DVT. Using IPD from 13 studies in patients with suspected DVT, DVT prevalence and the predictive value of the Wells rule items and D-dimer testing were compared between patients with and without cancer. Next, we developed a prediction model with five variables selected from all available diagnostic predictors. Among the 10 002 suspected DVT patients, there were 834 patients with cancer. The median prevalence of DVT in these patients with cancer was 37.5% (interquartile range [IQR], 30.8-45.5), whereas it was 15.1% (IQR, 11.5-16.7) in patients without cancer. Diagnostic performance of individual Wells rule items and D-dimer testing was similar across patients with and without cancer, except "immobility" and "history of DVT." The newly developed rule showed a pooled c-statistic 0.80 (95% confidence interval [CI], 0.75-0.83) and good calibration. However, using this model, still only 4.3% (95% CI, 3.0-5.7) of the suspected patients with cancer could be identified with a predicted DVT posttest probability of &lt;2%. Likely because of the high prevalence of DVT, clinical models followed by D-dimer testing fail to rule out DVT efficiently in cancer patients suspected of DVT. Direct referral for compression ultrasonography appears to be the preferred approach for diagnosis of suspected DVT in cancer patients.</t>
  </si>
  <si>
    <t>Value-sensitive design and global digital health.</t>
  </si>
  <si>
    <t>Jongsma, Karin R; Jongepier, Fleur</t>
  </si>
  <si>
    <t>bulletin of the world health organization</t>
  </si>
  <si>
    <t>https://pubmed.ncbi.nlm.nih.gov/32773904</t>
  </si>
  <si>
    <t>Association of plasma biomarkers of fruit and vegetable intake with incident type 2 diabetes: EPIC-InterAct case-cohort study in eight European countries.</t>
  </si>
  <si>
    <t>Zheng, Ju-Sheng; Sharp, Stephen J; Imamura, Fumiaki; Chowdhury, Rajiv; Gundersen, Thomas E; Steur, Marinka; Sluijs, Ivonne; van der Schouw, Yvonne T; Agudo, Antonio; Aune, Dagfinn; Barricarte, Aurelio; Boeing, Heiner; Chirlaque, María-Dolores; Dorronsoro, Miren; Freisling, Heinz; El-Fatouhi, Douae; Franks, Paul W; Fagherazzi, Guy; Grioni, Sara; Gunter, Marc J; Kyrø, Cecilie; Katzke, Verena; Kühn, Tilman; Khaw, Kay-Tee; Laouali, Nasser; Masala, Giovanna; Nilsson, Peter M; Overvad, Kim; Panico, Salvatore; Papier, Keren; Quirós, J Ramón; Rolandsson, Olov; Redondo-Sánchez, Daniel; Ricceri, Fulvio; Schulze, Matthias B; Spijkerman, Annemieke M W; Tjønneland, Anne; Tong, Tammy Y N; Tumino, Rosario; Weiderpass, Elisabete; Danesh, John; Butterworth, Adam S; Riboli, Elio; Forouhi, Nita G; Wareham, Nicholas J</t>
  </si>
  <si>
    <t>https://pubmed.ncbi.nlm.nih.gov/32641421</t>
  </si>
  <si>
    <t>To investigate the association of plasma vitamin C and carotenoids, as indicators of fruit and vegetable intake, with the risk of type 2 diabetes. Prospective case-cohort study. Populations from eight European countries. 9754 participants with incident type 2 diabetes, and a subcohort of 13 662 individuals from the European Prospective Investigation into Cancer and Nutrition (EPIC) cohort of 340 234 participants: EPIC-InterAct case-cohort study. Incident type 2 diabetes. In a multivariable adjusted model, higher plasma vitamin C was associated with a lower risk of developing type 2 diabetes (hazard ratio per standard deviation 0.82, 95% confidence interval 0.76 to 0.89). A similar inverse association was shown for total carotenoids (hazard ratio per standard deviation 0.75, 0.68 to 0.82). A composite biomarker score (split into five equal groups), comprising vitamin C and individual carotenoids, was inversely associated with type 2 diabetes with hazard ratios 0.77, 0.66, 0.59, and 0.50 for groups 2-5 compared with group 1 (the lowest group). Self-reported median fruit and vegetable intake was 274 g/day, 396 g/day, and 508 g/day for participants in categories defined by groups 1, 3, and 5 of the composite biomarker score, respectively. One standard deviation difference in the composite biomarker score, equivalent to a 66 (95% confidence interval 61 to 71) g/day difference in total fruit and vegetable intake, was associated with a hazard ratio of 0.75 (0.67 to 0.83). This would be equivalent to an absolute risk reduction of 0.95 per 1000 person years of follow up if achieved across an entire population with the characteristics of the eight European countries included in this analysis. These findings indicate an inverse association between plasma vitamin C, carotenoids, and their composite biomarker score, and incident type 2 diabetes in different European countries. These biomarkers are objective indicators of fruit and vegetable consumption, and suggest that diets rich in even modestly higher fruit and vegetable consumption could help to prevent development of type 2 diabetes.</t>
  </si>
  <si>
    <t>Signs and symptoms to determine if a patient presenting in primary care or hospital outpatient settings has COVID-19 disease.</t>
  </si>
  <si>
    <t>Struyf, Thomas; Deeks, Jonathan J; Dinnes, Jacqueline; Takwoingi, Yemisi; Davenport, Clare; Leeflang, Mariska Mg; Spijker, René; Hooft, Lotty; Emperador, Devy; Dittrich, Sabine; Domen, Julie; Horn, Sebastiaan R A; Van den Bruel, Ann; ,</t>
  </si>
  <si>
    <t>https://pubmed.ncbi.nlm.nih.gov/32633856</t>
  </si>
  <si>
    <t>Some people with SARS-CoV-2 infection remain asymptomatic, whilst in others the infection can cause mild to moderate COVID-19 disease and COVID-19 pneumonia, leading some patients to require intensive care support and, in some cases, to death, especially in older adults. Symptoms such as fever or cough, and signs such as oxygen saturation or lung auscultation findings, are the first and most readily available diagnostic information. Such information could be used to either rule out COVID-19 disease, or select patients for further diagnostic testing. To assess the diagnostic accuracy of signs and symptoms to determine if a person presenting in primary care or to hospital outpatient settings, such as the emergency department or dedicated COVID-19 clinics, has COVID-19 disease or COVID-19 pneumonia. On 27 April 2020, we undertook electronic searches in the Cochrane COVID-19 Study Register and the University of Bern living search database, which is updated daily with published articles from PubMed and Embase and with preprints from medRxiv and bioRxiv. In addition, we checked repositories of COVID-19 publications. We did not apply any language restrictions. Studies were eligible if they included patients with suspected COVID-19 disease, or if they recruited known cases with COVID-19 disease and controls without COVID-19. Studies were eligible when they recruited patients presenting to primary care or hospital outpatient settings. Studies including patients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including reverse transcription polymerase chain reaction (RT-PCR), clinical expertise, imaging, serology tests and World Health Organization (WHO) or other definitions of COVID-19. Pairs of review authors independently selected all studies, at both title and abstract stage and full-text stage. They resolved any disagreements by discussion with a third review author. Two review authors independently extracted data and resolved disagreements by discussion with a third review author. Two review authors independently assessed risk of bias using the QUADAS-2 checklist. Analyses were descriptive, presenting sensitivity and specificity in paired forest plots, in ROC (receiver operating characteristic) space and in dumbbell plots. We did not attempt meta-analysis due to the small number of studies, heterogeneity across studies and the high risk of bias. We identified 16 studies including 7706 participants in total. Prevalence of COVID-19 disease varied from 5% to 38% with a median of 17%. There were no studies from primary care settings, although we did find seven studies in outpatient clinics (2172 participants), and four studies in the emergency department (1401 participants). We found data on 27 signs and symptoms, which fall into four different categories: systemic, respiratory, gastrointestinal and cardiovascular. No studies assessed combinations of different signs and symptoms and results were highly variable across studies. Most had very low sensitivity and high specificity; only six symptoms had a sensitivity of at least 50% in at least one study: cough, sore throat, fever, myalgia or arthralgia, fatigue, and headache. Of these, fever, myalgia or arthralgia, fatigue, and headache could be considered red flags (defined as having a positive likelihood ratio of at least 5) for COVID-19 as their specificity was above 90%, meaning that they substantially increase the likelihood of COVID-19 disease when present. Seven studies carried a high risk of bias for selection of participants because inclusion in the studies depended on the applicable testing and referral protocols, which included many of the signs and symptoms under study in this review. Five studies only included participants with pneumonia on imaging, suggesting that this is a highly selected population. In an additional four studies, we were unable to assess the risk for selection bias. These factors make it very difficult to determine the diagnostic properties of these signs and symptoms from the included studies. We also had concerns about the applicability of these results, since most studies included participants who were already admitted to hospital or presenting to hospital settings. This makes these findings less applicable to people presenting to primary care, who may have less severe illness and a lower prevalence of COVID-19 disease. None of the studies included any data on children, and only one focused specifically on older adults. We hope that future updates of this review will be able to provide more information about the diagnostic properties of signs and symptoms in different settings and age groups. The individual signs and symptoms included in this review appear to have very poor diagnostic properties, although this should be interpreted in the context of selection bias and heterogeneity between studies. Based on currently available data, neither absence nor presence of signs or symptoms are accurate enough to rule in or rule out disease. Prospective studies in an unselected population presenting to primary care or hospital outpatient settings, examining combinations of signs and symptoms to evaluate the syndromic presentation of COVID-19 disease, are urgently needed. Results from such studies could inform subsequent management decisions such as self-isolation or selecting patients for further diagnostic testing. We also need data on potentially more specific symptoms such as loss of sense of smell. Studies in older adults are especially important.</t>
  </si>
  <si>
    <t>Development of osteomyelitis following dental abscesses-influence of therapy and comorbidities.</t>
  </si>
  <si>
    <t>Moratin, Julius; Freudlsperger, Christian; Metzger, Karl; Braß, Caroline; Berger, Moritz; Engel, Michael; Hoffmann, Jürgen; Ristow, Oliver</t>
  </si>
  <si>
    <t>https://pubmed.ncbi.nlm.nih.gov/32638128</t>
  </si>
  <si>
    <t>Bacterial osteomyelitis of the jaw is a severe disease potentially requiring extensive surgical treatment. We have evaluated the incidence rates of bacterial osteomyelitis following dental abscessation associated with primary or secondary tooth extraction. A retrospective cohort study was designed and included patients with dental abscesses and surgical treatment including the extraction of focus teeth. Patients were either treated with primary removal during acute infection or secondary delayed extraction within an infection-free interval. The primary outcome variable was the occurrence of bacterial osteomyelitis following the abscess. Secondary outcomes were the influence of general disease, antibiotic therapy, and surgical technique. One hundred nine patients were enrolled in the study; 4 patients (3.7%) developed osteomyelitis. Primary tooth extraction was performed on all these patients (p = 0.017). Significant associations of diabetes (p = 0.001), the use of clindamycin (p = 0.025), and transcutaneous incision (p = 0.017) with the incidence of osteomyelitis were detected. More severe infections may be associated with a higher risk for the development of osteomyelitis following dental abscesses. A history of diabetes and clindamycin therapy might form further predisposing risk factors. Because of the low incidence and the small case number, our data need to be interpreted carefully. Osteomyelitis of the jaw is a rare but severe disease that may require extensive therapy and that impairs the quality of life of affected patients. The evaluation of risk factors to enable further reduction of incidence is therefore urgently required.</t>
  </si>
  <si>
    <t>Intracranial atherosclerosis on 7T MRI and cognitive functioning: The SMART-MR study.</t>
  </si>
  <si>
    <t>Zwartbol, Maarten H T; van der Kolk, Anja G; Ghaznawi, Rashid; van der Graaf, Yolanda; Hendrikse, Jeroen; Geerlings, Mirjam I; ,</t>
  </si>
  <si>
    <t>https://pubmed.ncbi.nlm.nih.gov/32631923</t>
  </si>
  <si>
    <t>To investigate the association between intracranial atherosclerosis (ICAS) and cognitive functioning in patients with a history of vascular disease. Within the Second Manifestations of Arterial Disease-Magnetic Resonance (SMART-MR) study, cross-sectional analyses were performed in 130 patients (mean ± SD age 68 ± 9 years) with 7T vessel wall MRI data. Vessel wall lesions were rated according to established criteria and summed into a circulatory and artery-specific ICAS burden. Associations between ICAS burden and &lt;i&gt;Z&lt;/i&gt; scores of memory, executive functioning, working memory, and processing speed were estimated using linear regression analyses adjusted for age, sex, education, reading ability, and vascular risk factors. A total of 125 patients (96%) had ≥1 vessel wall lesion; the mean ICAS burden was 8.5 ± 5.7. A statistically nonsignificant association was found between total ICAS burden and memory (b = -0.03 per +1 lesion; 95% confidence interval [CI] -0.05 to 0.00). No associations were found for the other domains. A statistically significant association was found for ICAS burden of the posterior cerebral artery (PCA) and memory (b = -0.12 per +1 lesion; 95% CI -0.23 to -0.01) and executive functioning (b = -0.10 per +1 lesion; 95% CI -0.19 to -0.01). Statistically nonsignificant associations were found for the anterior cerebral artery (ACA) burden and memory (b = -0.13 per +1 lesion; 95% CI -0.26 to 0.01) and executive functioning (b = -0.11 per +1 lesion; 95% CI -0.22 to 0.01). Additional adjustments for large infarcts, white matter hyperintensities, lacunes, and ≥50% carotid stenosis produced similar results. Our results suggest an artery-specific vulnerability of memory and executive functioning to ICAS, possibly due to strategic brain regions involved with these cognitive domains, which are located in the arterial territory of the PCA and ACA.</t>
  </si>
  <si>
    <t>What Sex-Disaggregated Metrics Are Needed to Explain Sex Differences in COVID-19?</t>
  </si>
  <si>
    <t>Hockham, Carinna; Thompson, Kelly; Carcel, Cheryl; Pinho-Gomes, Ana-Catarina; Woodward, Mark; Peters, Sanne A E</t>
  </si>
  <si>
    <t>https://pubmed.ncbi.nlm.nih.gov/34816147</t>
  </si>
  <si>
    <t>Short- and long-term impact of vaccination against cytomegalovirus: a modeling study.</t>
  </si>
  <si>
    <t>Rozhnova, Ganna; E Kretzschmar, Mirjam; van der Klis, Fiona; van Baarle, Debbie; Korndewal, Marjolein; C Vossen, Ann; van Boven, Michiel</t>
  </si>
  <si>
    <t>https://pubmed.ncbi.nlm.nih.gov/32611419</t>
  </si>
  <si>
    <t>Infection with cytomegalovirus (CMV) is highly prevalent worldwide and can cause severe disease in immunocompromised persons and congenitally infected infants. The disease burden caused by congenital CMV infection is high, especially in resource-limited countries. Vaccines are currently under development for various target groups. We evaluated the impact of vaccination strategies and hygiene intervention using transmission models. Model parameters were estimated from a cross-sectional serological population study (n=5179) and a retrospective birth cohort (n=31,484), providing information on the age- and sex-specific CMV prevalence and on the birth prevalence of congenital CMV (cCMV). The analyses show that vertical transmission and infectious reactivation are the main drivers of transmission. Vaccination strategies aimed at reducing transmission from mother to child (vaccinating pregnant women or women of reproductive age) can yield substantial reductions of cCMV in 20 years (31.7-71.4% if 70% of women are effectively vaccinated). Alternatively, hygiene intervention aimed at preventing CMV infection and re-infection of women of reproductive age from young children is expected to reduce cCMV by less than 2%. The effects of large-scale vaccination on CMV prevalence can be substantial, owing to the moderate transmissibility of CMV at the population level. However, as CMV causes lifelong infection, the timescale on which reductions in CMV prevalence are expected is in the order of several decades. Elimination of CMV infection in the long run is only feasible for a vaccine with a long duration of protection and high vaccination coverage. Vaccination is an effective intervention to reduce the birth prevalence of cCMV. Population-level reductions in CMV prevalence can only be achieved on a long timescale. Our results stress the value of vaccinating pregnant women and women of childbearing age and provide support for the development of CMV vaccines and early planning of vaccination scenarios and rollouts.</t>
  </si>
  <si>
    <t>Air pollution and the development of asthma from birth until young adulthood.</t>
  </si>
  <si>
    <t>Gehring, Ulrike; Wijga, Alet H; Koppelman, Gerard H; Vonk, Judith M; Smit, Henriette A; Brunekreef, Bert</t>
  </si>
  <si>
    <t>https://pubmed.ncbi.nlm.nih.gov/32299858</t>
  </si>
  <si>
    <t>Air pollution is associated with asthma development in children and adults, but the impact on asthma development during the transition from adolescence to adulthood is unclear. Adult studies lack historical exposures and consequently cannot assess the relevance of exposure during different periods of life. We assessed the relevance of early-life and more recent air pollution exposure for asthma development from birth until early adulthood. We used data of 3687 participants of the prospective Dutch PIAMA (Prevention and Incidence of Asthma and Mite Allergy) birth cohort and linked asthma incidence until age 20 years to estimated concentrations of nitrogen dioxide (NO&lt;sub&gt;2&lt;/sub&gt;), particulate matter with a diameter &lt;2.5 μm (PM&lt;sub&gt;2.5&lt;/sub&gt;), &lt;10 μm (PM&lt;sub&gt;10&lt;/sub&gt;), and 2.5-10 μm, and PM&lt;sub&gt;2.5&lt;/sub&gt; absorbance ("soot") at the residential address. We assessed overall and age-specific associations with air pollution exposure with discrete time-hazard models, adjusting for potential confounders. Overall, we found higher incidence of asthma until the age of 20 years with higher exposure to all pollutants at the birth address (adjusted odds ratio (95% CI) ranging from 1.09 (1.01-1.18) for PM&lt;sub&gt;10&lt;/sub&gt; to 1.20 (1.10-1.32) for NO&lt;sub&gt;2&lt;/sub&gt;) per interquartile range increase) that were rather persistent with age. Similar associations were observed with more recent exposure defined as exposure at the current home address. In two-pollutant models with particulate matter, associations with NO&lt;sub&gt;2&lt;/sub&gt; persisted. Exposure to air pollution, especially from motorised traffic, early in life may have long-term consequences for asthma development, as it is associated with an increased risk of developing asthma through childhood and adolescence into early adulthood.</t>
  </si>
  <si>
    <t>Computer-Aided Diagnosis in Multiparametric Magnetic Resonance Imaging Screening of Women With Extremely Dense Breasts to Reduce False-Positive Diagnoses.</t>
  </si>
  <si>
    <t>Verburg, Erik; van Gils, Carla H; Bakker, Marije F; Viergever, Max A; Pijnappel, Ruud M; Veldhuis, Wouter B; Gilhuijs, Kenneth G A</t>
  </si>
  <si>
    <t>https://pubmed.ncbi.nlm.nih.gov/32149858</t>
  </si>
  <si>
    <t>To reduce the number of false-positive diagnoses in the screening of women with extremely dense breasts using magnetic resonance imaging (MRI), we aimed to predict which BI-RADS 3 and BI-RADS 4 lesions are benign. For this purpose, we use computer-aided diagnosis (CAD) based on multiparametric assessment. Consecutive data were used from the first screening round of the DENSE (Dense Tissue and Early Breast Neoplasm Screening) trial. In this trial, asymptomatic women with a negative screening mammography and extremely dense breasts were screened using multiparametric MRI. In total, 4783 women, aged 50 to 75 years, enrolled and were screened in 8 participating hospitals between December 2011 and January 2016. In total, 525 lesions in 454 women were given a BI-RADS 3 (n = 202), 4 (n = 304), or 5 score (n = 19). Of these lesions, 444 were benign and 81 were malignant on histologic examination.The MRI protocol consisted of 5 different MRI sequences: T1-weighted imaging without fat suppression, diffusion-weighted imaging, T1-weighted contrast-enhanced images at high spatial resolution, T1-weighted contrast-enhanced images at high temporal resolution, and T2-weighted imaging. A machine-learning method was developed to predict, without deterioration of sensitivity, which of the BI-RADS 3- and BI-RADS 4-scored lesions are actually benign and could be prevented from being recalled. BI-RADS 5 lesions were only used for training, because the gain in preventing false-positive diagnoses is expected to be low in this group. The CAD consists of 2 stages: feature extraction and lesion classification. Two groups of features were extracted: the first based on all multiparametric sequences, the second based only on sequences that are typically used in abbreviated MRI protocols. In the first group, 49 features were used as candidate predictors: 46 were automatically calculated from the MRI scans, supplemented with 3 clinical features (age, body mass index, and BI-RADS score). In the second group, 36 image features and the same 3 clinical features were used. Each group was considered separately in a machine-learning model to differentiate between benign and malignant lesions. We developed a Ridge regression model using 10-fold cross validation. Performance of the models was analyzed using an accuracy measure curve and receiver-operating characteristic analysis. Of the total number of BI-RADS 3 and BI-RADS 4 lesions referred to additional MRI or biopsy, 425/487 (87.3%) were false-positive. The full multiparametric model classified 176 (41.5%) and the abbreviated-protocol model classified 111 (26.2%) of the 425 false-positive BI-RADS 3- and BI-RADS 4-scored lesions as benign without missing a malignant lesion.If the full multiparametric CAD had been used to aid in referral, recall for biopsy or repeat MRI could have been reduced from 425/487 (87.3%) to 311/487 (63.9%) lesions. For the abbreviated protocol, it could have been 376/487 (77.2%). Dedicated multiparametric CAD of breast MRI for BI-RADS 3 and 4 lesions in screening of women with extremely dense breasts has the potential to reduce false-positive diagnoses and consequently to reduce the number of biopsies without missing cancers.</t>
  </si>
  <si>
    <t>The Prospective Studies of Atherosclerosis (Proof-ATHERO) Consortium: Design and Rationale.</t>
  </si>
  <si>
    <t>Tschiderer, Lena; Seekircher, Lisa; Klingenschmid, Gerhard; Izzo, Raffaele; Baldassarre, Damiano; Iglseder, Bernhard; Calabresi, Laura; Liu, Jing; Price, Jackie F; Bae, Jang-Ho; Brouwers, Frank P; de Groot, Eric; Schmidt, Caroline; Bergström, Göran; Aşçi, Gülay; Gresele, Paolo; Okazaki, Shuhei; Kapellas, Kostas; Landecho, Manuel F; Sattar, Naveed; Agewall, Stefan; Zou, Zhi-Yong; Byrne, Christopher D; Nanayakkara, Prabath W B; Papagianni, Aikaterini; Witham, Miles D; Bernal, Enrique; Ekart, Robert; van Agtmael, Michiel A; Neves, Mario F; Sato, Eiichi; Ezhov, Marat; Walters, Matthew; Olsen, Michael H; Stolić, Radojica; Zozulińska-Ziółkiewicz, Dorota A; Hanefeld, Markolf; Staub, Daniel; Nagai, Michiaki; Nieuwkerk, Pythia T; Huisman, Menno V; Kato, Akihiko; Honda, Hirokazu; Parraga, Grace; Magliano, Dianna; Gabriel, Rafael; Rundek, Tatjana; Espeland, Mark A; Kiechl, Stefan; Willeit, Johann; Lind, Lars; Empana, Jean Philippe; Lonn, Eva; Tuomainen, Tomi-Pekka; Catapano, Alberico; Chien, Kuo-</t>
  </si>
  <si>
    <t>https://pubmed.ncbi.nlm.nih.gov/32610336</t>
  </si>
  <si>
    <t>Atherosclerosis - the pathophysiological mechanism shared by most cardiovascular diseases - can be directly or indirectly assessed by a variety of clinical tests including measurement of carotid intima-media thickness, carotid plaque, -ankle-brachial index, pulse wave velocity, and coronary -artery calcium. The Prospective Studies of Atherosclerosis -(Proof-ATHERO) consortium (https://clinicalepi.i-med.ac.at/research/proof-athero/) collates de-identified individual-participant data of studies with information on atherosclerosis measures, risk factors for cardiovascular disease, and incidence of cardiovascular diseases. It currently comprises 74 studies that involve 106,846 participants from 25 countries and over 40 cities. In summary, 21 studies recruited participants from the general population (n = 67,784), 16 from high-risk populations (n = 22,677), and 37 as part of clinical trials (n = 16,385). Baseline years of contributing studies range from April 1980 to July 2014; the latest follow-up was until June 2019. Mean age at baseline was 59 years (standard deviation: 10) and 50% were female. Over a total of 830,619 person-years of follow-up, 17,270 incident cardiovascular events (including coronary heart disease and stroke) and 13,270 deaths were recorded, corresponding to cumulative incidences of 2.1% and 1.6% per annum, respectively. The consortium is coordinated by the Clinical Epidemiology Team at the Medical University of Innsbruck, Austria. Contributing studies undergo a detailed data cleaning and harmonisation procedure before being incorporated in the Proof-ATHERO central database. Statistical analyses are being conducted according to pre-defined analysis plans and use established methods for individual-participant data meta-analysis. Capitalising on its large sample size, the multi-institutional collaborative Proof-ATHERO consortium aims to better characterise, understand, and predict the development of atherosclerosis and its clinical consequences.</t>
  </si>
  <si>
    <t>The REMAP-CAP (Randomized Embedded Multifactorial Adaptive Platform for Community-acquired Pneumonia) Study. Rationale and Design.</t>
  </si>
  <si>
    <t>Angus, Derek C; Berry, Scott; Lewis, Roger J; Al-Beidh, Farah; Arabi, Yaseen; van Bentum-Puijk, Wilma; Bhimani, Zahra; Bonten, Marc; Broglio, Kristine; Brunkhorst, Frank; Cheng, Allen C; Chiche, Jean-Daniel; De Jong, Menno; Detry, Michelle; Goossens, Herman; Gordon, Anthony; Green, Cameron; Higgins, Alisa M; Hullegie, Sebastiaan J; Kruger, Peter; Lamontagne, Francois; Litton, Edward; Marshall, John; McGlothlin, Anna; McGuinness, Shay; Mouncey, Paul; Murthy, Srinivas; Nichol, Alistair; O'Neill, Genevieve K; Parke, Rachael; Parker, Jane; Rohde, Gernot; Rowan, Kathryn; Turner, Anne; Young, Paul; Derde, Lennie; McArthur, Colin; Webb, Steven A</t>
  </si>
  <si>
    <t>https://pubmed.ncbi.nlm.nih.gov/32267771</t>
  </si>
  <si>
    <t>There is broad interest in improved methods to generate robust evidence regarding best practice, especially in settings where patient conditions are heterogenous and require multiple concomitant therapies. 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The trial uses a novel design, entitled "a randomized embedded multifactorial adaptive platform." The design has five key features: &lt;i&gt;1&lt;/i&gt;) randomization, allowing robust causal inference; &lt;i&gt;2&lt;/i&gt;) embedding of study procedures into routine care processes, facilitating enrollment, trial efficiency, and generalizability; &lt;i&gt;3&lt;/i&gt;) a multifactorial statistical model comparing multiple interventions across multiple patient subgroups; &lt;i&gt;4&lt;/i&gt;) response-adaptive randomization with preferential assignment to those interventions that appear most favorable; and &lt;i&gt;5&lt;/i&gt;) a platform structured to permit continuous, potentially perpetual enrollment beyond the evaluation of the initial treatments. The trial randomizes patients to multiple interventions within four treatment domains: antibiotics, antiviral therapy for influenza, host immunomodulation with extended macrolide therapy, and alternative corticosteroid regimens, representing 240 treatment regimens. The trial generates estimates of superiority, inferiority, and equivalence between regimens on the primary outcome of 90-day mortality, stratified by presence or absence of concomitant shock and proven or suspected influenza infection. The trial will also compare ventilatory and oxygenation strategies, and has capacity to address additional questions rapidly during pandemic respiratory infections. As of January 2020, REMAP-CAP (Randomized Embedded Multifactorial Adaptive Platform for Community-acquired Pneumonia) was approved and enrolling patients in 52 intensive care units in 13 countries on 3 continents. In February, it transitioned into pandemic mode with several design adaptations for coronavirus disease 2019. Lessons learned from the design and conduct of this trial should aid in dissemination of similar platform initiatives in other disease areas.Clinical trial registered with www.clinicaltrials.gov (NCT02735707).</t>
  </si>
  <si>
    <t>Inverse Association between Iron Deficiency and Glycated Hemoglobin Levels in Ghanaian Adults-the RODAM Study.</t>
  </si>
  <si>
    <t>Lyons, Julia; van der Linden, Eva L; Meeks, Karlijn; Beune, Erik; Smeeth, Liam; Bahendeka, Silver; Spranger, Joachim; Klipstein-Grobusch, Kerstin; Mockenhaupt, Frank P; Danquah, Ina; Agyemang, Charles</t>
  </si>
  <si>
    <t>https://pubmed.ncbi.nlm.nih.gov/32433726</t>
  </si>
  <si>
    <t>Glycated hemoglobin (HbA1c) is often used to diagnose type 2 diabetes (T2D), but studies show that iron deficiency (ID) is associated with elevated HbA1c in the absence of hyperglycemia. It is unknown whether ID prevalence varies between sub-Saharan African populations living in different locations and whether ID influences HbA1c levels in these populations. We assessed the prevalence of ID among Ghanaian migrants in Europe and nonmigrant Ghanaians, and the influence of ID on HbA1c categories among Ghanaians without T2D. We used the database from the cross-sectional RODAM (Research on Obesity and Diabetes among African Migrants) study. This contained data on 3377 Ghanaian men and women aged 25-70 y living in urban and rural Ghana and Ghanaian migrants living in Amsterdam, London, and Berlin. ID was defined as ferritin &lt; 15 ng/mL or, if C-reactive protein was ≥5 mg/mL, as ferritin &lt; 30 ng/mL according to the WHO. We used binary logistic regression to assess differences in ID between sites and its association with clinically defined HbA1c categories (&lt;5.5%, ≥5.5% to &lt;6.5%, ≥6.5%). Men and women were analyzed separately. The prevalence of ID was higher in migrant [28.4%; adjusted OR (aOR): 3.08; 95% CI: 2.04, 4.65)] and urban (23.2%; aOR: 2.37; 95% CI: 1.56, 3.59) women than in rural women (11.9%). Among women, ID was associated with higher odds of HbA1c ≥ 5.5% to &lt;6.5% in the absence of hyperglycemia (aOR: 1.43; 95% CI: 1.08, 1.87). This association was not found in men. Further research is needed to identify factors underlying the high prevalence of ID among urban and migrant Ghanaian women, and the association of ID with HbA1c ≥ 5.5% to &lt;6.5% in women. In addition, our study reinforces the need to consider iron concentrations if interpreting HbA1c among African populations.</t>
  </si>
  <si>
    <t>Parkinson's disease case ascertainment in prospective cohort studies through combining multiple health information resources.</t>
  </si>
  <si>
    <t>Reedijk, Marije; Huss, Anke; Verheij, Robert A; Peeters, Petra H; Vermeulen, Roel C H</t>
  </si>
  <si>
    <t>https://pubmed.ncbi.nlm.nih.gov/32609766</t>
  </si>
  <si>
    <t>Epidemiological evidence from prospective cohort studies on risk factors of Parkinson's disease (PD) is limited as case ascertainment is challenging due to a lack of registries and the disease course of PD. The objective of this study was to create a case ascertainment method for PD within two prospective Dutch cohorts based on multiple sources of PD information. This method was validated using clinical records from the general practitioners (GPs). Face validity of the case ascertainment was tested for three etiological factors (smoking, sex and family history of PD). In total 54825 participants were included from the cohorts AMIGO and EPIC-NL. Sources of PD information included self-reported PD, self-reported PD medication, a 9 item screening questionnaire (Tanner), electronical medical records, hospital discharge data and mortality records. Based on these sources we developed a likelihood score with 4 categories (no PD, unlikely PD, possible PD, likely PD). For the different sources of PD information and for the likelihood score we present the agreement with GP-validated cases. Risk of PD for established factors was studied by logistic regression as exact diagnose dates were not always available. Based on the algorithm, we assigned 346 participants to the likely PD category. GP validation confirmed 67% of these participants in EPIC-NL, but only 12% in AMIGO. PD was confirmed in only 3% of the participants with a possible PD classification. PD case ascertainment by mortality records (91%), EMR ICPC (82%) and self-reported information (62-69%) had the highest confirmation rates. The Tanner PD screening questionnaire had a lower agreement (18%). Risk estimates for smoking, family history and sex using all likely PD cases were comparable to the literature for EPIC-NL, but not for smoking in AMIGO. Using multiple sources of PD evidence in cohorts remains important but challenging as performance of sources varied in validity.</t>
  </si>
  <si>
    <t>Sex-specific associations between cardiovascular risk factors and myocardial infarction in patients with type 2 diabetes: The ADVANCE-ON study.</t>
  </si>
  <si>
    <t>Ohkuma, Toshiaki; Peters, Sanne A E; Jun, Min; Harrap, Stephen; Cooper, Mark; Hamet, Pavel; Poulter, Neil; Chalmers, John; Woodward, Mark; ,</t>
  </si>
  <si>
    <t>https://pubmed.ncbi.nlm.nih.gov/32476250</t>
  </si>
  <si>
    <t>To examine possible sex differences in the excess risk of myocardial infarction (MI) consequent to a range of conventional risk factors in a large-scale international cohort of patients with diabetes, and to quantify these potential differences both on the relative and absolute scales. Eleven thousand and sixty-five participants (42% women) with type 2 diabetes in the ADVANCE trial and its post-trial follow-up study, ADVANCE-ON, were included. Cox regression models were used to estimate hazard ratios (HRs) for associations between risk factors and MI (fatal and non-fatal) by sex, and the women-to-men ratio of HRs (RHR). Over a median of 9.6 years of follow-up, 719 patients experienced MI. Smoking status, smoking intensity, higher systolic blood pressure (SBP), HbA1c, total and LDL cholesterol, duration of diabetes, triglycerides, body mass index (BMI) and lower HDL cholesterol were associated with an increased risk of MI in both sexes. Furthermore, some variables were associated with a greater relative risk of MI in women than men: RHRs were 1.75 (95% CI: 1.05-2.91) for current smoking, 1.53 (1.00-2.32) for former smoking, 1.18 (1.02-1.37) for SBP, and 1.13 (95% CI, 1.003-1.26) for duration of diabetes. Although incidence rates of MI were higher in men (9.3 per 1000 person-years) compared with women (5.8 per 1000 person-years), rate differences associated with risk factors were greater in women than men, except for HDL cholesterol and BMI. In patients with type 2 diabetes, smoking, higher SBP and longer duration of diabetes had a greater relative and absolute effect in women than men, highlighting the importance of routine sex-specific approaches and early interventions in women with diabetes.</t>
  </si>
  <si>
    <t>Association between C reactive protein and microvascular and macrovascular dysfunction in sub-Saharan Africans with and without diabetes: the RODAM study.</t>
  </si>
  <si>
    <t>Hayfron-Benjamin, Charles Frederick; Maitland-van der Zee, Anke H; van den Born, Bert-Jan; Amoah, Albert G B; Meeks, Karlijn A C; Klipstein-Grobusch, Kerstin; Schulze, Matthias B; Spranger, Joachim; Danquah, Ina; Smeeth, Liam; Beune, Erik J A J; Mockenhaupt, Frank; Agyemang, Charles O</t>
  </si>
  <si>
    <t>https://pubmed.ncbi.nlm.nih.gov/32665312</t>
  </si>
  <si>
    <t>Although inflammation assessed by elevated C reactive protein (CRP) concentration is known to be associated with risk of cardiovascular disease, its association with microvascular and macrovascular dysfunction in diabetes and non-diabetes remains unclear. We examined the association between CRP and diabetes and associated microvascular and macrovascular dysfunction in sub-Saharan Africans with and without diabetes. Cross-sectional analyses of baseline data from the multicenter RODAM study (Research on Obesity and Diabetes among African Migrants) including 5248 Ghanaians (583 with diabetes, 4665 without diabetes) aged 25-70 years were done. Logistic regression analyses were used to examine the associations between CRP Z-scores and diabetes and microvascular (nephropathy) and macrovascular (peripheral artery disease (PAD)) dysfunction, with adjustments for age, sex, site of residence, smoking, body mass index, systolic blood pressure, and low-density lipoprotein cholesterol. In the fully adjusted models, higher CRP concentration was significantly associated with diabetes (adjusted OR 1.13; 95% CI 1.05 to 1.21, p=0.002). In participants with diabetes, higher CRP concentration was associated with PAD (1.19; 1.03 to 1.41, p=0.046) but not nephropathy (1.13; 0.97 to 1.31, p=0.120). Among participants without diabetes, higher CRP concentration was associated with higher odds of PAD (1.10; 1.01 to 1.21, p=0.029) and nephropathy (1.12; 1.04 to 1.22, p=0.004). In this study, higher CRP concentration was associated with higher odds of diabetes in sub-Saharan Africans. Also, higher CRP concentration was associated with higher odds of nephropathy and PAD in non-diabetes and higher odds of PAD in diabetes. CRP may be an important marker for assessment of risk of diabetes and risk for PAD and nephropathy in sub-Saharan Africans with and without diabetes.</t>
  </si>
  <si>
    <t>Effect of tailoring anticoagulant treatment duration by applying a recurrence risk prediction model in patients with venous thromboembolism compared to usual care: A randomized controlled trial.</t>
  </si>
  <si>
    <t>Geersing, Geert-Jan; Hendriksen, Janneke M T; Zuithoff, Nicolaas P A; Roes, Kit C; Oudega, Ruud; Takada, Toshihiko; Schutgens, Roger E G; Moons, Karel G M</t>
  </si>
  <si>
    <t>https://pubmed.ncbi.nlm.nih.gov/32589630</t>
  </si>
  <si>
    <t>Patients with unprovoked (i.e., without the presence of apparent transient risk factors such as recent surgery) venous thromboembolism (VTE) are at risk of recurrence if anticoagulants are stopped after 3-6 months, yet their risk remains heterogeneous. Thus, prolonging anticoagulant treatment should be considered in high-risk patients, whereas stopping is likely preferred in those with a low predicted risk. The Vienna Prediction Model (VPM) could aid clinicians in estimating this risk, yet its clinical effects and external validity are currently unknown. The aim of this study was to investigate the clinical impact of this model on reducing recurrence risk in patients with unprovoked VTE, compared to usual care. In a randomized controlled trial, the decision to prolong or stop anticoagulant treatment was guided by predicted recurrence risk using the VPM (n = 441), which was compared with usual care (n = 442). Patients with unprovoked VTE were recruited from local thrombosis services in the Netherlands (in Utrecht, Harderwijk, Ede, Amersfoort, Zwolle, Hilversum, Rotterdam, Deventer, and Enschede) between 22 July 2011 and 30 November 2015, with 24-month follow-up complete for all patients by early 2018. The primary outcome was recurrent VTE during 24 months of follow-up. Secondary outcomes included major bleeding and clinically relevant non-major (CRNM) bleeding. In the total study population of 883 patients, mean age was 55 years, and 507 (57.4%) were men. A total of 96 recurrent VTE events (10.9%) were observed, 46 in the intervention arm and 50 in the control arm (risk ratio 0.92, 95% CI 0.63-1.35, p = 0.67). Major bleeding occurred in 4 patients, 2 in each treatment arm, whereas CRNM bleeding occurred in 20 patients (12 in intervention arm versus 8 in control arm). The VPM showed good discriminative power (c-statistic 0.76, 95% CI 0.69-0.83) and moderate to good calibration, notably at the lower spectrum of predicted risk. For instance, in 284 patients with a predicted risk of &gt;2% to 4%, the observed rate of recurrence was 2.5% (95% CI 0.7% to 4.3%). The main limitation of this study is that it did not enroll the preplanned number of 750 patients in each study arm due to declining recruitment rate. Our results show that application of the VPM in all patients with unprovoked VTE is unlikely to reduce overall recurrence risk. Yet, in those with a low predicted risk of recurrence, the observed rate was also low, suggesting that it might be safe to stop anticoagulant treatment in these patients. Netherlands Trial Register NTR2680.</t>
  </si>
  <si>
    <t>Changing Practices in the Use of Continuous Sedation at the End of Life: A Systematic Review of the Literature.</t>
  </si>
  <si>
    <t>Heijltjes, Madelon T; van Thiel, Ghislaine J M W; Rietjens, Judith A C; van der Heide, Agnes; de Graeff, Alexander; van Delden, Johannes J M</t>
  </si>
  <si>
    <t>https://pubmed.ncbi.nlm.nih.gov/32599152</t>
  </si>
  <si>
    <t>The use of continuous sedation until death (CSD) has been highly debated for many years. It is unknown how the use of CSD evolves over time. Reports suggest that there is an international increase in the use of CSD for terminally ill patients. To gain insight in developments in the use of CSD in various countries and subpopulations. We performed a search of the literature published between January 2000 and April 2020, in PubMed, Embase, CINAHL, PsycInfo, and the Cochrane Library by using the Preferred reporting items for systematic review and meta-analysis protocols guidelines. The search contained the following terms: continuous sedation, terminal sedation, palliative sedation, deep sedation, end-of-life sedation, sedation practice, and sedation until death. We found 23 articles on 16 nationwide studies and 38 articles on 37 subpopulation studies. In nationwide studies on frequencies of CSD in deceased persons varied from 3% in Denmark in 2001 to 18% in The Netherlands in 2015. Nationwide studies indicate an increase in the use of CSD. Frequencies of CSD in the different subpopulations varied too widely to observe time trends. Over the years, more studies reported on the use of CSD for nonphysical symptoms including fear, anxiety, and psycho-existential distress. In some studies, there was an increase in requests for sedation of patients from their families. The frequency of CSD seems to increase over time, possibly partly because of an extension of indications for sedation, from mainly physical symptoms to also nonphysical symptoms.</t>
  </si>
  <si>
    <t>Oseltamivir for coronavirus illness: post-hoc exploratory analysis of an open-label, pragmatic, randomised controlled trial in European primary care from 2016 to 2018.</t>
  </si>
  <si>
    <t>Coenen, Samuel; van der Velden, Alike W; Cianci, Daniela; Goossens, Herman; Bongard, Emily; Saville, Benjamin R; Gobat, Nina; de Paor, Muireann; Ieven, Margareta; Verheij, Theo J; Butler, Christopher C</t>
  </si>
  <si>
    <t>https://pubmed.ncbi.nlm.nih.gov/32571773</t>
  </si>
  <si>
    <t>Patients infected with the novel coronavirus (SARS-CoV-2) are being treated empirically with oseltamivir, but there is little evidence from randomised controlled trials to support the treatment of coronavirus infections with oseltamivir. To determine whether adding oseltamivir to usual care reduces time to recovery in symptomatic patients who have tested positive for coronavirus (not including SARS-CoV-2). Exploratory analysis of data from an open-label, pragmatic, randomised controlled trial during three influenza seasons, from 2016 to 2018, in primary care research networks, in 15 European countries. Patients aged ≥1 year presenting to primary care with influenza-like illness (ILI), and who tested positive for coronavirus (not including SARS-CoV-2), were randomised to usual care or usual care plus oseltamivir. The primary outcome was time to recovery defined as a return to usual activities, with minor or absent fever, headache, and muscle ache. Coronaviruses (CoV-229E, CoV-OC43, CoV-KU1 and CoV-NL63) were identified in 308 (9%) out of 3266 randomised participants in the trial; 153 of these were allocated to usual care and 155 to usual care plus oseltamivir; the primary outcome was ascertained in 136 and 147 participants, respectively. The median time to recovery was shorter in patients randomised to oseltamivir: 4 days (interquartile range [IQR] 3-6) versus 5 days (IQR 3-8; hazard ratio 1.31; 95% confidence interval = 1.03 to 1.66; &lt;i&gt;P&lt;/i&gt; = 0.026). Primary care patients with ILI testing positive for coronavirus (not including SARS-CoV-2) recovered sooner when oseltamivir was added to usual care compared with usual care alone. This may be of relevance to the primary care management of COVID-19.</t>
  </si>
  <si>
    <t>Associations of non-pedunculated T1 colorectal adenocarcinoma outcome with consensus molecular subtypes, immunoscore, and microsatellite status: a multicenter case-cohort study.</t>
  </si>
  <si>
    <t>Haasnoot, Krijn J C; Backes, Yara; Moons, Leon M G; Kranenburg, Onno; Trinh, Anne; Vermeulen, Louis; Noë, Michaël; Tuynman, Jurriaan B; van Lent, Anja U G; van Ginneken, Rosaline; Seldenrijk, Cornelis A; Raicu, Mihaela G; Trumpi, Kari; Ubink, Inge; Milne, Anya N; Boonstra, Jurjen J; Groen, John N; Schwartz, Matthijs P; Wolfhagen, Frank H J; Geesing, Joost M J; Ter Borg, Frank; Brosens, Lodewijk A A; van Bergeijk, Jeroen; Spanier, Bernhard W M; de Vos Tot Nederveen Cappel, Wouter H; Kessels, Koen; Seerden, Tom C J; Vleggaar, Frank P; Offerhaus, G Johan A; Siersema, Peter D; Elias, Sjoerd G; Laclé, Miangela M; ,</t>
  </si>
  <si>
    <t>modern pathology an official journal of the united states and canadian academy of pathology inc</t>
  </si>
  <si>
    <t>https://pubmed.ncbi.nlm.nih.gov/32581367</t>
  </si>
  <si>
    <t>Advanced colorectal cancer (CRC) consensus molecular subtype 4 (CMS4) or CRC with a low immunoscore is associated with shorter survival times. Non-metastatic CRC with microsatellite instability (MSI) is associated with a lower risk of recurrence. We evaluated outcome (lymph node metastases [LNM] or cancer recurrence) in these tumor subtypes in patients with surgically-removed non-pedunculated T1 CRC by performing a multicenter case-cohort study. We included all patients in 13 hospitals in the Netherlands from 2000-2014 (n = 651). We randomly selected a subgroup of patients (n = 223) and all patients with LNM or recurrence (n = 63), and median follow-up of 44 months. We centrally reviewed tumor-slides, and constructed and immunostained tissue microarrays determining MSI, CMS (MSI/CMS1, CMS2/3, or CMS4), and immunoscore (I-low/I-high). We used weighted Cox proportional hazard models to evaluate the association of MSI, CMS, and immunoscore with LNM or recurrence, adjusting for conventional histologic risk factors. In the randomly selected subgroup of patients, 7.1% of tumors were MSI/CMS1, 91.0% CMS2/3, 1.8% CMS4, and 25% I-low. In the case-cohort, patients with CMS4 tumors had an increased risk for LNM or recurrence compared with patients with tumors of other CMSs (adjusted hazard ratio [HR], 3.97; 95% CI, 1.12-14.06; P = 0.03). Albeit not significant, tumors with MSI had a lower risk for LNM or recurrence than other tumor subtypes (adjusted HR, 0.52; 95% CI, 0.12-2.30; P = 0.39), whereas tumors with a low immunoscore had an increased risk for LNM or recurrence (adjusted HR, 1.30; 95% CI, 0.68-2.48; P = 0.43). In conclusion, in a case-cohort study of patients with non-pedunculated T1 CRC, MSI, and immunoscore were not significantly associated with adverse outcome after surgery. CMS4 substantially increased the risk of adverse outcome. However, CMS4 is rare in T1 CRCs, limiting its value for determining the risk in patients.</t>
  </si>
  <si>
    <t>Coverage of intermittent preventive treatment of malaria in pregnancy (IPTp) influences delivery outcomes among women with obstetric referrals at the district level in Ghana.</t>
  </si>
  <si>
    <t>Amoakoh-Coleman, Mary; Arhinful, Daniel K; Klipstein-Grobusch, Kerstin; Ansah, Evelyn K; Koram, Kwadwo A</t>
  </si>
  <si>
    <t>https://pubmed.ncbi.nlm.nih.gov/32580717</t>
  </si>
  <si>
    <t>The aim of the study was to determine the coverage of intermittent preventive treatment of malaria in pregnancy (IPTp) and its relationship with delivery outcomes among obstetric referral cases at the district level of healthcare. An implementation research within three districts of the Greater Accra region was conducted from May 2017 to February 2018, to assess the role of an enhanced inter-facility communication system on processes and outcomes of obstetric referrals. A cross-sectional analysis of the data on IPTp coverage as well as delivery outcomes for the period of study was conducted, for all the referrals ending up in deliveries. Primary outcomes were maternal and neonatal complications at delivery. IPTp coverage was determined as percentages and classified as adequate or inadequate. Associated factors were determined using Chi square. Odds ratios (OR, 95% CI) were estimated for predictors of adequate IPTp dose coverage for associations with delivery outcomes, with statistical significance set at p = 0.05. From a total of 460 obstetric referrals from 16 lower level facilities who delivered at the three district hospitals, only 223 (48.5%) received adequate (at least 3) doses of IPTp. The district, type of facility where ANC is attended, insurance status, marital status and number of antenatal clinic visits significantly affected IPTp doses received. Adjusted ORs show that adequate IPTp coverage was significantly associated with new-born complication [0.80 (0.65-0.98); p = 0.03], low birth weight [0.51 (0.38-0.68); p &lt; 0.01], preterm delivery [0.71 (0.55-0.90); p = 0.01] and malaria as indication for referral [0.70 (0.56-0.87); p &lt; 0.01]. Positive association with maternal complication at delivery was seen but was not significant. IPTp coverage remains low in the study setting and is affected by type of health facility that ANC is received at, access to health insurance and number of times a woman attends ANC during pregnancy. This study also confirmed earlier findings that, as an intervention IPTp prevents bad outcomes of pregnancy, even among women with obstetric referrals. It is important to facilitate IPTp service delivery to pregnant women across the country, improve coverage of required doses and maximize the benefits to both mothers and newborns.</t>
  </si>
  <si>
    <t>Breast milk n-3 long-chain polyunsaturated fatty acids and blood pressure: an individual participant meta-analysis.</t>
  </si>
  <si>
    <t>van Rossem, Lenie; Smit, Henriette A; Armand, Martine; Bernard, Jonathan Y; Bisgaard, Hans; Bønnelykke, Klaus; Bruun, Signe; Heude, Barbara; Husby, Steffen; Kyhl, Henriette B; Michaelsen, Kim F; Stark, Ken D; Thijs, Carel; Vinding, Rebecca K; Wijga, Alet H; Lauritzen, Lotte</t>
  </si>
  <si>
    <t>https://pubmed.ncbi.nlm.nih.gov/32564149</t>
  </si>
  <si>
    <t>It is controversial whether a higher intake of n-3 long-chain polyunsaturated fatty acids (n-3 LC PUFA) through breastfeeding is associated or not to a lower blood pressure (BP) during childhood. We aimed to clarify this point by undertaking a meta-analysis involving the data from seven European birth cohorts. We searched https://www.birthcohort.net for studies that had collected breast milk samples, and had at least one BP measurement in childhood. Principal investigators were contacted, and all agreed to share data. One additional study was identified by contacts with the principal investigators. For each cohort, we analyzed the association of breast milk n-3 LC PUFAs with systolic and diastolic BP with linear mixed effects models or linear regression, and pooled the estimates with a random effects model. We also investigated age-specific and sex-specific associations. A total of 2188 participants from 7 cohorts were included. Overall, no associations between breast milk n-3 LC PUFAs and BP were observed. In the pooled analysis, each 0.1 wt% increment in breast milk docosahexaenoic acid (DHA) was associated with a 1.19 (95% CI - 3.31, 0.94) mmHg lower systolic BP. Associations were similar for boys and girls and at different ages. In this individual participant meta-analysis, we found no evidence for an association between breast milk n-3 LC PUFAs and BP.</t>
  </si>
  <si>
    <t>A cautionary note on the use of the missing indicator method for handling missing data in prediction research.</t>
  </si>
  <si>
    <t>van Smeden, Maarten; Groenwold, Rolf H H; Moons, Karel Gm</t>
  </si>
  <si>
    <t>https://pubmed.ncbi.nlm.nih.gov/32565213</t>
  </si>
  <si>
    <t>Predicting and elucidating the etiology of fatty liver disease: A machine learning modeling and validation study in the IMI DIRECT cohorts.</t>
  </si>
  <si>
    <t>Atabaki-Pasdar, Naeimeh; Ohlsson, Mattias; Viñuela, Ana; Frau, Francesca; Pomares-Millan, Hugo; Haid, Mark; Jones, Angus G; Thomas, E Louise; Koivula, Robert W; Kurbasic, Azra; Mutie, Pascal M; Fitipaldi, Hugo; Fernandez, Juan; Dawed, Adem Y; Giordano, Giuseppe N; Forgie, Ian M; McDonald, Timothy J; Rutters, Femke; Cederberg, Henna; Chabanova, Elizaveta; Dale, Matilda; Masi, Federico De; Thomas, Cecilia Engel; Allin, Kristine H; Hansen, Tue H; Heggie, Alison; Hong, Mun-Gwan; Elders, Petra J M; Kennedy, Gwen; Kokkola, Tarja; Pedersen, Helle Krogh; Mahajan, Anubha; McEvoy, Donna; Pattou, Francois; Raverdy, Violeta; Häussler, Ragna S; Sharma, Sapna; Thomsen, Henrik S; Vangipurapu, Jagadish; Vestergaard, Henrik; 't Hart, Leen M; Adamski, Jerzy; Musholt, Petra B; Brage, Soren; Brunak, Søren; Dermitzakis, Emmanouil; Frost, Gary; Hansen, Torben; Laakso, Markku; Pedersen, Oluf; Ridderstråle, Martin; Ruetten, Hartmut; Hattersley, Andrew T; Walker, Mark; Beulens, Joline W J; Mari, Andrea; Schwen</t>
  </si>
  <si>
    <t>https://pubmed.ncbi.nlm.nih.gov/32559194</t>
  </si>
  <si>
    <t>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ClinicalTrials.gov NCT03814915.</t>
  </si>
  <si>
    <t>The impact of the Trauma Triage App on pre-hospital trauma triage: design and protocol of the stepped-wedge, cluster-randomized TESLA trial.</t>
  </si>
  <si>
    <t>van der Sluijs, Rogier; Fiddelers, Audrey A A; Waalwijk, Job F; Reitsma, Johannes B; Dirx, Miranda J; den Hartog, Dennis; Evers, Silvia M A A; Goslings, J Carel; Hoogeveen, W Margreet; Lansink, Koen W; Leenen, Luke P H; van Heijl, Mark; Poeze, Martijn</t>
  </si>
  <si>
    <t>https://pubmed.ncbi.nlm.nih.gov/32566758</t>
  </si>
  <si>
    <t>Field triage of trauma patients is crucial to get the right patient to the right hospital within a particular time frame. Minimization of undertriage, overtriage, and interhospital transfer rates could substantially reduce mortality rates, life-long disabilities, and costs. Identification of patients in need of specialized trauma care is predominantly based on the judgment of Emergency Medical Services professionals and a pre-hospital triage protocol. The Trauma Triage App is a smartphone application that includes a prediction model to aid Emergency Medical Services professionals in the identification of patients in need of specialized trauma care. The aim of this trial is to assess the impact of this new digital approach to field triage on the primary endpoint undertriage. The Trauma triage using Supervised Learning Algorithms (TESLA) trial is a stepped-wedge cluster-randomized controlled trial with eight clusters defined as Emergency Medical Services regions. These clusters are an integral part of five inclusive trauma regions. Injured patients, evaluated on-scene by an Emergency Medical Services professional, suspected of moderate to severe injuries, will be assessed for eligibility. This unidirectional crossover trial will start with a baseline period in which the default pre-hospital triage protocol is used, after which all clusters gradually implement the Trauma Triage App as an add-on to the existing triage protocol. The primary endpoint is undertriage on patient and cluster level and is defined as the transportation of a severely injured patient (Injury Severity Score ≥ 16) to a lower-level trauma center. Secondary endpoints include overtriage, hospital resource use, and a cost-utility analysis. The TESLA trial will assess the impact of the Trauma Triage App in clinical practice. This novel approach to field triage will give new and previously undiscovered insights into several isolated components of the diagnostic strategy to get the right trauma patient to the right hospital. The stepped-wedge design allows for within and between cluster comparisons. Netherlands Trial Register, NTR7243. Registered 30 May 2018, https://www.trialregister.nl/trial/7038.</t>
  </si>
  <si>
    <t>Carotid Intima-Media Thickness Progression as Surrogate Marker for Cardiovascular Risk: Meta-Analysis of 119 Clinical Trials Involving 100 667 Patients.</t>
  </si>
  <si>
    <t>Willeit, Peter; Tschiderer, Lena; Allara, Elias; Reuber, Kathrin; Seekircher, Lisa; Gao, Lu; Liao, Ximing; Lonn, Eva; Gerstein, Hertzel C; Yusuf, Salim; Brouwers, Frank P; Asselbergs, Folkert W; van Gilst, Wiek; Anderssen, Sigmund A; Grobbee, Diederick E; Kastelein, John J P; Visseren, Frank L J; Ntaios, George; Hatzitolios, Apostolos I; Savopoulos, Christos; Nieuwkerk, Pythia T; Stroes, Erik; Walters, Matthew; Higgins, Peter; Dawson, Jesse; Gresele, Paolo; Guglielmini, Giuseppe; Migliacci, Rino; Ezhov, Marat; Safarova, Maya; Balakhonova, Tatyana; Sato, Eiichi; Amaha, Mayuko; Nakamura, Tsukasa; Kapellas, Kostas; Jamieson, Lisa M; Skilton, Michael; Blumenthal, James A; Hinderliter, Alan; Sherwood, Andrew; Smith, Patrick J; van Agtmael, Michiel A; Reiss, Peter; van Vonderen, Marit G A; Kiechl, Stefan; Klingenschmid, Gerhard; Sitzer, Matthias; Stehouwer, Coen D A; Uthoff, Heiko; Zou, Zhi-Yong; Cunha, Ana R; Neves, Mario F; Witham, Miles D; Park, Hyun-Woong; Lee, Moo-Sik; Bae, Jang-Ho; Ber</t>
  </si>
  <si>
    <t>https://pubmed.ncbi.nlm.nih.gov/32546049</t>
  </si>
  <si>
    <t>To quantify the association between effects of interventions on carotid intima-media thickness (cIMT) progression and their effects on cardiovascular disease (CVD) risk. We systematically collated data from randomized, controlled trials. cIMT was assessed as the mean value at the common-carotid-artery; if unavailable, the maximum value at the common-carotid-artery or other cIMT measures were used. The primary outcome was a combined CVD end point defined as myocardial infarction, stroke, revascularization procedures, or fatal CVD. We estimated intervention effects on cIMT progression and incident CVD for each trial, before relating the 2 using a Bayesian meta-regression approach. We analyzed data of 119 randomized, controlled trials involving 100 667 patients (mean age 62 years, 42% female). Over an average follow-up of 3.7 years, 12 038 patients developed the combined CVD end point. Across all interventions, each 10 μm/y reduction of cIMT progression resulted in a relative risk for CVD of 0.91 (95% Credible Interval, 0.87-0.94), with an additional relative risk for CVD of 0.92 (0.87-0.97) being achieved independent of cIMT progression. Taken together, we estimated that interventions reducing cIMT progression by 10, 20, 30, or 40 μm/y would yield relative risks of 0.84 (0.75-0.93), 0.76 (0.67-0.85), 0.69 (0.59-0.79), or 0.63 (0.52-0.74), respectively. Results were similar when grouping trials by type of intervention, time of conduct, time to ultrasound follow-up, availability of individual-participant data, primary versus secondary prevention trials, type of cIMT measurement, and proportion of female patients. The extent of intervention effects on cIMT progression predicted the degree of CVD risk reduction. This provides a missing link supporting the usefulness of cIMT progression as a surrogate marker for CVD risk in clinical trials.</t>
  </si>
  <si>
    <t>Current Evidence for Continuous Vital Signs Monitoring by Wearable Wireless Devices in Hospitalized Adults: Systematic Review.</t>
  </si>
  <si>
    <t>Leenen, Jobbe P L; Leerentveld, Crista; van Dijk, Joris D; van Westreenen, Henderik L; Schoonhoven, Lisette; Patijn, Gijsbert A</t>
  </si>
  <si>
    <t>https://pubmed.ncbi.nlm.nih.gov/32469323</t>
  </si>
  <si>
    <t>Continuous monitoring of vital signs by using wearable wireless devices may allow for timely detection of clinical deterioration in patients in general wards in comparison to detection by standard intermittent vital signs measurements. A large number of studies on many different wearable devices have been reported in recent years, but a systematic review is not yet available to date. The aim of this study was to provide a systematic review for health care professionals regarding the current evidence about the validation, feasibility, clinical outcomes, and costs of wearable wireless devices for continuous monitoring of vital signs. A systematic and comprehensive search was performed using PubMed/MEDLINE, EMBASE, and Cochrane Central Register of Controlled Trials from January 2009 to September 2019 for studies that evaluated wearable wireless devices for continuous monitoring of vital signs in adults. Outcomes were structured by validation, feasibility, clinical outcomes, and costs. Risk of bias was determined by using the Mixed Methods Appraisal Tool, quality assessment of diagnostic accuracy studies 2nd edition, or quality of health economic studies tool. In this review, 27 studies evaluating 13 different wearable wireless devices were included. These studies predominantly evaluated the validation or the feasibility outcomes of these devices. Only a few studies reported the clinical outcomes with these devices and they did not report a significantly better clinical outcome than the standard tools used for measuring vital signs. Cost outcomes were not reported in any study. The quality of the included studies was predominantly rated as low or moderate. Wearable wireless continuous monitoring devices are mostly still in the clinical validation and feasibility testing phases. To date, there are no high quality large well-controlled studies of wearable wireless devices available that show a significant clinical benefit or cost-effectiveness. Such studies are needed to help health care professionals and administrators in their decision making regarding implementation of these devices on a large scale in clinical practice or in-home monitoring.</t>
  </si>
  <si>
    <t>A registry-based algorithm to predict ejection fraction in patients with heart failure.</t>
  </si>
  <si>
    <t>Uijl, Alicia; Lund, Lars H; Vaartjes, Ilonca; Brugts, Jasper J; Linssen, Gerard C; Asselbergs, Folkert W; Hoes, Arno W; Dahlström, Ulf; Koudstaal, Stefan; Savarese, Gianluigi</t>
  </si>
  <si>
    <t>https://pubmed.ncbi.nlm.nih.gov/32548911</t>
  </si>
  <si>
    <t>Left ventricular ejection fraction (EF) is required to categorize heart failure (HF) [i.e. HF with preserved (HFpEF), mid-range (HFmrEF), and reduced (HFrEF) EF] but is often not captured in population-based cohorts or non-HF registries. The aim was to create an algorithm that identifies EF subphenotypes for research purposes. We included 42 061 HF patients from the Swedish Heart Failure Registry. As primary analysis, we performed two logistic regression models including 22 variables to predict (i) EF≥ vs. &lt;50% and (ii) EF≥ vs. &lt;40%. In the secondary analysis, we performed a multivariable multinomial analysis with 22 variables to create a model for all three separate EF subphenotypes: HFrEF vs. HFmrEF vs. HFpEF. The models were validated in the database from the CHECK-HF study, a cross-sectional survey of 10 627 patients from the Netherlands. The C-statistic (discrimination) was 0.78 [95% confidence interval (CI) 0.77-0.78] for EF ≥50% and 0.76 (95% CI 0.75-0.76) for EF ≥40%. Similar results were achieved for HFrEF and HFpEF in the multinomial model, but the C-statistic for HFmrEF was lower: 0.63 (95% CI 0.63-0.64). The external validation showed similar discriminative ability to the development cohort. Routine clinical characteristics could potentially be used to identify different EF subphenotypes in databases where EF is not readily available. Accuracy was good for the prediction of HFpEF and HFrEF but lower for HFmrEF. The proposed algorithm enables more effective research on HF in the big data setting.</t>
  </si>
  <si>
    <t>Prevention of severe infectious complications after colorectal surgery using oral non-absorbable antimicrobial prophylaxis: results of a multicenter randomized placebo-controlled clinical trial.</t>
  </si>
  <si>
    <t>Mulder, Tessa; Kluytmans-van den Bergh, Marjolein; Vlaminckx, Bart; Roos, Daphne; de Smet, Anne Marie; de Vos Tot Nederveen Cappel, Robert; Verheijen, Paul; Brandt, Alexandra; Smits, Anke; van der Vorm, Eric; Bathoorn, Erik; van Etten, Boudewijn; Veenemans, Jacobien; Weersink, Annemarie; Vos, Margreet; van 't Veer, Nils; Nikolakopoulos, Stavros; Bonten, Marc; Kluytmans, Jan</t>
  </si>
  <si>
    <t>https://pubmed.ncbi.nlm.nih.gov/32539786</t>
  </si>
  <si>
    <t>Surgical site infections (SSIs) are common complications after colorectal surgery. Oral non-absorbable antibiotic prophylaxis (OAP) can be administered preoperatively to reduce the risk of SSIs. Its efficacy without simultaneous mechanical cleaning is unknown. The Precaution trial was a double-blind, placebo-controlled randomized clinical trial conducted in six Dutch hospitals. Adult patients who underwent elective colorectal surgery were randomized to receive either a three-day course of preoperative OAP with tobramycin and colistin or placebo. The primary composite endpoint was the incidence of deep SSI or mortality within 30 days after surgery. Secondary endpoints included both infectious and non-infectious complications at 30 days and six months after surgery. The study was prematurely ended due to the loss of clinical equipoise. At that time, 39 patients had been randomized to active OAP and 39 to placebo, which reflected 8.1% of the initially pursued sample size. Nine (11.5%) patients developed the primary outcome, of whom four had been randomized to OAP (4/39; 10.3%) and five to placebo (5/39; 12.8%). This corresponds to a risk ratio in the intention-to-treat analysis of 0.80 (95% confidence interval (CI) 0.23-2.78). In the per-protocol analysis, the relative risk was 0.64 (95% CI 0.12-3.46). Observational data emerging during the study provided new evidence for the effectiveness of OAP that changed both the clinical and medical ethical landscape for infection prevention in colorectal surgery. We therefore consider it unethical to continue randomizing patients to placebo. We recommend the implementation of OAP in clinical practice and continuing monitoring of infection rates and antibiotic susceptibilities. The PreCaution trial is registered in the Netherlands Trial Register under NL5932 (previously: NTR6113) as well as in the EudraCT register under 2015-005736-17.</t>
  </si>
  <si>
    <t>User-Centered Design of a Mobile Health Intervention to Enhance Exacerbation-Related Self-Management in Patients With Chronic Obstructive Pulmonary Disease (Copilot): Mixed Methods Study.</t>
  </si>
  <si>
    <t>Korpershoek, Yvonne J G; Hermsen, Sander; Schoonhoven, Lisette; Schuurmans, Marieke J; Trappenburg, Jaap C A</t>
  </si>
  <si>
    <t>https://pubmed.ncbi.nlm.nih.gov/32538793</t>
  </si>
  <si>
    <t>Adequate self-management skills are of great importance for patients with chronic obstructive pulmonary disease (COPD) to reduce the impact of COPD exacerbations. Using mobile health (mHealth) to support exacerbation-related self-management could be promising in engaging patients in their own health and changing health behaviors. However, there is limited knowledge on how to design mHealth interventions that are effective, meet the needs of end users, and are perceived as useful. By following an iterative user-centered design (UCD) process, an evidence-driven and usable mHealth intervention was developed to enhance exacerbation-related self-management in patients with COPD. This study aimed to describe in detail the full UCD and development process of an evidence-driven and usable mHealth intervention to enhance exacerbation-related self-management in patients with COPD. The UCD process consisted of four iterative phases: (1) background analysis and design conceptualization, (2) alpha usability testing, (3) iterative software development, and (4) field usability testing. Patients with COPD, health care providers, COPD experts, designers, software developers, and a behavioral scientist were involved throughout the design and development process. The intervention was developed using the behavior change wheel (BCW), a theoretically based approach for designing behavior change interventions, and logic modeling was used to map out the potential working mechanism of the intervention. Furthermore, the principles of design thinking were used for the creative design of the intervention. Qualitative and quantitative research methods were used throughout the design and development process. The background analysis and design conceptualization phase resulted in final guiding principles for the intervention, a logic model to underpin the working mechanism of the intervention, and design requirements. Usability requirements were obtained from the usability testing phases. The iterative software development resulted in an evidence-driven and usable mHealth intervention-Copilot, a mobile app consisting of a symptom-monitoring module, and a personalized COPD action plan. By following a UCD process, an mHealth intervention was developed that meets the needs and preferences of patients with COPD, is likely to be used by patients with COPD, and has a high potential to be effective in reducing exacerbation impact. This extensive report of the intervention development process contributes to more transparency in the development of complex interventions in health care and can be used by researchers and designers as guidance for the development of future mHealth interventions.</t>
  </si>
  <si>
    <t>Modifiable lifestyle factors and heart failure: A Mendelian randomization study.</t>
  </si>
  <si>
    <t>van Oort, Sabine; Beulens, Joline W J; van Ballegooijen, Adriana J; Handoko, M Louis; Larsson, Susanna C</t>
  </si>
  <si>
    <t>https://pubmed.ncbi.nlm.nih.gov/32682105</t>
  </si>
  <si>
    <t>Lifestyle factors may be important targets in the prevention of heart failure. The current knowledge on the relationship between lifestyle factors and heart failure originates mostly from observational studies. The objective of this study was to investigate causal associations of multiple lifestyle factors with heart failure risk by using Mendelian randomization. We obtained summary statistics data for single nucleotide polymorphisms associated with the following 5 lifestyle factors at genome-wide significance in genome-wide association studies of European-descent individuals: smoking, alcohol consumption, coffee consumption, physical activity, and sleep duration. The corresponding data for heart failure were acquired from a genome-wide association study comprising 47,309 cases and 930,014 controls of European ancestry. For the primary analyses, we used the inverse-variance weighted method. Genetic predisposition to smoking initiation (ever smoked regularly) was robustly associated with a higher odds of heart failure (odds ratio: 1.28; 99% CI: 1.21-1.35). Genetically predicted longer sleep duration was associated with a lower odds of heart failure (odds ratio per hour/day: 0.73; 99% CI: 0.60-0.89). We found no associations of alcohol consumption, coffee consumption, and physical activity with heart failure. This Mendelian randomization study showed that smoking initiation increases heart failure risk, whereas longer sleep duration decreases the risk of heart failure. Sleep duration should be regarded as novel risk factor in heart failure prevention guidelines. The potential causal role of alcohol and coffee consumption and physical activity for heart failure warrants further investigation in future larger Mendelian randomization analyses.</t>
  </si>
  <si>
    <t>Rivaroxaban was found to be noninferior to warfarin in routine clinical care: A retrospective noninferiority cohort replication study.</t>
  </si>
  <si>
    <t>Althunian, Turki A; de Boer, Anthonius; Groenwold, Rolf H H; Rengerink, Katrien O; Souverein, Patrick C; Klungel, Olaf H</t>
  </si>
  <si>
    <t>https://pubmed.ncbi.nlm.nih.gov/32537897</t>
  </si>
  <si>
    <t>To compare the effectiveness and safety of a drug in daily practice with the outcomes of a target non-inferiority trial by rigorously mimickingin an observational study the trial's design features. This cohort study was conducted using the British Clinical Practice Research Datalink (CPRD) to emulate the ROCKET AF (Rivaroxaban Once Daily Oral Direct Factor Xa Inhibition Compared with Vitamin K Antagonism for Prevention of Stroke and Embolism Trial in Atrial Fibrillation) trial. Patients with atrial fibrillation who were newly prescribed (&gt;=12 months of no use) either rivaroxaban or warfarinfrom October 2008 to December 2017 were included. Non-inferiority of rivaroxaban to warfarin in the prevention of stroke or systemic embolism was assessed in different analysis populations (intention-to-treat [ITT], per-protocol [PP], and as-treated populations) using a hazardratio (HR) of 1.46 as the non-inferiority margin. Major bleeding (safety outcome) was also assessed and compared to that of the target trial. All outcomes were analyzed using Cox-proportional hazard analyses. We included 25,473 incident users of rivaroxaban (n=4,008) or warfarin(n=21,465). Similar to the trial, non-inferiority in the primary out come was demonstrated in all three analysis populations: HR=1.04 (95%CI 0.84 to 1.30) (ITT), HR=0.98 (95%CI 0.70 to 1.38) (PP), and HR=1.11 (95%CI 0.86 to 1.42) (as-treated). Risk of major bleeding was also similar to the target trial. The results of this study provide supportive evidence to the effectiveness of rivaroxaban and adds knowledge on the usefulness of emulating a non-inferiority trial to assess drug effectiveness.</t>
  </si>
  <si>
    <t>Low-risk trials for children and pregnant women threatened by unnecessary strict regulations. Does the coming EU Clinical Trial Regulation offer a solution?</t>
  </si>
  <si>
    <t>Knaapen, Max; Ploem, Martine Corrette; Kruijt, Maya; Oudijk, Martijn A; van der Graaf, Rieke; Bet, Pierre M; Bakx, Roel; van Heurn, L W Ernst; Gorter, Ramon R; van der Lee, Johanna H</t>
  </si>
  <si>
    <t>https://pubmed.ncbi.nlm.nih.gov/32535715</t>
  </si>
  <si>
    <t>Investigator-initiated clinical trials are crucial for improving quality of care for children and pregnant women as they are often excluded from industry-initiated trials. However, trials have become increasingly time-consuming and costly since the EU Clinical Trial Directive entered into force in 2001. This directive made compliance with ICH-Good Clinical Practice Guidelines (ethical and quality standard for conducting human subject research) mandatory for all clinical trials, regardless of its risk-classification. By discussing two investigator-initiated, 'low-risk' drug trials, we aim to illustrate that compliance with all GCP requirements makes trials very laborious and expensive, while a clear rationale is missing. This discourages clinical researchers to start and carry out investigator-initiated research. However, the forthcoming EU Clinical Trial Regulation (No 536/2014) seems to provide a solution as it allows for less stringent rules for low-risk trials. We want to raise awareness for these developments in both the clinical research community and the European and national regulatory authorities. Implementation of this forthcoming Regulation regulatory policies should be done in such a way that investigator-initiated trials evaluating standard care interventions will become more feasible. This will allow us to obtain evidence on optimal and safe treatments, especially for groups that are underrepresented in medical research. What is Known • Investigator-initiated trials are indispensable for improving care for children and pregnant women as they are often excluded from industry-initiated trials • Trials have become increasingly time-consuming and costly because of mandatory compliance with ICH-GCP guidelines What is New • The forthcoming EU Clinical Trial Regulation allows less stringent rules for low-risk trials • The national legislator and regulatory authorities should recognize the importance of this opportunity and implement the Regulation in such a way that investigator-initiated trials will become more feasible.</t>
  </si>
  <si>
    <t>Intrinsic motivation of GPs was not related to recruitment success, whereas interest in the study topic was.</t>
  </si>
  <si>
    <t>van der Worp, Henk; Schuch, Guyonne A; Loohuis, Anne M M; van Uum, Rick T; Willemsen, Robert T A; Cals, Jochen W L; Blanker, Marco H</t>
  </si>
  <si>
    <t>https://pubmed.ncbi.nlm.nih.gov/32540388</t>
  </si>
  <si>
    <t>The performance of acute versus antecedent patient characteristics for 1-year mortality prediction during intensive care unit admission: a national cohort study.</t>
  </si>
  <si>
    <t>Kerckhoffs, Monika C; Brinkman, Sylvia; de Keizer, Nicolet; Soliman, Ivo W; de Lange, Dylan W; van Delden, Johannes J M; van Dijk, Diederik</t>
  </si>
  <si>
    <t>https://pubmed.ncbi.nlm.nih.gov/32527298</t>
  </si>
  <si>
    <t>Multiple factors contribute to mortality after ICU, but it is unclear how the predictive value of these factors changes during ICU admission. We aimed to compare the changing performance over time of the acute illness component, antecedent patient characteristics, and ICU length of stay (LOS) in predicting 1-year mortality. In this retrospective observational cohort study, the discriminative value of four generalized mixed-effects models was compared for 1-year and hospital mortality. Among patients with increasing ICU LOS, the models included (a) acute illness factors and antecedent patient characteristics combined, (b) acute component only, (c) antecedent patient characteristics only, and (d) ICU LOS. For each analysis, discrimination was measured by area under the receiver operating characteristics curve (AUC), calculated using the bootstrap method. Statistical significance between the models was assessed using the DeLong method (p value &lt; 0.05). In 400,248 ICU patients observed, hospital mortality was 11.8% and 1-year mortality 21.8%. At ICU admission, the combined model predicted 1-year mortality with an AUC of 0.84 (95% CI 0.84-0.84). When analyzed separately, the acute component progressively lost predictive power. From an ICU admission of at least 3 days, antecedent characteristics significantly exceeded the predictive value of the acute component for 1-year mortality, AUC 0.68 (95% CI 0.68-0.69) versus 0.67 (95% CI 0.67-0.68) (p value &lt; 0.001). For hospital mortality, antecedent characteristics outperformed the acute component from a LOS of at least 7 days, comprising 7.8% of patients and accounting for 52.4% of all bed days. ICU LOS predicted 1-year mortality with an AUC of 0.52 (95% CI 0.51-0.53) and hospital mortality with an AUC of 0.54 (95% CI 0.53-0.55) for patients with a LOS of at least 7 days. Comparing the predictive value of factors influencing 1-year mortality for patients with increasing ICU LOS, antecedent patient characteristics are more predictive than the acute component for patients with an ICU LOS of at least 3 days. For hospital mortality, antecedent patient characteristics outperform the acute component for patients with an ICU LOS of at least 7 days. After the first week of ICU admission, LOS itself is not predictive of hospital nor 1-year mortality.</t>
  </si>
  <si>
    <t>Network Meta-analysis for the Diagnostic Approach to Pathologic Nipple Discharge.</t>
  </si>
  <si>
    <t>Filipe, Mando D; Patuleia, Susanna I S; de Jong, Valentijn M T; Vriens, Menno R; van Diest, Paul J; Witkamp, Arjen J</t>
  </si>
  <si>
    <t>clinical breast cancer</t>
  </si>
  <si>
    <t>https://pubmed.ncbi.nlm.nih.gov/32665191</t>
  </si>
  <si>
    <t>Pathologic nipple discharge (PND) is one of the most common breast-related complaints for referral because of its supposed association with breast cancer. The aim of this network meta-analysis (NMA) was to compare the diagnostic efficacy of ultrasound, mammogram, cytology, magnetic resonance imaging (MRI), and ductoscopy in patients with PND, as well as to determine the best diagnostic strategy to assess the risk of malignancy as cause for PND. Cochrane Library, PubMed, and Embase were searched to collect relevant literature from the inception of each of the diagnostic methods until January 27, 2020. The search yielded 1472 original citations, of which 36 studies with 3764 patients were finally included for analysis. Direct and indirect comparisons were performed using an NMA approach to evaluate the combined odd ratios and to determine the surface under the cumulative ranking curves (SUCRA) of the diagnostic value of different imaging methods for the detection of breast cancer in patients with PND. Additionally, a subgroup meta-analysis comparing ductoscopy to MRI when conventional imaging was negative was also performed. According to this NMA, sensitivity for detection of malignancy in patients with PND was highest for MRI (83%), followed by ductoscopy (58%), ultrasound (50%), cytology (38%), and mammogram (22%). Specificity was highest for mammogram (93%) followed by ductoscopy (92%), cytology (90%), MRI (76%), and ultrasound (69%). Diagnostic accuracy was the highest for ductoscopy (88%), followed by cytology (82%), MRI (77%), mammogram (76%), and ultrasound (65%). Subgroup meta-analysis (comparing ductoscopy to MRI when ultrasound and mammogram were negative) showed no significant difference in sensitivity, but ductoscopy was statistically significantly better with regard to specificity and diagnostic accuracy. The results from this NMA indicate that although ultrasound and mammogram may remain low-cost useful first choices for the detection of malignancy in patients with PND, ductoscopy outperforms most imaging techniques (especially MRI) and cytology.</t>
  </si>
  <si>
    <t>Prostate-specific membrane antigen (PSMA) expression in adenoid cystic carcinoma of the head and neck.</t>
  </si>
  <si>
    <t>Klein Nulent, Thomas J W; Valstar, Matthijs H; Smit, Laura A; Smeele, Ludwig E; Zuithoff, Nicolaas P A; de Keizer, Bart; de Bree, Remco; van Es, Robert J J; Willems, Stefan M</t>
  </si>
  <si>
    <t>https://pubmed.ncbi.nlm.nih.gov/32503460</t>
  </si>
  <si>
    <t>Treatment options for advanced head and neck adenoid cystic carcinoma (AdCC) are limited. Prostate-Specific Membrane Antigen (PSMA), a transmembrane protein that is known for its use in diagnostics and targeted therapy in prostate cancer, is also expressed by AdCC. This study aimed to analyse PSMA expression in a large cohort of primary, recurrent and metastasized AdCC of the head and neck. One hundred ten consecutive patients with histologically confirmed AdCC in the period 1990-2017 were included. An analysis was made of clinical details, revised pathology and semiquantitative immunohistochemical expression of PSMA on tissue microarray and whole slides. Associations of PSMA expression with clinicopathological parameters were explored and survival was analysed by multivariate Cox-proportional Hazard analysis. PSMA expression was present in 94% of the 110 primary tumours, with a median of 31% positive cells (IQR 15-60%). Primary tumours (n = 18) that recurred (n = 15) and/or had metastases (n = 10) demonstrated 40, 60 and 23% expression respectively. Expression was not independently related to increased pathological stage, tumour grade, and the occurrence of locoregional recurrence or metastasis. After dichotomization, only primary tumour PSMA expression ≤10% appeared to be associated with reduced 10-years recurrence-free survival (HR 3.0, 95% CI 1.1-8.5, p = .04). PSMA is highly expressed in primary, recurrent and metastatic AdCC of the salivary and seromucous glands. PSMA expression has no value in predicting clinical behaviour of AdCC although low expression may indicate a reduced recurrence-free survival. This study provides supporting results to consider using PSMA as target for imaging and therapy when other diagnostic and palliative treatment options fail.</t>
  </si>
  <si>
    <t>Measurement of the Lund Jet Plane Using Charged Particles in 13 TeV Proton-Proton Collisions with the ATLAS Detector.</t>
  </si>
  <si>
    <t>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Alexopoulos, T; Alfonsi, A; Alfonsi, F; Alhroob, M; Ali, B; Aliev, M; Alimonti, G; Alkire, S P; Allaire, C; Allbrooke, B M M; Allen, B W; Allport, P P; Aloisio, A; Alonso, A; Alonso, F; Alpigiani, C; Alshehri, A A; Alvarez Estevez, M; Álvarez Piqueras, D; Alviggi, M G; Amaral Coutinho, Y; Ambler, A; Ambroz, L; Amelung, C; Amidei, D; Amor Dos Santos, S P; Amoroso, S; Amr</t>
  </si>
  <si>
    <t>https://pubmed.ncbi.nlm.nih.gov/32567910</t>
  </si>
  <si>
    <t>The prevalence of hadronic jets at the LHC requires that a deep understanding of jet formation and structure is achieved in order to reach the highest levels of experimental and theoretical precision. There have been many measurements of jet substructure at the LHC and previous colliders, but the targeted observables mix physical effects from various origins. Based on a recent proposal to factorize physical effects, this Letter presents a double-differential cross-section measurement of the Lund jet plane using 139  fb^{-1} of sqrt[s]=13  TeV proton-proton collision data collected with the ATLAS detector using jets with transverse momentum above 675 GeV. The measurement uses charged particles to achieve a fine angular resolution and is corrected for acceptance and detector effects. Several parton shower Monte Carlo models are compared with the data. No single model is found to be in agreement with the measured data across the entire plane.</t>
  </si>
  <si>
    <t>The impact of socioeconomic position (SEP) on women's health over the lifetime.</t>
  </si>
  <si>
    <t>O'Neil, Adrienne; Russell, Josephine D; Thompson, Kelly; Martinson, Melissa L; Peters, Sanne A E</t>
  </si>
  <si>
    <t>https://pubmed.ncbi.nlm.nih.gov/32972629</t>
  </si>
  <si>
    <t>The "social gradient of health" refers to the steep inverse associations between socioeconomic position (SEP) and the risk of premature mortality and morbidity. In many societies, due to cultural and structural factors, women and girls have reduced access to the socioeconomic resources that ensure good health and wellbeing when compared with their male counterparts. Thus, the objective of this paper is to review how SEP - a construct at the heart of the Social Determinants of Health (SDoH) theory - shapes the health and longevity of women and girls at all stages of the lifespan. Using literature identified from PubMed, Cochrane, CINAHL and EMBASE databases, we first describe the SDoH theory. We then use examples from each stage of the life course to demonstrate how SEP can differentially shape girls' and women's health outcomes compared with boys' and men's, as well as between sub-groups of girls and women when other axes of inequalities are considered, including ethnicity, race and residential setting. We also explore the key consideration of whether conventional SEP markers are appropriate for understanding the social determinants of women's health. We conclude by making key recommendations in the context of clinical, research and policy development.</t>
  </si>
  <si>
    <t>Phenotypic and lifestyle determinants of HbA1c in the general population-The Hoorn Study.</t>
  </si>
  <si>
    <t>Wisgerhof, Willem; Ruijgrok, Carolien; den Braver, Nicole R; Borgonjen-van den Berg, Karin J; van der Heijden, Amber A W A; Elders, Petra J M; Beulens, Joline W J; Alssema, Marjan</t>
  </si>
  <si>
    <t>https://pubmed.ncbi.nlm.nih.gov/32497119</t>
  </si>
  <si>
    <t>To investigate the relative contribution of phenotypic and lifestyle factors to HbA1c, independent of fasting plasma glucose (FPG) and 2h post-load glucose (2hPG), in the general population. The study populations included 2309 participants without known diabetes from the first wave of the Hoorn Study (1989) and 2619 from the second wave (2006). Multivariate linear regression models were used to analyze the relationship between potential determinants and HbA1c in addition to FPG and 2hPG. The multivariate model was derived in the first wave of the Hoorn Study, and replicated in the second wave. In both cohorts, independent of FPG and 2hPG, higher age, female sex, larger waist circumference, and smoking were associated with a higher HbA1c level. Larger hip circumference, higher BMI, higher alcohol consumption and vitamin C intake were associated with a lower HbA1c level. FPG and 2hPG together explained 41.0% (first wave) and 53.0% (second wave) of the total variance in HbA1c. The combination of phenotypic and lifestyle determinants additionally explained 5.7% (first wave) and 3.9% (second wave). This study suggests that, independent of glucose, phenotypic and lifestyle factors are associated with HbA1c, but the contribution is relatively small. These findings contribute to a better understanding of the low correlation between glucose levels and HbA1c in the general population.</t>
  </si>
  <si>
    <t>Harmonization of Quantitative Parenchymal Enhancement in T&lt;sub&gt;1&lt;/sub&gt; -Weighted Breast MRI.</t>
  </si>
  <si>
    <t>van der Velden, Bas H M; van Rijssel, Michael J; Lena, Beatrice; Philippens, Marielle E P; Loo, Claudette E; Ragusi, Max A A; Elias, Sjoerd G; Sutton, Elizabeth J; Morris, Elizabeth A; Bartels, Lambertus W; Gilhuijs, Kenneth G A</t>
  </si>
  <si>
    <t>https://pubmed.ncbi.nlm.nih.gov/32491246</t>
  </si>
  <si>
    <t>Differences in imaging parameters influence computer-extracted parenchymal enhancement measures from breast MRI. To investigate the effect of differences in dynamic contrast-enhanced MRI acquisition parameter settings on quantitative parenchymal enhancement of the breast, and to evaluate harmonization of contrast-enhancement values with respect to flip angle and repetition time. Retrospective. We modeled parenchymal enhancement using simulations, a phantom, and two cohorts (N = 398 and N = 302) from independent cancer centers. 1.5T dynamic contrast-enhanced T&lt;sub&gt;1&lt;/sub&gt; -weighted spoiled gradient echo MRI. Vendors: Philips, Siemens, General Electric Medical Systems. We assessed harmonization of parenchymal enhancement in simulations and phantom by varying the MR parameters that influence the amount of T&lt;sub&gt;1&lt;/sub&gt; -weighting: flip angle (8°-25°) and repetition time (4-12 msec). We calculated the median and interquartile range (IQR) of the enhancement values before and after harmonization. In vivo, we assessed overlap of quantitative parenchymal enhancement in the cohorts before and after harmonization using kernel density estimations. Cohort 1 was scanned with flip angle 20° and repetition time 8 msec; cohort 2 with flip angle 10° and repetition time 6 msec. Paired Wilcoxon signed-rank-test of bootstrapped kernel density estimations. Before harmonization, simulated enhancement values had a median (IQR) of 0.46 (0.34-0.49). After harmonization, the IQR was reduced: median (IQR): 0.44 (0.44-0.45). In the phantom, the IQR also decreased, median (IQR): 0.96 (0.59-1.22) before harmonization, 0.96 (0.91-1.02) after harmonization. Harmonization yielded significantly (P &lt; 0.001) better overlap in parenchymal enhancement between the cohorts: median (IQR) was 0.46 (0.37-0.58) for cohort 1 vs. 0.37 (0.30-0.44) for cohort 2 before harmonization (57% overlap); and 0.35 (0.28-0.43) vs. .0.37 (0.30-0.44) after harmonization (85% overlap). The proposed practical harmonization method enables an accurate comparison between patients scanned with differences in imaging parameters. 3 TECHNICAL EFFICACY STAGE: 4.</t>
  </si>
  <si>
    <t>Transparent Reporting of Multivariable Prediction Models in Journal and Conference Abstracts: TRIPOD for Abstracts.</t>
  </si>
  <si>
    <t>Heus, Pauline; Reitsma, Johannes B; Collins, Gary S; Damen, Johanna A A G; Scholten, Rob J P M; Altman, Douglas G; Moons, Karel G M; Hooft, Lotty</t>
  </si>
  <si>
    <t>https://pubmed.ncbi.nlm.nih.gov/32479165</t>
  </si>
  <si>
    <t>Clear and informative reporting in titles and abstracts is essential to help readers and reviewers identify potentially relevant studies and decide whether to read the full text. Although the TRIPOD (Transparent Reporting of a multivariable prediction model for Individual Prognosis Or Diagnosis) statement provides general recommendations for reporting titles and abstracts, more detailed guidance seems to be desirable. The authors present TRIPOD for Abstracts, a checklist and corresponding guidance for reporting prediction model studies in abstracts. A list of 32 potentially relevant items was the starting point for a modified Delphi procedure involving 110 experts, of whom 71 (65%) participated in the web-based survey. After 2 Delphi rounds, the experts agreed on 21 items as being essential to report in abstracts of prediction model studies. This number was reduced by merging some of the items. In a third round, participants provided feedback on a draft version of TRIPOD for Abstracts. The final checklist contains 12 items and applies to journal and conference abstracts that describe the development or external validation of a diagnostic or prognostic prediction model, or the added value of predictors to an existing model, regardless of the clinical domain or statistical approach used.</t>
  </si>
  <si>
    <t>Comparison of diagnostic accuracies of rapid serological tests and ELISA to molecular diagnostics in patients with suspected coronavirus disease 2019 presenting to the hospital.</t>
  </si>
  <si>
    <t>Ong, D S Y; de Man, S J; Lindeboom, F A; Koeleman, J G M</t>
  </si>
  <si>
    <t>https://pubmed.ncbi.nlm.nih.gov/32502646</t>
  </si>
  <si>
    <t>To assess the diagnostic performance of rapid lateral flow immunochromatographic assays (LFAs) compared with an ELISA and nucleic acid amplification tests (NATs) in individuals with suspected coronavirus disease 2019 (COVID-19). Patients presenting to a Dutch teaching hospital were eligible between 17 March and 10 April 2020, when they had respiratory symptoms that were suspected for COVID-19. The performances of six different LFAs were evaluated in plasma samples obtained on corresponding respiratory sample dates of NATs testing. Subsequently, the best performing LFA was evaluated in 228 patients and in 50 sera of a historical patient control group. In the pilot analysis, sensitivity characteristics of LFA were heterogeneous, ranging from 2/20 (10%; 95% CI 0%-23%) to 11/20 (55%; 95% CI 33%-77%). In the total cohort, Orient Gene Biotech COVID-19 IgG/IgM Rapid Test LFA had a sensitivity of 43/99 (43%; 95% CI 34%-53%) and specificity of 126/129 (98%; 95% CI 95%-100%). Sensitivity increased to 31/52 (60%; 95% CI 46%-73%) in patients with at least 7 days of symptoms, and to 21/33 (64%; 95% CI 47%-80%) in patients with C-reactive protein (CRP) ≥100 mg/L. Sensitivity and specificity of Wantai SARS-CoV-2 Ab ELISA was 59/95 (62%; 95% CI 52%-72%) and 125/128 (98%; 95% CI 95%-100%) in all patients, respectively, but sensitivity increased to 38/48 (79%; 95% CI 68%-91%) in patients with at least 7 days of symptoms. There is large variability in diagnostic test performance between rapid LFAs, but overall limited sensitivity and high specificity in acutely admitted patients. Sensitivity improved in patients with longer existing symptoms or high CRP. LFAs should only be considered as additional triage tools when these may lead to the improvement of hospital logistics.</t>
  </si>
  <si>
    <t>Value of Repeated Troponin Measurements to Improve the Safety of the HEART Score for Chest Pain Patients at the Emergency Department.</t>
  </si>
  <si>
    <t>Ras, Marten; Reitsma, Johannes B; Hoes, Arno W; Six, A Jacob; Poldervaart, Judith M</t>
  </si>
  <si>
    <t>critical pathways in cardiology</t>
  </si>
  <si>
    <t>https://pubmed.ncbi.nlm.nih.gov/32053520</t>
  </si>
  <si>
    <t>The HEART score is a clinical decision support tool for physicians to stratify the risk of major adverse cardiac events (MACE) in patients presenting with chest pain at the emergency department. The score includes 5 elements, including troponin level. Our aim was to compare safety and efficiency of the HEART scores calculated by using the first representative troponin (ie, based on time since symptom onset) compared to the original HEART score, where calculation was based on the first available troponin measurement, irrespective of duration of symptoms. We performed a secondary analysis on patients from the HEART-impact trial (2013-2014, the Netherlands). Two HEART scores were calculated for all patients: a HEART score with a T (troponin) element score based on the first available troponin (HEART-first) and 1 with a T element score based on the first representative troponin (ie, at least 3 hours after symptom onset; HEART-representative). We compared all patients' scores and risk categories between HEART-first and HEART-representative. Furthermore, we compared safety (proportion of patients with MACE receiving a low score) and efficiency (proportion of patients with a low score) between HEART-first and HEART-representative. We included 1222 patients. In 882 (72%) patients, the first troponin was representative, resulting in the same HEART-first and HEART-representative score. In the remaining 340 patients the use of HEART-representative led to a different score than HEART-first in 43 patients (3.5%). Out of the 222 patients with MACE, 11 patients (5.0%) received a low score by using HEART-first compared with 10 patients (4.5%) when using HEART-representative (P = 0.83). The number of patients with a low score was similar (P = 0.93) when using the HEART-first (464/1222; 38%) or HEART-representative score (462/1222; 38%). Using a representative troponin measurement changed the value of the HEART score in only 3.5% of patients and had no impact on safety and efficiency of the HEART score. These results suggest there is no need to wait for a representative troponin measurement and should encourage physicians to adhere to the original HEART score guidelines.</t>
  </si>
  <si>
    <t>Preferential differences in vaccination decision-making for oneself or one's child in The Netherlands: a discrete choice experiment.</t>
  </si>
  <si>
    <t>Hoogink, Joram; Verelst, Frederik; Kessels, Roselinde; van Hoek, Albert Jan; Timen, Aura; Willem, Lander; Beutels, Philippe; Wallinga, Jacco; de Wit, G Ardine</t>
  </si>
  <si>
    <t>https://pubmed.ncbi.nlm.nih.gov/32487041</t>
  </si>
  <si>
    <t>To optimize the focus of future public information campaigns in The Netherlands promoting the uptake of vaccines among adults and children, we quantified the contribution of several attributes to the vaccination decision. We performed a discrete choice experiment (DCE) among Dutch adults including six attributes, i.e. vaccine effectiveness, vaccine-preventable burden of disease (specified in severity and frequency), accessibility of vaccination in terms of co-payment and prescription requirements, frequency of mild side-effects, population-level vaccination coverage and local vaccination coverage among family and friends. Participants answered the DCE from their own perspective ('oneself' group) or with regard to a vaccine decision for their youngest child ('child' group). The data was analysed by means of panel mixed logit models. We included 1547 adult participants (825 'oneself' and 722 'child'). Vaccine effectiveness was the most important attribute in the 'oneself' group, followed by burden of disease (relative importance (RI) 78%) and accessibility (RI 76%). In the 'child' group, burden of disease was most important, but tied closely with vaccine effectiveness (RI 97%). Of less importance was the risk of mild vaccine-related side-effects and both population and local vaccination coverage. Interestingly, participants were more willing to vaccinate when uptake among the population or family and friends was high, indicating that social influence and social norms plays a role. Vaccine effectiveness and disease severity are key attributes in vaccination decision-making for adults making a decision for themselves and for parents who decide for their children. Hence, public information campaigns for both adult and child vaccination should primarily focus on these two attributes. In addition, reinforcing social norms may be considered.</t>
  </si>
  <si>
    <t>Chest discomfort at night and risk of acute coronary syndrome: cross-sectional study of telephone conversations.</t>
  </si>
  <si>
    <t>Wouters, Loes; Zwart, Dorien; Erkelens, Carmen; de Groot, Esther; Damoiseaux, Roger; Hoes, Arno; Rutten, Frans</t>
  </si>
  <si>
    <t>https://pubmed.ncbi.nlm.nih.gov/32554658</t>
  </si>
  <si>
    <t>During telephone triage it is difficult to assign the adequate urgency to patients with chest discomfort. Considering the time of calling could be helpful. To assess the risk of acute coronary syndrome (ACS) in certain time periods and whether sex influences this risk. Cross-sectional study of 1,655 recordings of telephone conversations of patients who called the out-of-hours services primary care (OHS-PC) for chest discomfort. Call time, patient characteristics, symptoms, medical history and urgency allocation of the triage conversations were collected. The final diagnosis of each call was retrieved at the patient's general practice. Absolute numbers of patients with and without ACS were plotted and risks per hour were calculated. The risk ratio of ACS at night (0 am to 9 am) was calculated by comparing to the risk at other hours, and was adjusted for gender and age. The mean age of callers was 58.9 (SD ± 19.5) years, 55.5% were women and in total, 199 (12.0%) had an ACS. The crude risk ratio for an ACS at night was 1.80 (CI = 1.39 to 2.34, &lt;i&gt;P&lt;/i&gt;&lt;0.001); 2.33 (1.68 to 3.22, &lt;i&gt;P&lt;/i&gt;&lt;0.001) for men, and 1.29 (0.83 to 1.99, &lt;i&gt;P&lt;/i&gt; = 0.256) for women. The adjusted risk ratio for ACS of all people at night was 1.82 (1.07 to 3.10, &lt;i&gt;P&lt;/i&gt; = 0.039). Patients calling the OHS-PC for chest discomfort between 0-9 am have almost twice a higher risk of ACS than those calling other hours, a phenomenon more evident in men than in women. At night, dispatching ambulances more 'straightaway' could be considered for these patients with chest discomfort.</t>
  </si>
  <si>
    <t>Epidemiology of heart failure.</t>
  </si>
  <si>
    <t>Groenewegen, Amy; Rutten, Frans H; Mosterd, Arend; Hoes, Arno W</t>
  </si>
  <si>
    <t>https://pubmed.ncbi.nlm.nih.gov/32483830</t>
  </si>
  <si>
    <t>The heart failure syndrome has first been described as an emerging epidemic about 25 years ago. Today, because of a growing and ageing population, the total number of heart failure patients still continues to rise. However, the case mix of heart failure seems to be evolving. Incidence has stabilized and may even be decreasing in some populations, but alarming opposite trends have been observed in the relatively young, possibly related to an increase in obesity. In addition, a clear transition towards heart failure with a preserved ejection fraction has occurred. Although this transition is partially artificial, due to improved recognition of heart failure as a disorder affecting the entire left ventricular ejection fraction spectrum, links can be made with the growing burden of obesity-related diseases and with the ageing of the population. Similarly, evidence suggests that the number of patients with heart failure may be on the rise in low-income countries struggling under the double burden of communicable diseases and conditions associated with a Western-type lifestyle. These findings, together with the observation that the mortality rate of heart failure is declining less rapidly than previously, indicate we have not reached the end of the epidemic yet. In this review, the evolving epidemiology of heart failure is put into perspective, to discern major trends and project future directions.</t>
  </si>
  <si>
    <t>Missed acute coronary syndrome during telephone triage at out-of-hours primary care: lessons from a case-control study.</t>
  </si>
  <si>
    <t>Erkelens, Carmen; Rutten, Frans; Wouters, Loes; de Groot, Esther; Damoiseaux, Roger; Hoes, Arno; Zwart, Dorien</t>
  </si>
  <si>
    <t>https://pubmed.ncbi.nlm.nih.gov/32554659</t>
  </si>
  <si>
    <t>Serious adverse events (SAE) at out-of-hours services in primary care (OHS-PC) are rare. It most often concerns missed acute coronary syndromes (ACS). Root cause analyses highlighted errors in the triage process, but these analyses are hampered by hindsight bias. To compare triage calls at the OHS-PC of missed ACS with matched controls with chest discomfort but without a missed ACS; and to assess predictors of missed ACS. A case-control study with triage recordings of calls of a missed ACS registered between 2013-2017. Controls were from the same period. Cases were matched 1:8 with controls based on age and gender. Clinical, patient and call characteristics were assessed, and 15 expert GPs rated the triage safety and quality, being blinded to the final diagnosis. We applied conditional logistic regression analysis. Fifteen missed ACS calls and 120 matched control calls were included. Cases used less cardiovascular medication (38.5% versus 64.1%, &lt;i&gt;P&lt;/i&gt; = 0.05), and more often experienced retrosternal chest pain (63.3% versus 24.7%, &lt;i&gt;P&lt;/i&gt; = 0.02) than controls. Consultation of the supervising GP (86.7% versus 49.2%, &lt;i&gt;P&lt;/i&gt; = 0.02) occurred more often in cases than controls. Experts rated the triage of cases more often as 'poor' (33.3% versus 10.9%, &lt;i&gt;P&lt;/i&gt; = 0.001), and 'unsafe' (73.3% versus 22.5%, &lt;i&gt;P&lt;/i&gt;&lt;0.001) than that of controls. It seems nearly impossible to differentiate missed ACS at the OHS-PC from others with chest discomfort based on symptom presentation.</t>
  </si>
  <si>
    <t>Uptake and detection rate of a stepwise cardiometabolic disease detection program in primary care-a cohort study.</t>
  </si>
  <si>
    <t>Stol, Daphne M; Hollander, Monika; Badenbroek, Ilse F; Nielen, Mark M J; Schellevis, François G; de Wit, Niek J</t>
  </si>
  <si>
    <t>https://pubmed.ncbi.nlm.nih.gov/31722402</t>
  </si>
  <si>
    <t>Early detection and treatment of cardiometabolic diseases (CMD) in high-risk patients is a promising preventive strategy to anticipate the increasing burden of CMD. The Dutch guideline 'the prevention consultation' provides a framework for stepwise CMD risk assessment and detection in primary care. The aim of this study was to assess the outcome of this program in terms of newly diagnosed CMD. A cohort study among 30 934 patients, aged 45-70 years without known CMD or CMD risk factors, who were invited for the CMD detection program within 37 general practices. Patients filled out a CMD risk score (step 1), were referred for additional risk profiling in case of high risk (step 2) and received lifestyle advice and (pharmacological) treatment if indicated (step 3). During 1-year follow-up newly diagnosed CMD, prescriptions and abnormal diagnostic tests were assessed. Twelve thousand seven hundred and thirty-eight patients filled out the risk score of which 865, 6665 and 5208 had a low, intermediate and high CMD risk, respectively. One thousand seven hundred and fifty-five high-risk patients consulted the general practitioner, in 346 of whom a new CMD was diagnosed. In an additional 422 patients a new prescription and/or abnormal diagnostic test were found. Implementation of the CMD detection program resulted in a new CMD diagnosis in one-fifth of high-risk patients who attended the practice for completion of their risk profile. However, the potential yield of the program could be higher given the considerable number of additional risk factors-such as elevated glucose, blood pressure and cholesterol levels-found, requiring active follow-up and presumably treatment in the future.</t>
  </si>
  <si>
    <t>Advancing non-communicable diseases research in Ghana: key stakeholders' recommendations from a symposium.</t>
  </si>
  <si>
    <t>Tindana, Paulina; Ramsay, Michèle; Klipstein-Grobusch, Kerstin; Amoakoh-Coleman, Mary</t>
  </si>
  <si>
    <t>https://pubmed.ncbi.nlm.nih.gov/33536683</t>
  </si>
  <si>
    <t>There has been a growing increase in the prevalence of non-communicable diseases (NCDs) globally with reports suggesting that the fastest increase in NCD deaths in the world will occur in sub-Saharan Africa (SSA) over the next 5 to 15 years. Despite the projected increase in NCD-related deaths, there is little coordinated research in many West African nations, including Ghana, to quantify and study this burden and to translate the research findings into policy and practice. To address these challenges, the Noguchi Memorial Institute for Medical Research and the Navrongo Health Research Centre, both in Ghana, with support from the Wits NCD Research Leadership Training Program organized a two-day symposium to discuss the advancement of NCD research in the West African sub-region. The aim was to propose the way forward for strengthening applied research that can inform the development of health policies and programs focused on NCDs. Participants were drawn from academia, research and health institutions, early career researchers and postdoctoral fellows. We present the key themes that emerged from the symposium and some strategies for advancing NCD research in West Africa. These include interdisciplinary collaboration between NCD researchers in the region, generation of accurate data on disease burden and strengthening stakeholder and public engagement on NCDs. Funding for the symposium was provided by NIH Fogarty International Center-Grant number D43TW008330, under the &lt;i&gt;Wits Non-Communicable Disease Research Leadership Training Program.&lt;/i&gt;</t>
  </si>
  <si>
    <t>Gender differences in the accuracy of dietary assessment methods to measure energy intake in adults: protocol for a systematic review and meta-analysis.</t>
  </si>
  <si>
    <t>McKenzie, Briar L; Coyle, Daisy H; Burrows, Tracy; Rosewarne, Emalie; Peters, Sanne A E; Carcel, Cheryl; Collins, Clare E; Norton, Robyn; Woodward, Mark; Jaacks, Lindsay M; Webster, Jacqui</t>
  </si>
  <si>
    <t>https://pubmed.ncbi.nlm.nih.gov/32487576</t>
  </si>
  <si>
    <t>Diet is an important modifiable risk factor for many chronic diseases. Measurement of dietary intake usually relies on self-report, subject to multiple biases. There is a need to understand gender differences in the self-report of dietary intake and the implications of any differences in targeting nutrition interventions. Literature in this area is limited and it is currently unknown whether self-report dietary assessment methods are equally accurate for women and men. The aim of this systematic review is to determine whether there are differences by gender in reporting energy intake compared with a reference measure of total energy expenditure. A comprehensive search of published original research studies will be performed in MEDLINE, Scopus, Web of Science, EMBASE, CINAHL and Cochrane library. Original research studies will be included if they were conducted in free-living/unhospitalised adults and included a measure for both women and men of (a) self-reported energy intake and (b) total energy expenditure by doubly labelled water. One author will conduct the electronic database searches, two authors will independently screen studies, conduct a quality appraisal of the included studies using standardised tools and extract data. If further information is needed, then study authors will be contacted. If appropriate, a random-effects meta-analysis will be conducted, with inverse probability weighting, to quantify differences in the mean difference in agreement between reported energy intake and measured energy expenditure between women and men, by self-report assessment method. Subgroup analyses will be conducted by participant factors, geographical factors and study quality. All data used will be from published primary research studies or deidentified results provided at the discretion of any study authors that we contact. We will submit our findings to a peer-reviewed scientific journal and will disseminate results through presentations at international scientific conferences. CRD42019131715.</t>
  </si>
  <si>
    <t>Pure Fruit Juice and Fruit Consumption Are Not Associated with Incidence of Type 2 Diabetes after Adjustment for Overall Dietary Quality in the European Prospective Investigation into Cancer and Nutrition-Netherlands (EPIC-NL) Study.</t>
  </si>
  <si>
    <t>Scheffers, Floor R; Wijga, Alet H; Verschuren, W M Monique; van der Schouw, Yvonne T; Sluijs, Ivonne; Smit, Henriëtte A; Boer, Jolanda M A</t>
  </si>
  <si>
    <t>https://pubmed.ncbi.nlm.nih.gov/31943054</t>
  </si>
  <si>
    <t>Dietary guidelines on pure fruit juice consumption vary from country to country regarding the inclusion of pure fruit juice in the recommendations as an acceptable alternative for fruit. Current epidemiological evidence on the association between pure fruit juice consumption and diabetes risk is scarce. We studied the association of both pure fruit juice and fruit consumption with diabetes risk and investigated the differences between low and high fruit consumers in the association of pure fruit juice consumption with diabetes risk. This prospective cohort study included 36,147 participants in the European Prospective Investigation into Cancer and Nutrition-Netherlands (EPIC-NL) Study aged 20-69 y at baseline. Fruit juice and fruit consumption were assessed using a validated food-frequency questionnaire; amounts of consumption were divided into 5 categories and quintiles, respectively. Incident type 2 diabetes cases were mainly self-reported and verified against medical records. Cox regression was used to estimate adjusted HRs and 95% CIs. After an average follow-up of 14.6 y, 1477 verified incident cases of type 2 diabetes were documented. Compared with no consumption, pure fruit juice consumption was not significantly associated with type 2 diabetes, with adjusted HRs ranging from 0.92 (95% CI: 0.79, 1.09) to 1.03 (95% CI: 0.83, 1.26). The associations did not differ between participants with low and high fruit consumption. None of the categories of fruit consumption were associated with type 2 diabetes (lowest quintile as reference). Adjusted HRs ranged between 0.93 (95% CI: 0.78, 1.10) and 1.00 (95% CI: 0.84, 1.19). Adjustment for the Dutch Healthy Diet Index, as an overall measure of dietary quality, strongly attenuated the observed associations of type 2 diabetes with both fruit juice and fruit consumption. We found no evidence for associations between pure fruit juice and fruit consumption and diabetes risk after adjustment for overall dietary quality for participants in the EPIC-NL study. This trial was registered at https://www.trialregister.nl/trial/6939 as NL6939.</t>
  </si>
  <si>
    <t>Prevalence and adverse obstetric outcomes of female genital mutilation among women in rural Northern Ghana.</t>
  </si>
  <si>
    <t>Nonterah, Engelbert A; Kanmiki, Edmund W; Agorinya, Isaiah A; Sakeah, Evelyn; Tamimu, Mariatu; Kagura, Juliana; Kaburise, Michael B; Ayamba, Emmanuel Y; Nonterah, Esmond W; Awuni, Denis A; Al-Hassan, Majeedallahi; Ofosu, Winfred; Awoonor-Williams, John K; Oduro, Abraham R</t>
  </si>
  <si>
    <t>https://pubmed.ncbi.nlm.nih.gov/31637426</t>
  </si>
  <si>
    <t>Female genital mutilation (FGM) is commonly practiced in sub-Saharan Africa and results in adverse pregnancy outcomes among affected women. This paper assessed the prevalence and effects of FGM on pregnancy outcomes in a rural Ghanaian setting. We analyzed 9306 delivery records between 2003 and 2013 from the Navrongo War Memorial Hospital. Multivariable logistic regression analyses were used to determine the effects of FGM on pregnancy outcomes such as stillbirth, birth weight, postpartum haemorrhage, caesarean and instrumental delivery. We also assessed differences in the duration of stay in the hospital by FGM status. A greater proportion of mothers with FGM (24.7%) were older than 35 years compared with those without FGM (7.6%). FGM declined progressively from 28.4% in 2003 to 0.6% in 2013. Mothers with FGM were nearly twice as likely to have caesarean delivery (adjusted odds ratios = 1.85 with 95%CI [1.72, 1.99]) and stillbirths (1.60 [1.21, 2.11]) compared with those without. Similarly, they had a 4-fold increased risk of post-partum haemorrhage (4.69 [3.74, 5.88]) and more than 2-fold risk lacerations/episiotomy (2.57 [1.86, 3.21]) during delivery. Average duration of stay in the hospital was higher for mothers with FGM from 2003 to 2007. Despite significant decline in prevalence of FGM, adverse obstetric outcomes are still high among affected women. Increased public health education of circumcised women on these outcomes would help improve institutional deliveries and heighten awareness and prompt clinical decisions among healthcare workers. Further scale-up of community level interventions are required to completely eliminate FGM.</t>
  </si>
  <si>
    <t>Menstrual Factors, Reproductive History, Hormone Use, and Urothelial Carcinoma Risk: A Prospective Study in the EPIC Cohort.</t>
  </si>
  <si>
    <t>Lujan-Barroso, Leila; Botteri, Edoardo; Caini, Saverio; Ljungberg, Börje; Roswall, Nina; Tjønneland, Anne; Bueno-de-Mesquita, Bas; Gram, Inger T; Tumino, Rosario; Kiemeney, Lambertus A; Liedberg, Fredrik; Stocks, Tanja; Gunter, Marc J; Murphy, Neil; Cervenka, Iris; Fournier, Agnès; Kvaskoff, Marina; Häggström, Christel; Overvad, Kim; Lund, Eiliv; Waaseth, Marit; Fortner, Renée Turzanski; Kühn, Tilman; Menéndez, Virginia; Sánchez, Maria-Jose; Santiuste, Carmen; Perez-Cornago, Aurora; Zamora-Ros, Raul; Cross, Amanda J; Trichopoulou, Antonia; Karakatsani, Anna; Peppa, Eleni; Palli, Domenico; Krogh, Vittorio; Sciannameo, Veronica; Mattiello, Amalia; Panico, Salvatore; van Gils, Carla H; Onland-Moret, N Charlotte; Barricarte, Aurelio; Amiano, Pilar; Khaw, Kay-Tee; Boeing, Heiner; Weiderpass, Elisabete; Duell, Eric J</t>
  </si>
  <si>
    <t>https://pubmed.ncbi.nlm.nih.gov/32467345</t>
  </si>
  <si>
    <t>Urothelial carcinoma is the predominant (95%) bladder cancer subtype in industrialized nations. Animal and epidemiologic human studies suggest that hormonal factors may influence urothelial carcinoma risk. We used an analytic cohort of 333,919 women from the European Prospective Investigation into Cancer and Nutrition Cohort. Associations between hormonal factors and incident urothelial carcinoma (overall and by tumor grade, tumor aggressiveness, and non-muscle-invasive urothelial carcinoma) risk were evaluated using Cox proportional hazards models. During a mean of 15 years of follow-up, 529 women developed urothelial carcinoma. In a model including number of full-term pregnancies (FTP), menopausal status, and menopausal hormone therapy (MHT), number of FTP was inversely associated with urothelial carcinoma risk (HR&lt;sub&gt;≥5vs1&lt;/sub&gt; = 0.48; 0.25-0.90; &lt;i&gt;P&lt;/i&gt; &lt;sub&gt;trend&lt;/sub&gt; in parous women = 0.010) and MHT use (compared with nonuse) was positively associated with urothelial carcinoma risk (HR = 1.27; 1.03-1.57), but no dose response by years of MHT use was observed. No modification of HRs by smoking status was observed. Finally, sensitivity analyses in never smokers showed similar HR patterns for the number of FTP, while no association between MHT use and urothelial carcinoma risk was observed. Association between MHT use and urothelial carcinoma risk remained significant only in current smokers. No heterogeneity of the risk estimations in the final model was observed by tumor aggressiveness or by tumor grade. A positive association between MTH use and non-muscle-invasive urothelial carcinoma risk was observed. Our results support that increasing the number of FTP may reduce urothelial carcinoma risk. More detailed studies on parity are needed to understand the possible effects of perinatal hormone changes in urothelial cells.</t>
  </si>
  <si>
    <t>From "being at war" to "getting back on your feet": A qualitative study on experiences of patients with systemic sclerosis treated with hematopoietic stem cell transplantation.</t>
  </si>
  <si>
    <t>Spierings, Julia; de Bresser, Carolijn Jm; van Rhijn-Brouwer, Femke Cc; Pieterse, Arwen; Vonk, Madelon C; Voskuyl, Alexandre E; de Vries-Bouwstra, Jeska K; van Laar, Jacob M; Kars, Marijke C</t>
  </si>
  <si>
    <t>journal of scleroderma and related disorders</t>
  </si>
  <si>
    <t>https://pubmed.ncbi.nlm.nih.gov/35382525</t>
  </si>
  <si>
    <t>To gain insight into the experiences of patients with diffuse cutaneous systemic sclerosis during and after autologous hematopoietic stem cell transplantation. Semi-structured interviews were conducted with patients who underwent hematopoietic stem cell transplantation in four university hospitals in the Netherlands. Interviews were transcribed verbatim and thematically analyzed. Nine male and seven female patients were interviewed, median age 47 years (range: 27-68). Patients mentioned their life was severely disrupted before hematopoietic stem cell transplantation and remained unsettled a long time after treatment. Uncertainty because of disease progression, loss of control over health and the sense of time and fear of treatment-related adverse events were common during hospitalization. After hematopoietic stem cell transplantation, patients experienced more physical limitations than they had expected, and recovery took longer and was mentally taxing. Going back to work and finding a new balance in personal relations and social life was complicated. Patients described various strategies to deal with challenges. Family and friends provided essential support, although many experienced a dwindling social circle. Most patients also appreciated peer support. All patients were satisfied with the low threshold for contact with physicians and nurses during hospitalization. However, aftercare focused on medical aspects rather than on psychological well-being and social issues. Moreover, patients would have preferred to be better prepared on what to expect after discharge, and lacked information about self-management, prognosis, optimal recovery, work, sexuality, and family planning. Hematopoietic stem cell transplantation has a major physical and psychological impact on patients with diffuse cutaneous systemic sclerosis. The course of recovery after this intensive therapy was unexpectedly long for some patients and offer of support was far less pro-active post-HSCT compared to pre-HSCT and during HSCT.</t>
  </si>
  <si>
    <t>Opportunistic screening versus usual care for diagnosing atrial fibrillation in general practice: a cluster randomised controlled trial.</t>
  </si>
  <si>
    <t>Kaasenbrood, Femke; Hollander, Monika; de Bruijn, Steven Hm; Dolmans, Carlijn Pe; Tieleman, Robert G; Hoes, Arno W; Rutten, Frans H</t>
  </si>
  <si>
    <t>https://pubmed.ncbi.nlm.nih.gov/31988084</t>
  </si>
  <si>
    <t>Atrial fibrillation (AF) increases the risk of stroke, heart failure, and all-cause mortality. AF may be asymptomatic and therefore remain undiagnosed. Devices such as single-lead electrocardiographs (ECGs) may help GPs to diagnose AF. To investigate the yield of opportunistic screening for AF in usual primary care using a single-lead ECG device. A clustered, randomised controlled trial among patients aged ≥65 years with no recorded AF status in the Netherlands from October 2014 to March 2016. Fifteen intervention general practices used a single-lead ECG device at their discretion and 16 control practices offered usual care. The follow-up period was 1 year, and the primary outcome was the proportion of newly diagnosed cases of AF. In total, 17 107 older people with no recorded AF status were eligible to participate in the study. In the intervention arm, 10.7% of eligible patients (&lt;i&gt;n&lt;/i&gt; = 919) were screened over the duration of the study year. The rate of newly diagnosed AF was similar in the intervention and control practices (1.43% versus 1.37%, &lt;i&gt;P&lt;/i&gt; = 0.73). Screened patients were more likely to have comorbidities, such as hypertension (60.0% versus 48.7%), type 2 diabetes (24.3% versus 18.6%), and chronic obstructive pulmonary disease (11.3% versus 7.4%), than eligible patients not screened in the intervention arm. Among patients with newly diagnosed AF in intervention practices, 27% were detected by screening, 23% by usual primary care, and 50% by a medical specialist or after stroke/transient ischaemic attack. Opportunistic screening with a single-lead ECG at the discretion of the GP did not result in a higher yield of newly detected cases of AF in patients aged ≥65 years in the community than usual care. For higher participation rates in future studies, more rigorous screening methods are needed.</t>
  </si>
  <si>
    <t>Meta-Analyses Proved Inconsistent in How Missing Data Were Handled Across Their Included Primary Trials: A Methodological Survey.</t>
  </si>
  <si>
    <t>Kahale, Lara A; Khamis, Assem M; Diab, Batoul; Chang, Yaping; Lopes, Luciane Cruz; Agarwal, Arnav; Li, Ling; Mustafa, Reem A; Koujanian, Serge; Waziry, Reem; Busse, Jason W; Dakik, Abeer; Hooft, Lotty; Guyatt, Gordon H; Scholten, Rob J P M; Akl, Elie A</t>
  </si>
  <si>
    <t>https://pubmed.ncbi.nlm.nih.gov/32547244</t>
  </si>
  <si>
    <t>How systematic review authors address missing data among eligible primary studies remains uncertain. To assess whether systematic review authors are consistent in the way they handle missing data, both across trials included in the same meta-analysis, and with their reported methods. We first identified 100 eligible systematic reviews that included a statistically significant meta-analysis of a patient-important dichotomous efficacy outcome. Then, we successfully retrieved 638 of the 653 trials included in these systematic reviews' meta-analyses. From each trial report, we extracted statistical data used in the analysis of the outcome of interest to compare with the data used in the meta-analysis. First, we used these comparisons to classify the "analytical method actually used" for handling missing data by the systematic review authors for each included trial. Second, we assessed whether systematic reviews explicitly reported their analytical method of handling missing data. Third, we calculated the proportion of systematic reviews that were consistent in their "analytical method actually used" across trials included in the same meta-analysis. Fourth, among systematic reviews that were consistent in the "analytical method actually used" across trials and explicitly reported on a method for handling missing data, we assessed whether the "analytical method actually used" and the reported methods were consistent. We were unable to determine the "analytical method reviews actually used" for handling missing outcome data among 397 trials. Among the remaining 241, systematic review authors most commonly conducted "complete case analysis" (n=128, 53%) or assumed "none of the participants with missing data had the event of interest" (n=58, 24%). Only eight of 100 systematic reviews were consistent in their approach to handling missing data across included trials, but none of these reported methods for handling missing data. Among seven reviews that did explicitly report their analytical method of handling missing data, only one was consistent in their approach across included trials (using complete case analysis), and their approach was inconsistent with their reported methods (assumed all participants with missing data had the event). The majority of systematic review authors were inconsistent in their approach towards reporting and handling missing outcome data across eligible primary trials, and most did not explicitly report their methods to handle missing data. Systematic review authors should clearly identify missing outcome data among their eligible trials, specify an approach for handling missing data in their analyses, and apply their approach consistently across all primary trials.</t>
  </si>
  <si>
    <t>Proactive screening for symptoms: A simple method to improve early detection of unrecognized cardiovascular disease in primary care. Results from the Lifelines Cohort Study.</t>
  </si>
  <si>
    <t>Zwartkruis, Victor W; Groenewegen, Amy; Rutten, Frans H; Hollander, Monika; Hoes, Arno W; van der Ende, M Yldau; van der Harst, Pim; Cramer, Maarten Jan; van der Schouw, Yvonne T; Koffijberg, Hendrik; Rienstra, Michiel; de Boer, Rudolf A</t>
  </si>
  <si>
    <t>https://pubmed.ncbi.nlm.nih.gov/32473262</t>
  </si>
  <si>
    <t>Cardiovascular disease (CVD) often goes unrecognized, despite symptoms frequently being present. Proactive screening for symptoms might improve early recognition and prevent disease progression or acute cardiovascular events. We studied the diagnostic value of symptoms for the detection of unrecognized atrial fibrillation (AF), heart failure (HF), and coronary artery disease (CAD) and developed a corresponding screening questionnaire. We included 100,311 participants (mean age 52 ± 9 years, 58% women) from the population-based Lifelines Cohort Study. For each outcome (unrecognized AF/HF/CAD), we built a multivariable model containing demographics and symptoms. These models were combined into one 'three-disease' diagnostic model and questionnaire for all three outcomes. Results were validated in Lifelines participants with chronic obstructive pulmonary disease (COPD) and diabetes mellitus (DM). Unrecognized CVD was identified in 1325 participants (1.3%): AF in 131 (0.1%), HF in 599 (0.6%), and CAD in 687 (0.7%). Added to age, sex, and body mass index, palpitations were independent predictors for unrecognized AF; palpitations, chest pain, dyspnea, exercise intolerance, health-related stress, and self-expected health worsening for unrecognized HF; smoking, chest pain, exercise intolerance, and claudication for unrecognized CAD. Area under the curve for the combined diagnostic model was 0.752 (95% CI 0.737-0.766) in the total population and 0.757 (95% CI 0.734-0.781) in participants with COPD and DM. At the chosen threshold, the questionnaire had low specificity, but high sensitivity. In conclusion, a short questionnaire about demographics and symptoms can improve early detection of CVD and help pre-select people who should or should not undergo further screening for CVD.</t>
  </si>
  <si>
    <t>Analytical performance and user-friendliness of five novel point-of-care D-dimer assays.</t>
  </si>
  <si>
    <t>Heerink, Jorn S; Gemen, Eugenie; Oudega, Ruud; Hopstaken, Rogier; Geersing, Geert-Jan; Kusters, Ron</t>
  </si>
  <si>
    <t>scandinavian journal of clinical and laboratory investigation</t>
  </si>
  <si>
    <t>https://pubmed.ncbi.nlm.nih.gov/32459511</t>
  </si>
  <si>
    <t>D-dimer testing combined with a clinical assessment has become a standard pathway for ruling-out venous thromboembolism (VTE). Recently, novel Point-of-Care (POC) D-dimer assays have been introduced, enabling low-volume blood sampling for rapid exclusion of VTE in a one-step procedure. We assessed the analytical validity and user-friendliness of a set of these novel POC D-dimer assays, and compared the results with a standard laboratory assay. Plasma samples were run on our reference assay (STA-Liatest D-di PLUS&lt;sup&gt;®&lt;/sup&gt;) and five POC assays: Nano-Checker 710&lt;sup&gt;®&lt;/sup&gt;, AFIAS-1&lt;sup&gt;®&lt;/sup&gt;; iChroma-II&lt;sup&gt;®&lt;/sup&gt;; Standard F200&lt;sup&gt;®&lt;/sup&gt; and Hipro AFS/1&lt;sup&gt;®&lt;/sup&gt;). After evaluating imprecision, Pearson Product-Moment correlation coefficients were calculated, Passing Bablok regression was performed and Bland-Altman plots were generated. User-friendliness was evaluated using the System Usability Scale (SUS). A set of 238 plasma samples of patients clinically suspected of VTE in general practice was available for analysis. Only one POC D-dimer assay (Nano-Checker 710) demonstrated an insufficient degree of imprecision. Pearson correlation coefficients and mean biases ranged from 0.68 to 0.93 and -165 to -53 μg/L respectively, and concordance with our reference assay varied from 71.8% to 89.5% using a 500 μg/L cut-off point. While we found considerable variation in overall user-friendliness, most devices were judged easy to use. In view of our findings regarding analytical performance and user-friendliness, we consider most of the novel POC D-dimer assays can be used in settings outside of the laboratory such as general practice, combining the possibility of multi-testing with low-volume capillary blood sampling and processing times of less than 15 min.</t>
  </si>
  <si>
    <t>The Leadership Mentoring in Nursing Research Program for Postdoctoral Nurses: A Development Paper.</t>
  </si>
  <si>
    <t>Hafsteinsdóttir, Thóra B; Schoonhoven, Lisette; Hamers, Jan; Schuurmans, Marieke J</t>
  </si>
  <si>
    <t>journal of nursing scholarship an official publication of sigma theta tau international honor society of nursing</t>
  </si>
  <si>
    <t>https://pubmed.ncbi.nlm.nih.gov/32452651</t>
  </si>
  <si>
    <t>The Dutch Nursing Science Faculties developed the Leadership Mentoring in Nursing Research program, which aims to increase the cadre of nurse scientists, strengthen nursing research within universities, and improve the career development of postdoctoral nurses. The purpose of this article was to describe the development of the leadership and mentoring program to foster its replication and to present a formative program evaluation. The leadership mentoring program was developed using a three-step procedure: a systematic review of the literature on successful leadership programs was conducted; theoretical underpinnings were identified and input; and feedback was solicited from national and international experts and changes made, resulting in the final program, which was executed from February 2016-2018. A 2-year leadership and mentoring program for postdoctoral nurses working in research was developed and executed. Ten fellows completed the program and worked on their leadership development, developed their own research programs, and established research collaborations. Formative evaluations showed that the fellows highly valued the program sessions. We have learned several key lessons on how to structure, implement, and evaluate the leadership and mentoring program. Through the leadership and mentoring program, the fellows are immersed in concerted leadership development focusing on the academic leadership role. Formative evaluations showed that the program was valued by the fellows and that several key lessons were learned. Through the leadership and mentoring program, 10 postdoctoral nurses strengthened their leadership in research and will further develop their role in healthcare research, clinical practice, and education.</t>
  </si>
  <si>
    <t>Dexamethasone for the Prevention of a Pain Flare After Palliative Radiation Therapy for Painful Bone Metastases: The Multicenter Double-Blind Placebo-Controlled 3-Armed Randomized Dutch DEXA Study.</t>
  </si>
  <si>
    <t>van der Linden, Yvette M; Westhoff, Paulien G; Stellato, Rebecca K; van Baardwijk, Angela; de Vries, Kim; Ong, Francisca; Wiggenraad, Ruud; Bakri, Bonnie; Wester, Gerda; de Pree, Ilse; van Veelen, Lieneke; Budiharto, Tom; Schippers, Maaike; Reyners, Anna K L; de Graeff, Alexander</t>
  </si>
  <si>
    <t>https://pubmed.ncbi.nlm.nih.gov/32446951</t>
  </si>
  <si>
    <t>After radiation therapy for painful bone metastases, up to 44% of patients report a pain flare (PF). Our study compared 2 dose schedules of dexamethasone versus placebo to prevent PF. This double-blind, randomized, placebo-controlled trial allocated patients with painful bone metastases from solid tumors randomly to receive 8 mg dexamethasone before radiation therapy followed by 3 daily doses (group A), 8 mg dexamethasone followed by 3 doses of placebo (group B), or 4 doses of placebo (group C). Patients reported worst pain scores, study medication side effects, and opioid intake before treatment and thereafter daily for 14 days and on day 28. PF was defined as at least a 2-point increase on a 0 to 10 pain scale with no decrease in opioid intake or a 25% or greater increase in opioid intake with no decrease in pain score, followed by a return to baseline or lower. The primary analysis was by intention to treat with patients who had missing data classified as having a PF. From January 2012 to April 2016, 295 patients were randomized. PF incidence was 38% for group A, 27% for group B, and 39% for group C (P = .07). Although patients in group B had the lowest PF incidence, a relatively high percentage did not return to baseline pain levels, indicating pain progression. The mean duration of PF was 2.1 days for group A, 4.5 days for group B, and 3.3 days for group C (P = .0567). Dexamethasone postponed PF occurrence; in group A 52% occurred on days 2 to 5 versus 73% in group B and 99% in group C (P = .02). Patients in group A reported lower mean pain scores on days 2 to 5 than those in group B or C (P &lt; .001). Side effects were similar. There was insufficient evidence that dexamethasone reduced the incidence of radiation-induced PF. However, dexamethasone postponed the occurrence of PF and led to lower mean pain scores on days 2 to 5.</t>
  </si>
  <si>
    <t>Looking for the optimal treatment of uncomplicated urinary tract infections.</t>
  </si>
  <si>
    <t>Verheij, Theo J M; Platteel, Tamara N</t>
  </si>
  <si>
    <t>https://pubmed.ncbi.nlm.nih.gov/32446326</t>
  </si>
  <si>
    <t>Substitution among milk and yogurt products and the risk of incident type 2 diabetes in the EPIC-NL cohort.</t>
  </si>
  <si>
    <t>Stuber, J M; Vissers, L E T; Verschuren, W M M; Boer, J M A; van der Schouw, Y T; Sluijs, I</t>
  </si>
  <si>
    <t>journal of human nutrition and dietetics the official journal of the british dietetic association</t>
  </si>
  <si>
    <t>https://pubmed.ncbi.nlm.nih.gov/32438495</t>
  </si>
  <si>
    <t>Higher dairy consumption has been associated with lower type 2 diabetes (T2D) risk, whereas dairy product subtypes appear to differ in their T2D risk association. We investigated whether replacing one type of milk or yogurt product with another is associated with T2D incidence. Participants of the European Prospective Investigation into Cancer and Nutrition-Netherlands (EPIC-NL) cohort (n = 35 982) were included in the present study. Information on milk and yogurt consumption at baseline was obtained by a validated food frequency questionnaire. T2D cases were identified by self-report or linkage to the hospital discharge registry, and validated by consulting the general practitioner. Multivariable Cox proportional hazard models were used to estimate associations. During a mean of 15 years of follow-up, 1467 indecent T2D cases were validated. Median total milk and yogurt intake was 1.5 servings (25th percentile to 75th percentile: 0.8-2.4). After adjustment for demographic and cardiovascular risk factors, replacement of one serving (200 g) of whole-fat milk [hazard ratio (HR) = 0.93, 95% confidence interval (CI) = 0.60-1.44], buttermilk (HR = 0.88, 95% CI = 0.58-1.34), skimmed milk (HR = 0.87, 95% CI = 0.57-1.32) or skimmed fermented milk (HR = 0.99, 95% CI = 0.63-1.54) with whole-fat yogurt was not associated with T2D risk. Substitutions among other milk and yogurt products were also not associated with T2D risk. Sensitivity analysis investigating T2D risk halfway follow-up suggested a lower risk for substitutions with whole-fat yogurt. No evidence was found for the association between substitutions among milk and yogurt products and the risk of incident T2D, although we cannot exclude possible attenuation of results as a result of dietary changes over time. This analysis should be repeated in a population with a wider consumption range of whole-fat yogurt.</t>
  </si>
  <si>
    <t>Mismatch between self-perceived and calculated cardiometabolic disease risk among participants in a prevention program for cardiometabolic disease: a cross-sectional study.</t>
  </si>
  <si>
    <t>Stol, D M; Hollander, M; Damman, O C; Nielen, M M J; Badenbroek, I F; Schellevis, F G; de Wit, N J</t>
  </si>
  <si>
    <t>https://pubmed.ncbi.nlm.nih.gov/32434574</t>
  </si>
  <si>
    <t>The rising prevalence of cardiometabolic diseases (CMD) calls for effective prevention programs. Self-assessment of CMD risk, for example through an online risk score (ORS), might induce risk reducing behavior. However, the concept of disease risk is often difficult for people to understand. Therefore, the study objective was to assess the impact of communicating an individualized CMD risk score through an ORS on perceived risk and to identify risk factors and demographic characteristics associated with risk perception among high-risk participants of a prevention program for CMD. A cross-sectional analysis of baseline data from a randomized controlled trial conducted in a primary care setting. Seven thousand five hundred forty-seven individuals aged 45-70 years without recorded CMD, hypertension or hypercholesterolemia participated. The main outcome measures were: 1) differences in cognitive and affective risk perception between the intervention group - who used an ORS and received an individualized CMD risk score- and the control group who answered questions about CMD risk, but did not receive an individualized CMD risk score; 2) risk factors and demographic characteristics associated with risk perception. No differences were found in cognitive and affective risk perception between the intervention and control group and risk perception was on average low, even among high-risk participants. A positive family history for diabetes type 2 (β0.56, CI95% 0.39-0.73) and cardiovascular disease (β0.28, CI95% 0.13-0.43), BMI ≥25 (β0.27, CI95% 0.12-0.43), high waist circumference (β0.25, CI95% 0.02-0.48) and physical inactivity (β0.30, CI95% 0.16-0.45) were positively associated with cognitive CMD risk perception in high-risk participants. No other risk factors or demographic characteristics were associated with risk perception. Communicating an individualized CMD risk score did not affect risk perception. A mismatch was found between calculated risk and self-perceived risk in high-risk participants. Family history and BMI seem to affect the level of CMD risk perception more than risk factors such as sex, age and smoking. A dialogue about personal CMD risk between patients and health care professionals might optimize the effect of the provided risk information. Dutch trial Register number NTR4277, registered 26th Nov 2013.</t>
  </si>
  <si>
    <t>Sex Differences in Cardiovascular Medication Prescription in Primary Care: A Systematic Review and Meta-Analysis.</t>
  </si>
  <si>
    <t>Zhao, Min; Woodward, Mark; Vaartjes, Ilonca; Millett, Elizabeth R C; Klipstein-Grobusch, Kerstin; Hyun, Karice; Carcel, Cheryl; Peters, Sanne A E</t>
  </si>
  <si>
    <t>https://pubmed.ncbi.nlm.nih.gov/32431190</t>
  </si>
  <si>
    <t>Background Sex differences in the management of cardiovascular disease have been reported in secondary care. We conducted a systematic review with meta-analysis of systematically investigated sex differences in cardiovascular medication prescription among patients at high risk or with established cardiovascular disease in primary care. Methods and Results PubMed and Embase were searched between 2000 and 2019 for observational studies reporting on the sex-specific prevalence of aspirin, statins, and antihypertensive medication prescription, including beta blockers, calcium channel blockers, angiotensin-converting enzyme inhibitors, and diuretics, in primary care. Random effects meta-analysis was used to obtain pooled women-to-men prevalence ratios for each cardiovascular medication prescription. Metaregression models assessed the impact of age and year on the findings. A total of 43 studies were included, involving 2 264 600 participants (28% women) worldwide. Participants' mean age ranged from 51 to 76 years. The pooled prevalence of cardiovascular medication prescription for women was 41% for aspirin, 60% for statins, and 68% for any antihypertensive medications. Corresponding rates for men were 56%, 63%, and 69% respectively. The pooled women-to-men prevalence ratios were 0.81 (95% CI, 0.72-0.92) for aspirin, 0.90 (95% CI, 0.85-0.95) for statins, and 1.01 (95% CI, 0.95-1.08) for any antihypertensive medications. Women were less likely to be prescribed angiotensin-converting enzyme inhibitors (0.85; 95% CI, 0.81-0.89) but more likely with diuretics (1.27; 95% CI, 1.17-1.37). Mean age, mean age difference between the sexes, and year of study had no significant impact on findings. Conclusions Sex differences in the prescription of cardiovascular medication exist among patients at high risk or with established cardiovascular disease in primary care, with a lower prevalence of aspirin, statins, and angiotensin-converting enzyme inhibitors prescription in women and a lower prevalence of diuretics prescription in men.</t>
  </si>
  <si>
    <t>The course of cerebrospinal fluid parameters ≤ 20 days after aneurysmal subarachnoid hemorrhage.</t>
  </si>
  <si>
    <t>Koopman, Inez; Zuithoff, Nicolaas P A; Rinkel, Gabriel J E; Vergouwen, Mervyn D I</t>
  </si>
  <si>
    <t>https://pubmed.ncbi.nlm.nih.gov/32480074</t>
  </si>
  <si>
    <t>Aneurysmal subarachnoid hemorrhage (aSAH) patients have an inflammatory response in the cerebrospinal fluid (CSF). We determined CSF cell counts, erythrocyte/leukocyte ratio, and glucose- and protein concentrations in patients ≤20 days after aSAH without bacterial meningitis. Such knowledge may help to interpret CSF parameters in patients with an external drain if nosocomial bacterial meningitis or ventriculitis is suspected. Patients with aSAH admitted between 2010 and 2017 with at least one CSF sample ≤ 20 days after ictus were included from a prospectively collected database. CSF samples were excluded if the patient used antibiotics or if the CSF culture was positive. We calculated estimated marginal means with 95% confidence intervals (CIs) with linear mixed models for CSF cell counts, glucose- and protein concentrations. We included 209 patients with 306 CSF samples. Highest estimated median leukocyte count was 305 (95%CI:225-412) x10^6/L, and the lowest estimated median erythrocyte/leukocyte ratio was 109 (95%CI:73-163). Estimated mean glucose concentrations remained within the normal range. The estimated median protein concentration decreased from 3.3 g/L (95%CI:2.5-4.2) on day 0 to 1.0 g/L (95%CI:0.8-1.2) on day 14. The limits we found for the inflammatory reaction in aSAH patients may help physicians to interpret CSF parameters in aSAH patients with an external CSF drain. Future studies are needed to compare CSF parameters in aSAH patients with and without bacterial meningitis or ventriculitis.</t>
  </si>
  <si>
    <t>Two-Year Outcome after Laparoscopic Fundoplication in Pediatric Patients with Gastroesophageal Reflux Disease.</t>
  </si>
  <si>
    <t>Stellato, Rebecca K; Mulder, Femke V M; Tytgat, Stefaan H A; Oudman, Tycho S; van der Zee, David C; van de Peppel-Mauritz, Femke A; Lindeboom, Maud Y A</t>
  </si>
  <si>
    <t>journal of laparoendoscopic advanced surgical techniques part a</t>
  </si>
  <si>
    <t>https://pubmed.ncbi.nlm.nih.gov/32423278</t>
  </si>
  <si>
    <t>&lt;b&gt;&lt;i&gt;Introduction:&lt;/i&gt;&lt;/b&gt; Many studies on short-term efficacy of laparoscopic antireflux surgery (LARS) have shown good to excellent results on reflux symptom control and health-related quality of life (HRQoL). Prospective studies on the long-term efficacy, however, are scarce and indicate that the efficacy of symptom control may decline over time. The aim of this study is to assess the 2-year outcome on reflux symptoms and HRQoL after LARS. &lt;b&gt;&lt;i&gt;Materials and Methods:&lt;/i&gt;&lt;/b&gt; Between 2011 and 2013, 25 children (12 males, median age 6 [2-18] years) with proton pump inhibitor-resistant gastroesophageal reflux disease were included in a prospective longitudinal cohort study. To assess reflux symptoms and HRQoL, patients and/or their caregivers were asked to fill out the validated age-appropriate gastroesophageal reflux symptom questionnaire and Pediatric Quality of Life Inventory™ before, 3 months, 1 year, and 2 years after LARS. &lt;b&gt;&lt;i&gt;Results:&lt;/i&gt;&lt;/b&gt; Two years after LARS, 29% of patients had moderate to severe reflux symptoms compared with 92% (&lt;i&gt;P&lt;/i&gt; &lt; .001) before operation and 12% 3-4 months after operation (&lt;i&gt;P&lt;/i&gt; = .219). The significant increase in HRQoL shortly after fundoplication (80.0 compared with 69.5 (&lt;i&gt;P&lt;/i&gt; = .004)) is not observed after 2 years (72.0 compared with 69.5, &lt;i&gt;P&lt;/i&gt; = .312). Correlation between the impaired HRQoL scores and the recurrence of symptoms could not be verified. &lt;b&gt;&lt;i&gt;Conclusions:&lt;/i&gt;&lt;/b&gt; Although the efficacy of LARS tends to deteriorate after 2 years, LARS is still effective in controlling reflux symptoms in the majority of patients. The short-term improvement in HRQoL after LARS appears to be transient.</t>
  </si>
  <si>
    <t>Vaginal probiotic adherence and acceptability in Rwandan women with high sexual risk participating in a pilot randomised controlled trial: a mixed-methods approach.</t>
  </si>
  <si>
    <t>Verwijs, Marijn C; Agaba, Stephen; Umulisa, Marie Michele; Uwineza, Mireille; Nivoliez, Adrien; Lievens, Elke; van de Wijgert, Janneke H H M</t>
  </si>
  <si>
    <t>https://pubmed.ncbi.nlm.nih.gov/32434932</t>
  </si>
  <si>
    <t>To evaluate adherence and acceptability of intermittent vaginal probiotic or antibiotic use to prevent bacterial vaginosis (BV) recurrence. Repeated adherence and acceptability assessments using mixed methods within a pilot randomised controlled trial. Research clinic in Kigali, Rwanda. Rwandan women with high sexual risk. Women diagnosed with BV and/or trichomoniasis were randomised to four groups (n=17 each) after completing metronidazole treatment: behavioural counselling only, or behavioural counselling plus 2-month intermittent use of oral metronidazole, Ecologic Femi+ (EF+) vaginal capsule or Gynophilus LP (GynLP) vaginal tablet. Adherence and acceptability were assessed by structured face-to-face interviews, semi-structured focus group discussions and in-depth interviews, daily diaries and counting of used/unused study products in randomised women (n=68). Vaginal infection knowledge was assessed by structured face-to-face interviews in randomised women and women attending recruitment sessions (n=131). Most women (93%) were sex workers, 99.2% were unfamiliar with BV and none had ever used probiotics. All probiotic users (n=32) reported that insertion became easier over time. Triangulated adherence data showed that 17/17 EF+ users and 13/16 GynLP users used ≥80% of required doses (Fisher's exact p=0.103). Younger age (p=0.076), asking many questions at enrolment (p=0.116), having menses (p=0.104) and reporting urogenital symptoms (p=0.103) were non-significantly associated with lower perfect adherence. Women believed that the probiotics reduced BV recurrence, but reported that partners were sometimes unsupportive of study participation. Self-reported vaginal washing practices decreased during follow-up, but sexual risk behaviours did not. Most women (12/15) with an uncircumcised steady partner discussed penile hygiene with him, but many women found this difficult, especially with male clients. High-risk women require education about vaginal infections. Vaginal probiotic acceptability and adherence were high in this cohort. Our results can be used to inform future product development and to fine-tune counselling messages in prevention programmes. NCT02459665.</t>
  </si>
  <si>
    <t>Reducing cardiometabolic risk in adults with a low socioeconomic position: protocol of the Supreme Nudge parallel cluster-randomised controlled supermarket trial.</t>
  </si>
  <si>
    <t>https://pubmed.ncbi.nlm.nih.gov/32429917</t>
  </si>
  <si>
    <t>Unhealthy lifestyle behaviours such as unhealthy dietary intake and insufficient physical activity (PA) tend to cluster in adults with a low socioeconomic position (SEP), putting them at high cardiometabolic disease risk. Educational approaches aiming to improve lifestyle behaviours show limited effect in this population. Using environmental and context-specific interventions may create opportunities for sustainable behaviour change. In this study protocol, we describe the design of a real-life supermarket trial combining nudging, pricing and a mobile PA app with the aim to improve lifestyle behaviours and lower cardiometabolic disease risk in adults with a low SEP. The Supreme Nudge trial includes nudging and pricing strategies cluster-randomised on the supermarket level, with: i) control group receiving no intervention; ii) group 1 receiving healthy food nudges (e.g., product placement or promotion); iii) group 2 receiving nudges and pricing strategies (taxing of unhealthy foods and subsidizing healthy foods). In collaboration with a Dutch supermarket chain we will select nine stores located in low SEP neighbourhoods, with the nearest competitor store at &gt; 1 km distance and managed by a committed store manager. Across the clusters, a personalized mobile coaching app targeting walking behaviour will be randomised at the individual level, with: i) control group; ii) a group receiving the mobile PA app. All participants (target n = 1485) should be Dutch-speaking, aged 45-75 years with a low SEP and purchase more than half of their household grocery shopping at the selected supermarkets. Participants will be recruited via advertisements and mail-invitations followed by community-outreach methods. Primary outcomes are changes in systolic blood pressure, LDL-cholesterol, HbA1c and dietary intake after 12 months follow-up. Secondary outcomes are changes in diastolic blood pressure, blood lipid markers, waist circumference, steps per day, and behavioural factors including healthy food purchasing, food decision style, social cognitive factors related to nudges and to walking behaviours and customer satisfaction after 12 months follow-up. The trial will be reflexively monitored to support current and future implementation. The findings can guide future research and public health policies on reducing lifestyle-related health inequalities, and contribute to a supermarket-based health promotion intervention implementation roadmap. Dutch Trial Register ID NL7064, 30th of May, 2018.</t>
  </si>
  <si>
    <t>Sex differences in flow cytometry-based platelet reactivity in stable outpatients suspected of myocardial ischemia.</t>
  </si>
  <si>
    <t>Waissi, Farahnaz; Dekker, Mirthe; Bank, Ingrid E M; Korporaal, Suzanne J A; Urbanus, Rolf T; de Borst, Gert J; Pasterkamp, Gerard; Scholtens, Asbjorn M; Grobbee, Diederick E; Mosterd, Arend; de Kleijn, Dominique P V; Timmers, Leo</t>
  </si>
  <si>
    <t>https://pubmed.ncbi.nlm.nih.gov/32685898</t>
  </si>
  <si>
    <t>Antiplatelet therapy is the mainstay of secondary prevention of cardiovascular events. Studies suggest that women do not obtain equal therapeutic benefit from antiplatelet therapy compared with men. The link between sex differences in platelet biology and response to antiplatelet therapies is unclear. We therefore investigated the role of sex differences in platelet reactivity in a cohort of outpatients with chest pain, in response to treatment with antiplatelet agents. Platelet reactivity was measured in 382 randomly selected patients participating in the Myocardial Ischemia Detection by Circulating Biomarkers (MYOMARKER) study, an observational cohort study of outpatients suspected of myocardial ischemia. In all patients, blood was collected during diagnostic workup, and platelet reactivity was assessed with a flow cytometry-based platelet activation test that quantifies both platelet degranulation (P-selectin expression) and platelet aggregation (fibrinogen binding to integrin αIIbβ3) in whole blood. Platelet reactivity was higher in women compared with men when activated with protease activating receptor 1-activating peptide SFLLRN (PAR1-AP) and adenosine 5'-phosphate (ADP), independent of age, basal activation status, estimated glomerular filtration rate &lt; 60, platelet count, statin use, the use of P2Y12 inhibitors, or the use of aspirin. P2Y12 inhibitor use strongly reduced fibrinogen binding after stimulation with PAR1-AP, but only slightly reduced platelet P-selectin expression. Calculation of the relative inhibition in P2Y12 users indicated 62% inhibition of the response toward ADP. Stratified analysis showed that women (n = 14) using P2Y12 inhibitors showed less inhibition of fibrinogen binding after PAR1-AP stimulation than men (n = 38) using P2Y12 inhibitors. These findings call for further study of differential effects of P2Y12 inhibitors in women with suspected myocardial ischemia.</t>
  </si>
  <si>
    <t>Introducing Summative Progress Testing in Radiology Residency: Little Change in Residents' Test Results After Transitioning from Formative Progress Testing.</t>
  </si>
  <si>
    <t>Rutgers, D R; van Schaik, J P J; Kruitwagen, C L J J; Haaring, C; van Lankeren, W; van Raamt, A F; Ten Cate, O</t>
  </si>
  <si>
    <t>medical science educator</t>
  </si>
  <si>
    <t>https://pubmed.ncbi.nlm.nih.gov/34457753</t>
  </si>
  <si>
    <t>Educational effects of transitioning from formative to summative progress testing are unclear. Our purpose was to investigate whether such transitioning in radiology residency is associated with a change in progress test results. We investigated a national cohort of radiology residents (&lt;i&gt;N&lt;/i&gt; &gt; 300) who were semi-annually assessed through a mandatory progress test. Until 2014, this test was purely formative for all residents, but in 2014/2015, it was transitioned (as part of a national radiology residency program revision) to include a summative pass requirement for new residents. In 7 posttransitioning tests in 2015-2019, including summatively and formatively tested residents who followed the revised and pre-transitioning residency program, respectively, we assessed residents' relative test scores and percentage of residents that reached pass standards. Due to our educational setting, most posttransitioning tests had no residents in the summative condition in postgraduate year 4-5, nor residents in the formative condition in year 0.5-2. Across the 7 tests, relative test scores in postgraduate year 1-3 of the summative resident group and year 3.5-4.5 of the formative group differed significantly (&lt;i&gt;p&lt;/i&gt; &lt; 0.01 and &lt;i&gt;p&lt;/i&gt; &lt; 0.05, respectively, Kruskal-Wallis test). However, scores fluctuated without consistent time trends and without consistent differences between both resident groups. Percentage of residents reaching the pass standard did not differ significantly across tests or between groups. Transitioning from formative to summative progress testing was associated with overall steady test results of the whole resident group in 4 post-transitioning years. We do not exclude that transitioning may have positive educational effects for resident subgroups.</t>
  </si>
  <si>
    <t>Cerebral blood flow and cognitive functioning in patients with disorders along the heart-brain axis: Cerebral blood flow and the heart-brain axis.</t>
  </si>
  <si>
    <t>Leeuwis, Anna E; Hooghiemstra, Astrid M; Bron, Esther E; Kuipers, Sanne; Oudeman, Eline A; Kalay, Tugba; Brunner-La Rocca, Hans-Peter; Kappelle, L Jaap; van Oostenbrugge, Robert J; Greving, Jacoba P; Niessen, Wiro J; van Buchem, Mark A; van Osch, Matthias J P; van Rossum, Albert C; Prins, Niels D; Biessels, Geert-Jan; Barkhof, Frederik; ,; van der Flier, Wiesje M</t>
  </si>
  <si>
    <t>alzheimers dementia new york n y</t>
  </si>
  <si>
    <t>https://pubmed.ncbi.nlm.nih.gov/32995468</t>
  </si>
  <si>
    <t>We examined the role of hemodynamic dysfunction in cognition by relating cerebral blood flow (CBF), measured with arterial spin labeling (ASL), to cognitive functioning, in patients with heart failure (HF), carotid occlusive disease (COD), and patients with cognitive complaints and vascular brain injury on magnetic resonance imaging (MRI; ie, possible vascular cognitive impairment [VCI]). We included 439 participants (124 HF; 75 COD; 127 possible VCI; 113 reference participants) from the Dutch multi-center Heart-Brain Study. We used pseudo-continuous ASL to estimate whole-brain and regional partial volume-corrected CBF. Neuropsychological tests covered global cognition and four cognitive domains. CBF values were lowest in COD, followed by VCI and HF, compared to reference participants. This did not explain cognitive impairment, as we did not find an association between CBF and cognitive functioning. We found that reduced CBF is not the major explanatory factor underlying cognitive impairment in patients with hemodynamic dysfunction along the heart-brain axis.</t>
  </si>
  <si>
    <t>What does cell therapy manufacturing cost? A framework and methodology to facilitate academic and other small-scale cell therapy manufacturing costings.</t>
  </si>
  <si>
    <t>Ten Ham, Renske M T; Hövels, Anke M; Hoekman, Jarno; Frederix, Geert W J; Leufkens, Hubert G M; Klungel, Olaf H; Jedema, Inge; Veld, Sabrina A J; Nikolic, Tatjana; Van Pel, Melissa; Zwaginga, Jaap J; Lin, Fong; de Goede, Anna L; Schreibelt, Gerty; Budde, Sandy; de Vries, I Jolanda M; Wilkie, Gwen M; Dolstra, Harry; Ovelgönne, Hans; Meij, Pauline; Mountford, Joanne C; Turner, Marc L; Hoefnagel, Marcel H N</t>
  </si>
  <si>
    <t>https://pubmed.ncbi.nlm.nih.gov/32414635</t>
  </si>
  <si>
    <t>Recent technical and clinical advances with cell-based therapies (CBTs) hold great promise in the treatment of patients with rare diseases and those with high unmet medical need. Currently the majority of CBTs are developed and manufactured in specialized academic facilities. Due to small scale, unique characteristics and specific supply chain, CBT manufacturing is considered costly compared to more conventional medicinal products. As a result, biomedical researchers and clinicians are increasingly faced with cost considerations in CBT development. The objective of this research was to develop a costing framework and methodology for academic and other small-scale facilities that manufacture cell-based therapies. We conducted an international multi-center costing study in four facilities in Europe using eight CBTs as case studies. This study includes costs from cell or tissue procurement to release of final product for clinical use. First, via interviews with research scientists, clinicians, biomedical scientists, pharmacists and technicians, we designed a high-level costing framework. Next, we developed a more detailed uniform methodology to allocate cost items. Costs were divided into steps (tissue procurement, manufacturing and fill-finish). The steps were each subdivided into cost categories (materials, equipment, personnel and facility), and each category was broken down into facility running (fixed) costs and operational (variable) costs. The methodology was tested via the case studies and validated in developer interviews. Costs are expressed in 2018 euros (€). The framework and methodology were applicable across facilities and proved sensitive to differences in product and facility characteristics. Case study cost estimates ranged between €23 033 and €190 799 Euros per batch, with batch yield varying between 1 and 88 doses. The cost estimations revealed hidden costs to developers and provided insights into cost drivers to help design manufacturing best practices. This framework and methodology provide step-by-step guidance to estimate manufacturing costs specifically for cell-based therapies manufactured in academic and other small-scale enterprises. The framework and methodology can be used to inform and plan cost-conscious strategies for CBTs.</t>
  </si>
  <si>
    <t>Hepatitis C Virus NS3 Protease and Helicase Inhibitors from Red Sea Sponge (&lt;i&gt;Amphimedon&lt;/i&gt;) ﻿Species in Green Synthesized Silver Nanoparticles Assisted by in Silico Modeling and Metabolic Profiling.</t>
  </si>
  <si>
    <t>Shady, Nourhan Hisham; Khattab, Amira R; Ahmed, Safwat; Liu, Miaomiao; Quinn, Ronald J; Fouad, Mostafa A; Kamel, Mohamed Salah; Muhsinah, Abdullatif Bin; Krischke, Markus; Mueller, Martin J; Abdelmohsen, Usama Ramadan</t>
  </si>
  <si>
    <t>international journal of nanomedicine</t>
  </si>
  <si>
    <t>https://pubmed.ncbi.nlm.nih.gov/32494136</t>
  </si>
  <si>
    <t>Hepatitis C virus (HCV) infection is a major cause of hepatic diseases all over the world. This necessitates the need to discover novel anti-HCV drugs to overcome emerging drug resistance and liver complications. Total extract and petroleum ether fraction of the marine sponge (&lt;i&gt;Amphimedon&lt;/i&gt; spp.) were used for silver nanoparticle (SNP) synthesis to explore their HCV NS3 helicase- and protease﻿-inhibitory potential. Characterization of the prepared SNPs was carried out with ultraviolet-visible spectroscopy, transmission electron microscopy, and Fourier-transform infrared spectroscopy. The metabolomic profile of different &lt;i&gt;Amphimedon&lt;/i&gt; fractions was assessed using liquid chromatography coupled with high-resolution mass spectrometry. Fourteen known compounds were isolated and their HCV helicase and protease activities assessed using in silico modeling of their interaction with both HCV protease and helicase enzymes to reveal their anti-HCV mechanism of action. In vitro anti-HCV activity against HCV NS3 helicase and protease was then conducted to validate the computation results and compared to that of the SNPs. Transmission electron-microscopy analysis of NPs prepared from &lt;i&gt;Amphimedon&lt;/i&gt; total extract and petroleum ether revealed particle sizes of 8.22-14.30 nm and 8.22-9.97 nm, and absorption bands at λ&lt;sub&gt;max&lt;/sub&gt; of 450 and 415 nm, respectively. Metabolomic profiling revealed the richness of &lt;i&gt;Amphimedon&lt;/i&gt; spp. with different phytochemical classes. Bioassay-guided isolation resulted in the isolation of 14 known compounds with anti﻿-HCV activity, initially revealed by docking studies. In vitro anti-HCV NS3 helicase and protease assays of both isolated compounds and NPs further confirmed the computational results. Our findings indicate that &lt;i&gt;Amphimedon&lt;/i&gt;, total extract, petroleum ether fraction, and derived NPs are promising biosources for providing anti-HCV drug candidates, with nakinadine B and 3,4-dihydro-6-hydroxymanzamine A the most potent anti-HCV agents, possessing good oral bioavailability and penetration power.</t>
  </si>
  <si>
    <t>Quality of reporting of drug exposure in pharmacoepidemiological studies.</t>
  </si>
  <si>
    <t>Hempenius, Mirjam; Luijken, Kim; de Boer, Anthonius; Klungel, Olaf; Groenwold, Rolf; Gardarsdottir, Helga</t>
  </si>
  <si>
    <t>https://pubmed.ncbi.nlm.nih.gov/32394589</t>
  </si>
  <si>
    <t>Exposure definitions vary across pharmacoepidemiological studies. Therefore, transparent reporting of exposure definitions is important for interpretation of published study results. We aimed to assess the quality of reporting of exposure to identify where improvement may be needed. We systematically reviewed observational pharmacoepidemiological studies that used routinely collected health data, published in 2017 in six pharmacoepidemiological journals. Reporting of exposure was scored using 11 items of the ISPE-ISPOR guideline on reporting of pharmacoepidemiological studies. Of the 91 studies included, all studies reported the type of exposure (100%), while most reported the exposure risk window (85%) and the exposure assessment window (98%). Operationalization of the exposure window was described infrequently: 16% (14/90) of the studies explicitly reported the presence or absence of an induction period if applicable, 11% (5/47), and 35% (17/49) reported how stockpiling and gaps between exposure episodes were handled, respectively, and 35% (17/49) explicitly mentioned the exposure extension. Switching/add-on was reported in 62% (50/81). How switching between drugs was dealt with and specific drug codes were reported in 52 (57%) and 24 (26%) studies, respectively. Publications of pharmacoepidemiological studies frequently reported the type of exposure, the exposure risk window, and the exposure assessment window. However, more details on exposure assessment are needed, especially when it concerns the operationalization of the exposure risk window (eg, the presence or absence of an induction period or exposure extension, handling of stockpiling and gaps, and specific codes), to allow for correct interpretation, reproducibility, and assessment of validity.</t>
  </si>
  <si>
    <t>Care after pancreatic resection according to an algorithm for early detection and minimally invasive management of pancreatic fistula versus current practice (PORSCH-trial): design and rationale of a nationwide stepped-wedge cluster-randomized trial.</t>
  </si>
  <si>
    <t>Smits, F Jasmijn; Henry, Anne Claire; van Eijck, Casper H; Besselink, Marc G; Busch, Olivier R; Arntz, Mark; Bollen, Thomas L; van Delden, Otto M; van den Heuvel, Daniel; van der Leij, Christiaan; van Lienden, Krijn P; Moelker, Adriaan; Bonsing, Bert A; Borel Rinkes, Inne H M; Bosscha, Koop; van Dam, R M; Festen, Sebastiaan; Groot Koerkamp, B; van der Harst, Erwin; de Hingh, Ignace H; Kazemier, Geert; Liem, Mike; van der Kolk, B Marion; de Meijer, Vincent E; Patijn, Gijs A; Roos, Daphne; Schreinemakers, Jennifer M; Wit, Fennie; van Werkhoven, C Henri; Molenaar, I Quintus; van Santvoort, Hjalmar C; ,</t>
  </si>
  <si>
    <t>https://pubmed.ncbi.nlm.nih.gov/32381031</t>
  </si>
  <si>
    <t>Pancreatic resection is a major abdominal operation with 50% risk of postoperative complications. A common complication is pancreatic fistula, which may have severe clinical consequences such as postoperative bleeding, organ failure and death. The objective of this study is to investigate whether implementation of an algorithm for early detection and minimally invasive management of pancreatic fistula may improve outcomes after pancreatic resection. This is a nationwide stepped-wedge, cluster-randomized, superiority trial, designed in adherence to the Consolidated Standards of Reporting Trials (CONSORT) guidelines. During a period of 22 months, all Dutch centers performing pancreatic surgery will cross over in a randomized order from current practice to best practice according to the algorithm. This evidence-based and consensus-based algorithm will provide daily multilevel advice on the management of patients after pancreatic resection (i.e. indication for abdominal imaging, antibiotic treatment, percutaneous drainage and removal of abdominal drains). The algorithm is designed to aid early detection and minimally invasive step-up management of postoperative pancreatic fistula. Outcomes of current practice will be compared with outcomes after implementation of the algorithm. The primary outcome is a composite of major complications (i.e. post-pancreatectomy bleeding, new-onset organ failure and death) and will be measured in a sample size of at least 1600 patients undergoing pancreatic resection. Secondary endpoints include the individual components of the primary endpoint and other clinical outcomes, healthcare resource utilization and costs analysis. Follow up will be up to 90 days after pancreatic resection. It is hypothesized that a structured nationwide implementation of a dedicated algorithm for early detection and minimally invasive step-up management of postoperative pancreatic fistula will reduce the risk of major complications and death after pancreatic resection, as compared to current practice. Netherlands Trial Register: NL 6671. Registered on 16 December 2017.</t>
  </si>
  <si>
    <t>Childbirth outcomes and ethnic disparities in Suriname: a nationwide registry-based study in a middle-income country.</t>
  </si>
  <si>
    <t>Verschueren, Kim J C; Prüst, Zita D; Paidin, Raëz R; Kodan, Lachmi R; Bloemenkamp, Kitty W M; Rijken, Marcus J; Browne, Joyce L</t>
  </si>
  <si>
    <t>https://pubmed.ncbi.nlm.nih.gov/32381099</t>
  </si>
  <si>
    <t>Our study aims to evaluate the current perinatal registry, analyze national childbirth outcomes and study ethnic disparities in middle-income country Suriname, South America. A nationwide birth registry study was conducted in Suriname. Data were collected for 2016 and 2017 from the childbirth books of all five hospital maternity wards, covering 86% of all births in the country. Multinomial regression analyses were used to assess ethnic disparities in outcomes of maternal deaths, stillbirths, teenage pregnancy, cesarean delivery, low birth weight and preterm birth with Hindustani women as reference group. 18.290 women gave birth to 18.118 (98%) live born children in the five hospitals. Hospital-based maternal mortality ratio was 112 per 100.000 live births. Hospital-based late stillbirth rate was 16 per 1000 births. Stillbirth rate was highest among Maroon (African-descendent) women (25 per 1000 births, aOR 2.0 (95%CI 1.3-2.8) and lowest among Javanese women (6 stillbirths per 1000 births, aOR 0.5, 95%CI 0.2-1.2). Preterm birth and low birthweight occurred in 14 and 15% of all births. Teenage pregnancy accounted for 14% of all births and was higher in Maroon women (18%) compared to Hindustani women (10%, aOR 2.1, 95%CI 1.8-2.4). The national cesarean section rate was 24% and was lower in Maroon (17%) than in Hindustani (32%) women (aOR 0.5 (95%CI 0.5-0.6)). Cesarean section rates varied between the hospitals from 17 to 36%. This is the first nationwide comprehensive overview of maternal and perinatal health in a middle income country. Disaggregated perinatal health data in Suriname shows substantial inequities in outcomes by ethnicity which need to be targetted by health professionals, researchers and policy makers.</t>
  </si>
  <si>
    <t>Effectiveness of the nurse-led Activate intervention in patients at risk of cardiovascular disease in primary care: a cluster-randomised controlled trial.</t>
  </si>
  <si>
    <t>Westland, Heleen; Schuurmans, Marieke J; Bos-Touwen, Irene D; de Bruin-van Leersum, Marjolein A; Monninkhof, Evelyn M; Schröder, Carin D; de Vette, Daphne A; Trappenburg, Jaap Ca</t>
  </si>
  <si>
    <t>european journal of cardiovascular nursing</t>
  </si>
  <si>
    <t>https://pubmed.ncbi.nlm.nih.gov/32375491</t>
  </si>
  <si>
    <t>To understand better the success of self-management interventions and to enable tailoring of such interventions at specific subgroups of patients, the nurse-led Activate intervention is developed targeting one component of self-management (physical activity) in a heterogeneous subgroup (patients at risk of cardiovascular disease) in Dutch primary care. The aim of this study was to evaluate the effectiveness of the Activate intervention and identifying which patient-related characteristics modify the effect. A two-armed cluster-randomised controlled trial was conducted comparing the intervention with care as usual. The intervention consisted of four nurse-led behaviour change consultations within a 3-month period. Data were collected at baseline, 3 months and 6 months. Primary outcome was the daily amount of moderate to vigorous physical activity at 6 months. Secondary outcomes included sedentary behaviour, self-efficacy for physical activity, patient activation for self-management and health status. Prespecified effect modifiers were age, body mass index, level of education, social support, depression, patient provider relationship and baseline physical activity. Thirty-one general practices (&lt;i&gt;n&lt;/i&gt; = 195 patients) were included (intervention group &lt;i&gt;n&lt;/i&gt; = 93; control group &lt;i&gt;n&lt;/i&gt; = 102). No significant between-group difference was found for physical activity (mean difference 2.49 minutes; 95% confidence interval -2.1; 7.1; &lt;i&gt;P&lt;/i&gt; = 0.28) and secondary outcomes. Patients with low perceived social support (&lt;i&gt;P&lt;/i&gt; = 0.01) and patients with a low baseline activity level (&lt;i&gt;P&lt;/i&gt; = 0.02) benefitted more from the intervention. The Activate intervention did not improve patients' physical activity and secondary outcomes in primary care patients at risk of cardiovascular disease. To understand the results, the intervention fidelity and active components for effective self-management require further investigation.Trial registration: ClinicalTrials.gov NCT02725203.</t>
  </si>
  <si>
    <t>Short-course aminoglycosides as adjunctive empirical therapy in patients with Gram-negative bloodstream infection, a cohort study.</t>
  </si>
  <si>
    <t>Deelen, J W Timotëus; Rottier, W C; Buiting, A G M; Dorigo-Zetsma, J W; Kluytmans, J A J W; van der Linden, P D; Thijsen, S F T; Vlaminckx, B J M; Weersink, A J L; Ammerlaan, H S M; Bonten, M J M; van Werkhoven, C H</t>
  </si>
  <si>
    <t>https://pubmed.ncbi.nlm.nih.gov/32387438</t>
  </si>
  <si>
    <t>Short-course aminoglycosides as adjunctive empirical therapy to β-lactams in patients with a clinical suspicion of sepsis are used to broaden antibiotic susceptibility coverage and to enhance bacterial killing. We quantified the impact of this approach on 30-day mortality in a subset of sepsis patients with a Gram-negative bloodstream infection. From a prospective cohort study conducted in seven hospitals in the Netherlands between June 2013 and November 2015, we selected all patients with Gram-negative bloodstream infection (GN-BSI). Short-course aminoglycoside therapy was defined as tobramycin, gentamicin or amikacin initiated within a 48-hour time window around blood-culture obtainment, and prescribed for a maximum of 2 days. The outcome of interest was 30-day all-cause mortality. Confounders were selected a priori for adjustment using a propensity score analysis with inverse probability weighting. A total of 626 individuals with GN-BSI who received β-lactams were included; 156 (24.9%) also received aminoglycosides for a median of 1 day. Patients receiving aminoglycosides more often had septic shock (31/156, 19.9% versus 34/470, 7.2%) and had an eight-fold lower risk of inappropriate treatment (3/156, 1.9% versus 69/470, 14.7%). Thirty-day mortality was 17.3% (27/156) and 13.6% (64/470) for patients receiving and not receiving aminoglycosides, respectively; yielding crude and adjusted odds ratios for 30-day mortality for patients treated with aminoglycosides of 1.33 (95% CI 0.80-2.15) and 1.57 (0.84-2.93), respectively. Short-course adjunctive aminoglycoside treatment as part of empirical therapy with β-lactam antibiotics in patients with GN-BSI did not result in improved outcomes, despite better antibiotic coverage of pathogens.</t>
  </si>
  <si>
    <t>GP trainees' perceptions on learning EBM using conversations in the workplace: a video-stimulated interview study.</t>
  </si>
  <si>
    <t>Welink, Lisanne S; de Groot, Esther; Pype, Peter; Van Roy, Kaatje; van den Wittenboer, Iris D; Bartelink, Marie-Louise E L; Damoiseaux, Roger A M J</t>
  </si>
  <si>
    <t>bmc medical education</t>
  </si>
  <si>
    <t>https://pubmed.ncbi.nlm.nih.gov/32375745</t>
  </si>
  <si>
    <t>To be able to practice evidence-based medicine (EBM) when making decisions for individual patients, it is important to learn how to combine the best available evidence with the patient's preferences and the physician's clinical expertise. In general practice training, these skills can be learned at the workplace using learning conversations: meetings between the supervising general practitioner (GP) and GP trainee to discuss medical practice, selected topics or professional performance. This study aimed to give insight into the perceptions of GP trainees on their EBM learning processes during learning conversations. We held semi-structured video-stimulated elicitation interviews (n = 22) with GP trainees affiliated to GP training institutes in the Netherlands and Belgium. GP trainees were shown fragments of their learning conversations, enabling reflection during the interview. Taking an inductive approach, interview recordings were transcribed verbatim and analysed with NVivo software. GP trainees perceived learning conversations as useful for learning and discussing EBM. Multiple EBM learning activities were identified, such as discussing evidence together, relating evidence to cases in daily practice and discussing the supervisor's experience and the specific local context in the light of what the evidence recommends. However, for learning to occur, trainees need and expect specific behaviour, both from their supervisors and themselves. Supervisors should supply well-substantiated answers that are applicable in practice and give the trainee confirmation. In turn, the trainee needs to prepare well in order to ask focused, in-depth questions. A safe space allowing equal and open discussion between trainee and supervisor is perceived as an essential context for optimal EBM learning. Our findings show that trainees find learning conversations useful for EBM learning in general practice. To bring EBM learning to its full potential, attention should be paid to optimising the behavioural and contextual factors found relevant to enhancing EBM learning.</t>
  </si>
  <si>
    <t>Health-Related Quality of Life in Patients with Multiple Endocrine Neoplasia Type 1.</t>
  </si>
  <si>
    <t>van Leeuwaarde, Rachel S; Pieterman, Carolina R C; May, Anne M; Dekkers, Olaf M; van der Horst-Schrivers, Anouk N; Hermus, Ad R; de Herder, Wouter W; Drent, Madeleine L; Bisschop, Peter H; Havekes, Bas; Vriens, Menno R; Valk, Gerlof D</t>
  </si>
  <si>
    <t>https://pubmed.ncbi.nlm.nih.gov/32365349</t>
  </si>
  <si>
    <t>Multiple endocrine neoplasia type 1 (MEN1) is a hereditary endocrine tumor syndrome characterized by the triad of primary hyperparathyroidism, duodenopancreatic neuroendocrine tumors (pNETs), and pituitary tumors. Patients are confronted with substantial morbidity and are consequently at risk for an impaired quality of life (QOL). Meticulous assessment of QOL and associated factors in a representative population is needed to understand the full spectrum of the burden of the disease. A cross-sectional study was performed using the national Dutch MEN1 cohort. Patients with a confirmed MEN1 mutation received the SF-36 Health Related Quality of Life questionnaire and questions regarding sociodemographic and medical history. A total of 227 of 285 (80%) eligible MEN1 patients returned the questionnaires. Health-related QOL scores (HRQOL) in MEN1 patients were significantly lower for the majority of subscales of the SF-36 in comparison with the general Dutch population. The most consistent predictor for HRQOL was employment status, followed by the presence of a pituitary tumor. 16% of patients harboring a pNET and 29% of patients with a pituitary tumor according to the medical records, reported that they were unaware of such a tumor. These subgroups of patients had several significant better QOL scores than patients who were aware of their pNET or pituitary tumors. Patients with MEN1 have an impaired QOL in comparison with the general Dutch population warranting special attention within routine care. For daily practice, physicians should be aware of their patients' impaired QOL and of the impact of unemployment on QOL.</t>
  </si>
  <si>
    <t>Sex Differences in Symptom Presentation in Acute Coronary Syndromes: A Systematic Review and Meta-analysis.</t>
  </si>
  <si>
    <t>van Oosterhout, Roos E M; de Boer, Annemarijn R; Maas, Angela H E M; Rutten, Frans H; Bots, Michiel L; Peters, Sanne A E</t>
  </si>
  <si>
    <t>https://pubmed.ncbi.nlm.nih.gov/32363989</t>
  </si>
  <si>
    <t>Background Timely recognition of patients with acute coronary syndromes (ACS) is important for successful treatment. Previous research has suggested that women with ACS present with different symptoms compared with men. This review assessed the extent of sex differences in symptom presentation in patients with confirmed ACS. Methods and Results A systematic literature search was conducted in PubMed, Embase, and Cochrane up to June 2019. Two reviewers independently screened title-abstracts and full-texts according to predefined inclusion and exclusion criteria. Methodological quality was assessed using the Newcastle-Ottawa Scale. Pooled odds ratios (OR) with 95% CI of a symptom being present were calculated using aggregated and cumulative meta-analyses as well as sex-specific pooled prevalences for each symptom. Twenty-seven studies were included. Compared with men, women with ACS had higher odds of presenting with pain between the shoulder blades (OR 2.15; 95% CI, 1.95-2.37), nausea or vomiting (OR 1.64; 95% CI, 1.48-1.82) and shortness of breath (OR 1.34; 95% CI, 1.21-1.48). Women had lower odds of presenting with chest pain (OR 0.70; 95% CI, 0.63-0.78) and diaphoresis (OR 0.84; 95% CI, 0.76-0.94). Both sexes presented most often with chest pain (pooled prevalences, men 79%; 95% CI, 72-85, pooled prevalences, women 74%; 95% CI, 72-85). Other symptoms also showed substantial overlap in prevalence. The presence of sex differences has been established since the early 2000s. Newer studies did not materially change cumulative findings. Conclusions Women with ACS do have different symptoms at presentation than men with ACS, but there is also considerable overlap. Since these differences have been shown for years, symptoms should no longer be labeled as "atypical" or "typical."</t>
  </si>
  <si>
    <t>Diagnosing arrhythmogenic right ventricular cardiomyopathy by 2010 Task Force Criteria: clinical performance and simplified practical implementation.</t>
  </si>
  <si>
    <t>Bosman, Laurens P; Cadrin-Tourigny, Julia; Bourfiss, Mimount; Aliyari Ghasabeh, Mounes; Sharma, Apurva; Tichnell, Crystal; Roudijk, Rob W; Murray, Brittney; Tandri, Harikrishna; Khairy, Paul; Kamel, Ihab R; Zimmerman, Stefan L; Reitsma, Johannes B; Asselbergs, Folkert W; van Tintelen, J Peter; van der Heijden, Jeroen F; Hauer, Richard N W; Calkins, Hugh; James, Cynthia A; Te Riele, Anneline S J M</t>
  </si>
  <si>
    <t>https://pubmed.ncbi.nlm.nih.gov/32294163</t>
  </si>
  <si>
    <t>Arrhythmogenic right ventricular cardiomyopathy (ARVC) is diagnosed by a complex set of clinical tests as per 2010 Task Force Criteria (TFC). Avoiding misdiagnosis is crucial to prevent sudden cardiac death as well as unnecessary implantable cardioverter-defibrillator implantations. This study aims to validate the overall performance of the TFC in a real-world cohort of patients referred for ARVC evaluation. We included patients consecutively referred to our centres for ARVC evaluation. Patients were diagnosed by consensus of three independent clinical experts. Using this as a reference standard, diagnostic performance was measured for each individual criterion as well as the overall TFC classification. Of 407 evaluated patients (age 38 ± 17 years, 51% male), the expert panel diagnosed 66 (16%) with ARVC. The clinically observed TFC was false negative in 7/66 (11%) patients and false positive in 10/69 (14%) patients. Idiopathic outflow tract ventricular tachycardia was the most common alternative diagnosis. While the TFC performed well overall (sensitivity and specificity 92%), signal-averaged electrocardiogram (SAECG, P = 0.43), and several family history criteria (P ≥ 0.17) failed to discriminate. Eliminating these criteria reduced false positives without increasing false negatives (net reclassification improvement 4.3%, P = 0.019). Furthermore, all ARVC patients met at least one electrocardiogram (ECG) or arrhythmia criterion (sensitivity 100%). The TFC perform well but are complex and can lead to misdiagnosis. Simplification by eliminating SAECG and several family history criteria improves diagnostic accuracy. Arrhythmogenic right ventricular cardiomyopathy can be ruled out using ECG and arrhythmia criteria alone, hence these tests may serve as a first-line screening strategy among at-risk individuals.</t>
  </si>
  <si>
    <t>Occurrence and Risk Factors of Chronic Pain After Critical Illness.</t>
  </si>
  <si>
    <t>Koster-Brouwer, Maria E; Rijsdijk, Mienke; van Os, Wouter K M; Soliman, Ivo W; Slooter, Arjen J C; de Lange, Dylan W; van Dijk, Diederik; Bonten, Marc J M; Cremer, Olaf L</t>
  </si>
  <si>
    <t>https://pubmed.ncbi.nlm.nih.gov/32039992</t>
  </si>
  <si>
    <t>Occurrence, risk factors, and impact on daily life of chronic pain after critical illness have not been systematically studied. Cohort study. A tertiary ICU in The Netherlands. We surveyed patients who had been discharged from our ICU between 2013 and 2016. Three cohorts were defined as follows: 1) ICU survivors; 2) one-year survivors reporting newly-acquired chronic pain; and (3) one-year survivors with pain who lived within 50 km from the study hospital. In cohort 1, we estimated the prevalence of new chronic pain 1 year after ICU discharge and constructed a prediction model for its occurrence incorporating three outcomes: death during follow-up, surviving without new pain, and surviving with newly-acquired pain. In cohort 2, we determined clinical features of pain and its impact on daily life. In cohort 3, we assessed the presence of neuropathic characteristics of pain. None. The three cohorts contained 1,842, 160, and 42 patients, respectively. Estimated occurrence of new chronic pain was 17.7% (95% CI, 15.8-19.8%; n = 242) in 1-year survivors (n = 1,368). Median pain intensity on the numeric rating scale was 4 (interquartile range, 2-6) in the week before survey response, with impact being most evident on activities of daily living, social activities, and mobility. Neuropathic pain features were present in 50% (95% CI, 37-68%) of affected subjects. Among nine predictor variables included in a multinomial model, only female gender and days in ICU with hyperinflammation were associated with pain. Newly-acquired chronic pain is a frequent consequence of critical illness, and its impact on daily life of affected patients is substantial.</t>
  </si>
  <si>
    <t>Valuing Healthcare Goods and Services: A Systematic Review and Meta-Analysis on the WTA-WTP Disparity.</t>
  </si>
  <si>
    <t>Rotteveel, Adriënne H; Lambooij, Mattijs S; Zuithoff, Nicolaas P A; van Exel, Job; Moons, Karel G M; de Wit, G Ardine</t>
  </si>
  <si>
    <t>https://pubmed.ncbi.nlm.nih.gov/32096146</t>
  </si>
  <si>
    <t>The objective of this systematic review was to review the available evidence on the disparity between willingness to accept (WTA) and willingness to pay (WTP) for healthcare goods and services. A tiered approach consisting of (1) a systematic review, (2) an aggregate data meta-analysis, and (3) an individual participant data meta-analysis was used. MEDLINE, EMBASE, Scopus, Scisearch, and Econlit were searched for articles reporting both WTA and WTP for healthcare goods and services. Individual participant data were requested from the authors of the included studies. Thirteen papers, reporting WTA and WTP from 19 experiments/subgroups, were included in the review. The WTA/WTP ratios reported in these papers, varied from 0.60 to 4.01, with means of 1.73 (median 1.31) for 15 estimates of the mean and 1.58 (median 1.00) for nine estimates of the median. Individual data obtained from six papers, covering 71.2% of the subjects included in the review, yielded an unadjusted WTA/WTP ratio of 1.86 (95% confidence interval 1.52-2.28) and a WTA/WTP ratio adjusted for age, sex, and income of 1.70 (95% confidence interval 1.42-2.02). Income category and age had a statistically significant effect on the WTA/WTP ratio. The approach to handling zero WTA and WTP values has a considerable impact on the WTA/WTP ratio found. The results of this study imply that losses in healthcare goods and services are valued differently from gains (ratio &gt; 1), but that the degree of disparity found depends on the method used to obtain the WTA/WTP ratio, including the approach to zero responses. Irrespective of the method used, the ratios found in our meta-analysis are smaller than the ratios found in previous meta-analyses.</t>
  </si>
  <si>
    <t>Prediagnostic Plasma Bile Acid Levels and Colon Cancer Risk: A Prospective Study.</t>
  </si>
  <si>
    <t>Kühn, Tilman; Stepien, Magdalena; López-Nogueroles, Marina; Damms-Machado, Antje; Sookthai, Disorn; Johnson, Theron; Roca, Marta; Hüsing, Anika; Maldonado, Sandra González; Cross, Amanda J; Murphy, Neil; Freisling, Heinz; Rinaldi, Sabina; Scalbert, Augustin; Fedirko, Veronika; Severi, Gianluca; Boutron-Ruault, Marie-Christine; Mancini, Francesca Romana; Sowah, Solomon A; Boeing, Heiner; Jakszyn, Paula; Sánchez, Maria J; Merino, Susana; Colorado-Yohar, Sandra; Barricarte, Aurelio; Khaw, Kay Tee; Schmidt, Julie A; Perez-Cornago, Aurora; Trichopoulou, Antonia; Karakatsani, Anna; Thriskos, Paschalis; Palli, Domenico; Agnoli, Claudia; Tumino, Rosario; Sacerdote, Carlotta; Panico, Salvatore; Bueno-de-Mesquita, Bas; van Gils, Carla H; Heath, Alicia K; Gunter, Marc J; Riboli, Elio; Lahoz, Agustín; Jenab, Mazda; Kaaks, Rudolf</t>
  </si>
  <si>
    <t>https://pubmed.ncbi.nlm.nih.gov/31435679</t>
  </si>
  <si>
    <t>Bile acids have been proposed to promote colon carcinogenesis. However, there are limited prospective data on circulating bile acid levels and colon cancer risk in humans. Associations between prediagnostic plasma levels of 17 primary, secondary, and tertiary bile acid metabolites (conjugated and unconjugated) and colon cancer risk were evaluated in a nested case-control study within the European Prospective Investigation into Cancer and Nutrition (EPIC) cohort. Bile acid levels were quantified by tandem mass spectrometry in samples from 569 incident colon cancer cases and 569 matched controls. Multivariable logistic regression analyses were used to estimate odds ratios (ORs) for colon cancer risk across quartiles of bile acid concentrations. Positive associations were observed between colon cancer risk and plasma levels of seven conjugated bile acid metabolites: the primary bile acids glycocholic acid (ORquartile 4 vs quartile 1= 2.22, 95% confidence interval [CI] = 1.52 to 3.26), taurocholic acid (OR = 1.78, 95% CI = 1.23 to 2.58), glycochenodeoxycholic acid (OR = 1.68, 95% CI = 1.13 to 2.48), taurochenodeoxycholic acid (OR = 1.62, 95% CI = 1.11 to 2.36), and glycohyocholic acid (OR = 1.65, 95% CI = 1.13 to 2.40), and the secondary bile acids glycodeoxycholic acid (OR = 1.68, 95% CI = 1.12 to 2.54) and taurodeoxycholic acid (OR = 1.54, 95% CI = 1.02 to 2.31). By contrast, unconjugated bile acids and tertiary bile acids were not associated with risk. This prospective study showed that prediagnostic levels of certain conjugated primary and secondary bile acids were positively associated with risk of colon cancer. Our findings support experimental data to suggest that a high bile acid load is colon cancer promotive.</t>
  </si>
  <si>
    <t>Framework to Support the Process of Decision-Making on Life-Sustaining Treatments in the ICU: Results of a Delphi Study.</t>
  </si>
  <si>
    <t>Kerckhoffs, Monika C; Senekal, Jannien; van Dijk, Diederik; Artigas, Antonio; Butler, Jenie; Michalsen, Andrej; van Mol, Margo M C; Moreno, Rui; Pais da Silva, Filipa; Picetti, Edoardo; Póvoa, Pedro; Robertsen, Annette; van Delden, Johannes J M</t>
  </si>
  <si>
    <t>https://pubmed.ncbi.nlm.nih.gov/32310619</t>
  </si>
  <si>
    <t>To develop a consensus framework that can guide the process of decision-making on continuing or limiting life-sustaining treatments in ICU patients, using evidence-based items, supported by caregivers, patients, and surrogate decision makers from multiple countries. A three-round web-based international Delphi consensus study with a priori consensus definition was conducted with experts from 13 countries. Participants reviewed items of the decision-making process on a seven-point Likert scale or with open-ended questions. Questions concerned terminology, content, and timing of decision-making steps. The summarized results (including mean scores) and expert suggestions were presented in the subsequent round for review. Web-based surveys of international participants representing ICU physicians, nurses, former ICU patients, and surrogate decision makers. Not applicable. Not applicable. In three rounds, respectively, 28, 28, and 27 (of 33 invited) physicians together with 12, 10, and seven (of 19 invited) nurses participated. Patients and surrogates were involved in round one and 12 of 27 responded. Caregivers were mostly working in university affiliated hospitals in Northern Europe. During the Delphi process, most items were modified in order to reach consensus. Seven items lacked consensus after three rounds. The final consensus framework comprises the content and timing of four elements; three elements focused on caregiver-surrogate communication (admission meeting, follow-up meeting, goals-of-care meeting); and one element (weekly time-out meeting) focused on assessing preferences, prognosis, and proportionality of ICU treatment among professionals. Physicians, nurses, patients, and surrogates generated a consensus-based framework to guide the process of decision-making on continuing or limiting life-sustaining treatments in the ICU. Early, frequent, and scheduled family meetings combined with a repeated multidisciplinary time-out meeting may support decisions in relation to patient preferences, prognosis, and proportionality.</t>
  </si>
  <si>
    <t>Individual participant data meta-analysis to examine interactions between treatment effect and participant-level covariates: Statistical recommendations for conduct and planning.</t>
  </si>
  <si>
    <t>Riley, Richard D; Debray, Thomas P A; Fisher, David; Hattle, Miriam; Marlin, Nadine; Hoogland, Jeroen; Gueyffier, Francois; Staessen, Jan A; Wang, Jiguang; Moons, Karel G M; Reitsma, Johannes B; Ensor, Joie</t>
  </si>
  <si>
    <t>https://pubmed.ncbi.nlm.nih.gov/32350891</t>
  </si>
  <si>
    <t>Precision medicine research often searches for treatment-covariate interactions, which refers to when a treatment effect (eg, measured as a mean difference, odds ratio, hazard ratio) changes across values of a participant-level covariate (eg, age, gender, biomarker). Single trials do not usually have sufficient power to detect genuine treatment-covariate interactions, which motivate the sharing of individual participant data (IPD) from multiple trials for meta-analysis. Here, we provide statistical recommendations for conducting and planning an IPD meta-analysis of randomized trials to examine treatment-covariate interactions. For conduct, two-stage and one-stage statistical models are described, and we recommend: (i) interactions should be estimated directly, and not by calculating differences in meta-analysis results for subgroups; (ii) interaction estimates should be based solely on within-study information; (iii) continuous covariates and outcomes should be analyzed on their continuous scale; (iv) nonlinear relationships should be examined for continuous covariates, using a multivariate meta-analysis of the trend (eg, using restricted cubic spline functions); and (v) translation of interactions into clinical practice is nontrivial, requiring individualized treatment effect prediction. For planning, we describe first why the decision to initiate an IPD meta-analysis project should not be based on between-study heterogeneity in the overall treatment effect; and second, how to calculate the power of a potential IPD meta-analysis project in advance of IPD collection, conditional on characteristics (eg, number of participants, standard deviation of covariates) of the trials (potentially) promising their IPD. Real IPD meta-analysis projects are used for illustration throughout.</t>
  </si>
  <si>
    <t>Reply.</t>
  </si>
  <si>
    <t>Zwartbol, M H T; van der Kolk, A G; Geerlings, M I</t>
  </si>
  <si>
    <t>https://pubmed.ncbi.nlm.nih.gov/32354711</t>
  </si>
  <si>
    <t>Development of a clinical decision tool to reduce diagnostic testing for primary aldosteronism in patients with difficult-to-control hypertension.</t>
  </si>
  <si>
    <t>van Kleef, Monique E A M; Visseren, Frank L J; Westerink, Jan; Bots, Michiel L; Blankestijn, Peter J; van der Graaf, Yolanda; Spiering, Wilko</t>
  </si>
  <si>
    <t>bmc endocrine disorders</t>
  </si>
  <si>
    <t>https://pubmed.ncbi.nlm.nih.gov/32349748</t>
  </si>
  <si>
    <t>Satisfactory tools to preclude low-risk patients from intensive diagnostic testing for primary aldosteronism (PA) are lacking. Therefore, we aimed to develop a decision tool to determine which patients with difficult-to-control hypertension have a low probability of PA, thereby limiting the exposure to invasive testing while at the same time increasing the efficiency of testing in the remaining patients. Data from consecutive patients with difficult-to-control hypertension, analysed through a standardized diagnostic protocol between January 2010 and October 2017 (n = 824), were included in this cross-sectional study. PA was diagnosed by a combined approach: 1) elevated aldosterone-to-renin ratio (&gt; 5.0 pmol/fmol/s), confirmed with 2) non-suppressible aldosterone after standardized saline infusion (≥280 pmol/L). Multivariable logistic regression analyses including seven pre-specified clinical variables (age, systolic blood pressure, serum potassium, potassium supplementation, serum sodium, eGFR and HbA1c) was performed. After correction for optimism, test reliability, discriminative performance and test characteristics were determined. PA was diagnosed in 40 (4.9%) of 824 patients. Predicted probabilities of PA agreed well with observed frequencies and the c-statistic was 0.77 (95% confidence interval (95%CI) 0.70-0.83). Predicted probability cut-off values of 1.0-2.5% prevented unnecessary testing in 8-32% of the patients with difficult-to-control hypertension, carrying sensitivities of 0.98 (95%CI 0.96-0.99) and 0.92 (0.83-0.97), and negative predictive values of 0.99 (0.98-1.00) and 0.99 (0.97-0.99). With a decision tool, based on seven easy-to-measure clinical variables, patients with a low probability of PA can be reliably selected and a considerable proportion of patients with difficult-to-control hypertension can be spared intensive diagnostic testing.</t>
  </si>
  <si>
    <t>Tonsillectomy versus tonsillotomy for obstructive sleep-disordered breathing in children.</t>
  </si>
  <si>
    <t>Blackshaw, Helen; Springford, Laurie R; Zhang, Lai-Ying; Wang, Betty; Venekamp, Roderick P; Schilder, Anne Gm</t>
  </si>
  <si>
    <t>https://pubmed.ncbi.nlm.nih.gov/32347984</t>
  </si>
  <si>
    <t>Obstructive sleep-disordered breathing (oSDB) is a condition encompassing breathing problems when asleep due to upper airway obstruction. In children, hypertrophy of the tonsils and/or adenoids is thought to be the commonest cause. As such, (adeno)tonsillectomy has long been the treatment of choice. A rise in partial removal of the tonsils over the last decade is due to the hypothesis that tonsillotomy is associated with lower postoperative morbidity and fewer complications. To assess whether partial removal of the tonsils (intracapsular tonsillotomy) is as effective as total removal of the tonsils (extracapsular tonsillectomy) in relieving signs and symptoms of oSDB in children, and has lower postoperative morbidity and fewer complications. We searched the Cochrane ENT Trials Register; Central Register of Controlled Trials (CENTRAL); MEDLINE; EMBASE; CINAHL; Web of Science; ClinicalTrials.gov; ICTRP and additional sources for published and unpublished trials. The search date was 22 July 2019. Randomised controlled trials (RCTs) comparing the effectiveness of (adeno)tonsillectomy with (adeno)tonsillotomy in children aged 2 to 16 years with oSDB. We used standard Cochrane methods and assessed the certainty of the evidence for our pre-defined outcomes using GRADE. Our primary outcomes were disease-specific quality of life, peri-operative blood loss and the proportion of children requiring postoperative medical intervention (with or without hospitalisation). Secondary outcomes included postoperative pain, return to normal activity, recurrence of oSDB symptoms as a result of tonsil regrowth and reoperation rates. We included 22 studies (1984 children), with predominantly unclear or high risk of bias. Three studies used polysomnography as part of their inclusion criteria. Follow-up duration ranged from six days to six years. Although 19 studies reported on some of our outcomes, we could only pool the results from a few due both to the variety of outcomes and the measurement instruments used, and an absence of combinable data. Disease-specific quality of life Four studies (540 children; 484 (90%) analysed) reported this outcome; data could not be pooled due to the different outcome measurement instruments used. It is very uncertain whether there is any difference in disease-specific quality of life between the two surgical procedures in the short (0 to 6 months; 3 studies, 410 children), medium (7 to 13 months; 2 studies, 117 children) and long term (13 to 24 months; 1 study, 67 children) (very low-certainty evidence). Peri-operative blood loss We are uncertain whether tonsillotomy reduces peri-operative blood loss by a clinically meaningful amount (mean difference (MD) 14.06 mL, 95% CI 1.91 to 26.21 mL; 8 studies, 610 children; very low-certainty evidence). In sensitivity analysis (restricted to three studies with low risk of bias) there was no evidence of a difference between the groups. Postoperative complications requiring medical intervention (with or without hospitalisation) The risk of postoperative complications in the first week after surgery was probably lower in children who underwent tonsillotomy (4.9% versus 2.6%, risk ratio (RR) 1.75, 95% CI 1.06 to 2.91; 16 studies, 1416 children; moderate-certainty evidence). Postoperative pain Eleven studies (1017 children) reported this outcome. Pain was measured using various scales and scored by either children, parents, clinicians or study personnel. When considering postoperative pain there was little or no difference between tonsillectomy and tonsillotomy at 24 hours (10-point scale) (MD 1.09, 95% CI 0.88 to 1.29; 4 studies, 368 children); at two to three days (MD 0.93, 95% CI -0.14 to 2.00; 3 studies, 301 children); or at four to seven days (MD 1.07, 95% CI -0.40 to 2.53; 4 studies, 370 children) (all very low-certainty evidence). In sensitivity analysis (restricted to studies with low risk of bias), we found no evidence of a difference in mean pain scores between groups. Return to normal activity Tonsillotomy probably results in a faster return to normal activity. Children who underwent tonsillotomy were able to return to normal activity four days earlier (MD 3.84 days, 95% CI 0.23 to 7.44; 3 studies, 248 children; moderate-certainty evidence). Recurrence of oSDB and reoperation rates We are uncertain whether there is a difference between the groups in the short (RR 0.26, 95% CI 0.03 to 2.22; 3 studies, 186 children), medium (RR 0.35, 95% CI 0.04 to 3.23; 4 studies, 206 children) or long term (RR 0.21 95% CI 0.01 to 4.13; 1 study, 65 children) (all very low-certainty evidence). For children with oSDB selected for tonsil surgery, tonsillotomy probably results in a faster return to normal activity (four days) and in a slight reduction in postoperative complications requiring medical intervention in the first week after surgery. This should be balanced against the clinical effectiveness of one operation over the other. However, this is not possible to determine in this review as data on the long-term effects of the two operations on oSDB symptoms, quality of life, oSDB recurrence and need for reoperation are limited and the evidence is of very low quality leading to a high degree of uncertainty about the results. More robust data from high-quality cohort studies, which may be more appropriate for detecting differences in less common events in the long term, are required to inform guidance on which tonsil surgery technique is best for children with oSDB requiring surgery.</t>
  </si>
  <si>
    <t>Comparative performance of pooled cohort equations and Framingham risk scores in cardiovascular disease risk classification in a slum setting in Nairobi Kenya.</t>
  </si>
  <si>
    <t>Wekesah, Frederick M; Mutua, Martin K; Boateng, Daniel; Grobbee, Diederick E; Asiki, Gershim; Kyobutungi, Catherine K; Klipstein-Grobusch, Kerstin</t>
  </si>
  <si>
    <t>https://pubmed.ncbi.nlm.nih.gov/32373711</t>
  </si>
  <si>
    <t>Cardiovascular diseases (CVD) cause 18 million deaths annually. Low- and middle-income countries (LMICs) account for 80% of the CVD burden, and the burden is expected to grow in the region in the coming years. Screening for and identification of individuals at high risk for CVD in primary care settings can be accomplished using available CVD risk scores. However, few of these scores have been validated/recalibrated for use in sub-Saharan Africa (SSA). Pooled cohort equations (PCE) and Framingham risk scores for 10-year CVD risk were applied on 1960 men and women aged 40 years and older from the AWI-Gen (Africa, Wits-INDEPTH Partnership for GENomic studies) study 2015. Low, moderate/intermediate or high CVD risk classifications correspond to &lt;10%, 10-20% and &gt;20% chance of developing CVD in 10 years respectively. Agreement between the risk scores was assessed using kappa and correlation coefficients. High CVD risk was 10.3% in PCE 2013, 0.4% in PCE 2018, 2.9% in Framingham and 3.6% in Framingham non-laboratory scores. Conversely, low CVD risk was 62.2% in PCE 2013 and 95.6% in PCE 2018, 84.0% and 80.1% in Framingham and Framingham non-laboratory scores, respectively. A moderate agreement existed between the Framingham functions (kappa = 0.64, 95% CI 0.59-0.68, correlation, r&lt;sub&gt;s&lt;/sub&gt; = 0.711). There was no agreement between the PCE 2013 and 2018 functions (kappa = 0.05, 95% CI 0.04-0.06). Newer cohort-based data is necessary to validate and recalibrate existing CVD risk scores in order to develop appropriate functions for use in SSA.</t>
  </si>
  <si>
    <t>A prediction model for one- and three-year mortality in dementia: results from a nationwide hospital-based cohort of 50,993 patients in the Netherlands.</t>
  </si>
  <si>
    <t>van de Vorst, Irene E; Golüke, Nienke M S; Vaartjes, Ilonca; Bots, Michiel L; Koek, Huiberdina L</t>
  </si>
  <si>
    <t>https://pubmed.ncbi.nlm.nih.gov/32147680</t>
  </si>
  <si>
    <t>to develop a model to predict one- and three-year mortality in patients with dementia attending a hospital, through hospital admission or day/memory clinic. we constructed a cohort of dementia patients through data linkage of three Dutch national registers: the hospital discharge register (HDR), the population register and the national cause of death register. patients with dementia in the HDR aged between 60 and 100 years registered between 1 January 2000 and 31 December 2010. logistic regression analysis techniques were used to predict one- and three-year mortality after a first hospitalisation with dementia. The performance was assessed using the c-statistic and the Hosmer-Lemeshow test. Internal validation was performed using bootstrap resampling. 50,993 patients were included in the cohort. Two models were constructed, which included age, sex, setting of care (hospitalised versus day clinic) and the presence of comorbidity using the Charlson comorbidity index. One model predicted one-year mortality and the other three-year mortality. Model discrimination according to the c-statistic for the models was 0.71 (95% CI 0.71-0.72) and 0.72 (95% CI 0.72-0.73), respectively. both models display acceptable ability to predict mortality. An important advantage is that they are easy to apply in daily practise and thus are helpful for individual decision-making regarding diagnostic/therapeutic interventions and advance care planning.</t>
  </si>
  <si>
    <t>Coronary artery disease prediction in women and men using chest pain characteristics and risk factors: an observational study in outpatient clinics.</t>
  </si>
  <si>
    <t>Groepenhoff, Floor; Eikendal, Anouk L M; Onland-Moret, N Charlotte; Bots, Sophie Heleen; Menken, Roxana; Tulevski, Igor I; Somsen, Aernout G; Hofstra, Leonard; den Ruijter, Hester M</t>
  </si>
  <si>
    <t>https://pubmed.ncbi.nlm.nih.gov/32341045</t>
  </si>
  <si>
    <t>To assess the diagnostic value of non-acute chest pain characteristics for coronary artery disease in women and men referred to outpatient cardiology clinics. This is an observational study performed at outpatient cardiology centres of the Netherlands. The study population consisted of 1028 patients with non-acute chest pain (505 women). Twenty-four women (5%) and 75 men (15%) were diagnosed with coronary artery disease by invasive coronary angiography or CT angiography during regular care follow-up. Elastic net regression was performed to assess which chest pain characteristics and risk factors were of diagnostic value. The overall model selected age, provocation by temperature or stress, relief at rest and functional class as determinants and was accurate in both sexes (area under the curve (AUC) of 0.76 (95% CI 0.68 to 0.85) in women and 0.83 (95% CI 0.78 to 0.88) in men). Both sex-specific models selected age, pressuring nature, radiation, duration, frequency, progress, provocation and relief at rest as determinants. The female model additionally selected dyspnoea, body mass index, hypertension and smoking while the male model additionally selected functional class and diabetes. The sex-specific models performed better than the overall model, but more so in women (AUC: 0.89, 95% CI 0.81 to 0.96) than in men (AUC: 0.84, 95% CI 0.73 to 0.90). In both sexes, the diagnostic value of non-acute chest pain characteristics and risk factors for coronary artery disease was high. Provocation, relief at rest and functional class of chest pain were the most powerful diagnostic predictors in both women and men. When stratified by sex the performance of the model improved, mostly in women.</t>
  </si>
  <si>
    <t>Blood Pressure Indices and Associated Risk Factors in a Rural West African Adult Population: Insights from an AWI-Gen Substudy in Ghana.</t>
  </si>
  <si>
    <t>Agongo, Godfred; Nonterah, Engelbert A; Amenga-Etego, Lucas; Debpuur, Cornelius; Kaburise, Michael B; Ali, Stuart A; Crowther, Nigel J; Ramsay, Michèle; Oduro, Abraham R</t>
  </si>
  <si>
    <t>international journal of hypertension</t>
  </si>
  <si>
    <t>https://pubmed.ncbi.nlm.nih.gov/32395338</t>
  </si>
  <si>
    <t>Systolic (SBP) and diastolic blood pressure (DBP) are commonly used for cardiovascular disease (CVD) risk prediction, and pulse pressure (PP) and mean arterial blood pressure (MAP) can provide additional information. It is therefore important to understand the factors associated with these cardiovascular risk markers. This cross-sectional study involved 1839 men and women aged 40-60 years. Data on SBP, DBP, MAP, PP, sociodemography, lifestyle, anthropometry, and lipids were collected. Gender-stratified linear regression analyses were performed to determine the association between log-transformed blood pressure indices and the study variables. Age was associated with all measured blood pressure indices (&lt;i&gt;p&lt;/i&gt; &lt; 0.001) among men and women. Men had higher SBP (&lt;i&gt;p&lt;/i&gt;=0.007) and PP (&lt;i&gt;p&lt;/i&gt; &lt; 0.001) than women. Nankana ethnicity was associated with higher PP levels (&lt;i&gt;p&lt;/i&gt; &lt; 0.005) in the total population. Vendor meal consumption among women was associated with higher PP levels (&lt;i&gt;p&lt;/i&gt; &lt; 0.05). Fruit intake among men was associated with lower PP levels (&lt;i&gt;p&lt;/i&gt; &lt; 0.05). Currently unmarried women had higher SBP (&lt;i&gt;p&lt;/i&gt; &lt; 0.005), DBP (&lt;i&gt;p&lt;/i&gt; &lt; 0.05), MAP (&lt;i&gt;p&lt;/i&gt; &lt; 0.005), and PP (&lt;i&gt;p&lt;/i&gt; &lt; 0.005) than currently married women. Pesticide exposure was negatively associated with SBP (&lt;i&gt;p&lt;/i&gt; &lt; 0.005), DBP (&lt;i&gt;p&lt;/i&gt; &lt; 0.005), MAP (&lt;i&gt;p&lt;/i&gt; &lt; 0.005), and PP (&lt;i&gt;p&lt;/i&gt; &lt; 0.05) among women. Increased subcutaneous fat was associated with DBP (&lt;i&gt;p&lt;/i&gt; &lt; 0.005) and MAP (&lt;i&gt;p&lt;/i&gt; &lt; 0.05) among women. Among men, hip circumference was associated with higher DBP and MAP (&lt;i&gt;p&lt;/i&gt; &lt; 0.05 for both associations), subcutaneous fat associated with higher SBP (&lt;i&gt;p&lt;/i&gt; &lt; 0.005), DBP (&lt;i&gt;p&lt;/i&gt; &lt; 0.001), and MAP (&lt;i&gt;p&lt;/i&gt; &lt; 0.001) and visceral fat was associated with higher PP (&lt;i&gt;p&lt;/i&gt; &lt; 0.05). In the total population, visceral fat was associated with higher DBP (&lt;i&gt;p&lt;/i&gt; &lt; 0.05) and MAP (&lt;i&gt;p&lt;/i&gt; &lt; 0.001). High-density lipoprotein cholesterol was positively associated with SBP (&lt;i&gt;p&lt;/i&gt; &lt; 0.005), DBP (&lt;i&gt;p&lt;/i&gt; &lt; 0.005), and MAP (&lt;i&gt;p&lt;/i&gt; &lt; 0.001) for women and positively associated with SBP, DBP, and MAP (&lt;i&gt;p&lt;/i&gt; &lt; 0.001 for all three) and PP (&lt;i&gt;p&lt;/i&gt; &lt; 0.05) for men. The association of blood pressure indices with modifiable risk factors suggests that targeted health interventions may reduce CVD risk in this population.</t>
  </si>
  <si>
    <t>Serologic markers of Chlamydia trachomatis and other sexually transmitted infections and subsequent ovarian cancer risk: Results from the EPIC cohort.</t>
  </si>
  <si>
    <t>Idahl, Annika; Le Cornet, Charlotte; González Maldonado, Sandra; Waterboer, Tim; Bender, Noemi; Tjønneland, Anne; Hansen, Louise; Boutron-Ruault, Marie-Christine; Fournier, Agnès; Kvaskoff, Marina; Boeing, Heiner; Trichopoulou, Antonia; Valanou, Elisavet; Peppa, Eleni; Palli, Domenico; Agnoli, Claudia; Mattiello, Amalia; Tumino, Rosario; Sacerdote, Carlotta; Onland-Moret, N Charlotte; Gram, Inger T; Weiderpass, Elisabete; Quirós, Jose R; Duell, Eric J; Sánchez, Maria-Jose; Chirlaque, Maria-Dolores; Barricarte, Aurelio; Gil, Leire; Brändstedt, Jenny; Riesbeck, Kristian; Lundin, Eva; Khaw, Kay-Tee; Perez-Cornago, Aurora; Gunter, Marc J; Dossus, Laure; Kaaks, Rudolf; Fortner, Renée T</t>
  </si>
  <si>
    <t>https://pubmed.ncbi.nlm.nih.gov/32243586</t>
  </si>
  <si>
    <t>A substantial proportion of epithelial ovarian cancer (EOC) arises in the fallopian tube and other epithelia of the upper genital tract; these epithelia may incur damage and neoplastic transformation after sexually transmitted infections (STI) and pelvic inflammatory disease. We investigated the hypothesis that past STI infection, particularly Chlamydia trachomatis, is associated with higher EOC risk in a nested case-control study within the European Prospective Investigation into Cancer and Nutrition (EPIC) cohort including 791 cases and 1669 matched controls. Serum antibodies against C. trachomatis, Mycoplasma genitalium, herpes simplex virus type 2 (HSV-2) and human papillomavirus (HPV) 16, 18 and 45 were assessed using multiplex fluorescent bead-based serology. Conditional logistic regression was used to estimate relative risks (RR) and 95% confidence intervals (CI) comparing women with positive vs. negative serology. A total of 40% of the study population was seropositive to at least one STI. Positive serology to C. trachomatis Pgp3 antibodies was not associated with EOC risk overall, but with higher risk of the mucinous histotype (RR = 2.30 [95% CI = 1.22-4.32]). Positive serology for chlamydia heat shock protein 60 (cHSP60-1) was associated with higher risk of EOC overall (1.36 [1.13-1.64]) and with the serous subtype (1.44 [1.12-1.85]). None of the other evaluated STIs were associated with EOC risk overall; however, HSV-2 was associated with higher risk of endometrioid EOC (2.35 [1.24-4.43]). The findings of our study suggest a potential role of C. trachomatis in the carcinogenesis of serous and mucinous EOC, while HSV-2 might promote the development of endometrioid disease.</t>
  </si>
  <si>
    <t>Key challenges in normal tissue complication probability model development and validation: towards a comprehensive strategy.</t>
  </si>
  <si>
    <t>Van den Bosch, Lisa; Schuit, Ewoud; van der Laan, Hans Paul; Reitsma, Johannes B; Moons, Karel G M; Steenbakkers, Roel J H M; Hoebers, Frank J P; Langendijk, Johannes A; van der Schaaf, Arjen</t>
  </si>
  <si>
    <t>https://pubmed.ncbi.nlm.nih.gov/32388149</t>
  </si>
  <si>
    <t>Normal Tissue Complication Probability (NTCP) models can be used for treatment plan optimisation and patient selection for emerging treatment techniques. We discuss and suggest methodological approaches to address key challenges in NTCP model development and validation, including: missing data, non-linear response relationships, multicollinearity between predictors, overfitting, generalisability and the prediction of multiple complication grades at multiple time points. The methodological approaches chosen are aimed to improve the accuracy, transparency and robustness of future NTCP-models. We demonstrate our methodological approaches using clinical data.</t>
  </si>
  <si>
    <t>Antibiotic prophylaxis for prevention of postoperative wound infection in adults undergoing open elective inguinal or femoral hernia repair.</t>
  </si>
  <si>
    <t>Orelio, Claudia C; van Hessen, Coen; Sanchez-Manuel, Francisco Javier; Aufenacker, Theodorus J; Scholten, Rob Jpm</t>
  </si>
  <si>
    <t>https://pubmed.ncbi.nlm.nih.gov/32315460</t>
  </si>
  <si>
    <t>Inguinal or femoral hernia is a tissue protrusion in the groin region and has a cumulative incidence of 27% in adult men and of 3% in adult women. As most hernias become symptomatic over time, groin hernia repair is one of the most frequently performed surgical procedures worldwide. This type of surgery is considered 'clean' surgery with wound infection rates expected to be lower than 5%. For clean surgical procedures, antibiotic prophylaxis is not generally recommended. However after the introduction of mesh-based hernia repair and the publication of studies that have high wound infection rates the debate as to whether antibiotic prophylaxis is required to prevent postoperative wound infections started again. To determine the effectiveness of antibiotic prophylaxis in reducing postoperative (superficial and deep) wound infections in elective open inguinal and femoral hernia repair. We searched several electronic databases: Cochrane Registry of Studies Online, MEDLINE Ovid, Embase Ovid, Scopus and Science Citation Index (search performed on 12 November 2019). We also searched two trial registers and the reference list of included studies. We included randomised controlled trials comparing any type of antibiotic prophylaxis versus placebo or no treatment for preventing postoperative wound infections in adults undergoing inguinal or femoral open hernia repair surgery (tissue repair and mesh repair). Two review authors independently selected studies, extracted data and assessed risk of bias. We separately analysed results for two different surgical methods (herniorrhaphy and hernioplasty). Several studies revealed infection rates that were higher than the expected 5% for clean surgery and we therefore divided studies into two subgroups: high infection risk environments (≥ 5% infection rate); and low infection risk environments (&lt; 5% infection rate). We performed meta-analyses with random-effects models. We analysed three outcomes: superficial surgical site infections (SSSI); deep surgical site infections (DSSI); and all postoperative wound infections (SSSI + DSSI). In this review update we identified and included 10 new studies. In total, we included 27 studies with 8308 participants in this review. It is uncertain whether antibiotic prophylaxis as compared to placebo (or no treatment) prevents all types of postoperative wound infections after herniorrhaphy surgery (risk ratio (RR) 0.86, 95% confidence interval (CI) 0.56 to 1.33; 5 studies, 1865 participants; very low quality evidence). Subgroup analysis did not change these results. We could not perform meta-analyses for SSSI or DSSI as these outcomes were not reported separately. Twenty-two studies related to hernioplasty surgery (total of 6443 participants) and we analysed three outcomes: SSSI; DSSI; SSSI + DSSI. Within the low infection risk environment subgroup, antibiotic prophylaxis as compared to placebo probably makes little or no difference for the outcomes 'prevention of all wound infections' (RR 0.71, 95% CI 0.44 to 1.14; moderate-quality evidence) and 'prevention of SSSI' (RR 0.71, 95% CI 0.44 to 1.17, moderate-quality evidence). Within the high infection risk environment subgroup it is uncertain whether antibiotic prophylaxis reduces all types of wound infections (RR 0.58, 95% CI 0.43 to 0.77, very low quality evidence) or SSSI (RR 0.56, 95% CI 0.41 to 0.77, very low quality evidence). When combining participants from both subgroups, antibiotic prophylaxis as compared to placebo probably reduces the risk of all types of wound infections (RR 0.61, 95% CI 0.48 to 0.78) and SSSI (RR 0.60, 95% CI 0.46 to 0.78; moderate-quality evidence). Antibiotic prophylaxis as compared to placebo probably makes little or no difference in reducing the risk of postoperative DSSI (RR 0.65, 95% CI 0.26 to 1.65; moderate-quality evidence), both in a low infection risk environment (RR 0.67, 95% CI 0.11 to 4.13; moderate-quality evidence) and in the high infection risk environment (RR 0.64, 95% CI 0.22 to 1.89; low-quality evidence). Evidence of very low quality shows that it is uncertain whether antibiotic prophylaxis reduces the risk of postoperative wound infections after herniorrhaphy surgery. Evidence of moderate quality shows that antibiotic prophylaxis probably makes little or no difference in preventing wound infections (i.e. all wound infections, SSSI or DSSI) after hernioplasty surgery in a low infection risk environment. Evidence of low quality shows that antibiotic prophylaxis in a high-risk environment may reduce the risk of all wound infections and SSSI, while evidence of very low quality shows that it is uncertain whether antibiotic prophylaxis reduces DSSI after hernioplasty surgery.</t>
  </si>
  <si>
    <t>Hepatitis B prevention: Can we learn from the response to HIV/AIDS?</t>
  </si>
  <si>
    <t>Kretzschmar, Mirjam E E; van der Sande, Marianne A B</t>
  </si>
  <si>
    <t>https://pubmed.ncbi.nlm.nih.gov/32315316</t>
  </si>
  <si>
    <t>Mirjam Kretzschmar and Marianne van der Sande discuss the accompanying research study by Anna McNaughton and colleagues on strategies to reduce the burden of hepatitis B in African countries.</t>
  </si>
  <si>
    <t>Systematic review of prediction models for gestational hypertension and preeclampsia.</t>
  </si>
  <si>
    <t>Antwi, Edward; Amoakoh-Coleman, Mary; Vieira, Dorice L; Madhavaram, Shreya; Koram, Kwadwo A; Grobbee, Diederick E; Agyepong, Irene A; Klipstein-Grobusch, Kerstin</t>
  </si>
  <si>
    <t>https://pubmed.ncbi.nlm.nih.gov/32315307</t>
  </si>
  <si>
    <t>Prediction models for gestational hypertension and preeclampsia have been developed with data and assumptions from developed countries. Their suitability and application for low resource settings have not been tested. This review aimed to identify and assess the methodological quality of prediction models for gestational hypertension and pre-eclampsia with reference to their application in low resource settings. Using combinations of keywords for gestational hypertension, preeclampsia and prediction models seven databases were searched to identify prediction models developed with maternal data obtained before 20 weeks of pregnancy and including at least three predictors (Prospero registration CRD 42017078786). Prediction model characteristics and performance measures were extracted using the CHARMS, STROBE and TRIPOD checklists. The National Institute of Health quality assessment tools for observational cohort and cross-sectional studies were used for study quality appraisal. We retrieved 8,309 articles out of which 40 articles were eligible for review. Seventy-seven percent of all the prediction models combined biomarkers with maternal clinical characteristics. Biomarkers used as predictors in most models were pregnancy associated plasma protein-A (PAPP-A) and placental growth factor (PlGF). Only five studies were conducted in a low-and middle income country. Most of the studies evaluated did not completely follow the CHARMS, TRIPOD and STROBE guidelines in prediction model development and reporting. Adherence to these guidelines will improve prediction modelling studies and subsequent application of prediction models in clinical practice. Prediction models using maternal characteristics, with good discrimination and calibration, should be externally validated for use in low and middle income countries where biomarker assays are not routinely available.</t>
  </si>
  <si>
    <t>Relationship between Coxiella burnetii (Q fever) antibody serology and time spent outdoors.</t>
  </si>
  <si>
    <t>Klous, Gijs; Smit, Lidwien Am; van der Hoek, Wim; Kretzschmar, Mirjam Ee; Vellema, Piet; Coutinho, Roel A; Heederik, Dick Jj; Huss, Anke</t>
  </si>
  <si>
    <t>https://pubmed.ncbi.nlm.nih.gov/32330524</t>
  </si>
  <si>
    <t>From 2007 through 2010, the Netherlands experienced the largest recorded Q fever outbreak to date. People living closer to Coxiella burnetii infected goat farms were at increased risk for acute Q fever. Time spent outdoors near infected farms may have contributed to exposure to C. burnetii. The aim of this study was to retrospectively evaluate whether hours/week spent outdoors, in the vicinity of previously C. burnetii infected goat farms, was associated with presence of antibodies against C. burnetii in residents of a rural area in the Netherlands. Between 2014-2015, we collected C. burnetii antibody serology and self-reported data about habitual hours/week spent outdoors near the home from 2494 adults. From a subgroup we collected 941 GPS tracks, enabling analyses of active mobility in the outbreak region. Participants were categorised as exposed if they spent time within specified distances (500m, 1000m, 2000m, or 4000m) of C. burnetii infected goat farms. We evaluated whether time spent near these farms was associated with positive C. burnetii serology using spline analyses and logistic regression. People that spent more hours/week outdoors near infected farms had a significantly increased risk for positive C. burnetii serology (time spent within 2000m of a C. burnetii abortion-wave positive farm, OR 3.6 (1.2-10.6)), compared to people spending less hours/week outdoors. Outdoor exposure contributed to the risk of becoming C. burnetii serology positive. These associations were stronger if people spent more time near C. burnetii infected farms. Outdoor exposure should, if feasible, be included in outbreak investigations.</t>
  </si>
  <si>
    <t>Confounding adjustment performance of ordinal analysis methods in stroke studies.</t>
  </si>
  <si>
    <t>Zonneveld, Thomas P; Aigner, Annette; Groenwold, Rolf H H; Algra, Ale; Nederkoorn, Paul J; Grittner, Ulrike; Kruyt, Nyika D; Siegerink, Bob</t>
  </si>
  <si>
    <t>https://pubmed.ncbi.nlm.nih.gov/32298347</t>
  </si>
  <si>
    <t>In stroke studies, ordinal logistic regression (OLR) is often used to analyze outcome on the modified Rankin Scale (mRS), whereas the non-parametric Mann-Whitney measure of superiority (MWS) has also been suggested. It is unclear how these perform comparatively when confounding adjustment is warranted. Our aim is to quantify the performance of OLR and MWS in different confounding variable settings. We set up a simulation study with three different scenarios; (1) dichotomous confounding variables, (2) continuous confounding variables, and (3) confounding variable settings mimicking a study on functional outcome after stroke. We compared adjusted ordinal logistic regression (aOLR) and stratified Mann-Whitney measure of superiority (sMWS), and also used propensity scores to stratify the MWS (psMWS). For comparability, OLR estimates were transformed to a MWS. We report bias, the percentage of runs that produced a point estimate deviating by more than 0.05 points (point estimate variation), and the coverage probability. In scenario 1, there was no bias in both sMWS and aOLR, with similar point estimate variation and coverage probabilities. In scenario 2, sMWS resulted in more bias (0.04 versus 0.00), and higher point estimate variation (41.6% versus 3.3%), whereas coverage probabilities were similar. In scenario 3, there was no bias in both methods, point estimate variation was higher in the sMWS (6.7%) versus aOLR (1.1%), and coverage probabilities were 0.98 (sMWS) versus 0.95 (aOLR). With psMWS, bias remained 0.00, with less point estimate variation (1.5%) and a coverage probability of 0.95. The bias of both adjustment methods was similar in our stroke simulation scenario, and the higher point estimate variation in the MWS improved with propensity score based stratification. The stratified MWS is a valid alternative for adjusted OLR only when the ratio of number of strata versus number of observations is relatively low, but propensity score based stratification extends the application range of the MWS.</t>
  </si>
  <si>
    <t>Data sources and methods used to determine pretest probabilities in a cohort of Cochrane diagnostic test accuracy reviews.</t>
  </si>
  <si>
    <t>Oerbekke, Michiel S; Jenniskens, Kevin; Scholten, Rob J P M; Hooft, Lotty</t>
  </si>
  <si>
    <t>https://pubmed.ncbi.nlm.nih.gov/32299367</t>
  </si>
  <si>
    <t>A pretest probability must be selected to calculate data to help clinicians, guideline boards and policy makers interpret diagnostic accuracy parameters. When multiple analyses for the same target condition are compared, identical pretest probabilities might be selected to facilitate the comparison. Some pretest probabilities may lead to exaggerations of the patient harms or benefits, and guidance on how and why to select a specific pretest probability is minimally described. Therefore, the aim of this study was to assess the data sources and methods used in Cochrane diagnostic test accuracy (DTA) reviews for determining pretest probabilities to facilitate the interpretation of DTA parameters. A secondary aim was to assess the use of identical pretest probabilities to compare multiple meta-analyses within the same target condition. Cochrane DTA reviews presenting at least one meta-analytic estimate of the sensitivity and/or specificity as a primary analysis published between 2008 and January 2018 were included. Study selection and data extraction were performed by one author and checked by other authors. Observed data sources (e.g. studies in the review, or external sources) and methods to select pretest probabilities (e.g. median) were categorized. Fifty-nine DTA reviews were included, comprising of 308 meta-analyses. A pretest probability was used in 148 analyses. Authors used included studies in the DTA review, external sources, and author consensus as data sources for the pretest probability. Measures of central tendency with or without a measure of dispersion were used to determine the pretest probabilities, with the median most commonly used. Thirty-two target conditions had at least one identical pretest probability for all of the meta-analyses within their target condition. About half of the used identical pretest probabilities were inside the prevalence ranges from all analyses within a target condition. Multiple sources and methods were used to determine (identical) pretest probabilities in Cochrane DTA reviews. Indirectness and severity of downstream consequences may influence the acceptability of the certainty in calculated data with pretest probabilities. Consider: whether to present normalized frequencies, the influence of pretest probabilities on normalized frequencies, and whether to use identical pretest probabilities for meta-analyses in a target condition.</t>
  </si>
  <si>
    <t>Impact of nationwide enhanced implementation of best practices in pancreatic cancer care (PACAP-1): a multicenter stepped-wedge cluster randomized controlled trial.</t>
  </si>
  <si>
    <t>Mackay, T M; Smits, F J; Latenstein, A E J; Bogte, A; Bonsing, B A; Bos, H; Bosscha, K; Brosens, L A A; Hol, L; Busch, O R C; Creemers, G J; Curvers, W L; den Dulk, M; van Dieren, S; van Driel, L M J W; Festen, S; van Geenen, E J M; van der Geest, L G; de Groot, D J A; de Groot, J W B; Haj Mohammad, N; Haberkorn, B C M; Haver, J T; van der Harst, E; Hemmink, G J M; de Hingh, I H; Hoge, C; Homs, M Y V; van Huijgevoort, N C; Jacobs, M A J M; Kerver, E D; Liem, M S L; Los, M; Lubbinge, H; Luelmo, S A C; de Meijer, V E; Mekenkamp, L; Molenaar, I Q; van Oijen, M G H; Patijn, G A; Quispel, R; van Rijssen, L B; Römkens, T E H; van Santvoort, H C; Schreinemakers, J M J; Schut, H; Seerden, T; Stommel, M W J; Ten Tije, A J; Venneman, N G; Verdonk, R C; Verheij, J; van Vilsteren, F G I; de Vos-Geelen, J; Vulink, A; Wientjes, C; Wit, F; Wessels, F J; Zonderhuis, B; van Werkhoven, C H; van Hooft, J E; van Eijck, C H J; Wilmink, J W; van Laarhoven, H W M; Besselink, M G; ,</t>
  </si>
  <si>
    <t>https://pubmed.ncbi.nlm.nih.gov/32299515</t>
  </si>
  <si>
    <t>Pancreatic cancer has a very poor prognosis. Best practices for the use of chemotherapy, enzyme replacement therapy, and biliary drainage have been identified but their implementation in daily clinical practice is often suboptimal. We hypothesized that a nationwide program to enhance implementation of these best practices in pancreatic cancer care would improve survival and quality of life. PACAP-1 is a nationwide multicenter stepped-wedge cluster randomized controlled superiority trial. In a per-center stepwise and randomized manner, best practices in pancreatic cancer care regarding the use of (neo)adjuvant and palliative chemotherapy, pancreatic enzyme replacement therapy, and metal biliary stents are implemented in all 17 Dutch pancreatic centers and their regional referral networks during a 6-week initiation period. Per pancreatic center, one multidisciplinary team functions as reference for the other centers in the network. Key best practices were identified from the literature, 3 years of data from existing nationwide registries within the Dutch Pancreatic Cancer Project (PACAP), and national expert meetings. The best practices follow the Dutch guideline on pancreatic cancer and the current state of the literature, and can be executed within daily clinical practice. The implementation process includes monitoring, return visits, and provider feedback in combination with education and reminders. Patient outcomes and compliance are monitored within the PACAP registries. Primary outcome is 1-year overall survival (for all disease stages). Secondary outcomes include quality of life, 3- and 5-year overall survival, and guideline compliance. An improvement of 10% in 1-year overall survival is considered clinically relevant. A 25-month study duration was chosen, which provides 80% statistical power for a mortality reduction of 10.0% in the 17 pancreatic cancer centers, with a required sample size of 2142 patients, corresponding to a 6.6% mortality reduction and 4769 patients nationwide. The PACAP-1 trial is designed to evaluate whether a nationwide program for enhanced implementation of best practices in pancreatic cancer care can improve 1-year overall survival and quality of life. ClinicalTrials.gov, NCT03513705. Trial opened for accrual on 22th May 2018.</t>
  </si>
  <si>
    <t>Socio-ecological correlates of physical activity in breast and colon cancer survivors 4 years after participation in a randomized controlled exercise trial (PACT study).</t>
  </si>
  <si>
    <t>Hiensch, Anouk E; Peeters, Petra H M; Jansen, Marijke; van der Wall, Elsken; Backx, Frank J G; Velthuis, Miranda J; May, Anne M</t>
  </si>
  <si>
    <t>https://pubmed.ncbi.nlm.nih.gov/32298326</t>
  </si>
  <si>
    <t>Having a physically active lifestyle after cancer diagnosis is beneficial for health, and this needs to be continued into survivorship to optimize long-term benefits. We found that patients, who participated in an 18-week exercise intervention, reported significant higher physical activity (PA) levels 4 years after participation in a randomized controlled trial of supervised exercise delivered during chemotherapy (PACT study). This study aimed to identify social-ecological correlates of PA levels in breast and colon cancer survivors 4 years after participation in the PACT study. Self-reported PA levels and potential correlates (e.g. physical fitness, fatigue, exercise history, and built environment) were assessed in 127 breast and colon cancer survivors shortly after diagnosis (baseline), post-intervention and 4 years later. Multivariable linear regression analyses were performed to identify social-ecological correlates of PA 4 years post-baseline. The final model revealed that lower baseline physical fatigue (β = -0.25, 95% CI -0.26; -0.24) and higher baseline total PA (0.06, 95% CI, 0.03; 0.10) were correlated with higher total PA levels 4 years post-baseline. Higher baseline leisure and sport PA (0.02, 95% CI 0.01; 0.03), more recreational facilities within a buffer of 1 km (4.05, 95% CI = 1.28; 6.83), lower physical fatigue at 4-year follow-up (-8.07, 95% CI -14.00; -2.13), and having a positive change in physical fatigue during the intervention period (0.04, 95% CI 0.001; 0.07) were correlates of sport and leisure PA levels 4 years post-baseline. This study suggests that baseline and 4-year post-baseline physical fatigue, and past exercise behaviour, were significant correlates of PA 4 years after participation in an exercise trial. Additionally, this study suggests that the built environment should be taken into account when promoting PA. Understanding of socio-ecological correlates of PA can provide insights into how future exercise interventions should be designed to promote long-term exercise behaviour. Current Controlled Trials ISRCTN43801571, Dutch Trial Register NTR2138. Trial registered on 9 December 2009, http://www.trialregister.nl/trialreg/admin/rctview.asp?TC=2138.</t>
  </si>
  <si>
    <t>The effectiveness of nitrofurantoin, fosfomycin and trimethoprim for the treatment of cystitis in relation to renal function' - Author's reply.</t>
  </si>
  <si>
    <t>Ten Doesschate, T</t>
  </si>
  <si>
    <t>https://pubmed.ncbi.nlm.nih.gov/32305670</t>
  </si>
  <si>
    <t>Predicting Anxiety in Hospitalized Cancer Patients.</t>
  </si>
  <si>
    <t>van den Brekel, Lieke; van der Baan, Frederieke H; Zweers, Danielle; Koldenhof, José J; Vos, J Bernard H; de Graeff, Alexander; Witteveen, Petronella O; Teunissen, Saskia C C M</t>
  </si>
  <si>
    <t>https://pubmed.ncbi.nlm.nih.gov/32305577</t>
  </si>
  <si>
    <t>Anxiety in patients with cancer is highly prevalent; yet it remains underestimated and inadequately assessed. Little is known about predictors for anxiety in hospitalized patients with cancer. Insight in predictors should improve recognition and enable a targeted approach. To determine the prevalence of anxiety and predictors for anxiety in hospitalized patients with cancer at different stages of disease. A cross-sectional analysis of patients with cancer admitted to the Utrecht University Medical Center in 2015-2018 was conducted. The Utrecht Symptom Diary, an adapted Dutch version of the Edmonton Symptom Assessment System, was used to assess symptom burden on a numeric rating scale (0 = no symptom and 10 = worst possible symptom). Scores ≥4 were considered clinically relevant. All patients completed the Utrecht Symptom Diary as part of routine care. The first questionnaire after admission was selected. Using multivariable linear regression, the predictive value of potential predictors on anxiety was analyzed. In total, 2144 patients were included, of which 22% reported clinically relevant anxiety. The prevalence of anxiety was highest (36%) in patients receiving symptom-directed palliation only. In the total group, female gender, younger age, depressed mood, sleeping problems, dyspnea, and cancer of the head and neck were predictive of anxiety. Throughout all stages of disease, depressed mood was consistently the strongest predictor. We found a high prevalence of anxiety in hospitalized patients with cancer. It is recommended to explore anxiety in hospitalized patients with cancer, in particular when they experience depressed mood. Structural use of a symptom diary during hospitalization facilitates the recognition of anxiety and concurrent symptoms.</t>
  </si>
  <si>
    <t>Short-term immunogenicity and safety of hepatitis-A and varicella vaccines in HIV-exposed uninfected and HIV-unexposed South African children.</t>
  </si>
  <si>
    <t>Mutsaerts, Eleonora A M L; Nunes, Marta C; Bhikha, Sutika; Ikulinda, Benit T; Jose, Lisa; Koen, Anthonet; Moultrie, Andrew; Grobbee, Diederick E; Klipstein-Grobusch, Kerstin; Weinberg, Adriana; Madhi, Shabir A</t>
  </si>
  <si>
    <t>https://pubmed.ncbi.nlm.nih.gov/32307279</t>
  </si>
  <si>
    <t>HIV-exposed uninfected (HEU) children have increased risk of infectious morbidity during early childhood. We evaluated the short-term immunogenicity and safety of single dose inactivated hepatitis-A virus (HAV) vaccine and live attenuated varicella zoster virus (VZV) vaccine in South African children. 195 HIV-unexposed and 64 HEU children received either one dose of HAV or VZV vaccine at 18 months of age. Blood samples were tested for hepatitis-A or VZV antibodies before and one month after vaccination by chemiluminescent microparticle immunoassay and enzyme-linked immunosorbent assay, respectively. All children were evaluated for solicited adverse events (AEs). One-month post-vaccination, a similar percentage of HIV-unexposed (91.8%) and HEU (82.9%) children were seropositive for hepatitis-A (p = 0.144). VZV antibody geometric mean fold-rise was also similar in HIV-unexposed (5.6; 95%CI: 4.6-6.7) and HEU children (5.1; 95%CI: 3.7-7.2); however, only 44% HIV-unexposed and HEU seroconverted (titers &gt; 50 mIU/ml). AEs occurred with similar frequency and severity between groups, except for more systemic AEs after VZV vaccination in HEU than HIV-unexposed children. Single dose HAV and VZV vaccine was similarly immunogenic in HIV-unexposed and HEU children. We did not identify differences in short-term humoral immunity after administration of either a live attenuated or inactivated vaccine. Seroconversion rates after a single dose of VZV vaccine were, however, lower compared to reports from previous studies (85-89%). NCT03330171.</t>
  </si>
  <si>
    <t>Successfully Recruiting Adults with a Low Socioeconomic Position into Community-Based Lifestyle Programs: A Qualitative Study on Expert Opinions.</t>
  </si>
  <si>
    <t>Stuber, Josine M; Middel, Cédric N H; Mackenbach, Joreintje D; Beulens, Joline W J; Lakerveld, Jeroen</t>
  </si>
  <si>
    <t>https://pubmed.ncbi.nlm.nih.gov/32316344</t>
  </si>
  <si>
    <t>We explored experts' perceived challenges and success factors in the recruitment of adults with a low socioeconomic position (SEP) for participation in community-based lifestyle modification programs. We conducted semi-structured interviews with 11 experienced project coordinators, based on a topic list that included experiences with recruitment, perceived barriers and success factors, and general views on recruitment strategies. Results revealed challenges related to the context of the program (e.g., limited program resources), psychosocial barriers of the participants (e.g., mistrust or skepticism), practical barriers (e.g., low literacy or having other priorities), and reasons to decline participation (e.g., lack of interest or motivation). Success factors were related to securing beneficial contextual and program-related factors (e.g., multi-layered recruitment strategy), establishing contact with the target group (e.g., via existing networks, community key-members), methods to increase engagement (e.g., personal approach and involvement of the target group in the program process) and making participation easier (e.g., providing transport), and providing various types of incentives. Concluding, the group of participants with low SEP covers a wide spectrum of individuals. Therefore, multiple recruitment strategies at multiple layers should be employed, and tailored. The lessons learned of those with hands-on experiences will help to enhance recruitment in future programs.</t>
  </si>
  <si>
    <t>Pathobionts in the Vaginal Microbiota: Individual Participant Data Meta-Analysis of Three Sequencing Studies.</t>
  </si>
  <si>
    <t>van de Wijgert, Janneke H H M; Verwijs, Marijn C; Gill, A Christina; Borgdorff, Hanneke; van der Veer, Charlotte; Mayaud, Philippe</t>
  </si>
  <si>
    <t>https://pubmed.ncbi.nlm.nih.gov/32351902</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</si>
  <si>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&lt;i&gt;Streptococcus&lt;/i&gt; (54% of pathobionts reads)&lt;i&gt;, Staphylococcus, Enterococcus, Escherichia/Shigella, Haemophilus&lt;/i&gt;, and &lt;i&gt;Campylobacter&lt;/i&gt;. When all pathobionts were combined into one bacterial group, the VMB of 17% of women contained a relative abundance of at least 1%. We found a significant negative correlation between relative abundances (ρ = -0.9234), but not estimated concentrations (&lt;i&gt;r&lt;/i&gt; = 0.0031), of lactobacilli and BV-anaerobes; and a significant positive correlation between estimated concentrations of pathobionts and BV-anaerobes (&lt;i&gt;r&lt;/i&gt; = 0.1938) but not between pathobionts and lactobacilli (&lt;i&gt;r&lt;/i&gt; = 0.0436; although lactobacilli declined non-significantly with increasing pathobionts proportions). VMB sequencing data were also classified into mutually exclusive VMB types. The overall mean bacterial load of the ≥20% pathobionts VMB type (5.85 log&lt;sub&gt;10&lt;/sub&gt; cells/μl) was similar to those of the three lactobacilli-dominated VMB types (means 5.13-5.83 log&lt;sub&gt;10&lt;/sub&gt; cells/μl) but lower than those of the four anaerobic dysbiosis VMB types (means 6.11-6.87 log&lt;sub&gt;10&lt;/sub&gt;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</si>
  <si>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Food Security in Artisanal Mining Communities: An Exploration of Rural Markets in Northern Guinea.</t>
  </si>
  <si>
    <t>Zhang, Laetitia X; Koroma, Fatima; Fofana, Mohammed Lamine; Barry, Alpha Oumar; Diallo, Sadio; Lamilé Songbono, Joseph; Stokes-Walters, Ronald; Klemm, Rolf D; Nordhagen, Stella; Winch, Peter J</t>
  </si>
  <si>
    <t>foods basel switzerland</t>
  </si>
  <si>
    <t>https://pubmed.ncbi.nlm.nih.gov/32290264</t>
  </si>
  <si>
    <t>The number of people engaged in artisanal and small-scale mining (ASM) has grown rapidly in the past twenty years, but they continue to be an understudied population experiencing high rates of malnutrition, poverty, and food insecurity. This paper explores how characteristics of markets that serve ASM populations facilitate and pose challenges to acquiring a nutritious and sustainable diet. The study sites included eight markets across four mining districts in the Kankan Region in the Republic of Guinea. Market descriptions to capture the structure of village markets, as well as twenty in-depth structured interviews with food vendors at mining site markets were conducted. We identified three forms of market organization based on location and distance from mining sites. Markets located close to mining sites offered fewer fruit and vegetable options, as well as a higher ratio of prepared food options as compared with markets located close to village centers. Vendors were highly responsive to customer needs. Food accessibility and utilization, rather than availability, are critical for food security in non-agricultural rural areas such as mining sites. Future market-based nutrition interventions need to consider the diverse market settings serving ASM communities and leverage the high vendor responsiveness to customer needs.</t>
  </si>
  <si>
    <t>Determinants of Mortality from Cardiovascular Disease in the Slums of Nairobi, Kenya.</t>
  </si>
  <si>
    <t>Wekesah, Frederick M; Klipstein-Grobusch, Kerstin; Grobbee, Diederick E; Kadengye, Damazo; Asiki, Gershim; Kyobutungi, Catherine K</t>
  </si>
  <si>
    <t>https://pubmed.ncbi.nlm.nih.gov/32489806</t>
  </si>
  <si>
    <t>Cardiovascular diseases (CVD) comprise eighty percent of non-communicable disease (NCD) burden in low- and middle-income countries and are increasingly impacting the poor inequitably. Traditional and socioeconomic factors were analyzed for their association with CVD mortality over 10 years of baseline assessment in an urban slum of Nairobi, Kenya. A 2008 survey on CVD risk factors was linked to cause of death data collected between 2008 and 2018. Cox proportional hazards on relative risk of dying from CVD over a 10-year period following the assessment of cardiovascular disease risk factors were computed. Population attributable fraction (PAF) of incident CVD death was estimated for key risk factors. In total, 4,290 individuals, 44.0% female, mean age 48.4 years in 2008 were included in the analysis. Diabetes and hypertension were 7.8% and 24.9% respectively in 2008. Of 385 deaths recorded between 2008 and 2018, 101 (26%) were caused by CVD. Age (hazard ratio (HR) 1.11; 95% confidence interval (CI) 1.03-1.20, p = 0.005) and hypertension (HR 2.19, 95% CI 1.44-3.33, p &lt;0.001) were positively associated with CVD mortality. Primary school education and higher (HR 0.57, 95% CI 0.33-0.99, p = 0.044) and formal employment (HR 0.22, 95% CI 0.06-0.75, p = 0.015) were negatively associated with CVD mortality. Controlling hypertension would avert 27% (95% CI 9%-42%, p = 0.004) CVD deaths, while if every member of the community attained primary school education and unemployment was eradicated, 39% (95% CI 5% - 60%, p = 0.026), and 17% (95% CI 5%-27%, p = 0.030) of CVD deaths, would be averted respectively. A holistic approach in addressing socioeconomic factors in the broader context of social determinants of health at the policy, population and individual level will enhance prevention and treatment-adherence for CVD in underserved settings.</t>
  </si>
  <si>
    <t>World Heart Federation Briefing on Prevention: Coronavirus Disease 2019 (COVID-19) in Low-Income Countries.</t>
  </si>
  <si>
    <t>Thienemann, Friedrich; Pinto, Fausto; Grobbee, Diederick E; Boehm, Michael; Bazargani, Nooshin; Ge, Junbo; Sliwa, Karen</t>
  </si>
  <si>
    <t>https://pubmed.ncbi.nlm.nih.gov/32489804</t>
  </si>
  <si>
    <t>In December 2019, the novel coronavirus Coronavirus Disease 2019 (COVID-19) outbreak started in Wuhan, the capital of Hubei province in China. Since then it has spread to many other regions, including low-income countries.</t>
  </si>
  <si>
    <t>Mapping non-response in a prevention program for cardiometabolic diseases in primary care: How to improve participation?</t>
  </si>
  <si>
    <t>Badenbroek, Ilse F; Nielen, Marcus M J; Hollander, Monika; Stol, Daphne M; Drijkoningen, Astrid E; Kraaijenhagen, Roderik A; de Wit, Niek J; Schellevis, François G</t>
  </si>
  <si>
    <t>https://pubmed.ncbi.nlm.nih.gov/32461878</t>
  </si>
  <si>
    <t>Non-response in prevention programs for cardiometabolic diseases (CMD) in primary care is often overlooked. The aim for this study was to define factors that influence the primary response to a selective CMD prevention program and to determine response-enhancing strategies that influence the willingness to participate. We conducted a non-response analysis within a randomized controlled trial evaluating a selective CMD prevention program, the study was conducted from 2013 to 2018 in Netherlands. A random sample of 5616 patients from 15 general practices were invited to complete a risk score (RS) as initial step of the program. Non-responders received an additional questionnaire. The response on the risk score was 51% (n = 2872). From the 3558 non-response questionnaires sent, 786 (22%) were returned. In a multivariable multilevel regression analysis smoking was independently associated with non-response. Of all reported reasons for non-response 'forgot/no time' accounted for 45%. In total, 73% of the non-responders indicated to reconsider participation when approached differently. A personal approach by the patients' own GP, using advertisements and informative campaigns are potentially the best methods to enhance the response. Although a relatively high proportion did not respond to the invitation for the risk score, the majority of them indicated to be willing to participate if a different invitation strategy would be used. With more time and energy, response rates for CMD prevention programs could possibly increase substantially. A next logical step in this process is to test potential response enhancing strategies in research setting.</t>
  </si>
  <si>
    <t>Prediction models for diagnosis and prognosis of covid-19: systematic review and critical appraisal.</t>
  </si>
  <si>
    <t>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t>
  </si>
  <si>
    <t>https://pubmed.ncbi.nlm.nih.gov/32265220</t>
  </si>
  <si>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 Living systematic review and critical appraisal by the COVID-PRECISE (Precise Risk Estimation to optimise covid-19 Care for Infected or Suspected patients in diverse sEttings) group. PubMed and Embase through Ovid, up to 1 July 2020, supplemented with arXiv, medRxiv, and bioRxiv up to 5 May 2020. Studies that developed or validated a multivariable covid-19 related prediction model. At least two authors independently extracted data using the CHARMS (critical appraisal and data extraction for systematic reviews of prediction modelling studies) checklist; risk of bias was assessed using PROBAST (prediction model risk of bias assessment tool). 37 421 titles were screened, and 169 studies describing 232 prediction models were included. The review identified seven models for identifying people at risk in the general population; 118 diagnostic models for detecting covid-19 (75 were based on medical imaging, 10 to diagnose disease severity); and 107 prognostic models for predicting mortality risk, progression to severe disease, intensive care unit admission, ventilation, intubation, or length of hospital stay. The most frequent types of predictors included in the covid-19 prediction models are vital signs, age, comorbidities, and image features. Flu-like symptoms are frequently predictive in diagnostic models, while sex, C reactive protein, and lymphocyte counts are frequent prognostic factors. Reported C index estimates from the strongest form of validation available per model ranged from 0.71 to 0.99 in prediction models for the general population, from 0.65 to more than 0.99 in diagnostic models, and from 0.54 to 0.99 in prognostic models. All models were rated at high or unclear risk of bias, mostly because of non-representative selection of control patients, exclusion of patients who had not experienced the event of interest by the end of the study, high risk of model overfitting, and unclear reporting. Many models did not include a description of the target population (n=27, 12%) or care setting (n=75, 32%), and only 11 (5%) were externally validated by a calibration plot. The Jehi diagnostic model and the 4C mortality score were identified as promising models. Prediction models for covid-19 are quickly entering the academic literature to support medical decision making at a time when they are urgently needed. This review indicates that almost all pubished prediction models are poorly reported, and at high risk of bias such that their reported predictive performance is probably optimistic. However, we have identified two (one diagnostic and one prognostic) promising models that should soon be validated in multiple cohorts, preferably through collaborative efforts and data sharing to also allow an investigation of the stability and heterogeneity in their performance across populations and settings. Details on all reviewed models are publicly available at https://www.covprecise.org/. Methodological guidance as provided in this paper should be followed because unreliable predictions could cause more harm than benefit in guiding clinical decisions. Finally, prediction model authors should adhere to the TRIPOD (transparent reporting of a multivariable prediction model for individual prognosis or diagnosis) reporting guideline. Protocol https://osf.io/ehc47/, registration https://osf.io/wy245. This article is a living systematic review that will be updated to reflect emerging evidence. Updates may occur for up to two years from the date of original publication. This version is update 3 of the original article published on 7 April 2020 (BMJ 2020;369:m1328). Previous updates can be found as data supplements (https://www.bmj.com/content/369/bmj.m1328/related#datasupp). When citing this paper please consider adding the update number and date of access for clarity.</t>
  </si>
  <si>
    <t>Protein-Bound Uremic Toxins in Hemodialysis Patients Relate to Residual Kidney Function, Are Not Influenced by Convective Transport, and Do Not Relate to Outcome.</t>
  </si>
  <si>
    <t>van Gelder, Maaike K; Middel, Igor R; Vernooij, Robin W M; Bots, Michiel L; Verhaar, Marianne C; Masereeuw, Rosalinde; Grooteman, Muriel P; Nubé, Menso J; van den Dorpel, M A; Blankestijn, Peter J; Rookmaaker, Maarten B; Gerritsen, Karin G F</t>
  </si>
  <si>
    <t>toxins</t>
  </si>
  <si>
    <t>https://pubmed.ncbi.nlm.nih.gov/32272776</t>
  </si>
  <si>
    <t>Protein-bound uremic toxins (PBUTs) are predominantly excreted by renal tubular secretion and hardly removed by traditional hemodialysis (HD). Accumulation of PBUTs is proposed to contribute to the increased morbidity and mortality of patients with end-stage kidney disease (ESKD). Preserved PBUT excretion in patients with residual kidney function (RKF) and/or increased PBUT clearance with improved dialysis techniques might improve the prognosis of patients with ESKD. The aims of this study are to explore determinants of PBUTs in HD patients, and investigate whether hemodiafiltration (HDF) lowers PBUT plasma concentrations, and whether PBUTs are related to the outcome. Predialysis total plasma concentrations of kynurenine, kynurenic acid, indoxyl sulfate, indole-3-acetic acid, p-cresyl sulfate, p-cresyl glucuronide, and hippuric acid were measured by UHPLC-MS at baseline and after 6 months of follow-up in the first 80 patients participating in the CONvective TRAnsport Study (CONTRAST), a randomized controlled trial that compared the effects of online HDF versus low-flux HD on all-cause mortality and new cardiovascular events. RKF was inversely related to kynurenic acid (&lt;i&gt;p&lt;/i&gt; &lt; 0.001), indoxyl sulfate (&lt;i&gt;p&lt;/i&gt; = 0.001), indole-3-acetic acid (&lt;i&gt;p&lt;/i&gt; = 0.024), p-cresyl glucuronide (&lt;i&gt;p&lt;/i&gt; = 0.004) and hippuric acid (&lt;i&gt;p&lt;/i&gt; &lt; 0.001) plasma concentrations. Only indoxyl sulfate decreased by 8.0% (-15.3 to 34.6) in patients treated with HDF and increased by 11.9% (-15.4 to 31.9) in HD patients after 6 months of follow-up (HDF vs. HD: &lt;i&gt;p&lt;/i&gt; = 0.045). No independent associations were found between PBUT plasma concentrations and either risk of all-cause mortality or new cardiovascular events. In summary, in the current population, RKF is an important determinant of PBUT plasma concentrations in HD patients. The addition of convective transport did not consistently decrease PBUT plasma concentrations and no relation was found between PBUTs and cardiovascular endpoints.</t>
  </si>
  <si>
    <t>The relation between healthy lifestyle changes and decrease in systemic inflammation in patients with stable cardiovascular disease.</t>
  </si>
  <si>
    <t>van 't Klooster, C C; van der Graaf, Y; Ridker, P M; Westerink, J; Hjortnaes, J; Sluijs, I; Asselbergs, F W; Bots, M L; Kappelle, L J; Visseren, F L J; ,</t>
  </si>
  <si>
    <t>https://pubmed.ncbi.nlm.nih.gov/32305733</t>
  </si>
  <si>
    <t>Pharmacological lowering of inflammation has proven effective in reducing recurrent cardiovascular event rates. Aim of the current study is to evaluate lifestyle changes (smoking cessation, weight loss, physical activity level increase, alcohol moderation, and a summary lifestyle improvement score) in relation to change in plasma C-reactive protein (CRP) concentration in patients with established cardiovascular disease. In total, 1794 patients from the UCC-SMART cohort with stable cardiovascular disease and CRP levels ≤10 mg/L, who returned for a follow-up study visit after median 9.9 years (IQR 5.4-10.8), were included. The relation between changes in smoking status, weight, physical activity, alcohol consumption, a summary lifestyle improvement score and change in plasma CRP concentration was evaluated with linear regression analyses. Smoking cessation was related to a 0.40 mg/L decline in CRP concentration (β-coefficient -0.40; 95%CI -0.73,-0.07). Weight loss (per 1SD = 6.4 kg) and increase in physical activity (per 1 SD = 48 MET hours per week) were related to a decrease in CRP concentration (β-coefficients -0.25; 95%CI -0.33,-0.16 and -0.09; 95%CI -0.17,-0.01 per SD). Change in alcohol consumption was not related to CRP difference. Every point higher in the summary lifestyle improvement score was related to a decrease in CRP concentration of 0.17 mg/L (β-coefficient -0.17; 95%CI -0.26,-0.07). Smoking cessation, increase in physical activity, and weight loss are related to a decrease in CRP concentration in patients with stable cardiovascular disease. Patients with the highest summary lifestyle improvement score have the most decrease in CRP concentration. These results may indicate that healthy lifestyle changes contribute to lowering systemic inflammation, potentially leading to a lower cardiovascular risk in patients with established cardiovascular disease.</t>
  </si>
  <si>
    <t>Time to diagnosis of symptomatic gastric and oesophageal cancer in the Netherlands: Where is the room for improvement?</t>
  </si>
  <si>
    <t>van Erp, N F; Helsper, C W; Slottje, P; Brandenbarg, D; Büchner, F L; van Asselt, K M; Muris, Jwm; Kortekaas, M F; Peeters, Phm; de Wit, N J</t>
  </si>
  <si>
    <t>https://pubmed.ncbi.nlm.nih.gov/32250202</t>
  </si>
  <si>
    <t>An efficient diagnostic pathway and early stage diagnosis for cancer patients is widely pursued. This study aims to chart the duration of the diagnostic pathway for patients with symptomatic oesophageal and gastric cancer, to identify factors associated with long duration and to assess the association of duration with tumour stage at diagnosis. This was a retrospective cohort study, using electronic health records of six routine primary care databases covering about 640,000 patients, partly linked to the Netherlands Cancer Registry. Symptomatic patients with oesophageal and gastric cancer (2010-2015) that presented in primary care were included. Duration of four diagnostic intervals was determined: patient interval; first symptoms to primary care consultation, primary care interval; consultation to referral, secondary care interval; referral to diagnosis, and the diagnostic interval; consultation to diagnosis. Characteristics associated with 'long duration' (≥P75 duration) were assessed using log-binomial regression. Median durations were stratified for tumour stages. Among 312 symptomatic patients with upper gastrointestinal cancer, median durations were: patient interval: 29 days (interquartile interval 15-73), primary care interval: 12 days (interquartile interval 1-43), secondary care interval: 13 days (interquartile interval 6-29) and diagnostic interval: 31 days (11-74). Patient interval duration was comparable for patients with and without alarm symptoms. Absence of cancer-specific alarm symptoms was associated with 'long duration' of primary care interval and secondary care interval: relative risk 5.0 (95% confidence interval 2.7-9.1) and 2.1 (95% confidence interval 1.3-3.7), respectively. Median diagnostic interval duration for local stage disease was 51 days (interquartile interval 13-135) versus 27 days (interquartile interval 11-71) for advanced stage (&lt;i&gt;p&lt;/i&gt; = 0.07). In the diagnostic pathway of upper gastrointestinal cancers, the longest interval is the patient interval. Reducing time to diagnosis may be achieved by improving patients' awareness of alarm symptoms and by diagnostic strategies which better identify cancer patients despite low suspicion.</t>
  </si>
  <si>
    <t>The Moderate Alcohol and Cardiovascular Health Trial (MACH15): Design and methods for a randomized trial of moderate alcohol consumption and cardiometabolic risk.</t>
  </si>
  <si>
    <t>Spiegelman, Donna; Lovato, Laura C; Khudyakov, Polyna; Wilkens, Trine L; Adebamowo, Clement A; Adebamowo, Sally N; Appel, Lawrence J; Beulens, Joline Wj; Coughlin, Janelle W; Dragsted, Lars Ove; Edenberg, Howard J; Eriksen, Jane N; Estruch, Ramon; Grobbee, Diederick E; Gulayin, Pablo E; Irazola, Vilma; Krystal, John H; Lazo, Mariana; Murray, Margaret M; Rimm, Eric B; Schrieks, Ilse C; Williamson, Jeff D; Mukamal, Kenneth J</t>
  </si>
  <si>
    <t>https://pubmed.ncbi.nlm.nih.gov/32250171</t>
  </si>
  <si>
    <t>Observational studies have documented lower risks of coronary heart disease and diabetes among moderate alcohol consumers relative to abstainers, but only a randomized clinical trial can provide conclusive evidence for or against these associations. The purpose of this study was to describe the rationale and design of the Moderate Alcohol and Cardiovascular Health Trial, aimed to assess the cardiometabolic effects of one alcoholic drink daily over an average of six years among adults 50 years or older. This multicenter, parallel-arm randomized trial was designed to compare the effects of one standard serving (∼11-15 g) daily of a preferred alcoholic beverage to abstention. The trial aimed to enroll 7800 people at high risk of cardiovascular disease. The primary composite endpoint comprised time to the first occurrence of non-fatal myocardial infarction, non-fatal ischemic stroke, hospitalized angina, coronary/carotid revascularization, or total mortality. The trial was designed to provide &gt;80% power to detect a 15% reduction in the risk of the primary outcome. Secondary outcomes included diabetes. Adverse effects of special interest included injuries, congestive heart failure, alcohol use disorders, and cancer. We describe the design, governance, masking issues, and data handling. In three months of field center activity until termination by the funder, the trial randomized 32 participants, successfully screened another 70, and identified ∼400 additional interested individuals. We describe a feasible design for a long-term randomized trial of moderate alcohol consumption. Such a study will provide the highest level of evidence for the effects of moderate alcohol consumption on cardiovascular disease and diabetes, and will directly inform clinical and public health guidelines.</t>
  </si>
  <si>
    <t>Prediction models for development of retinopathy in people with type 2 diabetes: systematic review and external validation in a Dutch primary care setting.</t>
  </si>
  <si>
    <t>van der Heijden, Amber A; Nijpels, Giel; Badloe, Fariza; Lovejoy, Heidi L; Peelen, Linda M; Feenstra, Talitha L; Moons, Karel G M; Slieker, Roderick C; Herings, Ron M C; Elders, Petra J M; Beulens, Joline W</t>
  </si>
  <si>
    <t>https://pubmed.ncbi.nlm.nih.gov/32246157</t>
  </si>
  <si>
    <t>The aims of this study were to identify all published prognostic models predicting retinopathy risk applicable to people with type 2 diabetes, to assess their quality and accuracy, and to validate their predictive accuracy in a head-to-head comparison using an independent type 2 diabetes cohort. A systematic search was performed in PubMed and Embase in December 2019. Studies that met the following criteria were included: (1) the model was applicable in type 2 diabetes; (2) the outcome was retinopathy; and (3) follow-up was more than 1 year. Screening, data extraction (using the checklist for critical appraisal and data extraction for systemic reviews of prediction modelling studies [CHARMS]) and risk of bias assessment (by prediction model risk of bias assessment tool [PROBAST]) were performed independently by two reviewers. Selected models were externally validated in the large Hoorn Diabetes Care System (DCS) cohort in the Netherlands. Retinopathy risk was calculated using baseline data and compared with retinopathy incidence over 5 years. Calibration after intercept adjustment and discrimination (Harrell's C statistic) were assessed. Twelve studies were included in the systematic review, reporting on 16 models. Outcomes ranged from referable retinopathy to blindness. Discrimination was reported in seven studies with C statistics ranging from 0.55 (95% CI 0.54, 0.56) to 0.84 (95% CI 0.78, 0.88). Five studies reported on calibration. Eight models could be compared head-to-head in the DCS cohort (N = 10,715). Most of the models underestimated retinopathy risk. Validating the models against different severities of retinopathy, C statistics ranged from 0.51 (95% CI 0.49, 0.53) to 0.89 (95% CI 0.88, 0.91). Several prognostic models can accurately predict retinopathy risk in a population-based type 2 diabetes cohort. Most of the models include easy-to-measure predictors enhancing their applicability. Tailoring retinopathy screening frequency based on accurate risk predictions may increase the efficiency and cost-effectiveness of diabetic retinopathy care. PROSPERO registration ID CRD42018089122.</t>
  </si>
  <si>
    <t>Low-Density Lipoprotein Cholesterol Target Attainment in Patients With Established Cardiovascular Disease: Analysis of Routine Care Data.</t>
  </si>
  <si>
    <t>Groenhof, T Katrien J; Kofink, Daniel; Bots, Michiel L; Nathoe, Hendrik M; Hoefer, Imo E; Van Solinge, Wouter W; Lely, A Titia; Asselbergs, Folkert W; Haitjema, Saskia</t>
  </si>
  <si>
    <t>https://pubmed.ncbi.nlm.nih.gov/32238333</t>
  </si>
  <si>
    <t>Direct feedback on quality of care is one of the key features of a learning health care system (LHS), enabling health care professionals to improve upon the routine clinical care of their patients during practice. This study aimed to evaluate the potential of routine care data extracted from electronic health records (EHRs) in order to obtain reliable information on low-density lipoprotein cholesterol (LDL-c) management in cardiovascular disease (CVD) patients referred to a tertiary care center. We extracted all LDL-c measurements from the EHRs of patients with a history of CVD referred to the University Medical Center Utrecht. We assessed LDL-c target attainment at the time of referral and per year. In patients with multiple measurements, we analyzed LDL-c trajectories, truncated at 6 follow-up measurements. Lastly, we performed a logistic regression analysis to investigate factors associated with improvement of LDL-c at the next measurement. Between February 2003 and December 2017, 250,749 LDL-c measurements were taken from 95,795 patients, of whom 23,932 had a history of CVD. At the time of referral, 51% of patients had not reached their LDL-c target. A large proportion of patients (55%) had no follow-up LDL-c measurements. Most of the patients with repeated measurements showed no change in LDL-c levels over time: the transition probability to remain in the same category was up to 0.84. Sequence clustering analysis showed more women (odds ratio 1.18, 95% CI 1.07-1.10) in the cluster with both most measurements off target and the most LDL-c measurements furthest from the target. Timing of drug prescription was difficult to determine from our data, limiting the interpretation of results regarding medication management. Routine care data can be used to provide feedback on quality of care, such as LDL-c target attainment. These routine care data show high off-target prevalence and little change in LDL-c over time. Registrations of diagnosis; follow-up trajectory, including primary and secondary care; and medication use need to be improved in order to enhance usability of the EHR system for adequate feedback.</t>
  </si>
  <si>
    <t>Non-typhoidal Salmonella bloodstream infections in Kisantu, DR Congo: Emergence of O5-negative Salmonella Typhimurium and extensive drug resistance.</t>
  </si>
  <si>
    <t>Tack, Bieke; Phoba, Marie-France; Barbé, Barbara; Kalonji, Lisette M; Hardy, Liselotte; Van Puyvelde, Sandra; Ingelbeen, Brecht; Falay, Dadi; Ngonda, Dauly; van der Sande, Marianne A B; Deborggraeve, Stijn; Jacobs, Jan; Lunguya, Octavie</t>
  </si>
  <si>
    <t>plos neglected tropical diseases</t>
  </si>
  <si>
    <t>https://pubmed.ncbi.nlm.nih.gov/32240161</t>
  </si>
  <si>
    <t>Non-typhoidal Salmonella (NTS) are a major cause of bloodstream infection (BSI) in sub-Saharan Africa. This study aimed to assess its longitudinal evolution as cause of BSI, its serotype distribution and its antibiotic resistance pattern in Kisantu, DR Congo. As part of a national surveillance network, blood cultures were sampled in patients with suspected BSI admitted to Kisantu referral hospital from 2015-2017. Blood cultures were worked-up according to international standards. Results were compared to similar data from 2007 onwards. In 2015-2017, NTS (n = 896) represented the primary cause of BSI. NTS were isolated from 7.6% of 11,764 suspected and 65.4% of 1371 confirmed BSI. In children &lt;5 years, NTS accounted for 9.6% of suspected BSI. These data were in line with data from previous surveillance periods, except for the proportion of confirmed BSI, which was lower in previous surveillance periods. Salmonella Typhimurium accounted for 63.1% of NTS BSI and Salmonella Enteritidis for 36.4%. Of all Salmonella Typhimurium, 36.9% did not express the O5-antigen (i.e. variant Copenhagen). O5-negative Salmonella Typhimurium were rare before 2013, but increased gradually from then onwards. Multidrug resistance was observed in 87.4% of 864 NTS isolates, decreased ciprofloxacin susceptibility in 7.3%, ceftriaxone resistance in 15.7% and azithromycin resistance in 14.9%. A total of 14.2% of NTS isolates, that were all Salmonella Typhimurium, were multidrug resistant and ceftriaxone and azithromycin co-resistant. These Salmonella isolates were called extensively drug resistant. Compared to previous surveillance periods, proportions of NTS isolates with resistance to ceftriaxone and azithromycin and decreased ciprofloxacin susceptibility increased. As in previous surveillance periods, NTS ranked first as the cause of BSI in children. The emergence of O5-negative Salmonella Typhimurium needs to be considered in the light of vaccine development. The high proportions of antibiotic resistance are worrisome.</t>
  </si>
  <si>
    <t>Correction to: Impact of risk minimisation measures on the use of strontium ranelate in Europe: a multi-national cohort study in 5 EU countries by the EU-ADR Alliance.</t>
  </si>
  <si>
    <t>Berencsi, K; Sami, A; Ali, M S; Marinier, K; Deltour, N; Perez-Gutthann, S; Pedersen, L; Rijnbeek, P; Van der Lei, J; Lapi, F; Simonetti, M; Reyes, C; Sturkenboom, M C J M; Prieto-Alhambra, D</t>
  </si>
  <si>
    <t>osteoporosis international a journal established as result of cooperation between the european foundation for osteoporosis and the national osteoporosis foundation of the usa</t>
  </si>
  <si>
    <t>https://pubmed.ncbi.nlm.nih.gov/32025756</t>
  </si>
  <si>
    <t>The original version of this article, published on 26 November 2019 contained a mistake.</t>
  </si>
  <si>
    <t>Preferences to receive unsolicited findings of germline genome sequencing in a large population of patients with cancer.</t>
  </si>
  <si>
    <t>Bijlsma, Rhode; Wouters, Roel; Wessels, Hester; Sleijfer, Stefan; Beerepoot, Laurens; Ten Bokkel Huinink, Daan; Cruijsen, Hester; Heijns, Joan; Lolkema, Martijn P; Steeghs, Neeltje; van Voorthuizen, Theo; Vulink, Annelie; Witteveen, Els; Ausems, Margreet; Bredenoord, Annelien; May, Anne M; Voest, Emile</t>
  </si>
  <si>
    <t>https://pubmed.ncbi.nlm.nih.gov/32312756</t>
  </si>
  <si>
    <t>In precision medicine, somatic and germline DNA sequencing are essential to make genome-guided treatment decisions in patients with cancer. However, it can also uncover unsolicited findings (UFs) in germline DNA that could have a substantial impact on the lives of patients and their relatives. It is therefore critical to understand the preferences of patients with cancer concerning UFs derived from whole-exome (WES) or whole-genome sequencing (WGS). In a quantitative multicentre study, adult patients with cancer (any stage and origin of disease) were surveyed through a digital questionnaire based on previous semi-structured interviews. Background knowledge was provided by showing two videos, introducing basic concepts of genetics and general information about different categories of UFs (actionable, non-actionable, reproductive significance, unknown significance). In total 1072 patients were included of whom 701 participants completed the whole questionnaire. Overall, 686 (85.1%) participants wanted to be informed about UFs in general. After introduction of four UFs categories, 113 participants (14.8%) changed their answer: 718 (94.2%) participants opted for actionable variants, 537 (72.4%) for non-actionable variants, 635 (87.0%) participants for UFs of reproductive significance and 521 (71.8%) for UFs of unknown significance. Men were more interested in receiving certain UFs than women: non-actionable: OR 3.32; 95% CI 2.05 to 5.37, reproductive significance: OR 1.97; 95% CI 1.05 to 3.67 and unknown significance: OR 2.00; 95% CI 1.25 to 3.21. In total, 244 (33%) participants conceded family members to have access to their UFs while still alive. 603 (82%) participants agreed to information being shared with relatives, after they would pass away. Our study showed that the vast majority of patients with cancer desires to receive all UFs of genome testing, although a substantial minority does not wish to receive non-actionable findings. Incorporation of categories in informed consent procedures supports patients in making informed decisions on UFs.</t>
  </si>
  <si>
    <t>Primary endpoint analysis of the multicentre phase II hypo-FLAME trial for intermediate and high risk prostate cancer.</t>
  </si>
  <si>
    <t>Draulans, Cédric; van der Heide, Uulke A; Haustermans, Karin; Pos, Floris J; van der Voort van Zyp, Jochem; De Boer, Hans; Groen, Veerle H; Monninkhof, Evelyn M; Smeenk, Robert J; Kunze-Busch, Martina; De Roover, Robin; Depuydt, Tom; Isebaert, Sofie; Kerkmeijer, Linda G W</t>
  </si>
  <si>
    <t>https://pubmed.ncbi.nlm.nih.gov/32247206</t>
  </si>
  <si>
    <t>Local recurrences after radiotherapy for prostate cancer (PCa) often originate at the location of the macroscopic tumour(s). Since PCa cells are known to be sensitive to high fraction doses, hypofractionated whole gland stereotactic body radiotherapy (SBRT) in conjunction with a simultaneous ablative microboost to the macroscopic tumour(s) within the prostate could be a way to reduce the risk of local failure. We investigated the safety of this treatment strategy. Patients with intermediate or high risk PCa were enrolled in a prospective phase II trial, called hypo-FLAME. All patients were treated with extreme hypofractionated doses of 35 Gy in 5 weekly fractions to the whole prostate gland with an integrated boost up to 50 Gy to the multiparametric (mp) MRI-defined tumour(s). Treatment-related toxicity was measured using the CTCAE v4.0. The primary endpoint of the trial was treatment-related acute toxicity. Between April 2016 and December 2018, 100 men were treated in 4 academic centres. All patients were followed up for a minimum of 6 months. The median mean dose delivered to the visible tumour nodule(s) on mpMRI was 44.7 Gy in this trial. No grade ≥3 acute genitourinary (GU) or gastrointestinal (GI) toxicity was observed. Furthermore, 90 days after start of treatment, the cumulative acute grade 2 GU and GI toxicity rates were 34.0% and 5.0%, respectively. Simultaneous focal boosting to the macroscopic tumour(s) in addition to whole gland prostate SBRT is associated with acceptable acute GU and GI toxicity.</t>
  </si>
  <si>
    <t>Why Medical Residents Do (and Don't) Speak Up About Organizational Barriers and Opportunities to Improve the Quality of Care.</t>
  </si>
  <si>
    <t>Voogt, Judith J; Kars, Marijke C; van Rensen, Elizabeth L J; Schneider, Margriet M E; Noordegraaf, Mirko; van der Schaaf, Marieke F</t>
  </si>
  <si>
    <t>academic medicine journal of the association of american medical colleges</t>
  </si>
  <si>
    <t>https://pubmed.ncbi.nlm.nih.gov/31577591</t>
  </si>
  <si>
    <t>Medical residents are valuable sources of information about the quality of frontline service delivery, but if they do not speak up, their ideas, opinions, and suggestions for improving their work practices cannot be considered. However, speaking up can be difficult for residents. Therefore, the authors have explored both what helps residents speak up about organizational barriers and opportunities to improve the quality of their work and what hinders them from doing so. The authors conducted an exploratory qualitative interview study with 27 Dutch medical residents in the Netherlands in 2016. They used the critical incident technique for data collection and the constant comparison method of the Qualitative Analysis Guide of Leuven for data analysis. Three types of incidents in which residents considered speaking up are described. The authors identified 2 main considerations that influenced residents' decisions about speaking up: Is it safe to speak up, and is speaking up likely to be effective? Residents' decisions were influenced by personal, team, and organizational aspects of their situations, such as supervisors' open attitudes, hierarchy, duration of clinical rotations, organization size, and experiences (either vicarious or their own). Findings from this study indicate that residents tend to be silent when they encounter organizational barriers or opportunities to improve the quality of their work. Perceived effectiveness and safety are important forces that drive and constrain speaking up. The authors provide important starting points to empower medical residents to speak up about their suggestions for change.</t>
  </si>
  <si>
    <t>Antithrombotic therapy and major adverse limb events in patients with chronic lower extremity arterial disease: systematic review and meta-analysis from the European Society of Cardiology Working Group on Cardiovascular Pharmacotherapy in Collaboration with the European Society of Cardiology Working Group on Aorta and Peripheral Vascular Diseases.</t>
  </si>
  <si>
    <t>Savarese, Gianluigi; Reiner, Martin F; Uijl, Alicia; D'Amario, Domenico; Agewall, Stefan; Atar, Dan; Baumgartner, Iris; Borghi, Claudio; De Carlo, Marco; Drexel, Heinz; Kaski, Juan Carlos; Kjeldsen, Keld P; Kucher, Nils; Lund, Lars H; Niessner, Alexander; Semb, Anne Grete; Schmidt, Thomas A; Sulzgruber, Patrick; Tamargo, Juan; Vitale, Cristiana; Wassmann, Sven; Aboyans, Victor; Lewis, Basil S</t>
  </si>
  <si>
    <t>european heart journal cardiovascular pharmacotherapy</t>
  </si>
  <si>
    <t>https://pubmed.ncbi.nlm.nih.gov/31392312</t>
  </si>
  <si>
    <t>The role and selection of antithrombotic therapy to improve limb outcomes in chronic lower extremity artery disease (LEAD) is still debated. We conducted a meta-analysis to examine the efficacy and safety of antithrombotic and more intense antithrombotic therapy on limb outcomes and limb salvage in patients with chronic LEAD. Study inclusion criteria were: enrolment of patients with LEAD, randomized allocation to more vs. less intense antithrombotic therapy [more vs. less intense single-antiplatelet therapy (SAPT); dual-antiplatelet therapy vs. SAPT; dual antithrombotic therapy vs. SAPT or oral anticoagulant]; enrolment of ≥200 patients; reporting of at least one of following outcomes: limb amputation or revascularization. Seven randomized studies enrolling 30 447 patients were included. Over a median follow-up of 24 months, more vs. less intense antithrombotic therapy or placebo significantly reduced the risk of limb revascularization [relative risk (RR) 0.89, 95% confidence interval (CI) 0.83-0.94] and limb amputation (RR 0.63, 95% CI 0.46-0.86), as well as stroke (RR 0.82, 95% CI 0.70-0.97). There was no statistically significant effect on the risk of myocardial infarction (RR 0.98, 95% CI 0.87-1.11), all-cause (RR 0.93, 95% CI 0.86-1.01), and cardiovascular death (RR 0.97, 95% CI 0.86-1.08). Risk of major bleeding increased (RR 1.23, 95% CI 1.04-1.44). In patients with LEAD, more intense antithrombotic therapy reduces the risk of limb amputation and revascularization as well as stroke with an increase in the risk of bleeding events.</t>
  </si>
  <si>
    <t>Lower respiratory tract infection in the community: associations between viral aetiology and illness course.</t>
  </si>
  <si>
    <t>Vos, L M; Bruyndonckx, R; Zuithoff, N P A; Little, P; Oosterheert, J J; Broekhuizen, B D L; Lammens, C; Loens, K; Viveen, M; Butler, C C; Crook, D; Zlateva, K; Goossens, H; Claas, E C J; Ieven, M; Van Loon, A M; Verheij, T J M; Coenjaerts, F E J; ,</t>
  </si>
  <si>
    <t>https://pubmed.ncbi.nlm.nih.gov/32244051</t>
  </si>
  <si>
    <t>This study determined associations between respiratory viruses and subsequent illness course in primary care adult patients presenting with acute cough and/or suspected lower respiratory tract infection. A prospective European primary care study recruited adults with symptoms of lower respiratory tract infection between November 2007 and April 2010. Real-time in-house polymerase chain reaction (PCR) was performed to test for six common respiratory viruses. In this secondary analysis, symptom severity (scored 1 = no problem, 2 = mild, 3 = moderate, 4 = severe) and symptom duration were compared between groups with different viral aetiologies using regression and Cox proportional hazard models, respectively. Additionally, associations between baseline viral load (cycle threshold (Ct) value) and illness course were assessed. The PCR tested positive for a common respiratory virus in 1354 of the 2957 (45.8%) included patients. The overall mean symptom score at presentation was 2.09 (95% confidence interval (CI) 2.07-2.11) and the median duration until resolution of moderately bad or severe symptoms was 8.70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 CI 0.65-0.96) and hMPV infections (AHR 0.77, 95% CI 0.62-0.94) than in infections with no virus isolated. Overall, baseline viral load was associated with symptom severity (difference 0.11, 95% CI 0.06-0.16 per 10 cycles decrease in Ct value), but not with symptom duration. In healthy, working adults from the general community presenting at the general practitioner with acute cough and/or suspected lower respiratory tract infection other than influenza impose an illness burden comparable to influenza. Hence, the public health focus for viral respiratory tract infections should be broadened.</t>
  </si>
  <si>
    <t>Cost-effectiveness of mandatory bicycle helmet use to prevent traumatic brain injuries and death.</t>
  </si>
  <si>
    <t>Reuvers, Rick; Over, Eelco A B; Suijkerbuijk, Anita W M; Polder, Johan J; de Wit, G Ardine; van Gils, Paul F</t>
  </si>
  <si>
    <t>https://pubmed.ncbi.nlm.nih.gov/32228524</t>
  </si>
  <si>
    <t>Traumatic brain injury (TBI) is the main cause of mortality and severe morbidity in cyclists admitted to Dutch emergency departments (EDs). Although the use of bicycle helmets is an effective way of preventing TBI, this is uncommon in the Netherlands. An option to increase its use is through a legal enforcement. However, little is known about the cost-effectiveness of such mandatory use of helmets in the Dutch context. The current study aimed to assess the cost-effectiveness of a law that enforces helmet use to reduce TBI and TBI-related mortality. The cost-effectiveness was estimated through decision tree modelling. In this study, wearing bicycle helmets enforced by law was compared with the current situation of infrequent voluntary helmet use. The total Dutch cycling population, consisting of 13.5 million people, was included in the model. Model data and parameters were obtained from Statistics Netherlands, the National Road Traffic Database, Dutch Injury Surveillance System, and literature. Effects included were numbers of TBI, death, and disability-adjusted life years (DALY). Costs included were healthcare costs, costs of productivity losses, and helmet costs. Sensitivity analysis was performed to assess which parameter had the largest influence on the incremental cost-effectiveness ratio (ICER). The intervention would lead to an estimated reduction of 2942 cases of TBI and 46 deaths. Overall, the incremental costs per 1) death averted, 2) per TBI averted, and 3) per DALY averted were estimated at 1) € 2,002,766, 2) € 31,028 and 3) € 28,465, respectively. Most favorable were the incremental costs per DALY in the 65+ age group: € 17,775. The overall costs per DALY averted surpassed the Dutch willingness to pay threshold value of € 20,000 for cost-effectiveness of preventive interventions. However, the cost per DALY averted for the elderly was below this threshold, indicating that in this age group largest effects can be reached. If the price of a helmet would reduce by 20%, which is non-hypothetical in a situation of large-scale purchases and use of these helmets, the introduction of this regulation would result in an intervention that is almost cost-effective in all age groups.</t>
  </si>
  <si>
    <t>Cardiovascular Disease Burden in Rural Africa: Does HIV and Antiretroviral Treatment Play a Role?: Baseline Analysis of the Ndlovu Cohort Study.</t>
  </si>
  <si>
    <t>Vos, Alinda G; Barth, Roos E; Klipstein-Grobusch, Kerstin; Tempelman, Hugo A; Devillé, Walter L J; Dodd, Caitlin; Coutinho, Roel A; Grobbee, Diederick E; ,</t>
  </si>
  <si>
    <t>https://pubmed.ncbi.nlm.nih.gov/32223395</t>
  </si>
  <si>
    <t>Background HIV is associated with an increased risk of cardiovascular disease (CVD) in high-income countries. Little is known about the CVD burden in sub-Saharan Africa, where 70% of the world's HIV-positive population lives. This study aims to provide insight into the burden of CVD risk in a rural setting in sub-Saharan Africa considering HIV infection and antiretroviral therapy (ART). Methods and Results A cross-sectional analysis was conducted of the baseline of the Ndlovu Cohort study including HIV-negative and HIV-positive participants in rural South Africa between 2014 and 2017. Information was collected on demographics, socioeconomic status, and CVD risk factors. Carotid intima-media thickness measurement was performed. The influence of HIV and ART on the burden of CVD was determined by comparing HIV-positive participants who were ART naive on first-line or second-line ART with HIV-negative participants. In total, 1927 participants were included, of whom 887 (46%) were HIV positive and 54% women. The median age was 38 years. Overall, 690 participants (79%) were on ART, with 613 (89%) on first-line and 77 (11%) on second-line therapy. Participants with HIV had lower values for most of the CVD risk factors but higher C-reactive protein levels than HIV-negative participants. ART-naive, HIV-positive participants had similar carotid intima-media thickness compared with HIV-negative participants but carotid intima-media thickness was increased for participants on ART aged 30 years and older compared with HIV-negative participants. Conclusions HIV-positive participants presented with a favorable CVD risk profile compared with HIV-negative participants. However, carotid intima-media thickness was increased in HIV-positive participants on ART, indicating a higher burden of subclinical CVD for the HIV-positive population.</t>
  </si>
  <si>
    <t>Bivalent Vaccine Effectiveness Against Anal Human Papillomavirus Positivity Among Female Sexually Transmitted Infection Clinic Visitors in the Netherlands.</t>
  </si>
  <si>
    <t>Woestenberg, Petra J; King, Audrey J; Van Benthem, Birgit H B; Leussink, Suzan; Van der Sande, Marianne A B; Hoebe, Christian J P A; Bogaards, Johannes A; ,</t>
  </si>
  <si>
    <t>https://pubmed.ncbi.nlm.nih.gov/31100134</t>
  </si>
  <si>
    <t>Human papillomavirus (HPV) vaccines are indicated for anal cancer prevention, but evidence for vaccine effectiveness (VE) against anal HPV infections among women is limited. We estimated the VE (≥1 dose) against anal HPV positivity of the bivalent vaccine, whose target types HPV-16/18 are associated with approximately 90% of HPV-related anal cancers. Among 548 female STI clinic visitors 16-24 years old who provided an anal swab sample as part of a repeated cross-sectional survey, VE against HPV-16/18 was 89.9% (95% confidence interval, 63.0%-97.2%). Type-specific VE correlated well with VE against cervicovaginal HPV (Spearman ρ = 0.76), suggesting comparable effectiveness of HPV-16/18 vaccination against genital and anal infections.</t>
  </si>
  <si>
    <t>Health-related quality of life in patients with immune mediated inflammatory diseases: A cross-sectional, multidisciplinary study.</t>
  </si>
  <si>
    <t>Spierings, Julia; Sloeserwij, Annemiek; Vianen, Marieke E; de Boer, Joke H; Sigurdsson, Vigfus; van de Wijgert, Janneke H H M; van Laar, Jacob M</t>
  </si>
  <si>
    <t>clinical immunology orlando fla</t>
  </si>
  <si>
    <t>https://pubmed.ncbi.nlm.nih.gov/32224157</t>
  </si>
  <si>
    <t>Immune mediated inflammatory diseases (IMIDs) have similarities in pathophysiology and treatment. Not much is known, however, about health-related quality of life (HR-QoL) in IMIDs. We assessed and compared HR-QoL, using the validated EuroQoL 5-dimensions 5-levels questionnaire, in an observational cohort comprising 530 patients (67.5% female, mean age 49 years (95% CI 35.9-50.9), mean disease duration 31.0 months (95% CI 27.2-34.8)), with the following IMIDs: connective tissue diseases (32.6%), uveitis (20.8%), inflammatory arthritis (17.7%), psoriasis (15.5%), vasculitis (6.2%), primary antiphospholipid syndrome (4.2%), and autoinflammatory diseases (2.8%). Patients used either no anti-inflammatory therapy (31.5%), monotherapy (28.7%), or a combination of anti-inflammatory drugs (39.8%). The mean HR-QoL utility score was 0.75 (95% CI 0.72-0.78). Multinominal logistic regression analysis showed a statistically significant association between a very low HR-QoL (utility score (&lt;0.70)) and female sex, rheumatological IMID or psoriasis, smoking or having smoked in the past, and current biological disease modifying anti-rheumatic drugs use.</t>
  </si>
  <si>
    <t>Daikenchuto for reducing postoperative ileus in patients undergoing elective abdominal surgery.</t>
  </si>
  <si>
    <t>Hoshino, Nobuaki; Takada, Toshihiko; Hida, Koya; Hasegawa, Suguru; Furukawa, Toshi A; Sakai, Yoshiharu</t>
  </si>
  <si>
    <t>https://pubmed.ncbi.nlm.nih.gov/32212387</t>
  </si>
  <si>
    <t>Reason for withdrawal: Serious breach of Cochrane's conflict of interest policy. A ruling by Cochrane's Funding Arbiters that a Cochrane Review has seriously breached Cochrane's conflict of interest policy.</t>
  </si>
  <si>
    <t>[Respiratory complaints in the time of COVID-19].</t>
  </si>
  <si>
    <t>Loogman, Masja C M; de Jong, Nynke; Platteel, Tamara N; Bouma, Margriet; Verheij, Theo J M; Opstelten, Wim</t>
  </si>
  <si>
    <t>https://pubmed.ncbi.nlm.nih.gov/32392007</t>
  </si>
  <si>
    <t>The current guidelines for diagnosis and treatment of primary respiratory infections are still useful during the COVID-19 epidemic.Telephone triage of patients with respiratory complaints aims to identify patients with complications or an increased risk of complications.There are no indications to test for SARS-CoV-2 virus in general practice.During this COVID-19 epidemic, protective clothing is recommended in all physical contacts with patients with respiratory complaints.There is no reason to be cautious about using NSAIDs in patients suspected of COVID-19.Amoxicillin is first choice treatment for respiratory infections during the COVID-19 epidemic; there is lack of evidence to support azithromycin as a first choice.Respiratory rate &gt; 24 / min or saturation &lt;92-94% indicate imminent respiratory decompensation and may be reasons for referral.</t>
  </si>
  <si>
    <t>Ranking Preventive Interventions from Different Policy Domains: What Are the Most Cost-Effective Ways to Improve Public Health?</t>
  </si>
  <si>
    <t>van der Vliet, Nina; Suijkerbuijk, Anita W M; de Blaeij, Adriana T; de Wit, G Ardine; van Gils, Paul F; Staatsen, Brigit A M; Maas, Rob; Polder, Johan J</t>
  </si>
  <si>
    <t>https://pubmed.ncbi.nlm.nih.gov/32213919</t>
  </si>
  <si>
    <t>It is widely acknowledged that in order to promote public health and prevent diseases, a wide range of scientific disciplines and sectors beyond the health sector need to be involved. Evidence-based interventions, beyond preventive health interventions targeting disease risk factors and interventions from other sectors, should be developed and implemented. Investing in these preventive health policies is challenging as budgets have to compete with other governmental expenditures. The current study aimed to identify, compare and rank cost-effective preventive interventions targeting metabolic, environmental, occupational and behavioral risk factors. To identify these interventions, a literature search was performed including original full economic evaluations of Western country interventions that had not yet been implemented in the Netherlands. Several workshops were held with experts from different disciplines. In total, 51 different interventions (including 13 cost saving interventions) were identified and ranked based on their incremental cost-effectiveness ratio (ICER) and potential averted disability-adjusted life years (DALYs), resulting in two rankings of the most cost-effective interventions and one ranking of the 13 cost saving interventions. This approach, resulting in an intersectoral ranking, can assist policy makers in implementing cost-effective preventive action that considers not only the health sector, but also other sectors.</t>
  </si>
  <si>
    <t>The Heart in the Time of the 'Coronavirus'.</t>
  </si>
  <si>
    <t>Perel, Pablo; Grobbee, Diederick E</t>
  </si>
  <si>
    <t>https://pubmed.ncbi.nlm.nih.gov/32489797</t>
  </si>
  <si>
    <t>Impact of antimicrobial de-escalation on mortality: a literature review of study methodology and recommendations for observational studies.</t>
  </si>
  <si>
    <t>Van Heijl, Inger; Schweitzer, Valentijn A; Van Der Linden, Paul D; Bonten, Marc J M; Van Werkhoven, Cornelis H</t>
  </si>
  <si>
    <t>expert review of antiinfective therapy</t>
  </si>
  <si>
    <t>https://pubmed.ncbi.nlm.nih.gov/32178545</t>
  </si>
  <si>
    <t>&lt;b&gt;Introduction&lt;/b&gt;: The safety of de-escalation of empirical antimicrobial therapy is largely based on observational data, with many reporting protective effects on mortality. As there is no plausible biological explanation for this phenomenon, it is most probably caused by confounding by indication.&lt;b&gt;Areas covered&lt;/b&gt;: We evaluate the methodology used in observational studies on the effects of de-escalation of antimicrobial therapy on mortality. We extended the search for a recent systematic review and identified 52 observational studies. The heterogeneity in study populations was large. Only 19 (36.5%) studies adjusted for confounders and four (8%) adjusted for clinical stability during admission, all as a fixed variable. All studies had methodological limitations, most importantly the lack of adjustment for clinical stability, causing bias toward a protective effect.&lt;b&gt;Expert opinion&lt;/b&gt;: The methodology used in studies evaluating the effects of de-escalation on mortality requires improvement. We depicted all potential confounders in a directed acyclic graph to illustrate all associations between exposure (de-escalation) and outcome (mortality). Clinical stability is an important confounder in this association and should be modeled as a time-varying variable. We recommend to include de-escalation as time-varying exposure and use inverse-probability-of-treatment weighted marginal structural models to properly adjust for time-varying confounders.</t>
  </si>
  <si>
    <t>Urinary Ethyl Glucuronide as Measure of Alcohol Consumption and Risk of Cardiovascular Disease: A Population-Based Cohort Study.</t>
  </si>
  <si>
    <t>van de Luitgaarden, Inge A T; Schrieks, Ilse C; Kieneker, Lyanne M; Touw, Daan J; van Ballegooijen, Adriana J; van Oort, Sabine; Grobbee, Diederick E; Mukamal, Kenneth J; Kootstra-Ros, Jenny E; Muller Kobold, Anneke C; Bakker, Stephan J L; Beulens, Joline W J</t>
  </si>
  <si>
    <t>https://pubmed.ncbi.nlm.nih.gov/32200717</t>
  </si>
  <si>
    <t>Background Moderate alcohol consumption has been associated with a lower risk of cardiovascular disease (CVD) and all-cause mortality compared with heavy drinkers and abstainers. To date, studies have relied on self-reported consumption, which may be prone to misclassification. Urinary ethyl glucuronide (EtG) is an alcohol metabolite and validated biomarker for recent alcohol consumption. We aimed to examine and compare the associations of self-reported alcohol consumption and EtG with CVD and all-cause mortality. Methods and Results In 5676 participants of the PREVEND (Prevention of Renal and Vascular End-Stage Disease) study cohort, EtG was measured in 24-hour urine samples and alcohol consumption questionnaires were administered. Participants were followed up for occurrence of first CVD and all-cause mortality. Cox proportional hazards regression models, adjusted for age, sex, and CVD risk factors, were fitted for self-reported consumption, divided into 5 categories: abstention, 1 to 4 units/month (reference), 2 to 7 units/week, 1 to 3 units/day, and ≥4 units/day. Similar models were fitted for EtG, analyzed as both continuous and categorical variables. Follow-up times differed for CVD (8 years; 385 CVD events) and all-cause mortality (14 years; 724 deaths). For both self-reported alcohol consumption and EtG, nonsignificant trends were found toward J-shaped associations between alcohol consumption and CVD, with higher risk in the lowest (hazard ratio for abstention versus 1-4 units/month, 1.42; 95% CI, 1.02-1.98) and highest drinking categories (hazard ratio for ≥4 units/day versus 1-4 units/month, 1.11; 95% CI, 0.68-1.84). Neither self-report nor EtG was associated with all-cause mortality. Conclusions Comparable associations with CVD events and all-cause mortality were found for self-report and EtG. This argues for the validity of self-reported alcohol consumption in epidemiologic research.</t>
  </si>
  <si>
    <t>Incidence, risk factors and re-exacerbation rate of severe asthma exacerbations in a multinational, multidatabase pediatric cohort study.</t>
  </si>
  <si>
    <t>Engelkes, Marjolein; Baan, Esme J; de Ridder, Maria A J; Svensson, Elisabeth; Prieto-Alhambra, Daniel; Lapi, Francesco; Giaquinto, Carlo; Picelli, Gino; Boudiaf, Nada; Albers, Frank; Evitt, Lee A; Cockle, Sarah; Bradford, Eric; Van Dyke, Melissa K; Suruki, Robert; Rijnbeek, Peter; Sturkenboom, Miriam C J M; Janssens, Hettie M; Verhamme, Katia M C</t>
  </si>
  <si>
    <t>https://pubmed.ncbi.nlm.nih.gov/32115766</t>
  </si>
  <si>
    <t>There are sparse real-world data on severe asthma exacerbations (SAE) in children. This multinational cohort study assessed the incidence of and risk factors for SAE and the incidence of asthma-related rehospitalization in children with asthma. Asthma patients 5-17 years old with ≥1 year of follow-up were identified in six European electronic databases from the Netherlands, Italy, the UK, Denmark and Spain in 2008-2013. Asthma was defined as ≥1 asthma-specific disease code within 3 months of prescriptions/dispensing of asthma medication. Severe asthma was defined as high-dosed inhaled corticosteroids plus a second controller. SAE was defined by systemic corticosteroids, emergency department visit and/or hospitalization all for reason of asthma. Risk factors for SAE were estimated by Poisson regression analyses. The cohort consisted of 212 060 paediatric asthma patients contributing to 678 625 patient-years (PY). SAE rates ranged between 17 and 198/1000 PY and were higher in severe asthma and highest in severe asthma patients with a history of exacerbations. Prior SAE (incidence rate ratio 3-45) and younger age increased the SAE risk in all countries, whereas obesity, atopy and GERD were a risk factor in some but not all countries. Rehospitalization rates were up to 79% within 1 year. In a real-world setting, SAE rates were highest in children with severe asthma with a history of exacerbations. Many severe asthma patients were rehospitalized within 1 year. Asthma management focusing on prevention of SAE is important to reduce the burden of asthma.</t>
  </si>
  <si>
    <t>Quantifying the Mitigating Effects of Whole-Breast Radiotherapy and Systemic Treatments on Regional Recurrence Incidence Among Breast Cancer Patients.</t>
  </si>
  <si>
    <t>van Steenhoven, Julia E C; Kuijer, Anne; van Maaren, Marissa C; Roos, Marleen; Elias, Sjoerd G; van Diest, Paul J; Siesling, Sabine; Smidt, Marjolein L; Boersma, Liesbeth J; van Dalen, Thijs</t>
  </si>
  <si>
    <t>https://pubmed.ncbi.nlm.nih.gov/32198570</t>
  </si>
  <si>
    <t>Despite the potential for residual lymph node metastases after a negative or positive sentinel lymph node biopsy (SLNB), breast cancer patients rarely experience regional recurrences (RRs). This study aimed to quantify the effects of nonsurgical treatments on RR incidence among SLNB-negative (SLNB N0) breast cancer patients. All primary SLNB N0-staged breast cancer patients with a diagnosis between 2005 and 2008 and 5-year follow-up data on recurrences were selected from the Netherlands Cancer Registry. The cumulative incidence function (CIF) for RR was calculated as the first event at 5 years, taking into account any other first-event (local or distant recurrence, contralateral breast cancer, or death) as competing risk. Cox regression analysis was used to model the cause-specific hazard of RR developing as the first event to quantify the effect of adjuvant systemic therapy and whole-breast radiotherapy (RT) on RR incidence at 5 years. The study included 13,512 patients. Of these patients, 162 experienced an RR. The CIF of RR at 5 years was 1.3% (95% confidence interval [CI], 1.1-1.5%), whereas the CIFs for death and other events were 4.4% and 9.5%, respectively. Cox regression analysis showed hazard ratios (HRs) of 0.46 (95% CI 0.33-0.64), 0.31 (95% CI 0.18-0.55), and 0.40 (95% CI 0.24-0.67) respectively for patients treated by RT as a routine part of breast-conserving therapy (BCT), chemotherapy, and hormonal therapy. RT as routine part of BCT, chemotherapy, and hormonal therapy independently exerted a mitigating effect on the risk for the development of RR. The three methods at least halved the risk.</t>
  </si>
  <si>
    <t>Machine learning and artificial intelligence research for patient benefit: 20 critical questions on transparency, replicability, ethics, and effectiveness.</t>
  </si>
  <si>
    <t>Vollmer, Sebastian; Mateen, Bilal A; Bohner, Gergo; Király, Franz J; Ghani, Rayid; Jonsson, Pall; Cumbers, Sarah; Jonas, Adrian; McAllister, Katherine S L; Myles, Puja; Granger, David; Birse, Mark; Branson, Richard; Moons, Karel G M; Collins, Gary S; Ioannidis, John P A; Holmes, Chris; Hemingway, Harry</t>
  </si>
  <si>
    <t>https://pubmed.ncbi.nlm.nih.gov/32198138</t>
  </si>
  <si>
    <t>Towards advance care planning in pediatrics: a qualitative study on envisioning the future as parents of a seriously ill child.</t>
  </si>
  <si>
    <t>Fahner, Jurrianne C; Thölking, Thessa W; Rietjens, Judith A C; van der Heide, Agnes; van Delden, Johannes J M; Kars, Marijke C</t>
  </si>
  <si>
    <t>https://pubmed.ncbi.nlm.nih.gov/32193658</t>
  </si>
  <si>
    <t>Advance care planning enables parents to discuss goals and preferences for future care and treatment of their seriously ill child. Although clinicians report parental factors as common barriers for advance care planning, parental views on reflecting on their child's future have had limited exploration. A clear understanding of their perspectives might help clinicians to implement advance care planning tailored to parental needs. This interpretive qualitative study using thematic analysis aims to identify how parents envision the future when caring for their seriously ill child. Single interviews and two focus groups were attended by 20 parents of 17 seriously ill children. Parents reported to focus on the near future of their child. However, their actions and deeper thoughts showed perspectives towards a further future. Future perspectives initial focused on practical, disease-related themes, but more existential elaborations, reflecting underlying life values, were also identified. Parents needed acknowledgement of their challenging situation, care tasks, and expertise as a precondition for sharing their deepest thoughts regarding the future of their child.Conclusion: When envisioning the future of their seriously ill child, parents tend to stay in the near future, whereas they value the opportunity to share further thoughts within a compassionate relationship with clinicians. What is Known: • Parents prefer open and honest information about their child's illness and prognosis and they value the concept of advance care planning, while they emphasize the need for an individualized approach. • Health care professionals see parental factors like unease and emotional burden as key barriers for advance care planning. What is New: • When envisioning the future of their seriously ill child, parents tended to stay close to the near future initially, with a focus on disease-related, practical themes. Ongoing conversations uncovered deeper, value-based elaborations towards the future. To engage parents in advance care planning, the future needs to be discussed in relation to the present and the past. • There is "no sharing without caring". Parents who felt cared for and acknowledged in their challenging context by clinicians, were open to share their perspectives on the future of their seriously ill child. To share deeper motives and values underlying goals and preferences for future care and treatment, parents need a stimulating attitude of listening and encouragement from clinicians to express their feelings.</t>
  </si>
  <si>
    <t>HPV infections among young MSM visiting sexual health centers in the Netherlands: Opportunities for targeted HPV vaccination.</t>
  </si>
  <si>
    <t>Woestenberg, Petra J; van Benthem, Birgit H B; Bogaards, Johannes A; King, Audrey J; van der Klis, Fiona R M; Pasmans, Hella; Leussink, Suzan; van der Sande, Marianne A B; Hoebe, Christian J P A; ,</t>
  </si>
  <si>
    <t>https://pubmed.ncbi.nlm.nih.gov/32201140</t>
  </si>
  <si>
    <t>In 2009, girls-only HPV16/18 vaccination was introduced in the Netherlands which has achieved 46-61% uptake. Heterosexual men have benefitted from herd protection, but it is unknown whether men who have sex with men (MSM) also benefit from herd effects of the girls-only HPV16/18 vaccination program. Because MSM bear a high HPV-related disease burden, countries might consider targeted vaccination for MSM. To study possible herd effects and prior HPV exposure at a potential moment of vaccination, we assessed trends in the HPV prevalence and proportions (sero)negative for the various vaccine types among young MSM visiting sexual health centers (SHCs). We used data from MSM included in PASSYON study years 2009-2017. In this biennial cross-sectional study among visitors of SHCs aged 16-24 years, MSM provided a penile and anal swab for HPV DNA testing (including vaccine types HPV6/11/16/18/31/33/45/52/58) and blood for HPV antibody testing (HPV16/18/31/33/45/52/58). In total 575 MSM were included, with a median of 22 years of age and 15 lifetime sex partners and 3.5% HIV positive. Trends in penile or anal HPV prevalence during 2009-2017 were statistically non-significant for all vaccine types. Of the 455 MSM with a penile and anal swab, 360 (79%), 283 (62%) and 242 (53%) were HPV DNA negative at both anatomical sites for HPV16/18, HPV6/11/16/18 and HPV6/11/16/18/31/33/45/52/58 respectively. Among MSM who were HPV16/18 and HPV16/18/31/33/45/52/58 DNA negative and were tested for serology (n = 335 and 279 respectively), 82% and 71% were also seronegative for the respective types. There were no significant declines in the HPV prevalence among MSM up to eight years after introduction of girls-only HPV16/18 vaccination, indicating that MSM are unlikely to benefit largely from herd effects from girls-only vaccination. Most MSM were vaccine-type DNA negative and seronegative, suggesting that vaccination of young MSM visiting SHCs could still be beneficial.</t>
  </si>
  <si>
    <t>Calculating the sample size required for developing a clinical prediction model.</t>
  </si>
  <si>
    <t>Riley, Richard D; Ensor, Joie; Snell, Kym I E; Harrell, Frank E; Martin, Glen P; Reitsma, Johannes B; Moons, Karel G M; Collins, Gary; van Smeden, Maarten</t>
  </si>
  <si>
    <t>https://pubmed.ncbi.nlm.nih.gov/32188600</t>
  </si>
  <si>
    <t>Epigenome-wide association study for perceived discrimination among sub-Saharan African migrants in Europe - the RODAM study.</t>
  </si>
  <si>
    <t>van der Laan, Loes C; Meeks, Karlijn A C; Chilunga, Felix P; Agyemang, Charles; Venema, Andrea; Mannens, Marcel M A M; Zafarmand, Mohammad H; Klipstein-Grobusch, Kerstin; Smeeth, Liam; Adeyemo, Adebowale; Henneman, Peter</t>
  </si>
  <si>
    <t>https://pubmed.ncbi.nlm.nih.gov/32188935</t>
  </si>
  <si>
    <t>Sub-Saharan African (SSA) migrants in Europe experience psychosocial stressors, such as perceived discrimination (PD). The effect of such a stressor on health could potentially be mediated via epigenetics. In this study we performed an epigenome-wide association study (EWAS) to assess the association between levels of PD with genome-wide DNA methylation profiles in SSA migrants. The Illumina 450 K DNA-methylation array was used on whole blood samples of 340 Ghanaian adults residing in three European cities from the cross-sectional Research on Obesity and Diabetes among African Migrants (RODAM) study. PD was assessed using sum scores of the Everyday Discrimination Scale (EDS). Differentially methylated positions and regions (DMPs and DMRs) were identified through linear regression analysis. Two hypo-methylated DMPs, namely cg13986138 (CYFIP1) and cg10316525(ANKRD63), were found to be associated with PD. DMR analysis identified 47 regions associated with the PD. To the best of our knowledge, this survey is the first EWAS for PD in first generation SSA migrants. We identified two DMPs associated with PD. Whether these associations underlie a consequence or causal effect within the scope of biological functionality needs additional research.</t>
  </si>
  <si>
    <t>Clustering of chronic hepatitis B screening intentions in social networks of Moroccan immigrants in the Netherlands.</t>
  </si>
  <si>
    <t>Hamdiui, Nora; Buskens, Vincent; van Steenbergen, Jim E; Kretzschmar, Mirjam E E; Rocha, Luis E C; Thorson, Anna E; Timen, Aura; Wong, Albert; van den Muijsenbergh, Maria; Stein, Mart L</t>
  </si>
  <si>
    <t>https://pubmed.ncbi.nlm.nih.gov/32183757</t>
  </si>
  <si>
    <t>Early detection, identification, and treatment of chronic hepatitis B through screening is vital for those at increased risk, e.g. born in hepatitis B endemic countries. In the Netherlands, Moroccan immigrants show low participation rates in health-related screening programmes. Since social networks influence health behaviour, we investigated whether similar screening intentions for chronic hepatitis B cluster within social networks of Moroccan immigrants. We used respondent-driven sampling (RDS) where each participant ("recruiter") was asked to complete a questionnaire and to recruit three Moroccans ("recruitees") from their social network. Logistic regression analyses were used to analyse whether the recruiters' intention to request a screening test was similar to the intention of their recruitees. We sampled 354 recruiter-recruitee pairs: for 154 pairs both participants had a positive screening intention, for 68 pairs both had a negative screening intention, and the remaining 132 pairs had a discordant intention to request a screening test. A tie between a recruiter and recruitee was associated with having the same screening intention, after correction for sociodemographic variables (OR 1.70 [1.15-2.51]). The findings of our pilot study show clustering of screening intention among individuals in the same network. This provides opportunities for social network interventions to encourage participation in hepatitis B screening initiatives.</t>
  </si>
  <si>
    <t>Multifocal cardiovascular calcification in patients with established cardiovascular disease; prevalence, risk factors, and relation with recurrent cardiovascular disease.</t>
  </si>
  <si>
    <t>van 't Klooster, Cilie C; Nathoe, Hendrik M; Hjortnaes, J; Bots, Michiel L; Isgum, Ivana; Lessmann, Nikolas; van der Graaf, Yolanda; Leiner, Tim; Visseren, Frank L J; ,</t>
  </si>
  <si>
    <t>https://pubmed.ncbi.nlm.nih.gov/32211511</t>
  </si>
  <si>
    <t>The aim is to investigate (multifocal) cardiovascular calcification in patients with established cardiovascular disease (CVD), regarding prevalence, risk factors, and relation with recurrent CVD or vascular interventions. Coronary artery calcification (CAC), thoracic aortic calcification (TAC) (including ascending aorta, aortic arch, descending aorta), mitral annular calcification (MAC), and aortic valve calcification (AVC) are studied. The study concerned 568 patients with established CVD enrolled in the ORACLE cohort. All patients underwent computed tomography. Prevalence of site-specific and multifocal calcification was determined. Ordinal regression analyses were performed to quantify associations of risk factors with cardiovascular calcification, and Cox regression analyses to determine the relation between calcium scores and recurrent CVD or vascular interventions. Calcification was multifocal in 76% (N = 380) of patients with calcification. Age (per SD) was associated with calcification at all locations (lowest OR 2.17; 99%CI 1.54-3.11 for ascending aorta calcification). Diabetes mellitus and systolic blood pressure were associated with TAC, whereas male sex was a determinant of CAC. TAC and CAC were related to the combined endpoint CVD or vascular intervention (N = 68). In a model with all calcium scores combined, only CAC was related to the combined outcome (HR 1.39; 95%CI 1.15-1.68). Cardiovascular calcification is generally multifocal in patients with established CVD. Differences in associations between risk factors and calcification at various anatomical locations stress the divergence in pathophysiological pathways. CAC is most strongly related to recurrent CVD or vascular interventions independent of traditional risk factors, and independent of heart valve and thoracic aorta calcification.</t>
  </si>
  <si>
    <t>Prediction of individualized lifetime benefit from cholesterol lowering, blood pressure lowering, antithrombotic therapy, and smoking cessation in apparently healthy people.</t>
  </si>
  <si>
    <t>Jaspers, Nicole E M; Blaha, Michael J; Matsushita, Kunihiro; van der Schouw, Yvonne T; Wareham, Nicholas J; Khaw, Kay-Tee; Geisel, Marie H; Lehmann, Nils; Erbel, Raimund; Jöckel, Karl-Heinz; van der Graaf, Yolanda; Verschuren, W M Monique; Boer, Jolanda M A; Nambi, Vijay; Visseren, Frank L J; Dorresteijn, Jannick A N</t>
  </si>
  <si>
    <t>https://pubmed.ncbi.nlm.nih.gov/31102402</t>
  </si>
  <si>
    <t>The benefit an individual can expect from preventive therapy varies based on risk-factor burden, competing risks, and treatment duration. We developed and validated the LIFEtime-perspective CardioVascular Disease (LIFE-CVD) model for the estimation of individual-level 10 years and lifetime treatment-effects of cholesterol lowering, blood pressure lowering, antithrombotic therapy, and smoking cessation in apparently healthy people. Model development was conducted in the Multi-Ethnic Study of Atherosclerosis (n = 6715) using clinical predictors. The model consists of two complementary Fine and Gray competing-risk adjusted left-truncated subdistribution hazard functions: one for hard cardiovascular disease (CVD)-events, and one for non-CVD mortality. Therapy-effects were estimated by combining the functions with hazard ratios from preventive therapy trials. External validation was performed in the Atherosclerosis Risk in Communities (n = 9250), Heinz Nixdorf Recall (n = 4177), and the European Prospective Investigation into Cancer and Nutrition-Netherlands (n = 25 833), and Norfolk (n = 23 548) studies. Calibration of the LIFE-CVD model was good and c-statistics were 0.67-0.76. The output enables the comparison of short-term vs. long-term therapy-benefit. In two people aged 45 and 70 with otherwise identical risk-factors, the older patient has a greater 10-year absolute risk reduction (11.3% vs. 1.0%) but a smaller gain in life-years free of CVD (3.4 vs. 4.5 years) from the same therapy. The model was developed into an interactive online calculator available via www.U-Prevent.com. The model can accurately estimate individual-level prognosis and treatment-effects in terms of improved 10-year risk, lifetime risk, and life-expectancy free of CVD. The model is easily accessible and can be used to facilitate personalized-medicine and doctor-patient communication.</t>
  </si>
  <si>
    <t>Quality of intrapartum care: direct observations in a low-resource tertiary hospital.</t>
  </si>
  <si>
    <t>Housseine, Natasha; Punt, Marieke C; Mohamed, Ali Gharib; Said, Said Mzee; Maaløe, Nanna; Zuithoff, Nicolaas P A; Meguid, Tarek; Franx, Arie; Grobbee, Diederick E; Browne, Joyce L; Rijken, Marcus J</t>
  </si>
  <si>
    <t>https://pubmed.ncbi.nlm.nih.gov/32171296</t>
  </si>
  <si>
    <t>The majority of the world's perinatal deaths occur in low- and middle-income countries. A substantial proportion occurs intrapartum and is avoidable with better care. At a low-resource tertiary hospital, this study assessed the quality of intrapartum care and adherence to locally-tailored clinical guidelines. A non-participatory, structured, direct observation study was held at Mnazi Mmoja Hospital, Zanzibar, Tanzania, between October and November 2016. Women in active labour were followed and structure, processes of labour care and outcomes of care systematically recorded. Descriptive analyses were performed on the labour observations and compared to local guidelines and supplemented by qualitative findings. A Poisson regression analysis assessed factors affecting foetal heart rate monitoring (FHRM) guidelines adherence. 161 labouring women were observed. The nurse/midwife-to-labouring-women ratio of 1:4, resulted in doctors providing a significant part of intrapartum monitoring. Care during labour and two-thirds of deliveries was provided in a one-room labour ward with shared beds. Screening for privacy and communication of examination findings were done in 50 and 34%, respectively. For the majority, there was delayed recognition of labour progress and insufficient support in second stage of labour. While FHRM was generally performed suboptimally with a median interval of 105 (interquartile range 57-160) minutes, occurrence of an intrapartum risk event (non-reassuring FHR, oxytocin use or poor progress) increased assessment frequency significantly (rate ratio 1.32 (CI 1.09-1.58)). Neither international nor locally-adapted standards of intrapartum routine care were optimally achieved. This was most likely due to a grossly inadequate capacity of birth attendants; without whom innovative interventions at birth are unlikely to succeed. This calls for international and local stakeholders to address the root causes of unsafe intrafacility care in low-resource settings, including the number of skilled birth attendants required for safe and respectful births.</t>
  </si>
  <si>
    <t>Effects of exergaming on exercise capacity in patients with heart failure: results of an international multicentre randomized controlled trial.</t>
  </si>
  <si>
    <t>Jaarsma, Tiny; Klompstra, Leonie; Ben Gal, Tuvia; Ben Avraham, Binyamin; Boyne, Josiane; Bäck, Maria; Chialà, Oronzo; Dickstein, Kenneth; Evangelista, Lorraine; Hagenow, Andreas; Hoes, Arno W; Hägglund, Eva; Piepoli, Massimo F; Vellone, Ercole; Zuithoff, Nicolaas P A; Mårtensson, Jan; Strömberg, Anna</t>
  </si>
  <si>
    <t>https://pubmed.ncbi.nlm.nih.gov/32167657</t>
  </si>
  <si>
    <t>Cardiovascular risk factors and the risk of major adverse limb events in patients with symptomatic cardiovascular disease.</t>
  </si>
  <si>
    <t>Hageman, Steven H J; de Borst, Gert Jan; Dorresteijn, Johannes A N; Bots, Michiel L; Westerink, Jan; Asselbergs, Folkert W; Visseren, Frank L J; ,</t>
  </si>
  <si>
    <t>https://pubmed.ncbi.nlm.nih.gov/32170038</t>
  </si>
  <si>
    <t>To determine the relationship between non-high-density lipoprotein cholesterol (non-HDL-c), systolic blood pressure (SBP) and smoking and the risk of major adverse limb events (MALE) and the combination with major adverse cardiovascular events (MALE/MACE) in patients with symptomatic vascular disease. Patients with symptomatic vascular disease from the Utrecht Cardiovascular Cohort - Secondary Manifestations of ARTerial disease (1996-2017) study were included. The effects of non-HDL-c, SBP and smoking on the risk of MALE were analysed with Cox proportional hazard models stratified for presence of peripheral artery disease (PAD). MALE was defined as major amputation, peripheral revascularisation or thrombolysis in the lower limb. In 8139 patients (median follow-up 7.8 years, IQR 4.0-11.8), 577 MALE (8.7 per 1000 person-years) and 1933 MALE/MACE were observed (29.1 per 1000 person-years). In patients with PAD there was no relation between non-HDL-c and MALE, and in patients with coronary artery disease (CAD), cerebrovascular disease (CVD) or abdominal aortic aneurysm (AAA) the risk of MALE was higher per 1 mmol/L non-HDL-c (HR 1.14, 95% CI 1.01 to 1.29). Per 10 mm Hg SBP, the risk of MALE was higher in patients with PAD (HR 1.06, 95% CI 1.01 to 1.12) and in patients with CVD/CAD/AAA (HR 1.15, 95% CI 1.08 to 1.22). The risk of MALE was higher in smokers with PAD (HR 1.45, 95% CI 0.97 to 2.14) and CAD/CVD/AAA (HR 7.08, 95% CI 3.99 to 12.57). The risk of MALE and MALE/MACE in patients with symptomatic vascular disease differs according to vascular disease location and is associated with non-HDL-c, SBP and smoking. These findings confirm the importance of MALE as an outcome and underline the importance of risk factor management in patients with vascular disease.</t>
  </si>
  <si>
    <t>Comprehensive Outpatient Management of Low-Risk Pulmonary Embolism: Can Primary Care Do This? A Narrative Review.</t>
  </si>
  <si>
    <t>Vinson, David R; Aujesky, Drahomir; Geersing, Geert-Jan; Roy, Pierre-Marie</t>
  </si>
  <si>
    <t>the permanente journal</t>
  </si>
  <si>
    <t>https://pubmed.ncbi.nlm.nih.gov/32240089</t>
  </si>
  <si>
    <t>The evidence for outpatient management of hemodynamically stable, low-risk patients with acute symptomatic pulmonary embolism (PE) is mounting. Guidance in identifying patients who are eligible for outpatient (ambulatory) care is available in the literature and society guidelines. Less is known about who can identify patients eligible for outpatient management and in what clinical practice settings. To answer the question, "Can primary care do this?" (provide comprehensive outpatient management of low-risk PE). We undertook a narrative review of the literature on the outpatient management of acute PE focusing on site of care. We searched the English-language literature in PubMed and Embase from January 1, 1950, through July 15, 2019. We identified 26 eligible studies. We found no studies that evaluated comprehensive PE management in a primary care clinic or general practice setting. In 19 studies, the site-of-care decision making occurred in the Emergency Department (or after a short period of supplemental observation) and in 7 studies the decision occurred in a specialty clinic. We discuss the components of care involved in the diagnosis, outpatient eligibility assessment, treatment, and follow-up of ambulatory patients with acute PE. We see no formal reason why a trained primary care physician could not provide comprehensive care for select patients with low-risk PE. Leading obstacles include lack of ready access to advanced pulmonary imaging and the time constraints of a busy outpatient clinic. Until studies establish safe parameters of such a practice, the question "Can primary care do this?" must remain open.</t>
  </si>
  <si>
    <t>Timing of procedural stroke and death in asymptomatic patients undergoing carotid endarterectomy: individual patient analysis from four RCTs.</t>
  </si>
  <si>
    <t>Poorthuis, M H F; Bulbulia, R; Morris, D R; Pan, H; Rothwell, P M; Algra, A; Becquemin, J-P; Bonati, L H; Brott, T G; Brown, M M; Calvet, D; Eckstein, H-H; Fraedrich, G; Gregson, J; Greving, J P; Hendrikse, J; Howard, G; Jansen, O; Mas, J-L; Lewis, S C; de Borst, G J; Halliday, A; ,</t>
  </si>
  <si>
    <t>https://pubmed.ncbi.nlm.nih.gov/32162310</t>
  </si>
  <si>
    <t>The effectiveness of carotid endarterectomy (CEA) for stroke prevention depends on low procedural risks. The aim of this study was to assess the frequency and timing of procedural complications after CEA, which may clarify underlying mechanisms and help inform safe discharge policies. Individual-patient data were obtained from four large carotid intervention trials (VACS, ACAS, ACST-1 and GALA; 1983-2007). Patients undergoing CEA for asymptomatic carotid artery stenosis directly after randomization were used for the present analysis. Timing of procedural death and stroke was divided into intraoperative day 0, postoperative day 0, days 1-3 and days 4-30. Some 3694 patients were included in the analysis. A total of 103 patients (2·8 per cent) had serious procedural complications (18 fatal strokes, 68 non-fatal strokes, 11 fatal myocardial infarctions and 6 deaths from other causes) [Correction added on 20 April, after first online publication: the percentage value has been corrected to 2·8]. Of the 86 strokes, 67 (78 per cent) were ipsilateral, 17 (20 per cent) were contralateral and two (2 per cent) were vertebrobasilar. Forty-five strokes (52 per cent) were ischaemic, nine (10 per cent) haemorrhagic, and stroke subtype was not determined in 32 patients (37 per cent). Half of the strokes happened on the day of CEA. Of all serious complications recorded, 44 (42·7 per cent) occurred on day 0 (20 intraoperative, 17 postoperative, 7 with unclear timing), 23 (22·3 per cent) on days 1-3 and 36 (35·0 per cent) on days 4-30. At least half of the procedural strokes in this study were ischaemic and ipsilateral to the treated artery. Half of all procedural complications occurred on the day of surgery, but one-third after day 3 when many patients had been discharged.</t>
  </si>
  <si>
    <t>When a child dies: a systematic review of well-defined parent-focused bereavement interventions and their alignment with grief- and loss theories.</t>
  </si>
  <si>
    <t>Kochen, Eline M; Jenken, Floor; Boelen, Paul A; Deben, Laura M A; Fahner, Jurrianne C; van den Hoogen, Agnes; Teunissen, Saskia C C M; Geleijns, Karin; Kars, Marijke C</t>
  </si>
  <si>
    <t>https://pubmed.ncbi.nlm.nih.gov/32164668</t>
  </si>
  <si>
    <t>The availability of interventions for bereaved parents have increased. However, most are practice based. To enhance the implementation of bereavement care for parents, an overview of interventions which are replicable and evidence-based are needed. The aim of this review is to provide an overview of well-defined bereavement interventions, focused on the parents, and delivered by regular health care professionals. Also, we explore the alignment between the interventions identified and the concepts contained in theories on grief in order to determine their theoretical evidence base. A systematic review was conducted using the methods PALETTE and PRISMA. The search was conducted in MEDLINE, Embase, and CINAHL. We included articles containing well-defined, replicable, paediatric bereavement interventions, focused on the parent, and performed by regular health care professionals. We excluded interventions on pathological grief, or interventions performed by healthcare professionals specialised in bereavement care. Quality appraisal was evaluated using the risk of bias, adapted risk of bias, or COREQ. In order to facilitate the evaluation of any theoretical foundation, a synthesis of ten theories about grief and loss was developed showing five key concepts: anticipatory grief, working models or plans, appraisal processes, coping, and continuing bonds. Twenty-one articles were included, describing fifteen interventions. Five overarching components of intervention were identified covering the content of all interventions. These were: the acknowledgement of parenthood and the child's life; establishing keepsakes; follow-up contact; education and information, and; remembrance activities. The studies reported mainly on how to conduct, and experiences with, the interventions, but not on their effectiveness. Since most interventions lacked empirical evidence, they were evaluated against the key theoretical concepts which showed that all the components of intervention had a theoretical base. In the absence of empirical evidence supporting the effectiveness of most interventions, their alignment with theoretical components shows support for most interventions on a conceptual level. Parents should be presented with a range of interventions, covered by a variety of theoretical components, and aimed at supporting different needs. Bereavement interventions should focus more on the continuous process of the transition parents experience in readjusting to a new reality. This systematic review was registered in Prospero (registration number: CRD42019119241).</t>
  </si>
  <si>
    <t>[Male-female differences in the optimal dosage of medication for heart failure; the 'one-size-fits-all' approach to guidelines needs revision].</t>
  </si>
  <si>
    <t>Groenewegen, Amy; Mosterd, Arend; Rutten, Frans H</t>
  </si>
  <si>
    <t>https://pubmed.ncbi.nlm.nih.gov/32391993</t>
  </si>
  <si>
    <t>Despite known sex differences in pharmacokinetics and pharmacodynamics, the target dosages for heart failure medication recommended by international guidelines are the same for both men and women. In a recent post-hoc analysis in The Lancet, Santema and colleagues evaluated sex-based differences in clinical outcomes related to the dosage of three classes of heart failure drugs. They found that women may reach the peak benefit of angiotensin-converting enzyme (ACE) inhibitors, angiotensin receptor blockers (ARBs), and β blockers at half the recommended target dosage. This commentary discusses the study by Santema and colleagues and its implications for clinical practice.</t>
  </si>
  <si>
    <t>Prognostic value of radiological recurrence patterns in ovarian cancer.</t>
  </si>
  <si>
    <t>Roze, Joline F; Veldhuis, Wouter B; Hoogendam, Jacob P; Verheijen, René H M; Scholten, Rob J P M; Zweemer, Ronald P</t>
  </si>
  <si>
    <t>https://pubmed.ncbi.nlm.nih.gov/32171567</t>
  </si>
  <si>
    <t>To study the prognostic value of CT assessed recurrence patterns on survival outcomes in women with epithelial ovarian cancer. CT scans were systematically re-evaluated on predefined anatomical sites for the presence of tumor in all 89 patients diagnosed with epithelial ovarian cancer between January 2008 and December 2013 who underwent cytoreductive surgery at our institution and developed a recurrence. A Cox proportional hazard analysis was used to test the effect of recurrence patterns on survival. The median survival time for patients grouped as predominantly intraperitoneal (n = 62), hematogenous (n = 13) or lymphatic (n = 14) recurrence was 25.8 (95% CI 18.4-33.2), 27.6 (95% CI 18.5-36.6) and 52.9 months (95% CI 42.1-63.7), respectively. Univariate Cox regression analysis identified the following prognostic factors: lymphatic recurrence pattern (HR 0.42, 95% CI 0.21-0.85), ascites at diagnosis (HR 2.35, 95% CI 1.46-3.79), residual tumor at initial surgery (HR 2.16, 95% CI 1.36-3.44) and FIGO stage (I-IIIB: HR 0.59, 95% CI 0.33-1.06). The median time to recurrence was 19.5 month for patients after complete debulking surgery, 13.1 months for patients with residual disease ≤1 cm and 8.2 months for patients with residual disease &gt;1 cm after surgery (P &lt; 0.001). No differences in recurrence patterns between patients with complete and incomplete surgery were found. Prolonged survival rates were found in ovarian cancer patients with a predominantly lymphatic recurrence compared to patients with a predominantly peritoneal or hematogenous recurrence. Completeness of surgery was associated with time to recurrence. Classification of recurrence patterns can help counsel patients on their prognosis at the time of recurrence.</t>
  </si>
  <si>
    <t>Replacing physical with virtual genetic tests: The importance of conscious methodological decisions.</t>
  </si>
  <si>
    <t>van Dijk, Wouter B; Schuit, Ewoud</t>
  </si>
  <si>
    <t>https://pubmed.ncbi.nlm.nih.gov/32153211</t>
  </si>
  <si>
    <t>Risk factors for calcification of the vertebrobasilar arteries in cardiovascular patients referred for a head CT, the SMART study.</t>
  </si>
  <si>
    <t>van den Beukel, Tim C; Lucci, Carlo; Hendrikse, Jeroen; Spiering, Wilko; Koek, Huiberdina L; Geerlings, Mirjam I; de Jong, Pim A; ,</t>
  </si>
  <si>
    <t>journal of neuroradiology journal de neuroradiologie</t>
  </si>
  <si>
    <t>https://pubmed.ncbi.nlm.nih.gov/32169469</t>
  </si>
  <si>
    <t>Vertebrobasilar artery calcification (VBAC) has been associated with increased stroke occurrence. Little is known on VBAC risk factors, especially for patients with cardiovascular disease. We aimed to assess risk factors associated with VBAC in a cohort of cardiovascular patients referred for a head computed tomography (CT) scan. All patients who underwent a clinically indicated, unenhanced, thin slice head CT 6 months before or after inclusion in the SMART study were included. CTs were assessed for presence of VBAC (dichotomously). Relative risks of the associations of age, sex, diabetes mellitus (DM), obesity, body mass index, estimated glomerular filtration rate, hypertension, hyperlipidemia, use of lipid lowering medication, smoking status, high sensitivity C-reactive protein, ankle-brachial index (ABI; ≤0.90, ≥1.30, continuous), internal carotid artery stenosis ≥70%, and carotid intima-media thickness (IMT) with VBAC were estimated using Poisson regression analysis with robust standard errors, adjusted for age and sex. Of the 471 patients included (57% male, median age 58 [interquartile range 47-63]), 117 (24.8%) showed VBAC. Presence of VBAC was associated with older age (RR per 10 years=1.70 [95%CI 1.46-1.99]), DM (RR=1.45 [95%CI 1.03-2.06]), obesity (RR=1.53 [95%CI 1.10-2.12]), ABI ≤0.90 (RR=1.57 [95%CI 1.02-2.41]), and an increased carotid IMT (RR=2.60 per mm [95%CI 1.20-5.62]). Other measurements were not associated with VBAC. We identified several markers associated with VBAC in patients with cardiovascular disease referred for a head CT. Future investigation into the relationship between VBAC and stroke is warranted to determine the potential of VBAC in stroke prevention.</t>
  </si>
  <si>
    <t>Anti-Müllerian hormone levels and risk of cancer: A systematic review.</t>
  </si>
  <si>
    <t>Verdiesen, Renée M G; van Gils, Carla H; van der Schouw, Yvonne T; Onland-Moret, N Charlotte</t>
  </si>
  <si>
    <t>https://pubmed.ncbi.nlm.nih.gov/32252965</t>
  </si>
  <si>
    <t>Experimental research suggests that anti-Müllerian hormone (AMH) inhibits tumor growth. Conversely, epidemiological studies suggest that higher AMH concentrations increase breast cancer risk, while associations with other cancers are inconsistent. Therefore, our aim was to provide a systematic review of current epidemiological evidence on AMH levels in relation to different cancer types. We performed a systematic search of PubMed and Embase for publications on circulating AMH in relation to cancer. Methodological quality of articles was assessed using the Study Quality Assessment Tools of the National Heart, Lung and Blood Institute. We included 12 articles on breast, ovarian and endometrial cancer, lymphomas, non-gynaecological cancers, childhood cancer and prostate cancer. Five studies measured AMH prior to cancer diagnosis; the other studies measured AMH after diagnosis but prior to treatment. Higher prediagnosis AMH levels were associated with an increased risk of breast cancer. Associations with other types of cancer remained inconclusive, although analyses stratified by age hinted at an increased risk of ovarian and endometrial cancer in younger women. Pretreatment AMH levels were lower in women diagnosed with different types of cancer compared with AMH levels in healthy women. However, because we considered most of the studies that established pretreatment AMH levels to be of poor methodological quality, mainly because of inadequate correction for age at measurement and other important confounders, we refrain from definite conclusions based on these results. Future studies with young participants are needed to assess whether and how AMH affects the risk of different cancer types over time.</t>
  </si>
  <si>
    <t>The effectiveness of nitrofurantoin, fosfomycin and trimethoprim for the treatment of cystitis in relation to renal function.</t>
  </si>
  <si>
    <t>Ten Doesschate, T; van Haren, E; Wijma, R A; Koch, B C P; Bonten, M J M; van Werkhoven, C H</t>
  </si>
  <si>
    <t>https://pubmed.ncbi.nlm.nih.gov/32165321</t>
  </si>
  <si>
    <t>We evaluated the effect of renal function on clinical failure rates of nitrofurantoin, fosfomycin and trimethoprim for the treatment of cystitis in primary care. Data were retrospectively obtained from 78 Dutch general practitioner (GP) practices between 2013 and 2019. Eligible episodes in patients (&gt;11 years) were those requiring 5 days of nitrofurantoin (NF5), single-dose fosfomycin-trometamol (FT1), 3 days of trimethoprim (TMP3) for uncomplicated cystitis, or 7 days of nitrofurantoin (NF7) or trimethoprim (TMP7) for complicated cystitis. Clinical failure was defined as second antibiotic prescription for cystitis or pyelonephritis within 28 days post-prescription. Mixed effects regression analysis was used, with patient and GP practice as random effects and demography, comorbidity, and cystitis history as fixed effects. Adjusted odds ratios (aORs) for clinical failure per 10mL/min decrease in estimated glomerular filtration rate (eGFR) were 1.05 (95% CI: 1.01-1.09) for NF5 (n = 24,591), 0.96 (95% CI: 0.92-1.01) for FT1 (n = 5359), 0.98 (95% CI: 0.89-1.08) for TMP3 (n = 1064), 1.05 (95% CI: 1.02-1.09) for NF7 (n = 10,628) and 1.02 (95% CI: 0.93-1.14) for TMP7 (n = 831). In uncomplicated cystitis and eGFR ≥60 mL/min, clinical failures occurred in 14.6% (1895/12 980) of NF5-treated, 20.7% (266/1283) of FT1-treated (aOR versus NF5 1.37, 95% CI 1.18-1.59) and 20.8% (66/318) of TMP3-treated patients (aOR 1.42, 95% CI 1.07-1.87 versus NF5). In uncomplicated cystitis and eGFR &lt;60 mL/min, FT1 resulted in 16.0% (39/244) and NF5 in 23.3% clinical failures (110/472), aOR: 0.61, 95% CI: 0.39-0.95). In eGFR ≥60 mL/min treatment with fosfomycin or trimethoprim for uncomplicated cystitis was associated with more clinical failure than treatment with nitrofurantoin, while in eGFR &lt;60 mL/min nitrofurantoin was associated with more clinical failure than fosfomycin-trometamol. Renal function, if known, should be considered in the clinical decision-making for cystitis treatment.</t>
  </si>
  <si>
    <t>Fatal outcomes following immunization errors as reported to the EudraVigilance: A case series.</t>
  </si>
  <si>
    <t>Hoeve, Christina E; Gadroen, Kartini; Kwa, Marcel S G; van Haren, Anja; Sturkenboom, Miriam C J M; Straus, Sabine M J M</t>
  </si>
  <si>
    <t>https://pubmed.ncbi.nlm.nih.gov/32147297</t>
  </si>
  <si>
    <t>Serious adverse reactions after immunization are rare but do occur. In very rare instances, cases with fatal outcome have been reported. These reports can have a huge impact and even more so when due to an immunization error. The aim of this study is to systematically review immunization errors with fatal outcomes in EudraVigilance. This was a case-series analysis of Individual Case Safety Reports (ICSRs) reporting immunization errors and a fatal outcome. To determine the level of certainty of a causal association between the immunization errors and fatal outcomes two independent reviewers assessed all ICSRs using the WHO tool "Causality assessment of an Adverse Event Following Immunization (AEFI)". In accordance with the tool, the ICSRs were classified as consistent, indeterminate, inconsistent/coincidental, or unclassifiable. In addition, we estimated the contribution of reported errors to the fatal outcomes as large, moderate, small, none, or unclassifiable using a classification developed for this study. A total of 154 ICSRs met the inclusion criteria. Vaccines reported most frequently were pneumococcal (33), rabies (27) and influenza vaccines (24). Most frequently reported errors were non-compliance with recommended schedules of immunization (63). The most frequently reported vaccine-error combination was rabies vaccines and non-compliance with a recommended schedule of immunization (23). Twelve cases were classified as consistent with causal association and had a large error contribution. These cases concerned a cluster of six cases reporting incorrect handling of multi-dose vials containing measles vaccine and six cases reporting administration of live-attenuated vaccines to immunocompromised patients. In this study, we showed that fatal outcomes following immunization errors are very rare. Four key issues were the importance of: (1) quality control of multi-dose vaccines, (2) screening patients for immunocompromising factors, (3) education on the importance of adherence, and (4) measures to improve distinction between vaccines and medicines.</t>
  </si>
  <si>
    <t>Sense of coherence and its relationship to participation, cancer-related fatigue, symptom burden, and quality of life in women with breast cancer participating in the OptiTrain exercise trial.</t>
  </si>
  <si>
    <t>Hiensch, Anouk E; Bolam, Kate A; Mijwel, Sara; May, Anne M; Wengström, Yvonne</t>
  </si>
  <si>
    <t>https://pubmed.ncbi.nlm.nih.gov/32140973</t>
  </si>
  <si>
    <t>This study examined the Sense of Coherence (SOC) of patients participating in the randomized controlled 'Optimal Training for Women with Breast Cancer' (OptiTrain) study and assessed how patient characteristics were associated with SOC. Secondary aims were to assess the association between SOC and patients' participation in this study and to determine whether SOC moderates the effect of the 16-week exercise intervention on fatigue, quality of life (QoL), and symptom burden in women with breast cancer undergoing chemotherapy. Modified Poisson regression analyses were conducted to determine the relative risk of weak-normal SOC versus strong SOC in terms of exercise session attendance, study and intervention dropout, and long absence rates. Analyses of covariance were performed to assess whether SOC moderated the effect of the exercise intervention (p&lt;sub&gt;interaction&lt;/sub&gt; ≤ 0.10). Two hundred and forty women with early breast cancer (mean age 53 ± 10) participated in the OptiTrain study. Women with strong SOC reported less fatigue, lower symptom burden, and higher QoL. Women with weak-normal SOC were significantly more likely to drop out from the OptiTrain study and tended to have slightly poorer exercise session attendance. Women with breast cancer and weaker SOC benefitted as much from the exercise intervention, in terms of fatigue and QoL, as those with stronger SOC (p&lt;sub&gt;interaction&lt;/sub&gt; &gt; 0.10). Strong SOC appears to be associated with a more positive subjective state of health. Women with weak-normal SOC may need additional support to encourage participation and adherence in exercise trials. Assessing SOC may assist clinicians to identify and provide extra support for participants with weak SOC, who may be less inclined to participate in exercise programs.</t>
  </si>
  <si>
    <t>How to diagnose heart failure with preserved ejection fraction: the HFA-PEFF diagnostic algorithm: a consensus recommendation from the Heart Failure Association (HFA) of the European Society of Cardiology (ESC).</t>
  </si>
  <si>
    <t>Pieske, Burkert; Tschöpe, Carsten; de Boer, Rudolf A; Fraser, Alan G; Anker, Stefan D; Donal, Erwan; Edelmann, Frank; Fu, Michael; Guazzi, Marco; Lam, Carolyn S P; Lancellotti, Patrizio; Melenovsky, Vojtech; Morris, Daniel A; Nagel, Eike; Pieske-Kraigher, Elisabeth; Ponikowski, Piotr; Solomon, Scott D; Vasan, Ramachandran S; Rutten, Frans H; Voors, Adriaan A; Ruschitzka, Frank; Paulus, Walter J; Seferovic, Petar; Filippatos, Gerasimos</t>
  </si>
  <si>
    <t>https://pubmed.ncbi.nlm.nih.gov/32133741</t>
  </si>
  <si>
    <t>Making a firm diagnosis of chronic heart failure with preserved ejection fraction (HFpEF) remains a challenge. We recommend a new stepwise diagnostic process, the 'HFA-PEFF diagnostic algorithm'. Step 1 (P=Pre-test assessment) is typically performed in the ambulatory setting and includes assessment for heart failure symptoms and signs, typical clinical demographics (obesity, hypertension, diabetes mellitus, elderly, atrial fibrillation), and diagnostic laboratory tests, electrocardiogram, and echocardiography. In the absence of overt non-cardiac causes of breathlessness, HFpEF can be suspected if there is a normal left ventricular (LV) ejection fraction, no significant heart valve disease or cardiac ischaemia, and at least one typical risk factor. Elevated natriuretic peptides support, but normal levels do not exclude a diagnosis of HFpEF. The second step (E: Echocardiography and Natriuretic Peptide Score) requires comprehensive echocardiography and is typically performed by a cardiologist. Measures include mitral annular early diastolic velocity (e'), LV filling pressure estimated using E/e', left atrial volume index, LV mass index, LV relative wall thickness, tricuspid regurgitation velocity, LV global longitudinal systolic strain, and serum natriuretic peptide levels. Major (2 points) and Minor (1 point) criteria were defined from these measures. A score ≥5 points implies definite HFpEF; ≤1 point makes HFpEF unlikely. An intermediate score (2-4 points) implies diagnostic uncertainty, in which case Step 3 (F&lt;sub&gt;1&lt;/sub&gt; : Functional testing) is recommended with echocardiographic or invasive haemodynamic exercise stress tests. Step 4 (F&lt;sub&gt;2&lt;/sub&gt; : Final aetiology) is recommended to establish a possible specific cause of HFpEF or alternative explanations. Further research is needed for a better classification of HFpEF.</t>
  </si>
  <si>
    <t>Parental experiences in end-of-life decision-making in allogeneic pediatric stem cell transplantation: "Have I been a good parent?".</t>
  </si>
  <si>
    <t>Mekelenkamp, Hilda; Lankester, Arjan C; Bierings, Marc B; Smiers, Frans J W; de Vries, Martine C; Kars, Marijke C</t>
  </si>
  <si>
    <t>pediatric blood cancer</t>
  </si>
  <si>
    <t>https://pubmed.ncbi.nlm.nih.gov/32134215</t>
  </si>
  <si>
    <t>In pediatric hematopoietic stem cell transplantation (HSCT), the end-of-life (EOL) phase and the loss of the child is often characterized by a sudden deterioration of the child following a period of intensive curative treatment. This demands a fast transition for parents. Therefore, an understanding of the parents' perspective on decision-making in such a complex situation is needed. This study aims to gain insight in parental experiences in EOL decision-making in allogeneic pediatric HSCT. A qualitative descriptive study was performed among parents of eight families. Data were thematically analyzed. All parents were aware of their child's deterioration. Six families were confronted with a rapid deterioration, while two families experienced a gradual realization that their child would not survive. Parental EOL decision-making in pediatric HSCT shows a reflective perspective on the meaning of parenthood in EOL decision-making. Two central themes were identified: "survival-oriented decision-making" and "struggling with doubts in hindsight." Six subthemes within the first theme described the parents' goal of doing everything to achieve survival. Parents experienced EOL decision-making mainly as a process guided by health care professionals (HCPs) based on the child's condition and treatment possibilities. The decision-making is characterized by following opportunities and focusing on hope for cure. In hindsight parents experienced doubts about treatment steps and their child's suffering. HCPs can strengthen the parental role by an early integration of palliative care, providing timely support to parents in the process of imminent loss. Advance care planning can be used to support communication processes, defining preferences for future care.</t>
  </si>
  <si>
    <t>Some Unresolved Ethical Challenges in Healthcare Decision-Making: Navigating Family Involvement.</t>
  </si>
  <si>
    <t>Menon, Sumytra; Entwistle, Vikki A; Campbell, Alastair V; van Delden, Johannes J M</t>
  </si>
  <si>
    <t>asian bioethics review</t>
  </si>
  <si>
    <t>https://pubmed.ncbi.nlm.nih.gov/33717329</t>
  </si>
  <si>
    <t>Family involvement in healthcare decision-making for competent patients occurs to varying degrees in many communities around the world. There are different attitudes about who should make treatment decisions, how and why. Legal and professional ethics codes in most jurisdictions reflect and support the idea that competent patients should be enabled to make their own treatment decisions, even if others, including their healthcare professionals, disagree with them. This way of thinking contrasts with some cultural norms that put more emphasis on the family as a decision-making entity, in some circumstances to the exclusion of a competent patient. Possible tensions may arise between various combinations of patient, family members and healthcare professionals, and healthcare professionals must tread a careful path in navigating family involvement in the decision-making process. These tensions may be about differences of opinion about which treatment option is best and/or on who should have a say or influence in the decision-making process. While some relevant cultural, legal and policy considerations vary from community to community, there are ethical issues that healthcare professionals need to grapple with in balancing the laws and professional codes on decision-making and the ethical principle of respecting patients and their autonomy. This paper will highlight and propose that a partial resolution to these issues may lie in relational understandings of autonomy, which in principle justify interventions by healthcare professionals and family that support patients in decision-making.</t>
  </si>
  <si>
    <t>Fluorescence-guided imaging for resection margin evaluation in head and neck cancer patients using cetuximab-800CW: A quantitative dose-escalation study.</t>
  </si>
  <si>
    <t>Voskuil, Floris Jan; de Jongh, Steven Jakob; Hooghiemstra, Wouter Tjerk Rudolph; Linssen, Matthijs David; Steinkamp, Pieter Jan; de Visscher, Sebastiaan Antonius Hendrik Johannes; Schepman, Kees-Pieter; Elias, Sjoerd Geert; Meersma, Gert-Jan; Jonker, Pascal Klaas Christiaan; Doff, Jan Johannes; Jorritsma-Smit, Annelies; Nagengast, Wouter Bastiaan; van der Vegt, Bert; Robinson, Dominic James; van Dam, Gooitzen Michell; Witjes, Max Johannes Hendrikus</t>
  </si>
  <si>
    <t>theranostics</t>
  </si>
  <si>
    <t>https://pubmed.ncbi.nlm.nih.gov/32226534</t>
  </si>
  <si>
    <t>Tumor-positive resection margins are present in up to 23% of head and neck cancer (HNC) surgeries, as intraoperative techniques for &lt;i&gt;real-time&lt;/i&gt; evaluation of the resection margins are lacking. In this study, we investigated the safety and potential clinical value of fluorescence-guided imaging (FGI) for resection margin evaluation in HNC patients. We determined the optimal cetuximab-800CW dose by quantification of intrinsic fluorescence values using multi-diameter single-fiber reflectance, single-fiber fluorescence (MDSFR/SFF) spectroscopy. &lt;b&gt;Methods&lt;/b&gt;: Five cohorts of three HNC patients received cetuximab-800CW systemically: three single dose cohorts (10, 25, 50 mg) and two cohorts pre-dosed with 75 mg unlabeled cetuximab (15 or 25 mg). Fluorescence visualization and MDSFR/SFF spectroscopy quantification was performed and were correlated to histopathology. &lt;b&gt;Results&lt;/b&gt;: There were no study-related adverse events higher than Common Terminology Criteria for Adverse Events grade-II. Quantification of intrinsic fluorescence values showed a dose-dependent increase in background fluorescence in the single dose cohorts (&lt;i&gt;p&lt;0.001, p&lt;0.001&lt;/i&gt;), which remained consistently low in the pre-dosed cohorts &lt;i&gt;(p=0.6808)&lt;/i&gt;. Resection margin status was evaluated with a sensitivity of 100% (4/4 tumor-positive margins) and specificity of 91% (10/11 tumor-negative margins). &lt;b&gt;Conclusion&lt;/b&gt;: A pre-dose of 75 mg unlabeled cetuximab followed by 15 mg cetuximab-800CW was considered the optimal dose based on safety, fluorescence visualization and quantification of intrinsic fluorescence values. We were able to use a lower dose cetuximab-800CW than previously described, while remaining a high sensitivity for tumor detection due to application of equipment optimized for IRDye800CW detection, which was validated by quantification of intrinsic fluorescence values.</t>
  </si>
  <si>
    <t>Descriptive analysis of postmarket surveillance data for hip implants.</t>
  </si>
  <si>
    <t>Pane, Josep; Verhamme, Katia M C; Rebollo, Irene; Sturkenboom, Miriam C J M</t>
  </si>
  <si>
    <t>https://pubmed.ncbi.nlm.nih.gov/32128913</t>
  </si>
  <si>
    <t>Recent safety issues involving medical devices have highlighted the need for better postmarket surveillance (PMS) evaluation. This article aims to describe and to assess the quality of the PMS data for a medical device and, finally, to provide recommendations to improve the data gathering process. A descriptive analysis of medical device reports (MDRs) on the use of MRA, a specific type of hip implant replacement submitted to the Food and Drug Administration Manufacturer and User Facility Device Experience database from 1 January 2008 to 31 December 2017. The number of reports was described as the number of MDRs per unique MDR number and stratified by different variables. The quality was assessed by the level of completeness of the collected PMS data. The total number of reports related to MRA was 2377, and the number of MDRs per year ranged between 84 in 2009 and 452 in 2017. Most of the reports were reported by manufacturer Depuy Johnson &amp; Johnson and were reported by a physician. In 44.9% of the reports, the device problem was reported as "Unknown." When the device problem was known, in the majority of cases, it was related to an implant fracture. The quality of the collected data was assessed as low due to missing information. The underlying data should meet high quality standards to generate more evidence and to ensure a timely signal generation. This case study shows that the completeness and quality of the MDRs can be improved. The authors propose the development of tools to ensure a more dynamic complaint data collection to contribute to this enhancement.</t>
  </si>
  <si>
    <t>Intermittent Lactobacilli-containing Vaginal Probiotic or Metronidazole Use to Prevent Bacterial Vaginosis Recurrence: A Pilot Study Incorporating Microscopy and Sequencing.</t>
  </si>
  <si>
    <t>van de Wijgert, Janneke H H M; Verwijs, Marijn C; Agaba, Stephen K; Bronowski, Christina; Mwambarangwe, Lambert; Uwineza, Mireille; Lievens, Elke; Nivoliez, Adrien; Ravel, Jacques; Darby, Alistair C</t>
  </si>
  <si>
    <t>https://pubmed.ncbi.nlm.nih.gov/32127550</t>
  </si>
  <si>
    <t>Bacterial vaginosis (BV) is associated with HIV acquisition and adverse pregnancy outcomes. Recurrence after metronidazole treatment is high. HIV-negative, non-pregnant Rwandan BV patients were randomized to four groups (n = 17/group) after seven-day oral metronidazole treatment: behavioral counseling only (control), or counseling plus intermittent use of oral metronidazole, Ecologic Femi+ vaginal capsule (containing multiple Lactobacillus and one Bifidobacterium species), or Gynophilus LP vaginal tablet (L. rhamnosus 35) for two months. Vaginal microbiota assessments at all visits included Gram stain Nugent scoring and 16S rRNA gene qPCR and HiSeq sequencing. All interventions were safe. BV (Nugent 7-10) incidence was 10.18 per person-year at risk in the control group, and lower in the metronidazole (1.41/person-year; p = 0.004), Ecologic Femi+ (3.58/person-year; p = 0.043), and Gynophilus LP groups (5.36/person-year; p = 0.220). In mixed effects models adjusted for hormonal contraception/pregnancy, sexual risk-taking, and age, metronidazole and Ecologic Femi+ users, each compared to controls, had higher Lactobacillus and lower BV-anaerobes estimated concentrations and/or relative abundances, and were less likely to have a dysbiotic vaginal microbiota type by sequencing. Inter-individual variability was high and effects disappeared soon after intervention cessation. Lactobacilli-based vaginal probiotics warrant further evaluation because, in contrast to antibiotics, they are not expected to negatively affect gut microbiota or cause antimicrobial resistance.</t>
  </si>
  <si>
    <t>A systematic review and meta-analysis of complication rates after carotid procedures performed by different specialties.</t>
  </si>
  <si>
    <t>Poorthuis, Michiel H F; Brand, Eelco C; Halliday, Alison; Bulbulia, Richard; Schermerhorn, Marc L; Bots, Michiel L; de Borst, Gert J</t>
  </si>
  <si>
    <t>journal of vascular surgery</t>
  </si>
  <si>
    <t>https://pubmed.ncbi.nlm.nih.gov/32139311</t>
  </si>
  <si>
    <t>Different competencies and skills are required and obtained during medical specialization. However, whether these have an impact on procedural outcomes of carotid endarterectomy (CEA) or carotid artery stenting (CAS) is unclear. We assessed the reported association between operator specialization and procedural outcomes after CEA or CAS to determine whether CEA and CAS should be performed by specific specialties. We systematically searched PubMed and Embase up to August 21, 2017, for randomized clinical trials and observational studies that compared two or more specialties performing CEA or CAS for symptomatic and asymptomatic carotid artery stenosis. The composite primary outcome was procedural stroke or death (ie, occurring within 30 days of the procedure or before discharge). Risk estimates were pooled with a generic inverse variance random effects model. A total of 35 studies (26 providing data on CEA, 8 providing data on CAS, and 1 providing data on both CEA and CAS) were included, describing 256,033 CEA and 38,605 CAS procedures. For CEA, decreased risk of procedural stroke or death for operations performed by vascular surgeons was found with pooled unadjusted relative risk (RR) of 0.63 (95% confidence interval [CI], 0.46-0.86; seven studies) compared with neurosurgeons and RR of 0.81 (95% CI, 0.66-0.99; six studies) compared with general surgeons. An increased risk of procedural stroke or death for operations performed by neurosurgeons compared with cardiothoracic surgeons was found with a pooled unadjusted RR of 1.22 (95% CI, 1.02-1.46). No studies adjusted for potential confounding, and no significant unadjusted associations were found in other comparisons of operator specialty for the primary outcome. For CAS, no differences in procedural stroke or death were found by operator specialty. Studies were at high risk of bias mainly because of potential confounding by patient selection for CEA and CAS. Current evidence is insufficient to restrict CEA or CAS to specific specialties.</t>
  </si>
  <si>
    <t>Early detection of diabetic kidney disease by urinary proteomics and subsequent intervention with spironolactone to delay progression (PRIORITY): a prospective observational study and embedded randomised placebo-controlled trial.</t>
  </si>
  <si>
    <t>Tofte, Nete; Lindhardt, Morten; Adamova, Katarina; Bakker, Stephan J L; Beige, Joachim; Beulens, Joline W J; Birkenfeld, Andreas L; Currie, Gemma; Delles, Christian; Dimos, Ingo; Francová, Lidmila; Frimodt-Møller, Marie; Girman, Peter; Göke, Rüdiger; Havrdova, Tereza; Heerspink, Hiddo J L; Kooy, Adriaan; Laverman, Gozewijn D; Mischak, Harald; Navis, Gerjan; Nijpels, Giel; Noutsou, Marina; Ortiz, Alberto; Parvanova, Aneliya; Persson, Frederik; Petrie, John R; Ruggenenti, Piero L; Rutters, Femke; Rychlík, Ivan; Siwy, Justyna; Spasovski, Goce; Speeckaert, Marijn; Trillini, Matias; Zürbig, Petra; von der Leyen, Heiko; Rossing, Peter; ,</t>
  </si>
  <si>
    <t>the lancet diabetes endocrinology</t>
  </si>
  <si>
    <t>https://pubmed.ncbi.nlm.nih.gov/32135136</t>
  </si>
  <si>
    <t>Microalbuminuria is an early sign of kidney disease in people with diabetes and indicates increased risk of cardiovascular disease. We tested whether a urinary proteomic risk classifier (CKD273) score was associated with development of microalbuminuria and whether progression to microalbuminuria could be prevented with the mineralocorticoid receptor antagonist spironolactone. In this multicentre, prospective, observational study with embedded randomised controlled trial (PRIORITY), we recruited people with type 2 diabetes, normal urinary albumin excretion, and preserved renal function from 15 specialist centres in ten European countries. All participants (observational cohort) were tested with the CKD273 classifier and classified as high risk (CKD273 classifier score &gt;0·154) or low risk (≤0·154). Participants who were classified as high risk were entered into a randomised controlled trial and randomly assigned (1:1), by use of an interactive web-response system, to receive spironolactone 25 mg once daily or matched placebo (trial cohort). The primary endpoint was development of confirmed microalbuminuria in all individuals with available data (observational cohort). Secondary endpoints included reduction in incidence of microalbuminuria with spironolactone (trial cohort, intention-to-treat population) and association between CKD273 risk score and measures of impaired renal function based on estimated glomerular filtration rate (eGFR; observational cohort). Adverse events (particularly gynaecomastia and hyperkalaemia) and serious adverse events were recorded for the intention-to-treat population (trial cohort). This study is registered with the EU Clinical Trials Register (EudraCT 20120-004523-4) and ClinicalTrials.gov (NCT02040441) and is completed. Between March 25, 2014, and Sept 30, 2018, we enrolled and followed-up 1775 participants (observational cohort), 1559 (88%) of 1775 participants had a low-risk urinary proteomic pattern and 216 (12%) had a high-risk pattern, of whom 209 were included in the trial cohort and assigned to spironolactone (n=102) or placebo (n=107). The overall median follow-up time was 2·51 years (IQR 2·0-3·0). Progression to microalbuminuria was seen in 61 (28%) of 216 high-risk participants and 139 (9%) of 1559 low-risk participants (hazard ratio [HR] 2·48, 95% CI 1·80-3·42; p&lt;0·0001, after adjustment for baseline variables of age, sex, HbA&lt;sub&gt;1c&lt;/sub&gt;, systolic blood pressure, retinopathy, urine albumin-to-creatinine ratio [UACR], and eGFR). Development of impaired renal function (eGFR &lt;60 mL/min per 1·73 m&lt;sup&gt;2&lt;/sup&gt;) was seen in 48 (26%) of 184 high-risk participants and 119 (8%) of 1423 low-risk participants (HR 3·50; 95% CI 2·50-4·90, after adjustment for baseline variables). A 30% decrease in eGFR from baseline (post-hoc endpoint) was seen in 42 (19%) of 216 high-risk participants and 62 (4%) of 1559 low-risk participants (HR 5·15, 95% CI 3·41-7·76; p&lt;0·0001, after adjustment for basline eGFR and UACR). In the intention-to-treat trial cohort, development of microalbuminuria was seen in 35 (33%) of 107 in the placebo group and 26 (25%) of 102 in the spironolactone group (HR 0·81, 95% CI 0·49-1·34; p=0·41). In the safety analysis (intention-to-treat trial cohort), events of plasma potassium concentrations of more than 5·5 mmol/L were seen in 13 (13%) of 102 participants in the spironolactone group and four (4%) of 107 participants in the placebo group, and gynaecomastia was seen in three (3%) participants in the spironolactone group and none in the placebo group. One patient died in the placebo group due to a cardiac event (considered possibly related to study drug) and one patient died in the spironolactone group due to cancer, deemed unrelated to study drug. In people with type 2 diabetes and normoalbuminuria, a high-risk score from the urinary proteomic classifier CKD273 was associated with an increased risk of progression to microalbuminuria over a median of 2·5 years, independent of clinical characteristics. However, spironolactone did not prevent progression to microalbuminuria in high-risk patients. European Union Seventh Framework Programme.</t>
  </si>
  <si>
    <t>Population-based screen-detected type 2 diabetes mellitus is associated with less need for insulin therapy after 10 years.</t>
  </si>
  <si>
    <t>Vos, Rimke C; den Ouden, Henk; Daamen, Lois A; Bilo, Henk J G; Denig, Petra; Rutten, Guy E H M</t>
  </si>
  <si>
    <t>https://pubmed.ncbi.nlm.nih.gov/32238363</t>
  </si>
  <si>
    <t>With increased duration of type 2 diabetes, most people have a growing need of glucose-lowering medication and eventually might require insulin. Presumptive evidence is reported that early detection (eg, by population-based screening) and treatment of hyperglycemia will postpone the indication for insulin treatment. A treatment legacy effect of population-based screening for type 2 diabetes of about 3 years is estimated. Therefore, we aim to compare insulin prescription and glycemic control in people with screen-detected type 2 diabetes after 10 years with data from people diagnosed with type 2 diabetes seven (treatment legacy effect) and 10 years before during care-as-usual. Three cohorts were compared: one screen-detected cohort with 10 years diabetes duration (Anglo-Danish-Dutch study of Intensive Treatment in People with Screen-Detected Diabetes in Primary care (ADDITION-NL): n=391) and two care-as-usual cohorts, one with 7-year diabetes duration (Groningen Initiative to Analyze Type 2 Diabetes Treatment (GIANTT) and Zwolle Outpatient Diabetes project Integrating Available Care (ZODIAC): n=4473) and one with 10-year diabetes duration (GIANTT and ZODIAC: n=2660). Insulin prescription (primary outcome) and hemoglobin A1c (HbA1c) of people with a known diabetes duration of 7 years or 10 years at the index year 2014 were compared using regression analyses. Insulin was prescribed in 10.5% (10-year screen detection), 14.7% (7-year care-as-usual) and 19.0% (10-year care-as-usual). People in the 7-year and 10-year care-as-usual groups had a 1.5 (95% CI 1.0 to 2.1) and 1.8 (95% CI 1.3 to 2.7) higher adjusted odds for getting insulin prescribed than those after screen detection. Lower HbA1c values were found 10 years after screen detection (mean 50.1 mmol/mol (6.7%) vs 51.8 mmol/mol (6.9%) and 52.8 mmol/mol (7.0%)), compared with 7 years and 10 years after care-as-usual (MD&lt;sub&gt;adjusted&lt;/sub&gt;: 1.6 mmol/mol (95% CI 0.6 to 2.6); 0.1% (95% CI 0.1 to 0.2) and 1.8 mmol/mol (95% CI 0.7 to 2.9); and 0.2% (95% CI 0.1 to 0.3)). Population-based screen-detected type 2 diabetes is associated with less need for insulin after 10 years compared with people diagnosed during care-as-usual. Glycemic control was better after screen detection but on average good in all groups.</t>
  </si>
  <si>
    <t>Autism, autonomy, and authenticity.</t>
  </si>
  <si>
    <t>Späth, Elisabeth M A; Jongsma, Karin R</t>
  </si>
  <si>
    <t>https://pubmed.ncbi.nlm.nih.gov/31165390</t>
  </si>
  <si>
    <t>Autonomy of people on the autism-spectrum has only been very rarely conceptually explored. Autism spectrum is commonly considered a hetereogenous disorder, and typically described as a behaviorally-defined neurodevelopmental disorder associated with the presence of social-communication deficits and restricted and repetitive behaviors. Autism research mainly focuses on the behavior of autistic people and ways to teach them skills that are in line with social norms. Interventions such as therapies are being justified with the assumption that autists lack the capacity to be self-reflective and to be "author of their lives". We question this assumption, as some empirical research shows that autists are aware of their strengths and are critical about social norms, we take this as a starting point to reconsider the beliefs about autistic people's capacities. As a theoretical framework, we draw on Berlin's idea of positive and negative liberty as he clearly distinguishes between one's own developed preferences and the simple absence of interference. By drawing on the concept of positive liberty, we illustrate that a lot of autists are aware of their own needs, and usually do not deny their own needs, values and interests. This makes them less prone than non-autistic people to adapt their preferences to external influences, which might be seen as sticking to an authentic way of living. Our analysis shows that many autists are hindered to be(come) autonomous due to unjustified interference, unreflected assumptions about their self-determination, or by paternalistic actions. These observations contribute to a better understanding when help and interference are justified and a more differentiated understanding of autonomy of autistic people.</t>
  </si>
  <si>
    <t>Reply to A Wittekind.</t>
  </si>
  <si>
    <t>van Eekelen, Esther Winters; Beulens, Joline W J; Rosendaal, Frits R; de Mutsert, Renée</t>
  </si>
  <si>
    <t>https://pubmed.ncbi.nlm.nih.gov/32133523</t>
  </si>
  <si>
    <t>High haemoglobin A1c level is a possible risk factor for ventricular fibrillation in sudden cardiac arrest among non-diabetic individuals in the general population.</t>
  </si>
  <si>
    <t>van Dongen, Laura H; Blom, Marieke T; Bardai, Abdenasser; Homma, Paulien C M; Beulens, Joline W J; van der Heijden, Amber A; Elders, Petra; Tan, Hanno L</t>
  </si>
  <si>
    <t>https://pubmed.ncbi.nlm.nih.gov/31950980</t>
  </si>
  <si>
    <t>This study aimed to establish whether higher levels of glycated haemoglobin (HbA1c) are associated with increased sudden cardiac arrest (SCA) risk in non-diabetic individuals. Case-control study in non-diabetic individuals (HbA1c &lt; 6.5%) in the Netherlands. Cases were SCA patients with electrocardiogram (ECG)-documented ventricular fibrillation (VF, the predominant cause of SCA) and HbA1c measurements immediately after VF, prospectively included in September 2009-December 2012. Controls (up to 10 per case) were age/sex-matched non-SCA individuals, included in July 2006-November 2007. We studied 306 cases (56.4 ± 6.8 years, 79.1% male) and 1722 controls (54.0 ± 6.8 years, 64.8% male). HbA1c levels were higher in cases than in controls (5.8 ± 0.3% vs. 5.4 ± 0.3%, P &lt; 0.001). The proportion of increased HbA1c (≥5.7%) was 63.1% in cases and 19.3% in controls (P &lt; 0.001). Multivariate regression models indicated that increased HbA1c was associated with a &gt; six-fold increased VF risk [adjusted odds ratio (ORadj) 6.74 (5.00-9.09)] and that 0.1% increase in HbA1c level was associated with 1.4-fold increase in VF risk, independent of concomitant cardiovascular risk factors. Increased VF risk at higher HbA1c is associated with acute myocardial infarction (MI) as cause of VF [OR 1.14 (1.04-1.24)], but the association between HbA1c and VF was similar in non-MI patients [OR 1.32 (1.21-1.44)] and MI patients [OR 1.47 (1.37-1.58)]. Among non-diabetic individuals, risk of VF increased with rising HbA1c levels, independent of concomitant cardiovascular disease. Future studies should establish whether HbA1c level may be used as biomarker to recognize individuals at risk for VF.</t>
  </si>
  <si>
    <t>Impact of time to antibiotic therapy on clinical outcome in patients with bacterial infections in the emergency department: implications for antimicrobial stewardship.</t>
  </si>
  <si>
    <t>Nauclér, P; Huttner, A; van Werkhoven, C H; Singer, M; Tattevin, P; Einav, S; Tängdén, T</t>
  </si>
  <si>
    <t>https://pubmed.ncbi.nlm.nih.gov/32120032</t>
  </si>
  <si>
    <t>Rapid initiation of antibiotic treatment is considered crucial in patients with severe infections such as septic shock and bacterial meningitis, but may not be as important for other infectious syndromes. A better understanding of which patients can tolerate a delay in start of therapy is important for antibiotic stewardship purposes. To explore the existing evidence on the impact of time to antibiotics on clinical outcomes in patients presenting to the emergency department (ED) with bacterial infections of different severity of illness and source of infection. A literature search was performed in the PubMed/MEDLINE database using combined search terms for various infectious syndromes (sepsis/septic shock, bacterial meningitis, lower respiratory tract infections, urinary tract infections, intra-abdominal infections and skin and soft tissue infections), time to antibiotic treatment, and clinical outcome. The literature search generated 8828 hits. After screening titles and abstracts and assessing potentially relevant full-text papers, 60 original articles (four randomized controlled trials, 43 observational studies) were included. Most articles addressed sepsis/septic shock, while few studies evaluated early initiation of therapy in mild to moderate disease. The lack of randomized trials and the risk of confounding factors and biases in observational studies warrant caution in the interpretation of results. We conclude that the literature supports prompt administration of effective antibiotics for septic shock and bacterial meningitis, but there is no clear evidence showing that a delayed start of therapy is associated with worse outcome for less severe infectious syndromes. For patients presenting with suspected bacterial infections, withholding antibiotic therapy until diagnostic results are available and a diagnosis has been established (e.g. by 4-8 h) seems acceptable in most cases unless septic shock or bacterial meningitis are suspected. This approach promotes the use of ecologically favourable antibiotics in the ED, reducing the risks of side effects and selection of resistance.</t>
  </si>
  <si>
    <t>Cost-effectiveness of inactivated influenza vaccination in children with medical risk conditions in the Netherlands.</t>
  </si>
  <si>
    <t>Naber, Steffie K; Bruijning-Verhagen, Patricia C J L; de Hoog, Marieke L A; van Giessen, Anoukh</t>
  </si>
  <si>
    <t>https://pubmed.ncbi.nlm.nih.gov/32115297</t>
  </si>
  <si>
    <t>In many countries, annual immunization with inactivated influenza vaccine (IIV) is recommended for children with medical risk conditions. Prior cost-effectiveness analyses found such immunization to be cost saving, but assumed effectiveness against non-severe influenza outcomes and a higher effectiveness against severe influenza outcomes than recent studies would suggest. However, recent vaccine studies do not indicate any reduction in community or outpatient disease episodes in IIV immunized individuals. We therefore evaluated cost-effectiveness of IIV immunization in children with medical risk conditions in the Netherlands, assuming that IIV reduces influenza-related hospitalization and death, but has no meaningful impact on non-severe health outcomes. A health economic decision tree model was developed to evaluate health effects and costs of annual IIV immunization versus no immunization. Model inputs were based on our study on influenza-related primary care visits and other literature. Immunization was considered cost effective if associated costs were less than €20,000 per quality-adjusted life year (QALY) gained. Probabilistic sensitivity analyses were performed to assess robustness of results, and one-way sensitivity analyses and scenario analyses were done to assess the influence of individual parameters. Annual IIV prevents an average of 1.59 influenza-related hospitalizations and 0.02 deaths per 1,000 children with medical risk conditions. This results in an expected QALY gain of 0.43 at incremental costs of €21,564 per 1,000 children, corresponding to an incremental cost-effectiveness ratio (ICER) of €50,297/QALY compared to no immunization. Under base case assumptions, immunization had a 5% probability of being cost effective. Results were most influenced by vaccine efficacy against fatal influenza, QALY loss due to death, and mortality rate. If IIV only reduces severe disease outcomes, as current evidence suggests, annual immunization of medical risk children is unlikely to be cost effective. Results should however be interpreted with caution as cost-effectiveness is largely dependent on incidence and QALY losses for fatal influenza, for which evidence is scarce.</t>
  </si>
  <si>
    <t>Measurement of Azimuthal Anisotropy of Muons from Charm and Bottom Hadrons in pp Collisions at sqrt[s]=13  TeV with the ATLAS Detector.</t>
  </si>
  <si>
    <t xml:space="preserve">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Alexandre, D; Alexopoulos, T; Alfonsi, A; Alfonsi, F; Alhroob, M; Ali, B; Alimonti, G; Alison, J; Alkire, S P; Allaire, C; Allbrooke, B M M; Allen, B W; Allport, P P; Aloisio, A; Alonso, A; Alonso, F; Alpigiani, C; Alshehri, A A; Alvarez Estevez, M; Álvarez Piqueras, D; Alviggi, M G; Amaral Coutinho, Y; Ambler, A; Ambroz, L; Amelung, C; Amidei, D; Amor Dos Santos, S P; </t>
  </si>
  <si>
    <t>https://pubmed.ncbi.nlm.nih.gov/32167369</t>
  </si>
  <si>
    <t>The elliptic flow of muons from the decay of charm and bottom hadrons is measured in pp collisions at sqrt[s]=13  TeV using a data sample with an integrated luminosity of 150  pb^{-1} recorded by the ATLAS detector at the LHC. The muons from heavy-flavor decay are separated from light-hadron decay muons using momentum imbalance between the tracking and muon spectrometers. The heavy-flavor decay muons are further separated into those from charm decay and those from bottom decay using the distance-of-closest-approach to the collision vertex. The measurement is performed for muons in the transverse momentum range 4-7 GeV and pseudorapidity range |η|&lt;2.4. A significant nonzero elliptic anisotropy coefficient v_{2} is observed for muons from charm decays, while the v_{2} value for muons from bottom decays is consistent with zero within uncertainties.</t>
  </si>
  <si>
    <t>The association between changes in muscle mass and quality of life in patients with metastatic colorectal cancer.</t>
  </si>
  <si>
    <t>Derksen, Jeroen W G; Kurk, Sophie A; Peeters, Petra H M; Dorresteijn, Bram; Jourdan, Marion; van der Velden, Ankie M T; Nieboer, Peter; de Jong, Robert S; Honkoop, Aafke H; Punt, Cornelis J A; Koopman, Miriam; May, Anne M</t>
  </si>
  <si>
    <t>https://pubmed.ncbi.nlm.nih.gov/32107889</t>
  </si>
  <si>
    <t>Skeletal muscle mass (SMM) loss is common in metastatic colorectal cancer (mCRC) patients and associated with poor clinical outcomes, including increased treatment-related toxicities and reduced survival. Muscle loss may contribute to reduced health-related quality of life (HRQoL), including fatigue. Our aim was to study associations between changes in SMM and concomitant changes in patient-reported HRQoL. This was a secondary analysis of mCRC patients in the CAIRO3 randomized clinical trial who were-after initial treatment-randomized between maintenance treatment with capecitabine plus bevacizumab (CAP-B) and observation until first disease progression (PD1). Included patients had computed tomography images for SMM quantification, together with HRQoL assessments available at randomization and PD1. Changes in SMM (categorized as &gt;2% loss, stable, and &gt;2% gain) and HRQoL were computed between randomization and PD1. Changes in HRQoL score &gt;10 points were considered clinically relevant. Associations between SMM and HRQoL changes were studied by multiple linear regression models. We also investigated whether associations differed by treatment arm for global health and the 13 other HRQoL subscales. Of 221 patients included (mean age 63.5 ± 8.4 years), 24% lost, 27% remained stable, and 49% gained SMM. At randomization, mean global health status was 73.5 ± 15.9 in the CAP-B arm and 75.1 ± 17.5 in the observation arm (P = 0.48). A stable or gain in SMM was significantly associated with a clinically relevant improvement in global health status (9.9 and 14.7 points, respectively), compared with patients who lost SMM. From the subscales that did not show significant differences between the two treatment arms, we found significant and clinically relevant associations for stable or gain in SMM with improved role functioning (12.0 and 17.9, respectively) and with less fatigue (-10.0 and -15.0, respectively) and pain (-16.3 for SMM gain). From the subscales that did show significantly different associations with SMM between the two treatment arms, we only found significant results in the observation arm. Here, associations were found for stable or gain in SMM with clinically relevant improved physical (12.4 for SMM gain), cognitive (10.7 and 9.7, respectively), and social functioning (15.5 and 15.6, respectively) as well as reduced appetite loss (-28.5 and -30.7, respectively). In mCRC, SMM preservation during CAP-B and observation treatment is associated with significant and clinically relevant improvements in global health status and multiple functional and symptom scales. Studies are warranted to investigate whether interventions targeting SMM lead to improved HRQoL, fewer symptoms, and better functioning.</t>
  </si>
  <si>
    <t>Using point-of-care C-reactive protein to guide antibiotic prescribing for lower respiratory tract infections in elderly nursing home residents (UPCARE): study design of a cluster randomized controlled trial.</t>
  </si>
  <si>
    <t>Boere, Tjarda M; van Buul, Laura W; Hopstaken, Rogier M; Veenhuizen, Ruth B; van Tulder, Maurits W; Cals, Jochen W L; Verheij, Theo J M; Hertogh, Cees M P M</t>
  </si>
  <si>
    <t>https://pubmed.ncbi.nlm.nih.gov/32103747</t>
  </si>
  <si>
    <t>Antibiotics are over-prescribed for lower respiratory tract infections (LRTI) in nursing home residents due to diagnostic uncertainty. Inappropriate antibiotic use is undesirable both on patient level, considering their exposure to side effects and drug interactions, and on societal level, given the development of antibiotic resistance. C-reactive protein (CRP) point-of-care testing (POCT) may be a promising diagnostic tool to reduce antibiotic prescribing for LRTI in nursing homes. The UPCARE study will evaluate whether the use of CRP POCT for suspected LRTI is (cost-) effective in reducing antibiotic prescribing in the nursing home setting. A cluster randomized controlled trial will be conducted in eleven nursing homes in the Netherlands, with the nursing home as the unit of randomization. Residents with suspected LRTI who reside at a psychogeriatric, somatic, or geriatric rehabilitation ward are eligible for study participation. Nursing homes in the intervention group will provide care as usual with the possibility to use CRP POCT, and the control group will provide care as usual without CRP POCT for residents with (suspected) LRTI. Data will be collected from September 2018 for approximately 1.5 year, using case report forms that are integrated in the electronic patient record system. The primary study outcome is antibiotic prescribing for suspected LRTI at index consultation (yes/no). This is the first randomised trial to evaluate the effect of nursing home access to and training in the use of CRP POCT on antibiotic prescribing for LRTI, yielding high-level evidence and contributing to antibiotic stewardship in the nursing home setting. The relatively broad inclusion criteria and the pragmatic study design add to the applicability and generalizability of the study results. Netherlands Trial Register, Trial NL5054. Registered 29 August 2018.</t>
  </si>
  <si>
    <t>Genome-wide Association Analysis in Humans Links Nucleotide Metabolism to Leukocyte Telomere Length.</t>
  </si>
  <si>
    <t xml:space="preserve">Li, Chen; Stoma, Svetlana; Lotta, Luca A; Warner, Sophie; Albrecht, Eva; Allione, Alessandra; Arp, Pascal P; Broer, Linda; Buxton, Jessica L; Da Silva Couto Alves, Alexessander; Deelen, Joris; Fedko, Iryna O; Gordon, Scott D; Jiang, Tao; Karlsson, Robert; Kerrison, Nicola; Loe, Taylor K; Mangino, Massimo; Milaneschi, Yuri; Miraglio, Benjamin; Pervjakova, Natalia; Russo, Alessia; Surakka, Ida; van der Spek, Ashley; Verhoeven, Josine E; Amin, Najaf; Beekman, Marian; Blakemore, Alexandra I; Canzian, Federico; Hamby, Stephen E; Hottenga, Jouke-Jan; Jones, Peter D; Jousilahti, Pekka; Mägi, Reedik; Medland, Sarah E; Montgomery, Grant W; Nyholt, Dale R; Perola, Markus; Pietiläinen, Kirsi H; Salomaa, Veikko; Sillanpää, Elina; Suchiman, H Eka; van Heemst, Diana; Willemsen, Gonneke; Agudo, Antonio; Boeing, Heiner; Boomsma, Dorret I; Chirlaque, Maria-Dolores; Fagherazzi, Guy; Ferrari, Pietro; Franks, Paul; Gieger, Christian; Eriksson, Johan Gunnar; Gunter, Marc; Hägg, Sara; Hovatta, Iiris; Imaz, </t>
  </si>
  <si>
    <t>https://pubmed.ncbi.nlm.nih.gov/32109421</t>
  </si>
  <si>
    <t>Leukocyte telomere length (LTL) is a heritable biomarker of genomic aging. In this study, we perform a genome-wide meta-analysis of LTL by pooling densely genotyped and imputed association results across large-scale European-descent studies including up to 78,592 individuals. We identify 49 genomic regions at a false dicovery rate (FDR) &lt; 0.05 threshold and prioritize genes at 31, with five highlighting nucleotide metabolism as an important regulator of LTL. We report six genome-wide significant loci in or near SENP7, MOB1B, CARMIL1, PRRC2A, TERF2, and RFWD3, and our results support recently identified PARP1, POT1, ATM, and MPHOSPH6 loci. Phenome-wide analyses in &gt;350,000 UK Biobank participants suggest that genetically shorter telomere length increases the risk of hypothyroidism and decreases the risk of thyroid cancer, lymphoma, and a range of proliferative conditions. Our results replicate previously reported associations with increased risk of coronary artery disease and lower risk for multiple cancer types. Our findings substantially expand current knowledge on genes that regulate LTL and their impact on human health and disease.</t>
  </si>
  <si>
    <t>Measurement and genetic architecture of lifetime depression in the Netherlands as assessed by LIDAS (Lifetime Depression Assessment Self-report).</t>
  </si>
  <si>
    <t>Fedko, Iryna O; Hottenga, Jouke-Jan; Helmer, Quinta; Mbarek, Hamdi; Huider, Floris; Amin, Najaf; Beulens, Joline W; Bremmer, Marijke A; Elders, Petra J; Galesloot, Tessel E; Kiemeney, Lambertus A; van Loo, Hanna M; Picavet, H Susan J; Rutters, Femke; van der Spek, Ashley; van de Wiel, Anne M; van Duijn, Cornelia; de Geus, Eco J C; Feskens, Edith J M; Hartman, Catharina A; Oldehinkel, Albertine J; Smit, Jan H; Verschuren, W M Monique; Penninx, Brenda W J H; Boomsma, Dorret I; Bot, Mariska</t>
  </si>
  <si>
    <t>https://pubmed.ncbi.nlm.nih.gov/32102724</t>
  </si>
  <si>
    <t>Major depressive disorder (MDD) is a common mood disorder, with a heritability of around 34%. Molecular genetic studies made significant progress and identified genetic markers associated with the risk of MDD; however, progress is slowed down by substantial heterogeneity as MDD is assessed differently across international cohorts. Here, we used a standardized online approach to measure MDD in multiple cohorts in the Netherlands and evaluated whether this approach can be used in epidemiological and genetic association studies of depression. Within the Biobank Netherlands Internet Collaboration (BIONIC) project, we collected MDD data in eight cohorts involving 31 936 participants, using the online Lifetime Depression Assessment Self-report (LIDAS), and estimated the prevalence of current and lifetime MDD in 22 623 unrelated individuals. In a large Netherlands Twin Register (NTR) twin-family dataset (n ≈ 18 000), we estimated the heritability of MDD, and the prediction of MDD in a subset (n = 4782) through Polygenic Risk Score (PRS). Estimates of current and lifetime MDD prevalence were 6.7% and 18.1%, respectively, in line with population estimates based on validated psychiatric interviews. In the NTR heritability estimates were 0.34/0.30 (s.e. = 0.02/0.02) for current/lifetime MDD, respectively, showing that the LIDAS gives similar heritability rates for MDD as reported in the literature. The PRS predicted risk of MDD (OR 1.23, 95% CI 1.15-1.32, R2 = 1.47%). By assessing MDD status in the Netherlands using the LIDAS instrument, we were able to confirm previously reported MDD prevalence and heritability estimates, which suggests that this instrument can be used in epidemiological and genetic association studies of depression.</t>
  </si>
  <si>
    <t>The joint effect of maternal smoking during pregnancy and maternal pre-pregnancy overweight on infants' term birth weight.</t>
  </si>
  <si>
    <t>Chattrapiban, Thanin; Smit, Henriette A; Wijga, Alet H; Brunekreef, Bert; Vonk, Judith M; Gehring, Ulrike; van Rossem, Lenie</t>
  </si>
  <si>
    <t>https://pubmed.ncbi.nlm.nih.gov/32106826</t>
  </si>
  <si>
    <t>It is well known that maternal smoking during pregnancy and maternal pre-pregnancy overweight have opposite effects on the infants' birth weight. We report on the association of the combination between both risk factors and the infants' birth weight. We studied 3241 infants born at term in the PIAMA birth cohort. Maternal smoking during pregnancy and pre-pregnancy height and weight were self-reported. Multivariable regression analysis was performed to assess the associations between infants of mothers who only smoked during pregnancy, who only had pre-pregnancy overweight and who had both risk factors simultaneously, on term birth weight and the risk of being SGA or LGA. Of 3241 infants, 421 infants (13%) were born to smoking, non-overweight mothers, 514 (15.8%) to non-smoking, overweight mothers, 129 (4%) to smoking and overweight mothers and 2177 (67%) to non-smoking, non-overweight mothers (reference group). Infants of mothers who smoked and also had pre-pregnancy overweight had similar term birth weight (- 26.6 g, 95%CI: - 113.0, 59.8), SGA risk (OR = 1.06, 95%CI: 0.56, 2.04), and LGA risk (OR = 1.09, 95%CI: 0.61, 1.96) as the reference group. Our findings suggested that the effects of maternal smoking during pregnancy and maternal pre-pregnancy overweight on infants' birth weight cancel each other out. Therefore, birth weight may not be a good indicator of an infant's health status in perinatal practice because it may mask potential health risks due to these maternal risk factors when both present together.</t>
  </si>
  <si>
    <t>Virological suppression and clinical management in response to viremia in South African HIV treatment program: A multicenter cohort study.</t>
  </si>
  <si>
    <t>Hermans, Lucas E; Carmona, Sergio; Nijhuis, Monique; Tempelman, Hugo A; Richman, Douglas D; Moorhouse, Michelle; Grobbee, Diederick E; Venter, Willem D F; Wensing, Annemarie M J</t>
  </si>
  <si>
    <t>https://pubmed.ncbi.nlm.nih.gov/32097428</t>
  </si>
  <si>
    <t>Uptake of antiretroviral treatment (ART) is expanding rapidly in low- and middle-income countries (LMIC). Monitoring of virological suppression is recommended at 6 months of treatment and annually thereafter. In case of confirmed virological failure, a switch to second-line ART is indicated. There is a paucity of data on virological suppression and clinical management of patients experiencing viremia in clinical practice in LMIC. We report a large-scale multicenter assessment of virological suppression over time and management of viremia under programmatic conditions. Linked medical record and laboratory source data from adult patients on first-line ART at 52 South African centers between 1 January 2007 and 1 May 2018 were studied. Virological suppression, switch to second-line ART, death, and loss to follow-up were analyzed. Multistate models and Cox proportional hazard models were used to assess suppression over time and predictors of treatment outcomes. A total of 104,719 patients were included. Patients were predominantly female (67.6%). Median age was 35.7 years (interquartile range [IQR]: 29.9-43.0). In on-treatment analysis, suppression below 1,000 copies/mL was 89.0% at month 12 and 90.4% at month 72. Suppression below 50 copies/mL was 73.1% at month 12 and 77.5% at month 72. Intention-to-treat suppression was 75.0% and 64.3% below 1,000 and 50 copies/mL at month 72, respectively. Viremia occurred in 19.8% (20,766/104,719) of patients during a median follow-up of 152 (IQR: 61-265) weeks. Being male and below 35 years of age and having a CD4 count below 200 cells/μL prior to start of ART were risk factors for viremia. After detection of viremia, confirmatory testing took 29 weeks (IQR: 16-54). Viral resuppression to below 1,000 copies/mL without switch of ART occurred frequently (45.6%; 6,030/13,210) but was associated with renewed viral rebound and switch. Of patients with confirmed failure who remained in care, only 41.5% (1,872/4,510) were switched. The median time to switch was 68 weeks (IQR: 35-127), resulting in 12,325 person-years spent with a viral load above 1,000 copies/mL. Limitations of this study include potential missing data, which is in part addressed by the use of cross-matched laboratory source data, and the possibility of unmeasured confounding. In this study, 90% virological suppression below the threshold of 1,000 copies/mL was observed in on-treatment analysis. However, this target was not met at the 50-copies/mL threshold or in intention-to-treat analysis. Clinical management in response to viremia was profoundly delayed, prolonging the duration of viremia and potential for transmission. Diagnostic tools to establish the cause of viremia are urgently needed to accelerate clinical decision-making.</t>
  </si>
  <si>
    <t>Pregnancy in Advanced Kidney Disease: Clinical Practice Considerations on a Challenging Combination.</t>
  </si>
  <si>
    <t>Snoek, Rozemarijn; van der Graaf, Rieke; Meinderts, Jildau R; van Reekum, Franka; Bloemenkamp, Kitty W M; Knoers, Nine V A M; van Eerde, Albertien M; Lely, A Titia</t>
  </si>
  <si>
    <t>nephron</t>
  </si>
  <si>
    <t>https://pubmed.ncbi.nlm.nih.gov/32092759</t>
  </si>
  <si>
    <t>Thanks to the advances in care, pregnancy is now attainable for the majority of young female CKD patients, although it is still a high-risk endeavor. Clinical decision-making in these cases is impacted by a myriad of factors, making (pre)pregnancy counseling a complex process. The complexities, further impacted by limited data and unknown risks regarding outcome, can cause discussions when deciding on the best care for a specific patient. In this article, we provide an overview of the considerations and dilemmas we encounter in preconception counseling and offer our perspective on how to deal with them in daily clinical practice. The main topics we discuss in our counseling are (1) the high risk of pregnancy complications, (2) the risk of permanent CKD deterioration due to pregnancy and subsequent decreased life expectancy, (3) appropriate changes in renal medication, and (4) assisted reproduction, genetic testing, and prenatal or preimplantation genetic diagnostics. In our clinic, we openly address moral dilemmas arising in clinical practice in pregnancy and CKD, both within the physician team and with the patient. We do this by ensuring an interpretive physician-patient interaction and shared decision-making, deliberating in a multidisciplinary setting and, if needed, with input from an expert committee.</t>
  </si>
  <si>
    <t>Household fuel use and adverse pregnancy outcomes in a Ghanaian cohort study.</t>
  </si>
  <si>
    <t>Weber, Eartha; Adu-Bonsaffoh, Kwame; Vermeulen, Roel; Klipstein-Grobusch, Kerstin; Grobbee, Diederick E; Browne, Joyce L; Downward, George S</t>
  </si>
  <si>
    <t>https://pubmed.ncbi.nlm.nih.gov/32087720</t>
  </si>
  <si>
    <t>Accruing epidemiological evidence suggests that prenatal exposure to emissions from cooking fuel is associated with increased risks of adverse maternal and perinatal outcomes including hypertensive disorders of pregnancy, low birth weight, stillbirth and infant mortality. We aimed to investigate the relationship between cooking fuel use and various pregnancy related outcomes in a cohort of urban women from the Accra region of Ghana. Self-reported cooking fuel use was divided into "polluting" (wood, charcoal, crop residue and kerosene) and "clean" fuels (liquid petroleum gas and electricity) to examine 12 obstetric outcomes in a prospective cohort of pregnant women (N = 1010) recruited at &lt; 17 weeks of gestation from Accra, Ghana. Logistic and multivariate linear regression analyses adjusted for BMI, maternal age, maternal education and socio-economic status asset index was conducted. 34% (n = 279) of 819 women with outcome data available for analysis used polluting fuel as their main cooking fuel. Using polluting cooking fuels was associated with perinatal mortality (aOR: 7.6, 95%CI: 1.67-36.0) and an adverse Apgar score (&lt; 7) at 5 min (aOR:3.83, 95%CI: (1.44-10.11). The other outcomes (miscarriage, post-partum hemorrhage, pre-term birth, low birthweight, caesarian section, hypertensive disorders of pregnancy, small for gestational age, and Apgar score at 1 min) had non-statistically significant findings. We report an increased likelihood of perinatal mortality, and adverse 5-min Apgar scores in association with polluting fuel use. Further research including details on extent of household fuel use exposure is recommended to better quantify the consequences of household fuel use. Ghana Service Ethical Review Committee (GHS-ERC #: 07-9-11).</t>
  </si>
  <si>
    <t>Seasonality in carriage of extended-spectrum &lt;i&gt;β&lt;/i&gt;-lactamase-producing &lt;i&gt;Escherichia coli&lt;/i&gt; and &lt;i&gt;Klebsiella pneumoniae&lt;/i&gt; in the general population: a pooled analysis of nationwide cross-sectional studies.</t>
  </si>
  <si>
    <t>Wielders, C C H; Van Duijkeren, E; Van Den Bunt, G; Meijs, A P; Dierikx, C M; Bonten, M J M; Van Pelt, W; Franz, E; De Greeff, S C</t>
  </si>
  <si>
    <t>epidemiology and infection</t>
  </si>
  <si>
    <t>https://pubmed.ncbi.nlm.nih.gov/32081112</t>
  </si>
  <si>
    <t>Infections due to extended-spectrum β-lactamase-producing Enterobacteriaceae (ESBL-E) are often preceded by asymptomatic carriage. Higher incidences in enteric infectious diseases during summer have been reported. Here, we assessed whether the presence of seasonality in intestinal ESBL-Escherichia coli/Klebsiella pneumoniae (ESBL-E/K) carriage in the general Dutch population exists. From 2014 to 2017, the faecal carriage of ESBL-E/K in healthy individuals was determined in three cross-sectional studies in the Netherlands, including 5985 subjects. Results were pooled to identify seasonal trends in prevalence (by month of sampling). Multivariate logistic regression analysis was used to calculate pooled odds ratios and 95% confidence intervals. Results were adjusted for age, sex, antibiotic use and travel. Overall prevalence of ESBL-E/K carriage was 4.3% (n = 260 ESBL-E/K-positive), with differences between months ranging from 2.6% to 7.4%. Compared to January, the monthly prevalence of ESBL-E carriage was highest in August (OR 1.88, 95% CI 1.02-3.49) and September (OR 2.25, 95% CI 1.30-3.89). The observed monthly differences in ESBL-E/K carriage rates suggest that there is seasonal variation in exposure to ESBL-E/K other than due to travelling and antibiotic use. This should be taken into account in designing future ESBL-E prevalence studies in temperate regions.</t>
  </si>
  <si>
    <t>Trends and risk factors associated with stillbirths: A case study of the Navrongo War Memorial Hospital in Northern Ghana.</t>
  </si>
  <si>
    <t>Nonterah, Engelbert A; Agorinya, Isaiah A; Kanmiki, Edmund W; Kagura, Juliana; Tamimu, Mariatu; Ayamba, Emmanuel Y; Nonterah, Esmond W; Kaburise, Michael B; Al-Hassan, Majeedallahi; Ofosu, Winfred; Oduro, Abraham R; Awonoor-Williams, John K</t>
  </si>
  <si>
    <t>https://pubmed.ncbi.nlm.nih.gov/32084170</t>
  </si>
  <si>
    <t>Maternal and Child health remains at the core of global health priorities transcending the Millennium Development Goals into the current era of Sustainable Development Goals. Most low and middle-income countries including Ghana are yet to achieve the required levels of reduction in child and maternal mortality. This paper analysed the trends and the associated risk factors of stillbirths in a district hospital located in an impoverished and remote region of Ghana. Retrospective hospital maternal records on all deliveries conducted in the Navrongo War Memorial hospital from 2003-2013 were retrieved and analysed. Descriptive and inferential statistics were used to summarise trends in stillbirths while the generalized linear estimation logistic regression is used to determine socio-demographic, maternal and neonatal factors associated with stillbirths. A total of 16,670 deliveries were analysed over the study period. Stillbirth rate was 3.4% of all births. There was an overall decline in stillbirth rate over the study period as stillbirths declined from 4.2% in 2003 to 2.1% in 2013. Female neonates were less likely to be stillborn (Adjusted Odds ratio = 0.62 and 95%CI [0.46, 0.84]; p = 0.002) compared to male neonates; neonates with low birth weight (4.02 [2.92, 5.53]) and extreme low birth weight (18.9 [10.9, 32.4]) were at a higher risk of still birth (p&lt;0.001). Mothers who had undergone Female Genital Mutilation had 47% (1.47 [1.04, 2.09]) increase odds of having a stillbirth compared to non FGM mothers (p = 0.031). Mothers giving birth for the first time also had a 40% increase odds of having a stillbirth compared to those who had more than one previous births (p = 0.037). Despite the modest reduction in stillbirth rates over the study period, it is evident from the results that stillbirth rate is still relatively high. Primiparous women and preterm deliveries leading to low birth weight are identified factors that result in increased stillbirths. Efforts aimed at impacting on stillbirths should include the elimination of outmoded cultural practices such as FGM.</t>
  </si>
  <si>
    <t>Community burden and transmission of acute gastroenteritis caused by norovirus and rotavirus in the Netherlands (RotaFam): a prospective household-based cohort study.</t>
  </si>
  <si>
    <t>Quee, Franke A; de Hoog, Marieke L A; Schuurman, Rob; Bruijning-Verhagen, Patricia</t>
  </si>
  <si>
    <t>https://pubmed.ncbi.nlm.nih.gov/32087775</t>
  </si>
  <si>
    <t>Norovirus and rotavirus are the dominant pathogens causing acute gastroenteritis in children. To quantify their natural disease burden and transmission, we prospectively monitored households in an endemic setting in the Netherlands, a high-income country that does not have a rotavirus vaccination programme. We did a prospective, household survey-based cohort study in the Netherlands. Randomly selected households from the Dutch Population Register were invited to participate if they had at least three household members, including a child younger than 2 years. A member of each household was asked to record the gastrointestinal symptoms of all household members every day for 10 consecutie weeks using an interactive smartphone application. Real-time detection of acute gastroenteritis onset on the basis of entered symptoms activated requests for the case and one other household member to complete disease questionnaires and provide stool samples. Stool samples were analysed by real-time PCR for norovirus, rotavirus, adenovirus 40/41, and astrovirus. We calculated the per-pathogen proportion of households with at least one secondary acute gastroenteritis episode (epidemiologically but not microbiologically linked), the probability of a secondary episode in household members at risk (secondary attack rate), and the microbiologically confirmed symptomatic and asymptomatic transmission rates. During two seasons (January to March) in 2016 and 2017, 30 660 households were invited to participate, of which 604 households including 2298 individuals were enrolled. 697 acute gastroenteritis episodes were detected in 358 households, with samples obtained from 609 (87%) of 697 episodes. Norovirus (150 [25%] of 609 cases) and rotavirus (91 [15%] cases) were most frequently detected. Astrovirus was detected in 50 (8%) samples and adenovirus 40/41 in 24 (4%) samples. Overall disease severity was higher in patients with rotavirus-positive acute gastroenteritis than those with norovirus-positive acute gastroenteritis. Norovirus led to higher disease burden in adults than did rotavirus. Following an index case, a secondary acute gastroenteritis episode occurred in 34 (35%) of 96 households for norovirus and 26 (46%) of 56 households for rotavirus. Secondary attack rates were 15% (37 of 244 participants) for norovirus and 28% (33 of 120 participants) for rotavirus and asymptomatic transmission rates were 51% (52 of 102 household members) for norovirus and 22% (12 of 55 household members) for rotavirus. The microbiologically confirmed symptomatic transmission rate for norovirus was 10% (25 of 254 household members) and 18% for rotavirus (21 of 119 household members). In households with young family members in a setting without rotavirus vaccination, norovirus is the dominant acute gastroenteritis pathogen, but rotavirus is associated with more severe disease. There was substantial within-household transmission, both symptomatic and asymptomatic. The study provides key quantities on transmission, which can inform vaccine policy decisions and act as a baseline for impact evaluations in high-income settings. The Netherlands Organisation for Health Research and Development (grant 91616158).</t>
  </si>
  <si>
    <t>Predictive Accuracy of a Polygenic Risk Score-Enhanced Prediction Model vs a Clinical Risk Score for Coronary Artery Disease.</t>
  </si>
  <si>
    <t>Elliott, Joshua; Bodinier, Barbara; Bond, Tom A; Chadeau-Hyam, Marc; Evangelou, Evangelos; Moons, Karel G M; Dehghan, Abbas; Muller, David C; Elliott, Paul; Tzoulaki, Ioanna</t>
  </si>
  <si>
    <t>https://pubmed.ncbi.nlm.nih.gov/32068818</t>
  </si>
  <si>
    <t>The incremental value of polygenic risk scores in addition to well-established risk prediction models for coronary artery disease (CAD) is uncertain. To examine whether a polygenic risk score for CAD improves risk prediction beyond pooled cohort equations. Observational study of UK Biobank participants enrolled from 2006 to 2010. A case-control sample of 15 947 prevalent CAD cases and equal number of age and sex frequency-matched controls was used to optimize the predictive performance of a polygenic risk score for CAD based on summary statistics from published genome-wide association studies. A separate cohort of 352 660 individuals (with follow-up to 2017) was used to evaluate the predictive accuracy of the polygenic risk score, pooled cohort equations, and both combined for incident CAD. Polygenic risk score for CAD, pooled cohort equations, and both combined. CAD (myocardial infarction and its related sequelae). Discrimination, calibration, and reclassification using a risk threshold of 7.5% were assessed. In the cohort of 352 660 participants (mean age, 55.9 years; 205 297 women [58.2%]) used to evaluate the predictive accuracy of the examined models, there were 6272 incident CAD events over a median of 8 years of follow-up. CAD discrimination for polygenic risk score, pooled cohort equations, and both combined resulted in C statistics of 0.61 (95% CI, 0.60 to 0.62), 0.76 (95% CI, 0.75 to 0.77), and 0.78 (95% CI, 0.77 to 0.79), respectively. The change in C statistic between the latter 2 models was 0.02 (95% CI, 0.01 to 0.03). Calibration of the models showed overestimation of risk by pooled cohort equations, which was corrected after recalibration. Using a risk threshold of 7.5%, addition of the polygenic risk score to pooled cohort equations resulted in a net reclassification improvement of 4.4% (95% CI, 3.5% to 5.3%) for cases and -0.4% (95% CI, -0.5% to -0.4%) for noncases (overall net reclassification improvement, 4.0% [95% CI, 3.1% to 4.9%]). The addition of a polygenic risk score for CAD to pooled cohort equations was associated with a statistically significant, yet modest, improvement in the predictive accuracy for incident CAD and improved risk stratification for only a small proportion of individuals. The use of genetic information over the pooled cohort equations model warrants further investigation before clinical implementation.</t>
  </si>
  <si>
    <t>Theoretical potential for endometrial cancer prevention through primary risk factor modification: Estimates from the EPIC cohort.</t>
  </si>
  <si>
    <t>Fortner, Renée T; Hüsing, Anika; Dossus, Laure; Tjønneland, Anne; Overvad, Kim; Dahm, Christina C; Arveux, Patrick; Fournier, Agnès; Kvaskoff, Marina; Schulze, Matthias B; Bergmann, Manuela; Trichopoulou, Antonia; Karakatsani, Anna; La Vecchia, Carlo; Masala, Giovanna; Pala, Valeria; Mattiello, Amalia; Tumino, Rosario; Ricceri, Fulvio; van Gils, Carla H; Monninkhof, Evelyn M; Bonet, Catalina; Quirós, José Ramón; Sanchez, Maria-Jose; Rodríguez-Palacios, Daniel-Ángel; Gurrea, Aurelio B; Amiano, Pilar; Allen, Naomi E; Travis, Ruth C; Gunter, Marc J; Viallon, Vivian; Weiderpass, Elisabete; Riboli, Elio; Kaaks, Rudolf</t>
  </si>
  <si>
    <t>https://pubmed.ncbi.nlm.nih.gov/32011733</t>
  </si>
  <si>
    <t>Endometrial cancer (EC) incidence rates vary ~10-fold worldwide, in part due to variation in EC risk factor profiles. Using an EC risk model previously developed in the European EPIC cohort, we evaluated the prevention potential of modified EC risk factor patterns and whether differences in EC incidence between a European population and low-risk countries can be explained by differences in these patterns. Predicted EC incidence rates were estimated over 10 years of follow-up for the cohort before and after modifying risk factor profiles. Risk factors considered were: body mass index (BMI, kg/m&lt;sup&gt;2&lt;/sup&gt; ), use of postmenopausal hormone therapy (HT) and oral contraceptives (OC) (potentially modifiable); and, parity, ages at first birth, menarche and menopause (environmentally conditioned, but not readily modifiable). Modeled alterations in BMI (to all ≤23 kg/m&lt;sup&gt;2&lt;/sup&gt; ) and HT use (to all non-HT users) profiles resulted in a 30% reduction in predicted EC incidence rates; individually, longer duration of OC use (to all ≥10 years) resulted in a 42.5% reduction. Modeled changes in not readily modifiable exposures (i.e., those not contributing to prevention potential) resulted in ≤24.6% reduction in predicted EC incidence. Women in the lowest decile of a risk score based on the evaluated exposures had risk similar to a low risk countries; however, this was driven by relatively long use of OCs (median = 23 years). Our findings support avoidance of overweight BMI and of HT use as prevention strategies for EC in a European population; OC use must be considered in the context of benefits and risks.</t>
  </si>
  <si>
    <t>Sodium-glucose co-transporter 2 inhibitors and acute heart failure.</t>
  </si>
  <si>
    <t>Groenewegen, Amy; Rutten, Frans H</t>
  </si>
  <si>
    <t>https://pubmed.ncbi.nlm.nih.gov/32072715</t>
  </si>
  <si>
    <t>Author Correction: Global phylogenetic analysis of Escherichia coli and plasmids carrying the mcr-1 gene indicates bacterial diversity but plasmid restriction.</t>
  </si>
  <si>
    <t>Matamoros, Sébastien; van Hattem, Jarne M; Arcilla, Maris S; Willemse, Niels; Melles, Damian C; Penders, John; Vinh, Trung Nguyen; Thi Hoa, Ngo; Bootsma, Martin C J; Genderen, Perry J van; Goorhuis, Abraham; Grobusch, Martin; Molhoek, Nicky; Oude Lashof, Astrid M L; Stobberingh, Ellen E; Verbrugh, Henri A; de Jong, Menno D; Schultsz, Constance</t>
  </si>
  <si>
    <t>https://pubmed.ncbi.nlm.nih.gov/32060301</t>
  </si>
  <si>
    <t>An amendment to this paper has been published and can be accessed via a link at the top of the paper.</t>
  </si>
  <si>
    <t>Challenges of Interpreting Cytomegalovirus DNAemia and Its Potential Association With Chronic Lung Disease in Children and Adolescents With Perinatally Acquired Human Immunodeficiency Virus Infection.</t>
  </si>
  <si>
    <t>Cevik, Muge; Russell, Clark D; Ong, David S Y</t>
  </si>
  <si>
    <t>https://pubmed.ncbi.nlm.nih.gov/31247099</t>
  </si>
  <si>
    <t>Anaesthesia geriatric evaluation to guide patient selection for preoperative multidisciplinary team care in cardiac surgery.</t>
  </si>
  <si>
    <t>Verwijmeren, Lisa; Peelen, Linda M; van Klei, Wilton A; Daeter, Edgar J; van Dongen, Eric P A; Noordzij, Peter G</t>
  </si>
  <si>
    <t>british journal of anaesthesia</t>
  </si>
  <si>
    <t>https://pubmed.ncbi.nlm.nih.gov/32063340</t>
  </si>
  <si>
    <t>A multidisciplinary approach to improve postoperative outcomes in frail elderly patients is gaining interest. Multidisciplinary team care should be targeted at complex patients at high risk for adverse postoperative outcome to limit the strain on available resources and to prevent an unnecessary increase in patient burden. This study aimed to improve patient selection for multidisciplinary care by identifying risk factors for disability after cardiac surgery in elderly patients. This was a two-centre prospective cohort study of 537 patients aged ≥70 yr undergoing elective cardiac surgery. Before surgery, 11 frailty characteristics were investigated. Outcome was disability at 3 months defined as World Health Organization Disability Assessment Schedule 2.0 ≥25%. Multivariable modelling using logistic regression, concordance statistic (c-statistic), and net reclassification index was used to identify factors contributing to patient selection. Disability occurred in 91 (17%) patients. Ten out of 11 frailty characteristics were associated with disability. A multivariable model, including the European System for Cardiac Operative Risk Evaluation II and preoperative haemoglobin, yielded a c-statistic of 0.71 (95% confidence interval [CI]: 0.66-0.77). After adding pre-specified frailty characteristics (polypharmacy, gait speed, physical disability, preoperative health-related quality of life, and living alone) to this model, the c-statistic improved to 0.78 (95% CI: 0.73-0.83). The net reclassification index was 0.32 (P&lt;0.001), showing improved discrimination for patients at risk for disability at 3 months. The addition of preoperative frailty characteristics to a multivariable model improved discrimination between elderly patients with and without disability at 3 months after cardiac surgery, and can be used to guide patient selection for preoperative multidisciplinary team care. NCT02535728.</t>
  </si>
  <si>
    <t>Impact of preventive screening and lifestyle interventions in women with a history of preeclampsia: A micro-simulation study.</t>
  </si>
  <si>
    <t>Lagerweij, G R; Brouwers, L; De Wit, G A; Moons, Kgm; Benschop, L; Maas, Ahem; Franx, A; Wermer, Mjh; Roeters van Lennep, J E; van Rijn, B B; Koffijberg, H</t>
  </si>
  <si>
    <t>https://pubmed.ncbi.nlm.nih.gov/32054298</t>
  </si>
  <si>
    <t>Preeclampsia is a female-specific risk factor for the development of future cardiovascular disease. Whether early preventive cardiovascular disease risk screenings combined with risk-based lifestyle interventions in women with previous preeclampsia are beneficial and cost-effective is unknown. A micro-simulation model was developed to assess the life-long impact of preventive cardiovascular screening strategies initiated after women experienced preeclampsia during pregnancy. Screening was started at the age of 30 or 40 years and repeated every five years. Data (initial and follow-up) from women with a history of preeclampsia was used to calculate 10-year cardiovascular disease risk estimates according to Framingham Risk Score. An absolute risk threshold of 2% was evaluated for treatment selection, i.e. lifestyle interventions (e.g. increasing physical activity). Screening benefits were assessed in terms of costs and quality-adjusted-life-years, and incremental cost-effectiveness ratios compared with no screening. Expected health outcomes for no screening are 27.35 quality-adjusted-life-years and increase to 27.43 quality-adjusted-life-years (screening at 30 years with 2% threshold). The expected costs for no screening are €9426 and around €13,881 for screening at 30 years (for a 2% threshold). Preventive screening at 40 years with a 2% threshold has the most favourable incremental cost-effectiveness ratio, i.e. €34,996/quality-adjusted-life-year, compared with other screening scenarios and no screening. Early cardiovascular disease risk screening followed by risk-based lifestyle interventions may lead to small long-term health benefits in women with a history of preeclampsia. However, the cost-effectiveness of a lifelong cardiovascular prevention programme starting early after preeclampsia with risk-based lifestyle advice alone is relatively unfavourable. A combination of risk-based lifestyle advice plus medical therapy may be more beneficial.</t>
  </si>
  <si>
    <t>GRADE guidelines: 21 part 1. Study design, risk of bias, and indirectness in rating the certainty across a body of evidence for test accuracy.</t>
  </si>
  <si>
    <t>Schünemann, Holger J; Mustafa, Reem A; Brozek, Jan; Steingart, Karen R; Leeflang, Mariska; Murad, Mohammad Hassan; Bossuyt, Patrick; Glasziou, Paul; Jaeschke, Roman; Lange, Stefan; Meerpohl, Joerg; Langendam, Miranda; Hultcrantz, Monica; Vist, Gunn E; Akl, Elie A; Helfand, Mark; Santesso, Nancy; Hooft, Lotty; Scholten, Rob; Rosen, Måns; Rutjes, Anne; Crowther, Mark; Muti, Paola; Raatz, Heike; Ansari, Mohammed T; Williams, John; Kunz, Regina; Harris, Jeff; Rodriguez, Ingrid Arévalo; Kohli, Mikashmi; Guyatt, Gordon H; ,</t>
  </si>
  <si>
    <t>https://pubmed.ncbi.nlm.nih.gov/32060007</t>
  </si>
  <si>
    <t>This article provides updated GRADE guidance about how authors of systematic reviews and health technology assessments and guideline developers can assess the results and the certainty of evidence (also known as quality of the evidence or confidence in the estimates) of a body of evidence addressing test accuracy (TA). We present an overview of the GRADE approach and guidance for rating certainty in TA in clinical and public health and review the presentation of results of a body of evidence regarding tests. Part 1 of the two parts in this 21st guidance article about how to apply GRADE focuses on understanding study design issues in test accuracy, provide an overview of the domains, and describe risk of bias and indirectness specifically. Supplemented by practical examples, we describe how raters of the evidence using GRADE can evaluate study designs focusing on tests and how they apply the GRADE domains risk of bias and indirectness to a body of evidence of TA studies. Rating the certainty of a body of evidence using GRADE in Cochrane and other reviews and World Health Organization and other guidelines dealing with in TA studies helped refining our approach. The resulting guidance will help applying GRADE successfully for questions and recommendations focusing on tests.</t>
  </si>
  <si>
    <t>Heart Rate Variability, HIV and the Risk of Cardiovascular Diseases in Rural South Africa.</t>
  </si>
  <si>
    <t>Godijk, Noortje G; Vos, Alinda G; Jongen, Vita W; Moraba, Robert; Tempelman, Hugo; Grobbee, Diederick E; Coutinho, Roel A; Devillé, Walter; Klipstein-Grobusch, Kerstin</t>
  </si>
  <si>
    <t>https://pubmed.ncbi.nlm.nih.gov/32489790</t>
  </si>
  <si>
    <t>Antiretroviral therapy (ART) transformed human immunodeficiency virus (HIV) infection into a chronic disease. Possible HIV-associated complications have emerged including cardiovascular diseases (CVD). This study aims to determine the heart rate variability (HRV) distribution and association between HRV and HIV treated with ART in a rural African population. This cross-sectional study included 325 participants of the Ndlovu Cohort Study, South Africa. HRV was measured using a standardized five-minute resting ECG and assessed by the standard deviation of normal RR intervals (SDNN), root of mean squares of successive RR differences (RMSSD), percentage of RR intervals greater than 50 milliseconds different from its predecessor (pNN50), total-, low- and high-frequency power. CVD risk factors were assessed using measurements (blood pressure, anthropometry, cholesterol) and questionnaires (e.g. socio-demographics, alcohol, smoking, physical activity, age, diabetes). We used a Wilcoxon rank test to assess differences in medians between HIV-infected and HIV-uninfected participants and multivariable linear regression to investigate associations between HRV and HIV treated with ART. Of the participants, 196 (61.4%) were HIV-infected treated with ART and 123 (38.6%) were HIV-uninfected. HIV-infected consumed less alcohol, 52% versus 35%, smoked less, were less physically active, more often attained lower education, 26% versus 14%, and had lower systolic blood pressure, 134 mmHg versus 140 mmHg, compared to HIV-uninfected. Medians of all HRV parameters were lower for HIV-infected participants. The model fully adjusted for CVD risk factors showed a significant inverse association between HIV treated with ART and log RMSSD (-0.16) and log pnn50 (-0.61). Although HIV-infected participants treated with ART presented with less CVD risk factors they had a lower HRV indicating an increased risk of CVD. - African HIV-infected participants on ART had less conventional CVD risk factors than HIV-uninfected.- However, HIV-infected participants had lower HRV than HIV-uninfected participants.- Lower HRV of the HIV-infected participants indicates that they are at a higher risk for CVD.</t>
  </si>
  <si>
    <t>Obesity and cardiovascular disease risk among Africans residing in Europe and Africa: the RODAM study.</t>
  </si>
  <si>
    <t>Commodore-Mensah, Y; Agyemang, C; Aboagye, J A; Echouffo-Tcheugui, J B; Beune, E; Smeeth, L; Klipstein-Grobusch, K; Danquah, I; Schulze, M; Boateng, D; Meeks, K A C; Bahendeka, S; Ahima, R S</t>
  </si>
  <si>
    <t>obesity research clinical practice</t>
  </si>
  <si>
    <t>https://pubmed.ncbi.nlm.nih.gov/32061582</t>
  </si>
  <si>
    <t>The association between anthropometric variables and cardiovascular disease (CVD) risk among Africans is unclear. We examined the discriminative ability of anthropometric variables and estimate cutoffs for predicting CVD risk among Africans. The Research on Obesity and Diabetes among African Migrants (RODAM) study was a multisite cross-sectional study of Africans in Ghana and Europe. We calculated AHA/ACC Pooled Cohort Equations (PCE) scores for 3661 participants to ascertain CVD risk, and compared a body shape index (ABSI), body mass index (BMI), waist circumference (WC), waist-to-hip ratio (WHR), Relative Fat Mass (RFM), and Waist to Height Ratio (WHtR). Logistic regression and receiver operating curve analyses were performed to derive cutoffs for identifying high predicted CVD risk (PCE score ≥7.5%). Among men, WC (adjusted Odds Ratio (aOR): 2.25, 95% CI; 1:50-3:37) was strongly associated with CVD risk. Among women, WC (aOR: 1.69, 95% CI: 1:33-2:14) also displayed the strongest association with CVD risk in the BMI-adjusted model but WHR displayed the strongest fit. All variables were superior discriminators of high CVD risk in men (c-statistic range: 0.887-0.891) than women (c-statistic range: 0.677-0.707). The optimal WC cutoff for identifying participants at high CVD risk was 89 cm among men and identified the most cases (64%). Among women, the recommended WC cutoff of 94 cm or WHR cutoff of 0.90 identified the most cases (92%). Anthropometric variables were stronger discriminators of high CVD risk in African men than women. Greater WC was associated with high CVD risk in men while WHR and WC were associated with high CVD risk in women.</t>
  </si>
  <si>
    <t>GRADE guidelines: 21 part 2. Test accuracy: inconsistency, imprecision, publication bias, and other domains for rating the certainty of evidence and presenting it in evidence profiles and summary of findings tables.</t>
  </si>
  <si>
    <t>https://pubmed.ncbi.nlm.nih.gov/32058069</t>
  </si>
  <si>
    <t>This article provides updated GRADE guidance about how authors of systematic reviews and health technology assessments and guideline developers can rate the certainty of evidence (also known as quality of the evidence or confidence in the estimates) of a body of evidence addressing test accuracy (TA) on the domains imprecision, inconsistency, publication bias, and other domains. It also provides guidance for how to present synthesized information in evidence profiles and summary of findings tables. We present guidance for rating certainty in TA in clinical and public health and review the presentation of results of a body of evidence regarding tests. Supplemented by practical examples, we describe how raters of the evidence can apply the GRADE domains inconsistency, imprecision, and publication bias to a body of evidence of TA studies. Using GRADE in Cochrane and other reviews as well as World Health Organization and other guidelines helped refining the GRADE approach for rating the certainty of a body of evidence from TA studies. Although several of the GRADE domains (e.g., imprecision and magnitude of the association) require further methodological research to help operationalize them, judgments need to be made on the basis of what is known so far.</t>
  </si>
  <si>
    <t>Supervisors' pedagogies for supporting interns to learn intra- and interprofessional collaboration: a qualitative and quantitative ego network analysis.</t>
  </si>
  <si>
    <t>de Groot, Esther; van den Broek, Mirte; Fokkens, Janneke T; Witte, Janneke A M; Damoiseaux, Roger A M J; Zwart, Dorien L M</t>
  </si>
  <si>
    <t>journal of interprofessional care</t>
  </si>
  <si>
    <t>https://pubmed.ncbi.nlm.nih.gov/32037921</t>
  </si>
  <si>
    <t>This work aims to understand intra- and interprofessional networks of general practitioners (GPs) and ear, nose, and throat specialists (ENT specialists), and in what manner supervisors in these specialties involve interns in their professional network to help them learn intra- and interprofessional collaboration. An egocentric social network approach was used to collect and analyze quantitative as well as qualitative data. For this, semi-structured interviews were held with ten GP and ten ENT specialists. GPs had significantly more interprofessional contacts than ENT specialists (&lt;i&gt;p&lt;/i&gt; &lt; .01), with no significant difference in the network sizes of both professions (&lt;i&gt;p&lt;/i&gt; = .37). All supervisors involved interns in their (ego)network actively as well as more passively. They actively discussed how collaboration with other professionals evolved, or passively assumed that an intern would learn from observing the supervisors' network interactions. Many supervisors considered the interns' initiative essential in deciding to involve an intern in their network. Although the workplace of GPs differed notably from hospital settings where ENT specialists work, the network sizes of both were comparable. Clerkships at the general practice seemed to provide more opportunities to learn interprofessional collaboration, for example with the medical nurse. Supervisors in both specialties could involve interns more actively in their intra- and interprofessional network while interns could take more initiative to learn collaboration from their supervisors' network.</t>
  </si>
  <si>
    <t>ECHO: context and limitations.</t>
  </si>
  <si>
    <t>Gollub, Erica L; Stein, Zena; van de Wijgert, Janneke H H M; Jones, Heidi; Ralph, Lauren; Padian, Nancy</t>
  </si>
  <si>
    <t>https://pubmed.ncbi.nlm.nih.gov/32035560</t>
  </si>
  <si>
    <t>Inappropriate laboratory testing in internal medicine inpatients: Prevalence, causes and interventions.</t>
  </si>
  <si>
    <t>Vrijsen, B E L; Naaktgeboren, C A; Vos, L M; van Solinge, W W; Kaasjager, H A H; Ten Berg, M J</t>
  </si>
  <si>
    <t>annals of medicine and surgery</t>
  </si>
  <si>
    <t>https://pubmed.ncbi.nlm.nih.gov/32082564</t>
  </si>
  <si>
    <t>To reduce overutilization of laboratory testing many interventions have been tried, but selecting the most effective intervention for a given setting is challenging. To be sustainable, interventions need to align with healthcare providers' needs and daily practices. This study aimed to assess the extent of overutilization and the perspectives of healthcare providers, which may be used to guide the choice of intervention. The extent of inappropriate laboratory testing in internal medicine inpatients was evaluated using a database. Surveys and focus groups were used to investigate healthcare providers' perceptions on its causes and solutions. On average, patients had 5.7 laboratory orders done during the first week of admission, whereas guidelines advise performing laboratory testing no more than twice per week. Repeat testing of normal test results occurred in up to 85% of patients. The frequency of laboratory testing was underestimated by survey responders, even though the majority of responders (78%) thought that laboratory tests are ordered too frequently. Residents were considered to be most responsible for laboratory test ordering.The primary causes of overutilization discussed were personal factors, such as a lack of awareness and knowledge, as well as feelings of insecurity. Regarding possible solutions, residents generally recommended educational interventions, whereas specialists tended to favour technical solutions such as lockouts. Inappropriate laboratory testing is common in internal medicine. The most important causes are a lack of awareness and knowledge, especially in residents. The intervention most favoured by residents is education, suggesting educational interventions may be most applicable.</t>
  </si>
  <si>
    <t>Novel and Known Gene-Smoking Interactions With cIMT Identified as Potential Drivers for Atherosclerosis Risk in West-African Populations of the AWI-Gen Study.</t>
  </si>
  <si>
    <t>Boua, Palwende Romuald; Brandenburg, Jean-Tristan; Choudhury, Ananyo; Hazelhurst, Scott; Sengupta, Dhriti; Agongo, Godfred; Nonterah, Engelbert A; Oduro, Abraham R; Tinto, Halidou; Mathew, Christopher G; Sorgho, Hermann; Ramsay, Michèle</t>
  </si>
  <si>
    <t>https://pubmed.ncbi.nlm.nih.gov/32117412</t>
  </si>
  <si>
    <t>Atherosclerosis is a key contributor to the burden of cardiovascular diseases (CVDs) and many epidemiological studies have reported on the effect of smoking on carotid intima-media thickness (cIMT) and its subsequent effect on CVD risk. Gene-environment interaction studies have contributed towards understanding some of the missing heritability of genome-wide association studies. Gene-smoking interactions on cIMT have been studied in non-African populations (European, Latino-American, and African American) but no comparable African research has been reported. Our aim was to investigate smoking-SNP interactions on cIMT in two West African populations by genome-wide analysis. Only male participants from Burkina Faso (Nanoro = 993) and Ghana (Navrongo = 783) were included, as smoking was extremely rare among women. Phenotype and genotype data underwent stringent QC and genotype imputation was performed using the Sanger African Imputation Panel. Smoking prevalence among men was 13.3% in Nanoro and 42.5% in Navrongo. We analyzed gene-smoking interactions with PLINK after adjusting for covariates: age and 6 PCs (Model 1); age, BMI, blood pressure, fasting glucose, cholesterol levels, MVPA, and 6 PCs (Model 2). All analyses were performed at site level and for the combined data set. In Nanoro, we identified new gene-smoking interaction variants for cIMT within the previously described &lt;i&gt;RCBTB1&lt;/i&gt; region (rs112017404, rs144170770, and rs4941649) (Model 1: p = 1.35E-07; Model 2: p = 3.08E-08). In the combined sample, two novel intergenic interacting variants were identified, rs1192824 in the regulatory region of &lt;i&gt;TBC1D8&lt;/i&gt; (p = 5.90E-09) and rs77461169 (p = 4.48E-06) located in an upstream region of open chromatin. In silico functional analysis suggests the involvement of genes implicated in biological processes related to cell or biological adhesion and regulatory processes in gene-smoking interactions with cIMT (as evidenced by chromatin interactions and eQTLs). This is the first gene-smoking interaction study for cIMT, as a risk factor for atherosclerosis, in sub-Saharan African populations. In addition to replicating previously known signals for &lt;i&gt;RCBTB1&lt;/i&gt;, we identified two novel genomic regions (&lt;i&gt;TBC1D8&lt;/i&gt;, near &lt;i&gt;BCHE&lt;/i&gt;) involved in this gene-environment interaction.</t>
  </si>
  <si>
    <t>Individual participant data meta-analysis of intervention studies with time-to-event outcomes: A review of the methodology and an applied example.</t>
  </si>
  <si>
    <t>de Jong, Valentijn M T; Moons, Karel G M; Riley, Richard D; Tudur Smith, Catrin; Marson, Anthony G; Eijkemans, Marinus J C; Debray, Thomas P A</t>
  </si>
  <si>
    <t>https://pubmed.ncbi.nlm.nih.gov/31759339</t>
  </si>
  <si>
    <t>Many randomized trials evaluate an intervention effect on time-to-event outcomes. Individual participant data (IPD) from such trials can be obtained and combined in a so-called IPD meta-analysis (IPD-MA), to summarize the overall intervention effect. We performed a narrative literature review to provide an overview of methods for conducting an IPD-MA of randomized intervention studies with a time-to-event outcome. We focused on identifying good methodological practice for modeling frailty of trial participants across trials, modeling heterogeneity of intervention effects, choosing appropriate association measures, dealing with (trial differences in) censoring and follow-up times, and addressing time-varying intervention effects and effect modification (interactions).We discuss how to achieve this using parametric and semi-parametric methods, and describe how to implement these in a one-stage or two-stage IPD-MA framework. We recommend exploring heterogeneity of the effect(s) through interaction and non-linear effects. Random effects should be applied to account for residual heterogeneity of the intervention effect. We provide further recommendations, many of which specific to IPD-MA of time-to-event data from randomized trials examining an intervention effect.We illustrate several key methods in a real IPD-MA, where IPD of 1225 participants from 5 randomized clinical trials were combined to compare the effects of Carbamazepine and Valproate on the incidence of epileptic seizures.</t>
  </si>
  <si>
    <t>Benefits and harms of high-dose haemodiafiltration versus high-flux haemodialysis: the comparison of high-dose haemodiafiltration with high-flux haemodialysis (CONVINCE) trial protocol.</t>
  </si>
  <si>
    <t>Blankestijn, Peter J; Fischer, Kathrin I; Barth, Claudia; Cromm, Krister; Canaud, Bernard; Davenport, Andrew; Grobbee, Diederick E; Hegbrant, Jörgen; Roes, Kit C; Rose, Matthias; Strippoli, Giovanni Fm; Vernooij, Robin Wm; Woodward, Mark; de Wit, G Ardine; Bots, Michiel L</t>
  </si>
  <si>
    <t>https://pubmed.ncbi.nlm.nih.gov/32029487</t>
  </si>
  <si>
    <t>End-stage kidney disease (ESKD) is a major public health problem affecting more than 2 million people worldwide. It is one of the most severe chronic non-communicable diseases. Haemodialysis (HD) is the most common therapeutic option but is also associated with a risk of cardiovascular events, hospitalisation and suboptimal quality of life. Over the past decades, haemodiafiltration (HDF) has become available. Although high-dose HDF has shown some promising survival advantage compared to conventional HD, the evidence remains controversial. A Cochrane systematic review found, in low-quality trials, with various convective forms of dialysis, a reduction in cardiovascular, but not all-cause mortality and the effects on non-fatal cardiovascular events and hospitalisation were uncertain. In contrast, an individual patient data analysis suggested that high-dose HDF reduced both all-cause and cardiovascular mortality compared to HD. In view of these discrepant results, a definitive trial is required to determine whether high-dose HDF is preferable to high-flux HD. The comparison of high-dose HDF with high-flux HD (CONVINCE) study will assess the benefits and harms of high-dose HDF versus a conventional high-flux HD in adults with ESKD. This international, prospective, open label, randomised controlled trial aims to recruit 1800 ESKD adults treated with HD in nine European countries. Patients will be randomised 1:1 to high-dose HDF versus continuation of conventional high-flux HD. The primary outcome will be all-cause mortality at 3 years' follow-up. Secondary outcomes will include cause-specific mortality, cardiovascular events, all-cause and infection-related hospitalisations, patient-reported outcomes (eg, health-related quality of life) and cost-effectiveness. The CONVINCE study will address the question of benefits and harms of high-dose HDF compared to high-flux HD for kidney replacement therapy in patients with ESKD with a focus on survival, patient perspectives and cost-effectiveness. Netherlands National Trial Register (NTR 7138).</t>
  </si>
  <si>
    <t>Cost and impact of early diagnosis in primary immunodeficiency disease: A literature review.</t>
  </si>
  <si>
    <t>Elsink, Kim; van Montfrans, Joris M; van Gijn, Mariëlle E; Blom, Maartje; van Hagen, P Martin; Kuijpers, T W; Frederix, Geert W J</t>
  </si>
  <si>
    <t>https://pubmed.ncbi.nlm.nih.gov/32035178</t>
  </si>
  <si>
    <t>New, innovative, costly diagnostic methods for patients with primary immunodeficiencies (PID) demand upfront insight into their potential cost savings and added value for individual patients. As such, high quality, comparable economic evaluations are of utmost importance to enable informed decisions. The objective of this review was therefore to create an extensive overview of current costing studies and potential cost savings of early diagnosis in primary immunodeficiency disease. A literature search in PubMed was conducted and studies involving any form of costing study in the field of PIDs were included. Of the included studies, study characteristics, cost parameters and benefits of early diagnosis were extracted and outlined in separate tables. Twenty two studies met the inclusion criteria and were included in the review. The papers were categorized according to their subject: neonatal screening for severe combined immunodeficiency (SCID), Ig replacement therapies and studies reporting on costs of general or specific PIDs. Within and between these groups variability in reported costing characteristics was observed. In studies that reported cost savings pre- and post-diagnosis, cost savings ranged from 6500 to 108,463 USD of total costs per patient. This literature review shows that, regardless of what aspect of PIDs has been studied, in nearly all cases early diagnosis reduces health care consumption and leads to better health outcomes for patients with PIDs. We found considerable variability in costing characteristics of economic evaluations of PID patients, which hampers the comparability of outcomes. More effort is needed to create uniformity and define cost parameters in economic evaluations in the field of PIDs, facilitating further prospective research to extensively assess the benefits of early diagnosis.</t>
  </si>
  <si>
    <t>On the aggregation of published prognostic scores for causal inference in observational studies.</t>
  </si>
  <si>
    <t>Nguyen, Tri-Long; Collins, Gary S; Pellegrini, Fabio; Moons, Karel G M; Debray, Thomas P A</t>
  </si>
  <si>
    <t>https://pubmed.ncbi.nlm.nih.gov/32022311</t>
  </si>
  <si>
    <t>As real world evidence on drug efficacy involves nonrandomized studies, statistical methods adjusting for confounding are needed. In this context, prognostic score (PGS) analysis has recently been proposed as a method for causal inference. It aims to restore balance across the different treatment groups by identifying subjects with a similar prognosis for a given reference exposure ("control"). This requires the development of a multivariable prognostic model in the control arm of the study sample, which is then extrapolated to the different treatment arms. Unfortunately, large cohorts for developing prognostic models are not always available. Prognostic models are therefore subject to a dilemma between overfitting and parsimony; the latter being prone to a violation of the assumption of no unmeasured confounders when important covariates are ignored. Although it is possible to limit overfitting by using penalization strategies, an alternative approach is to adopt evidence synthesis. Aggregating previously published prognostic models may improve the generalizability of PGS, while taking account of a large set of covariates-even when limited individual participant data are available. In this article, we extend a method for prediction model aggregation to PGS analysis in nonrandomized studies. We conduct extensive simulations to assess the validity of model aggregation, compared with other methods of PGS analysis for estimating marginal treatment effects. We show that aggregating existing PGS into a "meta-score" is robust to misspecification, even when elementary scores wrongfully omit confounders or focus on different outcomes. We illustrate our methods in a setting of treatments for asthma.</t>
  </si>
  <si>
    <t>Intracranial Atherosclerosis Assessed with 7-T MRI: Evaluation of Patients with Ischemic Stroke or Transient Ischemic Attack.</t>
  </si>
  <si>
    <t>Lindenholz, Arjen; van der Kolk, Anja G; van der Schaaf, Irene C; van der Worp, H Bart; Harteveld, Anita A; Dieleman, Nikki; Bots, Michiel L; Hendrikse, Jeroen</t>
  </si>
  <si>
    <t>https://pubmed.ncbi.nlm.nih.gov/32013790</t>
  </si>
  <si>
    <t>Background Intracranial atherosclerosis is an important cause of ischemic stroke and is associated with several vascular risk factors. Current imaging is mainly based on the assessment of luminal narrowing rather than abnormalities in the vessel wall. Purpose To investigate the relationship between vascular risk factors and atherosclerotic lesion burden of intracranial arteries assessed with vessel wall MRI at 7 T in participants with ischemic stroke or transient ischemic attack (TIA). Materials and Methods In this prospective study (trial identification number: NTR2119; &lt;i&gt;www.trialregister.nl&lt;/i&gt;), study participants who presented with ischemic stroke or TIA of the anterior circulation between December 2009 and September 2017 underwent pre- and postcontrast 7-T vessel wall MRI within 3 months of symptom onset. All large arteries of the intracranial circulation were assessed for number, location, and enhancement of vessel wall lesions. Generalized estimating equations for Poisson regression were used to investigate the relationship between vascular risk factors and number or enhancement of vessel wall lesions. Results Ninety participants (52 men; mean age, 60 years) were evaluated. Increasing age (relative risk [RR], 1.02; 95% confidence interval [CI]: 1.01, 1.03), hypertension (RR, 1.46; 95% CI: 1.06, 2.02), diabetes mellitus (RR, 1.67; 95% CI: 1.20, 2.33), and a higher multivariable vascular risk score (Second Manifestations of Arterial Disease risk score) (RR, 1.01; 95% CI: 1.00, 1.02) were associated with a higher number of vessel wall lesions in the anterior circulation. Contrast material-enhancing vessel wall lesions were associated only with increasing age (RR, 1.03; 95% CI: 1.01, 1.05). No association was found between smoking and the number of vessel wall lesions. Conclusion Except for smoking, traditional common cardiovascular risk factors were associated with a higher number and enhancement of intracranial vessel wall lesions at 7-T MRI in individuals evaluated after ischemic stroke or transient ischemic attack. Published under a CC BY 4.0 license. &lt;i&gt;Online supplemental material is available for this article.&lt;/i&gt;</t>
  </si>
  <si>
    <t>Gastro-esophageal Reflux After Laparoscopic Gastrostomy Placement in Children.</t>
  </si>
  <si>
    <t>Franken, Josephine; Stellato, Rebecca K; Tytgat, Stefaan H A J; Van der Zee, David C; Mauritz, Femke A; Lindeboom, Maud Y A</t>
  </si>
  <si>
    <t>journal of pediatric gastroenterology and nutrition</t>
  </si>
  <si>
    <t>https://pubmed.ncbi.nlm.nih.gov/31978032</t>
  </si>
  <si>
    <t>Gastrostomy placement is frequently performed in pediatric patients who require long-term enteral tube feeding. Evidence on the influence of gastrostomy placement on gastro-oesophageal reflux disease has been inconsistent. The aim of this study was to investigate the influence of gastrostomy on gastro-oesophageal reflux. A prospective, longitudinal cohort study was performed including 50 patients who underwent laparoscopic gastrostomy between May 2012 and April 2014. Before and 3 months after surgery 24-hour multichannel intraluminal impedance pH monitoring was performed and caregivers filled out reflux symptom questionnaires. Gastro-oesophageal reflux symptoms were present in a comparable number of patients before (44%) and after gastrostomy placement (40%; P = 0.73). Twenty-five of the patients (50%) underwent both the preoperative and postoperative tests and were included in impedance-pH analysis. Acid exposure time (percentage of time with pH below 4) did not change significantly after gastrostomy placement: from 6.2% (3.0-18.1) to 6.1% (2.6-14.9). The number of reflux episodes did not significantly change, for either liquid [mean difference 4.3 (-4.5 to 13.2)] or mixed liquid-gas reflux [mean difference 2.0 (-9.3 to 13.3)]. Before gastrostomy placement, 18 out of 25 patients had pathological reflux (72%) on pH-impedance measurement. In 4 patients, pathological reflux dissolved, whereas 4 patients newly developed pathological reflux. A low preoperative weight-for-height percentile was associated with increased acid exposure after gastrostomy placement. Overall, gastrostomy placement was not associated with an increase in acid exposure on 24-hour multichannel intraluminal impedance pH monitoring. Similarly, the prevalence of gastro-oesophageal reflux-related symptoms did not change after gastrostomy.</t>
  </si>
  <si>
    <t>Faecal carriage, risk factors, acquisition and persistence of ESBL-producing Enterobacteriaceae in dogs and cats and co-carriage with humans belonging to the same household.</t>
  </si>
  <si>
    <t>van den Bunt, G; Fluit, A C; Spaninks, M P; Timmerman, A J; Geurts, Y; Kant, A; Scharringa, J; Mevius, D; Wagenaar, J A; Bonten, M J M; van Pelt, W; Hordijk, J</t>
  </si>
  <si>
    <t>https://pubmed.ncbi.nlm.nih.gov/31711228</t>
  </si>
  <si>
    <t>ESBL-producing Enterobacteriaceae (ESBL-E) are observed in many reservoirs. Pets might play an important role in the dissemination of ESBL-E to humans since they live closely together. To identify prevalence, risk factors, molecular characteristics, persistence and acquisition of ESBL-E in dogs and cats, and co-carriage in human-pet pairs belonging to the same household. In a nationwide study, one person per household was randomly invited to complete a questionnaire and to submit a faecal sample. Dog and cat owners were invited to also submit a faecal sample from their pet. Repeated sampling after 1 and 6 months was performed in a subset. ESBL-E were obtained through selective culture and characterized by WGS. Logistic regression analyses and random forest models were performed to identify risk factors. The prevalence of ESBL-E carriage in these cohorts was 3.8% (95% CI: 2.7%-5.4%) for human participants (n=550), 10.7% (95% CI: 8.3%-13.7%) for dogs (n=555) and 1.4% (95% CI: 0.5%-3.8%) for cats (n=285). Among animals, blaCTX-M-1 was most abundant, followed by blaCTX-M-15. In dogs, persistence of carriage was 57.1% at 1 month and 42.9% at 6 months. Eating raw meat [OR: 8.8, 95% CI: 4.7-16.4; population attributable risk (PAR): 46.5%, 95% CI: 41.3%-49.3%] and dry food (OR: 0.2, 95% CI: 0.1-0.5; PAR: 56.5%, 95% CI: 33.2%-66.6%) were predictors for ESBL-E carriage in dogs. Human-dog co-carriage was demonstrated in five households. Human-cat co-carriage was not observed. ESBL-E prevalence was higher in dogs than in humans and lowest in cats. The main risk factor for ESBL-E carriage was eating raw meat. Co-carriage in dogs and household members was uncommon.</t>
  </si>
  <si>
    <t>Moderators of Exercise Effects on Cancer-related Fatigue: A Meta-analysis of Individual Patient Data.</t>
  </si>
  <si>
    <t>VAN Vulpen, Jonna K; Sweegers, Maike G; Peeters, Petra H M; Courneya, Kerry S; Newton, Robert U; Aaronson, Neil K; Jacobsen, Paul B; Galvão, Daniel A; Chinapaw, Mai J; Steindorf, Karen; Irwin, Melinda L; Stuiver, Martijn M; Hayes, Sandi; Griffith, Kathleen A; Mesters, Ilse; Knoop, Hans; Goedendorp, Martine M; Mutrie, Nanette; Daley, Amanda J; McConnachie, Alex; Bohus, Martin; Thorsen, Lene; Schulz, Karl-Heinz; Short, Camille E; James, Erica L; Plotnikoff, Ronald C; Schmidt, Martina E; Ulrich, Cornelia M; VAN Beurden, Marc; Oldenburg, Hester S; Sonke, Gabe S; VAN Harten, Wim H; Schmitz, Kathryn H; Winters-Stone, Kerri M; Velthuis, Miranda J; Taaffe, Dennis R; VAN Mechelen, Willem; Kersten, Marie José; Nollet, Frans; Wenzel, Jennifer; Wiskemann, Joachim; Verdonck-DE Leeuw, Irma M; Brug, Johannes; May, Anne M; Buffart, Laurien M</t>
  </si>
  <si>
    <t>https://pubmed.ncbi.nlm.nih.gov/31524827</t>
  </si>
  <si>
    <t>Fatigue is a common and potentially disabling symptom in patients with cancer. It can often be effectively reduced by exercise. Yet, effects of exercise interventions might differ across subgroups. We conducted a meta-analysis using individual patient data of randomized controlled trials (RCT) to investigate moderators of exercise intervention effects on cancer-related fatigue. We used individual patient data from 31 exercise RCT worldwide, representing 4366 patients, of whom 3846 had complete fatigue data. We performed a one-step individual patient data meta-analysis, using linear mixed-effect models to analyze the effects of exercise interventions on fatigue (z score) and to identify demographic, clinical, intervention- and exercise-related moderators. Models were adjusted for baseline fatigue and included a random intercept on study level to account for clustering of patients within studies. We identified potential moderators by testing their interaction with group allocation, using a likelihood ratio test. Exercise interventions had statistically significant beneficial effects on fatigue (β = -0.17; 95% confidence interval [CI], -0.22 to -0.12). There was no evidence of moderation by demographic or clinical characteristics. Supervised exercise interventions had significantly larger effects on fatigue than unsupervised exercise interventions (βdifference = -0.18; 95% CI -0.28 to -0.08). Supervised interventions with a duration ≤12 wk showed larger effects on fatigue (β = -0.29; 95% CI, -0.39 to -0.20) than supervised interventions with a longer duration. In this individual patient data meta-analysis, we found statistically significant beneficial effects of exercise interventions on fatigue, irrespective of demographic and clinical characteristics. These findings support a role for exercise, preferably supervised exercise interventions, in clinical practice. Reasons for differential effects in duration require further exploration.</t>
  </si>
  <si>
    <t>Preemptive Treatment of Herpes Simplex Virus Reactivation in Critically Ill Patients?-Not Based on Current Data.</t>
  </si>
  <si>
    <t>Ong, David S Y; Cremer, Olaf L; Bonten, Marc J M</t>
  </si>
  <si>
    <t>https://pubmed.ncbi.nlm.nih.gov/31841575</t>
  </si>
  <si>
    <t>Long-Term Peridialytic Blood Pressure Patterns in Patients Treated by Hemodialysis and Hemodiafiltration.</t>
  </si>
  <si>
    <t>Rootjes, Paul A; de Roij van Zuijdewijn, Camiel L M; Grooteman, Muriel P C; Bots, Michiel L; Canaud, Bernard; Blankestijn, Peter J; van Ittersum, Frans J; Maduell, Francisco; Morena, Marion; Peters, Sanne A E; Davenport, Andrew; Vernooij, Robin W M; Nubé, Menso J; ,</t>
  </si>
  <si>
    <t>https://pubmed.ncbi.nlm.nih.gov/32274454</t>
  </si>
  <si>
    <t>Online postdilution hemodiafiltration (HDF) is associated with a lower all-cause and cardiovascular mortality than hemodialysis (HD). This may depend on a superior peridialytic (pre- and postdialysis, and the difference between these 2 parameters) hemodynamic profile. In this retrospective cohort analysis of individual participant data (IPD) from 3 randomized controlled trials (RCTs) (&lt;i&gt;n&lt;/i&gt; = 2011), the effect of HDF and HD on 2-year peridialytic blood pressure (BP) patterns was assessed. Long-term peridialytic systolic blood pressure (SBP), diastolic blood pressure (DBP), mean arterial pressure (MAP), and pulse pressure (PP), as well as the deltas (post- minus predialytic) were assessed in the total group of patients. Thereafter, these variables were compared between patients on HD and HDF, and in the latter group between quartiles of convection volume. Mean pre- and postdialysis SBP, DBP, and MAP declined significantly during follow-up (predialytic: SBP -2.16 mm Hg, DBP -2.88 mm Hg, MAP -2.64 mm Hg), PP increased (predialytic 0.96 mm Hg). Peridialytic deltas remained unaltered. Differences between the 2 modalities, or between quartiles of convection volume were not observed. BP changes were independent of various baseline characteristics, including the decline in body weight over time. We speculate that the combination of a decreasing SBP and an increasing PP may be the clinical sequelae of a worsening cardiovascular system. Because especially HDF with a high convection volume has been associated with a beneficial effect on survival, our study does not support the view that superior peridialytic BP control contributes to this effect.</t>
  </si>
  <si>
    <t>Early recurrences of atrial tachyarrhythmias post pulmonary vein isolation.</t>
  </si>
  <si>
    <t>von Olshausen, Gesa; Uijl, Alicia; Jensen-Urstad, Mats; Schwieler, Jonas; Drca, Nikola; Bastani, Hamid; Tapanainen, Jari; Saluveer, Ott; Bourke, Tara; Kennebäck, Göran; Insulander, Per; Deisenhofer, Isabel; Braunschweig, Frieder</t>
  </si>
  <si>
    <t>journal of cardiovascular electrophysiology</t>
  </si>
  <si>
    <t>https://pubmed.ncbi.nlm.nih.gov/31984563</t>
  </si>
  <si>
    <t>To investigate the significance of early recurrence (ER) of atrial tachyarrhythmias after pulmonary vein isolation (PVI) on the development of late recurrence (LR) and to redefine the blanking period during which an ER is considered nonspecific. Data of 713 patients undergoing their first PVI for paroxysmal or persistent atrial fibrillation between January 2012 and December 2017 were included. All patients were followed-up for 12 months according to clinical and outpatient routine and were screened for any atrial tachyarrhythmia lasting &gt;30 seconds occurring during the first 3 months postablation (ER) and after the 3 months blanking period (LR). Patients with ER compared to those without ER had significantly more LR (74.5% vs 16.5% vs, P &lt; .001). The occurrence of ER during the first, second and third months showed increasing LR rates of 35.2%, 67.9%, and 94.8%, respectively (P &lt; .001). Receiver operator characteristic analysis revealed a blanking period of 46 days with the highest sensitivity (68.1%) and specificity (96.5%). Later timing and longer time span of ER were independent predictors for LR in multivariable analysis. ER is a strong predictor for LR. Our study advocates a shortening of the post-PVI blanking period followed by a "gray zone" up to 3 months where individualized therapeutic decisions based on additional risk factors should be considered. We suggest that the ER time span might serve as such a predictor identifying patients at the highest risk for LR.</t>
  </si>
  <si>
    <t>Physical activity and risks of breast and colorectal cancer: a Mendelian randomisation analysis.</t>
  </si>
  <si>
    <t>Papadimitriou, Nikos; Dimou, Niki; Tsilidis, Konstantinos K; Banbury, Barbara; Martin, Richard M; Lewis, Sarah J; Kazmi, Nabila; Robinson, Timothy M; Albanes, Demetrius; Aleksandrova, Krasimira; Berndt, Sonja I; Timothy Bishop, D; Brenner, Hermann; Buchanan, Daniel D; Bueno-de-Mesquita, Bas; Campbell, Peter T; Castellví-Bel, Sergi; Chan, Andrew T; Chang-Claude, Jenny; Ellingjord-Dale, Merete; Figueiredo, Jane C; Gallinger, Steven J; Giles, Graham G; Giovannucci, Edward; Gruber, Stephen B; Gsur, Andrea; Hampe, Jochen; Hampel, Heather; Harlid, Sophia; Harrison, Tabitha A; Hoffmeister, Michael; Hopper, John L; Hsu, Li; María Huerta, José; Huyghe, Jeroen R; Jenkins, Mark A; Keku, Temitope O; Kühn, Tilman; La Vecchia, Carlo; Le Marchand, Loic; Li, Christopher I; Li, Li; Lindblom, Annika; Lindor, Noralane M; Lynch, Brigid; Markowitz, Sanford D; Masala, Giovanna; May, Anne M; Milne, Roger; Monninkhof, Evelyn; Moreno, Lorena; Moreno, Victor; Newcomb, Polly A; Offit, Kenneth; Perduca, Vittorio;</t>
  </si>
  <si>
    <t>https://pubmed.ncbi.nlm.nih.gov/32001714</t>
  </si>
  <si>
    <t>Physical activity has been associated with lower risks of breast and colorectal cancer in epidemiological studies; however, it is unknown if these associations are causal or confounded. In two-sample Mendelian randomisation analyses, using summary genetic data from the UK Biobank and GWA consortia, we found that a one standard deviation increment in average acceleration was associated with lower risks of breast cancer (odds ratio [OR]: 0.51, 95% confidence interval [CI]: 0.27 to 0.98, P-value = 0.04) and colorectal cancer (OR: 0.66, 95% CI: 0.48 to 0.90, P-value = 0.01). We found similar magnitude inverse associations for estrogen positive (ER&lt;sup&gt;+ve&lt;/sup&gt;) breast cancer and for colon cancer. Our results support a potentially causal relationship between higher physical activity levels and lower risks of breast cancer and colorectal cancer. Based on these data, the promotion of physical activity is probably an effective strategy in the primary prevention of these commonly diagnosed cancers.</t>
  </si>
  <si>
    <t>The endothelial function biomarker soluble E-selectin is associated with nonalcoholic fatty liver disease.</t>
  </si>
  <si>
    <t>Simons, Nynke; Bijnen, Mitchell; Wouters, Kristiaan A M; Rensen, Sander S; Beulens, Joline W J; van Greevenbroek, Marleen M J; 't Hart, Leen M; Greve, Jan Willem M; van der Kallen, Carla J H; Schaper, Nicolaas C; Schalkwijk, Casper G; Stehouwer, Coen D A; Brouwers, Martijn C G J</t>
  </si>
  <si>
    <t>liver international official journal of the international association for the study of the liver</t>
  </si>
  <si>
    <t>https://pubmed.ncbi.nlm.nih.gov/31960587</t>
  </si>
  <si>
    <t>Plasma soluble E-selectin (sE-selectin) is a frequently used biomarker of systemic endothelial dysfunction. The present study explored the relationship between nonalcoholic fatty liver disease (NAFLD) and plasma sE-selectin levels. Expression of E-selectin in liver, visceral adipose tissue (VAT) and muscle was studied in relation to plasma sE-selectin in severely obese individuals (n = 74). The course of hepatic E-selectin expression in relation to hepatic steatosis and inflammation was examined in C57BL/6J LDLR&lt;sup&gt;-/-&lt;/sup&gt; mice on a Western-type diet. The relationship between biomarkers of NAFLD, that is, plasma aminotransferase (ALT) and NAFLD susceptibility genes (rs738409 [PNPLA3] and rs1260326 [GCKR]), and plasma sE-selectin was studied in the combined CODAM (n = 571) and Hoorn (n = 694) studies. E-selectin expression in liver, not VAT or muscle, was associated with plasma sE-selectin in severely obese individuals (β = 0.26; 95% CI: 0.05-0.47). NAFLD severity was associated with hepatic E-selectin expression (P = .02) and plasma sE-selectin (P = .003). LDLR&lt;sup&gt;-/-&lt;/sup&gt; mice on a Western-type diet displayed increased hepatic E-selectin expression that followed the same course as hepatic inflammation, but not steatosis. In the CODAM study, plasma ALT was associated with plasma sE-selectin, independent of potential confounders (β = 0.25; 95% CI: 0.16-0.34). Both rs738409 and rs1260326 were associated with higher plasma sE-selectin in the combined CODAM and Hoorn studies (P = .01 and P = .004 respectively). NAFLD and related markers are associated with higher expression of hepatic E-selectin and higher levels of plasma sE-selectin. Further studies are required to investigate the role of E-selectin in the pathogenesis of NAFLD and the applicability of sE-selectin as a plasma biomarker of NAFLD/NASH.</t>
  </si>
  <si>
    <t>From registration to publication: A study on Dutch academic randomized controlled trials.</t>
  </si>
  <si>
    <t>Huiskens, Joost; Kool, Boudewijn R J; Bakker, Jean-Michel; Bruns, Emma R J; de Jonge, Stijn W; Olthof, Pim B; van Rosmalen, Belle V; van Gulik, Thomas M; Hooft, Lotty; Punt, Cornelis J A</t>
  </si>
  <si>
    <t>https://pubmed.ncbi.nlm.nih.gov/31614063</t>
  </si>
  <si>
    <t>Registration of clinical trials has been initiated in order to assess adherence of the reported results to the original trial protocol. This study aimed to investigate the publication rates, timely dissemination of results, and the prevalence of consistency in hypothesis, sample size, and primary endpoint of Dutch investigator-initiated randomized controlled clinical trials (RCTs). All Dutch investigator-initiated RCTs with a completion date between December 31, 2010, and January 1, 2012, and registered in the Trial Register of The Netherlands database were included. PubMed was searched for the publication of these RCT results until September 2016, and the time to the publication date was calculated. Consistency in hypothesis, sample size, and primary endpoint compared with the registry data were assessed. The search resulted in a total of 168 Dutch investigator-initiated RCTs. In September 2016, the results of 129 (77%) trials had been published, of which 50 (39%) within 2 years after completion of accrual. Consistency in hypothesis with the original protocol was observed in 108 (84%) RCTs; in 71 trials (55%), the planned sample size was reached; and 103 trials (80%) presented the original primary endpoint. Consistency in all three parameters was observed in 50 studies (39%). This study shows that approximately one out of four Dutch investigator-initiated RCTs remains unpublished 5 years after initiation. The observed low overall consistency with the initial study outline is a matter of concern and warrants improvements in trial design and assessment of trial feasibility.</t>
  </si>
  <si>
    <t>Genetically Determined Height and Risk of Non-hodgkin Lymphoma.</t>
  </si>
  <si>
    <t>Moore, Amy; Kane, Eleanor; Wang, Zhaoming; Panagiotou, Orestis A; Teras, Lauren R; Monnereau, Alain; Wong Doo, Nicole; Machiela, Mitchell J; Skibola, Christine F; Slager, Susan L; Salles, Gilles; Camp, Nicola J; Bracci, Paige M; Nieters, Alexandra; Vermeulen, Roel C H; Vijai, Joseph; Smedby, Karin E; Zhang, Yawei; Vajdic, Claire M; Cozen, Wendy; Spinelli, John J; Hjalgrim, Henrik; Giles, Graham G; Link, Brian K; Clavel, Jacqueline; Arslan, Alan A; Purdue, Mark P; Tinker, Lesley F; Albanes, Demetrius; Ferri, Giovanni M; Habermann, Thomas M; Adami, Hans-Olov; Becker, Nikolaus; Benavente, Yolanda; Bisanzi, Simonetta; Boffetta, Paolo; Brennan, Paul; Brooks-Wilson, Angela R; Canzian, Federico; Conde, Lucia; Cox, David G; Curtin, Karen; Foretova, Lenka; Gapstur, Susan M; Ghesquières, Hervé; Glenn, Martha; Glimelius, Bengt; Jackson, Rebecca D; Lan, Qing; Liebow, Mark; Maynadie, Marc; McKay, James; Melbye, Mads; Miligi, Lucia; Milne, Roger L; Molina, Thierry J; Morton, Lindsay M; North, Kari E</t>
  </si>
  <si>
    <t>https://pubmed.ncbi.nlm.nih.gov/32064237</t>
  </si>
  <si>
    <t>Although the evidence is not consistent, epidemiologic studies have suggested that taller adult height may be associated with an increased risk of some non-Hodgkin lymphoma (NHL) subtypes. Height is largely determined by genetic factors, but how these genetic factors may contribute to NHL risk is unknown. We investigated the relationship between genetic determinants of height and NHL risk using data from eight genome-wide association studies (GWAS) comprising 10,629 NHL cases, including 3,857 diffuse large B-cell lymphoma (DLBCL), 2,847 follicular lymphoma (FL), 3,100 chronic lymphocytic leukemia (CLL), and 825 marginal zone lymphoma (MZL) cases, and 9,505 controls of European ancestry. We evaluated genetically predicted height by constructing polygenic risk scores using 833 height-associated SNPs. We used logistic regression to estimate odds ratios (OR) and 95% confidence intervals (CI) for association between genetically determined height and the risk of four NHL subtypes in each GWAS and then used fixed-effect meta-analysis to combine subtype results across studies. We found suggestive evidence between taller genetically determined height and increased CLL risk (OR = 1.08, 95% CI = 1.00-1.17, &lt;i&gt;p&lt;/i&gt; = 0.049), which was slightly stronger among women (OR = 1.15, 95% CI: 1.01-1.31, &lt;i&gt;p&lt;/i&gt; = 0.036). No significant associations were observed with DLBCL, FL, or MZL. Our findings suggest that there may be some shared genetic factors between CLL and height, but other endogenous or environmental factors may underlie reported epidemiologic height associations with other subtypes.</t>
  </si>
  <si>
    <t>Plasma polyphenols associated with lower high-sensitivity C-reactive protein concentrations: a cross-sectional study within the European Prospective Investigation into Cancer and Nutrition (EPIC) cohort.</t>
  </si>
  <si>
    <t>Harms, Laura M; Scalbert, Augustin; Zamora-Ros, Raul; Rinaldi, Sabina; Jenab, Mazda; Murphy, Neil; Achaintre, David; Tjønneland, Anne; Olsen, Anja; Overvad, Kim; Romana Mancini, Francesca; Mahamat-Saleh, Yahya; Boutron-Ruault, Marie-Christine; Kühn, Tilman; Katzke, Verena; Trichopoulou, Antonia; Martimianaki, Georgia; Karakatsani, Anna; Palli, Domenico; Panico, Salvatore; Sieri, Sabina; Tumino, Rosario; Sacerdote, Carlotta; Bueno-de-Mesquita, Bas; Vermeulen, Roel C H; Weiderpass, Elisabete; Nøst, Therese Haugdahl; Lasheras, Cristina; Rodríguez-Barranco, Miguel; Huerta, José María; Barricarte, Aurelio; Dorronsoro, Miren; Hultdin, Johan; Schmidt, Julie A; Gunter, Marc; Riboli, Elio; Aleksandrova, Krasimira</t>
  </si>
  <si>
    <t>https://pubmed.ncbi.nlm.nih.gov/31583990</t>
  </si>
  <si>
    <t>Experimental studies have reported on the anti-inflammatory properties of polyphenols. However, results from epidemiological investigations have been inconsistent and especially studies using biomarkers for assessment of polyphenol intake have been scant. We aimed to characterise the association between plasma concentrations of thirty-five polyphenol compounds and low-grade systemic inflammation state as measured by high-sensitivity C-reactive protein (hsCRP). A cross-sectional data analysis was performed based on 315 participants in the European Prospective Investigation into Cancer and Nutrition cohort with available measurements of plasma polyphenols and hsCRP. In logistic regression analysis, the OR and 95 % CI of elevated serum hsCRP (&gt;3 mg/l) were calculated within quartiles and per standard deviation higher level of plasma polyphenol concentrations. In a multivariable-adjusted model, the sum of plasma concentrations of all polyphenols measured (per standard deviation) was associated with 29 (95 % CI 50, 1) % lower odds of elevated hsCRP. In the class of flavonoids, daidzein was inversely associated with elevated hsCRP (OR 0·66, 95 % CI 0·46, 0·96). Among phenolic acids, statistically significant associations were observed for 3,5-dihydroxyphenylpropionic acid (OR 0·58, 95 % CI 0·39, 0·86), 3,4-dihydroxyphenylpropionic acid (OR 0·63, 95 % CI 0·46, 0·87), ferulic acid (OR 0·65, 95 % CI 0·44, 0·96) and caffeic acid (OR 0·69, 95 % CI 0·51, 0·93). The odds of elevated hsCRP were significantly reduced for hydroxytyrosol (OR 0·67, 95 % CI 0·48, 0·93). The present study showed that polyphenol biomarkers are associated with lower odds of elevated hsCRP. Whether diet rich in bioactive polyphenol compounds could be an effective strategy to prevent or modulate deleterious health effects of inflammation should be addressed by further well-powered longitudinal studies.</t>
  </si>
  <si>
    <t>[Non-clinical community clerkships].</t>
  </si>
  <si>
    <t>Seeleman, M C; Smit, R B J; Jambroes, M</t>
  </si>
  <si>
    <t>https://pubmed.ncbi.nlm.nih.gov/32073796</t>
  </si>
  <si>
    <t>We developed an innovative one-week community clerkship for all fifth-year medical students at Utrecht UMC. Students follow this clerkship in a variety of community care and welfare organizations (eg social community teams or organizations that support psychiatric patients or migrants). Learning goals: students get acquainted with organizations and professionals within the social domain, students experience the social context of healthcare, and they reflect on the meaning of these experiences for their work as a physician. The reflection papers show that students gain insight in social determinants of health. Learning about clients in their everyday live is appreciated by students, as well as getting insight in the social domain. However students find it difficult to relate these experiences with the medical context. Participating social organizations value the clerkship because they feel the need to train future doctors in the social domain.</t>
  </si>
  <si>
    <t>Association of Anti-TNF with Decreased Survival in Steroid Refractory Ipilimumab and Anti-PD1-Treated Patients in the Dutch Melanoma Treatment Registry.</t>
  </si>
  <si>
    <t>Verheijden, Rik J; May, Anne M; Blank, Christian U; Aarts, Maureen J B; van den Berkmortel, Franchette W P J; van den Eertwegh, Alfonsus J M; de Groot, Jan Willem B; Boers-Sonderen, Marye J; van der Hoeven, Jacobus J M; Hospers, Geke A; Piersma, Djura; van Rijn, Rozemarijn S; Ten Tije, Albert J; van der Veldt, Astrid A M; Vreugdenhil, Gerard; van Zeijl, Michiel C T; Wouters, Michel W J M; Haanen, John B A G; Kapiteijn, Ellen; Suijkerbuijk, Karijn P M</t>
  </si>
  <si>
    <t>https://pubmed.ncbi.nlm.nih.gov/31988197</t>
  </si>
  <si>
    <t>Unleashing the immune system by PD-1 and/or CTLA-4 blockade can cause severe immune-related toxicity necessitating immunosuppressive treatment. Whether immunosuppression for toxicity impacts survival is largely unknown. Using data from the prospective nationwide Dutch Melanoma Treatment Registry (DMTR), we analyzed the association between severe toxicity and overall survival (OS) in 1,250 patients with advanced melanoma who were treated with immune checkpoint inhibitors (ICI) in first line between 2012 and 2017. Furthermore, we analyzed whether toxicity management affected survival in these patients. A total of 1,250 patients were included, of whom 589 received anti-PD1 monotherapy, 576 ipilimumab, and 85 combination therapy. A total of 312 patients (25%) developed severe (grade ≥3) toxicity. Patients experiencing severe ICI toxicity had a significantly prolonged survival with a median OS of 23 months compared with 15 months for patients without severe toxicity [hazard ratio (HR&lt;sub&gt;adj&lt;/sub&gt;) = 0.77; 95% confidence interval (CI), 0.63-0.93]. Among patients experiencing severe toxicity, survival was significantly decreased in patients who received anti-TNF ± steroids for steroid-refractory toxicity compared with patients who were managed with steroids only (HR&lt;sub&gt;adj&lt;/sub&gt; = 1.61; 95% CI, 1.03-2.51), with a median OS of 17 and 27 months, respectively. Patients experiencing severe ICI toxicity have a prolonged OS. However, this survival advantage is abrogated when anti-TNF is administered for steroid-refractory toxicity. Further prospective studies are needed to assess the effect of different immunosuppressive regimens on checkpoint inhibitor efficacy.&lt;i&gt;See related commentary by Weber and Postow, p. 2085&lt;/i&gt;.</t>
  </si>
  <si>
    <t>Consumption of a diet high in dairy leads to higher 15:0 in cholesteryl esters of healthy people when compared to diets high in meat and grain.</t>
  </si>
  <si>
    <t>Vissers, Linda E T; Soedamah-Muthu, Sabita S; van der Schouw, Yvonne T; Zuithoff, Nicolaas P A; Geleijnse, Johanna M; Sluijs, Ivonne</t>
  </si>
  <si>
    <t>https://pubmed.ncbi.nlm.nih.gov/32139254</t>
  </si>
  <si>
    <t>A higher dairy product intake has been associated to higher blood concentrations of 15:0 (pentadecanoic acid), 17:0 (margaric acid), and 14:0 (myristic acid). This study investigates whether a diet high in dairy products influences cholesteryl ester fatty acid concentrations of these specific fatty acids (FA). In a randomized multiple cross-over study, 13 men and 17 women aged 22 ± 4 years with a BMI of 21.6 ± 2.2 kg/m&lt;sup&gt;2&lt;/sup&gt; received 3 isocaloric intervention diets (dairy, meat or grain) in random order. For this post-hoc analysis, FA in plasma cholesteryl esters were measured using gas chromatography. We performed a linear mixed model per centered log-ratio transformed FA, adjusting for period, and the interaction between diet and period. Consumed total fat intake per controlled intervention diet was 31.0 ± 0.9 en%/day (dairy), 31.5 ± 0.6 en%/day (meat), and 28.4 ± 1.2 en%/day (grain), respectively. The dairy diet led to higher relative concentrations of 15:0 when compared to diets high in meat and grain, (β; 0.27, 95%CI: 0.18,0.37; p = 1.2 × 10&lt;sup&gt;-5&lt;/sup&gt;, and β: 0.15; 95%CI: 0.06,0.24; p = 1.2 × 10&lt;sup&gt;-2&lt;/sup&gt;, respectively). The dairy diet also led to higher 14:0 when compared to the meat diet (β: 0.34; 95%CI: 0.21,0.46; p = 6.0 × 10&lt;sup&gt;-5&lt;/sup&gt;), but not when compared to the grain diet. 17:0 did not differ between diets. The plasma cholesteryl ester fraction after a diet high in dairy was characterized by higher 15:0 levels. Concentrations of 14:0 were only higher when comparing the FA profile after a diet high in dairy when compared to a diet high in meat. ClinicalTrials.gov, NCT01314040.</t>
  </si>
  <si>
    <t>Search for Magnetic Monopoles and Stable High-Electric-Charge Objects in 13 Tev Proton-Proton Collisions with the ATLAS Detector.</t>
  </si>
  <si>
    <t xml:space="preserve">Aad, G; Abbott, B; Abbott, D C; Abdinov, O;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Alexandre, D; Alexopoulos, T; Alfonsi, A; Alhroob, M; Ali, B; Alimonti, G; Alison, J; Alkire, S P; Allaire, C; Allbrooke, B M M; Allen, B W; Allport, P P; Aloisio, A; Alonso, A; Alonso, F; Alpigiani, C; Alshehri, A A; Alvarez Estevez, M; Álvarez Piqueras, D; Alviggi, M G; Amaral Coutinho, Y; Ambler, A; Ambroz, L; Amelung, C; Amidei, D; Amor Dos Santos, S P; </t>
  </si>
  <si>
    <t>https://pubmed.ncbi.nlm.nih.gov/32031842</t>
  </si>
  <si>
    <t>A search for magnetic monopoles and high-electric-charge objects is presented using 34.4  fb^{-1} of 13 TeV pp collision data collected by the ATLAS detector at the LHC during 2015 and 2016. The considered signature is based upon high ionization in the transition radiation tracker of the inner detector associated with a pencil-shape energy deposit in the electromagnetic calorimeter. The data were collected by a dedicated trigger based on the tracker high-threshold hit capability. The results are interpreted in models of Drell-Yan pair production of stable particles with two spin hypotheses (0 and 1/2) and masses ranging from 200 to 4000 GeV. The search improves by approximately a factor of 5 the constraints on the direct production of magnetic monopoles carrying one or two Dirac magnetic charges and stable objects with electric charge in the range 20≤|z|≤60 and extends the charge range to 60&lt;|z|≤100.</t>
  </si>
  <si>
    <t>The Perspectives of Adolescents and Young Adults on Adherence to Prophylaxis in Hemophilia: A Qualitative Study.</t>
  </si>
  <si>
    <t>Hoefnagels, J W; Kars, M C; Fischer, K; Schutgens, Reg; Schrijvers, L H</t>
  </si>
  <si>
    <t>https://pubmed.ncbi.nlm.nih.gov/32158199</t>
  </si>
  <si>
    <t>Adolescents and young adults (AYAs) with severe hemophilia use prophylaxis that requires a high level of adherence. The present study aimed to explore the underlying reason for adherence and non-adherence to prophylaxis in hemophilia from the perspective of AYAs. A qualitative study in Dutch AYAs with hemophilia (14-25 years) using prophylaxis was executed. Focus group interviews and individual interviews were recorded, transcribed, coded and analyzed using an iterative process. Member checking in three respondents was used to validate the potential model. A total of 21 interviews were performed. Parental support decreased when AYAs gained more treatment responsibilities, which resulted in a higher risk for non-adherence. AYAs were weighing their potential bleeding risk per activity based on the wish to do what they prefer while also wanting to simultaneously feel safe. When bleeding with low impact on their daily life occurred, or when bleeding remained absent, AYAs felt safe and the perceived need for prophylaxis decreased. The level of treatment responsibility per AYA and estimated risks per activity were the two main underlying reasons for (non-)adherence. We suggest using a conversation technique to discuss adherence, especially during bleeding assessment visits.</t>
  </si>
  <si>
    <t>Tinkering and overruling the computer decision support system: Working strategies of telephone triage nurses who assess the urgency of callers suspected of having an acute cardiac event.</t>
  </si>
  <si>
    <t>Wouters, Loes T; Zwart, Dorien L; Erkelens, Daphne C; Huijsmans, Marlies; Hoes, Arno W; Damoiseaux, Roger A; Rutten, Frans H; de Groot, Esther</t>
  </si>
  <si>
    <t>https://pubmed.ncbi.nlm.nih.gov/31887234</t>
  </si>
  <si>
    <t>To understand clinical reasoning and decision-making of triage nurses during telephone conversations with callers suspected of having acute cardiac events, and support from a computer decision support system (CDSS) herewith. In telephone triage, nurses assess the urgency of callers' conditions with clinical reasoning, often supported by CDSS. The use of CDSS may trigger interactional workability dilemmas. Qualitative study using principles of a grounded theory approach following COREQ criteria for qualitative research. Audio-stimulated recall interviews were conducted amongst twenty-four telephone triage nurses at nine out-of-hours primary care centres (OHS-PC). Telephone triage nurses use clinical reasoning elements for urgency assessment. Typically in telephone triage, they interpret the vocal-but not worded-elements in communication (paralanguage) such as tone of voice and shortness of breath and create a mental image to compensate for lack of visual information. We confirmed that interactional workability dilemmas occur. Congruence, established when the CDSS supports the triage nurses' decision-making, is essential for the CDSS' value. If congruence is absent, triage nurses may apply four working strategies: (a) tinker to make CDSS final recommendation align with their own assessment, (b) overrule the CDSS recommendation, (c) comply with the CDSS recommendation or (d) transfer responsibility to the GP. Triage nurses who assess urgency may experience absence of congruence between the CDSS and their decision-making. Awareness of how triage nurses reason and make decisions about urgency and what aspects influence their working strategies can help in achieving optimal triage of callers suspected of acute cardiac events at OHS-PC. Triage nurses' reasoning and their working strategies are vital for outcome of triage decisions. Understanding these processes is essential for CDSS developers and OHS-PC managers, who should value how triage nurses interact with the CDSS, while they have the benefit of callers in mind.</t>
  </si>
  <si>
    <t>Distribution of Cardioembolic Stroke: A Cohort Study.</t>
  </si>
  <si>
    <t>Pierik, Ramon; Algra, Ale; van Dijk, Ewoud; Erasmus, Michiel E; van Gelder, Isabella C; Koudstaal, Peter J; Luijckx, Gert-Jan R; Nederkoorn, Paul J; van Oostenbrugge, Robert J; Ruigrok, Ynte M; Scheeren, Thomas W L; Uyttenboogaart, Maarten; Visser, Marieke C; Wermer, Marieke J H; van den Bergh, Walter M; ,</t>
  </si>
  <si>
    <t>https://pubmed.ncbi.nlm.nih.gov/31962331</t>
  </si>
  <si>
    <t>A cardiac origin in ischemic stroke is more frequent than previously assumed, but it is not clear which patients benefit from cardiac work-up if obvious cardiac pathology is absent. We hypothesized that thromboembolic stroke with a cardiac source occurs more frequently in the posterior circulation compared with thromboembolic stroke of another etiology. We performed a multicenter observational study in 3,311 consecutive patients with ischemic stroke who were enrolled in an ongoing prospective stroke registry of 8 University hospitals between September 2009 and November 2014 in The Netherlands. In this initiative, the so-called Parelsnoer Institute-Cerebrovascular Accident Study Group, clinical data, imaging, and biomaterials of patients with stroke are prospectively and uniformly collected. We compared the proportions of posterior stroke location in patients with a cardiac stroke source with those with another stroke etiology and calculated risk ratios (RR) with corresponding 95% CI with Poisson regression analyses. To assess which patient or disease characteristics were most strongly associated with a cardiac etiology in patients with ischemic stroke, we performed a stepwise backward regression analysis. For the primary aim, 1,428 patients were eligible for analyses. The proportion of patients with a posterior stroke location among patients with a cardiac origin of their stroke (28%) did not differ statistically significant to those with another origin (25%), age and sex adjusted RR 1.16; 95% CI 0.96-1.41. For the secondary aim, 1,955 patients were eligible for analyses. No recent history of smoking, no hyperlipidemia, coronary artery disease, a higher age, and a higher National Institutes of Health Stroke Scale (NIHSS) score were associated with a cardiac etiology of ischemic stroke. We could not confirm our hypothesis that thromboembolic stroke localized in the posterior circulation is associated with a cardioembolic source of ischemic stroke, and therefore posterior stroke localization on itself does not necessitate additional cardiac examination. The lack of determinants of atherosclerosis, for example, no recent history of smoking and no hyperlipidemia, coronary artery disease, a higher age, and a higher NIHSS score are stronger risk factors for a cardiac source of ischemic stroke.</t>
  </si>
  <si>
    <t>High-risk nonsteroidal anti-inflammatory drugs prescribing in primary care: results from National Medical Care Survey Malaysia.</t>
  </si>
  <si>
    <t>Hwong, Wen Yea; Lim, Yvonne Mei Fong; Khoo, Ee Ming; Sivasampu, Sheamini</t>
  </si>
  <si>
    <t>https://pubmed.ncbi.nlm.nih.gov/31960271</t>
  </si>
  <si>
    <t>Background Information on the extent of high-risk prescribing for nonsteroidal anti-inflammatory drugs (NSAIDs) across developing countries is scarce. Objectives This study examines the prescribing pattern for NSAIDs in primary care, assesses the extent of high-risk NSAIDs prescribing and identifies associated factors. Setting 129 public and 416 private primary care clinics in Malaysia. Methods Data were derived from the National Medical Care Survey 2014, a cross-sectional survey on primary care morbidity patterns and clinical activities in Malaysia. Types of NSAIDs, indications for NSAIDs use and proportion of high-risk NSAIDs prescribing were assessed. Factors associated with high-risk NSAIDs prescribing were identified with a multivariable logistic regression. Weighted results, adjusted for sampling design and non-response were presented. Main outcome measures Prescribing pattern of NSAIDs, proportion of high-risk NSAIDs prescribing and its associated factors. Results Among the 55,489 patients who received NSAIDs, diclofenac was the most frequently prescribed NSAID (40.5%, 95% CI 40.1-40.9%), followed by mefenamic acid (29.2%, 95% CI 28.8-29.6%). The commonest indications for NSAIDs use were musculoskeletal condition and respiratory tract infection, both at 17.8% (95% CI 17.4-18.1%). A total of 22.9% (95% CI 22.6-23.3%) patients received high-risk NSAID prescriptions. Of these, 47.8% (95% CI 46.9-48.7%) did not receive adequate gastroprotection despite being at risk, 24.8% (95% CI 24.0-25.5%) were prescribed NSAIDs despite having cardiovascular comorbidities and 22.4% (95% CI 21.7-23.2%) were prescribed high-dose NSAIDs. The odds of receiving high-risk NSAID prescriptions increased with the number of drugs prescribed (OR 1.23, 95% CI 1.06-1.43) and the number of diagnoses in one visit (OR 2.21, 95% CI 1.71-2.86). The odds of being prescribed high-risk NSAID prescriptions were lower in patients with secondary (OR 0.52, 95% CI 0.35-0.77) and tertiary education (OR 0.39, 95% CI 0.22-0.68) compared to patients without formal education. Patients' citizenship, indication for NSAID prescriptions and whether a medical certificate was issued were also significantly associated with the likelihood of receiving high-risk NSAID prescriptions. Conclusions A quarter of NSAIDs prescribed in Malaysian primary care setting is categorised as high-risk prescribing. Targeted strategies are necessary to improve patient safety.</t>
  </si>
  <si>
    <t>Refining prediction of major bleeding on antiplatelet treatment after transient ischaemic attack or ischaemic stroke.</t>
  </si>
  <si>
    <t>Hilkens, Nina A; Li, Linxin; Rothwell, Peter M; Algra, Ale; Greving, Jacoba P</t>
  </si>
  <si>
    <t>https://pubmed.ncbi.nlm.nih.gov/32637646</t>
  </si>
  <si>
    <t>Bleeding is the main safety concern of treatment with antiplatelet drugs. We aimed to refine prediction of major bleeding on antiplatelet treatment after a transient ischaemic attack (TIA) or stroke by assessing the added value of new predictors to the existing S&lt;sub&gt;2&lt;/sub&gt;TOP-BLEED score. We used Cox regression analysis to study the association between candidate predictors and major bleeding among 2072 patients with a transient ischaemic attack or ischaemic stroke included in a population-based study (Oxford Vascular Study - OXVASC). An updated model was proposed and validated in 1094 patients with a myocardial infarction included in OXVASC. Models were compared with c-statistics, calibration plots, and net reclassification improvement. Independent predictors for major bleeding on top of S&lt;sub&gt;2&lt;/sub&gt;TOP-BLEED variables were peptic ulcer (hazard ratio (HR): 1.72; 1.04-2.86), cancer (HR: 2.40; 1.57-3.68), anaemia (HR: 1.55; 0.99-2.44) and renal failure (HR: 2.20; 1.57-4.28). Addition of those variables improved discrimination from 0.69 (0.64-0.73) to 0.73 (0.69-0.78) in the TIA/stroke cohort (p = 0.01). Performance improved particularly for upper gastro-intestinal bleeds (0.70; 0.64-0.75 to 0.77; 0.72-0.82). Net reclassification improved over the entire range of the score (net reclassification improvement: 0.56; 0.36-0.76). In the validation cohort, discriminatory performance improved from 0.68 (0.62-0.74) to 0.70 (0.64-0.76). Peptic ulcer, cancer, anaemia and renal failure improve predictive performance of the S&lt;sub&gt;2&lt;/sub&gt;TOP-BLEED score for major bleeding after stroke. Future external validation studies will be required to confirm the value of the STOP-BLEED+ score in transient ischaemic attack/stroke patients.</t>
  </si>
  <si>
    <t>Grounding Value-Based Drug Pricing in Population Health.</t>
  </si>
  <si>
    <t>Kaltenboeck, Anna; Calsyn, Maura; Frederix, Geert W J; Lowenthal, Justin; Mitchell, David; Rector, Bruce; Sarpatwari, Ameet</t>
  </si>
  <si>
    <t>https://pubmed.ncbi.nlm.nih.gov/31953850</t>
  </si>
  <si>
    <t>Neighbourhood drivability: environmental and individual characteristics associated with car use across Europe.</t>
  </si>
  <si>
    <t>den Braver, Nicolette R; Kok, Julia G; Mackenbach, Joreintje D; Rutter, Harry; Oppert, Jean-Michel; Compernolle, Sofie; Twisk, Jos W R; Brug, Johannes; Beulens, Joline W J; Lakerveld, Jeroen</t>
  </si>
  <si>
    <t>https://pubmed.ncbi.nlm.nih.gov/31952542</t>
  </si>
  <si>
    <t>Car driving is a form of passive transportation associated with higher sedentary behaviour, which is associated with morbidity. The decision to drive a car is likely to be influenced by the 'drivability' of the built environment, but there is lack of scientific evidence regarding the relative contribution of environmental characteristics of car driving in Europe, compared to individual characteristics. This study aimed to determine which neighbourhood- and individual-level characteristics were associated with car driving in adults of five urban areas across Europe. Second, the study aimed to determine the percentage of variance in car driving explained by individual- and neighbourhood-level characteristics. Neighbourhood environment characteristics potentially related to car use were identified from the literature. These characteristics were subsequently assessed using a Google Street View audit and available GIS databases, in 59 administrative residential neighbourhoods in five European urban areas. Car driving (min/week) and individual level characteristics were self-reported by study participants (analytic sample n = 4258). We used linear multilevel regression analyses to assess cross-sectional associations of individual and neighbourhood-level characteristics with weekly minutes of car driving, and assessed explained variance at each level and for the total model. Higher residential density (β:-2.61, 95%CI: - 4.99; -0.22) and higher land-use mix (β:-3.73, 95%CI: - 5.61; -1.86) were significantly associated with fewer weekly minutes of car driving. At the individual level, higher age (β: 1.47, 95%CI: 0.60; 2.33), male sex (β: 43.2, 95%CI:24.7; 61.7), being employed (β:80.1, 95%CI: 53.6; 106.5) and ≥ 3 person household composition (β: 47.4, 95%CI: 20.6; 74.2) were associated with higher weekly minutes of car driving. Individual and neighbourhood characteristics contributed about equally to explained variance in minutes of weekly car driving, with 2 and 3% respectively, but total explained variance remained low. Residential density and land-use mix were neighbourhood characteristics consistently associated with minutes of weekly car driving, besides age, sex, employment and household composition. Although total explained variance was low, both individual- and neighbourhood-level characteristics were similarly important in their associations with car use in five European urban areas. This study suggests that more, higher quality, and longitudinal data are needed to increase our understanding of car use and its effects on determinants of health.</t>
  </si>
  <si>
    <t>High CXCR4 expression in adenoid cystic carcinoma of the head and neck is associated with increased risk of locoregional recurrence.</t>
  </si>
  <si>
    <t>Klein Nulent, Thomas J W; van Es, Robert J J; Valstar, Matthijs H; Smeele, Ludwig E; Smit, Laura A; Klein Gunnewiek, Raquel; Zuithoff, Nicolaas P A; de Keizer, Bart; de Bree, Remco; Willems, Stefan M</t>
  </si>
  <si>
    <t>https://pubmed.ncbi.nlm.nih.gov/31948995</t>
  </si>
  <si>
    <t>Treatment options for head and neck adenoid cystic carcinoma (AdCC) are limited in advanced disease. Chemokine receptor type 4 (CXCR4) is present in various tumour types, including AdCC. Upregulation is associated with tumour recurrence and metastasis. New CXCR4-specific diagnostic and therapeutic target agents have recently been available. This study aimed to analyse CXCR4 expression in a cohort of primary head and neck AdCC. After histopathological revision, tumour tissues of 73 consecutive patients with AdCC over 1990-2016 were sampled on a tissue microarray. Slides were immunohistochemically stained for CXCR4 and semiquantitatively scored. Associations between protein expression and cliniopathological parameters were tested. HRs were calculated using a Cox proportional hazard model. Sixty-six tumours could be analysed. CXCR4 expression was present in 81% of the tumours with a median of 29% (IQR 1-70) positive cells. Expression was univariately correlated to perineural growth (Spearman ρ .26, p=0.04) and bone invasion (Spearman ρ .32, p=0.01), but not with tumour grade.CXCR4 expression in the primary tumour was significantly higher in tumours that recurred as compared with those that did not recur (median 60%, IQR 33-72 vs 12%, IQR 1-70, Kruskal-Wallis p=0.01). After dichotomisation, &gt;25% of CXCR4 expressions proved an independent prognosticator for a reduced recurrence-free survival (RFS) (HR 7.2, 95% CI 1.5 to 72.4, p=0.04). CXCR4 is expressed in the majority of primary AdCCs and independently correlated to worse RFS, suggesting CXCR4 as a target for imaging and therapy purposes in patients with advanced AdCC.</t>
  </si>
  <si>
    <t>Effectiveness of a stepwise cardiometabolic disease prevention program: Results of a randomized controlled trial in primary care.</t>
  </si>
  <si>
    <t>Stol, Daphne M; Badenbroek, Ilse F; Hollander, Monika; Nielen, Mark M J; Kraaijenhagen, Roderik A; Schellevis, François G; de Wit, Niek J</t>
  </si>
  <si>
    <t>https://pubmed.ncbi.nlm.nih.gov/31954837</t>
  </si>
  <si>
    <t>Effective preventive strategies for cardiometabolic disease (CMD) are needed. We aim to establish the effectiveness of a stepwise CMD risk assessment followed by individualized treatment if indicated compared to care as usual. We conducted a RCT between 2014 and 2017. Individuals (45-70 years) without CMD or CMD risk factors were invited for stepwise CMD risk assessment through a risk score (step1), additional risk assessment at the practice in case of high-risk (step2) and individualized follow-up treatment if indicated (step3). We compared newly detected CMD and newly prescribed drugs during one-year follow-up, and change in CMD risk profile between baseline and one-year follow-up among participants who completed step2 to matched controls. A CMD was diagnosed almost three times more often (OR 2.90, 95% CI 2.25: 3.72) in the intervention compared to the control group, in parallel with newly prescribed antihypertensive and lipid lowering drugs (OR 2.85, 95% CI 1.96: 4.15 and 3.23, 95% CI 2.03: 5.14 respectively). Waist circumference significantly decreased between the intervention compared to the control group (mean -3.08 cm, 95% CI -3.73: -2.43). No differences were observed for changes in BMI and smoking. Systolic blood pressure (mean -2.26 mmHg, 95% CI -4.01: -0.51) and cholesterol ratio (mean -0.11, 95% CI -0.19: -0.02) significantly decreased within intervention participants between baseline and one-year follow-up. In conclusion, implementation of the CMD prevention program resulted in the detection of two- to threefold more patients with CMD. A significant drop in systolic blood pressure and cholesterol levels was found after one year of treatment. Modelling of these results should confirm the effect on long term endpoints. Trial registration: Dutch trial Register number NTR4277.</t>
  </si>
  <si>
    <t>Obesity and the heart: The impact of obesity beyond the body mass index.</t>
  </si>
  <si>
    <t>Vos, A G</t>
  </si>
  <si>
    <t>https://pubmed.ncbi.nlm.nih.gov/31948279</t>
  </si>
  <si>
    <t>Fostering patient-centredness by following patients outside the clinical setting: an interview study.</t>
  </si>
  <si>
    <t>Grau Canét-Wittkampf, Christel; Eijkelboom, Charlotte; Mol, Saskia; Zwart, Dorien; Hendriks, Iris; de Groot, Esther</t>
  </si>
  <si>
    <t>https://pubmed.ncbi.nlm.nih.gov/31941481</t>
  </si>
  <si>
    <t>Patient-centredness is considered a core competency for health professionals. To support faculty in designing courses focused on patient-centredness, an understanding of how educational interventions lead to patient-centredness is required. This study aims to show how learning mechanisms, which potentially contribute to patient-centredness, are triggered. Thirty-five third-year medical students at the UMC Utrecht followed four different patients for two years. The intervention took place in an out-of-hospital setting. Students visited patients in their home circumstances and accompanied them to clinical events. Twelve students were interviewed. The realist approach was used to construct configurations which relate components of the intervention to the context and learning mechanisms. Following patients in their home circumstances for a prolonged period supported the development of meaningful relationships between students and patients and provided continuity. In the context of a meaningful relationship and continuity, mechanisms contributing to learning patient-centredness were triggered. The most important learning mechanisms found in this study were: reflecting, contextualising disease in a real persons' life, broadening perspectives and engaging with the patients. Learning mechanisms are triggered by continuity and by meaningful student-patient relationships. These can be enhanced by an out-of-hospital setting and longitudinal contact. Thus, a relationship between students and patients is an important enabler for the development of patient-centredness.</t>
  </si>
  <si>
    <t>Interventions to prevent and treat malnutrition in older adults to be carried out by nurses: A systematic review.</t>
  </si>
  <si>
    <t>Ten Cate, Debbie; Ettema, Roelof G A; Huisman-de Waal, Getty; Bell, Jack J; Verbrugge, Remco; Schoonhoven, Lisette; Schuurmans, Marieke J; ,</t>
  </si>
  <si>
    <t>https://pubmed.ncbi.nlm.nih.gov/31876074</t>
  </si>
  <si>
    <t>To identify interventions to prevent and treat malnutrition in older adults, which can be integrated in nursing care, and to evaluate the effects of these interventions on outcomes related to malnutrition. Older adults are at great risk for malnutrition, which can lead to a number of serious health problems. Nurses have an essential role in nutritional care for older adults. Due to a lack of evidence for nursing interventions, adequate nursing nutritional care still lags behind. Systematic review. We searched for and included randomised controlled trials on interventions, which can be integrated in nursing care for older adults, to prevent and treat malnutrition. We assessed the risk of bias with the Cochrane tool and evidence for outcomes with the GRADE. The PRISMA statement was followed for reporting. We included 21 studies of which 14 studies had a high risk of bias. Identified interventions were oral nutritional supplements, food/fluid fortification or enrichment, dietary counselling and educational interventions. In evaluating the effects of these interventions on 11 outcomes related to malnutrition, significant and nonsignificant effects were found. We graded the certainty of evidence as very low to moderate. Although slight effects were found in protein intake and body mass index, there is no convincing evidence about the effectiveness of the four identified interventions. There seems no harm in using these interventions, although it should be kept in mind that the evidence is sparse. Therefore, there is a need for high-quality research in building evidence for interventions in nursing nutritional care. Nurses can safely provide oral nutritional supplements and food/fluid fortification or enrichment, and give dietary counselling and education to older adults, as they are well placed to lead the essential processes of nutritional care to older adults.</t>
  </si>
  <si>
    <t>Big Data in the Assessment of Pediatric Medication Safety.</t>
  </si>
  <si>
    <t>McMahon, Ann W; Cooper, William O; Brown, Jeffrey S; Carleton, Bruce; Doshi-Velez, Finale; Kohane, Isaac; Goldman, Jennifer L; Hoffman, Mark A; Kamaleswaran, Rishikesan; Sakiyama, Michiyo; Sekine, Shohko; Sturkenboom, Miriam C J M; Turner, Mark A; Califf, Robert M</t>
  </si>
  <si>
    <t>https://pubmed.ncbi.nlm.nih.gov/31937606</t>
  </si>
  <si>
    <t>Big data (BD) in pediatric medication safety research provides many opportunities to improve the safety and health of children. The number of pediatric medication and device trials has increased in part because of the past 20 years of US legislation requiring and incentivizing study of the effects of medical products in children (Food and Drug Administration Modernization Act of 1997, Pediatric Rule in 1998, Best Pharmaceuticals for Children Act of 2002, and Pediatric Research Equity Act of 2003). There are some limitations of traditional approaches to studying medication safety in children. Randomized clinical trials within the regulatory context may not enroll patients who are representative of the general pediatric population, provide the power to detect rare safety signals, or provide long-term safety data. BD sources may have these capabilities. In recent years, medical records have become digitized, and cell phones and personal devices have proliferated. In this process, the field of biomedical science has progressively used BD from those records coupled with other data sources, both digital and traditional. Additionally, large distributed databases that include pediatric-specific outcome variables are available. A workshop entitled "Advancing the Development of Pediatric Therapeutics: Application of 'Big Data' to Pediatric Safety Studies" held September 18 to 19, 2017, in Silver Spring, Maryland, formed the basis of many of the ideas outlined in this article, which are intended to identify key examples, critical issues, and future directions in this early phase of an anticipated dramatic change in the availability and use of BD.</t>
  </si>
  <si>
    <t>Extended-spectrum beta-lactamase (ESBL)-producing and non-ESBL-producing Escherichia coli isolates causing bacteremia in the Netherlands (2014 - 2016) differ in clonal distribution, antimicrobial resistance gene and virulence gene content.</t>
  </si>
  <si>
    <t>van Hout, Denise; Verschuuren, Tess D; Bruijning-Verhagen, Patricia C J; Bosch, Thijs; Schürch, Anita C; Willems, Rob J L; Bonten, Marc J M; Kluytmans, Jan A J W</t>
  </si>
  <si>
    <t>https://pubmed.ncbi.nlm.nih.gov/31935253</t>
  </si>
  <si>
    <t>Knowledge on the molecular epidemiology of Escherichia coli causing E. coli bacteremia (ECB) in the Netherlands is mostly based on extended-spectrum beta-lactamase-producing E. coli (ESBL-Ec). We determined differences in clonality and resistance and virulence gene (VG) content between non-ESBL-producing E. coli (non-ESBL-Ec) and ESBL-Ec isolates from ECB episodes with different epidemiological characteristics. A random selection of non-ESBL-Ec isolates as well as all available ESBL-Ec blood isolates was obtained from two Dutch hospitals between 2014 and 2016. Whole genome sequencing was performed to infer sequence types (STs), serotypes, acquired antibiotic resistance genes and VG scores, based on presence of 49 predefined putative pathogenic VG. ST73 was most prevalent among the 212 non-ESBL-Ec (N = 26, 12.3%) and ST131 among the 69 ESBL-Ec (N = 30, 43.5%). Prevalence of ST131 among non-ESBL-Ec was 10.4% (N = 22, P value &lt; .001 compared to ESBL-Ec). O25:H4 was the most common serotype in both non-ESBL-Ec and ESBL-Ec. Median acquired resistance gene counts were 1 (IQR 1-6) and 7 (IQR 4-9) for non-ESBL-Ec and ESBL-Ec, respectively (P value &lt; .001). Among non-ESBL-Ec, acquired resistance gene count was highest among blood isolates from a primary gastro-intestinal focus (median 4, IQR 1-8). Median VG scores were 13 (IQR 9-20) and 12 (IQR 8-14) for non-ESBL-Ec and ESBL-Ec, respectively (P value = .002). VG scores among non-ESBL-Ec from a primary urinary focus (median 15, IQR 11-21) were higher compared to non-ESBL-Ec from a primary gastro-intestinal (median 10, IQR 5-13) or hepatic-biliary focus (median 11, IQR 5-18) (P values = .007 and .04, respectively). VG content varied between different E. coli STs. Non-ESBL-Ec and ESBL-Ec blood isolates from two Dutch hospitals differed in clonal distribution, resistance gene and VG content. Also, resistance gene and VG content differed between non-ESBL-Ec from different primary foci of ECB.</t>
  </si>
  <si>
    <t>Clinical pre-test probability adjusted versus age-adjusted D-dimer interpretation strategy for DVT diagnosis: A diagnostic individual patient data meta-analysis.</t>
  </si>
  <si>
    <t>Parpia, Sameer; Takach Lapner, Sarah; Schutgens, Roger; Elf, Johan; Geersing, Geert-Jan; Kearon, Clive</t>
  </si>
  <si>
    <t>https://pubmed.ncbi.nlm.nih.gov/31869505</t>
  </si>
  <si>
    <t>To increase the clinical usefulness of the D-dimer test in diagnosis of deep vein thrombosis (DVT), two strategies have been proposed: the age-adjusted, and the clinical pre-test probability (CPTP) adjusted interpretation. However, it is not known which of these strategies is superior. To conduct an individual patient data (IPD) meta-analysis that compares the sensitivity, specificity, negative predictive value (NPV), and utility (the proportion of all patients who have a negative D-dimer test) when the two strategies are used to interpret D-dimer results. Using an established IPD database, we conducted a meta-analysis to compare the two strategies. A bivariate random effects regression model was used to estimate and compare the pooled sensitivity and specificity simultaneously. The pooled NPV and utility of the two strategies was compared using a univariate random effects model. Four studies were eligible for this analysis, with a total of 2554 patients. Overall prevalence of DVT was 12% with substantial heterogeneity between studies (P value &lt; .001). Both strategies have high pooled NPVs (99.8%) with a difference of 0% (95% confidence interval [CI]: -0.1, 0.1). The difference between the pooled specificity of the CPTP-adjusted strategy (57.3%) and the age-adjusted strategy (54.7%) was 2.6% (95% CI: -7.7, 12.8). The CPTP-adjusted strategy (49.4%) has a marginally greater pooled utility compared with the age-adjusted approach (47.4%), with a pooled difference of 1.9% (95% CI: -0.1, 3.9). Both D-dimer interpretation strategies were associated with a high and similar NPV, and similar utility.</t>
  </si>
  <si>
    <t>Nasal DNA methylation profiling of asthma and rhinitis.</t>
  </si>
  <si>
    <t>Qi, Cancan; Jiang, Yale; Yang, Ivana V; Forno, Erick; Wang, Ting; Vonk, Judith M; Gehring, Ulrike; Smit, Henriëtte A; Milanzi, Edith B; Carpaij, Orestes A; Berg, Marijn; Hesse, Laura; Brouwer, Sharon; Cardwell, Jonathan; Vermeulen, Cornelis J; Acosta-Pérez, Edna; Canino, Glorisa; Boutaoui, Nadia; van den Berge, Maarten; Teichmann, Sarah A; Nawijn, Martijn C; Chen, Wei; Celedón, Juan C; Xu, Cheng-Jian; Koppelman, Gerard H</t>
  </si>
  <si>
    <t>the journal of allergy and clinical immunology</t>
  </si>
  <si>
    <t>https://pubmed.ncbi.nlm.nih.gov/31953105</t>
  </si>
  <si>
    <t>Epigenetic signatures in the nasal epithelium, which is a primary interface with the environment and an accessible proxy for the bronchial epithelium, might provide insights into mechanisms of allergic disease. We aimed to identify and interpret methylation signatures in nasal epithelial brushes associated with rhinitis and asthma. Nasal epithelial brushes were obtained from 455 children at the 16-year follow-up of the Dutch Prevention and Incidence of Asthma and Mite Allergy birth cohort study. Epigenome-wide association studies were performed on children with asthma, rhinitis, and asthma and/or rhinitis (AsRh) by using logistic regression, and the top results were replicated in 2 independent cohorts of African American and Puerto Rican children. Significant CpG sites were related to environmental exposures (pets, active and passive smoking, and molds) during secondary school and were correlated with gene expression by RNA-sequencing (n = 244). The epigenome-wide association studies identified CpG sites significantly associated with rhinitis (n = 81) and AsRh (n = 75), but not with asthma. We significantly replicated 62 of 81 CpG sites with rhinitis and 60 of 75 with AsRh, as well as 1 CpG site with asthma. Methylation of cg03565274 was negatively associated with AsRh and positively associated with exposure to pets during secondary school. DNA methylation signals associated with AsRh were mainly driven by specific IgE-positive subjects. DNA methylation related to gene transcripts that were enriched for immune pathways and expressed in immune and epithelial cells. Nasal CpG sites performed well in predicting AsRh. We identified replicable DNA methylation profiles of asthma and rhinitis in nasal brushes. Exposure to pets may affect nasal epithelial methylation in relation to asthma and rhinitis.</t>
  </si>
  <si>
    <t>The Risk of Ovarian Cancer Increases with an Increase in the Lifetime Number of Ovulatory Cycles: An Analysis from the Ovarian Cancer Cohort Consortium (OC3).</t>
  </si>
  <si>
    <t>Trabert, Britton; Tworoger, Shelley S; O'Brien, Katie M; Townsend, Mary K; Fortner, Renée T; Iversen, Edwin S; Hartge, Patricia; White, Emily; Amiano, Pilar; Arslan, Alan A; Bernstein, Leslie; Brinton, Louise A; Buring, Julie E; Dossus, Laure; Fraser, Gary E; Gaudet, Mia M; Giles, Graham G; Gram, Inger T; Harris, Holly R; Bolton, Judith Hoffman; Idahl, Annika; Jones, Michael E; Kaaks, Rudolf; Kirsh, Victoria A; Knutsen, Synnove F; Kvaskoff, Marina; Lacey, James V; Lee, I-Min; Milne, Roger L; Onland-Moret, N Charlotte; Overvad, Kim; Patel, Alpa V; Peters, Ulrike; Poynter, Jenny N; Riboli, Elio; Robien, Kim; Rohan, Thomas E; Sandler, Dale P; Schairer, Catherine; Schouten, Leo J; Setiawan, Veronica W; Swerdlow, Anthony J; Travis, Ruth C; Trichopoulou, Antonia; van den Brandt, Piet A; Visvanathan, Kala; Wilkens, Lynne R; Wolk, Alicja; Zeleniuch-Jacquotte, Anne; Wentzensen, Nicolas; ,</t>
  </si>
  <si>
    <t>cancer research</t>
  </si>
  <si>
    <t>https://pubmed.ncbi.nlm.nih.gov/31932455</t>
  </si>
  <si>
    <t>Repeated exposure to the acute proinflammatory environment that follows ovulation at the ovarian surface and distal fallopian tube over a woman's reproductive years may increase ovarian cancer risk. To address this, analyses included individual-level data from 558,709 naturally menopausal women across 20 prospective cohorts, among whom 3,246 developed invasive epithelial ovarian cancer (2,045 serous, 319 endometrioid, 184 mucinous, 121 clear cell, 577 other/unknown). Cox models were used to estimate multivariable-adjusted HRs between lifetime ovulatory cycles (LOC) and its components and ovarian cancer risk overall and by histotype. Women in the 90th percentile of LOC (&gt;514 cycles) were almost twice as likely to be diagnosed with ovarian cancer than women in the 10th percentile (&lt;294) [HR (95% confidence interval): 1.92 (1.60-2.30)]. Risk increased 14% per 5-year increase in LOC (60 cycles) [(1.10-1.17)]; this association remained after adjustment for LOC components: number of pregnancies and oral contraceptive use [1.08 (1.04-1.12)]. The association varied by histotype, with increased risk of serous [1.13 (1.09-1.17)], endometrioid [1.20 (1.10-1.32)], and clear cell [1.37 (1.18-1.58)], but not mucinous [0.99 (0.88-1.10), P-heterogeneity = 0.01] tumors. Heterogeneity across histotypes was reduced [P-heterogeneity = 0.15] with adjustment for LOC components [1.08 serous, 1.11 endometrioid, 1.26 clear cell, 0.94 mucinous]. Although the 10-year absolute risk of ovarian cancer is small, it roughly doubles as the number of LOC rises from approximately 300 to 500. The consistency and linearity of effects strongly support the hypothesis that each ovulation leads to small increases in the risk of most ovarian cancers, a risk that cumulates through life, suggesting this as an important area for identifying intervention strategies. SIGNIFICANCE: Although ovarian cancer is rare, risk of most ovarian cancers doubles as the number of lifetime ovulatory cycles increases from approximately 300 to 500. Thus, identifying an important area for cancer prevention research.</t>
  </si>
  <si>
    <t>Nutrient-wide association study of 92 foods and nutrients and breast cancer risk.</t>
  </si>
  <si>
    <t>Heath, Alicia K; Muller, David C; van den Brandt, Piet A; Papadimitriou, Nikos; Critselis, Elena; Gunter, Marc; Vineis, Paolo; Weiderpass, Elisabete; Fagherazzi, Guy; Boeing, Heiner; Ferrari, Pietro; Olsen, Anja; Tjønneland, Anne; Arveux, Patrick; Boutron-Ruault, Marie-Christine; Mancini, Francesca Romana; Kühn, Tilman; Turzanski-Fortner, Renée; Schulze, Matthias B; Karakatsani, Anna; Thriskos, Paschalis; Trichopoulou, Antonia; Masala, Giovanna; Contiero, Paolo; Ricceri, Fulvio; Panico, Salvatore; Bueno-de-Mesquita, Bas; Bakker, Marije F; van Gils, Carla H; Olsen, Karina Standahl; Skeie, Guri; Lasheras, Cristina; Agudo, Antonio; Rodríguez-Barranco, Miguel; Sánchez, Maria-José; Amiano, Pilar; Chirlaque, María-Dolores; Barricarte, Aurelio; Drake, Isabel; Ericson, Ulrika; Johansson, Ingegerd; Winkvist, Anna; Key, Tim; Freisling, Heinz; His, Mathilde; Huybrechts, Inge; Christakoudi, Sofia; Ellingjord-Dale, Merete; Riboli, Elio; Tsilidis, Konstantinos K; Tzoulaki, Ioanna</t>
  </si>
  <si>
    <t>https://pubmed.ncbi.nlm.nih.gov/31931881</t>
  </si>
  <si>
    <t>Several dietary factors have been reported to be associated with risk of breast cancer, but to date, unequivocal evidence only exists for alcohol consumption. We sought to systematically assess the association between intake of 92 foods and nutrients and breast cancer risk using a nutrient-wide association study. Using data from 272,098 women participating in the European Prospective Investigation into Cancer and Nutrition (EPIC) study, we assessed dietary intake of 92 foods and nutrients estimated by dietary questionnaires. Cox regression was used to quantify the association between each food/nutrient and risk of breast cancer. A false discovery rate (FDR) of 0.05 was used to select the set of foods and nutrients to be replicated in the independent Netherlands Cohort Study (NLCS). Six foods and nutrients were identified as associated with risk of breast cancer in the EPIC study (10,979 cases). Higher intake of alcohol overall was associated with a higher risk of breast cancer (hazard ratio (HR) for a 1 SD increment in intake = 1.05, 95% CI 1.03-1.07), as was beer/cider intake and wine intake (HRs per 1 SD increment = 1.05, 95% CI 1.03-1.06 and 1.04, 95% CI 1.02-1.06, respectively), whereas higher intakes of fibre, apple/pear, and carbohydrates were associated with a lower risk of breast cancer (HRs per 1 SD increment = 0.96, 95% CI 0.94-0.98; 0.96, 95% CI 0.94-0.99; and 0.96, 95% CI 0.95-0.98, respectively). When evaluated in the NLCS (2368 cases), estimates for each of these foods and nutrients were similar in magnitude and direction, with the exception of beer/cider intake, which was not associated with risk in the NLCS. Our findings confirm a positive association of alcohol consumption and suggest an inverse association of dietary fibre and possibly fruit intake with breast cancer risk.</t>
  </si>
  <si>
    <t>Learning health care systems: Highly needed but challenging.</t>
  </si>
  <si>
    <t>Wouters, Roel H P; van der Graaf, Rieke; Voest, Emile E; Bredenoord, Annelien L</t>
  </si>
  <si>
    <t>learning health systems</t>
  </si>
  <si>
    <t>https://pubmed.ncbi.nlm.nih.gov/32685681</t>
  </si>
  <si>
    <t>Learning health care systems (LHSs) have the potential to transform health care. However, this transformation process faces significant challenges. Based on proposals and early examples of LHSs in the literature and conceptual analysis of the LHS mission, we provide four models with distinct organizational and ethical implications that may facilitate the transformation. An LHS could be developed in the following ways: by taking away practical impediments that prevent patients and professionals from engaging in scientific research (model 1: optimization LHS); by routinely analyzing observational data from electronic health records and other sources (model 2: comprehensive data LHS); by making clinical decisions based on the outcomes of the aforementioned data analyses and directly evaluating the outcomes in order to continuously improve decision-making (model 3: real-time LHS); or by embedding clinical trials into routine care delivery (model 4: full LHS). Each model has different ethical implications for consent and oversight. Also, the four-model approach shows that reorganizing a health care center into an LHS is not an all-or-nothing decision. Rather, it is a choice from a menu of possibilities. Instead of discussing the advantages and disadvantages of the LHS menu in its entirety, the medical community should focus on the designs and ethical aspects of each of the separate options.</t>
  </si>
  <si>
    <t>Mortality after hospital admission for heart failure: improvement over time, equally strong in women as in men.</t>
  </si>
  <si>
    <t>Buddeke, J; Valstar, G B; van Dis, I; Visseren, F L J; Rutten, F H; den Ruijter, H M; Vaartjes, I; Bots, M L; ,</t>
  </si>
  <si>
    <t>https://pubmed.ncbi.nlm.nih.gov/31924185</t>
  </si>
  <si>
    <t>To assess the trend in age- and sex-stratified mortality after hospitalization for heart failure (HF) in the Netherlands. Two nationwide cohorts of patients, hospitalized for new onset heart failure between 01.01.2000-31.12.2002 and between 01.01.2008-31.12.2010, were constructed by linkage of the Dutch Hospital Discharge Registry and the National Cause of Death registry. 30-day, 1-year and 5 -year overall and cause-specific mortality rates stratified by age and sex were assessed and compared over time. We identified 40,230 men and 41,582 women. In both cohorts, men were on average younger than women (74-75 and 78-79 years, respectively) and more often had comorbid conditions (37 and 30%, respectively). In the 2008-10 cohort, mortality rates for men were 13, 32 and 64% for respectively 30-day, 1-year and 5-year mortality and 14, 33 and 66% for women. Mortality rates increased considerably with age similarly in men and women (e.g. from 10.5% in women aged 25-54 to 46.1% in those aged 85 and older after 1 year). Between the two time periods, mortality rates dropped across all ages, equally strong in women as in men. The 1-year absolute risk of death declined by 4.0% (from 36.1 to 32.1%) in men and 3.2% (from 36.2 to 33.0%) in women. Mortality after hospitalization for new onset HF remains high, however, both short-term and long-term survival is improving over time. This improvement was similar across all ages and equally strong in women as in men.</t>
  </si>
  <si>
    <t>Hospital Utilization and Costs in Older Patients with Advanced Chronic Kidney Disease Choosing Conservative Care or Dialysis: A Retrospective Cohort Study.</t>
  </si>
  <si>
    <t>Verberne, Wouter R; Ocak, Gurbey; van Gils-Verrij, Liesbeth A; van Delden, Johannes J M; Bos, Willem Jan W</t>
  </si>
  <si>
    <t>blood purification</t>
  </si>
  <si>
    <t>https://pubmed.ncbi.nlm.nih.gov/31927544</t>
  </si>
  <si>
    <t>Nondialytic conservative care has been recognized as a viable alternative to chronic dialysis in older patients with end-stage kidney disease, but little is known about its consequences on hospital utilization and costs. We performed a retrospective cohort study to compare outpatient and inpatient hospital utilization, place of death, and hospital costs in patients aged ≥70 years old who chose conservative care (n = 100) or dialysis (n = 162) after shared decision making in a nonacademic teaching hospital between 2008 and 2016. Patients who chose conservative care were older than patients who chose dialysis (82.5 vs. 76.3 years). Comorbidity did not differ between the 2 patient groups. The incidence rates of outpatient visits per year were 7.1 in patients who chose conservative care and 10.7 in patients who chose dialysis (incidence rate ratio 0.67, 95% CI 0.55-0.81). The incidence rates of in-hospital days per year were, respectively, 6.0 and 9.8 (incidence rate ratio 0.50, 95% CI 0.29-0.88). Also in the final month of life, patients on conservative care had less outpatient visits, were less frequently hospitalized, and died less frequently in hospital than the dialysis patient group. The cost rates per year, measured from original treatment decision, were EUR 5,859 in conservative care patients and EUR 28,354 in patients who chose dialysis comprising both the predialysis and dialysis period (cost rate ratio 0.42, 95% CI 0.27-0.65). Patients who chose dialysis had higher costs on dialysis sessions, outpatient care, inpatient care, laboratory tests, and medical imaging. Patients who decided to forego dialysis and chose conservative care had less outpatient and inpatient hospital utilization than patients who chose dialysis, including less intensive hospital utilization near the end of life. Both overall and nondialysis-related costs were lower in patients on a conservative care pathway.</t>
  </si>
  <si>
    <t>Applying evidence-based medicine in general practice: a video-stimulated interview study on workplace-based observation.</t>
  </si>
  <si>
    <t>Welink, Lisanne S; Van Roy, Kaatje; Damoiseaux, Roger A M J; Suijker, Hilde A; Pype, Peter; de Groot, Esther; Bartelink, Marie-Louise E L</t>
  </si>
  <si>
    <t>https://pubmed.ncbi.nlm.nih.gov/31914934</t>
  </si>
  <si>
    <t>Evidence-based medicine (EBM) in general practice involves applying a complex combination of best-available evidence, the patient's preferences and the general practitioner's (GP) clinical expertise in decision-making. GPs and GP trainees learn how to apply EBM informally by observing each other's consultations, as well as through more deliberative forms of workplace-based learning. This study aims to gain insight into workplace-based EBM learning by investigating the extent to which GP supervisors and trainees recognise each other's EBM behaviour through observation, and by identifying aspects that influence their recognition. We conducted a qualitative multicentre study based on video-stimulated recall interviews (VSI) of paired GP supervisors and GP trainees affiliated with GP training institutes in Belgium and the Netherlands. The GP pairs (n = 22) were shown fragments of their own and their partner's consultations and were asked to elucidate their own EBM considerations and the ones they recognised in their partner's actions. The interview recordings were transcribed verbatim and analysed with NVivo. By comparing pairs who recognised each other's considerations well with those who did not, we developed a model describing the aspects that influence the observer's recognition of an actor's EBM behaviour. Overall, there was moderate similarity between an actor's EBM behaviour and the observer's recognition of it. Aspects that negatively influence recognition are often observer-related. Observers tend to be judgemental, give unsolicited comments on how they would act themselves and are more concerned with the trainee-supervisor relationship than objective observation. There was less recognition when actors used implicit reasoning, such as mindlines (internalised, collectively reinforced tacit guidelines). Pair-related aspects also played a role: previous discussion of a specific topic or EBM decision-making generally enhanced recognition. Consultation-specific aspects played only a marginal role. GP trainees and supervisors do not fully recognise EBM behaviour through observing each other's consultations. To improve recognition of EBM behaviour and thus benefit from informal observational learning, observers need to be aware of automatic judgements that they make. Creating explicit learning moments in which EBM decision-making is discussed, can improve shared knowledge and can also be useful to unveil tacit knowledge derived from mindlines.</t>
  </si>
  <si>
    <t>Adherence to the Dutch dietary guidelines and 15-year incidence of heart failure in the EPIC-NL cohort.</t>
  </si>
  <si>
    <t>Harbers, Marjolein C; de Kroon, A Marleen; Boer, Jolanda M A; Asselbergs, Folkert W; Geleijnse, Johanna M; Verschuren, W M Monique; van der Schouw, Yvonne T; Sluijs, Ivonne</t>
  </si>
  <si>
    <t>https://pubmed.ncbi.nlm.nih.gov/31912232</t>
  </si>
  <si>
    <t>A healthy diet may contribute to the primary prevention of heart failure (HF), but evidence is still inconclusive. We aimed to study the association between adherence to the Dutch dietary guidelines and incidence of HF. We studied 37,468 participants aged 20-70 years and free of HF at baseline from the EPIC-NL cohort. At baseline (1993-1997), data were collected on demographics, lifestyle, and presence of chronic diseases. Dietary intake was assessed using a 178-item validated food frequency questionnaire. Dietary intake data were used to calculate scores on the Dutch Healthy Diet 2015 Index (DHD15-index) measuring adherence to the Dutch dietary guidelines. The DHD15-index is based on the average daily intake of 14 food groups resulting in a total score ranging between 0 and 140, with higher scores indicating better adherence. HF morbidity and mortality during follow-up were ascertained through linkage with national registries. Cox proportional hazards analysis was used to estimate hazard ratios (HRs) and 95% confidence intervals (95% CIs) for the association between DHD15 adherence and HF risk, adjusting for sociodemographic and lifestyle characteristics. The average score on the DHD15-index was 71 (SD = 15). During a median follow-up of 15.2 years (IQR 14.1-16.5), 674 HF events occurred. After adjustment for demographic and lifestyle characteristics, higher scores on the DHD15-index were associated with lower risk of HF (HR&lt;sub&gt;Q4vsQ1&lt;/sub&gt; 0.73; 95% CI 0.58-0.93; P&lt;sub&gt;trend&lt;/sub&gt; 0.001). In a large Dutch population of middle-aged adults, higher adherence to the Dutch dietary guidelines was associated with lower risk of HF.</t>
  </si>
  <si>
    <t>How should the 'privilege' in therapeutic privilege be conceived when considering the decision-making process for patients with borderline capacity?</t>
  </si>
  <si>
    <t>Menon, Sumytra; Entwistle, Vikki; Campbell, Alastair Vincent; van Delden, Johannes J M</t>
  </si>
  <si>
    <t>https://pubmed.ncbi.nlm.nih.gov/31911500</t>
  </si>
  <si>
    <t>Therapeutic privilege (TP) is a defence that may be available to doctors who fail to disclose to the patient relevant information when seeking informed consent for treatment if they have a reasonable belief that providing that information would likely cause the patient concerned serious physical or mental harm. In a landmark judgement, the Singapore Court of Appeal introduced a novel interpretation of TP, identifying circumstances in which it might be used with patients who did not strictly lack capacity but might be inclined to refuse recommended treatments. In this paper, we explore the conceptual and practical challenges of this novel interpretation of TP. We propose that more emphasis should be placed on forms of shared and supported decision-making that foster the autonomy of patients with compromised mental capacity while being mindful of the need to safeguard their well-being. The kind of privilege that doctors might need to invoke is one of time and supportive expertise to ensure a flexible, responsive approach calibrated to the individual patients' needs. The provision of such service would extinguish the need for the novel TP proposed by the Singapore Court of Appeal.</t>
  </si>
  <si>
    <t>Sex differences in the risk of vascular disease associated with diabetes.</t>
  </si>
  <si>
    <t>de Ritter, Rianneke; de Jong, Marit; Vos, Rimke C; van der Kallen, Carla J H; Sep, Simone J S; Woodward, Mark; Stehouwer, Coen D A; Bots, Michiel L; Peters, Sanne A E</t>
  </si>
  <si>
    <t>https://pubmed.ncbi.nlm.nih.gov/31900228</t>
  </si>
  <si>
    <t>Diabetes is a strong risk factor for vascular disease. There is compelling evidence that the relative risk of vascular disease associated with diabetes is substantially higher in women than men. The mechanisms that explain the sex difference have not been identified. However, this excess risk could be due to certain underlying biological differences between women and men. In addition to other cardiometabolic pathways, sex differences in body anthropometry and patterns of storage of adipose tissue may be of particular importance in explaining the sex differences in the relative risk of diabetes-associated vascular diseases. Besides biological factors, differences in the uptake and provision of health care could also play a role in women's greater excess risk of diabetic vascular complications. In this review, we will discuss the current knowledge regarding sex differences in both biological factors, with a specific focus on sex differences adipose tissue, and in health care provided for the prevention, management, and treatment of diabetes and its vascular complications. While progress has been made towards understanding the underlying mechanisms of women's higher relative risk of diabetic vascular complications, many uncertainties remain. Future research to understanding these mechanisms could contribute to more awareness of the sex-specific risk factors and could eventually lead to more personalized diabetes care. This will ensure that women are not affected by diabetes to a greater extent and will help to diminish the burden in both women and men.</t>
  </si>
  <si>
    <t>Measurement properties of oral health assessments for non-dental healthcare professionals in older people: a systematic review.</t>
  </si>
  <si>
    <t>Everaars, Babette; Weening-Verbree, Linet F; Jerković-Ćosić, Katarina; Schoonmade, Linda; Bleijenberg, Nienke; de Wit, Niek J; van der Heijden, Geert J M G</t>
  </si>
  <si>
    <t>https://pubmed.ncbi.nlm.nih.gov/31900125</t>
  </si>
  <si>
    <t>Regular inspection of the oral cavity is required for prevention, early diagnosis and risk reduction of oral- and general health-related problems. Assessments to inspect the oral cavity have been designed for non-dental healthcare professionals, like nurses. The purpose of this systematic review was to evaluate the content and the measurement properties of oral health assessments for use by non-dental healthcare professionals in assessing older peoples' oral health, in order to provide recommendations for practice, policy, and research. A systematic search in PubMed, EMBASE.com, and Cinahl (via Ebsco) has been performed. Search terms referring to 'oral health assessments&lt;sup&gt;'&lt;/sup&gt;, 'non-dental healthcare professionals' and 'older people (60+)' were used. Two reviewers individually performed title/abstract, and full-text screening for eligibility. The included studies have investigated at least one measurement property (validity/reliability) and were evaluated on their methodological quality using "The Consensus-based Standards for the selection of health Measurement Instruments" (COSMIN) checklist. The measurement properties were then scored using quality criteria (positive/negative/indeterminate). Out of 879 hits, 18 studies were included in this review. Five studies showed good methodological quality on at least one measurement property and 14 studies showed poor methodological quality on some of their measurement properties. None of the studies assessed all measurement properties of the COSMIN. In total eight oral health assessments were found: the Revised Oral Assessment Guide (ROAG); the Minimum Data Set (MDS), with oral health component; the Oral Health Assessment Tool (OHAT); The Holistic Reliable Oral Assessment Tool (THROAT); Dental Hygiene Registration (DHR); Mucosal Plaque Score (MPS); The Brief Oral Health Screening Examination (BOHSE) and the Oral Assessment Sheet (OAS). Most frequently assessed items were: lips, mucosa membrane, tongue, gums, teeth, denture, saliva, and oral hygiene. Taken into account the scarce evidence of the proposed assessments, the OHAT and ROAG are most complete in their included oral health items and are of best methodological quality in combination with positive quality criteria on their measurement properties. Non-dental healthcare professionals, policymakers and researchers should be aware of the methodological limitations of the available oral health assessments and realize that the quality of the measurement properties remains uncertain.</t>
  </si>
  <si>
    <t>Description of the Risk Management of Medication Errors for Centrally Authorised Products in the European Union.</t>
  </si>
  <si>
    <t>Hoeve, Christina E; Francisca, Reynold D C; Zomerdijk, Inge; Sturkenboom, Miriam C J M; Straus, Sabine M J M</t>
  </si>
  <si>
    <t>https://pubmed.ncbi.nlm.nih.gov/31617081</t>
  </si>
  <si>
    <t>Medication errors can have serious consequences for patients. To prevent the occurrence of medication errors in clinical practice, safety concerns may be included in the risk management plan and subsequently be addressed with routine and/or additional risk minimisation measures. This study aims to describe safety concerns around medication errors and the risk minimisation measures for centrally authorised products in the European Union. All safety concerns included in the risk management plans of originator centrally authorised products, authorised between 1 January, 2010 and 31 December, 2017, were collected from the European Public Assessment Report registry. Medication error safety concerns were categorised by Anatomical Therapeutic Classification code, year of authorisation, type of medication error and type of risk minimisation measure. During the study period, 311 centrally authorised products were approved, of which 84 had at least one medication error safety concern. The proportion of centrally authorised products with medication error safety concerns showed variation between 2010 and 2017 ranging from 15.2% to 36.4%. In total, 95 medication error safety concerns were identified. The type of medication error was highly variable, drug administration error was listed most frequently (n = 17). For 27 out of 95 medication error safety concerns, corresponding to 23 centrally authorised products, additional risk minimisation measures were required. All additional risk minimisation measures consisted of educational material targeted at healthcare professionals (85.2%) and/or patients (51.9%). For 78.3% of centrally authorised products with additional risk minimisation measures for medication errors, studies to evaluate the effectiveness of the additional risk minimisation measures were agreed upon. Medication error safety concerns were listed for almost a quarter of centrally authorised products approved during the study period. Further research is needed to evaluate the effectiveness and continued need for additional risk minimisation measures for medication errors.</t>
  </si>
  <si>
    <t>Exploratory Study of Signals for Asthma Drugs in Children, Using the EudraVigilance Database of Spontaneous Reports.</t>
  </si>
  <si>
    <t>Baan, Esmé J; de Smet, Veronique A; Hoeve, Christina E; Pacurariu, Alexandra C; Sturkenboom, Miriam C J M; de Jongste, Johan C; Janssens, Hettie M; Verhamme, Katia M C</t>
  </si>
  <si>
    <t>https://pubmed.ncbi.nlm.nih.gov/31617080</t>
  </si>
  <si>
    <t>As asthma medications are frequently prescribed for children, knowledge of the safety of these drugs in the paediatric population is important. Although spontaneous reports cannot be used to prove causality of adverse events, they are important in the detection of safety signals. Our objective was to provide an overview of adverse drug events associated with asthma medications in children from a spontaneous reports database and to identify new signals. Spontaneous reports concerning asthma drugs were obtained from EudraVigilance, the European Medicine Agency's database for suspected adverse drug reactions. For each drug-event combination, we calculated the proportional reporting ratio (PRR) in the study period 2011-2017. Signals in children (aged 0-17 years) were compared with signals in the whole population. Analyses were repeated for different age categories, by sex and by therapeutic area. In total, 372,345 reports in children resulted in 385 different signals concerning asthma therapy. The largest group consisted of psychiatric events (65 signals). Only 30 signals were new, with seven, including herpes viral infections, associated with omalizumab. Stratification by age, sex and therapeutic area provided additional new signals, such as hypertrichoses with budesonide and encephalopathies with theophylline. Of all signals in children, 60 (16%) did not appear in the whole population. The majority of signals regarding asthma therapy in children were already known, but we also identified new signals. We showed that signals can be masked if age stratification is not conducted. Further exploration is needed to investigate the risk and causality of the newly found signals.</t>
  </si>
  <si>
    <t>Human papillomavirus infection and cervical dysplasia in HIV-positive women: potential role of the vaginal microbiota.</t>
  </si>
  <si>
    <t>van de Wijgert, Janneke H H M; Gill, A Christina; Chikandiwa, Admire; Verwijs, Marijn C; Kelly, Helen A; Omar, Tanvier; Delany-Moretlwe, Sinead; Segondy, Michel; Francis, Suzanna; Darby, Alistair C; Mayaud, Philippe; ,</t>
  </si>
  <si>
    <t>https://pubmed.ncbi.nlm.nih.gov/31567164</t>
  </si>
  <si>
    <t>To assess the associations between microbiological markers of vaginal dysbiosis and incident/cleared/type-swap/persistent high-risk human papillomavirus (hrHPV) infection; and incident/cured/cleared/persistent high-grade cervical intraepithelial neoplasia (CIN2+) while controlling for persistent hrHPV infection. Two nested case-control studies (N = 304 and 236) within a prospective cohort of HIV-positive women in Johannesburg, South Africa. Participants were examined for hrHPV type (INNO-LiPA), cervical dysplasia (histology), and vaginal microbiota (VMB) composition (V3-V4 Illumina HiSeq 2x300 bp) at baseline and endline, a median of 16 months later. Women with incident hrHPV compared to those who remained hrHPV-negative were less likely to have an optimal Lactobacillus crispatus or jensenii-dominated VMB type at end-line [relative risk ratio (RRR) 0.125, P = 0.019], but not at baseline. Having different hrHPV types at both visits was associated with multiple anaerobic dysbiosis markers at baseline (e.g. increased bacterial vaginosis-associated anaerobes relative abundance: RRR 3.246, P = 0.026). Compared to women without CIN2+, but with hrHPV at both visits, women with incident CIN2+ had increased Simpson diversity (RRR 7.352, P = 0.028) and nonsignificant trends in other anaerobic dysbiosis markers at end-line but not baseline. These associations persisted after controlling for age, hormonal contraception, and CD4 cell count. Current hormonal contraceptive use (predominantly progestin-only injectables) was associated with increased CIN2+ risk over-and-above persistent hrHPV infection and independent of VMB composition. hrHPV infection (and/or increased sexual risk-taking) may cause anaerobic vaginal dysbiosis, but a bidirectional relationship is also possible. In this population, dysbiosis did not increase CIN2+ risk, but CIN2+ increased dysbiosis risk. The CIN2+ risk associated with progestin-only injectable use requires further evaluation.</t>
  </si>
  <si>
    <t>Transferring effective interventions for cancer-related fatigue from the adjuvant to the advanced cancer session: does it work?</t>
  </si>
  <si>
    <t>May, A M</t>
  </si>
  <si>
    <t>https://pubmed.ncbi.nlm.nih.gov/31912802</t>
  </si>
  <si>
    <t>Vascular Risk Factors of Hippocampal Subfield Volumes in Persons without Dementia: The Medea 7T Study.</t>
  </si>
  <si>
    <t>Blom, Kim; Koek, Huiberdina L; Zwartbol, Maarten H T; Ghaznawi, Rashid; Kuijf, Hugo J; Witkamp, Theo D; Hendrikse, Jeroen; Biessels, Geert Jan; Geerlings, Mirjam I; ,</t>
  </si>
  <si>
    <t>https://pubmed.ncbi.nlm.nih.gov/32925029</t>
  </si>
  <si>
    <t>Vascular risk factors have been associated with risk of Alzheimer's disease (AD) and volume loss of the hippocampus, but the associations with subfields of the hippocampus are understudied. Knowing if vascular risk factors contribute to hippocampal subfield atrophy may improve our understanding of vascular contributions to neurodegenerative diseases. To investigate the associations between age, sex, and vascular risk factors with hippocampal subfields volumes on 7T MRI in older persons without dementia. From the Medea 7T study, 283 participants (67±9 years, 68% men) without dementia had 7T brain MRI and hippocampal subfield segmentation. Subfields were automatically segmented on the 3D T2-weighted 7T images with ASHS software. Using linear mixed models, we estimated adjusted associations of age, sex, and vascular risk factors with z-scores of volumes of the entorhinal cortex (ERC), subiculum (SUB), Cornu Ammonis (CA)1, CA2, CA3, CA4, and dentate gyrus (DG), and tail as multivariate correlated outcomes. Increasing age was associated with smaller volumes in all subfields, except CA4/DG. Current smoking was associated with smaller ERC and SUB volumes; moderate alcohol use with smaller CA1 and CA4/DG, obesity with smaller volumes of ERC, SUB, CA2, CA3, and tail; and diabetes mellitus with smaller SUB volume. Sex, former smoking, and hypertension were not associated with subfield volumes. When formally tested, no risk factor affected the subfield volumes differentially. Several vascular risk factors were associated with smaller volumes of specific hippocampal subfields. However, no statistical evidence was found that subfields were differentially affected by these risk factors.</t>
  </si>
  <si>
    <t>Trends in Risk of Limitations in Instrumental Activities of Daily Living Over Age in Older Persons With and Without Multiple Chronic Conditions.</t>
  </si>
  <si>
    <t>Mueller-Schotte, Sigrid; Zuithoff, Nicolaas P A; Van der Schouw, Yvonne T; Schuurmans, Marieke J; Bleijenberg, Nienke</t>
  </si>
  <si>
    <t>https://pubmed.ncbi.nlm.nih.gov/30772903</t>
  </si>
  <si>
    <t>To investigate trends over age by comorbidity status for the risk of limitations in individual activities of daily living for community-living older persons. A longitudinal population-based study was conducted in 9,319 community-living Dutch persons aged 60 years and older. Self-reported multiple chronic conditions (MCC) and nine instrumental activities of daily livings (IADLs) were assessed in 15 studies of the Dutch National Care for the Elderly Program (TOPICS-MDS). Risks of limitations in IADLs, odds ratios (per 5 years), and rate ratios (per 5 years) were calculated with mixed logistic and negative binomial regression models with age as the underlying timescale, stratified by number of MCC (no, 1-2, ≥ 3 MCC), and corrected for confounders. At inclusion, the number of IADL limitations was highest for the "≥3 MCC" group (2.00 interquartile range [1.00-4.00]) and equal for "no MCC" or "1-2 MCC" (1.00 interquartile range [0.00-2.00]). Trends of individual IADLs depicted a higher risk in IADL limitation with increasing age over 2 years of follow-up, except for handling finances for the "no MCC" group. The longitudinal age effect on IADL limitations varied subject to MCC, being strongest for the "no MCC" group for most IADLs; grooming and telephone use were almost unaltered by age and MCC. We observed a decline in IADL functioning with increasing age over 2 years of follow-up in persons with and without MCC. The impact of MCC on IADL decline varied per IADL activity.</t>
  </si>
  <si>
    <t>Tonsillectomy for periodic fever, aphthous stomatitis, pharyngitis and cervical adenitis syndrome (PFAPA).</t>
  </si>
  <si>
    <t>Burton, Martin J; Pollard, Andrew J; Ramsden, James D; Chong, Lee-Yee; Venekamp, Roderick P</t>
  </si>
  <si>
    <t>https://pubmed.ncbi.nlm.nih.gov/31886897</t>
  </si>
  <si>
    <t>Periodic fever, aphthous stomatitis, pharyngitis and cervical adenitis (PFAPA) syndrome is a rare clinical syndrome of unknown cause usually identified in children. Tonsillectomy is considered a potential treatment option for this syndrome. This is an update of a Cochrane Review first published in 2010 and previously updated in 2014. To assess the effectiveness and safety of tonsillectomy (with or without adenoidectomy) compared with non-surgical treatment in the management of children with PFAPA. The Cochrane ENT Information Specialist searched the Cochrane ENT Trials Register; Central Register of Controlled Trials (CENTRAL 2019, Issue 4); PubMed; Ovid Embase; CINAHL; Web of Science; ClinicalTrials.gov; ICTRP and additional sources for published and unpublished trials. The date of the search was 15 October 2019. Randomised controlled trials comparing tonsillectomy (with or without adenoidectomy) with non-surgical treatment in children with PFAPA. We used the standard methodological procedures expected by Cochrane. The primary outcomes were the proportion of children whose symptoms have completely resolved and complications of surgery (haemorrhage and number of days of postoperative pain). Secondary outcomes were: number of episodes of fever and the associated symptoms; severity of episodes; use of corticosteroids; absence or time off school; quality of life. We used GRADE to assess the certainty of the evidence for each outcome. Two trials were included with a total of 67 children randomised (65 analysed); we judged both to be at low risk of bias. One trial of 39 participants recruited children with PFAPA syndrome diagnosed according to rigid, standard criteria. The trial compared adenotonsillectomy to watchful waiting and followed up patients for 18 months. A smaller trial of 28 children applied less stringent criteria for diagnosing PFAPA and probably also included participants with alternative types of recurrent pharyngitis. This trial compared tonsillectomy alone to no treatment and followed up patients for six months. Combining the trial results suggests that patients with PFAPA likely experience less fever and less severe episodes after surgery compared to those receiving no surgery. The risk ratio (RR) for immediate resolution of symptoms after surgery that persisted until the end of follow-up was 4.38 (95% confidence interval (CI) 0.64 to 30.11); number needed to treat to benefit (NNTB) = 2, calculated based on an estimate that 156 in 1000 untreated children have a resolution) (moderate-certainty evidence). Both trials reported that there were no complications of surgery. However, the numbers of patients randomly allocated to surgery (19 and 14 patients respectively) were too small to detect potentially important complications such as haemorrhage. Surgery probably results in a large overall reduction in the average number of episodes over the total length of follow-up (rate ratio 0.08, 95% CI 0.05 to 0.13), reducing the average frequency of PFAPA episodes from one every two months to slightly less than one every two years (moderate-certainty evidence). Surgery also likely reduces severity, as indicated by the length of PFAPA symptoms during these episodes. One study reported that the average number of days per PFAPA episode was 1.7 days after receiving surgery, compared to 3.5 days in the control group (moderate-certainty evidence). The evidence suggests that the proportion of patients requiring corticosteroids was also lower in the surgery group compared to those receiving no surgery (RR 0.58, 95% CI 0.37 to 0.92) (low-certainty evidence). Other outcomes such as absence from school and quality of life were not measured or reported. The evidence for the effectiveness of tonsillectomy in children with PFAPA syndrome is derived from two small randomised controlled trials. These trials reported significant beneficial effects of surgery compared to no surgery on immediate and complete symptom resolution (NNTB = 2) and a substantial reduction in the frequency and severity (length of episode) of any further symptoms experienced. However, the evidence is of moderate certainty (further research is likely to have an important impact on our confidence in the estimate of effect and may change the estimate) due to the relatively small sample sizes of the studies and some concerns about the applicability of the results. Therefore, the parents and carers of children with PFAPA syndrome must weigh the risks and consequences of surgery against the alternative of using medications. It is well established that children with PFAPA syndrome recover spontaneously and medication can be administered to try and reduce the severity of individual episodes. It is uncertain whether adenoidectomy combined with tonsillectomy adds any additional benefit to tonsillectomy alone.</t>
  </si>
  <si>
    <t>Attitude and behaviour of Dutch Otorhinolaryngologists to Evidence Based Medicine.</t>
  </si>
  <si>
    <t>Rademaker, Maaike M; Smit, Adriana L; Kortekaas, Marlous F; van Benthem, Peter Paul G; Stegeman, Inge</t>
  </si>
  <si>
    <t>https://pubmed.ncbi.nlm.nih.gov/31887153</t>
  </si>
  <si>
    <t>The objective of this study was to assess the attitude and behaviour of Dutch ENT surgeons and ENT residents towards Evidence Based Medicine. Evidence Based Medicine is the cornerstone of modern clinical care. It is considered of crucial importance for optimal patient care and health care quality. Practicing it requires positive attitude and behaviour. Little is known about the attitude and behaviour towards Evidence Based Medicine in otorhinolaryngology. We performed a web-based questionnaire among 607 Dutch Ear- Nose &amp; Throat surgeons of whom 106 residents (cross-sectional study). The questionnaire consisted of 3 parts; (1) personal characteristics, (2) questions regarding Evidence Based Medicine attitude (McColl questionnaire, scale 0-100%) and (3) questions regarding Evidence Based Medicine behaviour (barriers and information seeking behaviour). Data were collected between March 26th 2018 and June 1st 2018. The median score on the overall McColl questionnaire was 50 (IQR 35). The main barriers respondents experienced were time related. Limited time in the outpatient clinic was considered a more important barrier for residents to practice EBM compared to ENT surgeons. Respondents' gut feeling and their own preference were identified as the main contributing factors in clinical decision making. In conclusion Dutch ENT surgeons have a moderate attitude on the McColl questionnaire. The main barriers to practice Evidence Based Medicine they experience are time related.</t>
  </si>
  <si>
    <t>Responsible data sharing in a big data-driven translational research platform: lessons learned.</t>
  </si>
  <si>
    <t>Kalkman, S; Mostert, M; Udo-Beauvisage, N; van Delden, J J; van Thiel, G J</t>
  </si>
  <si>
    <t>https://pubmed.ncbi.nlm.nih.gov/31888593</t>
  </si>
  <si>
    <t>To foster responsible data sharing in health research, ethical governance complementary to the EU General Data Protection Regulation is necessary. A governance framework for Big Data-driven research platforms will at least need to consider the conditions as specified a priori for individual datasets. We aim to identify and analyze these conditions for the Innovative Medicines Initiative's (IMI) BigData@Heart platform. We performed a unique descriptive case study into the conditions for data sharing as specified for datasets participating in BigData@Heart. Principle investigators of 56 participating databases were contacted via e-mail with the request to send any kind of documentation that possibly specified the conditions for data sharing. Documents were qualitatively reviewed for conditions pertaining to data sharing and data access. Qualitative content analysis of 55 relevant documents revealed overlap on the conditions: (1) only to share health data for scientific research, (2) in anonymized/coded form, (3) after approval from a designated review committee, and while (4) observing all appropriate measures for data security and in compliance with the applicable laws and regulations. Despite considerable overlap, prespecified conditions give rise to challenges for data sharing. At the same time, these challenges inform our thinking about the design of an ethical governance framework for data sharing platforms. We urge current data sharing initiatives to concentrate on: (1) the scope of the research questions that may be addressed, (2) how to deal with varying levels of de-identification, (3) determining when and how review committees should come into play, (4) align what policies and regulations mean by "data sharing" and (5) how to deal with datasets that have no system in place for data sharing.</t>
  </si>
  <si>
    <t>Safety of switching from vitamin K antagonist to non-vitamin K antagonist oral anticoagulant in frail elderly with atrial fibrillation: rationale and design of the FRAIL-AF randomised controlled trial.</t>
  </si>
  <si>
    <t>Joosten, Linda P T; van Doorn, Sander; Hoes, Arno W; Nierman, Melchior C; Wiersma, Nynke M; Koek, Huiberdina L; Hemels, Martin E W; Huisman, Menno V; Roes, Kit C; van den Bor, Rutger M; Buding, Wim F; Rutten, Frans H; Geersing, Geert-Jan</t>
  </si>
  <si>
    <t>https://pubmed.ncbi.nlm.nih.gov/31888928</t>
  </si>
  <si>
    <t>Clinical guidelines recommend non-vitamin K antagonist oral anticoagulants (NOACs) over vitamin K antagonists (VKAs) for stroke prevention in most patients with atrial fibrillation (AF). Frail elderly were under-represented in the landmark NOAC-trials, leaving a knowledge gap on the optimal anticoagulant management (VKA or NOAC) in this increasing population. The aim of the Frail-AF (FRAIL-AF) study is to assess whether switching from international normalised ratio (INR)-guided VKA-management to a NOAC-based treatment strategy compared with continuing VKA-management is safe in frail elderly patients with AF. The FRAIL-AF study is a pragmatic, multicentre, open-label, randomised controlled clinical trial. Frail elderly (age ≥75 years plus a Groningen Frailty Indicator score ≥3) who receive VKA-treatment for AF in the absence of a mechanical heart valve or severe mitral valve stenosis will be randomised to switch to a NOAC-based treatment strategy or to continue INR-guided VKA-management. Patients with severe renal impairment (estimated glomerular filtration rate &lt;30 mL/min/1.73 m&lt;sup&gt;2&lt;/sup&gt;) will be excluded from randomisation. Based on existing trial evidence in non-frail patients, we will aim to explore whether NOAC-treatment is superior to VKA-therapy in reducing major or clinically relevant non-major bleeding events. Secondary outcomes include minor bleeding, the composite of ischaemic and haemorrhagic stroke, health-related quality of life and cost-effectiveness. The follow-up period for all subjects is 12 months. The protocol was approved by the Medical Research Ethics Committee of the University Medical Center Utrecht, the Netherlands and by the Central Committee on Research Involving Human Subjects, the Netherlands. All patients are asked written informed consent. Results are expected in 2022 and will be disseminated through peer-reviewed journals as well as presentations at national and international conferences. EudraCT: 2017-000393-11; The Netherlands Trial Registry: 6721 (FRAIL-AF study).</t>
  </si>
  <si>
    <t>Molecular imaging to identify patients with metastatic breast cancer who benefit from endocrine treatment combined with cyclin-dependent kinase inhibition.</t>
  </si>
  <si>
    <t>Boers, Jorianne; Venema, Clasina M; de Vries, Erik F J; Glaudemans, Andor W J M; Kwee, Thomas C; Schuuring, Ed; Martens, John W M; Elias, Sjoerd G; Hospers, Geke A P; Schröder, Carolina P</t>
  </si>
  <si>
    <t>https://pubmed.ncbi.nlm.nih.gov/31891878</t>
  </si>
  <si>
    <t>Adding cyclin-dependent kinase (CDK) inhibitor to endocrine treatment improves outcome in œstrogen receptor (ER) positive metastatic breast cancer, but identifying the subset of patients who benefit is challenging. Response is potentially associated with ER expression heterogeneity. This is because, unlike the primary tumour in the breast that is localized to the organ, the metastatic breast cancer has spread and continues to spread to distant locations in the body such as bones, lungs, liver, axial skeleton, even to the central nervous system like the brain, wherefrom obtaining biopsies are not easy, and also, the metastasised tissues are heterogeneous. Positron emission tomography (PET) with 16α-[&lt;sup&gt;18&lt;/sup&gt;F]fluoro-17β-œstradiol (FES), briefly referred to as FES-PET, allows whole-body ER assessment. We explored whether FES-PET heterogeneity and FES uptake were related to letrozole and palbociclib outcome, in patients with ER positive, metastatic breast cancer. Patients underwent a baseline FES-PET and &lt;sup&gt;18&lt;/sup&gt;F-fluorodeoxyglucose (FDG) PET, the FDG-PET served to help identify active sites of breast cancer with contrast-enhanced computed tomography (CT). FES-PET heterogeneity score (% FES positive lesions divided by all lesions on FDG-PET and/or CT) and FES uptake were related to outcome and 8-week FDG-PET response. Circulating tumour DNA (CtDNA) samples for ESR1 mutation analysis were collected at baseline. In 30 patients with 864 metastatic lesions, baseline FES-PET heterogeneity was assessed. In 27 patients with 688 lesions, response was evaluated. Median time to progression (TTP) was 73 weeks (95% confidence interval [CI] 21 to ∞) in 7 patients with 100% FES positive disease, 27 weeks (14-49) in heterogeneous FES positive disease (20 patients), and 15 weeks (9 to ∞) without FES positivity (three patients; log-rank P = 0.30). Geometric mean FES uptake was 2.3 for metabolic progressive patients, 2.5 (P&lt;sub&gt;vs progression&lt;/sub&gt; = 0.82) for metabolic stable disease, and 3.3 (P&lt;sub&gt;vs progression&lt;/sub&gt; = 0.40) for metabolic response (P&lt;sub&gt;trend&lt;/sub&gt; = 0.21). ESR1 mutations, found in 13/23 patients, were unrelated to FES uptake. This exploratory study suggests that FES-PET heterogeneity may potentially identify the subset of ER positive, metastatic breast cancer patients who benefit from letrozole combined with CDK inhibition. NCT02806050.</t>
  </si>
  <si>
    <t>Circulating Levels of Insulin-like Growth Factor 1 and Insulin-like Growth Factor Binding Protein 3 Associate With Risk of Colorectal Cancer Based on Serologic and Mendelian Randomization Analyses.</t>
  </si>
  <si>
    <t>Murphy, Neil; Carreras-Torres, Robert; Song, Mingyang; Chan, Andrew T; Martin, Richard M; Papadimitriou, Nikos; Dimou, Niki; Tsilidis, Konstantinos K; Banbury, Barbara; Bradbury, Kathryn E; Besevic, Jelena; Rinaldi, Sabina; Riboli, Elio; Cross, Amanda J; Travis, Ruth C; Agnoli, Claudia; Albanes, Demetrius; Berndt, Sonja I; Bézieau, Stéphane; Bishop, D Timothy; Brenner, Hermann; Buchanan, Daniel D; Onland-Moret, N Charlotte; Burnett-Hartman, Andrea; Campbell, Peter T; Casey, Graham; Castellví-Bel, Sergi; Chang-Claude, Jenny; Chirlaque, María-Dolores; de la Chapelle, Albert; English, Dallas; Figueiredo, Jane C; Gallinger, Steven J; Giles, Graham G; Gruber, Stephen B; Gsur, Andrea; Hampe, Jochen; Hampel, Heather; Harrison, Tabitha A; Hoffmeister, Michael; Hsu, Li; Huang, Wen-Yi; Huyghe, Jeroen R; Jenkins, Mark A; Keku, Temitope O; Kühn, Tilman; Kweon, Sun-Seog; Le Marchand, Loic; Li, Christopher I; Li, Li; Lindblom, Annika; Martín, Vicente; Milne, Roger L; Moreno, Victor; Newcomb, Polly A</t>
  </si>
  <si>
    <t>https://pubmed.ncbi.nlm.nih.gov/31884074</t>
  </si>
  <si>
    <t>Human studies examining associations between circulating levels of insulin-like growth factor 1 (IGF1) and insulin-like growth factor binding protein 3 (IGFBP3) and colorectal cancer risk have reported inconsistent results. We conducted complementary serologic and Mendelian randomization (MR) analyses to determine whether alterations in circulating levels of IGF1 or IGFBP3 are associated with colorectal cancer development. Serum levels of IGF1 were measured in blood samples collected from 397,380 participants from the UK Biobank, from 2006 through 2010. Incident cancer cases and cancer cases recorded first in death certificates were identified through linkage to national cancer and death registries. Complete follow-up was available through March 31, 2016. For the MR analyses, we identified genetic variants associated with circulating levels of IGF1 and IGFBP3. The association of these genetic variants with colorectal cancer was examined with 2-sample MR methods using genome-wide association study consortia data (52,865 cases with colorectal cancer and 46,287 individuals without [controls]) RESULTS: After a median follow-up period of 7.1 years, 2665 cases of colorectal cancer were recorded. In a multivariable-adjusted model, circulating level of IGF1 associated with colorectal cancer risk (hazard ratio per 1 standard deviation increment of IGF1, 1.11; 95% confidence interval [CI] 1.05-1.17). Similar associations were found by sex, follow-up time, and tumor subsite. In the MR analyses, a 1 standard deviation increment in IGF1 level, predicted based on genetic factors, was associated with a higher risk of colorectal cancer risk (odds ratio 1.08; 95% CI 1.03-1.12; P = 3.3 × 10&lt;sup&gt;-4&lt;/sup&gt;). Level of IGFBP3, predicted based on genetic factors, was associated with colorectal cancer risk (odds ratio per 1 standard deviation increment, 1.12; 95% CI 1.06-1.18; P = 4.2 × 10&lt;sup&gt;-5&lt;/sup&gt;). Colorectal cancer risk was associated with only 1 variant in the IGFBP3 gene region (rs11977526), which also associated with anthropometric traits and circulating level of IGF2. In an analysis of blood samples from almost 400,000 participants in the UK Biobank, we found an association between circulating level of IGF1 and colorectal cancer. Using genetic data from 52,865 cases with colorectal cancer and 46,287 controls, a higher level of IGF1, determined by genetic factors, was associated with colorectal cancer. Further studies are needed to determine how this signaling pathway might contribute to colorectal carcinogenesis.</t>
  </si>
  <si>
    <t>Systematic Review and External Validation of Prediction Models Based on Symptoms and Biomarkers for Identifying Endoscopic Activity in Crohn's Disease.</t>
  </si>
  <si>
    <t>Brand, Eelco C; Elias, Sjoerd G; Minderhoud, Itta M; van der Veen, Julius J; Baert, Filip J; Laharie, David; Bossuyt, Peter; Bouhnik, Yoram; Buisson, Anthony; Lambrecht, Guy; Louis, Edouard; Pariente, Benjamin; Pierik, Marieke J; van der Woude, C Janneke; D'Haens, Geert R A M; Vermeire, Séverine; Oldenburg, Bas; ,</t>
  </si>
  <si>
    <t>https://pubmed.ncbi.nlm.nih.gov/31881273</t>
  </si>
  <si>
    <t>Endoscopic healing, an important target of treatment for Crohn's disease (CD), requires ileocolonoscopy, which is costly and burdensome. We investigated whether published noninvasive models (based on symptoms and biomarkers) to evaluate CD activity have sufficient accuracy to replace ileocolonoscopy. We performed a systematic review of published noninvasive diagnostic models to evaluate CD activity that used endoscopic features of activity (endoscopic activity) or healing as the reference standard. We externally validated these models for the outcome endoscopic activity (CD endoscopic index of severity scores, ≥3) using data from the a randomized controlled trial investigating tailored treatment with infliximab for active luminal Crohn's disease (TAILORIX) study (346 ileocolonoscopies in 155 patients) and the Utrecht Activity Index (UAI) study (93 ileocolonoscopies in 82 patients). We calculated the area under the receiver operating characteristic curves (AUROCs) for the models using data from these studies, and compared the performance of these models against measurements of fecal calprotectin (FC) and C-reactive protein (CRP). We screened 5303 articles and identified 27 models (from 21 studies) for our analysis. Seven models could be validated externally; in the TAILORIX data set, these models identified patients with endoscopic activity with AUROC values ranging from 0.61 (95% CI, 0.51-0.70) to 0.81 (95% CI, 0.76-0.86). In this data set, the AUROC value for FC concentration was 0.79 (95% CI, 0.74-0.85) and the AUROC value for CRP level was 0.72 (95% CI, 0.66-0.77). The AUROC values for the validation in the UAI data set were similar. In the TAILORIX and/or UAI data set, 4 of the 7 models, as well as the FC and CRP assays, were able to identify patients with endoscopic activity with positive predictive values of 90% or more. Two of the 7 models (but not the FC or CRP values) identified patients without endoscopic activity with a negative predictive value (NPV) of 90% or more, leading to correct prediction of endoscopic healing in 3.2% to 11.3% of all patients. For example, applying the Herranz-Bachiller model (1 of 7 models) at a NPV of 92.1% and a positive predictive value of 91.9% correctly identified 35.7% of all patients in whom ileocolonoscopy could be avoided for expected endoscopic activity or healing but incorrectly identified 3.2% of all patients. Most ileocolonoscopies (66.5% in TAILORIX and 72.6% in the UAI of all ileocolonoscopies) could be avoided correctly based on concentrations of FC of 100 μg/g or less and 250 μg/g or higher. However, using this range of FC concentrations to identify patients who do not require ileocolonoscopy caused 18.7% of all patients in the TAILORIX cohort and 19.8% of all patients in the UAI cohort to be predicted incorrectly to have endoscopic activity or healing. In a systematic review and external validation of noninvasive models to identify patients with endoscopic activity of CD, we found only 2 of 7 models evaluated to have NPVs of 90% or more, however, leading to correctly predicted EH in only a small proportion of patients. Ileocolonoscopy therefore remains the mainstay to evaluate CD mucosal disease activity and healing.</t>
  </si>
  <si>
    <t>Vasomotor menopausal symptoms and cardiovascular disease risk in midlife: A longitudinal study.</t>
  </si>
  <si>
    <t>Dam, V; Dobson, A J; Onland-Moret, N C; van der Schouw, Y T; Mishra, G D</t>
  </si>
  <si>
    <t>https://pubmed.ncbi.nlm.nih.gov/32005421</t>
  </si>
  <si>
    <t>To ascertain the association between vasomotor menopausal symptoms (VSM), hot flushes and night sweats, and cardiovascular disease, coronary heart disease and cerebrovascular disease. The study sample comprised 8881 women (aged 45-50 years) with available hospital separation data from the 1946-51 cohort (1996-2016) of the ongoing Australian Longitudinal Study on Women's Health, a national prospective cohort study. First fatal or non-fatal cardiovascular disease, coronary heart disease, and cerebrovascular disease events were obtained through linkage with hospital admission data, the National Death Index, and Medicare Benefits Schedule. Hot flushes and night sweats were assessed via questionnaires at each main survey. Additionally, we calculated the duration of symptoms based on whether or not women reported vasomotor menopausal symptoms in each survey. There were 925 cardiovascular disease, 484 coronary heart disease and 154 cerebrovascular disease events. There was no consistent evidence of any association with vasomotor menopausal symptoms, hot flushes and night sweats. We did find marginally statistically significant associations between presence of night sweats and cardiovascular disease (Hazard Ratio = 1.18, 95 % Confidence Interval: 1.01-1.38), and between the duration of vasomotor menopausal symptoms [years] and coronary heart disease (Hazard Ratio&lt;sub&gt;per year&lt;/sub&gt; = 1.03, 95 % Confidence Interval: 1.00-1.05). However, given the number of associations tested, these findings could very well have arisen by chance. In this large longitudinal study with 20 years of follow-up and clinical outcomes we did not find a convincing association between vasomotor menopausal symptoms, hot flushes, night sweats and cardiovascular disease, coronary heart disease and cerebrovascular disease.</t>
  </si>
  <si>
    <t>The relation between systemic inflammation and incident cancer in patients with stable cardiovascular disease: a cohort study.</t>
  </si>
  <si>
    <t>Van't Klooster, Cilie C; Ridker, Paul M; Hjortnaes, Jesper; van der Graaf, Yolanda; Asselbergs, Folkert W; Westerink, Jan; Aerts, Joachim G J V; Visseren, Frank L J</t>
  </si>
  <si>
    <t>https://pubmed.ncbi.nlm.nih.gov/31504409</t>
  </si>
  <si>
    <t>Low-grade inflammation, measured by elevated plasma concentrations of high-sensitive C-reactive protein (CRP), is a risk factor for cardiovascular disease (CVD). There is evidence that low-grade inflammation is also related to a higher risk of cancer. The present prospective cohort study evaluates the relation between low-grade systemic inflammation and risk of cancer in patients with stable CVD. In total, 7178 patients with stable CVD and plasma CRP levels ≤10 mg/L were included. Data were linked to the Dutch national cancer registry. Cox regression models were fitted to study the relation between CRP and incident CVD and cancer. After a median follow-up time of 8.3 years (interquartile range 4.6-12.3) 1072 incident cancer diagnoses were observed. C-reactive protein concentration was related to total cancer [hazard ratio (HR) 1.35; 95% confidence interval (CI) 1.10-1.65] comparing last quintile to first quintile of CRP. Especially lung cancer, independent of histopathological subtype, was related to CRP (HR 3.39; 95% CI 2.02-5.69 comparing last to first quintile of CRP). Incidence of epithelial neoplasms and especially squamous cell neoplasms were related to CRP concentration, irrespective of anatomical location. Sensitivity analyses after excluding patients with a cancer diagnosis within 1, 2, and 5 years of follow-up showed similar results. No effect modification was observed by smoking status or time since smoking cessation (P-values for interaction &gt; 0.05). Chronic systemic low-grade inflammation, measured by CRP levels ≤10 mg/L, is a risk factor for incident cancer, markedly lung cancer, in patients with stable CVD. The relation between inflammation and incident cancer is seen in former and current smokers and is uncertain in never smokers.</t>
  </si>
  <si>
    <t>Panel 5: Impact of otitis media on quality of life and development.</t>
  </si>
  <si>
    <t>Homøe, Preben; Heidemann, Christian H; Damoiseaux, Roger Amj; Lailach, Susen; Lieu, Judith E C; Phillips, John S; Venekamp, Roderick P</t>
  </si>
  <si>
    <t>https://pubmed.ncbi.nlm.nih.gov/31883704</t>
  </si>
  <si>
    <t>To summarize recent advances in knowledge on otitis media (OM) and quality of life (QoL) and development by synthesizing relevant research in this field published between June 1., 2015 until June 1., 2019. Systematic searches of PubMed, Embase and the Cochrane Library using predefined database-specific syntaxes. Articles selected were randomized controlled trials and observational studies with an adequate control group estimating treatment effects of OM including acute OM (AOM), recurrent AOM (RAOM), OM with effusion (OME), chronic OM (COM) and chronic suppurative OM (CSOM). Items included were Health Status, Health Status Indicators, Quality of Life, Functional Status, Specific Learning Disorder, Developmental Disabilities, Language Development Disorders, and Problem Behavior. The electronic database searches yielded a total of 699 records. After screening titles and abstracts, we identified 34 potentially eligible articles. Of these, 18 were excluded. This left 15 articles suitable for inclusion. Although evidence is accumulating that OM may significantly impair children's QoL and development as well as caregiver's QoL, studies on this topic are relatively scarce and vary substantially in terms of methodological quality and outcome measurement instruments (OMI) used. In this review, studies have used 10 different OMIs capturing a wide range of OM symptoms as well as generic and disease-specific QoL outcomes. OM was associated with negative effects on auditory processing, language and speech development, school readiness, social competence, psychosocial wellbeing, and sleep. We found only four relevant randomized controlled trials, which mostly failed to demonstrate superiority of interventions in terms of QoL improvement and reports on reversibility are lacking. This underpins the urgent need for high quality studies in this field using validated and uniform OMIs. To facilitate interpretation and harmonization of study findings, we suggest and support the development of a core outcome set for the various OM entities that should include the most reliable and meaningful QoL and developmental OMIs.</t>
  </si>
  <si>
    <t>The trials within cohorts design facilitated efficient patient enrollment and generalizability in oncology setting.</t>
  </si>
  <si>
    <t>Couwenberg, Alice M; Burbach, Johannes P M; May, Anne M; Berbee, Maaike; Intven, Martijn P W; Verkooijen, Helena M</t>
  </si>
  <si>
    <t>https://pubmed.ncbi.nlm.nih.gov/31866471</t>
  </si>
  <si>
    <t>The trials within cohorts (TwiCs) design aims to improve recruitment efficiency. We conducted the first TwiCs in radiation oncology and described efficiency of the design and generalizability of the results. In two radiotherapy centers, patients with rectal cancer were asked to participate in a prospective cohort study and to provide broad consent for randomization and patient-reported outcomes (PROs). Consenting patients who met the trial criteria were randomized directly after cohort enrollment. The intervention arm was offered a radiotherapy boost. We evaluated acceptance rate, its impact on sample size, and compared clinical characteristics between trial participants and patients of the Dutch national cancer registry. 128 of the 200 eligible patients (64%) were randomized. Sixty-two patients did not consent (in time) to cohort participation, to broad randomization, or to PROs. Of the 64 patients in the intervention arm, 52 (81%) accepted the intervention. During the trial, the acceptance rate dropped temporarily, after which sample size was adapted. Trial patients were comparable in age, comorbidity, and disease stage to the national rectal cancer population. The TwiCs design is feasible, allows enrollment of a high proportion of randomizable patients, with positive impact on trial efficiency and generalizability of results in a clinical oncology setting.</t>
  </si>
  <si>
    <t>Ethical issues in the design and conduct of stepped-wedge cluster randomized trials in low-resource settings.</t>
  </si>
  <si>
    <t>Joag, Kaustubh; Ambrosio, Guillermo; Kestler, Edgar; Weijer, Charles; Hemming, Karla; Van der Graaf, Rieke</t>
  </si>
  <si>
    <t>https://pubmed.ncbi.nlm.nih.gov/31852547</t>
  </si>
  <si>
    <t>Stepped-wedge cluster randomized trials (SW-CRTs) are increasingly popular in health-related research in both high- and low-resource settings. There may be specific ethical issues that researchers face when designing and conducting SW-CRTs in low-resource settings. Knowledge of these issues can help to improve the ethical conduct of SW-CRTs in a global health context. We performed an ethical analysis of two studies using SW-CRT designs in low-resource settings: the Que Vivan Las Madres study conducted from 2014 to 2017 in Guatemala and the Atmiyata study conducted from 2017 to 2018 in rural parts of India. For both case studies, we identified and evaluated the classification of the study as research or nonresearch and the ethical issues regarding the justification of the design, including the delayed rollout of an intervention that had a promising effect. In our case studies, some minor ethical issues surfaced about the registration and stakeholder pressure on the order of randomization, but both included good justification for the design and delayed rollout. Our analysis did, however, demonstrate that careful consideration of the role of randomization and registration of the trials is important. SW-CRTs can provide an opportunity for rigorous evaluation of interventions destined to be rolled out on the basis of limited evidence. Furthermore, in SW-CRTs, the underlying objective is often to provide a robust evaluation of the effectiveness for generalized dissemination, and this makes the SW-CRT no less a research study than any other form of cluster randomized trial. The design and conduct of stepped-wedge cluster randomized trials raises at least two ethical issues that need special consideration in both high- and low-resource settings: the justification for using the design, specifically the delayed rollout of the intervention to the control group, and the classification of the study as research or nonresearch. In our case studies, these issues did not seem to raise special ethical scrutiny in low-resource settings. Further ethical evaluation will hopefully result in specific ethical guidelines for the use of SW-CRTs in both high- and low-resource settings to contribute to responsible functioning of these trials and adequate protection of participants.</t>
  </si>
  <si>
    <t>Ethics of alternative trial designs and methods in low-resource settings.</t>
  </si>
  <si>
    <t>van der Graaf, Rieke; Cheah, Phaik Yeong</t>
  </si>
  <si>
    <t>https://pubmed.ncbi.nlm.nih.gov/31852513</t>
  </si>
  <si>
    <t>This editorial introduces articles in this Special Issue, which are based on presentations given at the 2017 meeting of the Global Forum of Bioethics in Research meeting. The main themes presented at the meeting were the use of cluster randomized trials, stepped-wedge cluster randomized trials, and controlled human infection models in research conducted in low-resource settings. The editorial sets out which ethical issues may arise in the context of alternative trial designs and describes the articles in this issue that addresses some or more of the ethical issues, such as justification of the research design, risk-benefit evaluations and consent.</t>
  </si>
  <si>
    <t>Loss of skeletal muscle index and survival in patients with metastatic colorectal cancer: Secondary analysis of the phase 3 CAIRO3 trial.</t>
  </si>
  <si>
    <t>Kurk, Sophie A; Peeters, Petra H M; Dorresteijn, Bram; de Jong, Pim A; Jourdan, Marion; Creemers, Geert-Jan M; Erdkamp, Frans L G; de Jongh, Felix E; Kint, Peter A M; Poppema, Boelo J; Radema, Sandra A; Simkens, Lieke H J; Tanis, Bea C; Tjin-A-Ton, Manuel L R; Van Der Velden, Ankie; Punt, Cornelis J A; Koopman, Miriam; May, Anne M</t>
  </si>
  <si>
    <t>https://pubmed.ncbi.nlm.nih.gov/31850687</t>
  </si>
  <si>
    <t>Low skeletal muscle index (SMI) in metastatic colorectal cancer (mCRC) patients is associated with poor outcomes. The prognostic impact of SMI changes during consecutive palliative systemic treatments is unknown. This is a retrospective analysis of the phase 3 CAIRO3 study. The CAIRO3 study randomized 557 patients between maintenance capecitabine + bevacizumab (CAP-B) or observation, after six cycles capecitabine + oxaliplatin + bevacizumab (CAPOX-B). Upon first disease progression (PD1), CAPOX-B was reintroduced until second progression (PD2). SMI was assessed by computed tomography (CT) (total 1355 scans). SMI and body mass index (BMI) changes were analyzed for three time-periods; p1: during initial CAPOX-B, p2: randomization to PD1, and p3: PD1 to PD2. The association between absolute and change in SMI and BMI (both per 1 standard deviation) during p1-p3, with PD1, PD2, and survival was studied by Cox regression models. This analysis included 450 of the 557 patients randomized in the CAIRO3 study. Mean SMI decreased during p1: mean -0.6 SMI units [95% CI -1.07;-0.26] and p3: -2.2 units [-2.7;-1.8], whereas during p2, SMI increased + 1.2 units [0.8-1.6]. BMI changes did not reflect changes in SMI. SMI loss during p2 and p3 was significantly associated with shorter survival (HR 1.19 [1.09-1.35]; 1.54 [1.31-1.79], respectively). Sarcopenia at PD1 was significantly associated with early PD2 (HR 1.40 [1.10-1.70]). BMI loss independent of SMI loss was only associated with shorter overall survival during p3 (HR 1.35 [1.14-1.63]). In mCRC patients, SMI loss during palliative systemic treatment was related with early disease progression and reduced survival. BMI did not reflect changes in SMI and could not identify patients at risk of poor outcome during early treatment lines.</t>
  </si>
  <si>
    <t>Learning from patients about patient-centredness: A realist review: BEME Guide No. 60.</t>
  </si>
  <si>
    <t>de Groot, Esther; Schönrock-Adema, Johanna; Zwart, Dorien; Damoiseaux, Roger; Van den Bogerd, Kristin; Diemers, Agnes; Grau Canét-Wittkampf, Christel; Jaarsma, Debbie; Mol, Saskia; Bombeke, Katrien</t>
  </si>
  <si>
    <t>https://pubmed.ncbi.nlm.nih.gov/31852313</t>
  </si>
  <si>
    <t>&lt;b&gt;Background:&lt;/b&gt; Patient-centred work is an essential part of contemporary medicine. Literature shows that educational interventions contribute to developing patient-centredness, but there is a lack of insight into the associated learning processes.&lt;b&gt;Objective:&lt;/b&gt; Through reviewing articles about educational interventions involving patients, we aspire to develop a program theory that describes the processes through which the educational interventions are expected to result in change. The processes will clarify contextual elements (called contexts) and mechanisms connected to learning patient-centredness.&lt;b&gt;Methods:&lt;/b&gt; In our realist review, an initial, rough program theory was generated during the scoping phase, we searched for relevant articles in PubMed, PsycINFO, ERIC, CINAHL and Embase for all years before and through 2016. We included observational studies, case reports, interviews, and experimental studies in which the participants were students, residents, doctors, nurses or dentists. The relevance and rigour of the studies were taken into account during analysis. With deductive as well as inductive coding, we extended the rough program theory.&lt;b&gt;Results:&lt;/b&gt; In our review, we classified five different contexts which affect how upcoming professionals learn patient-centredness. These aspects are influenced through components in the intervention(s) related to the &lt;i&gt;learner&lt;/i&gt;, the &lt;i&gt;teacher, a&lt;/i&gt;nd the &lt;i&gt;patient.&lt;/i&gt; We placed the mechanisms together in four clusters &lt;i&gt;- comparing and combining as well as broadening perspectives, developing narratives and engagement with patients, self-actualisation,&lt;/i&gt; and &lt;i&gt;socialisation -&lt;/i&gt; to show how the development of (dimensions of) patient-centredness occurs. Three partial-program-theories (that together constituting a whole program theory) were developed, which show how different components of interventions within certain contexts will evoke mechanisms that contribute to patient-centredness.&lt;b&gt;Translation into daily practice:&lt;/b&gt; These theories may help us better understand how the roles of patients, learners and teachers interact with contexts such as the kind of knowledge that is considered legitimate or insight in the whole illness trajectory. Our partial program theories open up potential areas for future research and interventions that may benefit learners, teachers, and patients.</t>
  </si>
  <si>
    <t>Cardiovascular disease risk and its determinants in people living with HIV across different settings in South Africa.</t>
  </si>
  <si>
    <t>Roozen, G V T; Vos, A G; Tempelman, H A; Venter, W D F; Grobbee, D E; Scheuermaier, K; Klipstein-Grobusch, K</t>
  </si>
  <si>
    <t>hiv medicine</t>
  </si>
  <si>
    <t>https://pubmed.ncbi.nlm.nih.gov/31852030</t>
  </si>
  <si>
    <t>Socio-economic factors and lifestyle are known to differ across geographies and populations, which may result in distinct risk profiles for cardiovascular disease (CVD). This study assessed carotid intima-media thickness (CIMT), a proxy for CVD, and its determinants in two groups of people living with HIV (PLHIV) in two different settings in South Africa. A cross-sectional analysis was conducted comparing data from the Ndlovu Cohort Study in the Limpopo Province (group 1) and from three clinical trials in Johannesburg (group 2). The association between demographics, conventional CVD risk factors, HIV-related factors and CIMT in groups 1 and 2 was analysed with two separate multivariable linear regression models. Group 1 consisted of 826 participants (mean age 42.2 years) and mean (± standard deviation) CIMT was 0.626 ± 0.128 mm. In this group, sex, age, body mass index (BMI), cholesterol, glucose and antiretroviral therapy (ART) duration (β = 0.011 mm per 5 years; P = 0.02) were associated with higher CIMT. There were positive interactions between age and ART duration and age and cholesterol. Group 2 consisted of 382 participants (mean age 39.5 years) and mean (± standard deviation) CIMT was 0.560 ± 0.092 mm. In this group, only sex, education level, BMI and cholesterol were associated with higher CIMT, albeit with weaker associations than in group 1. Conventional CVD risk factors were the main drivers of CIMT. The impact of some of these risk factors appeared to increase with age. Differences in sample size, age and viral suppression might explain why an effect of ART was observed in group 1 but not in group 2.</t>
  </si>
  <si>
    <t>Sex differences in physical performance by age, educational level, ethnic groups and birth cohort: The Longitudinal Aging Study Amsterdam.</t>
  </si>
  <si>
    <t>Sialino, Lena D; Schaap, Laura A; van Oostrom, Sandra H; Nooyens, Astrid C J; Picavet, Hendrika S J; Twisk, Johannes W R; Verschuren, W M Monique; Visser, Marjolein; Wijnhoven, Hanneke A H</t>
  </si>
  <si>
    <t>https://pubmed.ncbi.nlm.nih.gov/31851709</t>
  </si>
  <si>
    <t>Older women perform consistently poorer on physical performance tests compared to men. Risk groups for this "female disadvantage" in physical performance and it's development over successive birth cohorts are unknown. This is important information for preventive strategies aimed to enhance healthy aging in all older women. This study aims to longitudinal investigate whether there are risk groups for a more apparent female disadvantage and study its trend over successive birth cohorts. Data of the Longitudinal Aging Study Amsterdam (LASA) were used. All participants were aged 55-65 years at baseline. Longitudinal data of two birth cohorts with baseline measurements in 1992/1993 (n = 966, 24 year follow-up) and 2002/2003 (n = 1002, 12 year follow-up) were included. Follow-up measurements were repeated every three/four years. Cross-sectional data of two additional cohorts were included to compare ethnic groups: a Dutch cohort (2012/2013, n = 1023) and a Migration cohort (2013/2014, n = 478) consisting of migrants with a Turkish/Moroccan ethnicity. Mixed model analysis showed that women aged 55 years and older had a lower age- and height-adjusted gait speed (-0.03 m/s; -0.063-0.001), chair stand speed (-0.05 stand/s; -0.071--0.033), handgrip strength (-14,8 kg; -15.69--13.84) and balance (OR = 0.71; 0.547-0.916) compared to men. The sex difference in handgrip strength diminished with increasing age, but remained stable for gait speed, chair stand speed and balance. In general, results were consistent across different, educational levels and Turkish/Moroccan ethnic groups and birth cohorts. There is a consistent "female disadvantage" in physical performance among older adults, which remains stable with increasing age (except for handgrip strength) and is consistent across different educational levels, ethnic groups and successive birth cohorts. So, no specific risk groups for the female disadvantage in physical performance were identified. Preventive strategies aimed to enhance healthy aging in older women are needed and should target all older women.</t>
  </si>
  <si>
    <t>Prevalence and risk factors for carriage of ESBL-producing Enterobacteriaceae in a population of Dutch travellers: A cross-sectional study.</t>
  </si>
  <si>
    <t>Arcilla, Maris S; Van Hattem, Jarne M; Bootsma, Martin C J; van Genderen, Perry J J; Goorhuis, Abraham; Grobusch, Martin P; Klaassen, Corné H W; Oude Lashof, Astrid M; Schultsz, Constance; Stobberingh, Ellen E; de Jong, Menno D; Penders, John; Verbrugh, Henri A; Melles, Damian C</t>
  </si>
  <si>
    <t>https://pubmed.ncbi.nlm.nih.gov/31862246</t>
  </si>
  <si>
    <t>We investigated prevalence and predictive factors for ESBL-E carriage in a population of mostly travellers prior to their travel (n = 2216). In addition, we examined ESBL genotype before travel and compared these to returning travellers. A questionnaire and faecal sample were collected before travel, and a second faecal sample was collected immediately after travel. Faecal samples were analysed for ESBL-E, with genotypic characterization by PCR and sequencing. Risk factors for ESBL-E carriage prior to travel were identified by logistic regression analyses. Before travel, 136 participants (6.1%) were colonized with ESBL-E. Antibiotic use in the past three months (OR&lt;sub&gt;adjusted&lt;/sub&gt; 2.57; 95% CI 1.59-4.16) and travel outside of Europe in the past year (1.92, 1.28-2.87) were risk factors for ESBL-E colonisation prior to travel. Travel outside of Europe carried the largest attributable risk (39.8%). Prior to travel 31.3% (40/128) of participants carried blaCTX-M 15 and 21.9% (28/128) blaCTX-M 14/18. In returning travellers 633 acquired ESBL-E of who 53.4% (338/633) acquired blaCTX-M 15 and 17.7% (112/633) blaCTX-M 14/18. In our population of Dutch travellers we found a pre-travel ESBL-E prevalence of 6.1%. Prior to travel, previous antibiotic use and travel outside of Europe were the strongest independent predictors for ESBL-E carriage, with travel outside of Europe carrying the largest attributable risk. Our molecular results suggest ESBL genes found in our study population prior to travel were in large part travel related.</t>
  </si>
  <si>
    <t>Smoking trajectories and risk of stroke until age of 50 years - The Northern Finland Birth Cohort 1966.</t>
  </si>
  <si>
    <t>Rissanen, Ina; Oura, Petteri; Paananen, Markus; Miettunen, Jouko; Geerlings, Mirjam I</t>
  </si>
  <si>
    <t>https://pubmed.ncbi.nlm.nih.gov/31846462</t>
  </si>
  <si>
    <t>Smoking is a well-known risk factor for stroke. However, the relationship between smoking trajectories during the life course and stroke is not known. We aimed to study the association of smoking trajectories and smoked pack-years with risk of ischemic and haemorrhagic strokes in a population-based birth cohort followed up to 50 years of age. Within the Northern Finland Birth Cohort 1966, 11,999 persons were followed from antenatal period to age 50 years. The smoking behaviour was assessed with postal questionnaires at ages 14, 31 and 46 years. Stroke diagnoses were collected from nationwide registers using unique study number linkage. The associations between smoking behaviour and stroke risk were estimated using Cox regression models. Six different patterns in smoking habits throughout the life course were found in trajectory modelling. During 542,140 person-years of follow-up, 352 (2.9%) persons had a stroke. Continuous smoking during the life course was associated with increased stroke risk (HR = 1.69; 95% CI 1.10-2.60) after adjusting for sex, educational level, family history of strokes, leisure-time physical activity, body mass index, alcohol consumption, hypertension, hypercholesterolemia, and diabetes. Per every smoked pack-year the stroke risk increased 1.04-fold (95% CI 1.03-1.06). Other smoking trajectories were not significantly associated with stroke risk, nor were starting or ending age of smoking. Accumulation of smoking history is associated with increased risk of stroke until age of 50 years. The increased stroke risk does not depend on the age at which smoking started. Given that the majority starts smoking at young age, primary prevention of strokes should focus on adolescent smoking.</t>
  </si>
  <si>
    <t>Physicians' experiences with euthanasia: a cross-sectional survey amongst a random sample of Dutch physicians to explore their concerns, feelings and pressure.</t>
  </si>
  <si>
    <t>Evenblij, Kirsten; Pasman, H Roeline W; van Delden, Johannes J M; van der Heide, Agnes; van de Vathorst, Suzanne; Willems, Dick L; Onwuteaka-Philipsen, Bregje D</t>
  </si>
  <si>
    <t>https://pubmed.ncbi.nlm.nih.gov/31847816</t>
  </si>
  <si>
    <t>Physicians who receive a request for euthanasia or assisted suicide may experience a conflict of duties: the duty to preserve life on the one hand and the duty to relieve suffering on the other hand. Little is known about experiences of physicians with receiving and granting a request for euthanasia or assisted suicide. This study, therefore, aimed to explore the concerns, feelings and pressure experienced by physicians who receive requests for euthanasia or assisted suicide. In 2016, a cross-sectional study was conducted. Questionnaires were sent to a random sample of 3000 Dutch physicians. Physicians who had been working in adult patient care in the Netherlands for the last year were included in the sample (n = 2657). Half of the physicians were asked about the most recent case in which they refused a request for euthanasia or assisted suicide, and half about the most recent case in which they granted a request for euthanasia or assisted suicide. Of the 2657 eligible physicians, 1374 (52%) responded. The most reported reason not to participate was lack of time. Of the respondents, 248 answered questions about a refused euthanasia or assisted suicide request and 245 about a granted EAS request. Concerns about specific aspects of the euthanasia and assisted suicide process, such as the emotional burden of preparing and performing euthanasia or assisted suicide were commonly reported by physicians who refused and who granted a request. Pressure to grant a request was mostly experienced by physicians who refused a request, especially if the patient was ≥80 years, had a life-expectancy of ≥6 months and did not have cancer. The large majority of physicians reported contradictory emotions after having performed euthanasia or assisted suicide. Society should be aware of the impact of euthanasia and assisted suicide requests on physicians. The tension physicians experience may decrease their willingness to perform euthanasia and assisted suicide. On the other hand, physicians should not be forced to cross their own moral boundaries or be tempted to perform euthanasia and assisted suicide in cases that may not meet the due care criteria.</t>
  </si>
  <si>
    <t>Inactivated influenza vaccine does not reduce all cause respiratory illness in children with pre-existing medical conditions.</t>
  </si>
  <si>
    <t>de Hoog, Marieke L A; Venekamp, Roderick P; Meijer, Adam; Sanders, Elisabeth A M; Bruijning-Verhagen, Patricia C J L</t>
  </si>
  <si>
    <t>https://pubmed.ncbi.nlm.nih.gov/31859200</t>
  </si>
  <si>
    <t>The effectiveness of inactivated influenza vaccine (IIV) immunization in preventing all cause respiratory illness (RI) in children with pre-existing medical conditions has not been fully established and varies from season to season. This study aims to quantify the overall impact of IIV immunization on primary care attended RI episodes in children with pre-existing medical conditions, using robust observational data spanning twelve influenza seasons. Electronic records of IIV eligible children aged 6 months to 18 years were extracted from primary care databases over the years 2004-2015. IIV eligibility criteria according to Dutch guidelines included (chronic) respiratory and cardiovascular disease and diabetes mellitus. For each year, information on IIV immunization status, primary care attended RI episodes (including influenza, acute respiratory tract infections and asthma exacerbations) and potential confounders were collected. Generalized estimating equations were used to model the association between IIV status and occurrence of at least one RI episode during the influenza epidemic period with "current year immunized" as reference group. Robustness of findings were assessed by performing various sensitivity analyzes in which (i) seasons with a mismatch between the dominant circulating influenza virus and vaccine strain were excluded, (ii) influenza periods were further restricted to weeks with at least 30% influenza virus positive specimens in sentinel surveillance (instead of 5%), (iii) propensity scores were used to adjust for confounding. In total, 11,797 children (follow-up duration: 38,701 child-years) were eligible for IIV for ≥ one season with 29% immunized at least once. The adjusted odds for primary care attended RI episodes during the influenza epidemic period did not differ between current season immunized versus not immunized children (adjusted OR:1.01; 95%CI:0.90-1.13). The various sensitivity analysis showed comparable results. IIV immunization in children with pre-existing medical conditions does not reduce all cause RI episodes encountered in primary care during the influenza season.</t>
  </si>
  <si>
    <t>The new Primary Care and Risk Factor Management (PCRFM) nucleus of the European Association of Preventive Cardiology: A call for action.</t>
  </si>
  <si>
    <t>Hollander, Monika; Deaton, Christi; Gibson, Irene; Kurpas, Donata; Rutten, Frans; Hanssen, Henner; Antonopoulou, Maria; Dendale, Paul; Grobbee, Diederick E; ,</t>
  </si>
  <si>
    <t>https://pubmed.ncbi.nlm.nih.gov/31841052</t>
  </si>
  <si>
    <t>Higher prevalence of peripheral arterial disease in Ghana compared to Ghanaian migrants in Europe: The RODAM study.</t>
  </si>
  <si>
    <t>Hayfron-Benjamin, Charles F; van den Born, Bert-Jan; Maitland-van der Zee, Anke H; Amoah, Albert G B; van der Linden, Eva L; Stronks, Karien; Klipstein-Grobusch, Kerstin; Bahendeka, Silver; Danquah, Ina; Beune, Erik; Smeeth, Liam; Agyemang, Charles</t>
  </si>
  <si>
    <t>https://pubmed.ncbi.nlm.nih.gov/31864791</t>
  </si>
  <si>
    <t>Evidence suggests that the burden of peripheral artery disease (PAD) is rising more rapidly than other forms of cardiovascular diseases in sub-Saharan Africa, but the extent to which they differ between rural and urban settings in Africa and upon migration to Europe is unknown. We assessed the burden of PAD among Ghanaians living in rural- and urban-Ghana and Ghanaian migrants living in three European countries. Cross-sectional analyses of baseline data from the multicenter Research on Obesity and Diabetes among African Migrants (RODAM) study were done. Data from 5516 participants living in Europe (1487 Amsterdam, 546 Berlin, 1047 London) and Ghana [1419 urban and 1017 rural] aged 25-70years were included. PAD was defined as ankle brachial index≤0.90. Comparisons among sites were made using logistic regression analysis. The age-standardized prevalence of PAD was higher in Ghanaians living in rural [7.52%, 95% CI = 5.87-9.51] and urban [8.93%, 7.44-10.64] Ghana than for their compatriots living in Europe [5.70%, 4.35-7.35 for London; 3.94%, 2.96-5.14 for Amsterdam; and 0.44%, 0.05-1.58 for Berlin]. The differences persisted even after adjustment for age, sex, education and the conventional cardiovascular risk factors [adjusted odds ratio = 3.16, 95% CI = 2.16-4.61, p &lt; .001 for rural-Ghana; and 2.93, 1.87-4.58, p &lt; .00 for urban-Ghana, compared with Ghanaian migrants in Europe]. Our study shows that Ghanaians living in Ghana have higher prevalence of PAD than their migrant compatriots. Further work is needed to identify potential factors driving the high prevalence of PAD among non-migrant Ghanaians to assist interventions aimed at reducing PAD burden.</t>
  </si>
  <si>
    <t>Who Are Hospice Patients and What Care Is Provided in Hospices? A Pilot Study.</t>
  </si>
  <si>
    <t>Koorn, Remco M; van Klinken, Merel; de Graaf, Everlien; Bressers, Rick E G W; Jobse, Adri P; van der Baan, Frederieke; Teunissen, Saskia C C M</t>
  </si>
  <si>
    <t>https://pubmed.ncbi.nlm.nih.gov/31835931</t>
  </si>
  <si>
    <t>Hospices provide multidimensional care. In the Netherlands, patients with &lt;3 months estimated life expectancy have access to hospice care. Insight into patients admitted to hospices and the care provided is lacking. In preparation for a national multicenter study, a pilot study was performed. The primary objective was to test the appropriateness of the study procedures and the availability of hospice patient records (HPRs), and patient and care characteristics. A cross-sectional pilot study was performed using a descriptive exploratory design. Sixteen hospices were invited to participate, and HPRs from 8 deceased patients per hospice were selected. Data were collected using self-developed electronic case report forms. (1). Appropriateness of procedures: availability of HPRs and identified barriers and strategies. (2) Availability of patient and care characteristics in HPRs. In total, 104 HPRs of patients from 13 hospices were enrolled. Various types of HPRs were found with different availabilities: nurses' records were most available (98%) compared to volunteers' records (62%). Overarching barriers were as follows: ethical issues, lack of knowledge, and lack of communication. Information about the illness was most available (97%), whereas descriptions of experienced symptoms were least available (10%). Collecting HPRs is difficult and time-consuming. Specifically, data from separate records of home care nurses and general practitioners were difficult to come by. Patient and care characteristics were alternately present, which led to an extension of data collection in HPRs to 3 time periods. Piloting is essential to adjust study procedures and outcome measures to ensure a feasible national multicenter hospice study.</t>
  </si>
  <si>
    <t>Oseltamivir plus usual care versus usual care for influenza-like illness in primary care: an open-label, pragmatic, randomised controlled trial.</t>
  </si>
  <si>
    <t>Butler, Christopher C; van der Velden, Alike W; Bongard, Emily; Saville, Benjamin R; Holmes, Jane; Coenen, Samuel; Cook, Johanna; Francis, Nick A; Lewis, Roger J; Godycki-Cwirko, Maciek; Llor, Carl; Chlabicz, Sławomir; Lionis, Christos; Seifert, Bohumil; Sundvall, Pär-Daniel; Colliers, Annelies; Aabenhus, Rune; Bjerrum, Lars; Jonassen Harbin, Nicolay; Lindbæk, Morten; Glinz, Dominik; Bucher, Heiner C; Kovács, Bernadett; Radzeviciene Jurgute, Ruta; Touboul Lundgren, Pia; Little, Paul; Murphy, Andrew W; De Sutter, An; Openshaw, Peter; de Jong, Menno D; Connor, Jason T; Matheeussen, Veerle; Ieven, Margareta; Goossens, Herman; Verheij, Theo J</t>
  </si>
  <si>
    <t>https://pubmed.ncbi.nlm.nih.gov/31839279</t>
  </si>
  <si>
    <t>Antivirals are infrequently prescribed in European primary care for influenza-like illness, mostly because of perceived ineffectiveness in real world primary care and because individuals who will especially benefit have not been identified in independent trials. We aimed to determine whether adding antiviral treatment to usual primary care for patients with influenza-like illness reduces time to recovery overall and in key subgroups. We did an open-label, pragmatic, adaptive, randomised controlled trial of adding oseltamivir to usual care in patients aged 1 year and older presenting with influenza-like illness in primary care. The primary endpoint was time to recovery, defined as return to usual activities, with fever, headache, and muscle ache minor or absent. The trial was designed and powered to assess oseltamivir benefit overall and in 36 prespecified subgroups defined by age, comorbidity, previous symptom duration, and symptom severity, using a Bayesian piece-wise exponential primary analysis model. The trial is registered with the ISRCTN Registry, number ISRCTN 27908921. Between Jan 15, 2016, and April 12, 2018, we recruited 3266 participants in 15 European countries during three seasonal influenza seasons, allocated 1629 to usual care plus oseltamivir and 1637 to usual care, and ascertained the primary outcome in 1533 (94%) and 1526 (93%). 1590 (52%) of 3059 participants had PCR-confirmed influenza infection. Time to recovery was shorter in participants randomly assigned to oseltamivir (hazard ratio 1·29, 95% Bayesian credible interval [BCrI] 1·20-1·39) overall and in 30 of the 36 prespecified subgroups, with estimated hazard ratios ranging from 1·13 to 1·72. The estimated absolute mean benefit from oseltamivir was 1·02 days (95% [BCrI] 0·74-1·31) overall, and in the prespecified subgroups, ranged from 0·70 (95% BCrI 0·30-1·20) in patients younger than 12 years, with less severe symptoms, no comorbidities, and shorter previous illness duration to 3·20 (95% BCrI 1·00-5·50) in patients aged 65 years or older who had more severe illness, comorbidities, and longer previous illness duration. Regarding harms, an increased burden of vomiting or nausea was observed in the oseltamivir group. Primary care patients with influenza-like illness treated with oseltamivir recovered one day sooner on average than those managed by usual care alone. Older, sicker patients with comorbidities and longer previous symptom duration recovered 2-3 days sooner. European Commission's Seventh Framework Programme.</t>
  </si>
  <si>
    <t>Visit-to-visit variability of glycemia and vascular complications: the Hoorn Diabetes Care System cohort.</t>
  </si>
  <si>
    <t>Slieker, Roderick C; van der Heijden, Amber A W H; Nijpels, Giel; Elders, Petra J M; 't Hart, Leen M; Beulens, Joline W J</t>
  </si>
  <si>
    <t>https://pubmed.ncbi.nlm.nih.gov/31830993</t>
  </si>
  <si>
    <t>Glycemic variation has been suggested to be a risk factor for diabetes-related complications. Previous studies did not address confounding of diabetes duration, number of visits and length of follow-up. Here, we characterize glycemic variability over time and whether its relation to diabetes-related complications and mortality is independent from diabetes- and follow-up duration. Individuals with type 2 diabetes (n = 6770) from the Hoorn Diabetes Care System cohort were included in this study. The coefficient of variation (CV) was calculated over 5-year sliding intervals. People divided in quintiles based on their CV. Cox proportional hazard models were used to investigate the role of glycemic CV as risk factor in diabetes-related complications and mortality. The coefficient of variation of glucose (FG-CV) increased with time, in contrast to HbA1c (HbA1c-CV). People with a high FG-CV were those with an early age of diabetes onset (Δ&lt;sub&gt;Q5-Q1&lt;/sub&gt; = - 2.39 years), a higher BMI (Δ&lt;sub&gt;Q5-Q1&lt;/sub&gt; = + 0.92 kg/m&lt;sup&gt;2&lt;/sup&gt;), an unfavorable lipid profile, i.e. lower levels of HDL-C (Δ&lt;sub&gt;Q5-Q1&lt;/sub&gt; = - 0.06 mmol/mol) and higher triglycerides (Δ&lt;sub&gt;Q5-Q1&lt;/sub&gt; =+ 1.20 mmol/mol). People with the highest FG-CV in the first 5-year interval showed an increased risk of insulin initiation, retinopathy, macrovascular complications and mortality independent of mean glycemia, classical risk factors and medication use. For HbA1c, the associations were weaker and less consistent. Individuals with a higher FG-CV have an unfavorable metabolic profile and have an increased risk of developing micro- and macrovascular complications and mortality. The association of HbA1c-CV with metabolic outcomes and complications was less consistent in comparison to FG-CV.</t>
  </si>
  <si>
    <t>Added value of inflammatory markers to vital signs to predict mortality in patients suspected of severe infection.</t>
  </si>
  <si>
    <t>Takada, Toshihiko; Hoogland, Jeroen; Yano, Tetsuhiro; Fujii, Kotaro; Fujiishi, Ryuto; Miyashita, Jun; Takeshima, Taro; Hayashi, Michio; Azuma, Teruhisa; Moons, Karel G M</t>
  </si>
  <si>
    <t>the american journal of emergency medicine</t>
  </si>
  <si>
    <t>https://pubmed.ncbi.nlm.nih.gov/31859198</t>
  </si>
  <si>
    <t>To evaluate the added value of inflammatory markers to vital signs to predict mortality in patients suspected of severe infection. This study was conducted at an acute care hospital (471-bed capacity). Consecutive adult patients suspected of severe infection who presented to either ambulatory care or the emergency department from April 2015 to March 2017 were retrospectively evaluated. A prognostic model for predicting 30-day in-hospital mortality based on previously established vital signs (systolic blood pressure, respiratory rate, and mental status) was compared with an extended model that also included four inflammatory markers (C-reactive protein, neutrophil-lymphocyte ratio, mean platelet volume, and red cell distribution width). Measures of interest were model fit, discrimination, and the net percentage of correctly reclassified individuals at the pre-specified threshold of 10% risk. Of the 1015 patients included, 66 (6.5%) died. The extended model including inflammatory markers performed significantly better than the vital sign model (likelihood ratio test: p &lt; 0.001), and the c-index increased from 0.69 (range 0.67-0.70) to 0.76 (range 0.75-0.77) (p = 0.01). All included markers except C-reactive protein showed significant contribution to the model improvement. Among those who died, 9.1% (95% CI -2.8-21.8) were correctly reclassified by the extended model at the 10% threshold. The inflammatory markers except C-reactive protein showed added predictive value to vital signs. Future studies should focus on developing and validating prediction models for use in individualized predictions including both vital signs and the significant markers.</t>
  </si>
  <si>
    <t>Eliminating biasing signals in lung cancer images for prognosis predictions with deep learning.</t>
  </si>
  <si>
    <t>van Amsterdam, W A C; Verhoeff, J J C; de Jong, P A; Leiner, T; Eijkemans, M J C</t>
  </si>
  <si>
    <t>https://pubmed.ncbi.nlm.nih.gov/31840093</t>
  </si>
  <si>
    <t>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</si>
  <si>
    <t>Selective decontamination of the digestive tract (SDD) in critically ill patients: a narrative review.</t>
  </si>
  <si>
    <t>Wittekamp, Bastiaan H J; Oostdijk, Evelien A N; Cuthbertson, Brian H; Brun-Buisson, Christian; Bonten, Marc J M</t>
  </si>
  <si>
    <t>https://pubmed.ncbi.nlm.nih.gov/31820032</t>
  </si>
  <si>
    <t>Selective decontamination of the digestive tract (SDD) is an infection prevention measure for intensive care unit (ICU) patients that was proposed more than 30 years ago, and that is currently considered standard of care in the Netherlands, but only used sporadically in ICUs in other countries. In this narrative review, we first describe the rationale of the individual components of SDD and then review the evidence base for patient-centered outcomes, where we distinguish ICUs with low prevalence of antibiotic resistance from ICUs with moderate-high prevalence of resistance. In settings with low prevalence of antibiotic resistance, SDD has been associated with improved patient outcome in three cluster-randomized studies. These benefits were not confirmed in a large international cluster-randomized study in settings with moderate-to-high prevalence of antibiotic resistance. There is no evidence that SDD increases antibiotic resistance. We end with future directions for research.</t>
  </si>
  <si>
    <t>What do Future Hospice Patients Expect of Hospice Care: Expectations of Patients in the Palliative Phase Who Might be in Need of Hospice Care in the Future: A Qualitative Exploration.</t>
  </si>
  <si>
    <t>van Klinken, Merel; de Graaf, Everlien; Bressers, Rick; Koorn, Remco; van der Baan, Frederieke; Teunissen, Saskia</t>
  </si>
  <si>
    <t>https://pubmed.ncbi.nlm.nih.gov/31818118</t>
  </si>
  <si>
    <t>Hospice care (HC) in the Netherlands is available for patients with life expectancies &lt;3 months. Little is known about expectations of patients who might be in need of HC. This study aims to gain insight into expectations of patients regarding HC in order to ameliorate HC to become driven by patient needs. A generic qualitative study, using semistructured interviews and thematic analysis, is performed in the Netherlands from January to June 2018. A purposeful sample of 13 participants was drawn. Participants expected hospice admission only when the burden became unbearable and a home death cannot be reached. Participants expected a homely atmosphere, where one can continue the life lived at home as much as possible. Participants supposed empathic professional caregivers, capable of providing appropriate care. The general practitioner is expected to stay involved in the care process due to the mutual trust. Medical and daily care are required to be provided by competent professionals, where volunteers are expected to provide supportive care. All caregivers are supposed to provide a listening ear and "being there" for participants. Social care and spiritual care are generally projected to be private matters, unless it is requested. Patients in the palliative phase who might be in need of HC have specific expectations. Perceptions of HC in the public domain should be nuanced in response to these expectations, and information provision on HC should be improved. Then, expectations could be met to make HC more driven by patient needs and future oriented.</t>
  </si>
  <si>
    <t>Estimating individual lifetime benefit and bleeding risk of adding rivaroxaban to aspirin for patients with stable cardiovascular disease: results from the COMPASS trial.</t>
  </si>
  <si>
    <t>de Vries, Tamar I; Eikelboom, John W; Bosch, Jackie; Westerink, Jan; Dorresteijn, Jannick A N; Alings, Marco; Dyal, Leanne; Berkowitz, Scott D; van der Graaf, Yolanda; Fox, Keith A A; Visseren, Frank L J</t>
  </si>
  <si>
    <t>https://pubmed.ncbi.nlm.nih.gov/31504399</t>
  </si>
  <si>
    <t>Adding rivaroxaban to aspirin in patients with stable atherosclerotic disease reduces the recurrence of cardiovascular disease (CVD) but increases the risk of major bleeding. The aim of this study was to estimate the individual lifetime treatment benefit and harm of adding low-dose rivaroxaban to aspirin in patients with stable cardiovascular disease. Patients with established CVD from the COMPASS trial (n = 27 390) and SMART prospective cohort study (n = 8139) were used. Using the pre-existing lifetime SMART-REACH model for recurrent CVD, and a newly developed Fine and Gray competing risk-adjusted lifetime model for major bleeding, individual treatment effects from adding low-dose rivaroxaban to aspirin in patients with stable CVD were estimated, expressed in terms of (i) life-years free of stroke or myocardial infarction (MI) gained; and (ii) life-years free from major bleeding lost. Calibration of the SMART-REACH model for prediction of recurrent CVD events in the COMPASS study was good. The major bleeding risk model as derived in the COMPASS trial showed good external calibration in the SMART cohort. Predicted individual gain in life expectancy free of stroke or MI from added low-dose rivaroxaban had a median of 16 months (range 1-48 months), while predicted individualized lifetime lost in terms of major bleeding had a median of 2 months (range 0-20 months). There is a wide distribution in lifetime gain and harm from adding low-dose rivaroxaban to aspirin in individual patients with stable CVD. Using these lifetime models, benefits and bleeding risk can be weighed for each individual patient, which could facilitate treatment decisions in clinical practice.</t>
  </si>
  <si>
    <t>Intracranial Atherosclerotic Burden on 7T MRI Is Associated with Markers of Extracranial Atherosclerosis: The SMART-MR Study.</t>
  </si>
  <si>
    <t>Zwartbol, M H T; Geerlings, M I; Ghaznawi, R; Hendrikse, J; van der Kolk, A G; ,</t>
  </si>
  <si>
    <t>https://pubmed.ncbi.nlm.nih.gov/31806592</t>
  </si>
  <si>
    <t>Intracranial atherosclerosis, a major risk factor for ischemic stroke, is thought to have different atherogenic mechanisms than extracranial atherosclerosis. Studies investigating their relationship in vivo are sparse and report inconsistent results. We studied the relationship between intracranial atherosclerosis and extracranial atherosclerosis in a cohort of patients with a history of vascular disease. Within the Second Manifestations of ARTerial disease-Magnetic Resonance (SMART) study, cross-sectional analyses were performed in 130 patients (mean age, 68 ± 9 years) with a history of vascular disease and with assessable 7T intracranial vessel wall MR imaging data. Intracranial atherosclerosis burden was defined as the number of intracranial vessel wall lesions in the circle of Willis and its major branches. Age- and sex-adjusted unstandardized regression coefficients (&lt;i&gt;b&lt;/i&gt;-value) were calculated with intracranial atherosclerosis burden as the dependent variable and extracranial atherosclerosis markers as independent variables. Ninety-six percent of patients had ≥1 vessel wall lesion, with a mean intracranial atherosclerosis burden of 8.5 ± 5.7 lesions. Significant associations were observed between higher intracranial atherosclerosis burden and carotid intima-media thickness (&lt;i&gt;b&lt;/i&gt; = 0.53 lesions per +0.1  mm; 95% CI, 0.1-1.0 lesions), 50%-100% carotid stenosis versus no stenosis (&lt;i&gt;b&lt;/i&gt; = 6.6 lesions; 95% CI, 2.3-10.9 lesions), ankle-brachial index ≤ 0.9 versus &gt;0.9 (&lt;i&gt;b&lt;/i&gt; = 4.9 lesions; 95% CI, 1.7-8.0 lesions), and estimated glomerular filtration rate (&lt;i&gt;b =&lt;/i&gt; -0.77 lesions per +10 mL/min; 95% CI, -1.50 to -0.03 lesions). No significant differences in intracranial atherosclerosis burden were found among different categories of vascular disease. Intracranial atherosclerosis was associated with various extracranial markers of atherosclerosis, not supporting a different etiology.</t>
  </si>
  <si>
    <t>Spatial Lifecourse Epidemiology Reporting Standards (ISLE-ReSt) statement.</t>
  </si>
  <si>
    <t>Jia, Peng; Yu, Chao; Remais, Justin V; Stein, Alfred; Liu, Yu; Brownson, Ross C; Lakerveld, Jeroen; Wu, Tong; Yang, Lijian; Smith, Melody; Amer, Sherif; Pearce, Jamie; Kestens, Yan; Kwan, Mei-Po; Lai, Shengjie; Xu, Fei; Chen, Xi; Rundle, Andrew; Xiao, Qian; Xue, Hong; Luo, Miyang; Zhao, Li; Cheng, Guo; Yang, Shujuan; Zhou, Xiaolu; Li, Yan; Panter, Jenna; Kingham, Simon; Jones, Andy; Johnson, Blair T; Shi, Xun; Zhang, Lin; Wang, Limin; Wu, Jianguo; Mavoa, Suzanne; Toivonen, Tuuli; Mwenda, Kevin M; Wang, Youfa; Verschuren, W M Monique; Vermeulen, Roel; James, Peter</t>
  </si>
  <si>
    <t>https://pubmed.ncbi.nlm.nih.gov/32329723</t>
  </si>
  <si>
    <t>Spatial lifecourse epidemiology is an interdisciplinary field that utilizes advanced spatial, location-based, and artificial intelligence technologies to investigate the long-term effects of environmental, behavioural, psychosocial, and biological factors on health-related states and events and the underlying mechanisms. With the growing number of studies reporting findings from this field and the critical need for public health and policy decisions to be based on the strongest science possible, transparency and clarity in reporting in spatial lifecourse epidemiologic studies is essential. A task force supported by the International Initiative on Spatial Lifecourse Epidemiology (ISLE) identified a need for guidance in this area and developed a Spatial Lifecourse Epidemiology Reporting Standards (ISLE-ReSt) Statement. The aim is to provide a checklist of recommendations to improve and make more consistent reporting of spatial lifecourse epidemiologic studies. The STrengthening the Reporting of Observational Studies in Epidemiology (STROBE) Statement for cohort studies was identified as an appropriate starting point to provide initial items to consider for inclusion. Reporting standards for spatial data and methods were then integrated to form a single comprehensive checklist of reporting recommendations. The strength of our approach has been our international and multidisciplinary team of content experts and contributors who represent a wide range of relevant scientific conventions, and our adherence to international norms for the development of reporting guidelines. As spatial, location-based, and artificial intelligence technologies used in spatial lifecourse epidemiology continue to evolve at a rapid pace, it will be necessary to revisit and adapt the ISLE-ReSt at least every 2-3 years from its release.</t>
  </si>
  <si>
    <t>Non-alcoholic fatty liver disease, a new and growing risk indicator for cardiovascular disease.</t>
  </si>
  <si>
    <t>Janssen, Arne; Grobbee, Diederick E; Dendale, Paul</t>
  </si>
  <si>
    <t>https://pubmed.ncbi.nlm.nih.gov/31801050</t>
  </si>
  <si>
    <t>Cardiovascular disease risk in an urban African population: a cross-sectional analysis on the role of HIV and antiretroviral treatment.</t>
  </si>
  <si>
    <t>Vos, Alinda G; Hoeve, Klariska; Barth, Roos E; Peper, Joyce; Moorhouse, Michelle; Crowther, Nigel J; Venter, Willem D F; Grobbee, Diederick E; Bots, Michiel L; Klipstein-Grobusch, Kerstin</t>
  </si>
  <si>
    <t>https://pubmed.ncbi.nlm.nih.gov/31796103</t>
  </si>
  <si>
    <t>Life expectancy is increasing in the HIV-positive population and age-related non-communicable diseases, such as cardiovascular disease, (CVD) are seen more frequently. This study investigated to what extent HIV and antiretroviral therapy (ART) is associated with CVD risk in an urban African population. A cross-sectional study was performed in Johannesburg, South Africa, between July 2016 and November 2017. Both HIV-positive adults (ART-naïve, or on first- or second-line ART), as well as age and sex matched HIV-negative controls who were family or friends of the HIV-positive participants were included. Data were collected on demographics, cardiovascular risk factors, HIV-related characteristics, carotid intima-media thickness (CIMT) and carotid distensibility. The association between HIV, ART and CIMT and distensibility was analysed with linear regression models, adjusting for age, gender and CVD risk factors. The study included 548 participants, 337 (62%) females, age 38.3 ± 9.5 years of whom 104 (19.0%) were HIV-positive, ART-naïve; 94 (17.2%) were on first-line ART; 197 (35.9%) were on second-line ART; and 153 (27.9%) were HIV-negative. Participants on second-line ART had higher CIMT and lower distensibility compared to the other groups (p &lt; 0.001). After adjustment for age, these outcomes were similar between groups. Further adjustment for CVD and HIV-related factors did not alter the findings. Neither HIV nor ART was associated with CIMT or carotid distensibility in this urban African population. Longitudinal studies are needed to fully understand the relationship between HIV and CVD across different populations.</t>
  </si>
  <si>
    <t>Adherence to the World Cancer Research Fund/American Institute for Cancer Research cancer prevention recommendations and risk of in situ breast cancer in the European Prospective Investigation into Cancer and Nutrition (EPIC) cohort.</t>
  </si>
  <si>
    <t>Karavasiloglou, Nena; Hüsing, Anika; Masala, Giovanna; van Gils, Carla H; Turzanski Fortner, Renée; Chang-Claude, Jenny; Huybrechts, Inge; Weiderpass, Elisabete; Gunter, Marc; Arveux, Patrick; Fournier, Agnès; Kvaskoff, Marina; Tjønneland, Anne; Kyrø, Cecilie; Dahm, Christina C; Vistisen, Helene Tilma; Bakker, Marije F; Sánchez, Maria-Jose; Chirlaque López, María Dolores; Santiuste, Carmen; Ardanaz, Eva; Menéndez, Virginia; Agudo, Antonio; Trichopoulou, Antonia; Karakatsani, Anna; La Vecchia, Carlo; Peppa, Eleni; Palli, Domenico; Agnoli, Claudia; Panico, Salvatore; Tumino, Rosario; Sacerdote, Carlotta; Butt, Salma Tunå; Borgquist, Signe; Skeie, Guri; Schulze, Matthias; Key, Timothy; Khaw, Kay-Tee; Tsilidis, Kostantinos K; Ellingjord-Dale, Merete; Riboli, Elio; Kaaks, Rudolf; Dossus, Laure; Rohrmann, Sabine; Kühn, Tilman</t>
  </si>
  <si>
    <t>https://pubmed.ncbi.nlm.nih.gov/31787099</t>
  </si>
  <si>
    <t>Even though in situ breast cancer (BCIS) accounts for a large proportion of the breast cancers diagnosed, few studies have investigated potential risk factors for BCIS. Their results suggest that some established risk factors for invasive breast cancer have a similar impact on BCIS risk, but large population-based studies on lifestyle factors and BCIS risk are lacking. Thus, we investigated the association between lifestyle and BCIS risk within the European Prospective Investigation into Cancer and Nutrition cohort. Lifestyle was operationalized by a score reflecting the adherence to the World Cancer Research Fund/American Institute for Cancer Research (WCRF/AICR) cancer prevention recommendations. The recommendations utilized in these analyses were the ones pertinent to healthy body weight, physical activity, consumption of plant-based foods, energy-dense foods, red and processed meat, and sugary drinks and alcohol, as well as the recommendation on breastfeeding. Cox proportional hazards regression was used to assess the association between lifestyle score and BCIS risk. The results were presented as hazard ratios (HR) and corresponding 95% confidence intervals (CI). After an overall median follow-up time of 14.9 years, 1277 BCIS cases were diagnosed. Greater adherence to the WCRF/AICR cancer prevention recommendations was not associated with BCIS risk (HR = 0.98, 95% CI 0.93-1.03; per one unit of increase; multivariable model). An inverse association between the lifestyle score and BCIS risk was observed in study centers, where participants were recruited mainly via mammographic screening and attended additional screening throughout follow-up (HR = 0.85, 95% CI 0.73-0.99), but not in the remaining ones (HR = 0.99, 95% CI 0.94-1.05). While we did not observe an overall association between lifestyle and BCIS risk, our results indicate that lifestyle is associated with BCIS risk among women recruited via screening programs and with regular screening participation. This suggests that a true inverse association between lifestyle habits and BCIS risk in the overall cohort may have been masked by a lack of information on screening attendance. The potential inverse association between lifestyle and BCIS risk in our analyses is consistent with the inverse associations between lifestyle scores and breast cancer risk reported from previous studies.</t>
  </si>
  <si>
    <t>Risk factors of mortality in older patients with dementia in psychiatric care.</t>
  </si>
  <si>
    <t>Golüke, Nienke M S; Geerlings, Mirjam I; van de Vorst, Irene E; Vaartjes, Ilonca H; de Jonghe, Annemarieke; Bots, Michiel L; Koek, Huiberdina L</t>
  </si>
  <si>
    <t>https://pubmed.ncbi.nlm.nih.gov/31709606</t>
  </si>
  <si>
    <t>To examine the mortality risk, and its risk factors, of older patients with dementia in psychiatric care. We constructed a cohort of dementia patients through data linkage of four Dutch registers: the Psychiatric Case Register Middle Netherlands (PCR-MN), the hospital discharge register, the population register, and the national cause of death register. All dementia patients in PCR-MN aged between 60 and 100 years between 1 January 2000 and 31 December 2010 were included. Risk factors of mortality were investigated using Cox proportional hazard regression models with adjustment for age, sex, setting of care, nationality, marital status, dementia type, and psychiatric and somatic comorbidities. In total, 4297 patients were included with a median age of 80 years. The 1-year, 3-year, and 5-year mortality were 16.4%, 44.4%, and 63.5%, respectively. Determinants that increased the 1-year mortality were: male sex (adjusted hazard ratio [HR]: 1.49; 95% confidence interval [95% CI], 1.26-1.76), higher age (HR 1.08; 95% CI, 1.07-1.09), inpatient psychiatric care (HR 1.52; 95% CI, 1.19-1.93), more somatic comorbidities (HR 1.67; 95% CI, 1.49-1.87), and cardiovascular disease separately (HR 1.54; 95% CI, 1.30-1.82). Results for 3-year and 5-year mortality were comparable. Living together/married increased the 3- and 5-year mortality, and Dutch nationality increased the 5-year mortality. There were no differences in mortality with different types of psychiatric comorbidity. Mortality of dementia patients in psychiatric care was high, much higher than mortality in the general older population. The results of this study should raise awareness about their unfavourable prognosis, particularly older patients, men, inpatients, and patients with more somatic comorbidity.</t>
  </si>
  <si>
    <t>A qualitative study on the patient's narrative in the progression of chronic venous disease into a first venous leg ulcer: a series of events.</t>
  </si>
  <si>
    <t>Meulendijks, A M; Welbie, M; Tjin, E P M; Schoonhoven, L; Neumann, H A M</t>
  </si>
  <si>
    <t>https://pubmed.ncbi.nlm.nih.gov/31677155</t>
  </si>
  <si>
    <t>A venous leg ulcer (VLU) has a significant negative impact on quality of life. Prevention of a VLU is not yet imbedded in clinical practice because risk factors for developing a first VLU are not well known. To explore further the progression of chronic venous disease (CVD) into a first VLU from the patient's perspective. A qualitative study using semistructured interviews was conducted among male and female patients with a VLU. Patients from primary and secondary care, under and over 50 years of age, and with first and recurrent VLUs were included. The interviews were transcribed and analysed using a narrative approach to a thematic analysis. Transcripts were organized in chronological order and an iterative process was used to code the transcripts. Four key themes and the connections made between them emerged from the 11 narratives on the progression of CVD towards a first VLU: 'comorbidity', 'mobility', 'work and lifestyle' and 'acknowledgment of CVD'. Comorbidity was linked to reduced mobility and late acknowledgment of CVD. Comorbidity also affected work and lifestyle and vice versa. Work and lifestyle affected mobility and was linked to the acknowledgment of CVD. A reduction in mobility as a result of comorbidity and work and lifestyle occurred before the VLU developed. Patients did not recognize symptoms of CVD and did not acknowledge the chronicity of CVD. Healthcare professionals should be aware of reductions in mobility and the knowledge deficit in patients with CVD. What's already known about this topic? Not all patients with chronic venous disease (CVD) develop a venous leg ulcer (VLU). A patient's quality of life decreases significantly when a VLU develops. Risk factors for the development of a first VLU in patients with CVD are not well known, unlike risk factors for other chronic wounds like diabetic foot ulcer and pressure ulcers. What does this study add? The patient's narrative towards the development of a first VLU, a series of events. Insight into the events (comorbidity, mobility, work and lifestyle) that patients themselves link to the development of a VLU. Insight into the patients' acknowledgment of CVD in the progression of CVD towards a first VLU. What are the clinical implications of this work? More awareness is needed of CVD symptoms among patients and healthcare providers, as well as more awareness for prevention of a VLU in clinical practice. New insights (for further studies) are needed into the concept of mobility and the development of a VLU. Improved patient education and follow-up are needed for patients with CVD.</t>
  </si>
  <si>
    <t>Check Your Checklist: The Danger of Over- and Underestimating the Quality of Economic Evaluations.</t>
  </si>
  <si>
    <t>Frederix, Geert W J</t>
  </si>
  <si>
    <t>pharmacoeconomics open</t>
  </si>
  <si>
    <t>https://pubmed.ncbi.nlm.nih.gov/30680675</t>
  </si>
  <si>
    <t>In vivo acquisition of fosfomycin resistance in Escherichia coli by fosA transmission from commensal flora.</t>
  </si>
  <si>
    <t>Ten Doesschate, Thijs; Abbott, Iain J; Willems, Rob J L; Top, Janetta; Rogers, Malbert R C; Bonten, Marc M; Paganelli, Fernanda L</t>
  </si>
  <si>
    <t>https://pubmed.ncbi.nlm.nih.gov/31511878</t>
  </si>
  <si>
    <t>Trajectory of body mass and skeletal muscle indices and disease progression in metastatic colorectal cancer patients.</t>
  </si>
  <si>
    <t>Kurk, Sophie A; Stellato, Rebecca K; Peeters, Petra H M; Dorresteijn, Bram; Jourdan, Marion; Oskam, Marieke J; Punt, Cornelis J A; Koopman, Miriam; May, Anne M</t>
  </si>
  <si>
    <t>https://pubmed.ncbi.nlm.nih.gov/31515555</t>
  </si>
  <si>
    <t>Knowledge of the evolution of BMI and skeletal muscle index (SMI) measurements during advanced cancer and their relationships with disease progression (PD) is relevant to improve the timing of interventions that may improve cachexia-associated outcomes. We investigated BMI and SMI trajectories and their associations with PD in metastatic colorectal cancer (mCRC) patients during consecutive palliative systemic regimens.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In mCRC patients during palliative systemic treatment, SMI losses, irrespective of BMI losses, may be a marker for the early initiation of cachexia interventions.</t>
  </si>
  <si>
    <t>Long-term effects of intensive multifactorial therapy in individuals with screen-detected type 2 diabetes in primary care: 10-year follow-up of the ADDITION-Europe cluster-randomised trial.</t>
  </si>
  <si>
    <t>Griffin, Simon J; Rutten, Guy E H M; Khunti, Kamlesh; Witte, Daniel R; Lauritzen, Torsten; Sharp, Stephen J; Dalsgaard, Else-Marie; Davies, Melanie J; Irving, Greg J; Vos, Rimke C; Webb, David R; Wareham, Nicholas J; Sandbæk, Annelli</t>
  </si>
  <si>
    <t>https://pubmed.ncbi.nlm.nih.gov/31748169</t>
  </si>
  <si>
    <t>The multicentre, international ADDITION-Europe study investigated the effect of promoting intensive treatment of multiple risk factors among people with screen-detected type 2 diabetes over 5 years. Here we report the results of a post-hoc 10-year follow-up analysis of ADDITION-Europe to establish whether differences in treatment and cardiovascular risk factors have been maintained and to assess effects on cardiovascular outcomes. As previously described, general practices from four centres (Denmark, Cambridge [UK], Leicester [UK], and the Netherlands) were randomly assigned by computer-generated list to provide screening followed by routine care of diabetes, or screening followed by intensive multifactorial treatment. Population-based stepwise screening programmes among people aged 40-69 years (50-69 years in the Netherlands), between April, 2001, and December, 2006, identified patients with type 2 diabetes. Allocation was concealed from patients. Following the 5-year follow-up, no attempts were made to maintain differences in treatment between study groups. In this report, we did a post-hoc analysis of cardiovascular and renal outcomes over 10 years following randomisation, including a 5 years post-intervention follow-up. As in the original trial, the primary endpoint was a composite of first cardiovascular event, including cardiovascular mortality, cardiovascular morbidity (non-fatal myocardial infarction and non-fatal stroke), revascularisation, and non-traumatic amputation, up to Dec 31, 2014. Analyses were based on the intention-to-treat principle. ADDITION-Europe is registered with ClinicalTrials.gov, NCT00237549. 343 general practices were randomly assigned to routine diabetes care (n=176) or intensive multifactorial treatment (n=167). 317 of these general practices (157 in the routine care group, 161 in the intensive treatment group) included eligible patients between April, 2001, and December, 2006. Of the 3233 individuals with screen-detected diabetes, 3057 agreed to participate (1379 in the routine care group, 1678 in the intensive treatment group), but at the 10-year follow-up 14 were lost to follow-up and 12 withdrew, leaving 3031 to enter 10-year follow-up analysis. Mean duration of follow-up was 9·61 years (SD 2·99). Sustained reductions over 10 years following diagnosis were apparent for bodyweight, HbA&lt;sub&gt;1c&lt;/sub&gt;, blood pressure, and cholesterol in both study groups, but between-group differences identified at 1 and 5 years were attenuated at the 10-year follow-up. By 10 years, 443 participants had a first cardiovascular event and 465 died. There was no significant difference between groups in the incidence of the primary composite outcome (16·1 per 1000 person-years in the routine care group vs 14·3 per 1000 person-years in the intensive treatment group; hazard ratio [HR] 0·87, 95% CI 0·73-1·04; p=0·14) or all-cause mortality (15·6 vs 14·3 per 1000 person-years; HR 0·90, 0·76-1·07). Sustained reductions in glycaemia and related cardiovascular risk factors over 10 years among people with screen-detected diabetes managed in primary care are achievable. The differences in prescribed treatment and cardiovascular risk factors in the 5 years following diagnosis were not maintained at 10 years, and the difference in cardiovascular events and mortality remained non-significant. National Health Service Denmark, Danish Council for Strategic Research, Danish Research Foundation for General Practice, Novo Nordisk, Novo Nordisk Foundation, Danish Centre for Evaluation and Health Technology Assessment, Danish National Board of Health, Danish Medical Research Council, Aarhus University Research Foundation, Astra, Pfizer, GlaxoSmithKline, Servier, HemoCue, Wellcome Trust, UK Medical Research Council, UK National Institute for Health Research, UK National Health Service, Merck, Julius Center for Health Sciences and Primary Care, UK Department of Health, and Nuts-OHRA.</t>
  </si>
  <si>
    <t>Risk and management of pre-diabetes.</t>
  </si>
  <si>
    <t>Beulens, Jwj; Rutters, F; Rydén, L; Schnell, O; Mellbin, L; Hart, H E; Vos, R C</t>
  </si>
  <si>
    <t>https://pubmed.ncbi.nlm.nih.gov/31766914</t>
  </si>
  <si>
    <t>Type 2 diabetes mellitus (T2DM) is associated with a two- to four-fold increased risk of developing cardiovascular disease (CVD) and microvascular complications, which may already be present before diagnosis. It is, therefore, important to detect people with an increased risk of T2DM at an early stage. In order to identify individuals with so-called 'pre-diabetes', comprising impaired fasting glucose (IFG) and impaired glucose tolerance (IGT), current guidelines have developed definitions based on fasting plasma glucose, two-hour glucose concentrations and haemoglobin A1c. Subjects with pre-diabetes are at an increased risk of developing T2DM and CVD. This elevated risk seems similar according to the different criteria used to define pre-diabetes. The risk of progression to T2DM or CVD does, however, depend on other risk factors such as sex, body mass index and ethnicity. Based on the risk factors to develop T2DM, many risk assessment models have been developed to identify those at highest risk. These models perform well to identify those at risk and could be used to initiate preventive interventions. Many studies have shown that lifestyle modification and metformin are effective in preventing the development of T2DM, although lifestyle modification seems to have a more sustainable effect. In addition, lifestyle modification seems more effective in those with IGT than those with IFG. In this review, we will describe the different definitions used to define pre-diabetes, progression from pre-diabetes to T2DM or other vascular complications, risk factors associated with progressions and the management of progression to T2DM, ending with clinical recommendations.</t>
  </si>
  <si>
    <t>Clinical Course and Management of Dengue in Children Admitted to Hospital: A 5 Years Prospective Cohort Study in Jakarta, Indonesia.</t>
  </si>
  <si>
    <t>Karyanti, Mulya Rahma; Uiterwaal, Cuno S P M; Hadinegoro, Sri Rezeki; Jansen, Maria A C; Heesterbeek, J A P Hans; Hoes, Arno W; Bruijning-Verhagen, Patricia</t>
  </si>
  <si>
    <t>https://pubmed.ncbi.nlm.nih.gov/31738330</t>
  </si>
  <si>
    <t>Dengue incidence is rising globally which was estimated 100 million per year, whereas in Indonesia was estimated 7.5 million per year. Dengue clinical course varies from mild dengue fever (DF) to dengue hemorrhagic fever (DHF) or dengue shock syndrome (DSS). Patients, clinicians and care facilities would benefit if reliable predictors can determine at admission which cases with clinically suspected dengue will progress to DHF or DSS. From 2009 through 2013, a cohort of 494 children admitted with clinically suspected dengue at a tertiary care hospital in Jakarta, Indonesia, was followed until discharge. We evaluated the clinical course and disease outcome of admitted patients and estimated the burden of dengue cases hospitalized over time. Of all 494 children, 185 (37%) were classified at admission as DF, 158 (32%) as DHF and 151 (31%) as DSS. Of DF patients, 52 (28%) progressed to DHF or DSS, 10 (5%) had other viral diseases. Of DHF patients, 9(6%) progressed to DSS. Of 33 routinely collected parameters at admission, duration of fever ≤4 days was the only significant predictor of disease progression (P = 0.01). Five cases (3%) admitted with DSS died. Between 2009 and 2013, annual dengue admissions declined, while distribution of disease severity remained stable. Almost a third of children admitted to tertiary care with clinically suspected DF progress to DHF or DSS. Among routinely collected parameters at admission, only fever duration was significantly associated with clinical progression, emphasizing unpredictability of dengue disease course from parameters currently routinely collected.</t>
  </si>
  <si>
    <t>Global Capacity Building for Global Challenges in Cardiovascular Disease.</t>
  </si>
  <si>
    <t>https://pubmed.ncbi.nlm.nih.gov/31727266</t>
  </si>
  <si>
    <t>Urinary Ethyl Glucuronide Can Be Used as a Biomarker of Habitual Alcohol Consumption in the General Population.</t>
  </si>
  <si>
    <t>van de Luitgaarden, Inge A T; Beulens, Joline W J; Schrieks, Ilse C; Kieneker, Lyanne M; Touw, Daan J; van Ballegooijen, Adriana J; van Oort, Sabine; Grobbee, Diederick E; Bakker, Stephan J L</t>
  </si>
  <si>
    <t>https://pubmed.ncbi.nlm.nih.gov/31268139</t>
  </si>
  <si>
    <t>Alcohol consumption is a frequently studied risk factor for chronic diseases, but many studies are hampered by self-report of alcohol consumption. The urinary metabolite ethyl glucuronide (EtG), reflecting alcohol consumption during the past 72 h, is a promising objective marker, but population data are lacking. The objective of this study was to assess the reliability of EtG as a marker for habitual alcohol consumption compared with self-report and other biomarkers in the general population. Among 6211 participants in the Prevention of Renal and Vascular End-Stage Disease (PREVEND) cohort, EtG concentrations were measured in 24-h urine samples. EtG was considered positive when concentrations were ≥100 ng/mL. Habitual alcohol consumption was self-reported by questionnaire (categories: no/almost never, 1-4 units per month, 2-7 units per week, 1-3 units per day or ≥4 units per day). Plasma HDL cholesterol concentration, erythrocyte mean corpuscular volume (MCV), aspartate aminotransferase (AST), alanine aminotransferase (ALT), and γ-glutamyltransferase (GGT) were determined as indirect biomarkers of alcohol consumption. Sensitivity, specificity, positive and negative predictive value, and proportions of agreement between reported consumption and EtG were calculated. To test the agreement of EtG concentration and alcohol consumption in categories, linear regression analysis was performed. In addition, the association between EtG concentrations and indirect biomarkers was analyzed. Mean age was 53.7 y, and 52.9% of participants men. Of the self-reported abstainers, 92.3% had an EtG concentration &lt;100 ng/mL. Sensitivity was 66.3%, positive predictive value was 96.3%, and negative predictive value was 47.4%. The proportion of positive agreement was 78.5%, and the proportion of negative agreement was 62.7%. EtG concentrations were linearly associated with higher categories of alcohol consumption (P-trend &lt; 0.001), adjusted for age, sex, and renal function. EtG was positively related to MCV, HDL cholesterol, and GGT but not to AST and ALT concentrations. This study shows that urinary EtG is in reasonable agreement with self-reported alcohol consumption and therefore can be used as an objective marker of habitual alcohol consumption in the general population.</t>
  </si>
  <si>
    <t>Prevalence and determinants of type 2 diabetes among lean African migrants and non-migrants: the RODAM study.</t>
  </si>
  <si>
    <t>Chilunga, Felix P; Henneman, Peter; Meeks, Karlijn Ac; Beune, Erik; Requena-Méndez, Ana; Smeeth, Liam; Addo, Juliet; Bahendeka, Silver; Danquah, Ina; Schulze, Matthias B; Spranger, Joachim; Owusu-Dabo, Ellis; Klipstein-Grobusch, Kerstin; Mannens, Marcel Mam; Agyemang, Charles</t>
  </si>
  <si>
    <t>https://pubmed.ncbi.nlm.nih.gov/31673340</t>
  </si>
  <si>
    <t>Exposure to adverse conditions earlier in life-course can predispose to type 2 diabetes in adulthood, irrespective of body mass index (BMI). However, the burden of type 2 diabetes in lean Africans is not well understood despite higher exposure to adverse early life conditions. Mirroring ongoing epidemiological transition, we assessed the burden and determinants of type 2 diabetes in a homogenous group of lean Ghanaians residing in rural and urban Ghana, and as migrants in Europe. Baseline data from 2179 RODAM study participants with BMI&lt;25kg/m&lt;sup&gt;2&lt;/sup&gt; (25-70 years) were analyzed. Prevalence and determinants of type 2 diabetes were estimated using logistic regression analysis. Adjustments were made for socio-demographic and lifestyle factors, use of anti-diabetic medication and optimal blood glucose control. Prevalence of type 2 diabetes in rural, urban and migrant lean participants were 3.5%, 8.9% and 7.5% respectively, representing 55.4%, 35.6%, 13.2% of all participants with type 2 diabetes. Compared with lean rural participants, the odds of type 2 diabetes were higher in lean urban participants (adjusted OR = 8.81, 95% CI = 6.56-11.06), followed by migrants (5.27, 95% CI = 3.51-6.91). Irrespective of site, determinants of type 2 diabetes in lean participants include; presence of hypertension, physical inactivity, hypercholesterolemia and age (&gt;45 years). Our study shows a high prevalence of type 2 diabetes among lean African populations in different geographical settings. Future studies are needed in-order to examine how contextual differences are related to the pathophysiology of type 2 diabetes in lean individuals.</t>
  </si>
  <si>
    <t>Respiratory syncytial, parainfluenza and influenza virus infection in young children with acute lower respiratory infection in rural Gambia.</t>
  </si>
  <si>
    <t>Mackenzie, Grant A; Vilane, Aminata; Salaudeen, Rasheed; Hogerwerf, Lenny; van den Brink, Sharon; Wijsman, Lisa A; Overduin, Pieter; Janssens, Thierry K S; de Silva, Thushan I; van der Sande, Marianne A B; Kampmann, Beate; Meijer, Adam</t>
  </si>
  <si>
    <t>https://pubmed.ncbi.nlm.nih.gov/31784567</t>
  </si>
  <si>
    <t>Respiratory viral infections contribute significantly to morbidity and mortality worldwide, but representative data from sub-Saharan Africa are needed to inform vaccination strategies. We conducted population-based surveillance in rural Gambia using standardized criteria to identify and investigate children with acute lower respiratory infection (ALRI). Naso- and oropharyngeal swabs were collected. Each month from February through December 2015, specimens from 50 children aged 2-23 months were randomly selected to test for respiratory syncytial (RSV), parainfluenza (PIV) and influenza viruses. The expected number of viral-associated ALRI cases in the population was estimated using statistical simulation that accounted for the sampling design. RSV G and F proteins and influenza hemagglutinin genes were sequenced. 2385 children with ALRI were enrolled, 519 were randomly selected for viral testing. One or more viruses were detected in 303/519 children (58.4%). RSV-A was detected in 237 and RSV-B in seven. The expected incidence of ALRI associated with RSV, PIV or influenza was 140 cases (95% CI, 131-149) per 1000 person-years; RSV incidence was 112 cases (95% CI, 102-122) per 1000 person-years. Multiple strains of RSV and influenza circulated during the year. RSV circulated throughout most of the year and was associated with eight times the number of ALRI cases compared to PIV or IV. Gambian RSV viruses were closely related to viruses detected in other continents. An effective RSV vaccination strategy could have a major impact on the burden of ALRI in this setting.</t>
  </si>
  <si>
    <t>Supplemental MRI Screening for Women with Extremely Dense Breast Tissue.</t>
  </si>
  <si>
    <t>Bakker, Marije F; de Lange, Stéphanie V; Pijnappel, Ruud M; Mann, Ritse M; Peeters, Petra H M; Monninkhof, Evelyn M; Emaus, Marleen J; Loo, Claudette E; Bisschops, Robertus H C; Lobbes, Marc B I; de Jong, Matthijn D F; Duvivier, Katya M; Veltman, Jeroen; Karssemeijer, Nico; de Koning, Harry J; van Diest, Paul J; Mali, Willem P T M; van den Bosch, Maurice A A J; Veldhuis, Wouter B; van Gils, Carla H; ,</t>
  </si>
  <si>
    <t>https://pubmed.ncbi.nlm.nih.gov/31774954</t>
  </si>
  <si>
    <t>Extremely dense breast tissue is a risk factor for breast cancer and limits the detection of cancer with mammography. Data are needed on the use of supplemental magnetic resonance imaging (MRI) to improve early detection and reduce interval breast cancers in such patients. In this multicenter, randomized, controlled trial in the Netherlands, we assigned 40,373 women between the ages of 50 and 75 years with extremely dense breast tissue and normal results on screening mammography to a group that was invited to undergo supplemental MRI or to a group that received mammography screening only. The groups were assigned in a 1:4 ratio, with 8061 in the MRI-invitation group and 32,312 in the mammography-only group. The primary outcome was the between-group difference in the incidence of interval cancers during a 2-year screening period. The interval-cancer rate was 2.5 per 1000 screenings in the MRI-invitation group and 5.0 per 1000 screenings in the mammography-only group, for a difference of 2.5 per 1000 screenings (95% confidence interval [CI], 1.0 to 3.7; P&lt;0.001). Of the women who were invited to undergo MRI, 59% accepted the invitation. Of the 20 interval cancers that were diagnosed in the MRI-invitation group, 4 were diagnosed in the women who actually underwent MRI (0.8 per 1000 screenings) and 16 in those who did not accept the invitation (4.9 per 1000 screenings). The MRI cancer-detection rate among the women who actually underwent MRI screening was 16.5 per 1000 screenings (95% CI, 13.3 to 20.5). The positive predictive value was 17.4% (95% CI, 14.2 to 21.2) for recall for additional testing and 26.3% (95% CI, 21.7 to 31.6) for biopsy. The false positive rate was 79.8 per 1000 screenings. Among the women who underwent MRI, 0.1% had either an adverse event or a serious adverse event during or immediately after the screening. The use of supplemental MRI screening in women with extremely dense breast tissue and normal results on mammography resulted in the diagnosis of significantly fewer interval cancers than mammography alone during a 2-year screening period. (Funded by the University Medical Center Utrecht and others; DENSE ClinicalTrials.gov number, NCT01315015.).</t>
  </si>
  <si>
    <t>[Direct-to-consumer genetic tests in the consulting room].</t>
  </si>
  <si>
    <t>Gerrits, Elianne M; van Dooren, Marieke F; Bredenoord, Annelien L; van Mil, Marc H W</t>
  </si>
  <si>
    <t>https://pubmed.ncbi.nlm.nih.gov/32073784</t>
  </si>
  <si>
    <t>Rapid developments in genome technology and a growing interest in personalized healthcare have led to a large rise in the range and use of commercial DNA tests, the so-called direct-to-consumer genetic tests (DTC-GT). DTC-GT can be of a non-medical (e.g. for external characteristics) or medical nature; medical tests mostly indicate relative risks of disease e.g. Alzheimer's disease or certain forms of cancer. Low clinical validity and frequently unknown analytical validity of DTC-GT make it difficult to estimate the clinical usefulness of test results. From an ethical perspective, an increase in autonomy and possible health benefits must be weighed against loss of privacy, inadequate provision of information and the risk of misinterpretation of results, over-diagnosis, overtreatment and higher healthcare costs. It is unclear whether providing and implementing DTC-GT require authorisation under Dutch law in the Population Screening Act (Wet op het Bevolkingsonderzoek) or the Special Medical Procedures Act (Wet op BijzondereMedischeVerrichtingen). Clinical utility of DTC-GT can only increase if there is greater clarity on interpretation and scope of the law and regulations, when DTC-GT companies provide better information and guidance for consumers and when there is more focus on DTC-GT in education and training programmes for healthcare professionals.</t>
  </si>
  <si>
    <t>Development and validation of circulating CA125 prediction models in postmenopausal women.</t>
  </si>
  <si>
    <t>Sasamoto, Naoko; Babic, Ana; Rosner, Bernard A; Fortner, Renée T; Vitonis, Allison F; Yamamoto, Hidemi; Fichorova, Raina N; Titus, Linda J; Tjønneland, Anne; Hansen, Louise; Kvaskoff, Marina; Fournier, Agnès; Mancini, Francesca Romana; Boeing, Heiner; Trichopoulou, Antonia; Peppa, Eleni; Karakatsani, Anna; Palli, Domenico; Grioni, Sara; Mattiello, Amalia; Tumino, Rosario; Fiano, Valentina; Onland-Moret, N Charlotte; Weiderpass, Elisabete; Gram, Inger T; Quirós, J Ramón; Lujan-Barroso, Leila; Sánchez, Maria-Jose; Colorado-Yohar, Sandra; Barricarte, Aurelio; Amiano, Pilar; Idahl, Annika; Lundin, Eva; Sartor, Hanna; Khaw, Kay-Tee; Key, Timothy J; Muller, David; Riboli, Elio; Gunter, Marc; Dossus, Laure; Trabert, Britton; Wentzensen, Nicolas; Kaaks, Rudolf; Cramer, Daniel W; Tworoger, Shelley S; Terry, Kathryn L</t>
  </si>
  <si>
    <t>journal of ovarian research</t>
  </si>
  <si>
    <t>https://pubmed.ncbi.nlm.nih.gov/31771659</t>
  </si>
  <si>
    <t>Cancer Antigen 125 (CA125) is currently the best available ovarian cancer screening biomarker. However, CA125 has been limited by low sensitivity and specificity in part due to normal variation between individuals. Personal characteristics that influence CA125 could be used to improve its performance as screening biomarker. We developed and validated linear and dichotomous (≥35 U/mL) circulating CA125 prediction models in postmenopausal women without ovarian cancer who participated in one of five large population-based studies: Prostate, Lung, Colorectal, and Ovarian Cancer Screening Trial (PLCO, n = 26,981), European Prospective Investigation into Cancer and Nutrition (EPIC, n = 861), the Nurses' Health Studies (NHS/NHSII, n = 81), and the New England Case Control Study (NEC, n = 923). The prediction models were developed using stepwise regression in PLCO and validated in EPIC, NHS/NHSII and NEC. The linear CA125 prediction model, which included age, race, body mass index (BMI), smoking status and duration, parity, hysterectomy, age at menopause, and duration of hormone therapy (HT), explained 5% of the total variance of CA125. The correlation between measured and predicted CA125 was comparable in PLCO testing dataset (r = 0.18) and external validation datasets (r = 0.14). The dichotomous CA125 prediction model included age, race, BMI, smoking status and duration, hysterectomy, time since menopause, and duration of HT with AUC of 0.64 in PLCO and 0.80 in validation dataset. The linear prediction model explained a small portion of the total variability of CA125, suggesting the need to identify novel predictors of CA125. The dichotomous prediction model showed moderate discriminatory performance which validated well in independent dataset. Our dichotomous model could be valuable in identifying healthy women who may have elevated CA125 levels, which may contribute to reducing false positive tests using CA125 as screening biomarker.</t>
  </si>
  <si>
    <t>Study protocol for a randomised trial for atosiban versus placebo in threatened preterm birth: the APOSTEL 8 study.</t>
  </si>
  <si>
    <t>Klumper, Job; Breebaart, Wouter; Roos, Carolien; Naaktgeboren, Christiana A; van der Post, Joris; Bosmans, Judith; van Kaam, Anton; Schuit, Ewoud; Mol, Ben W; Baalman, Jelle; McAuliffe, Fionnuala; Thornton, Jim; Kok, Marjolein; Oudijk, Martijn A</t>
  </si>
  <si>
    <t>https://pubmed.ncbi.nlm.nih.gov/31772083</t>
  </si>
  <si>
    <t>Preterm birth complicates &gt;15 million pregnancies annually worldwide. In many countries, women who present with signs of preterm labour are treated with tocolytics for 48 hours. Although this delays birth, it has never been shown to improve neonatal outcome. In 2015, the WHO stated that the use of tocolytics should be reconsidered and that large placebo-controlled studies to evaluate the effectiveness of tocolytics are urgently needed. We designed an international, multicentre, randomised, double-blinded, placebo-controlled clinical trial. Women with threatened preterm birth (gestational age 30-34 weeks), defined as uterine contractions with (1) a cervical length of &lt; 15 mm or (2) a cervical length of 15-30 mm and a positive fibronectin test or (3) in centres where cervical length measurement is not part of the local protocol: a positive fibronectin test or insulin-like growth factor binding protein-1 (Actim-Partus test) or (4) ruptured membranes, will be randomly allocated to treatment with atosiban or placebo for 48 hours. The primary outcome is a composite of perinatal mortality and severe neonatal morbidity. Analysis will be by intention to treat. A sample size of 1514 participants (757 per group) will detect a reduction in adverse neonatal outcome from 10% to 6% (alpha 0.05, beta 0.2). A cost-effectiveness analysis will be performed from a societal perspective. This study has been approved by the Research Ethics Committee (REC) of the Amsterdam University Medical Centres, location AMC, as well as the REC's in Dublin and the UK. The results will be presented at conferences and published in a peer-reviewed journal. Participants will be informed about the results. Nederlands Trial Register (Trial NL6469).</t>
  </si>
  <si>
    <t>Prediction of human active mobility in rural areas: development and validity tests of three different approaches.</t>
  </si>
  <si>
    <t>Klous, Gijs; Kretzschmar, Mirjam E E; Coutinho, Roel A; Heederik, Dick J J; Huss, Anke</t>
  </si>
  <si>
    <t>journal of exposure science environmental epidemiology</t>
  </si>
  <si>
    <t>https://pubmed.ncbi.nlm.nih.gov/31772295</t>
  </si>
  <si>
    <t>Active mobility may play a relevant role in the assessment of environmental exposures (e.g. traffic-related air pollution, livestock emissions), but data about actual mobility patterns are work intensive to collect, especially in large study populations, therefore estimation methods for active mobility may be relevant for exposure assessment in different types of studies. We previously collected mobility patterns in a group of 941 participants in a rural setting in the Netherlands, using week-long GPS tracking. We had information regarding personal characteristics, self-reported data regarding weekly mobility patterns and spatial characteristics. The goal of this study was to develop versatile estimates of active mobility, test their accuracy using GPS measurements and explore the implications for exposure assessment studies. We estimated hours/week spent on active mobility based on personal characteristics (e.g. age, sex, pre-existing conditions), self-reported data (e.g. hours spent commuting per bike) or spatial predictors such as home and work address. Estimated hours/week spent on active mobility were compared with GPS measured hours/week, using linear regression and kappa statistics. Estimated and measured hours/week spent on active mobility had low correspondence, even the best predicting estimation method based on self-reported data, resulted in a R&lt;sup&gt;2&lt;/sup&gt; of 0.09 and Cohen's kappa of 0.07. A visual check indicated that, although predicted routes to work appeared to match GPS measured tracks, only a small proportion of active mobility was captured in this way, thus resulting in a low validity of overall predicted active mobility. We were unable to develop a method that could accurately estimate active mobility, the best performing method was based on detailed self-reported information but still resulted in low correspondence. For future studies aiming to evaluate the contribution of home-work traffic to exposure, applying spatial predictors may be appropriate. Measurements still represent the best possible tool to evaluate mobility patterns.</t>
  </si>
  <si>
    <t>Show yourself, experiences of patients with bipolar disorder recording a film to show their "euthymic being": A qualitative study.</t>
  </si>
  <si>
    <t>Goossens, Peter J J; Daggenvoorde, Thea H; Groot Lipman, Melanie H G; van Bendegem, Micha A; Kars, Marijke C</t>
  </si>
  <si>
    <t>https://pubmed.ncbi.nlm.nih.gov/31769889</t>
  </si>
  <si>
    <t>To examine the experiences of outpatients with bipolar disorder recording a 10-minute film to show their "being" in a euthymic mood state. A multicenter qualitative study, in the context of a feasibility study for a newly developed intervention. Data were analyzed using the Stevick-Colaizzi-Keen method. Participants experienced the recording as positive and valuable. Although camera anxiety was mentioned frequently, the overall conclusion is that recording a film in the context of a newly developed film intervention is valid. Clear information and support for the patient should be provided during the preparatory conversation and recording.</t>
  </si>
  <si>
    <t>Predicted basal metabolic rate and cancer risk in the European Prospective Investigation into Cancer and Nutrition.</t>
  </si>
  <si>
    <t>Kliemann, Nathalie; Murphy, Neil; Viallon, Vivian; Freisling, Heinz; Tsilidis, Konstantinos K; Rinaldi, Sabina; Mancini, Francesca R; Fagherazzi, Guy; Boutron-Ruault, Marie-Christine; Boeing, Heiner; Schulze, Matthias B; Masala, Giovanna; Krogh, Vittorio; Sacerdote, Carlotta; de Magistris, Maria S; Bueno-de-Mesquita, Bas; Weiderpass, Elisabete; Kühn, Tilman; Kaaks, Rudolf; Jakszyn, Paula; Redondo-Sánchez, Daniel; Amiano, Pilar; Chirlaque, Maria-Dolores; Gurrea, Aurelio B; Ericson, Ulrica; Drake, Isabel; Nøst, Therese H; Aune, Dagfinn; May, Anne M; Tjønneland, Anne; Dahm, Christina C; Overvad, Kim; Tumino, Rosario; Quirós, Jose R; Trichopoulou, Antonia; Karakatsani, Anna; La Vecchia, Carlo; Nilsson, Lena M; Riboli, Elio; Huybrechts, Inge; Gunter, Marc J</t>
  </si>
  <si>
    <t>https://pubmed.ncbi.nlm.nih.gov/31652358</t>
  </si>
  <si>
    <t>Emerging evidence suggests that a metabolic profile associated with obesity may be a more relevant risk factor for some cancers than adiposity per se. Basal metabolic rate (BMR) is an indicator of overall body metabolism and may be a proxy for the impact of a specific metabolic profile on cancer risk. Therefore, we investigated the association of predicted BMR with incidence of 13 obesity-related cancers in the European Prospective Investigation into Cancer and Nutrition (EPIC). BMR at baseline was calculated using the WHO/FAO/UNU equations and the relationships between BMR and cancer risk were investigated using multivariable Cox proportional hazards regression models. A total of 141,295 men and 317,613 women, with a mean follow-up of 14 years were included in the analysis. Overall, higher BMR was associated with a greater risk for most cancers that have been linked with obesity. However, among normal weight participants, higher BMR was associated with elevated risks of esophageal adenocarcinoma (hazard ratio per 1-standard deviation change in BMR [HR&lt;sub&gt;1-SD&lt;/sub&gt; ]: 2.46; 95% CI 1.20; 5.03) and distal colon cancer (HR&lt;sub&gt;1-SD&lt;/sub&gt; : 1.33; 95% CI 1.001; 1.77) among men and with proximal colon (HR&lt;sub&gt;1-SD&lt;/sub&gt; : 1.16; 95% CI 1.01; 1.35), pancreatic (HR&lt;sub&gt;1-SD&lt;/sub&gt; : 1.37; 95% CI 1.13; 1.66), thyroid (HR&lt;sub&gt;1-SD&lt;/sub&gt; : 1.65; 95% CI 1.33; 2.05), postmenopausal breast (HR&lt;sub&gt;1-SD&lt;/sub&gt; : 1.17; 95% CI 1.11; 1.22) and endometrial (HR&lt;sub&gt;1-SD&lt;/sub&gt; : 1.20; 95% CI 1.03; 1.40) cancers in women. These results indicate that higher BMR may be an indicator of a metabolic phenotype associated with risk of certain cancer types, and may be a useful predictor of cancer risk independent of body fatness.</t>
  </si>
  <si>
    <t>Daily life participation in childhood chronic disease: a qualitative study.</t>
  </si>
  <si>
    <t>Nap-van der Vlist, Merel M; Kars, Marijke C; Berkelbach van der Sprenkel, Emma E; Nijhof, Linde N; Grootenhuis, Martha A; van Geelen, Stefan M; van der Ent, Cornelis K; Swart, Joost F; van Royen-Kerkhof, Annet; van Grotel, Martine; van de Putte, Elise M; Nijhof, Sanne L</t>
  </si>
  <si>
    <t>archives of disease in childhood</t>
  </si>
  <si>
    <t>https://pubmed.ncbi.nlm.nih.gov/31748222</t>
  </si>
  <si>
    <t>Opportunities to participate in daily life have improved considerably for children with chronic disease. Nevertheless, they still face challenges associated with their ever-present illness affecting every aspect of their lives. To best help these children, we aimed to assess the child's own perspective on participation and the main considerations that affect participation in a stable phase of disease. Qualitative study design was applied. Semistructured, indepth interviews were conducted and analysed by a general inductive approach using constant comparison, coding and categorisation. Children 8-18 years old with a chronic disease were recruited from a cohort study involving cystic fibrosis, autoimmune disease and post-treatment paediatric cancer. 31 of the 56 (55%) invited patients participated. From the perspective of children with chronic disease, participation is considered more than merely engaging in activities; rather, they view having a sense of belonging, the ability to affect social interactions and the capacity to keep up with peers as key elements of full participation. Some children typically placed a higher priority on participation, whereas other children typically placed a higher priority on their current and/or future needs, both weighing the costs and benefits of their choices and using disclosure as a strategy. Enabling full participation from the child's perspective will help realise patient-centred care, ultimately helping children self-manage their participation. Caregivers can stimulate this participation by evaluating with children how to achieve a sense of belonging, active involvement and a role within a peer group. This requires active collaboration between children, healthcare providers and caregivers.</t>
  </si>
  <si>
    <t>Prediction model for pneumonia in primary care patients with an acute respiratory tract infection: role of symptoms, signs, and biomarkers.</t>
  </si>
  <si>
    <t>Groeneveld, G H; van 't Wout, J W; Aarts, N J; van Rooden, C J; Verheij, T J M; Cobbaert, C M; Kuijper, E J; de Vries, J J C; van Dissel, J T</t>
  </si>
  <si>
    <t>https://pubmed.ncbi.nlm.nih.gov/31747890</t>
  </si>
  <si>
    <t>Diagnosing pneumonia can be challenging in general practice but is essential to distinguish from other respiratory tract infections because of treatment choice and outcome prediction. We determined predictive signs, symptoms and biomarkers for the presence of pneumonia in patients with acute respiratory tract infection in primary care. From March 2012 until May 2016 we did a prospective observational cohort study in three radiology departments in the Leiden-The Hague area, The Netherlands. From adult patients we collected clinical characteristics and biomarkers, chest X ray results and outcome. To assess the predictive value of C-reactive protein (CRP), procalcitonin and midregional pro-adrenomedullin for pneumonia, univariate and multivariate binary logistic regression were used to determine risk factors and to develop a prediction model. Two hundred forty-nine patients were included of whom 30 (12%) displayed a consolidation on chest X ray. Absence of runny nose and whether or not a patient felt ill were independent predictors for pneumonia. CRP predicts pneumonia better than the other biomarkers but adding CRP to the clinical model did not improve classification (- 4%); however, CRP helped guidance of the decision which patients should be given antibiotics. Adding CRP measurements to a clinical model in selected patients with an acute respiratory infection does not improve prediction of pneumonia, but does help in giving guidance on which patients to treat with antibiotics. Our findings put the use of biomarkers and chest X ray in diagnosing pneumonia and for treatment decisions into some perspective for general practitioners.</t>
  </si>
  <si>
    <t>Survey of paediatricians caring for children with life-limiting conditions found that they were involved in advance care planning.</t>
  </si>
  <si>
    <t>Fahner, Jurrianne C; Rietjens, Judith A C; van der Heide, Agnes; van Delden, Johannes J M; Kars, Marijke C</t>
  </si>
  <si>
    <t>https://pubmed.ncbi.nlm.nih.gov/31625623</t>
  </si>
  <si>
    <t>Advance care planning (ACP) is a strategy to align future care and treatment with preferences of patients and families. This study assesses the experiences of ACP among paediatricians caring for children with life-limiting conditions. Paediatricians from five Dutch university hospitals and the national oncology centre completed a survey during May to September 2017, which investigated experiences with ACP in their most recent case of a deceased child and with ACP in general. A total of 207 paediatricians responded (36%). After exclusion of responses with insufficient data (n = 39), 168 were analysed (29%). These included experiences with an individual case in 86%. ACP themes were discussed with parents in all cases. Topics common to many cases were diagnosis, life expectancy, care goals, the parent's fears and code status. ACP conversations occurred with children in 23% of cases. The joy in living was the most frequent topic. The frequency of ACP conversations was insufficient according to 49% of the respondents. In 60%, it was stated that ACP has to result in a documented code status. Paediatricians reported having ACP conversations mainly with parents focusing on medical issues. There was limited insight into the child's preferences for care and treatment.</t>
  </si>
  <si>
    <t>Coping strategies of patients with advanced lung or colorectal cancer in six European countries: Insights from the ACTION Study.</t>
  </si>
  <si>
    <t>Jabbarian, Lea J; Korfage, Ida J; Červ, Branka; van Delden, Johannes J M; Deliens, Luc; Miccinesi, Guido; Payne, Sheila; Thit Johnsen, Anna; Verkissen, Mariëtte N; Wilcock, Andrew; van der Heide, Agnes; Rietjens, Judith A C; ,</t>
  </si>
  <si>
    <t>https://pubmed.ncbi.nlm.nih.gov/31663183</t>
  </si>
  <si>
    <t>Even when medical treatments are limited, supporting patients' coping strategies could improve their quality of life. Greater understanding of patients' coping strategies, and influencing factors, can aid developing such support. We examined the prevalence of coping strategies and associated variables. We used sociodemographic and baseline data from the ACTION trial, including measures of Denial, Acceptance, and Problem-focused coping (COPE; Brief COPE inventory), of patients with advanced cancer from six European countries. Clinicians provided clinical information. Linear mixed models with clustering at hospital level were used. Data from 675 patients with stage III/IV lung (342, 51%) or stage IV colorectal (333, 49%) cancer were used; mean age 66 (10 SD) years. Overall, patients scored low on Denial and high on Acceptance and Problem-focused coping. Older age was associated with higher scores on Denial than younger age (β = 0.05; CI[0.023; 0.074]), and patients from Italy (β = 1.57 CI[0.760; 2.388]) and Denmark (β = 1.82 CI[0.881; 2.750]) scored higher on Denial than patients in other countries. Patients with advanced cancer predominantly used Acceptance and Problem-focused coping, and Denial to a lesser extent. Since the studied coping strategies of patients with advanced cancer vary between subpopulations, we recommend taking these factors into account when developing tailored interventions to support patients' coping strategies.</t>
  </si>
  <si>
    <t>Timing of secondhand smoke, pet, dampness or mould exposure and lung function in adolescence.</t>
  </si>
  <si>
    <t>Milanzi, Edith B; Koppelman, Gerard H; Smit, Henriette A; Wijga, Alet H; Vonk, Judith M; Brunekreef, Bert; Gehring, Ulrike</t>
  </si>
  <si>
    <t>https://pubmed.ncbi.nlm.nih.gov/31748257</t>
  </si>
  <si>
    <t>The relevance of timing of exposure in the associations of secondhand tobacco smoke (SHS), pets, and dampness or mould exposure with lung function is unclear. We investigated the relevance of timing of these exposures for lung function in adolescence. We used data from participants of the Dutch Prevention and Incidence of Asthma and Mite Allergy (PIAMA) cohort with spirometric measurements at ages 12 and 16 years (n=552). Data on residential exposure to SHS, pets, and dampness or mould were obtained by repeated parental questionnaires. We characterised timing of exposure through longitudinal patterns using latent class growth modelling and assessed associations of these patterns with FEV&lt;sub&gt;1&lt;/sub&gt; and FVC at ages 12 and 16 and FEV&lt;sub&gt;1&lt;/sub&gt; and FVC growth between ages 12 and 16 using linear regression models. Childhood SHS exposure was associated with reduced FEV&lt;sub&gt;1&lt;/sub&gt; growth/year (95% CI) (-0.34% (-0.64% to -0.04%)). Late childhood and early life pet exposure was associated with increased FEV&lt;sub&gt;1&lt;/sub&gt; growth (0.41% (0.14% to 0.67%)) and reduced FVC growth (-0.28% (-0.53% to -0.03%)), respectively, compared with very low exposure. Early life dampness or mould exposure was associated with reduced lung function growth. All time windows of SHS exposure tended to be associated with lower attained lung function and pet exposure tended to be associated with higher FEV&lt;sub&gt;1&lt;/sub&gt;. SHS exposure during childhood could lead to reduced lung function growth and lower attained lung function in adolescence. While pet exposure in late childhood may not adversely affect lung function, early childhood pet exposure may slow down FVC growth in adolescence.</t>
  </si>
  <si>
    <t>Application of Nipple Aspirate Fluid miRNA Profiles for Early Breast Cancer Detection and Management.</t>
  </si>
  <si>
    <t>Moelans, Cathy B; Patuleia, Susana I S; van Gils, Carla H; van der Wall, Elsken; van Diest, Paul J</t>
  </si>
  <si>
    <t>https://pubmed.ncbi.nlm.nih.gov/31752362</t>
  </si>
  <si>
    <t>The authors of the recently published review, "Why the Gold Standard Approach by Mammography Demands Extension by Multiomics [...].</t>
  </si>
  <si>
    <t>Are there gender disparities in symptom presentation or triage of patients with chest discomfort at primary care out-of-hours services? An observational study.</t>
  </si>
  <si>
    <t>van der Meer, Manon G; Appelman, Yolande; Rutten, Karlijn H G; van der Graaf, Yolanda; Nathoe, Hendrik M; Doevendans, Pieter A; Smit, Michelle; Verheij, Emmy; Botermans, Anne; Rutten, Frans H</t>
  </si>
  <si>
    <t>https://pubmed.ncbi.nlm.nih.gov/31748303</t>
  </si>
  <si>
    <t>Previous hospital-based studies have suggested delayed recognition of acute coronary syndrome (ACS) in women. We wanted to assess differences in symptom presentation or triage among women and men who contacted primary care out-of-hours services (OHS) for chest discomfort. Retrospective observational study. Primary care OHS. 276 women and 242 men with chest discomfort who contacted a primary care OHS in the Netherlands in 2013 and 2014. Differences between women and men regarding symptom presentation and urgency allocation. 8.4% women and 14.0% men had ACS. Differences in symptoms between patients with and without ACS were in general small, for both women and men. In women with ACS compared with women without ACS, mean duration of telephone calls was discriminative; 5.22 (SD 2.53) vs 7.26 (SD 3.11) min, p value=0.003. In men, radiation of pain (89.3% vs 54.9%, p value=0.011) was discriminative for ACS, and stabbing chest pain (3.7% vs 24.0%, p value=0.014) for absence of ACS . Women and men with chest discomfort received similar high urgency allocation (crude and adjusted OR after correction for ACS and age; 1.03 (95% CI 0.72 to 1.48) and 1.04 (95% CI 0.72 to 1.52), respectively). Women with ACS received a high urgency allocation in 22/23 (95.7%) and men with ACS in 30/34 (88.2%), p value=0.331. Discriminating ACS in patients with chest discomfort who contacted primary care OHS is difficult in both women and men. Women and men with chest discomfort received similar high urgency allocation.</t>
  </si>
  <si>
    <t>Burden of disease in children with respiratory tract infections in primary care: diary-based cohort study.</t>
  </si>
  <si>
    <t>Schot, M J C; Dekker, A R J; van Werkhoven, C H; van der Velden, A W; Cals, J W L; Broekhuizen, B D L; Hopstaken, R M; de Wit, N J; Verheij, T J M</t>
  </si>
  <si>
    <t>https://pubmed.ncbi.nlm.nih.gov/31166598</t>
  </si>
  <si>
    <t>Respiratory tract infections (RTIs) are a common reason for children to consult in general practice. Antibiotics are often prescribed, in part due to miscommunication between parents and GPs. The duration of specific respiratory symptoms has been widely studied. Less is known about illness-related symptoms and the impact of these symptoms on family life, including parental production loss. Better understanding of the natural course of illness-related symptoms in RTI in children and impact on family life may improve GP-parent communication during RTI consultations. To describe the general impact of RTI on children and parents regarding illness-related symptoms, absenteeism from childcare, school and work, use of health care facilities, and the use of over-the-counter (OTC) medication. Prospectively collected diary data from two randomized clinical trials in children with RTI in primary care (n = 149). Duration of symptoms was analysed using survival analysis. Disturbed sleep, decreased intake of food and/or fluid, feeling ill and/or disturbance at play or other daily activities are very common during RTI episodes, with disturbed sleep lasting longest. Fifty-two percent of the children were absent for one or more days from childcare or school, and 28% of mothers and 20% of fathers reported absence from work the first week after GP consultation. Re-consultation occurred in 48% of the children. OTC medication was given frequently, particularly paracetamol and nasal sprays. Appreciation of, and communication about the general burden of disease on children and their parents, may improve understanding between GPs and parents consulting with their child.</t>
  </si>
  <si>
    <t>The effect of natriuretic C-type peptide and its change over time on mortality in patients on haemodialysis or haemodiafiltration.</t>
  </si>
  <si>
    <t>de Roij van Zuijdewijn, Camiel L M; van Gastel, Lieke H A; Ter Wee, Piet M; Bots, Michiel L; Blankestijn, Peter J; van den Dorpel, Marinus A; Fouque, Denis; Nubé, Menso J; Grooteman, Muriel P C</t>
  </si>
  <si>
    <t>https://pubmed.ncbi.nlm.nih.gov/33564441</t>
  </si>
  <si>
    <t>C-type natriuretic peptide (CNP) and its co-product N-terminal proCNP (NTproCNP) have been associated with beneficial effects on the cardiovascular system. In prevalent dialysis patients, however, a relation between NTproCNP and mortality has not yet been investigated. Furthermore, as a middle molecular weight substance, its concentration might be influenced by dialysis modality. In a cohort of patients treated with haemodialysis (HD) or haemodiafiltration (HDF), levels of NTproCNP were measured at baseline and 6, 12, 24 and 36 months. The relation between serum NTproCNP and mortality and the relation between the 6-month rate of change of NTproCNP and mortality were analysed using Cox regression models. For the longitudinal analyses, linear mixed models were used. In total, 406 subjects were studied. The median baseline serum NTproCNP was 93 pmol/L and the median follow-up was 2.97 years. No relation between baseline NTproCNP or its rate of change over 6 months and mortality was found. NTproCNP levels remained stable in HD patients, whereas NTproCNP decreased significantly in HDF patients. The relative decline depended on the magnitude of the convection volume. In our study, levels of NTproCNP appear strongly elevated in prevalent dialysis patients. Second, while NTproCNP remains unaltered in HD patients, its levels decline in individuals treated with HDF, with the decline dependent on the magnitude of the convection volume. Third, NTproCNP is not related to mortality in this population. Thus NTproCNP does not seem to be a useful marker for mortality risk in dialysis patients.</t>
  </si>
  <si>
    <t>Associations of Perioperative Variables With the 30-Day Risk of Stroke or Death in Carotid Endarterectomy for Symptomatic Carotid Stenosis.</t>
  </si>
  <si>
    <t>Knappich, Christoph; Kuehnl, Andreas; Haller, Bernhard; Salvermoser, Michael; Algra, Ale; Becquemin, Jean-Pierre; Bonati, Leo H; Bulbulia, Richard; Calvet, David; Fraedrich, Gustav; Gregson, John; Halliday, Alison; Hendrikse, Jeroen; Howard, George; Jansen, Olav; Malas, Mahmoud B; Ringleb, Peter A; Brown, Martin M; Mas, Jean-Louis; Brott, Thomas G; Morris, Dylan R; Lewis, Steff C; Eckstein, Hans-Henning</t>
  </si>
  <si>
    <t>https://pubmed.ncbi.nlm.nih.gov/31735137</t>
  </si>
  <si>
    <t>Background and Purpose- This analysis was performed to assess the association between perioperative and clinical variables and the 30-day risk of stroke or death after carotid endarterectomy for symptomatic carotid stenosis. Methods- Individual patient-level data from the 5 largest randomized controlled carotid trials were pooled in the Carotid Stenosis Trialists' Collaboration database. A total of 4181 patients who received carotid endarterectomy for symptomatic stenosis per protocol were included. Determinants of outcome included carotid endarterectomy technique, type of anesthesia, intraoperative neurophysiological monitoring, shunting, antiplatelet medication, and clinical variables. Stroke or death within 30 days after carotid endarterectomy was the primary outcome. Adjusted risk ratios (aRRs) were estimated in multilevel multivariable analyses using a Poisson regression model. Results- Mean age was 69.5±9.2 years (70.7% men). The 30-day stroke or death rate was 4.3%. In the multivariable regression analysis, local anesthesia was associated with a lower primary outcome rate (versus general anesthesia; aRR, 0.70 [95% CI, 0.50-0.99]). Shunting (aRR, 1.43 [95% CI, 1.05-1.95]), a contralateral high-grade carotid stenosis or occlusion (aRR, 1.58 [95% CI, 1.02-2.47]), and a more severe neurological deficit (mRS, 3-5 versus 0-2: aRR, 2.51 [95% CI, 1.30-4.83]) were associated with higher primary outcome rates. None of the other characteristics were significantly associated with the perioperative stroke or death risk. Conclusions- The current results indicate lower perioperative stroke or death rates in patients operated upon under local anesthesia, whereas a more severe neurological deficit and a contralateral high-grade carotid stenosis or occlusion were identified as potential risk factors. Despite a possible selection bias and patients not having been randomized, these findings might be useful to guide surgeons and anesthetists when treating patients with symptomatic carotid disease.</t>
  </si>
  <si>
    <t>Implementation and evaluation of an antimicrobial stewardship programme in companion animal clinics: A stepped-wedge design intervention study.</t>
  </si>
  <si>
    <t>Hopman, Nonke E M; Portengen, Lützen; Hulscher, Marlies E J L; Heederik, Dick J J; Verheij, T J M; Wagenaar, Jaap A; Prins, Jan M; Bosje, Tjerk; Schipper, Louska; van Geijlswijk, Ingeborg M; Broens, Els M</t>
  </si>
  <si>
    <t>https://pubmed.ncbi.nlm.nih.gov/31738811</t>
  </si>
  <si>
    <t>To curb increasing resistance rates, responsible antimicrobial use (AMU) is needed, both in human and veterinary medicine. In human healthcare, antimicrobial stewardship programmes (ASPs) have been implemented worldwide to improve appropriate AMU. No ASPs have been developed for and implemented in companion animal clinics yet. The objective of the present study was to implement and evaluate the effectiveness of an ASP in 44 Dutch companion animal clinics. The objectives of the ASP were to increase awareness on AMU, to decrease total AMU whenever possible and to shift AMU towards 1st choice antimicrobials, according to Dutch guidelines on veterinary AMU. The study was designed as a prospective, stepped-wedge, intervention study, which was performed from March 2016 until March 2018. The multifaceted intervention was developed using previous qualitative and quantitative research on current prescribing behaviour in Dutch companion animal clinics. The number of Defined Daily Doses for Animal (DDDAs) per clinic (total, 1st, 2nd and 3rd choice AMU) was used to quantify systemic AMU. Monthly AMU data were described using a mixed effect time series model with auto-regression. The effect of the ASP was modelled using a step function and a change in the (linear) time trend. A statistically significant decrease of 15% (7%-22%) in total AMU, 15% (5%-24%) in 1st choice AMU and 26% (17%-34%) in 2nd choice AMU was attributed to participation in the ASP, on top of the already ongoing time trends. Use of 3rd choice AMs did not significantly decrease by participation in the ASP. The change in total AMU became more prominent over time, with a 16% (4%-26%) decrease in (linear) time trend per year. This study shows that, although AMU in Dutch companion animal clinics was already decreasing and changing, AMU could be further optimised by participation in an antimicrobial stewardship programme.</t>
  </si>
  <si>
    <t>The prognostic significance of the lymph node ratio in oral cancer differs for anatomical subsites.</t>
  </si>
  <si>
    <t>Moratin, J; Metzger, Karl; Kansy, K; Ristow, O; Engel, M; Hoffmann, J; Flechtenmacher, C; Freier, K; Freudlsperger, C; Horn, D</t>
  </si>
  <si>
    <t>https://pubmed.ncbi.nlm.nih.gov/31740138</t>
  </si>
  <si>
    <t>The aim of this study was to validate the prognostic significance of the lymph node ratio (LNR) in patients suffering from oral squamous cell carcinoma in regard to different anatomical subsites. A cohort of 430 patients was investigated to determine the rates of primary metastasis and local and regional disease recurrence. Correlation analysis of the LNR with relevant clinical and pathological parameters was performed. Receiver operating characteristic (ROC) curve analysis was conducted to evaluate the prognostic impact for different subsites. Significantly differing rates of primary metastasis and loco-regional disease recurrence were found for cancer of different anatomical subsites of the head and neck. Furthermore, ROC curve analysis suggested that LNR has prognostic relevance in subsets of cancer (tongue, P&lt; 0.001; alveolar process, P= 0.04; maxilla, P= 0.03; buccal mucosa, P= 0.02). The LNR of cancer located in the soft palate (P= 0.6) and floor of the mouth (P= 0.11) showed little or no association with the clinical outcome. There is the need for a more sensitive consideration of the LNR as a factor in the assessment of risk and the treatment decision, as the anatomical subsite plays a crucial role in its impact on the clinical outcome.</t>
  </si>
  <si>
    <t>Adverse differences in cardiometabolic risk factor levels between individuals with pre-diabetes and normal glucose metabolism are more pronounced in women than in men: the Maastricht Study.</t>
  </si>
  <si>
    <t>de Ritter, Rianneke; Sep, Simone J S; van der Kallen, Carla J H; Schram, Miranda T; Koster, Annemarie; Kroon, Abraham A; van Greevenbroek, Marleen M J; Eussen, Simone J P M; Dagnelie, Pieter C; de Jong, Marit; Vos, Rimke C; Woodward, Mark; Bots, Michiel L; Peters, Sanne A E; Stehouwer, Coen D A</t>
  </si>
  <si>
    <t>https://pubmed.ncbi.nlm.nih.gov/31798903</t>
  </si>
  <si>
    <t>To investigate whether adverse differences in levels of cardiovascular risk factors in women than men, already established when comparing individuals with and without diabetes, are also present before type 2 diabetes onset. In a population-based cohort study of individuals aged 40-75 years (n=3410; 49% women, 29% type 2 diabetes (oversampled by design)), we estimated associations with cardiometabolic and lifestyle risk factors of (1) pre-diabetes and type 2 diabetes (reference category: normal glucose metabolism) and (2) among non-diabetic individuals, of continuous levels of hemoglobin A1c (HbA1c). Age-adjusted sex differences were analyzed using linear and logistic regression models with sex interaction terms. In pre-diabetes, adverse differences in cardiometabolic risk factors were greater in women than men for systolic blood pressure (difference, 3.02 mm Hg; 95% CI:-0.26 to 6.30), high-density lipoprotein (HDL) cholesterol (difference, -0.10 mmol/L; 95% CI: -0.18 to -0.02), total-to-HDL cholesterol ratio (difference, 0.22; 95% CI: -0.01 to 0.44), triglycerides (ratio: 1.11; 95% CI: 1.01 to 1.22), and inflammation markers Z-score (ratio: 1.18; 95% CI: 0.98 to 1.41). In type 2 diabetes, these sex differences were similar in direction, and of greater magnitude. Additionally, HbA1c among non-diabetic individuals was more strongly associated with several cardiometabolic risk factors in women than men: per one per cent point increase, systolic blood pressure (difference, 3.58 mm Hg; 95% CI: -0.03 to 7.19), diastolic blood pressure (difference, 2.10 mm Hg; 95% CI: -0.02 to 4.23), HDL cholesterol (difference, -0.09 mmol/L; 95% CI: -0.19 to 0.00), and low-density lipoprotein cholesterol (difference, 0.26 mmol/L; 95% CI: 0.05 to 0.47). With regard to lifestyle risk factors, no consistent pattern was observed. Our results are consistent with the concept that the more adverse changes in cardiometabolic risk factors in women (than men) arise as a continuous process before the onset of type 2 diabetes.</t>
  </si>
  <si>
    <t>Exome-chip association analysis of intracranial aneurysms.</t>
  </si>
  <si>
    <t>van 't Hof, Femke N G; Lai, Dongbing; van Setten, Jessica; Bots, Michiel L; Vaartjes, Ilonca; Broderick, Joseph; Woo, Daniel; Foroud, Tatiana; Rinkel, Gabriel J E; de Bakker, Paul I W; Ruigrok, Ynte M</t>
  </si>
  <si>
    <t>https://pubmed.ncbi.nlm.nih.gov/31732565</t>
  </si>
  <si>
    <t>To investigate to what extent low-frequency genetic variants (with minor allele frequencies &lt;5%) affect the risk of intracranial aneurysms (IAs). One thousand fifty-six patients with IA and 2,097 population-based controls from the Netherlands were genotyped with the Illumina HumanExome BeadChip. After quality control (QC) of samples and single nucleotide variants (SNVs), we conducted a single variant analysis using the Fisher exact test. We also performed the variable threshold (VT) test and the sequence kernel association test (SKAT) at different minor allele count (MAC) thresholds of &gt;5 and &gt;0 to test the hypothesis that multiple variants within the same gene are associated with IA risk. Significant results were tested in a replication cohort of 425 patients with IA and 311 controls, and results of the 2 cohorts were combined in a meta-analysis. After QC, 995 patients with IA and 2,080 controls remained for further analysis. The single variant analysis comprising 46,534 SNVs did not identify significant loci at the genome-wide level. The gene-based tests showed a statistically significant association for fibulin 2 (&lt;i&gt;FBLN2&lt;/i&gt;) (best &lt;i&gt;p&lt;/i&gt; = 1 × 10&lt;sup&gt;-6&lt;/sup&gt; for the VT test, MAC &gt;5). Associations were not statistically significant in the independent but smaller replication cohort (&lt;i&gt;p&lt;/i&gt; &gt; 0.57) but became slightly stronger in a meta-analysis of the 2 cohorts (best &lt;i&gt;p&lt;/i&gt; = 4.8 × 10&lt;sup&gt;-7&lt;/sup&gt; for the SKAT, MAC ≥1). Gene-based tests indicated an association for &lt;i&gt;FBLN2&lt;/i&gt;, a gene encoding an extracellular matrix protein implicated in vascular wall remodeling, but independent validation in larger cohorts is warranted. We did not identify any significant associations for single low-frequency genetic variants.</t>
  </si>
  <si>
    <t>Forskolin-induced swelling of intestinal organoids correlates with disease severity in adults with cystic fibrosis and homozygous F508del mutations.</t>
  </si>
  <si>
    <t>de Winter-de Groot, Karin M; Berkers, Gitte; Marck-van der Wilt, Rozemarijn E P; van der Meer, Renske; Vonk, Annelotte; Dekkers, Johanna F; Geerdink, Margot; Michel, Sabine; Kruisselbrink, Evelien; Vries, Rob; Clevers, Hans; Vleggaar, Frank P; Elias, Sjoerd G; Heijerman, Harry G M; van der Ent, Cornelis K; Beekman, Jeffrey M</t>
  </si>
  <si>
    <t>https://pubmed.ncbi.nlm.nih.gov/31735562</t>
  </si>
  <si>
    <t>CFTR function measurements in intestinal organoids may help to better characterise individual disease expression in F508del homozygous people. Our objective was to study correlations between CFTR function as measured with forskolin-induced swelling in rectal organoids with clinical parameters in adult patients with homozygous F508del mutations. Multicentre observational study. Thirty-four adults underwent rectal biopsy, pulmonary function tests (FEV&lt;sub&gt;1&lt;/sub&gt; and FVC), chest X-ray and chest CT. Body-mass index (BMI) was assessed at study visit and exacerbation rate was determined during five years prior to study visit. Organoids were cultured and measured after stimulation with 5 µm forskolin for three hours to quantitate CFTR residual function. FIS was positively correlated with FEV&lt;sub&gt;1&lt;/sub&gt; (r = 0.36, 95% CI 0.02-0.62, p = 0.04) and BMI (r = 0.42, 95% CI 0.09-0.66, p = 0.015). FIS was negatively correlated with PRAGMA-CF CT score for% of disease (r = -0.37, 95% CI -0.62- -0.03, p = 0.049). We found no significant correlation between FIS and chest radiography score for CF (r = -0.16, 95% CI -0.48-0.20, p = 0.44). We observed a trend between higher FIS and a lower mean number of exacerbations over the last 5 years of observation, but this was not statistically significant (Poisson regression, p = 0.089). FIS of intestinal organoids varied between subjects with homozygous F508del and correlated with pulmonary and nutritional parameters. These findings suggest that differences at low CFTR residual function may contribute to clinical heterogeneity in F508del homozygous patients and small changes in CFTR residual function might impact long-term disease expression.</t>
  </si>
  <si>
    <t>Elaboration of Consensus Clinical Endpoints to Evaluate Antimicrobial Treatment Efficacy in Future Hospital-acquired/Ventilator-associated Bacterial Pneumonia Clinical Trials.</t>
  </si>
  <si>
    <t>Weiss, Emmanuel; Zahar, Jean-Ralph; Alder, Jeff; Asehnoune, Karim; Bassetti, Matteo; Bonten, Marc J M; Chastre, Jean; De Waele, Jan; Dimopoulos, George; Eggimann, Philippe; Engelhardt, Marc; Ewig, Santiago; Kollef, Marin; Lipman, Jeffrey; Luna, Carlos; Martin-Loeches, Ignacio; Pagani, Leonardo; Palmer, Lucy B; Papazian, Laurent; Poulakou, Garyphallia; Prokocimer, Philippe; Rello, Jordi; Rex, John H; Shorr, Andrew F; Talbot, George H; Thamlikitkul, Visanu; Torres, Antoni; Wunderink, Richard G; Timsit, Jean-François</t>
  </si>
  <si>
    <t>https://pubmed.ncbi.nlm.nih.gov/30722013</t>
  </si>
  <si>
    <t>Randomized clinical trials (RCTs) in hospital-acquired and ventilator-associated bacterial pneumonia (HABP and VABP, respectively) are important for the evaluation of new antimicrobials. However, the heterogeneity in endpoints used in RCTs evaluating treatment of HABP/VABP may puzzle clinicians. The aim of this work was to reach a consensus on clinical endpoints to consider in future clinical trials evaluating antimicrobial treatment efficacy for HABP/VABP. Twenty-six international experts from intensive care, infectious diseases, and the pharmaceutical industry were polled using the Delphi method. The panel recommended a hierarchical composite endpoint including, by priority order, (1) survival at day 28, (2) mechanical ventilation-free days through day 28, and (3) clinical cure between study days 7 and 10 for VABP; and (1) survival (day 28) and (2) clinical cure (days 7-10) for HABP. Clinical cure was defined as the combination of resolution of signs and symptoms present at enrollment and improvement or lack of progression of radiological signs. More than 70% of the experts agreed to assess survival and mechanical ventilation-free days though day 28, and clinical cure between day 7 and day 10 after treatment initiation. Finally, the hierarchical order of endpoint components was reached after 3 Delphi rounds (72% agreement). We provide a multinational expert consensus on separate hierarchical composite endpoints for VABP and HABP, and on a definition of clinical cure that could be considered for use in future HABP/VABP clinical trials.</t>
  </si>
  <si>
    <t>Reproductive and Hormonal Factors and Risk of Ovarian Cancer by Tumor Dominance: Results from the Ovarian Cancer Cohort Consortium (OC3).</t>
  </si>
  <si>
    <t>Huang, Tianyi; Townsend, Mary K; Wentzensen, Nicolas; Trabert, Britton; White, Emily; Arslan, Alan A; Weiderpass, Elisabete; Buring, Julie E; Clendenen, Tess V; Giles, Graham G; Lee, I-Min; Milne, Roger L; Onland-Moret, N Charlotte; Peters, Ulrike; Sandler, Dale P; Schouten, Leo J; van den Brandt, Piet A; Wolk, Alicja; Zeleniuch-Jacquotte, Anne; Tworoger, Shelley S</t>
  </si>
  <si>
    <t>https://pubmed.ncbi.nlm.nih.gov/31719062</t>
  </si>
  <si>
    <t>Laterality of epithelial ovarian tumors may reflect the underlying carcinogenic pathways and origins of tumor cells. We pooled data from 9 prospective studies participating in the Ovarian Cancer Cohort Consortium. Information on measures of tumor size or tumor dominance was extracted from surgical pathology reports or obtained through cancer registries. We defined dominant tumors as those restricted to one ovary or where the dimension of one ovary was at least twice as large as the other, and nondominant tumors as those with similar dimensions across the two ovaries or peritoneal tumors. Competing risks Cox models were used to examine whether associations with reproductive and hormonal risk factors differed by ovarian tumor dominance. Of 1,058 ovarian cancer cases with tumor dominance information, 401 were left-dominant, 363 were right-dominant, and 294 were nondominant. Parity was more strongly inversely associated with risk of dominant than nondominant ovarian cancer (&lt;i&gt;P&lt;/i&gt; &lt;sub&gt;heterogeneity&lt;/sub&gt; = 0.004). Ever use of oral contraceptives (OC) was associated with lower risk of dominant tumors, but was not associated with nondominant tumors (&lt;i&gt;P&lt;/i&gt; &lt;sub&gt;heterogeneity&lt;/sub&gt; = 0.01). Higher body mass index was associated with higher risk of left-dominant tumors, but not significantly associated with risk of right-dominant or nondominant tumors (&lt;i&gt;P&lt;/i&gt; &lt;sub&gt;heterogeneity&lt;/sub&gt; = 0.08). These data suggest that reproductive and hormonal risk factors appear to have a stronger impact on dominant tumors, which may have an ovarian or endometriosis origin. Examining the associations of ovarian cancer risk factors by tumor dominance may help elucidate the mechanisms through which these factors influence ovarian cancer risk.</t>
  </si>
  <si>
    <t>Data mining information from electronic health records produced high yield and accuracy for current smoking status.</t>
  </si>
  <si>
    <t>Groenhof, T Katrien J; Koers, Laurien R; Blasse, Enja; de Groot, Mark; Grobbee, Diederick E; Bots, Michiel L; Asselbergs, Folkert W; Lely, A Titia; Haitjema, Saskia; ,; ,</t>
  </si>
  <si>
    <t>https://pubmed.ncbi.nlm.nih.gov/31730918</t>
  </si>
  <si>
    <t>Researchers are increasingly using routine clinical data for care evaluations and feedback to patients and clinicians. The quality of these evaluations depends on the quality and completeness of the input data.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We analyzed 1,661 patients included in the UCC to January 18, 2019. Of those, 14% (n = 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Data mining showed great potential in retrieving information on smoking (a near complete yield). Its diagnostic performance is good for negative smoking statuses. The implications of misclassification with data mining are dependent on the application of the data.</t>
  </si>
  <si>
    <t>Patients' and public views and attitudes towards the sharing of health data for research: a narrative review of the empirical evidence.</t>
  </si>
  <si>
    <t>Kalkman, Shona; van Delden, Johannes; Banerjee, Amitava; Tyl, Benoît; Mostert, Menno; van Thiel, Ghislaine</t>
  </si>
  <si>
    <t>https://pubmed.ncbi.nlm.nih.gov/31719155</t>
  </si>
  <si>
    <t>International sharing of health data opens the door to the study of the so-called 'Big Data', which holds great promise for improving patient-centred care. Failure of recent data sharing initiatives indicates an urgent need to invest in societal trust in researchers and institutions. Key to an informed understanding of such a 'social license' is identifying the views patients and the public may hold with regard to data sharing for health research. We performed a narrative review of the empirical evidence addressing patients' and public views and attitudes towards the use of health data for research purposes. The literature databases PubMed (MEDLINE), Embase, Scopus and Google Scholar were searched in April 2019 to identify relevant publications. Patients' and public attitudes were extracted from selected references and thematically categorised. Twenty-seven papers were included for review, including both qualitative and quantitative studies and systematic reviews. Results suggest widespread-though conditional-support among patients and the public for data sharing for health research. Despite the fact that participants recognise actual or potential benefits of data research, they expressed concerns about breaches of confidentiality and potential abuses of the data. Studies showed agreement on the following conditions: value, privacy, risk minimisation, data security, transparency, control, information, trust, responsibility and accountability. Our results indicate that a social license for data-intensive health research cannot simply be presumed. To strengthen the social license, identified conditions ought to be operationalised in a governance framework that incorporates the diverse patient and public values, needs and interests.</t>
  </si>
  <si>
    <t>Cost-effectiveness of the SLIMMER diabetes prevention intervention in Dutch primary health care: economic evaluation from a randomised controlled trial.</t>
  </si>
  <si>
    <t>Duijzer, Geerke; Bukman, Andrea J; Meints-Groenveld, Aafke; Haveman-Nies, Annemien; Jansen, Sophia C; Heinrich, Judith; Hiddink, Gerrit J; Feskens, Edith J M; de Wit, G Ardine</t>
  </si>
  <si>
    <t>https://pubmed.ncbi.nlm.nih.gov/31711499</t>
  </si>
  <si>
    <t>Although evidence is accumulating that lifestyle modification may be cost-effective in patients with prediabetes, information is limited on the cost-effectiveness of interventions implemented in public health and primary health care settings. Evidence from well-conducted pragmatic trials is needed to gain insight into the realistic cost-effectiveness of diabetes prevention interventions in real-world settings. The aim of this study is to assess the cost-effectiveness of the SLIMMER lifestyle intervention targeted at patients at high risk of developing type 2 diabetes compared with usual health care in a primary care setting in the Netherlands. Three hundred and sixteen high-risk subjects were randomly assigned to the SLIMMER lifestyle intervention or to usual health care. Costs and outcome assessments were performed at the end of the intervention (12 months) and six months thereafter (18 months). Costs were assessed from a societal perspective. Patients completed questionnaires to assess health care utilisation, participant out-of-pocket costs, and productivity losses. Quality Adjusted Life Years (QALY) were calculated based on the SF-36 questionnaire. Cost-effectiveness planes and acceptability curves were generated using bootstrap analyses. The cost-effectiveness analysis showed that the incremental costs of the SLIMMER lifestyle intervention were €547 and that the incremental effect was 0.02 QALY, resulting in an incremental cost-effectiveness ratio (ICER) of €28,094/QALY. When cost-effectiveness was calculated from a health care perspective, the ICER decreased to €13,605/QALY, with a moderate probability of being cost-effective (56% at a willingness to pay, WTP, of €20,000/QALY and 81% at a WTP of €80,000/QALY). The SLIMMER lifestyle intervention to prevent type 2 diabetes had a low to moderate probability of being cost-effective, depending on the perspective taken. The SLIMMER study is retrospectively registered with ClinicalTrials.gov (Identifier NCT02094911) since March 19, 2014.</t>
  </si>
  <si>
    <t>MRI-guided pulmonary vein isolation for atrial fibrillation: what is good enough? An early health technology assessment.</t>
  </si>
  <si>
    <t>Wenker, Steven; van Lieshout, Chris; Frederix, Geert; van der Heijden, Jeroen; Loh, Peter; Chamuleau, Steven A J; van Slochteren, Frebus</t>
  </si>
  <si>
    <t>https://pubmed.ncbi.nlm.nih.gov/31798911</t>
  </si>
  <si>
    <t>Next to anticoagulation, pulmonary vein isolation (PVI) is the most important interventional procedure in the treatment of atrial fibrillation (AF). Despite widespread clinical application of this therapy, patients often require multiple procedures to reach clinical success. In contrast to conventional imaging modalities, MRI allows direct visualisation of the ablation lesion. Therefore, the use of real-time MRI to guide cardiac electrophysiology procedures may increase clinical effectiveness. An essential aspect, from a decision-making point of view, is the effect on costs and the potential cost-effectiveness of new technologies. Generally, health technology assessment (HTA) studies are performed when innovations are close to clinical application. However, &lt;i&gt;early&lt;/i&gt; stage HTA can inform users, researchers and funders about the ultimate clinical and economic potential of a future innovation. Ultimately, this can guide funding allocation. In this study, we performed an early HTA evaluate MRI-guided PVIs. We performed an economic evaluation using a decision tree with a time-horizon of 1 year. We calculated the &lt;i&gt;clinical effectiveness&lt;/i&gt; (defined as the proportion of patients that is long-term free of AF after a single procedure) required for MRI-guided PVI to be cost-effective compared with conventional treatment. Depending on the &lt;i&gt;cost-effectiveness threshold&lt;/i&gt; (willingness to pay for one additional quality-of-life adjusted life year (QALY), interventional MRI (iMRI) guidance for PVI can be cost-effective if clinical effectiveness is 69.8% (at €80 000/QALY) and 77.1% (at €20 000/QALY), compared with 64% for fluoroscopy-guided procedures. Using an early HTA, we established a clinical effectiveness threshold for interventional MRI-guided PVIs that can inform a clinical implementation strategy. If crucial technologies are developed, it seems plausible that iMRI-guided PVIs will be able to reach this threshold.</t>
  </si>
  <si>
    <t>Autoimmunity plays a role in the onset of diabetes after 40 years of age.</t>
  </si>
  <si>
    <t>Rolandsson, Olov; Hampe, Christiane S; Sharp, Stephen J; Ardanaz, Eva; Boeing, Heiner; Fagherazzi, Guy; Mancini, Francesca Romana; Nilsson, Peter M; Overvad, Kim; Chirlaque, Maria-Dolores; Dorronsoro, Miren; Gunter, Marc J; Kaaks, Rudolf; Key, Timothy J; Khaw, Kay-Tee; Krogh, Vittorio; Kühn, Tilman; Palli, Domenico; Panico, Salvatore; Sacerdote, Carlotta; Sánchez, Maria-José; Severi, Gianluca; Spijkerman, Annemieke M W; Tumino, Rosario; van der Schouw, Yvonne T; Riboli, Elio; Forouhi, Nita G; Langenberg, Claudia; Wareham, Nicholas J</t>
  </si>
  <si>
    <t>https://pubmed.ncbi.nlm.nih.gov/31713011</t>
  </si>
  <si>
    <t>Type 1 and type 2 diabetes differ with respect to pathophysiological factors such as beta cell function, insulin resistance and phenotypic appearance, but there may be overlap between the two forms of diabetes. However, there are relatively few prospective studies that have characterised the relationship between autoimmunity and incident diabetes. We investigated associations of antibodies against the 65 kDa isoform of GAD (GAD65) with type 1 diabetes and type 2 diabetes genetic risk scores and incident diabetes in adults in European Prospective Investigation into Cancer and Nutrition (EPIC)-InterAct, a case-cohort study nested in the EPIC cohort. GAD65 antibodies were analysed in EPIC participants (over 40 years of age and free of known diabetes at baseline) by radioligand binding assay in a random subcohort (n = 15,802) and in incident diabetes cases (n = 11,981). Type 1 diabetes and type 2 diabetes genetic risk scores were calculated. Associations between GAD65 antibodies and incident diabetes were estimated using Prentice-weighted Cox regression. GAD65 antibody positivity at baseline was associated with development of diabetes during a median follow-up time of 10.9 years (HR for GAD65 antibody positive vs negative 1.78; 95% CI 1.43, 2.20) after adjustment for sex, centre, physical activity, smoking status and education. The genetic risk score for type 1 diabetes but not type 2 diabetes was associated with GAD65 antibody positivity in both the subcohort (OR per SD genetic risk 1.24; 95% CI 1.03, 1.50) and incident cases (OR 1.97; 95% CI 1.72, 2.26) after adjusting for age and sex. The risk of incident diabetes in those in the top tertile of the type 1 diabetes genetic risk score who were also GAD65 antibody positive was 3.23 (95% CI 2.10, 4.97) compared with all other individuals, suggesting that 1.8% of incident diabetes in adults was attributable to this combination of risk factors. Our study indicates that incident diabetes in adults has an element of autoimmune aetiology. Thus, there might be a reason to re-evaluate the present subclassification of diabetes in adulthood.</t>
  </si>
  <si>
    <t>[&lt;sup&gt;89&lt;/sup&gt;Zr]Zr-cetuximab PET/CT as biomarker for cetuximab monotherapy in patients with RAS wild-type advanced colorectal cancer.</t>
  </si>
  <si>
    <t>van Helden, E J; Elias, S G; Gerritse, S L; van Es, S C; Boon, E; Huisman, M C; van Grieken, N C T; Dekker, H; van Dongen, G A M S; Vugts, D J; Boellaard, R; van Herpen, C M L; de Vries, E G E; Oyen, W J G; Brouwers, A H; Verheul, H M W; Hoekstra, O S; Menke-van der Houven van Oordt, C W</t>
  </si>
  <si>
    <t>https://pubmed.ncbi.nlm.nih.gov/31705176</t>
  </si>
  <si>
    <t>One-third of patients with RAS wild-type mCRC do not benefit from anti-EGFR monoclonal antibodies. This might be a result of variable pharmacokinetics and insufficient tumor targeting. We evaluated cetuximab tumor accumulation on [&lt;sup&gt;89&lt;/sup&gt;Zr]Zr-cetuximab PET/CT as a potential predictive biomarker and determinant for an escalating dosing strategy. PET/CT imaging of [&lt;sup&gt;89&lt;/sup&gt;Zr]Zr-cetuximab (37 MBq/10 mg) after a therapeutic pre-dose (500 mg/m&lt;sup&gt;2&lt;/sup&gt; ≤ 2 h) cetuximab was performed at the start of treatment. Patients without visual tumor uptake underwent dose escalation and a subsequent [&lt;sup&gt;89&lt;/sup&gt;Zr]Zr-cetuximab PET/CT. Treatment benefit was defined as stable disease or response on CT scan evaluation after 8 weeks. Visual tumor uptake on [&lt;sup&gt;89&lt;/sup&gt;Zr]Zr-cetuximab PET/CT was observed in 66% of 35 patients. There was no relationship between PET positivity and treatment benefit (52% versus 80% for PET-negative, P = 0.16), progression-free survival (3.6 versus 5.7 months, P = 0.15), or overall survival (7.1 versus 9.4 months, P = 0.29). However, in 67% of PET-negative patients, cetuximab dose escalation (750-1250 mg/m&lt;sup&gt;2&lt;/sup&gt;) was applied, potentially influencing outcome in this group. None of the second [&lt;sup&gt;89&lt;/sup&gt;Zr]Zr-cetuximab PET/CT was positive. Eighty percent of patients without visual tumor uptake had treatment benefit, making [&lt;sup&gt;89&lt;/sup&gt;Zr]Zr-cetuximab PET/CT unsuitable as a predictive biomarker. Tumor SUV&lt;sub&gt;peak&lt;/sub&gt; did not correlate to changes in tumor size on CT (P = 0.23), treatment benefit, nor progression-free survival. Cetuximab pharmacokinetics were not related to treatment benefit. BRAF mutations, right-sidedness, and low sEGFR were correlated with intrinsic resistance to cetuximab. Tumor uptake on [&lt;sup&gt;89&lt;/sup&gt;Zr]Zr-cetuximab PET/CT failed to predict treatment benefit in patients with RAS wild-type mCRC receiving cetuximab monotherapy. BRAF mutations, right-sidedness, and low sEGFR correlated with intrinsic resistance to cetuximab.</t>
  </si>
  <si>
    <t>Epidemiology and outcome of &lt;i&gt;Klebsiella&lt;/i&gt; &lt;i&gt;pneumoniae&lt;/i&gt; carbapenemase-producing &lt;i&gt;Klebsiella pneumoniae&lt;/i&gt; (KPC-KP) infections in cardiac surgery patients: a brief narrative review.</t>
  </si>
  <si>
    <t>Del Puente, Filippo; Giacobbe, Daniele R; Salsano, Antonio; Maraolo, Alberto E; Ong, David S Y; Yusuf, Erlangga; Tutino, Stefania; Marchese, Anna; Santini, Francesco; Viscoli, Claudio</t>
  </si>
  <si>
    <t>journal of chemotherapy florence italy</t>
  </si>
  <si>
    <t>https://pubmed.ncbi.nlm.nih.gov/31701842</t>
  </si>
  <si>
    <t>&lt;i&gt;Klebsiella pneumoniae&lt;/i&gt; carbapenemase-producing &lt;i&gt;Klebsiella pneumoniae&lt;/i&gt; (KPC-KP) is a difficult-to-treat pathogen due to its multidrug-resistant phenotype. Cardiac surgery patients are at increased risk of developing KPC-KP infections compared to other populations, with previous KPC-KP colonization being a critical factor in influencing the risk of subsequent infection. Two different pieces of information are essential to comprehensively assess the local characteristics of KPC-KP colonization in cardiac surgery patients: (&lt;i&gt;i&lt;/i&gt;) the local prevalence of colonization; (&lt;i&gt;ii&lt;/i&gt;) the timing of colonization. Treatment of KPC-KP infections in cardiac surgery patients is a complex task, but more effective treatment options have recently become available. Nonetheless, implementation and full adherence to infection-control measures remain of pivotal importance for reducing the burden of KPC-KP infections in this peculiar population. The aim of this narrative review is to summarize the available literature on the epidemiology and outcome of KPC-KP infections in cardiac surgery patients.</t>
  </si>
  <si>
    <t>A support programme for secondary prevention in patients with transient ischaemic attack and minor stroke (INSPiRE-TMS): an open-label, randomised controlled trial.</t>
  </si>
  <si>
    <t>Ahmadi, Michael; Laumeier, Inga; Ihl, Thomas; Steinicke, Maureen; Ferse, Caroline; Endres, Matthias; Grau, Armin; Hastrup, Sidsel; Poppert, Holger; Palm, Frederick; Schoene, Martin; Seifert, Christian L; Kandil, Farid I; Weber, Joachim E; von Weitzel-Mudersbach, Paul; Wimmer, Martin L J; Algra, Ale; Amarenco, Pierre; Greving, Jacoba P; Busse, Otto; Köhler, Friedrich; Marx, Peter; Audebert, Heinrich J</t>
  </si>
  <si>
    <t>https://pubmed.ncbi.nlm.nih.gov/31708447</t>
  </si>
  <si>
    <t>Patients with recent stroke or transient ischaemic attack are at high risk for a further vascular event, possibly leading to permanent disability or death. Although evidence-based treatments for secondary prevention are available, many patients do not achieve recommended behavioural modifications and pharmaceutical prevention targets in the long-term. We aimed to investigate whether a support programme for enhanced secondary prevention can reduce the frequency of recurrent vascular events. INSPiRE-TMS was an open-label, multicentre, international randomised controlled trial done at seven German hospitals with acute stroke units and a Danish stroke centre. Patients with non-disabling stroke or transient ischaemic attack within 2 weeks from study enrolment and at least one modifiable risk factor (ie, arterial hypertension, diabetes, atrial fibrillation, or smoking) were included. Computerised randomisation was used to allocate patients (1:1) either to the support programme in addition to conventional care or to conventional care alone. The support programme used feedback and motivational interviewing strategies with eight outpatient visits over 2 years aiming to improve adherence to secondary prevention targets. The primary outcome was the composite of major vascular events consisting of stroke, acute coronary syndrome, and vascular death, assessed in the intention-to-treat population (all patients who underwent randomisation, did not withdraw study participation, and had at least one follow-up). Outcomes were assessed at annual follow-ups using time-to-first-event analysis. All-cause death was monitored as a safety outcome. This trial is registered with ClinicalTrials.gov, NCT01586702. From Aug 22, 2011, to Oct 30, 2017, we enrolled 2098 patients. Of those, 1048 (50·0%) were randomly assigned to the support programme group and 1050 (50·0%) patients were assigned to the conventional care group. 1030 (98·3%) patients in the support group and 1042 (99·2%) patients in the conventional care group were included in the intention-to-treat analysis. The mean age of analysed participants was 67·4 years and 700 (34%) were women. After a mean follow-up of 3·6 years, the primary outcome of major vascular events had occurred in 163 (15·8%) of 1030 patients of the support programme group and in 175 (16·8%) of 1042 patients of the conventional care group (hazard ratio [HR] 0·92, 95% CI 0·75-1·14). Total major vascular event numbers were 209 for the support programme group and 225 for the conventional care group (incidence rate ratio 0·93, 95% CI 0·77-1·12; p=0·46) and all-cause death occurred in 73 (7·1%) patients in the support programme group and 85 (8·2%) patients in the conventional care group (HR 0·85, 0·62-1·17). More patients in the support programme group achieved secondary prevention targets (eg, in 1-year-follow-up 52% vs 42% [p&lt;0·0001] for blood pressure, 62% vs 54% [p=0·0010] for LDL, 33% vs 19% [p&lt;0·0001] for physical activity, and 51% vs 34% [p=0·0010] for smoking cessation). Provision of an intensified secondary prevention programme in patients with non-disabling stroke or transient ischaemic attack was associated with improved achievement of secondary prevention targets but did not lead to a significantly lower rate of major vascular events. Further research is needed to investigate the effects of support programmes in selected patients who do not achieve secondary prevention targets soon after discharge. German Federal Ministry of Education and Research, Pfizer, and German Stroke Foundation.</t>
  </si>
  <si>
    <t>[The antithrombotic jungle: an overview of the recent literature].</t>
  </si>
  <si>
    <t>Geersing, Geert-Jan; Greving, Jacoba P; Folkeringa, Richard; Hemels, Martin E W; Ten Cate, Hugo; Huisman, Menno V</t>
  </si>
  <si>
    <t>https://pubmed.ncbi.nlm.nih.gov/31750636</t>
  </si>
  <si>
    <t>Physicians encounter patients who use antithrombotics in virtually every area of medical specialisation. As antithrombotic use is often chronic, it is important for medication monitoring that physicians have sufficient knowledge of the latest developments, even if they do not prescribe antithrombotics themselves. The risk of thrombosis must be weighed against the risk of bleeding in every patient who is eligible to be treated with antithrombotics. In this article we describe the main indications for treatment with antithrombotics based on articles published within the past five years.</t>
  </si>
  <si>
    <t>The Effect of Gut Microbiome Composition on Human Immune Responses: An Exploration of Interference by Helminth Infections.</t>
  </si>
  <si>
    <t>Martin, Ivonne; Kaisar, Maria M M; Wiria, Aprilianto E; Hamid, Firdaus; Djuardi, Yenny; Sartono, Erliyani; Rosa, Bruce A; Mitreva, Makedonka; Supali, Taniawati; Houwing-Duistermaat, Jeanine J; Yazdanbakhsh, Maria; Wammes, Linda J</t>
  </si>
  <si>
    <t>https://pubmed.ncbi.nlm.nih.gov/31781154</t>
  </si>
  <si>
    <t>&lt;b&gt;Background:&lt;/b&gt; Soil-transmitted helminths have been shown to have the immune regulatory capacity, which they use to enhance their long term survival within their host. As these parasites reside in the gastrointestinal tract, they might modulate the immune system through altering the gut bacterial composition. Although the relationships between helminth infections or the microbiome with the immune system have been studied separately, their combined interactions are largely unknown. In this study we aim to analyze the relationship between bacterial communities with cytokine response in the presence or absence of helminth infections. &lt;b&gt;Results:&lt;/b&gt; For 66 subjects from a randomized placebo-controlled trial, stool and blood samples were available at both baseline and 21 months after starting three-monthly albendazole treatment. The stool samples were used to identify the helminth infection status and fecal microbiota composition, while whole blood samples were cultured to obtain cytokine responses to innate and adaptive stimuli. When subjects were free of helminth infection (helminth-negative), increasing proportions of &lt;i&gt;Bacteroidetes&lt;/i&gt; was associated with lower levels of IL-10 response to LPS {estimate [95% confidence interval (CI)] -1.96 (-3.05, -0.87)}. This association was significantly diminished when subjects were helminth-infected (helminth positive) (&lt;i&gt;p&lt;/i&gt;-value for the difference between helminth-negative versus helminth-positive was 0.002). Higher diversity was associated with greater IFN-γ responses to PHA in helminth-negative (0.95 (0.15, 1.75); versus helminth-positive [-0.07 (-0.88, 0.73), &lt;i&gt;p&lt;/i&gt;-value = 0.056] subjects. Albendazole treatment showed no direct effect in the association between bacterial proportion and cytokine responses, although the &lt;i&gt;Bacteroidetes&lt;/i&gt;' effect on IL-10 responses to LPS tended downward in the albendazole-treated group [-1.74 (-4.08, 0.59)] versus placebo [-0.11 (-0.84, 0.62); &lt;i&gt;p&lt;/i&gt;-value = 0.193]. &lt;b&gt;Conclusion:&lt;/b&gt; We observed differences in the relationship between gut microbiome composition and immune responses, when comparing individuals infected or uninfected with geohelminths. Although these findings are part of a preliminary exploration, the data support the hypothesis that intestinal helminths may modulate immune responses, in unison with the gut microbiota. &lt;b&gt;Trial Registration:&lt;/b&gt; ISRCTN, ISRCTN83830814. Registered 27 February 2008 - Retrospectively registered, http://www.isrctn.com/ISRCTN83830814.</t>
  </si>
  <si>
    <t>Impact of risk minimisation measures on the use of strontium ranelate in Europe: a multi-national cohort study in 5 EU countries by the EU-ADR Alliance.</t>
  </si>
  <si>
    <t>https://pubmed.ncbi.nlm.nih.gov/31696274</t>
  </si>
  <si>
    <t>In May 2013 and March 2014, the European Medicines Agency (EMA) issued two decisions restricting the use of strontium ranelate (SR). These risk minimisation measures (RMM) introduced new contraindications and limited the indications of SR therapy. The EMA required an assessment of the impact of RMMs on the use of SR in Europe. Methods design: multi-national, multi-database cohort Setting: electronic medical record databases based on hospital (Denmark) and primary care provenance (Italy, Spain, the Netherlands, UK). the database source populations were included for population-based analyses, and SR users for patient-level analyses. New RMMs included contraindications (ischaemic heart disease, peripheral arterial disease, cerebrovascular disease, uncontrolled hypertension) and restricted SR indication to severe osteoporosis with initiation by experienced physician and not as first line anti-osteoporosis therapy. Prevalence and incidence rates of SR use in the population; prevalence of contraindications and restricted indications in SR users, plus 1-year therapy persistence. Drug use measures were calculated in three periods for comparison: reference (2004 to May 2013), transition (June 2013 to March 2014) and assessment (from April 2014 to end 2016). The study population included 143 million person-years(PY) of follow-up and 76,141 incident episodes of SR treatment. Average monthly prevalence rates of SR use dropped by 86.4% from 62.6/10,000 PY (95 CI 62.4-62.9) in the reference to 8.5 (8.5-8.6) in the assessment period. Similarly, the incidence rate of SR use fell by 97.3% from 7.4/10,000 PY (7.4-7.4) to 0.2 (0.2-0.2) between the reference and assessment period. The prevalence of any contraindication decreased, whilst the prevalence of restricted indications increased in these periods. One-year persistence decreased in the assessment compared with reference period. Our study demonstrates a substantial impact of the regulatory action to restrict use of SR in Europe: SR utilisation overall decreased strongly. The proportion of patients fulfilling the restricted indications, without contraindications, increased after the proposed RMMs.</t>
  </si>
  <si>
    <t>The added value of the selective SuperPolymyxin™ medium in detecting rectal carriage of Gram-negative bacteria with acquired colistin resistance in intensive care unit patients receiving selective digestive decontamination.</t>
  </si>
  <si>
    <t>van Hout, Denise; Janssen, Axel B; Rentenaar, Rob J; Vlooswijk, Judith P M; Boel, C H Edwin; Bonten, Marc J M</t>
  </si>
  <si>
    <t>https://pubmed.ncbi.nlm.nih.gov/31691864</t>
  </si>
  <si>
    <t>The objective of this study was to determine the value of using SuperPolymyxin™ selective medium (ELITech Group, Puteaux, France) in addition to conventional non-selective inoculation methods in the detection of acquired colistin resistance in a Dutch intensive care unit (ICU) that routinely uses selective decontamination of the digestive tract (SDD). We performed a cross-sectional study with prospective data collection in a tertiary-care ICU. All consecutive surveillance rectal swabs of ICU-patients receiving SDD were included and cultured in an observer-blinded approach using (1) a conventional culture method using non-selective media and (2) SuperPolymyxin™ selective medium. MIC values for colistin of non-intrinsically colistin-resistant Gram-negative isolates were determined with broth microdilution (BMD) using Sensititre™ and colistin resistance was confirmed using BMD according to EUCAST guidelines. One thousand one hundred five rectal swabs of 428 unique ICU-patients were inoculated using both culture methods, yielding 346 and 84 Gram-negative isolates for BMD testing with the conventional method and SuperPolymyxin™ medium, of which 308 and 80 underwent BMD, respectively. The number of identified rectal carriers of isolates with acquired colistin resistance was 3 (0.7%) for the conventional method, 4 (0.9%) for SuperPolymyxin™, and 5 (1.2%) for both methods combined. The number of isolates with acquired colistin resistance was 4 (1.0%) for the conventional method, 8 (2.1%) for SuperPolymyxin™ and 9 (2.3%) for both methods combined. In a surveillance setting of low prevalence of acquired colistin resistance in patients that receive SDD in a Dutch tertiary-care ICU, SuperPolymyxin™ had a higher diagnostic yield than conventional inoculation methods, but the combination of both had the highest diagnostic yield.</t>
  </si>
  <si>
    <t>Frequent Cognitive Impairment in Patients With Disorders Along the Heart-Brain Axis.</t>
  </si>
  <si>
    <t>Hooghiemstra, Astrid M; Leeuwis, Anna E; Bertens, Anne Suzannne; Biessels, Geert Jan; Bots, Michiel L; Brunner-La Rocca, Hans-Peter; Greving, Jacoba P; Kappelle, L Jaap; van Oostenbrugge, Robert J; van Rossum, Albert C; van der Flier, Wiesje M</t>
  </si>
  <si>
    <t>https://pubmed.ncbi.nlm.nih.gov/31684846</t>
  </si>
  <si>
    <t>Background and Purpose- Patients with cardiovascular disease are at increased risk for cognitive decline. We studied the occurrence and profile of cognitive impairment in 3 patient groups as exemplar conditions of hemodynamic disturbances at different levels of the heart-brain axis, including patients with heart failure (HF), carotid occlusive disease (COD), and patients with cognitive complaints and vascular brain injury on magnetic resonance imaging (possible vascular cognitive impairment [VCI]). Methods- In 555 participants (160 HF, 107 COD, 160 possible VCI, 128 reference participants; 68±9 years; 36% F; Mini-Mental State Examination 28±2), we assessed cognitive functioning with a comprehensive test battery. Test scores were transformed into &lt;i&gt;z&lt;/i&gt;-scores. Compound &lt;i&gt;z&lt;/i&gt;-scores were constructed for: memory, language, attention/psychomotor speed, executive functioning, and global cognitive functioning. We rated cognitive domains as impaired when &lt;i&gt;z&lt;/i&gt;-score≤-1.5. Based on the number of impaired domains, patients were classified as cognitively normal, minor, or major cognitive impairment. We used general linear models and χ&lt;sup&gt;2&lt;/sup&gt; tests to compare cognitive functioning between patient groups and the reference group. Results- Age, sex, and education adjusted global cognitive functioning z-score was lower in patients with COD (β [SE]=-0.46 [0.10], &lt;i&gt;P&lt;/i&gt;&lt;0.001) and possible VCI (β [SE]=-0.80 [0.09], &lt;i&gt;P&lt;/i&gt;&lt;0.001) compared with reference participants. On all domains, &lt;i&gt;z&lt;/i&gt;-scores were lower in patients with COD and possible VCI compared with reference participants. Patients with HF had lower z-scores on attention/speed and language compared with reference participants. Cognitive impairment was observed in 18% of HF, 36% of COD, and 45% possible VCI. There was no difference in profile of impaired cognitive domains between patient groups. Memory and attention-psychomotor speed were most commonly affected, followed by executive functioning and language. Conclusions- A substantial part of patients with HF and COD had cognitive impairment, which warrants vigilance for the occurrence of cognitive impairment. These results underline the importance of an integrative approach in medicine in patients presenting with disorders in the heart-brain axis.</t>
  </si>
  <si>
    <t>Age at menarche and heart failure risk: The EPIC-NL study.</t>
  </si>
  <si>
    <t>Plompen, Mitchell V L; van der Schouw, Yvonne T; Rutten, Frans H; Verschuren, W M Monique; Boer, Jolanda M A; Asselbergs, Folkert W; Onland-Moret, N Charlotte</t>
  </si>
  <si>
    <t>https://pubmed.ncbi.nlm.nih.gov/31787145</t>
  </si>
  <si>
    <t>Early age at menarche has been reported to be associated with increased risks of developing type 2 diabetes (T2D) and coronary heart disease (CHD) in adulthood, but a late menarche has also been found to be associated with an increased risk of CHD. Both T2D and CHD are important risk factors for developing heart failure (HF). We examined the relationship between age at menarche (AAM) and HF incidence in women from the European Prospective Investigation into Cancer and Nutrition - Netherlands (EPIC-NL) cohort study. The EPIC-NL cohort comprised 28,504 women aged 20-70 years at baseline (1993-1997). Mean age at menarche was 13.3 (standard deviation 1.6) years. During a median follow-up of 15.2 years HF occurred in 631 women. Cox proportional hazard regression models, stratified by cohort and adjusted for potential confounders, were used to investigate the associations between AAM and HF incidence. After confounder adjustment, each year of older age at menarche was associated with a 5% lower risk of HF (hazard ratio 0.95 (95% CI, 0.91-1.00), p-value 0.048). Further adjusting for body mass index (BMI), prevalent CHD, hypertension, or prevalent T2D as potential mediators between early menarche and risk of HF attenuated the associations between AAM and risk of HF to non-significance. Older AAM reduced the risk of HF in this study. BMI, prevalent CHD, hypertension and prevalent T2D seemed to mediate this association. Future research with a longer follow-up should establish whether there is an independent effect of AAM on HF risk. Also, further phenotyping of HF cases is necessary to enable whether the associations differ for the various subtypes of HF.</t>
  </si>
  <si>
    <t>Reanalysis of the physical and mental health summary scores of dialysis versus conservative care in older patients with advanced chronic kidney disease: a critical appraisal.</t>
  </si>
  <si>
    <t>Verberne, Wouter R; Dijkers, Janneke; Kelder, Johannes C; Jellema, Wilbert T; van Delden, Johannes J M; Bos, Willem Jan W</t>
  </si>
  <si>
    <t>https://pubmed.ncbi.nlm.nih.gov/31685021</t>
  </si>
  <si>
    <t>Non-dialytic conservative care is argued to be a reasonable treatment alternative for dialysis in selected older patients with advanced chronic kidney disease. We evaluated patient-relevant outcomes including health-related quality of life in a previous study. However, the scoring algorithm we used to calculate the physical and mental component summary scores of the Short Form-36 (SF-36) turned out to differ from comparable studies on this topic. The aim of this critical appraisal was to reanalyze the SF-36 summary scores in our patient cohort (≥ 70 years) using the more widely used scoring algorithm. Patients on conservative care (n = 23) had lower physical and mental component summary scores compared to patients not yet started on dialysis (n = 39), but similar compared to patients on dialysis (n = 34). These findings were similar to our original findings and did not change the conclusions. Several scoring algorithms are used for the SF-36 summary scores. Researchers should be aware of this fact and should use the same scoring algorithm across similar studies in a specific field to increase comparability. Using the more widely used scoring algorithm, the recalculated SF-36 summary scores of our patient cohort can now be compared to other studies.</t>
  </si>
  <si>
    <t>Corrigendum: Normal Values of Corrected Heart-Rate Variability in 10-Second Electrocardiograms for All Ages.</t>
  </si>
  <si>
    <t>van den Berg, Marten E; Rijnbeek, Peter R; Niemeijer, Maartje N; Hofman, Albert; van Herpen, Gerard; Bots, Michiel L; Hillege, Hans; Swenne, Cees A; Eijgelsheim, Mark; Stricker, Bruno H; Kors, Jan A</t>
  </si>
  <si>
    <t>https://pubmed.ncbi.nlm.nih.gov/31719826</t>
  </si>
  <si>
    <t>[This corrects the article DOI: 10.3389/fphys.2018.00424.].</t>
  </si>
  <si>
    <t>Effectiveness of extended- versus normal-release nitrofurantoin for cystitis: an instrumental variable analysis.</t>
  </si>
  <si>
    <t>Ten Doesschate, Thijs; Groenwold, Rolf H H; Bonten, Marc J M; van Werkhoven, Cornelis H</t>
  </si>
  <si>
    <t>https://pubmed.ncbi.nlm.nih.gov/31504584</t>
  </si>
  <si>
    <t>It is unknown whether nitrofurantoin 50 mg normal-release every 6 h (NF50) and nitrofurantoin 100 mg extended-release every 12 h (NF100) are equally effective for treating cystitis in primary care. In the Netherlands, GP prescription of either option largely depends on pharmacy procurement, rather than on patient-related factors. GP data between January 2013 and July 2018 were retrospectively collected. Inclusion criteria were the use of nitrofurantoin for uncomplicated cystitis, complicated cystitis or cystitis in pregnancy. Criteria for early and late failure were a second antibiotic prescription for cystitis or pyelonephritis within 14 and 28 days post-prescription, respectively. Crude and confounder-adjusted (CA) risk differences (RDs) were estimated using linear regression. Instrumental variable analysis and CA instrumental variable analysis used GP practice proportion of NF50 versus NF100 use as the instrumental variable. For uncomplicated cystitis (n=46855), treatment with NF50 and NF100 resulted in late failure in 9.7% and 9.6%, respectively. The CA RD, instrumental variable RD and CA instrumental variable RD were 0.2% (95% CI=-0.5 to 0.8), -0.7% (95% CI=-1.7 to 0.3) and 0.0% (95% CI=-0.9 to 1.0), respectively. In complicated cystitis (n=10767), late failure occurred in 10.9% and 11.1% after using NF50 and NF100, respectively [CA RD=0.5% (95% CI=-1.2 to 1.8), instrumental variable RD=-0.8% (95% CI=-3.4 to 1.8) and CA instrumental variable RD=-0.3% (95% CI=-3.0 to 2.4)]. For cystitis in pregnancy (n=1087), NF50 and NF100 resulted in late failure in 13.4% and 7.8%, respectively [CA RD=-5.4% (95% CI=-10.0 to -1.4), instrumental variable RD=-8.9% (95% CI=-16.0 to -1.8) and CA instrumental variable RD=-8.9% (95% CI=-16.0 to -1.7)]. No differences were observed in early failure. In patients with cystitis in pregnancy, NF100 was associated with a lower incidence of late clinical failure compared with NF50. We found no differences in clinical failure between NF50 and NF100 for uncomplicated and complicated cystitis.</t>
  </si>
  <si>
    <t>Exercise Guidelines for Cancer Survivors: Consensus Statement from International Multidisciplinary Roundtable.</t>
  </si>
  <si>
    <t>Campbell, Kristin L; Winters-Stone, Kerri M; Wiskemann, Joachim; May, Anne M; Schwartz, Anna L; Courneya, Kerry S; Zucker, David S; Matthews, Charles E; Ligibel, Jennifer A; Gerber, Lynn H; Morris, G Stephen; Patel, Alpa V; Hue, Trisha F; Perna, Frank M; Schmitz, Kathryn H</t>
  </si>
  <si>
    <t>https://pubmed.ncbi.nlm.nih.gov/31626055</t>
  </si>
  <si>
    <t>The number of cancer survivors worldwide is growing, with over 15.5 million cancer survivors in the United States alone-a figure expected to double in the coming decades. Cancer survivors face unique health challenges as a result of their cancer diagnosis and the impact of treatments on their physical and mental well-being. For example, cancer survivors often experience declines in physical functioning and quality of life while facing an increased risk of cancer recurrence and all-cause mortality compared with persons without cancer. The 2010 American College of Sports Medicine Roundtable was among the first reports to conclude that cancer survivors could safely engage in enough exercise training to improve physical fitness and restore physical functioning, enhance quality of life, and mitigate cancer-related fatigue. A second Roundtable was convened in 2018 to advance exercise recommendations beyond public health guidelines and toward prescriptive programs specific to cancer type, treatments, and/or outcomes. Overall findings retained the conclusions that exercise training and testing were generally safe for cancer survivors and that every survivor should "avoid inactivity." Enough evidence was available to conclude that specific doses of aerobic, combined aerobic plus resistance training, and/or resistance training could improve common cancer-related health outcomes, including anxiety, depressive symptoms, fatigue, physical functioning, and health-related quality of life. Implications for other outcomes, such as peripheral neuropathy and cognitive functioning, remain uncertain. The proposed recommendations should serve as a guide for the fitness and health care professional working with cancer survivors. More research is needed to fill remaining gaps in knowledge to better serve cancer survivors, as well as fitness and health care professionals, to improve clinical practice.</t>
  </si>
  <si>
    <t>Design of the ZWOT-CASE study: an observational study on the effectiveness of an integrated programme for cardiovascular risk management compared to usual care in general practice.</t>
  </si>
  <si>
    <t>Marchal, Suzanne; Hollander, Monika; Schoenmakers, Marieke; Schouwink, Michiel; Timmer, Jorik R; Bilo, Henk J G; Schwantje, Olof; van 't Hof, Arnoud W J; Hoes, Arno W</t>
  </si>
  <si>
    <t>https://pubmed.ncbi.nlm.nih.gov/31675925</t>
  </si>
  <si>
    <t>Cardiovascular diseases (CVD) contribute considerably to mortality and morbidity. Prevention of CVD by lifestyle change and medication is important and needs full attention. In the Netherlands an integrated programme for cardiovascular risk management (CVRM), based on the Chronic Care Model (CCM), has been introduced in primary care in many regions in recent years, but its effects are unknown. In the ZWOT-CASE study we will assess the effect of integrated care for CVRM in the region of Zwolle on two major cardiovascular risk factors: systolic blood pressure (SBP) and low-density lipoprotein cholesterol (LDL-cholesterol) in patients with or at high risk of CVD. This study is a pragmatic observational study comparing integrated care for CVRM with usual care among patients aged 40-80 years with CVD (n = 370) or with a high CVD risk (n = 370) within 26 general practices. After 1 yr follow-up, primary outcomes (SBP and LDL-cholesterol level) are measured. Secondary outcomes include lifestyle habits (smoking, dietary habits, alcohol use, physical activity), risk factor awareness, 10-year risk of cardiovascular morbidity or mortality, health care consumption, patient satisfaction and quality of life. The ZWOT-CASE study will provide insight in the effects of integrated care for CVRM in general practice in patients with CVD or at high CVD risk. The ZWOlle Transmural Integrated Care for CArdiovaScular Risk Management Study; ClinicalTrials.gov ; Identifier: NCT03428061; date of registration: 09-02-2018; This study has been retrospectively registered.</t>
  </si>
  <si>
    <t>The Quality of Interactions Schedule (QuIS) and person-centred care: Concurrent validity in acute hospital settings.</t>
  </si>
  <si>
    <t>Bridges, Jackie; Gould, Lisa; Hope, Joanna; Schoonhoven, Lisette; Griffiths, Peter</t>
  </si>
  <si>
    <t>international journal of nursing studies advances</t>
  </si>
  <si>
    <t>https://pubmed.ncbi.nlm.nih.gov/32685928</t>
  </si>
  <si>
    <t>There is a lack of consensus on how the practices of health care workers may be assessed and measured in relation to compassion. The Quality of Interactions Schedule (QuIS) is a promising measure that uses independent observers to assess the quality of social interactions between staff and patients in a healthcare context. Further understanding of the relationship between QuIS and constructs such as person-centred care would be helpful to guide its future use in health research. This study aimed to assess the validity of QuIS in relation to person-centred care measured using the CARES® Observational Tool (COT™). 168 nursing staff-patient care interactions on adult inpatient units in two acute care UK National Health Service hospitals were observed and rated using QuIS and COT™. Analyses explored the relationship between summary and individual item COT™ scores and the likelihood of a negative (lower quality) QuIS rating. As the degree of person-centred care improved, QuIS negative ratings generally decreased and positive social ratings increased. QuIS-rated negative interactions were associated with an absence of some behaviours, in particular staff approaching patients from the front (relative risk (RR) 3.7), introducing themselves (RR 3.1), smiling and making eye contact (RR 3.4), and involving patients in their care (RR 3.7). These findings provide further information about the validity of QuIS measurements in healthcare contexts, and the extent to which it can be used to reflect the quality of relational care even for people who are unable to self-report.</t>
  </si>
  <si>
    <t>Decelerating trends in heart failure survival.</t>
  </si>
  <si>
    <t>https://pubmed.ncbi.nlm.nih.gov/31746110</t>
  </si>
  <si>
    <t>Can Menopause Prediction Be Improved With Multiple AMH Measurements? Results From the Prospective Doetinchem Cohort Study.</t>
  </si>
  <si>
    <t>de Kat, Annelien C; van der Schouw, Yvonne T; Eijkemans, Marinus J C; Broer, Simone L; Verschuren, W M Monique; Broekmans, Frank J M</t>
  </si>
  <si>
    <t>https://pubmed.ncbi.nlm.nih.gov/31006802</t>
  </si>
  <si>
    <t>Anti-Müllerian hormone (AMH) levels are used worldwide as a screening tool for the duration of the female reproductive lifespan. Although AMH levels are associated with age at menopause, individual predictions of menopause with a single AMH measurement are unreliable. This study investigated whether individual AMH decline patterns can improve the prediction of menopause compared with a single measurement. The study population comprised 2434 premenopausal women from the population-based Doetinchem Cohort Study. Participants were followed up every 5 years for a total of 20 years, and AMH was measured in 6699 plasma samples with the picoAMH assay. Longitudinal statistical modeling was combined with time varying Cox modeling, to integrate multiple AMH measurements per woman. The mean age at menopause was 50 years, and 7.4% of the women who reached menopause during follow-up did so before age 45 years. For a 25-year-old, the AMH decline rate between ages 20 and 25 years increased the C-statistic of menopause prediction from 0.64 to 0.69. Beyond that age, the AMH decline rate did not improve predictions of menopause or early menopause. For women younger than age 30 years, for whom menopause prediction is arguably most relevant, the models underestimated the risk of early menopause. These results suggest that knowledge of the AMH decline rate does not improve the prediction of menopause. Based on the low discriminative ability and underestimation of the risk of early menopause, the use of AMH as a screening method for the timing of menopause cannot currently be advocated.</t>
  </si>
  <si>
    <t>Cardiovascular guidelines based on high-quality evidence: Are we getting there?</t>
  </si>
  <si>
    <t>van Dijk, Wouter B; Grobbee, Diederick E</t>
  </si>
  <si>
    <t>https://pubmed.ncbi.nlm.nih.gov/31674210</t>
  </si>
  <si>
    <t>Doxorubicin-induced skeletal muscle atrophy: Elucidating the underlying molecular pathways.</t>
  </si>
  <si>
    <t>Hiensch, Anouk E; Bolam, Kate A; Mijwel, Sara; Jeneson, Jeroen A L; Huitema, Alwin D R; Kranenburg, Onno; van der Wall, Elsken; Rundqvist, Helene; Wengstrom, Yvönne; May, Anne M</t>
  </si>
  <si>
    <t>acta physiologica oxford england</t>
  </si>
  <si>
    <t>https://pubmed.ncbi.nlm.nih.gov/31600860</t>
  </si>
  <si>
    <t>Loss of skeletal muscle mass is a common clinical finding in cancer patients. The purpose of this meta-analysis and systematic review was to quantify the effect of doxorubicin on skeletal muscle and report on the proposed molecular pathways possibly leading to doxorubicin-induced muscle atrophy in both human and animal models. A systematic search of the literature was conducted in PubMed, EMBASE, Web of Science and CENTRAL databases. The internal validity of included studies was assessed using SYRCLE's risk of bias tool. Twenty eligible articles were identified. No human studies were identified as being eligible for inclusion. Doxorubicin significantly reduced skeletal muscle weight (ie EDL, TA, gastrocnemius and soleus) by 14% (95% CI: 9.9; 19.3) and muscle fibre cross-sectional area by 17% (95% CI: 9.0; 26.0) when compared to vehicle controls. Parallel to negative changes in muscle mass, muscle strength was even more decreased in response to doxorubicin administration. This review suggests that mitochondrial dysfunction plays a central role in doxorubicin-induced skeletal muscle atrophy. The increased production of ROS plays a key role within this process. Furthermore, doxorubicin activated all major proteolytic systems (ie calpains, the ubiquitin-proteasome pathway and autophagy) in the skeletal muscle. Although each of these proteolytic pathways contributes to doxorubicin-induced muscle atrophy, the activation of the ubiquitin-proteasome pathway is hypothesized to play a key role. Finally, a limited number of studies found that doxorubicin decreases protein synthesis by a disruption in the insulin signalling pathway. The results of the meta-analysis show that doxorubicin induces skeletal muscle atrophy in preclinical models. This effect may be explained by various interacting molecular pathways. Results from preclinical studies provide a robust setting to investigate a possible dose-response, separate the effects of doxorubicin from tumour-induced atrophy and to examine underlying molecular pathways. More research is needed to confirm the proposed signalling pathways in humans, paving the way for potential therapeutic approaches.</t>
  </si>
  <si>
    <t>Trained facilitators' experiences with structured advance care planning conversations in oncology: an international focus group study within the ACTION trial.</t>
  </si>
  <si>
    <t>Zwakman, M; Pollock, K; Bulli, F; Caswell, G; Červ, B; van Delden, J J M; Deliens, L; van der Heide, A; Jabbarian, L J; Koba-Čeh, H; Lunder, U; Miccinesi, G; Arnfeldt, C A Møller; Seymour, J; Toccafondi, A; Verkissen, M N; Kars, M C; ,</t>
  </si>
  <si>
    <t>https://pubmed.ncbi.nlm.nih.gov/31672145</t>
  </si>
  <si>
    <t>In oncology, Health Care Professionals often experience conducting Advance Care Planning (ACP) conversations as difficult and are hesitant to start them. A structured approach could help to overcome this. In the ACTION trial, a Phase III multi-center cluster-randomized clinical trial in six European countries (Belgium, Denmark, Italy, the Netherlands, Slovenia, United Kingdom), patients with advanced lung or colorectal cancer are invited to have one or two structured ACP conversations with a trained facilitator. It is unclear how trained facilitators experience conducting structured ACP conversations. This study aims to understand how facilitators experience delivering the ACTION Respecting Choices (RC) ACP conversation. A qualitative study involving focus groups with RC facilitators. Focus group interviews were recorded, transcribed, anonymized, translated into English, and thematically analysed, supported by NVivo 11. The international research team was involved in data analysis from initial coding and discussion towards final themes. Seven focus groups were conducted, involving 28 of in total 39 trained facilitators, with different professional backgrounds from all participating countries. Alongside some cultural differences, six themes were identified. These reflect that most facilitators welcomed the opportunity to participate in the ACTION trial, seeing it as a means of learning new skills in an important area. The RC script was seen as supportive to ask questions, including those perceived as difficult to ask, but was also experienced as a barrier to a spontaneous conversation. Facilitators noticed that most patients were positive about their ACTION RC ACP conversation, which had prompted them to become aware of their wishes and to share these with others. The facilitators observed that it took patients substantial effort to have these conversations. In response, facilitators took responsibility for enabling patients to experience a conversation from which they could benefit. Facilitators emphasized the need for training, support and advanced communication skills to be able to work with the script. Facilitators experienced benefits and challenges in conducting scripted ACP conversations. They mentioned the importance of being skilled and experienced in carrying out ACP conversations in order to be able to explore the patients' preferences while staying attuned to patients' needs. International Standard Randomised Controlled Trial Number registry 63110516 ( ISRCTN63110516 ) per 10/3/2014.</t>
  </si>
  <si>
    <t>Prognostic models for adverse pregnancy outcomes in low-income and middle-income countries: a systematic review.</t>
  </si>
  <si>
    <t>Heestermans, Tessa; Payne, Beth; Kayode, Gbenga Ayodele; Amoakoh-Coleman, Mary; Schuit, Ewoud; Rijken, Marcus J; Klipstein-Grobusch, Kerstin; Bloemenkamp, Kitty; Grobbee, Diederick E; Browne, Joyce L</t>
  </si>
  <si>
    <t>https://pubmed.ncbi.nlm.nih.gov/31749995</t>
  </si>
  <si>
    <t>Ninety-nine per cent of all maternal and neonatal deaths occur in low-income and middle-income countries (LMIC). Prognostic models can provide standardised risk assessment to guide clinical management and can be vital to reduce and prevent maternal and perinatal mortality and morbidity. This review provides a comprehensive summary of prognostic models for adverse maternal and perinatal outcomes developed and/or validated in LMIC. A systematic search in four databases (PubMed/Medline, EMBASE, Global Health Library and The Cochrane Library) was conducted from inception (1970) up to 2 May 2018. Risk of bias was assessed with the PROBAST tool and narratively summarised. 1741 articles were screened and 21 prognostic models identified. Seventeen models focused on maternal outcomes and four on perinatal outcomes, of which hypertensive disorders of pregnancy (n=9) and perinatal death including stillbirth (n=4) was most reported. Only one model was externally validated. Thirty different predictors were used to develop the models. Risk of bias varied across studies, with the item 'quality of analysis' performing the least. Prognostic models can be easy to use, informative and low cost with great potential to improve maternal and neonatal health in LMIC settings. However, the number of prognostic models developed or validated in LMIC settings is low and mirrors the 10/90 gap in which only 10% of resources are dedicated to 90% of the global disease burden. External validation of existing models developed in both LMIC and high-income countries instead of developing new models should be encouraged. CRD42017058044.</t>
  </si>
  <si>
    <t>SERIES: eHealth in primary care. Part 2: Exploring the ethical implications of its application in primary care practice.</t>
  </si>
  <si>
    <t>Boers, Sarah N; Jongsma, Karin R; Lucivero, Federica; Aardoom, Jiska; Büchner, Frederike L; de Vries, Martine; Honkoop, Persijn; Houwink, Elisa J F; Kasteleyn, Marise J; Meijer, Eline; Pinnock, Hilary; Teichert, Martina; van der Boog, Paul; van Luenen, Sanne; van der Kleij, Rianne M J J; Chavannes, Niels H</t>
  </si>
  <si>
    <t>https://pubmed.ncbi.nlm.nih.gov/31663394</t>
  </si>
  <si>
    <t>&lt;b&gt;Background:&lt;/b&gt; eHealth promises to increase self-management and personalised medicine and improve cost-effectiveness in primary care. Paired with these promises are ethical implications, as eHealth will affect patients' and primary care professionals' (PCPs) experiences, values, norms, and relationships.&lt;b&gt;Objectives:&lt;/b&gt; We argue what ethical implications related to the impact of eHealth on four vital aspects of primary care could (and should) be anticipated.&lt;b&gt;Discussion:&lt;/b&gt; (1) EHealth influences dealing with predictive and diagnostic uncertainty. Machine-learning based clinical decision support systems offer (seemingly) objective, quantified, and personalised outcomes. However, they also introduce new loci of uncertainty and subjectivity. The decision-making process becomes opaque, and algorithms can be invalid, biased, or even discriminatory. This has implications for professional responsibilities and judgments, justice, autonomy, and trust. (2) EHealth affects the roles and responsibilities of patients because it can stimulate self-management and autonomy. However, autonomy can also be compromised, e.g. in cases of persuasive technologies and eHealth can increase existing health disparities. (3) The delegation of tasks to a network of technologies and stakeholders requires attention for responsibility gaps and new responsibilities. (4) The triangulate relationship: patient-eHealth-PCP requires a reconsideration of the role of human interaction and 'humanness' in primary care as well as of shaping Shared Decision Making.&lt;b&gt;Conclusion:&lt;/b&gt; Our analysis is an essential first step towards setting up a dedicated ethics research agenda that should be examined in parallel to the development and implementation of eHealth. The ultimate goal is to inspire the development of practice-specific ethical recommendations.</t>
  </si>
  <si>
    <t>Phenome-wide association analysis of LDL-cholesterol lowering genetic variants in PCSK9.</t>
  </si>
  <si>
    <t>Schmidt, Amand F; Holmes, Michael V; Preiss, David; Swerdlow, Daniel I; Denaxas, Spiros; Fatemifar, Ghazaleh; Faraway, Rupert; Finan, Chris;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Pająk, Andrz</t>
  </si>
  <si>
    <t>https://pubmed.ncbi.nlm.nih.gov/31664920</t>
  </si>
  <si>
    <t>We characterised the phenotypic consequence of genetic variation at the PCSK9 locus and compared findings with recent trials of pharmacological inhibitors of PCSK9. Published and individual participant level data (300,000+ participants) were combined to construct a weighted PCSK9 gene-centric score (GS). Seventeen randomized placebo controlled PCSK9 inhibitor trials were included, providing data on 79,578 participants. Results were scaled to a one mmol/L lower LDL-C concentration. The PCSK9 GS (comprising 4 SNPs) associations with plasma lipid and apolipoprotein levels were consistent in direction with treatment effects. The GS odds ratio (OR) for myocardial infarction (MI) was 0.53 (95% CI 0.42; 0.68), compared to a PCSK9 inhibitor effect of 0.90 (95% CI 0.86; 0.93). For ischemic stroke ORs were 0.84 (95% CI 0.57; 1.22) for the GS, compared to 0.85 (95% CI 0.78; 0.93) in the drug trials. ORs with type 2 diabetes mellitus (T2DM) were 1.29 (95% CI 1.11; 1.50) for the GS, as compared to 1.00 (95% CI 0.96; 1.04) for incident T2DM in PCSK9 inhibitor trials. No genetic associations were observed for cancer, heart failure, atrial fibrillation, chronic obstructive pulmonary disease, or Alzheimer's disease - outcomes for which large-scale trial data were unavailable. Genetic variation at the PCSK9 locus recapitulates the effects of therapeutic inhibition of PCSK9 on major blood lipid fractions and MI. While indicating an increased risk of T2DM, no other possible safety concerns were shown; although precision was moderate.</t>
  </si>
  <si>
    <t>Global Health and Bioethics; Global Health and Bioethics; Data Science and Biostatistics; Global Health and Bioethics; Data Science and Biostatistics; Global Health and Bioethics; Data Science and Biostatistics; Epidemiology and Health Economics; Data Science and Biostatistics; Global Health and Bioethics; Data Science and Biostatistics</t>
  </si>
  <si>
    <t>Cross-sectional study of the health of southern African truck drivers.</t>
  </si>
  <si>
    <t>Lalla-Edward, Samanta Tresha; Fischer, Alex Emilio; Venter, W D Francois; Scheuermaier, Karine; Meel, Ruchika; Hankins, Catherine; Gomez, Gabriela; Klipstein-Grobusch, Kerstin; Draaijer, Melvin; Vos, Alinda G</t>
  </si>
  <si>
    <t>https://pubmed.ncbi.nlm.nih.gov/31662399</t>
  </si>
  <si>
    <t>Lifestyle and working conditions of truck drivers predisposes them to risk-factors associated with communicable and non-communicable diseases, but little is known about the health status of African truck driver. This study aims to assess a cross-section of truckers in South Africa to describe their health information. The study took place across three truck-stop rest areas in the South African provinces of Free State and Gauteng. Eligibility criteria included being males aged 18 years and older, full-time employment as a long-distance truck driver. A total of 614 male truck drivers participated; 384 (63%) were Zimbabwean and 325 (55%) completed high-school. The trucker survey explored demographics; working conditions; sexual, eating and sleeping behaviours; mental health status, medical history and cardiac risk-factors. Medical assessments included physical measurements, glucose and lipid measurements, ECG, carotid intima-media thickness (CIMT) and cardiac ultrasound. In the previous month, 554 (91%) participants were sexually active; 522 (86%) had sex with a regular partner; 174 (27%) with a casual partner; 87 (14%) with a sex worker. Average time driving was 10 hours/day, 20 days/month, 302 (50%) never worked night shifts and 74 (12%) worked nights approximately four times per week. 112 (18%) experienced daytime sleepiness and 59 (10%) were ever hospitalised from an accident. Forty-seven (8%, 95% CI 5.3 to 9.5) were HIV-positive, with half taking antiretrovirals. Forty-eight (8%) truckers had some moderate depression, while 21 (4%) suffered from post-traumatic stress disorder. Reported tuberculosis, myocardial infarction, and diabetes were &lt;3%. Prominent cardiac risk-factors included smoking (n=63, 11%), consuming alcohol (&gt;15 drinks/week) (n=54, 9%), overweight/obesity (n=417, 69%), and hypertension (n=220, 36%,95% CI 32.1 to 39.7). ECG results showed 23 (4.9%) and 29 (5.3%) drivers had left ventricular hypertrophy using the Cornell criterion and product, respectively. CIMT measurements indicated nine (4.2%) drivers had a carotid atherosclerotic plaque. This first holistic assessment of health among southern African male truck drivers demonstrates substantial addressable cardiovascular risk factors, mental health issues and sexual risk behaviours.</t>
  </si>
  <si>
    <t>Hair cortisol and inhaled corticosteroid use in asthmatic children.</t>
  </si>
  <si>
    <t>Baan, Esmé J; van den Akker, Erica L T; Engelkes, Marjolein; de Rijke, Yolanda B; de Jongste, Johan C; Sturkenboom, Miriam C J M; Verhamme, Katia M; Janssens, Hettie M</t>
  </si>
  <si>
    <t>https://pubmed.ncbi.nlm.nih.gov/31651095</t>
  </si>
  <si>
    <t>Adrenal suppression is a side effect of long-term use of inhaled corticosteroids (ICS). Hair cortisol concentration (HCC) measurement is a noninvasive tool for measuring adrenal function that may be useful for asthmatic patients who are on long-term ICS treatment. The aim of this study was to compare HCC between children with and without asthma and to explore the association between HCC and ICS dose in asthmatic children. A cross-sectional observational study in subjects with or without asthma (n = 72 and 226, respectively, age 6-21 years). Hair samples were obtained from the posterior vertex for each subject and data on medication use were collected using questionnaires. HCC was analyzed by liquid chromatography-mass spectrometry in the most proximal 3 cm of hair. Median HCC was significantly lower in subjects with asthma than in subjects without asthma: 1.83 pg/mg and 2.39 pg/mg, respectively (P value after adjustment for age, sex, and body mass index: .036). Median HCC was 1.98 pg/mg in asthmatics using no ICS, 1.84 pg/mg in those using a low dose, 1.75 pg/mg in those on a medium dose, and 1.46 in those using a high ICS dose (P = .54). We observed a significantly lower HCC in asthmatics than in healthy controls and a nonsignificant trend of lower HCC with increasing ICS dose. Whether HCC measurement may be used to detect individuals at risk for hypocortisolism and may be useful to monitor adrenal function in asthmatic children using ICS needs to be further investigated.</t>
  </si>
  <si>
    <t>Clinical biomarker innovation: when is it worthwhile?</t>
  </si>
  <si>
    <t>Kluytmans, Anouck; Deinum, Jaap; Jenniskens, Kevin; van Herwaarden, Antonius Eduard; Gloerich, Jolein; van Gool, Alain J; van der Wilt, Gert Jan; Grutters, Janneke P C</t>
  </si>
  <si>
    <t>clinical chemistry and laboratory medicine</t>
  </si>
  <si>
    <t>https://pubmed.ncbi.nlm.nih.gov/31287794</t>
  </si>
  <si>
    <t>Background Choosing which biomarker tests to select for further research and development is not only a matter of diagnostic accuracy, but also of the clinical and monetary benefits downstream. Early health economic modeling provides tools to assess the potential effects of biomarker innovation and support decision-making. Methods We applied early health economic modeling to the case of diagnosing primary aldosteronism in patients with resistant hypertension. We simulated a cohort of patients using a Markov cohort state-transition model. Using the headroom method, we compared the currently used aldosterone-to-renin ratio to a hypothetical new test with perfect diagnostic properties to determine the headroom based on quality-adjusted life-years (QALYs) and costs, followed by threshold analyses to determine the minimal diagnostic accuracy for a cost-effective product. Results Our model indicated that a perfect diagnostic test would yield 0.027 QALYs and increase costs by €43 per patient. At a cost-effectiveness threshold of €20,000 per QALY, the maximum price for this perfect test to be cost-effective is €498 (95% confidence interval [CI]: €275-€808). The value of the perfect test was most strongly influenced by the sensitivity of the current biomarker test. Threshold analysis showed the novel test needs a sensitivity of at least 0.9 and a specificity of at least 0.7 to be cost-effective. Conclusions Our model-based approach evaluated the added value of a clinical biomarker innovation, prior to extensive investment in development, clinical studies and implementation. We conclude that early health economic modeling can be a valuable tool when prioritizing biomarker innovations in the laboratory.</t>
  </si>
  <si>
    <t>Patient-reported cosmetic satisfaction and the long-term association with quality of life in irradiated breast cancer patients.</t>
  </si>
  <si>
    <t>Batenburg, M C T; Gregorowitsch, M L; Maarse, W; Witkamp, A; Young-Afat, D A; Braakenburg, A; Doeksen, A; van Dalen, T; Sier, M; Schoenmaeckers, E J P; van Gils, C H; van den Bongard, H J G D; Verkooijen, H M; ,</t>
  </si>
  <si>
    <t>https://pubmed.ncbi.nlm.nih.gov/31650347</t>
  </si>
  <si>
    <t>To evaluate patient-reported cosmetic satisfaction in women treated with radiation therapy for breast cancer and to determine the association between dissatisfaction and quality of life (QoL) and depression.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</si>
  <si>
    <t>Causal relationships between obesity and the leading causes of death in women and men.</t>
  </si>
  <si>
    <t>Censin, Jenny C; Peters, Sanne A E; Bovijn, Jonas; Ferreira, Teresa; Pulit, Sara L; Mägi, Reedik; Mahajan, Anubha; Holmes, Michael V; Lindgren, Cecilia M</t>
  </si>
  <si>
    <t>plos genetics</t>
  </si>
  <si>
    <t>https://pubmed.ncbi.nlm.nih.gov/31647808</t>
  </si>
  <si>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</si>
  <si>
    <t>Construction of full-length infectious cDNA clones of Apple stem grooving virus using Gibson Assembly method.</t>
  </si>
  <si>
    <t>Li, Zheng-Nan; Jelkmann, Wilhelm; Sun, Ping-Ping; Zhang, Lei</t>
  </si>
  <si>
    <t>virus research</t>
  </si>
  <si>
    <t>https://pubmed.ncbi.nlm.nih.gov/31655083</t>
  </si>
  <si>
    <t>Apple stem grooving virus (ASGV) belongs to the genus Capillovirus within the family Betaflexiviridae. In this work, we described the construction of full-length infectious cDNA clones of ASGV isolate jilin-shaguo (JL-SG) using the Gibson Assembly approach (New England BioLabs). The isolate was previously detected in a Chinese pear-leaf crab apple (Malus asiatica Nakai.) in Baicheng, Jilin province, China. Two full-length cDNA clones of ASGV JL-SG were obtained, and they are identical to each other in sequence. The full-length cDNA clone was infectious on Chenopodium quinoa, Nicotiana glutinosa, and N. occidentalis 37B via agroinfiltration. Through sap inoculation, the infection was additionally spread to C. amaranticolor. N. benthamiana could not be infected, neither through agroinfiltration nor sap inoculation. In infected herbaceous plants, typical ASGV particles with morphology of flexuous filaments were observed by transmission electron microscope (TEM). Moreover, seeds of infected N. glutinosa and N. occidentalis 37B were collected and germinated, the seedlings were ASGV-free in RT-PCR test, suggesting ASGV JL-SG is not seed-transmissible in the tested Nicotiana species. In addition, the cDNA clone was agroinfiltrated into seedlings of Malus pumila cv. Fuji. The infection was symptomless, and can be spread to C. quinoa via sap inoculation, causing typical symptoms. ASGV JL-SG was also detected by RT-PCR in the infected Fuji plants, however, no virion was observed by TEM.</t>
  </si>
  <si>
    <t>Association between beta-blocker use and mortality/morbidity in older patients with heart failure with reduced ejection fraction. A propensity score-matched analysis from the Swedish Heart Failure Registry.</t>
  </si>
  <si>
    <t>Stolfo, Davide; Uijl, Alicia; Benson, Lina; Schrage, Benedikt; Fudim, Marat; Asselbergs, Folkert W; Koudstaal, Stefan; Sinagra, Gianfranco; Dahlström, Ulf; Rosano, Giuseppe; Savarese, Gianluigi</t>
  </si>
  <si>
    <t>https://pubmed.ncbi.nlm.nih.gov/31478583</t>
  </si>
  <si>
    <t>Beta-blockers reduce mortality and morbidity in heart failure (HF) with reduced ejection fraction (HFrEF). However, patients older than 80 years are poorly represented in randomized controlled trials. We assessed the association between beta-blocker use and outcomes in HFrEF patients aged ≥80 years. We included patients with an ejection fraction &lt;40% and aged ≥80 years from the Swedish HF Registry. The association between beta-blocker use, all-cause mortality and cardiovascular (CV) mortality/HF hospitalization was assessed by Cox proportional hazard models in a 1:1 propensity score-matched cohort. To assess consistency, the same analyses were performed in a positive control cohort with age &lt;80 years. A negative control outcome analysis was run using hospitalization for cancer as endpoint. Of 6562 patients aged ≥80 years, 5640 (86%) received beta-blockers. In the matched cohort including 1732 patients, beta-blocker use was associated with a significant reduction in the risk of all-cause mortality [hazard ratio (HR) 0.89, 95% confidence interval (CI) 0.79-0.99]. Reduction in CV mortality/HF hospitalization was not significant (HR 0.94, 95% CI 0.85-1.05) due to the lack of association with HF hospitalization, whereas CV death was significantly reduced. After adjustment rather than matching for the propensity score in the overall cohort, beta-blocker use was associated with reduced risk of all outcomes. In patients aged &lt;80 years, use of beta-blockers was associated with reduced risk of all-cause death (HR 0.79, 95% CI 0.68-0.92) and of the composite outcome (HR 0.88, 95% CI 0.77-0.99). In HFrEF patients ≥80 years of age, use of beta-blockers was high and was associated with improved all-cause and CV survival.</t>
  </si>
  <si>
    <t>Inter- and intra-observer variability in fetal ductus venosus blood flow measurements in high-risk fetuses at 26-32 weeks.</t>
  </si>
  <si>
    <t>Bruin, Clara M; Ganzevoort, Wessel; Schuit, Ewoud; Mensing van Charante, Nico A; Wolf, Hans</t>
  </si>
  <si>
    <t>european journal of obstetrics gynecology and reproductive biology</t>
  </si>
  <si>
    <t>https://pubmed.ncbi.nlm.nih.gov/31675632</t>
  </si>
  <si>
    <t>Early preterm fetal growth restriction is a significant contributor to perinatal morbidity and mortality. The ductus venosus pulsatility index for veins (DV PIV) is proposed as a monitoring tool because it appears to improve perinatal outcomes. The test characteristics and robustness of DV PIV have been inadequately described. The aim of this study was to investigate inter- and intra-observer variability of DV PIV. Nineteen women with a gestational age between 26 and 32 completed weeks were included in this study. Doppler sonographic fetal assessment was performed by two independent maternal-fetal medicine specialists. Each sonographer alternately performed three flow tracings for each participant, in the absence of the other sonographer (six tracings in total per patient). DV PIV was calculated automatically from stored tracings by a third researcher. Inter- and intra-observer variability of DV PIV and limits of agreement were assessed using the Bland-Altman method. Comparison of the distribution was performed with Kendall's related samples test, and the intraclass correlation coefficient (ICC) was calculated. In total, 114 DV measurements were taken from 19 participants with a median age of 31 years [interquartile range (IQR) 26-34 years] at a median gestational age of 28 weeks (IQR 27-29 weeks). The proportional limits of agreement for intra-observer variation were -0.48 to 0.48 and -0.39 to 0.62 for the two observers. ICCs were 0.66 [95% confidence interval (CI) 0.42-0.84] and 0.68 (95% CI 0.45-0.85). The proportional limits of agreement for inter-observer variation were -0.29 to 0.19 with an ICC of 0.89 (95% CI 0.73-0.96). Inter-observer variation was far less than intra-observer variation, probably due to mitigation of biological variation by averaging three measurements. DV PIV has acceptable test characteristics for use in a clinical setting when the average of at least three consecutive measurements is used.</t>
  </si>
  <si>
    <t>Nonfocal Transient Neurological Attacks Are Associated With Cerebral Small Vessel Disease.</t>
  </si>
  <si>
    <t>Oudeman, Eline A; Greving, Jacoba P; Van den Berg-Vos, Renske M; Biessels, Geert Jan; Bron, Esther E; van Oostenbrugge, Robert; de Bresser, Jeroen; Kappelle, L Jaap</t>
  </si>
  <si>
    <t>https://pubmed.ncbi.nlm.nih.gov/31637974</t>
  </si>
  <si>
    <t>Background and Purpose- Nonfocal transient neurological attacks (TNAs), such as unsteadiness, bilateral weakness, or confusion, are associated with an increased risk of stroke and dementia. Cerebral ischemia plays a role in their pathogenesis, but the precise mechanisms are unknown. We hypothesized that cerebral small vessel disease is involved in the pathogenesis of TNAs and assessed the relation between TNAs and manifestations of cerebral small vessel disease on magnetic resonance imaging. Methods- We included participants from the HBC (Heart-Brain Connection) study. In this study, hemodynamic and cardiovascular contributions to cognitive impairment have been studied in patients with heart failure, carotid artery occlusion, or possible vascular cognitive impairment, as well as in a reference group. We excluded participants with a history of stroke or transient ischemic attacks. The occurrence of the following 8 TNAs was assessed with a standardized interview: unconsciousness, confusion, amnesia, unsteadiness, bilateral leg weakness, blurred vision, nonrotatory dizziness, and paresthesias. The occurrence of TNAs was related to the presence of lacunes or white matter hyperintensities (Fazekas score, ≥2; early confluent or confluent lesions) in logistic regression analysis, adjusted for age, sex, and hypertension. Results- Of 304 participants (60% men; mean age, 67±9 years), 63 participants (21%) experienced ≥1 TNAs. Lacunes and early confluent or confluent white matter hyperintensities were more common in participants with TNAs than in participants without TNAs (35% versus 20%; adjusted odds ratio, 2.32 [95% CI, 1.22-4.40] and 48% versus 27%; adjusted odds ratio, 2.65 [95% CI, 1.44-4.90], respectively). Conclusions- In our study, TNAs are associated with the presence of lacunes and early confluent or confluent white matter hyperintensities of presumed vascular origin, which indicates that cerebral small vessel disease might play a role in the pathogenesis of TNAs.</t>
  </si>
  <si>
    <t>Postdoctoral Nurses' Experiences With Leadership and Career Development: A Qualitative Study.</t>
  </si>
  <si>
    <t>de Lange, Wendela; Kars, Marijke C; Poslawsky, Irina E; Schuurmans, Marieke J; Hafsteinsdóttir, Thóra B</t>
  </si>
  <si>
    <t>https://pubmed.ncbi.nlm.nih.gov/31633880</t>
  </si>
  <si>
    <t>The purpose of this study was to explore the experiences and perceptions of Dutch postdoctoral nurses working in research with leadership and career development. A generic explorative qualitative design with semistructured in-depth interviews was used. A criterion sample of 13 postdoctoral nurses working in research in the Netherlands was included. The data were analyzed using thematic analysis. Three themes were identified: (a) developing leadership and identity as a PhD nurse, (b) becoming a valuable member in the scientific world of academe, and (c) continuous search for progression while balancing worlds and tasks. Postdoctoral nurses experienced their leadership and professional development as a serious and conscious process. Their vision of nursing, health care, and research was an important motive regarding future career choices. Although the scientific world of academe was perceived as honorable, the nurses experienced it as a complex work environment. All the postdoctoral nurses had to deal with the demands and pressures of the scientific world. Coping with the tension between enjoying work and handling high workloads and academic achievements was described as challenging. Searching for balance was important, especially because of the different part-time employment or working activities with various commitments. This study demonstrates that postdoctoral nurses do show considerable progression in their leadership and career development; however, they experience the scientific working environment as challenging. The findings of this study indicate the need for more academic positions, the strengthening of the infrastructure for nursing research, and the development of supportive leadership and mentoring programs for postdoctoral nurses to provide optimal evidence-based and high-quality care for patients. Postdoctoral nurses need to develop strong leadership competencies to strengthen research, education, and evidence-based practice in clinical care to improve patient and healthcare outcomes.</t>
  </si>
  <si>
    <t>Observation of Electroweak Production of a Same-Sign W Boson Pair in Association with Two Jets in pp Collisions at sqrt[s]=13  TeV with the ATLAS Detector.</t>
  </si>
  <si>
    <t>Aaboud, M; Aad, G; Abbott, B; Abdinov, O; Abeloos, B; Abhayasinghe, D K; Abidi, S H; AbouZeid, O S; Abraham, N L; Abramowicz, H; Abreu, H; Abulaiti, Y; Acharya, B S; Adachi, S; Adam, L; Adam Bourdarios, C;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Anastopoulos, C; Ancu, L S; Andari, N; Andeen, T; Anders, C F; Anders, J K; Ander</t>
  </si>
  <si>
    <t>https://pubmed.ncbi.nlm.nih.gov/31702349</t>
  </si>
  <si>
    <t>This Letter presents the observation and measurement of electroweak production of a same-sign W boson pair in association with two jets using 36.1  fb^{-1} of proton-proton collision data recorded at a center-of-mass energy of sqrt[s]=13  TeV by the ATLAS detector at the Large Hadron Collider. The analysis is performed in the detector fiducial phase-space region, defined by the presence of two same-sign leptons, electron or muon, and at least two jets with a large invariant mass and rapidity difference. A total of 122 candidate events are observed for a background expectation of 69±7 events, corresponding to an observed signal significance of 6.5 standard deviations. The measured fiducial signal cross section is σ^{fid}=2.89_{-0.48}^{+0.51}(stat)_{-0.28}^{+0.29}(syst)  fb.</t>
  </si>
  <si>
    <t>De-Intensification Of Blood Glucose Lowering Medication In People Identified As Being Over-Treated: A Mixed Methods Study.</t>
  </si>
  <si>
    <t>Hart, Huberta E; Ditzel, Kim; Rutten, Guy E; de Groot, Esther; Seidu, Samuel; Khunti, Kamlesh; Vos, Rimke C</t>
  </si>
  <si>
    <t>https://pubmed.ncbi.nlm.nih.gov/31695339</t>
  </si>
  <si>
    <t>To evaluate if, one year after notification of possible overtreatment, diabetes care providers de-intensified glucose-lowering medications and to gain insight into the opinions and beliefs of both care providers and patients regarding de-intensification. Mixed methods using routine care data from five health-care centres in the Netherlands. Patient characteristics and medication prescription of patients, previously identified as possibly over-treated, were extracted from patients' medical records. Opinions of care providers were obtained through interviews. Patients received questionnaires about their diabetes treatment and were asked to participate in focus groups. A total of 64 elderly patients with type 2 diabetes were previously identified as possibly over-treated and included; 57.8% male, median age 75 years (IQR=72-82), median diabetes duration 12 years (IQR=8-18). De-intensification was implemented in more than half (n=36) of them. Care providers preferred person-centred care above just setting general HbA1c target values, considering patient characteristics (such as comorbidity) and patient's preference. Patients valued glucose levels as most important in determining their treatment. Both patients and care providers felt that de-intensification should occur gradually. Treatment had been de-intensified in more than half of the patients (56.3%). Insight in reasons for not de-intensifying elderly patients is important since treatment for them can be "person-centred care". De-intensification is an iterative and time-intensive process.</t>
  </si>
  <si>
    <t>Response by Dolmans et al to Letter Regarding Article, "Diagnostic Accuracy of the Explicit Diagnostic Criteria for Transient Ischemic Attack: A Validation Study".</t>
  </si>
  <si>
    <t>Dolmans, L Servaas; Rutten, Frans H; Kappelle, L Jaap</t>
  </si>
  <si>
    <t>https://pubmed.ncbi.nlm.nih.gov/31623541</t>
  </si>
  <si>
    <t>Pharmacogenetic interactions in amyotrophic lateral sclerosis: a step closer to a cure?</t>
  </si>
  <si>
    <t>van Eijk, Ruben P A; Eijkemans, Marinus J C; Nikolakopoulos, Stavros; Jansen, Marc D; Westeneng, Henk-Jan; van Eijk, Kristel R; van der Spek, Rick A A; van Vugt, Joke J F A; Piepers, Sanne; Groeneveld, Geert-Jan; Veldink, Jan H; van den Berg, Leonard H; van Es, Michael A</t>
  </si>
  <si>
    <t>the pharmacogenomics journal</t>
  </si>
  <si>
    <t>https://pubmed.ncbi.nlm.nih.gov/31624333</t>
  </si>
  <si>
    <t>Genetic mutations related to amyotrophic lateral sclerosis (ALS) act through distinct pathophysiological pathways, which may lead to varying treatment responses. Here we assess the genetic interaction between C9orf72, UNC13A, and MOBP with creatine and valproic acid treatment in two clinical trials. Genotypic data was available for 309 of the 338 participants (91.4%). The UNC13A genotype affected mortality (p = 0.012), whereas C9orf72 repeat-expansion carriers exhibited a faster rate of decline in overall (p = 0.051) and bulbar functioning (p = 0.005). A dose-response pharmacogenetic interaction was identified between creatine and the A allele of the MOBP genotype (p = 0.027), suggesting a qualitative interaction in a recessive model (HR 3.96, p = 0.015). Not taking genetic information into account may mask evidence of response to treatment or be an unrecognized source of bias. Incorporating genetic data could help investigators to identify critical treatment clues in patients with ALS.</t>
  </si>
  <si>
    <t>Serum biomarkers in patients suspected of transient ischaemic attack in primary care: a diagnostic accuracy study.</t>
  </si>
  <si>
    <t>Dolmans, Louis Servaas; Rutten, Frans; Bartelink, Marie-Louise E L; van Dijk, Ewoud J; Nederkoorn, Paul J; Kappelle, Jaap; Hoes, Arno W; ,</t>
  </si>
  <si>
    <t>https://pubmed.ncbi.nlm.nih.gov/31628130</t>
  </si>
  <si>
    <t>The diagnosis of transient ischaemic attack (TIA) based on symptoms and signs can be challenging and would greatly benefit from a rapid serum biomarker of brain ischaemia. We aimed to quantify the added diagnostic value of serum biomarkers in patients suspected of TIA beyond symptoms and signs. This is a cross-sectional diagnostic accuracy study with a 6-month follow-up period. Participants were patients suspected of TIA by the general practitioner (GP) in whom a blood sample could be collected within 72 hours from symptom onset. A research nurse visited the participant for the blood sample and a standardised interview. The GP referred participants to the regional TIA service. An expert panel of three neurologists classified cases as TIA, minor stroke or any other diagnosis, based on all available diagnostic information including the GP's and neurologist's correspondence and the follow-up period. We used multivariable logistic regression analyses to quantify the diagnostic accuracy of clinical predictors and the improvement of accuracy by seven biomarkers (NR2, NR2 antibodies, PARK7, NDKA, UFD1, B-FABP and H-FABP). 206 patients suspected of TIA participated, of whom 126 (61.2%) were diagnosed with TIA (n=104) or minor stroke (n=22) by the expert panel. The median time from symptom onset to the blood sample collection was 48.0 (IQR 28.3-56.8) hours. None of the seven biomarkers had discriminative value in the diagnosis of TIA, with C-statistics ranging from 0.45 to 0.58. The final multivariable model (C-statistic 0.83 (0.78-0.89)) consisted of eight clinical predictors of TIA/minor stroke: increasing age, a history of coronary artery disease, sudden onset of symptoms, occurrence of symptoms in full intensity, dysarthria, no history of migraine, absence of loss of consciousness and absence of headache. Addition of the individual biomarkers did not further increase the C-statistics. Currently available blood biomarkers have no added diagnostic value in suspected TIA. NCT01954329.</t>
  </si>
  <si>
    <t>Normal-range thyroid-stimulating hormone levels and cardiovascular events and mortality in type 2 diabetes.</t>
  </si>
  <si>
    <t>de Vries, Tamar I; de Valk, Harold W; van der Graaf, Yolanda; de Borst, Gert J; Cramer, Maarten J M; Jaap Kappelle, L; Visseren, Frank L J; Westerink, Jan; ,</t>
  </si>
  <si>
    <t>https://pubmed.ncbi.nlm.nih.gov/31628967</t>
  </si>
  <si>
    <t>Thyroid dysfunction is a risk factor for cardiovascular disease. Whether thyroid function within the normal range is a risk factor for cardiovascular disease remains uncertain. The aim of this study is to evaluate whether plasma thyroid-stimulating hormone (TSH) levels in the normal range are a risk factor for cardiovascular disease and mortality in participants with type 2 diabetes mellitus with high cardiovascular risk. We included 1265 participants with high cardiovascular risk, type 2 diabetes, and TSH within the normal range (0.35-5.00 mIU/L) from the Second Manifestations of ARTerial disease cohort. The primary outcome was major cardiovascular events (MACE; vascular death, stroke and myocardial infarction). Secondary outcomes of interest were the separate vascular outcomes and all-cause mortality. Cox proportional hazard models were used to evaluate the risk of plasma TSH levels on all outcomes. A total of 191 MACE occurred during a total follow-up of 8183 years. Plasma TSH levels were not associated with MACE (hazard ratio (HR) per mIU/L TSH increase 0.93; 95% confidence interval (95%CI) 0.80-1.08). With a total of 54 strokes during the study period, plasma TSH was associated with a lower risk of stroke (HR per mIU/L 0.64, 95% CI 0.45-0.89). There was no association between plasma TSH levels and risk of myocardial infarction, vascular death, or all-cause mortality. Higher TSH levels within the normal range are associated with a lower risk of stroke in high-risk patients with type 2 diabetes, but not associated with the risk of other cardiovascular events or mortality.</t>
  </si>
  <si>
    <t>Progression of conventional cardiovascular risk factors and vascular disease risk in individuals: insights from the PROG-IMT consortium.</t>
  </si>
  <si>
    <t>Bahls, Martin; Lorenz, Matthias W; Dörr, Marcus; Gao, Lu; Kitagawa, Kazuo; Tuomainen, Tomi-Pekka; Agewall, Stefan; Berenson, Gerald; Catapano, Alberico L; Norata, Giuseppe D; Bots, Michiel L; van Gilst, Wiek; Asselbergs, Folkert W; Brouwers, Frank P; Uthoff, Heiko; Sander, Dirk; Poppert, Holger; Hecht Olsen, Michael; Empana, Jean Philippe; Schminke, Ulf; Baldassarre, Damiano; Veglia, Fabrizio; Franco, Oscar H; Kavousi, Maryam; de Groot, Eric; Mathiesen, Ellisiv B; Grigore, Liliana; Polak, Joseph F; Rundek, Tatjana; Stehouwer, Coen DA; Skilton, Michael R; Hatzitolios, Apostolos I; Savopoulos, Christos; Ntaios, George; Plichart, Matthieu; McLachlan, Stela; Lind, Lars; Willeit, Peter; Steinmetz, Helmuth; Desvarieux, Moise; Ikram, M Arfan; Johnsen, Stein Harald; Schmidt, Caroline; Willeit, Johann; Ducimetiere, Pierre; Price, Jackie F; Bergström, Göran; Kauhanen, Jussi; Kiechl, Stefan; Sitzer, Matthias; Bickel, Horst; Sacco, Ralph L; Hofman, Albert; Völzke, Henry; Thompson, Simon G; ,</t>
  </si>
  <si>
    <t>https://pubmed.ncbi.nlm.nih.gov/31619084</t>
  </si>
  <si>
    <t>Averaged measurements, but not the progression based on multiple assessments of carotid intima-media thickness, (cIMT) are predictive of cardiovascular disease (CVD) events in individuals. Whether this is true for conventional risk factors is unclear. An individual participant meta-analysis was used to associate the annualised progression of systolic blood pressure, total cholesterol, low-density lipoprotein cholesterol and high-density lipoprotein cholesterol with future cardiovascular disease risk in 13 prospective cohort studies of the PROG-IMT collaboration (&lt;i&gt;n&lt;/i&gt; = 34,072). Follow-up data included information on a combined cardiovascular disease endpoint of myocardial infarction, stroke, or vascular death. In secondary analyses, annualised progression was replaced with average. Log hazard ratios per standard deviation difference were pooled across studies by a random effects meta-analysis. In primary analysis, the annualised progression of total cholesterol was marginally related to a higher cardiovascular disease risk (hazard ratio (HR) 1.04, 95% confidence interval (CI) 1.00 to 1.07). The annualised progression of systolic blood pressure, low-density lipoprotein cholesterol and high-density lipoprotein cholesterol was not associated with future cardiovascular disease risk. In secondary analysis, average systolic blood pressure (HR 1.20 95% CI 1.11 to 1.29) and low-density lipoprotein cholesterol (HR 1.09, 95% CI 1.02 to 1.16) were related to a greater, while high-density lipoprotein cholesterol (HR 0.92, 95% CI 0.88 to 0.97) was related to a lower risk of future cardiovascular disease events. Averaged measurements of systolic blood pressure, low-density lipoprotein cholesterol and high-density lipoprotein cholesterol displayed significant linear relationships with the risk of future cardiovascular disease events. However, there was no clear association between the annualised progression of these conventional risk factors in individuals with the risk of future clinical endpoints.</t>
  </si>
  <si>
    <t>Effects of HIV Infection on Pulmonary Artery Pressure in Children.</t>
  </si>
  <si>
    <t>Idris, Nikmah S; Uiterwaal, Cuno S P M; Burgner, David P; Grobbee, Diederick E; Kurniati, Nia; Cheung, Michael M H</t>
  </si>
  <si>
    <t>https://pubmed.ncbi.nlm.nih.gov/31611153</t>
  </si>
  <si>
    <t>Pulmonary hypertension may complicate human immunodeficiency virus (HIV) infection and result in right ventricular (RV) failure and premature death. There are limited data of the effects of childhood HIV infection or antiretroviral therapy (ART) on pulmonary artery pressure (PAP). To establish if there is an association between childhood HIV infection or its treatment and pulmonary artery pressure.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ART-exposed HIV infection is associated with higher estimated PAP. Reduced RV systolic function is seen in ART-naïve HIV infection. Lower respiratory tract infection partly explains lower systolic RV function in ART-naïve relative to ART-exposed HIV infection.</t>
  </si>
  <si>
    <t>Smartphones as mobile microbiological laboratories.</t>
  </si>
  <si>
    <t>Ong, D S Y; Poljak, M</t>
  </si>
  <si>
    <t>https://pubmed.ncbi.nlm.nih.gov/31610301</t>
  </si>
  <si>
    <t>Point-of-care (POC) tests provide an alternative to traditional laboratory-based diagnostics due to reduced turnaround times, portability and no need for highly trained laboratory staff. Smartphones can be integrated into POC platforms because of their multifunctionality, enabled by high-quality digital cameras, computer processors, touchscreen interface and wireless data transfer. It is predicted that by 2020 about 80% of the world population will use smartphones. This review summarizes the current state of the art regarding smartphones as part of a mobile microbiological laboratory. Selected peer-reviewed publications on smartphone-based microbiological testing published between January 2015 and August 2019. Smartphones can be used as instrumental interfaces, dongles, microscopes or test result readers (brightfield, colorimetric and fluorescent measurements), or combined with amplification methods such as loop-mediated isothermal amplification (LAMP) tests in portable POC test platforms. Smartphone-based tests offer opportunities for microbiological diagnostics in remote areas and both resource-limited and resource-rich settings. Wireless connectivity may facilitate epidemiological studies and creation of spatiotemporal disease prevalence maps. However, the current analytical performance of many smartphone-based POC tests must be improved and carefully validated in clinical settings by comparison with current diagnostic standards. Recent developments in smartphone-based POC tests for infectious diseases are promising, as evidenced by results from many proof-of-concept studies. Further progress will foster large-scale implementation of smartphone-based POC as mobile microbiological laboratories in the near future.</t>
  </si>
  <si>
    <t>Validation and impact of a simplified clinical decision rule for diagnosing pulmonary embolism in primary care: design of the PECAN prospective diagnostic cohort management study.</t>
  </si>
  <si>
    <t>van Maanen, Rosanne; Rutten, Frans H; Klok, Frederikus A; Huisman, Menno V; Blom, Jeanet W; Moons, Karel G M; Geersing, Geert-Jan</t>
  </si>
  <si>
    <t>https://pubmed.ncbi.nlm.nih.gov/31601598</t>
  </si>
  <si>
    <t>Combined with patient history and physical examination, a negative D-dimer can safely rule-out pulmonary embolism (PE). However, the D-dimer test is frequently false positive, leading to many (with hindsight) 'unneeded' referrals to secondary care. Recently, the novel YEARS algorithm, incorporating flexible D-dimer thresholds depending on pretest risk, was developed and validated, showing its ability to safely exclude PE in the hospital environment. Importantly, this was accompanied with 14% fewer computed tomographic pulmonary angiography than the standard, fixed D-dimer threshold. Although promising, in primary care this algorithm has not been validated yet. The PECAN (Diagnosing &lt;u&gt;P&lt;/u&gt;ulmonary &lt;u&gt;E&lt;/u&gt;mbolism in the context of &lt;u&gt;C&lt;/u&gt;ommon &lt;u&gt;A&lt;/u&gt;lternative diag&lt;u&gt;N&lt;/u&gt;oses in primary care) study is a prospective diagnostic study performed in Dutch primary care. Included patients with suspected acute PE will be managed by their general practitioner according to the YEARS diagnostic algorithm and followed up in primary care for 3 months to establish the final diagnosis. To study the impact of the use of the YEARS algorithm, the primary endpoints are the safety and efficiency of the YEARS algorithm in primary care. Safety is defined as the proportion of false-negative test results in those not referred. Efficiency denotes the proportion of patients classified in this non-referred category. Additionally, we quantify whether C reactive protein measurement has added diagnostic value to the YEARS algorithm, using multivariable logistic and polytomous regression modelling. Furthermore, we will investigate which factors contribute to the subjective YEARS item 'PE most likely diagnosis'. The study protocol was approved by the Medical Ethical Committee Utrecht, the Netherlands. Patients eligible for inclusion will be asked for their consent. Results will be disseminated by publication in peer-reviewed journals and presented at (inter)national meetings and congresses. NTR 7431.</t>
  </si>
  <si>
    <t>A scoping review on Chronic Venous Disease and the development of a Venous Leg Ulcer: The role of obesity and mobility.</t>
  </si>
  <si>
    <t>Meulendijks, A M; Franssen, W M A; Schoonhoven, L; Neumann, H A M</t>
  </si>
  <si>
    <t>https://pubmed.ncbi.nlm.nih.gov/31668667</t>
  </si>
  <si>
    <t>The risk factors obesity and reduced mobility are not well known in the development of a Venous Leg Ulcer (VLU). The aim of this scoping review is to explore the mechanisms by which obesity and reduced mobility contribute the development of a VLU in patients with Chronic Venous Disease (CVD). For this scoping review a search was performed in May 2019 in the Cochrane Library and Pubmed to identify studies on the working mechanisms of obesity and mobility in developing a VLU. Hand searches were performed to find additional studies explaining the working mechanisms (indirectly related to the VLU). Two reviewers independently reviewed the abstracts and full-text articles. Twenty-eight studies met our eligibility criteria. Disturbed range of ankle motion and gait can lead to a reduced Calf Muscle Pump (CMP) function which leading to a venous outflow disorder. Increased abdominal pressure due to obesity can lead to a venous outflow obstruction and increased adipose tissue mass results in an increase in adipokine secretion. The venous outflow disorder, outflow obstruction and increased adipokine secretion can all lead to chronic systemic inflammation, increased endothelial permeability and hence microcirculatory dysfunction. This alone can result in a VLU. Obesity and reduced mobility can lead to a reduction of the CMP function, an increase in abdominal pressure and an increase in adipose tissue mass. This can simultaneously lead to haemodynamic changes in the macro- and microcirculation of the lower extremities and eventually in a VLU. In patients with obesity and reduced mobility the microcirculation alone can lead to skin changes and eventually a VLU. Therefore, early recognition of CVD symptoms in patients with obesity and reduced mobility is crucial to diagnose and treat CVD to prevent a VLU.</t>
  </si>
  <si>
    <t>Non-dispensing pharmacists' actions and solutions of drug therapy problems among elderly polypharmacy patients in primary care.</t>
  </si>
  <si>
    <t>Hazen, Ankie C M; Zwart, Dorien L M; Poldervaart, Judith M; de Gier, Johan J; de Wit, Niek J; de Bont, Antoinette A; Bouvy, Marcel L</t>
  </si>
  <si>
    <t>https://pubmed.ncbi.nlm.nih.gov/30629165</t>
  </si>
  <si>
    <t>To evaluate the process of clinical medication review for elderly patients with polypharmacy performed by non-dispensing pharmacists embedded in general practice. The aim was to identify the number and type of drug therapy problems and to assess how and to what extent drug therapy problems were actually solved. An observational cross-sectional study, conducted in nine general practices in the Netherlands between June 2014 and June 2015. On three pre-set dates, the non-dispensing pharmacists completed an online data form about the last 10 patients who completed all stages of clinical medication review. Outcomes were the type and number of drug therapy problems, the extent to which recommendations were implemented and the percentage of drug therapy problems that were eventually solved. Interventions were divided as either preventive (aimed at following prophylactic guidelines) or corrective (aimed at active patient problems). In total, 1292 drug therapy problems were identified among 270 patients, with a median of 5 (interquartile range 3) drug therapy problems per patient, mainly related to overtreatment (24%) and undertreatment (21%). The non-dispensing pharmacists most frequently recommended to stop medication (32%). Overall, 83% of the proposed recommendations were implemented; 57% were preventive, and 35% were corrective interventions (8% could not be assessed). Almost two-third (64%) of the corrective interventions actually solved the drug therapy problem. Non-dispensing pharmacists integrated in general practice identified a large number of drug therapy problems and successfully implemented a proportionally high number of recommendations that solved the majority of drug therapy problems.</t>
  </si>
  <si>
    <t>Sequence-based epidemiology of an OXA-48 plasmid during a hospital outbreak.</t>
  </si>
  <si>
    <t>Hidalgo, Laura; de Been, Mark; Rogers, Malbert R C; Schürch, Anita C; Scharringa, Jelle; van der Zee, Anneke; Bonten, Marc J M; Fluit, Ad C</t>
  </si>
  <si>
    <t>antimicrobial agents and chemotherapy</t>
  </si>
  <si>
    <t>https://pubmed.ncbi.nlm.nih.gov/31591122</t>
  </si>
  <si>
    <t>&lt;b&gt;Objectives.&lt;/b&gt; A large OXA-48 outbreak in the Netherlands involved the spread of OXA-48producing Enterobacteriaceae among at least 118 patients, suggesting horizontal transfer of this resistance gene through one or more plasmids. Elucidating transmission dynamics of resistance plasmids is hampered by the low resolution of classic typing methods. This study aimed to investigate the molecular epidemiology of plasmids carrying OXA-48 carbapenemase using a next-generation sequencing approach.&lt;b&gt;Methods.&lt;/b&gt; A total of 68 OXA-48-producing Enterobacteriaceae isolated from the hospital outbreak, as well as 22 non-outbreak related OXA-48-producing Enterobacteriaceae from the Netherlands, Libya and Turkey were selected. Plasmids were sequenced using the Illumina Miseq platform, and read sets were assembled and analysed.&lt;b&gt;Results.&lt;/b&gt; In all plasmids &lt;i&gt;bla&lt;/i&gt; &lt;sub&gt;OXA-48&lt;/sub&gt; was embedded in transposon Tn&lt;i&gt;1999.2&lt;/i&gt; and located on a &lt;i&gt;ca.&lt;/i&gt; 62 kb IncL/M conjugative plasmid in 14 different species. There were a maximum of 2 SNPs (single nucleotide polymorphisms) between the core sequence alignment of all plasmids. Closely related sequence variants of this plasmid were detected in non-outbreak isolates from the Netherlands and other countries. Thirty-one of 89 OXA-48-producing isolates also harboured &lt;i&gt;bla&lt;/i&gt; &lt;sub&gt;CTX-M-15&lt;/sub&gt;, which was not located on the &lt;i&gt;bla&lt;/i&gt; &lt;sub&gt;OXA-48&lt;/sub&gt;-carrying plasmid. Sequencing of four plasmids harbouring &lt;i&gt;bla&lt;/i&gt; &lt;sub&gt;CTX-M&lt;/sub&gt;15 revealed extensive plasmid heterogeneity.&lt;b&gt;Conclusions.&lt;/b&gt; A &lt;i&gt;ca&lt;/i&gt; 62 kb plasmid was responsible for the OXA-48 outbreak in a Dutch hospital. Our findings provide strong evidence for both within-host inter-species and between host dissemination of plasmid-based OXA-48 during a nosocomial outbreak. These findings exemplify the complex epidemiology of carbapenemase producing Enterobacteriaceae (CPE).</t>
  </si>
  <si>
    <t>Acculturation and Food Intake Among Ghanaian Migrants in Europe: Findings From the RODAM Study.</t>
  </si>
  <si>
    <t>Osei-Kwasi, Hibbah Araba; Boateng, Daniel; Danquah, Ina; Holdsworth, Michelle; Mejean, Caroline; Terragni, Laura; Powell, Katie; Schulze, Matthias B; Owusu-Dabo, Ellis; Meeks, Karlijn; Beune, Erik; Agyemang, Charles; Klipstein-Grobusch, Kerstin; Stronks, Karien; Galbete, Cecilia; Nicolaou, Mary</t>
  </si>
  <si>
    <t>journal of nutrition education and behavior</t>
  </si>
  <si>
    <t>https://pubmed.ncbi.nlm.nih.gov/31601528</t>
  </si>
  <si>
    <t>This study examined the role of migration and acculturation in the diet of Ghanaian migrants in Europe by (1) comparing food intake of Ghanaian migrants in Europe with that of Ghanaians living in Ghana and (2) assessing the association between acculturation and food intake. Data from the cross-sectional multicenter study Research on Obesity and Diabetes among African Migrants were used. Food intake was assessed using a Ghana-specific food propensity questionnaire (134 items and 14 food groups); foods were grouped based on a model of dietary change proposed by Koctürk-Runefors. Ghana, London, Amsterdam, and Berlin. A total of 4,534 Ghanaian adults living in Ghana and Europe, with complete dietary data. Of these, 1,773 Ghanaian migrants had complete acculturation data. Food intake (the weighted intake frequency per week of food categories). Linear regression. Food intake differed between Ghanaians living in Ghana and Europe. Among Ghanaian migrants in Europe, there were inconsistent and small associations between acculturation and food intake, except for ethnic identity, which was consistently associated with intake only of traditional staples. Findings indicate that migration is associated with dietary changes that cannot be fully explained by ethnic, cultural, and social acculturation. The study provides limited support to the differential changes in diet suggested by the Koctürk-Runefors' model of dietary change.</t>
  </si>
  <si>
    <t>Normal Values of QT Variability in 10-s Electrocardiograms for all Ages.</t>
  </si>
  <si>
    <t>van den Berg, Marten E; Kors, Jan A; van Herpen, Gerard; Bots, Michiel L; Hillege, Hans; Swenne, Cees A; Stricker, Bruno H; Rijnbeek, Peter R</t>
  </si>
  <si>
    <t>https://pubmed.ncbi.nlm.nih.gov/31636572</t>
  </si>
  <si>
    <t>&lt;b&gt;Aims:&lt;/b&gt; QT variability is a promising electrocardiographic marker. It has been studied as a screening tool for coronary artery disease and left ventricular hypertrophy, and increased QT variability is a known risk factor for sudden cardiac death. Considering that comprehensive normal values for QT variability were lacking, we set out to establish these in standard 10-s electrocardiograms (ECGs) covering both sexes and all ages. &lt;b&gt;Methods:&lt;/b&gt; Ten-second, 12-lead ECGs were provided by five Dutch population studies (Pediatric Normal ECG Study, Leiden University Einthoven Science Project, Prevention of Renal and Vascular End-stage Disease Study, Utrecht Health Project, Rotterdam Study). ECGs were recorded digitally and processed by well-validated analysis software. We selected cardiologically healthy participants, 46% being women. Ages ranged from 11 days to 91 years. After quality control, 13,828 ECGs were available. We assessed three markers: standard deviation of QT intervals (SDqt), short-term QT variability (STVqt), and QT variability index (QTVI). &lt;b&gt;Results:&lt;/b&gt; For SDqt and STVqt, the median and the lower limit of normal remained stable with age. The upper limit of normal declined until around age 45, and increased strongly in the elderly, notably so in women. This implies that a subset of the population, small enough not to have appreciable effect on the median, shows a high degree of QT variability with a possible risk of arrhythmias or worse, especially in women. Otherwise, sex differences were negligible in all three measurements. For QTVI, median, and normal limits decreased until age 20, and steadily went up afterwards except for the lower limit of normal, which flattens off after age 65. &lt;b&gt;Conclusion:&lt;/b&gt; We report the first set of normal values for QT variability based on 10-s ECGs, for all ages and both sexes.</t>
  </si>
  <si>
    <t>Where is the 'global' in the European Union's Health Research and Innovation Agenda?</t>
  </si>
  <si>
    <t>Berner-Rodoreda, Astrid; Rehfuess, Eva Annette; Klipstein-Grobusch, Kerstin; Cobelens, Frank; Raviglione, Mario; Flahaut, Antoine; Casamitjana, Núria; Fröschl, Günter; Skordis-Worral, Jolene; Abubakar, Ibrahim; Ashrafian, Hutan; Agardh, Anette; Visser, Leo; Schultsz, Constance; Plasència, Antoni; Jahn, Albrecht; Norton, Robyn; van Leeuwen, Remko; Hagander, Lars; Bärnighausen, Till</t>
  </si>
  <si>
    <t>https://pubmed.ncbi.nlm.nih.gov/31646008</t>
  </si>
  <si>
    <t>Global Health has not featured as prominently in the European Union (EU) research agenda in recent years as it did in the first decade of the new millennium, and participation of low-income and middle-income countries (LMICs) in EU health research has declined substantially. The Horizon Europe Research and Innovation Framework adopted by the European Parliament in April 2019 for the period 2021-2027 will serve as an important funding instrument for health research, yet the proposed health research budget to be finalised towards the end of 2019 was reduced from 10% in the current framework, Horizon 2020, to 8% in Horizon Europe. Our analysis takes the evolvement of Horizon Europe from the initial framework of June 2018 to the framework agreed on in April 2019 into account. It shows that despite some improvements in terms of Global Health and reference to the Sustainable Development Goals, European industrial competitiveness continues to play a paramount role, with Global Health research needs and relevant health research for LMICs being only partially addressed. We argue that the globally interconnected nature of health and the transdisciplinary nature of health research need to be fully taken into account and acted on in the new European Research and Innovation Framework. A facilitated global research collaboration through Horizon Europe could ensure that Global Health innovations and solutions benefit all parts of the world including EU countries.</t>
  </si>
  <si>
    <t>Prevalence, risk factors and genetic characterisation of extended-spectrum beta-lactamase and carbapenemase-producing Enterobacteriaceae (ESBL-E and CPE): a community-based cross-sectional study, the Netherlands, 2014 to 2016.</t>
  </si>
  <si>
    <t>van den Bunt, Gerrita; van Pelt, Wilfrid; Hidalgo, Laura; Scharringa, Jelle; de Greeff, Sabine C; Schürch, Anita C; Mughini-Gras, Lapo; Bonten, Marc J M; Fluit, Ad C</t>
  </si>
  <si>
    <t>https://pubmed.ncbi.nlm.nih.gov/31615600</t>
  </si>
  <si>
    <t>BackgroundThe epidemiology of carriage of extended-spectrum beta-lactamase-producing (ESBL-E) and carbapenemase-producing Enterobacteriaceae (CPE) in the general population is unknown.AimIn this observational study, the prevalence and risk factors for intestinal ESBL-E and CPE carriage in the Dutch general population were determined. ESBL-E were characterised.MethodsFrom 2014 to 2016, ca 2,000 residents were invited monthly to complete a questionnaire and provide a faecal sample, which was tested for ESBL-E. The first 1,758 samples were also tested for CPE. Risk factors for ESBL-E carriage were identified by multivariable logistic regression analysis. ESBL-E isolates underwent whole genome sequencing.ResultsOf 47,957 individuals invited, 4,177 (8.7%) completed the questionnaire and provided a faecal sample. ESBL-E were detected in 186 (4.5%) individuals, resulting in an adjusted prevalence of 5.0% (95% confidence interval (CI):3.4-6.6%). Risk factors were: born outside the Netherlands (odds ratio (OR): 1.99; 95% CI: 1.16-4.54), eating in restaurants &gt; 20 times/year (OR: 1.70; 95% CI: 1.04-2.76), antibiotic use &lt; 6 months ago (OR: 2.05; 95% CI: 1.05-4.03), swimming in sea/ocean &lt; 12 months ago (OR: 1.63; 95% CI: 1.11-2.39), travelling to Africa (OR: 3.03; 95% CI: 1.23-7.46) or Asia (OR: 2.00; 95% CI: 1.02-3.90) &lt; 12 months ago, and not changing kitchen towels daily (OR: 2.19; 95% CI: 1.24-3.87). The last had the largest population attributable risk (PAR) (47.5%). Eighty-four of 189 (44.4%) ESBL-E isolates carried &lt;i&gt;bla&lt;/i&gt; &lt;sub&gt;CTX-M-15&lt;/sub&gt;. &lt;i&gt;Escherichia coli&lt;/i&gt; isolates belonged to 70 different sequence types (ST)s, of which ST131 (42/178 isolates; 23.6%) was most prevalent. Associations were observed between IncFIA plasmids and ST131 and &lt;i&gt;bla&lt;/i&gt; &lt;sub&gt;CTX-M-27&lt;/sub&gt;, and between IncI1 and ST88 and &lt;i&gt;bla&lt;/i&gt; &lt;sub&gt;CTX-M-1&lt;/sub&gt;. No CPE were detected.ConclusionsThe prevalence of ESBL-E carriage in the Netherlands' community-dwelling population is 5.0%. Identified risk factors were mostly travelling (particularly to Asia and Africa) and kitchen hygiene. CPE were not detected.</t>
  </si>
  <si>
    <t>Understanding the Broker Role of Clinician-Scientists: A Realist Review on How They Link Research and Practice.</t>
  </si>
  <si>
    <t>Barry, Margot; de Groot, Esther; Baggen, Yvette; Smalbrugge, Martin; Moolenaar, Nienke; Bartelink, Marie-Louise E L; Damoiseaux, Roger A M J; Scherpbier, Nynke; Kluijtmans, Manon</t>
  </si>
  <si>
    <t>https://pubmed.ncbi.nlm.nih.gov/31169539</t>
  </si>
  <si>
    <t>Clinician-scientists are said to be well placed to connect research and practice, but their broker role has been underexplored. This review sought to gain an understanding of the broker role of clinician-scientists. The authors conducted a realist review to describe context-mechanism-outcome (CMO) configurations associated with the broker role of clinician-scientists. CINAHL, PubMed, PsycINFO, Web of Science, and Embase were searched between May and August 2017. Data were analyzed qualitatively; data synthesis focused on assembling CMO configurations. Of an initial 2,241 articles, 9 were included in the final review. Included papers show that clinician-scientists, in their broker role, achieve 2 organizational-level outcomes: an increased volume of clinically relevant, research, and increased evidence application to improve care. They also achieve the individual-level outcome of professional development as a researcher, clinician, and broker. Multidimensional skills and management support are necessary context factors. Mechanisms that contribute to outcomes include balancing economic and scientific interests and performing boundary-crossing activities. Four CMO configurations by which clinician-scientists achieve outcomes in brokering a connection between research and practice were identified. Useful program theories for explaining these are boundary crossing, social network, communities of practice, and diffusion of innovation theory. The mechanisms found may provide insight for interventions aiming to support clinician-scientists in their broker role. The authors expect that if more attention is paid to learning multidimensional skills and management support for the broker role is strengthened, stronger links between research and practice could be forged.</t>
  </si>
  <si>
    <t>Exposure and response analysis of aleglitazar on cardiovascular risk markers and safety outcomes: An analysis of the AleCardio trial.</t>
  </si>
  <si>
    <t>Koomen, Jeroen V; Heerspink, Hiddo J L; Schrieks, Ilse C; Schwartz, Gregory G; Lincoff, A Michael; Nicholls, Stephen J; Svensson, Anders; Wedel, Hans; Weichert, Arlette; Grobbee, Diederick E; Stevens, Jasper</t>
  </si>
  <si>
    <t>https://pubmed.ncbi.nlm.nih.gov/31468659</t>
  </si>
  <si>
    <t>The AleCardio trial aimed to characterize the efficacy and safety of peroxisome proliferator-activated receptor-αγ agonist aleglitazar in patients with type 2 diabetes mellitus and acute coronary syndrome. The trial terminated early because of futility and safety signals. We evaluated whether the safety signals could be attributed to increased exposure to aleglitazar. The AleCardio trial enrolled 7226 patients to receive aleglitazar 150 μg or matching placebo on top of standard care. A population pharmacokinetic analysis was conducted in a pharmacokinetic substudy to identify covariates that explained interindividual variability in exposure. Subsequently, the effect of these covariates on surrogate and clinical outcomes was assessed in the full patient population. Concomitant administration of clopidogrel was identified as a covariate that influenced the apparent clearance of aleglitazar. Patients using clopidogrel had a mean predicted area under the plasma-concentration-time curve (AUC&lt;sub&gt;0-24&lt;/sub&gt; ) of 174.7 ng h/mL (SD: ±112.9 ng h/mL) versus 142.2 ng h/mL (SD: ±92.6 ng h/mL) in patients without clopidogrel. The effect of aleglitazar compared with placebo on HbA1c, haemoglobin, serum creatinine and adiponectin was modified by concomitant clopidogrel use (P for interaction 0.007, 0.002, &lt;0.001 and &lt; 0.001, respectively). Concomitant use of clopidogrel was identified as a covariate that explained interindividual variability in exposure to aleglitazar. Patients using clopidogrel showed an additional lowering of HbA1c, at the expense of an additional decrease in haemoglobin, and an increase in serum creatinine and adiponectin. Clopidogrel is a moderate inhibitor of CYP2C8. Because aleglitazar is metabolized by CYP2C8, a pharmacokinetic interaction could explain differences in exposure and response to aleglitazar.</t>
  </si>
  <si>
    <t>The effect of menaquinone-7 supplementation on vascular calcification in patients with diabetes: a randomized, double-blind, placebo-controlled trial.</t>
  </si>
  <si>
    <t>Zwakenberg, S R; de Jong, P A; Bartstra, J W; van Asperen, R; Westerink, J; de Valk, H; Slart, R H J A; Luurtsema, G; Wolterink, J M; de Borst, G J; van Herwaarden, J A; van de Ree, M A; Schurgers, L J; van der Schouw, Y T; Beulens, J W J</t>
  </si>
  <si>
    <t>https://pubmed.ncbi.nlm.nih.gov/31387121</t>
  </si>
  <si>
    <t>Vitamin K occurs in the diet as phylloquinone and menaquinones. Observational studies have shown that both phylloquinone and menaquinone intake might reduce cardiovascular disease (CVD) risk. However, the effect of vitamin K on vascular calcification is unknown. The aim of this study was to assess if menaquinone supplementation, compared to placebo, decreases vascular calcification in people with type 2 diabetes and known CVD. In this double-blind, randomized, placebo-controlled trial, we randomly assigned men and women with type 2 diabetes and CVD to 360 µg/d menaquinone-7 (MK-7) or placebo for 6 mo. Femoral arterial calcification at baseline and 6 mo was measured with 18sodium fluoride positron emission tomography (18F-NaF PET) scans as target-to-background ratios (TBRs), a promising technique to detect active calcification. Calcification mass on conventional computed tomography (CT) scan was measured as secondary outcome. Dephosphorylated-uncarboxylated matrix Gla protein (dp-ucMGP) concentrations were measured to assess compliance. Linear regression analyses were performed with either TBR or CT calcification at follow-up as the dependent variable, and treatment and baseline TBR or CT calcification as independent variables. We randomly assigned 35 patients to the MK-7 group (33 completed follow-up) and 33 to the placebo group (27 completed follow-up). After the 6-mo intervention, TBR tended to increase in the MK-7 group compared with placebo (0.25; 95% CI: -0.02, 0.51; P = 0.06), although this was not significant. Log-transformed CT calcification mass did not increase in the intervention group compared with placebo (0.50; 95% CI: -0.23, 1.36; P = 0.18). MK-7 supplementation significantly reduced dp-ucMGP compared with placebo (-205.6 pmol/L; 95% CI: -255.8, -155.3 pmol/L). No adverse events were reported. MK-7 supplementation tended to increase active calcification measured with 18F-NaF PET activity compared with placebo, but no effect was found on conventional CT. Additional research investigating the interpretation of 18F-NaF PET activity is necessary. This trial was registered at clinicaltrials.gov as NCT02839044.</t>
  </si>
  <si>
    <t>The prevalence of metabolic syndrome among Ghanaian migrants and their homeland counterparts: the Research on Obesity and type 2 Diabetes among African Migrants (RODAM) study.</t>
  </si>
  <si>
    <t>van der Linden, Eva L; Meeks, Karlijn; Beune, Erik; de-Graft Aikins, Ama; Addo, Juliet; Owusu-Dabo, Ellis; Mockenhaupt, Frank P; Bahendeka, Silver; Danquah, Ina; Schulze, Matthias B; Spranger, Joachim; Klipstein-Grobusch, Kerstin; Tetteh Appiah, Lambert; Smeeth, Liam; Stronks, Karien; Agyemang, Charles</t>
  </si>
  <si>
    <t>https://pubmed.ncbi.nlm.nih.gov/31220248</t>
  </si>
  <si>
    <t>Metabolic syndrome (MetSyn) is an important risk factor for cardiovascular diseases and type 2 diabetes. It is unknown whether the MetSyn prevalence differs within a homogenous population residing in different settings in Africa and Europe. We therefore assessed the prevalence of MetSyn among Ghanaians living in rural- and urban-Ghana and Ghanaian migrants living in Europe. We used data from the cross-sectional multi-centre RODAM study that was conducted among Ghanaian adults aged 25-70 years residing in rural- and urban-Ghana and in London, Amsterdam and Berlin (n = 5659). MetSyn was defined according to the 2009 harmonized definition. Geographical locations were compared using age-standardized prevalence rates, and prevalence ratios (PRs), adjusted for age, education, physical activity, and smoking and stratified for sex. In men, the age-standardized prevalence of MetSyn was 8.3% in rural Ghana and showed a positive gradient through urban Ghana (23.6%, adjusted PR = 1.85, 95% confidence interval 1.17-2.92) to Europe, with the highest prevalence in Amsterdam (31.4%; PR = 4.45, 2.94-6.75). In women, there was a rural-to-urban gradient in age-standardized MetSyn prevalence (rural Ghana 25%, urban Ghana 34.4%, PR = 1.38, 1.13-1.68), but small differences in MetSyn prevalence between urban-Ghanaian and European-Ghanaian women (Amsterdam 38.4%; London 38.2%). MetSyn is highly prevalent in Ghana as well as in Ghanaian migrants in Europe. To assist prevention efforts, further research is needed to understand the mechanisms driving the geographical differences in MetSyn prevalence between migrant and non-migrant Ghanaians.</t>
  </si>
  <si>
    <t>External Validation of the ELAPSS Score for Prediction of Unruptured Intracranial Aneurysm Growth Risk.</t>
  </si>
  <si>
    <t>Sánchez van Kammen, Mayte; Greving, Jacoba P; Kuroda, Satoshi; Kashiwazaki, Daina; Morita, Akio; Shiokawa, Yoshiaki; Kimura, Toshikazu; Cognard, Christophe; Januel, Anne C; Lindgren, Antti; Koivisto, Timo; Jääskeläinen, Juha E; Ronkainen, Antti; Pyysalo, Liisa; Öhman, Juha; Rahi, Melissa; Kuhmonen, Johanna; Rinne, Jaakko; Leemans, Eva L; Majoie, Charles B; Vandertop, W Peter; Verbaan, Dagmar; Roos, Yvo B W E M; Berg, René van den; Boogaarts, Hieronymus D; Moudrous, Walid; Wijngaard, Ido R van den; Hove, Laura Ten; Teo, Mario; George, Edward J St; Hackenberg, Katharina A M; Abdulazim, Amr; Etminan, Nima; Rinkel, Gabriël J E; Vergouwen, Mervyn D I</t>
  </si>
  <si>
    <t>journal of stroke</t>
  </si>
  <si>
    <t>https://pubmed.ncbi.nlm.nih.gov/31590478</t>
  </si>
  <si>
    <t>Prediction of intracranial aneurysm growth risk can assist physicians in planning of follow-up imaging of conservatively managed unruptured intracranial aneurysms. We therefore aimed to externally validate the ELAPSS (Earlier subarachnoid hemorrhage, aneurysm Location, Age, Population, aneurysm Size and Shape) score for prediction of the risk of unruptured intracranial aneurysm growth. From 11 international cohorts of patients ≥18 years with ≥1 unruptured intracranial aneurysm and ≥6 months of radiological follow-up, we collected data on the predictors of the ELAPSS score, and calculated 3- and 5-year absolute growth risks according to the score. Model performance was assessed in terms of calibration (predicted versus observed risk) and discrimination (c-statistic). We included 1,072 patients with a total of 1,452 aneurysms. During 4,268 aneurysm-years of follow-up, 199 (14%) aneurysms enlarged. Calibration was comparable to that of the development cohort with the overall observed risks within the range of the expected risks. The c-statistic was 0.69 (95% confidence interval [CI], 0.64 to 0.73) at 3 years, compared to 0.72 (95% CI, 0.68 to 0.76) in the development cohort. At 5 years, the c-statistic was 0.68 (95% CI, 0.64 to 0.72), compared to 0.72 (95% CI, 0.68 to 0.75) in the development cohort. s The ELAPSS score showed accurate calibration for 3- and 5-year risks of aneurysm growth and modest discrimination in our external validation cohort. This indicates that the score is externally valid and could assist patients and physicians in predicting growth of unruptured intracranial aneurysms and plan follow-up imaging accordingly.</t>
  </si>
  <si>
    <t>Moderate and heavy alcohol consumption are prospectively associated with decreased left ventricular ejection fraction: The Hoorn Study.</t>
  </si>
  <si>
    <t>van Oort, Sabine; Beulens, Joline W; van der Heijden, Amber A W A; Elders, Petra J M; Stehouwer, Coen D A; van de Luitgaarden, Inge A T; Schrieks, Ilse C; Grobbee, Diederick E; van Ballegooijen, Adriana J</t>
  </si>
  <si>
    <t>https://pubmed.ncbi.nlm.nih.gov/31672450</t>
  </si>
  <si>
    <t>Data on the prospective relationship of alcohol consumption at more moderate levels with systolic and diastolic function are scarce. We aimed to examine the prospective association of alcohol consumption with echocardiographic measures of cardiac structure and function, in individuals with and without type 2 diabetes (T2DM). We included 778 participants from the Hoorn Study (aged 68.4 ± 7.2 years, 49% women), a population-based prospective cohort study, oversampled for people with impaired glucose metabolism or T2DM. Self-reported alcohol consumption was collected at baseline with a validated food-frequency questionnaire and categorized into: none (0/week), light (&gt;0-≤30 g/week), light-to-moderate (&gt;30-≤70 g/week), moderate (&gt;70-≤140 g/week), and heavy drinkers (&gt;140 g/week). Echocardiography was performed at baseline (N = 778) and after 8 years follow-up (N = 404). Multiple linear regression was used to study the association between alcohol consumption and echocardiographic measures (left ventricular ejection fraction (LVEF), left atrial volume index (LAVI) and left ventricular mass index (LVMI)), adjusted for confounders. Moderate and heavy alcohol consumption were associated with a decreased LVEF of -3.91% (CI: -7.13;-0.69) for moderate and -4.77% (-8.18;-1.36) for heavy drinkers compared to light drinkers. No associations were found between alcohol consumption, LVMI and LAVI. Modified Poisson regression showed a trend that higher alcohol consumption amounts were associated with a higher risk of incident systolic dysfunction (LVEF≤50%) (P-for-trend 0.058). The findings provide longitudinal evidence that moderate and heavy alcohol consumption are associated with decreased LVEF and trend towards a higher risk of incident LV systolic dysfunction, compared to light drinkers.</t>
  </si>
  <si>
    <t>Healthy lifestyle and the risk of pancreatic cancer in the EPIC study.</t>
  </si>
  <si>
    <t>Naudin, Sabine; Viallon, Vivian; Hashim, Dana; Freisling, Heinz; Jenab, Mazda; Weiderpass, Elisabete; Perrier, Flavie; McKenzie, Fiona; Bueno-de-Mesquita, H Bas; Olsen, Anja; Tjønneland, Anne; Dahm, Christina C; Overvad, Kim; Mancini, Francesca R; Rebours, Vinciane; Boutron-Ruault, Marie-Christine; Katzke, Verena; Kaaks, Rudolf; Bergmann, Manuela; Boeing, Heiner; Peppa, Eleni; Karakatsani, Anna; Trichopoulou, Antonia; Pala, Valeria; Masala, Giovana; Panico, Salvatore; Tumino, Rosario; Sacerdote, Carlotta; May, Anne M; van Gils, Carla H; Rylander, Charlotta; Borch, Kristin Benjaminsen; Chirlaque López, María Dolores; Sánchez, Maria-Jose; Ardanaz, Eva; Quirós, José Ramón; Amiano Exezarreta, Pilar; Sund, Malin; Drake, Isabel; Regnér, Sara; Travis, Ruth C; Wareham, Nick; Aune, Dagfinn; Riboli, Elio; Gunter, Marc J; Duell, Eric J; Brennan, Paul; Ferrari, Pietro</t>
  </si>
  <si>
    <t>https://pubmed.ncbi.nlm.nih.gov/31564045</t>
  </si>
  <si>
    <t>Pancreatic cancer (PC) is a highly fatal cancer with currently limited opportunities for early detection and effective treatment. Modifiable factors may offer pathways for primary prevention. In this study, the association between the Healthy Lifestyle Index (HLI) and PC risk was examined. Within the European Prospective Investigation into Cancer and Nutrition cohort, 1113 incident PC (57% women) were diagnosed from 400,577 participants followed-up for 15 years (median). HLI scores combined smoking, alcohol intake, dietary exposure, physical activity and, in turn, overall and central adiposity using BMI (HLI&lt;sub&gt;BMI&lt;/sub&gt;) and waist-to-hip ratio (WHR, HLI&lt;sub&gt;WHR&lt;/sub&gt;), respectively. High values of HLI indicate adherence to healthy behaviors. Cox proportional hazard models with age as primary time variable were used to estimate PC hazard ratios (HR) and 95% confidence intervals (CI). Sensitivity analyses were performed by excluding, in turn, each factor from the HLI score. Population attributable fractions (PAF) were estimated assuming participants' shift to healthier lifestyles. The HRs for a one-standard deviation increment of HLI&lt;sub&gt;BMI&lt;/sub&gt; and HLI&lt;sub&gt;WHR&lt;/sub&gt; were 0.84 (95% CI: 0.79, 0.89; p&lt;sub&gt;trend&lt;/sub&gt; = 4.3e-09) and 0.77 (0.72, 0.82; p&lt;sub&gt;trend&lt;/sub&gt; = 1.7e-15), respectively. Exclusions of smoking from HLI&lt;sub&gt;WHR&lt;/sub&gt; resulted in HRs of 0.88 (0.82, 0.94; p&lt;sub&gt;trend&lt;/sub&gt; = 4.9e-04). The overall PAF estimate was 19% (95% CI: 11%, 26%), and 14% (6%, 21%) when smoking was removed from the score. Adherence to a healthy lifestyle was inversely associated with PC risk, beyond the beneficial role of smoking avoidance. Public health measures targeting compliance with healthy lifestyles may have an impact on PC incidence.</t>
  </si>
  <si>
    <t>Confounding by indication of the safety of de-escalation in community-acquired pneumonia: A simulation study embedded in a prospective cohort.</t>
  </si>
  <si>
    <t>van Heijl, Inger; Schweitzer, Valentijn A; Boel, C H Edwin; Oosterheert, Jan Jelrik; Huijts, Susanne M; Dorigo-Zetsma, Wendelien; van der Linden, Paul D; Bonten, Marc J M; van Werkhoven, Cornelis H</t>
  </si>
  <si>
    <t>https://pubmed.ncbi.nlm.nih.gov/31560686</t>
  </si>
  <si>
    <t>Observational studies have demonstrated that de-escalation of antimicrobial therapy is independently associated with lower mortality. This most probably results from confounding by indication. Reaching clinical stability is associated with the decision to de-escalate and with survival. However, studies rarely adjust for this confounder. We quantified the potential confounding effect of clinical stability on the estimated impact of de-escalation on mortality in patients with community-acquired pneumonia. Data were used from the Community-Acquired Pneumonia immunization Trial in Adults (CAPiTA). The primary outcome was 30-day mortality. We performed Cox proportional-hazards regression with de-escalation as time-dependent variable and adjusted for baseline characteristics using propensity scores. The potential impact of unmeasured confounding was quantified through simulating a variable representing clinical stability on day three, using data on prevalence and associations with mortality from the literature. Of 1,536 included patients, 257 (16.7%) were de-escalated, 123 (8.0%) were escalated and in 1156 (75.3%) the antibiotic spectrum remained unchanged. Crude 30-day mortality was 3.5% (9/257) and 10.9% (107/986) in the de-escalation and continuation groups, respectively. The adjusted hazard ratio of de-escalation for 30-day mortality (compared to patients with unchanged coverage), without adjustment for clinical stability, was 0.39 (95%CI: 0.19-0.79). If 90% to 100% of de-escalated patients were clinically stable on day three, the fully adjusted hazard ratio would be 0.56 (95%CI: 0.27-1.12) to 1.04 (95%CI: 0.49-2.23), respectively. The simulated confounder was substantially stronger than any of the baseline confounders in our dataset. Quantification of effects of de-escalation on patient outcomes without proper adjustment for clinical stability results in strong negative bias. This study suggests the effect of de-escalation on mortality needs further well-designed prospective research to determine effect size more accurately.</t>
  </si>
  <si>
    <t>Early-life exposures and cardiovascular disease risk among Ghanaian migrant and home populations: the RODAM study.</t>
  </si>
  <si>
    <t>Boateng, Daniel; Danquah, Ina; Said-Mohamed, Rihlat; Smeeth, Liam; Nicolaou, Mary; Meeks, Karlijn; Beune, Erik; Addo, Juliet; Bahendeka, Silver; Agyei-Baffour, Peter; Mockenhaupt, Frank P; Spranger, Joachim; Schulze, Matthias B; Grobbee, Diederick E; Agyemang, Charles; Klipstein-Grobusch, Kerstin</t>
  </si>
  <si>
    <t>journal of developmental origins of health and disease</t>
  </si>
  <si>
    <t>https://pubmed.ncbi.nlm.nih.gov/31556361</t>
  </si>
  <si>
    <t>Early-life environmental and nutritional exposures are considered to contribute to the differences in cardiovascular disease (CVD) burden. Among sub-Saharan African populations, the association between markers of early-life exposures such as leg length and sitting height and CVD risk is yet to be investigated. This study assessed the association between leg length, sitting height, and estimated 10-year atherosclerotic cardiovascular disease (ASCVD) risk among Ghanaian-born populations in Europe and Ghana. We constructed sex-specific quintiles for sitting height and leg length for 3250 participants aged 40-70 years (mean age 52 years; men 39.6%; women 60.4%) in the cross-sectional multicenter Research on Diabetes and Obesity among African Migrants study. Ten-year risk of ASCVD was estimated using the Pooled Cohort Equations; risk ≥7.5% was defined as "elevated" CVD risk. Prevalence ratios (PR) were estimated to determine the associations between sitting height, leg length, and estimated 10-year ASCVD risk. For both men and women, mean sitting height and leg length were highest in Europe and lowest in rural Ghana. Sitting height was inversely associated with 10-year ASCVD risk among all women (PR for 1 standard deviation increase of sitting height: 0.75; 95% confidence interval: 0.67, 0.85). Among men, an inverse association between sitting height and 10-year ASCVD risk was significant on adjustment for study site, adult, and parental education but attenuated when further adjusted for height. No association was found between leg length and estimated 10-year ASCVD risk. Early-life and childhood exposures that influence sitting height could be the important determinants of ASCVD risk in this adult population.</t>
  </si>
  <si>
    <t>Immunogenicity and Safety of an Early Measles Vaccination Schedule at 6 and 12 Months of Age in Human Immunodeficiency Virus (HIV)-Unexposed and HIV-Exposed, Uninfected South African Children.</t>
  </si>
  <si>
    <t>Mutsaerts, Eleonora A M L; Nunes, Marta C; Bhikha, Sutika; Ikulinda, Benit T; Boyce, Welekazi; Jose, Lisa; Koen, Anthonet; Moultrie, Andrew; Cutland, Clare L; Grobbee, Diederick E; Klipstein-Grobusch, Kerstin; Madhi, Shabir A</t>
  </si>
  <si>
    <t>https://pubmed.ncbi.nlm.nih.gov/31282539</t>
  </si>
  <si>
    <t>Measles morbidity and mortality rates are greatest in children &lt;12 months old, with increased susceptibility in human immunodeficiency virus (HIV)-exposed children. We evaluated the immunogenicity and safety of an early 2-dose measles vaccine regimen administered at 6 and 12 months of age in South Africa. HIV-unexposed (HU) (n = 212) and HIV-exposed, uninfected (HEU) (n = 71) children received measles vaccination (CAM-70) at 6 and 12 months of age. Measles immunoglobulin G titers were measured by means of enzyme-linked immunosorbent assay before and 1 month after each vaccine dose. The majority of children (88.2% HU and 95.8% HEU; P = .04) were seronegative (&lt;150 mIU/mL) to measles at 4.2 months of age. This was particularly evident among infants of mothers born from 1992 onwards (year of public nationwide measles vaccine availability). One month after the first measles vaccine, 42.3% of HU and 46.4% of HEU children were seropositive (≥330 mIU/mL). After the second dose, the proportion seropositive increased to 99.0% in HU and 95.3% in HEU children. Safety profiles were similar between HU and HEU children. Early 2-dose measles vaccination at 6 and 12 months of age was safe and induced antibody responses in HU and HEU children, which could partly offset the early loss of maternally derived antibodies in infants born to predominantly measles-vaccinated mothers. NCT03330171.</t>
  </si>
  <si>
    <t>Unexpected low frequency of respiratory symptoms in an HIV-positive urban sub-Saharan population compared to an HIV-negative control group.</t>
  </si>
  <si>
    <t>Kummerow, Maren; Shaddock, Erica J; Klipstein-Grobusch, Kerstin; Barth, Roos B; Grobbee, Diederick E; Venter, Francois D F; Feldman, Charles; Vos, Alinda</t>
  </si>
  <si>
    <t>https://pubmed.ncbi.nlm.nih.gov/31616576</t>
  </si>
  <si>
    <t>Chronic respiratory illnesses and respiratory infections are common in HIV-positive populations. It seems reasonable that HIV-positive people experience more respiratory symptoms, such as coughing and breathlessness, than those who are HIV-negative. This study aims to determine the frequency of respiratory symptoms in an urban African HIV-positive population. A cross-sectional study was conducted in Johannesburg, South Africa, in 2016-2017. Four groups of participants were included: HIV-positive participants (1) not yet on antiretroviral therapy (ART), (2) on first-line ART, (3) on second-line ART and (4) age- and sex-matched HIV-negative controls. Data were collected on socio-demographics, respiratory risk factors and respiratory symptoms. A logistic regression analysis was performed to determine if respiratory symptoms differed between groups and to identify determinants associated with symptoms. Overall, 547 participants were included, of whom 62% were women, with a median age of 37 years. Of these patients, 63% (347) were HIV-positive, 26% were ART-naïve, 24% were on first-line ART and 50% were on second-line ART. Cough and/or productive cough was reported by 27 (5%), wheezing by 9 (2%) and breathlessness by 118 (22%) of the participants. The frequency of these symptoms did not differ by HIV status after adjustment for age and sex. Breathlessness was associated with age, female sex, obesity, a history of respiratory infection and a history of airway hyper-reactivity. The frequency of respiratory symptoms was low in our study population except for breathlessness. HIV-positive participants, whether or not on ART, did not experience more symptoms than HIV-negative participants.</t>
  </si>
  <si>
    <t>Estimated stroke risk, yield, and number needed to screen for atrial fibrillation detected through single time screening: a multicountry patient-level meta-analysis of 141,220 screened individuals.</t>
  </si>
  <si>
    <t>Lowres, Nicole; Olivier, Jake; Chao, Tze-Fan; Chen, Shih-Ann; Chen, Yi; Diederichsen, Axel; Fitzmaurice, David A; Gomez-Doblas, Juan Jose; Harbison, Joseph; Healey, Jeff S; Hobbs, F D Richard; Kaasenbrood, Femke; Keen, William; Lee, Vivian W; Lindholt, Jes S; Lip, Gregory Y H; Mairesse, Georges H; Mant, Jonathan; Martin, Julie W; Martín-Rioboó, Enrique; McManus, David D; Muñiz, Javier; Münzel, Thomas; Nakamya, Juliet; Neubeck, Lis; Orchard, Jessica J; Pérula de Torres, Luis Ángel; Proietti, Marco; Quinn, F Russell; Roalfe, Andrea K; Sandhu, Roopinder K; Schnabel, Renate B; Smyth, Breda; Soni, Apurv; Tieleman, Robert; Wang, Jiguang; Wild, Philipp S; Yan, Bryan P; Freedman, Ben</t>
  </si>
  <si>
    <t>https://pubmed.ncbi.nlm.nih.gov/31553733</t>
  </si>
  <si>
    <t>The precise age distribution and calculated stroke risk of screen-detected atrial fibrillation (AF) is not known. Therefore, it is not possible to determine the number needed to screen (NNS) to identify one treatable new AF case (NNS-Rx) (i.e., Class-1 oral anticoagulation [OAC] treatment recommendation) in each age stratum. If the NNS-Rx is known for each age stratum, precise cost-effectiveness and sensitivity simulations can be performed based on the age distribution of the population/region to be screened. Such calculations are required by national authorities and organisations responsible for health system budgets to determine the best age cutoffs for screening programs and decide whether programs of screening should be funded. Therefore, we aimed to determine the exact yield and calculated stroke-risk profile of screen-detected AF and NNS-Rx in 5-year age strata. A systematic review of Medline, Pubmed, and Embase was performed (January 2007 to February 2018), and AF-SCREEN international collaboration members were contacted to identify additional studies. Twenty-four eligible studies were identified that performed a single time point screen for AF in a general ambulant population, including people ≥65 years. Authors from eligible studies were invited to collaborate and share patient-level data. Statistical analysis was performed using random effects logistic regression for AF detection rate, and Poisson regression modelling for CHA2DS2-VASc scores. Nineteen studies (14 countries from a mix of low- to middle- and high-income countries) collaborated, with 141,220 participants screened and 1,539 new AF cases. Pooled yield of screening was greater in males across all age strata. The age/sex-adjusted detection rate for screen-detected AF in ≥65-year-olds was 1.44% (95% CI, 1.13%-1.82%) and 0.41% (95% CI, 0.31%-0.53%) for &lt;65-year-olds. New AF detection rate increased progressively with age from 0.34% (&lt;60 years) to 2.73% (≥85 years). Neither the choice of screening methodology or device, the geographical region, nor the screening setting influenced the detection rate of AF. Mean CHA2DS2-VASc scores (n = 1,369) increased with age from 1.1 (&lt;60 years) to 3.9 (≥85 years); 72% of ≥65 years had ≥1 additional stroke risk factor other than age/sex. All new AF ≥75 years and 66% between 65 and 74 years had a Class-1 OAC recommendation. The NNS-Rx is 83 for ≥65 years, 926 for 60-64 years; and 1,089 for &lt;60 years. The main limitation of this study is there are insufficient data on sociodemographic variables of the populations and possible ascertainment biases to explain the variance in the samples. People with screen-detected AF are at elevated calculated stroke risk: above age 65, the majority have a Class-1 OAC recommendation for stroke prevention, and &gt;70% have ≥1 additional stroke risk factor other than age/sex. Our data, based on the largest number of screen-detected AF collected to date, show the precise relationship between yield and estimated stroke risk profile with age, and strong dependence for NNS-RX on the age distribution of the population to be screened: essential information for precise cost-effectiveness calculations.</t>
  </si>
  <si>
    <t>Prospective analysis of circulating metabolites and breast cancer in EPIC.</t>
  </si>
  <si>
    <t>His, Mathilde; Viallon, Vivian; Dossus, Laure; Gicquiau, Audrey; Achaintre, David; Scalbert, Augustin; Ferrari, Pietro; Romieu, Isabelle; Onland-Moret, N Charlotte; Weiderpass, Elisabete; Dahm, Christina C; Overvad, Kim; Olsen, Anja; Tjønneland, Anne; Fournier, Agnès; Rothwell, Joseph A; Severi, Gianluca; Kühn, Tilman; Fortner, Renée T; Boeing, Heiner; Trichopoulou, Antonia; Karakatsani, Anna; Martimianaki, Georgia; Masala, Giovanna; Sieri, Sabina; Tumino, Rosario; Vineis, Paolo; Panico, Salvatore; van Gils, Carla H; Nøst, Therese H; Sandanger, Torkjel M; Skeie, Guri; Quirós, J Ramón; Agudo, Antonio; Sánchez, Maria-Jose; Amiano, Pilar; Huerta, José María; Ardanaz, Eva; Schmidt, Julie A; Travis, Ruth C; Riboli, Elio; Tsilidis, Konstantinos K; Christakoudi, Sofia; Gunter, Marc J; Rinaldi, Sabina</t>
  </si>
  <si>
    <t>https://pubmed.ncbi.nlm.nih.gov/31547832</t>
  </si>
  <si>
    <t>Metabolomics is a promising molecular tool to identify novel etiologic pathways leading to cancer. Using a targeted approach, we prospectively investigated the associations between metabolite concentrations in plasma and breast cancer risk. A nested case-control study was established within the European Prospective Investigation into Cancer cohort, which included 1624 first primary incident invasive breast cancer cases (with known estrogen and progesterone receptor and HER2 status) and 1624 matched controls. Metabolites (n = 127, acylcarnitines, amino acids, biogenic amines, glycerophospholipids, hexose, sphingolipids) were measured by mass spectrometry in pre-diagnostic plasma samples and tested for associations with breast cancer incidence using multivariable conditional logistic regression. Among women not using hormones at baseline (n = 2248), and after control for multiple tests, concentrations of arginine (odds ratio [OR] per SD = 0.79, 95% confidence interval [CI] = 0.70-0.90), asparagine (OR = 0.83 (0.74-0.92)), and phosphatidylcholines (PCs) ae C36:3 (OR = 0.83 (0.76-0.90)), aa C36:3 (OR = 0.84 (0.77-0.93)), ae C34:2 (OR = 0.85 (0.78-0.94)), ae C36:2 (OR = 0.85 (0.78-0.88)), and ae C38:2 (OR = 0.84 (0.76-0.93)) were inversely associated with breast cancer risk, while the acylcarnitine C2 (OR = 1.23 (1.11-1.35)) was positively associated with disease risk. In the overall population, C2 (OR = 1.15 (1.06-1.24)) and PC ae C36:3 (OR = 0.88 (0.82-0.95)) were associated with risk of breast cancer, and these relationships did not differ by breast cancer subtype, age at diagnosis, fasting status, menopausal status, or adiposity. These findings point to potentially novel pathways and biomarkers of breast cancer development. Results warrant replication in other epidemiological studies.</t>
  </si>
  <si>
    <t>Multifactorial risk factors for mortality after chemotherapy and radiotherapy for non-small cell lung cancer.</t>
  </si>
  <si>
    <t>Defraene, Gilles; Dankers, Frank J W M; Price, Gareth; Schuit, Ewoud; van Elmpt, Wouter; Arredouani, Soumia; Lambrecht, Maarten; Nuyttens, Joost; Faivre-Finn, Corinne; De Ruysscher, Dirk</t>
  </si>
  <si>
    <t>https://pubmed.ncbi.nlm.nih.gov/31547943</t>
  </si>
  <si>
    <t>A higher radiation dose to the heart is known to be associated with increased mortality in non-small cell lung cancer (NSCLC) patients. It is however unknown what the contribution of the heart dose is when other risk factors for mortality are also accounted for. We constructed and externally validated prediction models of mortality after definitive chemoradiotherapy for NSCLC. Models were developed in 145 stage I-IIIB NSCLC patients. Clinical (performance status, age, gross tumour volume (GTV) combining primary tumour and involved lymph nodes, current smoker) and dosimetric (mean lung (MLD) and heart (MHD) dose) variables were considered. Multivariable logistic regression models predicting 12 and 24 month mortality were built in 5-fold cross-validation. Discrimination and calibration was assessed in 3 external validation datasets containing 878 (via distributed learning), 127 and 96 NSCLC patients. The best discriminating prediction models combined GTV, smoker and/or MHD: bootstrapping AUC (95% CI) of 0.74 (0.66-0.78) and 0.69 (0.55-0.74) at 12 and 24 months. At external validation, the 24 month mortality GTV-smoker-MHD model robustly showed moderate discrimination (AUC = 0.61-0.64 before and 0.64-0.65 after model update) with limited 0.01-0.07 improvement over a GTV-only model, and calibration slope (0.64-0.65). This model can identify patients for whom a MHD reduction may be useful (e.g. PPV = 77%, NPV = 52% (60% cut-off)). Tumour volume is strongly related to mortality risk in the first 2 years after chemoradiotherapy for NSCLC. Modelling indicates that efforts to reduce cardiac dose may be relevant for small tumours and that smoking has an important negative association with survival.</t>
  </si>
  <si>
    <t>Mortality After First Hospital Admission for Inflammatory Bowel Disease: A Nationwide Registry Linkage Study.</t>
  </si>
  <si>
    <t>Opstelten, Jorrit L; Vaartjes, Ilonca; Bots, Michiel L; Oldenburg, Bas</t>
  </si>
  <si>
    <t>inflammatory bowel diseases</t>
  </si>
  <si>
    <t>https://pubmed.ncbi.nlm.nih.gov/31189013</t>
  </si>
  <si>
    <t>The goal of this study was to determine long-term mortality and causes of death in patients after hospitalization for inflammatory bowel disease (IBD). A cohort of patients admitted to the hospital because of IBD for the first time between 1998 and 2010 was identified by linkage of nationwide Dutch registries. Mortality risks and causes of death in Crohn's disease (CD) and ulcerative colitis (UC) patients were compared with a large random sample of individuals from the general population. Multivariable Cox regression models were used to calculate hazard ratios (HRs) with 95% confidence intervals (CIs). In total, 23,003 patients (56.1% women; mean age, 44.8 years) were hospitalized for IBD. Patients admitted for IBD had a higher risk of death than those from the general population. Adjusted HRs for 5-year all-cause mortality were 2.42 (95% CI, 1.15-5.12) and 1.45 (95% CI, 1.26-1.66) in men and women hospitalized for CD, respectively. Corresponding HRs for UC were 1.59 (95% CI, 1.39-1.83) and 1.13 (95% CI, 0.98-1.31). Mortality among patients after hospitalization for IBD decreased between 1998-2004 and 2005-2010. Patients admitted for UC had a higher risk of all-cause mortality than those admitted for CD. Inflammatory bowel disease patients died more often from (colorectal) cancer and gastrointestinal disease and less often from cardiovascular disease relative to the general population. Mortality of patients after hospitalization for IBD has decreased over time. Causes of death in CD and UC patients differ from those in the general population.</t>
  </si>
  <si>
    <t>Maternal and neonatal outcomes following a diabetic pregnancy within the context of HIV.</t>
  </si>
  <si>
    <t>Soepnel, Larske M; Nicolaou, Veronique; Huddle, Kenneth R L; Klipstein-Grobusch, Kerstin; Levitt, Naomi S; Norris, Shane A</t>
  </si>
  <si>
    <t>https://pubmed.ncbi.nlm.nih.gov/31479156</t>
  </si>
  <si>
    <t>To characterize the demographics, comorbidities, management, and outcomes of pregnant women with pre-gestational and gestational diabetes (GDM), including overt and true GDM, taking into account HIV infection and the influence of exposure to oral hypoglycemic agents (OHAs). A review of medical records of 1071 diabetic pregnancies (between 2012 and 2018) at a tertiary hospital in South Africa. Of the women, 43% had GDM, 19% had type 1 diabetes (T1DM), and 38% had type 2 diabetes (T2DM). Each group had a mean initial body mass index (BMI) &gt;25 kg/m&lt;sup&gt;2&lt;/sup&gt; . Despite poor initial HbA1c for pre-gestational groups, over 90% of the cohort achieved glycemic control by the time of delivery. The rate of prematurity was 30.9%. Perinatal mortality (PNM) was 5.1% for the pre-gestational group and 1.8% for GDM. Of the cohort, 23.9% was HIV infected. PNM was higher in the HIV-infected pregnancies (9.4%) than non-HIV exposed pregnancies (1.8%, P&lt;0.001). The macrosomia rate was higher in the glibenclamide-exposed group than the insulin-alone group (12.2% vs 0%, P=0.025). Obesity is a significant predictor for macrosomia and was high in all groups. In a low-/middle-income country setting with a high prevalence of HIV and high usage of OHAs as an alternative to insulin therapy, HIV might be associated with higher PNM and glibenclamide with increased rates of macrosomia, which warrants further exploration.</t>
  </si>
  <si>
    <t>Rapid Molecular Tests for Influenza, Respiratory Syncytial Virus, and Other Respiratory Viruses: A Systematic Review of Diagnostic Accuracy and Clinical Impact Studies.</t>
  </si>
  <si>
    <t>Vos, Laura M; Bruning, Andrea H L; Reitsma, Johannes B; Schuurman, Rob; Riezebos-Brilman, Annelies; Hoepelman, Andy I M; Oosterheert, Jan Jelrik</t>
  </si>
  <si>
    <t>https://pubmed.ncbi.nlm.nih.gov/30689772</t>
  </si>
  <si>
    <t>We systematically reviewed available evidence from Embase, Medline, and the Cochrane Library on diagnostic accuracy and clinical impact of commercially available rapid (results &lt;3 hours) molecular diagnostics for respiratory viruses as compared to conventional molecular tests. Quality of included studies was assessed using the Quality Assessment of Diagnostic Accuracy Studies criteria for diagnostic test accuracy (DTA) studies, and the Cochrane Risk of Bias Assessment and Risk of Bias in Nonrandomized Studies of Interventions criteria for randomized and observational impact studies, respectively. Sixty-three DTA reports (56 studies) were meta-analyzed with a pooled sensitivity of 90.9% (95% confidence interval [CI], 88.7%-93.1%) and specificity of 96.1% (95% CI, 94.2%-97.9%) for the detection of either influenza virus (n = 29), respiratory syncytial virus (RSV) (n = 1), influenza virus and RSV (n = 19), or a viral panel including influenza virus and RSV (n = 14). The 15 included impact studies (5 randomized) were very heterogeneous and results were therefore inconclusive. However, we suggest that implementation of rapid diagnostics in hospital care settings should be considered.</t>
  </si>
  <si>
    <t>Completeness of obstetric referral letters/notes from subdistrict to district level in three rural districts in Greater Accra region of Ghana: an implementation research using mixed methods.</t>
  </si>
  <si>
    <t>Amoakoh-Coleman, Mary; Ansah, Evelyn; Klipstein-Grobusch, Kerstin; Arhinful, Daniel</t>
  </si>
  <si>
    <t>https://pubmed.ncbi.nlm.nih.gov/31519675</t>
  </si>
  <si>
    <t>To assess the completeness of obstetric referral letters/notes at the district level of healthcare. An implementation research within three districts in Greater Accra region using mixed methods. During baseline and intervention phases, referral processes for all obstetric referrals from lower level facilities seen at the district hospitals were documented including indications for referrals, availability and completeness of referral notes/forms. An assessment of before and after intervention availability and completeness of referral forms was carried out. Focus group discussions, non-participant observations and in-depth interviews with health workers and pregnant women were conducted for qualitative data. Three (3) districts in the Greater Accra region of Ghana. Pregnant women referred from lower levels of care to and seen at the district hospital, health workers within the three districts and pregnant women attending antenatal clinic in the district and their family members or spouses. An enhanced interfacility referral communication system consisting of training, provision of communication tools for facilities, formation of hospital referral teams and strengthening feedback mechanisms. Completeness of obstetric referral letters/notes. Proportion of obstetric referrals with referral notes improved from 27.2% to 44.3% from the baseline to intervention period. Mean completeness (95% CI) of all forms was 71.3% (64.1% to 78.5%) for the study period, improving from 70.7% (60.4% to 80.9%) to 71.9% (61.1% to 82.7%) from baseline to intervention periods. Health workers reported they do not always provide referral notes and that most referral notes are not completely filled due to various reasons. Most obstetric referrals did not have referral notes. The few notes provided were not completely filled. Interventions such as training of health workers, regular review of referral processes and use of electronic records can help improve both the provision of and completeness of the referral notes.</t>
  </si>
  <si>
    <t>Public and physicians' support for euthanasia in people suffering from psychiatric disorders: a cross-sectional survey study.</t>
  </si>
  <si>
    <t>Evenblij, Kirsten; Pasman, H Roeline W; van der Heide, Agnes; van Delden, Johannes J M; Onwuteaka-Philipsen, Bregje D</t>
  </si>
  <si>
    <t>https://pubmed.ncbi.nlm.nih.gov/31510976</t>
  </si>
  <si>
    <t>Although euthanasia and assisted suicide (EAS) in people with psychiatric disorders is relatively rare, the increasing incidence of EAS requests has given rise to public and political debate. This study aimed to explore support of the public and physicians for euthanasia and assisted suicide in people with psychiatric disorders and examine factors associated with acceptance and conceivability of performing EAS in these patients. A survey was distributed amongst a random sample of Dutch 2641 citizens (response 75%) and 3000 physicians (response 52%). Acceptance and conceivability of performing EAS, demographics, health status and professional characteristics were measured. Multivariable logistic regression analyses were performed. Of the general public 53% were of the opinion that people with psychiatric disorders should be eligible for EAS, 15% was opposed to this, and 32% remained neutral. Higher educational level, Dutch ethnicity, and higher urbanization level were associated with higher acceptability of EAS whilst a religious life stance and good health were associated with lower acceptability. The percentage of physicians who considered performing EAS in people with psychiatric disorders conceivable ranged between 20% amongst medical specialists and 47% amongst general practitioners. Having received EAS requests from psychiatric patients before was associated with considering performing EAS conceivable. Being female, religious, medical specialist, or psychiatrist were associated with lower conceivability. The majority (&gt; 65%) of the psychiatrists were of the opinion that it is possible to establish whether a psychiatric patient's suffering is unbearable and without prospect and whether the request is well-considered. The general public shows more support than opposition as to whether patients suffering from a psychiatric disorder should be eligible for EAS, even though one third of the respondents remained neutral. Physicians' support depends on their specialization; 39% of psychiatrists considered performing EAS in psychiatric patients conceivable. The relatively low conceivability is possibly explained by psychiatric patients often not meeting the eligibility criteria.</t>
  </si>
  <si>
    <t>Birth asphyxia following delayed recognition and response to abnormal labour progress and fetal distress in a 31-year-old multiparous Malawian woman.</t>
  </si>
  <si>
    <t>Löwensteyn, Yvette N; Housseine, Natasha; Masina, Thokozani; Browne, Joyce L; Rijken, Marcus J</t>
  </si>
  <si>
    <t>bmj case reports</t>
  </si>
  <si>
    <t>https://pubmed.ncbi.nlm.nih.gov/31511259</t>
  </si>
  <si>
    <t>Reducing neonatal mortality is one of the targets of Sustainable Development Goal 3 on good health and well-being. The highest rates of neonatal death occur in sub-Saharan Africa. Birth asphyxia is one of the major preventable causes. Early detection and timely management of abnormal labour progress and fetal compromise are critical to reduce the global burden of birth asphyxia. Labour progress, maternal and fetal well-being are assessed using the WHO partograph and intermittent fetal heart rate monitoring. However, in low-resource settings adherence to labour guidelines and timely response to arising labour complications is generally poor. Reasons for this are multifactorial and include lack of resources and skilled health care staff. This case study in a Malawian hospital illustrates how delayed recognition of abnormal labour and prolonged decision-to-delivery interval contributed to birth asphyxia, as an example of many delivery rooms in low-income country settings.</t>
  </si>
  <si>
    <t>Bottom-up development of national obstetric guidelines in middle-income country Suriname.</t>
  </si>
  <si>
    <t>Verschueren, Kim J C; Kodan, Lachmi R; Brinkman, Tom K; Paidin, Raez R; Henar, Sheran S; Kanhai, Humphrey H H; Browne, Joyce L; Rijken, Marcus J; Bloemenkamp, Kitty W M</t>
  </si>
  <si>
    <t>https://pubmed.ncbi.nlm.nih.gov/31500615</t>
  </si>
  <si>
    <t>Obstetric guidelines are useful to improve the quality of care. Availability of international guidelines has rapidly increased, however the contextualization to enhance feasibility of implementation in health facilities in low and middle-income settings has only been described in literature in a few instances. This study describes the approach and lessons learned from the 'bottom-up' development process of context-tailored national obstetric guidelines in middle-income country Suriname. Local obstetric health care providers initiated the guideline development process in Suriname in August 2016 for two common obstetric conditions: hypertensive disorders of pregnancy (HDP) and post partum haemorrhage (PPH). The process consisted of six steps: (1) determination of how and why women died, (2) interviews and observations of local clinical practice, (3) review of international guidelines, (4) development of a primary set of guidelines, (5) initiation of a national discussion on the guidelines content and (6) establishment of the final guidelines based on consensus. Maternal enquiry of HDP- and PPH-related maternal deaths revealed substandard care in 90 and 95% of cases, respectively. An assessment of the management through interviews and labour observations identified gaps in quality of the provided care and large discrepancies in the management of HDP and PPH between the hospitals. International recommendations were considered unfeasible and were inconsistent when compared to each other. Local health care providers and stakeholders convened to create national context-tailored guidelines based on adapted international recommendations. The guidelines were developed within four months and locally implemented. Development of national context-tailored guidelines is achievable in a middle-income country when using a 'bottom-up' approach that involves all obstetric health care providers and stakeholders in the earliest phase. We hope the descriptive process of guideline development is helpful for other countries in need of nationwide guidelines.</t>
  </si>
  <si>
    <t>Prediction of individual life-years gained without cardiovascular events from lipid, blood pressure, glucose, and aspirin treatment based on data of more than 500 000 patients with Type 2 diabetes mellitus.</t>
  </si>
  <si>
    <t>Berkelmans, Gijs F N; Gudbjörnsdottir, Soffia; Visseren, Frank L J; Wild, Sarah H; Franzen, Stefan; Chalmers, John; Davis, Barry R; Poulter, Neil R; Spijkerman, Annemieke M; Woodward, Mark; Pressel, Sara L; Gupta, Ajay K; van der Schouw, Yvonne T; Svensson, Ann-Marie; van der Graaf, Yolanda; Read, Stephanie H; Eliasson, Bjorn; Dorresteijn, Jannick A N</t>
  </si>
  <si>
    <t>https://pubmed.ncbi.nlm.nih.gov/30629157</t>
  </si>
  <si>
    <t>Although group-level effectiveness of lipid, blood pressure, glucose, and aspirin treatment for prevention of cardiovascular disease (CVD) has been proven by trials, important differences in absolute effectiveness exist between individuals. We aim to develop and validate a prediction tool for individualizing lifelong CVD prevention in people with Type 2 diabetes mellitus (T2DM) predicting life-years gained without myocardial infarction or stroke. We developed and validated the Diabetes Lifetime-perspective prediction (DIAL) model, consisting of two complementary competing risk adjusted Cox proportional hazards functions using data from people with T2DM registered in the Swedish National Diabetes Registry (n = 389 366). Competing outcomes were (i) CVD events (vascular mortality, myocardial infarction, or stroke) and (ii) non-vascular mortality. Predictors were age, sex, smoking, systolic blood pressure, body mass index, haemoglobin A1c, estimated glomerular filtration rate, non- high-density lipoprotein cholesterol, albuminuria, T2DM duration, insulin treatment, and history of CVD. External validation was performed using data from the ADVANCE, ACCORD, ASCOT and ALLHAT-LLT-trials, the SMART and EPIC-NL cohorts, and the Scottish diabetes register (total n = 197 785). Predicted and observed CVD-free survival showed good agreement in all validation sets. C-statistics for prediction of CVD were 0.83 (95% confidence interval: 0.83-0.84) and 0.64-0.65 for internal and external validation, respectively. We provide an interactive calculator at www.U-Prevent.com that combines model predictions with relative treatment effects from trials to predict individual benefit from preventive treatment. Cardiovascular disease-free life expectancy and effects of lifelong prevention in terms of CVD-free life-years gained can be estimated for people with T2DM using readily available clinical characteristics. Predictions of individual-level treatment effects facilitate translation of trial results to individual patients.</t>
  </si>
  <si>
    <t>Cost-effectiveness of selective digestive decontamination (SDD) versus selective oropharyngeal decontamination (SOD) in intensive care units with low levels of antimicrobial resistance: an individual patient data meta-analysis.</t>
  </si>
  <si>
    <t>van Hout, Denise; Plantinga, Nienke L; Bruijning-Verhagen, Patricia C; Oostdijk, Evelien A N; de Smet, Anne Marie G A; de Wit, G Ardine; Bonten, Marc J M; van Werkhoven, Cornelis H</t>
  </si>
  <si>
    <t>https://pubmed.ncbi.nlm.nih.gov/31494605</t>
  </si>
  <si>
    <t>To determine the cost-effectiveness of selective digestive decontamination (SDD) as compared to selective oropharyngeal decontamination (SOD) in intensive care units (ICUs) with low levels of antimicrobial resistance. Post-hoc analysis of a previously performed individual patient data meta-analysis of two cluster-randomised cross-over trials. 24 ICUs in the Netherlands. 12 952 ICU patients who were treated with ≥1 dose of SDD (n=6720) or SOD (n=6232). SDD versus SOD. The incremental cost-effectiveness ratio (ICER; ie, costs to prevent one in-hospital death) was calculated by comparing differences in direct healthcare costs and in-hospital mortality of patients treated with SDD versus SOD. A willingness-to-pay curve was plotted to reflect the probability of cost-effectiveness of SDD for a range of different values of maximum costs per prevented in-hospital death. The ICER resulting from the fixed-effect meta-analysis, adjusted for clustering and differences in baseline characteristics, showed that SDD significantly reduced in-hospital mortality (adjusted absolute risk reduction 0.0195, 95% CI 0.0050 to 0.0338) with no difference in costs (adjusted cost difference €62 in favour of SDD, 95% CI -€1079 to €935). Thus, SDD yielded significantly lower in-hospital mortality and comparable costs as compared with SOD. At a willingness-to-pay value of €33 633 per one prevented in-hospital death, SDD had a probability of 90.0% to be cost-effective as compared with SOD. In Dutch ICUs, SDD has a very high probability of cost-effectiveness as compared to SOD. These data support the implementation of SDD in settings with low levels of antimicrobial resistance.</t>
  </si>
  <si>
    <t>Verbal Semantics and the Left Dorsolateral Anterior Temporal Lobe: A Longitudinal Case of Bilateral Temporal Degeneration.</t>
  </si>
  <si>
    <t>Vonk, Jet M J; Borghesani, Valentina; Battistella, Giovanni; Younes, Kyan; DeLeon, Jessica; Welch, Ariane; Hubbard, H Isabel; Miller, Zachary A; Miller, Bruce L; Gorno-Tempini, Maria Luisa</t>
  </si>
  <si>
    <t>aphasiology</t>
  </si>
  <si>
    <t>https://pubmed.ncbi.nlm.nih.gov/33012947</t>
  </si>
  <si>
    <t>Semantic variant primary progressive aphasia (svPPA), a clinical syndrome characterized by loss of semantic knowledge, is associated with neurodegeneration that starts in the anterior temporal lobe (ATL) and gradually spreads towards posterior temporal and medial frontal areas. At the earliest stages, atrophy may be predominantly lateralized to either the left or right ATL, leading to different clinical profiles with greatest impairment of word comprehension or visual/social semantics, respectively. We report the in-depth longitudinal investigation of cognitive and neuroanatomical features of JB, an unusual case of ATL neurodegeneration with relative sparing of left lateral ATL regions. Over the course of nine years, neurodegeneration progressed to involve bilateral temporo-lateral and frontal regions, resulting in a relatively symmetric and diffuse frontotemporal atrophy pattern. In parallel, JB developed greater behavioral, cognitive, and language impairments, as well as signs of motor neuron disease at her last evaluation. Episodic memory and socio-emotional processing deficits arose, likely secondary to semantic verbal deficits, while visuospatial processing, executive function, and non-semantic language abilities remained largely unaffected throughout the course of the disease. The details of this rare case of early medial more than lateral ATL degeneration are consistent with a bilateral organization of the semantic system and, crucially, with a functional dissociation between medial paralimbic and lateral neocortical temporal regions. Cases of frontotemporal dementia (FTD) such as JB, who initially do not meet current clinical criteria for svPPA and instead present with some features of behavioral variant FTD, highlight the need for specific criteria for the right temporal variant of FTD that we propose could be called semantic variant FTD.</t>
  </si>
  <si>
    <t>Optimizing design of research to evaluate antibiotic stewardship interventions: consensus recommendations of a multinational working group.</t>
  </si>
  <si>
    <t>Schweitzer, V A; van Werkhoven, C H; Rodríguez Baño, J; Bielicki, J; Harbarth, S; Hulscher, M; Huttner, B; Islam, J; Little, P; Pulcini, C; Savoldi, A; Tacconelli, E; Timsit, J-F; van Smeden, M; Wolkewitz, M; Bonten, M J M; Walker, A S; Llewelyn, M J; ,</t>
  </si>
  <si>
    <t>https://pubmed.ncbi.nlm.nih.gov/31493472</t>
  </si>
  <si>
    <t>Antimicrobial stewardship interventions and programmes aim to ensure effective treatment while minimizing antimicrobial-associated harms including resistance. Practice in this vital area is undermined by the poor quality of research addressing both what specific antimicrobial use interventions are effective and how antimicrobial use improvement strategies can be implemented into practice. In 2016 we established a working party to identify the key design features that limit translation of existing research into practice and then to make recommendations for how future studies in this field should be optimally designed. The first part of this work has been published as a systematic review. Here we present the working group's final recommendations. An international working group for design of antimicrobial stewardship intervention evaluations was convened in response to the fourth call for leading expert network proposals by the Joint Programming Initiative on Antimicrobial Resistance (JPIAMR). The group comprised clinical and academic specialists in antimicrobial stewardship and clinical trial design from six European countries. Group members completed a structured questionnaire to establish the scope of work and key issues to develop ahead of a first face-to-face meeting that (a) identified the need for a comprehensive systematic review of study designs in the literature and (b) prioritized key areas where research design considerations restrict translation of findings into practice. The working group's initial outputs were reviewed by independent advisors and additional expertise was sought in specific clinical areas. At a second face-to-face meeting the working group developed a theoretical framework and specific recommendations to support optimal study design. These were finalized by the working group co-ordinators and agreed by all working group members. We propose a theoretical framework in which consideration of the intervention rationale the intervention setting, intervention features and the intervention aims inform selection and prioritization of outcome measures, whether the research sets out to determine superiority or non-inferiority of the intervention measured by its primary outcome(s), the most appropriate study design (e.g. experimental or quasi- experimental) and the detailed design features. We make 18 specific recommendation in three domains: outcomes, objectives and study design. Researchers, funders and practitioners will be able to draw on our recommendations to most efficiently evaluate antimicrobial stewardship interventions.</t>
  </si>
  <si>
    <t>Association Between Use of Primary-Prevention Implantable Cardioverter-Defibrillators and Mortality in Patients With Heart Failure: A Prospective Propensity Score-Matched Analysis From the Swedish Heart Failure Registry.</t>
  </si>
  <si>
    <t>Schrage, Benedikt; Uijl, Alicia; Benson, Lina; Westermann, Dirk; Ståhlberg, Marcus; Stolfo, Davide; Dahlström, Ulf; Linde, Cecilia; Braunschweig, Frieder; Savarese, Gianluigi</t>
  </si>
  <si>
    <t>https://pubmed.ncbi.nlm.nih.gov/31476893</t>
  </si>
  <si>
    <t>Most randomized trials on implantable cardioverter-defibrillator (ICD) use for primary prevention of sudden cardiac death in heart failure with reduced ejection fraction enrolled patients &gt;20 years ago. We investigated the association between ICD use and all-cause mortality in a contemporary heart failure with reduced ejection fraction cohort and examined relevant subgroups. Patients from the Swedish Heart Failure Registry fulfilling the European Society of Cardiology criteria for primary-prevention ICD were included. The association between ICD use and 1-year and 5-year all-cause and cardiovascular (CV) mortality was assessed by Cox regression models in a 1:1 propensity score-matched cohort and in prespecified subgroups. Of 16 702 eligible patients, only 1599 (10%) had an ICD. After matching, 1305 ICD recipients were compared with 1305 nonrecipients. ICD use was associated with a reduction in all-cause mortality risk within 1 year (hazard ratio, 0.73 [95% CI, 0.60-0.90]) and 5 years (hazard ratio, 0.88 [95% CI, 0.78-0.99]). Results were consistent in all subgroups including patients with versus without ischemic heart disease, men versus women, those aged &lt;75 versus ≥75 years, those with earlier versus later enrollment in the Swedish heart failure registry, and patients with versus without cardiac resynchronization therapy. In a contemporary heart failure with reduced ejection fraction population, ICD for primary prevention was underused, although it was associated with reduced short- and long-term all-cause mortality. This association was consistent across all the investigated subgroups. These results call for better implementation of ICD therapy.</t>
  </si>
  <si>
    <t>Statistical approaches to identify subgroups in meta-analysis of individual participant data: a simulation study.</t>
  </si>
  <si>
    <t>Belias, Michail; Rovers, Maroeska M; Reitsma, Johannes B; Debray, Thomas P A; IntHout, Joanna</t>
  </si>
  <si>
    <t>https://pubmed.ncbi.nlm.nih.gov/31477023</t>
  </si>
  <si>
    <t>Individual participant data meta-analysis (IPD-MA) is considered the gold standard for investigating subgroup effects. Frequently used regression-based approaches to detect subgroups in IPD-MA are: meta-regression, per-subgroup meta-analysis (PS-MA), meta-analysis of interaction terms (MA-IT), naive one-stage IPD-MA (ignoring potential study-level confounding), and centred one-stage IPD-MA (accounting for potential study-level confounding). Clear guidance on the analyses is lacking and clinical researchers may use approaches with suboptimal efficiency to investigate subgroup effects in an IPD setting. Therefore, our aim is to overview and compare the aforementioned methods, and provide recommendations over which should be preferred. We conducted a simulation study where we generated IPD of randomised trials and varied the magnitude of subgroup effect (0, 25, 50% relative reduction), between-study treatment effect heterogeneity (none, medium, large), ecological bias (none, quantitative, qualitative), sample size (50,100,200), and number of trials (5,10) for binary, continuous and time-to-event outcomes. For each scenario, we assessed the power, false positive rate (FPR) and bias of aforementioned five approaches. Naive and centred IPD-MA yielded the highest power, whilst preserving acceptable FPR around the nominal 5% in all scenarios. Centred IPD-MA showed slightly less biased estimates than naïve IPD-MA. Similar results were obtained for MA-IT, except when analysing binary outcomes (where it yielded less power and FPR &lt; 5%). PS-MA showed similar power as MA-IT in non-heterogeneous scenarios, but power collapsed as heterogeneity increased, and decreased even more in the presence of ecological bias. PS-MA suffered from too high FPRs in non-heterogeneous settings and showed biased estimates in all scenarios. Meta-regression showed poor power (&lt; 20%) in all scenarios and completely biased results in settings with qualitative ecological bias. Our results indicate that subgroup detection in IPD-MA requires careful modelling. Naive and centred IPD-MA performed equally well, but due to less bias of the estimates in the presence of ecological bias, we recommend the latter.</t>
  </si>
  <si>
    <t>Antibody Responses to &lt;i&gt;Fusobacterium nucleatum&lt;/i&gt; Proteins in Prediagnostic Blood Samples are not Associated with Risk of Developing Colorectal Cancer.</t>
  </si>
  <si>
    <t>Butt, Julia; Jenab, Mazda; Pawlita, Michael; Overvad, Kim; Tjonneland, Anne; Olsen, Anja; Boutron-Ruault, Marie-Christine; Carbonnel, Franck; Mancini, Francesca Romana; Kaaks, Rudolf; Kühn, Tilman; Boeing, Heiner; Trichopoulou, Antonia; Karakatsani, Anna; Palli, Domenico; Pala, Valeria Maria; Tumino, Rosario; Sacerdote, Carlotta; Panico, Salvatore; Bueno-de-Mesquita, Bas; van Gils, Carla H; Vermeulen, Roel C H; Weiderpass, Elisabete; Quirós, José Ramón; Duell, Eric Jeffrey; Sánchez, Maria-Jose; Dorronsoro, Miren; Huerta, José María; Ardanaz, Eva; Van Guelpen, Bethany; Harlid, Sophia; Perez-Cornago, Aurora; Gunter, Marc J; Murphy, Neil; Freisling, Heinz; Aune, Dagfinn; Waterboer, Tim; Hughes, David J</t>
  </si>
  <si>
    <t>https://pubmed.ncbi.nlm.nih.gov/31481495</t>
  </si>
  <si>
    <t>There is a lack of prospective data on the potential association of &lt;i&gt;Fusobacterium nucleatum&lt;/i&gt; (&lt;i&gt;F. nucleatum&lt;/i&gt;) and colorectal cancer risk. In this study, we assessed whether antibody responses to &lt;i&gt;F. nucleatum&lt;/i&gt; are associated with colorectal cancer risk in prediagnostic serum samples in the European Prospective Investigation into Nutrition and Cancer (EPIC) cohort. We applied a multiplex serology assay to simultaneously measure antibody responses to 11 &lt;i&gt;F. nucleatum&lt;/i&gt; antigens in prediagnostic serum samples from 485 colorectal cancer cases and 485 matched controls. Conditional logistic regression models were used to estimate odds ratios (ORs) and 95% confidence intervals (CI). We observed neither a statistically significant colorectal cancer risk association for antibodies to individual &lt;i&gt;F. nucleatum&lt;/i&gt; proteins nor for combined positivity to any of the 11 proteins (OR, 0.81; 95% CI, 0.62-1.06). Antibody responses to &lt;i&gt;F. nucleatum&lt;/i&gt; proteins in prediagnostic serum samples from a subset of colorectal cancer cases and matched controls within the EPIC study were not associated with colorectal cancer risk. Our findings in prospectively ascertained serum samples contradict the existing literature on the association of &lt;i&gt;F. nucleatum&lt;/i&gt; with colorectal cancer risk. Future prospective studies, specifically detecting &lt;i&gt;F. nucleatum&lt;/i&gt; in stool or tissue biopsies, are needed to complement our findings.</t>
  </si>
  <si>
    <t>Clinical research study implementation of case-finding strategies for heart failure and chronic obstructive pulmonary disease in the elderly with reduced exercise tolerance or dyspnea: A cluster randomized trial.</t>
  </si>
  <si>
    <t>van Mourik, Yvonne; Rutten, Frans H; Bertens, Loes C M; Cramer, Maarten J M; Lammers, Jan-Willem J; Gohar, Aisha; Reitsma, Johannes B; Moons, Karel G M; Hoes, Arno W</t>
  </si>
  <si>
    <t>https://pubmed.ncbi.nlm.nih.gov/31790904</t>
  </si>
  <si>
    <t>Heart failure (HF) and chronic obstructive pulmonary disease (COPD) often remain undiagnosed in older individuals, although both disorders inhibit functionality and impair health. The aim of the study was to assess the effectiveness of a case-finding strategy of these disorders. This is a clustered randomized trial; 18 general practices from the vicinity of Utrecht, the Netherlands, were randomly allocated to a case-finding strategy or usual care. Multimorbid community subjects (≥65 years) with dyspnea or reduced exercise tolerance were eligible for inclusion. The case-finding strategy consisted of history taking, physical examination, blood tests, electrocardiography, spirometry, and echocardiography. Subsequent treatment decisions were at the discretion of the general practitioner. Questionnaires regarding health status and functionality were filled out at baseline and after 6 months of follow-up. Information regarding changes in medication and health care use during the 6 months follow-up was extracted. A total of 829 participants were randomized: 389 in the case-finding strategy group and 440 in the usual care group. More patients in the case-finding group received a new diagnosis of HF or COPD than the usual care group (cumulative incidence 34% vs 2% and 17% vs. 2%, respectively). Scores for health status, functionality, and health care use were similar between the 2 strategies after 6 months of follow-up. A case-finding strategy applied in primary care to multimorbid older people with dyspnea or reduced exercise tolerance resulted in a number of new diagnoses of HF and COPD but did not result in short-term improvement of health status compared to usual care.</t>
  </si>
  <si>
    <t>The era of alternative designs to connect randomized clinical trials and real-world data.</t>
  </si>
  <si>
    <t>Derksen, Jeroen W G; May, Anne M; Koopman, Miriam</t>
  </si>
  <si>
    <t>nature reviews clinical oncology</t>
  </si>
  <si>
    <t>https://pubmed.ncbi.nlm.nih.gov/31296966</t>
  </si>
  <si>
    <t>A computerised decision support system for cardiovascular risk management 'live' in the electronic health record environment: development, validation and implementation-the Utrecht Cardiovascular Cohort Initiative.</t>
  </si>
  <si>
    <t>Groenhof, T K J; Rittersma, Z H; Bots, M L; Brandjes, M; Jacobs, J J L; Grobbee, D E; van Solinge, W W; Visseren, F L J; Haitjema, S; Asselbergs, F W; ,</t>
  </si>
  <si>
    <t>https://pubmed.ncbi.nlm.nih.gov/31372838</t>
  </si>
  <si>
    <t>We set out to develop a real-time computerised decision support system (CDSS) embedded in the electronic health record (EHR) with information on risk factors, estimated risk, and guideline-based advice on treatment strategy in order to improve adherence to cardiovascular risk management (CVRM) guidelines with the ultimate aim of improving patient healthcare. We defined a project plan including the scope and requirements, infrastructure and interface, data quality and study population, validation and evaluation of the CDSS. In collaboration with clinicians, data scientists, epidemiologists, ICT architects, and user experience and interface designers we developed a CDSS that provides 'live' information on CVRM within the environment of the EHR. The CDSS provides information on cardiovascular risk factors (age, sex, medical and family history, smoking, blood pressure, lipids, kidney function, and glucose intolerance measurements), estimated 10-year cardiovascular risk, guideline-compliant suggestions for both pharmacological and non-pharmacological treatment to optimise risk factors, and an estimate on the change in 10-year risk of cardiovascular disease if treatment goals are adhered to. Our pilot study identified a number of issues that needed to be addressed, such as missing data, rules and regulations, privacy, and patient participation. Development of a CDSS is complex and requires a multidisciplinary approach. We identified opportunities and challenges in our project developing a CDSS aimed at improving adherence to CVRM guidelines. The regulatory environment, including guidance on scientific evaluation, legislation, and privacy issues needs to evolve within this emerging field of eHealth.</t>
  </si>
  <si>
    <t>A Multidimensional Approach to Assessing Infectious Disease Risk: Identifying Risk Classes Based on Psychological Characteristics.</t>
  </si>
  <si>
    <t>van Wees, Daphne A; Heijne, Janneke C M; Heijman, Titia; Kampman, Karlijn C J G; Westra, Karin; de Vries, Anne; de Wit, John; Kretzschmar, Mirjam E E; den Daas, Chantal</t>
  </si>
  <si>
    <t>https://pubmed.ncbi.nlm.nih.gov/31145447</t>
  </si>
  <si>
    <t>Prevention of infectious diseases depends on health-related behavior, which is often influenced by psychological characteristics. However, few studies assessing health-related behavior have examined psychological characteristics to identify risk groups, and this multidimensional approach might improve disease risk assessment. We aimed to characterize subgroups based on psychological characteristics and examine their influence on behavior and disease risk, using chlamydia as a case study. Selected participants (heterosexuals aged 18-24 years and females aged 18-24 years who had sex with both men and women) in a Dutch longitudinal cohort study (the Mathematical Models Incorporating Psychological Determinants: Control of Chlamydia Transmission (iMPaCT) Study) filled out a questionnaire and were tested for chlamydia (2016-2017). Latent class analysis was performed to identify risk classes using psychological predictors of chlamydia diagnosis. Two classes were identified: class 1 (n = 488; 9% chlamydia diagnosis) and class 2 (n = 325; 13% chlamydia diagnosis). The proportion of participants with high shame, high impulsiveness, and lower perceived importance of health was higher in class 2 than in class 1. Furthermore, persons in class 2 were more likely to be male and to report condomless sex compared with class 1, but the number of recent partners was comparable. Thus, risk classes might be distinguished from each other by psychological characteristics beyond sexual behavior. Therefore, the impact of the same intervention could differ, and tailoring interventions based on psychological characteristics might be necessary to reduce chlamydia prevalence most effectively.</t>
  </si>
  <si>
    <t>Raising Cardiovascular Health in Low Resource Settings: Challenges and Road Maps Ahead.</t>
  </si>
  <si>
    <t>https://pubmed.ncbi.nlm.nih.gov/31451234</t>
  </si>
  <si>
    <t>Medical schools should ensure and improve global health education.</t>
  </si>
  <si>
    <t>de Zeeuw, Janine; van de Kamp, Judith; Browne, Joyce L</t>
  </si>
  <si>
    <t>https://pubmed.ncbi.nlm.nih.gov/31478493</t>
  </si>
  <si>
    <t>Candidate Biomarkers for the Diagnosis of Transient Ischemic Attack: A Systematic Review.</t>
  </si>
  <si>
    <t>Dolmans, L Servaas; Rutten, Frans H; Koenen, Niels C T; Bartelink, Marie-Louise E L; Reitsma, Johannes B; Kappelle, L Jaap; Hoes, Arno W</t>
  </si>
  <si>
    <t>https://pubmed.ncbi.nlm.nih.gov/31473737</t>
  </si>
  <si>
    <t>A rapid serum biomarker that confirms or rules out a transient ischemic attack (TIA) would be of great value in clinical practice. We aimed to systematically review current evidence for the diagnostic accuracy of blood biomarkers in the early diagnosis of TIA. This is a systematic review with quality appraisal of individual studies using the QUADAS-2 tool. MEDLINE and EMBASE databases were searched up to May 1, 2017, to select primary diagnostic accuracy studies evaluating potential biomarkers in blood for the diagnosis of TIA or ischemic stroke. Of 4,215 studies retrieved, 78 met our eligibility criteria. Forty-five studies restricted their population to ischemic stroke patients, 32 included both TIA and ischemic stroke patients, and only one study was restricted to TIA patients. In total 62/78 (79.5%) studies had a case-control design comparing TIA or stroke patients with healthy subjects. Overall, 125 single biomarkers and 5 biomarker panels were studied, with a median number of participants per study of 92.0 (interquartile range 44.8-144.5), varying from 8 to 915. Sufficient information to extract 2 × 2 tables was available for 35 (44.9%) articles, and for 60 (48.0 %) biomarkers. Several markers, such as NR2A/B (antibodies), Parkinson 7, nucleoside diphosphate kinase A, ubiquitin fusion degradation protein-1, and heart-type fatty acid binding protein, have shown moderate to high diagnostic accuracy in multiple studies. Although the methodological quality of studies evaluating biomarkers of brain ischemia was poor, several biomarkers have shown the potential to detect transient brain ischemia in an early phase. Diagnostic accuracy studies in suspected cases of TIA are needed to determine their true clinical value.</t>
  </si>
  <si>
    <t>High Levels of C-Reactive Protein Are Associated with an Increased Risk of Ovarian Cancer: Results from the Ovarian Cancer Cohort Consortium.</t>
  </si>
  <si>
    <t>Peres, Lauren C; Mallen, Adrianne R; Townsend, Mary K; Poole, Elizabeth M; Trabert, Britton; Allen, Naomi E; Arslan, Alan A; Dossus, Laure; Fortner, Renée T; Gram, Inger T; Hartge, Patricia; Idahl, Annika; Kaaks, Rudolf; Kvaskoff, Marina; Magliocco, Anthony M; Merritt, Melissa A; Quirós, J Ramón; Tjonneland, Anne; Trichopoulou, Antonia; Tumino, Rosario; van Gils, Carla H; Visvanathan, Kala; Wentzensen, Nicolas; Zeleniuch-Jacquotte, Anne; Tworoger, Shelley S</t>
  </si>
  <si>
    <t>https://pubmed.ncbi.nlm.nih.gov/31462430</t>
  </si>
  <si>
    <t>Growing epidemiologic evidence supports chronic inflammation as a mechanism of ovarian carcinogenesis. An association between a circulating marker of inflammation, C-reactive protein (CRP), and ovarian cancer risk has been consistently observed, yet, potential heterogeneity of this association by tumor and patient characteristics has not been adequately explored. In this study, we pooled data from case-control studies nested within six cohorts in the Ovarian Cancer Cohort Consortium (OC3) to examine the association between CRP and epithelial ovarian cancer risk overall, by histologic subtype and by participant characteristics. CRP concentrations were measured from prediagnosis serum or plasma in 1,091 cases and 1,951 controls. Multivariable conditional logistic regression was used to estimate ORs and 95% confidence intervals (CI). When CRP was evaluated using tertiles, no associations with ovarian cancer risk were observed. A 67% increased ovarian cancer risk was found for women with CRP concentrations &gt;10 mg/L compared with &lt;1 mg/L (OR = 1.67; 95% CI = 1.12-2.48). A CRP concentration &gt;10 mg/L was positively associated with risk of mucinous (OR = 9.67; 95% CI = 1.10-84.80) and endometrioid carcinoma (OR = 3.41; 95% CI = 1.07-10.92), and suggestively positive, although not statistically significant, for serous (OR = 1.43; 95% CI = 0.82-2.49) and clear cell carcinoma (OR = 2.05; 95% CI = 0.36-11.57; &lt;i&gt;P&lt;/i&gt; &lt;sub&gt;heterogeneity&lt;/sub&gt; = 0.20). Heterogeneity was observed with oral contraceptive use (&lt;i&gt;P&lt;/i&gt; &lt;sub&gt;interaction&lt;/sub&gt; = 0.03), where the increased risk was present only among ever users (OR = 3.24; 95% CI = 1.62-6.47). This study adds to the existing evidence that CRP plays a role in ovarian carcinogenesis and suggests that inflammation may be particularly implicated in the etiology of endometrioid and mucinous carcinoma. SIGNIFICANCE: C-reactive protein is involved in ovarian carcinogenesis, and chronic inflammation may be particularly implicated in the etiology of mucinous and endometrioid carcinomas.</t>
  </si>
  <si>
    <t>Clinical factors, C-reactive protein point of care test and chest X-ray in patients with pneumonia: A survey in primary care.</t>
  </si>
  <si>
    <t>Groeneveld, Geert H; van de Peppel, Robert J; de Waal, Margot W M; Verheij, Theo J M; van Dissel, Jaap T</t>
  </si>
  <si>
    <t>https://pubmed.ncbi.nlm.nih.gov/31455104</t>
  </si>
  <si>
    <t>&lt;b&gt;Background:&lt;/b&gt; In patients with an acute lower respiratory tract infection (LRTI), general practitioners (GPs) often find it challenging to decide to prescribe antibiotics or not. C-reactive protein (CRP) point of care test (POCT), and chest X-ray are diagnostic tests that can optimize the treatment decision. However, their usefulness in clinical practice is unknown.&lt;b&gt;Objectives:&lt;/b&gt; To determine the proportion of Dutch GPs using CRP and chest X-ray in patients with an acute LRTI. To determine whether clinical factors and C-reactive protein point of care test affect the behaviour in requesting chest X-rays.&lt;b&gt;Methods:&lt;/b&gt; In 2014, a questionnaire was sent to a random sample of 900 Dutch GPs. Outcome parameters are the use of CRP and chest X-ray, the percentage of GPs who guide their decision in requesting chest X-rays by CRP testing and the GP's expectation regarding presence or absence of pneumonia. In addition, considerations for requesting chest X-rays were assessed.&lt;b&gt;Results:&lt;/b&gt; Two hundred and fifty-five completed questionnaires (29%) were returned. In 2014, 54% of the responding GPs used the CRP test. These GPs tend to use fewer chest X-rays (&lt;i&gt;p&lt;/i&gt; = 0.07). GPs overestimate the chance that pneumonia will be present on the radiograph. Seventy percent consider the possibility of abnormalities other than pneumonia as the main reason for requesting a chest X-ray.&lt;b&gt;Conclusion:&lt;/b&gt; In patients with an acute lower respiratory tract infection, GPs report that CRP results affect their behaviour regarding the request of a chest X-ray in patients with lower respiratory tract infection and therefore research is needed to substantiate the use of these diagnostic tools for this purpose.</t>
  </si>
  <si>
    <t>Guidance from key organisations on exploring, confirming and interpreting subgroup effects of medical treatments: a scoping review.</t>
  </si>
  <si>
    <t>Wijn, Stan R W; Rovers, Maroeska M; Le, Ly H; Belias, Michail; Hoogland, Jeroen; IntHout, Joanna; Debray, Thomas; Reitsma, Johannes B</t>
  </si>
  <si>
    <t>https://pubmed.ncbi.nlm.nih.gov/31446407</t>
  </si>
  <si>
    <t>With the increasing interest in personalised medicine, the use of subgroup analyses is likely to increase. Subgroup analyses are challenging and often misused, possibly leading to false interpretations of the effect. It remains unclear to what extent key organisations warn for such pitfalls and translate current methodological research to detect these effects into research guidelines. The aim of this scoping review is to determine and evaluate the current guidance used by organisations for exploring, confirming and interpreting subgroup effects. Scoping review. We identified four types of key stakeholder organisations: industry, health technology assessment organisations (HTA), academic/non-profit research organisations and regulatory bodies. After literature search and expert consultation, we identified international and national organisations of each type. For each organisation that was identified, we searched for official research guidance documents and contacted the organisation for additional guidance. Twenty-seven (45%) of the 60 organisations that we included had relevant research guidance documents. We observed large differences between organisation types: 18% (n=2) of the industry organisations, 64% (n=9) of the HTA organisations, 38% (n=8) of academic/non-profit research organisations and 57% (n=8) of regulatory bodies provided guidance documents. The majority of the documents (n=33, 63%) mentioned one or more challenges in subgroup analyses, such as false positive findings or ecological bias with variations across the organisation types. Statistical recommendations were less common (n=19, 37%) and often limited to a formal test of interaction. Almost half of the organisations included in this scoping review provided guidance on subgroup effect research in their guidelines. However, there were large differences between organisations in the amount and level of detail of their guidance. Effort is required to translate and integrate research findings on subgroup analysis to practical guidelines for decision making and to reduce the differences between organisations and organisation types.</t>
  </si>
  <si>
    <t>Contact precautions in single-bed or multiple-bed rooms for patients with extended-spectrum β-lactamase-producing Enterobacteriaceae in Dutch hospitals: a cluster-randomised, crossover, non-inferiority study.</t>
  </si>
  <si>
    <t>Kluytmans-van den Bergh, Marjolein F Q; Bruijning-Verhagen, Patricia C J; Vandenbroucke-Grauls, Christina M J E; de Brauwer, Els I G B; Buiting, Anton G M; Diederen, Bram M; van Elzakker, Erika P M; Friedrich, Alex W; Hopman, Joost; Al Naiemi, Nashwan; Rossen, John W A; Ruijs, Gijs J H M; Savelkoul, Paul H M; Verhulst, Carlo; Vos, Margreet C; Voss, Andreas; Bonten, Marc J M; Kluytmans, Jan A J W; ,</t>
  </si>
  <si>
    <t>https://pubmed.ncbi.nlm.nih.gov/31451419</t>
  </si>
  <si>
    <t>Use of single-bed rooms for control of extended-spectrum β-lactamase (ESBL)-producing Enterobacteriaceae is under debate; the added value when applying contact precautions has not been shown. We aimed to assess whether an isolation strategy of contact precautions in a multiple-bed room was non-inferior to a strategy of contact precautions in a single-bed room for preventing transmission of ESBL-producing Enterobacteriaceae. We did a cluster-randomised, crossover, non-inferiority study on medical and surgical wards of 16 Dutch hospitals. During two consecutive study periods, either contact precautions in a single-bed room or contact precautions in a multiple-bed room were applied as the preferred isolation strategy for patients with ESBL-producing Enterobacteriaceae cultured from a routine clinical sample (index patients). Eligible index patients were aged 18 years or older, had no strict indication for barrier precautions in a single-bed room, had a culture result reported within 7 days of culture and before discharge, and had no wardmate known to be colonised or infected with an ESBL-producing Enterobacteriaceae isolate of the same bacterial species with a similar antibiogram. Hospitals were randomly assigned in a 1:1 ratio by computer to one of two sequences of isolation strategies, stratified by university or non-university hospital. Allocation was masked for laboratory technicians who assessed the outcomes but not for patients, treating doctors, and infection-control practitioners enrolling index patients. The primary outcome was transmission of ESBL-producing Enterobacteriaceae to wardmates, which was defined as rectal carriage of an ESBL-producing Enterobacteriaceae isolate that was clonally related to the index patient's isolate in at least one wardmate. The primary analysis was done in the per-protocol population, which included patients who were adherent to the assigned room type. A 10% non-inferiority margin for the risk difference was used to assess non-inferiority. This study is registered with Nederlands Trialregister, NTR2799. 16 hospitals were randomised, eight to each sequence of isolation strategies. All hospitals randomised to the sequence single-bed room then multiple-bed room and five of eight hospitals randomised to the sequence multiple-bed room then single-bed room completed both study periods and were analysed. From April 24, 2011, to Feb 27, 2014, 1652 index patients and 12 875 wardmates were assessed for eligibility. Of those, 693 index patients and 9527 wardmates were enrolled and 463 index patients and 7093 wardmates were included in the per-protocol population. Transmission of ESBL-producing Enterobacteriaceae to at least one wardmate was identified for 11 (4%) of 275 index patients during the single-bed room strategy period and for 14 (7%) of 188 index patients during the multiple-bed room strategy period (crude risk difference 3·4%, 90% CI -0·3 to 7·1). For patients with ESBL-producing Enterobacteriaceae cultured from a routine clinical sample, an isolation strategy of contact precautions in a multiple-bed room was non-inferior to a strategy of contact precautions in a single-bed room for preventing transmission of ESBL-producing Enterobacteriaceae. Non-inferiority of the multiple-bed room strategy might change the current single-bed room preference for isolation of patients with ESBL-producing Enterobacteriaceae and, thus, broaden infection-control options for ESBL-producing Enterobacteriaceae in daily clinical practice. Netherlands Organisation for Health Research and Development.</t>
  </si>
  <si>
    <t>The moral and legal status of Health Care Workers in Cluster Randomized Trials: a response to Weijer and Taljaard.</t>
  </si>
  <si>
    <t>van der Graaf, Rieke; van Thiel, Ghislaine J M W; Hoop, Esther Oomen-de; Moons, Karel G M; Grobbee, Diederick E; van Delden, Johannes J M</t>
  </si>
  <si>
    <t>https://pubmed.ncbi.nlm.nih.gov/31449856</t>
  </si>
  <si>
    <t>In 2012, Weijer et al published "The Ottawa Statement on the ethical design and conduct of cluster randomized trials". In 2015, we reflected on this statement and argued that three recommendations in this statement need to be further refined. Weijer and Taljaard have responded to our comments in this issue of the journal. They agree with one of the proposed revisions but not with two others. In this commentary, we argue that the main reason why there is disagreement about two of our refinements is that we have different views on the moral and legal status of the health care workers as "research participants" in cluster randomized trials (CRTs). In this commentary, we clarify misunderstandings about our view expressed in 2015 and elaborate on the positions of health care workers in CRTs. We argue that there is sufficient reason to doubt whether the rights and interests of health care workers (HCWs) should be protected by means of ethics guidance documents and laws on human subjects research. Their interests are protected in the first place by professional codes of conduct which ensure that they cannot provide substandard care. Furthermore, protection of HCWs by ethics guidance on human subjects research will create an enormous burden for principle investigators and research ethics committees. Further debate is essential to determine how the interests of HCWs in CRTs can be protected best.</t>
  </si>
  <si>
    <t>An evidence-based toolbox for the design and implementation of selective-prevention primary-care initiatives targeting cardio-metabolic disease.</t>
  </si>
  <si>
    <t>Sonderlund, Anders Larrabee; Thilsing, Trine; Korevaar, Joke; Hollander, Monika; Lionis, Christos; Schellevis, Francois; Wändell, Per; Carlsson, Axel C; de Waard, Anne-Karien; de Wit, Niek; Seifert, Bohumil; Angelaki, Agapi; Kral, Norbert; Sondergaard, Jens</t>
  </si>
  <si>
    <t>https://pubmed.ncbi.nlm.nih.gov/31508298</t>
  </si>
  <si>
    <t>Cardio-metabolic diseases (CMD; cardiovascular disease, type 2 diabetes, chronic kidney disease) represent a global public health problem. Worldwide, nearly half a billion people are currently diagnosed with diabetes, and cardiovascular disease is the leading cause of death. Most of these diseases can be assuaged/prevented through behavior change. However, the best way to implement preventive interventions is unclear. We aim to fill this knowledge gap by creating an evidence-based and adaptable "toolbox" for the design and implementation of selective prevention initiatives (SPI) targeting CMD. We built our toolbox based on evidence from a pan-European research project on primary-care SPIs targeting CMD. The evidence includes (1) two systematic reviews and two surveys of patient and general practitioner barriers and facilitators of engaging with SPIs, (2) a consensus meeting with leading experts to establish optimal SPI design, and (3) a feasibility study of a generic, evidence-based primary-care SPI protocol in five European countries. Our results related primarily to the five different national health-care contexts from which we derived our data. On this basis, we generated 12 general recommendations for how best to design and implement CMD-SPIs in primary care. We supplement our recommendations with practical, evidence-based suggestions for how each recommendation might best be heeded. The toolbox is generic and adaptable to various national and systemic settings by clinicians and policy makers alike. However, our product needs to be kept up-to-date to be effective and we implore future research to add relevant tools as they are developed.</t>
  </si>
  <si>
    <t>Announcing Global Heart's activities for 2019.</t>
  </si>
  <si>
    <t>https://pubmed.ncbi.nlm.nih.gov/31433851</t>
  </si>
  <si>
    <t>Blood pressure and risk of cancer in the European Prospective Investigation into Cancer and Nutrition.</t>
  </si>
  <si>
    <t>Christakoudi, Sofia; Kakourou, Artemisia; Markozannes, Georgios; Tzoulaki, Ioanna; Weiderpass, Elisabete; Brennan, Paul; Gunter, Marc; Dahm, Christina C; Overvad, Kim; Olsen, Anja; Tjønneland, Anne; Boutron-Ruault, Marie-Christine; Madika, Anne-Laure; Severi, Gianluca; Katzke, Verena; Kühn, Tilman; Bergmann, Manuela M; Boeing, Heiner; Karakatsani, Anna; Martimianaki, Georgia; Thriskos, Paschalis; Masala, Giovanna; Sieri, Sabina; Panico, Salvatore; Tumino, Rosario; Ricceri, Fulvio; Agudo, Antonio; Redondo-Sánchez, Daniel; Colorado-Yohar, Sandra M; Mokoroa, Olatz; Melander, Olle; Stocks, Tanja; Häggström, Christel; Harlid, Sophia; Bueno-de-Mesquita, Bas; van Gils, Carla H; Vermeulen, Roel C H; Khaw, Kay-Tee; Wareham, Nicholas J; Tong, Tammy Y N; Freisling, Heinz; Johansson, Mattias; Lennon, Hannah; Aune, Dagfinn; Riboli, Elio; Trichopoulos, Dimitrios; Trichopoulou, Antonia; Tsilidis, Konstantinos K</t>
  </si>
  <si>
    <t>https://pubmed.ncbi.nlm.nih.gov/31319002</t>
  </si>
  <si>
    <t>Several studies have reported associations of hypertension with cancer, but not all results were conclusive. We examined the association of systolic (SBP) and diastolic (DBP) blood pressure with the development of incident cancer at all anatomical sites in the European Prospective Investigation into Cancer and Nutrition (EPIC). Hazard ratios (HRs) (95% confidence intervals) were estimated using multivariable Cox proportional hazards models, stratified by EPIC-participating center and age at recruitment, and adjusted for sex, education, smoking, body mass index, physical activity, diabetes and dietary (in women also reproductive) factors. The study included 307,318 men and women, with an average follow-up of 13.7 (standard deviation 4.4) years and 39,298 incident cancers. We confirmed the expected positive association with renal cell carcinoma: HR = 1.12 (1.08-1.17) per 10 mm Hg higher SBP and HR = 1.23 (1.14-1.32) for DBP. We additionally found positive associations for esophageal squamous cell carcinoma (SCC): HR = 1.16 (1.07-1.26) (SBP), HR = 1.31 (1.13-1.51) (DBP), weaker for head and neck cancers: HR = 1.08 (1.04-1.12) (SBP), HR = 1.09 (1.01-1.17) (DBP) and, similarly, for skin SCC, colon cancer, postmenopausal breast cancer and uterine adenocarcinoma (AC), but not for esophageal AC, lung SCC, lung AC or uterine endometroid cancer. We observed weak inverse associations of SBP with cervical SCC: HR = 0.91 (0.82-1.00) and lymphomas: HR = 0.97 (0.93-1.00). There were no consistent associations with cancers in other locations. Our results are largely compatible with published studies and support weak associations of blood pressure with cancers in specific locations and morphologies.</t>
  </si>
  <si>
    <t>Risk factors for in-hospital mortality in patients with dementia.</t>
  </si>
  <si>
    <t>Golüke, Nienke M S; van de Vorst, Irene E; Vaartjes, Ilonca H; Geerlings, Mirjam I; de Jonghe, Annemarieke; Bots, Michiel L; Koek, Huiberdina L</t>
  </si>
  <si>
    <t>https://pubmed.ncbi.nlm.nih.gov/31547914</t>
  </si>
  <si>
    <t>To examine the in-hospital mortality rate, and its risk factors, for patients with dementia admitted to hospital. We constructed an observational cohort study through data linkage of three Dutch national registers: the hospital discharge register (HDR), the population register (PR) and the national cause of death register. Patients with dementia in the HDR aged between 60 and 100 years registered between 1 January 2000 and 31 December 2010 were included. Risk factors for in-hospital mortality were investigated using multivariable Cox proportional hazard regression models that included sex, age, marital status, ethnicity, somatic comorbidity, type of dementia and urgency of admission. 40,500 patients were included in the cohort. The overall in-hospital mortality rate was 11.1%. Factors that significantly increased the mortality risk were: male sex (adjusted hazard ratio (HR) 1.52, 95%-confidence interval (95%-CI) 1.43-1.63), higher age (adjusted HR 1.03, 95%-CI 1.03-1.04), living with a partner (adjusted HR 1.39, 95%-CI 1.30-1.49), acute admission (adjusted HR 2.16, 95%-CI 1.97-2.36) and Alzheimer's disease (adjusted HR 1.21, 95%-CI 1.13-1.29). Cardiovascular disease was the most common cause of in-hospital mortality. This nationwide study found several independent risk factors for the in-hospital mortality of patients with dementia, including male sex, higher age, living with a partner, acute admission, and Alzheimer's disease. These risk factors should be taken into account by clinicians and caregivers as they will indicate whether patients are at risk of a more unfavourable outcome during hospital admission.</t>
  </si>
  <si>
    <t>Timeliness of immunisations in preterm infants in the Netherlands.</t>
  </si>
  <si>
    <t>Rouers, Elsbeth D M; Berbers, Guy A M; van Dongen, Josephine A P; Sanders, Elisabeth A M; Bruijning-Verhagen, Patricia; ,</t>
  </si>
  <si>
    <t>https://pubmed.ncbi.nlm.nih.gov/31443994</t>
  </si>
  <si>
    <t>In the Netherlands, preterm infants receive the immunisations at the same chronological age as recommended for term infants without correction for gestational age (GA). The aim of this paper was to describe the timeliness of the routine Dutch national immunisation schedule in preterm infants in their first year of life and to evaluate possible determinants of delay. Preterm infants were prospectively recruited between October 2015 and October 2017 and stratified according to GA (&lt;28, 28-32 and 32-36 weeks). Data from the baseline parental questionnaire, monthly parental questionnaires and medical records were used to determine the immunisation age and proportion of infants timely receiving the first immunisations (between 42 and 63 days). Results were compared between the GA and birth weight (BW) groups. Determinants associated with timeliness of immunisation were studied by multivariate logistic regression analysis. Timely start of immunisation occurs in 60.5% of preterm infants in the Netherlands. The proportion of infants receiving the first immunisation on time was lowest for the group with GA &lt;28 weeks (37%). The mean age of the first immunisation across all GA groups was 62.7 days (range 33-118) and differed significantly between GA group &lt;28 weeks and the other two GA groups of 28-32 and 32-36 weeks (p &lt; 0.001). Similar results were seen when stratified by BW. Multivariate analysis showed that low socioeconomic status (SES) and prolonged hospitalisation beyond 37 weeks each negatively influenced timeliness of the first immunisation. These findings indicate that start of immunisations was often delayed in prematures and differs for different GA groups, being lowest (37%) in infants &lt;28 weeks GA. Lower SES and prolonged hospital stay beyond 37 weeks GA are important determinants of timeliness. Efforts to improve timeliness should focus most on counselling parents in lower SES.</t>
  </si>
  <si>
    <t>Higher risk of intracranial aneurysms and subarachnoid haemorrhage in siblings of families with intracranial aneurysms.</t>
  </si>
  <si>
    <t>Zuurbier, Ccm; Greving, J P; Rinkel, Gje; Ruigrok, Y M</t>
  </si>
  <si>
    <t>https://pubmed.ncbi.nlm.nih.gov/32232172</t>
  </si>
  <si>
    <t>First-degree relatives of patients with familial aneurysmal subarachnoid hemorrhage have an increased risk of unruptured intracranial aneurysms and aneurysmal subarachnoid hemorrhage. We assessed whether the type of kinship of first-degree relatives of aneurysmal subarachnoid hemorrhage patients influences this risk. We used all available data from the prospectively collected database of families consulting our outpatient clinic between 1994-2016. We constructed pedigrees for all families with ≥2 first-degree relatives with aneurysmal subarachnoid hemorrhage or unruptured intracranial aneurysms. The proband was defined as the first family member with aneurysmal subarachnoid hemorrhage who sought medical attention. We compared both the proportion of aneurysmal subarachnoid hemorrhage and unruptured intracranial aneurysms in proband's first-degree relatives by calculating relative risks (RR) with children as the reference. We studied 154 families with 1,105 first-degree relatives of whom 146 had aneurysmalsubarachnoid hemorrhage. Unruptured intracranial aneurysms were identified in 63 (19%) of the 326 screened relatives. Siblings had a higher risk of aneurysmal subarachnoid hemorrhage (RR:1.62, 95% CI:1.12-2.38) and parents a lower risk (RR:0.44, 95% CI:0.24-0.81) than children. Siblings also had a higher risk of unruptured intracranial aneurysms (RR:2.28, 95% CI:1.23-4.07, age-adjusted RR:2.04, 95% CI:1.07-3.92) than children.&lt;b&gt;Conclusion:&lt;/b&gt; Siblings of patients with aneurysmal subarachnoid hemorrhage have a significanthigher risk of both unruptured intracranial aneurysms and aneurysmal subarachnoid hemorrhage and parents have a lower risk of aneurysmal subarachnoid hemorrhage than children. &lt;b&gt;Discussion:&lt;/b&gt; Type of kinship is a relevant factor to consider in risk prediction and screening advice in families with familial aneurysmal subarachnoid hemorrhage.</t>
  </si>
  <si>
    <t>Smoking Cessation Pharmacotherapy Based on Genetically-Informed Biomarkers: What is the Evidence?</t>
  </si>
  <si>
    <t>Panagiotou, Orestis A; Schuit, Ewoud; Munafò, Marcus R; Bennett, Derrick A; Bergen, Andrew W; David, Sean P</t>
  </si>
  <si>
    <t>nicotine tobacco research official journal of the society for research on nicotine and tobacco</t>
  </si>
  <si>
    <t>https://pubmed.ncbi.nlm.nih.gov/30690475</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</si>
  <si>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replicated non-single nucleotide polymorphisms, and/or the nicotine metabolite ratio. We estimated the genotype × treatment interaction as the ratio of risk ratios (RRR) for treatment effects across genotype groups. We identified 18 trials (N = 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6-month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with placebo, NRT was more effective among non-Hispanic black smokers with rs16969968-GG with regard to both 6-month abstinence (RRR for GG vs. GA or AA, 3.51; 95% confidence interval [CI] = 1.19 to 10.30) and end-of-treatment abstinence (RRR for GG vs. GA or AA, 5.84; 95% CI =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 × 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 informed biomarkers to guide pharmacotherapy choice for smoking cessation.</t>
  </si>
  <si>
    <t>[Are we too economical with antibiotics in elderly patients?].</t>
  </si>
  <si>
    <t>Zwart, Dorien L M</t>
  </si>
  <si>
    <t>https://pubmed.ncbi.nlm.nih.gov/31433140</t>
  </si>
  <si>
    <t>A large population-based cohort study by Gharbi et al. found an association between deferred or no antibiotic prescribing in patients with a urinary tract infection (UTI) or suspected UTI and an increased incidence of bloodstream infections and all-cause mortality. The study concludes that early initiation of antibiotics in (high risk) elderly is recommended. This contradicts with recently adjusted guidelines for UTI infections in elderly, in which clinicians are encouraged to be prudent with the prescription of antibiotics in order to avoid over-treatment. Critical appraisal of the study, however, reveals several arguments that challenge the clinical relevance of the findings; a nuanced interpretation of this study's conclusion is therefore indicated. Altogether, current guidelines for elderly with UTI provide sufficient standards for safe care, since they emphasize that holding back antibiotics should be combined with a careful watchful waiting policy and adequate safety net advice.</t>
  </si>
  <si>
    <t>Role of timing of exposure to pets and dampness or mould on asthma and sensitization in adolescence.</t>
  </si>
  <si>
    <t>https://pubmed.ncbi.nlm.nih.gov/31336400</t>
  </si>
  <si>
    <t>Pet and dampness or mould exposure are considered risk factors for asthma and sensitization. It is unclear whether timing of exposure to these factors is differentially associated with asthma risk and sensitization in adolescence. We investigated the role of timing of pet and dampness or mould exposure in asthma and sensitization in adolescence. Understanding this role is essential to build targeted prevention strategies. We used data from 1871 participants of the Dutch Prevention and Incidence of Asthma and Mite Allergy (PIAMA) cohort. Residential exposure to pets, dampness or mould was assessed by repeated parental questionnaires. We used asthma data from the 17-year questionnaire and sensitization data from the 16-year medical examination. We characterized timing using longitudinal exposure patterns from pregnancy till age 17 using longitudinal latent class growth modelling. We used logistic regression models to analyse associations of exposure patterns with asthma at age 17 and sensitization at age 16. For none of the time windows, exposure to pets and dampness or mould was associated with asthma at age 17, but a lower sensitization risk at age 16 was suggested, for example the odds ratio (95% confidence interval) for sensitization was 0.63 (0.35-1.11) and 0.69 (0.44-1.08) for early life and persistently high pet exposure, respectively, compared with very low exposure. An inverse association was also suggested for sensitization and moderate early childhood dampness or mould exposure (0.71 [0.42-1.19]). Different timing of pet and dampness or mould exposure was not associated with asthma, but lower risk of sensitization in adolescence was suggested, which could be partly attributable to reversed causation. Current findings are not sufficient to recommend pet avoidance to prevent allergic disease. More prospective studies are needed to obtain insights that can be used in clinical practice.</t>
  </si>
  <si>
    <t>Health-related quality of life in children after laparoscopic gastrostomy placement.</t>
  </si>
  <si>
    <t>Franken, Josephine; Stellato, Rebecca K; Tytgat, Stefaan H A J; van der Zee, David C; Mauritz, Femke A; Lindeboom, Maud Y A</t>
  </si>
  <si>
    <t>quality of life research an international journal of quality of life aspects of treatment care and rehabilitation</t>
  </si>
  <si>
    <t>https://pubmed.ncbi.nlm.nih.gov/31420828</t>
  </si>
  <si>
    <t>A gastrostomy placement (GP) is an established treatment to provide enteral feeding in pediatric patients with feeding difficulties aiming to improve nutritional status and health-related quality of life (HRQoL). The aim of this study was to evaluate HRQoL in children with severe feeding difficulties who have undergone GP. A cross-sectional study was performed including 128 patients who had undergone laparoscopic GP (2004-2011). HRQoL was evaluated using the validated Pediatric Quality of Life 4.0 Inventory. Multiple regression analysis was performed to identify predictors of HRQoL. After a mean follow-up of 4.0 years (interquartile range 2.9-6.2) after GP, mean HRQoL was 53.0 out of 100 (standard deviation 21.1). HRQoL was significantly lower in children with neurologic impairment, with a mean difference of -21.4 points between neurologically impaired and neurologically normal children (p &lt; 0.001). HRQoL was also lower in children with cardiac disease (-19.0 points; p = 0.01) and in children with a history of previous gastrointestinal surgery (-15.2 points; p = 0.03). Feeding through a gastrojejunostomy tube (-33.0 points; p = 0.01) and higher age at the time of operation (-1.2 points per year; p = 0.03) were also associated with lower HRQoL. GP-related complications requiring reintervention were associated with lower HRQoL, although this association was not statistically significant (p = 0.06). Children with severe feeding difficulty, who have undergone GP, have significantly lower HRQoL compared to a healthy pediatric population. Neurologic impairment, cardiac disease, a history of gastrointestinal surgery, older age, and the need for jejunal feeding through the gastrostomy were predictive of even lower HRQoL.</t>
  </si>
  <si>
    <t>Cerebral Perfusion and the Occurrence of Nonfocal Transient Neurological Attacks.</t>
  </si>
  <si>
    <t>Oudeman, Eline A; Bron, Esther E; Van den Berg-Vos, Renske M; Greving, Jacoba P; Biessels, Geert Jan; Klijn, Catharina J M; Kappelle, L Jaap; ,</t>
  </si>
  <si>
    <t>https://pubmed.ncbi.nlm.nih.gov/31422397</t>
  </si>
  <si>
    <t>Nonfocal transient neurological attacks (TNAs) are associated with an increased risk of cardiac events, stroke and dementia. Their etiology is still unknown. Global cerebral hypoperfusion has been suggested to play a role in their etiology, but this has not been investigated. We assessed whether lower total brain perfusion is associated with a higher occurrence of TNAs. Between 2015 and 2018, patients with heart failure were included in the Heart Brain Connection study. Patients underwent brain magnetic resonance imaging, including quantitative magnetic resonance angiography (QMRA) to measure cerebral blood flow (CBF). We calculated total brain perfusion of each participant by dividing total CBF by brain volume. Patients were interviewed with a standardized questionnaire on the occurrence of TNAs by physicians who were blinded to QMRA flow status. We assessed the relation between total brain perfusion and the occurrence of TNAs with Poisson regression analysis. Of 136 patients (mean age 70 years, 68% men), 29 (21%) experienced ≥1 TNAs. Nonrotatory dizziness was the most common subtype of TNA. Patients with TNAs were more often female and more often had angina pectoris than patients without TNAs, but total CBF and total brain perfusion were not different between both groups. Total brain perfusion was not associated with the occurrence of TNAs (adjusted risk ratio 1.12, 95% CI 0.88-1.42). We found no association between total brain perfusion and the occurrence of TNAs in patients with heart failure.</t>
  </si>
  <si>
    <t>Plasma cytokine profile on admission related to aetiology in community-acquired pneumonia.</t>
  </si>
  <si>
    <t>Burgmeijer, Eduard H; Duijkers, Ruud; Lutter, René; Bonten, Marc J M; Schweitzer, Valentijn A; Boersma, Wim G</t>
  </si>
  <si>
    <t>the clinical respiratory journal</t>
  </si>
  <si>
    <t>https://pubmed.ncbi.nlm.nih.gov/31310442</t>
  </si>
  <si>
    <t>Potentially unnecessary antibiotic use for community-acquired pneumonia (CAP) contributes to selection of antibiotic-resistant pathogens. Cytokine expression at the time that treatment is started may assist in identifying patients not requiring antibiotics. We determined plasma cytokine patterns in patients retrospectively categorized as strict viral, pneumococcal or combined viral-bacterial CAP. To investigate whether cytokine-based prediction models can be used to differentiate strict viral CAP from other aetiologies at admission. From 344 hospitalized CAP patients, 104 patients were categorized as viral CAP (n = 17), pneumococcal CAP (n = 48) and combined bacterial-viral CAP (n = 39). IL-6, IL-10, IL-27, IFN-γ and C-reactive protein (CRP) were determined on admission in plasma. Prediction of strict viral aetiology was explored with two multivariate regression models and ROC curves. Viral pneumonia was predicted by logistic regression using multiple cytokine levels (IL-6, IL-27 and CRP) with an AUC of 0.911 (95% CI: 0.852-0.971, P &lt; .001). For the same patients the AUC of CRP was 0.813 (95% CI: 0.728-0.898, P &lt; .001). This study demonstrated differences in cytokine expression in selected CAP patients between viral and bacterial aetiology. Prospective validation studies are warranted.</t>
  </si>
  <si>
    <t>Heterogeneity of Treatment Effects From an Intensive Lifestyle Weight Loss Intervention on Cardiovascular Events in Patients With Type 2 Diabetes: Data From the Look AHEAD Trial.</t>
  </si>
  <si>
    <t>de Vries, Tamar I; Dorresteijn, Jannick A N; van der Graaf, Yolanda; Visseren, Frank L J; Westerink, Jan</t>
  </si>
  <si>
    <t>https://pubmed.ncbi.nlm.nih.gov/31416897</t>
  </si>
  <si>
    <t>To explore the presence of heterogeneity of treatment effect (HTE) of an intensive lifestyle intervention on the occurrence of major cardiovascular events (MACE) in overweight or obese patients with type 2 diabetes, and to identify patient characteristics associated with individual treatment effect. In 4,901 participants from the Action for Health in Diabetes (Look AHEAD) trial, a penalized Cox regression model to predict treatment effect of intensive lifestyle intervention for the risk of MACE was derived, including all possible treatment-by-covariate interaction terms. The ability of the model to predict HTE was confirmed by calculating hazard ratios (HRs) and absolute risk change in quartiles of predicted treatment effect, and baseline patient characteristics were compared between quartiles. In quartile 1 of predicted treatment effect, with the highest predicted risk reduction, there was a significant treatment benefit of intensive lifestyle intervention (HR 0.64 [95% CI 0.49-0.83]), whereas there was no effect from treatment in quartiles 2 and 3 (HR 0.81 [95% CI 0.58-1.14] and 1.13 [95% CI 0.80-1.60], respectively) and a detrimental effect in quartile 4 (HR 1.37 [95% CI 1.09-1.73]). Several patient characteristics in demographics, medical history, physical examination, and laboratory values were associated with the level of treatment effect. This post hoc analysis of the Look AHEAD trial showed that an intensive lifestyle intervention aimed at weight loss may reduce cardiovascular events in selected patients but may have a detrimental treatment effect in others.</t>
  </si>
  <si>
    <t>A systematic breakdown of the levels of evidence supporting the European Society of Cardiology guidelines.</t>
  </si>
  <si>
    <t>van Dijk, Wouter B; Grobbee, Diederick E; de Vries, Martine C; Groenwold, Rolf H H; van der Graaf, Rieke; Schuit, Ewoud</t>
  </si>
  <si>
    <t>https://pubmed.ncbi.nlm.nih.gov/31409110</t>
  </si>
  <si>
    <t>Reviews of clinical practice guidelines have repeatedly concluded that only a minority of guideline recommendations are supported by high-quality evidence from randomised controlled trials. The aim of this study is to evaluate whether these findings apply to the whole cardiovascular evidence base or specific recommendation types and actions. All recommendations from current European Society of Cardiology guidelines were extracted with their class (I, treatment is beneficial; II, treatment is possibly beneficial; III, treatment is harmful) and level of evidence (A, multiple randomised controlled trials/meta-analyses; B, single randomised controlled trials/large observational studies; C, expert opinion/small studies). Recommendations were categorised by type (therapeutic, diagnostic, other) and actions (e.g. pharmaceutical intervention/non-invasive imaging/test). In total, 3531 recommendations (median 128, interquartile range 108-150) were extracted from 27 guidelines. Therapeutic recommendations comprised 2545 (72.1%) recommendations, 411 (16.1%) were supported by level of evidence A, 833 (32.7%) by B and 1301 (51.1%) by C. Class I/III (should/should not) recommendations on minimally invasive interventions were most supported by level of evidence A (55/183, 30.1%) (B [70/183, 38.3%], C [58/183, 31.7%]), while class I/III recommendations on open surgical interventions were least supported by level of evidence A (15/164, 9.1%) (B [34/164, 20.7%], C [115/164, 70.1%]). Of all (831, 23.5%) diagnostic recommendations, just 44/503 (8.7%) class I/III recommendations were supported by level of evidence A (B (125/503, 24.9%), C (334/503, 66.4%)). Evidence levels supporting European Society of Cardiology guideline recommendations differ widely between recommendation types and actions. Attributing to this variability are different evidence requirements, therapeutic/diagnostic recommendations, different feasibility levels for trials (e.g. open surgical/pharmacological) and many off-topic/policy recommendations based on expert opinion.</t>
  </si>
  <si>
    <t>The effects of topical antibiotics on eradication and acquisition of third-generation cephalosporin and carbapenem-resistant Gram-negative bacteria in ICU patients; a post hoc analysis from a multicentre cluster-randomized trial.</t>
  </si>
  <si>
    <t>Plantinga, N L; Wittekamp, B H J; Brun-Buisson, C; Bonten, M J M; ,</t>
  </si>
  <si>
    <t>https://pubmed.ncbi.nlm.nih.gov/31421272</t>
  </si>
  <si>
    <t>The aim was to quantify the effects of selective digestive tract decontamination (SDD) consisting of a mouth paste and gastro-enteral suspension, selective oropharyngeal decontamination with a mouth paste (SOD) and 1-2% chlorhexidine (CHX) mouthwash on eradication and acquisition of carriage of third-generation cephalosporin-resistant Enterobacterales (3GCR-E) and carbapenem-resistant Gram-negative bacteria (CR-GNB) in Intensive Care Unit (ICU) patients. This was a nested cohort study within a cluster-randomized cross-over trial in six European countries and 13 ICUs with 8665 patients. Eradication and acquisition during ICU stay of 3GCR-E and CR-GNB were investigated separately in the rectum and respiratory tract for the three interventions and compared with standard care (SC) using Cox-regression competing events analyses. Adjusted cause specific hazard ratios (CSHR) for eradication of rectal carriage for SDD were 1.76 (95% CI 1.31-2.36) for 3GCR-E and 3.17 (95% CI 1.60-6.29) for CR-GNB compared with SC. For the respiratory tract, adjusted CSHR for eradication of 3GCR-E were 1.47 (0.98-2.20) for SDD and 1.38 (0.92-2.06) for SOD compared with SC, and for eradication of CR-GNB these were 0.77 (0.41- 1.45) for SDD and 0.81 (0.44-1.51) for SOD, compared with SC. Adjusted CSHRs for acquisition of rectal carriage during SDD (compared with SC) were 0.51 (0.40-0.64) for 3GCR-E and of 0.56 (0.40-0.78) for CR-GNB. Adjusted CSHRs for acquiring respiratory tract carriage with 3GCR-E compared with SC were 0.38 (0.28-0.50) for SDD and 0.55 (0.42-0.71) for SOD, and for CR-GNB 0.46 (0.33-0.64) during SDD and 0.60 (0.44-0.81) during SOD, respectively. SOD was not associated with eradication or acquisition of 3GCR-E and CR-GNB in the rectum. Among mechanically ventilated ICU patients, SDD was associated with more eradication and less acquisition of 3GCR-E and CR-GNB in the rectum than SC. SDD and SOD were associated with less acquisition of both 3GCR-E and CR-GNB than SC in the respiratory tract.</t>
  </si>
  <si>
    <t>What should selective cardiometabolic prevention programmes in European primary care look like? A consensus-based design by the SPIMEU group.</t>
  </si>
  <si>
    <t>Král, Norbert; de Waard, Anne-Karien M; Schellevis, François G; Korevaar, Joke C; Lionis, Christos; Carlsson, Axel C; Sønderlund, Anders Larrabee; Søndergaard, Jens; Larsen, Lars Bruun; Hollander, Monika; Thilsing, Trine; Angelaki, Agapi; de Wit, Niek J; Seifert, Bohumil</t>
  </si>
  <si>
    <t>https://pubmed.ncbi.nlm.nih.gov/31411091</t>
  </si>
  <si>
    <t>&lt;b&gt;Background:&lt;/b&gt; Selective prevention of cardiometabolic diseases (CMD)-that is, preventive measures specifically targeting the high-risk population-may represent the most effective approach for mitigating rising CMD rates. &lt;b&gt;Objectives:&lt;/b&gt; To develop a universal concept of selective CMD prevention that can guide implementation within European primary care. &lt;b&gt;Methods:&lt;/b&gt; Initially, 32 statements covering different aspects of selective CMD prevention programmes were identified based on a synthesis of evidence from two systematic literature reviews and surveys conducted within the SPIMEU project. The Rand/UCLA appropriateness method (RAM) was used to find consensus on these statements among an international panel consisting of 14 experts. Before the consensus meeting, statements were rated by the experts in a first round. In the next step, during a face-to-face meeting, experts were provided with the results of the first rating and were then invited to discuss and rescore the statements in a second round. &lt;b&gt;Results:&lt;/b&gt; In the outcome of the RAM procedure, 28 of 31 statements were considered appropriate and three were rated uncertain. The panel deleted one statement. Selective CMD prevention was considered an effective approach for preventing CMD and a proactive approach was regarded as more effective compared to case-finding alone. The most efficient method to implement selective CMD prevention systematically in primary care relies on a stepwise approach: initial risk assessment followed by interventions if indicated. &lt;b&gt;Conclusion:&lt;/b&gt; The final set of statements represents the key characteristics of selective CMD prevention and can serve as a guide for implementing selective prevention actions in European primary care.</t>
  </si>
  <si>
    <t>Geriatric Assessment and the Relation with Mortality and Hospitalizations in Older Patients Starting Dialysis.</t>
  </si>
  <si>
    <t>van Loon, Ismay N; Goto, Namiko A; Boereboom, Franciscus T J; Bots, Michiel L; Hoogeveen, Ellen K; Gamadia, Laila; van Bommel, E F H; van de Ven, P J G; Douma, Caroline E; Vincent, H H; Schrama, Yvonne C; Lips, Joy; Siezenga, Machiel A; Abrahams, Alferso C; Verhaar, Marianne C; Hamaker, Marije E</t>
  </si>
  <si>
    <t>https://pubmed.ncbi.nlm.nih.gov/31408861</t>
  </si>
  <si>
    <t>A geriatric assessment (GA) is a structural method for identifying frail patients. The relation of GA findings and risk of death in end-stage kidney disease (ESKD) is not known. The objective of the GA in OLder patients starting Dialysis Study was to assess the association of GA at dialysis initiation with early mortality and hospitalization. Patients ≥65 years old were included just prior to dialysis initiation. All participants underwent a GA, including assessment of (instrumental) activities of daily living (ADL), mobility, cognition, mood, nutrition, and comorbidity. In addition, a frailty screening (Fried Frailty Index, [FFI]) was applied. Outcome measures were 6- and 12-month mortality, and 6-month hospitalization. Associations with mortality were assessed with cox-regression adjusting for age, sex, comorbidity burden, smoking, residual kidney function and dialysis modality. Associations with hospitalization were assessed with logistic regression, adjusting for relevant confounders. In all, 192 patients were included, mean age 75 ± 7 years, of whom 48% had ≥3 geriatric impairments and were considered frail. The FFI screening resulted in 46% frail patients. Mortality rate was 8 and 15% at 6- and 12-months after enrolment, and transplantation rate was 2 and 4% respectively. Twelve-month mortality risk was higher in patients with ≥3 impairments (hazard ratio [HR] 2.97 [95% CI 1.19-7.45]) compared to less impaired patients. FFI frail patients had a higher risk of 12-month mortality (HR 7.22 [95% CI 2.47-21.13]) and hospitalization (OR 1.93 [95% CI 1.00-3.72]) compared to fit patients. Malnutrition was associated with 12-month mortality, while impaired ADL and depressive symptoms were associated with 12-month mortality and hospitalization. Frailty as assessed by a GA is related to mortality in elderly patients with ESKD. Individual components of the GA are related to both mortality and hospitalization. As the GA allows for distinguishing between frail and fit patients initiating dialysis, it is potentially of added value in the decision-making process concerning dialysis initiation.</t>
  </si>
  <si>
    <t>Tumor Seeding During Colonoscopy as a Possible Cause for Metachronous Colorectal Cancer.</t>
  </si>
  <si>
    <t>Backes, Yara; Seerden, Tom C J; van Gestel, Rosanne S F E; Kranenburg, Onno; Ubink, Inge; Schiffelers, Raymond M; van Straten, Demian; van der Capellen, Malu S; van de Weerd, Simone; de Leng, Wendy W J; Siersema, Peter D; Offerhaus, G Johan A; Morsink, Folkert H; Ramphal, Winesh; Terhaar Sive Droste, Jochiim; van Lent, Anja U G; Geesing, Joost M J; Vleggaar, Frank P; Elias, Sjoerd G; Lacle, Miangela M; Moons, Leon M G</t>
  </si>
  <si>
    <t>https://pubmed.ncbi.nlm.nih.gov/31419435</t>
  </si>
  <si>
    <t>In patients who have undergone surgery for colorectal cancer (CRC), 3% have recurrence of (metachronous) CRC. We investigated whether tumor seeding during colonoscopy (iatrogenic implantation of tumor cells in damaged mucosa) increases risk for metachronous CRC. In a proof of principle study, we collected data from the Dutch National Pathology Registry for patients with a diagnosis of CRC from 2013 through 2015, with a second diagnosis of CRC within 6 months to 3.5 years after surgery. We reviewed pathology reports to identify likely metachronous CRC (histologically proven adenocarcinoma located elsewhere in the colon or rectum from the surgical anastomosis). For 22 patients fulfilling the inclusion criteria, we ascribed the most likely etiology to tumor seeding when endoscopic manipulations, such as biopsies or polypectomy, occurred at the location where the metachronous tumor was subsequently detected, after endoscopic manipulation of the primary tumor. We collected clinical data from patients and compared molecular profiles of the primary and metachronous colorectal tumors using next-generation sequencing. We then examined the source of seeded tumor. We tested whether tumor cells stay behind in the working channel of the endoscope after biopsies of colorectal tumors, and whether these cells maintain viability in organoid cultures. In total, tumor seeding was suspected as the most likely etiology of metachronous CRC in 5 patients. Tumor tissues were available from 3 patients. An identical molecular signature was observed in the primary and metachronous colorectal tumors from all 3 patients. In 5 control cases with a different etiology of metachronous CRC, the molecular signature of the primary and metachronous tumor were completely different. Based on review of 2147 patient records, we estimated the risk of tumor seeding during colonoscopy to be 0.3%-0.6%. We demonstrated that the working channel of the colonoscope becomes contaminated with viable tumor cells during biopsy collection. Subsequent instruments introduced through this working channel also became contaminated. These cells were shown to maintain their proliferative potential. In an analysis of primary and secondary tumors from patients with metachronous CRC, we found that primary tumor cells might be seeded in a new location after biopsy of the primary tumor. Although our study does not eliminate other possibilities of transmission, our findings and experiments support the hypothesis that tumor seeding can occur during colonoscopy via the working channel of the endoscope. The possibility of iatrogenic seeding seems low. However, our findings compel awareness on this potentially preventable cause of metachronous CRC.</t>
  </si>
  <si>
    <t>Knowledge-based and deep learning-based automated chest wall segmentation in magnetic resonance images of extremely dense breasts.</t>
  </si>
  <si>
    <t>Verburg, Erik; Wolterink, Jelmer M; de Waard, Stephanie N; Išgum, Ivana; van Gils, Carla H; Veldhuis, Wouter B; Gilhuijs, Kenneth G A</t>
  </si>
  <si>
    <t>medical physics</t>
  </si>
  <si>
    <t>https://pubmed.ncbi.nlm.nih.gov/31274194</t>
  </si>
  <si>
    <t>Segmentation of the chest wall, is an important component of methods for automated analysis of breast magnetic resonance imaging (MRI). Methods reported to date show promising results but have difficulties delineating the muscle border correctly in breasts with a large proportion of fibroglandular tissue (i.e., dense breasts). Knowledge-based methods (KBMs) as well as methods based on deep learning have been proposed, but a systematic comparison of these approaches within one cohort of images is currently lacking. Therefore, we developed a KBM and a deep learning method for segmentation of the chest wall in MRI of dense breasts and compared their performances. Two automated methods were developed, an optimized KBM incorporating heuristics aimed at shape, location, and gradient features, and a deep learning-based method (DLM) using a dilated convolution neural network. A data set of 115 T1-weighted MR images was randomly selected from MR images of women with extremely dense breasts (ACR BI-RADS category 4) participating in a screening trial of women (mean age 56.6 yr, range 49.5-75.2 yr) with dense breasts. Manual segmentations of the chest wall, acquired under supervision of an experienced breast radiologist, were available for all data sets. Both methods were optimized using the same randomly selected 36 MRI data sets from a total of 115 data sets. Each MR data set consisted of 179 transversal images with voxel size 0.64 mm&lt;sup&gt;3&lt;/sup&gt;  × 0.64 mm&lt;sup&gt;3&lt;/sup&gt;  × 1.00 mm&lt;sup&gt;3&lt;/sup&gt; . In the remaining 79 data sets, the results of both segmentation methods were qualitatively evaluated. A radiologist reviewed the segmentation results of both methods in all transversal images (n = 14 141) and determined whether the result would impact the ability to accurately determine the volume of fibroglandular and fatty tissue and whether segmentations masked breast regions that might harbor lesions. When no relevant deviation was detected, the result was considered successful. In addition, all segmentations were quantitatively assessed using the Dice similarity coefficient (DSC) and Hausdorff distance (HD), 95th percentile of the Hausdorff distance (HD95), false positive fraction (FPF), and false negative fraction (FNF) metrics. According to the radiologist's evaluation, the DLM had a significantly higher success rate than the KBM (81.6% vs 78.4%, P &lt; 0.01). The success rate was further improved to 92.1% by combining both methods. Similarly, the DLM had significantly lower values for FNF (0.003 ± 0.003 vs 0.009 ± 0.011, P &lt; 0.01) and HD95 (2.58 ± 1.78 mm vs 3.37 ± 2.11, P &lt; 0.01). However, the KBM resulted in a significantly lower FPF than the DLM (0.018 ± 0.009 vs 0.030 ± 0.009, P &lt; 0.01).There was no significant difference between the KBM and DLM in terms of DSC (0.982 ± 0.006 vs 0.984 ± 0.008, P = 0.08) or HD (24.14 ± 20.69 mm vs 12.81 ± 27.28 mm, P = 0.05). Both optimized knowledge-based and DLM showed good results to segment the pectoral muscle in women with dense breasts. Qualitatively assessed, the DLM was the most robust method. A quantitative comparison, however, did not indicate a preference for one method over the other.</t>
  </si>
  <si>
    <t>Impact of oral metronidazole treatment on the vaginal microbiota and correlates of treatment failure.</t>
  </si>
  <si>
    <t>Verwijs, Marijn C; Agaba, Stephen K; Darby, Alistair C; van de Wijgert, Janneke H H M</t>
  </si>
  <si>
    <t>https://pubmed.ncbi.nlm.nih.gov/31404542</t>
  </si>
  <si>
    <t>Metronidazole is the first-line treatment for bacterial vaginosis, but cure rates are suboptimal and recurrence rates high. To evaluate the impact of a standard course of oral metronidazole treatment (500 mg twice per day for 7 days) on the vaginal microbiota of Rwandan bacterial vaginosis patients using microscopy and 16S rRNA gene sequencing, and to evaluate correlates of treatment failure. HIV-negative, nonpregnant women aged 18-45 years with bacterial vaginosis and/or Trichomonas vaginalis (N=68) were interviewed and sampled before and after metronidazole treatment. They were also screened, and treated if applicable, for other urogenital infections. The vaginal microbiota was assessed by Gram stain Nugent scoring, Illumina 16S rRNA HiSeq sequencing (relative abundances), and BactQuant 16S gene quantitative polymerase chain reaction (estimated concentrations). Only women with a pretreatment Nugent score of 7-10 and a valid posttreatment Nugent score (N=55) were included in metronidazole treatment failure analyses, with treatment failure defined as a posttreatment Nugent score of 4-10. The bacterial vaginosis cure rate by Nugent scoring was 54.5%. The mean total vaginal bacterial concentration declined from 6.59 to 5.85 log&lt;sub&gt;10&lt;/sub&gt;/μL (P&lt;.001), which was mostly due to a reduction in mean bacterial vaginosis-associated anaerobes concentration (all bacterial vaginosis-associated anaerobe taxa combined) from 6.23 to 4.55 log&lt;sub&gt;10&lt;/sub&gt;/μL (P&lt;.001). However, only 16.4% of women had a bacterial vaginosis anaerobes concentration reduction of more than 50%, and only 3 women had complete eradication. The mean concentration of lactobacilli (all species combined) increased from 4.98 to 5.56 log&lt;sub&gt;10&lt;/sub&gt;/μL (P=.017), with L. iners being the most common species pre- and posttreatment. The mean concentration of pathobionts (defined as Proteobacteria, streptococci, staphylococci, enterococci, and a few others) did not change significantly: from 1.92 log&lt;sub&gt;10&lt;/sub&gt;/μL pretreatment to 2.01 log&lt;sub&gt;10&lt;/sub&gt;/μL posttreatment (P=.939). Pretreatment pathobionts concentration, and having a pretreatment vaginal microbiota type containing more than 50% Gardnerella vaginalis (compared with less than 50%), were associated with increased likelihood of treatment failure, but the latter did not reach statistical significance (P=.044 and P=.084, respectively). Metronidazole alone may not cure women with high G. vaginalis relative abundance, potentially due to biofilm presence, and women with high pathobionts concentration. These women may benefit from additional biofilm-disrupting and/or pathobiont-targeting treatments.</t>
  </si>
  <si>
    <t>Factors that influence the intended intensity of diabetes care in a person-centred setting.</t>
  </si>
  <si>
    <t>van Vugt, H A; Heijmans, M J W M; de Koning, E J P; Rutten, G E H M</t>
  </si>
  <si>
    <t>https://pubmed.ncbi.nlm.nih.gov/31278874</t>
  </si>
  <si>
    <t>To assess the intended intensity of Type 2 diabetes care and the factors associated with that intensity of care after the annual monitoring visit in which a new person-centred diabetes consultation model including shared decision making was used. We conducted an observational study in 1284 people from 47 general practices and six hospital outpatient clinics. Intensity of care (more, no/minimal change, less) was based on monitoring frequency and referral to other care providers. We used multivariable analyses to determine the factors that were independently associated with intensity of care. Care providers also reported three factors which, in their opinion, determined the intensity of care. After the consultation, 22.8% of people chose more intensive care, 70.6% chose no/minimal change and 6.6% chose less intensive care. Whether care became more intensive vs not/minimally changed was associated with a high educational level (odds ratio 1.65, CI 1.07 to 2.53; P=0.023), concern about illness (odds ratio 1.08; CI 1.00 to 1.17; P=0.045), goal-setting (odds ratio 6.53, CI 3.79 to 11.27; P&lt;0.001), comorbidities (odds ratio 1.12, CI 1.00 to 1.24; P=0.041) and use of oral blood glucose lowering medication (odds ratio 0.59, CI 0.39 to 0.89; P=0.011). Less intensive care vs no/minimal change was associated with lower diabetes distress levels (odds ratio 0.87, CI 0.79 to 0.97; P=0.009). According to care providers, quality of life, lifestyle, person's preferences and motivation, glycaemic control, and self-management possibilities most frequently determined the intended care. In person-centred diabetes care, the intended intensity of care was associated with both disease- and person-related factors.</t>
  </si>
  <si>
    <t>Lactobacilli-containing vaginal probiotics to cure or prevent bacterial or fungal vaginal dysbiosis: a systematic review and recommendations for future trial designs.</t>
  </si>
  <si>
    <t>van de Wijgert, Jhhm; Verwijs, M C</t>
  </si>
  <si>
    <t>https://pubmed.ncbi.nlm.nih.gov/31299136</t>
  </si>
  <si>
    <t>Vaginal probiotics claiming to cure and/or prevent bacterial and/or fungal vaginal dysbiosis are available on the market but, until recently, did not have to be approved as drugs for human use. We evaluated the impact of vaginal probiotics on bacterial vaginosis (BV) and vulvovaginal candidiasis (VVC) cure and/or recurrence, as well as vaginal microbiota (VMB) composition and vaginal detection of probiotic strains. We performed a systematic literature search in MEDLINE and Embase up to 15 January 2019. There were no restrictions in probiotic strains/formulations, study populations, and designs. BV had to be diagnosed by Nugent or Ison-Hay Gram stain scoring, VVC by culture, wet mount or PCR, and VMB composition/detection by molecular techniques. The authors independently extracted data. All 22 vaginal probiotics evaluated in the 34 eligible studies contained Lactobacillus strains, and some contained additional active ingredients. The probiotics hold promise for BV cure and prevention, but much less so for VVC cure and prevention. No major safety concerns were reported in any of the studies. Vaginal detection of probiotic strains never lasted long beyond the dosing period, suggesting that they did not colonise the vagina. However, findings are not definitive because heterogeneity was high and the quality of most studies suboptimal. Availability of vaginal probiotics for vaginal health indications will likely decline in 2020 because of regulatory changes. We urge the field to invest in clinical evidence-based product development and to conduct future trials more rigorously. Lactobacilli-containing vaginal probiotics hold promise for bacterial vaginosis cure and prevention, but not for vulvovaginal candidiasis.</t>
  </si>
  <si>
    <t>Living as a Cancer Survivor: A Qualitative Study on the Experiences of Belgian Adolescents and Young Adults (AYAs) after Childhood Cancer.</t>
  </si>
  <si>
    <t>Belpame, Nathalie; Kars, Marijke C; Deslypere, Eva; Rober, Peter; Van Hecke, Ann; Verhaeghe, Sofie</t>
  </si>
  <si>
    <t>https://pubmed.ncbi.nlm.nih.gov/31401013</t>
  </si>
  <si>
    <t>Insight was sought in how a childhood cancer experience plays a role in daily life of adolescents and young adults (AYA) survivors. A qualitative research in which semi-structured interviews were held with 21 AYA survivors of childhood cancer between the ages of 14 and 25. The AYA survivors were recruited from two pediatric oncology departments of two university hospitals in Belgium. The current situation and behavior of AYA-survivors who have been treated for childhood cancer are covered in 5 categories: The Feeling of Being Different while Aiming for Normalcy in Relationships, Living with Existential Uncertainty, The Conscious Protection of Health, The Attachment to the Parent(s) with Whom the Cancer Experience was Shared, and The Desire to Be Meaningful to Others. The AYA survivors did not feel that their cancer experience dominated their current daily life, yet, the cancer experience had an important impact on their functioning. The findings of the study can be used to optimize holistic psychosocial care of AYA survivors. By starting from the key elements in their current functioning, health care professionals can tailor their support to the way in which AYA survivors have integrated their cancer experience into their everyday lives.</t>
  </si>
  <si>
    <t>Organization and training at national level of antimicrobial stewardship and infection control activities in Europe: an ESCMID cross-sectional survey.</t>
  </si>
  <si>
    <t>Maraolo, Alberto Enrico; Ong, David S Y; Cimen, Cansu; Howard, Philip; Kofteridis, Diamantis P; Schouten, Jeroen; Mutters, Nico T; Pulcini, Céline; ,</t>
  </si>
  <si>
    <t>https://pubmed.ncbi.nlm.nih.gov/31396830</t>
  </si>
  <si>
    <t>Antimicrobial stewardship (AMS) and Infection prevention and control (IPC) are two key complementary strategies that combat development and spread of antimicrobial resistance. The ESGAP (ESCMID Study Group for AMS), EUCIC (European Committee on Infection Control) and TAE (Trainee Association of ESCMID) investigated how AMS and IPC activities and training are organized, if present, at national level in Europe. From February 2018 to May 2018, an internet-based cross-sectional survey was conducted through a 36-item questionnaire, involving up to three selected respondents per country, from 38 European countries in total (including Israel), belonging to the ESGAP/EUCIC/TAE networks. All 38 countries participated with at least one respondent, and a total of 81 respondents. Education and involvement in AMS programmes were mandatory during the postgraduate training of clinical microbiology and infectious diseases specialists in up to one-third of countries. IPC was acknowledged as a specialty in 32% of countries. Only 32% of countries had both guidance and national requirements regarding AMS programmes, in contrast to 61% for IPC. Formal national staffing standards for AMS and IPC hospital-based activities were present in 24% and 63% of countries, respectively. The backgrounds of professionals responsible for AMS and IPC programmes varied tremendously between countries. The organization and training of AMS and IPC in Europe are heterogeneous and national requirements for activities are frequently lacking.</t>
  </si>
  <si>
    <t>Determinants of unbearable suffering in hospice patients who died due to Euthanasia: A retrospective cohort study.</t>
  </si>
  <si>
    <t>Bos, Dieuwke C; de Graaf, Everlien; de Graeff, Alexander; Teunissen, Saskia C C M</t>
  </si>
  <si>
    <t>death studies</t>
  </si>
  <si>
    <t>https://pubmed.ncbi.nlm.nih.gov/31390320</t>
  </si>
  <si>
    <t>In this retrospective study, determinants of unbearable suffering in hospice patients who died due to euthanasia were analyzed. The four dimensions of suffering (physical, psychological, social, and existential) were used as a framework. 28 patients (5% of all admitted patients in nine years) were included. Most patients indicated 3-5 determinants, predominantly a combination of physical (96% of patients) and existential determinants (89%). Fatigue, anorexia, and dry mouth were the most prevalent and severe symptoms. Psychological (21%) and social determinants (4%) were much less often described. The results of this study may be used to assess determinants playing a role in euthanasia requests.</t>
  </si>
  <si>
    <t>Associations of neighbourhood safety with leisure-time walking and cycling in population subgroups: The HELIUS study.</t>
  </si>
  <si>
    <t>Timmermans, Erik J; Veldhuizen, Eleonore M; Mäki-Opas, Tomi; Snijder, Marieke B; Lakerveld, Jeroen; Kunst, Anton E</t>
  </si>
  <si>
    <t>spatial and spatiotemporal epidemiology</t>
  </si>
  <si>
    <t>https://pubmed.ncbi.nlm.nih.gov/31677765</t>
  </si>
  <si>
    <t>To create neighbourhood environments that encourage physical activity, it is important to know which neighbourhood characteristics are most influential. We examined the association of neighbourhood safety with leisure-time walking and cycling in the population at large, as well as in some subgroups in terms of sex, age, ethnicity and socio-economic position. We used data of 19,914 participants (18-70 years) from a study in Amsterdam, the Netherlands. Leisure-time walking and cycling in minutes/week were assessed with standard questionnaire. Geographic Information System techniques were used to examine neighbourhood safety (range = 1-10). Multilevel linear regression analyses showed positive associations between safety and walking (B = 7.9, 95% CI = -6.2-21.9) and cycling (B = 14.8, 95% CI = 2.5-27.1), but only the association with cycling was statistically significant. Higher safety levels were significantly associated with more cycling in women and individuals of Turkish and Moroccan origin. Stronger evidence is needed to inform policies to stimulate walking and cycling by improving neighbourhood safety.</t>
  </si>
  <si>
    <t>Secular Trends in Procedural Stroke or Death Risks of Stenting Versus Endarterectomy for Symptomatic Carotid Stenosis.</t>
  </si>
  <si>
    <t>Müller, Mandy D; von Felten, Stefanie; Algra, Ale; Becquemin, Jean-Pierre; Bulbulia, Richard; Calvet, David; Eckstein, Hans-Henning; Fraedrich, Gustav; Halliday, Alison; Hendrikse, Jeroen; Howard, George; Gregson, John; Jansen, Olav; Brown, Martin M; Mas, Jean-Louis; Brott, Thomas G; Ringleb, Peter A; Bonati, Leo H</t>
  </si>
  <si>
    <t>circulation cardiovascular interventions</t>
  </si>
  <si>
    <t>https://pubmed.ncbi.nlm.nih.gov/31378071</t>
  </si>
  <si>
    <t>Over the past decades, stroke risk associated with carotid disease has decreased, reflecting improvements in medical therapy and a more rigorous control of vascular risk factors. It is less clear whether the procedural risk of carotid revascularization has declined over time. We analyzed temporal changes in procedural risks among 4597 patients with symptomatic carotid stenosis treated with carotid artery stenting (n=2326) or carotid endarterectomy (n=2271) in 4 randomized trials between 2000 and 2008, using generalized linear mixed-effects models with a random intercept for each source trial. Models were additionally adjusted for age and other baseline characteristics predicting treatment risk. The primary outcome event was any procedural stroke or death, occurring during or within 30 days after revascularization. The procedural stroke or death risk decreased significantly over time in all patients (unadjusted odds ratio per year, 0.91; 95% CI, 0.85-0.97; P=0.006). This effect was driven by a decrease in the carotid endarterectomy group (unadjusted odds ratio per year, 0.82; 95% CI, 0.73-0.92; P=0.003), whereas no significant decrease was found after carotid artery stenting (unadjusted odds ratio, 0.96; 95% CI, 0.88-1.04; P=0.33). Carotid endarterectomy patients had a lower procedural stroke or death risk compared with carotid artery stenting patients, and the difference significantly increased over time (interaction P=0.031). After adjustment for baseline characteristics, the results remained essentially the same. The risk of stroke or death associated with carotid endarterectomy for symptomatic carotid stenosis decreased over an 8-year period, independent of clinical predictors of procedural risk. No corresponding reduction in procedural risk was seen in patients treated with stenting. URL: https://www.clinicaltrials.gov; http://www.isrctn.com. Unique identifier: NCT00190398 (EVA-3S), NCT00004732 (CREST), ISRCTN57874028 (SPACE), and ISRCTN25337470 (ICSS).</t>
  </si>
  <si>
    <t>Self-Management Education for Bipolar Disorders: A Hermeneutic-Phenomenological Study on the Tacit Knowledge of Mental Health Nurses.</t>
  </si>
  <si>
    <t>van den Heuvel, S C G H; Goossens, P J J; Terlouw, C; Schoonhoven, L; van Achterberg, T</t>
  </si>
  <si>
    <t>issues in mental health nursing</t>
  </si>
  <si>
    <t>https://pubmed.ncbi.nlm.nih.gov/31381457</t>
  </si>
  <si>
    <t>&lt;b&gt;Background:&lt;/b&gt; Self-management of bipolar disorder (BD) education is a complex nursing intervention in which patients and informal caregivers are taught to be actively involved in self-monitoring and self-regulating activities. Some studies question if nurses are sufficiently equipped to deliver these educational tasks. Other studies suggest that nurses have gathered their knowledge implicitly by experience, but to date, this tacit knowledge is not described from the experiences of mental health nurses (MHNs) in ambulant BD care. &lt;b&gt;Objective:&lt;/b&gt; To detect the tacit knowledge used by MHNs by interpreting their experiences in delivering self-management education to people with BD and their informal caregivers. &lt;b&gt;Methods:&lt;/b&gt; A phenomenological-hermeneutical study amongst MHNs (&lt;i&gt;N&lt;/i&gt; = 9) from three ambulant BD care clinics in the Netherlands. Face-to-face, open, in-depth interviews guided by a topic list, were conducted and transcribed verbatim prior to the hermeneutical analysis. &lt;b&gt;Findings:&lt;/b&gt; We found five categories resembling the complex character of self-management interventions provided by MHNs: Building a trustful collaboration, Starting a dialogue about needs and responsibilities, Explaining BD, Utilizing mood monitoring instruments, and Conceptualizing self-management of BD. &lt;b&gt;Conclusion:&lt;/b&gt; Eventually MHNs use tacit knowledge to cope with situations that demand an outside-the-box approach. Self-management education is partially trained and partially mastered through experience. &lt;b&gt;Practice implications:&lt;/b&gt; In order to facilitate long-term self-management of BD, the collaboration of a supporting network is essential.</t>
  </si>
  <si>
    <t>Comparing Different Residential Neighborhood Definitions and the Association Between Density of Restaurants and Home Cooking Among Dutch Adults.</t>
  </si>
  <si>
    <t>Pinho, Maria Gabriela M; Mackenbach, Joreintje D; Charreire, Hélène; Oppert, Jean-Michel; Rutter, Harry; Beulens, Joline W J; Brug, Johannes; Lakerveld, Jeroen</t>
  </si>
  <si>
    <t>https://pubmed.ncbi.nlm.nih.gov/31382624</t>
  </si>
  <si>
    <t>The definition of neighborhoods as areas of exposure to the food environment is a challenge in food environment research. We aimed to test the association of density of restaurants with home cooking using four different definitions of residential neighborhoods. We also tested effect modification by age, length of residency, education, and income. This innovative cross-sectional study was conducted in the Netherlands (&lt;i&gt;N&lt;/i&gt; = 1245 adults). We calculated geographic information system-based measures of restaurant density using residential administrative neighborhood boundaries, 800 m and 1600 m buffers around the home and respondents' self-defined boundaries (drawn by the respondents on a map of their residential area). We used adjusted Poisson regression to test associations of restaurant density (tertiles) and the outcome "weekly consumption of home-cooked meals" (six to seven as compared to five days per week (day/week) or fewer). Most respondents reported eating home-cooked meals for at least 6 day/week (74.2%). Regardless of the neighborhood definition used, no association between food environment and home cooking was observed. No effect modification was found. Although exposure in terms of density of restaurants was different according to the four different neighborhood definitions, we found no evidence that the area under study influences the association between density of restaurants and home cooking among Dutch adults.</t>
  </si>
  <si>
    <t>Observation of Light-by-Light Scattering in Ultraperipheral Pb+Pb Collisions with the ATLAS Detector.</t>
  </si>
  <si>
    <t>https://pubmed.ncbi.nlm.nih.gov/31491300</t>
  </si>
  <si>
    <t>This Letter describes the observation of the light-by-light scattering process, γγ→γγ, in Pb+Pb collisions at sqrt[s_{NN}]=5.02  TeV. The analysis is conducted using a data sample corresponding to an integrated luminosity of 1.73  nb^{-1}, collected in November 2018 by the ATLAS experiment at the LHC. Light-by-light scattering candidates are selected in events with two photons produced exclusively, each with transverse energy E_{T}^{γ}&gt;3  GeV and pseudorapidity |η_{γ}|&lt;2.4, diphoton invariant mass above 6 GeV, and small diphoton transverse momentum and acoplanarity. After applying all selection criteria, 59 candidate events are observed for a background expectation of 12±3 events. The observed excess of events over the expected background has a significance of 8.2 standard deviations. The measured fiducial cross section is 78±13(stat)±7(syst)±3(lumi)  nb.</t>
  </si>
  <si>
    <t>Amiodarone use and the risk of acute pancreatitis: Influence of different exposure definitions.</t>
  </si>
  <si>
    <t>https://pubmed.ncbi.nlm.nih.gov/31373736</t>
  </si>
  <si>
    <t>The antiarrhythmic drug amiodarone has a long half-life of 60 days, which is often ignored in observational studies. This study aimed to investigate the impact of different exposure definitions on the association between amiodarone use and the risk of acute pancreatitis. Using data from the Dutch PHARMO Database Network, incident amiodarone users were compared to incident users of a different type of antiarrhythmic drug. Eighteen different definitions were applied to define amiodarone exposure, including dichotomized, continuous and categorized cumulative definitions with lagged effects to account for the half-life of amiodarone. For each exposure definition, a Cox proportional hazards model was used to estimate the hazard ratio (HR) of hospitalization for acute pancreatitis. This study included 15,378 starters of amiodarone and 21,394 starters of other antiarrhythmic drugs. Adjusted HRs for acute pancreatitis ranged between 1.21-1.43 for dichotomized definitions of exposure to amiodarone, between 1.13-1.22 for dose definitions (per DDD) and between 0.52-1.72 for cumulative dose definitions, depending on the category. Accounting for lagged effects had little impact on estimated HRs. This study demonstrates the relative insensitivity of the association between amiodarone and the risk of acute pancreatitis against a broad range of different exposure definitions. Accounting for possible lagged effects had little impact, possibly because treatment switching and discontinuation was uncommon in this population.</t>
  </si>
  <si>
    <t>What constitutes a reasonable compensation for non-commercial oocyte donors: an analogy with living organ donation and medical research participation.</t>
  </si>
  <si>
    <t>Kool, Emy; van der Graaf, Rieke; Bos, Annelies; Fauser, Bartholomeus; Bredenoord, Annelien</t>
  </si>
  <si>
    <t>https://pubmed.ncbi.nlm.nih.gov/31375547</t>
  </si>
  <si>
    <t>There is a growing consensus that the offer of a reasonable compensation for oocyte donation for reproductive treatment is acceptable if it does not compromise voluntary and altruistically motivated donation. However, how to translate this 'reasonable compensation' in practice remains unclear as compensation rates offered to oocyte donors between different European Union countries vary significantly. Clinics involved in oocyte donation, as well as those in other medical contexts, might be encouraged in calculating a more consistent and transparent compensation for donors if the elements that constitute a reasonable compensation are explicated. In doing so, lessons can be learnt from living organ donation and medical research participation. Practices in which the elements of a reasonable compensation for the individuals involved have already been more defined in the literature. By means of analogical reasoning, we will outline the different components of a reasonable compensation and subsequently apply these to the context of oocyte donation. We will argue that oocyte donors should first of all be reasonably reimbursed direct expenses related to the donation, without standard remuneration of lost wages. Second, donating oocytes requests a serious time investment, therefore donors are entitled to suitable compensation for their time spent and efforts made. Finally, we will explain that a reasonable compensation consisting of these two components allows for altruism to remain the key value of oocyte donation for reproductive treatment. However, if we acknowledge that donors' motives are more complex and often include reasons from self-interest, the reasonable compensation may be complemented with modest (non)monetary benefits.</t>
  </si>
  <si>
    <t>Utrecht Pediatric Wheelchair Mobility Skills Test: Reliability, Validity, and Responsiveness in Youths Using a Manual Wheelchair.</t>
  </si>
  <si>
    <t>Sol, Marleen E; de Groot, Janke F; Zwinkels, Maremka; Visser-Meily, J M Anne; Kruitwagen, Cas L J J; Verschuren, Olaf</t>
  </si>
  <si>
    <t>physical therapy</t>
  </si>
  <si>
    <t>https://pubmed.ncbi.nlm.nih.gov/30939199</t>
  </si>
  <si>
    <t>The assessment of wheelchair mobility skills (WMS) in youths using a manual wheelchair is important. More information is needed regarding the psychometric properties of the newly developed Utrecht Pediatric Wheelchair Mobility Skills Test (UP-WMST). The purpose of this study was to evaluate the reliability, content validity, construct validity, and responsiveness of the UP-WMST 2.0 in youths using a manual wheelchair. This was a repeated-measurements, cross-sectional study. A total of 117 children and adolescents who use a manual wheelchair participated in this study. The UP-WMST 2.0 contains the same 15 WMS items as the original UP-WMST but has an adaptation of the scoring method. Test-retest reliability was estimated in 30 participants. Content validity was assessed through floor and ceiling effect analyses. Construct validity was assessed through hypothesis testing. Preliminary estimates of responsiveness were assessed in 23 participants who participated in a WMS training program. Test-retest reliability analysis showed weighted Cohen kappa coefficients ranging from 0.63 to 0.98 for all but 1 item. The total UP-WMST 2.0 score had an intraclass correlation coefficient of 0.97. No floor or ceiling effects were detected. Independent-sample t test analysis confirmed our hypotheses regarding direction and difference in scores between age and diagnostic groups. Within-group analysis in the responsiveness study showed a positive significant change in UP-WMST 2.0 score (8.3 points). The small sample size used in the responsiveness study was a limitation of this study. This study provided evidence of the test-retest reliability, content, and construct validity of the UP-WMST 2.0. It also provided initial evidence of the responsiveness of the UP-WMST 2.0 for measuring change in WMS in youths using a manual wheelchair.</t>
  </si>
  <si>
    <t>Association of menopausal characteristics and risk of coronary heart disease: a pan-European case-cohort analysis.</t>
  </si>
  <si>
    <t>Dam, Veerle; van der Schouw, Yvonne T; Onland-Moret, N Charlotte; Groenwold, Rolf H H; Peters, Sanne A E; Burgess, Stephen; Wood, Angela M; Chirlaque, Maria-Dolores; Moons, Karel G M; Oliver-Williams, Clare; Schuit, Ewoud; Tikk, Kaja; Weiderpass, Elisabete; Holm, Marianne; Tjønneland, Anne; Kühn, Tilman; Fortner, Renée T; Trichopoulou, Antonia; Karakatsani, Anna; La Vecchia, Carlo; Ferrari, Pietro; Gunter, Marc; Masala, Giovanna; Sieri, Sabina; Tumino, Rosario; Panico, Salvatore; Boer, Jolanda M A; Verschuren, W M Monique; Salamanca-Fernández, Elena; Arriola, Larraitz; Moreno-Iribas, Conchi; Engström, Gunnar; Melander, Olle; Nordendahl, Maria; Wennberg, Patrik; Key, Timothy J; Colorado-Yohar, Sandra; Matullo, Giuseppe; Overvad, Kim; Clavel-Chapelon, Francoise; Boeing, Heiner; Quiros, J Ramon; di Angelantonio, Emanuele; Langenberg, Claudia; Sweeting, Michael J; Riboli, Elio; Wareham, Nicholas J; Danesh, John; Butterworth, Adam</t>
  </si>
  <si>
    <t>https://pubmed.ncbi.nlm.nih.gov/30796459</t>
  </si>
  <si>
    <t>Earlier age at menopause has been associated with increased risk of coronary heart disease (CHD), but the shape of association and role of established cardiovascular risk factors remain unclear. Therefore, we examined the associations between menopausal characteristics and CHD risk; the shape of the association between age at menopause and CHD risk; and the extent to which these associations are explained by established cardiovascular risk factors. We used data from EPIC-CVD, a case-cohort study, which includes data from 23 centres from 10 European countries. We included only women, of whom 10 880 comprise the randomly selected sub-cohort, supplemented with 4522 cases outside the sub-cohort. We conducted Prentice-weighted Cox proportional hazards regressions with age as the underlying time scale, stratified by country and adjusted for relevant confounders. After confounder and intermediate adjustment, post-menopausal women were not at higher CHD risk compared with pre-menopausal women. Among post-menopausal women, earlier menopause was linearly associated with higher CHD risk [HRconfounder and intermediate adjusted per-year decrease = 1.02, 95% confidence interval (CI) = 1.01-1.03, p = 0.001]. Women with a surgical menopause were at higher risk of CHD compared with those with natural menopause (HRconfounder-adjusted = 1.25, 95% CI = 1.10-1.42, p &lt; 0.001), but this attenuated after additional adjustment for age at menopause and intermediates (HR = 1.12, 95% CI = 0.96-1.29, p = 0.15). A proportion of the association was explained by cardiovascular risk factors. Earlier and surgical menopause were associated with higher CHD risk. These associations could partially be explained by differences in conventional cardiovascular risk factors. These women might benefit from close monitoring of cardiovascular risk factors and disease.</t>
  </si>
  <si>
    <t>Effect of initial immunosuppression on long-term kidney transplant outcome in immunological low-risk patients.</t>
  </si>
  <si>
    <t>Michielsen, Laura A; van Zuilen, Arjan D; Verhaar, Marianne C; Wisse, Bram W; Kamburova, Elena G; Joosten, Irma; Allebes, Wil A; van der Meer, Arnold; Baas, Marije C; Spierings, Eric; Hack, Cornelis E; van Reekum, Franka E; Bots, Michiel L; Drop, Adriaan C A D; Plaisier, Loes; Seelen, Marc A J; Sanders, Jan-Stephan F; Hepkema, Bouke G; Lambeck, Annechien J; Bungener, Laura B; Roozendaal, Caroline; Tilanus, Marcel G J; Voorter, Christien E; Wieten, Lotte; van Duijnhoven, Elizabeth M; Gelens, Mariëlle A C J; Christiaans, Maarten H L; van Ittersum, Frans J; Nurmohamed, Shaikh A; Lardy, Neubury M; Swelsen, Wendy; van der Pant, Karlijn A; van der Weerd, Neelke C; Ten Berge, Ineke J M; Bemelman, Frederike J; Hoitsma, Andries; van der Boog, Paul J M; de Fijter, Johan W; Betjes, Michiel G H; Heidt, Sebastiaan; Roelen, Dave L; Claas, Frans H; Otten, Henderikus G; Hilbrands, Luuk B</t>
  </si>
  <si>
    <t>https://pubmed.ncbi.nlm.nih.gov/30561730</t>
  </si>
  <si>
    <t>Few studies have evaluated the effect of different immunosuppressive strategies on long-term kidney transplant outcomes. Moreover, as they were usually based on historical data, it was not possible to account for the presence of pretransplant donor-specific human-leukocyte antigen antibodies (DSA), a currently recognized risk marker for impaired graft survival. The aim of this study was to evaluate to what extent frequently used initial immunosuppressive therapies increase graft survival in immunological low-risk patients. We performed an analysis on the PROCARE cohort, a Dutch multicentre study including all transplantations performed in the Netherlands between 1995 and 2005 with available pretransplant serum (n = 4724). All sera were assessed for the presence of DSA by a luminex single-antigen bead assay. Patients with a previous kidney transplantation, pretransplant DSA or receiving induction therapy were excluded from the analysis. Three regimes were used in over 200 patients: cyclosporine (CsA)/prednisolone (Pred) (n = 542), CsA/mycophenolate mofetil (MMF)/Pred (n = 857) and tacrolimus (TAC)/MMF/Pred (n = 811). Covariate-adjusted analysis revealed no significant differences in 10-year death-censored graft survival between patients on TAC/MMF/Pred therapy (79%) compared with patients on CsA/MMF/Pred (82%, P = 0.88) or CsA/Pred (79%, P = 0.21). However, 1-year rejection-free survival censored for death and failure unrelated to rejection was significantly higher for TAC/MMF/Pred (81%) when compared with CsA/MMF/Pred (67%, P &lt; 0.0001) and CsA/Pred (64%, P &lt; 0.0001). These results suggest that in immunological low-risk patients excellent long-term kidney graft survival can be achieved irrespective of the type of initial immunosuppressive therapy (CsA or TAC; with or without MMF), despite differences in 1-year rejection-free survival.</t>
  </si>
  <si>
    <t>Hippocampal sulcal cavities: prevalence, risk factors and association with cognitive performance. The SMART-Medea study and PREDICT-MR study.</t>
  </si>
  <si>
    <t>Blom, Kim; Koek, Huiberdina L; van der Graaf, Yolanda; Zwartbol, Maarten H T; Wisse, Laura E M; Hendrikse, Jeroen; Biessels, Geert Jan; Geerlings, Mirjam I; ,</t>
  </si>
  <si>
    <t>brain imaging and behavior</t>
  </si>
  <si>
    <t>https://pubmed.ncbi.nlm.nih.gov/29981017</t>
  </si>
  <si>
    <t>Hippocampal sulcal cavities (HSCs) are frequently observed on MRI, but their etiology and relevance is unclear. HSCs may be anatomical variations, or result from pathology. We assessed the presence of HSCs, and their cross-sectional association with demographics, vascular risk factors and cognitive functioning in two study samples. Within a random sample of 92 patients with vascular disease from the SMART-Medea study (mean age = 62, SD = 9 years) and 83 primary care patients from the PREDICT-MR study (mean age = 62, SD = 12 years) one rater manually scored HSCs at 1.5 T 3D T1-weighted coronal images blind to patient information. We estimated relative risks of age, sex and vascular risk factors with presence of HSCs using Poisson regression with log-link function and robust standard errors adjusted for age and sex. Using ANCOVA adjusted for age, sex, and education we estimated the association of the number of HSCs with memory, executive functioning, speed, and working memory. In the SMART-Medea study HSCs were present in 65% and in 52% in the PREDICT-MR study (χ&lt;sup&gt;2&lt;/sup&gt; = 2.99, df = 1, p = 0.08). In both samples, no significant associations were observed between presence of HSCs and age (SMART-Medea: RR = 1.00; 95%CI 0.98-1.01; PREDICT-MR: RR = 1.01; 95%CI 0.99-1.03), sex, or vascular risk factors. Also, no associations between HSCs and cognitive functioning were found in either sample. HSCs are frequently observed on 1.5 T MRI. Our findings suggest that, in patients with a history of vascular disease and primary care attendees, HSCs are part of normal anatomic variation of the human hippocampus rather than markers of pathology.</t>
  </si>
  <si>
    <t>Response to Comment on "High Operator and Hospital Volume are Associated With a Decreased Risk of Death and Stroke Following Carotid Revascularization: A Systematic Review and Meta-analysis: Authors' Reply".</t>
  </si>
  <si>
    <t>https://pubmed.ncbi.nlm.nih.gov/30499811</t>
  </si>
  <si>
    <t>Attributable sources of community-acquired carriage of Escherichia coli containing β-lactam antibiotic resistance genes: a population-based modelling study.</t>
  </si>
  <si>
    <t>Mughini-Gras, Lapo; Dorado-García, Alejandro; van Duijkeren, Engeline; van den Bunt, Gerrita; Dierikx, Cindy M; Bonten, Marc J M; Bootsma, Martin C J; Schmitt, Heike; Hald, Tine; Evers, Eric G; de Koeijer, Aline; van Pelt, Wilfrid; Franz, Eelco; Mevius, Dik J; Heederik, Dick J J; ,</t>
  </si>
  <si>
    <t>https://pubmed.ncbi.nlm.nih.gov/31439317</t>
  </si>
  <si>
    <t>Extended-spectrum β-lactamase-producing Escherichia coli (ESBL-EC), plasmid-mediated AmpC-producing E coli (pAmpC-EC), and other bacteria are resistant to important β-lactam antibiotics. ESBL-EC and pAmpC-EC are increasingly reported in animals, food, the environment, and community-acquired and health-care-associated human infections. These infections are usually preceded by asymptomatic carriage, for which attributions to animal, food, environmental, and human sources remain unquantified. In this population-based modelling study, we collected ESBL and pAmpC gene data on the Netherlands population for 2005-17 from published datasets of gene occurrences in E coli isolates from different sources, and from partners of the ESBL Attribution Consortium and the Dutch National Antimicrobial Surveillance System. Using these data, we applied an established source attribution model based on ESBL-EC and pAmpC-EC prevalence and gene data for humans, including high-risk populations (ie, returning travellers, clinical patients, farmers), farm and companion animals, food, surface freshwater, and wild birds, and human exposure data, to quantify the overall and gene-specific attributable sources of community-acquired ESBL-EC and pAmpC-EC intestinal carriage. We also used a simple transmission model to determine the basic reproduction number (R&lt;sub&gt;0&lt;/sub&gt;) in the open community. We identified 1220 occurrences of ESBL-EC and pAmpC-EC genes in humans, of which 478 were in clinical patients, 454 were from asymptomatic carriers in the open community, 103 were in poultry and pig farmers, and 185 were in people who had travelled out of the region. We also identified 6275 occurrences in non-human sources, including 479 in companion animals, 4026 in farm animals, 66 in wild birds, 1430 from food products, and 274 from surface freshwater. Most community-acquired ESBL-EC and pAmpC-EC carriage was attributed to human-to-human transmission within or between households in the open community (60·1%, 95% credible interval 40·0-73·5), and to secondary transmission from high-risk groups (6·9%, 4·1-9·2). Food accounted for 18·9% (7·0-38·3) of carriage, companion animals for 7·9% (1·4-19·9), farm animals (non-occupational contact) for 3·6% (0·6-9·9), and swimming in freshwater and wild birds (ie, environmental contact) for 2·6% (0·2-8·7). We derived an R&lt;sub&gt;0&lt;/sub&gt; of 0·63 (95% CI 0·42-0·77) for intracommunity transmission. Although humans are the main source of community-acquired ESBL-EC and pAmpC-EC carriage, the attributable non-human sources underpin the need for longitudinal studies and continuous monitoring, because intracommunity ESBL-EC and pAmpC-EC spread alone is unlikely to be self-maintaining without transmission to and from non-human sources. 1Health4Food, Dutch Ministry of Economic Affairs, and the EU's Horizon-2020 through One-Health European Joint Programme.</t>
  </si>
  <si>
    <t>Cross-sectional study of association between psychosocial stressors with chronic kidney disease among migrant and non-migrant Ghanaians living in Europe and Ghana: the RODAM study.</t>
  </si>
  <si>
    <t>Adjei, David Nana; Stronks, Karien; Adu, Dwomoa; Beune, Erik; Meeks, Karlijn; Smeeth, Liam; Addo, Juliet; Owusu-Dabo, Ellis; Klipstein-Grobusch, Kerstin; Mockenhaupt, Frank; Schulze, Matthias; Danquah, Ina; Spranger, Joachim; Bahendeka, Silver Karaireho; Agyemang, Charles</t>
  </si>
  <si>
    <t>https://pubmed.ncbi.nlm.nih.gov/31375611</t>
  </si>
  <si>
    <t>The association between psychosocial stressors (PS) and chronic kidney disease (CKD) among sub-Saharan African (SSA) populations is unknown. We examined the association between PS and CKD prevalence among rural and urban Ghanaians and Ghanaian migrants living in three European cities. We also assessed if the influence of PS on CKD is partially mediated by primary risk factors (hypertension and diabetes) of CKD. A multi-centred cross sectional data from the Research on Obesity and Diabetes among African Migrants study. Rural and urban Ghana and three European cities (Amsterdam, Berlin and London). A random sample of 5659 adults (Europe 3167, rural Ghana 1043 and urban Ghana 1449) aged 25-70 years. PS defined by negative life events, perceived discrimination, perceived stress at work/home and depressive symptoms. Three CKD outcomes were considered using the 2012 Kidney Disease: Improving Global Outcomes severity of CKD classification. Comparisons between PS and CKD outcomes were made using logistic regression analyses across all sites. We observed higher proportion of negative life events (68.7%) and perceived permanent stress (15.9%) among Ghanaians living in Ghana than Ghanaians living in Europe. Depressive symptoms (7.5%) and perceived discrimination (29.7%) were more common among Ghanaians living in Europe than Ghanaians living in Ghana. No significant association was observed between any of the PS constructs and CKD outcomes across sites except for positive association between stress at work/home and albuminuria (2.81, 95% CI 1.46 to 5.40) and CKD risk (2.78, 95% CI 1.43 to 5.43) among Ghanaians living in Berlin. Our study found a positive association between stress at work/home and albuminuria and CKD risk. There was no convincing evidence of associations between the other PS constructs and the prevalence of CKD risk. Further studies are needed to identify potential factors driving the high prevalence of CKD among these populations.</t>
  </si>
  <si>
    <t>Maternal and perinatal outcomes of asylum seekers and undocumented migrants in Europe: a systematic review.</t>
  </si>
  <si>
    <t>Gieles, Noor C; Tankink, Julia B; van Midde, Myrthe; Düker, Johannes; van der Lans, Peggy; Wessels, Catherina M; Bloemenkamp, Kitty W M; Bonsel, Gouke; van den Akker, Thomas; Goosen, Simone; Rijken, Marcus J; Browne, Joyce L</t>
  </si>
  <si>
    <t>https://pubmed.ncbi.nlm.nih.gov/31098629</t>
  </si>
  <si>
    <t>Asylum seekers (AS) and undocumented migrants (UM) are at risk of adverse pregnancy outcomes due to adverse health determinants and compromised maternal healthcare access and service quality. Considering recent migratory patterns and the absence of a robust overview, a systematic review was conducted on maternal and perinatal outcomes in AS and UM in Europe. Systematic literature searches were performed in MEDLINE and EMBASE (until 1 May 2017), complemented by a grey literature search (until 1 June 2017). Primary research articles reporting on any maternal or perinatal outcome, published between 2007 and 2017 in English/Dutch were eligible for inclusion. Review protocols were registered on Prospero: CRD42017062375 and CRD42017062477. Due to heterogeneity in study populations and outcomes, results were synthesized narratively. Of 4652 peer-reviewed articles and 145 grey literature sources screened, 11 were included from 4 European countries. Several studies reported adverse outcomes including higher maternal mortality (AS), severe acute maternal morbidity (AS), preterm birth (UM) and low birthweight (UM). Risk of bias was generally acceptable, although the limited number and quality of some studies preclude definite conclusions. Limited evidence is available on pregnancy outcomes in AS and UM in Europe. The adverse outcomes reported imply that removing barriers to high-quality maternal care should be a priority. More research focussing on migrant subpopulations, considering potential risk factors such as ethnicity and legal status, is needed to guide policy and optimize care.</t>
  </si>
  <si>
    <t>Measles Immunity at 4.5 Years of Age Following Vaccination at 9 and 15-18 Months of Age Among Human Immunodeficiency Virus (HIV)-infected, HIV-exposed-uninfected, and HIV-unexposed Children.</t>
  </si>
  <si>
    <t>Mutsaerts, Eleonora A M L; Nunes, Marta C; van Rijswijk, Martijn N; Klipstein-Grobusch, Kerstin; Otwombe, Kennedy; Cotton, Mark F; Violari, Avy; Madhi, Shabir A</t>
  </si>
  <si>
    <t>https://pubmed.ncbi.nlm.nih.gov/30418528</t>
  </si>
  <si>
    <t>Human immunodeficiency virus (HIV)-infected and HIV-exposed-uninfected (HEU) children may be at increased risk of measles infection due to waning of immunity following vaccination. We evaluated persistence of antibodies to measles vaccination at 4.5 years of age in HIV-unexposed, HEU, and HIV-infected children with CD4+ ≥25% previously randomized to immediate antiretroviral therapy (ART) interrupted at 12 months (HIV/Immed-ART-12), 24 months (HIV/Immed-ART-24), or when clinically/immunologically indicated (HIV/Def-ART). The HIV/Def-ART group initiated ART by median 5.8 (interquartile range, 4.4-10.3) months of age. In this study, HIV-unexposed (n = 95), HEU (n = 84), HIV/Immed-ART-12 (n = 70), HIV/Immed-ART-24 (n = 70), and HIV/Def-ART (n = 62) children were scheduled to receive measles vaccination at age 9 and 15-18 months. Antimeasles serum immunoglobulin G titers were quantified using enzyme-linked immunosorbent assay at 4.5 years. Compared with HIV-unexposed children (2860 mIU/mL), measles antibody geometric mean titers (GMTs) were significantly lower in both HIV/Immed-ART-12 (571; P &lt; .001) and HIV/Immed-ART-24 (1136; P &lt; .001) but similar in the HIV/Def-ART (2777) and HEU (3242) groups. Furthermore, compared with HIV-unexposed, antibody titers ≥330 mIU/mL (ie, presumed serocorrelate for protection; 99%) were also significantly lower in HIV/Immed-ART-12 (70%; P &lt; .001) and HIV/Immed-ART-24 (83%; P &lt; .001) but similar in the HIV/Def-ART (90%) and HEU (98%) groups. HIV-infected children in whom ART was interrupted at either 12 or 24 months had lower GMTs and lower proportions with seroprotective titers than HIV-unexposed children, indicating a potential downside of ART treatment interruption. NCT00099658 and NCT00102960.</t>
  </si>
  <si>
    <t>The Rising Frequency of Continuous Deep Sedation in the Netherlands, a Repeated Cross-Sectional Survey in 2005, 2010, and 2015.</t>
  </si>
  <si>
    <t>Rietjens, Judith A C; Heijltjes, Madelon T; van Delden, Johannes J M; Onwuteaka-Philipsen, Bregje D; van der Heide, Agnes</t>
  </si>
  <si>
    <t>https://pubmed.ncbi.nlm.nih.gov/31378702</t>
  </si>
  <si>
    <t>In the Netherlands, the use of continuous deep sedation at the end of life has sharply increased from 8.2% of all deaths in 2005 to 12.3% in 2010 to 18.3 % in 2015. We describe its clinical characteristics in 2015 and compare it with 2010 and 2005. Questionnaire study in random samples of death reported to a central death registry. A nationwide study in the Netherlands among physicians attending reported deaths. Continuous deep sedation characteristics (patient characteristics, drugs, duration, estimated shortening of life, and palliative consultation) from the Netherlands in 2015 were compared with continuous deep sedation characteristics of 2010 and 2005. The response rate was 78% (n = 7277) in 2015, 74% (n = 6263) in 2010, and 78% (n = 6860) in 2005. The increased frequency of continuous deep sedation was notable in all patient subgroups, but mainly occurred among deaths attended by general practitioners, particularly in patients older than 80 years and patients with cancer. In 2015, continuous deep sedation was performed in 93% of the patients through administration of benzodiazepines. In 3% of the patients, the sedation lasted more than 1 week. Furthermore, 60% of the physicians reported that they had no intention to hasten death, 38% reported that they have taken hastening of death into account, and 2% reported their intention was to hasten death. For 1 in 5 patients, a palliative care expert was consulted prior to the start of sedation. These characteristics were comparable between 2015 and 2010. The increase in continuous deep sedation mainly occurred in deaths attended by general practitioners, especially in older patients and patients with cancer. As there are no major shifts in demographic and epidemiologic patterns of dying, future studies should investigate possible explanations for the increase predominantly in societal developments, such as increased attention to sedation in education and society, a broader interpretation of the concept of refractoriness, and an increased need of patients and physicians to control the dying process.</t>
  </si>
  <si>
    <t>Unconsented genetic testing in psychiatry: an (almost) no go?</t>
  </si>
  <si>
    <t>Luykx, Jurjen J; van der Spek, Rick; van Veen, Sisco; Lo-A-Foe, Wonnie; Giesbertz, Noor A A; Bredenoord, Annelien L; Palmboom, Ger G</t>
  </si>
  <si>
    <t>the lancet psychiatry</t>
  </si>
  <si>
    <t>https://pubmed.ncbi.nlm.nih.gov/31327434</t>
  </si>
  <si>
    <t>Timing of HPV16-E6 antibody seroconversion before OPSCC: findings from the HPVC3 consortium.</t>
  </si>
  <si>
    <t>Kreimer, A R; Ferreiro-Iglesias, A; Nygard, M; Bender, N; Schroeder, L; Hildesheim, A; Robbins, H A; Pawlita, M; Langseth, H; Schlecht, N F; Tinker, L F; Agalliu, I; Smoller, S W; Ness-Jensen, E; Hveem, K; D'Souza, G; Visvanathan, K; May, B; Ursin, G; Weiderpass, E; Giles, G G; Milne, R L; Cai, Q; Blot, W J; Zheng, W; Weinstein, S J; Albanes, D; Brenner, N; Hoffman-Bolton, J; Kaaks, R; Barricarte, A; Tjønneland, A; Sacerdote, C; Trichopoulou, A; Vermeulen, R C H; Huang, W-Y; Freedman, N D; Brennan, P; Waterboer, T; Johansson, M</t>
  </si>
  <si>
    <t>https://pubmed.ncbi.nlm.nih.gov/31185496</t>
  </si>
  <si>
    <t>Human papillomavirus type 16 (HPV16)-E6 antibodies are detectable in peripheral blood before diagnosis in the majority of HPV16-driven oropharyngeal squamous cell carcinoma (OPSCC), but the timing of seroconversion is unknown. We formed the HPV Cancer Cohort Consortium which comprises nine population cohorts from Europe, North America and Australia. In total, 743 incident OPSCC cases and 5814 controls provided at least one pre-diagnostic blood sample, including 111 cases with multiple samples. Median time between first blood collection and OPSCC diagnosis was 11.4 years (IQR = 6-11 years, range = 0-40 years). Antibodies against HPV16-E6 were measured by multiplex serology (GST fusion protein based Luminex assay). HPV16-E6 seropositivity was present in 0.4% of controls (22/5814; 95% CI 0.2% to 0.6%) and 26.2% (195/743; 95% CI 23.1% to 29.6%) of OPSCC cases. HPV16-E6 seropositivity increased the odds of OPSCC 98.2-fold (95% CI 62.1-155.4) in whites and 17.2-fold (95% CI 1.7-170.5) in blacks. Seropositivity in cases was more frequent in recent calendar periods, ranging from 21.9% pre-1996 to 68.4% in 2005 onwards, in those with blood collection near diagnosis (lead time &lt;5 years). HPV16-E6 seropositivity increased with lead time: 0.0%, 13.5%, 23.7%, and 38.9% with lead times of &gt;30 years (N = 24), 20-30 years (N = 148), 10-20 years (N = 228), and &lt;10 years (N = 301 cases) (p-trend &lt; 0.001). Of the 47 HPV16-E6 seropositive cases with serially-collected blood samples, 17 cases seroconverted during follow-up, with timing ranging from 6 to 28 years before diagnosis. For the remaining 30 cases, robust seropositivity was observed up to 25 years before diagnosis. The immune response to HPV16-driven tumorigenesis is most often detectable several decades before OPSCC diagnosis. HPV16-E6 seropositive individuals face increased risk of OPSCC over several decades.</t>
  </si>
  <si>
    <t>Impetigo incidence and treatment: a retrospective study of Dutch routine primary care data.</t>
  </si>
  <si>
    <t>Loadsman, Madelyn E N; Verheij, Theo J M; van der Velden, Alike W</t>
  </si>
  <si>
    <t>https://pubmed.ncbi.nlm.nih.gov/30346521</t>
  </si>
  <si>
    <t>There is a lack of recently published data on impetigo presentation incidence and treatment practices in the routine Western European primary care setting. To investigate impetigo incidence, treatments and recurrence in primary care in the Netherlands. A retrospective, observational study. Electronic records of patients treated for impetigo in 2015 at 29 general practices in Utrecht and surrounds were reviewed. An episode of impetigo was defined as one or more patient-doctor contacts within 8 weeks of the index consultation. Within an episode, patient demographics and prescribing patterns were analysed including number of treatments, and the category and sequence of individual medicines. A total of 1761 impetigo episodes were managed, with an incidence rate of 13.6 per 1000 person years. Impetigo peaked in summer. Most patients, the majority children, experienced a single episode (93%), and 25% had eczema as comorbidity. Topical antibiotics (primarily fusidic acid) were the most prescribed initial treatments (85%), followed by oral antibiotics (14%). Topical antibiotics were progressively used less over subsequent treatments, while there was an inverse increase in oral antibiotic use. Topical fusidic acid as the most common first line treatment seemed satisfactory as only 12% of initial treatments with this drug received further therapy. Repeat treatments generally occurred within 7 days. This study of impetigo prescribing patterns in primary care highlighted that Dutch general practitioners were generally adherent to national treatment guidelines. Topical treatment, and if needed systemic small-spectrum antibiotic treatment, appeared satisfactory; these findings aid in antimicrobial stewardship.</t>
  </si>
  <si>
    <t>Are our diets getting healthier and more sustainable? Insights from the European Prospective Investigation into Cancer and Nutrition - Netherlands (EPIC-NL) cohort.</t>
  </si>
  <si>
    <t>Biesbroek, Sander; Verschuren, Wm Monique; Boer, Jolanda Ma; van der Schouw, Yvonne T; Sluijs, Ivonne; Temme, Elisabeth Hm</t>
  </si>
  <si>
    <t>https://pubmed.ncbi.nlm.nih.gov/31362803</t>
  </si>
  <si>
    <t>To identify differences in dietary quality, dietary greenhouse gas (GHG) emissions and food consumption over 20 years in a Dutch cohort. Participants (n 8932) filled out an FFQ in 1993-1997 and in 2015. The Dutch Healthy Diet index 2015 (DHD15-index) score, GHG emissions and consumption of food groups (g/4184 kJ (1000 kcal)) were compared between the time points with paired t tests. The Netherlands. European Prospective Investigation into Cancer and Nutrition - Netherlands (EPIC-NL) cohort, aged 18-65 years at baseline. Total energy intake decreased by -678 (95 % CI -4908, 3377) kJ/d (-162 (95 % CI -1173, 807) kcal/d) for men and -372 (95 % CI -3820, 3130) kJ/d (-89 (95 % CI -913, 748) kcal/d) for women. DHD15-index scores increased by 11 % (from 64·8 to 71·9 points) and 13 % (from 65·2 to 73·6 points) in men and women, respectively (P &lt; 0·0001), mainly due to an increased (shell)fish and nuts/seeds/nut paste consumption. After energy intake adjustment, dietary-related GHG emissions increased by 5 % in men (2·48-2·61 kg CO2-eq/4184 kJ (1000 kcal), P &lt; 0·0001) and were similar in women (0·4 %, 2·70-2·71 kg CO2-eq/4184 kJ (1000 kcal), P = 0·3930) due to the increased consumption of (shell)fish, nuts/seeds/nut paste, poultry and higher GHG-intensive red meats such as beef. This Dutch cohort analyses showed more healthy diets without mitigated GHG emissions over a 20-year period, at similar energy intakes. Higher consumption of (shell)fish and poultry was not yet at the expense of red and processed meat. Lower consumption of animal-based foods is needed to achieve healthier as well as environmentally friendly diets.</t>
  </si>
  <si>
    <t>A pilot study of a novel molecular host response assay to diagnose infection in patients after high-risk gastro-intestinal surgery.</t>
  </si>
  <si>
    <t>Verboom, Diana M; Koster-Brouwer, Maria E; Ruurda, Jelle P; van Hillegersberg, Richard; van Berge Henegouwen, Mark I; Gisbertz, Suzanne S; Scicluna, Brendon P; Bonten, Marc J M; Cremer, Olaf L; ,</t>
  </si>
  <si>
    <t>https://pubmed.ncbi.nlm.nih.gov/31398685</t>
  </si>
  <si>
    <t>SeptiCyte LAB measures the expression of four host-response RNAs in peripheral blood to distinguish sepsis from sterile inflammation. This study evaluates whether sequential monitoring of this assay has diagnostic utility in patients after esophageal surgery. Patients who developed a complication within 30 days following esophageal surgery and a random sample of 100 patients having an uncomplicated course. SeptiCyte LAB scores (ranging 0-10 reflecting increasing likelihood of infection) were compared to post-hoc physician adjudication of infection likelihood. Among 370 esophagectomy patients, 120 (32%) subjects developed a complication requiring ICU (re)admission, 63 (53%) of whom could be analyzed. Immediate postoperative SeptiCyte LAB scores were highly variable, yet similar for patients having a complicated and uncomplicated postoperative course (median score of 2.4 (IQR 1.6-3.3) versus 2.2 (IQR 1.3-3), respectively). In a direct comparison of patients developing a confirmed infectious (n = 34) and non-infectious complication (n = 12), addition of SeptiCyte LAB to CRP improved diagnostic discrimination of infectious complications (AUC 0.88 (95%CI 0.77-0.99)) compared to CRP alone (AUC 0.76 (95%CI 0.61-0.91); p = .04). Sequential measurement of SeptiCyte LAB may have diagnostic value in the monitoring of surgical patients at high risk of postoperative infection, but its clinical performance in this setting needs to be validated.</t>
  </si>
  <si>
    <t>Accreditation of clinical centres providing primary prevention, secondary prevention and rehabilitation, and sports cardiology: A step towards optimizing quality.</t>
  </si>
  <si>
    <t>Janssen, Arne; Wagenaar, Kim P; Dendale, Paul; Grobbee, Diederick E</t>
  </si>
  <si>
    <t>https://pubmed.ncbi.nlm.nih.gov/31362532</t>
  </si>
  <si>
    <t>Designing Unforced Choice Experiments to Inform Health Care Decision Making: Implications of Using Opt-Out, Neither, or Status Quo Alternatives in Discrete Choice Experiments.</t>
  </si>
  <si>
    <t>Determann, Domino; Gyrd-Hansen, Dorte; de Wit, G Ardine; de Bekker-Grob, Esther W; Steyerberg, Ewout W; Lambooij, Mattijs S; Bjørnskov Pedersen, Line</t>
  </si>
  <si>
    <t>https://pubmed.ncbi.nlm.nih.gov/31354031</t>
  </si>
  <si>
    <t>&lt;b&gt;Background&lt;/b&gt;. Discrete choice experiments (DCEs) are increasingly used in the health care context to inform on patient preferences for health care services. In order for such experiments to provide useful and policy-relevant information, it is vital that the design includes those options that the respondent faces in the real-life situation. Whether to include opt-out, neither, or status quo alternatives has, however, received little attention in the DCE literature. We aim to investigate whether the use of different unforced choice formats affects DCE results in different settings: 1) opt-out versus neither in a health care market where there is no status quo and 2) including status quo in addition to opt-out in a health care market with a status quo. &lt;b&gt;Design&lt;/b&gt;. A DCE on Dutch citizens' preferences for personal health records served as our case, and 3189 respondents were allocated to the different unforced choice formats. We used mixed logit error component models to estimate preferences. &lt;b&gt;Results&lt;/b&gt;. We found that the use of different unforced choice formats affects marginal utilities and welfare estimates and hence the conclusions that will be drawn from the DCE to inform health care decision making. &lt;b&gt;Conclusions&lt;/b&gt;. To avoid biased estimates, we recommend that researchers are hesitant to use the neither option and consider including a status quo in addition to opt-out in settings where a status quo exists.</t>
  </si>
  <si>
    <t>Roux-Y Gastric Bypass and Sleeve Gastrectomy directly change gut microbiota composition independent of surgery type.</t>
  </si>
  <si>
    <t>Paganelli, Fernanda L; Luyer, Misha; Hazelbag, C Marijn; Uh, Hae-Won; Rogers, Malbert R C; Adriaans, Danielle; Berbers, Roos-Marijn; Hendrickx, Antoni P A; Viveen, Marco C; Groot, James A; Bonten, Marc J M; Fluit, Ad C; Willems, Rob J L; Leavis, Helen L</t>
  </si>
  <si>
    <t>https://pubmed.ncbi.nlm.nih.gov/31358818</t>
  </si>
  <si>
    <t>Bariatric surgery in morbid obesity, either through sleeve gastrectomy (SG) or Roux-Y gastric bypass (RYGB), leads to sustainable weight loss, improvement of metabolic disorders and changes in intestinal microbiota. Yet, the relationship between changes in gut microbiota, weight loss and surgical procedure remains incompletely understood. We determined temporal changes in microbiota composition in 45 obese patients undergoing crash diet followed by SG (n = 22) or RYGB (n = 23). Intestinal microbiota composition was determined before intervention (baseline, S1), 2 weeks after crash diet (S2), and 1 week (S3), 3 months (S4) and 6 months (S5) after surgery. Relative to S1, the microbial diversity index declined at S2 and S3 (p &lt; 0.05), and gradually returned to baseline levels at S5. Rikenellaceae relative abundance increased and Ruminococcaceae and Streptococcaceae abundance decreased at S2 (p &lt; 0.05). At S3, Bifidobacteriaceae abundance decreased, whereas those of Streptococcaceae and Enterobacteriaceae increased (p &lt; 0.05). Increased weight loss between S3-S5 was not associated with major changes in microbiota composition. No significant differences appeared between both surgical procedures. In conclusion, undergoing a crash diet and bariatric surgery were associated with an immediate but temporary decline in microbial diversity, with immediate and permanent changes in microbiota composition, independent of surgery type.</t>
  </si>
  <si>
    <t>Comparison of Fragmentation Functions for Jets Dominated by Light Quarks and Gluons from pp and Pb+Pb Collisions in ATLAS.</t>
  </si>
  <si>
    <t>Aaboud, M; Aad, G; Abbott, B; Abdinov, O; Abeloos, B; Abhayasinghe, D K;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Anell</t>
  </si>
  <si>
    <t>https://pubmed.ncbi.nlm.nih.gov/31491254</t>
  </si>
  <si>
    <t>Charged-particle fragmentation functions for jets azimuthally balanced by a high-transverse-momentum, prompt, isolated photon are measured in 25  pb^{-1} of pp and 0.49  nb^{-1} of Pb+Pb collision data at 5.02 TeV per nucleon pair recorded with the ATLAS detector at the Large Hadron Collider. The measurements are compared to predictions of Monte Carlo generators and to measurements of inclusively selected jets. In pp collisions, a different jet fragmentation function in photon-tagged events from that in inclusive jet events arises from the difference in fragmentation between light quarks and gluons. The ratios of the fragmentation functions in Pb+Pb events to that in pp events are used to explore the parton color-charge dependence of jet quenching in the hot medium. In relatively peripheral collisions, fragmentation functions exhibit a similar modification pattern for photon-tagged and inclusive jets. However, photon-tagged jets are observed to have larger modifications than inclusive jets in central Pb+Pb events.</t>
  </si>
  <si>
    <t>Estimating Morbidity Rates Based on Routine Electronic Health Records in Primary Care: Observational Study.</t>
  </si>
  <si>
    <t>Nielen, Mark M J; Spronk, Inge; Davids, Rodrigo; Korevaar, Joke C; Poos, René; Hoeymans, Nancy; Opstelten, Wim; van der Sande, Marianne A B; Biermans, Marion C J; Schellevis, Francois G; Verheij, Robert A</t>
  </si>
  <si>
    <t>https://pubmed.ncbi.nlm.nih.gov/31350839</t>
  </si>
  <si>
    <t>Routinely recorded electronic health records (EHRs) from general practitioners (GPs) are increasingly available and provide valuable data for estimating incidence and prevalence rates of diseases in the population. This paper describes how we developed an algorithm to construct episodes of illness based on EHR data to calculate morbidity rates. The goal of the research was to develop a simple and uniform algorithm to construct episodes of illness based on electronic health record data and develop a method to calculate morbidity rates based on these episodes of illness. The algorithm was developed in discussion rounds with two expert groups and tested with data from the Netherlands Institute for Health Services Research Primary Care Database, which consisted of a representative sample of 219 general practices covering a total population of 867,140 listed patients in 2012. All 685 symptoms and diseases in the International Classification of Primary Care version 1 were categorized as acute symptoms and diseases, long-lasting reversible diseases, or chronic diseases. For the nonchronic diseases, a contact-free interval (the period in which it is likely that a patient will visit the GP again if a medical complaint persists) was defined. The constructed episode of illness starts with the date of diagnosis and ends at the time of the last encounter plus half of the duration of the contact-free interval. Chronic diseases were considered irreversible and for these diseases no contact-free interval was needed. An algorithm was developed to construct episodes of illness based on routinely recorded EHR data to estimate morbidity rates. The algorithm constitutes a simple and uniform way of using EHR data and can easily be applied in other registries.</t>
  </si>
  <si>
    <t>Early-life factors are associated with waist circumference and type 2 diabetes among Ghanaian adults: The RODAM Study.</t>
  </si>
  <si>
    <t>Danquah, Ina; Addo, Juliet; Boateng, Daniel; Klipstein-Grobusch, Kerstin; Meeks, Karlijn; Galbete, Cecilia; Beune, Erik; Bahendeka, Silver; Spranger, Joachim; Mockenhaupt, Frank P; Stronks, Karien; Agyemang, Charles; Schulze, Matthias B; Smeeth, Liam</t>
  </si>
  <si>
    <t>https://pubmed.ncbi.nlm.nih.gov/31350427</t>
  </si>
  <si>
    <t>Early-life experiences may fuel the emergence of obesity and type 2 diabetes among African populations. We evaluated childhood socio-economic status (SES) and childhood nutritional status as risk factors for increased waist circumference and type 2 diabetes among Ghanaian adults. In the multi-center, cross-sectional Research on Obesity and Diabetes among African Migrants (RODAM) Study, we calculated associations (adjusted for demographics and lifestyle) of parental education and anthropometric markers of childhood nutrition [leg length, leg length-to-height ratio (LHR)] with waist circumference and type 2 diabetes, respectively. Among 5,575 participants (mean age: 46.2 years; 62% female), lower education of either parent (vs. higher) was consistently associated with higher waist circumference (∆: 1.6-3.4 cm). Lower father's education tended to increase the odds of type 2 diabetes by 50% in women (95% confidence interval (CI): 1.0, 2.4). Reduced leg length and LHR were associated with higher waist circumference. But only in men, leg length was inversely related to type 2 diabetes (OR per 1 standard deviation decrease: 1.1; 95% CI: 1.0, 1.3). In this study, markers of poor childhood SES and early-life nutritional status relate to abdominal obesity in men and women and to type 2 diabetes in men. Thus, prevention efforts should start in early childhood.</t>
  </si>
  <si>
    <t>Effects of an over-the-counter lactic-acid containing intra-vaginal douching product on the vaginal microbiota.</t>
  </si>
  <si>
    <t>van der Veer, C; Bruisten, S M; van Houdt, R; Matser, A A; Tachedjian, G; van de Wijgert, J H H M; de Vries, H J C; van der Helm, J J</t>
  </si>
  <si>
    <t>bmc microbiology</t>
  </si>
  <si>
    <t>https://pubmed.ncbi.nlm.nih.gov/31345159</t>
  </si>
  <si>
    <t>Over-the-counter intra-vaginal lactic-acid containing douches are marketed as vaginal hygiene products that support optimal vaginal pH balance. We report the effect of a commercially available douche (Etos®) on the vaginal microbiota (VM) in a prospective study. Twenty-five healthy women were recruited through advertisements in 2015-2017 (ethical approval: METC-2014_413) and followed over three menstrual cycles. The participants had a median age of 24 years [IQR: 22-29], were mostly Dutch-Caucasian (88%), and 60% used combined oral contraceptives. All participants douched three times a week during the second cycle, starting on the first day of that cycle. Participants completed a questionnaire at baseline, kept a daily diary to report douching, menses, and sexual activity, self-collected vaginal swabs every other day during the first and third cycle and daily during the second cycle, and measured vaginal pH mid-cycle. A median of 44 vaginal swabs [inter-quartile range (IQR): 41-50] were assessed per participant by 16S rRNA gene (V3-V4 region) sequencing and a Candida albicans PCR was done at four time-points. At baseline, 21 participants (84%) had Lactobacillus-dominated VM (Lactobacillus crispatus (n = 14), L. iners (n = 6), or diverse Lactobacillus species (n = 1) and 4 participants (16%) had VM consisting of diverse anaerobes. In multinomial logistic regression models, a trend towards increased odds were observed for having diverse anaerobic VM in the second and third cycle, compared to the first cycle, after adjusting for menses [odds ratio (OR) = 1.4 (95% CI: 0.9-2.1) and OR = 1.7 (95% CI: 0.9-3.1), respectively] (p = 0.376). Douching did not affect vaginal pH. Menses increased the odds for having VM consisting of diverse anaerobes almost two-fold (OR = 1.7; 95% CI: 1.0-2.8), while douching during menses increased the odds 2.6 fold (OR = 2.6; 95% CI: 1.0-6.5), compared to not menstruating (p = 0.099). Participants were more likely to test positive for C. albicans after cycle 2, compared to cycle 1 [OR = 3.0 (95% CI: 1.2-7.2); p = 0.017]. The Etos® douche did not significantly affect the vaginal pH or VM composition, although increased odds for having diverse anaerobic VM was observed, especially when douching during menses. Furthermore, douching may promote C. albicans infections.</t>
  </si>
  <si>
    <t>Effects of non-dispensing pharmacists integrated in general practice on medication-related hospitalisations.</t>
  </si>
  <si>
    <t>Sloeserwij, V M; Hazen, A C M; Zwart, D L M; Leendertse, A J; Poldervaart, J M; de Bont, A A; de Gier, J J; Bouvy, M L; de Wit, N J</t>
  </si>
  <si>
    <t>https://pubmed.ncbi.nlm.nih.gov/31240722</t>
  </si>
  <si>
    <t>To evaluate the effect of non-dispensing pharmacists (NDPs) integrated in general practice on medication-related hospitalisations, drug burden index and costs in patients at high risk of medication problems (being 65 years or older and using 5 or more chronic medications). This was a multicentre, nonrandomised, controlled intervention study with pre-post comparison (2013 vs June 2014 to May 2015) in 25 general practices in the Netherlands, comparing NDP-led care (intervention) with 2 current pharmaceutical care models (usual care and usual care plus). In the intervention group, 10 specially trained NDPs were employed in general practices to take integral responsibility for the pharmaceutical care. They provided a broad range of medication therapy management services both on patient level (e.g. clinical medication review) and practice level (e.g. quality improvement projects). In the control groups, pharmaceutical care was provided as usual by general practitioners and community pharmacists, or as usual plus, when pharmacists were additionally trained in performing medication reviews. Overall, 822 medication-related hospitalisations were identified among 11 281 high-risk patients during the intervention period. After adjustment for clustering and potential confounders, the rate ratio of medication-related hospitalisations in the intervention group compared to usual care was 0.68 (95% confidence interval: 0.57-0.82) and 1.05 (95% confidence interval: 0.73-1.52) compared to usual care plus. No differences in drug burden index or costs were found. In general practices with an integrated NDP, the rate of medication-related hospitalisations is lower compared to usual care. No differences with usual care plus were found.</t>
  </si>
  <si>
    <t>Neuropathy associated with immunoglobulin M monoclonal gammopathy: A combined sonographic and nerve conduction study.</t>
  </si>
  <si>
    <t>Goedee, H Stephan; Notermans, Nicolette C; Visser, Leo H; van Asseldonk, Jan-Thies H; Franssen, Hessel; Vrancken, Alexander F J E; Nikolakopoulos, Stavros; van den Berg, Leonard H; van der Pol, W Ludo</t>
  </si>
  <si>
    <t>muscle nerve</t>
  </si>
  <si>
    <t>https://pubmed.ncbi.nlm.nih.gov/31269243</t>
  </si>
  <si>
    <t>We assessed the specific sonographic pattern of structural nerve abnormalities in immunoglobulin M (IgM) neuropathy and disease controls. We enrolled 106 incident patients-32 patients with IgM neuropathy, 42 treatment-naive patients with chronic inflammatory demyelinating polyneuropathy, and 32 patients with axonal neuropathies. All patients underwent standardized ancillary testing in addition to standardized sonography of the brachial plexus and the large arm and leg nerves bilaterally. We found widespread nerve enlargement in IgM neuropathy and chronic inflammatory demyelinating polyneuropathy (CIDP), with specific enlargement of brachial plexus and proximal segments of median nerve but not in axonal disease controls (P &lt; .001). Sonographic nerve hypertrophy in IgM neuropathy was not associated with nerve conduction, clinical, or laboratory characteristics. Immunoglobulin M neuropathy is characterized by widespread nerve enlargement indistinguishable from CIDP. Our data provide evidence to confirm that the disease process is not confined to the more distal parts of nerves in either classical demyelinating or axonal variants of neuropathy with associated IgM.</t>
  </si>
  <si>
    <t>Subjective cognitive decline, brain imaging biomarkers, and cognitive functioning in patients with a history of vascular disease: the SMART-Medea study.</t>
  </si>
  <si>
    <t>Blom, Kim; Koek, Huiberdina L; Zwartbol, Maarten H T; van der Graaf, Yolanda; Kesseler, Lara; Biessels, Geert Jan; Geerlings, Mirjam I; ,</t>
  </si>
  <si>
    <t>https://pubmed.ncbi.nlm.nih.gov/31479862</t>
  </si>
  <si>
    <t>We estimated associations of subjective cognitive decline (SCD) with neuroimaging markers of dementia and cognitive functioning in patients with a history of vascular disease without objective cognitive impairment. Within the Second Manifestations of ARTerial disease-Memory, depression and aging study, 599 patients (62 ± 9 years) had 1.5 T brain magnetic resonance imaging and cognitive testing at the baseline and after 8 years of follow-up. Using multiple regression analyses, we estimated cross-sectional and longitudinal associations of SCD according to research criteria with volumes of total brain, hippocampus, white matter hyperintensities, and presence of lacunes and with memory, executive functioning, information processing speed, and working memory. SCD was associated with increased risk of lacunes at the baseline (relative risk = 1.48, 95% confidence interval: 1.03; 2.12) but not during follow-up. No significant associations with volumes of white matter hyperintensities, total brain, or hippocampus were observed. SCD was cross-sectionally associated with poorer executive functioning and speed but not during follow-up. More prospective studies are needed to further elucidate the relationship between SCD, brain imaging markers, and cognitive decline and the role of SCD in the preclinical stage of Alzheimer's disease.</t>
  </si>
  <si>
    <t>Association between person and disease related factors and the planned diabetes care in people who receive person-centered type 2 diabetes care: An implementation study.</t>
  </si>
  <si>
    <t>van Vugt, Heidi A; de Koning, Eelco J P; Rutten, Guy E H M</t>
  </si>
  <si>
    <t>https://pubmed.ncbi.nlm.nih.gov/31339929</t>
  </si>
  <si>
    <t>To assess the planned diabetes care for the coming year and its associated factors in patients with Type 2 diabetes who have a person-centered annual consultation. Implementation study of a new consultation model in 47 general practices (primary care) and 6 outpatient clinics (secondary care); 1200 patients from primary and 166 from secondary care participated. Data collection took place between November 2015 and February 2017. Outcomes: preferred monitoring frequency; referral to other health care provider(s); medication change. One measurement at the end of the consultation. We performed logistic regression analyses. Differences between primary and secondary care were analyzed. Many patients arranged a monitoring frequency &lt;4 times per year (general practices 19.5%, outpatient clinics 40%, p &lt; .001). Type of provider (physician/nurse, OR 3.83, p &lt; .001), baseline HbA1c (OR 1.02, p = .017), glucose lowering medication; and setting treatment goals (OR .65, p = .048) were associated with the chosen frequency. Independently associated with a referral were age (OR .99, p = .039), baseline glucose lowering medication and patients' goal setting (OR 1.52, p = .016). Medication change was associated with type of provider, baseline HbA1c, blood glucose lowering medication, quality of life (OR .80, p = .037) and setting treatment goals (OR 2.64, p = .001). Not only disease but also person related factors, especially setting treatment goals, are independently associated with planned care use in person-centered diabetes care.</t>
  </si>
  <si>
    <t>Adherence to a food group-based dietary guideline and incidence of prediabetes and type 2 diabetes.</t>
  </si>
  <si>
    <t>den Braver, Nicolette R; Rutters, Femke; van der Spek, Andrea L J Kortlever; Ibi, Dorina; Looman, Moniek; Geelen, Anouk; Elders, Petra; van der Heijden, Amber A; Brug, Johannes; Lakerveld, Jeroen; Soedamah-Muthu, Sabita S; Beulens, Joline W J</t>
  </si>
  <si>
    <t>https://pubmed.ncbi.nlm.nih.gov/31342227</t>
  </si>
  <si>
    <t>In this study, we investigated the association between adherence to the Dutch Healthy Diet index 2015 (DHD15-index) and incidence of prediabetes (preT2D) and Type 2 Diabetes (T2D) in a representative sample for the general Dutch population. Two prospective cohort studies, The Hoorn and The New Hoorn Study, were used for data analyses. In total, data from 2951 participants without diabetes at baseline (mean age 56.5 ± 7.5 years; 49.6% male) were harmonized. Baseline dietary intake was assessed with validated Food Frequency Questionnaires and adherence to the DHD15-index was calculated (range 0-130). PreT2D and T2D were classified according to the WHO criteria 2011. Poisson regression was used to estimate prevalence ratios between participant scores on the DHD15-index and preT2D and T2D, adjusted for follow-up duration, energy intake, socio-demographic, and lifestyle factors. Change in fasting plasma glucose levels (mmol/L) over follow-up was analysed using linear regression analyses, additionally adjusted for baseline value. During a mean follow-up of 6.3 ± 0.7 years, 837 participants developed preT2D and 321 participants developed T2D. The highest adherence to the DHD15-index was significantly associated with lower T2D incidence [model 3, PR&lt;sub&gt;T3vsT1&lt;/sub&gt;: 0.70 (0.53; 0.92), p&lt;sub&gt;trend&lt;/sub&gt; = 0.01]. The highest adherence to the DHD15-index pointed towards a lower incidence of preT2D [PR&lt;sub&gt;T3vsT1&lt;/sub&gt;: 0.87 (0.74; 1.03), p&lt;sub&gt;trend&lt;/sub&gt; = 0.11]. Higher adherence to the DHD15-index was not associated with change in fasting plasma glucose levels [β&lt;sub&gt;10point&lt;/sub&gt;: - 0.012 (- 0.034; 0.009)mmol/L]. The present study showed that the highest compared to the lowest adherence to the DHD15-index was associated with a lower T2D incidence, and pointed towards a lower incidence of preT2D. These results support the benefits of adhering to the guidelines in T2D prevention.</t>
  </si>
  <si>
    <t>Sex differences in cardiovascular risk management for people with diabetes in primary care: a cross-sectional study.</t>
  </si>
  <si>
    <t>de Jong, Marit; Vos, Rimke C; de Ritter, Rianneke; van der Kallen, Carla J; Sep, Simone J; Woodward, Mark; Stehouwer, Coen DA; Bots, Michiel L; Peters, Sanne Ae</t>
  </si>
  <si>
    <t>https://pubmed.ncbi.nlm.nih.gov/31366676</t>
  </si>
  <si>
    <t>Diabetes is a stronger risk factor for cardiovascular complications in women than men. To evaluate whether there are sex differences in cardiovascular risk management in patients with diabetes in primary care. A cross-sectional study was undertaken using data from 12 512 individuals with diabetes within the Dutch Julius General Practitioners Network (JGPN) from 2013. Linear and Poisson regression analyses were used to assess sex differences in risk factor levels, assessment, treatment, and control. No sex differences were found in HbA1c levels and control, while small differences were found for cardiovascular risk management. Blood pressure levels were higher (mean difference [MD] 1.09 mmHg; 95% confidence intervals [CI] = 0.41 to 1.77), while cholesterol levels (MD -0.38 mmol/l; 95% CI = -0.42 to -0.34) and body mass index ([BMI] MD -1.79 kg/m&lt;sup&gt;2&lt;/sup&gt;; 95% CI = -2.03 to 1.56) were lower in men than women. Risk factor assessment was similar between sexes, apart from high-density lipoprotein cholesterol (HDL-c), which was more commonly assessed in women (risk ratio [RR] 1.16; 95% CI = 1.13 to 1.20). Among those with a treatment indication for prevention, women with cardiovascular disease (CVD) were less likely to receive lipid-lowering drugs (RR 0.84; 95% CI = 0.76 to 0.93) than men, while women without CVD were more likely to receive lipid-lowering drugs (RR 1.16; 95% CI = 1.04 to 1.2). Among those treated, women were more likely to achieve systolic blood pressure (SBP) control (RR 1.06; 95% CI = 1.02 to 1.10) and less likely to achieve low-density lipoprotein cholesterol (LDL-c) control (RR 0.88; 95% CI = 0.85 to 0.91) than men. In this Dutch primary care setting, sex differences in risk factor assessment and treatment of people with diabetes were small. However, women with diabetes were less likely to achieve control for LDL-c and more likely to achieve blood pressure control than men with diabetes.</t>
  </si>
  <si>
    <t>Frailty is associated with elevated CRP trajectories and higher numbers of neutrophils and monocytes.</t>
  </si>
  <si>
    <t>Samson, Leonard Daniël; Boots, A Mieke H; Verschuren, W M Monique; Picavet, H Susan J; Engelfriet, Peter; Buisman, Anne-Marie</t>
  </si>
  <si>
    <t>experimental gerontology</t>
  </si>
  <si>
    <t>https://pubmed.ncbi.nlm.nih.gov/31336145</t>
  </si>
  <si>
    <t>With aging, the human immune system undergoes several changes. The clinical relevance of these changes, however, is relatively unknown. We investigated immunological aspects of human aging in relation to frailty in the Doetinchem Cohort Study (DCS). We calculated a frailty index score based on 36 health parameters for each individual in the DCS with data obtained in the period 2008-2016. The frailty index was used to define three health groups ('healthy', 'intermediate', and 'frail'), stratified by age and sex. In a subcohort (n = 289, 60-85 years, selected by balanced random sampling per frailty group), we collected blood samples between October 2016 and March 2017 to determine absolute numbers of leukocyte subsets. In addition, cytomegalovirus serostatus was assessed. C-reactive protein (CRP) levels were longitudinally assessed in four consecutive plasma samples per individual. These samples had been previously collected (1993-2013) as part of the DCS at regular time intervals and spanning a period of &gt;15 years. We observed higher numbers of myeloid derived neutrophils and monocytes in the frail group compared to the healthy group in both men and women, and, retrospectively, consistently higher CRP concentrations over a period of &gt;15 years. An increase in CRP concentration with age was found in women, but not in men. Frailty was not associated with cytomegalovirus serostatus or with changes in lymphoid derived T-, B-, or NK-cell numbers. Frail elderly, compared to their age- and sex-matched peers, endure a chronic and stable low-grade inflammation, which is associated with a myeloid cell lineage expansion. These findings could help to monitor clinically significant immunological decline in the elderly.</t>
  </si>
  <si>
    <t>Phenotypic factors associated with amisulpride-induced weight gain in first-episode psychosis patients (from the OPTiMiSE cohort).</t>
  </si>
  <si>
    <t>Pandit, R; Cianci, D; Ter Hark, S E; Winter-van Rossum, I; Ebdrup, B H; Broberg, B V; Garcia-Portilla, M P; Bobes, J; Vinkers, C H; Kahn, R S; Guloksuz, S; Huitema, A D R; Luykx, J J</t>
  </si>
  <si>
    <t>acta psychiatrica scandinavica</t>
  </si>
  <si>
    <t>https://pubmed.ncbi.nlm.nih.gov/31323113</t>
  </si>
  <si>
    <t>Antipsychotic-induced weight gain (AiWG) is a debilitating adverse effect of most antipsychotics. First-episode psychosis patients are particularly vulnerable to the detrimental consequences of AiWG. Amisulpride has good efficacy and tolerability. We here aimed to identify the phenotypic factors associated with amisulpride-induced weight gain in first-episode psychosis patients. Data were collected from the Optimization of Treatment and Management of Schizophrenia in Europe trial. Multivariable regression models with various phenotypic variables (N = 305) were performed with absolute AiWG and clinically relevant AiWG (≥7% AiWG) as outcomes. Four weeks of amisulpride treatment increased body weight from 69.7 to 72.4 kg (P &lt; 0.001). In the regression model of absolute AiWG, unemployment (β = 0.94, P = 0.016), younger age (β = -0.07, P = 0.031) and absence of current comorbid major depression disorder (β = -1.61, P = 0.034) were positively associated with absolute AiWG. In the regression model of clinically relevant AiWG, unemployment (OR = 2.83, P = 0.001), schizophreniform disorder (OR = 2.00, P = 0.025) and low baseline weight (OR = 0.97, P = 0.032) increased the likelihood of clinically relevant AiWG. Clinicians prescribing amisulpride should consider the relatively high susceptibility to AiWG in unemployed first-episode patients with psychosis, in particular young subjects with a diagnosis of schizophreniform disorder. We advise to carefully monitor these patients and, when needed, implement weight-reducing strategies.</t>
  </si>
  <si>
    <t>Decision analytic modeling was useful to assess the impact of a prediction model on health outcomes before a randomized trial.</t>
  </si>
  <si>
    <t>Jenniskens, Kevin; Lagerweij, Ghizelda R; Naaktgeboren, Christiana A; Hooft, Lotty; Moons, Karel G M; Poldervaart, Judith M; Koffijberg, Hendrik; Reitsma, Johannes B</t>
  </si>
  <si>
    <t>https://pubmed.ncbi.nlm.nih.gov/31330250</t>
  </si>
  <si>
    <t>To demonstrate how decision analytic models (DAMs) can be used to quantify impact of using a (diagnostic or prognostic) prediction model in clinical practice and provide general guidance on how to perform such assessments. A DAM was developed to assess the impact of using the HEART score for predicting major adverse cardiac events (MACE). Impact on patient health outcomes and health care costs was assessed in scenarios by varying compliance with and informed deviation (ID) (using additional clinical knowledge) from HEART score management recommendations. Probabilistic sensitivity analysis was used to assess estimated impact robustness. Impact of using the HEART score on health outcomes and health care costs was influenced by an interplay of compliance with and ID from HEART score management recommendations. Compliance of 50% (with 0% ID) resulted in increased missed MACE and costs compared with usual care. Any compliance combined with at least 50% ID reduced both costs and missed MACE. Other scenarios yielded a reduction in missed MACE at higher costs. Decision analytic modeling is a useful approach to assess impact of using a prediction model in practice on health outcomes and health care costs. This approach is recommended before conducting an impact trial to improve its design and conduct.</t>
  </si>
  <si>
    <t>Effects of shared medical appointments compared to individual appointments in children with atopic dermatitis: A pragmatic randomized controlled trial.</t>
  </si>
  <si>
    <t>Zijlstra, Wieneke T; van Os-Medendorp, Harmieke; Fieten, Karin B; Sinnema, Gerben; Bruijnzeel-Koomen, Carla A F M; Zuithoff, Nicolaas P A; L'Hoir, Monique P; Pasmans, Suzanne G M A</t>
  </si>
  <si>
    <t>https://pubmed.ncbi.nlm.nih.gov/31317599</t>
  </si>
  <si>
    <t>Atopic dermatitis (AD) needs intensive treatment and has a negative impact on quality of life. Shared medical appointments (SMAs) showed to be effective in clinical outcomes of chronic diseases, but little is known about the effects on children and families. To evaluate the effects of SMAs compared to individual appointments (IA) for children with AD and their parents on coping and clinical outcomes. In a pragmatic randomized controlled trial, new patients in UMC Utrecht with AD, younger than 18 years, and their parents were assigned to the SMA group or the IA group using a covariate adaptive randomization method, controlled for age. Before the intervention, 2 months (primary time-point) and 6 months thereafter, we assessed parental emotional coping (primary outcome), quality of life, anxiety about corticosteroids and patient disease activity. Patients, parents and healthcare professionals could not be blinded to group assignment. Of 140 patients, enrolled in the trial, 69 patients were assigned to the SMA and 71 to the IA intervention of whom 114 completed the intervention (SMA: 49; IA: 65). After 2 months, there were no differences between SMAs and IAs in effects on emotional coping: b 0.66, 95% CI -0.7 to 2.03; P = 0.33 (mean difference: 0.30; 95% CI -1.56 to 2.16; N SMA: 11; IA: 24), quality of life, anxiety about corticosteroids and disease activity. From the initial appointment to long-term follow-up, both groups showed substantial improvements, but not significant in disease activity and significant reduction in anxiety about corticosteroids. This study is limited by a low response rate; therefore, linear mixed models and dropout analyses were performed. No serious adverse events were reported. For children with AD and their parents, there were no additional benefits of GMAs in parental emotional coping, anxiety about corticosteroids, quality of life and disease activity. www.ISRCTN.org, ISRCTN08506572.</t>
  </si>
  <si>
    <t>Older patients' experiences with a shared decision-making process on choosing dialysis or conservative care for advanced chronic kidney disease: a survey study.</t>
  </si>
  <si>
    <t>Verberne, Wouter R; Konijn, Wanda S; Prantl, Karen; Dijkers, Janneke; Roskam, Margriet T; van Delden, Johannes J M; Bos, Willem Jan W</t>
  </si>
  <si>
    <t>https://pubmed.ncbi.nlm.nih.gov/31311511</t>
  </si>
  <si>
    <t>Many older patients approaching end-stage kidney disease have to decide whether to go for dialysis or non-dialytic conservative care (CC). Shared decision-making is recommended to align the treatment plan with the patient's preferences and values. Little is known about older patients' experiences with shared decision-making on dialysis or CC. We performed a survey study, in collaboration with the Dutch Kidney Patients Association, in 99 patients aged ≥70 years who had chosen dialysis (n = 75) or CC (n = 24) after a shared decision-making process involving an experienced multidisciplinary team. Patients stated to be overall satisfied with the shared decision-making process (% with score 6-10 on 11-point Likert scale, dialysis versus CC: 93% vs. 91%, P = 0.06), and treatment decision (87% vs. 91%, P = 0.03). However, patients also reported negative experiences, especially those who had chosen dialysis. Such negative experiences were related to the timing, informing, and level of decision-making being shared. More patients who selected dialysis indicated to have felt forced to make a decision, mostly due to the circumstances, such as their deteriorating health or kidney function, or by their nephrologist (31% vs. 5%, P = 0.01). Also, patients who selected dialysis mentioned a perceived lack of choice as most common reason for choosing dialysis, and 55% considered their own opinion as most important rather than their nephrologists' or relatives' opinion compared to 90% of the patients who had chosen CC (P = 0.02). A subset of patients who had chosen dialysis still doubted their treatment decision compared to no patient who had chosen CC (17% vs. 0%, P = 0.03). Older patients reported contrasting experiences with shared decision-making on dialysis or CC. Despite high overall satisfaction, the underlying negative experiences illustrate important but modifiable barriers to an optimal shared decision-making process.</t>
  </si>
  <si>
    <t>Classical Cardiovascular Risk Factors and HIV are Associated With Carotid Intima-Media Thickness in Adults From Sub-Saharan Africa: Findings From H3Africa AWI-Gen Study.</t>
  </si>
  <si>
    <t>Nonterah, Engelbert A; Boua, Palwende R; Klipstein-Grobusch, Kerstin; Asiki, Gershim; Micklesfield, Lisa K; Agongo, Godfred; Ali, Stuart A; Mashinya, Felistas; Sorgho, Herman; Nakanabo-Diallo, Seydou; Debpuur, Cornelius; Kyobutungi, Catherine; Alberts, Marianne; Norris, Shane; Tollman, Stephen; Tinto, Halidou; Soo, Cassandra C; Mukomana, Freedom; Hazelhurst, Scott; Wade, Alisha N; Kahn, Kathleen; Oduro, Abraham R; Grobbee, Diederick E; Sankoh, Osman; Ramsay, Michèle; Bots, Michiel L; Crowther, Nigel J; ,</t>
  </si>
  <si>
    <t>https://pubmed.ncbi.nlm.nih.gov/31304842</t>
  </si>
  <si>
    <t>Background Studies on the determinants of carotid intima-media thickness ( CIMT ), a marker of sub-clinical atherosclerosis, mostly come from white, Asian, and diasporan black populations. We present CIMT data from sub-Saharan Africa, which is experiencing a rising burden of cardiovascular diseases and infectious diseases. Methods and Results The H3 (Human Hereditary and Health) in Africa's AWI-Gen (African-Wits-INDEPTH partnership for Genomic) study is a cross-sectional study conducted in adults aged 40 to 60 years from Burkina Faso, Kenya, Ghana, and South Africa. Cardiovascular disease risk and ultrasonography of the CIMT of right and left common carotids were measured. Multivariable linear and mixed-effect multilevel regression modeling was applied to determine factors related to CIMT. Data included 8872 adults (50.8% men), mean age of 50±6 years with age- and sex-adjusted mean (±SE) CIMT of 640±123μm. Participants from Ghana and Burkina Faso had higher CIMT compared with other sites. Age (β = 6.77, 95%CI [6.34-7.19]), body mass index (17.6[12.5-22.8]), systolic blood pressure (7.52[6.21-8.83]), low-density lipoprotein cholesterol (5.08[2.10-8.06]) and men (10.3[4.75- 15.9]) were associated with higher CIMT. Smoking was associated with higher CIMT in men. High-density lipoprotein cholesterol (-12.2 [-17.9- -6.41]), alcohol consumption (-13.5 [-19.1--7.91]) and HIV (-8.86 [-15.7--2.03]) were inversely associated with CIMT. Conclusions Given the rising prevalence of cardiovascular diseases risk factors in sub-Saharan Africa, atherosclerotic diseases may become a major pan-African epidemic unless preventive measures are taken particularly for prevention of hypertension, obesity, and smoking. HIV -specific studies are needed to fully understand the association between HIV and CIMT in sub-Saharan Africa.</t>
  </si>
  <si>
    <t>Critical design considerations for time-to-event endpoints in amyotrophic lateral sclerosis clinical trials.</t>
  </si>
  <si>
    <t>van Eijk, Ruben P A; Nikolakopoulos, Stavros; Roes, Kit C B; Middelkoop, Bas M; Ferguson, Toby A; Shaw, Pamela J; Leigh, P Nigel; Al-Chalabi, Ammar; Eijkemans, Marinus J C; van den Berg, Leonard H</t>
  </si>
  <si>
    <t>journal of neurology neurosurgery and psychiatry</t>
  </si>
  <si>
    <t>https://pubmed.ncbi.nlm.nih.gov/31292200</t>
  </si>
  <si>
    <t>Funding and resources for low prevalent neurodegenerative disorders such as amyotrophic lateral sclerosis (ALS) are limited, and optimising their use is vital for efficient drug development. In this study, we review the design assumptions for pivotal ALS clinical trials with time-to-event endpoints and provide optimised settings for future trials. We extracted design settings from 13 completed placebo-controlled trials. Optimal assumptions were estimated using parametric survival models in individual participant data (n=4991). Designs were compared in terms of sample size, trial duration, drug use and costs. Previous trials overestimated the hazard rate by 18.9% (95% CI 3.4% to 34.5%, p=0.021). The median expected HR was 0.56 (range 0.33-0.66). Additionally, we found evidence for an increasing mean hazard rate over time (Weibull shape parameter of 2.03, 95% CI 1.93 to 2.15, p&lt;0.001), which affects the design and planning of future clinical trials. Incorporating accrual time and assuming an increasing hazard rate at the design stage reduced sample size by 33.2% (95% CI 27.9 to 39.4), trial duration by 17.4% (95% CI 11.6 to 23.3), drug use by 14.3% (95% CI 9.6 to 19.0) and follow-up costs by 21.2% (95% CI 15.6 to 26.8). Implementing distributional knowledge and incorporating accrual at the design stage could achieve large gains in the efficiency of ALS clinical trials with time-to-event endpoints. We provide an open-source platform that helps investigators to make more accurate sample size calculations and optimise the use of their available resources.</t>
  </si>
  <si>
    <t>Prediction of cardiovascular risk: it is not only in the details.</t>
  </si>
  <si>
    <t>Damen, Johanna Aa; Bots, Michiel L</t>
  </si>
  <si>
    <t>https://pubmed.ncbi.nlm.nih.gov/31291777</t>
  </si>
  <si>
    <t>Reproductive and Lifestyle Factors and Circulating sRANKL and OPG Concentrations in Women: Results from the EPIC Cohort.</t>
  </si>
  <si>
    <t>Sarink, Danja; Yang, Jiaxi; Johnson, Theron; Chang-Claude, Jenny; Overvad, Kim; Olsen, Anja; Tjønneland, Anne; Fournier, Agnès; Mancini, Francesca Romana; Kvaskoff, Marina; Boeing, Heiner; Trichopoulou, Antonia; Karakatsani, Anna; Valanou, Elissavet; Agnoli, Claudia; Sacerdote, Carlotta; Masala, Giovanna; Mattiello, Amalia; Tumino, Rosario; Van Gils, Carla H; Skeie, Guri; Gram, Inger Torhild; Weiderpass, Elisabete; Lujan-Barroso, Leila; Petrova, Dafina; Santiuste, Carmen; Quirós, J Ramón; Barricarte, Aurelio; Amiano, Pilar; Travis, Ruth C; Gunter, Marc; Dossus, Laure; Christakoudi, Sofia; Kaaks, Rudolf; Fortner, Renée Turzanski</t>
  </si>
  <si>
    <t>https://pubmed.ncbi.nlm.nih.gov/31292137</t>
  </si>
  <si>
    <t>Except for a documented increase in osteoprotegerin (OPG) concentrations with older age, data on determinants of soluble Receptor Activator of Nuclear Factor κB (sRANKL) and OPG concentrations in women are limited. We evaluated reproductive and lifestyle factors as potential sources of variation in circulating sRANKL and OPG concentrations in pre- and postmenopausal women. This study includes 2,016 controls [&lt;i&gt;n&lt;/i&gt; = 1,552 (76%) postmenopausal, &lt;i&gt;n&lt;/i&gt; = 757 (38%) using postmenopausal hormone therapy (PMH)] from a breast cancer case-control study nested in the European Prospective Investigation into Cancer and Nutrition (EPIC) cohort. Serum sRANKL was measured using an ELISA and serum OPG using an electrochemiluminescent assay. Generalized linear models were used to evaluate associations between these analytes and reproductive and lifestyle factors. Older age at blood collection was associated with lower sRANKL concentrations in postmenopausal women (&lt;i&gt;P&lt;/i&gt; &lt;sub&gt;trend&lt;/sub&gt; ≤ 0.03) and higher OPG concentrations in all women (&lt;i&gt;P&lt;/i&gt; &lt;sub&gt;trend&lt;/sub&gt; ≤ 0.01). Longer duration of oral contraceptive use among premenopausal women and postmenopausal PMH users was associated with higher OPG (&lt;i&gt;P&lt;/i&gt; &lt;sub&gt;trend&lt;/sub&gt; ≤ 0.04). In postmenopausal non-PMH users, sRANKL concentrations were lower with longer duration of oral contraceptive use and current (vs. never) smoking (&lt;i&gt;P&lt;/i&gt; ≤ 0.01). sRANKL concentrations were higher among women with higher BMI (&lt;i&gt;P&lt;/i&gt; &lt;sub&gt;trend&lt;/sub&gt; ≤ 0.01). The evaluated factors accounted for 12% of the variation in sRANKL concentrations and 21% of the variation in OPG concentrations. Circulating sRANKL and OPG concentrations are minimally impacted by hormone-related factors in pre- and postmenopausal women. This study suggests circulating concentrations of sRANKL and OPG are unlikely to be strongly modified by hormone-related reproductive and lifestyle factors.</t>
  </si>
  <si>
    <t>Risk for Heart Failure: The Opportunity for Prevention With the American Heart Association's Life's Simple 7.</t>
  </si>
  <si>
    <t>Uijl, Alicia; Koudstaal, Stefan; Vaartjes, Ilonca; Boer, Jolanda M A; Verschuren, W M Monique; van der Schouw, Yvonne T; Asselbergs, Folkert W; Hoes, Arno W; Sluijs, Ivonne</t>
  </si>
  <si>
    <t>jacc heart failure</t>
  </si>
  <si>
    <t>https://pubmed.ncbi.nlm.nih.gov/31302040</t>
  </si>
  <si>
    <t>The aim of this study is to determine whether combinations of specific Life's Simple 7 (LS7) components are associated with reduced risk for heart failure (HF). The American Heart Association recommends the concept of LS7: healthy behaviors that have been shown to reduce cardiovascular disease. A total of 37,803 participants from the EPIC-NL (European Prospective Investigation Into Cancer and Nutrition-Netherlands) cohort were included (mean age: 49.4 ± 11.9 years, 74.7% women). The LS7 score ranged from 0 to 14 and was calculated by assigning 0, 1, or 2 points for smoking, physical activity, body mass index, diet, blood pressure, total cholesterol, and blood glucose. An overall ideal score (11 to 14 points) was present in 23.2% of participants, an intermediate score (9 or 10 points) in 35.3%, and an inadequate score (0 to 8 points) in 41.5%. Over a median follow-up period of 15.2 years (interquartile range: 14.1 to 16.5 years), 690 participants (1.8%) developed HF. In Cox proportional hazards models, ideal and intermediate LS7 scores were associated with reduced risk for HF compared with the inadequate category (hazard ratio: 0.45 [95% confidence interval (CI): 0.34 to 0.60] and hazard ratio: 0.53 [95% CI: 0.44 to 0.64], respectively). Our analyses show that combinations with specific LS7 components, notably glucose, body mass index, smoking, and blood pressure, are associated with a lower incidence of HF. A healthy lifestyle, as reflected in an ideal LS7 score, was associated with a 55% lower risk for HF compared with an inadequate LS7 score. Preventive strategies that target combinations of specific LS7 components could have a significant impact on decreasing incident HF in the population at large.</t>
  </si>
  <si>
    <t>A guidance was developed to identify participants with missing outcome data in randomized controlled trials.</t>
  </si>
  <si>
    <t>Kahale, Lara A; Guyatt, Gordon H; Agoritsas, Thomas; Briel, Matthias; Busse, Jason W; Carrasco-Labra, Alonso; Khamis, Assem M; Zhang, Yuqing; Hooft, Lotty; Scholten, Rob J P M; Akl, Elie A</t>
  </si>
  <si>
    <t>https://pubmed.ncbi.nlm.nih.gov/31299357</t>
  </si>
  <si>
    <t>In order for authors of systematic reviews to address missing data in randomized controlled trials (RCTs), they need to first identify the number of trial participants with missing data. The objective of this study was to provide guidance for authors of systematic reviews on how to identify participants with missing outcome data in reports of RCTs. Guidance statements were informed by a review of studies addressing the topic of missing data and an iterative process of feedback and refinement, through meetings involving experts in health research methodology and authors of systematic reviews. The proposed guidance includes (1) definitions of key terms, (2) 19 categories of participants described in RCT reports and who might have missing data, and (3) a flowchart on how to judge the outcome data missingness for each category. The judgment of missingness relies on how trial authors report on the categories and handle them in their analyses. Practically, for their primary analysis, systematic review authors should choose how to identify participants with missing outcome data (i.e., use either "definitely missing data" or "total possible missing data"), then select a method for handling missing data in meta-analysis. Sensitivity analyses should be undertaken to explore consistency with competing options for classifying patients as having missing data. Adopting the proposed guidance will help promote transparency and consistency regarding how missing data are managed in systematic reviews.</t>
  </si>
  <si>
    <t>Intrinsic Coagulation Pathway, History of Headache, and Risk of Ischemic Stroke.</t>
  </si>
  <si>
    <t>van Os, Hendrikus J A; Wermer, Marieke J H; Rosendaal, Frits R; Govers-Riemslag, José W; Algra, Ale; Siegerink, Bob S</t>
  </si>
  <si>
    <t>https://pubmed.ncbi.nlm.nih.gov/31284847</t>
  </si>
  <si>
    <t>Background and Purpose- Hypercoagulable states in migraine patients may play a role in the pathophysiology underlying the association between migraine and ischemic stroke. This study aims to provide more insight into the potential association of headache, ischemic stroke, and the intrinsic coagulation pathway. Methods- We included patients from the RATIO study (Risk of Arterial Thrombosis in Relation to Oral Contraceptives), a Dutch population-based case-control study including young women (age &lt;50) with ischemic stroke and healthy controls. We defined a headache group based on a questionnaire on headache history. Intrinsic coagulation proteins were measured through both antigen levels (FXII, FXI, prekallikrein, HK [high molecular weight kininogen]) and protein activation, determined by measuring activated protein complex with C1esterase-inhibitor (FXIIa-C1-INH, FXIa-C1-INH, Kallikrein-C1-INH) or antitrypsin-inhibitor (FXIa-AT-INH). We calculated adjusted odds ratios and performed an interaction analysis assessing the increase in stroke risk associated with high levels of intrinsic coagulation and history of headache. Results- We included 113 ischemic stroke cases and 598 healthy controls. In total, 134 (19%) patients had a history of headache, of whom 38 were cases and 96 controls. The combination of headache and high intrinsic coagulation protein levels (all but FXII antigen level and both FXIa-inhibitors) was associated with an increase in ischemic stroke risk higher than was expected based on their individual effects (adjusted odds ratio FXI antigen level alone: 1.7, 95% CI, 1.0-2.9; adjusted odds ratio headache alone: 2.0, 95% CI, 1.1-3.7; combination: 5.2, 95% CI, 2.3-11.6) Conclusions- Headache and high intrinsic coagulation protein levels may biologically interact, increasing risk for ischemic stroke.</t>
  </si>
  <si>
    <t>Regulatory sanctions for ethically relevant GCP violations.</t>
  </si>
  <si>
    <t>Bernabe, Rosemarie de la Cruz; van Thiel, Ghislaine J M W; Breekveldt, Nancy S; Gispen, Christine C; van Delden, Johannes J M</t>
  </si>
  <si>
    <t>https://pubmed.ncbi.nlm.nih.gov/31288094</t>
  </si>
  <si>
    <t>Although EU inspectors and clinical assessors are mandated to identify and act upon ethical issues, regulators lack guidance on how this can be done. Hence, we propose a four-step regulatory approach on ethically relevant GCP violation findings. The first step is identification of the ethical issue. Next is analysis [i.e., identifying the gravity (intensity or severity) and the magnitude (amount and duration) of the ethics violation as well as the responsible person(s) or entity or entities]. The third step is evaluation, (i.e., the process of deliberating to determine the significance of the ethics violation, with the intention of identifying the most reasonable sanction and/or corrective or reparative action). Last is decision-making or the process of choosing and implementing a regulatory course of action.</t>
  </si>
  <si>
    <t>Content analysis of Advance Directives completed by patients with advanced cancer as part of an Advance Care Planning intervention: insights gained from the ACTION trial.</t>
  </si>
  <si>
    <t>Zwakman, Marieke; van Delden, J J M; Caswell, G; Deliens, L; Ingravallo, F; Jabbarian, L J; Johnsen, A T; Korfage, I J; Mimić, A; Arnfeldt, C Møller; Preston, N J; Kars, M C; ,</t>
  </si>
  <si>
    <t>https://pubmed.ncbi.nlm.nih.gov/31278462</t>
  </si>
  <si>
    <t>Writing an Advance Directive (AD) is often seen as a part of Advance Care Planning (ACP). ADs may include specific preferences regarding future care and treatment and information that provides a context for healthcare professionals and relatives in case they have to make decisions for the patient. The aim of this study was to get insight into the content of ADs as completed by patients with advanced cancer who participated in ACP conversations. A mixed methods study involving content analysis and descriptive statistics was used to describe the content of completed My Preferences forms, an AD used in the intervention arm of the ACTION trial, testing the effectiveness of the ACTION Respecting Choices ACP intervention. In total, 33% of 442 patients who received the ACTION RC ACP intervention completed a My Preferences form. Document completion varied per country: 10.4% (United Kingdom), 20.6% (Denmark), 29.2% (Belgium), 41.7% (the Netherlands), 61.3% (Italy) and 63.9% (Slovenia). Content analysis showed that 'maintaining normal life' and 'experiencing meaningful relationships' were important for patients to live well. Fears and worries mainly concerned disease progression, pain or becoming dependent. Patients hoped for prolongation of life and to be looked after by healthcare professionals. Most patients preferred to be resuscitated and 44% of the patients expressed maximizing comfort as their goal of future care. Most patients preferred 'home' as final place of care. My Preferences forms provide some insights into patients' perspectives and preferences. However, understanding the reasoning behind preferences requires conversations with patients.</t>
  </si>
  <si>
    <t>The effect of an mHealth clinical decision-making support system on neonatal mortality in a low resource setting: A cluster-randomized controlled trial.</t>
  </si>
  <si>
    <t>Amoakoh, Hannah Brown; Klipstein-Grobusch, Kerstin; Agyepong, Irene Akua; Zuithoff, Nicolaas P A; Amoakoh-Coleman, Mary; Kayode, Gbenga A; Sarpong, Charity; Reitsma, Johannes B; Grobbee, Diederick E; Ansah, Evelyn K</t>
  </si>
  <si>
    <t>https://pubmed.ncbi.nlm.nih.gov/31388661</t>
  </si>
  <si>
    <t>MHealth interventions promise to bridge gaps in clinical care but documentation of their effectiveness is limited. We evaluated the utilization and effect of an mhealth clinical decision-making support intervention that aimed to improve neonatal mortality in Ghana by providing access to emergency neonatal protocols for frontline health workers. In the Eastern Region of Ghana, sixteen districts were randomized into two study arms (8 intervention and 8 control clusters) in a cluster-randomized controlled trial. Institutional neonatal mortality data were extracted from the District Health Information System-2 during an 18-month intervention period. We performed an intention-to-treat analysis and estimated the effect of the intervention on institutional neonatal mortality (primary outcome measure) using grouped binomial logistic regression with a random intercept per cluster. This trial is registered at ClinicalTrials.gov (&lt;i&gt;NCT02468310&lt;/i&gt; &lt;i&gt;)&lt;/i&gt; and Pan African Clinical Trials Registry (&lt;i&gt;PACTR20151200109073).&lt;/i&gt; There were 65,831 institutional deliveries and 348 institutional neonatal deaths during the study period. Overall, 47 ∙ 3% of deliveries and 56 ∙ 9% of neonatal deaths occurred in the intervention arm. During the intervention period, neonatal deaths increased from 4 ∙ 5 to 6 ∙ 4 deaths and, from 3 ∙ 9 to 4 ∙ 3 deaths per 1000 deliveries in the intervention arm and control arm respectively. The odds of neonatal death was 2⋅09 (95% CI (1 ∙ 00;4 ∙ 38); p = 0 ∙ 051) times higher in the intervention arm compared to the control arm (adjusted odds ratio). The correlation between the number of protocol requests and the number of deliveries per intervention cluster was 0 ∙ 71 (p = 0 ∙ 05). The higher risk of institutional neonatal death observed in intervention clusters may be due to problems with birth and death registration, unmeasured and unadjusted confounding, and unintended use of the intervention. The findings underpin the need for careful and rigorous evaluation of mHealth intervention implementation and effects. Netherlands Foundation for Scientific Research - WOTRO, Science for Global Development; Utrecht University.</t>
  </si>
  <si>
    <t>Top 10 Research Priorities in Spatial Lifecourse Epidemiology.</t>
  </si>
  <si>
    <t>Jia, Peng; Lakerveld, Jeroen; Wu, Jianguo; Stein, Alfred; Root, Elisabeth D; Sabel, Clive E; Vermeulen, Roel; Remais, Justin V; Chen, Xi; Brownson, Ross C; Amer, Sherif; Xiao, Qian; Wang, Limin; Verschuren, W M Monique; Wu, Tong; Wang, Youfa; James, Peter</t>
  </si>
  <si>
    <t>https://pubmed.ncbi.nlm.nih.gov/31271296</t>
  </si>
  <si>
    <t>The International Initiative on Spatial Lifecourse Epidemiology (ISLE) convened its first International Symposium on Lifecourse Epidemiology and Spatial Science at the Lorentz Center in Leiden, Netherlands, 16–20 July 2018. Its aim was to further an emerging transdisciplinary field: Spatial Lifecourse Epidemiology. This field draws from a broad perspective of scientific disciplines including lifecourse epidemiology, environmental epidemiology, community health, spatial science, health geography, biostatistics, spatial statistics, environmental science, climate change, exposure science, health economics, evidence-based public health, and landscape ecology. The participants, spanning 30 institutions in 10 countries, sought to identify the key issues and research priorities in spatial lifecourse epidemiology. The results published here are a synthesis of the top 10 list that emerged out of the discussion by a panel of leading experts, reflecting a set of grand challenges for spatial lifecourse epidemiology in the coming years. https://doi.org/10.1289/EHP4868.</t>
  </si>
  <si>
    <t>Association of a Multifaceted Intervention With Ordering of Unnecessary Laboratory Tests Among Caregivers in Internal Medicine Departments.</t>
  </si>
  <si>
    <t>Bindraban, Renuka S; van Beneden, Marlou; Kramer, Mark H H; van Solinge, Wouter W; van de Ven, Peter M; Naaktgeboren, Christiana A; Al-Dulaimy, Muhammad; van der Wekken, Lena C; Bandt, Yvonne C; Stam, Frank; Neppelenbroek, Suzanne I M; Griffioen-Keijzer, Anita; Castelijn, Daan A R; Wevers, Brigitte A; Boerman, Anneroos W; van Wijnen, Merel; Ten Berg, Maarten J; Nanayakkara, Prabath W B</t>
  </si>
  <si>
    <t>https://pubmed.ncbi.nlm.nih.gov/31339544</t>
  </si>
  <si>
    <t>Inappropriate use of laboratory testing is a challenging problem. Estimated overuse rates of approximately 20% have been reported. Effective, sustainable solutions to stimulate optimal use are needed. To determine the association of a multifaceted intervention with laboratory test volume. A before-after quality improvement study was performed between August 1, 2016, and April 30, 2018, in the internal medicine departments of 4 teaching hospitals in the Netherlands. Data on laboratory order volumes from 19 comparable hospitals were used as controls. The participants were clinicians ordering laboratory tests. The intervention included creating awareness through education and feedback, intensified supervision of residents, and changes in order entry systems. Interventions were performed by local project teams and guided by a central project team during a 6-month period. Sustainability was investigated during an 8-month follow-up period. The primary outcome was the change in slope for laboratory test volume. Secondary outcomes were change in slope for laboratory expenditure, order volumes and expenditure for other diagnostic procedures, and clinical outcomes. Data were collected on duration of hospital stay, rate of repeated outpatient visits, 30-day readmission rate, and rate of unexpected prolonged duration of hospital stay for patients admitted for pneumonia. The numbers of internists and residents ordering tests in hospitals 1 to 4 were 16 and 30, 18 and 20, 13 and 17, and 21 and 60, respectively. Statistically significant changes in slope for laboratory test volume per patient contact were found at hospital 1 (change in slope, -1.55; 95% CI, -1.98 to -1.11; P &lt; .001), hospital 3 (change in slope, -0.74; 95% CI, -1.42 to -0.07; P = .03), and hospital 4 (change in slope, -2.18; 95% CI, -3.27 to -1.08; P &lt; .001). At hospital 2, the change in slope was not statistically significant (-0.34; 95% CI, -2.27 to 1.58; P = .73). Laboratory test volume per patient contact decreased by 11.4%, whereas the volume increased by 2.4% in 19 comparable hospitals. Statistically significant changes in slopes for laboratory costs and volumes and costs for other diagnostic procedures were also observed. Clinical outcomes were not associated with negative changes. Important facilitators were education, continuous attention for overuse, feedback, and residents' involvement. Important barriers were difficulties in data retrieval, difficulty in incorporation of principles in daily practice, and high resident turnover. A set of interventions aimed at changing caregivers' mindset was associated with a reduction in the laboratory test volume in all departments, whereas the volume increased in comparable hospitals in the Netherlands. This study provides a framework for nationwide implementation of interventions to reduce unnecessary laboratory testing.</t>
  </si>
  <si>
    <t>Antibodies against ARHGDIB are associated with long-term kidney graft loss.</t>
  </si>
  <si>
    <t>Kamburova, Elena G; Gruijters, Maartje L; Kardol-Hoefnagel, Tineke; Wisse, Bram W;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Heidt, Sebastiaan; Roelen, Dave L; Claas, Frans H; Bemelman, Frederike J; Otten, Henny G</t>
  </si>
  <si>
    <t>american journal of transplantation official journal of the american society of transplantation and the american society of transplant surgeons</t>
  </si>
  <si>
    <t>https://pubmed.ncbi.nlm.nih.gov/31194283</t>
  </si>
  <si>
    <t>The clinical significance of non-HLA antibodies on renal allograft survival is a matter of debate, due to differences in reported results and lack of large-scale studies incorporating analysis of multiple non-HLA antibodies simultaneously. We developed a multiplex non-HLA antibody assay against 14 proteins highly expressed in the kidney. In this study, the presence of pretransplant non-HLA antibodies was correlated to renal allograft survival in a nationwide cohort of 4770 recipients transplanted between 1995 and 2006. Autoantibodies against Rho GDP-dissociation inhibitor 2 (ARHGDIB) were significantly associated with graft loss in recipients transplanted with a deceased-donor kidney (N = 3276) but not in recipients of a living-donor kidney (N = 1496). At 10 years after deceased-donor transplantation, recipients with anti-ARHGDIB antibodies (94/3276 = 2.9%) had a 13% lower death-censored covariate-adjusted graft survival compared to the anti-ARHGDIB-negative (3182/3276 = 97.1%) population (hazard ratio 1.82; 95% confidence interval, 1.32-2.53; P = .0003). These antibodies occur independently from donor-specific anti-HLA antibodies (DSA) or other non-HLA antibodies investigated. No significant relations with graft loss were found for the other 13 non-HLA antibodies. We suggest that pretransplant risk assessment can be improved by measuring anti-ARHGDIB antibodies in all patients awaiting deceased-donor transplantation.</t>
  </si>
  <si>
    <t>Allocation to highly sensitized patients based on acceptable mismatches results in low rejection rates comparable to nonsensitized patients.</t>
  </si>
  <si>
    <t>Heidt, Sebastiaan; Haasnoot, Geert W; Witvliet, Marian D; van der Linden-van Oevelen, Marissa J H; Kamburova, Elena G; Wisse, Bram W; Joosten, Irma; Allebes, Wil A; van der Meer, Arnold; Hilbrands, Luuk B; Baas, Marije C; Spierings, Eric; Hack, Cornelis E; van Reekum, Franka E; van Zuilen, Arjan D; Verhaar, Marianne C; Bots, Michiel L; Drop, Adriaan C A D; Plaisier, Loes; Seelen, Marc A J; Sanders, Jan-Stephan; Hepkema, Bouke G; Lambeck, Annechien J A; Bungener, Laura B; Roozendaal, Caroline; Tilanus, Marcel G J; Voorter, Christina E; Wieten, Lotte; van Duijnhoven, Elly M; Gelens, Marielle A C J; Christiaans, Maarten H L; van Ittersum, Frans J; Nurmohamed, Shaikh A; Lardy, Neubury M; Swelsen, Wendy; van der Pant, Karlijn A M I; van der Weerd, Neelke C; Ten Berge, Ineke J M; Bemelman, Frederike J; Hoitsma, Andries; van der Boog, Paul J M; de Fijter, Johan W; Betjes, Michiel G H; Otten, Henny G; Roelen, Dave L; Claas, Frans H J</t>
  </si>
  <si>
    <t>https://pubmed.ncbi.nlm.nih.gov/31155833</t>
  </si>
  <si>
    <t>Whereas regular allocation avoids unacceptable mismatches on the donor organ, allocation to highly sensitized patients within the Eurotransplant Acceptable Mismatch (AM) program is based on the patient's HLA phenotype plus acceptable antigens. These are HLA antigens to which the patient never made antibodies, as determined by extensive laboratory testing. AM patients have superior long-term graft survival compared with highly sensitized patients in regular allocation. Here, we questioned whether the AM program also results in lower rejection rates. From the PROCARE cohort, consisting of all Dutch kidney transplants in 1995-2005, we selected deceased donor single transplants with a minimum of 1 HLA mismatch and determined the cumulative 6-month rejection incidence for patients in AM or regular allocation. Additionally, we determined the effect of minimal matching criteria of 1 HLA-B plus 1 HLA-DR, or 2 HLA-DR antigens on rejection incidence. AM patients showed significantly lower rejection rates than highly immunized patients in regular allocation, comparable to nonsensitized patients, independent of other risk factors for rejection. In contrast to highly sensitized patients in regular allocation, minimal matching criteria did not affect rejection rates in AM patients. Allocation based on acceptable antigens leads to relatively low-risk transplants for highly sensitized patients with rejection rates similar to those of nonimmunized individuals.</t>
  </si>
  <si>
    <t>Histological Differences of the Vascular Wall Between Sites With High and Low Prevalence of Intracranial Aneurysm.</t>
  </si>
  <si>
    <t>Laarman, Melanie D; Ruigrok, Ynte M; Nierstrasz, Renske C S; Spliet, Wim G M; Van Hecke, Wim; Algra, Ale; Rinkel, Gabriël J E</t>
  </si>
  <si>
    <t>https://pubmed.ncbi.nlm.nih.gov/31058997</t>
  </si>
  <si>
    <t>Intracranial aneurysms (IAs) develop more often on bifurcations compared with the rest of the circle of Willis (CoW). We investigated histological differences between 2 high IA prevalence sites (anterior communicating artery [AcomA] and basilar tip) and 2 corresponding low IA prevalence sites (anterior cerebral artery [ACA] and basilar artery [BA]) using histological sections of 10 CoWs without IAs. Medial defect density in the AcomA was 0.24 medial defects/mm compared with 0.02 for the A1 part and 0.03 for the A2 part of the ACA. In the basilar tip we found 0.15 medial defects/mm compared with 0.14 in the BA. Vascular smooth muscle cells (VSMCs) were more often disorganized in both high-prevalence sites (AcomA: 10/10, basilar tip: 5/10) compared with low-prevalence sites (both ACA and BA: 1/10). Intima thickening was more severe in the high-prevalence sites. Vascular wall thickness was not significantly different between high- and low-prevalence sites, but had a larger variance in high- compared with low-prevalence sites (AcomA vs ACA: p = 6.8E-12, basilar tip vs BA: p = 0.02). Disorganized VSMCs at high-prevalence sites likely result in a higher susceptibility to hemodynamic stress, leading to more vascular remodeling (such as intima thickening), which could increase the likelihood of IA formation.</t>
  </si>
  <si>
    <t>Publisher Correction: Protein-altering variants associated with body mass index implicate pathways that control energy intake and expenditure in obesity.</t>
  </si>
  <si>
    <t>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t>
  </si>
  <si>
    <t>https://pubmed.ncbi.nlm.nih.gov/31160809</t>
  </si>
  <si>
    <t>Optimisation of telephone triage of callers with symptoms suggestive of acute cardiovascular disease in out-of-hours primary care: observational design of the Safety First study.</t>
  </si>
  <si>
    <t>Erkelens, Daphne Ca; Wouters, Loes Tcm; Zwart, Dorien Lm; Damoiseaux, Roger Amj; De Groot, Esther; Hoes, Arno W; Rutten, Frans H</t>
  </si>
  <si>
    <t>https://pubmed.ncbi.nlm.nih.gov/31266836</t>
  </si>
  <si>
    <t>In the Netherlands, the 'Netherlands Triage Standard' (NTS) is frequently used as digital decision support system for telephone triage at out-of-hours services in primary care (OHS-PC). The aim of the NTS is to guarantee accessible, efficient and safe care. However, there are indications that current triage is inefficient, with overestimation of urgency, notably in suspected acute cardiovascular disease. In addition, in primary care settings the NTS has only been validated against surrogate markers, and diagnostic accuracy with clinical outcomes as the reference is unknown. In the Safety First study, we address this gap in knowledge by describing, understanding and improving the diagnostic process and urgency allocation in callers with symptoms suggestive of acute cardiovascular disease, in order to improve both efficiency and safety of telephone triage in this domain. An observational study in which 3000 telephone triage recordings (period 2014-2016) will be analysed. Information is collected from the recordings including caller and symptom characteristics and urgency allocation. The callers' own general practitioners are contacted for the final diagnosis of each contact. We included recordings of callers with symptoms suggestive of acute coronary syndrome (ACS) or transient ischaemic attack (TIA)/stroke. With univariable and multivariable logistic regression analyses the diagnostic accuracy of caller and symptom characteristics will be analysed in terms of predictive values with urgency level, and ACS and TIA/stroke as outcomes, respectively. To further improve our understanding of the triage process at OHS-PC, we will carry out additional studies applying both quantitative and qualitative methods: (i) case-control study on serious adverse events (SAE), (ii) conversation analysis study and (iii) interview study with triage nurses. The Medical Ethics Committee Utrecht, the Netherlands endorsed this study (National Trial Register identification: NTR7331). Results will be disseminated at scientific conferences, regional educational sessions and publication in peer-reviewed journals.</t>
  </si>
  <si>
    <t>A duty to recontact in genetics: context matters.</t>
  </si>
  <si>
    <t>Giesbertz, Noor A A; van Harten, Wim H; Bredenoord, Annelien L</t>
  </si>
  <si>
    <t>nature reviews genetics</t>
  </si>
  <si>
    <t>https://pubmed.ncbi.nlm.nih.gov/30932026</t>
  </si>
  <si>
    <t>Understanding Heterogeneity in Biologic Phenotypes of Acute Respiratory Distress Syndrome by Leukocyte Expression Profiles.</t>
  </si>
  <si>
    <t>Bos, Lieuwe D J; Scicluna, Brendon P; Ong, David S Y; Cremer, Olaf; van der Poll, Tom; Schultz, Marcus J</t>
  </si>
  <si>
    <t>https://pubmed.ncbi.nlm.nih.gov/30645145</t>
  </si>
  <si>
    <t>&lt;b&gt;Rationale:&lt;/b&gt; Two biologic phenotypes of acute respiratory distress syndrome (ARDS) have been identified based on plasma protein markers in four previous studies. &lt;b&gt;Objectives:&lt;/b&gt; To determine if blood leukocyte gene expression is different between the "reactive" and "uninflamed" phenotype. &lt;b&gt;Methods:&lt;/b&gt; This is a new study adding blood leukocyte transcriptomics and bioinformatics analysis to an existing patient cohort of ARDS in patients with sepsis admitted to two ICUs during a 1.5-year period. Canonical pathway analysis was performed. &lt;b&gt;Measurements and Main Results:&lt;/b&gt; A total of 210 patients with sepsis and ARDS were included, of whom 128 had a reactive and 82 an uninflamed phenotype. A total of 3,332/11,443 (29%) transcripts were significantly different between the phenotypes. Canonical pathway analysis showed upregulation of oxidative phosphorylation genes indicative of mitochondrial dysfunction (52% of genes in pathway). The uninflamed phenotype was characterized by upregulation of mitogen-activated protein kinase pathways. &lt;b&gt;Conclusions:&lt;/b&gt; A third of genes are differentially expressed between biologic phenotypes of ARDS supporting the observation that the subgroups of ARDS are incomparable in terms of pathophysiology. These data provide additional support for biologic heterogeneity in patients with ARDS and suggests that a personalized approach to intervention focusing on oxidative phosphorylation is pivotal in this condition.</t>
  </si>
  <si>
    <t>The Effect of Gastrostomy Placement on Health-Related Quality of Life in Children.</t>
  </si>
  <si>
    <t>journal of pediatric surgery</t>
  </si>
  <si>
    <t>https://pubmed.ncbi.nlm.nih.gov/31303329</t>
  </si>
  <si>
    <t>A gastrostomy placement (GP) aims to improve nutritional status and health-related quality of life (HRQoL) in children who require long-term enteral tube feeding. We evaluated the effect of GP on HRQoL. A prospective, longitudinal cohort study was performed including patients referred for laparoscopic GP. Children and/or caregivers were asked to fill out the validated PedsQL™ questionnaire before and 3 months after surgery. The aim was to compare preoperative with postoperative HRQoL and to identify predictors of HRQoL. Fifty patients were included with a median age of 3.4 years (interquartile range 1.4-5.6). After GP, total HRQoL did not significantly increase (p = 0.30). However, psychosocial health significantly increased: 55.8 (standard deviation ±20.8) to 61.2 (±19.6; p = 0.03) on a 100-point scale. This was mainly owing to an increase in social HRQoL: 58.2 (±32.3) to 68.3 (±27.9; p = 0.04). HRQoL both before and after GP was significantly lower in children with neurologic impairment (p &lt; 0.0005). However, neurologic impairment did not influence the effect of surgery on HRQoL (p = 0.66). Low preoperative body mass index was a predictor for improvement in HRQoL after GP. After GP in children, psychosocial HRQoL improved significantly. This was mainly owing to an improvement in social HRQoL. IV.</t>
  </si>
  <si>
    <t>Diagnostic Yield of Next Generation Sequencing in Genetically Undiagnosed Patients with Primary Immunodeficiencies: a Systematic Review.</t>
  </si>
  <si>
    <t>Yska, Hemmo A F; Elsink, Kim; Kuijpers, Taco W; Frederix, Geert W J; van Gijn, Mariëlle E; van Montfrans, Joris M</t>
  </si>
  <si>
    <t>journal of clinical immunology</t>
  </si>
  <si>
    <t>https://pubmed.ncbi.nlm.nih.gov/31250335</t>
  </si>
  <si>
    <t>As the application of next generation sequencing (NGS) is moving to earlier stages in the diagnostic pipeline for primary immunodeficiencies (PIDs), re-evaluation of its effectiveness is required. The aim of this study is to systematically review the diagnostic yield of NGS in PIDs. PubMed and Embase databases were searched for relevant studies. Studies were eligible when describing the use of NGS in patients that had previously been diagnosed with PID on clinical and/or laboratory findings. Relevant data on study characteristics, technological performance and diagnostic yield were extracted. Fourteen studies were eligible for data extraction. Six studies described patient populations from specific PID subcategories. The remaining studies included patients with unsorted PIDs. The studies were based on populations from Italy, Iran, Turkey, Thailand, the Netherlands, Norway, Saudi Arabia, Sweden, the UK, and the USA. Eight studies used an array-based targeted gene panel, four used WES in combination with a PID filter, and two used both techniques. The mean reported reading depth ranged from 98 to 1337 times. Five studies described the sensitivity of the applied techniques, ranging from 83 to 100%, whereas specificity ranged from 45 to 99.9%. The percentage of patients who were genetically diagnosed ranged from 15 to 79%. Several studies described clinical implications of the genetic findings. NGS has the ability to contribute significantly to the identification of molecular mechanisms in PID patients. The diagnostic yield highly depends on population and on the technical circumstances under which NGS is employed. Further research is needed to determine the exact diagnostic yield and clinical implications of NGS in patients with PID.</t>
  </si>
  <si>
    <t>Association of Initiation of Maintenance Dialysis with Functional Status and Caregiver Burden.</t>
  </si>
  <si>
    <t>Goto, Namiko A; van Loon, Ismay N; Boereboom, Franciscus T J; Emmelot-Vonk, Marielle H; Willems, Hanna C; Bots, Michiel L; Gamadia, Laila E; van Bommel, Eric F H; Van de Ven, Peter J G; Douma, Caroline E; Vincent, Hieronymus H; Schrama, Yvonne C; Lips, Joy; Hoogeveen, Ellen K; Siezenga, Machiel A; Abrahams, Alferso C; Verhaar, Marianne C; Hamaker, Marije E</t>
  </si>
  <si>
    <t>https://pubmed.ncbi.nlm.nih.gov/31248948</t>
  </si>
  <si>
    <t>Little is known about the functional course after initiating dialysis in elderly patients with ESKD. The aim of this study was to assess the association of the initiation of dialysis in an elderly population with functional status and caregiver burden. This study included participants aged ≥65 years with ESKD who were enrolled in the Geriatric Assessment in Older Patients Starting Dialysis study. All underwent a geriatric assessment and a frailty screening (Fried Frailty Index and Groningen Frailty Indicator) at dialysis initiation. Functional status (activities of daily life and instrumental activities of daily life) and caregiver burden were assessed at baseline and after 6 months. Decline was defined as loss of one or more domains in functional status, stable as no difference between baseline and follow-up, and improvement as gain of one or more domains in functional status. Logistic regression was performed to assess the association between the combined outcome functional decline/death and potential risk factors. Of the 196 included participants functional data were available for 187 participants. Mean age was 75±7 years and 33% were women. At the start of dialysis, 79% were care dependent in functional status. After 6 months, 40% experienced a decline in functional status, 34% remained stable, 18% improved, and 8% died. The prevalence of high caregiver burden increased from 23%-38% (&lt;i&gt;P&lt;/i&gt;=0.004). In the multivariable analysis age (odds ratio, 1.05; 95% confidence interval, 1.00 to 1.10 per year older at baseline) and a high Groningen Frailty Indicator compared with low score (odds ratio, 1.97; 95% confidence interval, 1.05 to 3.68) were associated with functional decline/death. In patients aged ≥65 years, functional decline within the first 6 months after initiating dialysis is highly prevalent. The risk is higher in older and frail patients. Loss in functional status was mainly driven by decline in instrumental activities of daily life. Moreover, initiation of dialysis is accompanied by an increase in caregiver burden.</t>
  </si>
  <si>
    <t>Moderate positive predictive value of a multiplex real-time PCR on whole blood for pathogen detection in critically ill patients with sepsis.</t>
  </si>
  <si>
    <t>van de Groep, Kirsten; Bos, Martine P; Varkila, Meri R J; Savelkoul, Paul H M; Ong, David S Y; Derde, Lennie P G; Juffermans, Nicole P; van der Poll, Tom; Bonten, Marc J M; Cremer, Olaf L; ,</t>
  </si>
  <si>
    <t>https://pubmed.ncbi.nlm.nih.gov/31243596</t>
  </si>
  <si>
    <t>A novel multiplex real-time PCR for bloodstream infections (BSI-PCR) detects pathogens directly in blood. This study aimed at determining the positive predictive value (PPV) of BSI-PCR in critically ill patients with sepsis. We included consecutive patients with presumed sepsis upon admission to the intensive care unit (ICU). The multiplexed BSI-PCR included 17 individual PCRs for a broad panel of species- and genus-specific DNA targets. BSI-PCR results were compared with a reference diagnosis for which plausibility of infection and causative pathogen(s) had been prospectively assessed by trained observers, based on available clinical and microbiological evidence. PPV and false positive proportion (FPP) were calculated. Clinical plausibility of discordant positive results was adjudicated by an expert panel. Among 325 patients, infection likelihood was categorized as confirmed, uncertain, and ruled out in 210 (65%), 88 (27%), and 27 (8%) subjects, respectively. BSI-PCR identified one or more microorganisms in 169 (52%) patients, of whom 104 (61%) had at least one detection in accordance with the reference diagnosis. Discordant positive PCR results were observed in 95 patients, including 30 subjects categorized as having an "unknown" pathogen. Based on 5525 individual PCRs yielding 295 positive results, PPV was 167/295 (57%) and FPP was 128/5525 (2%). Expert adjudication of the 128 discordant PCR findings resulted in an adjusted PPV of 68% and FPP of 2%. BSI-PCR was all-negative in 156 patients, including 79 (51%) patients in whom infection was considered ruled out. BSI-PCR may complement conventional cultures and expedite the microbiological diagnosis of sepsis in ICU patients, but improvements in positive predictive value of the test are warranted before its implementation in clinical practice can be considered.</t>
  </si>
  <si>
    <t>Post-trial Access in Maternal Vaccine Trials.</t>
  </si>
  <si>
    <t>Van Roessel, I M A A; Mazur, N I; Shah, S K; Bont, L; Van Der Graaf, R</t>
  </si>
  <si>
    <t>american journal of perinatology</t>
  </si>
  <si>
    <t>https://pubmed.ncbi.nlm.nih.gov/31238358</t>
  </si>
  <si>
    <t>Provisions for post-trial access (PTA) of the experimental intervention are required before the start of a clinical trial. Although there has been ample attention for PTA in the context of preventive vaccine research, discussions on PTA barely include maternal vaccine trials in which mother-infant pairs are exposed to the intervention. In maternal vaccination trials, specific PTA arrangements are required because pregnancy is transient and PTA may apply to the next pregnancy or the child. In this article, we examine the application and adherence to PTA in the context of maternal vaccine trials. We focused on differences between publications before and after 2000 when international ethical guidance documents formalized PTA requirements. Randomized maternal vaccine trials were included after a systematic search for clinical trials in phases II and III with a maternal vaccine as intervention. We used PTA as defined at the time of publication in the World Medical Association's Declaration of Helsinki (DoH) or in the ethical guidelines of the Council for International Organizations of Medical Sciences (CIOMS). In addition, we investigated whether PTA was included in the trial design. Therefore, we contacted principal investigators (PI's) of the publications found in the review to fill out a questionnaire regarding provisions for PTA. Before and after 2000, no trial articles examined in the systematic review described PTA in their trial publication (0/7, 0% and 0/17, 0%, respectively). In addition, more than half of the PI's of the trials found were not familiar with PTA recommendations in international ethical guidelines. Most cases of PTA included making knowledge available by publishing the results of the trial. The revision of the DoH in 2002 and the CIOMS ethical guidelines in 2002 has not resulted in increased PTA provisions for maternal vaccination trials. PTA is a shared responsibility of various stakeholders including sponsors, Institutional Review Boards, regulators, political entities, and researchers. Inclusion of PTA provisions in trial protocols and publications on maternal vaccination trials is essential to increase transparency on the form and content of these provisions.</t>
  </si>
  <si>
    <t>Pre-pregnancy parental BMI and offspring blood pressure in infancy.</t>
  </si>
  <si>
    <t>Jansen, Maria Adriana Cornelia; Dalmeijer, Geertje W; Saldi, Siti Rf; Grobbee, Diederick E; Baharuddin, Mohammad; Uiterwaal, Cuno Spm; Idris, Nikmah S</t>
  </si>
  <si>
    <t>https://pubmed.ncbi.nlm.nih.gov/31238715</t>
  </si>
  <si>
    <t>A growing body of evidence suggests that a higher maternal pre-pregnancy body mass index results in higher offspring's blood pressure, but there is inconsistency about the impact of father's body mass index. Furthermore, evidence is limited with regard to low and middle income countries. We aimed to determine the association between parental pre-pregnancy body mass index and offspring's blood pressure during the first year of life. In 587 infants of the BReastfeeding Attitude and Volume Optimization (BRAVO) trial systolic and diastolic blood pressure were measured twice at the right leg in a supine position, using an automatic oscillometric device at day 7, month 1, 2, 4, 6, 9 and 12. Parental pre-pregnancy body mass index was based on self-reported weight and height. Linear mixed models were performed to investigate the associations between parental pre-pregnancy body mass index and offspring blood pressure patterns. Each unit increase in maternal body mass index was associated with 0.24 mmHg (95% confidence interval 0.05; 0.44) and 0.13 mmHg (0.01; 0.25) higher offspring's mean systolic and diastolic blood pressure, respectively, during the first year of life. A higher offspring blood pressure with increased maternal pre-pregnancy body mass index was seen at birth and remained higher during the first year of life. The association with systolic blood pressure remained similar after including birth size and offspring's weight and height over time. The association with diastolic blood pressure attenuated slightly to a non-significant result after including these variables. Paternal body mass index was not associated with offspring's blood pressure. Higher maternal pre-pregnancy body mass index, but not paternal pre-pregnancy body mass index, is associated with higher offspring blood pressure already from birth onwards.</t>
  </si>
  <si>
    <t>Effects and moderators of exercise on sleep in adults with cancer: Individual patient data and aggregated meta-analyses.</t>
  </si>
  <si>
    <t>Bernard, P; Savard, J; Steindorf, K; Sweegers, M G; Courneya, K S; Newton, R U; Aaronson, N K; Jacobsen, P B; May, A M; Galvao, D A; Chinapaw, M J; Stuiver, M M; Griffith, K A; Mesters, I; Knoop, H; Goedendorp, M M; Bohus, M; Thorsen, L; Schmidt, M E; Ulrich, C M; Sonke, G S; van Harten, W; Winters-Stone, K M; Velthuis, M J; Taaffe, D R; van Mechelen, W; Kersten, M J; Nollet, F; Wenzel, J; Wiskemann, J; Verdonck-de Leeuw, I M; Brug, J; Buffart, L M</t>
  </si>
  <si>
    <t>journal of psychosomatic research</t>
  </si>
  <si>
    <t>https://pubmed.ncbi.nlm.nih.gov/31443811</t>
  </si>
  <si>
    <t>To evaluate the effects of exercise interventions on sleep disturbances and sleep quality in patients with mixed cancer diagnoses, and identify demographic, clinical, and intervention-related moderators of these effects. Individual patient data (IPD) and aggregated meta-analyses of randomized controlled trials (RCTs). Using data from the Predicting OptimaL cAncer RehabIlitation and Supportive care project, IPD of 2173 adults (mean age = 54.8) with cancer from 17 RCTs were analyzed. A complementary systematic search was conducted (until November 2018) to study the overall effects and test the representativeness of analyzed IPD. Effect sizes of exercise effects on self-reported sleep outcomes were calculated for all included RCTs. Linear mixed-effect models were used to evaluate the effects of exercise on post-intervention outcome values, adjusting for baseline values. Moderator effects were studied by testing interactions for demographic, clinical and intervention-related characteristics. For all 27 eligible RCTs from the updated search, exercise interventions significantly decreased sleep disturbances in adults with cancer (g = -0.09, 95% CI [-0.16; -0.02]). No significant effect was obtained for sleep quality. RCTs included in IPD analyses constituted a representative sample of the published literature. The intervention effects on sleep disturbances were not significantly moderated by any demographic, clinical, or intervention-related factor, nor by sleep disturbances. This meta-analysis provides some evidence that, compared to control conditions, exercise interventions may improve sleep disturbances, but not sleep quality, in cancer patients, although this effect is of a small magnitude. Among the investigated variables, none was found to significantly moderate the effect of exercise interventions on sleep disturbances.</t>
  </si>
  <si>
    <t>Passive data collection and use in healthcare: A systematic review of ethical issues.</t>
  </si>
  <si>
    <t>Maher, Nicole A; Senders, Joeky T; Hulsbergen, Alexander F C; Lamba, Nayan; Parker, Michael; Onnela, Jukka-Pekka; Bredenoord, Annelien L; Smith, Timothy R; Broekman, Marike L D</t>
  </si>
  <si>
    <t>https://pubmed.ncbi.nlm.nih.gov/31445262</t>
  </si>
  <si>
    <t>Passive data refers to data generated without the active participation of the subject. This includes data from global positioning systems and accelerometers or metadata on phone call and text activity. Although the potential healthcare applications are far-reaching, passive data raises numerous ethical challenges. We performed a systematic review to identify all ethical concerns, normative standpoints, and underlying arguments related to the use of passive data in healthcare. Among the various challenges discussed in the ethical literature, informational privacy, informed consent, and data security were the primary focus of the current debate. Other topics of discussion were the evaluation and regulation of products, equity in access, vulnerable patient groups, ownership, and secondary use. No clear ethical framework has been established that stimulates passive data-driven innovation while protecting patient integrity. The consensus in the ethical literature, as well as the parallels with similar concerns and solutions in other fields, can lay a foundation for the construction of an ethical framework. The future debate should focus on conflicts between two or more ethical, technical, or clinical values to ensure a safe and effective implementation of passive data in healthcare.</t>
  </si>
  <si>
    <t>Effect of physical exercise on cognitive function and brain measures after chemotherapy in patients with breast cancer (PAM study): protocol of a randomised controlled trial.</t>
  </si>
  <si>
    <t>Witlox, Lenja; Schagen, Sanne B; de Ruiter, Michiel B; Geerlings, Mirjam I; Peeters, Petra H M; Koevoets, Emmie W; van der Wall, Elsken; Stuiver, Martijn; Sonke, Gabe; Velthuis, Miranda J; Palen, Job A M van der; Jobsen, Jan J; May, Anne M; Monninkhof, E M</t>
  </si>
  <si>
    <t>https://pubmed.ncbi.nlm.nih.gov/31227537</t>
  </si>
  <si>
    <t>After treatment with chemotherapy, many patients with breast cancer experience cognitive problems. While limited interventions are available to improve cognitive functioning, physical exercise showed positive effects in healthy older adults and people with mild cognitive impairment. The Physical Activity and Memory study aims to investigate the effect of physical exercise on cognitive functioning and brain measures in chemotherapy-exposed patients with breast cancer with cognitive problems. One hundred and eighty patients with breast cancer with cognitive problems 2-4 years after diagnosis are randomised (1:1) into an exercise intervention or a control group. The 6-month exercise intervention consists of twice a week 1-hour aerobic and strength exercises supervised by a physiotherapist and twice a week 1-hour Nordic or power walking. The control group is asked to maintain their habitual activity pattern during 6 months. The primary outcome (verbal learning) is measured at baseline and 6 months. Further measurements include online neuropsychological tests, self-reported cognitive complaints, a 3-tesla brain MRI, patient-reported outcomes (quality of life, fatigue, depression, anxiety, work performance), blood sampling and physical fitness. The MRI scans and blood sampling will be used to gain insight into underlying mechanisms. At 18 months online neuropsychological tests, self-reported cognitive complaints and patient-reported outcomes will be repeated. Study results may impact usual care if physical exercise improves cognitive functioning for breast cancer survivors. NTR6104.</t>
  </si>
  <si>
    <t>Gadolinium Enhancement of the Aneurysm Wall in Unruptured Intracranial Aneurysms Is Associated with an Increased Risk of Aneurysm Instability: A Follow-Up Study.</t>
  </si>
  <si>
    <t>Vergouwen, M D I; Backes, D; van der Schaaf, I C; Hendrikse, J; Kleinloog, R; Algra, A; Rinkel, G J E</t>
  </si>
  <si>
    <t>https://pubmed.ncbi.nlm.nih.gov/31221634</t>
  </si>
  <si>
    <t>Previous studies have suggested that gadolinium enhancement of the wall of unruptured intracranial aneurysms on MR imaging may reflect aneurysm wall instability. However, all previous studies were cross-sectional. In this longitudinal study, we investigated whether aneurysm wall enhancement is associated with an increased risk of aneurysm instability. We included all patients 18 years of age or older with ≥1 unruptured aneurysm from the University Medical Center Utrecht, the Netherlands, who were included in 2 previous studies with either 3T or 7T aneurysm wall MR imaging and for whom it was decided not to treat the aneurysm but to monitor it with follow-up imaging. We investigated the risk of growth or rupture during follow-up of aneurysms with and without gadolinium enhancement of the aneurysm wall at baseline and calculated the risk difference between the 2 groups with corresponding 95% confidence intervals. We included 57 patients with 65 unruptured intracranial aneurysms. After a median follow-up of 27 months (interquartile range, 20-31 months), growth (&lt;i&gt;n&lt;/i&gt; = 2) or rupture (&lt;i&gt;n&lt;/i&gt; = 2) was observed in 4 of 19 aneurysms (21%; 95% CI, 6%-54%) with wall enhancement and in zero of 46 aneurysms (0%; 95% CI, 0%-8%) without enhancement (risk difference, 21%; 95% CI, 3%-39%). Gadolinium enhancement of the aneurysm wall on MR imaging is associated with an increased risk of aneurysm instability. The absence of wall enhancement makes it unlikely that the aneurysm will grow or rupture in the short term. Larger studies are needed to investigate whether aneurysm wall enhancement is an independent predictor of aneurysm instability.</t>
  </si>
  <si>
    <t>Diagnostic Accuracy of the Explicit Diagnostic Criteria for Transient Ischemic Attack: A Validation Study.</t>
  </si>
  <si>
    <t>Dolmans, L Servaas; Lebedeva, Elena R; Veluponnar, Dinusha; van Dijk, Ewoud J; Nederkoorn, Paul J; Hoes, Arno W; Rutten, Frans H; Olesen, Jes; Kappelle, L Jaap; ,</t>
  </si>
  <si>
    <t>https://pubmed.ncbi.nlm.nih.gov/31693449</t>
  </si>
  <si>
    <t>Background and Purpose- The clinical diagnosis of a transient ischemic attack (TIA) can be difficult. Evidence-based criteria hardly exist. We evaluated if the recently proposed Explicit Diagnostic Criteria for TIA (EDCT), an easy to perform clinical tool focusing on type, duration, and mode of onset of clinical features, would facilitate the clinical diagnosis of TIA. Methods- We used data from patients suspected of a TIA by a general practitioner and referred to a TIA service in the region of Utrecht, the Netherlands, who participated in the MIND-TIA (Markers in the Diagnosis of TIA) study. Information about the clinical features was collected with a standardized questionnaire within 72 hours after onset. A panel of 3 experienced neurologists ultimately determined the definite diagnosis based on all available diagnostic information including a 6-month follow-up period. Two researchers scored the EDCT. Sensitivity, specificity, and predictive values of the EDCT were assessed using the panel diagnosis as reference. A secondary analysis was performed with modified subcriteria of the EDCT. Results- Of the 206 patients, 126 (61%) had a TIA (n=104) or minor stroke (n=22), and 80 (39%) an alternative diagnosis. Most common alternative diagnoses were migraine with aura (n=24; 30.0%), stress related or somatoform symptoms (n=16; 20.0%), and syncope (n=9; 11.3%). The original EDCT had a sensitivity of 98.4% (95% CI, 94.4-99.8) and a specificity of 61.3% (49.7-71.9). Negative and positive predictive values were 96.1% (86.0-99.0) and 80.0% (75.2-84.1), respectively. The modified EDCT showed a higher specificity of 73.8% (62.7-83.0) with the same sensitivity and a similar negative predictive value of 96.7%, but a higher positive predictive value of 85.5% (80.3-89.5). Conclusions- The EDCT has excellent sensitivity and negative predictive value and could be a valuable diagnostic tool for the diagnosis of TIA.</t>
  </si>
  <si>
    <t>Antenatal exposure to second hand smoke of non-smoking mothers and growth rate of their infants.</t>
  </si>
  <si>
    <t>Soesanti, Frida; Uiterwaal, Cuno S P M; Grobbee, Diederick E; Hendarto, Aryono; Dalmeijer, Geertje W; Idris, Nikmah Salamia</t>
  </si>
  <si>
    <t>https://pubmed.ncbi.nlm.nih.gov/31220162</t>
  </si>
  <si>
    <t>There is limited evidence on the effect of exposure to second hand smoke (SHS) in non-smoking pregnant mothers and infant health. We assessed the effects of maternal antenatal exposure to SHS on infant growth rate, and secondarily, on birth weight, birth length and head circumference at birth. In this prospective cohort, 305 mother-infant pairs were studied. Mothers filled out questionnaires about exposure to SHS in pregnancy at the 3rd trimester of pregnancy. Infant anthropometry was performed at birth, day 7, and months 1, 2, 4, and 6, postnatally. Linear mixed modeling and linear regression were used to calculate growth rates over the first 6 months. The association between SHS-exposure with growth rate and birth sizes was assessed using multivariate linear regression adjusted for confounders, with SHS as both number of cigarettes and as groups (no exposure, SHS &lt; 23 cigarettes, SHS ≥ 23 cigarettes). Seventy-three mothers were not exposed and 232 were exposed. SHS exposure (per cigarette) was not related to gain in weight, length, head circumference, and weight for length. However, infants born to mothers exposed to ≥ 23 cigarettes/d had lower head circumference gain (-0.32 mm/m, 95% CI -0.60, -0.03) than those born to non-exposed mothers. SHS exposure (per cigarette) was not related to birth weight, length, and head circumference, but exposure to ≥ 23 cigarettes was related to lower head circumference at birth (-11.09 mm, -20.03, -2.16). Heavy antenatal exposure to SHS in non-smoking mothers results in reduced neonatal head circumference at birth and head circumference gain over the first 6 months of life. Our findings show no clear relations between exposure to SHS during pregnancy and other markers of neonatal growth and birth size.</t>
  </si>
  <si>
    <t>Prevention of postoperative delirium in elderly patients planned for elective surgery: systematic review and meta-analysis.</t>
  </si>
  <si>
    <t>Janssen, T L; Alberts, A R; Hooft, L; Mattace-Raso, Fus; Mosk, C A; van der Laan, L</t>
  </si>
  <si>
    <t>clinical interventions in aging</t>
  </si>
  <si>
    <t>https://pubmed.ncbi.nlm.nih.gov/31354253</t>
  </si>
  <si>
    <t>&lt;b&gt;Introduction:&lt;/b&gt; Vulnerable or "frail" patients are susceptible to the development of delirium when exposed to triggers such as surgical procedures. Once delirium occurs, interventions have little effect on severity or duration, emphasizing the importance of primary prevention. This review provides an overview of interventions to prevent postoperative delirium in elderly patients undergoing elective surgery. &lt;b&gt;Methods:&lt;/b&gt; A literature search was conducted in March 2018. Randomized controlled trials (RCTs) and before-and-after studies on interventions with potential effects on postoperative delirium in elderly surgical patients were included. Acute admission, planned ICU admission, and cardiac patients were excluded. Full texts were reviewed, and quality was assessed by two independent reviewers. Primary outcome was the incidence of delirium. Secondary outcomes were severity and duration of delirium. Pooled risk ratios (RRs) were calculated for incidences of delirium where similar intervention techniques were used. &lt;b&gt;Results:&lt;/b&gt; Thirty-one RCTs and four before-and-after studies were included for analysis. In 19 studies, intervention decreased the incidences of postoperative delirium. Severity was reduced in three out of nine studies which reported severity of delirium. Duration was reduced in three out of six studies. Pooled analysis showed a significant reduction in delirium incidence for dexmedetomidine treatment, and bispectral index (BIS)-guided anaesthesia. Based on sensitivity analyses, by leaving out studies with a high risk of bias, multicomponent interventions and antipsychotics can also significantly reduce the incidence of delirium. &lt;b&gt;Conclusion:&lt;/b&gt; Multicomponent interventions, the use of antipsychotics, BIS-guidance, and dexmedetomidine treatment can successfully reduce the incidence of postoperative delirium in elderly patients undergoing elective, non-cardiac surgery. However, present studies are heterogeneous, and high-quality studies are scarce. Future studies should add these preventive methods to already existing multimodal and multidisciplinary interventions to tackle as many precipitating factors as possible, starting in the pre-admission period.</t>
  </si>
  <si>
    <t>Who drops out and when? Predictors of non-response and loss to follow-up in a longitudinal cohort study among STI clinic visitors.</t>
  </si>
  <si>
    <t>https://pubmed.ncbi.nlm.nih.gov/31216341</t>
  </si>
  <si>
    <t>Response rates in health research are declining, and low response rates could result in biased outcomes when population characteristics of participants systematically differ from the non-respondents. Few studies have examined key factors of non-response beyond demographic characteristics, such as behavioral and psychological factors. The aim of the current study was to identify predictors of non-response and loss to follow-up in a longitudinal sexual health study. A longitudinal cohort study (iMPaCT) was conducted from November 2016 to July 2018 among heterosexual STI clinic visitors aged 18-24 years. At four different time points in one year, data was collected on sexual behavior, psychological determinants and chlamydia infections. The national STI surveillance database provided data on demographic, behavioral and sexual health-related characteristics for non-respondents. Predictors of non-response at baseline and of loss to follow-up were identified using multivariable logistic regression analyses. In total, 13,658 STI clinic visitors were eligible to participate, of which 1,063 (8%) participated. Male gender, low/medium education level, young age (≤ 20 years) and having a non-Dutch migration background were significant predictors of non-response at baseline. Furthermore, non-respondents at baseline were more likely to report STI-related symptoms, to have been notified by a partner, to have had condomless sex, and to have had ≤ 2 partners in the past six months, compared to participants. Psychological predictors of loss to follow-up differed between STI clinic regions, but low perceived importance of health at baseline was associated with loss to follow-up in all regions. The baseline chlamydia positivity rate was significantly higher in the non-respondents (17%) compared to the participants (14%), but was not a predictor of loss to follow-up. Targeted recruitment aimed at underrepresented groups in the population based on demographic, behavioral and psychological characteristics, might be necessary to decrease loss to follow-up, and to prevent non-response bias in health research.</t>
  </si>
  <si>
    <t>Child outcomes after placement of a cervical pessary in women with a multiple pregnancy: A 4-year follow-up of the ProTWIN trial.</t>
  </si>
  <si>
    <t>Simons, Noor E; van de Beek, Cornelieke; van der Lee, Johanna H; Opmeer, Brent C; van Wassenaer-Leemhuis, Aleid G; van Baar, Anneloes L; Steenis, Leonie; Liem, Sophie; Schuit, Ewoud; Bekedam, Dick; Mol, Ben W J; Van't Hooft, Janneke</t>
  </si>
  <si>
    <t>https://pubmed.ncbi.nlm.nih.gov/31032879</t>
  </si>
  <si>
    <t>The ProTWIN trial previously showed no beneficial effect of treatment with a cervical pessary vs usual care to prevent preterm birth in women with a multiple pregnancy. However, in women with a midtrimester short cervix (&lt;38 mm), pessary did reduce the composite outcome of neonatal morbidity and mortality. This follow-up study evaluates the long-term outcomes of all children born to mothers who participated in the ProTWIN trial at 4 years of age. Parents received the Ages and Stages Questionnaire, Strength and Difficulties Questionnaire and a health questionnaire. All questionnaires were reported separately and as a combined outcome (abnormal child outcome). A linear mixed effects model was used to adjust for correlated data in twins and correction for confounders was performed. In exploratory analysis, a composite outcome of death or survival with abnormal child outcome was used by combining extrapolated data on child outcome with survival data. All data were analyzed for the total group and the subgroup of women with midtrimester short cervix. Of the original 813 women of the ProTWIN trial, we approached 579, of whom 258 participated (45%) in follow-up. We received questionnaires of 514 children (281 pessary vs 233 control), with 119 children in the subgroup of women with midtrimester short cervix. An abnormal child outcome was found in 23% in the pessary group vs 16% in the control group (odds ratio 1.58; 95% confidence interval 0.94-2.65). In exploratory analysis with extrapolated data on child outcome (n = 815), no difference in abnormal child outcome was seen between the pessary and control group. In the subgroup of women with a short cervix (n = 268), this composite outcome indicated a favorable outcome for children born to mothers with pessary. In women with a multiple pregnancy, the use of a cervical pessary did not improve development, behavior or physical outcomes of the surviving children at age 4.</t>
  </si>
  <si>
    <t>Determinants of Patient Delay in Transient Ischemic Attack.</t>
  </si>
  <si>
    <t>Dolmans, L Servaas; Hoes, Arno W; Bartelink, Marie-Louise E L; Kappelle, L Jaap; Rutten, Frans H; ,</t>
  </si>
  <si>
    <t>european neurology</t>
  </si>
  <si>
    <t>https://pubmed.ncbi.nlm.nih.gov/31212275</t>
  </si>
  <si>
    <t>Early diagnosis and stroke preventive treatment in patients with transient ischemic attack (TIA) are crucial, but hampered by delayed reporting of symptoms. Previous studies on causes of patient delay provided inconsistent results. We aimed to assess determinants of patient delay among patients with symptoms suggestive of TIA. We interviewed participants referred by their general practitioner to an outpatient TIA clinic within 72 h from symptom onset. We determined (i) the exact time from symptom onset to the first contact with a medical service (patient delay); (ii) demographic and clinical characteristics; (iii) patient's initial perception, and reaction to symptoms; and (iv) patient's knowledge about TIA. We used multivariable linear regression to identify determinants of patient delay. We interviewed 202 suspected TIA patients (mean age 67.7 (SD 13.7) years, 111 (55.0%) male), of whom 123 (60.9%) received a definite diagnosis of TIA or minor stroke. Median patient delay was 1.5 (interquartile range 0.4-14.6) hours. Of all patients, 119 (58.9%) considered a TIA (or stroke) as the cause of their symptoms. Among them, 30 (25.2%) thought it was a medical emergency, while of the 83 not considering TIA as the cause of symptoms 38 (45.8%) thought of a medical emergency. Independently related to increased delay were (i) symptom onset out of hours, (ii) absence of dysarthria, (iii) being unaware that TIA requires urgent treatment, (iv) not considering the event an emergency, and (v) knowledge of TIA symptoms. Results for patients with a definite diagnosis of TIA/minor stroke were similar to those with alternative diagnoses. Patients still tend to wait till office hours to report TIA symptoms. Speech difficulties, and specifically dysarthria, are related to shorter delay. To reduce patient delay, awareness of TIA symptoms should increase and more importantly lay people should be educated to consider a TIA an emergency.</t>
  </si>
  <si>
    <t>Equity in maternal health outcomes in a middle-income urban setting: a cohort study.</t>
  </si>
  <si>
    <t>De Groot, Amanda; Van de Munt, Lisanne; Boateng, Daniel; Savitri, Ary I; Antwi, Edward; Bolten, Nienke; Klipstein-Grobusch, Kerstin; Uiterwaal, Cuno S P M; Browne, Joyce L</t>
  </si>
  <si>
    <t>https://pubmed.ncbi.nlm.nih.gov/31215495</t>
  </si>
  <si>
    <t>Low socioeconomic status (SES) is associated with more adverse perinatal health outcomes, risk factors and lower access to and use of maternal health care services. However, evidence for the association between SES and maternal health outcomes is limited, particularly for middle-income countries like sub-Saharan Ghana. We assessed the association between parental SES and adverse maternal and perinatal outcomes of Ghanaian women during pregnancy, delivery and the postpartum period. A prospective cohort study of 1010 women of two public hospitals in Accra, Ghana (2012-2014). SES was proxied by maternal and paternal education, wealth and employment status. The association of SES with maternal and perinatal outcomes was analyzed with multivariable logistic and linear regression. The analysis included 790 women with information on pregnancy outcomes. Average age was 28.2 years (standard deviation, SD 5.0). Over a third (n = 292, 37.0%) had low SES, 176 (22.3%) were classified to have high SES using the assets index. Nearly half (n = 374, 47.3%) of women had lower secondary school or vocational training as highest education level. Compared to women with middle assets SES, women with low assets SES were at higher risk for miscarriage (odds ratio, OR 1.61, 95% CI 1.06 to 2.45) and instrumental delivery (OR 1.74, 95% CI 1.03 to 2.94), but this association was not observed for the other SES proxies. For any of the maternal or perinatal outcomes and SES proxies, no other statistically significant differences were found. Women attending public maternal health care services in urban Ghana had overall equitable maternal and perinatal health outcomes, with the exception of a higher risk of miscarriage and instrumental delivery associated with low assets SES. This suggests known associations between SES, risk factors and outcomes could be mitigated with universal and accessible maternal health services.</t>
  </si>
  <si>
    <t>The Changing Role of Gene-Expression Profiling in the Era of De-escalating Adjuvant Chemotherapy in Early-Stage Breast Cancer.</t>
  </si>
  <si>
    <t>van Steenhoven, J E C; Kuijer, A; Schreuder, K; Elias, S G; van Diest, P J; van der Wall, E; Siesling, S; van Dalen, T</t>
  </si>
  <si>
    <t>https://pubmed.ncbi.nlm.nih.gov/31209664</t>
  </si>
  <si>
    <t>We assessed the recent trends in the administration of adjuvant chemotherapy thereby evaluating the role of the 70-gene signature (70-GS) testing in decision-making in the systemic treatment of patients with lymph node negative (N0) and lymph node positive (N+) breast cancer. Patients with a national guideline directed indication for 70-GS use treated between 2013 and 2016 were selected from the Netherlands Cancer Registry. Time trends in the administration of adjuvant chemotherapy were evaluated within guideline- and age-delineated subgroups. The influence of the 70-GS on chemotherapy use was assessed with logistic regression. During the study period, the overall administration of adjuvant chemotherapy decreased from 49 to 23% and 70-GS use increased from 24 to 51%. The 70-GS was not associated with a decreased likelihood for N0 patients to receive chemotherapy (odds ratio [OR] 1.0; 95% confidence interval [CI] 0.86-1.17), as the proportion of N0 patients who received chemotherapy in the absence of 70-GS use decreased during the study period. In patients with N1a disease, 70-GS testing was associated with a decreased likelihood to receive chemotherapy (OR 0.21; 95% CI 0.15-0.29). In patients &lt; 50 years and 50-59 years of age, 70-GS use was associated with a consistent lower proportion of patients receiving chemotherapy throughout the study period (OR 0.17; 95% CI 0.13-0.23 and OR 0.53; 95% CI 0.43-0.65, respectively). In this population-based study, the administration of adjuvant chemotherapy in ER+ breast cancer strongly declined. For node-positive and younger patients, 70-GS use was associated with a decreased probability for patients to receive adjuvant chemotherapy.</t>
  </si>
  <si>
    <t>Mid-regional pro-atrial natriuretic peptide for the early detection of non-acute heart failure.</t>
  </si>
  <si>
    <t>Gohar, Aisha; Rutten, Frans H; den Ruijter, Hester; Kelder, Johannes C; von Haehling, Stephan; Anker, Stefan D; Möckel, Martin; Hoes, Arno W</t>
  </si>
  <si>
    <t>https://pubmed.ncbi.nlm.nih.gov/31209992</t>
  </si>
  <si>
    <t>Diagnosing non-acute heart failure (HF) remains challenging, notably in the early stages of the syndrome. The diagnostic value of mid-regional pro-atrial natriuretic peptide (MR-proANP) has been proven in acute onset HF, but its role in early non-acute HF is unknown. We aimed to determine the diagnostic value of MR-proANP in suspected non-acute HF. In total, 721 people suspected of non-acute HF in primary care underwent standardised diagnostic work-up including chest X-ray, electrocardiogram, N-terminal pro-B-type natriuretic peptide (NT-proBNP) measurement and echocardiography. Of these, 245 people underwent additional MR-proANP measurements. The outcome of HF was assessed by an expert panel comprised of two cardiologists and one expert physician, who used all available diagnostic information including echocardiography, but were blinded to biomarker results. Of the 245 people (mean age 71.0 years, 62.9% female), 72 (29.4%) were diagnosed with HF. The c-statistics of MR-proANP and NT-proBNP as single diagnostic test were 0.77 [95% confidence interval (CI) 0.70-0.84] and 0.79 (95% CI 0.73-0.86), respectively. The cut-point with the highest accuracy for MR-proANP was 120 pmol/L [sensitivity/specificity/positive predictive value (PPV)/negative predictive value (NPV) 0.72, 0.69, 0.46, and 0.86, respectively], and the best exclusionary cut-point was 40 pmol/L (sensitivity/specificity/PPV/NPV 0.99, 0.06, 0.30, and 0.92, respectively). After addition of MR-proANP on top of a previously validated clinical model, the c-statistic rose from 0.82 (95% CI 0.76-0.88) to 0.86 (95% CI 0.80-0.92), and with the addition of NT-proBNP to 0.87 (95% CI 0.81-0.92). No sex interactions between the biomarkers and HF were found in the multivariable models. MR-proANP provides added diagnostic value in suspected non-acute HF, similar to NT-proBNP.</t>
  </si>
  <si>
    <t>Understanding of and perceptions towards cardiovascular diseases and their risk factors: a qualitative study among residents of urban informal settings in Nairobi.</t>
  </si>
  <si>
    <t>Wekesah, Frederick Murunga; Kyobutungi, Catherine; Grobbee, Diederick E; Klipstein-Grobusch, Kerstin</t>
  </si>
  <si>
    <t>https://pubmed.ncbi.nlm.nih.gov/31209088</t>
  </si>
  <si>
    <t>The study explored the understanding of and perception towards cardiovascular disease (CVD) and risk factors, and how they influence prevention and development of the conditions, care-seeking and adhering to treatment. Informal settlements of Nairobi. Nine focus group discussions consisting of between six and eight purposively sampled participants were conducted among healthy individuals aged 20 years or older. A total of 65 participants (41 female) were involved. Poverty, ignorance and illiteracy promoted behaviours like smoking, (harmful) alcohol consumption, physical inactivity and unhealthy diet, implicated in the development of obesity, diabetes and hypertension. Some respondents could not see the link between behavioural risk factors with diabetes, hypertension and stroke and heart attacks. Contaminated food items consumed by the residents and familial inheritance were factors that caused CVD, whereas emotional stress from constant worry was linked to hypertension, stroke and heart attacks. Few and inadequately equipped public health facilities were hindrances to treatment seeking and adherence to treatment for CVD conditions. Lack of medication in public health facilities was considered to be the single most important barrier to adherence to treatment next to lack of family support among older patients. Interventions to prevent and manage CVD in low-resource and urban poor settings should consider perceptions and understanding of risk factors for CVD, and the interrelationships among them while accounting for cultural and contextual issues for example, stigma and disregard for conventional medicine. Programmes should be informed by locally generated evidence on awareness and opportunities for CVD care, coupled with effective risk communication through healthcare providers. Screening for and treatment of CVD must address perceptions such as prohibitive cost of healthcare. Finally, social determinants of disease and health, mainly poverty and illiteracy, which are implicated in addressing CVD in low-resource settings, should be addressed.</t>
  </si>
  <si>
    <t>Combination of Searches for Invisible Higgs Boson Decays with the ATLAS Experiment.</t>
  </si>
  <si>
    <t>Aaboud, M; Aad, G; Abbott, B; Abbott, D C; Abdinov, O; Abed Abud, A; Abhayasinghe, D K; Abidi, S H; AbouZeid, O S; Abraham, N L; Abramowicz, H; Abreu, H; Abulaiti, Y; Acharya, B S; Adachi, S; Adam, L; Adam Bourdarios, C; Adamczyk, L; Adamek, L; Adelman, J; Adersberger, M; Adiguzel, A; Adorni, S; Adye, T; Affolder, A A; Afik, Y; Agapopoulou, C; Agaras, M N; Aggarwal, A; Agheorghiesei, C; Aguilar-Saavedra, J A; Ahmadov, F; Aielli, G; Akatsuka, S; Åkesson, T P A; Akilli, E; Akimov, A V; Al Khoury, K; Alberghi, G L; Albert, J; Alconada Verzini, M J; Alderweireldt, S; Aleksa, M; Aleksandrov, I N; Alexa, C; Alexandre, D; Alexopoulos, T; Alfonsi, A; Alhroob, M; Ali, B; Alimonti, G; Alison, J; Alkire, S P; Allaire, C; Allbrooke, B M M; Allen, B W; Allport, P P; Aloisio, A; Alonso, A; Alonso, F; Alpigiani, C; Alshehri, A A; Alstaty, M I; Alvarez Estevez, M; Alvarez Gonzalez, B; Álvarez Piqueras, D; Alviggi, M G; Amaral Coutinho, Y; Ambler, A; Ambroz, L; Amelung, C; Amidei, D; Amor Dos Santos, S</t>
  </si>
  <si>
    <t>https://pubmed.ncbi.nlm.nih.gov/31298882</t>
  </si>
  <si>
    <t>Dark matter particles, if sufficiently light, may be produced in decays of the Higgs boson. This Letter presents a statistical combination of searches for H→invisible decays where H is produced according to the standard model via vector boson fusion, Z(ℓℓ)H, and W/Z(had)H, all performed with the ATLAS detector using 36.1  fb^{-1} of pp collisions at a center-of-mass energy of sqrt[s]=13  TeV at the LHC. In combination with the results at sqrt[s]=7 and 8 TeV, an exclusion limit on the H→invisible branching ratio of 0.26(0.17_{-0.05}^{+0.07}) at 95% confidence level is observed (expected).</t>
  </si>
  <si>
    <t>Organoids from colorectal peritoneal metastases as a platform for improving hyperthermic intraperitoneal chemotherapy.</t>
  </si>
  <si>
    <t>Ubink, I; Bolhaqueiro, A C F; Elias, S G; Raats, D A E; Constantinides, A; Peters, N A; Wassenaar, E C E; de Hingh, I H J T; Rovers, K P; van Grevenstein, W M U; Laclé, M M; Kops, G J P L; Borel Rinkes, I H M; Kranenburg, O</t>
  </si>
  <si>
    <t>https://pubmed.ncbi.nlm.nih.gov/31197820</t>
  </si>
  <si>
    <t>Patients with peritoneal metastases from colorectal cancer have a poor prognosis. If the intraperitoneal tumour load is limited, patients may be eligible for cytoreductive surgery followed by hyperthermic intraperitoneal chemotherapy (HIPEC). This treatment has improved overall survival, but recurrence rates are high. The aim of this study was to create a preclinical platform for the development of more effective intraperitoneal chemotherapy strategies. Using organoid technology, five tumour cultures were generated from malignant ascites and resected peritoneal metastases. These were used in an in vitro HIPEC model to assess sensitivity to mitomycin C (MMC) and oxaliplatin, the drugs used most commonly in HIPEC. The model was also used to test a rational combination treatment involving MMC and inhibitors of the checkpoint kinase ATR. MMC was more effective in eliminating peritoneal metastasis-derived organoids than oxaliplatin at clinically relevant concentrations. However, the drug concentrations required to eliminate 50 per cent of the tumour cells (IC50) were higher than the median clinical dose in two of five organoid lines for MMC, and all five lines for oxaliplatin, indicating a general resistance to monotherapy. ATR inhibition increased the sensitivity of all peritoneal metastasis-derived organoids to MMC, as the IC50 decreased 2·6-12·4-fold to well below concentrations commonly attained in clinical practice. Live-cell imaging and flow cytometric analysis showed that ATR inhibition did not release cells from MMC-induced cell cycle arrest, but caused increased replication stress and accelerated cell death. Peritoneal metastasis-derived organoids can be used to evaluate existing HIPEC regimens on an individual-patient level and for development of more effective treatment strategies. Surgical relevance Cytoreductive surgery followed by hyperthermic intraperitoneal chemotherapy (HIPEC) has improved prognosis of patients with peritoneal metastases from colorectal cancer, but disease recurrence is common. More effective and personalized HIPEC is urgently needed. Organoid technology is frequently used for drug screens, as patient-derived organoids can accurately predict clinical therapeutic response in vitro. A panel of organoids was established from peritoneal metastases from colorectal cancer and used to develop a model for testing HIPEC regimens in vitro. Patient-derived organoids differed in sensitivity to commonly used chemotherapeutics, in line with variable clinical outcomes following cytoreductive surgery-HIPEC. Combining MMC with an ATR inhibitor improved the efficacy of MMC. Peritoneal metastasis-derived organoids can be used as a platform to test novel (combination) strategies that increase HIPEC efficacy. In the future, organoids could be used to select patent-tailored HIPEC regimens.</t>
  </si>
  <si>
    <t>Performance of the Framingham risk models and pooled cohort equations for predicting 10-year risk of cardiovascular disease: a systematic review and meta-analysis.</t>
  </si>
  <si>
    <t>Damen, Johanna A; Pajouheshnia, Romin; Heus, Pauline; Moons, Karel G M; Reitsma, Johannes B; Scholten, Rob J P M; Hooft, Lotty; Debray, Thomas P A</t>
  </si>
  <si>
    <t>https://pubmed.ncbi.nlm.nih.gov/31189462</t>
  </si>
  <si>
    <t>The Framingham risk models and pooled cohort equations (PCE) are widely used and advocated in guidelines for predicting 10-year risk of developing coronary heart disease (CHD) and cardiovascular disease (CVD) in the general population. Over the past few decades, these models have been extensively validated within different populations, which provided mounting evidence that local tailoring is often necessary to obtain accurate predictions. The objective is to systematically review and summarize the predictive performance of three widely advocated cardiovascular risk prediction models (Framingham Wilson 1998, Framingham ATP III 2002 and PCE 2013) in men and women separately, to assess the generalizability of performance across different subgroups and geographical regions, and to determine sources of heterogeneity in the findings across studies. A search was performed in October 2017 to identify studies investigating the predictive performance of the aforementioned models. Studies were included if they externally validated one or more of the original models in the general population for the same outcome as the original model. We assessed risk of bias for each validation and extracted data on population characteristics and model performance. Performance estimates (observed versus expected (OE) ratio and c-statistic) were summarized using a random effects models and sources of heterogeneity were explored with meta-regression. The search identified 1585 studies, of which 38 were included, describing a total of 112 external validations. Results indicate that, on average, all models overestimate the 10-year risk of CHD and CVD (pooled OE ratio ranged from 0.58 (95% CI 0.43-0.73; Wilson men) to 0.79 (95% CI 0.60-0.97; ATP III women)). Overestimation was most pronounced for high-risk individuals and European populations. Further, discriminative performance was better in women for all models. There was considerable heterogeneity in the c-statistic between studies, likely due to differences in population characteristics. The Framingham Wilson, ATP III and PCE discriminate comparably well but all overestimate the risk of developing CVD, especially in higher risk populations. Because the extent of miscalibration substantially varied across settings, we highly recommend that researchers further explore reasons for overprediction and that the models be updated for specific populations.</t>
  </si>
  <si>
    <t>Progress update from the hippocampal subfields group.</t>
  </si>
  <si>
    <t>Olsen, Rosanna K; Carr, Valerie A; Daugherty, Ana M; La Joie, Renaud; Amaral, Robert S C; Amunts, Katrin; Augustinack, Jean C; Bakker, Arnold; Bender, Andrew R; Berron, David; Boccardi, Marina; Bocchetta, Martina; Burggren, Alison C; Chakravarty, M Mallar; Chételat, Gaël; de Flores, Robin; DeKraker, Jordan; Ding, Song-Lin; Geerlings, Mirjam I; Huang, Yushan; Insausti, Ricardo; Johnson, Elliott G; Kanel, Prabesh; Kedo, Olga; Kennedy, Kristen M; Keresztes, Attila; Lee, Joshua K; Lindenberger, Ulman; Mueller, Susanne G; Mulligan, Elizabeth M; Ofen, Noa; Palombo, Daniela J; Pasquini, Lorenzo; Pluta, John; Raz, Naftali; Rodrigue, Karen M; Schlichting, Margaret L; Lee Shing, Yee; Stark, Craig E L; Steve, Trevor A; Suthana, Nanthia A; Wang, Lei; Werkle-Bergner, Markus; Yushkevich, Paul A; Yu, Qijing; Wisse, Laura E M; ,</t>
  </si>
  <si>
    <t>https://pubmed.ncbi.nlm.nih.gov/31245529</t>
  </si>
  <si>
    <t>Heterogeneity of segmentation protocols for medial temporal lobe regions and hippocampal subfields on &lt;i&gt;in vivo&lt;/i&gt; magnetic resonance imaging hinders the ability to integrate findings across studies. We aim to develop a harmonized protocol based on expert consensus and histological evidence. Our international working group, funded by the EU Joint Programme-Neurodegenerative Disease Research (JPND), is working toward the production of a reliable, validated, harmonized protocol for segmentation of medial temporal lobe regions. The working group uses a novel &lt;i&gt;postmortem&lt;/i&gt; data set and online consensus procedures to ensure validity and facilitate adoption. This progress report describes the initial results and milestones that we have achieved to date, including the development of a draft protocol and results from the initial reliability tests and consensus procedures. A harmonized protocol will enable the standardization of segmentation methods across laboratories interested in medial temporal lobe research worldwide.</t>
  </si>
  <si>
    <t>Antiplatelet Therapy After Noncardioembolic Stroke.</t>
  </si>
  <si>
    <t>Greving, Jacoba P; Diener, Hans-Christoph; Reitsma, Johannes B; Bath, Philip M; Csiba, László; Hacke, Werner; Kappelle, L Jaap; Koudstaal, Peter J; Leys, Didier; Mas, Jean-Louis; Sacco, Ralph L; Algra, Ale</t>
  </si>
  <si>
    <t>https://pubmed.ncbi.nlm.nih.gov/31177983</t>
  </si>
  <si>
    <t>Background and Purpose- We assessed the efficacy and safety of antiplatelet agents after noncardioembolic stroke or transient ischemic attack and examined how these vary according to patients' demographic and clinical characteristics. Methods- We did a network meta-analysis (NMA) of data from 6 randomized trials of the effects of commonly prescribed antiplatelet agents in the long-term (≥3 months) secondary prevention of noncardioembolic stroke or transient ischemic attack. Individual patient data from 43 112 patients were pooled and reanalyzed. Main outcomes were serious vascular events (nonfatal stroke, nonfatal myocardial infarction, or vascular death), major bleeding, and net clinical benefit (serious vascular event or major bleeding). Subgroup analyses were done according to age, sex, ethnicity, hypertension, qualifying diagnosis, type of vessel involved (large versus small vessel disease), and time from qualifying event to randomization. Results- Aspirin/dipyridamole combination (RR&lt;sub&gt;NMA-adj&lt;/sub&gt;, 0.83; 95% CI, 0.74-0.94) significantly reduced the risk of vascular events compared with aspirin, as did clopidogrel (RR&lt;sub&gt;NMA-adj&lt;/sub&gt;, 0.88; 95% CI, 0.78-0.98), and aspirin/clopidogrel combination (RR&lt;sub&gt;NMA-adj&lt;/sub&gt;, 0.83; 95% CI, 0.71-0.96). Clopidogrel caused significantly less major bleeding and intracranial hemorrhage than aspirin, aspirin/dipyridamole combination, and aspirin/clopidogrel combination. Aspirin/clopidogrel combination caused significantly more major bleeding than aspirin, aspirin/dipyridamole combination, and clopidogrel. Net clinical benefit was similar for clopidogrel and aspirin/dipyridamole combination (RR&lt;sub&gt;NMA-adj&lt;/sub&gt;, 0.99; 95% CI, 0.93-1.05). Subgroup analyses showed no heterogeneity of treatment effectiveness across prespecified subgroups. The excess risk of major bleeding associated with aspirin/clopidogrel combination compared with clopidogrel alone was higher in patients aged &lt;65 years than it was in patients ≥65 years (RR&lt;sub&gt;NMA-adj&lt;/sub&gt;, 3.9 versus 1.7). Conclusions- Results favor clopidogrel and aspirin/dipyridamole combination for long-term secondary prevention after noncardioembolic stroke or transient ischemic attack, regardless of patient characteristics. Aspirin/clopidogrel combination was associated with a significantly higher risk of major bleeding compared with other antiplatelet regimens.</t>
  </si>
  <si>
    <t>Outcome Assessment by Central Adjudicators Versus Site Investigators in Stroke Trials: A Systematic Review and Meta-Analysis.</t>
  </si>
  <si>
    <t>Godolphin, Peter J; Bath, Philip M; Algra, Ale; Berge, Eivind; Brown, Martin M; Chalmers, John; Duley, Lelia; Eliasziw, Misha; Gregson, John; Greving, Jacoba P; Hankey, Graeme J; Hosomi, Naohisa; Johnston, S Claiborne; Patsko, Emily; Ranta, Annamarei; Sandset, Per Morten; Serena, Joaquín; Weimar, Christian; Montgomery, Alan A; ,</t>
  </si>
  <si>
    <t>https://pubmed.ncbi.nlm.nih.gov/33755494</t>
  </si>
  <si>
    <t>Background and Purpose- In randomized stroke trials, central adjudication of a trial's primary outcome is regularly implemented. However, recent evidence questions the importance of central adjudication in randomized trials. The aim of this review was to compare outcomes assessed by central adjudicators with outcomes assessed by site investigators. Methods- We included randomized stroke trials where the primary outcome had undergone an assessment by site investigators and central adjudicators. We searched MEDLINE, EMBASE, CENTRAL (Cochrane Central Register of Controlled Trials), Web of Science, PsycINFO, and Google Scholar for eligible studies. We extracted information about the adjudication process as well as the treatment effect for the primary outcome, assessed both by central adjudicators and by site investigators. We calculated the ratio of these treatment effects so that a ratio of these treatment effects &gt;1 indicated that central adjudication resulted in a more beneficial treatment effect than assessment by the site investigator. A random-effects meta-analysis model was fitted to estimate a pooled effect. Results- Fifteen trials, comprising 69 560 participants, were included. The primary outcomes included were stroke (8/15, 53%), a composite event including stroke (6/15, 40%) and functional outcome after stroke measured on the modified Rankin Scale (1/15, 7%). The majority of site investigators were blind to treatment allocation (9/15, 60%). On average, there was no difference in treatment effect estimates based on data from central adjudicators and site investigators (pooled ratio of these treatment effects=1.02; 95% CI, [0.95-1.09]). Conclusions- We found no evidence that central adjudication of the primary outcome in stroke trials had any impact on trial conclusions. This suggests that potential advantages of central adjudication may not outweigh cost and time disadvantages in stroke studies if the primary purpose of adjudication is to ensure validity of trial findings.</t>
  </si>
  <si>
    <t>The effect of computerized decision support systems on cardiovascular risk factors: a systematic review and meta-analysis.</t>
  </si>
  <si>
    <t>Groenhof, T Katrien J; Asselbergs, Folkert W; Groenwold, Rolf H H; Grobbee, Diederick E; Visseren, Frank L J; Bots, Michiel L; ,</t>
  </si>
  <si>
    <t>https://pubmed.ncbi.nlm.nih.gov/31182084</t>
  </si>
  <si>
    <t>Cardiovascular risk management (CVRM) is notoriously difficult because of multi-morbidity and the different phenotypes and severities of cardiovascular disease. Computerized decision support systems (CDSS) enable the clinician to integrate the latest scientific evidence and patient information into tailored strategies. The effect on cardiovascular risk factor management is yet to be confirmed. We performed a systematic review and meta-analysis evaluating the effects of CDSS on CVRM, defined as the change in absolute values and attainment of treatment goals of systolic blood pressure (SBP), low density lipoprotein cholesterol (LDL-c) and HbA1c. Also, CDSS characteristics related to more effective CVRM were identified. Eligible articles were methodologically appraised using the Cochrane risk of bias tool. We calculated mean differences, relative risks, and if appropriate (I&lt;sup&gt;2&lt;/sup&gt; &lt; 70%), pooled the results using a random-effects model. Of the 14,335 studies identified, 22 were included. Four studies reported on SBP, 3 on LDL-c, 10 on CVRM in patients with type II diabetes and 5 on guideline adherence. The CDSSs varied considerably in technical performance and content. Heterogeneity of results was such that quantitative pooling was often not appropriate. Among CVRM patients, the results tended towards a beneficial effect of CDSS, but only LDL-c target attainment in diabetes patients reached statistical significance. Prompting, integration into the electronical health record, patient empowerment, and medication support were related to more effective CVRM. We did not find a clear clinical benefit from CDSS in cardiovascular risk factor levels and target attainment. Some features of CDSS seem more promising than others. However, the variability in CDSS characteristics and heterogeneity of the results - emphasizing the immaturity of this research area - limit stronger conclusions. Clinical relevance of CDSS in CVRM might additionally be sought in the improvement of shared decision making and patient empowerment.</t>
  </si>
  <si>
    <t>Patients' perspectives on the COPD-GRIP intervention, a new nursing care intervention for COPD.</t>
  </si>
  <si>
    <t>Zwakman, Marieke; Weldam, Saskia W M; Vervoort, Sigrid C J M; Lammers, Jan-Willem J; Schuurmans, Marieke J</t>
  </si>
  <si>
    <t>https://pubmed.ncbi.nlm.nih.gov/31182032</t>
  </si>
  <si>
    <t>The nurse-led chronic obstructive pulmonary disease-Guidance Research on Illness Perception (COPD-GRIP) intervention was developed to incorporate illness perceptions into COPD care with the intention to improve the health-related quality of life of COPD patients. This individualized intervention focuses on identifying, discussing and evaluating illness perceptions and consists of three consultations with a practice nurse. The aim of this study is to explore patients' experiences regarding the COPD-GRIP intervention. A qualitative interview study nested in a cluster randomized trial in primary care. One-time semi-structured individual interviews with COPD patients who were guided with the COPD-GRIP intervention were conducted. During data collection, the constant comparative approach was used. All interviews were recorded, transcribed, anonymized and uploaded to MAXQDA. To identify themes, the transcripts were independently coded by two researchers. Sixteen patients were interviewed. All patients were positive and experienced an additional value of the COPD-GRIP intervention in different areas. Three main themes were identified and show that taking part in this intervention made the patients feel 'listened to and acknowledged', improved their awareness of the disease and its management and helped them to make lifestyle changes. Some patients suggested that the individualized care plan could be improved and to start the intervention immediately after being informed of the COPD diagnosis. All patients recommended this intervention. The results of this study indicate that patients acknowledge that the COPD-GRIP intervention is a useful and promising tool for providing individualized COPD care.</t>
  </si>
  <si>
    <t>Lesion detection by [&lt;sup&gt;89&lt;/sup&gt;Zr]Zr-DFO-girentuximab and [&lt;sup&gt;18&lt;/sup&gt;F]FDG-PET/CT in patients with newly diagnosed metastatic renal cell carcinoma.</t>
  </si>
  <si>
    <t>Verhoeff, Sarah R; van Es, Suzanne C; Boon, Eline; van Helden, Erik; Angus, Lindsay; Elias, Sjoerd G; Oosting, Sjoukje F; Aarntzen, Erik H; Brouwers, Adrienne H; Kwee, Thomas C; Heskamp, Sandra; Hoekstra, Otto S; Verheul, Henk; van der Veldt, Astrid A M; de Vries, Elisabeth G E; Boerman, Otto C; van der Graaf, Winette T A; Oyen, Wim J G; van Herpen, Carla M L</t>
  </si>
  <si>
    <t>https://pubmed.ncbi.nlm.nih.gov/31172212</t>
  </si>
  <si>
    <t>The main objective of this preliminary analysis of the IMaging PAtients for Cancer drug selecTion (IMPACT)-renal cell cancer (RCC) study is to evaluate the lesion detection of baseline contrast-enhanced CT, [&lt;sup&gt;89&lt;/sup&gt;Zr]Zr-DFO-girentuximab-PET/CT and [&lt;sup&gt;18&lt;/sup&gt;F]FDG-PET/CT in detecting ccRCC lesions in patients with a good or intermediate prognosis metastatic clear cell renal cell carcinoma (mccRCC) according to the International Metastatic Database Consortium (IMDC) risk model. Between February 2015 and March 2018, 42 newly diagnosed mccRCC patients with good or intermediate prognosis, eligible for watchful waiting, were included. Patients underwent CT, [&lt;sup&gt;89&lt;/sup&gt;Zr]Zr-DFO-girentuximab-PET/CT and [&lt;sup&gt;18&lt;/sup&gt;F]FDG-PET/CT at baseline. Scans were independently reviewed and lesions of ≥10 mm and lymph nodes of ≥15 mm at CT were analyzed. For lesions with [&lt;sup&gt;89&lt;/sup&gt;Zr]Zr-DFO-girentuximab or [&lt;sup&gt;18&lt;/sup&gt;F]FDG-uptake visually exceeding background uptake, maximum standardized uptake values (SUV&lt;sub&gt;max&lt;/sub&gt;) were measured. A total of 449 lesions were detected by ≥1 modality (median per patient: 7; ICR 4.25-12.75) of which 42% were in lung, 22% in lymph nodes and 10% in bone. Combined [&lt;sup&gt;89&lt;/sup&gt;Zr]Zr-DFO-girentuximab-PET/CT and CT detected more lesions than CT alone: 91% (95%CI: 87-94) versus 56% (95%CI: 50-62, p = 0.001), respectively, and more than CT and [&lt;sup&gt;18&lt;/sup&gt;F]FDG-PET/CT combined (84% (95%CI:79-88, p &lt; 0.005). Both PET/CTs detected more bone and soft tissue lesions compared to CT alone. The addition of [&lt;sup&gt;89&lt;/sup&gt;Zr]Zr-DFO-girentuximab-PET/CT and [&lt;sup&gt;18&lt;/sup&gt;F]FDG-PET/CT to CT increases lesion detection compared to CT alone in newly diagnosed good and intermediate prognosis mccRCC patients eligible for watchful waiting.</t>
  </si>
  <si>
    <t>Discovery of biomarkers for the presence and progression of left ventricular diastolic dysfunction and HEart faiLure with Preserved ejection Fraction in patients at risk for cardiovascular disease: rationale and design of the HELPFul case-cohort study in a Dutch cardiology outpatient clinic.</t>
  </si>
  <si>
    <t>Valstar, Gideon B; Bots, Sophie H; Groepenhoff, Floor; Gohar, Aisha; Rutten, Frans H; Leiner, Tim; Cramer, Maarten Jan Maria; Teske, Arco J; Suciadi, Leonardo P; Menken, Roxana; Pasterkamp, Gerard; Asselbergs, Folkert W; Hofstra, Leonard; Bots, Michael L; den Ruijter, Hester M</t>
  </si>
  <si>
    <t>https://pubmed.ncbi.nlm.nih.gov/31171553</t>
  </si>
  <si>
    <t>Left ventricular diastolic dysfunction (LVDD) is a common condition in both sexes that may deteriorate into heart failure (HF) with preserved ejection fraction (pEF), although this seems to happen more often in women than in men. Both LVDD and HFpEF often go unrecognised, necessitating the discovery of biomarkers that aid both the identification of individuals with LVDD at risk of developing HF and identification of individuals most likely to benefit from treatment. HELPFul is an ongoing case-cohort study at a Dutch cardiology outpatient clinic enrolling patients aged 45 years and older without history of cardiovascular disease, who were referred by the general practitioner for cardiac evaluation. We included a random sample of patients and enriched the cohort with cases (defined as an E/e' ≥8 measured with echocardiography). Information about medical history, cardiovascular risk factors, electrocardiography, echocardiography, exercise test performance, common carotid intima-media thickness measurement and standard cardiovascular biomarkers was obtained from the routine care data collected by the cardiology outpatient clinic. Study procedure consists of extensive venous blood collection for biobanking and additional standardised questionnaires. Follow-up will consist of standardised questionnaires by mail and linkage to regional and national registries. We will perform cardiac magnetic resonance imaging and coronary CT angiography in a subgroup of patients to investigate the extent of macrovascular and microvascular coronary disease. The study protocol was approved by the Institutional Review Board of the University Medical Center Utrecht. Results will be disseminated through national and international conferences and in peer-reviewed journals in cardiovascular disease. NTR6016;Pre-results.</t>
  </si>
  <si>
    <t>Stroke Rate Variation and Anticoagulation Benefit in Atrial Fibrillation.</t>
  </si>
  <si>
    <t>Joosten, Linda P T; van Doorn, Sander; Rutten, Frans H; Geersing, Geert-Jan</t>
  </si>
  <si>
    <t>https://pubmed.ncbi.nlm.nih.gov/31158860</t>
  </si>
  <si>
    <t>Barriers to ideal palliative care in multiple care settings: the nurses' point of view.</t>
  </si>
  <si>
    <t>Uitdehaag, Madeleen J; Stellato, Rebecca K; Lugtig, Peter; Olden, Thirza; Teunissen, Saskia</t>
  </si>
  <si>
    <t>international journal of palliative nursing</t>
  </si>
  <si>
    <t>https://pubmed.ncbi.nlm.nih.gov/31242097</t>
  </si>
  <si>
    <t>Nurses and certified nursing assistants (CNA) have a crucial role in 24/7 continuity of palliative care for many vulnerable patients and families, however, their perspective has been largely omitted in reported barriers to palliative care. To describe barriers to ideal palliative care that are specific to nurses and CNAs working in all care settings. A cross-sectional, online survey was distributed to members of the Dutch Nurses' Association. Almost 50% of the participating 2377 nurses and CNAs experienced more than five barriers to ideal palliative care in their work situation; nurses and CNAs employed in regional hospitals, mental healthcare and nursing home settings encountered more barriers than those working in other settings. The three most common barriers were: lack of proactive care planning, lack of internal consultation possibilities and lack of assessment of care recipients' preferences and needs for a seamless transition to another setting.</t>
  </si>
  <si>
    <t>A paired kidney analysis on the impact of pre-transplant anti-HLA antibodies on graft survival.</t>
  </si>
  <si>
    <t>Michielsen, Laura A; Wisse, Bram W; Kamburova, Elena G; Verhaar, Marianne C; Joosten, Irma; Allebes, Wil A; van der Meer, Arnold; Hilbrands, Luuk B; Baas, Marije C; Spierings, Eric; Hack, Cornelis E; van Reekum, Franka E; Bots, Michiel L; Drop, Adriaan C A D; Plaisier, Loes; Seelen, Marc A J; Sanders, Jan-Stephan F; Hepkema, Bouke G; Lambeck, Annechien J; Bungener, Laura B; Roozendaal, Caroline; Tilanus, Marcel G J; Voorter, Christien E; Wieten, Lotte; van Duijnhoven, Elizabeth M; Gelens, Mariëlle; Christiaans, Maarten H L; van Ittersum, Frans J; Nurmohamed, Shaikh A; Lardy, Neubury M; Swelsen, Wendy; van der Pant, Karlijn A; van der Weerd, Neelke C; Ten Berge, Ineke J M; Bemelman, Frederike J; Hoitsma, Andries; van der Boog, Paul J M; de Fijter, Johan W; Betjes, Michiel G H; Heidt, Sebastiaan; Roelen, Dave L; Claas, Frans H; Otten, Henderikus G; van Zuilen, Arjan D</t>
  </si>
  <si>
    <t>https://pubmed.ncbi.nlm.nih.gov/30365008</t>
  </si>
  <si>
    <t>Pre-transplant donor-specific anti-human leucocyte antigen (HLA) antibodies (DSAs) are associated with impaired kidney graft survival while the clinical relevance of non-donor-specific anti-HLA antibodies (nDSAs) is more controversial. The aim of the present paired kidney graft study was to compare the clinical relevance of DSAs and nDSAs. To eliminate donor and era-dependent factors, a post hoc paired kidney graft analysis was performed as part of a Dutch multicentre study evaluating all transplantations between 1995 and 2005 with available pre-transplant serum samples. Anti-HLA antibodies were detected with a Luminex single-antigen bead assay. Among 3237 deceased donor transplantations, we identified 115 recipient pairs receiving a kidney from the same donor with one recipient being DSA positive and the other without anti-HLA antibodies. Patients with pre-transplant DSAs had a significantly lower 10-year death-censored graft survival (55% versus 82%, P=0.0001). We identified 192 pairs with one recipient as nDSA positive (against Class I and/or II) and the other without anti-HLA antibodies. For the patients with nDSAs against either Class I or II, graft survival did not significantly differ compared with patients without anti-HLA antibodies (74% versus 77%, P = 0.79). Only in patients with both nDSAs Class I and II was there a trend towards a lower graft survival (58%, P = 0.06). Lastly, in a small group of 42 recipient pairs, 10-year graft survival in recipients with DSAs was 49% compared with 68% in recipients with nDSAs (P=0.11). This paired kidney analysis confirms that the presence of pre-transplant DSAs in deceased donor transplantations is a risk marker for graft loss, whereas nDSAs in general are not associated with a lower graft survival. Subgroup analysis indicated that only in broadly sensitized patients with nDSAs against Class I and II, nDSAs may be a risk marker for graft loss in the long term.</t>
  </si>
  <si>
    <t>Definition and Prioritization of Data Elements for Cohort Studies and Clinical Trials on Patients with Unruptured Intracranial Aneurysms: Proposal of a Multidisciplinary Research Group.</t>
  </si>
  <si>
    <t>https://pubmed.ncbi.nlm.nih.gov/31102238</t>
  </si>
  <si>
    <t>Variability in usage and definition of data characteristics in previous cohort studies on unruptured intracranial aneurysms (UIA) complicated pooling and proper interpretation of these data. The aim of the National Institute of Health/National Institute of Neurological Disorders and Stroke UIA and Subarachnoid Hemorrhage (SAH) Common Data Elements (CDE) Project was to provide a common structure for data collection in future research on UIA and SAH. This paper describes the development and summarization of the recommendations of the working groups (WGs) on UIAs, which consisted of an international and multidisciplinary panel of cerebrovascular specialists on research and treatment of UIAs. Consensus recommendations were developed by review of previously published CDEs for other neurological diseases and the literature on UIAs. Recommendations for CDEs were classified by priority into 'Core,' 'Supplemental-Highly Recommended,' 'Supplemental,' and 'Exploratory.' Ninety-one CDEs were compiled; 69 were newly created and 22 were existing CDEs. The CDEs were assigned to eight subcategories and were classified as Core (8), Supplemental-Highly Recommended (23), Supplemental (25), and Exploratory (35) elements. Additionally, the WG developed and agreed on a classification for aneurysm morphology. The proposed CDEs have been distilled from a broad pool of characteristics, measures, or outcomes. The usage of these CDEs will facilitate pooling of data from cohort studies or clinical trials on patients with UIAs.</t>
  </si>
  <si>
    <t>Fosfomycin-trometamol for Urinary Tract Infections in Kidney Transplant Recipients.</t>
  </si>
  <si>
    <t>Ten Doesschate, Thijs; van Werkhoven, Henri; Meijvis, Sabine; Stalenhoef, Janneke; van Zuilen, Arjan; de Vries, Aiko; Bonten, Marc</t>
  </si>
  <si>
    <t>https://pubmed.ncbi.nlm.nih.gov/30130327</t>
  </si>
  <si>
    <t>The treatment of urinary tract infections (UTIs) in kidney transplant recipients (KTRs) with oral antibiotics is complicated by increasing resistance to trimethoprim-sulfamethoxazole, amoxicillin/clavulanic acid, and ciprofloxacin. Fosfomycin-trometamol (FT) could be an alternative, but evidence on clinical effectiveness is scarce. We evaluated the use, effectiveness and safety of FT for UTI in KTRs. Data were retrospectively collected in 2 Dutch transplant hospitals from adult KTRs that were treated with FT as initial treatment for lower UTI or asymptomatic bacteriuria (ASB) or as stepdown treatment for upper UTI after initial intravenous antibiotics. Exclusion criteria were in vitro resistance to FT or concomitant antibiotic treatment. Endpoints were clinical cure within 14 days and severe clinical failure, microbiological cure, relapse, recurrence, and acquired resistance within 90 days postend of treatment. Fifty-three episodes in 40 KTRs were included (ASB, n = 15; lower UTI, n = 33; upper UTI, n = 5). Fosfomycin-trometamol was used for a median short duration in a heterogeneous gift interval. Fosfomycin-trometamol resulted in microbiological cure in 25%, 28%, and 100% of ASB, lower UTI and upper UTI with initial positive culture and follow-up culture performed, respectively. Clinical cure rates were 67% for lower UTI and 80% for upper UTI. Relapses or recurrences occurred in 31% and 24% of symptomatic UTI episodes, without severe clinical failure. Acquired resistance to fosfomycin was observed in 6 episodes. Fosfomycin-trometamol has a reasonable effectiveness as last-resort oral treatment for lower UTI and stepdown treatment for upper UTI in KTRs. Randomized controlled trials with optimal dosage regimens are warranted. Use of FT is not recommended for ASB.</t>
  </si>
  <si>
    <t>Respiratory Microbiota Predicts Clinical Disease Course of Acute Otorrhea in Children With Tympanostomy Tubes.</t>
  </si>
  <si>
    <t>Man, Wing Ho; van Dongen, Thijs M A; Venekamp, Roderick P; Pluimakers, Vincent G; Chu, Mei Ling J N; van Houten, Marlies A; Sanders, Elisabeth A M; Schilder, Anne G M; Bogaert, Debby</t>
  </si>
  <si>
    <t>https://pubmed.ncbi.nlm.nih.gov/30299424</t>
  </si>
  <si>
    <t>Acute otitis media (AOM) is one of the most common childhood infections, generally thought to be caused by ascension of bacteria from the nasopharynx (NP) to the middle ear. Using 16S ribosomal RNA-based sequencing, we evaluated the relationship between the NP and middle ear fluid (MEF) microbiota in children with AOM with tympanostomy tubes (AOMT) as a proxy for AOM and explored whether microbiota profiling predicts natural disease course. Microbiota profiles of paired NP and MEF samples of 94 children below 5 years of age with uncomplicated AOMT were determined. Local diversity (P &lt; 0.001) and overall microbiota composition (P &lt; 0.001) of NP and MEF samples differed significantly, although paired NP and MEF samples were much more similar than unpaired samples (P &lt; 0.001). High qualitative agreement between the presence of individual bacteria in both niches was observed. Abundances of Pseudomonas aeruginosa, Staphylococcus aureus, Streptococcus pyogenes, Turicella otitidis, Klebsiella pneumoniae and Haemophilus spp. were strongly correlated between the 2 niches. Additionally, P. aeruginosa, S. aureus, T. otitidis and Streptococcus pneumoniae abundance in NP were predictive of the presence of a range of oral types of bacteria in MEF. Interestingly, there was no association between Moraxella catarrhalis in NP and MEF samples, which was highly present in NP but virtually absent in MEF. Finally, the NP microbiota composition could predict duration of AOMT, even better than MEF microbiota. We observed substantial correlations between paired NP and MEF microbiota in children with AOMT. Our data also suggest that NP microbiota profiling deserves further exploration as tool for future treatment decisions.</t>
  </si>
  <si>
    <t>Exploring causality of the association between smoking and Parkinson's disease.</t>
  </si>
  <si>
    <t>Gallo, Valentina; Vineis, Paolo; Cancellieri, Mariagrazia; Chiodini, Paolo; Barker, Roger A; Brayne, Carol; Pearce, Neil; Vermeulen, Roel; Panico, Salvatore; Bueno-de-Mesquita, Bas; Vanacore, Nicola; Forsgren, Lars; Ramat, Silvia; Ardanaz, Eva; Arriola, Larraitz; Peterson, Jesper; Hansson, Oskar; Gavrila, Diana; Sacerdote, Carlotta; Sieri, Sabina; Kühn, Tilman; Katzke, Verena A; van der Schouw, Yvonne T; Kyrozis, Andreas; Masala, Giovanna; Mattiello, Amalia; Perneczky, Robert; Middleton, Lefkos; Saracci, Rodolfo; Riboli, Elio</t>
  </si>
  <si>
    <t>https://pubmed.ncbi.nlm.nih.gov/30462234</t>
  </si>
  <si>
    <t>The aim of this paper is to investigate the causality of the inverse association between cigarette smoking and Parkinson's disease (PD). The main suggested alternatives include a delaying effect of smoking, reverse causality or an unmeasured confounding related to a low-risk-taking personality trait. A total of 715 incident PD cases were ascertained in a cohort of 220 494 individuals from NeuroEPIC4PD, a prospective European population-based cohort study including 13 centres in eight countries. Smoking habits were recorded at recruitment. We analysed smoking status, duration, and intensity and exposure to passive smoking in relation to PD onset. Former smokers had a 20% decreased risk and current smokers a halved risk of developing PD compared with never smokers. Strong dose-response relationships with smoking intensity and duration were found. Hazard ratios (HRs) for smoking &lt;20 years were 0.84 [95% confidence interval (CI) 0.67-1.07], 20-29 years 0.73 (95% CI 0.56-0.96) and &gt;30 years 0.54 (95% CI 0.43-0.36) compared with never smokers. The proportional hazard assumption was verified, showing no change of risk over time, arguing against a delaying effect. Reverse causality was disproved by the consistency of dose-response relationships among former and current smokers. The inverse association between passive smoking and PD, HR 0.70 (95% CI 0.49-0.99) ruled out the effect of unmeasured confounding. These results are highly suggestive of a true causal link between smoking and PD, although it is not clear which is the chemical compound in cigarette smoking responsible for the biological effect.</t>
  </si>
  <si>
    <t>Sex-Based Differences in Heart Failure Across the Ejection Fraction Spectrum: Phenotyping, and Prognostic and Therapeutic Implications.</t>
  </si>
  <si>
    <t>Stolfo, Davide; Uijl, Alicia; Vedin, Ola; Strömberg, Anna; Faxén, Ulrika Ljung; Rosano, Giuseppe M C; Sinagra, Gianfranco; Dahlström, Ulf; Savarese, Gianluigi</t>
  </si>
  <si>
    <t>https://pubmed.ncbi.nlm.nih.gov/31146874</t>
  </si>
  <si>
    <t>This study assessed sex-related differences in a large cohort of unselected patients with heart failure (HF) across the ejection fraction (EF) spectrum. Females are under-represented in randomized clinical trials. Potential sex-related differences in HF may question the generalizability of trials. In the Swedish Heart Failure Registry population multivariate Cox and logistic regression models were fitted to investigate differences in prognosis, prognostic predictors, and treatments across males and females. Of 42,987 patients, 37% were females (55% with HF with preserved EF [HFpEF], 39% with HF with mid-range EF [HFmrEF], and 29% with HF with reduced EF [HFrEF]). Females were older and more symptomatic and more likely to have hypertension and kidney disease but less likely to have diabetes and ischemic heart disease. After adjustments, females were more likely to use beta-blockers and digoxin but less likely to receive HF device therapy. Crude mortality/HF hospitalization rates for HFpEF (hazard ratio [HR]: 1.16) and HFmrEF (HR: 1.14) were significantly higher in females but lower in females with HFrEF (HR: 0.95). After adjustments, the risk was significantly lower in females regardless of EF (HR: 0.80 in HFrEF, HR: 0.91 in HFmrEF, and HR: 0.93 in HFpEF). The main sex-related differences in prognostic predictors concerned diabetes in HFrEF and anemia in HFmrEF. Males and females with HF showed different characteristics across the EF spectrum. Males reported a lower crude risk of mortality/morbidity in HFpEF and HFmrEF but higher risk of HFrEF, although after adjustments, prognosis was better in females regardless of EF. The observed sex-related differences highlight the need for an adequate representation of females in HF randomized controlled trials to improve generalizability.</t>
  </si>
  <si>
    <t>Socioeconomic Effect of Education on Pancreatic Cancer Risk in Western Europe: An Update on the EPIC Cohorts Study.</t>
  </si>
  <si>
    <t>Cirera, Lluís; Huerta, José María; Chirlaque, María Dolores; Overvad, Kim; Lindström, Martin; Regnér, Sara; Tjønneland, Anne; Boutron-Ruault, Marie-Christine; Rebours, Vinciane; Fagherazzi, Guy; Katzke, Verena A; Boeing, Heiner; Peppa, Eleni; Trichopoulou, Antonia; Valanou, Elissavet; Palli, Domenico; Grioni, Sara; Panico, Salvatore; Tumino, Rosario; Ricceri, Fulvio; van Gils, Carla; Vermeulen, Roel C H; Skeie, Guri; Braaten, Tonje; Weiderpass, Elisabete; Merino, Susana; Sánchez, María José; Larrañaga, Nerea; Ardanaz, Eva; Sund, Malin; Khaw, Kay-Tee; Key, Timothy J; Jenab, Mazda; Naudin, Sabine; Murphy, Neil; Aune, Dagfinn; Ward, Heather; Riboli, Elio; Bueno-de-Mesquita, Bas; Navarro, Carmen; Duell, Eric J</t>
  </si>
  <si>
    <t>https://pubmed.ncbi.nlm.nih.gov/31160392</t>
  </si>
  <si>
    <t>To analyze the potential effect of social inequality on pancreatic cancer risk in Western Europe, by reassessing the association within the European Prospective Investigation into Cancer and Nutrition (EPIC) Study, including a larger number of cases and an extended follow-up. Data on highest education attained were gathered for 459,170 participants (70% women) from 10 European countries. A relative index of inequality (RII) based on adult education was calculated for comparability across countries and generations. Cox regression models were applied to estimate relative inequality in pancreatic cancer risk, stratifying by age, gender, and center, and adjusting for known pancreatic cancer risk factors. A total of 1,223 incident pancreatic cancer cases were included after a mean follow-up of 13.9 (±4.0) years. An inverse social trend was found in models adjusted for age, sex, and center for both sexes [HR of RII, 1.27; 95% confidence interval (CI), 1.02-1.59], which was also significant among women (HR, 1.42; 95% CI, 1.05-1.92). Further adjusting by smoking intensity, alcohol consumption, body mass index, prevalent diabetes, and physical activity led to an attenuation of the RII risk and loss of statistical significance. The present reanalysis does not sustain the existence of an independent social inequality influence on pancreatic cancer risk in Western European women and men, using an index based on adult education, the most relevant social indicator linked to individual lifestyles, in a context of very low pancreatic cancer survival from (quasi) universal public health systems. The results do not support an association between education and risk of pancreatic cancer.</t>
  </si>
  <si>
    <t>A post-hoc analysis of serotype-specific vaccine efficacy of 13-valent pneumococcal conjugate vaccine against clinical community acquired pneumonia from a randomized clinical trial in the Netherlands.</t>
  </si>
  <si>
    <t>Gessner, Bradford D; Jiang, Qin; Van Werkhoven, Cornelis H; Sings, Heather L; Webber, Chris; Scott, Daniel; Gruber, William C; Grobbee, Diederick E; Bonten, Marc J M; Jodar, Luis</t>
  </si>
  <si>
    <t>https://pubmed.ncbi.nlm.nih.gov/31155413</t>
  </si>
  <si>
    <t>Serotype-specific vaccine efficacy (VE) against adult community acquired pneumonia (CAP) remains poorly defined, yet such data are important for assessing the utility of adult pneumococcal conjugate vaccine (PCV) programs. We evaluated the Community Acquired Pneumonia Immunization Trial in Adults to assess serotype-specific VE for CAP. This parallel-arm randomized clinical trial assessed 13-valent PCV (PCV13) VE among community dwelling persons aged ≥65 years in The Netherlands. In the original analysis, PCV13 VE against first episodes of vaccine-type (VT) chest radiology confirmed CAP was 45.6% (95% confidence interval [CI] 21.8-62.5%). Unlike the original analysis, we included any subject that met a clinical definition of CAP regardless of radiographic findings. VT-CAP was identified by culture (sterile or non-sterile) or serotype-specific urinary antigen detection (SSUAD) test. Only the five serotypes with at least 10 episodes in the control arm, based on the original analysis, were included for VE assessment. Of 272 clinical CAP visits with VT serotypes identified, 253 (93%) were identified by SSUAD including 210 (77%) by SSUAD alone. VE was determined for serotypes 1, 3, 6A, 7F, and 19A, with total first episodes of, respectively, 27, 36, 25, 38, and 48. VE (95%CI) for the five evaluated serotypes against first clinical CAP episodes were: serotype 1, 20.0% (-83.1% to 65.8%); serotype 3, 61.5% (17.6-83.4%); serotype 6A, 33.3% (-58.6% to 73.2%); serotype 7F, 73.3% (40.5-89.4%); and serotype 19A, 45.2% (-2.2% to 71.5%). Statistically significant VE was observed for serotypes 3 and 7F for clinical CAP among elderly community dwelling adults. The VE point estimates and CIs for serotypes 1, 6A, and 19A were lower but consistent with the overall VT-CAP VE of 45.6% previously reported. These findings may be relevant in models to accurately account for the potential impact of adult PCV13 immunization.</t>
  </si>
  <si>
    <t>The effectiveness of an emotion-focused educational programme in reducing diabetes distress in adults with type 2 diabetes mellitus at 12-month follow-up: a cluster randomized controlled trial.</t>
  </si>
  <si>
    <t>Chew, Boon-How; Vos, Rimke C; Fernandez, Aaron; Shariff Ghazali, Sazlina; Shamsuddin, Nurainul Hana; Ismail, Mastura; Rutten, Guy E H M</t>
  </si>
  <si>
    <t>therapeutic advances in endocrinology and metabolism</t>
  </si>
  <si>
    <t>https://pubmed.ncbi.nlm.nih.gov/31210922</t>
  </si>
  <si>
    <t>Diabetes distress (DD) is an increasingly important part of clinical medicine, diabetes self-management and research topic in people with diabetes mellitus. The present study evaluated the effectiveness of a value-based emotion-focused educational program in Malay adults with type 2 diabetes (VEMOFIT) at 12-month follow-up compared with a program with systematic attention to participants' emotions (attention-control). VEMOFIT consisted of four biweekly group sessions and a booster session after 3 months; the attention-control program consisted of three sessions over the same period. Intention-to-treat analysis with multilevel mixed modelling was done to estimate the intervention effect. Participants (&lt;i&gt;n &lt;/i&gt;= 124) randomized to VEMOFIT (&lt;i&gt;n&lt;/i&gt; = 53) or attention-control (&lt;i&gt;n&lt;/i&gt; = 71). Mean (SD) age 55.7 (9.7) years, median diabetes duration 7.0 (8.0) years and mean HbA1c level 9.7% (82 mmol/mol). The mean DD (DDS-17 scale) level decreased in both groups (from 3.4 to 3.3 &lt;i&gt;versus&lt;/i&gt; 3.1-2.5, respectively), significantly more in the attention-control group [adjusted difference -0.6, 95% confidence interval (CI) -1.1, -0.2]. The VEMOFIT group had a significant improvement in self-efficacy (DMSES, range 0-200; adjusted difference 16.4, 99.4% CI 1.9, 30.9). Other outcomes did not differ. Because the attention-control program resulted in a decreased DD 1 year later, its implementation on a larger scale seems justified. NCT02730078; NMRR-15-1144-24803.</t>
  </si>
  <si>
    <t>Trajectories of (Bio)markers During the Development of Cognitive Frailty in the Doetinchem Cohort Study.</t>
  </si>
  <si>
    <t>Rietman, M Liset; Hulsegge, Gerben; Nooyens, Astrid C J; Dollé, Martijn E T; Picavet, H Susan J; Bakker, Stephan J L; Gansevoort, Ron T; Spijkerman, Annemieke M W; Verschuren, W M Monique</t>
  </si>
  <si>
    <t>https://pubmed.ncbi.nlm.nih.gov/31214102</t>
  </si>
  <si>
    <t>&lt;b&gt;Background:&lt;/b&gt; Long-term changes in (bio)markers for cognitive frailty are not well characterized. Therefore, our aim is to explore (bio)marker trajectories in adults who became cognitively frail compared to age- and sex-matched controls who did not become cognitively frail over a 15 year follow-up. We hypothesize that those who become cognitively frail have more unfavorable trajectories of (bio)markers compared to controls. &lt;b&gt;Methods:&lt;/b&gt; The Doetinchem Cohort Study is a longitudinal population-based study that started in 1987-1991 in men and women aged 20-59 years, with follow-up examinations every 5 years. For the current analyses, we used data of 17 potentially relevant (bio)markers (e.g., body mass index (BMI), urea) from rounds 2 to 5 (1993-2012). A global cognitive functioning score (based on memory, speed, and flexibility) was calculated for each round and transformed into education and examination round-adjusted z-scores. The z-score that corresponded to the 10th percentile in round 5 (z-score = -0.77) was applied as cut-off point for incident cognitive frailty in rounds 2-5. In total, 455 incident cognitively frail cases were identified retrospectively and were compared with 910 age- and sex-matched controls. Trajectories up to 15 years before and 10 years after incident cognitive frailty were analyzed using generalized estimating equations with stratification for sex and adjustment for age and, if appropriate, medication use. Results were further adjusted for level of education, depressive symptoms, BMI, and lifestyle factors. &lt;b&gt;Results:&lt;/b&gt; In men, (bio)marker trajectories did not differ as they ran parallel and the difference in levels was not statistically significant between those who became cognitively frail compared to controls. In women, total cholesterol trajectories first increased and thereafter decreased in cognitively frail women and steadily increased in controls, gamma-glutamyltransferase trajectories were more or less stable in cognitively frail women and increased in controls, and urea trajectories increased in cognitively frail women and remained more or less stable in controls. Results were similar after additional adjustment for potential confounders. &lt;b&gt;Conclusions:&lt;/b&gt; Out of the 17 (bio)markers included in this explorative study, differential trajectories for three biomarkers were observed in women. We do not yet consider any of the studied (bio)markers as promising biomarkers for cognitive frailty.</t>
  </si>
  <si>
    <t>[The option of non-treatment as part of end-of-life care].</t>
  </si>
  <si>
    <t>Hendriksen, Geeske; van Delden, J J M</t>
  </si>
  <si>
    <t>https://pubmed.ncbi.nlm.nih.gov/31187971</t>
  </si>
  <si>
    <t>In this article we describe the story of a patient who died aged 63 as a result of pancreatic cancer. In the 14 weeks between diagnosis and passing away, at no point was it discussed whether treatment was in the patient's interest at such an advanced stage of the disease. The topic of death was not broached either. We wish to encourage doctors to consider a treatment option that seems to be a delicate topic of conversation for both doctor and patient: the option of non-treatment. It is necessary for doctors to make end-of-life discussions less daunting. The art of medicine does not necessarily consist of following a protocol; rather, the medical knowledge contained in that protocol should be drawn from, in order to serve the patient's objectives.</t>
  </si>
  <si>
    <t>Trends in the risk of cardiovascular disease in women with breast cancer in a Dutch nationwide cohort study.</t>
  </si>
  <si>
    <t>Buddeke, Josefien; Gernaat, Sofie A M; Bots, Michiel L; van den Bongard, Desirée H J G; Grobbee, Diederick E; Vaartjes, Ilonca; Verkooijen, Helena M</t>
  </si>
  <si>
    <t>https://pubmed.ncbi.nlm.nih.gov/31152022</t>
  </si>
  <si>
    <t>To investigate trends in cardiovascular disease (CVD) risk following breast cancer using national registry data. A nationwide cohort study was conducted, comprising 163 881 women with in situ (7.6%) or invasive (92.4%) breast cancer and women of the general population, ranging from 3 661 141 in 1996 to 4 566 573 in 2010. CVD mortality rate in women with and without breast cancer and hospitalisation rate after breast cancer were calculated for the years 1996-2010. Age-adjusted CVD and breast cancer mortality within 5 years after breast cancer admission (1997-2010) were compared with 1996 calculated with a Cox proportional hazard analysis. The absolute 10-year CVD mortality risk following breast cancer decreased from 56 per 1000 women in 1996 to 41 in 2005 (relative reduction=27.8%). In the general population, this decreased from 73 per 1000 women in 1996 to 55 in 2005 (-23.9%). The absolute risk of CVD hospitalisation within 1 year following breast cancer increased from 54 per 1000 women in 1996 to 67 in 2009 (+23.6%), which was largely explained by an increase in hospitalisation for hypertension, pulmonary embolism, rheumatoid heart/valve disease and heart failure. The 5-year CVD mortality risk was 42% lower (HR 0.58, 95% CI=0.48 to 0.70) for women admitted for breast cancer in 2010 compared with 1996. CVD mortality risk decreased in women with breast cancer and in women of the general population, with women with breast cancer having a lower risk of CVD mortality. By contrast, there was an increase in hospitalisation for CVD in women with breast cancer.</t>
  </si>
  <si>
    <t>When and how to use data from randomised trials to develop or validate prognostic models.</t>
  </si>
  <si>
    <t>Pajouheshnia, Romin; Groenwold, Rolf H H; Peelen, Linda M; Reitsma, Johannes B; Moons, Karel G M</t>
  </si>
  <si>
    <t>https://pubmed.ncbi.nlm.nih.gov/31142454</t>
  </si>
  <si>
    <t>Development of practical recommendations for diagnostic accuracy studies in low-prevalence situations.</t>
  </si>
  <si>
    <t>Holtman, Gea A; Berger, Marjolein Y; Burger, Huibert; Deeks, Jonathan J; Donner-Banzhoff, Norbert; Fanshawe, Thomas R; Koshiaris, Constantinos; Leeflang, Mariska M; Oke, Jason L; Perera, Rafael; Reitsma, Johannes B; Van den Bruel, Ann</t>
  </si>
  <si>
    <t>https://pubmed.ncbi.nlm.nih.gov/31150837</t>
  </si>
  <si>
    <t>Low disease prevalence poses challenges for diagnostic accuracy studies because of the large sample sizes that are required to obtain sufficient precision. The aim is to collate and discuss designs of diagnostic accuracy studies suited for use in low-prevalence situations. We conducted a literature search including backward citation tracking and expert consultation. Two reviewers independently selected studies on designs for estimating diagnostic accuracy in a low-prevalence situation. During a 1-day expert meeting, all designs were discussed and recommendations were formulated. We identified six designs for diagnostic accuracy studies that are suitable in low-prevalence situations because they reduced the total sample size or the number of patients undergoing the index test or reference standard depending on which poses the highest burden. We described the advantages and limitations of these designs and evaluated efficiencies in sample sizes, risk of bias, and alignment with the clinical pathway for applicability in routine care. Choosing a study design for diagnostic accuracy studies in low-prevalence situations should depend on whether the aim is to limit the number of patients undergoing the index test or reference standard, and the risk of bias associated with a particular design type.</t>
  </si>
  <si>
    <t>The Trials within Cohorts design faced methodological advantages and disadvantages in the exercise oncology setting.</t>
  </si>
  <si>
    <t>Gal, Roxanne; Monninkhof, Evelyn M; van Gils, Carla H; Groenwold, Rolf H H; van den Bongard, Desirée H J G; Peeters, Petra H M; Verkooijen, Helena M; May, Anne M</t>
  </si>
  <si>
    <t>https://pubmed.ncbi.nlm.nih.gov/31146022</t>
  </si>
  <si>
    <t>The Trials within Cohorts (TwiCs) design is an alternative for pragmatic randomized controlled trials (RCTs) and might overcome disadvantages such as difficult recruitment, dropout after randomization to control, and contamination. We investigated the applicability of the TwiCs design in an exercise oncology study regarding the recruitment process, representativeness of the study sample, contamination, participation, and dropout. The Utrecht cohort for Multiple BREast cancer intervention studies and Long-term evaLuAtion (UMBRELLA) Fit TwiCs evaluates an exercise intervention in inactive breast cancer patients. Eligible patients participating in the prospective UMBRELLA were identified and randomized. Patients randomized to the intervention (n = 130) were offered the intervention, whereas controls (n = 130) were not informed. Fifty-two percent (n = 68) accepted the intervention. Because this rate was lower than expected, a larger sample size was required than initially estimated (n = 166). However, recruitment of 260 patients was still completed by one researcher within 30 months. Unselective eligibility screening and randomization before invitation improved representativeness. Disadvantage of the design might be inclusion of ineligible patients when cohort information is limited. Furthermore, the design faced higher noncompliance in the intervention group, but prevention of contamination. The TwiCs design improved logistics in recruitment and prevented contamination, but noncompliance due to refusal of the intervention was higher compared with conventional pragmatic exercise oncology RCTs, which may dilute the estimated intervention effect.</t>
  </si>
  <si>
    <t>Stroke progression and clinical outcome in ischemic stroke patients with a history of migraine.</t>
  </si>
  <si>
    <t>Mulder, Inge A; Holswilder, Ghislaine; van Walderveen, Marianne Aa; van der Schaaf, Irene C; Bennink, Edwin; Horsch, Alexander D; Kappelle, L Jaap; Velthuis, Birgitta K; Dankbaar, Jan Willem; Terwindt, Gisela M; Schonewille, Wouter J; Visser, Marieke C; Ferrari, Michel D; Algra, Ale; Wermer, Marieke Jh; ,</t>
  </si>
  <si>
    <t>https://pubmed.ncbi.nlm.nih.gov/31132969</t>
  </si>
  <si>
    <t>Patients with migraine might be more susceptible of spreading depolarizations, which are known to affect vascular and neuronal function and penumbra recovery after stroke. We investigated whether these patients have more severe stroke progression and less favorable outcomes after recanalization therapy. We included patients from a prospective multicenter ischemic stroke cohort. Lifetime migraine history was based on the International Classification of Headache Disorders II criteria. Patients without confirmed migraine diagnosis were excluded. Patients underwent CT angiography and CT perfusion &lt;9 h of onset and follow-up CT after three days. On admission, presence of a perfusion deficit, infarct core and penumbra volume, and blood brain barrier permeability (BBBP) were assessed. At follow-up we assessed malignant edema, hemorrhagic transformation, and final infarct volume. Outcome at three months was evaluated with the modified Rankin Scale (mRS). We calculated adjusted relative risks (aRR) or difference of means (aB) with regression analyses. We included 600 patients of whom 43 had migraine. There were no differences between patients with or without migraine in presence of a perfusion deficit on admission (aRR: 0.98, 95%CI: 0.77-1.25), infarct core volume (aB: -10.8, 95%CI: -27.04-5.51), penumbra volume (aB: -11.6, 95%CI: -26.52-3.38), mean blood brain barrier permeability (aB: 0.08, 95%CI: -3.11-2.96), malignant edema (0% vs. 5%), hemorrhagic transformation (aRR: 0.26, 95%CI: 0.04-1.73), final infarct volume (aB: -14.8, 95%CI: 29.9-0.2) or outcome after recanalization therapy (mRS &gt; 2, aRR: 0.50, 95%CI: 0.21-1.22). Elderly patients with a history of migraine do not seem to have more severe stroke progression and have similar treatment outcomes compared with patients without migraine.</t>
  </si>
  <si>
    <t>Hypertensive disorders of pregnancy and cardiometabolic outcomes in childhood: A systematic review.</t>
  </si>
  <si>
    <t>Jansen, Maria Ac; Pluymen, Linda Pm; Dalmeijer, Geertje W; Groenhof, T Katrien J; Uiterwaal, Cuno Spm; Smit, Henriëtte A; van Rossem, Lenie</t>
  </si>
  <si>
    <t>https://pubmed.ncbi.nlm.nih.gov/31132891</t>
  </si>
  <si>
    <t>Hypertensive disorders of pregnancy (HDPs) are among the leading causes of maternal and perinatal morbidity and mortality worldwide and have been suggested to increase long-term cardiovascular disease risk in the offspring. The objective of this study was to investigate whether HDPs are associated with cardiometabolic markers in childhood. PubMed, The Cochrane Library and reference lists of included studies up to January 2019. Studies comparing cardiometabolic markers in 2-18-year-old children of mothers with HDP in utero, to children of mothers without HDP. Sixteen studies reported in 25 publications were included in this systematic review, of which three were considered as having high risk of bias. Thus 13 studies were included in the evidence synthesis: respectively two and eight reported pregnancy induced hypertension and preeclampsia, and three studies reported on both HDPs. Most studies (&lt;i&gt;n&lt;/i&gt; = 4/5) found a higher blood pressure in children exposed to pregnancy induced hypertension. Most studies (&lt;i&gt;n&lt;/i&gt; = 7/10) found no statistically significantly higher blood pressure in children exposed to preeclampsia. No association was found between exposure to HDP and levels of cholesterol, triglycerides or glucose (&lt;i&gt;n&lt;/i&gt; = 5/5). No studies investigated an association with (carotid) intima-media thickness, glycated haemoglobin or diabetes mellitus type 2. Most studies showed that exposure to pregnancy induced hypertension is associated with a higher offspring blood pressure. There is no convincing evidence for an association between exposure to preeclampsia and blood pressure in childhood. Based on current evidence, exposure to HDP is not associated with blood levels of cholesterol, triglycerides and glucose in childhood.</t>
  </si>
  <si>
    <t>Substituting physicians with nurse practitioners, physician assistants or nurses in nursing homes: a realist evaluation case study.</t>
  </si>
  <si>
    <t>Lovink, Marleen Hermien; Laurant, Miranda Gh; van Vught, Anneke Jah; Maassen, Irma; Schoonhoven, Lisette; Persoon, Anke; Koopmans, Raymond Tcm</t>
  </si>
  <si>
    <t>https://pubmed.ncbi.nlm.nih.gov/31129596</t>
  </si>
  <si>
    <t>This study aimed to gain insight into how substitution of elderly care physicians (ECPs) by nurse practitioners (NPs), physician assistants (PAs) or registered nurses (RNs) in nursing homes is modelled in different contexts and what model in what context contributes to perceived quality of healthcare. Second, this study aimed to provide insight into elements that contribute to an optimal model of substitution of ECPs by NPs, PAs or RNs. A multiple-case study was conducted that draws on realist evaluation principles. Seven nursing homes in the Netherlands PARTICIPANTS: The primary participants were NPs (n=3), PAs (n=2) and RNs (n=2), working in seven different nursing homes and secondary participants were included; ECPs (n=15), medical doctors (MDs) (n=2), managing directors/managers/supervisors (n=11), nursing team members (n=33) and residents/relatives (n=78). Data collection consisted of: (1) observations of the NP/PA/RN and an ECP/MD, (2) interviews with all participants, (3) questionnaires filled out by the NP/PA/RN, ECPs/MDs and managing directors/managers and (4) collecting internal policy documents. An optimal model of substitution of ECPs seems to be one in which the professional substitutes for the ECP largely autonomously, well-balanced collaboration occurs between the ECP and the substitute, and quality of healthcare is maintained. This model was seen in two NP cases and one PA case. Elements that enabled NPs and PAs to work according to this optimal model were among others: collaborating with the ECP based on trust; being proactive, decisive and communicative and being empowered by organisational leaders to work as an independent professional. Collaboration based on trust between the ECP and the NP or PA is a key element of successful substitution of ECPs. NPs, PAs and RNs in nursing homes may all be valuable in their own unique way, matching their profession, education and competences.</t>
  </si>
  <si>
    <t>Cross-sectional study of association between socioeconomic indicators and chronic kidney disease in rural-urban Ghana: the RODAM study.</t>
  </si>
  <si>
    <t>Adjei, David N; Stronks, Karien; Adu, Dwomoa; Beune, Erik; Meeks, Karlijn; Smeeth, Liam; Addo, Juliet; Owusu-Dabo, Ellis; Klipstein-Grobusch, Kerstin; Mockenhaupt, Frank P; Danquah, Ina; Spranger, Joachim; Bahendeka, Silver; De-Graft Aikins, Ama; Agyemang, Charles</t>
  </si>
  <si>
    <t>https://pubmed.ncbi.nlm.nih.gov/31129570</t>
  </si>
  <si>
    <t>Studies from high-income countries suggest higher prevalence of chronic kidney disease (CKD) among individuals in low socioeconomic groups. However, some studies from low/middle-income countries show the reverse pattern among those in high socioeconomic groups. It is unknown which pattern applies to individuals living in rural and urban Ghana. We assessed the association between socioeconomic status (SES) indicators and CKD in rural and urban Ghana and to what extent the higher SES of people in urban areas of Ghana could account for differences in CKD between rural and urban populations. The study was conducted in Ghana (Ashanti region). We used baseline data from a multicentre Research on Obesity and Diabetes among African Migrants (RODAM) study. The sample consisted of 2492 adults (Rural Ghana, 1043, Urban Ghana, 1449) aged 25-70 years living in Ghana. Educational level, occupational level and wealth index. Three CKD outcomes were considered using the 2012 Kidney Disease: Improving Global Outcomes severity of CKD classification: albuminuria, reduced glomerular filtration rate and high to very high CKD risk based on the combination of these two. All three SES indicators were not associated with CKD in both rural and urban Ghana after age and sex adjustment except for rural Ghana where high wealth index was significantly associated with higher odds of reduced estimated glomerular filtration rate (eGFR) (adjusted OR, 2.38; 95% CI 1.03 to 5.47). The higher rate of CKD observed in urban Ghana was not explained by the higher SES of that population. SES indicators were not associated with prevalence of CKD except for wealth index and reduced eGFR in rural Ghana. Consequently, the higher SES of urban Ghana did not account for the increased rate of CKD among urban dwellers suggesting the need to identify other factors that may be driving this.</t>
  </si>
  <si>
    <t>Using Mobile Health to Support Clinical Decision-Making to Improve Maternal and Neonatal Health Outcomes in Ghana: Insights of Frontline Health Worker Information Needs.</t>
  </si>
  <si>
    <t>Amoakoh, Hannah Brown; Klipstein-Grobusch, Kerstin; Grobbee, Diederick E; Amoakoh-Coleman, Mary; Oduro-Mensah, Ebenezer; Sarpong, Charity; Frimpong, Edith; Kayode, Gbenga A; Agyepong, Irene Akua; Ansah, Evelyn K</t>
  </si>
  <si>
    <t>https://pubmed.ncbi.nlm.nih.gov/31127719</t>
  </si>
  <si>
    <t>Developing and maintaining resilient health systems in low-resource settings like Ghana requires innovative approaches that adapt technology to context to improve health outcomes. One such innovation was a mobile health (mHealth) clinical decision-making support system (mCDMSS) that utilized text messaging (short message service, SMS) of standard emergency maternal and neonatal protocols via an unstructured supplementary service data (USSD) on request of the health care providers. This mCDMSS was implemented in a cluster randomized controlled trial (CRCT) in the Eastern Region of Ghana. This study aimed to analyze the pattern of requests made to the USSD by health workers (HWs). We assessed the relationship between requests made to the USSD and types of maternal and neonatal morbidities reported in health facilities (HFs). For clusters in the intervention arm of the CRCT, all requests to the USSD during the 18-month intervention period were extracted from a remote server, and maternal and neonatal health outcomes of interest were obtained from the District Health Information System of Ghana. Chi-square and Fisher exact tests were used to compare the proportion and type of requests made to the USSD by cluster, facility type, and location; whether phones accessing the intervention were shared facility phones or individual-use phones (type-of-phone); or whether protocols were accessed during the day or at night (time-of-day). Trends in requests made were analyzed over 3 6-month periods. The relationship between requests made and the number of cases reported in HFs was assessed using Spearman correlation. In total, 5329 requests from 72 (97%) participating HFs were made to the intervention. The average number of requests made per cluster was 667. Requests declined from the first to the third 6-month period (44.96% [2396/5329], 39.82% [2122/5329], and 15.22% [811/5329], respectively). Maternal conditions accounted for the majority of requests made (66.35% [3536/5329]). The most frequently accessed maternal conditions were postpartum hemorrhage (25.23% [892/3536]), other conditions (17.82% [630/3536]), and hypertension (16.49% [583/3536]), whereas the most frequently accessed neonatal conditions were prematurity (20.08% [360/1793]), sepsis (15.45% [277/1793]), and resuscitation (13.78% [247/1793]). Requests made to the mCDMSS varied significantly by cluster, type of request (maternal or neonatal), facility type and its location, type-of-phone, and time-of-day at 6-month interval (P&lt;.001 for each variable). Trends in maternal and neonatal requests showed varying significance over each 6-month interval. Only asphyxia and sepsis cases showed significant correlations with the number of requests made (r=0.44 and r=0.79; P&lt;.001 and P=.03, respectively). There were variations in the pattern of requests made to the mCDMSS over time. Detailed information regarding the use of the mCDMSS provides insight into the information needs of HWs for decision-making and an opportunity to focus support for HW training and ultimately improved maternal and neonatal health.</t>
  </si>
  <si>
    <t>Mediation analysis of the relationship between type 2 diabetes and cardiovascular events and all-cause mortality: Findings from the SMART cohort.</t>
  </si>
  <si>
    <t>Sharif, Shahnam; Groenwold, Rolf H H; van der Graaf, Yolanda; Berkelmans, Gijs F N; Cramer, Maarten J; Visseren, Frank L J; Westerink, Jan; ,</t>
  </si>
  <si>
    <t>https://pubmed.ncbi.nlm.nih.gov/31062479</t>
  </si>
  <si>
    <t>To quantify the magnitude and specific contributions of known cardiovascular risk factors leading to higher cardiovascular risk and all-cause mortality caused by type 2 diabetes (T2D). Mediation analysis was performed to assess the relative contributions of known classical risk factors for vascular disease in T2D (insulin resistance, systolic blood pressure, renal function, LDL-cholesterol, triglycerides and micro-albuminuria), and what proportion of the effect of T2D on cardiovascular events and all-cause mortality these factors mediate in the Second Manifestations of ARTerial disease (SMART) cohort consisting of 1910 T2D patients. Only 35% (95% CI 15-71%) of the excess cardiovascular risk caused by T2D is mediated by the classical cardiovascular risk factors. The largest mediated effect was through insulin resistance [proportion of mediated effect (PME) 18%, 95% CI 3-37%], followed by elevated triglycerides (PME 8%, 95% CI 4-14%) and micro-albuminuria (PME 7%, 95% CI 3-17%). Only 42% (95% CI 18-73%) of the excess mortality risk was mediated by the classical risk factors considered. The largest mediated effect was by micro-albuminuria (PME 18%, 95% CI 10-29%) followed by insulin resistance (PME 15%, 95% CI 1-33%). A substantial amount of the increased cardiovascular risk and all-cause mortality caused by T2D cannot be explained by traditional vascular risk factors. Future research should focus on identifying non-classical pathways that might further explain the increased cardiovascular and mortality risk caused by T2D.</t>
  </si>
  <si>
    <t>Radiosurgical, neurosurgical, or no intervention for cerebral cavernous malformations: A decision analysis.</t>
  </si>
  <si>
    <t>Rinkel, Leon A; Al-Shahi Salman, Rustam; Rinkel, Gabriel Je; Greving, Jacoba P</t>
  </si>
  <si>
    <t>https://pubmed.ncbi.nlm.nih.gov/31122172</t>
  </si>
  <si>
    <t>We aimed to evaluate the preferred treatment strategy for patients with symptomatic cerebral cavernous malformations (CCM). In a decision model, we compared neurosurgical, radiosurgical, and conservative management. A literature review yielded the risks and outcomes of interventions, intracerebral hemorrhage (ICH), and seizures. Patients with CCM rated their quality of life to determine utilities. We estimated the expected number of quality-adjusted life years (QALYs) and the ICH recurrence risk over five years, according to mode of presentation and CCM location (brainstem vs. other). We performed analyses with a time horizon of five years. Using the best available data, the expected number of QALYs for brainstem CCM presenting with ICH or focal neurological deficit was 2.84 (95% confidence interval [CI]: 2.54-3.08) for conservative, 3.01 (95% CI: 2.86-3.16) for neurosurgical, and 3.03 (95% CI: 2.88-3.18) for radiosurgical intervention; those for non-brainstem CCM presenting with ICH or focal neurological deficit were 3.08 (95% CI: 2.85-3.31) for conservative, 3.21 (95% CI: 3.01-3.36) for neurosurgical, and 3.19 (95% CI: 2.98-3.37) for radiosurgical intervention. For CCM presenting with epilepsy, QALYs were 3.09 (95% CI: 3.03-3.16) for conservative, 3.33 (95% CI: 3.31-3.34) for neurosurgical, and 3.27 (95% CI: 3.24-3.30) for radiosurgical intervention. For the initial five years after presentation, our study provides Class III evidence that for CCM presenting with ICH or focal neurological deficit conservative management is the first option, and for CCM presenting with epilepsy CCM intervention should be considered. More comparative studies with long-term follow-up are needed.</t>
  </si>
  <si>
    <t>Stenting for symptomatic vertebral artery stenosis: a preplanned pooled individual patient data analysis.</t>
  </si>
  <si>
    <t>Markus, Hugh S; Harshfield, Eric L; Compter, Annette; Kuker, Wilhelm; Kappelle, L Jaap; Clifton, Andrew; van der Worp, H Bart; Rothwell, Peter; Algra, Ale; ,</t>
  </si>
  <si>
    <t>https://pubmed.ncbi.nlm.nih.gov/31130429</t>
  </si>
  <si>
    <t>Symptomatic vertebral artery stenosis is associated with a high risk of recurrent stroke, with higher risks for intracranial than for extracranial stenosis. Vertebral artery stenosis can be treated with stenting with good technical results, but whether it results in improved clinical outcome is uncertain. We aimed to compare vertebral stenting with medical treatment for symptomatic vertebral stenosis. We did a preplanned pooled individual patient data analysis of three completed randomised controlled trials comparing stenting with medical treatment in patients with symptomatic vertebral stenosis. The primary outcome was any fatal or non-fatal stroke. Analyses were performed for vertebral stenosis at any location and separately for extracranial and intracranial stenoses. Data from the intention-to-treat analysis were used for all studies. We estimated hazard ratios (HRs) with 95% CIs using Cox proportional-hazards regression models stratified by trial. Data were from 354 individuals from three trials, including 179 patients from VIST (148 with extracranial stenosis and 31 with intracranial stenosis), 115 patients from VAST (96 with extracranial stenosis and 19 with intracranial stenosis), and 60 patients with intracranial stenosis from SAMMPRIS (no patients had extracranial stenosis). Across all trials, 168 participants (46 with intracranial stenosis and 122 with extracranial stenosis) were randomly assigned to medical treatment and 186 to stenting (64 with intracranial stenosis and 122 with extracranial stenosis). In the stenting group, the frequency of periprocedural stroke or death was higher for intracranial stenosis than for extracranial stenosis (ten (16%) of 64 patients vs one (1%) of 121 patients; p&lt;0·0001). During 1036 person-years of follow-up, the hazard ratio (HR) for any stroke in the stenting group compared with the medical treatment group was 0·81% CI 0·45-1·44; p=0·47). For extracranial stenosis alone the HR was 0·63 (95% CI 0·27-1·46) and for intracranial stenosis alone it was 1·06 (0·46-2·42; p&lt;sub&gt;interaction&lt;/sub&gt;=0·395). Stenting for vertebral stenosis has a much higher risk for intracranial, compared with extracranial, stenosis. This pooled analysis did not show evidence of a benefit for stroke prevention for either treatment. There was no evidence of benefit of stenting for intracranial stenosis. Stenting for extracranial stenosis might be beneficial, but further larger trials are required to determine the treatment effect in this subgroup. None.</t>
  </si>
  <si>
    <t>Cerebral microbleeds and stroke risk after ischaemic stroke or transient ischaemic attack: a pooled analysis of individual patient data from cohort studies.</t>
  </si>
  <si>
    <t>Wilson, Duncan; Ambler, Gareth; Lee, Keon-Joo; Lim, Jae-Sung; Shiozawa, Masayuki; Koga, Masatoshi; Li, Linxin; Lovelock, Caroline; Chabriat, Hugues; Hennerici, Michael; Wong, Yuen Kwun; Mak, Henry Ka Fung; Prats-Sánchez, Luis; Martínez-Domeño, Alejandro; Inamura, Shigeru; Yoshifuji, Kazuhisa; Arsava, Ethem Murat; Horstmann, Solveig; Purrucker, Jan; Lam, Bonnie Yin Ka; Wong, Adrian; Kim, Young Dae; Song, Tae-Jin; Schrooten, Maarten; Lemmens, Robin; Eppinger, Sebastian; Gattringer, Thomas; Uysal, Ender; Tanriverdi, Zeynep; Bornstein, Natan M; Assayag, Einor Ben; Hallevi, Hen; Tanaka, Jun; Hara, Hideo; Coutts, Shelagh B; Hert, Lisa; Polymeris, Alexandros; Seiffge, David J; Lyrer, Philippe; Algra, Ale; Kappelle, Jaap; Al-Shahi Salman, Rustam; Jäger, Hans R; Lip, Gregory Y H; Mattle, Heinrich P; Panos, Leonidas D; Mas, Jean-Louis; Legrand, Laurence; Karayiannis, Christopher; Phan, Thanh; Gunkel, Sarah; Christ, Nicolas; Abrigo, Jill; Leung, Thomas; Chu, Winnie; Chappell, Francesca; Makin, St</t>
  </si>
  <si>
    <t>https://pubmed.ncbi.nlm.nih.gov/31130428</t>
  </si>
  <si>
    <t>Cerebral microbleeds are a neuroimaging biomarker of stroke risk. A crucial clinical question is whether cerebral microbleeds indicate patients with recent ischaemic stroke or transient ischaemic attack in whom the rate of future intracranial haemorrhage is likely to exceed that of recurrent ischaemic stroke when treated with antithrombotic drugs. We therefore aimed to establish whether a large burden of cerebral microbleeds or particular anatomical patterns of cerebral microbleeds can identify ischaemic stroke or transient ischaemic attack patients at higher absolute risk of intracranial haemorrhage than ischaemic stroke. We did a pooled analysis of individual patient data from cohort studies in adults with recent ischaemic stroke or transient ischaemic attack. Cohorts were eligible for inclusion if they prospectively recruited adult participants with ischaemic stroke or transient ischaemic attack; included at least 50 participants; collected data on stroke events over at least 3 months follow-up; used an appropriate MRI sequence that is sensitive to magnetic susceptibility; and documented the number and anatomical distribution of cerebral microbleeds reliably using consensus criteria and validated scales. Our prespecified primary outcomes were a composite of any symptomatic intracranial haemorrhage or ischaemic stroke, symptomatic intracranial haemorrhage, and symptomatic ischaemic stroke. We registered this study with the PROSPERO international prospective register of systematic reviews, number CRD42016036602. Between Jan 1, 1996, and Dec 1, 2018, we identified 344 studies. After exclusions for ineligibility or declined requests for inclusion, 20 322 patients from 38 cohorts (over 35 225 patient-years of follow-up; median 1·34 years [IQR 0·19-2·44]) were included in our analyses. The adjusted hazard ratio [aHR] comparing patients with cerebral microbleeds to those without was 1·35 (95% CI 1·20-1·50) for the composite outcome of intracranial haemorrhage and ischaemic stroke; 2·45 (1·82-3·29) for intracranial haemorrhage and 1·23 (1·08-1·40) for ischaemic stroke. The aHR increased with increasing cerebral microbleed burden for intracranial haemorrhage but this effect was less marked for ischaemic stroke (for five or more cerebral microbleeds, aHR 4·55 [95% CI 3·08-6·72] for intracranial haemorrhage vs 1·47 [1·19-1·80] for ischaemic stroke; for ten or more cerebral microbleeds, aHR 5·52 [3·36-9·05] vs 1·43 [1·07-1·91]; and for ≥20 cerebral microbleeds, aHR 8·61 [4·69-15·81] vs 1·86 [1·23-1·82]). However, irrespective of cerebral microbleed anatomical distribution or burden, the rate of ischaemic stroke exceeded that of intracranial haemorrhage (for ten or more cerebral microbleeds, 64 ischaemic strokes [95% CI 48-84] per 1000 patient-years vs 27 intracranial haemorrhages [17-41] per 1000 patient-years; and for ≥20 cerebral microbleeds, 73 ischaemic strokes [46-108] per 1000 patient-years vs 39 intracranial haemorrhages [21-67] per 1000 patient-years). In patients with recent ischaemic stroke or transient ischaemic attack, cerebral microbleeds are associated with a greater relative hazard (aHR) for subsequent intracranial haemorrhage than for ischaemic stroke, but the absolute risk of ischaemic stroke is higher than that of intracranial haemorrhage, regardless of cerebral microbleed presence, antomical distribution, or burden. British Heart Foundation and UK Stroke Association.</t>
  </si>
  <si>
    <t>An interprofessional approach to pressure ulcer prevention: a knowledge and attitudes evaluation.</t>
  </si>
  <si>
    <t>Clarkson, Paul; Worsley, Peter R; Schoonhoven, Lisette; Bader, Dan L</t>
  </si>
  <si>
    <t>journal of multidisciplinary healthcare</t>
  </si>
  <si>
    <t>https://pubmed.ncbi.nlm.nih.gov/31213822</t>
  </si>
  <si>
    <t>&lt;b&gt;Background:&lt;/b&gt; Pressure ulcers (PUs) are a major burden to individuals, impacting their physical, mental and social wellbeing. While PU prevention is traditionally regarded as a nursing issue, an interprofessional approach has been promoted as best practice. However, little is known about current practice or the knowledge and attitudes of the wider interprofessional team (IPT). &lt;b&gt;Purpose:&lt;/b&gt; Pre-designed questionnaires were used to explore knowledge and attitudes with healthcare staff in the community. &lt;b&gt;Methods:&lt;/b&gt; Questionnaires were disseminated to all healthcare staff within a community healthcare Trust predominantly via an online tool. Data were analyzed using descriptive and inferential statistics. &lt;b&gt;Results:&lt;/b&gt; The median values of all professional groups demonstrated satisfactory attitudes (&gt;75%) and levels of knowledge (&gt;60%) to PU prevention. However, there were differences within and between groups. Management staff demonstrated the most positive attitude to PU prevention (89%), followed by occupational therapists (OTs) and healthcare assistants (HCAs) (87%, IQR: 75%→89%). OTs demonstrated the highest scores for knowledge (69%, IQR: 62%→73%), while healthcare and rehabilitation assistants scored the lowest (58%, IQR: 58%-64%). &lt;b&gt;Conclusion:&lt;/b&gt; This study has demonstrated that the majority of healthcare staff in a UK community setting have satisfactory levels of knowledge and attitudes in relation to PU prevention overall. Nevertheless, there were some differences between groups, albeit non-significant. There were also differences between sub-themes of the questionnaires, indicating a greater focus of pressure ulcer treatment over prevention. While PU prevention is widely regarded to be a nursing issue, these findings provide some indication of the potential for an interprofessional approach.</t>
  </si>
  <si>
    <t>The pathways from parental and neighbourhood socioeconomic status to adolescent educational attainment: An examination of the role of cognitive ability, teacher assessment, and educational expectations.</t>
  </si>
  <si>
    <t>Weinberg, Dominic; Stevens, Gonneke W J M; Finkenauer, Catrin; Brunekreef, Bert; Smit, Henriëtte A; Wijga, Alet H</t>
  </si>
  <si>
    <t>https://pubmed.ncbi.nlm.nih.gov/31116770</t>
  </si>
  <si>
    <t>Adolescents with high educational attainment generally have better outcomes across the lifespan than adolescents with lower educational attainment. This study investigated how three measures of socioeconomic status (SES)-maternal education, paternal education, and neighbourhood SES-combined to predict adolescent educational attainment (track level at age 17). We proposed three mechanisms for this pathway: cognitive ability (at age 11), primary school teacher assessment (stating the secondary education level suitable for a child at age 11), and educational expectations (at age 14). Using the data of 2,814 Dutch adolescents from the Prevention and Incidence of Asthma and Mite Allergy (PIAMA) study, logistic regressions tested associations between SES and educational attainment. Structural equation modelling (SEM) tested mediational pathways between SES and educational attainment. In models with three SES measures, having a medium-educated mother was associated with higher educational attainment relative to having a low-educated mother (OR; 95% CI: 1.83; 1.41-2.38), and having a high-educated mother was associated with higher educational attainment relative to having a low-educated mother (OR; 95% CI: 3.44; 2.59-4.55). The odds ratios for paternal education showed a similar pattern. We found no association between neighbourhood SES and adolescent educational attainment, so neighbourhood SES was removed from further analyses. Mediational analyses revealed that cognitive ability (30.0%), teacher assessment (28.5%), and educational expectations (1.2%) explained 59.8% of the total association between parental SES and educational attainment. The results showed that mother education and father education were both important for understanding the strong association between parental SES and adolescent educational attainment. In the Netherlands, the association between parental SES and educational attainment can be largely explained by cognitive ability and teacher assessments.</t>
  </si>
  <si>
    <t>Nonfocal transient neurological attacks are related to cognitive impairment in patients with heart failure.</t>
  </si>
  <si>
    <t>Oudeman, Eline A; Greving, Jacoba P; Hooghiemstra, Astrid M; Brunner-La Rocca, Hans-Peter; Biessels, Geert Jan; Kappelle, L Jaap; ,</t>
  </si>
  <si>
    <t>https://pubmed.ncbi.nlm.nih.gov/31115679</t>
  </si>
  <si>
    <t>Nonfocal transient neurological attacks (TNAs) are associated with an increased risk of future dementia, but it is unclear whether TNAs are also associated with concurrent cognitive impairment. We hypothesized that recent TNAs are related to worse cognitive functioning. We tested our hypothesis in patients with heart failure, as these patients are at risk of cerebral hypoperfusion, which might play a role in the etiology of TNAs. We performed neuropsychological testing in all patients with heart failure enrolled in the Heart Brain Connection study. We assessed global cognition, attention-psychomotor speed, executive functioning, memory and language. All patients were interviewed with a standardized questionnaire on the occurrence of TNAs in the preceding 6 months. We studied associations between TNAs and cognitive functioning with linear and logistic regression analyses, adjusted for age, sex and education. We performed additional analyses in patients without previous stroke or TIA and in patients without brain infarction on MRI. Thirty-seven (23%) of 158 patients (mean age 70 years, 67% men) experienced one or more TNAs. Patients with a recent TNA were more likely to be impaired on ≥ 1 cognitive domains than patients without TNAs [41% vs. 18%, adjusted odds ratio 4.6, 95% confidence interval (CI) 1.8-11.8]. Patients with TNAs performed worse than patients without TNAs on global cognition (mean difference in z scores - 0.36, 95% CI - 0.54 to - 0.18), and on the cognitive domains attention-psychomotor speed (mean difference - 0.40, 95% CI - 0.66 to - 0.14), memory (mean difference - 0.57, 95% CI - 0.98 to - 0.15) and language (mean difference - 0.47, 95% CI - 0.79 to - 0.16). These associations were independent of cardiac output and volume of white matter hyperintensities. Subgroup analyses in patients without previous stroke or TIA or brain infarction on MRI (n = 78) yielded comparable results, with the exception of the cognitive domain language, which was no longer different between patients with and without TNAs. Among patients with heart failure, TNAs are associated with cognitive impairment, which warrants the need for more clinical awareness of this problem.</t>
  </si>
  <si>
    <t>Anthropometric and reproductive factors and risk of esophageal and gastric cancer by subtype and subsite: Results from the European Prospective Investigation into Cancer and Nutrition (EPIC) cohort.</t>
  </si>
  <si>
    <t>Sanikini, Harinakshi; Muller, David C; Sophiea, Marisa; Rinaldi, Sabina; Agudo, Antonio; Duell, Eric J; Weiderpass, Elisabete; Overvad, Kim; Tjønneland, Anne; Halkjaer, Jytte; Boutron-Ruault, Marie-Christine; Carbonnel, Franck; Cervenka, Iris; Boeing, Heiner; Kaaks, Rudolf; Kühn, Tilman; Trichopoulou, Antonia; Martimianaki, Georgia; Karakatsani, Anna; Pala, Valeria; Palli, Domenico; Mattiello, Amalia; Tumino, Rosario; Sacerdote, Carlotta; Skeie, Guri; Rylander, Charlotta; Chirlaque López, María-Dolores; Sánchez, Maria-Jose; Ardanaz, Eva; Regnér, Sara; Stocks, Tanja; Bueno-de-Mesquita, Bas; Vermeulen, Roel C H; Aune, Dagfinn; Tong, Tammy Y N; Kliemann, Nathalie; Murphy, Neil; Chadeau-Hyam, Marc; Gunter, Marc J; Cross, Amanda J</t>
  </si>
  <si>
    <t>https://pubmed.ncbi.nlm.nih.gov/31050823</t>
  </si>
  <si>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kg/m&lt;sup&gt;2&lt;/sup&gt;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</si>
  <si>
    <t>Parental experiences and coping strategies when caring for a child receiving paediatric palliative care: a qualitative study.</t>
  </si>
  <si>
    <t>Verberne, Lisa M; Kars, Marijke C; Schouten-van Meeteren, Antoinette Y N; van den Bergh, Esther M M; Bosman, Diederik K; Colenbrander, Derk A; Grootenhuis, Martha A; van Delden, Johannes J M</t>
  </si>
  <si>
    <t>https://pubmed.ncbi.nlm.nih.gov/31104108</t>
  </si>
  <si>
    <t>Parenting and providing extensive care to a child with a life-limiting or life-threatening disease while being aware of the future loss of the child are among the most stressful parental experiences. Due to technical and medical improvements, children are living longer and are increasingly cared for at home. To align healthcare professionals' support with the needs of parents, a clear understanding of prominent experiences and main coping strategies of parents caring for a child in need of palliative care is needed. An interpretative qualitative study using thematic analysis was performed. Single or repeated interviews were undertaken with 42 parents of 24 children with malignant or non-malignant diseases receiving palliative care. Prominent reported parental experiences were daily anxiety of child loss, confrontation with loss and related grief, ambiguity towards uncertainty, preservation of a meaningful relationship with their child, tension regarding end-of-life decisions and engagement with professionals. Four closely related coping strategies were identified: suppressing emotions by keeping the loss of their child at bay, seeking support, taking control to arrange optimal childcare and adapting to and accepting the ongoing change(s).Conclusion: Parents need healthcare professionals who understand and carefully handle their worries, losses, parent-child relationship and coping strategies. What is Known: • In paediatric palliative care, parents have a daunting task in fulfilling all caregiving tasks while striving for control of their child's symptoms, a life worth living and a family balance. What is New: • Prominent experiences were: continuous management of anxiety of child loss, feelings of uncertainty, tension with end-of-life decision making and engagement with professionals. Parents experienced unique significance to their child, reinforcing a meaningful parent-child relationship. • Relevant coping strategies were: suppressing emotions, seeking support, taking control to arrange optimal care and adapting to the ongoing changes. • To provide tailored support, professionals need to understand parents' perceptions, relationship with their child and coping strategies.</t>
  </si>
  <si>
    <t>Trajectories of Limitations in Instrumental Activities of Daily Living in Frail Older Adults With Vision, Hearing, or Dual Sensory Loss.</t>
  </si>
  <si>
    <t>Mueller-Schotte, Sigrid; Zuithoff, Nicolaas P A; van der Schouw, Yvonne T; Schuurmans, Marieke J; Bleijenberg, Nienke</t>
  </si>
  <si>
    <t>https://pubmed.ncbi.nlm.nih.gov/29982391</t>
  </si>
  <si>
    <t>This study investigated the trajectories of decline in individual instrumental activities of daily living (IADL) with aging and the effect of hearing loss, vision loss, or dual sensory loss on these trajectories in community-living frail older persons. This longitudinal population-based study was conducted in 9,319 community-living frail Dutch persons aged 60 years and older. Self-reported hearing loss, vision loss, or dual sensory loss and nine IADL were assessed in 15 studies of the Dutch National Care for the Elderly Program (The Older Persons and Informal Caregivers Survey Minimum Dataset). Probabilities of limitations in IADL, odds ratios (per 5 years) for binary, and rate ratios (per 5 years) for score outcomes were calculated using mixed logistic and negative binomial models with age as the underlying timescale, stratified by sensory loss, and corrected for confounders. At baseline, the number of IADL limitations was higher in dual sensory loss (2.00 [interquartile range 1.00-4.00]) and vision loss (2.00 [interquartile range 1.00-4.00]) compared to no sensory loss (1.00 [interquartile range 0.00-2.00]) or hearing loss (1.00 [interquartile range 0.00-3.00]). Trajectories of individual IADL showed an increase in limitations in all IADL with age. Household tasks, traveling, shopping, preparing a meal, and walking showed the most rapid decline. Handling finances, traveling, and walking followed a different pattern of decline based on sensory loss status. The age effect on limitations in IADL appears to be similar across all types of sensory loss, with the exception of handling finances, traveling, and walking. At baseline, persons with self-reported sensory loss had higher levels of self-reported functional limitations. Trajectories depict a decline in IADL competence with age.</t>
  </si>
  <si>
    <t>Parkinson's disease and long-term exposure to outdoor air pollution: A matched case-control study in the Netherlands.</t>
  </si>
  <si>
    <t>Toro, Rosario; Downward, George S; van der Mark, Marianne; Brouwer, Maartje; Huss, Anke; Peters, Susan; Hoek, Gerard; Nijssen, Peter; Mulleners, Wim M; Sas, Antonetta; van Laar, Teus; Kromhout, Hans; Vermeulen, Roel</t>
  </si>
  <si>
    <t>https://pubmed.ncbi.nlm.nih.gov/31103844</t>
  </si>
  <si>
    <t>There is some evidence to suggest an association between ambient air pollution and development of Parkinson's disease (PD). However, the small number of studies published to date has reported inconsistent findings. To assess the association between long-term exposure to ambient air pollution constituents and the development of PD. Air pollution exposures (particulate matter with aerodynamic diameter &lt;10 μm [PM&lt;sub&gt;10&lt;/sub&gt;], &lt;2.5 μm [PM&lt;sub&gt;2.5&lt;/sub&gt;], between 2.5 μm and 10 μm [PM&lt;sub&gt;coarse&lt;/sub&gt;], black carbon, and nitrogen oxides [NO&lt;sub&gt;2&lt;/sub&gt; and NO&lt;sub&gt;x&lt;/sub&gt;]) were predicted based on land-use regression models developed within the "European Study for Air Pollution Effects" (ESCAPE) study, for a Dutch PD case-control study. A total of 1290 subjects (436 cases and 854 controls). were included and 16 years of exposure were estimated (average participant starting age: 53). Exposures were categorized and conditional logistic regression models were applied to evaluate the association between ambient air pollution and PD. Overall, no significant, positive relationship between ambient air pollutants and PD was observed. The odds ratio (OR) for PD associated with an increase from the first quartile of NO&lt;sub&gt;2&lt;/sub&gt; (&lt;22.8 μg/m&lt;sup&gt;3&lt;/sup&gt;) and the fourth (&gt;30.4 μg/m&lt;sup&gt;3&lt;/sup&gt;) was 0.87 (95% CI: 0.54, 1.41). For PM&lt;sub&gt;2.5&lt;/sub&gt; where the contrast in exposure was more limited, the OR associated with an increase from the first quartile PM&lt;sub&gt;2.5&lt;/sub&gt; (&lt;21.2 μg/m3) to the fourth (&gt;22.3 μg/m3) was 0.50 (95% CI: 0.24, 1.01). In a subset of the population with long-term residential stability (n = 632), an increased risk of PD was observed (e.g. OR for Q4 vs Q1 NO&lt;sub&gt;2&lt;/sub&gt;:1.37, 95% CI: 0.71, 2.67). We found no clear association between 16 years of residential exposure to ambient air pollution and the development of PD in The Netherlands.</t>
  </si>
  <si>
    <t>How scientists and physicians use Twitter during a medical congress.</t>
  </si>
  <si>
    <t>Cevik, M; Ong, D S Y; Mackenzie, G</t>
  </si>
  <si>
    <t>https://pubmed.ncbi.nlm.nih.gov/31102781</t>
  </si>
  <si>
    <t>During medical congresses Twitter allows discussions to disseminate beyond the congress hall and reach a wider audience. Insights into the dynamics of social media interactions during congresses, dissemination of scientific information and the determinants of a successful tweet may allow us to better understand social media's role in science communication. We retrospectively extracted social media data during the European Congress of Clinical Microbiology and Infectious Diseases (ECCMID) 2017 and 2018 using NodeXL. We compared social media activity during these two congresses. Subsequently, we conducted in-depth analyses to identify the components of a successful tweet and multivariable analysis to assess independent factors associated with retweet activity. In 2018, approximately 13 000 delegates attended ECCMID, but only 591 Twitter accounts actively tweeted about the congress. Although fewer tweets were posted in 2018 compared with 2017 (4213 versus 4657, respectively), ECCMID 2018 generated a 63% increase in the total number of retweets (p &lt; 0.001). According to multivariable logistic regression analysis, using multimedia, URL or hashtags and mentioning other Twitter account(s) were independently associated with retweet success. Mentioning of other users and use of multimedia were the only consistent predictors of retweets irrespective of the number of followers. A substantial increase in retweet activity and a modest increase in the number of influential Twitter accounts were observed between two successive congresses. Dissemination of scientific messages is more successful when connected accounts are actively involved in social media activity, and social media posts constitute the right combination of components.</t>
  </si>
  <si>
    <t>Relations between air pollution and vascular development in 5-year old children: a cross-sectional study in the Netherlands.</t>
  </si>
  <si>
    <t>Ntarladima, Anna-Maria; Vaartjes, Ilonca; Grobbee, Diederick E; Dijst, Martin; Schmitz, Oliver; Uiterwaal, Cuno; Dalmeijer, Geertje; van der Ent, Cornelis; Hoek, Gerard; Karssenberg, Derek</t>
  </si>
  <si>
    <t>https://pubmed.ncbi.nlm.nih.gov/31096974</t>
  </si>
  <si>
    <t>Air pollution has been shown to promote cardiovascular disease in adults. Possible mechanisms include air pollution induced changes in arterial wall function and structure. Atherosclerotic vascular disease is a lifelong process and childhood exposure may play a critical role. We investigated whether air pollution is related to arterial wall changes in 5-year old children. To this aim, we developed an air pollution exposure methodology including time-weighted activity patterns improving upon epidemiological studies which assess exposure only at residential addresses. The study is part of an existing cohort study in which measurements of carotid artery intima-media thickness, carotid artery distensibility, elastic modulus, diastolic and systolic blood pressure have been obtained. Air pollution assessments were based on annual average concentration maps of Particulate Matter and Nitrogen Oxides at 5 m resolution derived from the European Study of Cohorts for Air Pollution Effects. We defined children's likely primary activities and for each activity we calculated the mean air pollution exposure within the assumed area visited by the child. The exposure was then weighted by the time spent performing each activity to retrieve personal air pollution exposure for each child. Time spent in these activities was based upon a Dutch mobility survey. To assess the relation between the vascular status and air pollution exposure we applied linear regressions in order to adjust for potential confounders. Carotid artery distensibility was consistently associated with the exposures among the 733 5-years olds. Regression analysis showed that for air pollution exposures carotid artery distensibility decreased per standard deviation. Specifically, for NO&lt;sub&gt;2,&lt;/sub&gt; carotid artery distensibility decreased by - 1.53 mPa&lt;sup&gt;- 1&lt;/sup&gt; (95% CI: -2.84, - 0.21), for NO&lt;sub&gt;x&lt;/sub&gt; by - 1.35 mPa&lt;sup&gt;- 1&lt;/sup&gt; (95% CI: -2.67, - 0.04), for PM&lt;sub&gt;2.5&lt;/sub&gt; by - 1.38 mPa&lt;sup&gt;- 1&lt;/sup&gt; (95% CI: -2.73, - 0.02), for PM&lt;sub&gt;10&lt;/sub&gt; by - 1.56 mPa&lt;sup&gt;- 1&lt;/sup&gt; (95% CI: -2.73, - 0.39), and for PM&lt;sub&gt;2.5absorbance&lt;/sub&gt; by - 1.63 (95% CI: -2.30, - 0.18). No associations were observed for the rest outcomes. The results of this study support the view that air pollution exposure may reduce arterial distensibility starting in young children. If the reduced distensibility persists, this may have clinical relevance later in life. The results of this study further stress the importance of reducing environmental pollutant exposures.</t>
  </si>
  <si>
    <t>Screening of cardiovascular agents in plasma with LC-MS/MS: A valuable tool for objective drug adherence assessment.</t>
  </si>
  <si>
    <t>Punt, A M; Stienstra, N A; van Kleef, M E A; Lafeber, M; Spiering, W; Blankestijn, P J; Bots, M L; van Maarseveen, E M</t>
  </si>
  <si>
    <t>journal of chromatography b analytical technologies in the biomedical and life sciences</t>
  </si>
  <si>
    <t>https://pubmed.ncbi.nlm.nih.gov/31146083</t>
  </si>
  <si>
    <t>Adherence to cardiovascular preventive agents is important to prevent short and long term cardiovascular events. Recently, qualitatively compound screening using liquid chromatography-tandem mass spectrometry (LC-MS/MS) has gained interest for drug adherence assessment in patients at high risk of cardiovascular events. Therefore, we developed and tested an assay including 52 compounds and metabolites, covering over 95% of the antihypertensive and antithrombotic agents available worldwide. Trichloroacetic acid was used as simple and fast method for protein precipitation. The assay was validated for lower limit of quantification (LLOQ), linearity, stability for freeze/thaw, room temperature, autosampler and matrix effects. The LLOQ for each compound was targeted under the population trough concentration (PTC) as reported in literature to assure high sensitivity for adherence detection. This was accomplished for 50 of 52 compounds with a LLOQ equal or lower compared to the PTC. Linearity was confirmed for all compounds (r&lt;sup&gt;2&lt;/sup&gt; &gt; 0.995), except for acetylsalicylic acid (r&lt;sup&gt;2&lt;/sup&gt; = 0.991). For room temperature stability, 12 compounds showed degradation over 20% after 20 h. 3 compounds suffer from matrix effect with recoveries &lt; 50%. After analytical validation, blood samples from 91 patients with difficult-to-treat hypertension were analyzed. Patients were unaware of adherence assessment. Adherence varied largely per agent and per concentration ratio (CR) (ratio of the detected concentration with LC-MS/MS and the PTC) cut-off value. Additionally, stratification by adherence group showed that the percentage of patients classified as non-adherent increased from 6.6% for qualitative analysis (pos/neg) to 19.8% for a CR cut-off of 0.5. The data imply that using the CR cut off values has a significant and relevant effect on patient adherence classification.</t>
  </si>
  <si>
    <t>Connective Tissue Growth Factor Is Related to All-cause Mortality in Hemodialysis Patients and Is Lowered by On-line Hemodiafiltration: Results from the Convective Transport Study.</t>
  </si>
  <si>
    <t>den Hoedt, Claire H; van Gelder, Maaike K; Grooteman, Muriel P; Nubé, Menso J; Blankestijn, Peter J; Goldschmeding, Roel; Kok, Robbert Jan; Bots, Michiel L; van den Dorpel, Marinus A; Gerritsen, Karin G F</t>
  </si>
  <si>
    <t>https://pubmed.ncbi.nlm.nih.gov/31086050</t>
  </si>
  <si>
    <t>Connective tissue growth factor (CTGF) plays a key role in the pathogenesis of tissue fibrosis. The aminoterminal fragment of CTGF is a middle molecule that accumulates in chronic kidney disease. The aims of this study are to explore determinants of plasma CTGF in hemodialysis (HD) patients, investigate whether CTGF relates to all-cause mortality in HD patients, and investigate whether online-hemodiafiltration (HDF) lowers CTGF. Data from 404 patients participating in the CONvective TRAnsport STudy (CONTRAST) were analyzed. Patients were randomized to low-flux HD or HDF. Pre-dialysis CTGF was measured by sandwich ELISA at baseline, after six and 12 months. CTGF was inversely related in multivariable analysis to glomerular filtration rate (GFR) (&lt;i&gt;p&lt;/i&gt; &lt; 0.001) and positively to cardiovascular disease (CVD) (&lt;i&gt;p&lt;/i&gt; = 0.006), dialysis vintage (&lt;i&gt;p&lt;/i&gt; &lt; 0.001), interleukin-6 (&lt;i&gt;p&lt;/i&gt; &lt; 0.001), beta-2-microglobulin (&lt;i&gt;p&lt;/i&gt; = 0.045), polycystic kidney disease (&lt;i&gt;p&lt;/i&gt; &lt; 0.001), tubulointerstitial nephritis (&lt;i&gt;p&lt;/i&gt; = 0.002), and renal vascular disease (&lt;i&gt;p&lt;/i&gt; = 0.041). Patients in the highest quartile had a higher mortality risk compared to those in the lowest quartile (HR 1.7, 95% CI: 1.02-2.88, &lt;i&gt;p&lt;/i&gt; = 0.043). HDF lowered CTGF with 4.8% between baseline and six months, whereas during HD, CTGF increased with 4.9% (&lt;i&gt;p&lt;/i&gt; &lt; 0.001). In conclusion, in HD patients, CTGF is related to GFR, CVD and underlying renal disease and increased the risk of all-cause mortality. HDF reduces CTGF.</t>
  </si>
  <si>
    <t>The ethics of genome editing in non-human animals: a systematic review of reasons reported in the academic literature.</t>
  </si>
  <si>
    <t>de Graeff, Nienke; Jongsma, Karin R; Johnston, Josephine; Hartley, Sarah; Bredenoord, Annelien L</t>
  </si>
  <si>
    <t>philosophical transactions of the royal society of london series b biological sciences</t>
  </si>
  <si>
    <t>https://pubmed.ncbi.nlm.nih.gov/30905297</t>
  </si>
  <si>
    <t>In recent years, new genome editing technologies have emerged that can edit the genome of non-human animals with progressively increasing efficiency. Despite ongoing academic debate about the ethical implications of these technologies, no comprehensive overview of this debate exists. To address this gap in the literature, we conducted a systematic review of the reasons reported in the academic literature for and against the development and use of genome editing technologies in animals. Most included articles were written by academics from the biomedical or animal sciences. The reported reasons related to seven themes: human health, efficiency, risks and uncertainty, animal welfare, animal dignity, environmental considerations and public acceptability. Our findings illuminate several key considerations about the academic debate, including a low disciplinary diversity in the contributing academics, a scarcity of systematic comparisons of potential consequences of using these technologies, an underrepresentation of animal interests, and a disjunction between the public and academic debate on this topic. As such, this article can be considered a call for a broad range of academics to get increasingly involved in the discussion about genome editing, to incorporate animal interests and systematic comparisons, and to further discuss the aims and methods of public involvement. This article is part of a discussion meeting issue 'The ecology and evolution of prokaryotic CRISPR-Cas adaptive immune systems'.</t>
  </si>
  <si>
    <t>Microvascular and macrovascular complications in type 2 diabetes Ghanaian residents in Ghana and Europe: The RODAM study.</t>
  </si>
  <si>
    <t>Hayfron-Benjamin, Charles; van den Born, Bert-Jan; Maitland-van der Zee, Anke H; Amoah, Albert G B; Meeks, Karlijn A C; Klipstein-Grobusch, Kerstin; Bahendeka, Silver; Spranger, Joachim; Danquah, Ina; Mockenhaupt, Frank; Beune, Erik; Smeeth, Liam; Agyemang, Charles</t>
  </si>
  <si>
    <t>https://pubmed.ncbi.nlm.nih.gov/31167710</t>
  </si>
  <si>
    <t>To compare microvascular and macrovascular complication rates among Ghanaians with type 2 diabetes (T2D) living in Ghana and in three European cities (Amsterdam, London and Berlin). Data from the multicenter Research on Obesity and Diabetes among African Migrants (RODAM) study were analyzed. 650 Ghanaian participants with T2D (206 non-migrant and 444 migrants) were included. Logistic regression analyses were used to determine the association between migrant status and microvascular (nephropathy and retinopathy) and macrovascular (coronary artery disease (CAD), peripheral artery disease (PAD) and stroke) complications with adjustment for age, gender, socioeconomic status, alcohol, smoking, physical activity, hypertension, BMI, total-cholesterol, and HbA1c. Microvascular and macrovascular complications rates were higher in non-migrant Ghanaians than in migrant Ghanaians (nephropathy 32.0% vs. 19.8%; PAD 11.2% vs. 3.4%; CAD 18.4% vs. 8.3%; and stroke 14.5% vs. 5.6%), except for self-reported retinopathy (11.0% vs. 21.6%). Except nephropathy and stroke, the differences persisted after adjustment for the above-mentioned covariates: PAD (OR 7.48; 95% CI, 2.16-25.90); CAD (2.32; 1.09-4.93); and retinopathy (0.23; 0.07-0.75). Except retinopathy, the rates of microvascular and macrovascular complications were higher in non-migrant than in migrant Ghanaians with T2D. Conventional cardiovascular risk factors did not explain the differences except for nephropathy and stroke.</t>
  </si>
  <si>
    <t>Attendance and compliance with an exercise program during localized breast cancer treatment in a randomized controlled trial: The PACT study.</t>
  </si>
  <si>
    <t>Witlox, Lenja; Velthuis, Miranda J; Boer, Jennifer H; Steins Bisschop, Charlotte N; Wall, Elsken van der; Meulen, Wout J T M van der; Schröder, Carin D; Peeters, Petra H M; May, Anne M</t>
  </si>
  <si>
    <t>https://pubmed.ncbi.nlm.nih.gov/31067223</t>
  </si>
  <si>
    <t>Maintaining high adherence rates (session attendance and compliance) in exercise programs during breast cancer treatment can be challenging. We aimed to identify adherence rates and predictors to an exercise program during adjuvant breast cancer treatment. Ninety-two patients with localized breast cancer undergoing chemotherapy were randomly assigned to an 18-week supervised moderate-to-high intensity aerobic and resistance exercise program, including two 1-hour sessions/week. Additionally, participants were asked to be physically active for at least 30 minutes/day on at least three other days. We report median percentages for attendance, compliance with the prescribed duration and intensity of aerobic and muscle strength exercises, and the exercise advice given. Predictors included in univariate and multivariable linear regression models were demographical, tumor- and treatment-related factors, constructs of the theory of planned behavior, psychological and physical factors. Patients attended 83% (interquartile range: 69-91%) of the supervised sessions. Compliance with the duration of aerobic exercise, high-intensity aerobic exercise (cycling at the ventilatory threshold), muscle strength exercises and the exercise advice were 88%(64-97%), 50%(22-82%), 84%(65-94%) and 61%(33%-79%), respectively. Education, radiotherapy, BMI and physical fatigue were important predictors of adherence to supervised exercise. Beliefs about planned behaviors were important predictors, especially for compliance with the exercise advice. Attendance to and compliance with an 18-week aerobic and strength exercise program were high. The lowest compliance was found for high-intensity supervised aerobic exercise. The identified predictors should be considered when designing or adapting exercise programs for patients with localized breast cancer to increase adherence. Current Controlled Trials ISRCTN43801571 Dutch Trial Register NTR2138.</t>
  </si>
  <si>
    <t>Comorbidity in patients with cardiovascular disease in primary care: a cohort study with routine healthcare data.</t>
  </si>
  <si>
    <t>Buddeke, Josefien; Bots, Michiel L; van Dis, Ineke; Visseren, Frank Lj; Hollander, Monika; Schellevis, François G; Vaartjes, Ilonca</t>
  </si>
  <si>
    <t>https://pubmed.ncbi.nlm.nih.gov/31064742</t>
  </si>
  <si>
    <t>Comorbidity is a major public health issue, which challenges health care configured around single diseases. To provide an overview of frequent disease combinations of one and two additional chronic diseases and groups among patients with cardiovascular disease (CVD) in general practice. Medical record data from the Julius General Practitioners' Network of 226 670 patients registered in 2015-2016 in Utrecht, the Netherlands, were collected and examined. Prevalences and combinations of one and two comorbid conditions were determined, by age and sex, in four populations of patients with CVD: heart failure, peripheral arterial disease (PAD), coronary heart disease (CHD), or stroke. Using logistic regression analyses, the authors examined whether comorbid conditions were significantly more prevalent in patients with a specific cardiovascular condition compared with those without. Low vision, diabetes mellitus, back/neck problems, osteoarthritis, chronic obstructive pulmonary disease (COPD), and cancer were the most prevalent non-cardiovascular conditions and ranked in the top five of non-cardiovascular comorbid conditions in the different CVDs studied, irrespective of patient age and sex. Of these, diabetes, COPD, and low vision were statistically significantly more prevalent in all four cardiovascular conditions when compared with patients without the respective disease. Over the life span, the majority of the comorbid conditions were most prevalent in patients with heart failure, directly followed by those with PAD; they were less prevalent in patients with CHD and stroke. Comorbid conditions are very common in patients with CVD, even in younger age groups. To ensure efficient and effective treatment, organisational adaptations may be required in the healthcare system to accommodate comorbid conditions in patients with CVD.</t>
  </si>
  <si>
    <t>Circulating phylloquinone, inactive Matrix Gla protein and coronary heart disease risk: A two-sample Mendelian Randomization study.</t>
  </si>
  <si>
    <t>Zwakenberg, Sabine R; Burgess, Stephen; Sluijs, Ivonne; Weiderpass, Elisabete; ,; Beulens, Joline W J; van der Schouw, Yvonne T</t>
  </si>
  <si>
    <t>https://pubmed.ncbi.nlm.nih.gov/31103344</t>
  </si>
  <si>
    <t>Multiple observational studies and small-scale intervention studies suggest that high vitamin K intake is associated with improved markers for cardiovascular health. Circulating phylloquinone solely represents phylloquinone (vitamin K1) intake, while dephosphorylated uncarboxylated Matrix Gla Protein (dp-ucMGP) represents both phylloquinone and menaquinone (vitamin K2) intake. This study aims to investigate the causal relationship between genetically predicted vitamin K concentrations and the risk of CHD via a two-sample Mendelian Randomization approach. We used data from three studies: the European Prospective Investigation into Cancer and Nutrition (EPIC)-CVD case-cohort study, CARDIOGRAMplusC4D and the UK Biobank, resulting in 103,097 CHD cases. Genetically predicted vitamin K concentrations were measured using SNPs related to circulating phylloquinone and dp-ucMGP. We calculated a genetic risk score (GRS) including four SNPs (rs2108622, rs2192574, rs4645543 and rs6862071) related to circulating phylloquinone levels from a genome wide association study. Rs4236 was used as an instrumental variable for dp-ucMGP. Inverse-variance weighted (IVW) analysis was used to obtain Risk Ratios (RRs) for the causal relationship between phylloquinone and dp-ucMGP concentrations and CHD risk. Using the genetic score for circulating phylloquinone, we found that circulating phylloquinone was not causally related to CHD risk (RR 1.00 (95%-CI: 0.98; 1.04)). Lower genetically predicted dp-ucMGP concentration was associated with a lower CHD risk with a RR of 0.96 (95%-CI: 0.93; 0.99) for every 10 μg/L decrease in dp-ucMGP. This study did not confirm a causal relationship between circulating phylloquinone and lower CHD risk. However, lower dp-ucMGP levels may be causally related with a decreased CHD risk. This inconsistent result may reflect the influence of menaquinones in the association with CHD.</t>
  </si>
  <si>
    <t>Individual Treatment Effect Estimation of 2 Doses of Dabigatran on Stroke and Major Bleeding in Atrial Fibrillation.</t>
  </si>
  <si>
    <t>Stam-Slob, Manon C; Connolly, Stuart J; van der Graaf, Yolanda; van der Leeuw, Joep; Dorresteijn, Jannick A N; Eikelboom, John W; Peters, Ron J G; Alings, Marco; Visseren, Frank L J</t>
  </si>
  <si>
    <t>https://pubmed.ncbi.nlm.nih.gov/31046423</t>
  </si>
  <si>
    <t>We aimed to estimate absolute benefit and harm from treatment with dabigatran in individual patients with atrial fibrillation, and to select the optimal dose for each individual. We derived and validated a prediction model for ischemic stroke/systemic embolism and major bleeding in patients with atrial fibrillation from the 3 treatment arms of the RE-LY trial (Randomized Evaluation of Long-Term Anticoagulation Therapy With Dabigatran Etexilate) (n=11 955 in derivation cohort, n=6158 in validation cohort). Readily available patient characteristics were included in Fine and Gray competing risk models (sex, age, smoking, antiplatelet drugs, previous vascular disease, diabetes mellitus, blood pressure, estimated glomerular filtration rate, and hemoglobin). Five-year risks for ischemic stroke/systemic embolism and major bleeding were estimated without anticoagulation therapy, and compared with high- and low-dose dabigatran. Model calibration was good, and discrimination was adequate with a c-statistic of 0.65 (95% CI, 0.62-0.70) for ischemic stroke/systemic embolism and 0.69 (95% CI, 0.66-0.71) for major bleeding. The 5-year absolute risk reduction for ischemic stroke/systemic embolism with dabigatran 150 mg twice daily ranged from &lt;10% in 20% of patients to &gt;25% in 14% of patients, and the 5-year absolute risk increase for major bleeding ranged from &lt;5% in 53% of patients to 15% to 20% in 1% of patients. Comparing high-dose to low-dose dabigatran, the net benefit (absolute risk reduction minus absolute risk increase) was positive for 46% of patients. The absolute treatment benefits and harms of dabigatran in atrial fibrillation can be estimated based on readily available patient characteristics. Such treatment effect estimations can be used for shared decision making before starting dabigatran treatment and to determine the optimal dose. URL: https://www.clinicaltrials.gov . Unique identifier: NCT00262600.</t>
  </si>
  <si>
    <t>Views and preferences of medical professionals and pregnant women about a novel primary prevention intervention for hypertensive disorders of pregnancy: a qualitative study.</t>
  </si>
  <si>
    <t>Vestering, A; Bekker, M N; Grobbee, D E; van der Graaf, R; Franx, A; Crombag, N M T; Browne, J L</t>
  </si>
  <si>
    <t>https://pubmed.ncbi.nlm.nih.gov/31046778</t>
  </si>
  <si>
    <t>Calcium and low-dose aspirin are two potential approaches for primary prevention of hypertensive disorders of pregnancy (HDP). This study aimed to explore the acceptability, views and preferences of pregnant women and primary healthcare providers for a fixed-dose combined preparation of aspirin and calcium (a polypill) as primary prevention of HDP in an unselected pregnant population. In this qualitative study eight in-depth semi-structured interviews were conducted with Dutch primary care midwives and general practitioners. Seven focus group discussions were organised with women with low-risk pregnancies. Topics discussed were: perceptions of preeclampsia; information provision about preeclampsia and a polypill; views on the polypill concept; preferences and needs regarding implementation of a polypill. Thematic analysis of the data transcripts was carried out to identify emerging themes. Two major themes shaped medical professionals' and women's views on the polypill concept: 'Informed Choice' and 'Medicalisation'. Both could be divided into subthemes related to information provision, personal choice and discussions with regard to the balance between 'unnecessary medicalisation' and 'scientific progress'. In general, women and healthcare practitioners expressed a positive attitude towards a polypill intervention as primary prevention strategy with aspirin and calcium, providing some conditions are met. The most important conditions for implementation of such a strategy were safety, effectiveness and the possibility to make a well-informed autonomous decision.</t>
  </si>
  <si>
    <t>Epidemiology and outcomes of source control procedures in critically ill patients with intra-abdominal infection.</t>
  </si>
  <si>
    <t>van de Groep, Kirsten; Verhoeff, Tessa L; Verboom, Diana M; Bos, Lieuwe D; Schultz, Marcus J; Bonten, Marc J M; Cremer, Olaf L; ,</t>
  </si>
  <si>
    <t>https://pubmed.ncbi.nlm.nih.gov/31054787</t>
  </si>
  <si>
    <t>To describe the characteristics and procedural outcomes of source control interventions among Intensive Care Unit (ICU) patients with severe intra-abdominal-infection (IAI). We identified consecutive patients with suspected IAI in whom a source control intervention had been performed in two tertiary ICUs in the Netherlands, and performed retrospective in-depth case reviews to evaluate procedure type, diagnostic yield, and adequacy of source control after 14 days. A total of 785 procedures were observed among 353 patients, with initial interventions involving 266 (75%) surgical versus 87 (25%) percutaneous approaches. Surgical index procedures typically involved IAI of (presumed) gastrointestinal origin (72%), whereas percutaneous index procedures were mostly performed for infections of the biliary tract/pancreas (50%) or peritoneal cavity (33%). Overall, 178 (50%) patients required multiple interventions (median 3 (IQR 2-4)). In a subgroup of 236 patients having their first procedure upon ICU admission, effective source control was ultimately achieved for 159 (67%) subjects. Persistence of organ failure was associated with inadequacy of source control at day 14, whereas trends in inflammatory markers were non-predictive. Approximately half of ICU patients with IAI require more than one intervention, yet successful source control is eventually achieved in a majority of cases.</t>
  </si>
  <si>
    <t>Myocardial Injury in Critically Ill Patients with Community-acquired Pneumonia. A Cohort Study.</t>
  </si>
  <si>
    <t>Frencken, Jos F; van Baal, Lottie; Kappen, Teus H; Donker, Dirk W; Horn, Janneke; van der Poll, Tom; van Klei, Wilton A; Bonten, Marc J M; Cremer, Olaf L; ,</t>
  </si>
  <si>
    <t>https://pubmed.ncbi.nlm.nih.gov/30521759</t>
  </si>
  <si>
    <t>&lt;b&gt;Rationale:&lt;/b&gt; Myocardial injury, as reflected by elevated cardiac troponin levels in plasma, is common in patients with community-acquired pneumonia (CAP), but its temporal dynamics and etiology remain unknown. &lt;b&gt;Objectives:&lt;/b&gt; Our aim was to determine the incidence of troponin release in patients with CAP and identify risk factors that may point to underlying etiologic mechanisms. &lt;b&gt;Methods:&lt;/b&gt; We included consecutive patients admitted with severe CAP to two intensive care units in the Netherlands between 2011 and 2015. High-sensitivity cardiac troponin I was measured daily during the first week. We used multivariable linear regression to identify variables associated with troponin release on admission, and we used mixed-effects regression to model the daily rise and fall of troponin levels over time. &lt;b&gt;Results:&lt;/b&gt; Of 200 eligible patients, 179 were included, yielding 792 observation days. A total of 152 (85%) patients developed raised troponin levels greater than 26 ng/L. Baseline factors independently associated with troponin release included coronary artery disease (176% increase; 95% confidence interval [CI], 11-589), smoking (248% increase; 95% CI, 33-809), and higher Acute Physiology and Chronic Health Evaluation IV score (2% increase; 95% CI, 0.8-3.3), whereas &lt;i&gt;Staphylococcus aureus&lt;/i&gt; as a causative pathogen was protective (70% reduction; 95% CI, 18-89). Time-dependent risk factors independently associated with daily increase in troponin concentrations included reduced platelet count (2.3% increase; 95% CI, 0.6-4), tachycardia (1.5% increase; 95% CI, 0.1-2.9), hypotension (6.2% increase; 95% CI, 2.1-10.6), dobutamine use (44% increase; 95% CI, 12-85), prothrombin time (8.2% increase; 95% CI, 0.2-16.9), white cell count (1.7% increase; 95% CI, 0-3.5), and fever (22.7% increase; 95% CI, 0.1-49.6). &lt;b&gt;Conclusions:&lt;/b&gt; Cardiac injury develops in a majority of patients with severe CAP. Myocardial oxygen supply-demand mismatch and activated inflammation/coagulation are associated with this injury. Clinical trial registered with www.clinicaltrials.gov (NCT01905033).</t>
  </si>
  <si>
    <t>Stress in Patients With (Un)ruptured Intracranial Aneurysms vs Population-Based Controls.</t>
  </si>
  <si>
    <t>de Wilde, Arno; Greebe, Paut; Rinkel, Gabriël J E; Algra, Ale</t>
  </si>
  <si>
    <t>neurosurgery</t>
  </si>
  <si>
    <t>https://pubmed.ncbi.nlm.nih.gov/29672747</t>
  </si>
  <si>
    <t>Stress is associated with increased risk of stroke and might predispose to presence and rupture of intracranial aneurysms. To study the association of recent and lifelong stress with unruptured intracranial aneurysm (UIA) and aneurysmal subarachnoid hemorrhage (ASAH). In 227 UIA patients (mean age 61 ± 11 yr), 490 ASAH patients (59 ± 11 yr), and 775 controls (51 ± 15 yr) who were randomly retrieved from the general population, we assessed occurrence of major life events and perceived stress during the preceding 12 mo and the entire life. With multivariable logistic regression analysis, we calculated odds ratios (ORs) with 95% confidence intervals (95% CIs) for 4 categories of life events (financial-related, work-related, children-related, and death of family members) and for periods of perceived stress at home and at work (never vs sometimes, often, or always). We adjusted for sex, age, alcohol consumption, smoking, and hypertension. The 4 categories of life events and perceived stress at work had ORs ranging from 0.4 to 1.7, of which financial stress for UIA was statistically significant (95% CI: 1.1-2.5). ORs for chronic perceived stress at home in the previous year were 4.3 (95% CI: 1.8-10.3) for UIA and 2.5 (1.2-5.5) for ASAH, and for lifelong exposure 5.7 (2.2-14.5) for UIA and 3.0 (1.3-7.0) for ASAH. For some components of stress, there may be a relation with UIA and ASAH. The mechanisms underlying this relation should be unraveled; strategies to improve coping with stress may reduce the risk of rupture in patients with unruptured aneurysms.</t>
  </si>
  <si>
    <t>Worldwide Incidence of Aneurysmal Subarachnoid Hemorrhage According to Region, Time Period, Blood Pressure, and Smoking Prevalence in the Population: A Systematic Review and Meta-analysis.</t>
  </si>
  <si>
    <t>Etminan, Nima; Chang, Han-Sol; Hackenberg, Katharina; de Rooij, Nicolien K; Vergouwen, Mervyn D I; Rinkel, Gabriel J E; Algra, Ale</t>
  </si>
  <si>
    <t>https://pubmed.ncbi.nlm.nih.gov/30659573</t>
  </si>
  <si>
    <t>Subarachnoid hemorrhage (SAH) from ruptured intracranial aneurysms is a subset of stroke with high fatality and morbidity. Better understanding of a change in incidence over time and of factors associated with this change could facilitate primary prevention. To assess worldwide SAH incidence according to region, age, sex, time period, blood pressure, and smoking prevalence. We searched PubMed, Web of Science, and Embase for studies on SAH incidence published between January 1960 and March 2017. Worldwide blood pressure and smoking prevalence data were extracted from the Noncommunicable Disease Risk Factor and Global Burden of Disease data sets. Population-based studies with prospective designs representative of the entire study population according to predefined criteria. Two reviewers independently extracted data according to PRISMA guidelines. Incidence of SAH was calculated per 100 000 person-years, and risk ratios (RRs) including 95% CIs were calculated with multivariable random-effects binomial regression. The association of SAH incidence with blood pressure and smoking prevalence was assessed with linear regression. Incidence of SAH. A total of 75 studies from 32 countries were included. These studies comprised 8176 patients with SAH were studied over 67 746 051 person-years. Overall crude SAH incidence across all midyears was 7.9 (95% CI, 6.9-9.0) per 100 000 person-years; the RR for women was 1.3 (95% CI, 0.98-1.7). Compared with men aged 45 to 54 years, the RR in Japanese women older than 75 years was 2.5 (95% CI, 1.8-3.4) and in European women older than 75 years was 1.5 (95% CI, 0.9-2.5). Global SAH incidence declined from 10.2 (95% CI, 8.4-12.5) per 100 000 person-years in 1980 to 6.1 (95% CI, 4.9-7.5) in 2010 or by 1.7% (95% CI, 0.6-2.8) annually between 1955 and 2014. Incidence of SAH declined between 1980 and 2010 by 40.6% in Europe, 46.2% in Asia, and 14.0% in North America and increased by 59.1% in Japan. The global SAH incidence declined with every millimeter of mercury decrease in systolic blood pressure by 7.1% (95% CI, 5.8-8.4) and with every percentage decrease in smoking prevalence by 2.4% (95% CI, 1.6-3.3). Worldwide SAH incidence and its decline show large regional differences and parallel the decrease in blood pressure and smoking prevalence. Understanding determinants for regional differences and further reducing blood pressure and smoking prevalence may yield a diminished SAH burden.</t>
  </si>
  <si>
    <t>Dietary Patterns Are Associated with Predicted 10-Year Risk of Cardiovascular Disease Among Ghanaian Populations: the Research on Obesity and Diabetes in African Migrants (RODAM) Study.</t>
  </si>
  <si>
    <t>Boateng, Daniel; Galbete, Cecilia; Nicolaou, Mary; Meeks, Karlijn; Beune, Erik; Smeeth, Liam; Osei-Kwasi, Hibbah Araba; Bahendeka, Silver; Agyei-Baffour, Peter; Mockenhaupt, Frank P; Spranger, Joachim; Grobbee, Diederick E; Schulze, Matthias B; Stronks, Karien; Agyemang, Charles; Danquah, Ina; Klipstein-Grobusch, Kerstin</t>
  </si>
  <si>
    <t>https://pubmed.ncbi.nlm.nih.gov/31050745</t>
  </si>
  <si>
    <t>Sub-Saharan African populations are disproportionately affected by cardiovascular disease (CVD). Although diet is an important lifestyle factor associated with CVD, evidence on the relation between dietary patterns (DPs) and CVD risk among sub-Saharan African populations is limited. We assessed the associations of DPs with estimated 10-y atherosclerotic cardiovascular disease (ASCVD) risk in Ghanaian adults in Ghana and Europe. Three DPs ('mixed'; 'rice, pasta, meat, and fish'; and 'roots, tubers, and plantain') were derived by principal component analysis (PCA) based on intake frequencies obtained by a self-administered Food Propensity Questionnaire in the multi-center, cross-sectional RODAM (Research on Obesity and Diabetes among African Migrants) study. The 10-y ASCVD risk was estimated using the Pooled Cohort Equations (PCE) for 2976 subjects, aged 40-70 y; a risk score ≥7.5% was defined as 'elevated' ASCVD risk. The associations of DPs with 10-y ASCVD risk were determined using Poisson regression with robust variance. Stronger adherence to a 'mixed' DP was associated with a lower predicted 10-y ASCVD in urban and rural Ghana and a higher 10-y ASCVD in Europe. The observed associations were attenuated after adjustment for possible confounders with the exception of urban Ghana (prevalence ratio [PR] for Quintile 5 compared with 1: 0.70; 95% CI: 0.53, 0.93, P-trend = 0.013). The 'rice, pasta, meat, and fish' DP was inversely associated with 10-y ASCVD across all study sites, with the adjusted effect being significant only in urban Ghana. A 'roots, tubers, and plantain' DP was directly associated with increased 10-y ASCVD risk. Adherence to 'mixed' and 'rice, pasta, meat, and fish' DPs appears to reduce predicted 10-y ASCVD risk in adults in urban Ghana. Further investigations are needed to understand the underlying contextual-level mechanisms that influence dietary habits and to support context-specific dietary recommendations for CVD prevention among sub-Saharan African populations.</t>
  </si>
  <si>
    <t>Stakeholders views on the ethical aspects of oocyte banking for third-party assisted reproduction: a qualitative interview study with donors, recipients and professionals.</t>
  </si>
  <si>
    <t>Kool, E M; van der Graaf, R; Bos, A M E; Pieters, J J P M; Custers, I M; Fauser, B C J M; Bredenoord, A L</t>
  </si>
  <si>
    <t>https://pubmed.ncbi.nlm.nih.gov/30927419</t>
  </si>
  <si>
    <t>What are the moral considerations held by donors, recipients and professionals towards the ethical aspects of the intake and distribution of donor bank oocytes for third-party assisted reproduction? Interviews with oocyte donors, oocyte recipients and professionals demonstrate a protective attitude towards the welfare of the donor and the future child. The scarcity of donor oocytes challenges the approach towards the many ethical aspects that arise in establishing and operating an oocyte bank for third-party assisted reproduction. Including experiences and moral considerations originating from practice provides useful insight on how to overcome these challenges. The project was set-up as a qualitative interview study and took place between October 2016 and August 2017. We conducted 25 semi-structured interviews with professionals engaged in the practice of oocyte banking (n = 10), recipients of donor oocytes (n = 7) and oocyte donors (n = 8). Key themes were formulated by means of a thematic analysis. Based on the interviews, we formulated four main themes describing stakeholders' views regarding the ethical aspects of the intake and distribution of donor bank oocytes. First, respondents articulated that when selecting donors and recipients, healthcare workers should prevent donors from making a wrong decision and safeguard the future child's well-being by minimizing health risks and selecting recipients based on their parental capabilities. Second, they proposed to provide a reasonable compensation and to increase societal awareness on the scarcity of donor oocytes to diminish barriers for donors. Third, respondents considered the prioritization of recipients in case of scarcity a difficult choice, because they are all dependent on donor oocytes to fulfil their wish for a child. They emphasized that treatment attempts should be limited, but at least include one embryo transfer. Fourth and finally, the importance of good governance of oocyte banks was mentioned, including a homogenous policy and the facilitation of exchange of experiences between oocyte banks. The possibility of selection bias exists, because we interviewed donors and recipients who were selected according to the criteria currently employed in the clinics. Respondents' moral considerations regarding the ethical aspects of the intake and distribution of donor oocytes demonstrate a protective attitude towards the welfare of the donor and the future child. At the same time, respondents also questioned whether such a (highly) protective attitude was justified. This finding may indicate there is room for reconsidering strategies for the collection and distribution of donor bank oocytes. This study was funded by ZonMw: The Dutch Organization for Health Research and Development (Grant number 70-73000-98-200). A.M.E.B. and B.C.J.M.F. are the initiators of the UMC Utrecht oocyte bank. J.J.P.M.P. is the director of the MCK Fertility Centre. IMC is working as a gynaecologist at the AMC Amsterdam oocyte bank. During the most recent 5-year period, BCJM Fauser has received fees or grant support from the following organizations (in alphabetic order): Actavis/Watson/Uteron, Controversies in Obstetrics &amp; Gynaecologist (COGI), Dutch Heart Foundation, Dutch Medical Research Counsel (ZonMW), Euroscreen/Ogeda, Ferring, London Womens Clinic (LWC), Merck Serono (GFI), Myovant, Netherland Genomic Initiative (NGI), OvaScience, Pantharei Bioscience, PregLem/Gedeon Richter/Finox, Reproductive Biomedicine Online (RBMO), Roche, Teva and World Health Organization (WHO). The authors have no further competing interests to declare. N/A.</t>
  </si>
  <si>
    <t>Mediation analysis of the alcohol-postmenopausal breast cancer relationship by sex hormones in the EPIC cohort.</t>
  </si>
  <si>
    <t>Assi, Nada; Rinaldi, Sabina; Viallon, Vivian; Dashti, S Ghazaleh; Dossus, Laure; Fournier, Agnès; Cervenka, Iris; Kvaskoff, Marina; Turzanski-Fortner, Renée; Bergmann, Manuela; Boeing, Heiner; Panico, Salvatore; Ricceri, Fulvio; Palli, Domenico; Tumino, Rosario; Grioni, Sara; Sánchez Pérez, María José; Chirlaque, María-Dolores; Bonet, Catalina; Gurrea, Aurelio Barricarte; Amiano Etxezarreta, Pilar; Merino, Susana; Bueno de Mesquita, H Bas; van Gils, Carla H; Onland-Moret, Charlotte; Tjønneland, Anne; Overvad, Kim; Trichopoulou, Antonia; Martimianaki, Georgia; Karakatsani, Anna; Key, Tim; Christakoudi, Sofia; Ellingjord-Dale, Merete; Tsilidis, Kostas; Riboli, Elio; Kaaks, Rudolf; Gunter, Marc J; Ferrari, Pietro</t>
  </si>
  <si>
    <t>https://pubmed.ncbi.nlm.nih.gov/30968961</t>
  </si>
  <si>
    <t>Alcohol consumption is associated with higher risk of breast cancer (BC); however, the biological mechanisms underlying this association are not fully elucidated, particularly the extent to which this relationship is mediated by sex hormone levels. Circulating concentrations of estradiol, testosterone, their free fractions and sex-hormone binding globulin (SHBG), were examined in 430 incident BC cases and 645 matched controls among alcohol-consuming postmenopausal women nested within the European Prospective Investigation into Cancer and Nutrition. Mediation analysis was applied to assess whether individual hormone levels mediated the relationship between alcohol intake and BC risk. An alcohol-related hormonal signature, obtained by partial least square (PLS) regression, was evaluated as a potential mediator. Total (TE), natural direct and natural indirect effects (NIE) were estimated. Alcohol intake was positively associated with overall BC risk and specifically with estrogen receptor-positive tumors with respectively TE = 1.17(95%CI: 1.01,1.35) and 1.36(1.08,1.70) for a 1-standard deviation (1-SD) increase of intake. There was no evidence of mediation by sex steroids or SHBG separately except for a weak indirect effect through free estradiol where NIE = 1.03(1.00,1.06). However, an alcohol-related hormonal signature negatively associated with SHBG and positively with estradiol and testosterone was associated with BC risk (odds ratio [OR] = 1.25 [1.07,1.47]) for a 1-SD higher PLS score, and had a statistically significant NIE accounting for a mediated proportion of 24%. There was limited evidence of mediation of the alcohol-BC association by individual sex hormones. However, a hormonal signature, reflecting lower levels of SHBG and higher levels of sex steroids, mediated a substantial proportion of the association.</t>
  </si>
  <si>
    <t>The Convergent Effect of International Collaboration between Young Leaders of Two Global Societies: Strengthening Microbiology Education and Training Practices Worldwide.</t>
  </si>
  <si>
    <t>Meštrović, Tomislav; Cevik, Muge; Pinto, Tatiana Castro Abreu; Barać, Aleksandra; Servín-Garcidueñas, Luis E; Ong, David S Y</t>
  </si>
  <si>
    <t>journal of microbiology biology education</t>
  </si>
  <si>
    <t>https://pubmed.ncbi.nlm.nih.gov/31160928</t>
  </si>
  <si>
    <t>There has never been a more critical time than the present for young microbiologists to engage in continuous postgraduate education. Next-generation microbiologists need to integrate several scientific disciplines in the early stages of their careers to keep up with the ever-changing nature of microbiology (advent of high-throughput sequencing platforms, bioinformatics, complex omic, culture and systems-biology approaches) and to ensure timely response to the current global health and biodiversity threats. Here we propose that international collaboration of young experts would help to address the challenges in microbiology training and serve as a communication bridge between senior and early career scientists. To establish a one-of-a-kind collaboration, the Trainee Association (TAE) of the European Society of Clinical Microbiology and Infectious Diseases (ESCMID) and the Young Leaders Circle (YLC) of the American Society for Microbiology (ASM) have joined forces to adequately represent the interests of young members within the two largest societies in the field of microbiology. Through this partnership, both societies aim to promote continuous education for young scientists and the general public. Additionally, we intend to identify shared objectives and introduce joint activities that could lead to a beneficial exchange process for a long-lasting relationship. This partnership further contributes to advancing both the quality and quantity of education.</t>
  </si>
  <si>
    <t>Factors Contributing to Cancer-Related Muscle Wasting During First-Line Systemic Treatment for Metastatic Colorectal Cancer.</t>
  </si>
  <si>
    <t>Derksen, Jeroen W G; Kurk, Sophie A; Oskam, Marieke J; Peeters, Petra H M; Punt, Cornelis J A; Koopman, Miriam; May, Anne M</t>
  </si>
  <si>
    <t>https://pubmed.ncbi.nlm.nih.gov/31360897</t>
  </si>
  <si>
    <t>Increasing evidence indicates that loss of muscle mass is associated with adverse outcomes in metastatic colorectal cancer. Here, we investigate which demographic, lifestyle- (smoking), tumor-, and treatment-related factors are associated with muscle loss in patients with metastatic colorectal cancer during first-line palliative systemic treatment. Data from 300 patients with computed tomography scans both at start and after six initial cycles of capecitabine plus oxaliplatin and bevacizumab was used (CAIRO3). From computed tomography, muscle mass normalized for stature (skeletal muscle index [SMI]) was calculated. A priori-selected variables were tested using multivariable linear regression models (&lt;i&gt;P&lt;/i&gt; values ≤.05). Two models were developed: Model 1 contained variables measured at start and Model 2 contained variables assessed after initial therapy. In Model 1, loss of SMI was statistically significantly associated with a higher initial SMI (-0.32%, 95% confidence interval [CI] = -0.45% to -0.19% per unit increase in initial SMI), smoking status (-2.74%, 95% CI = -5.29% to -0.19% for smokers), and interval of metastases (-3.02%, 95% CI = -5.50% to -0.53%) for metachronous vs synchronous metastases), and primary tumor resection was statistically significantly associated with a gain in SMI (2.17%, 95% CI = 0.13% to 4.21% for resection vs no resection). In Model 2, loss of SMI was statistically significantly associated with response to capecitabine plus oxaliplatin and bevacizumab (-2.48%, 95% CI = -4.33% to -0.62% for stable disease vs partial/complete response). Our results highlight, given the association of sarcopenia and survival, that patients with higher SMI should not be ignored. In addition, smoking is a potentially modifiable factor associated with muscle loss. The association between smoking and muscle loss might relate to worse clinical outcomes in smokers with metastatic colorectal cancer.</t>
  </si>
  <si>
    <t>Smoking cessation and risk of recurrent cardiovascular events and mortality after a first manifestation of arterial disease.</t>
  </si>
  <si>
    <t>van den Berg, M Johanneke; van der Graaf, Yolanda; Deckers, Jaap W; de Kanter, Wanda; Algra, Ale; Kappelle, L Jaap; de Borst, Gert J; Cramer, Maarten-Jan M; Visseren, Frank L J; ,</t>
  </si>
  <si>
    <t>https://pubmed.ncbi.nlm.nih.gov/31132583</t>
  </si>
  <si>
    <t>To quantify the relation between smoking cessation after a first cardiovascular (CV) event and risk of recurrent CV events and mortality. Data were available from 4,673 patients aged 61 ± 8.7 years, with a recent (≤1 year) first manifestation of arterial disease participating in the SMART-cohort. Cox models were used to quantify the relation between smoking status and risk of recurrent major atherosclerotic cardiovascular events (MACE including stroke, MI and vascular mortality) and mortality. In addition, survival according to smoking status was plotted, taking competing risk of non-vascular mortality into account. A third of the smokers stopped after their first CV event. During a median of 7.4 (3.7-10.8) years of follow-up, 794 patients died and 692 MACE occurred. Compared to patients who continued to smoke, patients who quit had a lower risk of recurrent MACE (adjusted HR 0.66, 95% CI 0.49-0.88) and all-cause mortality (adjusted HR 0.63, 95% CI 0.48-0.82). Patients who reported smoking cessation on average lived 5 life years longer and recurrent MACE occurred 10 years later. In patients with a first CV event &gt;70 years, cessation of smoking had improved survival which on average was comparable to former or never smokers. Irrespective of age at first CV event, cessation of smoking after a first CV event is related to a substantial lower risk of recurrent vascular events and all-cause mortality. Since smoking cessation is more effective in reducing CV risk than any pharmaceutical treatment of major risk factors, it should be a key objective for patients with vascular disease.</t>
  </si>
  <si>
    <t>Targeted point-of-care testing compared with syndromic management of urogenital infections in women (WISH): a cross-sectional screening and diagnostic accuracy study.</t>
  </si>
  <si>
    <t>Verwijs, Marijn C; Agaba, Stephen K; Sumanyi, Jean-Claude; Umulisa, Marie Michele; Mwambarangwe, Lambert; Musengamana, Viateur; Uwineza, Mireille; Cuylaerts, Vicky; Crucitti, Tania; Jespers, Vicky; van de Wijgert, Janneke H H M</t>
  </si>
  <si>
    <t>https://pubmed.ncbi.nlm.nih.gov/31031172</t>
  </si>
  <si>
    <t>Sexually transmitted and urogenital infections are typically managed by WHO-recommended syndromic algorithms in resource-poor countries, and presumptively in Europe. However, algorithms for vaginal discharge and lower abdominal pain perform poorly in women. The women's improvement of sexual and reproductive health (WISH) study in Kigali, Rwanda, sought to improve case-finding and infection management in women by introducing point-of-care tests. The main aim was to compare the performance of the WISH algorithms and the WHO vaginal discharge and lower abdominal pain algorithms with gold standard testing. This cross-sectional screening and diagnostic accuracy study recruited women aged 18 years or older with or without urogenital symptoms at risk of acquiring sexually transmitted infections in Kigali, Rwanda. Recruitment activities were implemented by study staff with the help of community mobilisers at health centres, pharmacies, markets, women's organisations, and at "umuganda" community meetings. At the study visit, participants had a face-to-face interview that included questions about current urogenital symptoms. Participants were first asked without prompting (spontaneous reporting), followed by questions about 14 specific symptoms (structural reporting). Next, the WISH algorithms were implemented. All participants had point-of-care tests for bacterial vaginosis (vaginal pH of 5·0 or above) and Trichomonas vaginalis (immunoassay) regardless of symptom reporting. Women with a positive risk score had point-of-care tests for Chlamydia trachomatis and Neisseria gonorrhoea (nucleic acid amplification tests). Vulvovaginal candidiasis was treated presumptively. Nucleic acid amplification tests for C trachomatis, N gonorrhoeae, T vaginalis, bacterial vaginosis, and vulvovaginal candidiasis were the gold standard, and all patients provided swabs for these. Participants were recruited between July 5, 2016, and March 14, 2017. 705 participants were enrolled in the study and completed a study visit, and 51 attended 53 additional visits. Prevalence by gold standard testing was 8·5% for C trachomatis, 7·1% for N gonorrhoeae, 16·1% for T vaginalis, 18·1% for bacterial vaginosis, and 8·6% for vulvovaginal candidiasis. The WISH algorithms identified similar numbers of C trachomatis, N gonorrhoeae, and T vaginalis infections, but much higher numbers of bacterial vaginosis and vulvovaginal candidiasis infections. Compared with gold standard testing, the WISH algorithms had a good sensitivity and high specificity for C trachomatis (sensitivity 71·7%, specificity 100%), N gonorrhoeae (sensitivity 76·0%, specificity 100%), and T vaginalis (sensitivity 68·5%, specificity 97·4%), high sensitivity but low specificity for bacterial vaginosis (sensitivity 95·2%, specificity 41·2%), and moderate sensitivity and specificity for vulvovaginal candidiasis (sensitivity 64·4%, specificity 69·4%). The performance of vaginal pH testing for bacterial vaginosis improved by increasing the cutoff to 5·5, followed by confirmatory testing (sensitivity 73·6%, specificity 100%). The WHO algorithms had moderate sensitivity and poor specificity for all infections compared with gold standard testing: C trachomatis sensitivity 58·3%, specificity 44·7%; N gonorrhoeae sensitivity 66·0%, specificity 45·2%; T vaginalis sensitivity 60·4%, specificity 45·6%; bacterial vaginosis sensitivity 61·6%, specificity 46·0%; and vulvovaginal candidiasis sensitivity 74·6%, specificity 50·6%. Two participants attended additional visits because they had a mild allergic reaction to metronidazole. Staff and participants considered point-of-care testing feasible and acceptable. Point-of-care testing for urogenital infections might improve case-finding and infection management and is feasible in resource-poor settings. Point-of-care tests should be further developed, including those targeting multiple conditions. Additional studies in other populations, including populations with low prevalence of sexually transmitted and urogenital infections, are warranted. European and Developing Countries Clinical Trials Partnership.</t>
  </si>
  <si>
    <t>Uniformity in measuring adherence to reporting guidelines: the example of TRIPOD for assessing completeness of reporting of prediction model studies.</t>
  </si>
  <si>
    <t>Heus, Pauline; Damen, Johanna A A G; Pajouheshnia, Romin; Scholten, Rob J P M; Reitsma, Johannes B; Collins, Gary S; Altman, Douglas G; Moons, Karel G M; Hooft, Lotty</t>
  </si>
  <si>
    <t>https://pubmed.ncbi.nlm.nih.gov/31023756</t>
  </si>
  <si>
    <t>To promote uniformity in measuring adherence to the Transparent Reporting of a multivariable prediction model for Individual Prognosis Or Diagnosis (TRIPOD) statement, a reporting guideline for diagnostic and prognostic prediction model studies, and thereby facilitate comparability of future studies assessing its impact, we transformed the original 22 TRIPOD items into an adherence assessment form and defined adherence scoring rules. TRIPOD specific challenges encountered were the existence of different types of prediction model studies and possible combinations of these within publications. More general issues included dealing with multiple reporting elements, reference to information in another publication, and non-applicability of items. We recommend our adherence assessment form to be used by anyone (eg, researchers, reviewers, editors) evaluating adherence to TRIPOD, to make these assessments comparable. In general, when developing a form to assess adherence to a reporting guideline, we recommend formulating specific adherence elements (if needed multiple per reporting guideline item) using unambiguous wording and the consideration of issues of applicability in advance.</t>
  </si>
  <si>
    <t>Comparison of Rupture Risk of Intracranial Aneurysms Between Familial and Sporadic Patients.</t>
  </si>
  <si>
    <t>Mensing, Liselore A; Greving, Jacoba P; Verhoeff, Tessa A; Rinkel, Gabriel J E; Ruigrok, Ynte M</t>
  </si>
  <si>
    <t>https://pubmed.ncbi.nlm.nih.gov/31136291</t>
  </si>
  <si>
    <t>Background and Purpose A much higher rupture rate for patients with familial intracranial aneurysms (IA) compared with patients with sporadic IA has been reported in a study with highly selected familial aneurysms using sporadic patients from other populations a controls. We aimed to validate these findings in a large independent series of Dutch patients with familial and sporadic IA. Methods We conducted a secondary analysis of our institutional cohort of patients who were screened for IAs between 1994 and 2016. We assessed the incidence of aneurysmal subarachnoid hemorrhage between familial, defined as ≥2 affected first-degree relatives with aneurysmal subarachnoid hemorrhage and unruptured IA (UIA), and sporadic patients with UIA with Cox regression analysis. Results We identified 62 familial IA patients with 91 UIA and 412 sporadic IA patients with 542 UIA. Despite familial aneurysms being smaller and more often located at low risk sites than sporadic IA, 3 familial patients had aneurysmal subarachnoid hemorrhage (0.77 ruptures per 100 aneurysm-years [95% CI, 0.20-2.09]) compared with 7 sporadic patients (0.51 ruptures per 100 aneurysm-years [95% CI, 0.22-1.01]). As compared to sporadic UIA, familial UIA seems to have a 3-fold higher risk of rupture (hazard ratio, 2.9 [95% CI, 0.6-14]). Conclusions Our results suggest a slightly increased risk of aneurysm rupture for familial compared with sporadic IA, although we were not able to demonstrate this with statistical significance. However, the rupture risk seems less strongly increased than found in a previous study. Based on our results, we recommend to treat familial UIA more aggressively.</t>
  </si>
  <si>
    <t>Consumption of Meat, Fish, Dairy Products, and Eggs and Risk of Ischemic Heart Disease.</t>
  </si>
  <si>
    <t>Key, Timothy J; Appleby, Paul N; Bradbury, Kathryn E; Sweeting, Michael; Wood, Angela; Johansson, Ingegerd; Kühn, Tilman; Steur, Marinka; Weiderpass, Elisabete; Wennberg, Maria; Lund Würtz, Anne Mette; Agudo, Antonio; Andersson, Jonas; Arriola, Larraitz; Boeing, Heiner; Boer, Jolanda M A; Bonnet, Fabrice; Boutron-Ruault, Marie-Christine; Cross, Amanda J; Ericson, Ulrika; Fagherazzi, Guy; Ferrari, Pietro; Gunter, Marc; Huerta, José María; Katzke, Verena; Khaw, Kay-Tee; Krogh, Vittorio; La Vecchia, Carlo; Matullo, Giuseppe; Moreno-Iribas, Conchi; Naska, Androniki; Nilsson, Lena Maria; Olsen, Anja; Overvad, Kim; Palli, Domenico; Panico, Salvatore; Molina-Portillo, Elena; Quirós, J Ramón; Skeie, Guri; Sluijs, Ivonne; Sonestedt, Emily; Stepien, Magdalena; Tjønneland, Anne; Trichopoulou, Antonia; Tumino, Rosario; Tzoulaki, Ioanna; van der Schouw, Yvonne T; Verschuren, W M Monique; di Angelantonio, Emanuele; Langenberg, Claudia; Forouhi, Nita; Wareham, Nick; Butterworth, Adam; Riboli, Elio; D</t>
  </si>
  <si>
    <t>https://pubmed.ncbi.nlm.nih.gov/31006335</t>
  </si>
  <si>
    <t>There is uncertainty about the relevance of animal foods to the pathogenesis of ischemic heart disease (IHD). We examined meat, fish, dairy products, and eggs and risk for IHD in the pan-European EPIC cohort (European Prospective Investigation Into Cancer and Nutrition). In this prospective study of 409 885 men and women in 9 European countries, diet was assessed with validated questionnaires and calibrated with 24-hour recalls. Lipids and blood pressure were measured in a subsample. During a mean of 12.6 years of follow-up, 7198 participants had a myocardial infarction or died of IHD. The relationships of animal foods with risk were examined with Cox regression with adjustment for other animal foods and relevant covariates. The hazard ratio (HR) for IHD was 1.19 (95% CI, 1.06-1.33) for a 100-g/d increment in intake of red and processed meat, and this remained significant after exclusion of the first 4 years of follow-up (HR, 1.25 [95% CI, 1.09-1.42]). Risk was inversely associated with intakes of yogurt (HR, 0.93 [95% CI, 0.89-0.98] per 100-g/d increment), cheese (HR, 0.92 [95% CI, 0.86-0.98] per 30-g/d increment), and eggs (HR, 0.93 [95% CI, 0.88-0.99] per 20-g/d increment); the associations with yogurt and eggs were attenuated and nonsignificant after exclusion of the first 4 years of follow-up. Risk was not significantly associated with intakes of poultry, fish, or milk. In analyses modeling dietary substitutions, replacement of 100 kcal/d from red and processed meat with 100 kcal/d from fatty fish, yogurt, cheese, or eggs was associated with ≈20% lower risk of IHD. Consumption of red and processed meat was positively associated with serum non-high-density lipoprotein cholesterol concentration and systolic blood pressure, and consumption of cheese was inversely associated with serum non-high-density lipoprotein cholesterol. Risk for IHD was positively associated with consumption of red and processed meat and inversely associated with consumption of yogurt, cheese, and eggs, although the associations with yogurt and eggs may be influenced by reverse causation bias. It is not clear whether the associations with red and processed meat and cheese reflect causality, but they were consistent with the associations of these foods with plasma non-high-density lipoprotein cholesterol and for red and processed meat with systolic blood pressure, which could mediate such effects.</t>
  </si>
  <si>
    <t>Development and internal validation of a multinomial NTCP model for the severity of acute dyspnea after radiotherapy for lung cancer.</t>
  </si>
  <si>
    <t>Defraene, Gilles; Schuit, Ewoud; De Ruysscher, Dirk</t>
  </si>
  <si>
    <t>https://pubmed.ncbi.nlm.nih.gov/31015122</t>
  </si>
  <si>
    <t>Dyspnea evolution after radiotherapy for lung cancer is complex with potential symptom deterioration and improvement from baseline. We developed and internally validated a multinomial normal tissue complication probability (NTCP) model predicting dyspnea grade. Patient-reported dyspnea was collected pre-treatment and during 6 months follow-up for 182 stage I-IV lung cancer patients treated with radical (chemo)radiotherapy. Dyspnea changes (ΔDys) from the baseline grade (Dys&lt;sub&gt;0&lt;/sub&gt;) to the follow-up grade (Dys) were evaluated. A multinomial logistic regression model simultaneously predicting 3 grades of Dys (Dys ≥ 3, Dys = 2 and Dys ≤ 1 (reference level)) was optimized. Reference NTCP models predicting Dys ≥ 2 and Dys ≥ 3 risks irrespective of Dys&lt;sub&gt;0&lt;/sub&gt; were generated for comparison. Models were shrunken and performance was assessed using optimism-corrected AUC (bootstrapping). Rates of ΔDys ≥ 1 (deterioration) and ΔDys ≤ -1 (improvement) at 6 months were 31.9% and 12.6%. Dys ≥ 3, Dys = 2 and Dys ≤ 1 rates were 13.7%, 20.9% and 65.4%, respectively. The multinomial model (combining the risk factors Dys&lt;sub&gt;0&lt;/sub&gt; and MLD and the protective factor chemotherapy treatment) predicted Dys ≥ 3, Dys = 2 and Dys ≤ 1 with AUC (95% CI) of 0.72 (0.65-0.75) 0.76 (0.72-0.79) and 0.78 (0.74-0.80), respectively. Reference Dys ≥ 2 and Dys ≥ 3 models showed worse AUC: 0.64 (0.59-0.67) and 0.66 (0.50-0.70), respectively. Dyspnea grade could be predicted with high accuracy using a multinomial NTCP model, yielding personalized dyspnea symptom improvement and deterioration risks.</t>
  </si>
  <si>
    <t>Reporting of artificial intelligence prediction models.</t>
  </si>
  <si>
    <t>Collins, Gary S; Moons, Karel G M</t>
  </si>
  <si>
    <t>https://pubmed.ncbi.nlm.nih.gov/31007185</t>
  </si>
  <si>
    <t>Search for the Production of a Long-Lived Neutral Particle Decaying within the ATLAS Hadronic Calorimeter in Association with a Z Boson from pp Collisions at sqrt[s]=13  TeV.</t>
  </si>
  <si>
    <t>Aaboud, M; Aad, G; Abbott, B; Abdinov, O; Abeloos, B; Abhayasinghe, D K; Abidi, S H; AbouZeid, O S; Abraham, N L; Abramowicz, H; Abreu, H; Abulaiti, Y; Acharya, B S; Adachi, S; Adam, L;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Alexandre, D;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 F; Anastopoulos, C; Ancu, L S; Andari, N; Andeen, T; Anders, C F; Anders, J K; Ande</t>
  </si>
  <si>
    <t>https://pubmed.ncbi.nlm.nih.gov/31050493</t>
  </si>
  <si>
    <t>This Letter presents a search for the production of a long-lived neutral particle (Z_{d}) decaying within the ATLAS hadronic calorimeter, in association with a standard model (SM) Z boson produced via an intermediate scalar boson, where Z→ℓ^{+}ℓ^{-} (ℓ=e, μ). The data used were collected by the ATLAS detector during 2015 and 2016 pp collisions with a center-of-mass energy of sqrt[s]=13  TeV at the Large Hadron Collider and correspond to an integrated luminosity of 36.1±0.8  fb^{-1}. No significant excess of events is observed above the expected background. Limits on the production cross section of the scalar boson times its decay branching fraction into the long-lived neutral particle are derived as a function of the mass of the intermediate scalar boson, the mass of the long-lived neutral particle, and its cτ from a few centimeters to one hundred meters. In the case that the intermediate scalar boson is the SM Higgs boson, its decay branching fraction to a long-lived neutral particle with a cτ approximately between 0.1 and 7 m is excluded with a 95% confidence level up to 10% for m_{Z_{d}} between 5 and 15 GeV.</t>
  </si>
  <si>
    <t>Breast Edema Following Breast-Conserving Surgery and Radiotherapy: Patient-Reported Prevalence, Determinants, and Effect on Health-Related Quality of Life.</t>
  </si>
  <si>
    <t>Young-Afat, Danny A; Gregorowitsch, Madelijn L; van den Bongard, Desirée H; Burgmans, Ine; van der Pol, Carmen C; Witkamp, Arjen J; Bijlsma, Rhodé M; Koelemij, Ron; Schoenmaeckers, Ernst J; Jonasse, Yvette; van Gils, Carla H; Verkooijen, Helena M</t>
  </si>
  <si>
    <t>https://pubmed.ncbi.nlm.nih.gov/31360894</t>
  </si>
  <si>
    <t>The association between lymphedema of the arm and impaired health-related QoL (HR-QoL) has led to changes in clinical practice. However, data on lymphedema of the breast (ie, breast edema) are lacking. We prospectively evaluated patient-reported prevalence and determinants of breast edema and its effect on patient-reported HR-QoL and breast pain. We prospectively included 836 patients undergoing breast-conserving surgery followed by radiotherapy between October 2013 and October 2016 (UMBRELLA cohort). Patient-reported breast edema, HR-QoL, and breast pain were assessed by means of European Organisation for Research and Treatment of Cancer-C30/BR23 before starting radiotherapy and at 3, 6, 12, and 18 months thereafter. We assessed which patient, tumor, and treatment characteristics were associated with breast edema. With mixed-effects models, we assessed the impact of breast edema on patient-reported HR-QoL domains and breast pain over time, adjusting for confounders. Within a median follow-up of 28 months (interquartile range [IQR] = 15), 207 (24.8%) patients reported breast edema at some point in time. Prevalence of breast edema was highest at 6 months (12.4%, 95% confidence interval [CI] = 10.0 to 14.7). Larger tumor size, oncoplastic surgery, axillary lymph node dissection, locoregional radiotherapy, radiotherapy boost on the tumor bed, and adjuvant chemotherapy were associated with breast edema. Breast edema was independently associated with more breast pain and with poorer QoL, physical functioning, and body image. Breast edema occurs frequently within the first year after breast-conserving surgery and radiotherapy and is independently associated with impaired HR-QoL and more breast pain. This information is important for use in clinical practice and should be discussed with patients during shared decision making.</t>
  </si>
  <si>
    <t>An ethics framework and practical guidance for post-trial access to an RSV maternal vaccine.</t>
  </si>
  <si>
    <t>Mazur, Natalie I; Bont, Louis J; van Delden, Johannes J M; Omer, Saad B</t>
  </si>
  <si>
    <t>https://pubmed.ncbi.nlm.nih.gov/31003966</t>
  </si>
  <si>
    <t>Arterial stiffness as a risk factor for cardiovascular events and all-cause mortality in people with Type 2 diabetes.</t>
  </si>
  <si>
    <t>Sharif, S; Visseren, F L J; Spiering, W; de Jong, P A; Bots, M L; Westerink, J; ,</t>
  </si>
  <si>
    <t>https://pubmed.ncbi.nlm.nih.gov/30920676</t>
  </si>
  <si>
    <t>To quantify the risk of different non-invasive arterial stiffness measurements with macrovascular disease and all-cause mortality in high-risk people with Type 2 diabetes. We conducted a prospective cohort study of 1910 people with Type 2 diabetes included in the Second Manifestations of ARTerial disease (SMART) study. Arterial stiffness was assessed by brachial artery pulse pressure, normal range (≥0.9) ankle-brachial index and carotid artery distension. Cox regression was used to evaluate the effects of arterial stiffness on risk of cardiovascular events (composite of myocardial infarction, stroke and vascular mortality) and all-cause mortality. A total of 380 new cardiovascular events and 436 deaths occurred during a median (interquartile range) follow-up of 7.5 (4.1-11.0) years. A 10-mmHg higher brachial pulse pressure was related to higher hazard of cardiovascular events (hazard ratio 1.09, 95% CI 1.02 to 1.16) and all-cause mortality (hazard ratio 1.10, 95% CI 1.03 to 1.16). A 0.1-point lower ankle-brachial index within the normal range was related to a higher hazard of cardiovascular events (hazard ratio 1.13, 95% CI 1.01 to 1.27) and all-cause mortality (hazard ratio 1.17, 95% CI 1.04 to 1.31). A one-unit (10&lt;sup&gt;-3&lt;/sup&gt; ×kPa&lt;sup&gt;-1&lt;/sup&gt; ) lower carotid artery distensibility coefficient was related to a higher hazard of vascular mortality (hazard ratio 1.04, 95% CI 1.00 to 1.09) and all-cause mortality (hazard ratio 1.04, 95% CI 1.00 to 1.07). Increased arterial stiffness, as measured by either increased pulse pressure, normal-range ankle-brachial index or carotid artery distensibility coefficient, is related to increased hazard of cardiovascular events and all-cause mortality in people with Type 2 diabetes.</t>
  </si>
  <si>
    <t>Involving the general practitioner during curative cancer treatment: a systematic review of health care interventions.</t>
  </si>
  <si>
    <t>Perfors, Ietje A A; May, Anne M; Boeijen, Josi A; de Wit, Niek J; van der Wall, Elsken; Helsper, Charles W</t>
  </si>
  <si>
    <t>https://pubmed.ncbi.nlm.nih.gov/30987988</t>
  </si>
  <si>
    <t>The role of primary care providers (PCP) in the cancer care continuum is expanding. In the post-treatment phase, this role is increasingly recognised by policy makers and healthcare professionals. During treatment, however, the role of PCP remains largely undefined. This systematic review aims to map the content and effect of interventions aiming to actively involve the general practitioner (GP) during cancer treatment with a curative intent. Systematic review. Patients with cancer treated with curative intent. Randomised controlled trials (RCTs), controlled clinical trials (CCT), controlled before and after studies and interrupted time series focusing on interventions designed to involve the GP during curative cancer treatment were systematically identified from PubMed and EMBASE and were subsequently reviewed. Risk of bias was scored according to the Effective Practice and Organisation of Care Group risk of bias criteria. Five RCTs and one CCT were included. Interventions and effects were heterogeneous across studies. Four studies implemented interventions focussing on information transfer to the GP and two RCTs implemented patient-tailored GP interventions. The studies have a low-medium risk of bias. Three studies show a low uptake of the intervention. A positive effect on patient satisfaction with care was found in three studies. Subgroup analysis suggests a reduction of healthcare use in elderly patients and reduction of clinical anxiety in those with higher mental distress. No effects are reported on patients' quality of life (QoL). Interventions designed to actively involve the GP during curative cancer treatment are scarce and diverse. Even though uptake of interventions is low, results suggest a positive effect of GP involvement on patient satisfaction with care, but not on QoL. Additional effects for vulnerable subgroups were found. More robust evidence for tailored interventions is needed to enable the efficient and effective involvement of the GP during curative cancer treatment. CRD42018102253.</t>
  </si>
  <si>
    <t>Narrative medicine as a medical education tool: A systematic review.</t>
  </si>
  <si>
    <t>Milota, M M; van Thiel, G J M W; van Delden, J J M</t>
  </si>
  <si>
    <t>https://pubmed.ncbi.nlm.nih.gov/30983460</t>
  </si>
  <si>
    <t>&lt;b&gt;Aim:&lt;/b&gt; Narrative medicine has been promoted as an innovative and effective means of stimulating medical students' professional development by teaching them to approach their patients' experiences of illness with more understanding and compassion. This systematic literature review aims to answer the following question: what evidence of effect is available in the literature about models for teaching narrative medicine? &lt;b&gt;Methods:&lt;/b&gt; We conducted a narrative review of 36 articles and used the Best Evidence in Medical Education (BEME) Global Scale and Kirkpatrick Scale for strength and importance of evidence to categorize reported assessment strategies and to evaluate the effectiveness of their narrative medicine programs. &lt;b&gt;Results:&lt;/b&gt; We found evidence that narrative medicine is an effective pedagogic tool with a clear and replicable structure and methodology. We also determined that a positive impact could be measured when pertaining to participation and modification of attitudes, knowledge, and skills. However, unequivocal evidence of the effect of narrative medicine on students' behavior or ongoing interaction with colleagues and patients is still lacking. &lt;b&gt;Conclusion:&lt;/b&gt; While many recent publications describe the goals and virtues of a narrative-based approach, more research is needed to determine whether or not there is an ideological consensus undergirding this approach. In addition, it is still unclear whether the long-term impact of narrative medicine classroom interventions are felt by patients, or whether such interventions positively impact patient care.</t>
  </si>
  <si>
    <t>If it ain't broke don't fix it? Ethics of splinting deformed newborn ears.</t>
  </si>
  <si>
    <t>van Wijk, M P; Wouters, R H P; Bredenoord, A L; Kon, M; Breugem, C C</t>
  </si>
  <si>
    <t>journal of plastic reconstructive aesthetic surgery jpras</t>
  </si>
  <si>
    <t>https://pubmed.ncbi.nlm.nih.gov/31097358</t>
  </si>
  <si>
    <t>Neonatal ear splinting is a proven and safe method to mold deformed ears into a more common shape. Based on our earlier studies, splinting is recommended only before the age of six weeks and preferably within the first week after birth. This can be done by initiating a system in which this intervention is actively proposed to parents. In this paper, we ethically evaluate such a system. By molding perfectly healthy newborn ears, we reach the boundary between treatment and enhancement. A key question is, therefore, whether we could classify neonatal ear splinting as a therapy. On the level of the individual, the advantages outweigh the drawbacks, but on the level of society, it is more complicated. Making ear deformities a part of official national screening programs fails to meet WHO criteria. Moreover, by systematically offering ear molding, professionals may be promoting guilt or fear of missing the opportunity. Additionally, it could affect societal attitudes toward cosmetic deformities. However, if we argue that on the individual level infants may benefit from ear splinting, then active detection of ear deformities allows parents to choose in a timely way from the full range of options, including splinting and a wait-and-see approach. We are inclined to optimally inform parents without setting up a full-blown public health program. The extent to which it is possible to timely offer splints to parents of newborns depends on the infrastructure of health care systems. The key will be for everyone involved, public or commercial, to responsibly educate and facilitate.</t>
  </si>
  <si>
    <t>Decontamination Strategies for Critically Ill Patients-Reply.</t>
  </si>
  <si>
    <t>Wittekamp, Bastiaan H; Plantinga, Nienke L; Bonten, Marc J M</t>
  </si>
  <si>
    <t>https://pubmed.ncbi.nlm.nih.gov/30964524</t>
  </si>
  <si>
    <t>Patient and aneurysm characteristics in familial intracranial aneurysms. A systematic review and meta-analysis.</t>
  </si>
  <si>
    <t>Slot, Emma M H; Rinkel, Gabriel J E; Algra, Ale; Ruigrok, Ynte M</t>
  </si>
  <si>
    <t>https://pubmed.ncbi.nlm.nih.gov/30958821</t>
  </si>
  <si>
    <t>Patient and aneurysm characteristics have been reported to differ between patients with familial and non-familial intracranial aneurysms (IAs), although results are inconsistent. We systematically reviewed and meta-analyzed the literature to identify and quantify patient- and aneurysm characteristics associated with familial IAs. We searched PubMed and EMBASE for case-control and cohort studies comparing patient- and aneurysm characteristics between familial and non-familial IAs. Two observers independently assessed study eligibility and appraised quality with the Newcastle Ottawa Scale. With univariable weighted linear regression analysis we calculated β-coefficients with corresponding 95% confidence intervals (CIs) for ruptured and unruptured IAs combined and for ruptured IAs only. Heterogeneity was assessed with Higgins I2. A total of 15 articles were included in the meta-analysis in which 16,346 patients were analyzed with a total of 14,225 IAs. For ruptured and unruptured IAs combined, multiple IAs were more prevalent in familial (28.5%) than in non-familial IAs (20.4%; β = 0.10, 95% CI, 0.04 to 0.16; I2 0%). For ruptured IAs only, in familial patients IAs were more prevalent on the middle cerebral artery (41.1% versus 29.5%; β = 0.12, 95% CI, 0.01 to 0.24; I2 12%) and ruptured at a younger age (46.5 years versus 50.8 years; β = -5.00, 95% CI, -9.31 to -0.69; I2 98%) than in non-familial patients. No significant differences were found for the proportion of women, size of the aneurysm at time of rupture, smoking or hypertension. These results suggest that characteristics of familial and non-familial IAs show considerable overlap, yet differ on specific aspects. However, results for age at rupture showed considerable heterogeneity. These findings should be taken into consideration for future etiological research into IAs.</t>
  </si>
  <si>
    <t>Predicting Circulating CA125 Levels among Healthy Premenopausal Women.</t>
  </si>
  <si>
    <t>Sasamoto, Naoko; Babic, Ana; Rosner, Bernard A; Fortner, Renée T; Vitonis, Allison F; Yamamoto, Hidemi; Fichorova, Raina N; Tjønneland, Anne; Hansen, Louise; Overvad, Kim; Kvaskoff, Marina; Fournier, Agnès; Romana Mancini, Francesca; Boeing, Heiner; Trichopoulou, Antonia; Peppa, Eleni; Karakatsani, Anna; Palli, Domenico; Pala, Valeria; Mattiello, Amalia; Tumino, Rosario; Grasso, Chiara C; Onland-Moret, N Charlotte; Weiderpass, Elisabete; Quirós, J Ramón; Lujan-Barroso, Leila; Rodríguez-Barranco, Miguel; Colorado-Yohar, Sandra; Barricarte, Aurelio; Dorronsoro, Miren; Idahl, Annika; Lundin, Eva; Sartor, Hanna; Khaw, Kay-Tee; Key, Timothy J; Muller, David; Riboli, Elio; Gunter, Marc J; Dossus, Laure; Kaaks, Rudolf; Cramer, Daniel W; Tworoger, Shelley S; Terry, Kathryn L</t>
  </si>
  <si>
    <t>https://pubmed.ncbi.nlm.nih.gov/30948451</t>
  </si>
  <si>
    <t>Cancer antigen 125 (CA125) is the most promising ovarian cancer screening biomarker to date. Multiple studies reported CA125 levels vary by personal characteristics, which could inform personalized CA125 thresholds. However, this has not been well described in premenopausal women. We evaluated predictors of CA125 levels among 815 premenopausal women from the New England Case Control Study (NEC). We developed linear and dichotomous (≥35 U/mL) CA125 prediction models and externally validated an abridged model restricting to available predictors among 473 premenopausal women in the European Prospective Investigation into Cancer and Nutrition Study (EPIC). The final linear CA125 prediction model included age, race, tubal ligation, endometriosis, menstrual phase at blood draw, and fibroids, which explained 7% of the total variance of CA125. The correlation between observed and predicted CA125 levels based on the abridged model (including age, race, and menstrual phase at blood draw) had similar correlation coefficients in NEC (&lt;i&gt;r&lt;/i&gt; = 0.22) and in EPIC (&lt;i&gt;r&lt;/i&gt; = 0.22). The dichotomous CA125 prediction model included age, tubal ligation, endometriosis, prior personal cancer diagnosis, family history of ovarian cancer, number of miscarriages, menstrual phase at blood draw, and smoking status with AUC of 0.83. The abridged dichotomous model (including age, number of miscarriages, menstrual phase at blood draw, and smoking status) showed similar AUCs in NEC (0.73) and in EPIC (0.78). We identified a combination of factors associated with CA125 levels in premenopausal women. Our model could be valuable in identifying healthy women likely to have elevated CA125 and consequently improve its specificity for ovarian cancer screening.</t>
  </si>
  <si>
    <t>Segment-specific association of carotid-intima-media thickness with cardiovascular risk factors - findings from the STAAB cohort study.</t>
  </si>
  <si>
    <t>Müller-Scholden, Lara; Kirchhof, Jan; Morbach, Caroline; Breunig, Margret; Meijer, Rudy; Rücker, Viktoria; Tiffe, Theresa; Yurdadogan, Tino; Wagner, Martin; Gelbrich, Götz; Bots, Michiel L; Störk, Stefan; Heuschmann, Peter U</t>
  </si>
  <si>
    <t>https://pubmed.ncbi.nlm.nih.gov/30947692</t>
  </si>
  <si>
    <t>The guideline recommendation to not measure carotid intima-media thickness (CIMT) for cardiovascular risk prediction is based on the assessment of just one single carotid segment. We evaluated whether there is a segment-specific association between different measurement locations of CIMT and cardiovascular risk factors. Subjects from the population-based STAAB cohort study comprising subjects aged 30 to 79 years of the general population from Würzburg, Germany, were investigated. CIMT was measured on the far wall of both sides in three different predefined locations: common carotid artery (CCA), bulb, and internal carotid artery (ICA). Diabetes, dyslipidemia, hypertension, smoking, and obesity were considered as risk factors. In multivariable logistic regression analysis, odds ratios of risk factors per location were estimated for the endpoint of individual age- and sex-adjusted 75th percentile of CIMT. 2492 subjects were included in the analysis. Segment-specific CIMT was highest in the bulb, followed by CCA, and lowest in the ICA. Dyslipidemia, hypertension, and smoking were associated with CIMT, but not diabetes and obesity. We observed no relevant segment-specific association between the three different locations and risk factors, except for a possible interaction between smoking and ICA. As no segment-specific association between cardiovascular risk factors and CIMT became evident, one simple measurement of one location may suffice to assess the cardiovascular risk of an individual.</t>
  </si>
  <si>
    <t>Knowledge and perceptions of type 2 diabetes among Ghanaian migrants in three European countries and Ghanaians in rural and urban Ghana: The RODAM qualitative study.</t>
  </si>
  <si>
    <t>de-Graft Aikins, Ama; Dodoo, Francis; Awuah, Raphael Baffour; Owusu-Dabo, Ellis; Addo, Juliet; Nicolaou, Mary; Beune, Erik; Mockenhaupt, Frank P; Danquah, Ina; Bahendeka, Silver; Meeks, Karlijn; Klipstein-Grobusch, Kirstin; Afrifa-Anane, Ernest; Smeeth, Liam; Stronks, Karien; Agyemang, Charles</t>
  </si>
  <si>
    <t>https://pubmed.ncbi.nlm.nih.gov/30939148</t>
  </si>
  <si>
    <t>African migrants in Europe and continental Africans are disproportionately affected by type 2 diabetes (T2D). Both groups develop T2D at a younger age, and have higher morbidity and mortality from T2D and complications, compared to European populations. To reduce risk, and avoidable disability and premature deaths, culturally congruent and context specific interventions are required. This study aimed to: (a) assess perceptions and knowledge of T2D among Ghanaian migrants in Europe and their compatriots in Ghana and (b) identify specific perceptions and knowledge gaps that might predispose migrants to higher risk of diabetes. Data was gathered through 26 focus groups with 180 individuals, aged 21 to 70, from Amsterdam, Berlin and London and rural and urban Ashanti Region, Ghana. Thematic analysis of the data was informed by Social Representations Theory, which focuses on the sources, content and functions of social knowledge. Three key insights emerged from analysis. First, there was general awareness, across migrant and non-migrant groups, of T2D as a serious chronic condition with life threatening complications, and some knowledge of biomedical strategies to prevent diabetes (e.g healthy eating) and diabetes complications (e.g medication adherence). However, knowledge of T2D prevention and reduction of diabetes complications was not comprehensive. Secondly, knowledge of biomedical diabetes theories and interventions co-existed with theories about psychosocial and supernatural causes of diabetes and the efficacy of herbal and faith-based treatment of diabetes. Finally, migrants' knowledge was informed by both Ghanaian and European systems of T2D knowledge suggesting enculturation dynamics. We discuss the development of culturally congruent and context-specific T2D interventions for the research communities.</t>
  </si>
  <si>
    <t>Empirical evidence of the impact of study characteristics on the performance of prediction models: a meta-epidemiological study.</t>
  </si>
  <si>
    <t>Damen, Johanna A A G; Debray, Thomas P A; Pajouheshnia, Romin; Reitsma, Johannes B; Scholten, Rob J P M; Moons, Karel G M; Hooft, Lotty</t>
  </si>
  <si>
    <t>https://pubmed.ncbi.nlm.nih.gov/30940759</t>
  </si>
  <si>
    <t>To empirically assess the relation between study characteristics and prognostic model performance in external validation studies of multivariable prognostic models. Meta-epidemiological study. On 16 October 2018, we searched electronic databases for systematic reviews of prognostic models. Reviews from non-overlapping clinical fields were selected if they reported common performance measures (either the concordance (c)-statistic or the ratio of observed over expected number of events (OE ratio)) from 10 or more validations of the same prognostic model. Study design features, population characteristics, methods of predictor and outcome assessment, and the aforementioned performance measures were extracted from the included external validation studies. Random effects meta-regression was used to quantify the association between the study characteristics and model performance. We included 10 systematic reviews, describing a total of 224 external validations, of which 221 reported c-statistics and 124 OE ratios. Associations between study characteristics and model performance were heterogeneous across systematic reviews. C-statistics were most associated with variation in population characteristics, outcome definitions and measurement and predictor substitution. For example, validations with eligibility criteria comparable to the development study were associated with higher c-statistics compared with narrower criteria (difference in logit c-statistic 0.21(95% CI 0.07 to 0.35), similar to an increase from 0.70 to 0.74). Using a case-control design was associated with higher OE ratios, compared with using data from a cohort (difference in log OE ratio 0.97(95% CI 0.38 to 1.55), similar to an increase in OE ratio from 1.00 to 2.63). Variation in performance of prognostic models across studies is mainly associated with variation in case-mix, study designs, outcome definitions and measurement methods and predictor substitution. Researchers developing and validating prognostic models should realise the potential influence of these study characteristics on the predictive performance of prognostic models.</t>
  </si>
  <si>
    <t>High Operator and Hospital Volume Are Associated With a Decreased Risk of Death and Stroke After Carotid Revascularization: A Systematic Review and Meta-analysis.</t>
  </si>
  <si>
    <t>https://pubmed.ncbi.nlm.nih.gov/30102632</t>
  </si>
  <si>
    <t>To examine the association between operator or hospital volume and procedural outcomes of carotid revascularization. Operator and hospital volume have been proposed as determinants of outcome after carotid endarterectomy (CEA) or carotid artery stenting (CAS). The magnitude and clinical relevance of this relationship are debated. We systematically searched PubMed and EMBASE until August 21, 2017. The primary outcome was procedural (30 days, in-hospital, or perioperative) death or stroke. Obtained or estimated risk estimates were pooled with a generic inverse variance random-effects model. We included 87 studies. A decreased risk of death or stroke following CEA was found for high compared to low operator volume with a pooled adjusted odds ratio (OR) of 0.50 (95% confidence interval [CI] 0.28-0.87; 3 cohorts), and a pooled unadjusted relative risk (RR) of 0.59 (95% CI 0.42-0.83; 9 cohorts); for high compared to low hospital volume with a pooled adjusted OR of 0.62 (95% CI 0.42-0.90; 5 cohorts), and a pooled unadjusted RR of 0.68 (95% CI 0.51-0.92; 9 cohorts). A decreased risk of death or stroke after CAS was found for high compared to low operator volume with an adjusted OR of 0.43 (95% CI 0.20-0.95; 1 cohort), and an unadjusted RR of 0.50 (95% CI 0.32-0.79; 1 cohort); for high compared to low hospital volume with an adjusted OR of 0.46 (95% CI 0.26-0.80; 1 cohort), and no significant decreased risk in a pooled unadjusted RR of 0.72 (95% CI 0.49-1.06; 2 cohorts). We found a decreased risk of procedural death and stroke after CEA and CAS for high operator and high hospital volume, indicating that aiming for a high volume may help to reduce procedural complications. This systematic review has been registered in the international prospective registry of systematic reviews (PROSPERO): CRD42017051491.</t>
  </si>
  <si>
    <t>How often can meta-analyses of individual-level data individualize treatment? A meta-epidemiologic study.</t>
  </si>
  <si>
    <t>Schuit, Ewoud; Li, Alvin H; Ioannidis, John P A</t>
  </si>
  <si>
    <t>https://pubmed.ncbi.nlm.nih.gov/30445577</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</si>
  <si>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</si>
  <si>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Integrating molecular nuclear imaging in clinical research to improve anticancer therapy.</t>
  </si>
  <si>
    <t>de Vries, Elisabeth G E; Kist de Ruijter, Laura; Lub-de Hooge, Marjolijn N; Dierckx, Rudi A; Elias, Sjoerd G; Oosting, Sjoukje F</t>
  </si>
  <si>
    <t>https://pubmed.ncbi.nlm.nih.gov/30479378</t>
  </si>
  <si>
    <t>Effective patient selection before or early during treatment is important to increasing the therapeutic benefits of anticancer treatments. This selection process is often predicated on biomarkers, predominantly biospecimen biomarkers derived from blood or tumour tissue; however, such biomarkers provide limited information about the true extent of disease or about the characteristics of different, potentially heterogeneous tumours present in an individual patient. Molecular imaging can also produce quantitative outputs; such imaging biomarkers can help to fill these knowledge gaps by providing complementary information on tumour characteristics, including heterogeneity and the microenvironment, as well as on pharmacokinetic parameters, drug-target engagement and responses to treatment. This integrative approach could therefore streamline biomarker and drug development, although a range of issues need to be overcome in order to enable a broader use of molecular imaging in clinical trials. In this Perspective article, we outline the multistage process of developing novel molecular imaging biomarkers. We discuss the challenges that have restricted the use of molecular imaging in clinical oncology research to date and outline future opportunities in this area.</t>
  </si>
  <si>
    <t>Robot-assisted Minimally Invasive Thoracolaparoscopic Esophagectomy Versus Open Transthoracic Esophagectomy for Resectable Esophageal Cancer: A Randomized Controlled Trial.</t>
  </si>
  <si>
    <t>van der Sluis, Pieter C; van der Horst, Sylvia; May, Anne M; Schippers, Carlo; Brosens, Lodewijk A A; Joore, Hans C A; Kroese, Christiaan C; Haj Mohammad, Nadia; Mook, Stella; Vleggaar, Frank P; Borel Rinkes, Inne H M; Ruurda, Jelle P; van Hillegersberg, Richard</t>
  </si>
  <si>
    <t>https://pubmed.ncbi.nlm.nih.gov/30308612</t>
  </si>
  <si>
    <t>The standard curative treatment for patients with esophageal cancer is perioperative chemotherapy or preoperative chemoradiotherapy followed by open transthoracic esophagectomy (OTE). Robot-assisted minimally invasive thoracolaparoscopic esophagectomy (RAMIE) may reduce complications. A single-center randomized controlled trial was conducted, assigning 112 patients with resectable intrathoracic esophageal cancer to either RAMIE or OTE. The primary endpoint was the occurrence of overall surgery-related postoperative complications (modified Clavien-Dindo classification grade 2-5). Overall surgery-related postoperative complications occurred less frequently after RAMIE (59%) compared to OTE (80%) [risk ratio with RAMIE (RR) 0.74; 95% confidence interval (CI), 0.57-0.96; P = 0.02]. RAMIE resulted in less median blood loss (400 vs 568 mL, P &lt;0.001), a lower percentage of pulmonary complications (RR 0.54; 95% CI, 0.34-0.85; P = 0.005) and cardiac complications (RR 0.47; 95% CI, 0.27-0.83; P = 0.006) and lower mean postoperative pain (visual analog scale, 1.86 vs 2.62; P &lt; 0.001) compared to OTE. Functional recovery at postoperative day 14 was better in the RAMIE group [RR 1.48 (95% CI, 1.03-2.13; P = 0.038)] with better quality of life score at discharge [mean difference quality of life score 13.4 (2.0-24.7, p = 0.02)] and 6 weeks postdischarge [mean difference 11.1 quality of life score (1.0-21.1; P = 0.03)]. Short- and long-term oncological outcomes were comparable at a medium follow-up of 40 months. RAMIE resulted in a lower percentage of overall surgery-related and cardiopulmonary complications with lower postoperative pain, better short-term quality of life, and a better short-term postoperative functional recovery compared to OTE. Oncological outcomes were comparable and in concordance with the highest standards nowadays.</t>
  </si>
  <si>
    <t>Toward a Sensible Single-antigen Bead Cutoff Based on Kidney Graft Survival.</t>
  </si>
  <si>
    <t>Wisse, Bram W; Kamburova, Elena G; Joosten, Irma; Allebes, Wil A; van der Meer, Arnold; Hilbrands, Luuk B; Baas, Marije C; Spierings, Eric; Hack, Cornelis E; van Reekum, Franka E; van Zuilen, Arjan D; Verhaar, Marianne C; Bots, Michiel L; Drop, Adriaan C A D; Plaisier, Loes; Seelen, Marc A J; Stephan Sanders, Jan;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Hoitsma, Andries J; van der Boog, Paul J M; de Fijter, Johan W; Betjes, Michiel G H; Heidt, Sebastiaan; Roelen, Dave L; Claas, Frans H; Otten, Henny G</t>
  </si>
  <si>
    <t>https://pubmed.ncbi.nlm.nih.gov/30106794</t>
  </si>
  <si>
    <t>There is no consensus in the literature on the interpretation of single-antigen bead positive for a specific HLA antibody. To inform the debate, we studied the relationship between various single-antigen bead positivity algorithms and the impact of resulting donor-specific HLA antibody (DSA) positivity on long-term kidney graft survival in 3237 deceased-donor transplants. First, we showed that the interassay variability can be greatly reduced when working with signal-to-background ratios instead of absolute median fluorescence intensities (MFIs). Next, we determined pretransplant DSA using various MFI cutoffs, signal-to-background ratios, and combinations thereof. The impact of the various cutoffs was studied by comparing the graft survival between the DSA-positive and DSA-negative groups. We did not observe a strong impact of various cutoff levels on 10-year graft survival. A stronger relationship between the cutoff level and 1-year graft survival for DSA-positive transplants was found when using signal-to-background ratios, most pronounced for the bead of the same HLA locus with lowest MFI taken as background. With respect to pretransplant risk stratification, we propose a signal-to-background ratio-6 (using the bead of the same HLA-locus with lowest MFI as background) cutoff of 15 combined with an MFI cutoff of 500, resulting in 8% and 21% lower 1- and 10-year graft survivals, respectively, for 8% DSA-positive transplants.</t>
  </si>
  <si>
    <t>Cost-effectiveness analysis of a GP- and parent-directed intervention to reduce antibiotic prescribing for children with respiratory tract infections in primary care.</t>
  </si>
  <si>
    <t>Dekker, Anne R J; van der Velden, Alike W; Luijken, Janneke; Verheij, Theo J M; van Giessen, Anoukh</t>
  </si>
  <si>
    <t>https://pubmed.ncbi.nlm.nih.gov/30608531</t>
  </si>
  <si>
    <t>We evaluated costs and effects of the RAAK (RAtional Antibiotic use Kids) intervention (GP online training and information booklets for parents), aiming to reduce antibiotic prescribing for children with respiratory tract infection (RTI). We conducted a trial-based cost-effectiveness analysis from a societal perspective. We included children consulting the GP with RTI for whom parents kept a 2 week (cost) diary. The antibiotic prescribing rate was the percentage of children receiving an antibiotic prescription at the index consultation and during the 2 weeks of follow-up. The cost difference between the intervention and usual care groups per percentage decrease in antibiotic prescribing was calculated. Bootstrapping was used to assess uncertainty surrounding the outcomes. Costs and effects of 153 children in the intervention group and 107 children in the usual care group were available for analysis. Antibiotic prescribing was 12% lower in the intervention group and costs were €10.27 higher in the intervention group compared with the usual care group. This resulted in an incremental cost-effectiveness ratio of €0.85 per percentage decrease in antibiotic prescribing. The probability that the intervention was more effective, but more expensive, was 53%, whereas the probability that the intervention was more effective and less expensive compared with usual care was 41%. The online training for GPs and the information booklet for parents resulted in a decrease in antibiotic prescribing in children with RTI, at very low cost, and should therefore be considered for implementation in primary care.</t>
  </si>
  <si>
    <t>Skill mix change between physicians, nurse practitioners, physician assistants, and nurses in nursing homes: A qualitative study.</t>
  </si>
  <si>
    <t>Lovink, Marleen H; van Vught, Anneke J A H; Persoon, Anke; Koopmans, Raymond T C M; Laurant, Miranda G H; Schoonhoven, Lisette</t>
  </si>
  <si>
    <t>nursing health sciences</t>
  </si>
  <si>
    <t>https://pubmed.ncbi.nlm.nih.gov/30932288</t>
  </si>
  <si>
    <t>Nursing home physicians face heavy workloads, because of the aging population and rising number of older adults with one or more chronic diseases. Skill mix change, in which professionals perform tasks previously reserved for physicians independently or under supervision, could be an answer to this challenge. The aim of this study was to describe how skill mix change in nursing homes is organized from four monodisciplinary perspectives and the interdisciplinary perspective, what influences it, and what its effects are. The study focused particularly on skill mix change through the substitution of nurse practitioners, physician assistants, or registered nurses for nursing home physicians. Five focus group interviews were conducted in the Netherlands. Variation in tasks and responsibilities was found. Despite this variation, stakeholders reported increased quality of health care, patient centeredness, and support for care teams. A clear vision on skill mix change, acceptance of nurse practitioners, physician assistants, and registered nurses, and a reduction of legal insecurity are needed that might maximize the added value of nurse practitioners, physician assistants, and registered nurses.</t>
  </si>
  <si>
    <t>Consumption of Alcoholic and Sugar-Sweetened Beverages is Associated with Increased Liver Fat Content in Middle-Aged Men and Women.</t>
  </si>
  <si>
    <t>van Eekelen, Esther; Beulens, Joline W J; Geelen, Anouk; Schrauwen-Hinderling, Vera B; Lamb, Hildo; de Roos, Albert; Rosendaal, Frits; de Mutsert, Renée</t>
  </si>
  <si>
    <t>https://pubmed.ncbi.nlm.nih.gov/30949667</t>
  </si>
  <si>
    <t>Fatty liver is the leading cause of chronic liver diseases and increases the risk of cardiovascular disease. Besides alcohol consumption, energy-containing nonalcoholic beverages may contribute to liver fat accumulation. We aimed to study the consumption of alcoholic and nonalcoholic beverages and their mutual replacement in relation to hepatic triglyceride content (HTGC) in middle-aged men and women. In this cross-sectional analysis, HTGC was assessed by proton magnetic resonance spectroscopy. Habitual consumption of alcoholic and nonalcoholic beverages was assessed using a validated food-frequency questionnaire. All beverages were converted to standard servings and to percentage of total energy intake (En%). We performed linear regression to examine the association of alcoholic and nonalcoholic beverages with HTGC, adjusted for age, sex, smoking, education, ethnicity, physical activity, total energy intake, and total body fat. We studied replacement of alcoholic beverages with nonalcoholic beverages per 1 serving/d and per 5 En%/d. After exclusion of individuals with missing values, 1966 participants (47% men) were analyzed, with a mean ± SD age of 55 ± 6 y, BMI of 26 ± 4 kg/m2, and HTGC of 5.7% ± 7.9%. Each extra alcoholic serving per day was associated with more liver fat (1.09 times; 95% CI: 1.05, 1.12). Replacing 5 En% of alcoholic beverages with milk was associated with less liver fat (0.89 times; 95% CI: 0.81, 0.98), whereas replacement with 5 En% of sugar-sweetened beverages was associated with liver fat to an extent similar to alcoholic beverages (1.00 times; 95% CI: 0.91, 1.09). In a population-based cohort, consumption of each extra daily alcoholic beverage was associated with more liver fat. In isocaloric replacement of alcoholic beverages, milk was associated with less liver fat, whereas sugar-sweetened beverages were equally associated with liver fat. This suggests that intake of alcohol and sugars may contribute to liver fat accumulation. This trial was registered at clinicaltrials.gov as NCT03410316.</t>
  </si>
  <si>
    <t>Quality of life after the initiation of dialysis or maximal conservative management in elderly patients: a longitudinal analysis of the Geriatric assessment in OLder patients starting Dialysis (GOLD) study.</t>
  </si>
  <si>
    <t>van Loon, I N; Goto, N A; Boereboom, F T J; Verhaar, M C; Bots, M L; Hamaker, M E</t>
  </si>
  <si>
    <t>https://pubmed.ncbi.nlm.nih.gov/30922246</t>
  </si>
  <si>
    <t>Maximal conservative management (MCM) may be an appropriate alternative option for dialysis in some elderly patients with end-stage kidney disease (ESKD). Evidence about the impact of dialysis or MCM on quality of life (QoL) in older patients is sparse. In the GOLD (Geriatric assessment in OLder patients starting Dialysis) Study the trajectory of QoL was assessed in patients starting dialysis or MCM. Patients ≥65 years old were included just prior to dialysis initiation or after decision for MCM. Baseline data included demographics, frailty as measured with a geriatric assessment, comorbidity (CIRS-G) and QoL, measured with the EQ-5D-3 L (EQ-5D Index and overall self-rated health). Six months follow-up data included QoL, hospitalizations and mortality. Change of QoL was assed with paired t-tests. Cox-regression was used to assess survival of MCM and dialysis patients. The cohort comprised 192 dialysis and 89 MCM patients. The MCM patients were older (mean age 82 ± 6 vs. 75 ± 7 years, p &lt;  0.01) and mean kidney function was better (eGFR 11.5 ± 4.0 vs. 8.0 ± 2.9 ml/min/1.73m&lt;sup&gt;2&lt;/sup&gt;, p &lt;  0.01). Baseline QoL did not differ significantly between the groups. After six months, EQ-5D Index did not improve significantly in the dialysis group with mean ± standard error (SE) 0.026 ± 0.014 (p = 0.10; not clinically relevant), but a small but clinically relevant decline was seen in the conservative group: 0.047 ± 0.022 (p &lt; 0.01; between group difference p &lt; 0.01). Hospitalization occurred in 50% of dialysis patients vs. 24% of conservative patients (p &lt; 0.01). In patients over 80 years old, no survival benefit could be found for dialysis patients starting dialysis vs. MCM. A small decline of QoL was found for conservative patients, while QoL did not change in dialysis patients. However, hospitalization rate was higher in patients starting dialysis. In patients over 80 years, no survival benefit was found.</t>
  </si>
  <si>
    <t>Responsible data sharing in international health research: a systematic review of principles and norms.</t>
  </si>
  <si>
    <t>Kalkman, Shona; Mostert, Menno; Gerlinger, Christoph; van Delden, Johannes J M; van Thiel, Ghislaine J M W</t>
  </si>
  <si>
    <t>https://pubmed.ncbi.nlm.nih.gov/30922290</t>
  </si>
  <si>
    <t>Large-scale linkage of international clinical datasets could lead to unique insights into disease aetiology and facilitate treatment evaluation and drug development. Hereto, multi-stakeholder consortia are currently designing several disease-specific translational research platforms to enable international health data sharing. Despite the recent adoption of the EU General Data Protection Regulation (GDPR), the procedures for how to govern responsible data sharing in such projects are not at all spelled out yet. In search of a first, basic outline of an ethical governance framework, we set out to explore relevant ethical principles and norms. We performed a systematic review of literature and ethical guidelines for principles and norms pertaining to data sharing for international health research. We observed an abundance of principles and norms with considerable convergence at the aggregate level of four overarching themes: societal benefits and value; distribution of risks, benefits and burdens; respect for individuals and groups; and public trust and engagement. However, at the level of principles and norms we identified substantial variation in the phrasing and level of detail, the number and content of norms considered necessary to protect a principle, and the contextual approaches in which principles and norms are used. While providing some helpful leads for further work on a coherent governance framework for data sharing, the current collection of principles and norms prompts important questions about how to streamline terminology regarding de-identification and how to harmonise the identified principles and norms into a coherent governance framework that promotes data sharing while securing public trust.</t>
  </si>
  <si>
    <t>Socioeconomic and ethnic differences in the relation between dietary costs and dietary quality: the HELIUS study.</t>
  </si>
  <si>
    <t>Mackenbach, Joreintje D; Dijkstra, S Coosje; Beulens, Joline W J; Seidell, Jacob C; Snijder, Marieke B; Stronks, Karien; Monsivais, Pablo; Nicolaou, Mary</t>
  </si>
  <si>
    <t>https://pubmed.ncbi.nlm.nih.gov/30922320</t>
  </si>
  <si>
    <t>Healthier dietary patterns are generally more costly than less healthy patterns, but dietary costs may be more important for dietary quality in lower educated and ethnic minority groups. The aim of this study was to investigate the association between dietary costs and dietary quality and interactions with ethnicity and socioeconomic position (SEP). We used cross-sectional data from 4717 Dutch, Surinamese, Turkish and Moroccan origin participants of the multi-ethnic HELIUS study (the Netherlands), who completed an ethnic-specific food frequency questionnaire (FFQ). The primary outcome measure was dietary quality according to adherence to the Dutch Healthy Diet index 2015 (DHD15-index, range 0-130). Individual dietary costs (the monetary value attached to consumed diets in Euros) were estimated by merging a food price variable with the FFQ nutrient composition database. Regression analyses were used to examine main and interaction effects. Analyses were adjusted for age, sex, smoking, energy intake, physical activity, ethnicity and educational level. Having higher dietary costs was associated with higher dietary quality. Analyses stratified by educational level showed that associations were stronger in higher educated (B&lt;sub&gt;tertile3&lt;/sub&gt; = 8.06, 95%CI = 5.63; 10.48) than in lower educated participants (B&lt;sub&gt;tertile3&lt;/sub&gt; = 5.09, 95%CI = 2.74; 7.44). Stratification by ethnic origin showed strongest associations in Turkish participants (B&lt;sub&gt;tertile2&lt;/sub&gt; = 9.31, 95%CI = 5.96; 12.65) and weakest associations in Moroccan participants (B&lt;sub&gt;tertile3&lt;/sub&gt; = 4.29, 95%CI = 0.58; 8.01). Regardless of their level of education, Turkish and Moroccan individuals consumed higher quality diets at the lowest cost than Dutch participants. The importance of dietary costs for dietary quality differs between socioeconomic and ethnic subgroups. Increasing individual food budgets or decreasing food prices may be effective for the promotion of healthy diets, but differential effects across socioeconomic and ethnic subgroups may be expected.</t>
  </si>
  <si>
    <t>Is social support associated with hypertension control among Ghanaian migrants in Europe and non-migrants in Ghana? The RODAM study.</t>
  </si>
  <si>
    <t>Nyaaba, Gertrude Nsorma; Stronks, Karien; Meeks, Karlijn; Beune, Erik; Owusu-Dabo, Ellis; Addo, Juliet; de-Graft Aikins, Ama; Mockenhaupt, Frank; Bahendeka, Silver; Klipstein-Grobusch, Kerstin; Smeeth, Liam; Agyemang, Charles</t>
  </si>
  <si>
    <t>internal and emergency medicine</t>
  </si>
  <si>
    <t>https://pubmed.ncbi.nlm.nih.gov/30912002</t>
  </si>
  <si>
    <t>Hypertension (HTN) control is crucial in preventing HTN-related complications such as stroke and coronary heart disease. Yet, HTN control remains suboptimal particularly among sub-Saharan African (SSA) populations partly due to poor self-management. Self-management of HTN is influenced by social support, but the evidence on the role of social support on HTN control particularly among SSA populations is limited. This study assessed the association between multiple proxies for social support and HTN control among Ghanaians resident in Ghana and Europe. The Research on Obesity and Diabetes among African Migrants (RODAM) study participants with HTN and who self-reported HTN (n = 1327) were included in this analysis. Logistic regression was used to assess the association between proxies of social support and HTN control (SBP &lt; 140 mmHg and DBP &lt; 90 mmHg) with adjustments for age and socioeconomic status (SES). Among Ghanaian males in both Europe and Ghana, cohabiting with more than two persons was associated with increased odds of having HTN controlled. Male hypertensive patients cohabiting with ≥ 5 persons had the highest odds of having HTN controlled after adjustment for age and SES (OR 0.30; 95% CI 0.16-0.57; 0.60; 0.34-1.04, respectively). This association was not observed among females. Relationship status, frequency of religious activity attendance and satisfaction with social support did not show any significant association with HTN control. Our study shows that cohabitation is significantly associated with HTN control but in males only. The other proxies for social support appeared not to be associated with HTN control. Involving persons living with Ghanaian men with HTN in the treatment process may help to improve adherence to HTN treatment. Further research is needed to explore in-depth, how these social support proxies could contribute to improved HTN control among SSA populations.</t>
  </si>
  <si>
    <t>Hypertension in a rural community in South Africa: what they know, what they think they know and what they recommend.</t>
  </si>
  <si>
    <t>Jongen, Vita W; Lalla-Edward, Samanta T; Vos, Alinda G; Godijk, Noortje G; Tempelman, Hugo; Grobbee, Diederick E; Devillé, Walter; Klipstein-Grobusch, Kerstin</t>
  </si>
  <si>
    <t>https://pubmed.ncbi.nlm.nih.gov/30909905</t>
  </si>
  <si>
    <t>Hypertension is one of the most important risk factors for cardiovascular disease and has a high prevalence in South Africa and other low- and middle-income countries. However, awareness of hypertension has been reported to be low. Health programmes can increase awareness of hypertension and its causes, but hinge on the knowledge and perception of the targeted community. Therefore, this study investigated knowledge on and perceptions about hypertension of community members in a rural area in Limpopo, South Africa with the aim to increase awareness of hypertension and cardiovascular disease in the local population. Using a mixed methods study approach, 451 participants of the Ndlovu Cohort Study, attending a follow-up visit between August 2017 and January 2018, completed a questionnaire on cardiovascular risk perception. A knowledge score was calculated for all participants. Sixty participants were invited to participate in six focus group discussions, of which 56 participated. Audio recordings were transcribed verbatim, transcripts coded, and thematic analysis of the data undertaken to obtain an understanding of knowledge and perception of hypertension in the community. Most members of the community seemed to have intermediate (74.3%) or good (14.0%) knowledge of hypertension based on the knowledge score, and only 11.8% of the population had poor knowledge. The risk factors of hypertension seemed to be well known in the community. Poverty was identified as a major vulnerability in this community limiting choices for healthy lifestyles such as nutritious foods, recreational physical activity and accessing health care timely. Participants proposed community-based activities as an effective way to reach out to community members for prevention and management of hypertension. This study highlights the need for improved health promotion efforts to increase knowledge of hypertension in rural communities, and to address poverty as a major obstacle to healthy life-style choices.</t>
  </si>
  <si>
    <t>Association of Chromosome 9p21 With Subsequent Coronary Heart Disease Events.</t>
  </si>
  <si>
    <t>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t>
  </si>
  <si>
    <t>https://pubmed.ncbi.nlm.nih.gov/30897348</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</si>
  <si>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</si>
  <si>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Subsequent Event Risk in Individuals With Established Coronary Heart Disease.</t>
  </si>
  <si>
    <t>Patel, Riyaz S; Tragante, Vinicius; Schmidt, Amand F; McCubrey, Raymond O; Holmes, Michael V; Howe, Laurence J; Direk, Kenan; Åkerblom, Axel; Leander, Karin; Virani, Salim S; Kaminski, Karol A; Muehlschlegel, Jochen D; Allayee, Hooman; Almgren, Peter; Alver, Maris; Baranova, Ekaterina V; Behloui,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t>
  </si>
  <si>
    <t>https://pubmed.ncbi.nlm.nih.gov/30896328</t>
  </si>
  <si>
    <t>The Genetics of Subsequent Coronary Heart Disease (GENIUS-CHD) consortium was established to facilitate discovery and validation of genetic variants and biomarkers for risk of subsequent CHD events, in individuals with established CHD.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t>
  </si>
  <si>
    <t>[Towards 'the best DOAC'?].</t>
  </si>
  <si>
    <t>van Doorn, Sander; Rutten, Frans H; Geersing, G J</t>
  </si>
  <si>
    <t>https://pubmed.ncbi.nlm.nih.gov/30945829</t>
  </si>
  <si>
    <t>Direct oral anticoagulants (DOACs) are increasingly being prescribed for stroke prevention in patients with atrial fibrillation or for treating venous thromboembolism. In this short overview, we provide some guidance on possible differences between available DOACs as well as a comparison with traditional treatments using vitamin K antagonists. In the absence of head-to-head trials comparing different DOACs with each other, this is predominantly based on indirect meta-analysis and observational evidence. Thus, this should be interpreted with caution and considered as expert consensus.</t>
  </si>
  <si>
    <t>External validation of prognostic models for preeclampsia in a Dutch multicenter prospective cohort.</t>
  </si>
  <si>
    <t>Lamain-de Ruiter, Marije; Kwee, Anneke; Naaktgeboren, Christiana A; Louhanepessy, Rebecca D; De Groot, Inge; Evers, Inge M; Groenendaal, Floris; Hering, Yolanda R; Huisjes, Anjoke J M; Kirpestein, Cornel; Monincx, Wilma M; Schielen, Peter C J I; Van 't Zelfde, Annewil; Van Oirschot, Charlotte M; Vankan-Buitelaar, Simone A; Vonk, Mariska A A W; Wiegers, Therese A; Zwart, Joost J; Moons, Karel G M; Franx, Arie; Koster, Maria P H</t>
  </si>
  <si>
    <t>hypertension in pregnancy</t>
  </si>
  <si>
    <t>https://pubmed.ncbi.nlm.nih.gov/30892981</t>
  </si>
  <si>
    <t>To perform an external validation of all published prognostic models for first-trimester prediction of the risk of developing preeclampsia (PE). Women &lt;14 weeks of pregnancy were recruited in the Netherlands. All systematically identified prognostic models for PE that contained predictors commonly available were eligible for external validation. 3,736 women were included; 87 (2.3%) developed PE. Calibration was poor due to overestimation. Discrimination of 9 models for LO-PE ranged from 0.58 to 0.71 and of 9 models for all PE from 0.55 to 0.75. Only a few easily applicable prognostic models for all PE showed discrimination above 0.70, which is considered an acceptable performance.</t>
  </si>
  <si>
    <t>Forcing dichotomous disease classification from reference standards leads to bias in diagnostic accuracy estimates: A simulation study.</t>
  </si>
  <si>
    <t>Jenniskens, Kevin; Naaktgeboren, Christiana A; Reitsma, Johannes B; Hooft, Lotty; Moons, Karel G M; van Smeden, Maarten</t>
  </si>
  <si>
    <t>https://pubmed.ncbi.nlm.nih.gov/30904568</t>
  </si>
  <si>
    <t>The objective of this study was to study the impact of ignoring uncertainty by forcing dichotomous classification (presence or absence) of the target disease on estimates of diagnostic accuracy of an index test. We evaluated the bias in estimated index test accuracy when forcing an expert panel to make a dichotomous target disease classification for each individual. Data for various scenarios with expert panels were simulated by varying the number and accuracy of "component reference tests" available to the expert panel, index test sensitivity and specificity, and target disease prevalence. Index test accuracy estimates are likely to be biased when there is uncertainty surrounding the presence or absence of the target disease. Direction and amount of bias depend on the number and accuracy of component reference tests, target disease prevalence, and the true values of index test sensitivity and specificity. In this simulation, forcing expert panels to make a dichotomous decision on target disease classification in the presence of uncertainty leads to biased estimates of index test accuracy. Empirical studies are needed to demonstrate whether this bias can be reduced by assigning a probability of target disease presence for each individual, or using advanced statistical methods to account for uncertainty in target disease classification.</t>
  </si>
  <si>
    <t>Microbleeds colocalize with enlarged juxtacortical perivascular spaces in amnestic mild cognitive impairment and early Alzheimer's disease: A 7 Tesla MRI study.</t>
  </si>
  <si>
    <t>Bouvy, Willem H; van Veluw, Susanne J; Kuijf, Hugo J; Zwanenburg, Jaco Jm; Kappelle, Jaap L; Luijten, Peter R; Koek, Huiberdina L; Geerlings, Mirjam I; Biessels, Geert J; ,</t>
  </si>
  <si>
    <t>https://pubmed.ncbi.nlm.nih.gov/30890076</t>
  </si>
  <si>
    <t>MRI-visible perivascular spaces (PVS) in the semioval centre are associated with cerebral amyloid angiopathy (CAA), but it is unknown if PVS co-localize with MRI markers of CAA. To examine this, we assessed the topographical association between cortical cerebral microbleeds (CMBs) - as an indirect marker of CAA - and dilatation of juxtacortical perivascular spaces (jPVS) in 46 patients with amnestic mild cognitive impairment (aMCI) or early Alzheimer's disease (eAD). The degree of dilatation of jPVS &lt;1 cm around each cortical CMBs was compared with a similar reference site (no CMB) in the contralateral hemisphere, using a 4-point scale. Also, jPVS dilatation was compared between patients with and without cortical CMBs. Eleven patients (24%) had cortical CMBs [total=35, median=1, range=1-14] of whom five had &gt;1 cortical CMBs. The degree of jPVS dilatation was higher around CMBs than at the reference sites [Wilcoxon signed rank test, Z = 2.2, &lt;i&gt;p&lt;/i&gt; = 0.03]. Patients with &gt;1 cortical CMBs had a higher degree of jPVS dilation [median=2.2, IQR = 1.8-2.3] than patients without cortical CMBs [median=1.4, IQR = 1.0-1.8], &lt;i&gt;p&lt;/i&gt; = 0.02. We found a topographical association between a high degree of jPVS dilatation and cortical CMBs, supporting a common underlying pathophysiology - most likely CAA.</t>
  </si>
  <si>
    <t>Breastfeeding and cardiometabolic markers at age 12: a population-based birth cohort study.</t>
  </si>
  <si>
    <t>Pluymen, L P M; Wijga, A H; Gehring, U; Koppelman, G H; Smit, H A; van Rossem, L</t>
  </si>
  <si>
    <t>https://pubmed.ncbi.nlm.nih.gov/30886238</t>
  </si>
  <si>
    <t>There is growing evidence for a protective effect of breastfeeding against overweight and diabetes. It is less clear though, whether breastfed infants also have a more favorable cardiometabolic profile in childhood. We investigated whether children who were breastfed in infancy had more favorable cardiometabolic markers at 12 years of age than children who were never breastfed and received formula milk instead, and whether associations depended on the duration of breastfeeding. In 1509 participants of the population-based PIAMA birth cohort study, cardiometabolic markers were measured at 12 years of age. Duration of breastfeeding in weeks was assessed through parental questionnaires at 3 months and 1 year of age. Multivariable linear regression analysis was used to investigate associations of breastfeeding (any vs. never breastfeeding and duration of breastfeeding in categories &lt;3 months, 3 to &lt;6 months, and ≥6 months breastfeeding vs. never breastfeeding) with systolic and diastolic blood pressure (SBP and DBP, in Z-scores adjusted for age, sex, and height), total-to-high-density lipoprotein cholesterol (TC/HDLC), glycated hemoglobin (HbA1c, in mmol/mol), body mass index (BMI, in Z-scores adjusted for age and sex) and waist circumference (WC, in cm). Multivariable logistic regression was used to investigate the association of breastfeeding with odds of being overweight. 1288 of 1509 children (85.3%) received any breastmilk in infancy. Breastfed children had a lower SBP Z-score (-0.21 SD (≈ -2.29 mmHg), 95% CI -0.37, -0.06), a lower DBP Z-score (-0.10 SD (≈ -1.19 mmHg), 95% CI -0.20, -0.00), a smaller WC (-1.12 cm, 95% CI -2.20; -0.04), and lower odds of being overweight (OR 0.61, 95% CI 0.38, 0.97) than never breastfed children. These associations were not different between children with shorter and longer duration of breastfeeding. No statistically significant differences in TC/HDLC, HbA1c, and BMI were observed between breastfed and never breastfed children. We observed that breastfeeding was associated with a lower blood pressure, a smaller waist circumference and a lower risk of overweight in 12-year old children. These associations were independent of the duration of breastfeeding. No associations were observed between breastfeeding and other cardiometabolic markers.</t>
  </si>
  <si>
    <t>A diagnostic algorithm for the surveillance of deep surgical site infections after colorectal surgery.</t>
  </si>
  <si>
    <t>Mulder, Tessa; Kluytmans-van den Bergh, Marjolein F Q; van Mourik, Maaike S M; Romme, Jannie; Crolla, Rogier M P H; Bonten, Marc J M; Kluytmans, Jan A J W</t>
  </si>
  <si>
    <t>https://pubmed.ncbi.nlm.nih.gov/30868984</t>
  </si>
  <si>
    <t>Surveillance of surgical site infections (SSIs) is important for infection control and is usually performed through retrospective manual chart review. The aim of this study was to develop an algorithm for the surveillance of deep SSIs based on clinical variables to enhance efficiency of surveillance. Retrospective cohort study (2012-2015). A Dutch teaching hospital. We included all consecutive patients who underwent colorectal surgery excluding those with contaminated wounds at the time of surgery. All patients were evaluated for deep SSIs through manual chart review, using the Centers for Disease Control and Prevention (CDC) criteria as the reference standard. We used logistic regression modeling to identify predictors that contributed to the estimation of diagnostic probability. Bootstrapping was applied to increase generalizability, followed by assessment of statistical performance and clinical implications. In total, 1,606 patients were included, of whom 129 (8.0%) acquired a deep SSI. The final model included postoperative length of stay, wound class, readmission, reoperation, and 30-day mortality. The model achieved 68.7% specificity and 98.5% sensitivity and an area under the receiver operator characteristic (ROC) curve (AUC) of 0.950 (95% CI, 0.932-0.969). Positive and negative predictive values were 21.5% and 99.8%, respectively. Applying the algorithm resulted in a 63.4% reduction in the number of records requiring full manual review (from 1,606 to 590). This 5-parameter model identified 98.5% of patients with a deep SSI. The model can be used to develop semiautomatic surveillance of deep SSIs after colorectal surgery, which may further improve efficiency and quality of SSI surveillance.</t>
  </si>
  <si>
    <t>Impact of sexual trajectories of men who have sex with men on the reduction in HIV transmission by pre-exposure prophylaxis.</t>
  </si>
  <si>
    <t>Rozhnova, Ganna; Heijne, Janneke C M; Basten, Maartje; den Daas, Chantal; Matser, Amy; Kretzschmar, Mirjam</t>
  </si>
  <si>
    <t>https://pubmed.ncbi.nlm.nih.gov/31126778</t>
  </si>
  <si>
    <t>Changes in sexual risk behavior over the life course in men who have sex with men (MSM) can influence population-level intervention efficacy. Our objective was to investigate the impact of incorporating sexual trajectories describing long-term changes in risk levels on the reduction in HIV prevalence by pre-exposure prophylaxis (PrEP) among MSM. Based on the Amsterdam Cohort Study data, we developed two models of HIV transmission in a population stratified by sexual behavior. In the first model, individuals were stratified into low, medium and high risk levels and did not change their risk levels. The second model had the same stratification but incorporated additionally three types of sexual behavior trajectories. The models assumed universal antiretroviral treatment of HIV&lt;sup&gt;+&lt;/sup&gt; MSM, and PrEP use by high risk HIV&lt;sup&gt;-&lt;/sup&gt; MSM. We computed the relative reduction in HIV prevalence in both models for annual PrEP uptakes of 10% to 80% at different time points after PrEP introduction. We then investigated the impact of sexual trajectories on the effectiveness of PrEP intervention. The impact of sexual trajectories on the overall prevalence and prevalence in individuals at low, medium and high risk levels varied with PrEP uptake and time after PrEP introduction. Compared to the model without sexual trajectories, the model with trajectories predicted a higher impact of PrEP on the overall prevalence, and on the prevalence among the medium and high risk individuals. In low risk individuals, there was more reduction in prevalence during the first 15 years of PrEP intervention if sexual trajectories were not incorporated in the model. After that point, at low risk level there was more reduction in the model with trajectories. In conclusion, our study predicts that sexual trajectories increase the estimated impact of PrEP on reducing HIV prevalence when compared to a population where risk levels do not change.</t>
  </si>
  <si>
    <t>Substitutions between dairy products and risk of stroke: results from the European Investigation into Cancer and Nutrition-Netherlands (EPIC-NL) cohort.</t>
  </si>
  <si>
    <t>Laursen, Anne Sofie D; Sluijs, Ivonne; Boer, Jolanda M A; Verschuren, W M Monique; van der Schouw, Yvonne T; Jakobsen, Marianne U</t>
  </si>
  <si>
    <t>https://pubmed.ncbi.nlm.nih.gov/30868976</t>
  </si>
  <si>
    <t>The association between intake of different dairy products and the risk of stroke remains unclear. We therefore investigated substitutions between dairy product subgroups and risk of stroke. We included 36 886 Dutch men and women. Information about dairy product intake was collected through a FFQ. Dairy products were grouped as low-fat milk, whole-fat milk, buttermilk, low-fat yogurt, whole-fat yogurt, cheese and butter. Incident stroke cases were identified in national registers. We used Cox proportional hazards regression to calculate associations for substitutions between dairy products with the rate of stroke. During a median follow-up of 15·2 years we identified 884 stroke cases (503 ischaemic and 244 haemorrhagic). Median intake of total dairy products was four servings/d. Low-fat yogurt substituted for whole-fat yogurt was associated with a higher rate of ischaemic stroke (hazard ratio (HR) = 2·58 (95 % CI 1·11, 5·97)/serving per d). Whole-fat yogurt as a substitution for any other subgroup was associated with a lower rate of ischaemic stroke (HR between 0·33 and 0·36/serving per d). We did not observe any associations for haemorrhagic stroke. In conclusion, whole-fat yogurt as a substitution for low-fat yogurt, cheese, butter, buttermilk or milk, regardless of fat content, was associated with a lower rate of ischaemic stroke.</t>
  </si>
  <si>
    <t>High resolution annual average air pollution concentration maps for the Netherlands.</t>
  </si>
  <si>
    <t>Schmitz, Oliver; Beelen, Rob; Strak, Maciej; Hoek, Gerard; Soenario, Ivan; Brunekreef, Bert; Vaartjes, Ilonca; Dijst, Martin J; Grobbee, Diederick E; Karssenberg, Derek</t>
  </si>
  <si>
    <t>https://pubmed.ncbi.nlm.nih.gov/30860500</t>
  </si>
  <si>
    <t>Long-term exposure to air pollution is considered a major public health concern and has been related to overall mortality and various diseases such as respiratory and cardiovascular disease. Due to the spatial variability of air pollution concentrations, assessment of individual exposure to air pollution requires spatial datasets at high resolution. Combining detailed air pollution maps with personal mobility and activity patterns allows for an improved exposure assessment. We present high-resolution datasets for the Netherlands providing average ambient air pollution concentration values for the year 2009 for NO&lt;sub&gt;2&lt;/sub&gt;, NO&lt;sub&gt;x&lt;/sub&gt;, PM&lt;sub&gt;2.5&lt;/sub&gt;, PM&lt;sub&gt;2.5absorbance&lt;/sub&gt; and PM&lt;sub&gt;10.&lt;/sub&gt; The raster datasets on 5×5 m grid cover the entire Netherlands and were calculated using the land use regression models originating from the European Study of Cohorts for Air Pollution Effects (ESCAPE) project. Additional datasets with nationwide and regional measurements were used to evaluate the generated concentration maps. The presented datasets allow for spatial aggregations on different scales, nationwide individual exposure assessment, and the integration of activity patterns in the exposure estimation of individuals.</t>
  </si>
  <si>
    <t>Differential associations between psychosocial stress and obesity among Ghanaians in Europe and in Ghana: findings from the RODAM study.</t>
  </si>
  <si>
    <t>Baratin, Clarissa; Beune, Erik; van Schalkwijk, Daan; Meeks, Karlijn; Smeeth, Liam; Addo, Juliet; de-Graft Aikins, Ama; Owusu-Dabo, Ellis; Bahendeka, Silver; Mockenhaupt, Frank P; Danquah, Ina; Schulze, Matthias B; Spranger, Joachim; Boateng, Daniel; Klipstein-Grobusch, Kerstin; Stronks, Karien; Agyemang, Charles</t>
  </si>
  <si>
    <t>social psychiatry and psychiatric epidemiology</t>
  </si>
  <si>
    <t>https://pubmed.ncbi.nlm.nih.gov/30859237</t>
  </si>
  <si>
    <t>Psychosocial stress is associated with obesity in some populations, but it is unclear whether the association is related to migration. This study explored associations between psychosocial stress and obesity among Ghanaian migrants in Europe and non-migrant Ghanaians in Ghana. Cross-sectional data from the RODAM study were used, including 5898 Ghanaians residing in Germany, the UK, the Netherlands, rural Ghana, and urban Ghana. Perceived discrimination, negative life events and stress at work or at home were examined in relation to body mass index (BMI) and waist circumference (WC). Linear regression analyses were performed separately for migrants and non-migrants stratified by sex. Perceived discrimination was not associated with BMI and WC in both migrants and non-migrants. However, negative life events were positively associated with BMI (β = 0.78, 95% CI 0.34-1.22) and WC (β = 1.96, 95% CI 0.79-3.12) among male Ghanaian migrants. Similarly, stress at work or at home was positively associated with BMI (β = 0.28, 95% CI 0.00-0.56) and WC (β = 0.84, 95% CI 0.05-1.63) among male Ghanaian migrants. Among non-migrant Ghanaians, in contrast, stress at work or at home was inversely associated with BMI and WC in both males (β = - 0.66, 95% CI - 1.03 to - 0.28; β = - 1.71 95% CI - 2.69 to - 0.73, respectively) and females (β = - 0.81, 95% CI - 1.20 to - 0.42; β = - 1.46, 95% CI - 2.30 to - 0.61, respectively). Negative life events and stress at work or at home are associated with increased body weight among male Ghanaians in European settings, whereas stress at work or at home is associated with reduced body weight among Ghanaians in Ghana. More work is needed to understand the underlying factors driving these differential associations to assist prevention efforts.</t>
  </si>
  <si>
    <t>Vaginal delivery in women with a low-lying placenta: a systematic review and meta-analysis.</t>
  </si>
  <si>
    <t>Jansen, Chjr; de Mooij, Y M; Blomaard, C M; Derks, J B; van Leeuwen, E; Limpens, J; Schuit, E; Mol, B W; Pajkrt, E</t>
  </si>
  <si>
    <t>https://pubmed.ncbi.nlm.nih.gov/30663270</t>
  </si>
  <si>
    <t>Low-lying placentas are positioned close to the internal os of the cervix. The preferred way of delivery within this group is unclear. To review the literature on the success of a vaginal delivery with a low-lying placenta. We searched OVID EMBASE and MEDLINE for studies on vaginal delivery with a low-lying placenta. Data was extracted on successful vaginal delivery and emergency caesarean section due to haemorrhage. We distinguished between different distances between the cervical os and the placenta (internal os distance, IOD); 0-10, 11-20, and &gt;20 mm. A meta-analysis of proportions was made for successful vaginal delivery and emergency caesarean section at every cut-off value. Maternal morbidity (i.e. antepartum blood loss, postpartum haemorrhage and blood transfusion) at different cut-off values was evaluated. Of the 999 articles retrieved, 10 articles met our inclusion criteria. A vaginal delivery was successful at an IOD of 0-10 mm in 43%, at an IOD of 11-20 mm in 85%, and at an IOD of &gt;20 mm in 82%. A shorter IOD had a higher chance of antepartum haemorrhage, whereas a larger IOD needed postpartum blood transfusion more often. Postpartum haemorrhage did not depend on IOD. A low-lying placenta is not a contraindication for a trial of labour, and the morbidity in these women is not increased. However, women with a low-lying placenta have a higher chance of an emergency caesarean section compared with women with a placenta outside the lower uterine segment. Therefore, shared decision-making is mandatory in case of a trial of labour. This systematic review demonstrates the possibility of a vaginal delivery in women with a low-lying placenta within 20 mm of the cervix.</t>
  </si>
  <si>
    <t>The occurrence of cervical metastases in squamous cell carcinoma of the tongue: Is there a rationale for bilateral neck dissection in early-stage tumors?</t>
  </si>
  <si>
    <t>Moratin, Julius; Metzger, Karl; Engel, Michael; Hoffmann, Jürgen; Freudlsperger, Christian; Freier, Kolja; Horn, Dominik</t>
  </si>
  <si>
    <t>https://pubmed.ncbi.nlm.nih.gov/30914228</t>
  </si>
  <si>
    <t>The aim of this retrospective study was to evaluate the incidence of regional metastases in squamous cell carcinoma (SCC) of the tongue, in order to validate different neck management regime recommendations. A cohort of 97 patients suffering from primary SCC of the tongue was analyzed in regard to the development of primary and late neck node metastases, considering tumor stage and affected side. Survival analysis was performed to determine the impact of different relevant clinical and pathological factors on overall and progression-free survival. Regional metastases occurred in 29 patients (29.9%). In early-stage tumors (T1 and T2), the rates of primary metastases were 28.6% and 22.4%, respectively. Bilateral cervical metastases are rare but were detected in early-stage cancer in several cases (T1: 2.1%; T2: 11.8%). The development of regional metastases in the ipsilateral and contralateral neck, even in early-stage SCC of the tongue, illustrates the importance of elective bilateral neck dissection in the treatment of affected patients.</t>
  </si>
  <si>
    <t>Determinants of coronary artery disease risk factor management across three world regions.</t>
  </si>
  <si>
    <t>Zhao, Min; Graham, Ian; Cooney, Marie Therese; Grobbee, Diederick E; Vaartjes, Ilonca; Klipstein-Grobusch, Kerstin</t>
  </si>
  <si>
    <t>heart asia</t>
  </si>
  <si>
    <t>https://pubmed.ncbi.nlm.nih.gov/31031827</t>
  </si>
  <si>
    <t>The SUrvey of Risk Factors (SURF) indicated poor control of risk factors in subjects with established coronary heart disease (CHD). The present study aimed to investigate determinants of risk factor management in patients with CHD. SURF recruited 9987 consecutive patients with CHD from Europe, Asia and the Middle East between 2012 and 2013. Risk factor management was summarised as a Cardiovascular Health Index Score (CHIS) based on six risk factor targets (non-smoker/ex-smoker, body mass index &lt;30, adequate exercise, controlled blood pressure, controlled low-density lipoprotein and controlled glucose). Logistic regression models assessed the associations between determinants (age, sex, family history, cardiac rehabilitation, previous hospital admission and diabetes) and achievement of moderate CHIS (≥3 risk factors controlled). The results are presented as OR with corresponding 95% CI. A moderate CHIS was less likely to be reached by women (OR 0.90, 95% CI 0.69 to 1.00), those aged &lt;55 years old (OR 0.62, 95% CI 0.53 to 0.76) and those with diabetes (OR 0.41, 95% CI 0.37 to 0.46). Attendance in cardiac rehabilitation was associated with better CHIS achievements (OR 1.62, 95% CI 1.42 to 1.87). Younger Asian and European patients had poorer risk factor management, whereas for patients from the Middle East age was not significantly associated with risk factor management. The availability and applicability of cardiac rehabilitation varied by region. Overall, risk factor management was poorer in women, those younger than 55 years old, those with diabetes and those who did not participate in a cardiac rehabilitation. Determinants of cardiovascular risk factor management differed by region.</t>
  </si>
  <si>
    <t>How and why front-line health workers (did not) use a multifaceted mHealth intervention to support maternal and neonatal healthcare decision-making in Ghana.</t>
  </si>
  <si>
    <t>Amoakoh, Hannah Brown; Klipstein-Grobusch, Kerstin; Ansah, Evelyn Korkor; Grobbee, Diederick E; Yveoo, Linda; Agyepong, Irene</t>
  </si>
  <si>
    <t>https://pubmed.ncbi.nlm.nih.gov/30997162</t>
  </si>
  <si>
    <t>Despite increasing use of mHealth interventions, there remains limited documentation of 'how and why' they are used and therefore the explanatory mechanisms behind observed effects on beneficiary health outcomes. We explored 'how and why' an mHealth intervention to support clinical decision-making by front-line providers of maternal and neonatal healthcare services in a low-resource setting was used. The intervention consisted of phone calls (voice calls), text messaging (short messaging service (SMS)), internet access (data) and access to emergency obstetric and neonatal protocols via an Unstructured Supplementary Service Data (USSD). It was delivered through individual-use and shared facility mobile phones with unique Subscriber Identification Module (SIM) cards networked in a Closed User Group. A single case study with multiple embedded subunits of analysis within the context of a cluster randomised controlled trial of the impact of the intervention on neonatal health outcomes in the Eastern Region of Ghana was performed. We quantitatively analysed SIM card activity data for patterns of voice calls, SMS, data and USSD. We conducted key informant interviews and focus group discussions with intervention users and manually analysed the data for themes. Overall, the phones were predominantly used for voice calls (64%), followed by data (28%), SMS (5%) and USSD (2%), respectively. Over time, use of all intervention components declined. Qualitative analysis showed that individual health worker factors (demographics, personal and work-related needs, perceived timeliness of intervention, tacit knowledge), organisational factors (resource availability, information flow, availability, phone ownership), technological factors (attrition of phones, network quality) and client perception of health worker intervention usage explain the pattern of intervention use observed. How and why the mHealth intervention was used (or not) went beyond the technology itself and was influenced by individual and context-specific factors. These must be taken into account in designing similar interventions to optimise effectiveness.</t>
  </si>
  <si>
    <t>Hypercoagulability and the risk of recurrence in young women with myocardial infarction or ischaemic stroke: a cohort study.</t>
  </si>
  <si>
    <t>Maino, Alberto; Algra, Ale; Peyvandi, Flora; Rosendaal, Frits Richard; Siegerink, Bob</t>
  </si>
  <si>
    <t>https://pubmed.ncbi.nlm.nih.gov/30845907</t>
  </si>
  <si>
    <t>We aimed to investigate the role of hypercoagulability on the risk of lifetime cardiovascular recurrences after myocardial infarction or ischaemic stroke. Young women (&lt; 50 years) with either myocardial infarction (n = 197) or ischaemic stroke (n = 107) were followed between 1995 and 2012 in the RATIO follow-up study. To determine whether hypercoagulability affects the risk or recurrence, a coagulation score based on acquired and inherited markers was compiled and used in a quartile analysis. Hazard ratios (HRs) obtained from Cox proportional models and adjusted for several cardiovascular risk factors were used to compare quartiles of the coagulation score for the risk of recurrence. During a median follow-up of 19 years, 59 cardiovascular recurrences occurred. In patients with myocardial infarction no association was found between a high prothrombotic score and recurrences (highest quartile vs lowest quartile HR 0.7, 95% CI, 0.3-1.8). Conversely, ischaemic stroke patients with a high prothrombotic score showed a doubling in risk of long-term cardiovascular recurrences (HR 1.9, 95% CI 0.6-6.3) compared with ischaemic stroke patients and low levels of the score, with a dose response relationship. An increased coagulation tendency might be associated with long-term cardiovascular risk in women with ischaemic stroke, but not in women with myocardial infarction.</t>
  </si>
  <si>
    <t>Salmonella Typhi From Blood Cultures in the Democratic Republic of the Congo: A 10-Year Surveillance.</t>
  </si>
  <si>
    <t>https://pubmed.ncbi.nlm.nih.gov/30845337</t>
  </si>
  <si>
    <t>This study gives an overview of a decade (2007-2017) of hospital-based Salmonella Typhi bloodstream infection (BSI) surveillance in the Democratic Republic of the Congo (DRC), at 4 main sampling sites. Blood cultures were sampled in hospital-admitted patients with suspected BSI, according to standardized clinical indications. The results of the surveillance period 2015-2017 were compiled with those of previous surveillance periods (2007-2010 and 2011-2014). Whole genome sequencing of isolates with decreased ciprofloxacin susceptibility (DCS) was performed. Salmonella Typhi was isolated in 1.4% (531/37 388) and 10.3% (531/5177) of suspected and culture-confirmed BSI episodes, respectively. Salmonella Typhi ranked first among the BSI pathogens in adults (n = 220), but was mostly (n = 301 [56.7%]) isolated from children, of which 72.1% (217/301) and 31.6% (95/301) were &lt;10 years and &lt;5 years old, respectively. Multidrug resistance (MDR), DCS, and combined MDR/DCS were found in 38.3% (n = 180), 24.5% (n = 115), and 11.9% (n = 56) of 470 first isolates, respectively. MDR and DCS rates had increased since 2007, but remained stable during 2015-2017 with no geographical clustering at the province level. Most (91/93 [97.8%]) DCS isolates sequenced belonged to Genotyphi genotype 2.5.1, and gyr S83 was the most frequent DCS mutation (76/93 [81.7%]). Infections occurred perennially, but increased during the rainy season. Salmonella Typhi was a frequent cause of BSI in adults and children in DRC, with high rates of antibiotic resistance. Sustainable surveillance and implementation of vaccination are compelling.</t>
  </si>
  <si>
    <t>Sex differences in stroke metrics among Southeast Asian countries: Results from the Global Burden of Disease Study 2015.</t>
  </si>
  <si>
    <t>Hwong, Wen Yea; Bots, Michiel L; Selvarajah, Sharmini; Sivasampu, Sheamini; Reidpath, Daniel D; Law, Wan Chung; Musa, Kamarul Imran; Vaartjes, Ilonca</t>
  </si>
  <si>
    <t>https://pubmed.ncbi.nlm.nih.gov/30843480</t>
  </si>
  <si>
    <t>Sex differences in cardiovascular diseases generally disadvantage women, particularly within developing regions. This study aims to examine sex-related differences in stroke metrics across Southeast Asia in 2015. Furthermore, relative changes between sexes are compared from 1990 to 2015. Data were sourced from the Global Burden of Disease Study. Incidence and mortality from ischemic and hemorrhagic strokes were explored with the following statistics derived: (1) women-to-men incidence/mortality ratio and (2) relative percentage change in rate. Women had lower incidence and mortality from stroke compared to men. Notable findings include higher ischemic stroke incidence for women at 30-34 years in high-income countries (women-to-men ratio: 1.3, 95% CI: 0.1, 16.2 in Brunei and 1.3, 95% CI: 0.5, 3.2 in Singapore) and the largest difference between sexes for ischemic stroke mortality in Vietnam and Myanmar across most ages. Within the last 25 years, greater reductions for ischemic stroke metrics were observed among women compared to men. Nevertheless, women below 40 years in some countries showed an increase in ischemic stroke incidence between 0.5% and 11.4%, whereas in men, a decline from -4.2% to -44.2%. Indonesia reported the largest difference between sexes for ischemic stroke mortality; a reduction for women whereas an increase in men. For hemorrhagic stroke, findings were similar: higher incidence among young women in high-income countries and greater reductions for stroke metrics in women than men over the last 25 years. Distinct sex-specific differences observed across Southeast Asia should be accounted in future stroke preventive guidelines.</t>
  </si>
  <si>
    <t>Determinants of self-reported unacceptable outcome of intensive care treatment 1 year after discharge.</t>
  </si>
  <si>
    <t>Kerckhoffs, Monika C; Kosasi, Felicia F L; Soliman, Ivo W; van Delden, Johannes J M; Cremer, Olaf L; de Lange, Dylan W; Slooter, Arjen J C; Kesecioglu, Jozef; van Dijk, Diederik</t>
  </si>
  <si>
    <t>https://pubmed.ncbi.nlm.nih.gov/30840124</t>
  </si>
  <si>
    <t>Survivors of critical illness often suffer from reduced health-related quality of life (HRQoL) due to long-term physical, cognitive, and mental health problems, also known as post-intensive care syndrome (PICS). Some intensive care unit (ICU) survivors even consider their state of health unacceptable. The aim of this study was to investigate the determinants of self-reported unacceptable outcome of ICU treatment. Patients who were admitted to the ICU for at least 48 h and survived the first year after discharge completed validated questionnaires on overall HRQoL and the components of PICS and stated whether they considered their current state of health an acceptable outcome of ICU treatment. The effects of overall HRQoL and components of PICS on unacceptable outcome were studied using multiple logistic regression analysis. Of 1453 patients, 67 (5%) reported their health state an unacceptable outcome of ICU treatment. These patients had a lower score on overall HRQoL (EQ-5D-index value of 0.57 vs. 0.81; p &lt; 0.001), but we could not determine a cutoff value of the EQ-5D-index value that reliably identified unacceptable outcome. In the multivariate analysis, only the hospital anxiety and depression scale was significantly associated with an unacceptable outcome (OR 2.06, 99% CI 1.18-3.61). Although there is a strong association between low overall HRQoL and self-reported unacceptable outcome of ICU treatment, patients with low overall HRQoL may still consider their outcome acceptable. The mental component of PICS, but not the physical and cognitive component, is strongly associated with self-reported unacceptable outcome.</t>
  </si>
  <si>
    <t>Prevalence and Prognostic Implications of Longitudinal Ejection Fraction Change in Heart Failure.</t>
  </si>
  <si>
    <t>Savarese, Gianluigi; Vedin, Ola; D'Amario, Domenico; Uijl, Alicia; Dahlström, Ulf; Rosano, Giuseppe; Lam, Carolyn S P; Lund, Lars H</t>
  </si>
  <si>
    <t>https://pubmed.ncbi.nlm.nih.gov/30852236</t>
  </si>
  <si>
    <t>This study sought to evaluate the incidence, the predictors, and the associations with outcomes of changes in ejection fraction (EF) in heart failure (HF) patients. EF determines therapy in HF, but information is scarce about incidence, determinants, and prognostic implications of EF change over time. Patients with ≥2 EF measurements were made in the Swedish Heart Failure Registry were categorized as heart failure with preserved ejection fraction (HFpEF) (EF ≥50%), heart failure with midrange ejection fraction (HFmrEF) (EF 40% to 49%), or heart failure with reduced ejection fraction (HFrEF) (EF &lt;40%). Changes among categories were recorded, and associations among EF changes, predictors, and all-cause mortality and/or HF hospitalizations were analyzed using logistic and Cox regressions. Of 4,942 patients at baseline, 18% had HFpEF, 19% had HFmrEF, and 63% had HFrEF. During follow-up, 21% and 18% of HFpEF patients transitioned to HFmrEF and HFrEF, respectively; 37% and 25% of HFmrEF patients transitioned to HFrEF and HFpEF, respectively; and 16% and 10% of HFrEF patients transitioned to HFmrEF and HFpEF, respectively. Predictors of increased EF included female sex, cases of less severe HF, and comorbidities. Predictors of decreased EF included diabetes, ischemic heart disease, and cases of more severe HF. Use of renin-angiotensin-system inhibitors was associated with lower likelihood of EF increase, but not with EF decrease, i.e., stable EF. Increased EF was associated with a lower risk (hazard ratio [HR]: 0.62; 95% confidence interval [CI]: 0.55 to 0.69) and decreased EF with a higher risk (HR: 1.15; 95% CI: 1.01 to 1.30) of mortality and/or HF hospitalizations. Prognostic implications were most evident for transitions to and from HFrEF. Increases in EF occurred in one-fourth of HFrEF and HFmrEF patients, and decreases occurred in more than one-third of patients with HFpEF and HFmrEF. EF change was associated with a wide range of important clinical and organizational factors as well as with outcomes, particularly transitions to and from HFrEF.</t>
  </si>
  <si>
    <t>How fluoroquinolones poison the neighbourhood.</t>
  </si>
  <si>
    <t>van Werkhoven, Cornelis H; Bootsma, Martin; Bonten, Marc</t>
  </si>
  <si>
    <t>https://pubmed.ncbi.nlm.nih.gov/30846278</t>
  </si>
  <si>
    <t>Dyslipidaemia among Ghanaian migrants in three European countries and their compatriots in rural and urban Ghana: The RODAM study.</t>
  </si>
  <si>
    <t>van der Linden, Eva; Meeks, Karlijn; Beune, Erik; de-Graft Aikins, Ama; Addo, Juliet; Owusu-Dabo, Ellis; Mockenhaupt, Frank P; Bahendeka, Silver; Danquah, Ina; Schulze, Matthias B; Spranger, Joachim; Klipstein-Grobusch, Kerstin; Appiah, Lambert Tetteh; Smeeth, Liam; Agyemang, Charles</t>
  </si>
  <si>
    <t>https://pubmed.ncbi.nlm.nih.gov/30875497</t>
  </si>
  <si>
    <t>African populations have a favourable lipid profile compared to European populations. However, the extent to which they differ between rural and urban settings in Africa and upon migration to Europe is unknown. We assessed the lipid profiles of Ghanaians living in rural- and urban-Ghana and Ghanaian migrants living in three European countries. We used data from a multi-centre, cross-sectional study among Ghanaian adults residing in rural- and urban-Ghana and London, Amsterdam and Berlin (n = 5482). Dyslipidaemias were defined using the 2012 European Guidelines on Cardiovascular Prevention. Comparisons between groups were made using age-standardised prevalence and prevalence ratios (PRs) with adjustments for important covariates. In both sexes, the age-standardised prevalence of high total cholesterol (TC) and LDL-cholesterol (LDL-C) was lower in rural- than in urban-Ghana and Ghanaian migrants in Europe. Adjusted PRs of high TC and LDL-C were higher in urban-Ghana (TC PR = 2.15, 95%confidence interval 1.69-2.73) and Ghanaian migrant men (TC PR = 2.03 (1.56-2.63)) compared to rural-Ghana, but there was no difference between rural- and Ghanaian migrant women (TC PR = 1.01 (0.84-1.22)). High triglycerides levels were as prevalent in rural-Ghana (11.6%) as in urban-Ghana (12.8%), but were less prevalent in Ghanaian migrant women (2.0%). In both sexes, low HDL-cholesterol was most prevalent in rural-Ghana (50.1%) and least prevalent in Europe (12.9%). The lipid profile varied among ethnically homogeneous African populations living in different geographical locations in Africa and Europe. Additional research is needed to identify factors driving these differential risks to assist prevention efforts.</t>
  </si>
  <si>
    <t>Increased Carotid Intima-Media Thickness in Children with a History of Dengue Hemorrhagic Fever.</t>
  </si>
  <si>
    <t>Versteege, Tom; Karyanti, Mulya R; Septiani, Witri; Widjanarko, Annisa L; Idris, Nikmah S; Hendarto, Aryono; Grobbee, Diederick E; Burgner, David; Uiterwaal, Cuno S P M; Bruijning-Verhagen, Patricia C J L</t>
  </si>
  <si>
    <t>the american journal of tropical medicine and hygiene</t>
  </si>
  <si>
    <t>https://pubmed.ncbi.nlm.nih.gov/30675845</t>
  </si>
  <si>
    <t>We assessed carotid intima-media thickness (cIMT) and arterial stiffness in 28 children and adolescents with previous dengue hemorrhagic fever (DHF) (mean interval between DHF and cardiovascular assessment, 8.4 years), and 34 controls in a low-resource setting. Participants with previous DHF had an adjusted increased cIMT of 42.6 µm (95% confidence interval [CI]: 10.0-75.3, &lt;i&gt;P&lt;/i&gt; = 0.01), and 61.7 µm (95% CI: 21.5-102.0, &lt;i&gt;P&lt;/i&gt; &lt; 0.01) in a subgroup analysis on dengue shock syndrome. There were no differences in arterial stiffness. In this first exploratory study, children and adolescents with a history of DHF had an increased cIMT, which may be modulated by dengue severity.</t>
  </si>
  <si>
    <t>Procedural Clinical Complications, Case-Fatality Risks, and Risk Factors in Endovascular and Neurosurgical Treatment of Unruptured Intracranial Aneurysms: A Systematic Review and Meta-analysis.</t>
  </si>
  <si>
    <t>Algra, Annemijn M; Lindgren, Antti; Vergouwen, Mervyn D I; Greving, Jacoba P; van der Schaaf, Irene C; van Doormaal, Tristan P C; Rinkel, Gabriel J E</t>
  </si>
  <si>
    <t>https://pubmed.ncbi.nlm.nih.gov/30592482</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</si>
  <si>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(&gt;4 mm or dome-to-neck ratio &gt;1.5;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</si>
  <si>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The Evolving Facets of Bacterial Vaginosis: Implications for HIV Transmission.</t>
  </si>
  <si>
    <t>McKinnon, Lyle R; Achilles, Sharon L; Bradshaw, Catriona S; Burgener, Adam; Crucitti, Tania; Fredricks, David N; Jaspan, Heather B; Kaul, Rupert; Kaushic, Charu; Klatt, Nichole; Kwon, Douglas S; Marrazzo, Jeanne M; Masson, Lindi; McClelland, R Scott; Ravel, Jacques; van de Wijgert, Janneke H H M; Vodstrcil, Lenka A; Tachedjian, Gilda</t>
  </si>
  <si>
    <t>aids research and human retroviruses</t>
  </si>
  <si>
    <t>https://pubmed.ncbi.nlm.nih.gov/30638028</t>
  </si>
  <si>
    <t>Bacterial vaginosis (BV) is a common yet poorly understood vaginal condition that has become a major focus of HIV transmission and immunology research. Varied terminologies are used by clinicians and researchers to describe microbial communities that reside in the female reproductive tract (FRT), which is driven, in part, by microbial genetic and metabolic complexity, evolving diagnostic and molecular techniques, and multidisciplinary perspectives of clinicians, epidemiologists, microbiologists, and immunologists who all appreciate the scientific importance of understanding mechanisms that underlie BV. This Perspectives article aims to clarify the varied terms used to describe the cervicovaginal microbiota and its "nonoptimal" state, under the overarching term of BV. The ultimate goal is to move toward language standardization in future literature that facilitates a better understanding of the impact of BV on FRT immunology and risk of sexually transmitted infections, including HIV.</t>
  </si>
  <si>
    <t>Global Heart: The Prime Journal for Global Cardiovascular Research Findings, Implementation and Interpretation.</t>
  </si>
  <si>
    <t>https://pubmed.ncbi.nlm.nih.gov/31036301</t>
  </si>
  <si>
    <t>Change in mammographic density across birth cohorts of Dutch breast cancer screening participants.</t>
  </si>
  <si>
    <t>Napolitano, George; Lynge, Elsebeth; Lillholm, Martin; Vejborg, Ilse; van Gils, Carla H; Nielsen, Mads; Karssemeijer, Nico</t>
  </si>
  <si>
    <t>https://pubmed.ncbi.nlm.nih.gov/30762225</t>
  </si>
  <si>
    <t>High mammographic density is a well-known risk factor for breast cancer. This study aimed to search for a possible birth cohort effect on mammographic density, which might contribute to explain the increasing breast cancer incidence. We separately analyzed left and right breast density of Dutch women from a 13-year period (2003-2016) in the breast cancer screening programme. First, we analyzed age-specific changes in average percent dense volume (PDV) across birth cohorts. A linear regression analysis (PDV vs. year of birth) indicated a small but statistically significant increase in women of: 1) age 50 and born from 1952 to 1966 (left, slope = 0.04, p = 0.003; right, slope = 0.09, p &lt; 0.0001); 2) age 55 and born from 1948 to 1961 (right, slope = 0.04, p = 0.01); and 3) age 70 and born from 1933 to 1946 (right, slope = 0.05, p = 0.002). A decrease of total breast volume seemed to explain the increase in PDV. Second, we compared proportion of women with dense breast in women born in 1946-1953 and 1959-1966, and observed a statistical significant increase of proportion of highly dense breast in later born women, in the 51 to 55 age-groups for the left breast (around a 20% increase in each age-group), and in the 50 to 56 age-groups for the right breast (increase ranging from 27% to 48%). The study indicated a slight increase in mammography density across birth cohorts, most pronounced for women in their early 50s, and more marked for the right than for the left breast.</t>
  </si>
  <si>
    <t>Delay in patients suspected of transient ischaemic attack: a cross-sectional study.</t>
  </si>
  <si>
    <t>Dolmans, L Servaas; Kappelle, L Jaap; Bartelink, Marie-Louise El; Hoes, Arno W; Rutten, Frans H</t>
  </si>
  <si>
    <t>https://pubmed.ncbi.nlm.nih.gov/30819716</t>
  </si>
  <si>
    <t>Suspected transient ischaemic attack (TIA) necessitates an urgent neurological consultation and a rapid start of antiplatelet therapy to reduce the risk of early ischaemic stroke following a TIA. Guidelines for general practitioners (GPs) emphasise the urgency to install preventive treatment as soon as possible. We aimed to give a contemporary overview of both patient and physician delay. A survey at two rapid-access TIA outpatient clinics in Utrecht, the Netherlands. All patients suspected of TIA were interviewed to assess time delay to diagnosis and treatment, including the time from symptom onset to (1) the first contact with a medical service (patient delay), (2) consultation of the GP and (3) assessment at the TIA outpatient clinic. We used the diagnosis of the consulting neurologist as reference. Of 93 included patients, 43 (46.2%) received a definite, 13 (14.0%) a probable, 11 (11.8%) a possible and 26 (28.0%) no diagnosis of TIA. The median time from symptom onset to the visit to the TIA service was 114.5 (IQR 44.0-316.6) hours. Median patient delay was 17.5 (IQR 0.8-66.4) hours, with a delay of more than 24 hours in 36 (38.7%) patients. The GP was first contacted in 76 (81.7%) patients, and median time from first contact with the GP practice to the actual GP consultation was 2.8 (0.5-18.5) hours. Median time from GP consultation to TIA service visit was 40.8 (IQR 23.1-140.7) hours. Of the 62 patients naïve to antithrombotic medication who consulted their GP, 27 (43.5%) received antiplatelet therapy. There is substantial patient and physician delay in the process of getting a confirmed TIA diagnosis, resulting in suboptimal prevention of an early ischaemic stroke.</t>
  </si>
  <si>
    <t>Breast Cancer Survivors' Experiences With an Activity Tracker Integrated Into a Supervised Exercise Program: Qualitative Study.</t>
  </si>
  <si>
    <t>Wu, Hoi San; Gal, Roxanne; van Sleeuwen, Niek C; Brombacher, Aarnout C; IJsselsteijn, Wijnand A; May, Anne M; Monninkhof, Evelyn M</t>
  </si>
  <si>
    <t>https://pubmed.ncbi.nlm.nih.gov/30789349</t>
  </si>
  <si>
    <t>There is growing evidence that physical activity is related to a better prognosis after a breast cancer diagnosis, whereas sedentary behavior is associated with worse outcomes. It is therefore important to stimulate physical activity and reduce sedentary time among patients with breast cancer. Activity trackers offer a new opportunity for interventions directed at stimulating physical activity behavior change. This study aimed to explore the experience of patients with breast cancer who used an activity tracker in addition to a supervised exercise intervention in the randomized UMBRELLA Fit trial. A total of 10 patients with breast cancer who completed cancer treatment participated in semistructured in-depth interviews about their experience with and suggestions for improvements for the Jawbone UP2 activity tracker. The activity tracker motivated women to be physically active and created more awareness of their (sedentary) lifestyles. The women indicated that the automatically generated advice (received via the Jawbone UP app) lacked individualization and was not applicable to their personal situations (ie, having been treated for cancer). Furthermore, women felt that the daily step goal was one-dimensional, and they preferred to incorporate other physical activity goals. The activity tracker's inability to measure strength exercises was a noted shortcoming. Finally, women valued personal feedback about the activity tracker from the physiotherapist. Wearing an activity tracker raised lifestyle awareness in patients with breast cancer. The women also reported additional needs not addressed by the system. Potential improvements include a more realistic total daily physical activity representation, personalized advice, and personalized goals.</t>
  </si>
  <si>
    <t>Current mentorship practices in the training of the next generation of clinical microbiology and infectious disease specialists: an international cross-sectional survey.</t>
  </si>
  <si>
    <t>Ong, David S Y; Zapf, Thea Christine; Cevik, Muge; Palacios-Baena, Zaira R; Barać, Aleksandra; Cimen, Cansu; Maraolo, Alberto E; Rönnberg, Caroline; Cambau, Emmanuelle; Poljak, Mario; ,</t>
  </si>
  <si>
    <t>https://pubmed.ncbi.nlm.nih.gov/30783890</t>
  </si>
  <si>
    <t>The purpose of this study was to describe the current practice of mentorship in clinical microbiology (CM) and infectious diseases (ID) training, to identify possible areas for improvement and to assess the factors that are associated with satisfactory mentorship. An international cross-sectional survey containing 35 questions was answered by 317 trainees or specialists who recently completed clinical training. Overall, 179/317 (56%) trainees were satisfied with their mentors, ranging from 7/9 (78%) in non-European countries, 39/53 (74%) in Northern Europe, 13/22 (59%) in Eastern Europe, 61/110 (56%) in Western Europe, 37/76 (49%) in South-Western Europe to 22/47 (47%) in South-Eastern Europe. However, only 115/317 (36%) respondents stated that they were assigned an official mentor during their training. In multivariable logistic regression analysis, the satisfaction of trainees was significantly associated with having a mentor who was a career model (OR 6.4, 95%CI 3.5-11.7), gave constructive feedback on work performance (OR 3.3, 95%CI 1.8-6.2), and knew the family structure of the mentee (OR 5.5, 95%CI 3.0-10.1). If trainees felt overburdened, 70/317 (22%) felt that they could not talk to their mentors. Moreover, 67/317 (21%) stated that they could not talk to their mentor when unfairly treated and 59/317 (19%) felt uncertain. Training boards and authorities responsible for developing and monitoring CM&amp;ID training programmes should invest in the development of high-quality mentorship programmes for trainees in order to contribute to the careers of the next generation of professionals.</t>
  </si>
  <si>
    <t>Sex Differences in the Prevalence of, and Trends in, Cardiovascular Risk Factors, Treatment, and Control in the United States, 2001 to 2016.</t>
  </si>
  <si>
    <t>Peters, Sanne A E; Muntner, Paul; Woodward, Mark</t>
  </si>
  <si>
    <t>https://pubmed.ncbi.nlm.nih.gov/30779652</t>
  </si>
  <si>
    <t>Improvements have been made in the treatment and control of some but not all major cardiovascular risk factors in the United States. It remains unclear whether women and men have benefited equally. Data from the 2001 to 2002 through the 2015 to 2016 US National Health and Nutrition Examination Survey on adults aged 20 to 79 years were used. We assessed sex differences in temporal trends in the levels of systolic blood pressure, body mass index, smoking status, high-density lipoprotein and total cholesterol, and hemoglobin A&lt;sub&gt;1c&lt;/sub&gt;. Trends in treatment and control rates of hypertension, diabetes mellitus, and dyslipidemia were also assessed. Overall, 35 416 participants (51% women) were included. Trends in systolic blood pressure, smoking status, high-density lipoprotein cholesterol, and hemoglobin A&lt;sub&gt;1c&lt;/sub&gt; were similar between the sexes. Body mass index increased more in women than men ( P=0.006). Mean levels were 28.1 and 29.6 kg/m&lt;sup&gt;2&lt;/sup&gt; in women and 27.9 and 29.0 kg/m&lt;sup&gt;2&lt;/sup&gt; in men in 2001 to 2004 and 2013 to 2016, respectively. Total cholesterol decreased more in men than women ( P=0.002): mean levels in 2001 to 2004 and 2013 to 2016, respectively, were 203 and 194 mg/dL in women and 201 and 188 mg/dL in men. Improvements in the control of hypertension, diabetes mellitus, and dyslipidemia were similar between the sexes; however, sex differences persisted. In 2013 to 2016, control rates in women versus men were 30% versus 22% for hypertension, 30% versus 20% for diabetes mellitus, and 51% versus 63% for dyslipidemia. Temporal trends in cardiovascular risk factor levels were broadly similar between the sexes, except for total cholesterol and body mass index. Sex differences in the control of hypertension, diabetes mellitus, and dyslipidemia persist, and further efforts are required to reduce this differential.</t>
  </si>
  <si>
    <t>The Stability of Treatment Preferences Among Patients With Advanced Cancer.</t>
  </si>
  <si>
    <t>Jabbarian, Lea J; Maciejewski, Renee C; Maciejewski, Paul K; Rietjens, Judith A C; Korfage, Ida J; van der Heide, Agnes; van Delden, Johannes J M; Prigerson, Holly G</t>
  </si>
  <si>
    <t>https://pubmed.ncbi.nlm.nih.gov/30794935</t>
  </si>
  <si>
    <t>Stability of patients' treatment preferences has important implications for decisions about concurrent and future treatment. To examine the stability of treatment preferences and correlates among patients with advanced cancer. In this cohort, 104 patients with metastatic cancer, progression after at least one chemotherapy regimen, and an oncologist-estimated life expectancy of six or fewer months participated in structured interviews after clinical visits in which patients' recent scan results were discussed. Interviews were repeated in three monthly follow-ups. At baseline, patients' age, education, sex, race, marital status, insurance status, and type of cancer were documented. At each assessment, patients reported their treatment preferences (i.e., prioritizing life-prolonging vs. comfort), quality of life, and current health status. At baseline (n = 104), 55 (53%) patients preferred life-prolonging care and 49 (47%) preferred comfort care. Patients were followed up for one (n = 104), two (n = 74), or three months (n = 44). Between baseline and Month 1, 84 patients (81%) had stable preferences. During follow-up, preferences of 71 patients (68%) remained stable (equally divided between a consistent preference for life-prolonging and comfort care). Treatment preferences of 33 (32%) patients changed at least once during follow-up. Direction of change was inconsistent. Patients' preferences at baseline strongly predicted preferences at Month 1 (odds ratio = 17.8; confidence interval = 6.7-47.3; P &lt; .001). Description of the current health status at baseline was the only variable significantly associated with stability of preferences at Month 1. Two-thirds of patients with advanced cancer had stable preferences. Changes of preferences were often inconsistent and unpredictable. Our findings suggest potential benefits of ongoing communication about preferences.</t>
  </si>
  <si>
    <t>Circle of Willis variations in migraine patients with ischemic stroke.</t>
  </si>
  <si>
    <t>Hamming, Arend M; van Walderveen, Marianne A A; Mulder, Inge A; van der Schaaf, Irene C; Kappelle, L Jaap; Velthuis, Birgitta K; Ferrari, Michel D; Terwindt, Gisela M; Visser, Marieke C; Schonewille, Wouter; Algra, Ale; Wermer, Marieke J H; ,</t>
  </si>
  <si>
    <t>https://pubmed.ncbi.nlm.nih.gov/30772952</t>
  </si>
  <si>
    <t>Migraine is a risk factor for stroke, which might be explained by a higher prevalence in anatomical variants in the circle of Willis (CoW). Here, we compared the presence of CoW variants in patients with stroke with and without migraine. Participants were recruited from the prospective Dutch acute Stroke Study. All participants underwent CT angiography on admission. Lifetime migraine history was assessed with a screening questionnaire and confirmed by an interview based on International Classification of Headache Disorders criteria. The CoW was assessed for incompleteness/hypoplasia (any segment &lt;1 mm), for anterior cerebral artery asymmetry (difference &gt; 1/3), and for posterior communicating artery (Pcom) dominance (Pcom-P1 difference &gt; 1/3). Odds ratios with adjustments for age and sex (aOR) were calculated with logistic regression. We included 646 participants with stroke, of whom 52 had a history of migraine. Of these, 45 (87%) had an incomplete or hypoplastic CoW versus 506 (85%) of the 594 participants without migraine (aOR: 1.47; 95% CI: 0.63-3.44). There were no differences between participants with and without migraine in variations of the anterior or posterior CoW, anterior cerebral artery asymmetry (aOR: 0.86; 95% CI: 0.43-1.74), or Pcom dominance (aOR: 0.64; 95% CI: 0.32-1.30). There were no differences in CoW variations between migraine patients with or without aura. We found no significant difference in the completeness of the CoW in acute stroke patients with migraine compared to those without.</t>
  </si>
  <si>
    <t>Theory-based diabetes self-management education with pre-selection of participants: a randomized controlled trial with 2.5 years' follow-up (ELDES Study).</t>
  </si>
  <si>
    <t>Vos, R C; van Heusden, L; Eikelenboom, N W D; Rutten, G E H M</t>
  </si>
  <si>
    <t>https://pubmed.ncbi.nlm.nih.gov/30677175</t>
  </si>
  <si>
    <t>To evaluate the (cost-)effectiveness of Beyond Good Intentions (BGI), a 12-week group-based, nurse-led self-management programme, in terms of cardiovascular risk factors, self-management and quality of life, after 2.5 years of follow-up in pre-selected individuals with known Type 2 diabetes of up to 5 years' duration. A parallel randomized controlled trial comparing BGI with usual care, based on a self-management screening questionnaire, was conducted in 43 general practices after pre-selection of participants. After 2.5 years of follow-up, the between-group changes in the abovementioned variables were assessed using analysis of covariance. A total of 108 participants (BGI group, n =56; control group, n =52) were included. Changes over time in BMI (-0.4 vs -0.5 kg/m&lt;sup&gt;2&lt;/sup&gt; ) were similar in the two groups. Median HbA&lt;sub&gt;1c&lt;/sub&gt; [BGI group 47 mmol/mol (6.5%); control group: 49 mmol/mol (6.6%)] and mean systolic blood pressure (BGI group: 132±13 mmHg; control group: 133±14 mmHg) were well controlled at baseline and no intervention effect was found. LDL cholesterol levels decreased from 2.4 to 2.2 mmol/l in the control group and remained stable at 2.6 mmol/l in the intervention group (P=0.032). No intervention effect was found for self-management or quality of life. In contrast to the first BGI study, we did not observe significant effects of the BGI intervention, despite pre-selection of individuals. In diabetes populations with target levels for HbA&lt;sub&gt;1c&lt;/sub&gt; , systolic blood pressure and LDL cholesterol, no further beneficial effects can be expected from self-management programmes with regard to biomedical factors and quality of life.</t>
  </si>
  <si>
    <t>Equalization of four cardiovascular risk algorithms after systematic recalibration: individual-participant meta-analysis of 86 prospective studies.</t>
  </si>
  <si>
    <t>Pennells, Lisa; Kaptoge, Stephen; Wood, Angela; Sweeting, Mike; Zhao, Xiaohui; White, Ian; Burgess, Stephen; Willeit, Peter; Bolton, Thomas; Moons, Karel G M; van der Schouw, Yvonne T; Selmer, Randi; Khaw, Kay-Tee; Gudnason, Vilmundur; Assmann, Gerd; Amouyel, Philippe; Salomaa, Veikko; Kivimaki, Mika; Nordestgaard, Børge G; Blaha, Michael J; Kuller, Lewis H; Brenner, Hermann; Gillum, Richard F; Meisinger, Christa; Ford, Ian; Knuiman, Matthew W; Rosengren, Annika; Lawlor, Debbie A; Völzke, Henry; Cooper, Cyrus; Marín Ibañez, Alejandro; Casiglia, Edoardo; Kauhanen, Jussi; Cooper, Jackie A; Rodriguez, Beatriz; Sundström, Johan; Barrett-Connor, Elizabeth; Dankner, Rachel; Nietert, Paul J; Davidson, Karina W; Wallace, Robert B; Blazer, Dan G; Björkelund, Cecilia; Donfrancesco, Chiara; Krumholz, Harlan M; Nissinen, Aulikki; Davis, Barry R; Coady, Sean; Whincup, Peter H; Jørgensen, Torben; Ducimetiere, Pierre; Trevisan, Maurizio; Engström, Gunnar; Crespo, Carlos J; Meade, Tom W; Visser, Marjo</t>
  </si>
  <si>
    <t>https://pubmed.ncbi.nlm.nih.gov/30476079</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</si>
  <si>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</si>
  <si>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[New antibiotics: an overview].</t>
  </si>
  <si>
    <t>Lemkes, Bregtje A; Richel, Olivier; Bonten, Marc J; van der Linden, Paul D; Wiersinga, W Joost</t>
  </si>
  <si>
    <t>https://pubmed.ncbi.nlm.nih.gov/30816653</t>
  </si>
  <si>
    <t>The worldwide rapid increase in antibiotic resistance means that new therapeutic measures are urgently needed. Older antibiotics, such as colistin, fosfomycin, minocycline, mecillinam and temocillin, which had fallen from grace due to the development of more effective and less toxic drugs are now of renewed interest in the treatment of infections caused by multiresistant bacteria. Two new glycopeptides (oritavancin and dalbavancin) and a new oxazolidinone (tedizolid) are now registered for the treatment of acute skin and soft-tissue infections. In the treatment of infections caused by Gram-negative bacteria, cephalosporins are combined with beta-lactamase inhibitors which protect them from various beta-lactamases and also make them effective against extended spectrum beta-lactamase-producing bacteria. Examples of these are ceftolozane-tazobactam, ceftazidime-avibactam and meropenem-vaborbactam. Results of preclinical research on the effectiveness of new antibiotics are hopeful. There has been a great increase in investment in the development of new antimicrobials. Also, regulatory agencies have accelerated their assessment of these new - and urgently needed - drugs.</t>
  </si>
  <si>
    <t>How psychological distance of a study sample in discrete choice experiments affects preference measurement: a colorectal cancer screening case study.</t>
  </si>
  <si>
    <t>Veldwijk, Jorien; Groothuis-Oudshoorn, Catharina G M; Kihlbom, Ulrik; Langenskiöld, Sophie; Dekker, Evelien; Kallenberg, Frank G J; de Wit, G Ardine; Lambooij, Mattijs S</t>
  </si>
  <si>
    <t>https://pubmed.ncbi.nlm.nih.gov/30863017</t>
  </si>
  <si>
    <t>The purpose of this study was to investigate to what extent the outcomes of a discrete choice experiment (DCE) differ based on respondents' psychological distance to the decision at hand. A DCE questionnaire regarding individuals' preferences for genetic screening for colorectal cancer (CRC) within the Dutch national CRC screening program was created. The DCE contained nine D-efficient designed choice tasks and was distributed among two populations that differ in their psychological distance to the decision at hand: 1) a representative sample of the Dutch general population aged 55-65 years, and 2) a sample of Dutch individuals who attended an information appointment regarding colonoscopies following the detection of blood in their stool sample in the CRC screening program. The DCE consisted of four attributes related to the decision whether to participate in genetic screening for CRC: 1) risk of being genetically predisposed, 2) risk of developing CRC, 3) frequency of follow-up colonoscopies, and 4) survival. Direct attribute ranking, dominant decision-making behavior, and relative importance scores (based on panel MIXL) were compared between the two populations. Attribute level estimates were compared with the Swait and Louviere test. The proportion of respondents who both ranked survival as the most important attribute, and showed dominant decision-making behavior for this attribute, was significantly higher in the screened population compared to the general population. The relative importance scores of the attributes significantly differed between populations. Finally, the Swait and Louviere test also revealed significant differences in attribute level estimates in both the populations. The study outcomes differed between populations depending on their psychological distance to the decision. This study shows the importance of adequate sample selection; therefore, it is advocated to increase attention to study sample selection and reporting in DCE studies.</t>
  </si>
  <si>
    <t>Rectal Organoids Enable Personalized Treatment of Cystic Fibrosis.</t>
  </si>
  <si>
    <t>Berkers, Gitte; van Mourik, Peter; Vonk, Annelotte M; Kruisselbrink, Evelien; Dekkers, Johanna F; de Winter-de Groot, Karin M; Arets, Hubertus G M; Marck-van der Wilt, Rozemarijn E P; Dijkema, Jasper S; Vanderschuren, Maaike M; Houwen, Roderick H J; Heijerman, Harry G M; van de Graaf, Eduard A; Elias, Sjoerd G; Majoor, Christof J; Koppelman, Gerard H; Roukema, Jolt; Bakker, Marleen; Janssens, Hettie M; van der Meer, Renske; Vries, Robert G J; Clevers, Hans C; de Jonge, Hugo R; Beekman, Jeffrey M; van der Ent, Cornelis K</t>
  </si>
  <si>
    <t>cell reports</t>
  </si>
  <si>
    <t>https://pubmed.ncbi.nlm.nih.gov/30759382</t>
  </si>
  <si>
    <t>In vitro drug tests using patient-derived stem cell cultures offer opportunities to individually select efficacious treatments. Here, we provide a study that demonstrates that in vitro drug responses in rectal organoids from individual patients with cystic fibrosis (CF) correlate with changes in two in vivo therapeutic endpoints. We measured individual in vitro efficaciousness using a functional assay in rectum-derived organoids based on forskolin-induced swelling and studied the correlation with in vivo effects. The in vitro organoid responses correlated with both change in pulmonary response and change in sweat chloride concentration. Receiver operating characteristic curves indicated good-to-excellent accuracy of the organoid-based test for defining clinical responses. This study indicates that an in vitro assay using stem cell cultures can prospectively select efficacious treatments for patients and suggests that biobanked stem cell resources can be used to tailor individual treatments in a cost-effective and patient-friendly manner.</t>
  </si>
  <si>
    <t>Patients' experiences with a behaviour change intervention to enhance physical activity in primary care: A mixed methods study.</t>
  </si>
  <si>
    <t>Westland, Heleen; Sluiter, Jill; Te Dorsthorst, Sophie; Schröder, Carin D; Trappenburg, Jaap C A; Vervoort, Sigrid C J M; Schuurmans, Marieke J</t>
  </si>
  <si>
    <t>https://pubmed.ncbi.nlm.nih.gov/30753213</t>
  </si>
  <si>
    <t>To explore the experiences of patients at risk for cardiovascular disease in primary care with the Activate intervention in relation to their success in increasing their physical activity. A convergent mixed methods study was conducted, parallel to a cluster-randomised controlled trial in primary care, using a questionnaire and semi-structured interviews. Questionnaires from 67 patients were analysed, and semi-structured interviews of 22 patients were thematically analysed. Experiences of patients who had objectively increased their physical activity (responders) were compared to those who had not (non-responders). Objective success was analysed in relation to self-perceived success. The questionnaire and interview data corresponded, and no substantial differences among responders and non-responders emerged. Participating in the intervention increased patients' awareness of their physical activity and their physical activity level. Key components of the intervention were the subsequent support of nurses with whom patients' have a trustful relationship and the use of self-monitoring tools. Patients highly valued jointly setting goals, planning actions, receiving feedback and review on their goal attainment and jointly solving problems. Nurses' support, the use of self-monitoring tools, and involving others incentivised patients to increase their physical activity. Internal circumstances and external circumstances challenged patients' engagement in increasing and maintaining their physical activity. Patients experienced the Activate intervention as valuable to increase and maintain their physical activity, irrespective of their objective change in physical activity. The findings enable the understanding of the effectiveness of the intervention and implementation in primary care. ClinicalTrials.gov NCT02725203.</t>
  </si>
  <si>
    <t>Facilitators and barriers to brokering between research and care by senior clinical-scientists in general practice and elderly care medicine.</t>
  </si>
  <si>
    <t>Bartelink, Marie-Louise El; Baggen, Yvette; Stevens, Diede E; Smalbrugge, Martin; Scherpbier, Nynke; Damoiseaux, Roger Amj; de Groot, Esther</t>
  </si>
  <si>
    <t>education for primary care an official publication of the association of course organisers national association of gp tutors world organisation of family doctors</t>
  </si>
  <si>
    <t>https://pubmed.ncbi.nlm.nih.gov/30753793</t>
  </si>
  <si>
    <t>Clinician-scientists (CSs) are physicians who work in daily care and have an academic role in research or education. They may act as knowledge brokers and help to connect research and clinical practice. There is no data available on CSs' brokering activities and the perceived barriers and facilitators to optimising their role in general practice (GP) and elderly care medicine (EM). To identify the brokering activities of CSs in these fields and the barriers and facilitators they come across whilst sharing knowledge and connecting people in research and frontline health care. Qualitative interview study among 17 Dutch senior CSs. Interview data were audio recorded, transcribed verbatim and thematic interpretative analysis was used to identify themes. CSs facilitate collaboration between researchers and practitioners. They exchange knowledge on both sides, make use of extensive networks and constantly and actively involve care in research and research in care. CSs come across barriers as well as facilitators that influence their brokering activities. Some barriers and facilitators are at the individual level, other are related more to the job context and workplace. This study reveals barriers to overcome and facilitators to develop related to the brokering role of CSs. To make the best use of CSs, brokering activities and the added value of CSs should be recognised and supported. Awareness of what CSs need to function effectively in demanding work settings could be important for the future impact of the role on the fields of GP and EM.</t>
  </si>
  <si>
    <t>Cardiac Function After Radiation Therapy for Breast Cancer.</t>
  </si>
  <si>
    <t>van den Bogaard, Veerle A B; van Luijk, Peter; Hummel, Yoran M; van der Meer, Peter; Schuit, Ewoud; Boerman, Liselotte M; Maass, Saskia W M C; Nauta, Jan F; Steggink, Lars C; Gietema, Jourik A; de Bock, Geertruida H; Berendsen, Annette J; Smit, Wilma G J M; Sijtsema, Nanna M; Kierkels, Roel G J; Langendijk, Johannes A; Crijns, Anne P G; Maduro, John H</t>
  </si>
  <si>
    <t>https://pubmed.ncbi.nlm.nih.gov/30763659</t>
  </si>
  <si>
    <t>The main purpose of this study was to test the hypothesis that incidental cardiac irradiation is associated with changes in cardiac function in breast cancer (BC) survivors treated with radiation therapy (RT). We conducted a cross-sectional study consisting of 109 BC survivors treated with RT between 2005 and 2011. The endpoint was cardiac function, assessed by echocardiography. Systolic function was assessed with the left ventricular ejection fraction (LVEF) (n = 107) and the global longitudinal strain (GLS) of the left ventricle (LV) (n = 52). LV diastolic dysfunction (n = 109) was defined by e' at the lateral and septal region, which represents the relaxation velocity of the myocardium. The individual calculated RT dose parameters of the LV and coronary arteries were collected from 3-dimensional computed tomography-based planning data. Univariable and multivariable analysis using forward selection was performed to identify the best predictors of cardiac function. Robustness of selection was assessed using bootstrapping. The resulting multivariable linear regression model was presented for the endpoints of systolic and diastolic function. The median time between BC diagnosis and echocardiography was 7 years. No relation between RT dose parameters and LVEF was found. In the multivariable analysis for the endpoint GLS of the LV, the maximum dose to the left main coronary artery was most often selected across bootstrap samples. For decreased diastolic function, the most often selected model across bootstrap samples included age at time of BC diagnosis and hypertension at baseline. Cardiac dose-volume histogram parameters were less frequently selected for this endpoint. This study shows an association between individual cardiac dose distributions and GLS of the LV after RT for BC. No relation between RT dose parameters and LVEF was found. Diastolic function was most associated with age and hypertension at time of BC diagnosis. Further research is needed to make definitive conclusions.</t>
  </si>
  <si>
    <t>Effect of diet with or without exercise on abdominal fat in postmenopausal women - a randomised trial.</t>
  </si>
  <si>
    <t>van Gemert, Willemijn A; Peeters, Petra H; May, Anne M; Doornbos, Adriaan J H; Elias, Sjoerd G; van der Palen, Job; Veldhuis, Wouter; Stapper, Maaike; Schuit, Jantine A; Monninkhof, Evelyn M</t>
  </si>
  <si>
    <t>https://pubmed.ncbi.nlm.nih.gov/30744621</t>
  </si>
  <si>
    <t>We assessed the effect of equivalent weight loss with or without exercise on (intra-) abdominal fat in postmenopausal women in the SHAPE-2 study. The SHAPE-2 study is a three-armed randomised controlled trial conducted in 2012-2013 in the Netherlands. Postmenopausal overweight women were randomized to a diet (n = 97), exercise plus diet (n = 98) or control group (n = 48). Both intervention groups aimed for equivalent weight loss (6-7%) following a calorie-restricted diet (diet group) or a partly supervised intensive exercise programme (4 h per week) combined with a small caloric restriction (exercise plus diet group). Outcomes after 16 weeks are amount and distribution of abdominal fat, measured by magnetic resonance imaging (MRI) with the use of the three-point IDEAL Dixon method. The diet and exercise plus diet group lost 6.1 and 6.9% body weight, respectively. Compared to controls, subcutaneous and intra-abdominal fat reduced significantly with both diet (- 12.5% and - 12.0%) and exercise plus diet (- 16.0% and - 14.6%). Direct comparison between both interventions revealed that the reduction in subcutaneous fat was statistically significantly larger in the group that combined exercise with diet: an additional 10.6 cm&lt;sup&gt;2&lt;/sup&gt; (95%CI -18.7; - 2.4) was lost compared to the diet-only group. Intra-abdominal fat loss was not significantly larger in the exercise plus diet group (- 3.8 cm&lt;sup&gt;2&lt;/sup&gt;, 95%CI -9.0; 1.3). We conclude that weight loss of 6-7% with diet or with exercise plus diet reduced both subcutaneous and intra-abdominal fat. Only subcutaneous fat statistically significantly reduced to a larger extent when exercise is combined with a small caloric restriction. NCT01511276 (clinicaltrials.gov), prospectively registered.</t>
  </si>
  <si>
    <t>A qualitative study on stakeholders' views on the participation of pregnant women in the APOSTEL VI study: a low-risk obstetrical RCT.</t>
  </si>
  <si>
    <t>van der Zande, Indira S E; van der Graaf, Rieke; Oudijk, Martijn A; van Vliet-Lachotzki, Elsbeth H; van Delden, Johannes J M</t>
  </si>
  <si>
    <t>https://pubmed.ncbi.nlm.nih.gov/30744577</t>
  </si>
  <si>
    <t>Bioethicists argue that inclusion of pregnant women in clinical research should be more routine to increase the evidence-base for pregnant women and foetuses. Yet, it is unknown whether pregnant women and others directly involved are willing to be routinely included. Therefore, we first need to establish what these stakeholders think about research participation in regular pregnancy-related research. However, studies on their views are scarce. In our study, we piggy-backed on a relatively conventional RCT, the APOSTEL VI study, to identify the views of stakeholders on inclusion of pregnant women in this study. We conducted a prospective qualitative study using 35 in-depth semi-structured interviews and one focus group. We interviewed pregnant women (n = 14) recruited for the APOSTEL VI study, in addition to healthcare professionals (n = 14), Research Ethics Committee members (RECs) (n = 5) and regulators (n = 7) involved in clinical research in pregnant women. Three themes characterise stakeholders' views on inclusion of pregnant women in the APOSTEL VI study. Additionally, one theme characterises stakeholders' interest in inclusion of pregnant women in clinical research in general. First, pregnant women participate in the APOSTEL VI study for potential individual benefit and secondarily for altruistic motives, contrary to hypothetical studies. Second, a gatekeeping tendency hampers recruitment of pregnant women who might be eligible and willing, and questions about pregnant women's decisional capacities surface. Third, healthcare professionals sometimes use the counselling conversation to steer pregnant women in a direction. Fourth, all stakeholders are hesitant about inclusion of pregnant women in clinical research in general due to a protective sentiment. Pregnant women are willing to participate in the APOSTEL VI study for potential individual benefit and altruistic motives. However, an underlying protective sentiment, resulting in gatekeeping and directive counselling, sometimes hampers recruitment in the APOSTEL VI study as well as in clinical research in general. While bioethicists claim that inclusion of pregnant women should be customary, our study indicates that healthcare professionals, regulators, RECs and pregnant women themselves are not necessarily interested in inclusion. Advancing the situation and increasing the evidence-base for pregnant women and foetuses may require additional measures such as investing in the recruitment and feasibility of RCTs and stimulating pregnant women's decisional capacities.</t>
  </si>
  <si>
    <t>GRADE guidelines: 22. The GRADE approach for tests and strategies-from test accuracy to patient-important outcomes and recommendations.</t>
  </si>
  <si>
    <t>Schünemann, Holger J; Mustafa, Reem A; Brozek, Jan; Santesso, Nancy; Bossuyt, Patrick M; Steingart, Karen R; Leeflang, Mariska; Lange, Stefan; Trenti, Tommaso; Langendam, Miranda; Scholten, Rob; Hooft, Lotty; Murad, Mohammad Hassan; Jaeschke, Roman; Rutjes, Anne; Singh, Jasvinder; Helfand, Mark; Glasziou, Paul; Arevalo-Rodriguez, Ingrid; Akl, Elie A; Deeks, Jonathan J; Guyatt, Gordon H; ,</t>
  </si>
  <si>
    <t>https://pubmed.ncbi.nlm.nih.gov/30738926</t>
  </si>
  <si>
    <t>This article describes the Grading of Recommendations Assessment, Development and Evaluation (GRADE) Working Group's framework of moving from test accuracy to patient or population-important outcomes. We focus on the common scenario when studies directly evaluating the effect of diagnostic and other tests or strategies on health outcomes are not available or are not providing the best available evidence. Using practical examples, we explored how guideline developers and other decision makers can use information from test accuracy to develop a recommendation by linking evidence that addresses downstream consequences. Guideline panels should develop an analytic framework that summarizes the actions that follow from applying a test and the consequences. We describe GRADE's current thinking about the overall certainty of the evidence (also known as quality of the evidence or confidence in the estimates) arising from consideration of the often complex pathways that involve multiple tests and management options. Each link in the evidence can-and often does-lower the overall certainty of the evidence required to formulate recommendations and make decisions about tests. The frequency with which an outcome occurs and its importance will influence whether or not a particular step in the linked evidence is critical to decision-making. Overall certainty may be expressed by the weakest critical step in the linked evidence. The linked approach to addressing optimal testing will often require the use of decision analytic approaches. We present an example that involves decision modeling in a GRADE Evidence to Decision framework for cervical cancer screening. However, because resources and time of guideline developers may be limited, we describe alternative, pragmatic strategies for developing recommendations addressing test use.</t>
  </si>
  <si>
    <t>Long-term outcomes of stenting and endarterectomy for symptomatic carotid stenosis: a preplanned pooled analysis of individual patient data.</t>
  </si>
  <si>
    <t>Brott, Thomas G; Calvet, David; Howard, George; Gregson, John; Algra, Ale; Becquemin, Jean-Pierre; de Borst, Gert J; Bulbulia, Richard; Eckstein, Hans-Henning; Fraedrich, Gustav; Greving, Jacoba P; Halliday, Alison; Hendrikse, Jeroen; Jansen, Olav; Voeks, Jenifer H; Ringleb, Peter A; Mas, Jean-Louis; Brown, Martin M; Bonati, Leo H; ,</t>
  </si>
  <si>
    <t>https://pubmed.ncbi.nlm.nih.gov/30738706</t>
  </si>
  <si>
    <t>The risk of periprocedural stroke or death is higher after carotid artery stenting (CAS) than carotid endarterectomy (CEA) for the treatment of symptomatic carotid stenosis. However, long-term outcomes have not been sufficiently assessed. We sought to combine individual patient-level data from the four major randomised controlled trials of CAS versus CEA for the treatment of symptomatic carotid stenosis to assess long-term outcomes. We did a pooled analysis of individual patient-level data, acquired from the four largest randomised controlled trials assessing the relative efficacy of CAS and CEA for treatment of symptomatic carotid stenosis (Endarterectomy versus Angioplasty in Patients with Symptomatic Severe Carotid Stenosis trial, Stent-Protected Percutaneous Angioplasty of the Carotid Artery versus Endarterectomy trial, International Carotid Stenting Study, and Carotid Revascularization Endarterectomy versus Stenting Trial). The risk of ipsilateral stroke was assessed between 121 days and 1, 3, 5, 7, 9, and 10 years after randomisation. The primary outcome was the composite risk of stroke or death within 120 days after randomisation (periprocedural risk) or subsequent ipsilateral stroke up to 10 years after randomisation (postprocedural risk). Analyses were intention-to-treat, with the risk of events calculated using Kaplan-Meier methods and Cox proportional hazards analysis with adjustment for trial. In the four trials included, 4775 patients were randomly assigned, of whom a total of 4754 (99·6%) patients were followed up for a maximum of 12·4 years. 21 (0·4%) patients immediately withdrew consent after randomisation and were excluded. Median length of follow-up across the studies ranged from 2·0 to 6·9 years. 129 periprocedural and 55 postprocedural outcome events occurred in patients allocated CEA, and 206 and 57 for those allocated CAS. After the periprocedural period, the annual rates of ipsilateral stroke per person-year were similar for the two treatments: 0·60% (95% CI 0·46-0·79) for CEA and 0·64% (0·49-0·83) for CAS. Nonetheless, the periprocedural and postprocedural risks combined favoured CEA, with treatment differences at 1, 3, 5, 7, and 9 years all ranging between 2·8% (1·1-4·4) and 4·1% (2·0-6·3). Outcomes in the postprocedural period after CAS and CEA were similar, suggesting robust clinical durability for both treatments. Although long-term outcomes (periprocedural and postprocedural risks combined) continue to favour CEA, the similarity of the postprocedural rates suggest that improvements in the periprocedural safety of CAS could provide similar outcomes of the two procedures in the future. None.</t>
  </si>
  <si>
    <t>Physical activity levels of women with breast cancer during and after treatment, a comparison with the Dutch female population.</t>
  </si>
  <si>
    <t>Gal, R; Monninkhof, E M; Peeters, P H M; van Gils, C H; van den Bongard, D H J G; Wendel-Vos, G C W; Zuithoff, N P A; Verkooijen, H M; May, A M</t>
  </si>
  <si>
    <t>https://pubmed.ncbi.nlm.nih.gov/30724657</t>
  </si>
  <si>
    <t>&lt;b&gt;Background:&lt;/b&gt; Physical activity has been shown to reduce side-effects of breast cancer and its treatment. As physical activity levels of patients with breast cancer are largely unknown, we investigated these levels and compared them to women from the general population. &lt;b&gt;Methods:&lt;/b&gt; In this prospective cohort study, physical activity levels of women with breast cancer participating in the UMBRELLA cohort were assessed at radiotherapy intake and thereafter every 6 months up to 3 years with the SQUASH questionnaire, which was also used in a random sample of the Dutch population. We compared physical activity levels (no activity, low, moderate or high levels of sports, leisure time or total activity) between patients and the Dutch female population using multinomial logistic regression. Standardized Prevalence Ratios (SPR) were calculated to compare adherence to Dutch physical activity guidelines. &lt;b&gt;Results:&lt;/b&gt; Women with breast cancer (&lt;i&gt;n&lt;/i&gt;&lt;sub&gt;baseline&lt;/sub&gt; = 1655, &lt;i&gt;n&lt;/i&gt;&lt;sub&gt;6 months&lt;/sub&gt; = 1414, &lt;i&gt;n&lt;/i&gt;&lt;sub&gt;12 months&lt;/sub&gt; = 1186, &lt;i&gt;n&lt;/i&gt;&lt;sub&gt;18 months&lt;/sub&gt; = 957, &lt;i&gt;n&lt;/i&gt;&lt;sub&gt;24 months&lt;/sub&gt; = 744, &lt;i&gt;n&lt;/i&gt;&lt;sub&gt;30 months&lt;/sub&gt; = 555, and &lt;i&gt;n&lt;/i&gt;&lt;sub&gt;36 months&lt;/sub&gt; = 377) were less likely to spend time in physical activity compared to the general population (&lt;i&gt;n&lt;/i&gt; = 11,710) until 3 years post-diagnosis, especially after 6 months (OR&lt;sub&gt;high-vs.-no activity&lt;/sub&gt; = 0.34, 95% CI: 0.28-0.41). From 12 months onwards, patients were more likely to perform sports compared to the general population, especially patients who underwent systemic therapy. Guideline adherence was significantly lower in patients at baseline and 6 months (SPR&lt;sub&gt;baseline&lt;/sub&gt; = 89, 95% CI: 82-97; SPR&lt;sub&gt;6 months&lt;/sub&gt; = 88, 95% CI: 81-96), and comparable to the general population at 12-36 months, especially in older women. &lt;b&gt;Conclusions:&lt;/b&gt; Physical activity levels in women with breast cancer during and after treatment were lower compared to the Dutch female population. Three years post-treatment, they were still less physically active, although they spend more time in sport activities. As about half of the patients did not perform any sports, physical activity needs to be stimulated during and after treatment.</t>
  </si>
  <si>
    <t>Does pneumococcal conjugate vaccination affect onset and risk of first acute otitis media and recurrences? A primary care-based cohort study.</t>
  </si>
  <si>
    <t>Fortanier, Alexandre C; Venekamp, Roderick P; Hoes, Arno W; Schilder, Anne G M</t>
  </si>
  <si>
    <t>https://pubmed.ncbi.nlm.nih.gov/30738648</t>
  </si>
  <si>
    <t>It has been hypothesized that widespread implementation of pneumococcal conjugate vaccination (PCV) in infancy reduces early AOM and thereby prevents further AOM episodes and associated health care resource use. We tested this hypothesis by applying an extension of the original Cox proportional hazards model (Prentice, Williams and Petersons' total time) to individual AOM episodes recorded in pseudonymised primary care electronic health records of 18,237 Dutch children born between 2004 and 2015. Children were assigned to three groups: no-PCV (January 2004-March 2006), PCV7 (April 2006-February 2011) and PCV10 (March 2011-February 2015). Of the 18,237 newborns, 6967 (38%) experienced at least one GP-diagnosed AOM episode up to the age of four years (median age at first AOM: 12 months, interquartile range: 12; total number of AOM episodes: 14,689). Time-to-first AOM was longest in the PCV10 group compared with the PCV7 and no-PCV groups (log rank test: P &lt; 0.001); in these groups 30% had experienced a first AOM at 20, 17 and 15 months, respectively. Children in the PCV10 group had a 21% lower risk of experiencing a first AOM episode than those in the no-PCV group (hazard ratio (HR): 0.79, 95% confidence interval (CI): 0.72-0.86), while the effect was less pronounced for the PCV7 group (HR: 0.94, 95% CI: 0.87-1.02). Neither PCV7 nor PCV10 reduced the risk of AOM recurrences. Compared to no-PCV, HRs for overall AOM were 1.00 (95% CI: 0.95-1.06) and 0.89 (95% CI: 0.84-0.95) for PCV7 and PCV10, respectively. Our cohort study suggests that PCV postpones the onset and reduces the risk of first AOM without affecting recurrences. The impact of PCV on overall AOM in children up to the age of four years seems therefore largely attributable to the prevention of a first AOM episode.</t>
  </si>
  <si>
    <t>Dairy Product Intake and Risk of Type 2 Diabetes in EPIC-InterAct: A Mendelian Randomization Study.</t>
  </si>
  <si>
    <t>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t>
  </si>
  <si>
    <t>https://pubmed.ncbi.nlm.nih.gov/30728219</t>
  </si>
  <si>
    <t>To estimate the causal association between intake of dairy products and incident type 2 diabetes. The analysis included 21,820 European individuals (9,686 diabetes cases) of the European Prospective Investigation into Cancer and Nutrition (EPIC)-InterAct case-cohort study. Participants were genotyped, and rs4988235 (LCT-12910C&gt;T), a single nucleotide polymorphism (SNP) for lactase persistence (LP) that enables digestion of dairy sugar, i.e., lactose, was imputed. Baseline dietary intakes were assessed with diet questionnaires. We investigated the associations between imputed SNP dosage for rs4988235 and intake of dairy products and other foods through linear regression. Mendelian randomization (MR) estimates for the milk-diabetes relationship were obtained through a two-stage least squares regression. Each additional LP allele was associated with a higher intake of milk (β 17.1 g/day, 95% CI 10.6-23.6) and milk beverages (β 2.8 g/day, 95% CI 1.0-4.5) but not with intake of other dairy products. Other dietary intakes associated with rs4988235 included fruits (β -7.0 g/day, 95% CI -12.4 to -1.7 per additional LP allele), nonalcoholic beverages (β -18.0 g/day, 95% CI -34.4 to -1.6), and wine (β -4.8 g/day, 95% CI -9.1 to -0.6). In instrumental variable analysis, LP-associated milk intake was not associated with diabetes (hazard ratio&lt;sub&gt;per 15 g/day&lt;/sub&gt; 0.99, 95% CI 0.93-1.05). rs4988235 was associated with milk intake but not with intake of other dairy products. This MR study does not suggest that milk intake is associated with diabetes, which is consistent with previous observational and genetic associations. LP may be associated with intake of other foods as well, but owing to the modest associations, we consider it unlikely that this caused the observed null result.</t>
  </si>
  <si>
    <t>Profile of the SeptiCyte™ LAB gene expression assay to diagnose infection in critically ill patients.</t>
  </si>
  <si>
    <t>Verboom, D M; Koster-Brouwer, M E; Varkila, M R J; Bonten, M J M; Cremer, O L</t>
  </si>
  <si>
    <t>expert review of molecular diagnostics</t>
  </si>
  <si>
    <t>https://pubmed.ncbi.nlm.nih.gov/30623693</t>
  </si>
  <si>
    <t>Sepsis is a severe and frequently occurring clinical syndrome, caused by the inflammatory response to infections. Recent studies on the human transcriptome during sepsis have yielded several gene-expression assays that might assist physicians during clinical assessment of patients suspected of sepsis. SeptiCyte™ LAB (Immunexpress, Seattle, WA) is the first gene expression assay that was cleared by the FDA in the United States to distinguish infectious from non-infectious causes of systemic inflammation in critically ill patients. The test consists of the simultaneous amplification of four RNA transcripts (CEACAM4, LAMP1, PLAC8, and PLA2G7) in whole blood using a quantitative real-time PCR reaction. This review provides an overview of the challenges in the diagnosis of sepsis, the development of gene expression signatures, and a detailed description of available clinical performance studies evaluating SeptiCyte™ LAB.</t>
  </si>
  <si>
    <t>Antimicrobial approaches in the prevention of Staphylococcus aureus infections: a review.</t>
  </si>
  <si>
    <t>Troeman, D P R; Van Hout, D; Kluytmans, J A J W</t>
  </si>
  <si>
    <t>https://pubmed.ncbi.nlm.nih.gov/30376041</t>
  </si>
  <si>
    <t>The prophylactic application of antimicrobials that are active against Staphylococcus aureus can prevent infections. However, implementation in clinical practice is limited. We have reviewed antimicrobial approaches for the prevention of S. aureus infections. We searched the Cochrane Central Register of Controlled Trials, PubMed/MEDLINE and EMBASE databases and trial registries using synonyms for S. aureus, infections and prevention as search terms. We included randomized controlled trials and systematic reviews only. Most studies were conducted with mupirocin. Mupirocin is effective in preventing S. aureus infections in patients receiving dialysis treatment and in surgical patients, particularly if the patients are carriers of S. aureus. The combination of mupirocin and chlorhexidine, but not chlorhexidine alone, is also effective against S. aureus infections. So far, vaccines have not proven successful in protecting against S. aureus infections. Regarding prophylactic povidone-iodine and systemic antibiotics, there is limited evidence supporting their effectiveness against S. aureus infections. Antimicrobial honey has not been proven to be more effective or non-inferior to mupirocin in protecting against S. aureus infections. The current evidence supports the use of mupirocin as prophylaxis for preventing infections with S. aureus, particularly in carriers and in the surgical setting or in patients receiving dialysis treatment. Other antimicrobial agents have not been sufficiently proven to be effective so far, or have been proven ineffective. New trials with vaccines and anti-staphylococcal peptides are currently underway and may lead to new preventive strategies in the future.</t>
  </si>
  <si>
    <t>Concordance in Aneurysm Size at Time of Rupture in Familial Intracranial Aneurysms.</t>
  </si>
  <si>
    <t>Bourcier, Romain; Lindgren, Antti; Desal, Hubert; L'Allinec, Vincent; Januel, Anne Christine; Koivisto, Timo; Jääskeläinen, Juha E; Slot, Emma M H; Mensing, Liselore; Zuithoff, Nicolaas P A; Milot, Geneviève; Algra, Ale; Rinkel, Gabriël J E; Ruigrok, Ynte</t>
  </si>
  <si>
    <t>https://pubmed.ncbi.nlm.nih.gov/30602357</t>
  </si>
  <si>
    <t>Background and Purpose- Intracranial aneurysm (IA) size and location are important determinants of aneurysm rupture risk. In familial IAs there is concordance of location; however, if such concordance exists for size is unknown. We analyzed the concordance of aneurysm size at time of rupture in familial IAs. Methods- In pairs of affected relatives with aneurysmal subarachnoid hemorrhage, the ratio between the largest and the smallest aneurysm size at time of rupture was calculated. We also compared the proportion of families in which both IAs ruptured at a size &lt; or ≥7 mm with the proportion of families in which one IA ruptured at &lt;7 mm and another ≥7 mm. We calculated the repeatability with corresponding 95% CI for aneurysm size at time of rupture. Results- About 130 patients from 64 families were included. Of the 68 affected pairs 18 (26%) had a ratio ≤1.2, 38 (57%) had a ratio &gt;1.2, and 12 (17%) had a ratio ≥3. We found no difference between the proportion of families (n=31; 49%) who both had IA at time of rupture &lt;7 mm (n=20; 31%) or both ≥7 mm (n=11; 18%) and the proportion of those families with one patient with an IA &lt;7 mm and another with an IA ≥7 mm (n=33; 51%; P=0.86). Overall, the repeatability in aneurysm size at rupture within familial IAs was 0.10 (95% CI, 0-0.35). Conclusions- There is no good concordance in aneurysm size at rupture within familial IAs. These data suggest that size of a ruptured IA in a family member should not significantly impact on the management of a familial unruptured IA in a relative.</t>
  </si>
  <si>
    <t>Prevalence of potential modifiable factors of hypertension in patients with difficult-to-control hypertension.</t>
  </si>
  <si>
    <t>Van Der Sande, Nicolette G C; Blankestijn, Peter J; Visseren, Frank L J; Beeftink, Martine M; Voskuil, Michiel; Westerink, Jan; Bots, Michiel L; Spiering, Wilko</t>
  </si>
  <si>
    <t>https://pubmed.ncbi.nlm.nih.gov/30074565</t>
  </si>
  <si>
    <t>A comprehensive diagnostic evaluation of potential modifiable factors of difficult-to-control hypertension would enable clinicians to target-specific amendable causes. Therefore, we assessed the prevalence of underlying medical conditions, lifestyle factors, and concomitant medication use in an integrated diagnostic evaluation in patients with difficult-to-control hypertension, referred to a tertiary center. The study population consisted of 653 patients referred between 2006 and 2016 for difficult-to-control hypertension to the University Medical Center Utrecht. Difficult-to-control hypertension was defined by not reaching blood pressure (BP) goals despite BP-lowering drug use, or high office BP (&gt;160/100 mmHg) without BP-lowering drug use. Patients were evaluated according to a highly standardized protocol including 24-h ambulatory blood measurements after cessation of BP-lowering drugs, 24-h urine sample, and a isotonic (0.9%) saline infusion test. In 621 patients (95%) one or more modifiable factors related to hypertension were identified (mean 2.1, SD 1.1). Obesity-related insulin resistance was the most common underlying medical condition which was diagnosed in 130 patients (20%). Primary aldosteronism was diagnosed in 40 patients (6%) and obstructive sleep apnea in 17 patients (3%). Sodium intake was deemed to high (urinary excretion of &gt;6 g/day) in 433 patients (66%). In total, 283 patients (43%) were physical inactive (&lt;30 min/day, during 5 days/week). Oral contraceptive-related hypertension was diagnosed in 10 women (3% of women). In patients with difficult-to-control hypertension there is a high prevalence of potential modifiable factors related to hypertension, highlighting the importance for an integrated diagnostic evaluation.</t>
  </si>
  <si>
    <t>Safety of Carotid Revascularization in Patients With a History of Coronary Heart Disease.</t>
  </si>
  <si>
    <t>Volkers, Eline J; Algra, Ale; Kappelle, L Jaap; Becquemin, Jean-Pierre; de Borst, Gert J; Brown, Martin M; Bulbulia, Richard; Calvet, David; Eckstein, Hans-Henning; Fraedrich, Gustav; Gregson, John; Halliday, Alison; Hendrikse, Jeroen; Howard, George; Jansen, Olav; Roubin, Gary S; Bonati, Leo H; Brott, Thomas G; Mas, Jean-Louis; Ringleb, Peter A; Greving, Jacoba P; ,</t>
  </si>
  <si>
    <t>https://pubmed.ncbi.nlm.nih.gov/30621529</t>
  </si>
  <si>
    <t>Background and Purpose- We investigated whether procedural stroke or death risk of carotid artery stenting (CAS) compared with carotid endarterectomy (CEA) is different in patients with and without history of coronary heart disease (CHD) and whether the treatment-specific impact of age differs. Methods- We combined individual patient data of 4754 patients with symptomatic carotid stenosis from 4 randomized trials (EVA-3S [Endarterectomy Versus Angioplasty in Patients With Symptomatic Severe Carotid Stenosis], SPACE [Stent-Protected Angioplasty Versus Carotid Endarterectomy], ICSS [International Carotid Stenting Study], and CREST [Carotid Revascularization Endarterectomy Versus Stenting Trial]). Procedural risk was defined as any stroke or death ≤30 days after treatment. We compared procedural risk between both treatments with Cox regression analysis, stratified by history of CHD and age (&lt;70, 70-74, ≥75 years). History of CHD included myocardial infarction, angina, or coronary revascularization. Results- One thousand two hundred ninety-three (28%) patients had history of CHD. Procedural stroke or death risk was higher in patients with history of CHD. Procedural risk in patients treated with CAS compared with CEA was consistent in patients with history of CHD (8.3% versus 4.6%; hazard ratio [HR], 1.96; 95% CI, 0.67-5.73) and in those without (6.9% versus 3.6%; HR, 1.93; 95% CI, 1.40-2.65; P&lt;sub&gt;interaction&lt;/sub&gt;=0.89). In patients with history of CHD, procedural risk was significantly higher after CAS compared with CEA in patients aged ≥75 (CAS-to-CEA HR, 2.78; 95% CI, 1.32-5.85), but not in patients aged &lt;70 (HR, 1.71; 95% CI, 0.79-3.71) and 70 to 74 years (HR, 1.09; 95% CI, 0.45-2.65). In contrast, in patients without history of CHD, procedural risk after CAS was higher in patients aged 70 to 74 (HR, 3.62; 95% CI, 1.80-7.29) and ≥75 years (HR, 2.64; 95% CI, 1.52-4.59), but equal in patients aged &lt;70 years (HR, 1.05; 95% CI, 0.63-1.73; 3-way P&lt;sub&gt;interaction&lt;/sub&gt;=0.09). Conclusions- History of CHD does not modify procedural stroke or death risk of CAS compared with CEA. CAS might be as safe as CEA in patients with history of CHD aged &lt;75 years, whereas for patients without history of CHD, risk after CAS compared with CEA was only equal in those aged &lt;70 years.</t>
  </si>
  <si>
    <t>Selective prevention of cardiometabolic diseases: activities and attitudes of general practitioners across Europe.</t>
  </si>
  <si>
    <t>de Waard, Anne-Karien M; Hollander, Monika; Korevaar, Joke C; Nielen, Mark M J; Carlsson, Axel C; Lionis, Christos; Seifert, Bohumil; Thilsing, Trine; de Wit, Niek J; Schellevis, François G; ,</t>
  </si>
  <si>
    <t>https://pubmed.ncbi.nlm.nih.gov/30016426</t>
  </si>
  <si>
    <t>Cardiometabolic diseases (CMDs) are the number one cause of death. Selective prevention of CMDs by general practitioners (GPs) could help reduce the burden of CMDs. This measure would entail the identification of individuals at high risk of CMDs-but currently asymptomatic-followed by interventions to reduce their risk. No data were available on the attitude and the extent to which European GPs have incorporated selective CMD prevention into daily practice. A survey among 575 GPs from the Czech Republic, Denmark, Greece, the Netherlands and Sweden was conducted between September 2016 and January 2017, within the framework of the SPIMEU-project. On average, 71% of GPs invited their patients to attend for CMD risk assessment. Some used an active approach (47%) while others used an opportunistic approach (53%), but these values differed between countries. Most GPs considered selective CMD prevention as useful (82%) and saw it as part of their normal duties (84%). GPs who did find selective prevention useful were more likely to actively invite individuals compared with their counterparts who did not find prevention useful. Most GPs had a disease management programme for individuals with risk factor(s) for cardiovascular disease (71%) or diabetes (86%). Although most GPs considered selective CMD prevention as useful, it was not universally implemented. The biggest challenge was the process of inviting individuals for risk assessment. It is important to tailor the implementation of selective CMD prevention in primary care to the national context, involving stakeholders at different levels.</t>
  </si>
  <si>
    <t>[An elderly patient with severe peripheral vascular disease].</t>
  </si>
  <si>
    <t>Evenboer, Januska; Wille, Jan; van Asselt, Kristel M</t>
  </si>
  <si>
    <t>https://pubmed.ncbi.nlm.nih.gov/30730689</t>
  </si>
  <si>
    <t>Peripheral arterial disease is a common condition in elderly patients. Cases of severe peripheral vascular disease can be treated with endovascular revascularization or bypass surgery. An amputation may be necessary if revascularization treatments fail. A 94-year-old woman with dementia, living in a nursing home, was referred to the vascular surgery team for a painful ulcer on the left foot. Revascularization fails and due to the infectious status, an above-the-knee amputation seems necessary. Family and physicians, however, opt for a conservative, palliative policy and in the next few weeks the infectious ulcer develops into mummification. The patient nonetheless experiences a good quality of life until she becomes bedridden because of pneumonia. She dies 11 months after she was diagnosed with critical limb ischaemia. Adopting a conservative approach in elderly patients with severe peripheral arterial disease and dementia is a worthwhile alternative to amputation, and can achieve a reasonably good quality of life. Diaries maintained by family members can provide insight into the patient's quality of life.</t>
  </si>
  <si>
    <t>Cardiovascular Risk Factors Associated With Venous Thromboembolism.</t>
  </si>
  <si>
    <t>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Gómez de la Cámara, Agustín; Kuller, Lewis H; Rosengren, Annika; Svensson, Peter J; Nagel, Dorothea; Crespo, Carlos J; Brenner, Hermann</t>
  </si>
  <si>
    <t>jama cardiology</t>
  </si>
  <si>
    <t>https://pubmed.ncbi.nlm.nih.gov/30649175</t>
  </si>
  <si>
    <t>It is uncertain to what extent established cardiovascular risk factors are associated with venous thromboembolism (VTE). To estimate the associations of major cardiovascular risk factors with VTE, ie, deep vein thrombosis and pulmonary embolism. This study included individual participant data mostly from essentially population-based cohort studies from the Emerging Risk Factors Collaboration (ERFC; 731 728 participants; 75 cohorts; years of baseline surveys, February 1960 to June 2008; latest date of follow-up, December 2015) and the UK Biobank (421 537 participants; years of baseline surveys, March 2006 to September 2010; latest date of follow-up, February 2016). Participants without cardiovascular disease at baseline were included. Data were analyzed from June 2017 to September 2018. A panel of several established cardiovascular risk factors. Hazard ratios (HRs) per 1-SD higher usual risk factor levels (or presence/absence). Incident fatal outcomes in ERFC (VTE, 1041; coronary heart disease [CHD], 25 131) and incident fatal/nonfatal outcomes in UK Biobank (VTE, 2321; CHD, 3385). Hazard ratios were adjusted for age, sex, smoking status, diabetes, and body mass index (BMI). Of the 731 728 participants from the ERFC, 403 396 (55.1%) were female, and the mean (SD) age at the time of the survey was 51.9 (9.0) years; of the 421 537 participants from the UK Biobank, 233 699 (55.4%) were female, and the mean (SD) age at the time of the survey was 56.4 (8.1) years. Risk factors for VTE included older age (ERFC: HR per decade, 2.67; 95% CI, 2.45-2.91; UK Biobank: HR, 1.81; 95% CI, 1.71-1.92), current smoking (ERFC: HR, 1.38; 95% CI, 1.20-1.58; UK Biobank: HR, 1.23; 95% CI, 1.08-1.40), and BMI (ERFC: HR per 1-SD higher BMI, 1.43; 95% CI, 1.35-1.50; UK Biobank: HR, 1.37; 95% CI, 1.32-1.41). For these factors, there were similar HRs for pulmonary embolism and deep vein thrombosis in UK Biobank (except adiposity was more strongly associated with pulmonary embolism) and similar HRs for unprovoked vs provoked VTE. Apart from adiposity, these risk factors were less strongly associated with VTE than CHD. There were inconsistent associations of VTEs with diabetes and blood pressure across ERFC and UK Biobank, and there was limited ability to study lipid and inflammation markers. Older age, smoking, and adiposity were consistently associated with higher VTE risk.</t>
  </si>
  <si>
    <t>Shift work, chronotype and the risk of cardiometabolic risk factors.</t>
  </si>
  <si>
    <t>Hulsegge, Gerben; Picavet, H Susan J; van der Beek, Allard J; Verschuren, W M Monique; Twisk, Jos W; Proper, Karin I</t>
  </si>
  <si>
    <t>https://pubmed.ncbi.nlm.nih.gov/29796606</t>
  </si>
  <si>
    <t>The relation between shift work and a large variety of cardiometabolic risk factors is unclear. Also, the role of chronotype is understudied. We examined relations between shift work and cardiometabolic risk factors, and explored these relations in different chronotypes. Cardiometabolic risk factors (anthropometry, blood pressure, lipids, diabetes, γ-glutamyltransferase, C-reactive protein, uric acid and estimated glomerular filtration rate) were assessed among 1334 adults in 1987-91, with repeated measurements every 5 years. Using shift work history data collected in 2013-15, we identified shift work status 1 year prior to all six waves. Linear mixed models and logistic generalized estimating equations were used to estimate the longitudinal relations between shift work and risk factors 1 year later. Shift work was not significantly related with cardiometabolic risk factors (P ≥ 0.05), except for overweight/body mass index. Shift workers had more often overweight (OR: 1.44, 95% CI 1.06-1.95) and a higher body mass index (BMI) (β: 0.56 kg m-2, 95% CI 0.10-1.03) than day workers. A significant difference in BMI between day and shift workers was observed among evening chronotypes (β: 0.97 kg m-2, 95% CI 0.21-1.73), but not among morning chronotypes (β: 0.04 kg m-2, 95% CI -0.85 to 0.93). No differences by frequency of night shifts and duration of shift work were observed. Shift workers did not have an increased risk of cardiometabolic risk factors compared with day workers, but, in particular shift working evening chronotypes, had an increased risk of overweight. More research is needed to verify our results, and establish whether tailored interventions by chronotype are wanted.</t>
  </si>
  <si>
    <t>A guide to systematic review and meta-analysis of prognostic factor studies.</t>
  </si>
  <si>
    <t>Riley, Richard D; Moons, Karel G M; Snell, Kym I E; Ensor, Joie; Hooft, Lotty; Altman, Douglas G; Hayden, Jill; Collins, Gary S; Debray, Thomas P A</t>
  </si>
  <si>
    <t>https://pubmed.ncbi.nlm.nih.gov/30700442</t>
  </si>
  <si>
    <t>Selecting and evaluating decision-making strategies in the intensive care unit: A systematic review.</t>
  </si>
  <si>
    <t>Kerckhoffs, Monika C; Kant, Matthijs; van Delden, Johannes J M; Hooft, Lotty; Kesecioglu, Jozef; van Dijk, Diederik</t>
  </si>
  <si>
    <t>https://pubmed.ncbi.nlm.nih.gov/30738286</t>
  </si>
  <si>
    <t>Many patients in the Intensive Care Unit (ICU) die after a decision to withhold or withdraw treatment. To ensure that for each patient the appropriate decision is taken, a careful decision-making process is required. This review identifies strategies that can be used to optimize the decision-making process for continuing versus limiting life sustaining treatment of ICU patients. We conducted a systematic review of the literature by searching PUBMED and EMBASE. Thirty-two studies were included, with five categories of decision-making strategies (1) integrated communication, (2) consultative communication, (3) ethics consultation, (4) palliative care consultation and (5) decision aids. Many different outcome measures were used and none of them covered all aspects of decisions on continuing versus limiting life sustaining treatment. Integrated communication strategies had a positive effect on multiple outcome measures. Frequent, predefined family-meetings as well as triggered and integrated ethical or palliative consultation were able to reduce length of stay of patients who eventually died, without increasing overall mortality. The decision-making process in the ICU can be enhanced by frequent family-meetings with predefined topics. Ethical and palliative support is useful in specific situations. These interventions can reduce non-beneficial ICU treatment days.</t>
  </si>
  <si>
    <t>Excess early postnatal weight gain and blood pressure in healthy young children.</t>
  </si>
  <si>
    <t>Jansen, M A C; Uiterwaal, C S P M; van der Ent, C K; Grobbee, D E; Dalmeijer, G W</t>
  </si>
  <si>
    <t>https://pubmed.ncbi.nlm.nih.gov/30696501</t>
  </si>
  <si>
    <t>Blood pressure (BP) tracks from childhood to adulthood, and early BP trajectories predict cardiovascular disease risk later in life. Excess postnatal weight gain is associated with vascular changes early in life. However, to what extent it is associated with children's BP is largely unknown. In 853 healthy 5-year-old children of the Wheezing-Illnesses-Study-Leidsche-Rijn (WHISTLER) birth cohort, systolic (SBP) and diastolic BP (DBP) were measured, and z scores of individual weight gain rates adjusted for length gain rates were calculated using at least two weight and length measurements from birth until 3 months of age. Linear regression analyses were conducted to investigate the association between weight gain rates adjusted for length gain rates and BP adjusted for sex and ethnicity. Each standard deviation increase in weight gain rates adjusted for length gain rates was associated with 0.9 mmHg (95% CI 0.3, 1.5) higher sitting SBP after adjustment for confounders. Particularly in children in the lowest birth size decile, high excess weight gain was associated with higher sitting SBP values compared to children with low weight gain rates adjusted for length gain rates. BMI and visceral adipose tissue partly explained the association between excess weight gain and sitting SBP (β 0.5 mmHg, 95% CI -0.3, 1.3). Weight gain rates adjusted for length gain rates were not associated with supine SBP or DBP. Children with excess weight gain, properly adjusted for length gain, in the first three months of life, particularly those with a small birth size, showed higher sitting systolic BP at the age of 5 years.</t>
  </si>
  <si>
    <t>Nerve ultrasound: A reproducible diagnostic tool in peripheral neuropathy.</t>
  </si>
  <si>
    <t>Telleman, Johan A; Herraets, Ingrid J T; Goedee, H Stephan; Verhamme, Camiel; Nikolakopoulos, Stavros; van Asseldonk, Jan-Thies H; van der Pol, W Ludo; van den Berg, Leonard H; Visser, Leo H</t>
  </si>
  <si>
    <t>https://pubmed.ncbi.nlm.nih.gov/30593519</t>
  </si>
  <si>
    <t>To determine interobserver variability of nerve ultrasound in peripheral neuropathy in a prospective, systematic, multicenter study. We enrolled 20 patients with an acquired chronic demyelinating or axonal polyneuropathy and 10 healthy controls in 3 different centers. All participants underwent an extensive nerve ultrasound protocol, including cross-sectional area measurements of median, ulnar, fibular, tibial, and sural nerves, and brachial plexus. Real-time image acquisition was performed blind by a local and a visiting investigator (reference). Five patients were investigated using different types of sonographic devices. Intraclass correlation coefficients were calculated, and a random-effects model was fitted to identify factors with significant effect on interobserver variability. Systematic differences between measurements made by different investigators were small (mean difference 0.11 mm&lt;sup&gt;2&lt;/sup&gt; [95% confidence interval 0.00-0.23 mm&lt;sup&gt;2&lt;/sup&gt;]). Intraclass correlation coefficients were generally higher in arm nerves (0.48-0.96) than leg nerves (0.46-0.61). The hospital site and sonographic device did not contribute significantly to interobserver variability in the random-effects model. Interobserver variability of nerve ultrasound in peripheral neuropathy is generally limited, especially in arm nerves. Different devices and a multicenter setting have no effect on interobserver variability. Therefore, nerve ultrasound is a reproducible tool for diagnostics in routine clinical practice and (multicenter) research.</t>
  </si>
  <si>
    <t>Refining eligibility criteria for amyotrophic lateral sclerosis clinical trials.</t>
  </si>
  <si>
    <t>van Eijk, Ruben P A; Westeneng, Henk-Jan; Nikolakopoulos, Stavros; Verhagen, Iris E; van Es, Michael A; Eijkemans, Marinus J C; van den Berg, Leonard H</t>
  </si>
  <si>
    <t>https://pubmed.ncbi.nlm.nih.gov/30626653</t>
  </si>
  <si>
    <t>To assess the effect of eligibility criteria on exclusion rates, generalizability, and outcome heterogeneity in amyotrophic lateral sclerosis (ALS) clinical trials and to assess the value of a risk-based inclusion criterion. A literature search was performed to summarize the eligibility criteria of clinical trials. The extracted criteria were applied to an incidence cohort of 2,904 consecutive patients with ALS to quantify their effects on generalizability and outcome heterogeneity. We evaluated the effect of a risk-based selection approach on trial design using a personalized survival prediction model. We identified 38 trials. A large variability exists between trials in all patient characteristics for enrolled patients (&lt;i&gt;p&lt;/i&gt; &lt; 0.001), except for the proportion of men (&lt;i&gt;p&lt;/i&gt; = 0.21). Exclusion rates varied widely (from 14% to 95%; mean 59.8%; 95% confidence interval 52.6%-66.7%). Stratification of the eligible populations into prognostic subgroups showed that eligibility criteria lead to exclusion of patients in all prognostic groups. Eligibility criteria neither reduce heterogeneity in survival time (from 22.0 to 20.5 months, &lt;i&gt;p&lt;/i&gt; = 0.09) nor affect between-patient variability in functional decline (from 0.62 to 0.65, &lt;i&gt;p&lt;/i&gt; = 0.25). In none of the 38 trials were the eligibility criteria found to be more efficient than the prediction model in optimizing sample size and eligibility rate. The majority of patients with ALS are excluded from trial participation, which questions the generalizability of trial results. Eligibility criteria only minimally improve homogeneity in trial endpoints. An individualized risk-based criterion could be used to balance the gains in trial design and loss in generalizability.</t>
  </si>
  <si>
    <t>Change in IQ in schizophrenia patients and their siblings: a controlled longitudinal study.</t>
  </si>
  <si>
    <t>Van Haren, N E M; Van Dam, D S; Stellato, R K; ,</t>
  </si>
  <si>
    <t>https://pubmed.ncbi.nlm.nih.gov/30674361</t>
  </si>
  <si>
    <t>Lower intelligence quotient (IQ) has frequently been reported in patients with schizophrenia. However, it is unclear whether IQ declines (further) after illness onset and what the familial contribution is to this change. Therefore, we investigate IQ changes during the course of illness in patients with non-affective psychosis, their siblings and controls. Data are part of the longitudinal Genetic Risk and Outcome of Psychosis (GROUP) study in the Netherlands and Belgium. Participants underwent three measurements, each approximately 3 years apart. A total of 1022 patients with non-affective psychosis [illness duration: 4.34 (s.d. = 4.50) years], 977 of their siblings, and 565 controls had at least one measure of IQ (estimated from four subtests of the WAIS-III). At baseline, IQ was significantly lower in patients (IQ = 97.8) and siblings (IQ = 108.2; p &lt; 0.0001) than in controls (IQ = 113.0; p &lt; 0.0001), and in patients as compared with siblings (p &lt; 0.0001). Over time, IQ increased in all groups. In siblings, improvement in IQ was significantly more pronounced (+0.7 points/year) than in patients (+0.5 points/year; p &lt; 0.0001) and controls (+0.3 points/year; p &lt; 0.0001). IQ increase was not significantly correlated with improvement in (sub)clinical outcome in any of the groups. During the first 10 years of the illness, IQ increases to a similar (and subtle) extent in a relatively high-functioning group of schizophrenia patients and controls, despite the lower IQ in patients at baseline. In addition, the siblings' IQ was intermediate at baseline, but over time the increase in IQ was more pronounced.</t>
  </si>
  <si>
    <t>Consecutive antibiotic use in the outpatient setting: an extensive, longitudinal descriptive analysis of antibiotic dispensing data in the Netherlands.</t>
  </si>
  <si>
    <t>de Jong, Loek A W; van der Linden, Paul D; Roukens, Monique M B; van de Garde, Ewoudt M W; van der Velden, Alike W; Natsch, Stephanie; ,</t>
  </si>
  <si>
    <t>https://pubmed.ncbi.nlm.nih.gov/30678645</t>
  </si>
  <si>
    <t>Taking consecutive antibiotic use into account is of importance to obtain insight in treatment within disease episodes, use of 2nd- and 3rd-choice antibiotics, therapy failure and/or side effects. Nevertheless, studies dealing with consecutive antibiotic use are scarce. We aimed at evaluating switch patterns in antibiotic use in the outpatient setting in the Netherlands. Outpatient antibiotic dispensing data was processed to antibiotic treatment episodes consisting of single prescriptions or consecutive prescriptions (2006 to 2014). Consecutive prescriptions were categorised into prolongations and switches. Switches were further analysed to obtain antibiotic switch percentages and trends over time. Outcomes were compared with recommendations of Dutch guidelines. A total of 43,179,867 antibiotic prescriptions were included in the analysis, consisting of single prescriptions (95%), prolongations (2%) and switches (3%). The highest switch percentages were found for trimethoprim (7.6%) and nitrofurantoin (5.4%). For fosfomycin, ciprofloxacin, flucloxacillin and trimethoprim we found the highest yearly increase in switching. Amoxicillin/clavulanic acid was most often used as second antibiotic in a switch. A surprisingly high number of 2nd- and 3rd-choice antibiotics are prescribed as first antibiotic in a treatment. Although the actual reason for a switch is unknown, switch patterns can reveal problems concerning treatment failure and guideline adherence. In general, switch percentages of antibiotics in the Netherlands are low. The data contributes to the knowledge regarding antibiotic switch patterns in the outpatient setting.</t>
  </si>
  <si>
    <t>[Advisory statement of the Health Council of the Netherlands on vaccination against meningococcal disease: a missed opportunity?].</t>
  </si>
  <si>
    <t>Bruijning-Verhagen, Patricia C J L</t>
  </si>
  <si>
    <t>https://pubmed.ncbi.nlm.nih.gov/30719882</t>
  </si>
  <si>
    <t>The recent outbreak of serogroup W meningococcal disease in the Netherlands, and the start of the vaccination campaign for adolescents in response, dominated the national headlines in 2018. During this time, the Health Council of the Netherlands prepared an advisory statement, which was released in December 2018, on how meningococcal disease caused by various serogroups could be controlled in the future. The Counsel recommends to include vaccination against serogroups A, C, W and Y for infants and adolescents in the Dutch National Immunization Programme. By contrast, vaccination against serogroup B was not recommended. This article is a commentary on the recommendations in the advisory statement and discusses the epidemiology of meningococcal serogroup B infections in the Netherlands, the effectiveness of the vaccine against this serogroup as well as common side effects, and as such demonstrates the difficult balance between pros and cons and the need for broadly based discussion in the public sphere about the scope of the Dutch National Immunization Programme.</t>
  </si>
  <si>
    <t>[Cardiac screening in young top athletes: don't do it!].</t>
  </si>
  <si>
    <t>Bots, Michiel L; Mosterd, Arend</t>
  </si>
  <si>
    <t>https://pubmed.ncbi.nlm.nih.gov/30719880</t>
  </si>
  <si>
    <t>One out of 14 players who were screened needed extensive further cardiac evaluation, which is associated with morbidity and loss of quality of life, while no sudden cardiac death was prevented. Therefore, cardiac screening of 15-17-year-old potentially professional soccer players in order to prevent sudden cardiac death is not recommended. Instead, it is advisable to put effort in enhancement of possibilities for quickly starting cardiopulmonary resuscitation in case of cardiac arrest in athletes.</t>
  </si>
  <si>
    <t>The increasing need for systematic reviews of prognosis studies: strategies to facilitate review production and improve quality of primary research.</t>
  </si>
  <si>
    <t>Damen, Johanna A A G; Hooft, Lotty</t>
  </si>
  <si>
    <t>https://pubmed.ncbi.nlm.nih.gov/31093572</t>
  </si>
  <si>
    <t>Personalized, precision, and risk-based medicine are becoming increasingly important in medicine. These involve the use of information about the prognosis of a patient, to make individualized treatment decisions. This has led to an accumulating amount of literature available on prognosis studies. To summarize and evaluate this information overload, high-quality systematic reviews are essential, additionally helping us to facilitate interpretation and usability of prognosis study findings and to identify gaps in literature. Four types of prognosis studies can be identified: overall prognosis, prognostic factors, prognostic models, and predictors of treatment effect. Methodologists have focussed on developing methods and tools for every step of a systematic review for reviews of all four types of prognosis studies, from formulating the review question and writing a protocol to searching for studies, assessing risk of bias, meta-analysing results, and interpretation of results. The growing attention for prognosis research has led to the introduction of the Cochrane Prognosis Methods Group (PMG). Since 2016, reviews of prognosis studies are formally implemented within Cochrane. With these recent methodological developments and tools, and the implementation within Cochrane, it becomes increasingly feasible to perform high-quality reviews of prognosis studies that will have an impact on clinical practice.</t>
  </si>
  <si>
    <t>Search for doubly charged scalar bosons decaying into same-sign &lt;i&gt;W&lt;/i&gt; boson pairs with the ATLAS detector.</t>
  </si>
  <si>
    <t>the european physical journal c particles and fields</t>
  </si>
  <si>
    <t>https://pubmed.ncbi.nlm.nih.gov/30872971</t>
  </si>
  <si>
    <t>A search for doubly charged scalar bosons decaying into &lt;i&gt;W&lt;/i&gt; boson pairs is presented. It uses a data sample from proton-proton collisions corresponding to an integrated luminosity of 36.1 fb &lt;math xmlns="http://www.w3.org/1998/Math/MathML"&gt;&lt;msup&gt;&lt;mrow&gt;&lt;/mrow&gt; &lt;mrow&gt;&lt;mo&gt;-&lt;/mo&gt; &lt;mn&gt;1&lt;/mn&gt;&lt;/mrow&gt; &lt;/msup&gt; &lt;/math&gt; collected by the ATLAS detector at the LHC at a centre-of-mass energy of 13 TeV in 2015 and 2016. This search is guided by a model that includes an extension of the Higgs sector through a scalar triplet, leading to a rich phenomenology that includes doubly charged scalar bosons &lt;math xmlns="http://www.w3.org/1998/Math/MathML"&gt;&lt;msup&gt;&lt;mi&gt;H&lt;/mi&gt; &lt;mrow&gt;&lt;mo&gt;±&lt;/mo&gt; &lt;mo&gt;±&lt;/mo&gt;&lt;/mrow&gt; &lt;/msup&gt; &lt;/math&gt; . Those bosons are produced in pairs in proton-proton collisions and decay predominantly into electroweak gauge bosons &lt;math xmlns="http://www.w3.org/1998/Math/MathML"&gt; &lt;mrow&gt;&lt;msup&gt;&lt;mi&gt;H&lt;/mi&gt; &lt;mrow&gt;&lt;mo&gt;±&lt;/mo&gt; &lt;mo&gt;±&lt;/mo&gt;&lt;/mrow&gt; &lt;/msup&gt; &lt;mo&gt;→&lt;/mo&gt; &lt;msup&gt;&lt;mi&gt;W&lt;/mi&gt; &lt;mo&gt;±&lt;/mo&gt;&lt;/msup&gt; &lt;msup&gt;&lt;mi&gt;W&lt;/mi&gt; &lt;mo&gt;±&lt;/mo&gt;&lt;/msup&gt; &lt;/mrow&gt; &lt;/math&gt; . Experimental signatures with several leptons, missing transverse energy and jets are explored. No significant deviations from the Standard Model predictions are found. The parameter space of the benchmark model is excluded at 95% confidence level for &lt;math xmlns="http://www.w3.org/1998/Math/MathML"&gt;&lt;msup&gt;&lt;mi&gt;H&lt;/mi&gt; &lt;mrow&gt;&lt;mo&gt;±&lt;/mo&gt; &lt;mo&gt;±&lt;/mo&gt;&lt;/mrow&gt; &lt;/msup&gt; &lt;/math&gt; bosons with masses between 200 and 220 GeV.</t>
  </si>
  <si>
    <t>Pain management in acute otitis media: a qualitative study of parents' views and expectations.</t>
  </si>
  <si>
    <t>van Uum, Rick T; Venekamp, Roderick P; Schilder, Anne G M; Damoiseaux, Roger A M J; Anthierens, Sibyl</t>
  </si>
  <si>
    <t>https://pubmed.ncbi.nlm.nih.gov/30674279</t>
  </si>
  <si>
    <t>For unclarified reasons, parents tend to be cautious about administering analgesics to their children, potentially leading to suboptimal management of AOM symptoms. We aim to understand parents' views and expectations of pain management in acute otitis media (AOM) in children. Qualitative study alongside a cluster-randomised controlled trial (PIM-POM study) aimed at optimising pain management in childhood AOM. We purposefully sampled 14 parents of children diagnosed with AOM by their GP, who were recruited to the trial between November 2017 and May 2018. Semi-structured interviews were held at home in the first two weeks after trial enrollment. Interviews were audio-recorded, transcribed and analyzed thematically. Parents experienced difficulties in recognising earache and other symptoms of an ear infection. They consulted the GP for a diagnosis, for reassurance and for management advice. Parents shared that, prior to consultation, they had insufficient knowledge of the benefits of correctly dosed pain medication at regularly scheduled intervals. Parents valued the GP's advice on pain management, and were happy to accept pain medication as standalone therapy, provided that the GP explained why antibiotics would not be needed. Parents' views and expectations of pain management in AOM were shaped by previous experiences of AOM within their family; those with a positive experience of pain medication are more likely to use it in subsequent AOM episodes. Parents of children with AOM consult the GP to help cope with uncertainties in recognising symptoms of AOM, and to receive management advice. It is important that GPs are aware of parents' lack of understanding of the role of pain medication in managing AOM, and that they address this during the consultation. Netherlands Trial Register, identifier NTR4920 (registration date: 19 December 2014).</t>
  </si>
  <si>
    <t>Effect of 6-Month Vitamin D Supplementation on Plasma Matrix Gla Protein in Older Adults.</t>
  </si>
  <si>
    <t>van Ballegooijen, Adriana J; Beulens, Joline W J; Schurgers, Leon J; de Koning, Elisa J; Lips, Paul; van Schoor, Natasja M; Vervloet, Marc G</t>
  </si>
  <si>
    <t>https://pubmed.ncbi.nlm.nih.gov/30678199</t>
  </si>
  <si>
    <t>Vitamin D supplementation has been widely promoted to restore 25-hydroxyvitamin D concentrations; however, experimental evidence suggests a nutrient interaction with vitamin K. We assessed the effects of 1200 IU vitamin D₃ per day versus placebo for six months on vitamin K status in a randomized, double-blind, placebo-controlled trial with participants aged 60⁻80 years with depressive symptoms and ≥1 functional limitation for a secondary analysis. Stored baseline and six-month follow-up blood samples were available for 131 participants (&lt;i&gt;n&lt;/i&gt; = 65 placebo vs. &lt;i&gt;n&lt;/i&gt; = 66 vitamin D supplementation). We measured dephosphorylated uncarboxylated matrix gla protein (MGP) (dp-ucMGP) concentrations-a marker of vitamin K deficiency. Mean age was 68 years, and 89 participants (68%) were women. Vitamin K antagonists were used by 16 participants and multivitamin supplements by 50 participants. No differences in change between intervention and placebo were found (-38.5 ± 389 vs. 4.5 ± 127 (pmol/L), &lt;i&gt;p&lt;/i&gt; = 0.562). When excluding vitamin K antagonist users and multivitamin users, dp-ucMGP at follow-up was significantly higher in the vitamin D group (&lt;i&gt;n&lt;/i&gt; = 40) compared to placebo (&lt;i&gt;n&lt;/i&gt; = 30), with a difference of 92.8 (5.7, 180) pmol/L, adjusting for baseline dp-ucMGP and sex. In conclusion, vitamin D supplementation for six months did not affect vitamin K status; however, among participants without vitamin K antagonist or multivitamin use, vitamin D supplementation influenced dp-ucMGP concentrations.</t>
  </si>
  <si>
    <t>Choosing the right strategy based on individualized treatment effect predictions: combination versus sequential chemotherapy in patients with metastatic colorectal cancer.</t>
  </si>
  <si>
    <t>Kwakman, Johannes J M; van Kruijsdijk, Rob C M; Elias, Sjoerd G; Seymour, Matthew T; Meade, Angela M; Visseren, Frank L J; Punt, Cornelis J A; Koopman, Miriam</t>
  </si>
  <si>
    <t>https://pubmed.ncbi.nlm.nih.gov/30657353</t>
  </si>
  <si>
    <t>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t>
  </si>
  <si>
    <t>Performance of Prediction Algorithms for Modeling Outdoor Air Pollution Spatial Surfaces.</t>
  </si>
  <si>
    <t>Kerckhoffs, Jules; Hoek, Gerard; Portengen, Lützen; Brunekreef, Bert; Vermeulen, Roel C H</t>
  </si>
  <si>
    <t>https://pubmed.ncbi.nlm.nih.gov/30609353</t>
  </si>
  <si>
    <t>Land use regression (LUR) models for air pollutants are often developed using multiple linear regression techniques. However, in the past decade linear (stepwise) regression methods have been criticized for their lack of flexibility, their ignorance of potential interaction between predictors, and their limited ability to incorporate highly correlated predictors. We used two training sets of ultrafine particles (UFP) data (mobile measurements (8200 segments, 25 s monitoring per segment), and short-term stationary measurements (368 sites, 3 × 30 min per site)) to evaluate different modeling approaches to estimate long-term UFP concentrations by estimating precision and bias based on an independent external data set (42 sites, average of three 24-h measurements). Higher training data R&lt;sup&gt;2&lt;/sup&gt; did not equate to higher test R&lt;sup&gt;2&lt;/sup&gt; for the external long-term average exposure estimates, making the argument that external validation data are critical to compare model performance. Machine learning algorithms trained on mobile measurements explained only 38-47% of external UFP concentrations, whereas multivariable methods like stepwise regression and elastic net explained 56-62%. Some machine learning algorithms (bagging, random forest) trained on short-term measurements explained modestly more variability of external UFP concentrations compared to multiple linear regression and regularized regression techniques. In conclusion, differences in predictive ability of algorithms depend on the type of training data and are generally modest.</t>
  </si>
  <si>
    <t>Depressive symptoms and quality of life after screening for cognitive impairment in patients with type 2 diabetes: observations from the Cog-ID cohort study.</t>
  </si>
  <si>
    <t>Janssen, Jolien; Koekkoek, Paula S; Biessels, Geert-Jan; Kappelle, Jaap L; Rutten, Guy E H M; ,</t>
  </si>
  <si>
    <t>https://pubmed.ncbi.nlm.nih.gov/30782740</t>
  </si>
  <si>
    <t>To assess changes in depressive symptoms and health-related quality of life (HRQOL) after screening for cognitive impairment in people with type 2 diabetes. A prospective cohort study, part of the Cognitive Impairment in Diabetes (Cog-ID) study. Participants were screened for cognitive impairment in primary care. People suspected of cognitive impairment (screen positives) received a standardised evaluation at a memory clinic. Participants ≥70 years with type 2 diabetes were included in Cog-ID between August 2012 and September 2014, the current study includes 179 patients; 39 screen positives with cognitive impairment, 56 screen positives without cognitive impairment and 84 participants not suspected of cognitive impairment during screening (screen negatives). Depressive symptoms and HRQOL assessed with the Center for Epidemiologic Studies Depression Scale (CES-D), 36-Item Short-Form Health Survey, European Quality of Life-5 Dimensions questionnaire and the EuroQol Visual Analogue Scale. Outcomes were assessed before the screening, and 6 and 24 months after screening. An analysis of covariance model was fitted to assess differences in score changes among people diagnosed with cognitive impairment, screen negatives and screen positives without cognitive impairment using a factor group and baseline score as a covariate. Of all participants, 60.3% was male, mean age was 76.3±5.0 years, mean diabetes duration 13.0±8.5 years. At screening, participants diagnosed with cognitive impairment had significantly more depressive symptoms and a worse HRQOL than screen negatives. Scores of both groups remained stable over time. Screen positives without cognitive impairment scored between the other two groups at screening, but their depressive symptoms decreased significantly during follow-up (mean CES-D: -3.1 after 6 and -2.1 after 24 months); their HRQOL also tended to improve. Depressive symptoms are common in older people with type 2 diabetes. Screening for and a subsequent diagnosis of cognitive impairment will not increase depressive symptoms.</t>
  </si>
  <si>
    <t>How pharmacoepidemiology networks can manage distributed analyses to improve replicability and transparency and minimize bias.</t>
  </si>
  <si>
    <t>Platt, Robert W; Platt, Richard; Brown, Jeffrey S; Henry, David A; Klungel, Olaf H; Suissa, Samy</t>
  </si>
  <si>
    <t>https://pubmed.ncbi.nlm.nih.gov/30648307</t>
  </si>
  <si>
    <t>Several pharmacoepidemiology networks have been developed over the past decade that use a distributed approach, implementing the same analysis at multiple data sites, to preserve privacy and minimize data sharing. Distributed networks are efficient, by interrogating data on very large populations. The structure of these networks can also be leveraged to improve replicability, increase transparency, and reduce bias. We describe some features of distributed networks using, as examples, the Canadian Network for Observational Drug Effect Studies, the Sentinel System in the USA, and the European Research Network of Pharmacovigilance and Pharmacoepidemiology. Common protocols, analysis plans, and data models, with policies on amendments and protocol violations, are key features. These tools ensure that studies can be audited and repeated as necessary. Blinding and strict conflict of interest policies reduce the potential for bias in analyses and interpretation. These developments should improve the timeliness and accuracy of information used to support both clinical and regulatory decisions.</t>
  </si>
  <si>
    <t>The association between HIV infection and pulmonary function in a rural African population.</t>
  </si>
  <si>
    <t>Varkila, Meri R J; Vos, Alinda G; Barth, Roos E; Tempelman, Hugo A; Devillé, Walter L J; Coutinho, Roel A; Grobbee, Diederick E; Klipstein-Grobusch, Kerstin</t>
  </si>
  <si>
    <t>https://pubmed.ncbi.nlm.nih.gov/30645622</t>
  </si>
  <si>
    <t>HIV infection has been associated with an impaired lung function in high-income countries, but the association between HIV infection and pulmonary function in Sub-Saharan Africa remains unclear. This study aims to investigate the relation between HIV infection and pulmonary function in a rural African population. A cross-sectional study was conducted among HIV-positive and HIV-negative adults in a rural area in South Africa, as part of the Ndlovu Cohort Study. A respiratory questionnaire and post-bronchodilator spirometry were performed. Multivariable regression analysis was used to investigate whether HIV was independently associated with a decrease in post-bronchodilator FEV1/FVC ratio considering age, sex, body mass index, respiratory risk factors and a history of a pulmonary infection (tuberculosis (TB) or a pneumonia). Possible mediation by a history of pulmonary infection was tested by removing this variable from the final model. Two hundred and one consecutive participants were enrolled in the study in 2016, 84 (41.8%) were HIV-positive (82.1% on ART). The median age was 38 (IQR 29-51) years. Following multivariable analysis HIV was not significantly associated to a decline in post-bronchodilator FEV1/FVC ratio (β -0.017, p 0.18). However, upon removal of a history of a pulmonary infection from the final model HIV was significantly related to post-bronchodilator FEV1/FVC ratio, β -0.026, p 0.03. Pulmonary function is affected by HIV infection which most likely results from co-infection with TB or other pneumonia. Further research should focus on the influence of a pulmonary infection, most notably TB, on pulmonary function, especially as the incidence of TB is high in HIV infection.</t>
  </si>
  <si>
    <t>Ovarian cancer risk factors by tumor aggressiveness: An analysis from the Ovarian Cancer Cohort Consortium.</t>
  </si>
  <si>
    <t>Fortner, Renée T; Poole, Elizabeth M; Wentzensen, Nicolas A; Trabert, Britton; White, Emily; Arslan, Alan A; Patel, Alpa V; Setiawan, V Wendy; Visvanathan, Kala; Weiderpass, Elisabete; Adami, Hans-Olov; Black, Amanda; Bernstein, Leslie; Brinton, Louise A; Buring, Julie; Clendenen, Tess V; Fournier, Agnès; Fraser, Gary; Gapstur, Susan M; Gaudet, Mia M; Giles, Graham G; Gram, Inger T; Hartge, Patricia; Hoffman-Bolton, Judith; Idahl, Annika; Kaaks, Rudolf; Kirsh, Victoria A; Knutsen, Synnove; Koh, Woon-Puay; Lacey, James V; Lee, I-Min; Lundin, Eva; Merritt, Melissa A; Milne, Roger L; Onland-Moret, N Charlotte; Peters, Ulrike; Poynter, Jenny N; Rinaldi, Sabina; Robien, Kim; Rohan, Thomas; Sánchez, Maria-José; Schairer, Catherine; Schouten, Leo J; Tjonneland, Anne; Townsend, Mary K; Travis, Ruth C; Trichopoulou, Antonia; van den Brandt, Piet A; Vineis, Paolo; Wilkens, Lynne; Wolk, Alicja; Yang, Hannah P; Zeleniuch-Jacquotte, Anne; Tworoger, Shelley S</t>
  </si>
  <si>
    <t>https://pubmed.ncbi.nlm.nih.gov/30561796</t>
  </si>
  <si>
    <t>Ovarian cancer risk factors differ by histotype; however, within subtype, there is substantial variability in outcomes. We hypothesized that risk factor profiles may influence tumor aggressiveness, defined by time between diagnosis and death, independent of histology. Among 1.3 million women from 21 prospective cohorts, 4,584 invasive epithelial ovarian cancers were identified and classified as highly aggressive (death in &lt;1 year, n = 864), very aggressive (death in 1 to &lt; 3 years, n = 1,390), moderately aggressive (death in 3 to &lt; 5 years, n = 639), and less aggressive (lived 5+ years, n = 1,691). Using competing risks Cox proportional hazards regression, we assessed heterogeneity of associations by tumor aggressiveness for all cases and among serous and endometrioid/clear cell tumors. Associations between parity (p&lt;sub&gt;het&lt;/sub&gt; = 0.01), family history of ovarian cancer (p&lt;sub&gt;het&lt;/sub&gt; = 0.02), body mass index (BMI; p&lt;sub&gt;het&lt;/sub&gt; ≤ 0.04) and smoking (p&lt;sub&gt;het&lt;/sub&gt; &lt; 0.01) and ovarian cancer risk differed by aggressiveness. A first/single pregnancy, relative to nulliparity, was inversely associated with highly aggressive disease (HR: 0.72; 95% CI [0.58-0.88]), no association was observed for subsequent pregnancies (per pregnancy, 0.97 [0.92-1.02]). In contrast, first and subsequent pregnancies were similarly associated with less aggressive disease (0.87 for both). Family history of ovarian cancer was only associated with risk of less aggressive disease (1.94 [1.47-2.55]). High BMI (≥35 vs. 20 to &lt; 25 kg/m&lt;sup&gt;2&lt;/sup&gt; , 1.93 [1.46-2.56] and current smoking (vs. never, 1.30 [1.07-1.57]) were associated with increased risk of highly aggressive disease. Results were similar within histotypes. Ovarian cancer risk factors may be directly associated with subtypes defined by tumor aggressiveness, rather than through differential effects on histology. Studies to assess biological pathways are warranted.</t>
  </si>
  <si>
    <t>Interpretation of CVD risk predictions in clinical practice: Mission impossible?</t>
  </si>
  <si>
    <t>Lagerweij, G R; Moons, K G M; de Wit, G A; Koffijberg, H</t>
  </si>
  <si>
    <t>https://pubmed.ncbi.nlm.nih.gov/30625177</t>
  </si>
  <si>
    <t>Cardiovascular disease (CVD) risk prediction models are often used to identify individuals at high risk of CVD events. Providing preventive treatment to these individuals may then reduce the CVD burden at population level. However, different prediction models may predict different (sets of) CVD outcomes which may lead to variation in selection of high risk individuals. Here, it is investigated if the use of different prediction models may actually lead to different treatment recommendations in clinical practice. The exact definition of and the event types included in the predicted outcomes of four widely used CVD risk prediction models (ATP-III, Framingham (FRS), Pooled Cohort Equations (PCE) and SCORE) was determined according to ICD-10 codes. The models were applied to a Dutch population cohort (n = 18,137) to predict the 10-year CVD risks. Finally, treatment recommendations, based on predicted risks and the treatment threshold associated with each model, were investigated and compared across models. Due to the different definitions of predicted outcomes, the predicted risks varied widely, with an average 10-year CVD risk of 1.2% (ATP), 5.2% (FRS), 1.9% (PCE), and 0.7% (SCORE). Given the variation in predicted risks and recommended treatment thresholds, preventive drugs would be prescribed for 0.2%, 14.9%, 4.4%, and 2.0% of all individuals when using ATP, FRS, PCE and SCORE, respectively. Widely used CVD prediction models vary substantially regarding their outcomes and associated absolute risk estimates. Consequently, absolute predicted 10-year risks from different prediction models cannot be compared directly. Furthermore, treatment decisions often depend on which prediction model is applied and its recommended risk threshold, introducing unwanted practice variation into risk-based preventive strategies for CVD.</t>
  </si>
  <si>
    <t>Erratum to: Measurement of the &lt;i&gt;W&lt;/i&gt; boson polarisation in &lt;math xmlns="http://www.w3.org/1998/Math/MathML"&gt;&lt;mrow&gt;&lt;mi&gt;t&lt;/mi&gt; &lt;mover&gt;&lt;mrow&gt;&lt;mi&gt;t&lt;/mi&gt;&lt;/mrow&gt; &lt;mrow&gt;&lt;mo&gt;¯&lt;/mo&gt;&lt;/mrow&gt; &lt;/mover&gt; &lt;/mrow&gt; &lt;/math&gt; events from &lt;i&gt;pp&lt;/i&gt; collisions at &lt;math xmlns="http://www.w3.org/1998/Math/MathML"&gt; &lt;mrow&gt;&lt;msqrt&gt;&lt;mi&gt;s&lt;/mi&gt;&lt;/msqrt&gt; &lt;mo&gt;=&lt;/mo&gt; &lt;mn&gt;8&lt;/mn&gt; &lt;mspace&gt;&lt;/mspace&gt; &lt;mtext&gt;TeV&lt;/mtext&gt;&lt;/mrow&gt; &lt;/math&gt; in the lepton + jets channel with ATLAS.</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</si>
  <si>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 Angelidakis, S; Angelozzi, I; Ange</t>
  </si>
  <si>
    <t>https://pubmed.ncbi.nlm.nih.gov/31187788</t>
  </si>
  <si>
    <t>[This corrects the article DOI: 10.1140/epjc/s10052-017-4819-4.].</t>
  </si>
  <si>
    <t>Cardiovascular risk prediction models for women in the general population: A systematic review.</t>
  </si>
  <si>
    <t>Baart, Sara J; Dam, Veerle; Scheres, Luuk J J; Damen, Johanna A A G; Spijker, René; Schuit, Ewoud; Debray, Thomas P A; Fauser, Bart C J M; Boersma, Eric; Moons, Karel G M; van der Schouw, Yvonne T; ,</t>
  </si>
  <si>
    <t>https://pubmed.ncbi.nlm.nih.gov/30620772</t>
  </si>
  <si>
    <t>To provide a comprehensive overview of cardiovascular disease (CVD) risk prediction models for women and models that include female-specific predictors. We performed a systematic review of CVD risk prediction models for women in the general population by updating a previous review. We searched Medline and Embase up to July 2017 and included studies in which; (a) a new model was developed, (b) an existing model was validated, or (c) a predictor was added to an existing model. A total of 285 prediction models for women have been developed, of these 160 (56%) were female-specific models, in which a separate model was developed solely in women and 125 (44%) were sex-predictor models. Out of the 160 female-specific models, 2 (1.3%) included one or more female-specific predictors (mostly reproductive risk factors). A total of 591 validations of sex-predictor or female-specific models were identified in 206 papers. Of these, 333 (56%) validations concerned nine models (five versions of Framingham, SCORE, Pooled Cohort Equations and QRISK). The median and pooled C statistics were comparable for sex-predictor and female-specific models. In 260 articles the added value of new predictors to an existing model was described, however in only 3 of these female-specific predictors (reproductive risk factors) were added. There is an abundance of models for women in the general population. Female-specific and sex-predictor models have similar predictors and performance. Female-specific predictors are rarely included. Further research is needed to assess the added value of female-specific predictors to CVD models for women and provide physicians with a well-performing prediction model for women.</t>
  </si>
  <si>
    <t>The willingness to participate in biomedical research involving human beings in low- and middle-income countries: a systematic review.</t>
  </si>
  <si>
    <t>Browne, Joyce L; Rees, Connie O; van Delden, Johannes J M; Agyepong, Irene; Grobbee, Diederick E; Edwin, Ama; Klipstein-Grobusch, Kerstin; van der Graaf, Rieke</t>
  </si>
  <si>
    <t>https://pubmed.ncbi.nlm.nih.gov/30565381</t>
  </si>
  <si>
    <t>To systematically review reasons for the willingness to participate in biomedical human subjects research in low- and middle-income countries (LMICs). Five databases were systematically searched for articles published between 2000 and 2017 containing the domain of 'human subjects research' in 'LMICs' and determinant 'reasons for (non)participation'. Reasons mentioned were extracted, ranked and results narratively described. Ninety-four articles were included, 44 qualitative and 50 mixed-methods studies. Altruism, personal health benefits, access to health care, monetary benefit, knowledge, social support and trust were the most important reasons for participation. Primary reasons for non-participation were safety concerns, inconvenience, stigmatisation, lack of social support, confidentiality concerns, physical pain, efficacy concerns and distrust. Stigmatisation was a major concern in relation to HIV research. Reasons were similar across different regions, gender, non-patient or patient participants and real or hypothetical study designs. Addressing factors that affect (non-)participation in the planning process and during the conduct of research may enhance voluntary consent to participation and reduce barriers for potential participants.</t>
  </si>
  <si>
    <t>Cardiac events after macrolides or fluoroquinolones in patients hospitalized for community-acquired pneumonia: post-hoc analysis of a cluster-randomized trial.</t>
  </si>
  <si>
    <t>Postma, Douwe F; Spitoni, Cristian; van Werkhoven, Cornelis H; van Elden, Leontine J R; Oosterheert, Jan Jelrik; Bonten, Marc J M</t>
  </si>
  <si>
    <t>https://pubmed.ncbi.nlm.nih.gov/30612559</t>
  </si>
  <si>
    <t>Guidelines recommend macrolides and fluoroquinolones in patients hospitalized with community-acquired pneumonia (CAP), but their use has been associated with cardiac events. We quantified associations between macrolide and fluoroquinolone use and cardiac events in patients hospitalized with CAP in non-ICU wards. This was a post-hoc analysis of a cluster-randomized trial as a cohort study; including patients with a working diagnosis of CAP admitted to non-ICU wards without a cardiac event on admission. We calculated cause-specific hazard ratio's (HR's) for effects of time-dependent macrolide and fluoroquinolone exposure as compared to beta-lactam monotherapy on cardiac events, defined as new or worsening heart failure, arrhythmia, or myocardial ischemia during hospitalization. Cardiac events occurred in 146 (6.9%) of 2107 patients, including heart failure (n = 101, 4.8%), arrhythmia (n = 53, 2.5%), and myocardial ischemia (n = 14, 0.7%). These occurred in 11 of 207 (5.3%), 18 of 250 (7.2%), and 31 of 277 (11.2%) patients exposed to azithromycin, clarithromycin, and erythromycin for at least one day, and in 9 of 234 (3.8%), 5 of 194 (2.6%), and 23 of 566 (4.1%) exposed to ciprofloxacin, levofloxacin, and moxifloxacin, respectively. HR's for erythromycin, compared to beta-lactam monotherapy, on any cardiac event and heart failure were 1.60 (95% CI 1.09;2.36) and 1.89 (95% CI 1.22;2.91), respectively. HR's for levofloxacin and moxifloxacin, compared to beta-lactam monotherapy, on any cardiac event were 0.40 (95% CI 0.18;0.87)and 0.56 (95% CI 0.36;0.87), respectively. Findings remained consistent after adjustment for confounders and/or in a sensitivity analysis of radiologically confirmed CAP (n = 1604, 76.1%). Among patients with CAP hospitalized to non-ICU wards, erythromycin use was associated with a 68% increased risk of hospital-acquired cardiac events, mainly heart failure. Levofloxacin and moxifloxacin were associated with a lower risk of heart failure. Although our study does not fully exclude confounding bias, findings remained largely unchanged in crude, adjusted, and sensitivity analyses. These findings may caution the use of erythromycin as empirical therapy in these patients. The original trial was retrospectively registered under ClinicalTrials.gov Identifier NCT01660204 on August 8th, 2012.</t>
  </si>
  <si>
    <t>Meta-analysis of up to 622,409 individuals identifies 40 novel smoking behaviour associated genetic loci.</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</si>
  <si>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t>
  </si>
  <si>
    <t>molecular psychiatry</t>
  </si>
  <si>
    <t>https://pubmed.ncbi.nlm.nih.gov/30617275</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</si>
  <si>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 10&lt;sup&gt;-8&lt;/sup&gt; in either analysis were taken forward for replication in up to 275,596 independent participants from UK Biobank. Lastly, a meta-analysis of the discovery and replication studies was performed. Sixteen SNVs were associated with at least one of the smoking behaviour traits (P &lt; 5 × 10&lt;sup&gt;-8&lt;/sup&gt;) in the discovery samples. Ten novel SNVs, including rs12616219 near TMEM182, were followed-up and five of them (rs462779 in REV3L, rs12780116 in CNNM2, rs1190736 in GPR101, rs11539157 in PJA1, and rs12616219 near TMEM182) replicated at a Bonferroni significance threshold (P &lt; 4.5 × 10&lt;sup&gt;-3&lt;/sup&gt;)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</si>
  <si>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Risk factors for incident heart failure in age- and sex-specific strata: a population-based cohort using linked electronic health records.</t>
  </si>
  <si>
    <t>Uijl, Alicia; Koudstaal, Stefan; Direk, Kenan; Denaxas, Spiros; Groenwold, Rolf H H; Banerjee, Amitava; Hoes, Arno W; Hemingway, Harry; Asselbergs, Folkert W</t>
  </si>
  <si>
    <t>https://pubmed.ncbi.nlm.nih.gov/30618162</t>
  </si>
  <si>
    <t>Several risk factors for incident heart failure (HF) have been previously identified, however large electronic health records (EHR) datasets may provide the opportunity to examine the consistency of risk factors across different subgroups from the general population.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</si>
  <si>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Sample size considerations and predictive performance of multinomial logistic prediction models.</t>
  </si>
  <si>
    <t>de Jong, Valentijn M T; Eijkemans, Marinus J C; van Calster, Ben; Timmerman, Dirk; Moons, Karel G M; Steyerberg, Ewout W; van Smeden, Maarten</t>
  </si>
  <si>
    <t>https://pubmed.ncbi.nlm.nih.gov/30614028</t>
  </si>
  <si>
    <t>Multinomial Logistic Regression (MLR) has been advocated for developing clinical prediction models that distinguish between three or more unordered outcomes. We present a full-factorial simulation study to examine the predictive performance of MLR models in relation to the relative size of outcome categories, number of predictors and the number of events per variable. It is shown that MLR estimated by Maximum Likelihood yields overfitted prediction models in small to medium sized data. In most cases, the calibration and overall predictive performance of the multinomial prediction model is improved by using penalized MLR. Our simulation study also highlights the importance of events per variable in the multinomial context as well as the total sample size. As expected, our study demonstrates the need for optimism correction of the predictive performance measures when developing the multinomial logistic prediction model. We recommend the use of penalized MLR when prediction models are developed in small data sets or in medium sized data sets with a small total sample size (ie, when the sizes of the outcome categories are balanced). Finally, we present a case study in which we illustrate the development and validation of penalized and unpenalized multinomial prediction models for predicting malignancy of ovarian cancer.</t>
  </si>
  <si>
    <t>Relation between &lt;i&gt;Chlamydia trachomatis&lt;/i&gt; infection and pelvic inflammatory disease, ectopic pregnancy and tubal factor infertility in a Dutch cohort of women previously tested for chlamydia in a chlamydia screening trial.</t>
  </si>
  <si>
    <t>Hoenderboom, Bernice M; van Benthem, Birgit H B; van Bergen, Jan E A M; Dukers-Muijrers, Nicole H T M; Götz, Hannelore M; Hoebe, Christian J P A; Hogewoning, Arjan A; Land, Jolande A; van der Sande, Marianne A B; Morré, Servaas A; van den Broek, Ingrid V F</t>
  </si>
  <si>
    <t>https://pubmed.ncbi.nlm.nih.gov/30606817</t>
  </si>
  <si>
    <t>A better understanding of &lt;i&gt;Chlamydia trachomatis&lt;/i&gt; infection (chlamydia)-related sequelae can provide a framework for effective chlamydia control strategies. The objective of this study was to estimate risks and risk factors of pelvic inflammatory disease (PID), ectopic pregnancy and tubal factor infertility (TFI) with a follow-up time of up until 8 years in women previously tested for chlamydia in the Chlamydia Screening Implementation study (CSI) and participating in the Netherlands Chlamydia Cohort Study (NECCST). Women who participated in the CSI 2008-2011 (n=13 498) were invited in 2015-2016 for NECCST. Chlamydia positive was defined as a positive CSI-PCR test, positive chlamydia serology and/or self-reported infection (time dependent). Data on PID, ectopic pregnancy and TFI were collected by self-completed questionnaires. Incidence rates and HRs were compared between chlamydia-positive and chlamydia-negative women corrected for confounders. Of 5704 women included, 29.5% (95% CI 28.3 to 30.7) were chlamydia positive. The incidence rate of PID was 1.8 per 1000 person-years (py) (1.6 to 2.2) overall, 4.4 per 1000 py (3.3 to 5.7) among chlamydia positives compared with 1.4 per 1000 py (1.1 to 1.7) for chlamydia negatives. For TFI, this was 0.4 per 1000 py (0.3 to 0.5) overall, 1.3 per 1000 py (0.8 to 2.1) and 0.2 per 1000 py (0.1 to 0.4) among chlamydia positives and negatives, respectively. And for ectopic pregnancy, this was 0.6 per 1000 py (0.5 to 0.8) overall, 0.8 per 1000 py (0.4 to 1.5) and 0.6 per 1000 py (0.4 to 0.8) for chlamydia negatives. Among chlamydia-positive women, the strongest risk factor for PID was symptomatic versus asymptomatic infection (adjusted HR 2.88, 1.4 to 4.5) and for TFI age &lt;20 versus &gt;24 years at first infection (HR 4.35, 1.1 to 16.8). We found a considerably higher risk for PID and TFI in chlamydia-positive women, but the incidence for ectopic pregnancy was comparable between chlamydia-positive and chlamydia-negative women. Overall, the incidence rates of sequelae remained low. NTR-5597.</t>
  </si>
  <si>
    <t>How Clinical Integration of Pharmacists in General Practice has Impact on Medication Therapy Management: A Theory-oriented Evaluation.</t>
  </si>
  <si>
    <t>Hazen, Ankie C M; de Bont, Antoinette A; Leendertse, Anne J; Zwart, Dorien L M; de Wit, Niek J; de Gier, Johan J; Bouvy, Marcel L</t>
  </si>
  <si>
    <t>https://pubmed.ncbi.nlm.nih.gov/30622451</t>
  </si>
  <si>
    <t>Data on medication-related hospital admissions suggest that there is an opportunity for improved pharmaceutical care. Hence, concerns about medication-related hospital admissions is a driver to extend and integrate the role of community pharmacists in general practice. The aim of this paper is to give a systematic description of 1) what integrating a non-dispensing pharmacist (NDP) in general practice entails and 2) how this integrated care model is expected to contribute to patients' medication therapy management. Based on ethnographic data collected by NDPs in general practices in the Netherlands, we conducted a theory evaluation. The impact of NDPs providing integrated care can be explained by 1) the specific expertise NDPs bring into general practice and the tailored solutions they offer for individual patients, including deviation from medical protocols when necessary, 2) the reconciliation of interprofessional tensions caused by overlapping tasks with practice nurses, which results in a distinct patient population, 3) the conduct of clinical medication reviews aligned to the work processes of the GP practice and 4) the integration of quality management work into clinical work. The success of integrated pharmaceutical care is dependent on how NDPs collaborate with GPs and practice nurses. NDPs need to mobilize clinical pharmaceutical expertise into general practice. Yet, integrating quality management into clinical work is key to integrate pharmaceutical care. Paradoxically, full integration requires from NDPs to develop a distinct role in general practice.</t>
  </si>
  <si>
    <t>Amnioinfusion Compared With No Intervention in Women With Second-Trimester Rupture of Membranes: A Randomized Controlled Trial.</t>
  </si>
  <si>
    <t>van Kempen, Liselotte E M; van Teeffelen, Augustinus S; de Ruigh, Annemijn A; Oepkes, Dick; Haak, Monique C; van Leeuwen, Elisabeth; Woiski, Mallory; Porath, Martina M; Bax, Caroline J; van Wassenaer-Leemhuis, Aleid G; Mulder, Antonius L; van der Ham, David P; Willekes, Christine; Franssen, Maureen T; Derks, Jan B; Schuit, Ewoud; Mol, Ben W; Pajkrt, Eva</t>
  </si>
  <si>
    <t>https://pubmed.ncbi.nlm.nih.gov/30531572</t>
  </si>
  <si>
    <t>To assess the effectiveness of amnioinfusion in women with second-trimester preterm prelabor rupture of membranes. We performed a nationwide, multicenter, open-label, randomized controlled trial, the PPROM: Expectant Management versus Induction of Labor-III (PPROMEXIL-III) trial, in women with singleton pregnancies and preterm prelabor rupture of membranes at 16 0/7 to 24 0/7 weeks of gestation with oligohydramnios (single deepest pocket less than 20 mm). Participants were allocated to transabdominal amnioinfusion or no intervention in a one-to-one ratio by a web-based system. If the single deepest pocket was less than 20 mm on follow-up visits, amnioinfusion was repeated weekly until 28 0/7 weeks of gestation. The primary outcome was perinatal mortality. We needed 56 women to show a reduction in perinatal mortality from 70% to 35% (β error 0.20, two-sided α error 0.05). Between June 15, 2012, and January 13, 2016, we randomized 28 women to amnioinfusion and 28 to no intervention. One woman was enrolled before the trial registration date (June 19, 2012). Perinatal mortality rates were 18 of 28 (64%) in the amnioinfusion group vs 21 of 28 (75%) in the no intervention group (relative risk 0.86, 95% CI 0.60-1.22, P=.39). In women with second-trimester preterm prelabor rupture of membranes and oligohydramnios, we found no reduction in perinatal mortality after amnioinfusion. NTR Dutch Trial Register, NTR3492.</t>
  </si>
  <si>
    <t>Antibiotic treatment of gastroenteritis in primary care.</t>
  </si>
  <si>
    <t>Schierenberg, Alwin; Bruijning-Verhagen, Patricia C J; van Delft, Sanne; Bonten, Marc J M; de Wit, Niek J</t>
  </si>
  <si>
    <t>https://pubmed.ncbi.nlm.nih.gov/30285243</t>
  </si>
  <si>
    <t>Gastroenteritis (GE) is a frequent reason for consultating a general practitioner. Yet little is known about antibiotic prescribing in primary care patients with GE. In this study, we quantified empirical and targeted antibiotic treatment of GE, compliance with recommendations from primary care clinical practice guidelines (CPGs) and the degree of antimicrobial resistance in patients receiving diagnostic faeces testing (DFT). We performed a cohort study using routine care data of 160 general practitioners, including electronic patient records from 2013 to 2014. GE episodes were extracted and linked to microbiological laboratory records to retrieve results of DFT. For each episode, data on patient characteristics, DFT results including antimicrobial resistance testing, and antibiotic prescriptions were collected. We identified 13217 GE episodes. Antibiotic treatment was prescribed in 1163 (8.8%) episodes, most frequently with metronidazole (n = 646, 4.9%), azithromycin (n = 254, 1.9%) or ciprofloxacin (n = 184, 1.4%). Treatment was empirical for 641 (5%) GE episodes, of which 30% (n = 191) followed the CPG-recommended antibiotic choice. Targeted treatment following DFT results was prescribed for 537 GE episodes (4%), of which 99% (n = 529) followed CPG recommendations. Non-susceptibility to first- or second-choice antibiotics was demonstrated in three Salmonella isolates (9%-13% of all isolates) and one Campylobacter isolate (1%). Antibiotic treatment of GE in primary care is relatively infrequent, with 1 in 11 episodes treated. Empirical treatment was more frequent compared with targeted treatment and mostly with non-CPG-recommended antibiotics. However, treatment based upon DFT results followed CPG recommendations.</t>
  </si>
  <si>
    <t>Education Moderates the Relation Between APOE ɛ4 and Memory in Nondemented Non-Hispanic Black Older Adults.</t>
  </si>
  <si>
    <t>Vonk, Jet M J; Arce Rentería, Miguel; Medina, Valerie M; Pericak-Vance, Margaret A; Byrd, Goldie S; Haines, Jonathan; Brickman, Adam M; Manly, Jennifer J</t>
  </si>
  <si>
    <t>https://pubmed.ncbi.nlm.nih.gov/31594222</t>
  </si>
  <si>
    <t>The APOEɛ4 allele is a well-known risk factor for Alzheimer's disease (AD). Previous research argues that higher education helps to preserve cognition in older adults with AD pathology because of its key role in cognitive reserve and resilience. To test if higher educational level buffers the effect of APOEɛ4 on cognition among older non-Hispanic Blacks. Participants were 849 non-demented older non-Hispanic Blacks (38.3% APOEɛ4+), who underwent a comprehensive neuropsychological evaluation. Multiple linear regression models tested the relationship between APOEɛ4 status and twelve cognitive measures with education (up to high school and beyond high school) as a moderator. Education buffered the effects of the APOEɛ4 allele, such that there was no impact of APOEɛ4 status on word-list memory retention and working memory among participants with more than a high school degree. This pattern was not observed for ten other cognitive measures of verbal and visual episodic memory, semantic memory, executive function, and processing speed-although a similar trend was observed for switching ability in executive functioning. The buffering effect of education was stronger among women than men. Our findings suggest that genetic effects on late-life cognition may be modified by environmental factors such as educational attainment. These results are consistent with the framework of cognitive reserve such that engaging in cognitively enriching activities and acquiring skills and knowledge with more years of education may increase the capacity to maintain cognitive function despite high genetic risk for impairment.</t>
  </si>
  <si>
    <t>Impact of Repeated Influenza Immunization on Respiratory Illness in Children With Preexisting Medical Conditions.</t>
  </si>
  <si>
    <t>de Hoog, Marieke L A; Venekamp, Roderick P; Damoiseaux, Roger A M J; Schilder, Anne G M; Sanders, Elisabeth A M; Smit, Henriette A; Bruijning-Verhagen, Patricia C J L</t>
  </si>
  <si>
    <t>annals of family medicine</t>
  </si>
  <si>
    <t>https://pubmed.ncbi.nlm.nih.gov/30670389</t>
  </si>
  <si>
    <t>Annual influenza immunization in medical risk groups is recommended in many countries. Recent evidence suggests that repeated inactivated influenza vaccine (IIV) immunization throughout childhood may impair long-term immunity against influenza. We assessed whether prior immunization altered the effect of IIV in children with preexisting medical conditions on primary care-diagnosed respiratory illness (RI) episodes during the influenza season. Electronic records of IIV-immunized children who met the criteria for annual IIV immunization according to Dutch guidelines were extracted from a primary care database from 2004 to 2015. For each year, we collected information on IIV immunization status, primary care-attended RI episodes (including influenza-like illness, acute RI, and asthma exacerbation), and potential confounders. Generalized estimating equations were used to model the association between prior IIV and occurrence of at least one RI episode during the influenza season, with "current year immunized but without IIV history" as reference group. A total of 4,183 children (follow-up duration: 11,493 child-years) were IIV immunized at least once. Adjusted estimates showed lower odds for RI in current year-immunized children with prior IIV compared with those without (odds ratio [OR] = 0.61; 95% CI, 0.47-0.78 for "current year immunized and one IIV in previous 2 years"; OR = 0.85; 95% CI, 0.68-1.07 for "current year immunized and ≥2 IIVs in previous 3 years, including prior year"). Repeated IIV immunization in children with preexisting medical conditions has no negative impact on, and may even increase, long-term protection against RI episodes diagnosed during the influenza season in primary care.</t>
  </si>
  <si>
    <t>Intracranial Vessel Wall Lesions on 7T MRI (Magnetic Resonance Imaging).</t>
  </si>
  <si>
    <t>https://pubmed.ncbi.nlm.nih.gov/30582831</t>
  </si>
  <si>
    <t>Background and Purpose- Intracranial vessel wall lesions are a novel imaging marker of intracranial atherosclerosis (ICAS), but data on their occurrence and risk factors are lacking. Our aim was to study the frequency, distribution, and risk factors of intracranial vessel wall lesions on 7T magnetic resonance imaging in patients with a history of vascular disease. Methods- Within the SMART-MR study (Second Manifestations of Arterial Disease-Magnetic Resonance), cross-sectional analyses were performed in 130 patients (68±9 years) with assessable 7T intracranial vessel wall-magnetic resonance imaging data. Associations between vascular risk factors and ICAS burden, defined as the total number of vessel wall lesions, were estimated using linear regression analyses with ICAS burden as the dependent variable, adjusted for age and sex. Results- Ninety-six percent of patients had ≥1 vessel wall lesion. The mean±SD (range) ICAS burden was 8.5±5.7 (0-32) lesions. Significant associations were found between ICAS burden and age ( b=2.0 per +10 years; 95% CI, 0.81- 3.10), systolic blood pressure ( b=0.9 per +10 mm Hg; 95% CI, 0.27-1.42), diabetes mellitus ( b=3.2 for presence of diabetes mellitus; 95% CI, 0.79-5.72), hemoglobin A1c level ( b=1.2 per +1%; 95% CI, 0.19-2.26), apoB (apolipoprotein-B) ( b=4.7 per +1 g/L; 95% CI, 0.07-9.35), and hs-CRP (high-sensitivity C-reactive protein) level ( b=2.7 for hs-CRP &gt;3 mg/L; 95% CI, 0.22-5.11). No significant associations were found with sex, smoking, and other lipid-factors. Conclusions- Vessel wall lesions are a novel and direct magnetic resonance imaging marker of ICAS. In this cohort, 96% of patients had at least 1 lesion on 7T vessel wall-magnetic resonance imaging. More lesions were found with older age, higher systolic blood pressure, diabetes mellitus, and higher levels of hemoglobin A1c, apoB, and hs-CRP.</t>
  </si>
  <si>
    <t>Kidney Function and the Risk of Stroke and Dementia: The Rotterdam Study.</t>
  </si>
  <si>
    <t>Koop-Nieuwelink, Carolien; Sedaghat, Sanaz; Mutlu, Unal; Licher, Silvan; Franco, Oscar H; Ikram, M Arfan; Geerlings, Mirjam I; Ikram, M Kamran; Bos, Daniel</t>
  </si>
  <si>
    <t>https://pubmed.ncbi.nlm.nih.gov/30664508</t>
  </si>
  <si>
    <t>Longitudinal population-based data on effects of kidney dysfunction in the development of stroke and dementia remains inconclusive. We investigated associations of kidney function with risk of stroke and dementia in 5,993 community-dwelling individuals (mean age: 69.0 years, 57.2% women). We calculated estimated glomerular filtration rates based on creatinine, cystatin-C, and a combination of these two. During a mean follow-up of 11.6 years (69,790 person-years), 1,360 individuals suffered a stroke (n = 601) or developed dementia (n = 759). We found that an impaired kidney function was related to a higher risk of stroke, but not to dementia.</t>
  </si>
  <si>
    <t>PROBAST: A Tool to Assess Risk of Bias and Applicability of Prediction Model Studies: Explanation and Elaboration.</t>
  </si>
  <si>
    <t>Moons, Karel G M; Wolff, Robert F; Riley, Richard D; Whiting, Penny F; Westwood, Marie; Collins, Gary S; Reitsma, Johannes B; Kleijnen, Jos; Mallett, Sue</t>
  </si>
  <si>
    <t>https://pubmed.ncbi.nlm.nih.gov/30596876</t>
  </si>
  <si>
    <t>Prediction models in health care use predictors to estimate for an individual the probability that a condition or disease is already present (diagnostic model) or will occur in the future (prognostic model). Publications on prediction models have become more common in recent years, and competing prediction models frequently exist for the same outcome or target population. Health care providers, guideline developers, and policymakers are often unsure which model to use or recommend, and in which persons or settings. Hence, systematic reviews of these studies are increasingly demanded, required, and performed. A key part of a systematic review of prediction models is examination of risk of bias and applicability to the intended population and setting. To help reviewers with this process, the authors developed PROBAST (Prediction model Risk Of Bias ASsessment Tool) for studies developing, validating, or updating (for example, extending) prediction models, both diagnostic and prognostic. PROBAST was developed through a consensus process involving a group of experts in the field. It includes 20 signaling questions across 4 domains (participants, predictors, outcome, and analysis). This explanation and elaboration document describes the rationale for including each domain and signaling question and guides researchers, reviewers, readers, and guideline developers in how to use them to assess risk of bias and applicability concerns. All concepts are illustrated with published examples across different topics. The latest version of the PROBAST checklist, accompanying documents, and filled-in examples can be downloaded from www.probast.org.</t>
  </si>
  <si>
    <t>PROBAST: A Tool to Assess the Risk of Bias and Applicability of Prediction Model Studies.</t>
  </si>
  <si>
    <t>Wolff, Robert F; Moons, Karel G M; Riley, Richard D; Whiting, Penny F; Westwood, Marie; Collins, Gary S; Reitsma, Johannes B; Kleijnen, Jos; Mallett, Sue; ,</t>
  </si>
  <si>
    <t>https://pubmed.ncbi.nlm.nih.gov/30596875</t>
  </si>
  <si>
    <t>Clinical prediction models combine multiple predictors to estimate risk for the presence of a particular condition (diagnostic models) or the occurrence of a certain event in the future (prognostic models). PROBAST (Prediction model Risk Of Bias ASsessment Tool), a tool for assessing the risk of bias (ROB) and applicability of diagnostic and prognostic prediction model studies, was developed by a steering group that considered existing ROB tools and reporting guidelines. The tool was informed by a Delphi procedure involving 38 experts and was refined through piloting. PROBAST is organized into the following 4 domains: participants, predictors, outcome, and analysis. These domains contain a total of 20 signaling questions to facilitate structured judgment of ROB, which was defined to occur when shortcomings in study design, conduct, or analysis lead to systematically distorted estimates of model predictive performance. PROBAST enables a focused and transparent approach to assessing the ROB and applicability of studies that develop, validate, or update prediction models for individualized predictions. Although PROBAST was designed for systematic reviews, it can be used more generally in critical appraisal of prediction model studies. Potential users include organizations supporting decision making, researchers and clinicians who are interested in evidence-based medicine or involved in guideline development, journal editors, and manuscript reviewers.</t>
  </si>
  <si>
    <t>Development of a prediction model for allogenic blood transfusion in children undergoing surgery for developmental dysplasia of the hip.</t>
  </si>
  <si>
    <t>Alassaf, Nabil; Reitsma, Johannes B</t>
  </si>
  <si>
    <t>technology and health care official journal of the european society for engineering and medicine</t>
  </si>
  <si>
    <t>https://pubmed.ncbi.nlm.nih.gov/30932907</t>
  </si>
  <si>
    <t>Blood transfusion is a common practice, but it is not without cost and risk. A model that predicts the risk of blood transfusion could guide informed preoperative blood ordering and use of blood loss preventive measures. This study aimed to develop a prediction model of blood transfusion in children with developmental dysplasia of the hip (DDH) undergoing surgery. A retrospective cohort of DDH patients from 2008 to 2017. The included patients were between 1 to 9 years old, underwent anterior open reduction and/or acetabular osteotomy with and without femoral shortening. The unit of analysis was undergoing such an operation. The outcome was allogenic blood transfusion. Potential predictors were age, sex, body mass index (BMI), international hip dysplasia institute grade, type of surgery, intervention bilaterally during the same operative session, primary versus reoperation surgery, the addition of regional anaesthesia, preoperative haemoglobin and hematocrit. A total of 524 patients who met the inclusion criteria underwent 721 operative sessions. The median age (interquartile range) at operation was 23 (20-33) months. The blood transfusion rate was 11.8%. Independent predictors were lower preoperative haemoglobin, reduced BMI, simultaneous bilateral surgery and the extent of surgical treatment. The developed prognostic model allows prediction for blood transfusion in DDH patients undergoing surgery.</t>
  </si>
  <si>
    <t>Trajectory of Cardiovascular Risk Factors After Hypertensive Disorders of Pregnancy.</t>
  </si>
  <si>
    <t>Groenhof, T Katrien J; Zoet, Gerbrand A; Franx, Arie; Gansevoort, Ron T; Bots, Michiel L; Groen, Henk; Lely, A Titia; ,</t>
  </si>
  <si>
    <t>https://pubmed.ncbi.nlm.nih.gov/30571544</t>
  </si>
  <si>
    <t>Women with a history of a hypertensive disorder of pregnancy (HDP) are at increased risk of premature cardiovascular disease. Cardiovascular risk management guidelines emphasize the need for prevention of cardiovascular disease in these women but fail to provide uniform recommendations on when and how to start cardiovascular risk assessment. The aim of this study was to identify a window of opportunity in which to start cardiovascular risk factor assessment by investigating changes in blood pressure, lipids, and fasting glucose levels over time in women with a history of an HDP. We identified women with a history of a normotensive pregnancy (n=1811) or an HDP (n=1005) within a high-risk population-based cohort study. We assessed changes in blood pressure, lipids, glucose, 10-year cardiovascular risk and the occurrence of hypertension, dyslipidemia, and diabetes mellitus longitudinally using 5 measurements at 3-year intervals. Generalized estimating equations were used for statistical analysis, with age as the time variable, adjusting for multiple comparisons using the least significant differences method. In women with an HDP, the overall prevalence of hypertension ( P&lt;0.0001), dyslipidemia ( P=0.003), and diabetes mellitus ( P&lt;0.0001) was significantly higher. They also developed hypertension and diabetes mellitus earlier. At age 35, few women with HDP need to be screened to detect clinically relevant hypertension: 9 need to be screened to detect 1 woman with a treatment indication as opposed to 38 women with history of a normotensive pregnancy. Our data supports cardiovascular follow-up of women with a history of an HDP starting within the fourth decade of life.</t>
  </si>
  <si>
    <t>Measurement of Electropotential Waves in Intact Sieve Elements Using Aphids as Bioelectrodes.</t>
  </si>
  <si>
    <t>Furch, Alexandra C U; Zimmermann, Matthias R; Will, Torsten</t>
  </si>
  <si>
    <t>methods in molecular biology clifton nj</t>
  </si>
  <si>
    <t>https://pubmed.ncbi.nlm.nih.gov/31197816</t>
  </si>
  <si>
    <t>Electropotential waves (EPWs) are thought to transmit sudden and profound physiological changes between plant organs. The recording of EPWs can be performed via extracellular or intracellular probes. Both approaches have advantages and disadvantages. Since the phloem is responsible for long distance transport of the most forms of EPWs, the direct measurement in sieve elements is preferable. The conductance using glass microelectrodes inserted into free lying sieve elements is described in Chapter 34 . In this chapter the measurement of EPWs by using aphids as bioelectrodes is described in detail.The electrical penetration graph technique (EPG) takes advantage of the flexible mouthparts (stylet) of aphids, which specifically penetrate into sieve elements. The use of aphids as bioelectrodes enables multiple electrode recordings and long-distance observations of EPWs. Importantly, this method allows for noninvasive, intracellular measurements.</t>
  </si>
  <si>
    <t>The Utility of the Lipoprotein-Associated Phospholipase A&lt;sub&gt;2&lt;/sub&gt; (Lp-PLA&lt;sub&gt;2&lt;/sub&gt;) Assay in Detecting Abnormalities in Lipid Metabolism and Cardiovascular Risk in an HIV-Infected South African Cohort.</t>
  </si>
  <si>
    <t>Mayne, Elizabeth S; Moabi, Hellen; Grobbee, Diederick E; Barth, Roos E; Klipstein-Grobusch, Kersten; Stevens, Wendy S; Vos, Alinda G; Louw, Susan</t>
  </si>
  <si>
    <t>clinical and applied thrombosishemostasis official journal of the international academy of clinical and applied thrombosishemostasis</t>
  </si>
  <si>
    <t>https://pubmed.ncbi.nlm.nih.gov/31686546</t>
  </si>
  <si>
    <t>People with HIV (PWH) have an increased prevalence of cardiovascular disease (CVD) compared to uninfected patients. Lipoprotein-associated phospholipase A&lt;sub&gt;2&lt;/sub&gt; (Lp-PLA&lt;sub&gt;2&lt;/sub&gt;) catalyzes the synthesis of pro-inflammatory lipids that recruit monocytes. Current guidelines for assessing cardiovascular risk in HIV-infected patients suggest that Lp-PLA&lt;sub&gt;2&lt;/sub&gt; may be a useful surrogate marker for CVD health in this patient population. Lipoprotein-associated phospholipase A&lt;sub&gt;2&lt;/sub&gt;, lipids, glucose, physical parameters, and carotid intimal-medial thickness (CIMT) were measured in 98 participants (49 HIV-uninfected, 27 antiretroviral therapy [ART]-naive PWH, and 22 ART-treated PWH). HIV viral load (VL) and CD4+ T-cell count were measured in HIV-infected participants. Lipoprotein-associated phospholipase A&lt;sub&gt;2&lt;/sub&gt; was increased in participants on protease inhibitor (PI) ART (median 50.5 vs 127.0 nmol/mL, &lt;i&gt;P&lt;/i&gt; = .05) and correlated with age, body mass index, and cholesterol. Lipoprotein-associated phospholipase A&lt;sub&gt;2&lt;/sub&gt; was not related to Framingham risk score or CIMT but correlated directly with VL (&lt;i&gt;r&lt;/i&gt; = .323, &lt;i&gt;P&lt;/i&gt; = .025) and inversely with CD4+ T-cell count (&lt;i&gt;r&lt;/i&gt; = -.727, &lt;i&gt;P&lt;/i&gt; &lt; .001). Lipoprotein-associated phospholipase A&lt;sub&gt;2&lt;/sub&gt; was increased in HIV-infected participants on PIs and correlated strongly with VL and CD4+ T-cell count suggesting that HIV-associated inflammation is linked to increased Lp-PLA&lt;sub&gt;2&lt;/sub&gt;, providing a mechanistic link between HIV and CVD.</t>
  </si>
  <si>
    <t>Delphi consensus statement on intrapartum fetal monitoring in low-resource settings.</t>
  </si>
  <si>
    <t>Housseine, Natasha; Punt, Marieke C; Browne, Joyce L; van 't Hooft, Janneke; Maaløe, Nanna; Meguid, Tarek; Theron, Gerhard B; Franx, Arie; Grobbee, Diederick E; Visser, Gerard H A; Rijken, Marcus J</t>
  </si>
  <si>
    <t>https://pubmed.ncbi.nlm.nih.gov/30582153</t>
  </si>
  <si>
    <t>To determine acceptable and achievable strategies of intrapartum fetal monitoring in busy low-resource settings. Three rounds of online Delphi surveys were conducted between January 1 and October 31, 2017. International experts with experience in low-resource settings scored the importance of intrapartum fetal monitoring methods. 71 experts completed all three rounds (28 midwives, 43 obstetricians). Consensus was reached on (1) need for an admission test, (2) handheld Doppler for intrapartum fetal monitoring, (3) intermittent auscultation (IA) every 30 minutes for low-risk pregnancies during the first stage of labor and after every contraction for high-risk pregnancies in the second stage, (4) contraction monitoring hourly for low-risk pregnancies in the first stage, and (5) adjunctive tests. Consensus was not reached on frequency of IA or contraction monitoring for high-risk women in the first stage or low-risk women in the second stage of labor. There is a gap between international recommendations and what is physically possible in many labor wards in low-resource settings. Research on how to effectively implement the consensus on fetal assessment at admission and use of handheld Doppler during labor and delivery is crucial to support staff in achieving the best possible care in low-resource settings.</t>
  </si>
  <si>
    <t>Adjustment for unmeasured confounding through informative priors for the confounder-outcome relation.</t>
  </si>
  <si>
    <t>Groenwold, Rolf H H; Shofty, Inbal; Miočević, Milica; van Smeden, Maarten; Klugkist, Irene</t>
  </si>
  <si>
    <t>https://pubmed.ncbi.nlm.nih.gov/30577773</t>
  </si>
  <si>
    <t>Observational studies of medical interventions or risk factors are potentially biased by unmeasured confounding. In this paper we propose a Bayesian approach by defining an informative prior for the confounder-outcome relation, to reduce bias due to unmeasured confounding. This approach was motivated by the phenomenon that the presence of unmeasured confounding may be reflected in observed confounder-outcome relations being unexpected in terms of direction or magnitude. The approach was tested using simulation studies and was illustrated in an empirical example of the relation between LDL cholesterol levels and systolic blood pressure. In simulated data, a comparison of the estimated exposure-outcome relation was made between two frequentist multivariable linear regression models and three Bayesian multivariable linear regression models, which varied in the precision of the prior distributions. Simulated data contained information on a continuous exposure, a continuous outcome, and two continuous confounders (one considered measured one unmeasured), under various scenarios. In various scenarios the proposed Bayesian analysis with an correctly specified informative prior for the confounder-outcome relation substantially reduced bias due to unmeasured confounding and was less biased than the frequentist model with covariate adjustment for one of the two confounding variables. Also, in general the MSE was smaller for the Bayesian model with informative prior, compared to the other models. As incorporating (informative) prior information for the confounder-outcome relation may reduce the bias due to unmeasured confounding, we consider this approach one of many possible sensitivity analyses of unmeasured confounding.</t>
  </si>
  <si>
    <t>Association between physical activity and risk of hepatobiliary cancers: A multinational cohort study.</t>
  </si>
  <si>
    <t>Baumeister, Sebastian E; Schlesinger, Sabrina; Aleksandrova, Krasimira; Jochem, Carmen; Jenab, Mazda; Gunter, Marc J; Overvad, Kim; Tjønneland, Anne; Boutron-Ruault, Marie-Christine; Carbonnel, Franck; Fournier, Agnès; Kühn, Tilman; Kaaks, Rudolf; Pischon, Tobias; Boeing, Heiner; Trichopoulou, Antonia; Bamia, Christina; La Vecchia, Carlo; Masala, Giovanna; Panico, Salvatore; Fasanelli, Francesca; Tumino, Rosario; Grioni, Sara; Bueno de Mesquita, Bas; Vermeulen, Roel; May, Anne M; Borch, Kristin B; Oyeyemi, Sunday O; Ardanaz, Eva; Rodríguez-Barranco, Miguel; Dolores Chirlaque López, María; Felez-Nobrega, Mireia; Sonestedt, Emily; Ohlsson, Bodil; Hemmingsson, Oskar; Werner, Mårten; Perez-Cornago, Aurora; Ferrari, Pietro; Stepien, Magdalena; Freisling, Heinz; Tsilidis, Konstantinos K; Ward, Heather; Riboli, Elio; Weiderpass, Elisabete; Leitzmann, Michael F</t>
  </si>
  <si>
    <t>https://pubmed.ncbi.nlm.nih.gov/30582978</t>
  </si>
  <si>
    <t>To date, evidence on the association between physical activity and risk of hepatobiliary cancers has been inconclusive. We examined this association in the European Prospective Investigation into Cancer and Nutrition cohort (EPIC). We identified 275 hepatocellular carcinoma (HCC) cases, 93 intrahepatic bile duct cancers (IHBCs), and 164 non-gallbladder extrahepatic bile duct cancers (NGBCs) among 467,336 EPIC participants (median follow-up 14.9 years). We estimated cause-specific hazard ratios (HRs) for total physical activity and vigorous physical activity and performed mediation analysis and secondary analyses to assess robustness to confounding (e.g. due to hepatitis virus infection). In the EPIC cohort, the multivariable-adjusted HR of HCC was 0.55 (95% CI 0.38-0.80) comparing active and inactive individuals. Regarding vigorous physical activity, for those reporting &gt;2 hours/week compared to those with no vigorous activity, the HR for HCC was 0.50 (95% CI 0.33-0.76). Estimates were similar in sensitivity analyses for confounding. Total and vigorous physical activity were unrelated to IHBC and NGBC. In mediation analysis, waist circumference explained about 40% and body mass index 30% of the overall association of total physical activity and HCC. These findings suggest an inverse association between physical activity and risk of HCC, which is potentially mediated by obesity. In a pan-European study of 467,336 men and women, we found that physical activity is associated with a reduced risk of developing liver cancers over the next decade. This risk was independent of other liver cancer risk factors, and did not vary by age, gender, smoking status, body weight, and alcohol consumption.</t>
  </si>
  <si>
    <t>Increased mortality and hospital readmission risk in patients with dementia and a history of cardiovascular disease: Results from a nationwide registry linkage study.</t>
  </si>
  <si>
    <t>van de Vorst, Irene E; Vaartjes, Ilonca; Bots, Michiel L; Koek, Huiberdina L</t>
  </si>
  <si>
    <t>https://pubmed.ncbi.nlm.nih.gov/30480340</t>
  </si>
  <si>
    <t>To evaluate the impact of cardiovascular disease (CVD) on mortality and readmission risk in patients with dementia. Prospective hospital-based cohort of 59 194 patients with dementia admitted to hospital or visiting a day-clinic between 2000 and 2010. Patients were divided in those with and without a history of CVD (ie, previous admission for CVD; coronary heart disease, heart failure, stroke, atrial fibrillation, or other CVD). Absolute mortality risks (ARs), median survival times, and hazard ratios (adjusted for age, sex, and comorbidity) were calculated. Three-year ARs and HRs were higher, and survival times were shorter among patients visiting a day-clinic with a history of CVD than in those without. The differences were less pronounced for inpatients. Readmission risk was further increased in the presence of CVD in both day clinic and inpatients. Clinicians need to be more aware of worse prognosis of the population with CVD and dementia.</t>
  </si>
  <si>
    <t>The Need for Policy Change Regarding Progestin-Only Injectable Contraceptives.</t>
  </si>
  <si>
    <t>Gollub, Erica L; Jones, Heidi E; Ralph, Lauren J; van de Wijgert, Janneke H H M; Padian, Nancy; Stein, Zena</t>
  </si>
  <si>
    <t>https://pubmed.ncbi.nlm.nih.gov/30576259</t>
  </si>
  <si>
    <t>Perceived discrimination and stressful life events are associated with cardiovascular risk score in migrant and non-migrant populations: The RODAM study.</t>
  </si>
  <si>
    <t>Chilunga, Felix P; Boateng, Daniel; Henneman, Peter; Beune, Erik; Requena-Méndez, Ana; Meeks, Karlijn; Smeeth, Liam; Addo, Juliet; Bahendeka, Silver; Danquah, Ina; Schulze, Matthias B; Klipstein-Grobusch, Kerstin; Mannens, Marcel M A M; Agyemang, Charles</t>
  </si>
  <si>
    <t>https://pubmed.ncbi.nlm.nih.gov/30638750</t>
  </si>
  <si>
    <t>Psychosocial stress could be an underlying factor for emerging risk of cardiovascular diseases (CVD) in Africans. We assessed the association between psychosocial stress and estimated CVD risk among non-migrant Ghanaians and migrant Ghanaians living in Europe. Data from the Research on Obesity and Diabetes among African Migrants (RODAM) study, involving 2315 migrant and 1549 non-migrants aged 40-70 years were used for this study. Psychosocial stress included self-reported stress at work and home, recent negative life events and perceived discrimination. CVD risk was estimated using the pooled cohort equations with estimates ≥7.5% over 10 years defining high CVD risk. Adjusted Odds Ratios (AOR) and 95% confidence intervals (95% CI) were calculated by logistic regression with adjustments for socioeconomic status. Prevalence for migrant and non-migrants were; 72.5% and 84.9% for psychosocial stress and 35.9% and 27.4% for high estimated CVD risk. Stress at work and home was not associated with a high estimated CVD risk in either group. Recent negative life events were associated with a high estimated CVD risk in non-migrants only (AOR 1.29, 95%CI 1.02-1.68, p = 0.048). Higher levels of perceived discrimination were associated with a high estimated CVD risk in migrants only (AOR 2.74, 95%CI 1.95-3.86, p &lt; 0.001). Among migrant populations, higher levels of perceived discrimination were associated with a high estimated CVD risk, and this was also true for recent negative life events among non-migrant populations. Further research is needed to identify context specific mechanisms that underlie associations between psychological characteristics and CVD risk.</t>
  </si>
  <si>
    <t>Development and Validation of a Multiplex Non-HLA Antibody Assay for the Screening of Kidney Transplant Recipients.</t>
  </si>
  <si>
    <t>Kamburova, Elena G; Kardol-Hoefnagel, Tineke; Wisse, Bram W; Joosten, Irma; Allebes, Wil A; van der Meer, Arnold; Hilbrands, Luuk B; Baas, Marije C; Spierings, Eric; Hack, Cornelis E; van Reekum, Franka E; van Zuilen, Arjan D; Verhaar, Marianne C; Bots, Michiel L; Drop, Adriaan C A D; Plaisier, Loes; Meeldijk, Jan; Bovenschen, Niels;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van der Boog, Paul J M; de Fijter, Johan W; Betjes, Michiel G H; Heidt, Sebastiaan; Roelen, Dave L; Claas, Frans H; Otten, Henny G</t>
  </si>
  <si>
    <t>https://pubmed.ncbi.nlm.nih.gov/30631326</t>
  </si>
  <si>
    <t>The best treatment for patients with end-stage renal disease is kidney transplantation. Although graft survival rates have improved in the last decades, patients still may lose their grafts partly due to the detrimental effects of donor-specific antibodies (DSA) against human leukocyte antigens (HLA) and to a lesser extent also by antibodies directed against non-HLA antigens expressed on the donor endothelium. Assays to detect anti-HLA antibodies are already in use for many years and have been proven useful for transplant risk stratification. Currently, there is a need for assays to additionally detect multiple non-HLA antibodies simultaneously in order to study their clinical relevance in solid organ transplantation. This study describes the development, technical details and validation of a high-throughput multiplex assay for the detection of antibodies against 14 non-HLA antigens coupled directly to MagPlex microspheres or indirectly via a HaloTag. The non-HLA antigens have been selected based on a literature search in patients with kidney disease or following transplantation. Due to the flexibility of the assay, this approach can be used to include alternative antigens and can also be used for screening of other organ transplant recipients, such as heart and lung.</t>
  </si>
  <si>
    <t>Cost-effectiveness analysis of a multicentre randomized clinical trial comparing surgery with conservative management for recurrent and ongoing diverticulitis (DIRECT trial).</t>
  </si>
  <si>
    <t>Bolkenstein, H E; de Wit, G A; Consten, E C J; Van de Wall, B J M; Broeders, I A M J; Draaisma, W A</t>
  </si>
  <si>
    <t>https://pubmed.ncbi.nlm.nih.gov/30566245</t>
  </si>
  <si>
    <t>The results of the DIRECT trial, an RCT comparing conservative management with elective sigmoid resection in patients with recurrent diverticulitis or persistent complaints, showed that elective sigmoid resection leads to higher quality of life. The aim of this study is to determine the cost-effectiveness of surgical treatment at 1- and 5-year follow-up from a societal perspective. Clinical effectiveness and resource use were derived from the DIRECT trial. The actual resource use and quality of life (EQ-5D-3L™ score) were documented prospectively per individual patient and analysed according to the intention-to-treat principle for up to 5 years after randomization. The main outcome was the incremental cost-effectiveness ratio (ICER), expressed as costs per quality-adjusted life-year (QALY). The study included 106 patients, of whom 50 were randomized to surgery and 56 to conservative treatment. At 1- and 5-year follow-up an incremental effect (QALY difference between groups) of 0·06 and 0·43 respectively was found, and an incremental cost (cost difference between groups) of €6957 and €2674 respectively, where surgery was more expensive than conservative treatment. This resulted in an ICER of €123 365 per additional QALY at 1-year follow-up, and €6275 at 5 years. At a threshold of €20 000 per QALY, operative treatment has 0 per cent probability of being cost-effective at 1-year follow-up, but a 95 per cent probability at 5 years. At 5-year follow-up, elective sigmoid resection in patients with recurring diverticulitis or persistent complaints was found to be cost-effective. Registration number: NTR1478 (www.trialregistrer.nl).</t>
  </si>
  <si>
    <t>Effect of cytomegalovirus reactivation on the time course of systemic host response biomarkers in previously immunocompetent critically ill patients with sepsis: a matched cohort study.</t>
  </si>
  <si>
    <t>van de Groep, Kirsten; Nierkens, Stefan; Cremer, Olaf L; Peelen, Linda M; Klein Klouwenberg, Peter M C; Schultz, Marcus J; Hack, C Erik; van der Poll, Tom; Bonten, Marc J M; Ong, David S Y; ,</t>
  </si>
  <si>
    <t>https://pubmed.ncbi.nlm.nih.gov/30563551</t>
  </si>
  <si>
    <t>Cytomegalovirus (CMV) reactivation in previously immunocompetent critically ill patients is associated with increased mortality, which has been hypothesized to result from virus-induced immunomodulation. Therefore, we studied the effects of CMV reactivation on the temporal course of host response biomarkers in patients with sepsis. In this matched cohort study, each sepsis patient developing CMV reactivation between day 3 and 17 (CMV+) was compared with one CMV seropositive patient without reactivation (CMVs+) and one CMV seronegative patient (CMVs-). CMV serostatus and plasma loads were determined by enzyme-linked immunoassays and real-time polymerase chain reaction, respectively. Systemic interleukin-6 (IL-6), IL-8, IL-18, interferon-gamma-induced protein-10 (IP-10), neutrophilic elastase, IL-1 receptor antagonist (RA), and IL-10 were measured at five time points by multiplex immunoassay. The effects of CMV reactivation on sequential concentrations of these biomarkers were assessed in multivariable mixed models. Among 64 CMV+ patients, 45 could be matched to CMVs+ or CMVs- controls or both. The two baseline characteristics and host response biomarker levels at viremia onset were similar between groups. CMV+ patients had increased IP-10 on day 7 after viremia onset (symmetric percentage difference +44% versus -15% when compared with CMVs+ and +37% versus +4% when compared with CMVs-) and decreased IL-1RA (-41% versus 0% and -49% versus +10%, respectively). However, multivariable analyses did not show an independent association between CMV reactivation and time trends of IL-6, IP-10, IL-10, or IL-1RA. CMV reactivation was not independently associated with changes in the temporal trends of host response biomarkers in comparison with non-reactivating patients. Therefore, these markers should not be used as surrogate clinical endpoints for interventional studies evaluating anti-CMV therapy.</t>
  </si>
  <si>
    <t>Genetic Data from Nearly 63,000 Women of European Descent Predicts DNA Methylation Biomarkers and Epithelial Ovarian Cancer Risk.</t>
  </si>
  <si>
    <t>Yang, Yaohua; Wu, Lang; Shu, Xiang; Lu, Yingchang; Shu, Xiao-Ou; Cai, Qiuyin; Beeghly-Fadiel, Alicia; Li, Bingshan; Ye, Fei; Berchuck, Andrew; Anton-Culver, Hoda; Banerjee, Susana; Benitez, Javier; Bjørge, Line; Brenton, James D; Butzow, Ralf; Campbell, Ian G; Chang-Claude, Jenny; Chen, Kexin; Cook, Linda S; Cramer, Daniel W; deFazio, Anna; Dennis, Joe; Doherty, Jennifer A; Dörk, Thilo; Eccles, Diana M; Edwards, Digna Velez; Fasching, Peter A; Fortner, Renée T; Gayther, Simon A; Giles, Graham G; Glasspool, Rosalind M; Goode, Ellen L; Goodman, Marc T; Gronwald, Jacek; Harris, Holly R; Heitz, Florian; Hildebrandt, Michelle A; Høgdall, Estrid; Høgdall, Claus K; Huntsman, David G; Kar, Siddhartha P; Karlan, Beth Y; Kelemen, Linda E; Kiemeney, Lambertus A; Kjaer, Susanne K; Koushik, Anita; Lambrechts, Diether; Le, Nhu D; Levine, Douglas A; Massuger, Leon F; Matsuo, Keitaro; May, Taymaa; McNeish, Iain A; Menon, Usha; Modugno, Francesmary; Monteiro, Alvaro N; Moorman, Patricia G; Moysich, Kir</t>
  </si>
  <si>
    <t>https://pubmed.ncbi.nlm.nih.gov/30559148</t>
  </si>
  <si>
    <t>DNA methylation is instrumental for gene regulation. Global changes in the epigenetic landscape have been recognized as a hallmark of cancer. However, the role of DNA methylation in epithelial ovarian cancer (EOC) remains unclear. In this study, high-density genetic and DNA methylation data in white blood cells from the Framingham Heart Study (&lt;i&gt;N&lt;/i&gt; = 1,595) were used to build genetic models to predict DNA methylation levels. These prediction models were then applied to the summary statistics of a genome-wide association study (GWAS) of ovarian cancer including 22,406 EOC cases and 40,941 controls to investigate genetically predicted DNA methylation levels in association with EOC risk. Among 62,938 CpG sites investigated, genetically predicted methylation levels at 89 CpG were significantly associated with EOC risk at a Bonferroni-corrected threshold of &lt;i&gt;P&lt;/i&gt; &lt; 7.94 × 10&lt;sup&gt;-7&lt;/sup&gt;. Of them, 87 were located at GWAS-identified EOC susceptibility regions and two resided in a genomic region not previously reported to be associated with EOC risk. Integrative analyses of genetic, methylation, and gene expression data identified consistent directions of associations across 12 CpG, five genes, and EOC risk, suggesting that methylation at these 12 CpG may influence EOC risk by regulating expression of these five genes, namely &lt;i&gt;MAPT, HOXB3, ABHD8, ARHGAP27&lt;/i&gt;, and &lt;i&gt;SKAP1&lt;/i&gt;. We identified novel DNA methylation markers associated with EOC risk and propose that methylation at multiple CpG may affect EOC risk via regulation of gene expression. SIGNIFICANCE: Identification of novel DNA methylation markers associated with EOC risk suggests that methylation at multiple CpG may affect EOC risk through regulation of gene expression.</t>
  </si>
  <si>
    <t>The Feasibility of Longitudinal Patient Contacts in a Large Medical School.</t>
  </si>
  <si>
    <t>Mol, Saskia Sl; Chen, H Carrie; Steerneman, Anke Hm; de Groot, Esther; Zwart, Dorien Lm</t>
  </si>
  <si>
    <t>https://pubmed.ncbi.nlm.nih.gov/30554530</t>
  </si>
  <si>
    <t>Longitudinal patient contacts are being implemented worldwide as a way to enhance a patient-centered orientation among medical students. In large medical schools, longitudinal integrated clerkships may not be feasible, so other ways must be sought to expose students to prolonged contact with patients. Medical students were attached to a family practice and assigned a panel of 4 patients to follow over the 3 years of their clinical training. Their role was that of companion on the patient's medical journey. The program consisted of several encounters, joining the patient in the medical setting for significant events, and written assignments. This intervention was piloted with 35 students. We describe our experiences from the 1st pilot year of this program. The intervention was performed with 3rd-year students-of a 6-year curriculum-at a large medical school in the Netherlands. Finding enough patients per practice was feasible. On the whole, students fulfilled the program's expectations regarding frequency of patient encounters and assignments. The most frequent problems encountered by the students were uncertainty about their role and setting boundaries in their contact with the patients. They needed more preceptor supervision and coaching than they received. For junior students, close and structured supervision led by the faculty is necessary to help them navigate and learn from a panel of patients. Students need guidance about what role they should take on and on how to manage both their own and their patient's expectations. Guided reflection is necessary to help students give meaning to their experiences with patients.</t>
  </si>
  <si>
    <t>MRI phenotypes of the brain are related to future stroke and mortality in patients with manifest arterial disease: The SMART-MR study.</t>
  </si>
  <si>
    <t>Jaarsma-Coes, Myriam G; Ghaznawi, Rashid; Hendrikse, Jeroen; Slump, Cornelis; Witkamp, Theo D; van der Graaf, Yolanda; Geerlings, Mirjam I; de Bresser, Jeroen; ,</t>
  </si>
  <si>
    <t>https://pubmed.ncbi.nlm.nih.gov/30547694</t>
  </si>
  <si>
    <t>Neurodegenerative and neurovascular diseases lead to heterogeneous brain abnormalities. A combined analysis of these abnormalities by phenotypes of the brain might give a more accurate representation of the underlying aetiology. We aimed to identify different MRI phenotypes of the brain and assessed the risk of future stroke and mortality within these subgroups. In 1003 patients (59 ± 10 years) from the Second Manifestations of ARTerial disease-Magnetic Resonance (SMART-MR) study, different quantitative 1.5T brain MRI markers were used in a hierarchical clustering analysis to identify 11 distinct subgroups with a different distribution in brain MRI markers and cardiovascular risk factors, and a different risk of stroke (Cox regression: from no increased risk compared to the reference group with relatively few brain abnormalities to HR = 10.34; 95% CI 3.80↔28.12 for the multi-burden subgroup) and mortality (from no increased risk compared to the reference group to HR = 4.00; 95% CI 2.50↔6.40 for the multi-burden subgroup). In conclusion, within a group of patients with manifest arterial disease, we showed that different MRI phenotypes of the brain can be identified and that these were associated with different risks of future stroke and mortality. These MRI phenotypes can possibly classify individual patients and assess their risk of future stroke and mortality.</t>
  </si>
  <si>
    <t>Lipid levels, insulin resistance and cardiovascular risk over 96 weeks of antiretroviral therapy: a randomised controlled trial comparing low-dose stavudine and tenofovir.</t>
  </si>
  <si>
    <t>Vos, Alinda G; Chersich, Matthew F; Klipstein-Grobusch, Kerstin; Zuithoff, Peter; Moorhouse, Michelle A; Lalla-Edward, Samanta T; Kambugu, Andrew; Kumarasamy, N; Grobbee, Diederick E; Barth, Roos E; Venter, Willem D</t>
  </si>
  <si>
    <t>https://pubmed.ncbi.nlm.nih.gov/30547820</t>
  </si>
  <si>
    <t>HIV infection and antiretroviral treatment are associated with changes in lipid levels, insulin resistance and risk of cardiovascular disease (CVD). We investigated these changes in the first 96 weeks of treatment with low-dose stavudine or tenofovir regimens. This is a secondary analysis of a double blind, randomised controlled trial performed in South-Africa, Uganda and India comparing low-dose stavudine (20 mg twice daily) with tenofovir in combination with efavirenz and lamivudine in antiretroviral-naïve adults (n = 1067) (Clinicaltrials.gov, NCT02670772). Over 96 weeks, data were collected on fasting lipids, glucose and insulin. Insulin resistance was assessed with the HOMA-IR index and 10-year CVD risk with the Framingham risk score (FRS). A generalized linear mixed model was used to estimate trends over time. Participants were on average 35.3 years old, 57.6% female and 91.8% Black African. All lipid levels increased following treatment initiation, with the sharpest increase in the first 24 weeks of treatment. The increase in all lipid subcomponents over 96 weeks was higher among those in the stavudine than the tenofovir group. Insulin resistance increased steadily with no difference detected between study groups. FRS rose from 1.90% (1.84-1.98%) at baseline to 2.06 (1.98-2.15%) at week 96 for the total group, with no difference between treatment arms (p = 0.144). Lipid changes were more marked in Indian than African participants. Lipid levels increased in both groups, with low-dose stavudine resulting in a worse lipid profile compared to tenofovir. Insulin resistance increased, with no difference between regimens. CVD risk increased over time and tended to increase more in the group on stavudine. The low CVD risk across both arms argues against routine lipid and glucose monitoring in the absence of other CVD risk factors. In high risk patients, monitoring may only be appropriate at least a year after treatment initiation.</t>
  </si>
  <si>
    <t>Women in Translational Medicine: Tools to Break the Glass Ceiling.</t>
  </si>
  <si>
    <t>Bots, Sophie H; Zuidgeest, Mira G P; Gohar, Aisha; Eikendal, Anouk L M; Petrelli, Alessandra; van Os-Medendorp, Harmieke; van der Schaaf, Marieke F; van Sorge, Nina M; van Wijk, Myriam; Middendorp, Sabine; Speksnijder, Caroline M; Klipstein-Grobusch, Kerstin; Seyfert-Margolis, Vicky; Mollema, Esther; van Wijk, Femke; den Ruijter, Hester M</t>
  </si>
  <si>
    <t>https://pubmed.ncbi.nlm.nih.gov/30631765</t>
  </si>
  <si>
    <t>Despite the recent movements for female equality and empowerment, few women occupy top positions in scientific decision-making. The challenges women face during their career may arise from societal biases and the current scientific culture. We discuss the effect of such biases at three different levels of the career and provide suggestions to tackle them. At the societal level, gender roles can create a negative feedback loop in which women are discouraged from attaining top positions and men are discouraged from choosing a home-centred lifestyle. This loop can be broken early in life by providing children with female role models that have a work-centred life and opening up the discussion about gender roles at a young age. At the level of hiring, unconscious biases can lead to a preference for male candidates. The introduction of (unbiased) artificial intelligence algorithms and gender champions in the hiring process may restore the balance and give men and women an equal chance. At the level of coaching and evaluation, barriers that women face should be addressed on a personal level through the introduction of coaching and mentoring programmes. In addition, women may play a pivotal role in shifting the perception of scientific success away from bibliometric outcomes only towards a more diverse assessment of quality and societal relevance. Taken together, these suggestions may break the glass ceiling in the scientific world for women; create more gender diversity at the top and improve translational science in medicine.</t>
  </si>
  <si>
    <t>Nonfocal transient neurological attacks in patients with carotid artery occlusion.</t>
  </si>
  <si>
    <t>Oudeman, Eline A; Volkers, Eline J; Greving, Jacoba P; Klijn, Catharina Jm; Algra, Ale; Kappelle, L Jaap</t>
  </si>
  <si>
    <t>https://pubmed.ncbi.nlm.nih.gov/31165094</t>
  </si>
  <si>
    <t>Nonfocal transient neurological attacks (TNAs) are episodes with atypical, nonlocalizing cerebral symptoms. We examined the prevalence of nonfocal TNAs, in patients with and without carotid artery occlusion (CAO). We included 67 patients with CAO and 62 patients without CAO. In both groups, patients had a history of transient ischemic attack (TIA) or nondisabling ischemic stroke in the anterior circulation that had occurred &gt;6 months before inclusion. Patients without CAO did not have ipsilateral or contralateral carotid artery stenosis of ≥50%. All patients were interviewed with a standardized questionnaire on the occurrence of nonfocal TNA symptoms during the preceding six months. We calculated risk ratios (RRs) with 95% confidence intervals (CIs) for the occurrence of ≥1 and ≥2 different nonfocal TNAs after adjustments for age, sex, systolic blood pressure and time interval between most recent TIA or ischemic stroke and administration of the questionnaire. Forty-three of all patients (33%) had had one or more nonfocal TNAs in the preceding six months. Nonrotatory dizziness (24%) was reported most often. The prevalence of ≥1 nonfocal TNAs was not significantly different between patients with and without CAO (39% vs. 27%; adjusted RR 1.47, 95% CI 0.83-2.61), but the prevalence of ≥2 or more different nonfocal TNAs was higher in patients with CAO (16% vs. 3%; adjusted RR 4.77, 95% CI 1.20-18.98). In patients with CAO who also had a contralateral carotid or vertebral artery steno-occlusion, nonfocal TNAs occurred more often than in patients without any carotid or vertebral artery steno-occlusion (46% vs. 27%; adjusted RR 2.22, 95% CI 1.08-4.60 for ≥1 and 21% vs. 3%; adjusted RR 8.27, 95% CI 1.83-37.32 for ≥2 nonfocal TNAs). Patients with CAO more often experienced multiple nonfocal TNAs than patients without CAO.</t>
  </si>
  <si>
    <t>Nurses' perceptions towards the delivery and feasibility of a behaviour change intervention to enhance physical activity in patients at risk for cardiovascular disease in primary care: a qualitative study.</t>
  </si>
  <si>
    <t>Westland, Heleen; Koop, Yvonne; Schröder, Carin D; Schuurmans, Marieke J; Slabbers, P; Trappenburg, Jaap C A; Vervoort, Sigrid C J M</t>
  </si>
  <si>
    <t>https://pubmed.ncbi.nlm.nih.gov/30541460</t>
  </si>
  <si>
    <t>Self-management support is widely accepted for the management of chronic conditions. Self-management often requires behaviour change in patients, in which primary care nurses play a pivotal role. To support patients in changing their behaviour, the structured behaviour change Activate intervention was developed. This intervention aims to enhance physical activity in patients at risk for cardiovascular disease in primary care as well as to enhance nurses' role in supporting these patients. This study aimed to evaluate nurses' perceptions towards the delivery and feasibility of the Activate intervention. A qualitative study nested within a cluster-randomised controlled trial using semistructured interviews was conducted and thematically analysed. Fourteen nurses who delivered the Activate intervention participated. Three key themes emerged concerning nurses' perceptions of delivering the intervention: nurses' engagement towards delivering the intervention; acquiring knowledge and skills; and dealing with adherence to the consultation structure. Three key themes were identified concerning the feasibility of the intervention: expectations towards the use of the intervention in routine practice; perceptions towards the feasibility of the training programme; and enabling personal development. Delivering a behaviour change intervention is challenged by the complexity of changing nurses' consultation style, including acquiring corresponding knowledge and skills. The findings have increased the understanding of the effectiveness of the Activate trial and will guide the development and evaluation of future behaviour change interventions delivered by nurses in primary care. ClinicalTrials.gov NCT02725203 .</t>
  </si>
  <si>
    <t>A cost analysis of upfront DPYD genotype-guided dose individualisation in fluoropyrimidine-based anticancer therapy.</t>
  </si>
  <si>
    <t>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van Werkhoven, Erik; van Kuilenburg, André B P; van Schaik, Ron H N; Mathijssen, Ron H J; Swen, Jesse J; Gelderblom, Hans; Cats, Annemieke; Guchelaar, Henk-Jan; Schellens, Jan H M</t>
  </si>
  <si>
    <t>https://pubmed.ncbi.nlm.nih.gov/30544060</t>
  </si>
  <si>
    <t>Fluoropyrimidine therapy including capecitabine or 5-fluorouracil can result in severe treatment-related toxicity in up to 30% of patients. Toxicity is often related to reduced activity of dihydropyrimidine dehydrogenase, the main metabolic fluoropyrimidine enzyme, primarily caused by genetic DPYD polymorphisms. In a large prospective study, it was concluded that upfront DPYD-guided dose individualisation is able to improve safety of fluoropyrimidine-based therapy. In our current analysis, we evaluated whether this strategy is cost saving. A cost-minimisation analysis from a health-care payer perspective was performed as part of the prospective clinical trial (NCT02324452) in which patients prior to start of fluoropyrimidine-based therapy were screened for the DPYD variants DPYD*2A, c.2846A&gt;T, c.1679T&gt;G and c.1236G&gt;A and received an initial dose reduction of 25% (c.2846A&gt;T, c.1236G&gt;A) or 50% (DPYD*2A, c.1679T&gt;G). Data on treatment, toxicity, hospitalisation and other toxicity-related interventions were collected. The model compared prospective screening for these DPYD variants with no DPYD screening. One-way and probabilistic sensitivity analyses were also performed. Expected total costs of the screening strategy were €2599 per patient compared with €2650 for non-screening, resulting in a net cost saving of €51 per patient. Results of the probabilistic sensitivity and one-way sensitivity analysis demonstrated that the screening strategy was very likely to be cost saving or worst case cost-neutral. Upfront DPYD-guided dose individualisation, improving patient safety, is cost saving or cost-neutral but is not expected to yield additional costs. These results endorse implementing DPYD screening before start of fluoropyrimidine treatment as standard of care.</t>
  </si>
  <si>
    <t>Search for Higgs boson pair production in the &lt;math xmlns="http://www.w3.org/1998/Math/MathML"&gt;&lt;mrow&gt;&lt;mi&gt;γ&lt;/mi&gt; &lt;mi&gt;γ&lt;/mi&gt; &lt;mi&gt;W&lt;/mi&gt; &lt;msup&gt;&lt;mi&gt;W&lt;/mi&gt; &lt;mo&gt;∗&lt;/mo&gt;&lt;/msup&gt; &lt;/mrow&gt; &lt;/math&gt; channel using &lt;math xmlns="http://www.w3.org/1998/Math/MathML"&gt;&lt;mrow&gt;&lt;mi&gt;pp&lt;/mi&gt;&lt;/mrow&gt; &lt;/math&gt; collision data recorded at &lt;math xmlns="http://www.w3.org/1998/Math/MathML"&gt;&lt;msqrt&gt;&lt;mi&gt;s&lt;/mi&gt;&lt;/msqrt&gt; &lt;/math&gt; &lt;math xmlns="http://www.w3.org/1998/Math/MathML"&gt;&lt;mrow&gt;&lt;mo&gt;=&lt;/mo&gt; &lt;mn&gt;13&lt;/mn&gt;&lt;/mrow&gt; &lt;/math&gt; TeV with the ATLAS detector.</t>
  </si>
  <si>
    <t>Aaboud, M; Aad, G; Abbott, B; Abdinov, O; Abeloos, B; Abhayasinghe, D K;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t>
  </si>
  <si>
    <t>https://pubmed.ncbi.nlm.nih.gov/30872957</t>
  </si>
  <si>
    <t>Searches for non-resonant and resonant Higgs boson pair production are performed in the &lt;math xmlns="http://www.w3.org/1998/Math/MathML"&gt;&lt;mrow&gt;&lt;mi&gt;γ&lt;/mi&gt; &lt;mi&gt;γ&lt;/mi&gt; &lt;mi&gt;W&lt;/mi&gt; &lt;msup&gt;&lt;mi&gt;W&lt;/mi&gt; &lt;mo&gt;∗&lt;/mo&gt;&lt;/msup&gt; &lt;/mrow&gt; &lt;/math&gt; channel with the final state of &lt;math xmlns="http://www.w3.org/1998/Math/MathML"&gt;&lt;mrow&gt;&lt;mi&gt;γ&lt;/mi&gt; &lt;mi&gt;γ&lt;/mi&gt; &lt;mi&gt;ℓ&lt;/mi&gt; &lt;mi&gt;ν&lt;/mi&gt; &lt;mi&gt;j&lt;/mi&gt; &lt;mi&gt;j&lt;/mi&gt;&lt;/mrow&gt; &lt;/math&gt; using 36.1  &lt;math xmlns="http://www.w3.org/1998/Math/MathML"&gt;&lt;msup&gt;&lt;mtext&gt;fb&lt;/mtext&gt; &lt;mrow&gt;&lt;mo&gt;-&lt;/mo&gt; &lt;mn&gt;1&lt;/mn&gt;&lt;/mrow&gt; &lt;/msup&gt; &lt;/math&gt; of proton-proton collision data recorded at a centre-of-mass energy of &lt;math xmlns="http://www.w3.org/1998/Math/MathML"&gt; &lt;mrow&gt;&lt;msqrt&gt;&lt;mi&gt;s&lt;/mi&gt;&lt;/msqrt&gt; &lt;mo&gt;=&lt;/mo&gt;&lt;/mrow&gt; &lt;/math&gt; 13 TeV by the ATLAS detector at the Large Hadron Collider. No significant deviation from the Standard Model prediction is observed. A 95% confidence-level observed upper limit of 7.7 pb is set on the cross section for non-resonant production, while the expected limit is 5.4 pb. A search for a narrow-width resonance &lt;i&gt;X&lt;/i&gt; decaying to a pair of Standard Model Higgs bosons &lt;i&gt;HH&lt;/i&gt; is performed with the same set of data, and the observed upper limits on &lt;math xmlns="http://www.w3.org/1998/Math/MathML"&gt;&lt;mrow&gt;&lt;mi&gt;σ&lt;/mi&gt; &lt;mo&gt;(&lt;/mo&gt; &lt;mi&gt;p&lt;/mi&gt; &lt;mi&gt;p&lt;/mi&gt; &lt;mo&gt;→&lt;/mo&gt; &lt;mi&gt;X&lt;/mi&gt; &lt;mo&gt;)&lt;/mo&gt; &lt;mo&gt;×&lt;/mo&gt; &lt;mi&gt;B&lt;/mi&gt; &lt;mo&gt;(&lt;/mo&gt; &lt;mi&gt;X&lt;/mi&gt; &lt;mo&gt;→&lt;/mo&gt; &lt;mi&gt;H&lt;/mi&gt; &lt;mi&gt;H&lt;/mi&gt; &lt;mo&gt;)&lt;/mo&gt;&lt;/mrow&gt; &lt;/math&gt; range between 40.0 and 6.1 pb for masses of the resonance between 260 and 500 GeV, while the expected limits range between 17.6 and 4.4 pb. When deriving the limits above, the Standard Model branching ratios of the &lt;math xmlns="http://www.w3.org/1998/Math/MathML"&gt;&lt;mrow&gt;&lt;mi&gt;H&lt;/mi&gt; &lt;mo&gt;→&lt;/mo&gt; &lt;mrow&gt;&lt;mi&gt;γ&lt;/mi&gt; &lt;mi&gt;γ&lt;/mi&gt;&lt;/mrow&gt; &lt;/mrow&gt; &lt;/math&gt; and &lt;math xmlns="http://www.w3.org/1998/Math/MathML"&gt;&lt;mrow&gt;&lt;mi&gt;H&lt;/mi&gt; &lt;mo&gt;→&lt;/mo&gt; &lt;mi&gt;W&lt;/mi&gt; &lt;msup&gt;&lt;mi&gt;W&lt;/mi&gt; &lt;mo&gt;∗&lt;/mo&gt;&lt;/msup&gt; &lt;/mrow&gt; &lt;/math&gt; are assumed.</t>
  </si>
  <si>
    <t>Measurement of the azimuthal anisotropy of charged particles produced in &lt;math xmlns="http://www.w3.org/1998/Math/MathML"&gt; &lt;msqrt&gt;&lt;msub&gt;&lt;mi&gt;s&lt;/mi&gt; &lt;msub&gt;&lt;mrow&gt;&lt;/mrow&gt; &lt;mtext&gt;NN&lt;/mtext&gt;&lt;/msub&gt; &lt;/msub&gt; &lt;/msqrt&gt; &lt;/math&gt; = 5.02 TeV Pb+Pb collisions with the ATLAS detector.</t>
  </si>
  <si>
    <t>https://pubmed.ncbi.nlm.nih.gov/30872955</t>
  </si>
  <si>
    <t>Measurements of the azimuthal anisotropy in lead-lead collisions at &lt;math xmlns="http://www.w3.org/1998/Math/MathML"&gt; &lt;msqrt&gt;&lt;msub&gt;&lt;mi&gt;s&lt;/mi&gt; &lt;msub&gt;&lt;mrow&gt;&lt;/mrow&gt; &lt;mtext&gt;NN&lt;/mtext&gt;&lt;/msub&gt; &lt;/msub&gt; &lt;/msqrt&gt; &lt;/math&gt; = 5.02 TeV are presented using a data sample corresponding to 0.49 &lt;math xmlns="http://www.w3.org/1998/Math/MathML"&gt; &lt;msup&gt;&lt;mrow&gt;&lt;mi&gt;nb&lt;/mi&gt;&lt;/mrow&gt; &lt;mrow&gt;&lt;mo&gt;-&lt;/mo&gt; &lt;mn&gt;1&lt;/mn&gt;&lt;/mrow&gt; &lt;/msup&gt; &lt;/math&gt; integrated luminosity collected by the ATLAS experiment at the LHC in 2015. The recorded minimum-bias sample is enhanced by triggers for "ultra-central" collisions, providing an opportunity to perform detailed study of flow harmonics in the regime where the initial state is dominated by fluctuations. The anisotropy of the charged-particle azimuthal angle distributions is characterized by the Fourier coefficients, &lt;math xmlns="http://www.w3.org/1998/Math/MathML"&gt;&lt;msub&gt;&lt;mi&gt;v&lt;/mi&gt; &lt;mn&gt;2&lt;/mn&gt;&lt;/msub&gt; &lt;/math&gt; - &lt;math xmlns="http://www.w3.org/1998/Math/MathML"&gt;&lt;msub&gt;&lt;mi&gt;v&lt;/mi&gt; &lt;mn&gt;7&lt;/mn&gt;&lt;/msub&gt; &lt;/math&gt; , which are measured using the two-particle correlation, scalar-product and event-plane methods. The goal of the paper is to provide measurements of the differential as well as integrated flow harmonics &lt;math xmlns="http://www.w3.org/1998/Math/MathML"&gt;&lt;msub&gt;&lt;mi&gt;v&lt;/mi&gt; &lt;mi&gt;n&lt;/mi&gt;&lt;/msub&gt; &lt;/math&gt; over wide ranges of the transverse momentum, 0.5  &lt;math xmlns="http://www.w3.org/1998/Math/MathML"&gt;&lt;mrow&gt;&lt;mo&gt;&lt;&lt;/mo&gt; &lt;msub&gt;&lt;mi&gt;p&lt;/mi&gt; &lt;mi&gt;T&lt;/mi&gt;&lt;/msub&gt; &lt;mo&gt;&lt;&lt;/mo&gt;&lt;/mrow&gt; &lt;/math&gt;  60 GeV, the pseudorapidity, &lt;math xmlns="http://www.w3.org/1998/Math/MathML"&gt;&lt;mrow&gt;&lt;mo&gt;|&lt;/mo&gt; &lt;mi&gt;η&lt;/mi&gt; &lt;mo&gt;|&lt;/mo&gt; &lt;mo&gt;&lt;&lt;/mo&gt;&lt;/mrow&gt; &lt;/math&gt;  2.5, and the collision centrality 0-80%. Results from different methods are compared and discussed in the context of previous and recent measurements in Pb+Pb collisions at &lt;math xmlns="http://www.w3.org/1998/Math/MathML"&gt; &lt;msqrt&gt;&lt;msub&gt;&lt;mi&gt;s&lt;/mi&gt; &lt;msub&gt;&lt;mrow&gt;&lt;/mrow&gt; &lt;mtext&gt;NN&lt;/mtext&gt;&lt;/msub&gt; &lt;/msub&gt; &lt;/msqrt&gt; &lt;/math&gt; = 2.76  &lt;math xmlns="http://www.w3.org/1998/Math/MathML"&gt;&lt;mi&gt;TeV&lt;/mi&gt;&lt;/math&gt; and 5.02  &lt;math xmlns="http://www.w3.org/1998/Math/MathML"&gt;&lt;mi&gt;TeV&lt;/mi&gt;&lt;/math&gt; . In particular, the shape of the &lt;math xmlns="http://www.w3.org/1998/Math/MathML"&gt;&lt;msub&gt;&lt;mi&gt;p&lt;/mi&gt; &lt;mi&gt;T&lt;/mi&gt;&lt;/msub&gt; &lt;/math&gt; dependence of elliptic or triangular flow harmonics is observed to be very similar at different centralities after scaling the &lt;math xmlns="http://www.w3.org/1998/Math/MathML"&gt;&lt;msub&gt;&lt;mi&gt;v&lt;/mi&gt; &lt;mi&gt;n&lt;/mi&gt;&lt;/msub&gt; &lt;/math&gt; and &lt;math xmlns="http://www.w3.org/1998/Math/MathML"&gt;&lt;msub&gt;&lt;mi&gt;p&lt;/mi&gt; &lt;mi&gt;T&lt;/mi&gt;&lt;/msub&gt; &lt;/math&gt; values by constant factors over the centrality interval 0-60% and the &lt;math xmlns="http://www.w3.org/1998/Math/MathML"&gt;&lt;msub&gt;&lt;mi&gt;p&lt;/mi&gt; &lt;mi&gt;T&lt;/mi&gt;&lt;/msub&gt; &lt;/math&gt; range 0.5  &lt;math xmlns="http://www.w3.org/1998/Math/MathML"&gt;&lt;mrow&gt;&lt;mo&gt;&lt;&lt;/mo&gt; &lt;msub&gt;&lt;mi&gt;p&lt;/mi&gt; &lt;mi&gt;T&lt;/mi&gt;&lt;/msub&gt; &lt;mo&gt;&lt;&lt;/mo&gt;&lt;/mrow&gt; &lt;/math&gt;  5 GeV.</t>
  </si>
  <si>
    <t>Misclassification of Both Chronic Obstructive Pulmonary Disease and Heart Failure.</t>
  </si>
  <si>
    <t>Rutten, Frans H; Broekhuizen, Berna D L</t>
  </si>
  <si>
    <t>https://pubmed.ncbi.nlm.nih.gov/30646286</t>
  </si>
  <si>
    <t>Near-home heart failure care.</t>
  </si>
  <si>
    <t>https://pubmed.ncbi.nlm.nih.gov/30520538</t>
  </si>
  <si>
    <t>Peptide Ligands of AmiA, AliA, and AliB Proteins Determine Pneumococcal Phenotype.</t>
  </si>
  <si>
    <t>Nasher, Fauzy; Aguilar, Fernando; Aebi, Suzanne; Hermans, Peter W M; Heller, Manfred; Hathaway, Lucy J</t>
  </si>
  <si>
    <t>https://pubmed.ncbi.nlm.nih.gov/30568648</t>
  </si>
  <si>
    <t>The Ami-AliA/AliB oligopeptide permease of &lt;i&gt;Streptococcus pneumoniae&lt;/i&gt; has been suggested to play a role in environmental sensing and colonisation of the nasopharynx by this human bacterial pathogen by binding peptides derived from bacterial neighbours of other species in the microbiota. Here, we investigated the effects of the peptide ligands of the permease's substrate binding proteins AmiA, AliA, and AliB on pneumococcal phenotype. AmiA and AliA ligands reduced pneumococcal growth, increased biofilm production and reduced capsule size. In contrast, AliB ligand increased growth and greatly increased bacterial chain length. A decrease in transformation rate was observed in response to all three peptides. Changes in protein expression were also observed, particularly those associated with metabolism and cell wall synthesis. Understanding interspecies bacterial communication and its effect on development of colonising versus invasive phenotypes has the potential to reveal new targets to tackle and prevent pneumococcal infections.</t>
  </si>
  <si>
    <t>Search for electroweak production of supersymmetric particles in final states with two or three leptons at &lt;math xmlns="http://www.w3.org/1998/Math/MathML"&gt; &lt;mrow&gt;&lt;msqrt&gt;&lt;mi&gt;s&lt;/mi&gt;&lt;/msqrt&gt; &lt;mo&gt;=&lt;/mo&gt; &lt;mn&gt;13&lt;/mn&gt; &lt;mtext&gt;TeV&lt;/mtext&gt;&lt;/mrow&gt; &lt;/math&gt;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</si>
  <si>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Ahmadov, F; Aielli, G; Akatsuka, S; Akerstedt, H; Åkesson, T P A; Akilli, E; Akimov, A V; Alberghi, G L; Albert, J; Albicocco, P; Alconada Verzini, M J; Alderweireldt, S; Aleksa, M; Aleksandrov, I N; Alexa, C; Alexander, G; Alexopoulos, T; Alhroob, M; Ali, B;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 Andrei, V; Ang</t>
  </si>
  <si>
    <t>https://pubmed.ncbi.nlm.nih.gov/30872954</t>
  </si>
  <si>
    <t>A search for the electroweak production of charginos, neutralinos and sleptons decaying into final states involving two or three electrons or muons is presented. The analysis is based on 36.1 fb &lt;math xmlns="http://www.w3.org/1998/Math/MathML"&gt;&lt;msup&gt;&lt;mrow&gt;&lt;/mrow&gt; &lt;mrow&gt;&lt;mo&gt;-&lt;/mo&gt; &lt;mn&gt;1&lt;/mn&gt;&lt;/mrow&gt; &lt;/msup&gt; &lt;/math&gt; of &lt;math xmlns="http://www.w3.org/1998/Math/MathML"&gt; &lt;mrow&gt;&lt;msqrt&gt;&lt;mi&gt;s&lt;/mi&gt;&lt;/msqrt&gt; &lt;mo&gt;=&lt;/mo&gt; &lt;mn&gt;13&lt;/mn&gt;&lt;/mrow&gt; &lt;/math&gt;  TeV proton-proton collisions recorded by the ATLAS detector at the Large Hadron Collider. Several scenarios based on simplified models are considered. These include the associated production of the next-to-lightest neutralino and the lightest chargino, followed by their decays into final states with leptons and the lightest neutralino via either sleptons or Standard Model gauge bosons; direct production of chargino pairs, which in turn decay into leptons and the lightest neutralino via intermediate sleptons; and slepton pair production, where each slepton decays directly into the lightest neutralino and a lepton. No significant deviations from the Standard Model expectation are observed and stringent limits at 95% confidence level are placed on the masses of relevant supersymmetric particles in each of these scenarios. For a massless lightest neutralino, masses up to 580 GeV are excluded for the associated production of the next-to-lightest neutralino and the lightest chargino, assuming gauge-boson mediated decays, whereas for slepton-pair production masses up to 500 GeV are excluded assuming three generations of mass-degenerate sleptons.</t>
  </si>
  <si>
    <t>[The polypill for cardiovascular disease: why is it used so infrequently?].</t>
  </si>
  <si>
    <t>Bots, Michiel L; Lafeber, Melvin</t>
  </si>
  <si>
    <t>https://pubmed.ncbi.nlm.nih.gov/30570925</t>
  </si>
  <si>
    <t>Cardiovascular polypills or fixed-dose combination (FDC) therapy have been advocated to improve treatment and prevention of cardiovascular disease since 2003. Yet, it is still used infrequently in current practice. This is in contrast to the widespread use of fixed-dose drug combinations for HIV, tuberculosis, and malaria worldwide. Over the past 15 years, evidence from studies in patients with elevated cardiovascular risk or manifest cardiovascular disease has become available, showing that FDC therapy is a strategy which improves adherence, lowers risk factor levels better than usual care, improves adherence to treatment goals, considerably lowers daily intake of pills, and simplifies drug regimens. Furthermore, patients uniformly indicate that this type of therapy is preferred over prescription of individual pills. Also, FDC therapy is reimbursed. Yet, in the Netherlands, only a small percentage of patients is prescribed a fixed dose combination pill. This raises the question what the underlying barriers are to adoption in clinical practice: is it availability, willingness, awareness, or a combination of factors?</t>
  </si>
  <si>
    <t>Cluster randomised trial on the effectiveness of a computerised prompt to refer (back) patients with type 2 diabetes.</t>
  </si>
  <si>
    <t>Ronda, Maaike C M; Dijkhorst-Oei, Lioe-Ting; Vos, Rimke C; Westers, Paul; Rutten, Guy E H M</t>
  </si>
  <si>
    <t>https://pubmed.ncbi.nlm.nih.gov/30517164</t>
  </si>
  <si>
    <t>Information and communications technology (ICT) could support care organisations to cope with the increasing number of patients with diabetes mellitus. We aimed to aid diabetes care providers in allocating patients to the preferred treatment setting (hospital outpatient clinic or primary care practice), by using the Electronic Medical Record (EMR). A cluster randomised controlled trial. Physicians in primary and secondary care practices of the intervention group received an advisory message in the EMR during diabetes consultations if patients were treated in the 'incorrect' setting according to national management guidelines. Primary outcome: the proportion of patients that shifted to the correct treatment setting at one year follow-up. 47 (38 primary care and 9 internist) practices and 2778 patients were included. At baseline, 1197 (43.1%) patients were in the correct treatment setting (intervention 599; control 598). Advice most often (68.4%) regarded a consultation with the internist. After one year 12.4% of the patients in the intervention and 10.6% in the control group (p = 0.30) had shifted to the correct setting. Main reasons for not following advice were: 1. physician's preference to consider other treatment options; 2. patients' preferences. We could not find evidence that using the EMR to send consultation-linked advice to physicians resulted in a shift in patients. Physicians will not follow the advice, at least partly due to patients' preferences.</t>
  </si>
  <si>
    <t>[Acute chest pain and normal high-sensitivity cardiac troponin levels; is this the end of the story?].</t>
  </si>
  <si>
    <t>Rutten, Frans H</t>
  </si>
  <si>
    <t>https://pubmed.ncbi.nlm.nih.gov/30570939</t>
  </si>
  <si>
    <t>In patients presenting with acute chest pain, acute myocardial infarction should first be ruled out as a cause as these patients will often need coronary revascularisation. In the remaining patients, those with normal high-sensitivity cardiac troponin levels should undergo additional cardiac investigations to discriminate patients with an episode of unstable angina pectoris from those who have a non-cardiac cause of the chest pain. In the large majority (86%), the medical history does not raise suspicion of angina pectoris and an exercise test will show normal results; in these patients, further cardiac imaging does not seem to be indicated. In conclusion, less cardiac imaging and more non-cardiac investigations are required in patients with acute chest pain and normal high-sensitivity cardiac troponin levels.</t>
  </si>
  <si>
    <t>Discovery of common and rare genetic risk variants for colorectal cancer.</t>
  </si>
  <si>
    <t>Huyghe, Jeroen R; Bien, Stephanie A; Harrison, Tabitha A; Kang, Hyun Min; Chen, Sai; Schmit, Stephanie L; Conti, David V; Qu, Conghui; Jeon, Jihyoun; Edlund, Christopher K; Greenside, Peyton; Wainberg, Michael; Schumacher, Fredrick R; Smith, Joshua D; Levine, David M; Nelson, Sarah C; Sinnott-Armstrong, Nasa A; Albanes, Demetrius; Alonso, M Henar; Anderson, Kristin; Arnau-Collell, Coral; Arndt, Volker; Bamia, Christina; Banbury, Barbara L; Baron, John A; Berndt, Sonja I; Bézieau, Stéphane; Bishop, D Timothy; Boehm, Juergen; Boeing, Heiner; Brenner, Hermann; Brezina, Stefanie; Buch, Stephan; Buchanan, Daniel D; Burnett-Hartman, Andrea; Butterbach, Katja; Caan, Bette J; Campbell, Peter T; Carlson, Christopher S; Castellví-Bel, Sergi; Chan, Andrew T; Chang-Claude, Jenny; Chanock, Stephen J; Chirlaque, Maria-Dolores; Cho, Sang Hee; Connolly, Charles M; Cross, Amanda J; Cuk, Katarina; Curtis, Keith R; de la Chapelle, Albert; Doheny, Kimberly F; Duggan, David; Easton, Douglas F; Elias, Sjoer</t>
  </si>
  <si>
    <t>https://pubmed.ncbi.nlm.nih.gov/30510241</t>
  </si>
  <si>
    <t>To further dissect the genetic architecture of colorectal cancer (CRC), we performed whole-genome sequencing of 1,439 cases and 720 controls, imputed discovered sequence variants and Haplotype Reference Consortium panel variants into genome-wide association study data, and tested for association in 34,869 cases and 29,051 controls. Findings were followed up in an additional 23,262 cases and 38,296 controls. We discovered a strongly protective 0.3% frequency variant signal at CHD1. In a combined meta-analysis of 125,478 individuals, we identified 40 new independent signals at P &lt; 5 × 10&lt;sup&gt;-8&lt;/sup&gt;, bringing the number of known independent signals for CRC to ~100. New signals implicate lower-frequency variants, Krüppel-like factors, Hedgehog signaling, Hippo-YAP signaling, long noncoding RNAs and somatic drivers, and support a role for immune function. Heritability analyses suggest that CRC risk is highly polygenic, and larger, more comprehensive studies enabling rare variant analysis will improve understanding of biology underlying this risk and influence personalized screening strategies and drug development.</t>
  </si>
  <si>
    <t>Vaccines to Prevent Pneumococcal Community-Acquired Pneumonia.</t>
  </si>
  <si>
    <t>van Werkhoven, Cornelis H; Huijts, Susanne M</t>
  </si>
  <si>
    <t>clinics in chest medicine</t>
  </si>
  <si>
    <t>https://pubmed.ncbi.nlm.nih.gov/30390745</t>
  </si>
  <si>
    <t>Streptococcus pneumoniae is the most frequent pathogen in community-acquired pneumonia and also causes invasive diseases like bacteremia and meningitis. Young children and elderly are especially at risk for pneumococcal diseases and are, therefore, eligible for pneumococcal vaccination in most countries. This reviews provides an overview of the current epidemiology of pneumococcal infections, history and evidence of available pneumococcal polysaccharide and conjugate vaccines, and current recommendations.</t>
  </si>
  <si>
    <t>Symptom Monitoring in Glioma Patients: Development of the Edmonton Symptom Assessment System Glioma Module.</t>
  </si>
  <si>
    <t>IJzerman-Korevaar, Margriet; Snijders, Tom J; Teunissen, Saskia C C M; de Graeff, Alexander; De Vos, Filip Y F</t>
  </si>
  <si>
    <t>the journal of neuroscience nursing journal of the american association of neuroscience nurses</t>
  </si>
  <si>
    <t>https://pubmed.ncbi.nlm.nih.gov/30407970</t>
  </si>
  <si>
    <t>Symptoms in glioma patients are distinctly different from symptoms in patients with other types of cancer and have a high impact on quality of life. In this study, a stepwise approach of developing a glioma module for assessment of symptoms, based on a Dutch adapted and validated version of the Edmonton Symptom Assessment System, is described. Three phases of instrument development were conducted: a systematic literature review and a focus group interview with experts were performed (phase I) to generate relevant symptoms and construct a preliminary module (phase II). In phase III, the preliminary module was evaluated (n = 25) and pretested (n = 45) in glioma patients representing all phases of the disease. Our glioma module contains 11 generic and 6 neurologic symptoms. Patients completed the glioma module in a median of 5 minutes, and 56% of the patients required some assistance to complete the instrument. The glioma module has initial validity and will benefit from prospective validation in a larger cohort of patients with glioma.</t>
  </si>
  <si>
    <t>Tympanostomy tube otorrhea in children: prevention and treatment.</t>
  </si>
  <si>
    <t>van Dongen, Thijs M A; Damoiseaux, Roger A M J; Schilder, Anne G M</t>
  </si>
  <si>
    <t>current opinion in otolaryngology head and neck surgery</t>
  </si>
  <si>
    <t>https://pubmed.ncbi.nlm.nih.gov/30234663</t>
  </si>
  <si>
    <t>One in two children treated with tympanostomy tubes, experience episodes of otorrhea whilst their tubes are in place. In this review, we present the results of the most recent publications on prevention and treatment of tympanostomy tube otorrhea (TTO). Recent systematic reviews on water precautions for children with tympanostomy tubes support the American Academy of Otolaryngology - Head and Neck Surgery guideline recommendation against such preventive measures as there is no evidence that it protects against TTO. Studies on tympanostomy tube design and material suggest that silicone tubes have a lower TTO risk and that biofilms appear to be mainly located in the perpendicular junction of the T-tubes and the round rims of the Paparella-type tubes. Another study shows that the biofilm-component DNAB-II protein is present in otorrhea of half of children with TTO. Targeting this protein could lead to a collapse of the biofilm structure and as such a potential new treatment for chronic TTO. New systematic reviews show that antibiotic eardrops are the most effective first-line treatment of acute TTO and suggest that an antibiotic-corticosteroid combination is more effective than antibiotic only. Although in many countries, quinolone eardrops are the preferred choice because of being non-ototoxic, one study found a higher risk of persistent perforation after tube extrusion in children treated with quinolone eardrops as compared with children treated with aminoglycoside eardrops. Recent evidence confirms that water precautions for children with tympanostomy tubes are not effective in preventing TTO. Antibiotic-corticosteroid eardrops are the most effective treatment of acute TTO.</t>
  </si>
  <si>
    <t>Long-Term Exposure to Ultrafine Particles and Incidence of Cardiovascular and Cerebrovascular Disease in a Prospective Study of a Dutch Cohort.</t>
  </si>
  <si>
    <t>Downward, George S; van Nunen, Erik J H M; Kerckhoffs, Jules; Vineis, Paolo; Brunekreef, Bert; Boer, Jolanda M A; Messier, Kyle P; Roy, Ananya; Verschuren, W Monique M; van der Schouw, Yvonne T; Sluijs, Ivonne; Gulliver, John; Hoek, Gerard; Vermeulen, Roel</t>
  </si>
  <si>
    <t>https://pubmed.ncbi.nlm.nih.gov/30566375</t>
  </si>
  <si>
    <t>There is growing evidence that exposure to ultrafine particles (UFP; particles smaller than [Formula: see text]) may play an underexplored role in the etiology of several illnesses, including cardiovascular disease (CVD). We aimed o investigate the relationship between long-term exposure to ambient UFP and incident cardiovascular and cerebrovascular disease (CVA). As a secondary objective, we sought to compare effect estimates for UFP with those derived for other air pollutants, including estimates from two-pollutant models. Using a prospective cohort of 33,831 Dutch residents, we studied the association between long-term exposure to UFP (predicted via land use regression) and incident disease using Cox proportional hazard models. Hazard ratios (HR) for UFP were compared to HRs for more routinely monitored air pollutants, including particulate matter with aerodynamic diameter [Formula: see text] ([Formula: see text]), PM with aerodynamic diameter [Formula: see text] ([Formula: see text]), and [Formula: see text]. Long-term UFP exposure was associated with an increased risk for all incident CVD [[Formula: see text] per [Formula: see text]; 95% confidence interval (CI): 1.03, 1.34], myocardial infarction (MI) ([Formula: see text]; 95% CI: 1.00, 1.79), and heart failure ([Formula: see text]; 95% CI: 1.17, 2.66). Positive associations were also estimated for [Formula: see text] ([Formula: see text]; 95% CI: 1.01, 1.48 per [Formula: see text]) and coarse PM ([Formula: see text]; HR for all [Formula: see text]; 95% CI: 1.01, 1.45 per [Formula: see text]). CVD was not positively associated with [Formula: see text] (HR for all [Formula: see text]; 95% CI: 0.75, 1.28 per [Formula: see text]). HRs for UFP and CVAs were positive, but not significant. In two-pollutant models ([Formula: see text] and [Formula: see text]), positive associations tended to remain for UFP, while HRs for [Formula: see text] and [Formula: see text] generally attenuated towards the null. These findings strengthen the evidence that UFP exposure plays an important role in cardiovascular health and that risks of ambient air pollution may have been underestimated based on conventional air pollution metrics. https://doi.org/10.1289/EHP3047.</t>
  </si>
  <si>
    <t>Operation and performance of the ATLAS Tile Calorimeter in Run 1.</t>
  </si>
  <si>
    <t>Aaboud, M; Aad, G; Abbott, B; Abdallah, J; Abdinov, O; Abeloos, B; Abhayasinghe, D K; Abidi, S H; AbouZeid, O S; Abraham, N L; Abramowicz, H; Abreu, H; Abulaiti, Y; Acharya, B S; Adachi, S; Adamczyk, L; Adelman, J; Adersberger, M; Adiguzel, A; Adye, T; Affolder, A A; Afik, Y; Agheorghiesei, C; Aguilar-Saavedra, J A; Ahmadov, F; Aielli, G; Akatsuka, S; Akerstedt, H;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t>
  </si>
  <si>
    <t>https://pubmed.ncbi.nlm.nih.gov/30872953</t>
  </si>
  <si>
    <t>The Tile Calorimeter is the hadron calorimeter covering the central region of the ATLAS experiment at the Large Hadron Collider. Approximately 10,000 photomultipliers collect light from scintillating tiles acting as the active material sandwiched between slabs of steel absorber. This paper gives an overview of the calorimeter's performance during the years 2008-2012 using cosmic-ray muon events and proton-proton collision data at centre-of-mass energies of 7 and 8 TeV with a total integrated luminosity of nearly 30 fb &lt;math xmlns="http://www.w3.org/1998/Math/MathML"&gt;&lt;msup&gt;&lt;mrow&gt;&lt;/mrow&gt; &lt;mrow&gt;&lt;mo&gt;-&lt;/mo&gt; &lt;mn&gt;1&lt;/mn&gt;&lt;/mrow&gt; &lt;/msup&gt; &lt;/math&gt; . The signal reconstruction methods, calibration systems as well as the detector operation status are presented. The energy and time calibration methods performed excellently, resulting in good stability of the calorimeter response under varying conditions during the LHC Run 1. Finally, the Tile Calorimeter response to isolated muons and hadrons as well as to jets from proton-proton collisions is presented. The results demonstrate excellent performance in accord with specifications mentioned in the Technical Design Report.</t>
  </si>
  <si>
    <t>Optimizing the Design and Analysis of Clinical Trials for Antibacterials Against Multidrug-resistant Organisms: A White Paper From COMBACTE's STAT-Net.</t>
  </si>
  <si>
    <t>de Kraker, Marlieke E A; Sommer, Harriet; de Velde, Femke; Gravestock, Isaac; Weiss, Emmanuel; McAleenan, Alexandra; Nikolakopoulos, Stavros; Amit, Ohad; Ashton, Teri; Beyersmann, Jan; Held, Leonhard; Lovering, Andrew M; MacGowan, Alasdair P; Mouton, Johan W; Timsit, Jean-François; Wilson, David; Wolkewitz, Martin; Bettiol, Esther; Dane, Aaron; Harbarth, Stephan; ,</t>
  </si>
  <si>
    <t>https://pubmed.ncbi.nlm.nih.gov/30107400</t>
  </si>
  <si>
    <t>Innovations are urgently required for clinical development of antibacterials against multidrug-resistant organisms. Therefore, a European, public-private working group (STAT-Net; part of Combatting Bacterial Resistance in Europe [COMBACTE]), has reviewed and tested several innovative trials designs and analytical methods for randomized clinical trials, which has resulted in 8 recommendations. The first 3 focus on pharmacokinetic and pharmacodynamic modeling, emphasizing the pertinence of population-based pharmacokinetic models, regulatory procedures for the reassessment of old antibiotics, and rigorous quality improvement. Recommendations 4 and 5 address the need for more sensitive primary end points through the use of rank-based or time-dependent composite end points. Recommendation 6 relates to the applicability of hierarchical nested-trial designs, and the last 2 recommendations propose the incorporation of historical or concomitant trial data through Bayesian methods and/or platform trials. Although not all of these recommendations are directly applicable, they provide a solid, evidence-based approach to develop new, and established, antibacterials and address this public health challenge.</t>
  </si>
  <si>
    <t>Antibiotic use in children with asthma: cohort study in UK and Dutch primary care databases.</t>
  </si>
  <si>
    <t>Baan, Esmé J; Janssens, Hettie M; Kerckaert, Tine; Bindels, Patrick J E; de Jongste, Johan C; Sturkenboom, Miriam C J M; Verhamme, Katia M C</t>
  </si>
  <si>
    <t>https://pubmed.ncbi.nlm.nih.gov/30498039</t>
  </si>
  <si>
    <t>To compare the rate, indications and type of antibiotic prescriptions in children with and without asthma. A retrospective cohort study. Two population-based primary care databases: Integrated Primary Care Information database (IPCI; the Netherlands) and The Health Improvement Network (THIN; the UK). Children aged 5-18 years were included from January 2000 to December 2014. A child was categorised as having asthma if there were ≥2 prescriptions of respiratory drugs in the year following a code for asthma. Children were labelled as non-asthmatic if no asthma code was recorded in the patient file. Rate of antibiotic prescriptions, related indications and type of antibiotic drugs. The cohorts in IPCI and THIN consisted of 946 143 and 7 241 271 person years (PY), respectively. In both cohorts, antibiotic use was significantly higher in asthmatic children (IPCI: 197vs126 users/1000 PY, THIN: 374vs250 users/1000 PY). In children with asthma, part of antibiotic prescriptions were for an asthma exacerbation only (IPCI: 14%, THIN: 4%) and prescriptions were more often due to lower respiratory tract infections then in non-asthmatic children (IPCI: 18%vs13%, THIN: 21%vs12%). Drug type and quality indicators depended more on age, gender and database than on asthma status. Use of antibiotics was higher in asthmatic children compared with non-asthmatic children. This was mostly due to diseases for which antibiotics are normally not indicated according to guidelines. Further awareness among physicians and patients is needed to minimise antibiotic overuse and limit antibiotic resistance.</t>
  </si>
  <si>
    <t>Effectiveness of the European Society of Cardiology/Heart Failure Association website 'heartfailurematters.org' and an e-health adjusted care pathway in patients with stable heart failure: results of the 'e-Vita HF' randomized controlled trial.</t>
  </si>
  <si>
    <t>Wagenaar, Kim P; Broekhuizen, Berna D L; Jaarsma, Tiny; Kok, Ilse; Mosterd, Arend; Willems, Frank F; Linssen, Gerard C M; Agema, Willem R P; Anneveldt, Sander; Lucas, Carolien M H B; Mannaerts, Herman F J; Wajon, Elly M C J; Dickstein, Kenneth; Cramer, Maarten J; Landman, Marcel A J; Hoes, Arno W; Rutten, Frans H</t>
  </si>
  <si>
    <t>https://pubmed.ncbi.nlm.nih.gov/30485612</t>
  </si>
  <si>
    <t>Efficient incorporation of e-health in patients with heart failure (HF) may enhance health care efficiency and patient empowerment. We aimed to assess the effect on self-care of (i) the European Society of Cardiology/Heart Failure Association website 'heartfailurematters.org' on top of usual care, and (ii) an e-health adjusted care pathway leaving out 'in person' routine HF nurse consultations in stable HF patients. In a three-group parallel-randomized trial in stable HF patients from nine Dutch outpatient clinics, we compared two interventions ( heartfailurematters.org website and an e-health adjusted care pathway) to usual care. The primary outcome was self-care measured with the European Heart Failure Self-care Behaviour Scale. Secondary outcomes were health status, mortality, and hospitalizations. In total, 450 patients were included. The mean age was 66.8 ± 11.0 years, 74.2% were male, and 78.8% classified themselves as New York Heart Association I or II at baseline. After 3 months of follow-up, the mean score on the self-care scale was significantly higher in the groups using the website and the adjusted care pathway compared to usual care (73.5 vs. 70.8, 95% confidence interval 0.6-6.2; and 78.2 vs. 70.8, 95% confidence interval 3.8- 9.4, respectively). The effect attenuated, until no differences after 1 year between the groups. Quality of life showed a similar pattern. Other secondary outcomes did not clearly differ between the groups. Both the heartfailurematters.org website and an e-health adjusted care pathway improved self-care in HF patients on the short term, but not on the long term. Continuous updating of e-health facilities could be helpful to sustain effects. ClinicalTrials.gov ID NCT01755988.</t>
  </si>
  <si>
    <t>BENEFIT for all: An ecosystem to facilitate sustained healthy living and reduce the burden of cardiovascular disease.</t>
  </si>
  <si>
    <t>Keesman, Mike; Janssen, Veronica; Kemps, Hareld; Hollander, Monika; Reimer, Wilma Scholte Op; Gemert-Pijnen, Lisette van; Hoes, Arno; Kraaij, Wessel; Chavannes, Niels; Atsma, Douwe; Kraaijenhagen, Roderik; Evers, Andrea; ,</t>
  </si>
  <si>
    <t>https://pubmed.ncbi.nlm.nih.gov/30486650</t>
  </si>
  <si>
    <t>The burden of dyslipidaemia and factors associated with lipid levels among adults in rural northern Ghana: An AWI-Gen sub-study.</t>
  </si>
  <si>
    <t>Agongo, Godfred; Nonterah, Engelbert Adamwaba; Debpuur, Cornelius; Amenga-Etego, Lucas; Ali, Stuart; Oduro, Abraham; Crowther, Nigel J; Ramsay, Michèle; ,</t>
  </si>
  <si>
    <t>https://pubmed.ncbi.nlm.nih.gov/30485283</t>
  </si>
  <si>
    <t>Dyslipidaemia is a primary risk factor for cardiometabolic disease, causing over 17 million deaths globally in 2015. However, the burden of dyslipidaemia and factors associated with lipid levels remain unknown in many rural African populations. Therefore, this study evaluated the association of socio-demographic, anthropometric and behavioural factors with lipid levels in rural Ghana. The prevalence of hypercholesterolaemia, hypertriglyceridaemia and elevated LDL-C in the total population of 1839 (846 men and 993 women) was 4.02%, 2.12%, and 5.55% respectively and did not differ between genders. The prevalence of low HDL-C levels was 60.30% and differed (p = 0.005) between men (56.86%) and women (63.24%). Subcutaneous abdominal fat was associated with TC (β = 0.067, p = 0.015) and TG (β = 0.137, p&lt;0.001) among women and LDL-C (β = 0.139, p = 0.006) and TC (β = 0.071, p = 0.048) among men. Body mass index was associated with TC (β = 0.010, p = 0.043) among men while waist circumference was associated with LDL-C (β = 0.116, p&lt;0.001) and TG (β = 0.094, p&lt;0.001) among women. Hip circumference was negatively associated (β = -0.053, p = 0.043) while visceral fat was positively associated with TG (β = 0.033, p = 0.022) among women. Socioeconomic status, education, being unmarried and employment were associated with HDL-C (β = 0.081, p = 0.004), LDL-C (β = 0.095, p = 0.004) and TG (β = 0.095, p = 0.001) all among women, and TC (β = 0.070, p = 0.010) among men, respectively. Nankana women had lower TC (β = -0.069, p = 0.001), and men lower TG levels (β = -0.084, p = 0.008) than the other ethnic groups. Tobacco smoking (β = 0.066, p = 0.024) and alcohol intake (β = 0.084, p = 0.001) were associated with HDL-C levels among men and women respectively. Further studies are required to investigate whether high prevalence of low HDL-C levels in this population presents with any adverse cardiovascular disease outcomes. Associations of education, employment and adiposity with lipid levels suggest that future societal advances and increases in the prevalence of obesity may lead to associated adverse health consequences. Monitoring and interventions are required to limit these effects.</t>
  </si>
  <si>
    <t>Decontamination Strategies and Bloodstream Infections With Antibiotic-Resistant Microorganisms in Ventilated Patients: A Randomized Clinical Trial.</t>
  </si>
  <si>
    <t>Wittekamp, Bastiaan H; Plantinga, Nienke L; Cooper, Ben S; Lopez-Contreras, Joaquin; Coll, Pere; Mancebo, Jordi; Wise, Matt P; Morgan, Matt P G; Depuydt, Pieter; Boelens, Jerina; Dugernier, Thierry; Verbelen, Valérie; Jorens, Philippe G; Verbrugghe, Walter; Malhotra-Kumar, Surbhi; Damas, Pierre; Meex, Cécile; Leleu, Kris; van den Abeele, Anne-Marie; Gomes Pimenta de Matos, Ana Filipa; Fernández Méndez, Sara; Vergara Gomez, Andrea; Tomic, Viktorija; Sifrer, Franc; Villarreal Tello, Esther; Ruiz Ramos, Jesus; Aragao, Irene; Santos, Claudia; Sperning, Roberta H M; Coppadoro, Patrizia; Nardi, Giuseppe; Brun-Buisson, Christian; Bonten, Marc J M</t>
  </si>
  <si>
    <t>https://pubmed.ncbi.nlm.nih.gov/30347072</t>
  </si>
  <si>
    <t>The effects of chlorhexidine (CHX) mouthwash, selective oropharyngeal decontamination (SOD), and selective digestive tract decontamination (SDD) on patient outcomes in ICUs with moderate to high levels of antibiotic resistance are unknown. To determine associations between CHX 2%, SOD, and SDD and the occurrence of ICU-acquired bloodstream infections with multidrug-resistant gram-negative bacteria (MDRGNB) and 28-day mortality in ICUs with moderate to high levels of antibiotic resistance. Randomized trial conducted from December 1, 2013, to May 31, 2017, in 13 European ICUs where at least 5% of bloodstream infections are caused by extended-spectrum β-lactamase-producing Enterobacteriaceae. Patients with anticipated mechanical ventilation of more than 24 hours were eligible. The final date of follow-up was September 20, 2017. Standard care was daily CHX 2% body washings and a hand hygiene improvement program. Following a baseline period from 6 to 14 months, each ICU was assigned in random order to 3 separate 6-month intervention periods with either CHX 2% mouthwash, SOD (mouthpaste with colistin, tobramycin, and nystatin), or SDD (the same mouthpaste and gastrointestinal suspension with the same antibiotics), all applied 4 times daily. The occurrence of ICU-acquired bloodstream infection with MDRGNB (primary outcome) and 28-day mortality (secondary outcome) during each intervention period compared with the baseline period. A total of 8665 patients (median age, 64.1 years; 5561 men [64.2%]) were included in the study (2251, 2108, 2224, and 2082 in the baseline, CHX, SOD, and SDD periods, respectively). ICU-acquired bloodstream infection with MDRGNB occurred among 144 patients (154 episodes) in 2.1%, 1.8%, 1.5%, and 1.2% of included patients during the baseline, CHX, SOD, and SDD periods, respectively. Absolute risk reductions were 0.3% (95% CI, -0.6% to 1.1%), 0.6% (95% CI, -0.2% to 1.4%), and 0.8% (95% CI, 0.1% to 1.6%) for CHX, SOD, and SDD, respectively, compared with baseline. Adjusted hazard ratios were 1.13 (95% CI, 0.68-1.88), 0.89 (95% CI, 0.55-1.45), and 0.70 (95% CI, 0.43-1.14) during the CHX, SOD, and SDD periods, respectively, vs baseline. Crude mortality risks on day 28 were 31.9%, 32.9%, 32.4%, and 34.1% during the baseline, CHX, SOD, and SDD periods, respectively. Adjusted odds ratios for 28-day mortality were 1.07 (95% CI, 0.86-1.32), 1.05 (95% CI, 0.85-1.29), and 1.03 (95% CI, 0.80-1.32) for CHX, SOD, and SDD, respectively, vs baseline. Among patients receiving mechanical ventilation in ICUs with moderate to high antibiotic resistance prevalence, use of CHX mouthwash, SOD, or SDD was not associated with reductions in ICU-acquired bloodstream infections caused by MDRGNB compared with standard care. ClinicalTrials.gov Identifier: NCT02208154.</t>
  </si>
  <si>
    <t>Opportunistic screening models for high-risk men and women to detect diastolic dysfunction and heart failure with preserved ejection fraction in the community.</t>
  </si>
  <si>
    <t>Gohar, Aisha; Kievit, Rogier F; Valstar, Gideon B; Hoes, Arno W; Van Riet, Evelien E; van Mourik, Yvonne; Bertens, Loes C; Boonman-Winter, Leandra J; Bots, Michiel L; Den Ruijter, Hester M; Rutten, Frans H</t>
  </si>
  <si>
    <t>https://pubmed.ncbi.nlm.nih.gov/30482050</t>
  </si>
  <si>
    <t>The prevalence of undetected left ventricular diastolic dysfunction is high, especially in the elderly with comorbidities. Left ventricular diastolic dysfunction is a prognostic indicator of heart failure, in particularly of heart failure with preserved ejection fraction and of future cardiovascular and all-cause mortality. Therefore we aimed to develop sex-specific diagnostic models to enable the early identification of men and women at high-risk of left ventricular diastolic dysfunction with or without symptoms of heart failure who require more aggressive preventative strategies. Individual patient data from four primary care heart failure-screening studies were analysed (1371 participants, excluding patients classified as heart failure and left ventricular ejection fraction &lt;50%). Eleven candidate predictors were entered into logistic regression models to be associated with the presence of left ventricular diastolic dysfunction/heart failure with preserved ejection fraction in men and women separately. Internal-external cross-validation was performed to develop and validate the models. Increased age and β-blocker therapy remained as predictors in both the models for men and women. The model for men additionally consisted of increased body mass index, moderate to severe shortness of breath, increased pulse pressure and history of ischaemic heart disease. The models performed moderately and similarly well in men (c-statistics range 0.60-0.75) and women (c-statistics range 0.51-0.76) and the performance improved significantly following the addition of N-terminal pro b-type natriuretic peptide (c-statistics range 0.61-0.80 in women and 0.68-0.80 in men). We provide an easy-to-use screening tool for use in the community, which can improve the early detection of left ventricular diastolic dysfunction/heart failure with preserved ejection fraction in high-risk men and women and optimise tailoring of preventive interventions.</t>
  </si>
  <si>
    <t>&lt;sup&gt;89&lt;/sup&gt;Zr-atezolizumab imaging as a non-invasive approach to assess clinical response to PD-L1 blockade in cancer.</t>
  </si>
  <si>
    <t>Bensch, Frederike; van der Veen, Elly L; Lub-de Hooge, Marjolijn N; Jorritsma-Smit, Annelies; Boellaard, Ronald; Kok, Iris C; Oosting, Sjoukje F; Schröder, Carolina P; Hiltermann, T Jeroen N; van der Wekken, Anthonie J; Groen, Harry J M; Kwee, Thomas C; Elias, Sjoerd G; Gietema, Jourik A; Bohorquez, Sandra Sanabria; de Crespigny, Alex; Williams, Simon-Peter; Mancao, Christoph; Brouwers, Adrienne H; Fine, Bernard M; de Vries, Elisabeth G E</t>
  </si>
  <si>
    <t>https://pubmed.ncbi.nlm.nih.gov/30478423</t>
  </si>
  <si>
    <t>Programmed cell death protein-1/ligand-1 (PD-1/PD-L1) blockade is effective in a subset of patients with several tumor types, but predicting patient benefit using approved diagnostics is inexact, as some patients with PD-L1-negative tumors also show clinical benefit&lt;sup&gt;1,2&lt;/sup&gt;. Moreover, all biopsy-based tests are subject to the errors and limitations of invasive tissue collection&lt;sup&gt;3-11&lt;/sup&gt;. Preclinical studies of positron-emission tomography (PET) imaging with antibodies to PD-L1 suggested that this imaging method might be an approach to selecting patients&lt;sup&gt;12,13&lt;/sup&gt;. Such a technique, however, requires substantial clinical development and validation. Here we present the initial results from a first-in-human study to assess the feasibility of imaging with zirconium-89-labeled atezolizumab (anti-PD-L1), including biodistribution, and secondly test its potential to predict response to PD-L1 blockade (ClinicalTrials.gov identifiers NCT02453984 and NCT02478099). We imaged 22 patients across three tumor types before the start of atezolizumab therapy. The PET signal, a function of tracer exposure and target expression, was high in lymphoid tissues and at sites of inflammation. In tumors, uptake was generally high but heterogeneous, varying within and among lesions, patients, and tumor types. Intriguingly, clinical responses in our patients were better correlated with pretreatment PET signal than with immunohistochemistry- or RNA-sequencing-based predictive biomarkers, encouraging further development of molecular PET imaging for assessment of PD-L1 status and clinical response prediction.</t>
  </si>
  <si>
    <t>Efficacy of individual and group hypnotherapy in irritable bowel syndrome (IMAGINE): a multicentre randomised controlled trial.</t>
  </si>
  <si>
    <t>Flik, Carla E; Laan, Wijnand; Zuithoff, Nicolaas P A; van Rood, Yanda R; Smout, André J P M; Weusten, Bas L A M; Whorwell, Peter J; de Wit, Niek J</t>
  </si>
  <si>
    <t>the lancet gastroenterology hepatology</t>
  </si>
  <si>
    <t>https://pubmed.ncbi.nlm.nih.gov/30473202</t>
  </si>
  <si>
    <t>Hypnotherapy for irritable bowel syndrome (IBS) has been used primarily in patients with refractory symptoms in specialised departments and delivered on an individual basis. We aimed to test the hypothesis that hypnotherapy would be more effective than educational supportive therapy, and that group hypnotherapy would be non-inferior to individual hypnotherapy for patients with IBS referred from primary and secondary care. We did a multicentre randomised controlled trial (IMAGINE) in 11 hospitals in the Netherlands. Patients with IBS, aged 18-65 years, who were referred from primary or secondary care were randomly allocated (3:3:1) in blocks of six using a computer-based random number table procedure by staff not involved in the treatment to receive six sessions of individual or group hypnotherapy or group educational supportive therapy (control group). The primary outcome was adequate relief of IBS symptoms, with responders defined as patients who reported adequate relief when asked once weekly on three or four occasions in 4 consecutive weeks. We compared hypnotherapy (both groups) with control in the intention-to-treat population (excluding individuals subsequently found to be ineligible for enrolment), and assessed non-inferiority of group hypnotherapy versus individual hypnotherapy in the per-protocol population (with a non-inferiority margin of 15%) at 3 months and 12 months. This trial is registered with ISRCTN, number ISRCTN22888906, and is completed. Between May 31, 2011, and April 6, 2016, 494 patients referred for psychological treatment for IBS were assessed for eligibility, of whom 354 were randomly allocated to the three groups: 150 to individual hypnotherapy, 150 to group hypnotherapy, and 54 to educational supportive therapy. After exclusion of individuals subsequently found to be ineligible for enrolment, 142 patients in the individual hypnotherapy group, 146 in the group hypnotherapy group, and 54 in the control group were included in the intention-to-treat population. Of these, 22 (15%) patients in the individual hypnotherapy group, 22 (15%) in the group hypnotherapy group, and 11 (20%) in the control group dropped out before or during therapy. In the intention-to-treat analysis, the adequate response rate was 40·8% (95% CI 31·7-50·5) in the individual hypnotherapy group, 33·2% (24·3-43·5) in the group hypnotherapy group, and 16·7% (7·6-32·6) in the control group at 3 months. At 12 months, 40·8% (31·3-51·1) of patients in the individual hypnotherapy group, 49·5% (38·8-60·0) of patients in the group hypnotherapy group, and 22.6% (11·5-39·5) of patients in the control group reported adequate relief. Hypnotherapy was more effective than control at 3 months (odds ratio 2·9, 95% CI 1·2-7·4, p=0·0240) and 12 months (2·8, 1·2-6·7, p=0·0185). In the per-protocol analysis, 49·9% (39·2-60·6) in the individual hypnotherapy group and 42·7% (32·3-53·8) in the group hypnotherapy group had adequate relief at 3 months, and 55·5% (43·4-67·1) of individual and 51·7% (40·2-63·0) of group hypnotherapy patients reported adequate relief at 12 months. Group hypnotherapy was therefore non-inferior to individual hypnotherapy. Eight unexpected serious adverse reactions (six in the individual hypnotherapy group and two in the group hypnotherapy group) were reported, most of which were cancer or inflammatory bowel disease, and were judged by the medical ethics committee as not being related to the therapy. Hypnotherapy should be considered as a possible treatment for patients with IBS in primary and secondary care. Furthermore, group therapy could allow many more patients to be treated for the same cost. None.</t>
  </si>
  <si>
    <t>The quality of studies evaluating antimicrobial stewardship interventions: a systematic review.</t>
  </si>
  <si>
    <t>Schweitzer, V A; van Heijl, I; van Werkhoven, C H; Islam, J; Hendriks-Spoor, K D; Bielicki, J; Bonten, M J M; Walker, A S; Llewelyn, M J; ,</t>
  </si>
  <si>
    <t>https://pubmed.ncbi.nlm.nih.gov/30472426</t>
  </si>
  <si>
    <t>Antimicrobial stewardship aims to optimize antibiotic use and minimize selection of antimicrobial resistance. The methodological quality of published studies in this field is unknown. Our objective was to perform a comprehensive systematic review of antimicrobial stewardship research design and identify features which limit validity and translation of research findings into clinical practice. The following online database was searched: PubMed. Studies published between January 1950 and January 2017, evaluating any antimicrobial stewardship intervention in the community or hospital setting, without restriction on study design or outcome. We extracted data on pre-specified design quality features and factors that may influence design choices including (1) clinical setting, (2) age group studied, (3) when the study was conducted, (4) geographical region, and (5) financial support received. The initial search yielded 17 382 articles; 1008 were selected for full-text screening, of which 825 were included. Most studies (675/825, 82%) were non-experimental; 104 (15%) used interrupted time series analysis, 41 (6%) used external controls, and 19 (3%) used both. Studies in the community setting fulfilled a median of five out of 10 quality features (IQR 3-7) and 3 (IQR 2-4) in the hospital setting. Community setting studies (25%, 205/825) were significantly more likely to use randomization (OR 5.9; 95% CI 3.8-9.2), external controls (OR 5.6; 95% CI 3.6-8.5), and multiple centres (OR 10.5; 95% CI 7.1-15.7). From all studies, only 48% (398/825) reported clinical and 23% (190/825) reported microbiological outcomes. Quality did not improve over time. Overall quality of antimicrobial stewardship studies is low and has not improved over time. Most studies do not report clinical and microbiological outcome data. Studies conducted in the community setting were associated with better quality. These limitations should inform the design of future stewardship evaluations so that a robust evidence base can be built to guide clinical practice.</t>
  </si>
  <si>
    <t>Combination of the Searches for Pair-Produced Vectorlike Partners of the Third-Generation Quarks at sqrt[s]=13  TeV with the ATLAS Detector.</t>
  </si>
  <si>
    <t>Aaboud, M; Aad, G; Abbott, B; Abdinov, O; Abeloos, B; Abhayasinghe, D K; Abidi, S H; AbouZeid, O S; Abraham, N L; Abramowicz, H; Abreu, H; Abulaiti, Y; Acharya, B S; Adachi, S; Adam, L;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Anastopoulos, C; Ancu, L S; Andari, N; Andeen, T; Anders, C F; Anders, J K; Anderson, K J; Andreazza,</t>
  </si>
  <si>
    <t>https://pubmed.ncbi.nlm.nih.gov/30517796</t>
  </si>
  <si>
    <t>A combination of the searches for pair-produced vectorlike partners of the top and bottom quarks in various decay channels (T→Zt/Wb/Ht, B→Zb/Wt/Hb) is performed using 36.1  fb^{-1} of pp collision data at sqrt[s]=13  TeV with the ATLAS detector at the Large Hadron Collider. The observed data are found to be in good agreement with the standard model background prediction in all individual searches. Therefore, combined 95% confidence-level upper limits are set on the production cross section for a range of vectorlike quark scenarios, significantly improving upon the reach of the individual searches. Model-independent limits are set assuming the vectorlike quarks decay to standard model particles. A singlet T is excluded for masses below 1.31 TeV and a singlet B is excluded for masses below 1.22 TeV. Assuming a weak isospin (T,B) doublet and |V_{Tb}|≪|V_{tB}|, T and B masses below 1.37 TeV are excluded.</t>
  </si>
  <si>
    <t>Observation of Centrality-Dependent Acoplanarity for Muon Pairs Produced via Two-Photon Scattering in Pb+Pb Collisions at sqrt[s_{NN}]=5.02  TeV with the ATLAS Detector.</t>
  </si>
  <si>
    <t>https://pubmed.ncbi.nlm.nih.gov/30517793</t>
  </si>
  <si>
    <t>This Letter presents a measurement of γγ→μ^{+}μ^{-} production in Pb+Pb collisions recorded by the ATLAS detector at the Large Hadron Collider at sqrt[s_{NN}]=5.02  TeV with an integrated luminosity of 0.49  nb^{-1}. The azimuthal angle and transverse momentum correlations between the muons are measured as a function of collision centrality. The muon pairs are produced from γγ through the interaction of the large electromagnetic fields of the nuclei. The contribution from background sources of muon pairs is removed using a template fit method. In peripheral collisions, the muons exhibit a strong back-to-back correlation consistent with previous measurements of muon pair production in ultraperipheral collisions. The angular correlations are observed to broaden significantly in central collisions. The modifications are qualitatively consistent with rescattering of the muons while passing through the hot matter produced in the collision.</t>
  </si>
  <si>
    <t>Interventions Guiding Advance Care Planning Conversations: A Systematic Review.</t>
  </si>
  <si>
    <t>Fahner, Jurrianne C; Beunders, Alexandra J M; van der Heide, Agnes; Rietjens, Judith A C; Vanderschuren, Maaike M; van Delden, Johannes J M; Kars, Marijke C</t>
  </si>
  <si>
    <t>https://pubmed.ncbi.nlm.nih.gov/30471947</t>
  </si>
  <si>
    <t>Advance care planning (ACP) is a communicative process of defining preferences for future medical care. Conversation guides support professionals to conduct ACP conversations, yet insight into essential components is limited. To evaluate the content, rationale, and empirical evidence on the effect of ACP interventions based on conversation guides. MEDLINE, Embase, PsycINFO, and CINAHL were searched from January 1, 1998, to February 23, 2018, to identify peer-reviewed articles describing or evaluating ACP interventions based on scripted conversation guides. A thematic analysis of the guides was performed. Data on intervention characteristics, underlying rationale, and empirical evidence were extracted by 2 authors independently using a predesigned form. Assessment of risk of bias and quality of reporting was performed using Cochrane tools and COREQ, respectively. Eighty-two articles reporting on 34 unique interventions met the inclusion criteria. Analysis of the conversation guides revealed a framework for ACP conversations consisting of 4 phases: preparation, initiation, exploration, and action. Exploration of patient's perspectives on illness, living well, end-of-life (EOL) issues, and decision making formed the core part of the guides. Their design was often expert-based, without an underlying theoretical background. Empirical evidence on the effect of the interventions was based on heterogeneous outcome measures. Dyad congruence and preference documentation rates increased among intervention subjects in most studies. The studies showed varying effects on knowledge of ACP, decisional conflict, quality of communication, and preferences-concordant care. Qualitative research showed that participants appreciate the importance and benefits of ACP conversations, yet perceive them as difficult and emotional. ACP conversation guides address a diversity of themes regarding illness, EOL issues, and decision making. There is a focus on the exploration of patient's perspectives and preferences. Evidence on the translation of explorative information into specific treatment preferences and consequences for care as provided is limited.</t>
  </si>
  <si>
    <t>The associations of air pollution, traffic noise and green space with overweight throughout childhood: The PIAMA birth cohort study.</t>
  </si>
  <si>
    <t>Bloemsma, Lizan D; Wijga, Alet H; Klompmaker, Jochem O; Janssen, Nicole A H; Smit, Henriëtte A; Koppelman, Gerard H; Brunekreef, Bert; Lebret, Erik; Hoek, Gerard; Gehring, Ulrike</t>
  </si>
  <si>
    <t>https://pubmed.ncbi.nlm.nih.gov/30504077</t>
  </si>
  <si>
    <t>Air pollution, traffic noise and absence of green space may contribute to the development of overweight in children. To investigate the combined associations of air pollution, traffic noise and green space with overweight throughout childhood. We used data for 3680 participants of the Dutch PIAMA birth cohort. We estimated exposure to air pollution, traffic noise and green space (i.e. the average Normalized Difference Vegetation Index (NDVI) and percentages of green space in circular buffers of 300 m and 3000 m) at the children's home addresses at the time of parental reported weight and height measurements. Associations of these exposures with overweight from age 3 to 17 years were analyzed by generalized linear mixed models, adjusting for potential confounders. Odds ratios (OR's) are presented for an interquartile range increase in exposure. odds of being overweight increased with increasing exposure to NO&lt;sub&gt;2&lt;/sub&gt; (adjusted OR 1.40 [95% confidence interval (CI) 1.12-1.74] per 8.90 µg/m&lt;sup&gt;3&lt;/sup&gt;) and tended to decrease with increasing exposure to green space in a 3000 m buffer (adjusted OR 0.86 [95% CI 0.71-1.04] per 0.13 increase in the NDVI; adjusted OR 0.86 [95% CI 0.71-1.03] per 29.5% increase in the total percentage of green space). After adjustment for NO&lt;sub&gt;2&lt;/sub&gt;, the associations with green space in a 3000 m buffer weakened. No associations of traffic noise with overweight throughout childhood were found. In children living in an urban area, living further away from a park was associated with a lower odds of being overweight (adjusted OR 0.67 [95% CI 0.52-0.85] per 359.6 m). Exposure to traffic-related air pollution, but not traffic noise or green space, may contribute to childhood overweight. Future studies examining the associations of green space with childhood overweight should account for air pollution exposure.</t>
  </si>
  <si>
    <t>Preoperative determinants of quality of life a year after coronary artery bypass grafting: a historical cohort study.</t>
  </si>
  <si>
    <t>Verwijmeren, Lisa; Noordzij, Peter Gerben; Daeter, Edgar Jozeph; van Zaane, Bas; Peelen, Linda Margaretha; van Dongen, Eric Paulus Adrianus</t>
  </si>
  <si>
    <t>https://pubmed.ncbi.nlm.nih.gov/30453989</t>
  </si>
  <si>
    <t>Health related quality of life (HRQL) is an important patient related outcome measure after cardiac surgery. Preoperative determinants for postoperative HRQL have not yet been identified, but could aid in preoperative decision making. The aim of this article is to identify associations between preoperative determinants and change in HRQL 1 year after coronary artery bypass grafting (CABG). Single centre retrospective cohort study in 658 patients. Change in HRQL was defined as a decrease or increase of ≥5 points on the physical or mental domain of the Short Form 12 (SF-12) questionnaire. Patients were stratified in three groups according to worse, unchanged, or better HRQL. Multinomial logistic regression analysis was used to investigate the association between preoperative risk factors and postoperative change in HRQL. Physical HRQL improved in 22.8% of patients, did not change in 61.2% of patients and worsened in 16.0% of patients. Comorbidities associated with change in physical HRQL were a history of stroke, atrial fibrillation, vascular disease or pulmonary disease. Most important risk factor for change in physical HRQL was preoperative HRQL. Higher preoperative SF-12 score decreased the odds for worse physical HRQL and increased the odds for better physical HRQL. Mental HRQL improved in 49.8% of patients, remained unchanged in 34.5% of patients and worsened in 15.7% of patients. Preoperative HRQL was an important risk factor for a change in mental HRQL. Higher preoperative physical HRQL increased the odds for improved mental HRQL. Lower preoperative mental HRQL increased the odds for better mental HRQL. One year after CABG the majority of patients experiences equal or improved HRQL compared to before surgery. Most important preoperative risk factor for change in HRQL is preoperative HRQL.</t>
  </si>
  <si>
    <t>Systematic review showed that stepped-wedge cluster randomized trials often did not reach their planned sample size.</t>
  </si>
  <si>
    <t>Eichner, Felizitas A; Groenwold, Rolf H H; Grobbee, Diederick E; Oude Rengerink, Katrien</t>
  </si>
  <si>
    <t>https://pubmed.ncbi.nlm.nih.gov/30458261</t>
  </si>
  <si>
    <t>To determine how often stepped-wedge cluster randomized controlled trials reach their planned sample size, and what reasons are reported for choosing a stepped-wedge trial design. We conducted a PubMed literature search (period 2012 to 2017) and included articles describing the results of a stepped-wedge cluster randomized trial. We calculated the percentage of studies reaching their prespecified number of participants and clusters, and we summarized the reasons for choosing the stepped-wedge trial design as well as difficulties during enrollment. Forty-six individual stepped-wedge studies from a total of 53 articles were included in our review. Of the 35 studies, for which recruitment rate could be calculated, 69% recruited their planned number of participants, with 80% having recruited the planned number of clusters. Ethical reasons were the most common motivation for choosing the stepped-wedge trial design. Most important difficulties during study conduct were dropout of clusters and delayed implementation of the intervention. About half of recently published stepped-wedge trials reached their planned sample size indicating that recruitment is also a major problem in these trials. Still, the stepped-wedge trial design can yield practical, ethical, and methodological advantages.</t>
  </si>
  <si>
    <t>Vitamin D intake, serum 25-hydroxy vitamin D and pulmonary function in paediatric patients with cystic fibrosis: a longitudinal approach.</t>
  </si>
  <si>
    <t>Timmers, Nyanza K L M; Stellato, Rebecca K; van der Ent, Cornelis K; Houwen, Roderick H J; Woestenenk, Janna W</t>
  </si>
  <si>
    <t>https://pubmed.ncbi.nlm.nih.gov/30442206</t>
  </si>
  <si>
    <t>Pancreatic-insufficient children with cystic fibrosis (CF) receive age-group-specific vitamin D supplementation according to international CF nutritional guidelines. The potential advantageous immunomodulatory effect of serum 25-hydroxy vitamin D (25(OH)D) on pulmonary function (PF) is yet to be established and is complicated by CF-related vitamin D malabsorption. We aimed to assess whether current recommendations are optimal for preventing deficiencies and whether higher serum 25(OH)D levels have long-term beneficial effects on PF. We examined the longitudinal relationship between vitamin D intake, serum 25(OH)D and PF in 190 CF children during a 4-year follow-up period. We found a significant relationship between total vitamin D intake and serum 25(OH)D (β = 0·02; 95 % CI 0·01, 0·03; P = 0·000). However, serum 25(OH)D decreased with increasing body weight (β = -0·79; 95 % CI -1·28, -0·29; P = 0·002). Furthermore, we observed a significant relationship between serum 25(OH)D and forced expiratory volume in 1 s (β = 0·056; 95 % CI 0·01, 0·102; P = 0·018) and forced vital capacity (β = 0·045; 95 % CI 0·008, 0·082; P = 0·017). In the present large study sample, vitamin D intake is associated with serum 25(OH)D levels, and adequate serum 25(OH)D levels may contribute to the preservation of PF in children with CF. Furthermore, to maintain adequate levels of serum 25(OH)D, vitamin D supplementation should increase with increasing body weight. Adjustments of the international CF nutritional guidelines, in which vitamin D supplementation increases with increasing weight, should be considered.</t>
  </si>
  <si>
    <t>A stochastic simulation model to study respondent-driven recruitment.</t>
  </si>
  <si>
    <t>Stein, Mart L; Buskens, Vincent; van der Heijden, Peter G M; van Steenbergen, Jim E; Wong, Albert; Bootsma, Martin C J; Kretzschmar, Mirjam E E</t>
  </si>
  <si>
    <t>https://pubmed.ncbi.nlm.nih.gov/30440047</t>
  </si>
  <si>
    <t>Respondent-driven detection is a chain recruitment method used to sample contact persons of infected persons in order to enhance case finding. It starts with initial individuals, so-called seeds, who are invited for participation. Afterwards, seeds receive a fixed number of coupons to invite individuals with whom they had contact during a specific time period. Recruitees are then asked to do the same, resulting in successive waves of contact persons who are connected in one recruitment tree. However, often the majority of participants fail to invite others, or invitees do not accept an invitation, and recruitment stops after several waves. A mathematical model can help to analyse how various factors influence peer recruitment and to understand under which circumstances sustainable recruitment is possible. We implemented a stochastic simulation model, where parameters were suggested by empirical data from an online survey, to determine the thresholds for obtaining large recruitment trees and the number of waves needed to reach a steady state in the sample composition for individual characteristics. We also examined the relationship between mean and variance of the number of invitations sent out by participants and the probability of obtaining a large recruitment tree. Our main finding is that a situation where participants send out any number of coupons between one and the maximum number is more effective in reaching large recruitment trees, compared to a situation where the majority of participants does not send out any invitations and a smaller group sends out the maximum number of invitations. The presented model is a helpful tool that can assist public health professionals in preparing research and contact tracing using online respondent-driven detection. In particular, it can provide information on the required minimum number of successfully sent invitations to reach large recruitment trees, a certain sample composition or certain number of waves.</t>
  </si>
  <si>
    <t>Socio-demographic determinants of low birth weight: Evidence from the Kassena-Nankana districts of the Upper East Region of Ghana.</t>
  </si>
  <si>
    <t>Agorinya, Isaiah Awintuen; Kanmiki, Edmund Wedam; Nonterah, Engelbert Adamwaba; Tediosi, Fabrizio; Akazili, James; Welaga, Paul; Azongo, Daniel; Oduro, Abraham Rexford</t>
  </si>
  <si>
    <t>https://pubmed.ncbi.nlm.nih.gov/30427882</t>
  </si>
  <si>
    <t>To examine the social, economic and demographic factors that determine low birth weight in the two Kassena Nankana districts of the Upper East region of Ghana. Cross-sectional data was collected from January 2009 to December 2011 using the Navrongo Health and Demographic Surveillance System which monitors routine health and demographic outcomes in the study area. Data on foetal characteristics such as birth weight, and sex and maternal age, parity, maternal education, marital status, ethnicity, religious affiliation and socio-economic characteristics were collected and described. Tests of means, proportions and Chi-squares are employed in bivariate analysis, and adjusted logistic regression models fitted to control for potential confounding variables. All tests were two-sided and test of significance was set at p-value of &lt; 0.05. There were 8,263 live births (44.9% females) with an overall average birth weight of 2.85 kg (2.9 kg for males and 2.8 kg for females). The average maternal age was 28 years, median parity 2, maternal literacy rate was about 70% and 83% of mothers were married. The prevalence of low birth weight was 13.8% 95%CI [13.10, 14.6] and more in female babies than in males (15.5% vs 12.2%; p&lt;0.0001). Determinants of low birth-weight after controlling for confounding factors were sex of neonate (OR = 1.32, 95%CI [1.14,1.52]; p&lt;0.0001), maternal age (p = 0.004), and mothers who are not married (OR = 1.44 [1.19, 1.74]; p&lt;0.0001). Female neonates in this population were likely to present with low birth weight and maternal factors such as younger age, lower socio-economic status and single parenthood were major determinants of low birth weight. Effective and adequate antenatal care should therefore target women with these risk factors.</t>
  </si>
  <si>
    <t>Elimination prospects of the Dutch HIV epidemic among men who have sex with men in the era of preexposure prophylaxis.</t>
  </si>
  <si>
    <t>Rozhnova, Ganna; Heijne, Janneke; Bezemer, Daniela; van Sighem, Ard; Presanis, Anne; De Angelis, Daniela; Kretzschmar, Mirjam</t>
  </si>
  <si>
    <t>https://pubmed.ncbi.nlm.nih.gov/30379687</t>
  </si>
  <si>
    <t>Preexposure prophylaxis (PrEP) is a promising intervention to help end the HIV epidemic among men who have sex with men (MSM) in the Netherlands. We aimed to assess the impact of PrEP on HIV prevalence in this population and to determine the levels of PrEP coverage necessary for HIV elimination. We developed a mathematical model of HIV transmission in a population stratified by sexual risk behavior with universal antiretroviral treatment (ART) and daily PrEP use depending on an individual's risk behavior. We computed the effective reproduction number, HIV prevalence, ART and PrEP coverage for increasing ART and PrEP uptake levels, and examined how these were affected by PrEP effectiveness and duration of PrEP use. At current levels of ART coverage of 80%, PrEP effectiveness of 86% and PrEP duration of 5 years, HIV elimination required 82% PrEP coverage in the highest risk group (12 000 MSM with more than 18 partners per year). If ART coverage increased by 9%, the elimination threshold was at 70% PrEP coverage. For shorter PrEP duration and lower effectiveness elimination prospects were less favorable. For the same number of PrEP users distributed among two groups with highest risk behavior, prevalence dropped from the current 8 to 4.6%. PrEP for HIV prevention among MSM could, in principle, eliminate HIV from this population in the Netherlands. The highest impact of PrEP on prevalence was predicted when ART and PrEP coverage increased simultaneously and PrEP was used by the highest risk individuals.</t>
  </si>
  <si>
    <t>Study protocol of the iMPaCT project: a longitudinal cohort study assessing psychological determinants, sexual behaviour and chlamydia (re)infections in heterosexual STI clinic visitors.</t>
  </si>
  <si>
    <t>van Wees, Daphne A; Heijne, Janneke C M; Heijman, Titia; Kampman, Karlijn C J G; Westra, Karin; de Vries, Anne; Kretzschmar, Mirjam E E; den Daas, Chantal</t>
  </si>
  <si>
    <t>https://pubmed.ncbi.nlm.nih.gov/30424737</t>
  </si>
  <si>
    <t>Chlamydia trachomatis (chlamydia), the most commonly reported sexually transmitted infection (STI) in the Netherlands, can lead to severe reproductive complications. Reasons for the sustained chlamydia prevalence in young individuals, even in countries with chlamydia screening programs, might be the asymptomatic nature of chlamydia infections, and high reinfection rates after treatment. When individuals are unaware of their infection, preventive behaviour or health-care seeking behaviour mostly depends on psychological determinants, such as risk perception. Furthermore, behaviour change after a diagnosis might be vital to reduce reinfection rates. This makes the incorporation of psychological determinants and behaviour change in mathematical models estimating the impact of interventions on chlamydia transmission especially important. Therefore, quantitative real-life data to inform these models is needed. A longitudinal cohort study will be conducted to explore the link between psychological and behavioural determinants and chlamydia (re)infection among heterosexual STI clinic visitors aged 18-24 years. Participants will be recruited at the STI clinics of the public health services of Amsterdam, Hollands Noorden, Kennemerland, and Twente. Participants are enrolled for a year, and questionnaires are administrated at four time points: baseline (before an STI consultation), three-week, six-month and at one-year follow-up. To be able to link psychological and behavioural determinants to (re)infections, participants will be tested for chlamydia at enrolment and at six-month follow-up. Data from the longitudinal cohort study will be used to develop mathematical models for curable STI incorporating these determinants to be able to better estimate the impact of interventions. This study will provide insights into the link between psychological and behavioural determinants, including short-term and long-term changes after diagnosis, and chlamydia (re)infections. Our mathematical model, informed by data from the longitudinal cohort study, will be able to estimate the impact of interventions on chlamydia prevalence, and identify and prioritise successful interventions for the future. These interventions could be implemented at STI clinics tailored to psychological and behavioural characteristics of individuals. Dutch Trial Register NTR-6307 . Retrospectively registered 11-nov-2016.</t>
  </si>
  <si>
    <t>Applicability and added value of novel methods to improve drug development in rare diseases.</t>
  </si>
  <si>
    <t>Mitroiu, Marian; Oude Rengerink, Katrien; Pontes, Caridad; Sancho, Aranzazu; Vives, Roser; Pesiou, Stella; Fontanet, Juan Manuel; Torres, Ferran; Nikolakopoulos, Stavros; Pateras, Konstantinos; Rosenkranz, Gerd; Posch, Martin; Urach, Susanne; Ristl, Robin; Koch, Armin; Loukia, Spineli; van der Lee, Johanna H; Roes, Kit C B</t>
  </si>
  <si>
    <t>https://pubmed.ncbi.nlm.nih.gov/30419965</t>
  </si>
  <si>
    <t>The ASTERIX project developed a number of novel methods suited to study small populations. The objective of this exercise was to evaluate the applicability and added value of novel methods to improve drug development in small populations, using real world drug development programmes as reported in European Public Assessment Reports. The applicability and added value of thirteen novel methods developed within ASTERIX were evaluated using data from 26 European Public Assessment Reports (EPARs) for orphan medicinal products, representative of rare medical conditions as predefined through six clusters. The novel methods included were 'innovative trial designs' (six methods), 'level of evidence' (one method), 'study endpoints and statistical analysis' (four methods), and 'meta-analysis' (two methods) and they were selected from the methods developed within ASTERIX based on their novelty; methods that discussed already available and applied strategies were not included for the purpose of this validation exercise. Pre-requisites for application in a study were systematized for each method, and for each main study in the selected EPARs it was assessed if all pre-requisites were met. This direct applicability using the actual study design was firstly assessed. Secondary, applicability and added value were explored allowing changes to study objectives and design, but without deviating from the context of the drug development plan. We evaluated whether differences in applicability and added value could be observed between the six predefined condition clusters. Direct applicability of novel methods appeared to be limited to specific selected cases. The applicability and added value of novel methods increased substantially when changes to the study setting within the context of drug development were allowed. In this setting, novel methods for extrapolation, sample size re-assessment, multi-armed trials, optimal sequential design for small sample sizes, Bayesian sample size re-estimation, dynamic borrowing through power priors and fall-back tests for co-primary endpoints showed most promise - applicable in more than 40% of evaluated EPARs in all clusters. Most of the novel methods were applicable to conditions in the cluster of chronic and progressive conditions, involving multiple systems/organs. Relatively fewer methods were applicable to acute conditions with single episodes. For the chronic clusters, Goal Attainment Scaling was found to be particularly applicable as opposed to other (non-chronic) clusters. Novel methods as developed in ASTERIX can improve drug development programs. Achieving optimal added value of these novel methods often requires consideration of the entire drug development program, rather than reconsideration of methods for a specific trial. The novel methods tested were mostly applicable in chronic conditions, and acute conditions with recurrent episodes.</t>
  </si>
  <si>
    <t>Search for Resonant and Nonresonant Higgs Boson Pair Production in the bb[over ¯]τ^{+}τ^{-} Decay Channel in pp Collisions at sqrt[s]=13  TeV with the ATLAS Detector.</t>
  </si>
  <si>
    <t>https://pubmed.ncbi.nlm.nih.gov/30468613</t>
  </si>
  <si>
    <t>A search for resonant and nonresonant pair production of Higgs bosons in the bb[over ¯]τ^{+}τ^{-} final state is presented. The search uses 36.1  fb^{-1} of pp collision data with sqrt[s]=13  TeV recorded by the ATLAS experiment at the LHC in 2015 and 2016. Decays of the τ-lepton pairs with at least one τ lepton decaying to final states with hadrons and a neutrino are considered. No significant excess above the expected background is observed in the data. The cross-section times branching ratio for nonresonant Higgs boson pair production is constrained to be less than 30.9 fb, 12.7 times the standard model expectation, at 95% confidence level. The data are also analyzed to probe resonant Higgs boson pair production, constraining a model with an extended Higgs sector based on two doublets and a Randall-Sundrum bulk graviton model. Upper limits are placed on the resonant Higgs boson pair production cross-section times branching ratio, excluding resonances X in the mass range 305  GeV&lt;m_{X}&lt;402  GeV in the simplified hMSSM minimal supersymmetric model for tanβ=2 and excluding bulk Randall-Sundrum gravitons G_{KK} in the mass range 325  GeV&lt;m_{G_{KK}}&lt;885  GeV for k/M[over ¯]_{Pl}=1.</t>
  </si>
  <si>
    <t>Childhood infections and common carotid intima media thickness in adolescence.</t>
  </si>
  <si>
    <t>Prins-van Ginkel, A C; Bruijning-Verhagen, P C J; Wijga, A H; Bots, M L; Gehring, U; van der Hoek, W; Koppelman, G H; van Rossem, L; Uiterwaal, C S P M; Smit, H A; van der Sande, M A B</t>
  </si>
  <si>
    <t>https://pubmed.ncbi.nlm.nih.gov/30404679</t>
  </si>
  <si>
    <t>Atherosclerotic changes can be measured as changes in common carotid intima media thickness (CIMT). It is hypothesised that repeated infection-associated inflammatory responses in childhood contribute to the atherosclerotic process. We set out to determine whether the frequency of infectious diseases in childhood is associated with CIMT in adolescence. The study is part of the Prevention and Incidence of Asthma and Mite Allergy (PIAMA) population-based birth cohort. At age 16 years, common CIMT was measured. We collected general practitioner (GP) diagnosed infections and prescribed antibiotics. Parent-reported infections were retrieved from annual questionnaires. Linear regression analysis assessed the association between number of infections during the first 4 years of life and common CIMT. Common CIMT measurement, GP and questionnaire data were available for 221 participants. No association was observed between the infection measures and CIMT. In a subgroup analysis, significant positive associations with CIMT were observed in participants with low parental education for 2-3 or ⩾7 GP diagnosed infections (+26.4 µm, 95% CI 0.4-52.4 and +26.8 µm, 95% CI 3.6-49.9, respectively) and ⩾3 antibiotic prescriptions (+35.5 µm, 95%CI 15.8-55.3). Overall, early childhood infections were not associated with common CIMT in adolescence. However, a higher number of childhood infections might contribute to the inflammatory process of atherosclerosis in subgroups with low education, this needs to be confirmed in future studies.</t>
  </si>
  <si>
    <t>Performance of missing transverse momentum reconstruction with the ATLAS detector using proton-proton collisions at &lt;math xmlns="http://www.w3.org/1998/Math/MathML"&gt; &lt;mrow&gt;&lt;msqrt&gt;&lt;mi&gt;s&lt;/mi&gt;&lt;/msqrt&gt; &lt;mo&gt;=&lt;/mo&gt; &lt;mn&gt;13&lt;/mn&gt; &lt;mspace&gt;&lt;/mspace&gt; &lt;mtext&gt;TeV&lt;/mtext&gt;&lt;/mrow&gt;&lt;/math&gt;.</t>
  </si>
  <si>
    <t>https://pubmed.ncbi.nlm.nih.gov/30880822</t>
  </si>
  <si>
    <t>The performance of the missing transverse momentum ( &lt;math xmlns="http://www.w3.org/1998/Math/MathML"&gt;&lt;msubsup&gt;&lt;mi&gt;E&lt;/mi&gt; &lt;mrow&gt;&lt;mi&gt;T&lt;/mi&gt;&lt;/mrow&gt; &lt;mi&gt;miss&lt;/mi&gt;&lt;/msubsup&gt; &lt;/math&gt; ) reconstruction with the ATLAS detector is evaluated using data collected in proton-proton collisions at the LHC at a centre-of-mass energy of 13 TeV in 2015. To reconstruct &lt;math xmlns="http://www.w3.org/1998/Math/MathML"&gt;&lt;msubsup&gt;&lt;mi&gt;E&lt;/mi&gt; &lt;mrow&gt;&lt;mi&gt;T&lt;/mi&gt;&lt;/mrow&gt; &lt;mi&gt;miss&lt;/mi&gt;&lt;/msubsup&gt; &lt;/math&gt; , fully calibrated electrons, muons, photons, hadronically decaying &lt;math xmlns="http://www.w3.org/1998/Math/MathML"&gt;&lt;mrow&gt;&lt;mi&gt;τ&lt;/mi&gt; &lt;mtext&gt;-leptons&lt;/mtext&gt;&lt;/mrow&gt; &lt;/math&gt; , and jets reconstructed from calorimeter energy deposits and charged-particle tracks are used. These are combined with the soft hadronic activity measured by reconstructed charged-particle tracks not associated with the hard objects. Possible double counting of contributions from reconstructed charged-particle tracks from the inner detector, energy deposits in the calorimeter, and reconstructed muons from the muon spectrometer is avoided by applying a signal ambiguity resolution procedure which rejects already used signals when combining the various &lt;math xmlns="http://www.w3.org/1998/Math/MathML"&gt;&lt;msubsup&gt;&lt;mi&gt;E&lt;/mi&gt; &lt;mrow&gt;&lt;mi&gt;T&lt;/mi&gt;&lt;/mrow&gt; &lt;mi&gt;miss&lt;/mi&gt;&lt;/msubsup&gt; &lt;/math&gt; contributions. The individual terms as well as the overall reconstructed &lt;math xmlns="http://www.w3.org/1998/Math/MathML"&gt;&lt;msubsup&gt;&lt;mi&gt;E&lt;/mi&gt; &lt;mrow&gt;&lt;mi&gt;T&lt;/mi&gt;&lt;/mrow&gt; &lt;mi&gt;miss&lt;/mi&gt;&lt;/msubsup&gt; &lt;/math&gt; are evaluated with various performance metrics for scale (linearity), resolution, and sensitivity to the data-taking conditions. The method developed to determine the systematic uncertainties of the &lt;math xmlns="http://www.w3.org/1998/Math/MathML"&gt;&lt;msubsup&gt;&lt;mi&gt;E&lt;/mi&gt; &lt;mrow&gt;&lt;mi&gt;T&lt;/mi&gt;&lt;/mrow&gt; &lt;mi&gt;miss&lt;/mi&gt;&lt;/msubsup&gt; &lt;/math&gt; scale and resolution is discussed. Results are shown based on the full 2015 data sample corresponding to an integrated luminosity of &lt;math xmlns="http://www.w3.org/1998/Math/MathML"&gt;&lt;mrow&gt;&lt;mn&gt;3.2&lt;/mn&gt; &lt;mspace&gt;&lt;/mspace&gt; &lt;msup&gt;&lt;mtext&gt;fb&lt;/mtext&gt; &lt;mrow&gt;&lt;mo&gt;-&lt;/mo&gt; &lt;mn&gt;1&lt;/mn&gt;&lt;/mrow&gt; &lt;/msup&gt; &lt;/mrow&gt; &lt;/math&gt; .</t>
  </si>
  <si>
    <t>Cost-effectiveness of screening for chronic hepatitis B and C among migrant populations in a low endemic country.</t>
  </si>
  <si>
    <t>Suijkerbuijk, Anita W M; van Hoek, Albert Jan; Koopsen, Jelle; de Man, Robert A; Mangen, Marie-Josee J; de Melker, Hester E; Polder, Johan J; de Wit, G Ardine; Veldhuijzen, Irene K</t>
  </si>
  <si>
    <t>https://pubmed.ncbi.nlm.nih.gov/30408079</t>
  </si>
  <si>
    <t>Chronic infection with hepatitis B or C virus (HBV/HCV) can progress to cirrhosis, liver cancer, and even death. In a low endemic country as the Netherlands, migrants are a key risk group and could benefit from early diagnosis and antiviral treatment. We assessed the cost-effectiveness of screening foreign-born migrants for chronic HBV and/or HCV using a societal perspective. The cost-effectiveness was evaluated using a Markov model. Estimates on prevalence, screening programme costs, participation and treatment uptake, transition probabilities, healthcare costs, productivity losses and utilities were derived from the literature. The cost per Quality Adjusted Life Year (QALY) gained was estimated and sensitivity analyses were performed. For most migrant groups with an expected high number of chronically infected cases in the Netherlands combined screening is cost-effective, with incremental cost-effectiveness ratios (ICERs) ranging from €4,962/QALY gained for migrants originating from the Former Soviet Union and Vietnam to €9,375/QALY gained for Polish migrants. HBV and HCV screening proved to be cost-effective for migrants from countries with chronic HBV or HCV prevalence of ≥0.41% and ≥0.22%, with ICERs below the Dutch cost-effectiveness reference value of €20,000/QALY gained. Sensitivity analysis showed that treatment costs influenced the ICER for both infections. For most migrant populations in a low-endemic country offering combined HBV and HCV screening is cost-effective. Implementation of targeted HBV and HCV screening programmes to increase early diagnosis and treatment is important to reduce the burden of chronic hepatitis B and C among migrants.</t>
  </si>
  <si>
    <t>A simple to implement and low-cost supervised walking programme in highly motivated individuals with or at risk for type 2 diabetes: An observational study with a pre-post design.</t>
  </si>
  <si>
    <t>Hoogendoorn, Sonja W; Rutten, Guy E H M; Hart, Huberta E; de Wolf, Cees; Vos, Rimke C</t>
  </si>
  <si>
    <t>https://pubmed.ncbi.nlm.nih.gov/30510891</t>
  </si>
  <si>
    <t>This observational study with a pre-post design, conducted in two Dutch primary healthcare centres, aimed to evaluate the effect of a supervised walking programme in highly motivated individuals with or at risk for type 2 diabetes mellitus (T2DM). Those able and willing to walk at least 6 km, were invited for a 28-week walking programme (February to August 2017), in which participants walked in groups, once weekly under supervision of volunteer healthcare professionals. Changes in bodyweight, BMI, waist circumference, HbA1c, blood pressure, well-being, health status and patient activation were analysed using paired &lt;i&gt;t&lt;/i&gt;-tests and the Wilcoxon signed-rank test. Fifty-six people were included (30 T2DM; 26 at risk), of whom 60.7% were female. Mean age was 60.6 years, median BMI 30.8 kg/m&lt;sup&gt;2&lt;/sup&gt; and mean systolic blood pressure 146.9 mm Hg. Participants with T2DM had median HbA1c of 50.0 mmol/mol. Post-challenge, BMI had decreased to 29.7 kg/m&lt;sup&gt;2&lt;/sup&gt;, and waist circumference decreased 3.4 cm (95% CI 2.1-4.8), both &lt;i&gt;p&lt;/i&gt; &lt; 0.01. Systolic and diastolic blood pressure decreased significantly (mean difference 6.5 mm Hg (95% CI 1.6-11.3, &lt;i&gt;p&lt;/i&gt; = 0.01) and 3.5 mm Hg (95% CI 1.0-6.0, &lt;i&gt;p&lt;/i&gt; &lt; 0.01), respectively). Participants with HbA1c &gt;53 mmol/mol at baseline (&lt;i&gt;n&lt;/i&gt; = 8), had median decrease in HbA1c of 6.5 mmol/mol (&lt;i&gt;p&lt;/i&gt; = 0.03). Well-being, but not health status and patient activation, improved significantly. In conclusion, in highly motivated individuals with or at risk for T2DM, this simple to implement and low-cost, but intensive, volunteer-based supervised walking programme is favourable, and therefore, can be seen as an option for clinical programs to implement to support highly motivated patients.</t>
  </si>
  <si>
    <t>Individual and household level factors associated with presence of multiple non-communicable disease risk factors in Kenyan adults.</t>
  </si>
  <si>
    <t>Wekesah, Frederick M; Nyanjau, Loise; Kibachio, Joseph; Mutua, Martin K; Mohamed, Shukri F; Grobbee, Diederick E; Klipstein-Grobusch, Kerstin; Ngaruiya, Christine; Haregu, Tilahun N; Asiki, Gershim; Kyobutungi, Catherine K</t>
  </si>
  <si>
    <t>https://pubmed.ncbi.nlm.nih.gov/30400905</t>
  </si>
  <si>
    <t>Non-communicable diseases (NCDs), are increasing globally, causing about 60% of disability-adjusted life years and 39.8 million deaths in 2015. Risk factors often cluster and interact multiplicatively in an individual and this is strongly associated with the development and severity of NCDs. We assessed the sociodemographic factors associated with the presence of multiple NCD risk factors among individuals aged 18 years and older in the Kenyan population. We used national representative data from 4066 individuals out of 4500 who participated in the WHO STEPs study in 2015. NCD risk factor counts were derived by summing the risk factors present in an individual and categorising into 1-3, 4-6 and 7+ risk factors in any combination of the 12 assessed NCD risk factors (hypertension, diabetes mellitus, cholesterol, insufficient physical activity, excessive alcohol use, tobacco use and obesity, excess sugar intake, insufficient fruit and vegetables intake, high salt consumption, and use of unhealthy cooking fats and oils). Ordered logistic regression was used to investigate the sociodemographic factors associated with an individual possesing multiple NCD risk factors. Majority (75.8%) of the individuals in the study possesed 4-6 and 10% had ≥7 NCDs risk factors. Nearly everyone (99.8%) had insufficient fruits and vegetable intakes, 89.5% consumed high salt in their diet and 80.3% did not engage in sufficient physical activity. Apart from NCD risk count which increased with age among both men and women, associations with other socio-demographic factors differed between men and women. A woman of Akamba ethinicity had lower odds (0.43) while Meru women had higher odds (3.58) of higher NCD risk factor count, compared to the Kalenjin women. Among men, being a Kisii or Luo was associated with lower odds (0.48 and 0.25 respectively) of higher NCD risk factor count. Women in a marital union had higher odds (1.58) of a higher NCD risk factor count. Majority of Kenyan adults possess more than four NCD risk factors; a clear indication of an emerging epidemic of NCDs in this population. Effective and multi-sectoral interventions targeting multiple risk factors in individuals are required to mitigate especially the behavioural and modifiable NCD risk factors in Kenya.</t>
  </si>
  <si>
    <t>Sex differences in risk factors for myocardial infarction: cohort study of UK Biobank participants.</t>
  </si>
  <si>
    <t>Millett, Elizabeth R C; Peters, Sanne A E; Woodward, Mark</t>
  </si>
  <si>
    <t>https://pubmed.ncbi.nlm.nih.gov/30404896</t>
  </si>
  <si>
    <t>To investigate sex differences in risk factors for incident myocardial infarction (MI) and whether they vary with age. Prospective population based study. UK Biobank. 471 998 participants (56% women; mean age 56.2) with no history of cardiovascular disease. Incident (fatal and non-fatal) MI. 5081 participants (1463 (28.8%) of whom were women) had MI over seven years' mean follow-up, resulting in an incidence per 10 000 person years of 7.76 (95% confidence interval 7.37 to 8.16) for women and 24.35 (23.57 to 25.16) for men. Higher blood pressure indices, smoking intensity, body mass index, and the presence of diabetes were associated with an increased risk of MI in men and women, but associations were attenuated with age. In women, systolic blood pressure and hypertension, smoking status and intensity, and diabetes were associated with higher hazard ratios for MI compared with men: ratio of hazard ratios 1.09 (95% confidence interval 1.02 to 1.16) for systolic blood pressure, 1.55 (1.32 to 1.83) for current smoking, 2.91 (1.56 to 5.45) for type 1 diabetes, and 1.47 (1.16 to 1.87) for type 2 diabetes. There was no evidence that any of these ratios of hazard ratios decreased with age (P&gt;0.2). With the exception of type 1 diabetes, the incidence of MI was higher in men than in women for all risk factors. Although the incidence of MI was higher in men than in women, several risk factors were more strongly associated with MI in women compared with men. Sex specific associations between risk factors and MI declined with age, but, where it occurred, the higher relative risk in women remained. As the population ages and the prevalence of lifestyle associated risk factors increase, the incidence of MI in women will likely become more similar to that in men.</t>
  </si>
  <si>
    <t>(Cost-)effectiveness of an internet-based physical activity support program (with and without physiotherapy counselling) on physical activity levels of breast and prostate cancer survivors: design of the PABLO trial.</t>
  </si>
  <si>
    <t>van de Wiel, H J; Stuiver, M M; May, A M; van Grinsven, S; Aaronson, N K; Retèl, V P; Oldenburg, H S A; van der Poel, H G; Horenblas, S; van Harten, W H; Groen, W G</t>
  </si>
  <si>
    <t>https://pubmed.ncbi.nlm.nih.gov/30400784</t>
  </si>
  <si>
    <t>Higher levels of physical activity (PA) after treatment are associated with beneficial effects on physical and psychosocial functioning of cancer survivors. However, survivors often do not meet the recommended levels of PA. In order to promote PA, we developed a closed internet-based program. The aim of the study is to evaluate the (cost-)effectiveness of an internet-based PA-promotion program, alone or combined with physiotherapy counselling, compared to usual care, on PA-levels of breast or prostate cancer survivors. In this multicenter randomised controlled trial (RCT), breast or prostate cancer survivors who completed their primary treatment 3-12 months earlier, will be randomised to either 6-months access to a fully-automated internet-based intervention alone, an internet-based intervention plus remote support by a physiotherapist, or a control group. The intervention is based on the Transtheoretical Model and includes personalized feedback, information, video's and assignments. Additionally, in a second arm, physiotherapy counselling is provided through monthly scheduled and on-demand telephone calls. The control group will receive usual care and a leaflet with PA guidelines. At baseline, 6 and 12 months, the primary outcome (PA) will be measured during 7 consecutive days by accelerometers. Secondary outcomes are self-reported PA, fatigue, mood, health-related quality of life, and costs. The group differences for primary and secondary outcomes will be analyzed using linear mixed models. If proven to be (cost)effective, this internet-based intervention, either alone or in combination with telephone support, will be a welcome addition to previous RCT's. Netherlands trial register (NTR6911), Date of trial registration: December 21, 2017.</t>
  </si>
  <si>
    <t>A systematic knowledge synthesis on the spatial dimensions of Q fever epidemics.</t>
  </si>
  <si>
    <t>De Rooij, Myrna M T; Van Leuken, Jeroen P G; Swart, Arno; Kretzschmar, Mirjam E E; Nielen, Mirjam; De Koeijer, Aline A; Janse, Ingmar; Wouters, Inge M; Heederik, Dick J J</t>
  </si>
  <si>
    <t>zoonoses and public health</t>
  </si>
  <si>
    <t>https://pubmed.ncbi.nlm.nih.gov/30402920</t>
  </si>
  <si>
    <t>From 2007 through 2010, the Netherlands experienced the largest Q fever epidemic ever reported. This study integrates the outcomes of a multidisciplinary research programme on spatial airborne transmission of Coxiella burnetii and reflects these outcomes in relation to other scientific Q fever studies worldwide. We have identified lessons learned and remaining knowledge gaps. This synthesis was structured according to the four steps of quantitative microbial risk assessment (QMRA): (a) Rapid source identification was improved by newly developed techniques using mathematical disease modelling; (b) source characterization efforts improved knowledge but did not provide accurate C. burnetii emission patterns; (c) ambient air sampling, dispersion and spatial modelling promoted exposure assessment; and (d) risk characterization was enabled by applying refined dose-response analyses. The results may support proper and timely risk assessment and risk management during future outbreaks, provided that accurate and structured data are available and exchanged readily between responsible actors.</t>
  </si>
  <si>
    <t>Consumers' preferences for freezing of meat to prevent toxoplasmosis- A stated preference approach.</t>
  </si>
  <si>
    <t>Lambooij, Mattijs S; Veldwijk, Jorien; van Gils, Paul; Mangen, Marie-Josee J; Over, Eelco; Suijkerbuijk, Anita; Polder, Johan; de Wit, G Ardine; Opsteegh, Marieke</t>
  </si>
  <si>
    <t>meat science</t>
  </si>
  <si>
    <t>https://pubmed.ncbi.nlm.nih.gov/30448472</t>
  </si>
  <si>
    <t>Consumption of raw or undercooked meat increases the risk of infection with Toxoplasma gondii. Freezing meat products can eliminate this risk. Freezing of meat may affect consumers' valuation of meat products in two different ways: it may be valued positively because of increased food safety or valued negatively because of (perceived) loss of quality. In a Discrete Choice Experiment on four different meat products we studied the difference in willingness to pay for frozen and non-frozen meat products in the Netherlands. Analyses revealed that most Dutch consumer groups prefer non-frozen meat. Price was important in consumer decisions, whereas the meat being frozen appeared to play a minor role in the decision to purchase meat products. Even though it may seem obvious that people would prefer safe food to unsafe food, in a context where consumers presume food being safe, many consumers appear unwilling to pay for freezing of meat as additional measure to reduce the risk of food borne infections such as toxoplasmosis.</t>
  </si>
  <si>
    <t>Gestational weight gain charts for different body mass index groups for women in Europe, North America, and Oceania.</t>
  </si>
  <si>
    <t>Santos, Susana; Eekhout, Iris; Voerman, Ellis; Gaillard, Romy; Barros, Henrique; Charles, Marie-Aline; Chatzi, Leda; Chevrier, Cécile; Chrousos, George P; Corpeleijn, Eva; Costet, Nathalie; Crozier, Sarah; Doyon, Myriam; Eggesbø, Merete; Fantini, Maria Pia; Farchi, Sara; Forastiere, Francesco; Gagliardi, Luigi; Georgiu, Vagelis; Godfrey, Keith M; Gori, Davide; Grote, Veit; Hanke, Wojciech; Hertz-Picciotto, Irva; Heude, Barbara; Hivert, Marie-France; Hryhorczuk, Daniel; Huang, Rae-Chi; Inskip, Hazel; Jusko, Todd A; Karvonen, Anne M; Koletzko, Berthold; Küpers, Leanne K; Lagström, Hanna; Lawlor, Debbie A; Lehmann, Irina; Lopez-Espinosa, Maria-Jose; Magnus, Per; Majewska, Renata; Mäkelä, Johanna; Manios, Yannis; McDonald, Sheila W; Mommers, Monique; Morgen, Camilla S; Moschonis, George; Murínová, Ľubica; Newnham, John; Nohr, Ellen A; Andersen, Anne-Marie Nybo; Oken, Emily; Oostvogels, Adriëtte J J M; Pac, Agnieszka; Papadopoulou, Eleni; Pekkanen, Juha; Pizzi, Costanza; Polanska, Kinga; Po</t>
  </si>
  <si>
    <t>https://pubmed.ncbi.nlm.nih.gov/30396358</t>
  </si>
  <si>
    <t>Gestational weight gain differs according to pre-pregnancy body mass index and is related to the risks of adverse maternal and child health outcomes. Gestational weight gain charts for women in different pre-pregnancy body mass index groups enable identification of women and offspring at risk for adverse health outcomes. We aimed to construct gestational weight gain reference charts for underweight, normal weight, overweight, and grades 1, 2 and 3 obese women and to compare these charts with those obtained in women with uncomplicated term pregnancies. We used individual participant data from 218,216 pregnant women participating in 33 cohorts from Europe, North America, and Oceania. Of these women, 9065 (4.2%), 148,697 (68.1%), 42,678 (19.6%), 13,084 (6.0%), 3597 (1.6%), and 1095 (0.5%) were underweight, normal weight, overweight, and grades 1, 2, and 3 obese women, respectively. A total of 138, 517 women from 26 cohorts had pregnancies with no hypertensive or diabetic disorders and with term deliveries of appropriate for gestational age at birth infants. Gestational weight gain charts for underweight, normal weight, overweight, and grade 1, 2, and 3 obese women were derived by the Box-Cox t method using the generalized additive model for location, scale, and shape. We observed that gestational weight gain strongly differed per maternal pre-pregnancy body mass index group. The median (interquartile range) gestational weight gain at 40 weeks was 14.2 kg (11.4-17.4) for underweight women, 14.5 kg (11.5-17.7) for normal weight women, 13.9 kg (10.1-17.9) for overweight women, and 11.2 kg (7.0-15.7), 8.7 kg (4.3-13.4) and 6.3 kg (1.9-11.1) for grades 1, 2, and 3 obese women, respectively. The rate of weight gain was lower in the first half than in the second half of pregnancy. No differences in the patterns of weight gain were observed between cohorts or countries. Similar weight gain patterns were observed in mothers without pregnancy complications. Gestational weight gain patterns are strongly related to pre-pregnancy body mass index. The derived charts can be used to assess gestational weight gain in etiological research and as a monitoring tool for weight gain during pregnancy in clinical practice.</t>
  </si>
  <si>
    <t>Genetic determinants of activity and antigen levels of contact system factors.</t>
  </si>
  <si>
    <t>Rohmann, J L; de Haan, H G; Algra, A; Vossen, C Y; Rosendaal, F R; Siegerink, B</t>
  </si>
  <si>
    <t>https://pubmed.ncbi.nlm.nih.gov/30288888</t>
  </si>
  <si>
    <t>Essentials Genetic variation may provide valuable insight into the role of the contact system in thrombosis. Explored associations of genetic variants with activity, antigen, and disease in RATIO study. Two novel loci were identified: KLKB1 rs4253243 for prekallikrein; KNG1 rs5029980 for HMWK levels. Contact system variants and haplotypes were not associated with myocardial infarction or stroke. SUMMARY: Background The complex, interdependent contact activation system has been implicated in thrombotic disease, although few genetic determinants of levels of proteins from this system are known. Objectives Our primary aim was to study the influence of common F11, F12, KLKB1, and KNG1 variants on factor (F) XI activity and FXI, FXII, prekallikrein (PK) and high-molecular-weight kininogen (HMWK) antigen levels, as well as the risk of myocardial infarction and ischemic stroke. Patients/methods We analyzed samples from all 630 healthy participants, 182 ischemic stroke patients and 216 myocardial infarction patients in the RATIO case-control study of women aged &lt; 50 years. Forty-three tagging single nucleotide variants (SNVs) were genotyped to represent common genetic variation in the contact system genes. Antigen and activity levels were measured with sandwich-ELISA-based and one-stage clotting assays. We performed single variant, age-adjusted, linear regression analyses per trait and disease phenotype, assuming additive inheritance and determined conditionally independent associations. Haplotypes based on the lead SNV and all conditionally independent SNVs were tested for association with traits and disease. Results We identified two novel associations of KLKB1 SNV rs4253243 with PK antigen (β&lt;sub&gt;conditional&lt;/sub&gt; = -12.38; 95% CI, -20.07 to -4.69) and KNG1 SNV rs5029980 with HMWK antigen (β&lt;sub&gt;conditional&lt;/sub&gt; = 5.86; 95% CI, 2.40-9.32) and replicated previously reported associations in a single study. Further analyses probed whether the observed associations were indicative of linkage, pleiotropic effects or mediation. No individual SNVs or haplotypes were associated with the disease outcomes. Conclusion This study adds to current knowledge of how genetic variation influences contact system protein levels and clarifies interdependencies.</t>
  </si>
  <si>
    <t>Differences in alcohol consumption and drinking patterns in Ghanaians in Europe and Africa: The RODAM Study.</t>
  </si>
  <si>
    <t>Addo, Juliet; Cook, Sarah; Galbete, Cecilia; Agyemang, Charles; Klipstein-Grobusch, Kerstin; Nicolaou, Mary; Danquah, Ina; Schulze, Matthias B; Brathwaite, Rachel; Mockenhaupt, Frank P; Beune, Erik; Meeks, Karlijn; de-Graft Aikins, Ama; Bahendaka, Silver; Owusu-Dabo, Ellis; Smeeth, Liam</t>
  </si>
  <si>
    <t>https://pubmed.ncbi.nlm.nih.gov/30388130</t>
  </si>
  <si>
    <t>Little is known about alcohol consumption among Africans living in rural and urban Africa compared to African migrants in Europe. We compared the patterns of alcohol consumption in a group of Ghanaians living in different locations in Ghana and in Europe and examined the factors associated with drinking alcohol. Data were from a cross-sectional study (RODAM) of Ghanaians aged 25-70 years living in rural and urban Ghana and in Amsterdam, Berlin and London. Information on how often participants consumed at least one standard alcoholic drink in the preceding 12 months, the type of alcoholic beverage and the average serving size was obtained using a food propensity questionnaire. The associations between drinking alcohol and socio-demographic variables, and frequency of attending religious services were investigated using logistic regression models stratified by site and sex. For Ghanaians living in Europe, the number of years since migration and acculturation were also included in the model as covariates. 4280 participants (62.2% women) were included in the analyses. In both men and women, the prevalence of drinking and amount of alcohol consumed per day was highest in Berlin (prevalence of drinking 71.0% and 61.7%) and lowest in urban Ghana (41.4% and 26.8%). After adjustment for age and education in both men and women in Europe, those attending religious services less frequently reported higher levels of drinking alcohol than non-attendants (never attend/no religion compared to attending service at least once a week men OR 4.60 95% CI 2.85, 7.44; women OR 1.80 95% CI 1.12, 2.90) p-trend with frequency &lt;0.001 in men; 0.002 in women); this association was seen also in men in rural Ghana (p-trend = 0.001) and women in urban Ghana (p-trend = 0.02). The prevalence of drinking was positively associated with years since migration in both men and women in Europe ((OR per years increase in time lived in Europe 1.25 (95% CI 1.02,1.53) test for trend p = 0.03 in women; OR 1.29 (95% CI 1.03, 1.62 p = 0.03 in men) but no association was found with self-reported measures of acculturation (ethnic identity, cultural orientation or social networks). There are marked differences in alcohol consumption between Ghanaians living in Europe and in Ghana suggesting migration has an important influence of drinking patterns and also suggesting the possibility of requiring different strategies in alcohol reduction campaigns among Ghanaians in different locations.</t>
  </si>
  <si>
    <t>Risk of acute myocardial infarction during use of individual NSAIDs: A nested case-control study from the SOS project.</t>
  </si>
  <si>
    <t>Masclee, Gwen M C; Straatman, Huub; Arfè, Andrea; Castellsague, Jordi; Garbe, Edeltraut; Herings, Ron; Kollhorst, Bianca; Lucchi, Silvia; Perez-Gutthann, Susana; Romio, Silvana; Schade, René; Schink, Tania; Schuemie, Martijn J; Scotti, Lorenza; Varas-Lorenzo, Cristina; Valkhoff, Vera E; Villa, Marco; Sturkenboom, Miriam C J M</t>
  </si>
  <si>
    <t>https://pubmed.ncbi.nlm.nih.gov/30383755</t>
  </si>
  <si>
    <t>Use of selective COX-2 non-steroidal anti-inflammatory drugs (NSAIDs) (coxibs) has been associated with an increased risk of acute myocardial infarction (AMI). However, the risk of AMI has only been studied for very few NSAIDs that are frequently used. To estimate the risk of AMI for individual NSAIDs. A nested case-control study was performed from a cohort of new NSAID users ≥18 years (1999-2011) matching cases to a maximum of 100 controls on database, sex, age, and calendar time. Data were retrieved from six healthcare databases. Adjusted odds ratios (ORs) of current use of individual NSAIDs compared to past use were estimated per database. Pooling was done by two-stage pooling using a random effects model (ORmeta) and by one-stage pooling (ORpool). Among 8.5 million new NSAID users, 79,553 AMI cases were identified. The risk was elevated for current use of ketorolac (ORmeta 2.06;95%CI 1.83-2.32, ORpool 1.80; 1.49-2.18) followed, in descending order of point estimate, by indometacin, etoricoxib, rofecoxib, diclofenac, fixed combination of diclofenac with misoprostol, piroxicam, ibuprofen, naproxen, celecoxib, meloxicam, nimesulide and ketoprofen (ORmeta 1.12; 1.03-1.22, ORpool 1.00;0.86-1.16). Higher doses showed higher risk estimates than lower doses. The relative risk estimates of AMI differed slightly between 28 individual NSAIDs. The relative risk was highest for ketorolac and was correlated with COX-2 potency, but not restricted to coxibs.</t>
  </si>
  <si>
    <t>Caloric restriction reduces age at menopause: the effect of the 1944-1945 Dutch famine.</t>
  </si>
  <si>
    <t>Elias, Sjoerd G; van Noord, Paulus A H; Peeters, Petra H M; Tonkelaar, Isolde den; Grobbee, Diederick E</t>
  </si>
  <si>
    <t>menopause new york ny</t>
  </si>
  <si>
    <t>https://pubmed.ncbi.nlm.nih.gov/30358718</t>
  </si>
  <si>
    <t>To assess the effect of caloric restriction, as endured during the 1944-1945 Dutch famine, on the age at which natural menopause occurs and to identify specific vulnerable age periods in which caloric restriction has the largest effect. This was a population-based cohort study conducted in Utrecht, the Netherlands. Between 1983 and 1986, 9,471 women aged 40 to 73 years at the time of interview were classified regarding their exposure to the famine. Age at natural menopause was obtained from all available data, retrospectively as well as prospectively. We estimated differences in mean age at natural menopause between famine exposure categories (not, moderately, and severely exposed), with adjustment for smoking, parity, socioeconomic status, body mass index, age at menarche, and year of birth. Women experienced natural menopause on average 0.36 years earlier (95% CI: -0.60, -0.11) when severely exposed to the famine and 0.06 years earlier (95% CI: -0.22, 0.09) when moderately exposed compared with the unexposed women. This effect was particularly pronounced in those severely exposed from 2 to 6 years of age: -1.83 years (95% CI: -3.03, -0.63). Our findings suggest that caloric restriction decreases age at natural menopause. Early childhood seems to be a particularly sensitive age period for this effect.</t>
  </si>
  <si>
    <t>Geriatric Assessment in Elderly Patients with End-Stage Kidney Disease.</t>
  </si>
  <si>
    <t>Goto, Namiko A; van Loon, Ismay N; Morpey, Moira I; Verhaar, Marianne C; Willems, Hanna C; Emmelot-Vonk, Mariëlle H; Bots, Michiel L; Boereboom, Franciscus T J; Hamaker, Marije E</t>
  </si>
  <si>
    <t>https://pubmed.ncbi.nlm.nih.gov/30384369</t>
  </si>
  <si>
    <t>Decision-making in elderly patients considering dialysis is highly complex. With the increasing number of elderly with end-stage kidney disease (ESKD), it may be important to assess geriatric impairments in this population. The aim of the Geriatric assessment in OLder patients starting Dialysis (GOLD) study was to assess the prevalence of geriatric impairments and frailty in the elderly ESKD population by means of a geriatric assessment (GA), which is a comprehensive tool for overall health assessment. This study included 285 patients ≥65 years: 196 patients at the time of dialysis initiation and 89 patients who chose maximal conservative management (MCM). The GA assessed cognition, mood, nutritional status, (instrumental) activities of daily living (ADL), mobility, comorbidity burden, quality of life and overall frailty. The mean age of the participants was 78 years and 36% were women. Of the incident dialysis patients, 77% started haemodialysis and 23% started peritoneal dialysis. Geriatric impairments were highly prevalent in both dialysis and MCM patients. Most frequently impaired geriatric domains in the dialysis group were functional performance (ADL 29%, instrumental ADL (iADL) 79%), cognition (67%) and comorbidity (41%). According to the GA, 77% in the dialysis group and 88% in the MCM group had 2 or more geriatric impairments. In the MCM group, functional impairment (ADL 45%, iADL 85%) was highly prevalent. Geriatric impairments are highly prevalent in the elderly ESKD population. Since impairments can be missed when not searched for in regular (pre)dialysis care, the first step of improving nephrologic care is awareness of the extensiveness of geriatric impairment.</t>
  </si>
  <si>
    <t>Immediate and Delayed Procedural Stroke or Death in Stenting Versus Endarterectomy for Symptomatic Carotid Stenosis.</t>
  </si>
  <si>
    <t>Müller, Mandy D; von Felten, Stefanie; Algra, Ale; Becquemin, Jean-Pierre; Brown, Martin; Bulbulia, Richard; Calvet, David; Eckstein, Hans-Henning; Fraedrich, Gustav; Halliday, Alison; Hendrikse, Jeroen; Gregson, John; Howard, George; Jansen, Olav; Mas, Jean-Louis; Brott, Thomas G; Ringleb, Peter A; Bonati, Leo H; ,</t>
  </si>
  <si>
    <t>https://pubmed.ncbi.nlm.nih.gov/30355202</t>
  </si>
  <si>
    <t>Background and Purpose- Stenting for symptomatic carotid stenosis (carotid artery stenting [CAS]) carries a higher risk of procedural stroke or death than carotid endarterectomy (CEA). It is unclear whether this extra risk is present both on the day of procedure and within 1 to 30 days thereafter and whether clinical risk factors differ between these periods. Methods- We analyzed the risk of stroke or death occurring on the day of procedure (immediate procedural events) and within 1 to 30 days thereafter (delayed procedural events) in 4597 individual patients with symptomatic carotid stenosis who underwent CAS (n=2326) or CEA (n=2271) in 4 randomized trials. Results- Compared with CEA, patients treated with CAS were at greater risk for immediate procedural events (110 versus 42; 4.7% versus 1.9%; odds ratio, 2.6; 95% CI, 1.9-3.8) but not for delayed procedural events (59 versus 46; 2.5% versus 2.0%; odds ratio, 1.3; 95% CI, 0.9-1.9; interaction P=0.006). In patients treated with CAS, age increased the risk for both immediate and delayed events while qualifying event severity only increased the risk of delayed events. In patients treated with CEA, we found no risk factors for immediate events while a higher level of disability at baseline and known history of hypertension were associated with delayed procedural events. Conclusions- The increased procedural stroke or death risk associated with CAS compared with CEA was caused by an excess of events occurring on the day of procedure. This finding demonstrates the need to enhance the procedural safety of CAS by technical improvements of the procedure and increased operator skill. Higher age increased the risk for both immediate and delayed procedural events in CAS, mechanisms of which remain to be elucidated. Clinical Trial Registration- URL: https://clinicaltrials.gov . Unique identifier: NCT00190398. URL: http://www.isrctn.com . Unique identifier: ISRCTN57874028. URL: http://www.isrctn.com . Unique identifier: ISRCTN25337470. URL: https://clinicaltrials.gov . Unique identifier: NCT00004732.</t>
  </si>
  <si>
    <t>Relevance of healthcare-associated pneumonia for empirical antibiotic therapy in the Netherlands.</t>
  </si>
  <si>
    <t>Schweitzer, V A; van Werkhoven, C H; van Heijl, I; Smits, R F; Boel, C H E; Bonten, M J M; Postma, D F; Oosterheert, J J</t>
  </si>
  <si>
    <t>the netherlands journal of medicine</t>
  </si>
  <si>
    <t>https://pubmed.ncbi.nlm.nih.gov/30465653</t>
  </si>
  <si>
    <t>There is no consensus whether patients with healthcare-associated pneumonia (HCAP) should be considered as a patient with hospital-acquired pneumonia (HAP) and treated with broad-spectrum antibiotics, or as a patient with community-acquired pneumonia (CAP), and treated with narrow-spectrum antibiotics. HCAP research has focused mostly on the predictive value for non-susceptibility to broad-spectrum antibiotics and multi-drug resistant pathogens, in settings with moderate to high levels of antibiotic resistance. We investigated whether HCAP criteria predicts non-susceptibility to different empirical strategies, including narrow-spectrum antibiotics in the Dutch setting. In a post hoc analysis of patients with moderate-severe CAP in seven Dutch hospitals, we compared in vitro antibiotic susceptibilities of definite and possible causative pathogens of CAP and HCAP to amoxicillin and broader antibiotic regimens. In a sensitivity analysis, pathogens with missing susceptibilities were assumed susceptible (best-case scenario) or non-susceptible (worst-case scenario). Among 2,283 patients with moderate-severe CAP, 23.1% (n = 527) were classified as HCAP. Non-susceptibility to amoxicillin ranged from 11.3% (95% CI 9.9-12.8%; best-case) to 14.4% (95% CI 12.8-16.1%; worst-case) in CAP patients and from 16.7% (95% CI 13.8-20.1%; best-case) to 19.7% (95% CI 16.6-23.3%; worst-case) in HCAP patients. The largest reduction in non-susceptibility was achieved by adding ciprofloxacin to amoxicillin treatment in both CAP patients (10% absolute risk reduction) and HCAP patients (11-16% reduction). In the Netherlands, HCAP criteria predict higher amoxicillin non-susceptibility in patients hospitalized with moderate-severe CAP. Although broadening the antibiotic spectrum of empiric treatment reduced the likelihood of non-susceptibility, absolute reductions of non-susceptibility in HCAP patients were too low to justify the universal use of broad-spectrum empirical therapy.No abstract available.</t>
  </si>
  <si>
    <t>Targeting Exercise Interventions to Patients With Cancer in Need: An Individual Patient Data Meta-Analysis.</t>
  </si>
  <si>
    <t>Buffart, Laurien M; Sweegers, Maike G; May, Anne M; Chinapaw, Mai J; van Vulpen, Jonna K; Newton, Rob U; Galvão, Daniel A; Aaronson, Neil K; Stuiver, Martijn M; Jacobsen, Paul B; Verdonck-de Leeuw, Irma M; Steindorf, Karen; Irwin, Melinda L; Hayes, Sandi; Griffith, Kathleen A; Lucia, Alejandro; Herrero-Roman, Fernando; Mesters, Ilse; van Weert, Ellen; Knoop, Hans; Goedendorp, Martine M; Mutrie, Nanette; Daley, Amanda J; McConnachie, Alex; Bohus, Martin; Thorsen, Lene; Schulz, Karl-Heinz; Short, Camille E; James, Erica L; Plotnikoff, Ronald C; Arbane, Gill; Schmidt, Martina E; Potthoff, Karin; van Beurden, Marc; Oldenburg, Hester S; Sonke, Gabe S; van Harten, Wim H; Garrod, Rachel; Schmitz, Kathryn H; Winters-Stone, Kerri M; Velthuis, Miranda J; Taaffe, Dennis R; van Mechelen, Willem; José Kersten, Marie; Nollet, Frans; Wenzel, Jennifer; Wiskemann, Joachim; Brug, Johannes; Courneya, Kerry S</t>
  </si>
  <si>
    <t>https://pubmed.ncbi.nlm.nih.gov/30299508</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</si>
  <si>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&lt; .001) and lower (Pinteraction = .01) body muscle strength and QoL (Pinteraction &lt;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</si>
  <si>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Developments in euthanasia practice in the Netherlands: Balancing professional responsibility and the patient's autonomy.</t>
  </si>
  <si>
    <t>Kouwenhoven, Pauline S C; van Thiel, Ghislaine J M W; van der Heide, Agnes; Rietjens, Judith A C; van Delden, Johannes J M</t>
  </si>
  <si>
    <t>https://pubmed.ncbi.nlm.nih.gov/30381970</t>
  </si>
  <si>
    <t>In 2015, euthanasia accounted for 4.5% of deaths in the Netherlands, of which 93% were performed by a GP. Historically, a conflict of physician's duties-to alleviate unbearable suffering and at the same time preserve the patient's life-is central to the justification of euthanasia practice in the Netherlands. However, there seems to be a shift towards a greater emphasis on the patient's autonomous wish as the primary basis for euthanasia. This shift has consequences for the role and interpretation of the physician's duties in end-of-life care. This paper aims to describe these developments in euthanasia practice and end-of-life decision-making. We describe important relevant developments and look into the role and the meaning of two dimensions of the concept of 'patient autonomy' regarding end-of-life decisions, in particular, the euthanasia request. We claim that the concept of autonomy 'as a right,' which can be distinguished from autonomy 'as an ideal,' narrows the physician's window of opportunity to offer end-of-life care other than euthanasia.</t>
  </si>
  <si>
    <t>Comparing drug effectiveness in children: A systematic review.</t>
  </si>
  <si>
    <t>Dukanovic, Julijana; Osokogu, Osemeke U; Patel, Krupa; Ferrajolo, Carmen; Sturkenboom, Miriam C J M; ,</t>
  </si>
  <si>
    <t>https://pubmed.ncbi.nlm.nih.gov/30379371</t>
  </si>
  <si>
    <t>The purpose of the study is to assess the current state of the art in pediatric comparative effectiveness research, potential gaps, and areas for improvement. Relevant articles from inception to February 2015 were retrieved from Embase and Medline. We sequentially screened titles, abstracts, and full texts, with independent validation. Data regarding general information and study methods including statistical analysis were extracted. Study quality was assessed using Newcastle-Ottawa Scale (NOS). Investigated drugs were ranked and compared with data on the prevalence of pediatric drug use. Three thousand nine hundred twenty-six abstracts were screened for eligibility and inclusion, and 164 articles were included in the review. Most studies were from North America (46.7%). Only 78 studies (47.6%) reported the design: 90.8% were cohort studies. Neonates were least frequently investigated. The drugs that were most often studied included systemic antibacterials (11.4%), psycholeptics (7.9%), and antiepileptics (7.6%). Adjustment for confounding was made using propensity scores in 8.5% of the studies. Studies that did not report the design were of lower quality. Many effectiveness studies were done on antineoplastic agents, which are not frequently used and few studies on analgesics and drugs for obstructive airway diseases which are frequently prescribed. There is ample opportunity to improve comparative effectiveness research for drugs used in pediatrics. Routinely prescribed drugs were seldom investigated. Modern methods for confounding adjustment, such as propensity scores, were rarely used.</t>
  </si>
  <si>
    <t>Pain management in acute otitis media: a qualitative study exploring GPs' views and expectations parallel to a trial of an educational intervention.</t>
  </si>
  <si>
    <t>van Uum, Rick T; Sjoukes, Alies; Venekamp, Roderick P; Schilder, Anne Gm; de Groot, Esther; Damoiseaux, Roger Amj; Anthierens, Sibyl</t>
  </si>
  <si>
    <t>https://pubmed.ncbi.nlm.nih.gov/30723805</t>
  </si>
  <si>
    <t>Optimal pain management is accepted as the cornerstone of acute otitis media (AOM) management, but analgesics are neither prescribed routinely nor explicitly recommended in day-to-day practice. To explore GPs views on and expectations regarding pain management in children with AOM, and how a multifaceted educational intervention aimed at optimising pain management shapes these perceptions. Qualitative study conducted alongside a cluster randomised controlled trial (cRCT), the PIMPOM study, in the Netherlands. Twelve GPs were purposefully sampled from primary care centres allocated to the intervention group and were interviewed, using semi-structured, audio-recorded interviews. The intervention comprised a blended GP educational programme (internet-based and face-to-face training) aimed at discussing pain management proactively with parents using a parent information leaflet, and prescribing paracetamol and ibuprofen according to current guidelines. Interviews were transcribed verbatim and analysed thematically by a multidisciplinary team. GPs considered AOM a very painful condition. Initially, GPs felt unable to offer adequate treatment for AOM-related ear pain. The intervention provided tools, such as knowledge, communication skills, and an information leaflet, which reduced their feelings of helplessness and empowered them to manage childhood AOM more adequately. GPs indicated that the intervention led to a shift in focus from treating the infection with antibiotics to treating symptoms with analgesics. There was a general lack of knowledge about the possibility of prescribing ibuprofen to children. GPs expressed mixed views on prescribing this drug to children. A primary-care based multifaceted educational intervention aimed at optimising pain management in childhood AOM offered GPs tools to optimise management of this condition and changed GPs perceptions, namely from treating the infection with antibiotics to treating symptoms.</t>
  </si>
  <si>
    <t>Adaptive designs in clinical trials in critically ill patients: principles, advantages and pitfalls.</t>
  </si>
  <si>
    <t>van Werkhoven, C H; Harbarth, S; Bonten, M J M</t>
  </si>
  <si>
    <t>https://pubmed.ncbi.nlm.nih.gov/30377740</t>
  </si>
  <si>
    <t>Prevalence of symptoms in glioma patients throughout the disease trajectory: a systematic review.</t>
  </si>
  <si>
    <t>IJzerman-Korevaar, Margriet; Snijders, Tom J; de Graeff, Alexander; Teunissen, Saskia C C M; de Vos, Filip Y F</t>
  </si>
  <si>
    <t>journal of neurooncology</t>
  </si>
  <si>
    <t>https://pubmed.ncbi.nlm.nih.gov/30377935</t>
  </si>
  <si>
    <t>Glioma patients suffer from a wide range of symptoms which influence quality of life negatively. The aim of this review is to give an overview of symptoms most prevalent in glioma patients throughout the total disease trajectory, to be used as a basis for the development of a specific glioma Patient Reported Outcome Measure (PROM) for early assessment and monitoring of symptoms in glioma patients. A systematic review focused on symptom prevalence in glioma patients in different phases of disease and treatment was performed in MEDLINE, CINAHL and EMBASE according to PRISMA recommendations. We calculated weighted means for prevalence rates per symptom. The search identified 2.074 unique papers, of which 32 were included in this review. In total 25 symptoms were identified. The ten most prevalent symptoms were: seizures (37%), cognitive deficits (36%), drowsiness (35%), dysphagia (30%), headache (27%), confusion (27%), aphasia (24%), motor deficits (21%), fatigue (20%) and dyspnea (20%). Eight out of ten of the most prevalent symptoms in glioma patients are related to the central nervous system and therefore specific for glioma. Our findings emphasize the importance of tailored symptom care for glioma patients and may aid in the development of specific PROMs for glioma patients in different phases of the disease.</t>
  </si>
  <si>
    <t>Ethics in clinical trial regulation: ethically relevant issues from EMA inspection reports.</t>
  </si>
  <si>
    <t>Bernabe, R D L C; van Thiel, G J M W; Breekveldt, N S; Gispen-de Wied, C C; van Delden, J J M</t>
  </si>
  <si>
    <t>current medical research and opinion</t>
  </si>
  <si>
    <t>https://pubmed.ncbi.nlm.nih.gov/30252539</t>
  </si>
  <si>
    <t>Within the EU, regulators are obliged to take ethical issues into consideration during marketing authorization deliberation. The goal of this manuscript is to identify what kinds of ethical issues regulators encounter during marketing authorization application deliberations, and the incidence of these ethical issues. This study used an EMA-provided Excel file that contains all the GCP non-compliance findings from all inspection reports from 2008-2012. There were 112 medicinal products and a total of 288 clinical trial sites. There were a total of 4014 GCP non-compliance findings. The findings that were ethically relevant were extracted using NVivo 10.0 and categories for the ethically relevant findings (ERFs) were created. Note was taken of the incidence of ERFs for each category and the inspectors' gradings of these findings were extracted. This study also looked at the mean and the maximum number of ERFs per grading per medicinal product application, as well as the number of medicinal products with at least one ERF and those with at least major ERFs. With multiple coding, there were 1685 ERFs. ERFs were present in almost all of the medicinal products (97.3%). The majority of ERFs were graded as major. At least major ERFs were present in almost all medicinal products with ERFs. The categories with the highest number of ERFs were protocol issues, patient safety, and professionalism issues. In terms of the density of combined critical and major findings, monitoring and oversight, protocol issues, and respect for persons top the list. This study also showed that, on average, there were 7.54 major and 2.95 critical ERFs per medicinal product application, although ERFs can increase to 30 major and 12 critical. Regulators regularly encounter ERFs that at least "might adversely affect the rights, safety or well-being of the subjects". It remains to be explored how regulators respond to these ethical issues.</t>
  </si>
  <si>
    <t>Diagnostic value of signs, symptoms and diagnostic tests for diagnosing pneumonia in ambulant children in developed countries: a systematic review.</t>
  </si>
  <si>
    <t>Schot, Marjolein J C; Dekker, Anne R J; Giorgi, Wesley G; Hopstaken, Rogier M; de Wit, Niek J; Verheij, Theo J M; Cals, Jochen W L</t>
  </si>
  <si>
    <t>npj primary care respiratory medicine</t>
  </si>
  <si>
    <t>https://pubmed.ncbi.nlm.nih.gov/30367067</t>
  </si>
  <si>
    <t>Identifying a child with pneumonia in the large group of children with acute respiratory tract infections can be challenging for primary care physicians. Knowledge on the diagnostic value of specific signs and symptoms may guide future decision rules and guidelines for clinicians. We aimed to identify and systematically review available evidence for the diagnostic value of signs, symptoms, and additional tests to diagnose pneumonia in children in an ambulatory setting in developed countries. We conducted a systematic review, searching in the electronic databases of PubMed and Embase. Quality assessment of studies was done using the QUADAS-2 criteria. After data extraction from selected studies, we calculated and summarized test characteristics (sensitivity, specificity, negative and positive predictive values) of all available signs, symptoms, additional laboratory tests, and chest ultrasonography. The original search yielded 4665 records, of which 17 articles were eligible for analysis: 12 studies on signs and symptoms, 4 on additional laboratory tests, and 6 on ultrasonography. All included studies were performed in a secondary care setting. Risk of bias was present in the majority of studies in the domain of patient selection. Prevalence of pneumonia varied from 3.4% to 71.7%. The diagnostic value of the available 27 individual signs and symptoms to identify pneumonia was low. In a low prevalence setting, (4 studies, pneumonia prevalence &lt;10%) clinically ill appearance of the child and oxygen saturation &lt;94% can aid a physician. In a high prevalence setting (10 studies, pneumonia &gt;10%), additional diagnostic tests such as oxygen saturation, C-reactive protein, and white blood cell count are more promising. Chest ultrasonography showed high diagnostic value in settings with higher prevalence of pneumonia. Single signs and symptoms from medical history and physical examination or individual additional diagnostic tests are insufficient to diagnose pneumonia in ambulant children. Very few diagnostic studies are conducted in settings with low prevalence of pneumonia. Future research in low prevalence settings should focus on the diagnostic value of the combination of clinical features and additional testing possibly using meta-analysis of individual data.</t>
  </si>
  <si>
    <t>Organoids as hybrids: ethical implications for the exchange of human tissues.</t>
  </si>
  <si>
    <t>Boers, Sarah N; van Delden, Johannes J M; Bredenoord, Annelien L</t>
  </si>
  <si>
    <t>https://pubmed.ncbi.nlm.nih.gov/30367014</t>
  </si>
  <si>
    <t>Recent developments in biotechnology allow for the generation of increasingly complex products out of human tissues, for example, human stem cell lines, synthetic embryo-like structures and organoids. These developments are coupled with growing commercial interests. Although commercialisation can spark the scientific and clinical promises, profit-making out of human tissues is ethically contentious and known to raise public concern. The traditional bioethical frames of gift versus market are inapt to capture the resulting practical and ethical complexities. Therefore, we propose an alternative approach to identify, evaluate and deal with the ethical challenges that are raised by the increasing commercialisation of the exchange of sophisticated human tissue products. We use organoid technology, a cutting-edge stem cell technology that enables the cultivation of 'mini-organs' in a dish, as an example. First, we examine the moral value of organoids and recognise them as hybrids that relate to persons and their bodies as well as to technologies and markets in ambiguous ways. Second, we show that commercialisation of organoids is legitimised by a detachment of the instrumental and commercial value of organoids from their associations with persons and their bodies. This detachment is enacted in steps of disentanglement, among which consent and commodification. Third, we contend that far-reaching disentanglement is ethically challenging: (1) Societal interests could be put under pressure, because the rationale for commercialising organoid technology, that is, to stimulate biomedical innovation for the good of society, may not be fulfilled; (2) The interests of donors are made subordinate to those of third parties and the relational moral value of organoids may be insufficiently recognised. Fourth, we propose a 'consent for governance' model that contributes to responsible innovation and clinical translation in this exciting field.</t>
  </si>
  <si>
    <t>Strategies for intrapartum foetal surveillance in low- and middle-income countries: A systematic review.</t>
  </si>
  <si>
    <t>Housseine, Natasha; Punt, Marieke C; Browne, Joyce L; Meguid, Tarek; Klipstein-Grobusch, Kerstin; Kwast, Barbara E; Franx, Arie; Grobbee, Diederick E; Rijken, Marcus J</t>
  </si>
  <si>
    <t>https://pubmed.ncbi.nlm.nih.gov/30365564</t>
  </si>
  <si>
    <t>The majority of the five million perinatal deaths worldwide take place in low-resource settings. In contrast to high-resource settings, almost 50% of stillbirths occur intrapartum. The aim of this study was to synthesise available evidence of strategies for foetal surveillance in low-resource settings and associated neonatal and maternal outcomes, including barriers to their implementation. The review was registered with Prospero (CRD42016038679). Five databases were searched up to May 1st, 2016 for studies related to intrapartum foetal monitoring strategies and neonatal outcomes in low-resource settings. Two authors extracted data and assessed the risk of bias for each study. The outcomes were narratively synthesised. Strengths, weaknesses, opportunities and threats analysis (SWOT) was conducted for each monitoring technique to analyse their implementation. There were 37 studies included: five intervention and 32 observational studies. Use of the partograph improved perinatal outcomes. Intermittent auscultation with Pinard was associated with lowest rates of caesarean sections (10-15%) but with comparable perinatal outcomes to hand-held Doppler and Cardiotocography (CTG). CTG was associated with the highest rates of caesarean sections (28-34%) without proven benefits for perinatal outcome. Several tests on admission (admission tests) and adjunctive tests including foetal stimulation tests improved the accuracy of foetal heart rate monitoring in predicting adverse perinatal outcomes. From the available evidence, the partograph is associated with improved perinatal outcomes and is recommended for use with intermittent auscultation for intrapartum monitoring in low resource settings. CTG is associated with higher caesarean section rates without proven benefits for perinatal outcomes, and should not be recommended in low-resource settings. High-quality evidence considering implementation barriers and enablers is needed to determine the optimal foetal monitoring strategy in low-resource settings.</t>
  </si>
  <si>
    <t>Comparing Arabidopsis receptor kinase and receptor protein-mediated immune signaling reveals BIK1-dependent differences.</t>
  </si>
  <si>
    <t>Wan, Wei-Lin; Zhang, Lisha; Pruitt, Rory; Zaidem, Maricris; Brugman, Rik; Ma, Xiyu; Krol, Elzbieta; Perraki, Artemis; Kilian, Joachim; Grossmann, Guido; Stahl, Mark; Shan, Libo; Zipfel, Cyril; van Kan, Jan A L; Hedrich, Rainer; Weigel, Detlef; Gust, Andrea A; Nürnberger, Thorsten</t>
  </si>
  <si>
    <t>the new phytologist</t>
  </si>
  <si>
    <t>https://pubmed.ncbi.nlm.nih.gov/30252144</t>
  </si>
  <si>
    <t>Pattern recognition receptors (PRRs) sense microbial patterns and activate innate immunity against attempted microbial invasions. The leucine-rich repeat receptor kinases (LRR-RK) FLS2 and EFR, and the LRR receptor protein (LRR-RP) receptors RLP23 and RLP42, respectively, represent prototypical members of these two prominent and closely related PRR families. We conducted a survey of Arabidopsis thaliana immune signaling mediated by these receptors to address the question of commonalities and differences between LRR-RK and LRR-RP signaling. Quantitative differences in timing and amplitude were observed for several early immune responses, with RP-mediated responses typically being slower and more prolonged than those mediated by RKs. Activation of RLP23, but not FLS2, induced the production of camalexin. Transcriptomic analysis revealed that RLP23-regulated genes represent only a fraction of those genes differentially expressed upon FLS2 activation. Several positive and negative regulators of FLS2-signaling play similar roles in RLP23 signaling. Intriguingly, the cytoplasmic receptor kinase BIK1, a positive regulator of RK signaling, acts as a negative regulator of RP-type immune receptors in a manner dependent on BIK1 kinase activity. Our study unveiled unexpected differences in two closely related receptor systems and reports a new negative role of BIK1 in plant immunity.</t>
  </si>
  <si>
    <t>Overinterpretation and misreporting of prognostic factor studies in oncology: a systematic review.</t>
  </si>
  <si>
    <t>Kempf, Emmanuelle; de Beyer, Jennifer A; Cook, Jonathan; Holmes, Jane; Mohammed, Seid; Nguyên, Tri-Long; Simera, Iveta; Trivella, Marialena; Altman, Douglas G; Hopewell, Sally; Moons, Karel G M; Porcher, Raphael; Reitsma, Johannes B; Sauerbrei, Willi; Collins, Gary S</t>
  </si>
  <si>
    <t>https://pubmed.ncbi.nlm.nih.gov/30353050</t>
  </si>
  <si>
    <t>Cancer prognostic biomarkers have shown disappointing clinical applicability. The objective of this study was to classify and estimate how study results are overinterpreted and misreported in prognostic factor studies in oncology. This systematic review focused on 17 oncology journals with an impact factor above 7. PubMed was searched for primary clinical studies published in 2015, evaluating prognostic factors. We developed a classification system, focusing on three domains: misleading reporting (selective, incomplete reporting, misreporting), misleading interpretation (unreliable statistical analysis, spin) and misleading extrapolation of the results (claiming irrelevant clinical applicability, ignoring uncertainty). Our search identified 10,844 articles. The 98 studies included investigated a median of two prognostic factors (Q1-Q3, 1-7). The prognostic factors' effects were selectively and incompletely reported in 35/98 and 24/98 full texts, respectively. Twenty-nine articles used linguistic spin in the form of strong statements. Linguistic spin rejecting non-significant results was found in 34 full-text results and 15 abstract results sections. One in five articles had discussion and/or abstract conclusions that were inconsistent with the study findings. Sixteen reports had discrepancies between their full-text and abstract conclusions. Our study provides evidence of frequent overinterpretation of findings of prognostic factor assessment in high-impact medical oncology journals.</t>
  </si>
  <si>
    <t>Circulating Phylloquinone Concentrations and Risk of Type 2 Diabetes: A Mendelian Randomization Study.</t>
  </si>
  <si>
    <t>Zwakenberg, Sabine R; Remmelzwaal, Sharon; Beulens, Joline W J; Booth, Sarah L; Burgess, Stephen; Dashti, Hassan S; Imamura, Fumiaki; Feskens, Edith J M; van der Schouw, Yvonne T; Sluijs, Ivonne</t>
  </si>
  <si>
    <t>https://pubmed.ncbi.nlm.nih.gov/30352877</t>
  </si>
  <si>
    <t>This study investigated the causal relation between circulating phylloquinone (vitamin K&lt;sub&gt;1&lt;/sub&gt;) concentrations and type 2 diabetes by using a Mendelian randomization (MR) approach. We used data from three studies: the European Prospective Investigation into Cancer and Nutrition (EPIC)-InterAct case-cohort study, Diabetes Genetics Replication and Meta-analysis (DIAGRAM), and the UK Biobank, resulting in 69,647 subjects with type 2 diabetes. We calculated a weighted genetic risk score including four genetic variants previously found to be associated with circulating phylloquinone concentrations. Inverse-variance weighted analysis was used to obtain a risk ratio (RR) for the causal relation between circulating phylloquinone concentrations and risk of type 2 diabetes. Presence of pleiotropy and the robustness of the results were assessed using MR-Egger and weighted-median analyses. Genetically predicted concentrations of circulating phylloquinone were associated with lower risk of type 2 diabetes with an RR of 0.93 (95% CI 0.89; 0.97) per every natural logarithm (Ln)-nmol/L-unit increase in circulating phylloquinone. The MR-Egger and weighted median analyses showed RRs of 0.94 (0.86; 1.02) and 0.93 (0.88; 0.98), respectively, indicating no pleiotropy. In conclusion, our study supports that higher circulating phylloquinone may be causally related with lower risk of type 2 diabetes, highlighting the importance of sufficient phylloquinone in the human diet.</t>
  </si>
  <si>
    <t>Minimum sample size for developing a multivariable prediction model: Part I - Continuous outcomes.</t>
  </si>
  <si>
    <t>Riley, Richard D; Snell, Kym I E; Ensor, Joie; Burke, Danielle L; Harrell, Frank E; Moons, Karel G M; Collins, Gary S</t>
  </si>
  <si>
    <t>https://pubmed.ncbi.nlm.nih.gov/30347470</t>
  </si>
  <si>
    <t>In the medical literature, hundreds of prediction models are being developed to predict health outcomes in individuals. For continuous outcomes, typically a linear regression model is developed to predict an individual's outcome value conditional on values of multiple predictors (covariates). To improve model development and reduce the potential for overfitting, a suitable sample size is required in terms of the number of subjects (n) relative to the number of predictor parameters (p) for potential inclusion. We propose that the minimum value of n should meet the following four key criteria: (i) small optimism in predictor effect estimates as defined by a global shrinkage factor of ≥0.9; (ii) small absolute difference of ≤ 0.05 in the apparent and adjusted R&lt;sup&gt;2&lt;/sup&gt; ; (iii) precise estimation (a margin of error ≤ 10% of the true value) of the model's residual standard deviation; and similarly, (iv) precise estimation of the mean predicted outcome value (model intercept). The criteria require prespecification of the user's chosen p and the model's anticipated R&lt;sup&gt;2&lt;/sup&gt; as informed by previous studies. The value of n that meets all four criteria provides the minimum sample size required for model development. In an applied example, a new model to predict lung function in African-American women using 25 predictor parameters requires at least 918 subjects to meet all criteria, corresponding to at least 36.7 subjects per predictor parameter. Even larger sample sizes may be needed to additionally ensure precise estimates of key predictor effects, especially when important categorical predictors have low prevalence in certain categories.</t>
  </si>
  <si>
    <t>Receptor activator of nuclear factor kB ligand, osteoprotegerin, and risk of death following a breast cancer diagnosis: results from the EPIC cohort.</t>
  </si>
  <si>
    <t>Sarink, Danja; Schock, Helena; Johnson, Theron; Chang-Claude, Jenny; Overvad, Kim; Olsen, Anja; Tjønneland, Anne; Arveux, Patrick; Fournier, Agnès; Kvaskoff, Marina; Boeing, Heiner; Karakatsani, Anna; Trichopoulou, Antonia; La Vecchia, Carlo; Masala, Giovanna; Agnoli, Claudia; Panico, Salvatore; Tumino, Rosario; Sacerdote, Carlotta; van Gils, Carla H; Peeters, Petra H M; Weiderpass, Elisabete; Agudo, Antonio; Rodríguez-Barranco, Miguel; Huerta, José María; Ardanaz, Eva; Gil, Leire; Kaw, Kay Tee; Schmidt, Julie A; Dossus, Laure; His, Mathilde; Aune, Dagfinn; Riboli, Elio; Kaaks, Rudolf; Fortner, Renée T</t>
  </si>
  <si>
    <t>https://pubmed.ncbi.nlm.nih.gov/30348163</t>
  </si>
  <si>
    <t>Receptor activator of nuclear factor kappa-B (RANK)-signaling is involved in tumor growth and spread in experimental models. Binding of RANK ligand (RANKL) to RANK activates signaling, which is inhibited by osteoprotegerin (OPG). We have previously shown that circulating soluble RANKL (sRANKL) and OPG are associated with breast cancer risk. Here we extend these findings to provide the first data on pre-diagnosis concentrations of sRANKL and OPG and risk of breast cancer-specific and overall mortality after a breast cancer diagnosis. Two thousand six pre- and postmenopausal women with incident invasive breast cancer (1620 (81%) with ER+ disease) participating in the European Prospective Investigation into Cancer and Nutrition (EPIC) cohort were followed-up for mortality. Pre-diagnosis concentrations of sRANKL and OPG were quantified in baseline serum samples using an enzyme-linked immunosorbent assay and electrochemiluminescent assay, respectively. Hazard ratios (HRs) and 95% confidence intervals (CIs) for breast cancer-specific and overall mortality were calculated using Cox proportional hazards regression models. Especially in women with ER+ disease, higher circulating OPG concentrations were associated with higher risk of breast cancer-specific (quintile 5 vs 1 HR 1.77 [CI 1.03, 3.04]; p&lt;sub&gt;trend&lt;/sub&gt; 0.10) and overall mortality (q5 vs 1 HR 1.39 [CI 0.94, 2.05]; p&lt;sub&gt;trend&lt;/sub&gt; 0.02). sRANKL and the sRANKL/OPG ratio were not associated with mortality following a breast cancer diagnosis. High pre-diagnosis endogenous concentrations of OPG, the decoy receptor for RANKL, were associated with increased risk of death after a breast cancer diagnosis, especially in those with ER+ disease. These results need to be confirmed in well-characterized patient cohorts.</t>
  </si>
  <si>
    <t>Measurement of colour flow using jet-pull observables in &lt;math xmlns="http://www.w3.org/1998/Math/MathML"&gt;&lt;mrow&gt;&lt;mi&gt;t&lt;/mi&gt; &lt;mover&gt;&lt;mrow&gt;&lt;mi&gt;t&lt;/mi&gt;&lt;/mrow&gt; &lt;mrow&gt;&lt;mo&gt;¯&lt;/mo&gt;&lt;/mrow&gt; &lt;/mover&gt; &lt;/mrow&gt; &lt;/math&gt; events with the ATLAS experiment at &lt;math xmlns="http://www.w3.org/1998/Math/MathML"&gt; &lt;mrow&gt;&lt;msqrt&gt;&lt;mi&gt;s&lt;/mi&gt;&lt;/msqrt&gt; &lt;mo&gt;=&lt;/mo&gt; &lt;mn&gt;13&lt;/mn&gt; &lt;mspace&gt;&lt;/mspace&gt; &lt;mtext&gt;TeV&lt;/mtext&gt;&lt;/mrow&gt;&lt;/math&gt;.</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</si>
  <si>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Verzini, M J Alconada;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Coutinho, Y Amaral; Amelung, C; Amidei, D; Amor Dos Santos, S P; Amoroso, S; Anastopoulos, C; Ancu, L S; Andari, N; Andeen, T; Anders, C F; Anders, J K; Anderson, K J; Andreazza, A; Andrei, V; Angelidakis, S; Angelozzi, I; Angerami, A; Anisen</t>
  </si>
  <si>
    <t>https://pubmed.ncbi.nlm.nih.gov/30934029</t>
  </si>
  <si>
    <t>Previous studies have shown that weighted angular moments derived from jet constituents encode the colour connections between partons that seed the jets. This paper presents measurements of two such distributions, the jet-pull angle and jet-pull magnitude, both of which are derived from the jet-pull angular moment. The measurement is performed in &lt;math xmlns="http://www.w3.org/1998/Math/MathML"&gt;&lt;mrow&gt;&lt;mi&gt;t&lt;/mi&gt; &lt;mover&gt;&lt;mrow&gt;&lt;mi&gt;t&lt;/mi&gt;&lt;/mrow&gt; &lt;mrow&gt;&lt;mo&gt;¯&lt;/mo&gt;&lt;/mrow&gt; &lt;/mover&gt; &lt;/mrow&gt; &lt;/math&gt; events with one leptonically decaying &lt;i&gt;W&lt;/i&gt; boson and one hadronically decaying &lt;i&gt;W&lt;/i&gt; boson, using &lt;math xmlns="http://www.w3.org/1998/Math/MathML"&gt;&lt;mrow&gt;&lt;mn&gt;36.1&lt;/mn&gt; &lt;mspace&gt;&lt;/mspace&gt; &lt;msup&gt;&lt;mtext&gt;fb&lt;/mtext&gt; &lt;mrow&gt;&lt;mo&gt;-&lt;/mo&gt; &lt;mn&gt;1&lt;/mn&gt;&lt;/mrow&gt; &lt;/msup&gt; &lt;/mrow&gt; &lt;/math&gt; of &lt;i&gt;pp&lt;/i&gt; collision data recorded by the ATLAS detector at &lt;math xmlns="http://www.w3.org/1998/Math/MathML"&gt; &lt;mrow&gt;&lt;msqrt&gt;&lt;mi&gt;s&lt;/mi&gt;&lt;/msqrt&gt; &lt;mo&gt;=&lt;/mo&gt; &lt;mn&gt;13&lt;/mn&gt; &lt;mspace&gt;&lt;/mspace&gt; &lt;mtext&gt;TeV&lt;/mtext&gt;&lt;/mrow&gt; &lt;/math&gt; delivered by the Large Hadron Collider. The observables are measured for two dijet systems, corresponding to the colour-connected daughters of the &lt;i&gt;W&lt;/i&gt; boson and the two &lt;i&gt;b&lt;/i&gt;-jets from the top-quark decays, which are not expected to be colour connected. To allow the comparison of the measured distributions to colour model predictions, the measured distributions are unfolded to particle level, after correcting for experimental effects introduced by the detector. While good agreement can be found for some combinations of predictions and observables, none of the predictions describes the data well across all observables.</t>
  </si>
  <si>
    <t>Consumption of individual saturated fatty acids and the risk of myocardial infarction in a UK and a Danish cohort.</t>
  </si>
  <si>
    <t>Praagman, Jaike; Vissers, Linda E T; Mulligan, Angela A; Laursen, Anne Sofie Dam; Beulens, Joline W J; van der Schouw, Yvonne T; Wareham, Nicholas J; Hansen, Camilla Plambeck; Khaw, Kay-Tee; Jakobsen, Marianne Uhre; Sluijs, Ivonne</t>
  </si>
  <si>
    <t>https://pubmed.ncbi.nlm.nih.gov/30482628</t>
  </si>
  <si>
    <t>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The results from the present study suggest that the association between SFA and MI risk depends on the carbon chain-length of the SFA.</t>
  </si>
  <si>
    <t>How the CIOMS guidelines contribute to fair inclusion of pregnant women in research.</t>
  </si>
  <si>
    <t>van der Graaf, Rieke; van der Zande, Indira S E; van Delden, Johannes J M</t>
  </si>
  <si>
    <t>https://pubmed.ncbi.nlm.nih.gov/30341918</t>
  </si>
  <si>
    <t>As early as 2002, CIOMS stated that pregnant women should be presumed eligible for participation in research. Despite this position and calls of other well-recognized organizations, the health needs of pregnant women in research remain grossly under-researched. Although the presumption of eligibility remains unchanged, the revision of the 2002 CIOMS International ethical guidelines for biomedical research involving human subjects involved a substantive rewrite of the guidance on research with pregnant women and related guidelines, such as those on fair inclusion and vulnerability. However, close reading of the guidelines reveals morally relevant different approaches to fair inclusion of pregnant women and other under-represented groups, such as children and incompetents. Where CIOMS sets out that children and adolescents must be included unless a good scientific reason justifies their exclusion, no such claim of having to justify exclusion appears in the guideline on pregnant women. Instead, CIOMS claims that research relevant to pregnant women's health needs must be promoted. This paper analyses how and to what extent the guideline on pregnant women differs from other guidance on fair inclusion in the document. Accordingly, the paper evaluates to what extent the current phrasing may contribute to fair inclusion of pregnant women in research. We will conclude that a system change towards a learning health system is essential to break down the status quo of knowledge generation in the field of medication use during pregnancy and argue that the CIOMS guidelines allow for this system change.</t>
  </si>
  <si>
    <t>DPYD genotype-guided dose individualisation of fluoropyrimidine therapy in patients with cancer: a prospective safety analysis.</t>
  </si>
  <si>
    <t>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t>
  </si>
  <si>
    <t>https://pubmed.ncbi.nlm.nih.gov/30348537</t>
  </si>
  <si>
    <t>Fluoropyrimidine treatment can result in severe toxicity in up to 30% of patients and is often the result of reduced activity of the key metabolic enzyme dihydropyrimidine dehydrogenase (DPD), mostly caused by genetic variants in the gene encoding DPD (DPYD). We assessed the effect of prospective screening for the four most relevant DPYD variants (DPYD*2A [rs3918290, c.1905+1G&gt;A, IVS14+1G&gt;A], c.2846A&gt;T [rs67376798, D949V], c.1679T&gt;G [rs55886062, DPYD*13, I560S], and c.1236G&gt;A [rs56038477, E412E, in haplotype B3]) on patient safety and subsequent DPYD genotype-guided dose individualisation in daily clinical care. In this prospective, multicentre, safety analysis in 17 hospitals in the Netherlands, the study population consisted of adult patients (≥18 years) with cancer who were intended to start on a fluoropyrimidine-based anticancer therapy (capecitabine or fluorouracil as single agent or in combination with other chemotherapeutic agents or radiotherapy). Patients with all tumour types for which fluoropyrimidine-based therapy was considered in their best interest were eligible. We did prospective genotyping for DPYD*2A, c.2846A&gt;T, c.1679T&gt;G, and c.1236G&gt;A. Heterozygous DPYD variant allele carriers received an initial dose reduction of 25% (c.2846A&gt;T and c.1236G&gt;A) or 50% (DPYD*2A and c.1679T&gt;G), and DPYD wild-type patients were treated according to the current standard of care. The primary endpoint of the study was the frequency of severe (National Cancer Institute Common Terminology Criteria for Adverse Events version 4.03 grade ≥3) overall fluoropyrimidine-related toxicity across the entire treatment duration. We compared toxicity incidence between DPYD variant allele carriers and DPYD wild-type patients on an intention-to-treat basis, and relative risks (RRs) for severe toxicity were compared between the current study and a historical cohort of DPYD variant allele carriers treated with full dose fluoropyrimidine-based therapy (derived from a previously published meta-analysis). This trial is registered with ClinicalTrials.gov, number NCT02324452, and is complete. Between April 30, 2015, and Dec 21, 2017, we enrolled 1181 patients. 78 patients were considered non-evaluable, because they were retrospectively identified as not meeting inclusion criteria, did not start fluoropyrimidine-based treatment, or were homozygous or compound heterozygous DPYD variant allele carriers. Of 1103 evaluable patients, 85 (8%) were heterozygous DPYD variant allele carriers, and 1018 (92%) were DPYD wild-type patients. Overall, fluoropyrimidine-related severe toxicity was higher in DPYD variant carriers (33 [39%] of 85 patients) than in wild-type patients (231 [23%] of 1018 patients; p=0·0013). The RR for severe fluoropyrimidine-related toxicity was 1·31 (95% CI 0·63-2·73) for genotype-guided dosing compared with 2·87 (2·14-3·86) in the historical cohort for DPYD*2A carriers, no toxicity compared with 4·30 (2·10-8·80) in c.1679T&gt;G carriers, 2·00 (1·19-3·34) compared with 3·11 (2·25-4·28) for c.2846A&gt;T carriers, and 1·69 (1·18-2·42) compared with 1·72 (1·22-2·42) for c.1236G&gt;A carriers. Prospective DPYD genotyping was feasible in routine clinical practice, and DPYD genotype-based dose reductions improved patient safety of fluoropyrimidine treatment. For DPYD*2A and c.1679T&gt;G carriers, a 50% initial dose reduction was adequate. For c.1236G&gt;A and c.2846A&gt;T carriers, a larger dose reduction of 50% (instead of 25%) requires investigation. Since fluoropyrimidines are among the most commonly used anticancer agents, these findings suggest that implementation of DPYD genotype-guided individualised dosing should be a new standard of care. Dutch Cancer Society.</t>
  </si>
  <si>
    <t>National Standards for Public Involvement in Research: missing the forest for the trees.</t>
  </si>
  <si>
    <t>McCoy, Matthew S; Jongsma, Karin Rolanda; Friesen, Phoebe; Dunn, Michael; Neuhaus, Carolyn Plunkett; Rand, Leah; Sheehan, Mark</t>
  </si>
  <si>
    <t>https://pubmed.ncbi.nlm.nih.gov/30337451</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</si>
  <si>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</si>
  <si>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Medication non-adherence and blood pressure control among hypertensive migrant and non-migrant populations of sub-Saharan African origin: the RODAM study.</t>
  </si>
  <si>
    <t>Beune, Erik; Nieuwkerk, Pythia; Stronks, Karien; Meeks, Karlijn; Schulze, Matthias B; Mockenhaupt, Frank P; Danquah, Ina; Klipstein-Grobusch, Kerstin; Agyei-Baffour, Peter; Spranger, Joachim; Addo, Juliet; Smeeth, Liam; Agyemang, Charles</t>
  </si>
  <si>
    <t>https://pubmed.ncbi.nlm.nih.gov/30323204</t>
  </si>
  <si>
    <t>Large differences in blood pressure (BP) control rates have been observed between sub-Saharan African migrant populations in Europe compared to their counterparts living in Africa. Our main objective was to investigate whether inter-geographical differences in BP control rates can be explained by differences in medication non-adherence. Additionally, we studied the prevalence of medication non-adherence and associations between medication non-adherence, socio-demographic-related, clinical/treatment-related, lifestyle factors, and experienced stress on the one hand and BP control on the other hand. We used data from the multi-center RODAM (Research on Obesity and Diabetes Among African Migrants) study, from Ghanaians receiving antihypertensive therapy and residing in three European countries versus non-migrants residing in rural and urban Ghana (n = 1303). Bivariate and multivariate logistic regression analyses stratified by sex were applied. We found inter-geographical differences in BP control rates among Ghanaian males but not among females. Ghanaian males residing in Amsterdam and Berlin had not only the lowest BP control rates but also the lowest rates of medication non-adherence. Inter-geographical differences in BP control rates among males became therefore more pronounced after adjustment for medication adherence. Medication non-adherence was significantly and independently associated with suboptimal BP control in males and females. Other factors associated with suboptimal BP control in females were a higher number of prescribed antihypertensives, higher fasting glucose levels, and pregnancy-induced diabetes. When adjusted for medication non-adherence and socio-demographic-, clinical/treatment-, lifestyle-, and stress-related factors, inter-geographical differences in BP control in males disappeared, except for Berlin. In conclusion, the observed inter-geographical differences in BP control rates in Ghanaian males cannot be explained by differences in medication non-adherence.</t>
  </si>
  <si>
    <t>Probing the Quantum Interference between Singly and Doubly Resonant Top-Quark Production in pp Collisions at sqrt[s]=13  TeV with the ATLAS Detector.</t>
  </si>
  <si>
    <t>https://pubmed.ncbi.nlm.nih.gov/30362803</t>
  </si>
  <si>
    <t>This Letter presents a normalized differential cross-section measurement in a fiducial phase-space region where interference effects between top-quark pair production and associated production of a single top quark with a W boson and a b-quark are significant. Events with exactly two leptons (ee, μμ, or eμ) and two b-tagged jets that satisfy a multiparticle invariant mass requirement are selected from 36.1  fb^{-1} of proton-proton collision data taken at sqrt[s]=13  TeV with the ATLAS detector at the LHC in 2015 and 2016. The results are compared with predictions from simulations using various strategies for the interference. The standard prescriptions for interference modeling are significantly different from each other but are within 2σ of the data. State-of-the-art predictions that naturally incorporate interference effects provide the best description of the data in the measured region of phase space most sensitive to these effects. These results provide an important constraint on interference models and will guide future model development and tuning.</t>
  </si>
  <si>
    <t>Integrating omics datasets with the OmicsPLS package.</t>
  </si>
  <si>
    <t>Bouhaddani, Said El; Uh, Hae-Won; Jongbloed, Geurt; Hayward, Caroline; Klarić, Lucija; Kiełbasa, Szymon M; Houwing-Duistermaat, Jeanine</t>
  </si>
  <si>
    <t>https://pubmed.ncbi.nlm.nih.gov/30309317</t>
  </si>
  <si>
    <t>With the exponential growth in available biomedical data, there is a need for data integration methods that can extract information about relationships between the data sets. However, these data sets might have very different characteristics. For interpretable results, data-specific variation needs to be quantified. For this task, Two-way Orthogonal Partial Least Squares (O2PLS) has been proposed. To facilitate application and development of the methodology, free and open-source software is required. However, this is not the case with O2PLS. We introduce OmicsPLS, an open-source implementation of the O2PLS method in R. It can handle both low- and high-dimensional datasets efficiently. Generic methods for inspecting and visualizing results are implemented. Both a standard and faster alternative cross-validation methods are available to determine the number of components. A simulation study shows good performance of OmicsPLS compared to alternatives, in terms of accuracy and CPU runtime. We demonstrate OmicsPLS by integrating genetic and glycomic data. We propose the OmicsPLS R package: a free and open-source implementation of O2PLS for statistical data integration. OmicsPLS is available at https://cran.r-project.org/package=OmicsPLS and can be installed in R via install.packages("OmicsPLS").</t>
  </si>
  <si>
    <t>Assessment of Lung Cancer Risk on the Basis of a Biomarker Panel of Circulating Proteins.</t>
  </si>
  <si>
    <t>,; Guida, Florence; Sun, Nan; Bantis, Leonidas E; Muller, David C; Li, Peng; Taguchi, Ayumu; Dhillon, Dilsher; Kundnani, Deepali L; Patel, Nikul J; Yan, Qingxiang; Byrnes, Graham; Moons, Karel G M; Tjønneland, Anne; Panico, Salvatore; Agnoli, Claudia; Vineis, Paolo; Palli, Domenico; Bueno-de-Mesquita, Bas; Peeters, Petra H; Agudo, Antonio; Huerta, Jose M; Dorronsoro, Miren; Barranco, Miguel Rodriguez; Ardanaz, Eva; Travis, Ruth C; Byrne, Karl Smith; Boeing, Heiner; Steffen, Annika; Kaaks, Rudolf; Hüsing, Anika; Trichopoulou, Antonia; Lagiou, Pagona; La Vecchia, Carlo; Severi, Gianluca; Boutron-Ruault, Marie-Christine; Sandanger, Torkjel M; Weiderpass, Elisabete; Nøst, Therese H; Tsilidis, Kostas; Riboli, Elio; Grankvist, Kjell; Johansson, Mikael; Goodman, Gary E; Feng, Ziding; Brennan, Paul; Johansson, Mattias; Hanash, Samir M</t>
  </si>
  <si>
    <t>https://pubmed.ncbi.nlm.nih.gov/30003238</t>
  </si>
  <si>
    <t>There is an urgent need to improve lung cancer risk assessment because current screening criteria miss a large proportion of cases. To investigate whether a lung cancer risk prediction model based on a panel of selected circulating protein biomarkers can outperform a traditional risk prediction model and current US screening criteria. Prediagnostic samples from 108 ever-smoking patients with lung cancer diagnosed within 1 year after blood collection and samples from 216 smoking-matched controls from the Carotene and Retinol Efficacy Trial (CARET) cohort were used to develop a biomarker risk score based on 4 proteins (cancer antigen 125 [CA125], carcinoembryonic antigen [CEA], cytokeratin-19 fragment [CYFRA 21-1], and the precursor form of surfactant protein B [Pro-SFTPB]). The biomarker score was subsequently validated blindly using absolute risk estimates among 63 ever-smoking patients with lung cancer diagnosed within 1 year after blood collection and 90 matched controls from 2 large European population-based cohorts, the European Prospective Investigation into Cancer and Nutrition (EPIC) and the Northern Sweden Health and Disease Study (NSHDS). Model validity in discriminating between future lung cancer cases and controls. Discrimination estimates were weighted to reflect the background populations of EPIC and NSHDS validation studies (area under the receiver-operating characteristics curve [AUC], sensitivity, and specificity). In the validation study of 63 ever-smoking patients with lung cancer and 90 matched controls (mean [SD] age, 57.7 [8.7] years; 68.6% men) from EPIC and NSHDS, an integrated risk prediction model that combined smoking exposure with the biomarker score yielded an AUC of 0.83 (95% CI, 0.76-0.90) compared with 0.73 (95% CI, 0.64-0.82) for a model based on smoking exposure alone (P = .003 for difference in AUC). At an overall specificity of 0.83, based on the US Preventive Services Task Force screening criteria, the sensitivity of the integrated risk prediction (biomarker) model was 0.63 compared with 0.43 for the smoking model. Conversely, at an overall sensitivity of 0.42, based on the US Preventive Services Task Force screening criteria, the integrated risk prediction model yielded a specificity of 0.95 compared with 0.86 for the smoking model. This study provided a proof of principle in showing that a panel of circulating protein biomarkers may improve lung cancer risk assessment and may be used to define eligibility for computed tomography screening.</t>
  </si>
  <si>
    <t>Implementing systematic reviews of prognosis studies in Cochrane.</t>
  </si>
  <si>
    <t>Moons, Karel Gm; Hooft, Lotty; Williams, Katrina; Hayden, Jill A; Damen, Johanna Aag; Riley, Richard D</t>
  </si>
  <si>
    <t>https://pubmed.ncbi.nlm.nih.gov/30306538</t>
  </si>
  <si>
    <t>Matching the model with the evidence: comparing discrete event simulation and state-transition modeling for time-to-event predictions in a cost-effectiveness analysis of treatment in metastatic colorectal cancer patients.</t>
  </si>
  <si>
    <t>Degeling, Koen; Franken, Mira D; May, Anne M; van Oijen, Martijn G H; Koopman, Miriam; Punt, Cornelis J A; IJzerman, Maarten J; Koffijberg, Hendrik</t>
  </si>
  <si>
    <t>https://pubmed.ncbi.nlm.nih.gov/30317148</t>
  </si>
  <si>
    <t>Individual patient data, e.g. from clinical trials, often need to be extrapolated or combined with additional evidence when assessing long-term impact in cost-effectiveness modeling studies. Different modeling methods can be used to represent the complex dynamics of clinical practice; the choice of which may impact cost-effectiveness outcomes. We compare the use of a previously designed cohort discrete-time state-transition model (DT-STM) with a discrete event simulation (DES) model. The original DT-STM was replicated and a DES model developed using AnyLogic software. Models were populated using individual patient data of a phase III study in metastatic colorectal cancer patients, and compared based on their evidence structure, internal validity, and cost-effectiveness outcomes. The DT-STM used time-dependent transition probabilities, whereas the DES model was populated using parametric distributions. The estimated time-dependent transition probabilities for the DT-STM were irregular and more sensitive to single events due to the required small cycle length and limited number of event observations, whereas parametric distributions resulted in smooth time-to-event curves for the DES model. Although the DT-STM and DES model both yielded similar time-to-event curves, the DES model represented the trial data more accurately in terms of mean health-state durations. The incremental cost-effectiveness ratio (ICER) was €172,443 and €168,383 per Quality Adjusted Life Year gained for the DT-STM and DES model, respectively. DES represents time-to-event data from clinical trials more naturally and accurately than DT-STM when few events are observed per time cycle. As a consequence, DES is expected to yield a more accurate ICER.</t>
  </si>
  <si>
    <t>Matrix Gla Protein, Plaque Stability, and Cardiovascular Events in Patients with Severe Atherosclerotic Disease.</t>
  </si>
  <si>
    <t>Zwakenberg, Sabine R; van der Schouw, Yvonne T; Vermeer, Cees; Pasterkamp, Gerard; den Ruijter, Hester M; Beulens, Joline W J</t>
  </si>
  <si>
    <t>cardiology</t>
  </si>
  <si>
    <t>https://pubmed.ncbi.nlm.nih.gov/30304721</t>
  </si>
  <si>
    <t>This study aims to investigate whether plasma matrix Gla protein (MGP) species, desphospho-uncarboxylated (dp-uc) MGP, and total uncarboxylated (t-uc) MGP are associated with plaque levels of uncarboxylated (uc) MGP, markers of plaque stability, and cardiovascular disease (CVD) risk. From the Athero-Express biobank, we selected carotid plaque samples of 100 patients who underwent carotid endarterectomy. The level of agreement between plasma MGP species and plaque ucMGP levels was assessed using weighted kappa (κ). We analyzed histological characteristics of plaque composition (plaque hemorrhage, lipid and calcification content). Logistic regression analyses were used to assess the association between plasma MGP and plaque characteristics. Furthermore, CVD endpoints (n = 20) were collected over a mean follow-up of 2.6 years. Weighted κ statistics of plasma dp-ucMGP and t-ucMGP and plaque ucMGP were 0.10 (95% CI -0.31 to 0.52) and 0.14 (95% CI -0.20 to 0.48). Higher dp-ucMGP levels tended to be associated with less plaque hemorrhage (ORper 500 nM 0.96; 95% CI 0.92-1.00). No association was found for lipid and calcification content. Cox proportional hazards models showed no association between dp-ucMGP (HRper 200 pM 0.92; 95% CI 0.75-1.11) and an inverse association between t-ucMGP (HRper 500 nM 0.79; 95% CI 0.62-0.99) and cardiovascular events. Plasma dp-ucMGP and t-ucMGP concentrations do not reflect plaque ucMGP levels. Elevated dp-ucMGP levels may be associated with less plaque hemorrhage, suggestive of more stable plaques. T-ucMGP was not related with markers of plaque stability; however, elevated plasma t-ucMGP levels were associated with a reduced CVD risk.</t>
  </si>
  <si>
    <t>Two high-risk susceptibility loci at 6p25.3 and 14q32.13 for Waldenström macroglobulinemia.</t>
  </si>
  <si>
    <t>McMaster, Mary L; Berndt, Sonja I; Zhang, Jianqing; Slager, Susan L; Li, Shengchao Alfred; Vajdic, Claire M; Smedby, Karin E; Yan, Huihuang; Birmann, Brenda M; Brown, Elizabeth E; Smith, Alex; Kleinstern, Geffen; Fansler, Mervin M; Mayr, Christine; Zhu, Bin; Chung, Charles C; Park, Ju-Hyun; Burdette, Laurie; Hicks, Belynda D; Hutchinson, Amy; Teras, Lauren R; Adami, Hans-Olov; Bracci, Paige M; McKay, James; Monnereau, Alain; Link, Brian K; Vermeulen, Roel C H; Ansell, Stephen M; Maria, Ann; Diver, W Ryan; Melbye, Mads; Ojesina, Akinyemi I; Kraft, Peter; Boffetta, Paolo; Clavel, Jacqueline; Giovannucci, Edward; Besson, Caroline M; Canzian, Federico; Travis, Ruth C; Vineis, Paolo; Weiderpass, Elisabete; Montalvan, Rebecca; Wang, Zhaoming; Yeager, Meredith; Becker, Nikolaus; Benavente, Yolanda; Brennan, Paul; Foretova, Lenka; Maynadie, Marc; Nieters, Alexandra; de Sanjose, Silvia; Staines, Anthony; Conde, Lucia; Riby, Jacques; Glimelius, Bengt; Hjalgrim, Henrik; Pradhan, Nisha; Feldman, A</t>
  </si>
  <si>
    <t>https://pubmed.ncbi.nlm.nih.gov/30305637</t>
  </si>
  <si>
    <t>Waldenström macroglobulinemia (WM)/lymphoplasmacytic lymphoma (LPL) is a rare, chronic B-cell lymphoma with high heritability. We conduct a two-stage genome-wide association study of WM/LPL in 530 unrelated cases and 4362 controls of European ancestry and identify two high-risk loci associated with WM/LPL at 6p25.3 (rs116446171, near EXOC2 and IRF4; OR = 21.14, 95% CI: 14.40-31.03, P = 1.36 × 10&lt;sup&gt;-54&lt;/sup&gt;) and 14q32.13 (rs117410836, near TCL1; OR = 4.90, 95% CI: 3.45-6.96, P = 8.75 × 10&lt;sup&gt;-19&lt;/sup&gt;). Both risk alleles are observed at a low frequency among controls (~2-3%) and occur in excess in affected cases within families. In silico data suggest that rs116446171 may have functional importance, and in functional studies, we demonstrate increased reporter transcription and proliferation in cells transduced with the 6p25.3 risk allele. Although further studies are needed to fully elucidate underlying biological mechanisms, together these loci explain 4% of the familial risk and provide insights into genetic susceptibility to this malignancy.</t>
  </si>
  <si>
    <t>Aneurysm characteristics and risk of rebleeding after subarachnoid haemorrhage.</t>
  </si>
  <si>
    <t>Koopman, Inez; Greving, Jacoba P; van der Schaaf, Irene C; van der Zwan, Albert; Rinkel, Gabriel Je; Vergouwen, Mervyn DI</t>
  </si>
  <si>
    <t>https://pubmed.ncbi.nlm.nih.gov/31259263</t>
  </si>
  <si>
    <t>Knowledge of risk factors for rebleeding after aneurysmal subarachnoid haemorrhage can help tailoring ultra-early aneurysm treatment. Previous studies have identified aneurysm size and various patient-related risk factors for early (≤24 h) rebleeding, but it remains unknown if aneurysm configuration is also a risk factor. We investigated whether irregular shape, aspect- and bottleneck ratio of the aneurysm are independent risk factors for early rebleeding after aneurysmal subarachnoid haemorrhage. From a prospectively collected institutional database, we investigated data from consecutive aneurysmal subarachnoid haemorrhage patients who were admitted ≤24 h after onset between December 2009 and January 2015. The admission computed tomographic angiogram was used to assess aneurysm size and configuration. With Cox regression, we calculated stepwise-adjusted hazard ratios (HRs) with 95% confidence intervals (CIs) for irregular shape, aspect ratio ≥1.6 mm and bottleneck ratio ≥1.6 mm. Of 409 included patients, 34 (8%) patients had in-hospital rebleeding ≤24 h after ictus. Irregular shape was an independent risk factor for rebleeding (HR: 3.9, 95% CI: 1.3-11.3) after adjustment for age, sex, PAASH score, aneurysm location, aneurysm size and aspect- and bottleneck ratio. Aspect ratio ≥1.6 mm (HR: 2.3, 95% CI: 0.8-6.5) and bottleneck ratio ≥1.6 mm (HR: 1.7, 95% CI: 0.8-3.6) were associated with an increased risk of rebleeding, but were not independent risk factors after multivariable adjustment. Irregular shape is an independent risk factor for early rebleeding. However, since the majority of subarachnoid haemorrhage patients have an irregular aneurysm, additional risk factors have to be found for aneurysm treatment prioritisation.</t>
  </si>
  <si>
    <t>[Cholesterol-lowering drugs in the elderly. When to initiate, maintain or discontinue therapy?].</t>
  </si>
  <si>
    <t>Kleipool, Emma E F; Dorresteijn, Jannick A N; Visseren, Frank L J; Hollander, Monika; Peters, Mike J L; Muller, Majon</t>
  </si>
  <si>
    <t>https://pubmed.ncbi.nlm.nih.gov/30358363</t>
  </si>
  <si>
    <t>The risk of cardiovascular disease (CVD) can be reduced by lowering cholesterol, even at old age. However, there is a large spread in the level of risk of CVD in the elderly. Competing risks, time-to-benefit of the medication in relation to patient life expectancy and frailty must be taken into account when deciding whether or not to prescribe a cholesterol-lowering drug. When estimating cardiovascular risk in the elderly, one should use an age-adjusted individualized risk score that takes into account competing risks. In the case of energetic elderly people without vascular disease, one should start with cholesterol-lowering drugs only if they have a high risk of cardiovascular morbidity, for example, because of diabetes mellitus or very high blood pressure. Cholesterol-lowering drugs should not be prescribed to frail elderly people without vascular disease. A cholesterol-lowering drug should be started or continued in elderly patients with vascular disease. It should be stopped in case of unpleasant side effects or if life expectancy is no more than 1 to 2 years.</t>
  </si>
  <si>
    <t>Perceptions of patients with chronic obstructive pulmonary disease and their health care providers towards using mHealth for self-management of exacerbations: a qualitative study.</t>
  </si>
  <si>
    <t>Korpershoek, Y J G; Vervoort, S C J M; Trappenburg, J C A; Schuurmans, M J</t>
  </si>
  <si>
    <t>https://pubmed.ncbi.nlm.nih.gov/30286761</t>
  </si>
  <si>
    <t>Self-management of exacerbations in COPD patients is important to reduce exacerbation impact. There is a need for more comprehensive and individualized interventions to improve exacerbation-related self-management behavior. The use of mobile health (mHealth) could help to achieve a wide variety of behavioral goals. Understanding of patients and health care providers perspectives towards using mHealth in promoting self-management will greatly enhance the development of solutions with optimal usability and feasibility. Therefore, the aim of this study was to explore perceptions of COPD patients and their health care providers towards using mHealth for self-management of exacerbations. A qualitative study using focus group interviews with COPD patients (n = 13) and health care providers (HCPs) (n = 6) was performed to explore perceptions towards using mHealth to support exacerbation-related self-management. Data were analyzed by a thematic analysis. COPD patients and HCPs perceived mostly similar benefits and barriers of using mHealth for exacerbation-related self-management. These perceived benefits and barriers seem to be important drivers in the willingness to use mHealth. Both patients and HCPs strengthen the need for a multi-component and tailored mHealth intervention that improves patients' exacerbation-related self-management by determining their health status and providing adequate information, decision support and feedback on self-management behavior. Most importantly, patients and HCPs considered an mHealth intervention as support to improve self-management and emphasized that it should never replace patients' own feelings nor undermine their own decisions. In addition, the intervention should be complementary to regular contact with HCPs, as personal contact with a HCP was considered to be very important. To optimize engagement with mHealth, patients should have a positive attitude toward using mHealth and an mHealth intervention should be attractive, rewarding and safe. This study provided insight into perceptions of COPD patients and their HCPs towards using mHealth for self-management of exacerbations. This study points out that future mHealth interventions should focus on developing self-management skills over time by providing adequate information, decision support and feedback on self-management behavior and that mHealth should complement regular care. To optimize engagement, mHealth interventions should be attractive, rewarding, safe and tailored to the patient needs.</t>
  </si>
  <si>
    <t>Clinical evidence on haemodiafiltration.</t>
  </si>
  <si>
    <t>Blankestijn, Peter J; Grooteman, Muriel P; Nube, Menso J; Bots, Michiel L</t>
  </si>
  <si>
    <t>https://pubmed.ncbi.nlm.nih.gov/30281128</t>
  </si>
  <si>
    <t>Haemodiafiltration (HDF) combines diffusive and convective solute removal in a single treatment session. HDF provides a greater removal of higher molecular weight uraemic retention solutes than conventional high-flux haemodialysis (HD). Recently completed randomized clinical trials suggest better patient survival with online HDF. The treatment is mainly used in Europe and Japan. This review gives a brief overview of the presently available evidence of the effects of HDF on clinical end points, it speculates on possible mechanisms of a beneficial effect of HDF as compared with standard HD and ends with some perspectives for the future.</t>
  </si>
  <si>
    <t>Determinants of Gadolinium-Enhancement of the Aneurysm Wall in Unruptured Intracranial Aneurysms.</t>
  </si>
  <si>
    <t>Backes, Daan; Hendrikse, Jeroen; van der Schaaf, Irene; Algra, Ale; Lindgren, Antti E; Verweij, Bon H; Rinkel, Gabriel J E; Vergouwen, Mervyn D I</t>
  </si>
  <si>
    <t>https://pubmed.ncbi.nlm.nih.gov/29088454</t>
  </si>
  <si>
    <t>Recent studies suggest that gadolinium-enhancement of the aneurysm wall may reflect aneurysm wall inflammation, which might increase the risk of aneurysm growth or rupture. To determine the prevalence of gadolinium-enhancement and its determinants in patients with predominantly small (&lt;7 mm) unruptured intracranial aneurysms. We performed 3 T MRI aneurysm wall imaging in patients with ≥1 unruptured aneurysm. With Poisson regression analysis, we calculated crude and adjusted risk ratios (RRs) with 95% confidence intervals (CI) to assess determinants of gadolinium-enhancement. Gadolinium-enhancement was observed in 25/79 patients (32%; 95% CI: 21%-42%) and 26/89 aneurysms (29%; 95% CI: 20%-39%). With aneurysms 1.0-2.9 mm as reference, RRs were 4.6 (95% CI: 0.6-36.5) for 3.0 to 4.9 mm, 9.4 (95% CI: 1.3-67.2) for 5.0 to 6.9 mm, and 14.8 (95% CI: 2.1-104.6) for ≥7.0 mm. With internal carotid artery as reference, RRs adjusted for aneurysm size were 3.6 (95% CI: 1.1-11.4) for posterior communicating artery and 3.0 (95% CI: 1.0-8.6) for middle cerebral artery. RRs were 0.8 (95% CI: 0.4-1.8) for acetylsalicylic acid use, 0.9 (95% CI: 0.5-1.8) for statin use, 1.4 (95% CI: 0.7-2.8) for hypertension, 0.9 (95% CI: 0.4-1.8) for previous smoking, 0.9 (95% CI: 0.3-2.6) for never smoking, and 1.4 (95% CI: 0.7-2.7) for irregular aneurysm shape. Approximately one-third of patients had gadolinium-enhancement. Because aneurysm size is the strongest determinant of gadolinium-enhancement and also an established predictor for aneurysm growth and rupture, prospective studies with serial imaging need to investigate if gadolinium-enhancement predicts aneurysm growth and rupture.</t>
  </si>
  <si>
    <t>Neuropeptide Y and chronic kidney disease progression: a cohort study.</t>
  </si>
  <si>
    <t>Zoccali, Carmine; D'Arrigo, Graziella; Leonardis, Daniela; Pizzini, Patrizia; Postorino, Maurizio; Tripepi, Giovanni; Mallamaci, Francesca; van den Brand, Jan; van Zuilen, Arjan; Wetzels, Jack; Bots, Michiel L; Blankestijn, Peter</t>
  </si>
  <si>
    <t>https://pubmed.ncbi.nlm.nih.gov/29370406</t>
  </si>
  <si>
    <t>Neuropeptide Y (NPY) is a sympathetic neurotransmitter that has been implicated in various disorders including obesity, gastrointestinal and cardiovascular diseases. We investigated the relationship between circulating NPY and the progression of the glomerular filtration rate (GFR) and proteinuria and the risk for a combined renal endpoint (&gt;30% GFR loss, dialysis/transplantation) in two European chronic kidney disease (CKD) cohorts including follow-up of 753 and 576 patients for 36 and 57 months, respectively. Average plasma NPY was 104 ± 32 pmol/L in the first CKD cohort and 119 ± 41 pmol/L in the second one. In separate analyses of the two cohorts, NPY associated with the progression of the estimated GFR (eGFR) and proteinuria over time in both unadjusted and adjusted {eGFR: -3.60 mL/min/1.73 m2 [95% confidence interval (CI): -4.46 to - 2.74] P &lt; 0.001 and -0.83 mL/min/1.73 m2 (-1.41 to - 0.25, P = 0.005); proteinuria: 0.18 g/24 h (0.11-0.25) P &lt; 0.001 and 0.07 g/24 h (0.005-0.14) P = 0.033} analyses by the mixed linear model. Accordingly, in a combined analysis of the two cohorts accounting for the competitive risk of death (Fine and Gray model), NPY predicted (P = 0.005) the renal endpoint [sub-distribution hazard ratio (SHR): 1.09; 95% CI: 1.03-1.16; P = 0.005] and the SHR in the first cohort (1.14, 95% CI: 1.04-1.25) did not differ (P = 0.25) from that in the second cohort (1.06, 95% CI: 0.98-1.15). NPY associates with proteinuria and faster CKD progression as well as with a higher risk of kidney failure. These findings suggest that the sympathetic system and/or properties intrinsic to the NPY molecule may play a role in CKD progression.</t>
  </si>
  <si>
    <t>Learning Through Boundary Crossing: Professional Identity Formation of Pharmacists Transitioning to General Practice in the Netherlands.</t>
  </si>
  <si>
    <t>Hazen, Ankie C M; de Groot, Esther; de Bont, Antoinette A; de Vocht, Simone; de Gier, Johan J; Bouvy, Marcel L; de Wit, Niek J; Zwart, Dorien L M</t>
  </si>
  <si>
    <t>https://pubmed.ncbi.nlm.nih.gov/29465448</t>
  </si>
  <si>
    <t>To unravel boundary crossing as it relates to professional identity formation in pharmacists transitioning from a community pharmacy to working as nondispensing clinical pharmacists in general practice, with the aim of optimizing their education. This was a multiple-case study, including two-stage interviews, peer feedback, and individual reflection, that collected data in 2014-2016 from eight clinical pharmacists working in general practice in the Netherlands. These pharmacists acted-without a workplace role model-as pharmaceutical care providers in general practices during a 15-month training program. In within-case and cross-case analysis, data were collected regarding pharmacists' role development in practice and perceptions of learning processes, and examined through the lens of professional identity formation and boundary crossing. Analysis of data collected during and after the training program demonstrated that the clinical pharmacists who applied the learning mechanisms of reflection and transformation developed a patient-care-oriented professional identity. Some clinical pharmacists, who learned mainly through the mechanism of identification, did not integrate the new patient-care-oriented role into their professional identity. They felt that their workplace provided limited opportunities for reflection and transformation. Learning with peers on formal training days was seen as highly valuable for professional identity formation; it counterbalanced the lack of a role model in the workplace. Professional identity formation in the transition from community pharmacist to clinical pharmacist in general practice benefited from reflective, on-the-job training. This permitted transformative, boundary-crossing learning with peers and supported professional identity formation oriented to providing practice-based pharmaceutical care.</t>
  </si>
  <si>
    <t>Chronic kidney disease burden among African migrants in three European countries and in urban and rural Ghana: the RODAM cross-sectional study.</t>
  </si>
  <si>
    <t>Adjei, David N; Stronks, Karien; Adu, Dwomoa; Beune, Erik; Meeks, Karlijn; Smeeth, Liam; Addo, Juliet; Owuso-Dabo, Ellis; Klipstein-Grobusch, Kerstin; Mockenhaupt, Frank P; Schulze, Matthias B; Danquah, Ina; Spranger, Joachim; Bahendeka, Silver; de-Graft Aikins, Ama; Agyemang, Charles</t>
  </si>
  <si>
    <t>https://pubmed.ncbi.nlm.nih.gov/29342308</t>
  </si>
  <si>
    <t>Chronic kidney disease (CKD) is a major burden among sub-Saharan African (SSA) populations. However, differences in CKD prevalence between rural and urban settings in Africa, and upon migration to Europe are unknown. We therefore assessed the differences in CKD prevalence among homogenous SSA population (Ghanaians) residing in rural and urban Ghana and in three European cities, and whether conventional risk factors of CKD explained the observed differences. Furthermore, we assessed whether the prevalence of CKD varied among individuals with hypertension and diabetes compared with individuals without these conditions. For this analysis, data from Research on Obesity &amp; Diabetes among African Migrants (RODAM), a multi-centre cross-sectional study, were used. The study included a random sample of 5607 adult Ghanaians living in Europe (1465 Amsterdam, 577 Berlin, 1041 London) and Ghana (1445 urban and 1079 rural) aged 25-70 years. CKD status was defined according to severity of kidney disease using the combination of glomerular filtration rate (G1-G5) and albuminuria (A1-A3) levels as defined by the 2012 Kidney Disease: Improving Global Outcomes severity classification. Comparisons among sites were made using logistic regression analysis. CKD prevalence was lower in Ghanaians living in Europe (10.1%) compared with their compatriots living in Ghana (13.3%) even after adjustment for age, sex and conventional risk factors of CKD [adjusted odds ratio (OR) = 0.70, 95% confidence interval (CI) 0.56-0.88, P = 0.002]. CKD prevalence was markedly lower among Ghanaian migrants with hypertension (adjusted OR = 0.54, 0.44-0.76, P = 0.001) and diabetes (adjusted OR = 0.37, 0.22-0.62, P = 0.001) compared with non-migrant Ghanaians with hypertension and diabetes. No significant differences in CKD prevalence was observed among non-migrant Ghanaians and migrant Ghanaians with no hypertension and diabetes. Among Ghanaian residents in Europe, the odds of CKD were lower in Amsterdam than in Berlin, while among Ghanaian residents in Ghana, the odds of CKD were lower in rural Ghana (adjusted OR = 0.68, 95% CI 0.53-0.88, P = 0.004) than in urban Ghana, but these difference were explained by conventional risk factors. Our study shows important differences in CKD prevalence among Ghanaians living in Europe compared with those living in Ghana, independent of conventional risk factors, with marked differences among those with hypertension and diabetes. Further research is needed to identify factors that might explain the observed difference across sites to implement interventions to reduce the high burden of CKD, especially in rural and urban Ghana.</t>
  </si>
  <si>
    <t>Thyroid-stimulating hormone levels in the normal range and incident type 2 diabetes mellitus.</t>
  </si>
  <si>
    <t>de Vries, T I; Kappelle, L J; van der Graaf, Y; de Valk, H W; de Borst, G J; Nathoe, H M; Visseren, F L J; Westerink, Jan; ,</t>
  </si>
  <si>
    <t>acta diabetologica</t>
  </si>
  <si>
    <t>https://pubmed.ncbi.nlm.nih.gov/30259116</t>
  </si>
  <si>
    <t>To evaluate the relationship between thyroid-stimulating hormone (TSH) levels within the normal range and the risk of type 2 diabetes mellitus (T2DM) in a cohort of patients at high cardiovascular risk, and to perform a systematic review and meta-analysis of previous studies. We included 5542 patients without T2DM from the prospective Secondary Manifestations of ARTerial disease study with TSH levels between 0.35 and 5.0 mIU/L without anti-thyroid medication or thyroid-hormone replacement therapy. Cox regression was used to investigate the relationship between baseline plasma TSH levels and incident T2DM. MEDLINE, EMBASE, and Cochrane were searched for prospective cohorts assessing TSH and incident T2DM. Hazard ratios (HR) from included prospective cohort studies were pooled using a random-effects model. In patients at high cardiovascular risk, higher plasma TSH levels in the normal range were not associated [HR 1.07 per mIU/L increase in TSH (95% confidence interval (95% CI) 0.95-1.22)] with an increased risk of T2DM, adjusted for age, sex, smoking, total and HDL cholesterol, and triglycerides. In the meta-analysis involving three prospective cohort studies, including the present study, including 29,791 participants with 1930 incident events, there was no relation between plasma TSH levels in the normal range and incident T2DM [pooled HR 1.06 (95% CI 0.99-1.14)]. There is no apparent relation between plasma TSH levels in the normal range and incident T2DM in patients at high cardiovascular risk.</t>
  </si>
  <si>
    <t>Prompt and non-prompt &lt;math xmlns="http://www.w3.org/1998/Math/MathML"&gt;&lt;mrow&gt;&lt;mi&gt;J&lt;/mi&gt; &lt;mo&gt;/&lt;/mo&gt; &lt;mi&gt;ψ&lt;/mi&gt;&lt;/mrow&gt; &lt;/math&gt; elliptic flow in Pb+Pb collisions at &lt;math xmlns="http://www.w3.org/1998/Math/MathML"&gt; &lt;mrow&gt; &lt;msqrt&gt;&lt;msub&gt;&lt;mi&gt;s&lt;/mi&gt; &lt;msub&gt;&lt;mrow&gt;&lt;/mrow&gt; &lt;mtext&gt;NN&lt;/mtext&gt;&lt;/msub&gt; &lt;/msub&gt; &lt;/msqrt&gt; &lt;mo&gt;=&lt;/mo&gt; &lt;mn&gt;5.02&lt;/mn&gt;&lt;/mrow&gt; &lt;/math&gt; Tev with the ATLAS detector.</t>
  </si>
  <si>
    <t>https://pubmed.ncbi.nlm.nih.gov/30968860</t>
  </si>
  <si>
    <t>The elliptic flow of prompt and non-prompt &lt;math xmlns="http://www.w3.org/1998/Math/MathML"&gt;&lt;mrow&gt;&lt;mi&gt;J&lt;/mi&gt; &lt;mo&gt;/&lt;/mo&gt; &lt;mi&gt;ψ&lt;/mi&gt;&lt;/mrow&gt; &lt;/math&gt; was measured in the dimuon decay channel in Pb+Pb collisions at &lt;math xmlns="http://www.w3.org/1998/Math/MathML"&gt; &lt;mrow&gt; &lt;msqrt&gt;&lt;msub&gt;&lt;mi&gt;s&lt;/mi&gt; &lt;msub&gt;&lt;mrow&gt;&lt;/mrow&gt; &lt;mtext&gt;NN&lt;/mtext&gt;&lt;/msub&gt; &lt;/msub&gt; &lt;/msqrt&gt; &lt;mo&gt;=&lt;/mo&gt; &lt;mn&gt;5.02&lt;/mn&gt;&lt;/mrow&gt; &lt;/math&gt;   &lt;math xmlns="http://www.w3.org/1998/Math/MathML"&gt;&lt;mtext&gt;TeV&lt;/mtext&gt;&lt;/math&gt; with an integrated luminosity of &lt;math xmlns="http://www.w3.org/1998/Math/MathML"&gt;&lt;mrow&gt;&lt;mn&gt;0.42&lt;/mn&gt; &lt;mspace&gt;&lt;/mspace&gt; &lt;msup&gt;&lt;mrow&gt;&lt;mi&gt;nb&lt;/mi&gt;&lt;/mrow&gt; &lt;mrow&gt;&lt;mo&gt;-&lt;/mo&gt; &lt;mn&gt;1&lt;/mn&gt;&lt;/mrow&gt; &lt;/msup&gt; &lt;/mrow&gt; &lt;/math&gt; with the ATLAS detector at the LHC. The prompt and non-prompt signals are separated using a two-dimensional simultaneous fit of the invariant mass and pseudo-proper decay time of the dimuon system from the &lt;math xmlns="http://www.w3.org/1998/Math/MathML"&gt;&lt;mrow&gt;&lt;mi&gt;J&lt;/mi&gt; &lt;mo&gt;/&lt;/mo&gt; &lt;mi&gt;ψ&lt;/mi&gt;&lt;/mrow&gt; &lt;/math&gt; decay. The measurement is performed in the kinematic range of dimuon transverse momentum and rapidity &lt;math xmlns="http://www.w3.org/1998/Math/MathML"&gt;&lt;mrow&gt;&lt;mn&gt;9&lt;/mn&gt; &lt;mo&gt;&lt;&lt;/mo&gt; &lt;msub&gt;&lt;mi&gt;p&lt;/mi&gt; &lt;mi&gt;T&lt;/mi&gt;&lt;/msub&gt; &lt;mo&gt;&lt;&lt;/mo&gt; &lt;mn&gt;30&lt;/mn&gt;&lt;/mrow&gt; &lt;/math&gt;   &lt;math xmlns="http://www.w3.org/1998/Math/MathML"&gt;&lt;mtext&gt;GeV&lt;/mtext&gt;&lt;/math&gt; , &lt;math xmlns="http://www.w3.org/1998/Math/MathML"&gt;&lt;mrow&gt;&lt;mo&gt;|&lt;/mo&gt; &lt;mi&gt;y&lt;/mi&gt; &lt;mo&gt;|&lt;/mo&gt; &lt;mo&gt;&lt;&lt;/mo&gt; &lt;mn&gt;2&lt;/mn&gt;&lt;/mrow&gt; &lt;/math&gt; , and 0-60% collision centrality. The elliptic flow coefficient, &lt;math xmlns="http://www.w3.org/1998/Math/MathML"&gt;&lt;msub&gt;&lt;mi&gt;v&lt;/mi&gt; &lt;mn&gt;2&lt;/mn&gt;&lt;/msub&gt; &lt;/math&gt; , is evaluated relative to the event plane and the results are presented as a function of transverse momentum, rapidity and centrality. It is found that prompt and non-prompt &lt;math xmlns="http://www.w3.org/1998/Math/MathML"&gt;&lt;mrow&gt;&lt;mi&gt;J&lt;/mi&gt; &lt;mo&gt;/&lt;/mo&gt; &lt;mi&gt;ψ&lt;/mi&gt;&lt;/mrow&gt; &lt;/math&gt; mesons have non-zero elliptic flow. Prompt &lt;math xmlns="http://www.w3.org/1998/Math/MathML"&gt;&lt;mrow&gt;&lt;mi&gt;J&lt;/mi&gt; &lt;mo&gt;/&lt;/mo&gt; &lt;mi&gt;ψ&lt;/mi&gt;&lt;/mrow&gt; &lt;/math&gt; &lt;math xmlns="http://www.w3.org/1998/Math/MathML"&gt;&lt;msub&gt;&lt;mi&gt;v&lt;/mi&gt; &lt;mn&gt;2&lt;/mn&gt;&lt;/msub&gt; &lt;/math&gt; decreases as a function of &lt;math xmlns="http://www.w3.org/1998/Math/MathML"&gt;&lt;msub&gt;&lt;mi&gt;p&lt;/mi&gt; &lt;mi&gt;T&lt;/mi&gt;&lt;/msub&gt; &lt;/math&gt; , while for non-prompt &lt;math xmlns="http://www.w3.org/1998/Math/MathML"&gt;&lt;mrow&gt;&lt;mi&gt;J&lt;/mi&gt; &lt;mo&gt;/&lt;/mo&gt; &lt;mi&gt;ψ&lt;/mi&gt;&lt;/mrow&gt; &lt;/math&gt; it is, with limited statistical significance, consistent with a flat behaviour over the studied kinematic region. There is no observed dependence on rapidity or centrality.</t>
  </si>
  <si>
    <t>Air pollution exposure and lung function until age 16 years: the PIAMA birth cohort study.</t>
  </si>
  <si>
    <t>Milanzi, Edith B; Koppelman, Gerard H; Smit, Henriette A; Wijga, Alet H; Oldenwening, Marieke; Vonk, Judith M; Brunekreef, Bert; Gehring, Ulrike</t>
  </si>
  <si>
    <t>https://pubmed.ncbi.nlm.nih.gov/30139777</t>
  </si>
  <si>
    <t>Evidence for the effects of air pollution exposure on lung function growth into adolescence is scarce. We investigated associations of air pollution exposure with lung function and lung function growth until age 16.We conducted both longitudinal (n=915) and cross-sectional (n=721) analyses of associations of air pollution exposure with forced expiratory volume in 1 s (FEV&lt;sub&gt;1&lt;/sub&gt;) and forced vital capacity (FVC) growth from ages eight to 16 and FEV&lt;sub&gt;1&lt;/sub&gt; and FVC at age 16. We estimated residential concentrations of nitrogen dioxide (NO&lt;sub&gt;2&lt;/sub&gt;), "soot" and particulate matter (PM&lt;sub&gt;x&lt;/sub&gt;, where x is the 50% cut-off aerodynamic diameter in µm) with diameters of &lt;2.5 µm (PM&lt;sub&gt;2.5&lt;/sub&gt;), &lt;10 µm (PM&lt;sub&gt;10&lt;/sub&gt;) and 2.5-10 µm (PM&lt;sub&gt;coarse&lt;/sub&gt;) during the preschool, primary school and secondary school time windows by land use regression models. Associations with (growth in) FEV&lt;sub&gt;1&lt;/sub&gt; and FVC were analysed by linear (mixed effects) regression.Higher air pollution exposure was associated with reduced FEV&lt;sub&gt;1&lt;/sub&gt; growth (&lt;i&gt;e.g.&lt;/i&gt; adjusted difference -0.26% (95% CI -0.49 to -0.03%) per interquartile range increase in secondary school PM&lt;sub&gt;2.5&lt;/sub&gt;) and lower FEV&lt;sub&gt;1&lt;/sub&gt; (adjusted difference -2.36% (95% CI -3.76 to -0.94%)), but was not adversely associated with FVC. Associations with FEV&lt;sub&gt;1&lt;/sub&gt; were stronger in boys than girls and were not modified by asthma status.Higher air pollution exposure may lead to increased airway obstruction, but not reduced lung volume in adolescence.</t>
  </si>
  <si>
    <t>Does early onset asthma increase childhood obesity risk? A pooled analysis of 16 European cohorts.</t>
  </si>
  <si>
    <t>Contreras, Zuelma A; Chen, Zhanghua; Roumeliotaki, Theano; Annesi-Maesano, Isabella; Baïz, Nour; von Berg, Andrea; Bergström, Anna; Crozier, Sarah; Duijts, Liesbeth; Ekström, Sandra; Eller, Esben; Fantini, Maria P; Kjaer, Henrik Fomsgaard; Forastiere, Francesco; Gerhard, Beatrix; Gori, Davide; Harskamp-van Ginkel, Margreet W; Heinrich, Joachim; Iñiguez, Carmen; Inskip, Hazel; Keil, Thomas; Kogevinas, Manolis; Lau, Susanne; Lehmann, Irina; Maier, Dieter; van Meel, Evelien R; Mommers, Monique; Murcia, Mario; Porta, Daniela; Smit, Henriëtte A; Standl, Marie; Stratakis, Nikos; Sunyer, Jordi; Thijs, Carel; Torrent, Maties; Vrijkotte, Tanja G M; Wijga, Alet H; Berhane, Kiros; Gilliland, Frank; Chatzi, Leda</t>
  </si>
  <si>
    <t>https://pubmed.ncbi.nlm.nih.gov/30209194</t>
  </si>
  <si>
    <t>The parallel epidemics of childhood asthma and obesity over the past few decades have spurred research into obesity as a risk factor for asthma. However, little is known regarding the role of asthma in obesity incidence. We examined whether early-onset asthma and related phenotypes are associated with the risk of developing obesity in childhood.This study includes 21 130 children born from 1990 to 2008 in Denmark, France, Germany, Greece, Italy, The Netherlands, Spain, Sweden and the UK. We followed non-obese children at 3-4 years of age for incident obesity up to 8 years of age. Physician-diagnosed asthma, wheezing and allergic rhinitis were assessed up to 3-4 years of age.Children with physician-diagnosed asthma had a higher risk for incident obesity than those without asthma (adjusted hazard ratio (aHR) 1.66, 95% CI 1.18-2.33). Children with active asthma (wheeze in the last 12 months and physician-diagnosed asthma) exhibited a higher risk for obesity (aHR 1.98, 95% CI 1.31-3.00) than those without wheeze and asthma. Persistent wheezing was associated with increased risk for incident obesity compared to never wheezers (aHR 1.51, 95% CI 1.08-2.09).Early-onset asthma and wheezing may contribute to an increased risk of developing obesity in later childhood.</t>
  </si>
  <si>
    <t>Development of diagnostic prediction tools for bacteraemia caused by 3rd generation cephalosporin-resistant Enterobacteriaceae in suspected bacterial infections' - Author's reply.</t>
  </si>
  <si>
    <t>Rottier, W C; Deelen, J W T; van Werkhoven, C H; Bonten, M J M</t>
  </si>
  <si>
    <t>https://pubmed.ncbi.nlm.nih.gov/30267934</t>
  </si>
  <si>
    <t>Routine primary care data for scientific research, quality of care programs and educational purposes: the Julius General Practitioners' Network (JGPN).</t>
  </si>
  <si>
    <t>Smeets, Hugo M; Kortekaas, Marlous F; Rutten, Frans H; Bots, Michiel L; van der Kraan, Willem; Daggelders, Gerard; Smits-Pelser, Hanneke; Helsper, Charles W; Hoes, Arno W; de Wit, Niek J</t>
  </si>
  <si>
    <t>https://pubmed.ncbi.nlm.nih.gov/30253760</t>
  </si>
  <si>
    <t>General Practitioners (GPs) in the Netherlands routinely register all patient contacts electronically. These records include longitudinally gathered clinical information of the patient contacts in coded data and free text. Diagnoses are coded according to the International Coding of Primary Care (ICPC). Drug prescriptions are labelled with the Anatomical Therapeutic Chemical Classification (ATC), and letters of hospital specialists and paramedic health care professionals are linked or directly incorporated in the electronic medical files. A network of a large group of GPs collecting routine care data on an ongoing basis can be used for answering various research questions. The Julius General Practitioners' Network (JGPN) database consists of routine care data from over ten years of a dynamic cohort of around 370,000 individuals registered with the participating GPs from the city of Utrecht and its vicinity. Health care data are extracted anonymously every quartile of a year and these data are used by researchers. We describe the content and usability of our JGPN database, and how a wide variety of research questions could be answered, as illustrated with examples of published articles.</t>
  </si>
  <si>
    <t>How are trainees in clinical microbiology and infectious diseases supervised in Europe? An international cross-sectional questionnaire survey by the Trainee Association of ESCMID.</t>
  </si>
  <si>
    <t>Palacios-Baena, Zaira R; Zapf, Thea Christine; Ong, David S Y; Maraolo, Alberto E; Rönnberg, Caroline; Çimen, Cansu; Pulcini, Céline; Rodríguez-Baño, Jesús; Sanguinetti, Maurizio; ,</t>
  </si>
  <si>
    <t>https://pubmed.ncbi.nlm.nih.gov/30255431</t>
  </si>
  <si>
    <t>The purpose of this study was to map the supervision of European trainees in clinical microbiology and infectious diseases during their training. An international cross-sectional questionnaire survey of 38 questions was distributed among trainees and recently graduated medical specialists from European countries. Descriptive analyses were performed on both the total group of respondents and regionally. In total, 393 respondents from 37 different countries were included. The median of overall satisfaction with the supervisor was 4 (interquartile range 3-4) on a Likert scale (range 1, not satisfied at all-5, completely satisfied). Overall, merely 34% of respondents received constructive feedback from their supervisor on a regularly basis, 36% could evaluate their own supervisor, and just 63% were evaluated on their skills using a written plan. Fifty-two percent did not receive the opportunity to do a part of the specialty training abroad and 63% received support from their supervisors to be involved in research projects or publishing papers. A considerable proportion of trainees, mainly in Southern and Eastern European regions, felt that they did not receive sufficient supervision. This information may be useful in the pursuit of harmonizing the quality of training, achieving a common curriculum, and identifying robust and objective criteria to coach and evaluate trainees in a proper way.</t>
  </si>
  <si>
    <t>Modelling the dynamics of population viral load measures under HIV treatment as prevention.</t>
  </si>
  <si>
    <t>Rozhnova, Ganna; Anastasaki, Marilena; Kretzschmar, Mirjam</t>
  </si>
  <si>
    <t>infectious disease modelling</t>
  </si>
  <si>
    <t>https://pubmed.ncbi.nlm.nih.gov/30839936</t>
  </si>
  <si>
    <t>In 2011 the Centers for Disease Control and Prevention (CDC) published guidelines for the use of population viral load (PVL), community viral load (CVL) and monitored viral load (MVL), defined as the average viral load (VL) of all HIV infected individuals in a population, of all diagnosed individuals, and of all individuals on antiretroviral treatment (ART), respectively. Since then, CVL has been used to assess the effectiveness of ART on HIV transmission and as a proxy for HIV incidence. The first objective of this study was to investigate how aggregate VL measures change with the HIV epidemic phase and the drivers behind these changes using a mathematical transmission model. Secondly, we aimed to give some insight into how well CVL correlates with HIV incidence during the course of the epidemic and roll out of ART. We developed a compartmental model for disease progression and HIV transmission with disease stages that differ in viral loads for epidemiological scenarios relevant to a concentrated epidemic in a population of men who have sex with men (MSM) in Western Europe (WE) and to a generalized epidemic in a heterosexual population in Sub-Saharan Africa (SSA). The model predicts that PVL and CVL change with the epidemic phase, while MVL stays constant. These dynamics are linked to the dynamics of infected subgroups (undiagnosed, diagnosed untreated and treated) in different disease stages (primary, chronic and AIDS). In particular, CVL decreases through all epidemic stages: before ART, since chronic population builds up faster than AIDS population and after ART, due to the build-up of treated population with low VL. The trends in CVL and incidence can be both opposing and coinciding depending on the epidemic phase. Before ART is scaled up to sufficiently high levels, incidence increases while CVL decreases. After this point, CVL is a useful indicator of changes in HIV incidence. The model predicts that during the ART scale-up HIV transmission is driven by undiagnosed and diagnosed untreated individuals, and that new infections decline due to the increase in the number of treated. Although CVL is not able to capture the contribution of undiagnosed population to HIV transmission, it declines due to the increase of people on ART too. In the scenarios described by our model, the present epidemic phase corresponds to declining trends in CVL and incidence.</t>
  </si>
  <si>
    <t>Prompt and non-prompt &lt;math xmlns="http://www.w3.org/1998/Math/MathML"&gt;&lt;mrow&gt;&lt;mi&gt;J&lt;/mi&gt; &lt;mo&gt;/&lt;/mo&gt; &lt;mi&gt;ψ&lt;/mi&gt;&lt;/mrow&gt; &lt;/math&gt; and &lt;math xmlns="http://www.w3.org/1998/Math/MathML"&gt;&lt;mrow&gt;&lt;mi&gt;ψ&lt;/mi&gt; &lt;mo&gt;(&lt;/mo&gt; &lt;mn&gt;2&lt;/mn&gt; &lt;mi&gt;S&lt;/mi&gt; &lt;mo&gt;)&lt;/mo&gt;&lt;/mrow&gt; &lt;/math&gt; suppression at high transverse momentum in &lt;math xmlns="http://www.w3.org/1998/Math/MathML"&gt;&lt;mrow&gt;&lt;mn&gt;5.02&lt;/mn&gt; &lt;mspace&gt;&lt;/mspace&gt; &lt;mi&gt;TeV&lt;/mi&gt;&lt;/mrow&gt; &lt;/math&gt; Pb+Pb collisions with the ATLAS experiment.</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</si>
  <si>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Angelidakis, S; Angeloz</t>
  </si>
  <si>
    <t>https://pubmed.ncbi.nlm.nih.gov/30958487</t>
  </si>
  <si>
    <t>A measurement of &lt;math xmlns="http://www.w3.org/1998/Math/MathML"&gt;&lt;mrow&gt;&lt;mi&gt;J&lt;/mi&gt; &lt;mo&gt;/&lt;/mo&gt; &lt;mi&gt;ψ&lt;/mi&gt;&lt;/mrow&gt; &lt;/math&gt; and &lt;math xmlns="http://www.w3.org/1998/Math/MathML"&gt;&lt;mrow&gt;&lt;mi&gt;ψ&lt;/mi&gt; &lt;mo&gt;(&lt;/mo&gt; &lt;mn&gt;2&lt;/mn&gt; &lt;mi&gt;S&lt;/mi&gt; &lt;mo&gt;)&lt;/mo&gt;&lt;/mrow&gt; &lt;/math&gt; production is presented. It is based on a data sample from Pb+Pb collisions at &lt;math xmlns="http://www.w3.org/1998/Math/MathML"&gt; &lt;mrow&gt; &lt;msqrt&gt;&lt;msub&gt;&lt;mi&gt;s&lt;/mi&gt; &lt;mi&gt;NN&lt;/mi&gt;&lt;/msub&gt; &lt;/msqrt&gt; &lt;mo&gt;=&lt;/mo&gt; &lt;mn&gt;5.02&lt;/mn&gt; &lt;mspace&gt;&lt;/mspace&gt; &lt;mi&gt;TeV&lt;/mi&gt;&lt;/mrow&gt; &lt;/math&gt; and &lt;i&gt;pp&lt;/i&gt; collisions at &lt;math xmlns="http://www.w3.org/1998/Math/MathML"&gt; &lt;mrow&gt;&lt;msqrt&gt;&lt;mi&gt;s&lt;/mi&gt;&lt;/msqrt&gt; &lt;mo&gt;=&lt;/mo&gt; &lt;mn&gt;5.02&lt;/mn&gt; &lt;mspace&gt;&lt;/mspace&gt; &lt;mi&gt;TeV&lt;/mi&gt;&lt;/mrow&gt; &lt;/math&gt; recorded by the ATLAS detector at the LHC in 2015, corresponding to an integrated luminosity of &lt;math xmlns="http://www.w3.org/1998/Math/MathML"&gt;&lt;mrow&gt;&lt;mn&gt;0.42&lt;/mn&gt; &lt;mspace&gt;&lt;/mspace&gt; &lt;msup&gt;&lt;mrow&gt;&lt;mi&gt;nb&lt;/mi&gt;&lt;/mrow&gt; &lt;mrow&gt;&lt;mo&gt;-&lt;/mo&gt; &lt;mn&gt;1&lt;/mn&gt;&lt;/mrow&gt; &lt;/msup&gt; &lt;/mrow&gt; &lt;/math&gt; and &lt;math xmlns="http://www.w3.org/1998/Math/MathML"&gt;&lt;mrow&gt;&lt;mn&gt;25&lt;/mn&gt; &lt;mspace&gt;&lt;/mspace&gt; &lt;msup&gt;&lt;mrow&gt;&lt;mi&gt;pb&lt;/mi&gt;&lt;/mrow&gt; &lt;mrow&gt;&lt;mo&gt;-&lt;/mo&gt; &lt;mn&gt;1&lt;/mn&gt;&lt;/mrow&gt; &lt;/msup&gt; &lt;/mrow&gt; &lt;/math&gt; in Pb+Pb and &lt;i&gt;pp&lt;/i&gt;, respectively. The measurements of per-event yields, nuclear modification factors, and non-prompt fractions are performed in the dimuon decay channel for &lt;math xmlns="http://www.w3.org/1998/Math/MathML"&gt;&lt;mrow&gt;&lt;mn&gt;9&lt;/mn&gt; &lt;mo&gt;&lt;&lt;/mo&gt; &lt;msubsup&gt;&lt;mi&gt;p&lt;/mi&gt; &lt;mrow&gt;&lt;mi&gt;T&lt;/mi&gt;&lt;/mrow&gt; &lt;mrow&gt;&lt;mi&gt;μ&lt;/mi&gt; &lt;mi&gt;μ&lt;/mi&gt;&lt;/mrow&gt; &lt;/msubsup&gt; &lt;mo&gt;&lt;&lt;/mo&gt; &lt;mn&gt;40&lt;/mn&gt;&lt;/mrow&gt; &lt;/math&gt; GeV in dimuon transverse momentum, and &lt;math xmlns="http://www.w3.org/1998/Math/MathML"&gt;&lt;mrow&gt;&lt;mo&gt;-&lt;/mo&gt; &lt;mn&gt;2&lt;/mn&gt; &lt;mo&gt;&lt;&lt;/mo&gt; &lt;msub&gt;&lt;mi&gt;y&lt;/mi&gt; &lt;mrow&gt;&lt;mi&gt;μ&lt;/mi&gt; &lt;mi&gt;μ&lt;/mi&gt;&lt;/mrow&gt; &lt;/msub&gt; &lt;mo&gt;&lt;&lt;/mo&gt; &lt;mn&gt;2&lt;/mn&gt;&lt;/mrow&gt; &lt;/math&gt; in rapidity. Strong suppression is found in Pb+Pb collisions for both prompt and non-prompt &lt;math xmlns="http://www.w3.org/1998/Math/MathML"&gt;&lt;mrow&gt;&lt;mi&gt;J&lt;/mi&gt; &lt;mo&gt;/&lt;/mo&gt; &lt;mi&gt;ψ&lt;/mi&gt;&lt;/mrow&gt; &lt;/math&gt; , increasing with event centrality. The suppression of prompt &lt;math xmlns="http://www.w3.org/1998/Math/MathML"&gt;&lt;mrow&gt;&lt;mi&gt;ψ&lt;/mi&gt; &lt;mo&gt;(&lt;/mo&gt; &lt;mn&gt;2&lt;/mn&gt; &lt;mi&gt;S&lt;/mi&gt; &lt;mo&gt;)&lt;/mo&gt;&lt;/mrow&gt; &lt;/math&gt; is observed to be stronger than that of &lt;math xmlns="http://www.w3.org/1998/Math/MathML"&gt;&lt;mrow&gt;&lt;mi&gt;J&lt;/mi&gt; &lt;mo&gt;/&lt;/mo&gt; &lt;mi&gt;ψ&lt;/mi&gt;&lt;/mrow&gt; &lt;/math&gt; , while the suppression of non-prompt &lt;math xmlns="http://www.w3.org/1998/Math/MathML"&gt;&lt;mrow&gt;&lt;mi&gt;ψ&lt;/mi&gt; &lt;mo&gt;(&lt;/mo&gt; &lt;mn&gt;2&lt;/mn&gt; &lt;mi&gt;S&lt;/mi&gt; &lt;mo&gt;)&lt;/mo&gt;&lt;/mrow&gt; &lt;/math&gt; is equal to that of the non-prompt &lt;math xmlns="http://www.w3.org/1998/Math/MathML"&gt;&lt;mrow&gt;&lt;mi&gt;J&lt;/mi&gt; &lt;mo&gt;/&lt;/mo&gt; &lt;mi&gt;ψ&lt;/mi&gt;&lt;/mrow&gt; &lt;/math&gt; within uncertainties, consistent with the expectation that both arise from &lt;i&gt;b&lt;/i&gt;-quarks propagating through the medium. Despite prompt and non-prompt &lt;math xmlns="http://www.w3.org/1998/Math/MathML"&gt;&lt;mrow&gt;&lt;mi&gt;J&lt;/mi&gt; &lt;mo&gt;/&lt;/mo&gt; &lt;mi&gt;ψ&lt;/mi&gt;&lt;/mrow&gt; &lt;/math&gt; arising from different mechanisms, the dependence of their nuclear modification factors on centrality is found to be quite similar.</t>
  </si>
  <si>
    <t>Effectiveness of short message services and voice call interventions for antiretroviral therapy adherence and other outcomes: A systematic review and meta-analysis.</t>
  </si>
  <si>
    <t>Amankwaa, Isaac; Boateng, Daniel; Quansah, Dan Yedu; Akuoko, Cynthia Pomaa; Evans, Catrin</t>
  </si>
  <si>
    <t>https://pubmed.ncbi.nlm.nih.gov/30240417</t>
  </si>
  <si>
    <t>The potential of using mobile phone technologies to improve antiretroviral therapy (ART) adherence has provided a new facet to human immunodeficiency virus (HIV) research. The quality of evidence and the strength of recommendations of existing reviews, however, do not adequately support large-scale adoption of the intervention. This review adopted broad selection criteria to include all mobile phone-based interventions designed to improve patient's adherence to ART. We performed a systematic review and meta-analysis of randomized controlled trials and quasi-experimental studies. PUBMED, MEDLINE, EMBASE, PsychINFO, Cochrane Central Register of Controlled Trials (CENTRAL), CINAHL, AMED and Web of Science were searched. Online abstracts archives of relevant conference proceedings and trial registries were also searched. Thirty-Five (35) full-text articles were assessed for eligibility. Included studies were conducted in high, low and middle-income countries and reported ART adherence interventions delivered by mobile phones (standard or smartphones) in the form of voice calls, interactive voice response calls (IVR), and short message service (SMS). Thirteen (13) studies met the inclusion criteria, and 11 were used in the meta-analysis. Intervention characteristics of included studies ranged from mobile phone functionalities to provision of study phones to participants. SMS and voice call contents were tailored to participants' specific adherence needs. Mobile SMS interventions improved adherence to ART compared with control conditions (OR, 95% CI = 1.59, 1.27-1.98). In subgroup analysis, only scheduled SMS was significant whereas triggered SMS had no effect on adherence to ART. Mobile voice calls did not significantly increase adherence to ART. The interventions were highly rated by &gt; 90% of participants in the studies that reported on the experiences and satisfaction with the intervention. Scheduled mobile phone text-messaging have demonstrated significant improvement in adherence to ART. Mobile SMS adherence interventions that allow for two-way communication may, however, be more acceptable than standalone SMS reminders, which are seen to be intrusive, producing habituation and response fatigue. Voice calls and triggered SMS functionalities do not have a significant effect on adherence to ART although there is a higher preference for voice functionality over SMS especially in limited-resource and low-literacy settings. Further exploration of the mobile voice functionality and its possible combination with scheduled SMS functionality is recommended. Evidence provided in this study will guide the implementation of mobile phone intervention to improve adherence to ART, by addressing practical challenges that could militate against scalability especially in resource limited settings.</t>
  </si>
  <si>
    <t>Ethics in musculoskeletal regenerative medicine; guidance in choosing the appropriate comparator in clinical trials.</t>
  </si>
  <si>
    <t>de Windt, T S; Niemansburg, S L; Vonk, L A; van Delden, J M; Roes, K C B; Dhert, W J A; Saris, D B F; Bredenoord, A L</t>
  </si>
  <si>
    <t>osteoarthritis and cartilage</t>
  </si>
  <si>
    <t>https://pubmed.ncbi.nlm.nih.gov/30243948</t>
  </si>
  <si>
    <t>Regenerative Medicine (RM) techniques aimed at the musculoskeletal system are increasingly translated to clinical trials and patient care. This revolutionary era in science raises novel ethical challenges. One of these challenges concerns the appropriate choice of the comparator in (randomized controlled) trials, including the ethically contentious use of sham procedures. To date, only general guidelines regarding the choice of the comparator exist. To provide specific guidelines for clinical trial comparator choice in musculoskeletal RM. In this manuscript, we discuss the ethics of comparator selection in RM trials. First, we make a classification of RM interventions according to different health states from disease prevention, return to normal health, postponing RM treatment, supplementing RM treatment, substituting RM treatment, improving RM outcome, and slowing progression. Subsequently, per objective, the accompanying ethical points to consider are evaluated with support from the available literature. a sham procedure is demonstrated to be an ethically acceptable comparator in RM trials with certain objectives, but less appropriate for musculoskeletal RM interventions that aim at preventing disease or substituting a surgical treatment. The latter may be compared to 'standard of care'. From a scientific perspective, choosing the correct comparator based on ethical guidelines is a step forward in the success of musculoskeletal RM.</t>
  </si>
  <si>
    <t>Optimising pain management in children with acute otitis media through a primary care-based multifaceted educational intervention: study protocol for a cluster randomised controlled trial.</t>
  </si>
  <si>
    <t>van Uum, Rick T; Venekamp, Roderick P; Sjoukes, Alies; van de Pol, Alma C; de Wit, G Ardine; Schilder, Anne G M; Damoiseaux, Roger A M J</t>
  </si>
  <si>
    <t>https://pubmed.ncbi.nlm.nih.gov/30223903</t>
  </si>
  <si>
    <t>Whilst current guidelines highlight the importance of pain management for children with acute otitis media (AOM), there is evidence to suggest that this is not implemented in everyday practice. We have developed a primary care-based multifaceted educational intervention to optimise pain management in children with AOM, and we trial its clinical and cost effectiveness. This cluster randomised controlled trial aims to recruit 250 children aged 6 months to 10 years presenting with AOM to general practitioners (GPs) in 30 primary care centres (PCCs) across the Netherlands. GPs in the PCCs allocated to the intervention group receive a blended GP educational programme (online and face-to-face training). The intervention asks GPs to proactively discuss pain management with parents using an information leaflet, and to prescribe paracetamol and ibuprofen according to current guidelines. GPs in both groups complete an online module illustrating various otoscopic images to standardise AOM diagnosis. GPs in the PCCs allocated to the control group do not receive any further training and provide 'care as usual'. During the 4-week follow-up, parents complete a symptom diary. The primary outcome is the difference in parent-reported mean earache scores over the first 3 days. Secondary outcomes include both number of days with earache and fever, GP re-consultations for AOM, antibiotic prescriptions, and costs. Analysis will be by intention-to-treat. The optimal use of analgesics through the multifaceted intervention may provide symptom relief and thereby reduce re-consultations and antibiotic prescriptions in children with AOM. Netherlands Trial Register, NTR4920 . Registered on 19 December 2014.</t>
  </si>
  <si>
    <t>Stratifying infants with cystic fibrosis for disease severity using intestinal organoid swelling as a biomarker of CFTR function.</t>
  </si>
  <si>
    <t>de Winter-de Groot, Karin M; Janssens, Hettie M; van Uum, Rick T; Dekkers, Johanna F; Berkers, Gitte; Vonk, Annelotte; Kruisselbrink, Evelien; Oppelaar, Hugo; Vries, Robert; Clevers, Hans; Houwen, Roderick H J; Escher, Johanna C; Elias, Sjoerd G; de Jonge, Hugo R; de Rijke, Yolanda B; Tiddens, Harm A W M; van der Ent, Cornelis K; Beekman, Jeffrey M</t>
  </si>
  <si>
    <t>https://pubmed.ncbi.nlm.nih.gov/30166324</t>
  </si>
  <si>
    <t>Forskolin-induced swelling (FIS) of intestinal organoids from individuals with cystic fibrosis (CF) measures function of the cystic fibrosis transmembrane conductance regulator (CFTR), the protein mutated in CF.We investigated whether FIS corresponds with clinical outcome parameters and biomarkers of CFTR function in 34 infants diagnosed with CF. Relationships with FIS were studied for indicators of pulmonary and gastrointestinal disease.Children with low FIS had higher levels of immunoreactive trypsinogen (p=0.030) and pancreatitis-associated protein (p=0.039), more often had pancreatic insufficiency (p&lt;0.001), had more abnormalities on chest computed tomography (p=0.049), and had lower z-scores for maximal expiratory flow at functional residual capacity (p=0.033) when compared to children with high FIS values. FIS significantly correlated with sweat chloride concentration (SCC) and intestinal current measurement (ICM) (r= -0.82 and r=0.70, respectively; both p&lt;0.001). Individual assessment of SCC, ICM and FIS suggested that FIS can help to classify individual disease severity.Thus, stratification by FIS identified subgroups that differed in pulmonary and gastrointestinal outcome parameters. FIS of intestinal organoids correlated well with established CFTR-dependent biomarkers such as SCC and ICM, and performed adequately at group and individual level in this proof-of-concept study.</t>
  </si>
  <si>
    <t>Management of sepsis in out-of-hours primary care: a retrospective study of patients admitted to the intensive care unit.</t>
  </si>
  <si>
    <t>Loots, Feike J; Smits, Marleen; van Steensel, Carlijn; Giesen, Paul; Hopstaken, Rogier M; van Zanten, Arthur R H</t>
  </si>
  <si>
    <t>https://pubmed.ncbi.nlm.nih.gov/30224394</t>
  </si>
  <si>
    <t>Timely recognition and treatment of sepsis is essential to reduce mortality and morbidity. Acutely ill patients often consult a general practitioner (GP) as the first healthcare provider. During out-of-hours, GP cooperatives deliver this care in the Netherlands. The aim of this study is to explore the role of these GP cooperatives in the care for patients with sepsis. Retrospective study of patient records from both the hospital and the GP cooperative. An intensive care unit (ICU) of a general hospital in the Netherlands, and the colocated GP cooperative serving 260 000 inhabitants. We used data from 263 patients who were admitted to the ICU due to community-acquired sepsis between January 2011 and December 2015. Contact with the GP cooperative within 72 hours prior to hospital admission, type of contact, delay from the contact until hospital arrival, GP diagnosis, initial vital signs and laboratory values, and hospital mortality. Of 263 patients admitted to the ICU, 127 (48.3%) had prior GP cooperative contacts. These contacts concerned home visits (59.1%), clinic consultations (18.1%), direct ambulance deployment (12.6%) or telephone advice (10.2%). Patients assessed by a GP were referred in 64% after the first contact. The median delay to hospital arrival was 1.7 hours. The GP had not suspected an infection in 43% of the patients. In this group, the in-hospital mortality rate was significantly higher compared with patients with suspected infections (41.9% vs 17.6%). Mortality difference remained significant after correction for confounders. GP cooperatives play an important role in prehospital management of sepsis and recognition of sepsis in this setting proved difficult. Efforts to improve management of sepsis in out-of-hours primary care should not be limited to patients with a suspected infection, but also include severely ill patients without clear signs of infection.</t>
  </si>
  <si>
    <t>Dutch juvenile idiopathic arthritis patients, carers and clinicians create a research agenda together following the James Lind Alliance method: a study protocol.</t>
  </si>
  <si>
    <t>Schoemaker, Casper G; Armbrust, Wineke; Swart, Joost F; Vastert, Sebastiaan J; van Loosdregt, Jorg; Verwoerd, Anouk; Whiting, Caroline; Cowan, Katherine; Olsder, Wendy; Versluis, Els; van Vliet, Rens; Fernhout, Marlous J; Bookelman, Sanne L; Cappon, Jeannette; van den Berg, J Merlijn; Schatorjé, Ellen; Muller, Petra C E Hissink; Kamphuis, Sylvia; de Boer, Joke; Lelieveld, Otto T H M; van der Net, Janjaap; Jongsma, Karin R; van Rensen, Annemiek; Dedding, Christine; Wulffraat, Nico M</t>
  </si>
  <si>
    <t>https://pubmed.ncbi.nlm.nih.gov/30219072</t>
  </si>
  <si>
    <t>Research on Juvenile Idiopathic Arthritis (JIA) should support patients, caregivers/parents (carers) and clinicians to make important decisions in the consulting room and eventually to improve the lives of patients with JIA. Thus far these end-users of JIA-research have rarely been involved in the prioritisation of future research. Dutch organisations of patients, carers and clinicians will collaboratively develop a research agenda for JIA, following the James Lind Alliance (JLA) methodology. In a 'Priority Setting Partnership' (PSP), they will gradually establish a top 10 list of the most important unanswered research questions for JIA. In this process the input from clinicians, patients and their carers will be equally valued. Additionally, focus groups will be organised to involve young people with JIA. The involvement of all contributors will be monitored and evaluated. In this manner, the project will contribute to the growing body of literature on how to involve young people in agenda setting in a meaningful way. A JIA research agenda established through the JLA method and thus co-created by patients, carers and clinicians will inform researchers and research funders about the most important research questions for JIA. This will lead to research that really matters.</t>
  </si>
  <si>
    <t>How variation in predictor measurement affects the discriminative ability and transportability of a prediction model.</t>
  </si>
  <si>
    <t>Pajouheshnia, R; van Smeden, M; Peelen, L M; Groenwold, R H H</t>
  </si>
  <si>
    <t>https://pubmed.ncbi.nlm.nih.gov/30223065</t>
  </si>
  <si>
    <t>Diagnostic and prognostic prediction models often perform poorly when externally validated. We investigate how differences in the measurement of predictors across settings affect the discriminative power and transportability of a prediction model. Differences in predictor measurement between data sets can be described formally using a measurement error taxonomy. Using this taxonomy, we derive an expression relating variation in the measurement of a continuous predictor to the area under the receiver operating characteristic curve (AUC) of a logistic regression prediction model. This expression is used to demonstrate how variation in measurements across settings affects the out-of-sample discriminative ability of a prediction model. We illustrate these findings with a diagnostic prediction model using example data of patients suspected of having deep venous thrombosis. When a predictor, such as D-dimer, is measured with more noise in one setting compared to another, which we conceptualize as a difference in "classical" measurement error, the expected value of the AUC decreases. In contrast, constant, "structural" measurement error does not impact on the AUC of a logistic regression model, provided the magnitude of the error is the same among cases and noncases. As the differences in measurement methods between settings (and in turn differences in measurement error structures) become more complex, it becomes increasingly difficult to predict how the AUC will differ between settings. When a prediction model is applied to a different setting to the one in which it was developed, its discriminative ability can decrease or even increase if the magnitude or structure of the errors in predictor measurements differ between the two settings. This provides an important starting point for researchers to better understand how differences in measurement methods can affect the performance of a prediction model when externally validating or implementing it in practice.</t>
  </si>
  <si>
    <t>Role of Albumin Assay on Calcium Levels and Prescription of Phosphate Binders in Chronic Hemodialysis Patients.</t>
  </si>
  <si>
    <t>de Roij van Zuijdewijn, Camiel L M; de Haseth, Dinky E; van Dam, Bastiaan; Bax, Willem A; Grooteman, Muriel P C; Bots, Michiel L; Blankestijn, Peter J; Nubé, Menso J; van den Dorpel, Marinus A; Ter Wee, Pieter M; Penne, Erik L</t>
  </si>
  <si>
    <t>https://pubmed.ncbi.nlm.nih.gov/30212837</t>
  </si>
  <si>
    <t>In hemodialysis (HD) patients, the bromcresol green (BCG) assay overestimates, whereas the bromcresol purple (BCP) assay underestimates albumin concentration. Since corrected calcium concentrations depend on albumin, the albumin assay may have implications for the management of bone mineral disorders. A subset of patients from CONTRAST, a cohort of prevalent HD patients, was analyzed. Bone mineral parameters and prescription of medication were compared between patients in whom albumin was assessed by BCP versus BCG. Albumin was assessed by BCP in 331 patients (9 of 25 centers) and by BCG in 175 patients (16 of 25 centers). Albumin was the lowest in the BCP group (34.5 ± 4.2 vs. 40.3 ± 3.1 g/L; p &lt; 0.0005). Measured calcium levels and the prescription of calcium-based phosphate binders were similar in both groups. Corrected calcium levels, however, were markedly higher in the BCP group (2.45 ± 0.18 vs. 2.33 ± 0.18 mmol/L; p &lt; 0.0005). These findings suggest that calcium levels are not corrected for albumin in clinical practice when considering the prescription of calcium-free or calcium-based phosphate-binders in dialysis patients.</t>
  </si>
  <si>
    <t>Antigenic evolution of viruses in host populations.</t>
  </si>
  <si>
    <t>https://pubmed.ncbi.nlm.nih.gov/30208108</t>
  </si>
  <si>
    <t>To escape immune recognition in previously infected hosts, viruses evolve genetically in immunologically important regions. The host's immune system responds by generating new memory cells recognizing the mutated viral strains. Despite recent advances in data collection and analysis, it remains conceptually unclear how epidemiology, immune response, and evolutionary factors interact to produce the observed speed of evolution and the incidence of infection. Here we establish a general and simple relationship between long-term cross-immunity, genetic diversity, speed of evolution, and incidence. We develop an analytic method fusing the standard epidemiological susceptible-infected-recovered approach and the modern virus evolution theory. The model includes the factors of strain selection due to immune memory cells, random genetic drift, and clonal interference effects. We predict that the distribution of recovered individuals in memory serotypes creates a moving fitness landscape for the circulating strains which drives antigenic escape. The fitness slope (effective selection coefficient) is proportional to the reproductive number in the absence of immunity R0 and inversely proportional to the cross-immunity distance a, defined as the genetic distance of a virus strain from a previously infecting strain conferring 50% decrease in infection probability. Analysis predicts that the evolution rate increases linearly with the fitness slope and logarithmically with the genomic mutation rate and the host population size. Fitting our analytic model to data obtained for influenza A H3N2 and H1N1, we predict the annual infection incidence within a previously estimated range, (4-7)%, and the antigenic mutation rate of Ub = (5 - 8) ⋅ 10(-4) per transmission event per genome. Our prediction of the cross-immunity distance of a = (14 - 15) aminoacid substitutions agrees with independent data for equine influenza.</t>
  </si>
  <si>
    <t>Cardiovascular risk model performance in women with and without hypertensive disorders of pregnancy.</t>
  </si>
  <si>
    <t>Dam, Veerle; Onland-Moret, N Charlotte; Verschuren, W M Monique; Boer, Jolanda M A; Benschop, Laura; Franx, Arie; Moons, Karel G M; Boersma, Eric; van der Schouw, Yvonne T; ,</t>
  </si>
  <si>
    <t>https://pubmed.ncbi.nlm.nih.gov/30209122</t>
  </si>
  <si>
    <t>Compare the predictive performance of Framingham Risk Score (FRS), Pooled Cohort Equations (PCEs) and Systematic COronary Risk Evaluation (SCORE) model between women with and without a history of hypertensive disorders of pregnancy (hHDP) and determine the effects of recalibration and refitting on predictive performance. We included 29 751 women, 6302 with hHDP and 17 369 without. We assessed whether models accurately predicted observed 10-year cardiovascular disease (CVD) risk (calibration) and whether they accurately distinguished between women developing CVD during follow-up and not (discrimination), separately for women with and without hHDP. We also recalibrated (updating intercept and slope) and refitted (recalculating coefficients) the models. Original FRS and PCEs overpredicted 10-year CVD risks, with expected:observed (E:O) ratios ranging from 1.51 (for FRS in women with hHDP) to 2.29 (for PCEs in women without hHDP), while E:O ratios were close to 1 for SCORE. Overprediction attenuated slightly after recalibration for FRS and PCEs in both hHDP groups. Discrimination was reasonable for all models, with C-statistics ranging from 0.70-0.81 (women with hHDP) and 0.72-0.74 (women without hHDP). C-statistics improved slightly after refitting 0.71-0.83 (with hHDP) and 0.73-0.80 (without hHDP). The E:O ratio of the original PCE model was statistically significantly better in women with hHDP compared with women without hHDP. SCORE performed best in terms of both calibration and discrimination, while FRS and PCEs overpredicted risk in women with and without hHDP, but improved after recalibrating and refitting the models. No separate model for women with hHDP seems necessary, despite their higher baseline risk.</t>
  </si>
  <si>
    <t>Causes and prevention of postoperative myocardial injury.</t>
  </si>
  <si>
    <t>Verbree-Willemsen, Laura; Grobben, Remco B; van Waes, Judith Ar; Peelen, Linda M; Nathoe, Hendrik M; van Klei, Wilton A; Grobbee, Diederick E</t>
  </si>
  <si>
    <t>https://pubmed.ncbi.nlm.nih.gov/30207484</t>
  </si>
  <si>
    <t>Over the past few years non-cardiac surgery has been recognised as a serious circulatory stress test which may trigger cardiovascular events such as myocardial infarction, in particular in patients at high risk. Detection of these postoperative cardiovascular events is difficult as clinical symptoms often go unnoticed. To improve detection, guidelines advise to perform routine postoperative assessment of cardiac troponin. Troponin elevation - or postoperative myocardial injury - can be caused by myocardial infarction. However, also non-coronary causes, such as cardiac arrhythmias, sepsis and pulmonary embolism, may play a role in a considerable number of patients with postoperative myocardial injury. It is crucial to acquire more knowledge about the underlying mechanisms of postoperative myocardial injury because effective prevention and treatment options are lacking. Preoperative administration of beta-blockers, aspirin, statins, clonidine, angiotensin-converting enzyme inhibitors and angiotensin receptor blockers, and preoperative revascularisation have all been investigated as preventive options. Of these, only statins should be considered as the initiation or reload of statins may reduce the risk of postoperative myocardial injury. There is also not enough evidence for intraoperative measures such blood pressure optimisation or intensified medical therapy once patients have developed postoperative myocardial injury. Given the impact, better preoperative identification of patients at risk of postoperative myocardial injury, for example using preoperatively measured biomarkers, would be helpful to improve cardiac optimisation.</t>
  </si>
  <si>
    <t>The association between lacunes and white matter hyperintensity features on MRI: The SMART-MR study.</t>
  </si>
  <si>
    <t>Ghaznawi, Rashid; Geerlings, Mirjam I; Jaarsma-Coes, Myriam G; Zwartbol, Maarten Ht; Kuijf, Hugo J; van der Graaf, Yolanda; Witkamp, Theo D; Hendrikse, Jeroen; de Bresser, Jeroen</t>
  </si>
  <si>
    <t>https://pubmed.ncbi.nlm.nih.gov/30204039</t>
  </si>
  <si>
    <t>Lacunes and white matter hyperintensities (WMHs) are features of cerebral small vessel disease (CSVD) that are associated with poor functional outcomes. However, how the two are related remains unclear. In this study, we examined the association between lacunes and several WMH features in patients with a history of vascular disease. A total of 999 patients (mean age 59 ± 10 years) with a 1.5 T brain magnetic resonance imaging (MRI) scan were included from the SMART-MR study. Lacunes were scored visually and WMH features (volume, subtype and shape) were automatically determined. Analyses consisted of linear and Poisson regression adjusted for age, sex, and total intracranial volume (ICV). Patients with lacunes (n = 188; 19%) had greater total (B = 1.03, 95% CI: 0.86 to 1.21), periventricular/confluent (B = 1.08, 95% CI: 0.89 to 1.27), and deep (B = 0.71, 95% CI: 0.44 to 0.97) natural log-transformed WMH volumes than patients without lacunes. Patients with lacunes had an increased risk of confluent type WMHs (RR = 2.41, 95% CI: 1.98 to 2.92) and deep WMHs (RR = 1.41, 95% CI: 1.22 to 1.62) and had a more irregular shape of confluent WMHs than patients without lacunes, independent of total WMH volume. In conclusion, we found that lacunes on MRI were associated with WMH features that correspond to more severe small vessel changes, mortality, and poor functional outcomes.</t>
  </si>
  <si>
    <t>Updated cost-effectiveness and risk-benefit analysis of two infant rotavirus vaccination strategies in a high-income, low-endemic setting.</t>
  </si>
  <si>
    <t>Bruijning-Verhagen, P; van Dongen, J A P; Verberk, J D M; Pijnacker, R; van Gaalen, R D; Klinkenberg, D; de Melker, H E; Mangen, M-J J</t>
  </si>
  <si>
    <t>https://pubmed.ncbi.nlm.nih.gov/30196794</t>
  </si>
  <si>
    <t>Since 2013, a biennial rotavirus pattern has emerged in the Netherlands with alternating high and low endemic years and a nearly 50% reduction in rotavirus hospitalization rates overall, while infant rotavirus vaccination has remained below 1% throughout. As the rotavirus vaccination cost-effectiveness and risk-benefit ratio in high-income settings is highly influenced by the total rotavirus disease burden, we re-evaluated two infant vaccination strategies, taking into account this recent change in rotavirus epidemiology. We used updated rotavirus disease burden estimates derived from (active) surveillance to evaluate (1) a targeted strategy with selective vaccination of infants with medical risk conditions (prematurity, low birth weight, or congenital conditions) and (2) universal vaccination including all infants. In addition, we added herd protection as well as vaccine-induced intussusception risk to our previous cost-effectiveness model. An age- and risk-group structured, discrete-time event, stochastic multi-cohort model of the Dutch pediatric population was used to estimate the costs and effects of each vaccination strategy. The targeted vaccination was cost-saving under all scenarios tested from both the healthcare payer and societal perspective at rotavirus vaccine market prices (€135/child). The cost-effectiveness ratio for universal vaccination was €51,277 at the assumed vaccine price of €75/child, using a societal perspective and 3% discount rates. Universal vaccination became cost-neutral at €32/child. At an assumed vaccine-induced intussusception rate of 1/50,000, an estimated 1707 hospitalizations and 21 fatal rotavirus cases were averted by targeted vaccination per vaccine-induced intussusception case. Applying universal vaccination, an additional 571 hospitalizations and &lt;  1 additional rotavirus death were averted in healthy children per vaccine-induced intussusception case. While universal infant rotavirus vaccination results in the highest reductions in the population burden of rotavirus, targeted vaccination should be considered as a cost-saving alternative with a favorable risk-benefit ratio for high-income settings where universal implementation is unfeasible because of budget restrictions, low rotavirus endemicity, and/or public acceptance.</t>
  </si>
  <si>
    <t>Effectiveness of CHA&lt;sub&gt;2&lt;/sub&gt;DS&lt;sub&gt;2&lt;/sub&gt;-VASc based decision support on stroke prevention in atrial fibrillation: A cluster randomised trial in general practice.</t>
  </si>
  <si>
    <t>van Doorn, S; Rutten, F H; O'Flynn, C M; Oudega, R; Hoes, A W; Moons, K G M; Geersing, G J</t>
  </si>
  <si>
    <t>https://pubmed.ncbi.nlm.nih.gov/30224261</t>
  </si>
  <si>
    <t>Guidelines on atrial fibrillation (AF) recommend the CHA&lt;sub&gt;2&lt;/sub&gt;DS&lt;sub&gt;2&lt;/sub&gt;-VASc rule for anticoagulant decision-making, but underuse exists. We studied the impact of an automated decision support on stroke prevention in patients with AF in a cluster randomised trial in general practice. Intervention practices were provided with a CHA&lt;sub&gt;2&lt;/sub&gt;DS&lt;sub&gt;2&lt;/sub&gt;-VASc based anticoagulant treatment recommendation. Reference practices provided care as usual. The primary outcome was incidence of ischaemic stroke, transient ischaemic attack (TIA) and/or thromboembolism (TE). Secondary outcomes were bleeding and the proportion of patients on guideline recommended anticoagulant treatment. In total, 1129 AF patients were included in the 19 intervention practices and 1226 AF patients in the 19 reference practices. The median age was 77 (interquartile range (IQR) 68-75) years, the median CHA&lt;sub&gt;2&lt;/sub&gt;DS&lt;sub&gt;2&lt;/sub&gt;-VASc score was 3.0 (IQR 2.0-5.0). Underuse of anticoagulants in patients with CHA&lt;sub&gt;2&lt;/sub&gt;DS&lt;sub&gt;2&lt;/sub&gt;-VASc score ≥ 2 was 6.6%. After a median follow-up of 2.7 years (IQR 2.3-3.0), the incidence rate per 100 person-years of ischaemic stroke/TIA/TE was 1.96 in the intervention group and 1.42 in the reference group (hazard ratio (HR) 1.3, 95% C.I. 0.8-2.1). No difference was observed in the rate of bleeding (0.79 versus 0.82), or in the underuse (7.2% versus 8.2%) or overuse (8.0% versus 7.9%) of anticoagulation. In this study in patients with AF in general practice, underuse of anticoagulants was relatively low. Providing practitioners with CHA&lt;sub&gt;2&lt;/sub&gt;DS&lt;sub&gt;2&lt;/sub&gt;-VASc based decision support did not result in a reduction in stroke incidence, affect bleeding risk or anticoagulant over- or underuse.</t>
  </si>
  <si>
    <t>[A trial to study the effect of influenza vaccination in the elderly: ethical, feasible and badly needed].</t>
  </si>
  <si>
    <t>Ekkelenkamp, Miquel B; van Werkhoven, C H; Bruijning-Verhagen, Patricia C J; Bonten, Marc J M</t>
  </si>
  <si>
    <t>https://pubmed.ncbi.nlm.nih.gov/30306759</t>
  </si>
  <si>
    <t>Based on current research, there are no valid reasons to assume that influenza vaccination of people aged 60 and over without any other medical indications, in the context of the national programme of influenza prevention, leads to significant, relevant and cost-effective health benefits. In view of the pressure on health care budgets and the decreasing social willingness to vaccinate, it is of great and urgent importance that the actual effect of influenza vaccination is quantified in a double-blind placebo-controlled randomized trial (RCT) with relevant outcome measures, which does not suffer from the methodological shortcomings of the few previous studies. In order to demonstrate a 10% reduction in hospitalisation for respiratory infections, this RCT should include approximately 100,000 subjects and follow these participants for three years. We consider such a trial feasible in the Dutch situation.</t>
  </si>
  <si>
    <t>Rare disease registries: potential applications towards impact on development of new drug treatments.</t>
  </si>
  <si>
    <t>Jansen-van der Weide, Marijke C; Gaasterland, Charlotte M W; Roes, Kit C B; Pontes, Caridad; Vives, Roser; Sancho, Arantxa; Nikolakopoulos, Stavros; Vermeulen, Eric; van der Lee, Johanna H</t>
  </si>
  <si>
    <t>https://pubmed.ncbi.nlm.nih.gov/30185208</t>
  </si>
  <si>
    <t>Low prevalence, lack of knowledge about the disease course, and phenotype heterogeneity hamper the development of drugs for rare diseases. Rare disease registries (RDRs) can be helpful by playing a role in understanding the course of the disease, and providing information necessary for clinical trial design, if designed and maintained properly. We describe the potential applications of a RDR and what type of information should be incorporated to support the design of clinical trials in the process of drug development, based on a broad inventory of registry experience. We evaluated two existing RDRs in more detail to check the completeness of these RDRs for trial design. Before and during the application for regulatory approval a RDR can improve the efficiency and quality in clinical trial design by informing the sample size calculation and expected disease course. In exceptional circumstances information from RDRs has been used as historical controls for a one-armed clinical trial, and high quality RDRs may be used for registry-based randomized controlled trials. In the post marketing phase of (conditional) drug approval a disease-specific RDR is likely to provide more relevant information than a product-specific registry. A RDR can be very helpful to improve the efficiency and quality of clinical trial design in several ways. To enable the applicability and optimal use of a RDR longitudinal data collection is indispensable, and specific data collection, prepared for repeated measurement, is needed. The developed checklist can help to define the appropriate variables to include. Attention should be paid to the inclusion of patient-relevant outcome measures in the RDR from the start. More research and experience is needed on the possibilities and limitations of combining RDR information with clinical trial data to maximize the availability of relevant evidence for regulatory decisions in rare diseases.</t>
  </si>
  <si>
    <t>Effects and moderators of exercise on muscle strength, muscle function and aerobic fitness in patients with cancer: a meta-analysis of individual patient data.</t>
  </si>
  <si>
    <t>Sweegers, Maike G; Altenburg, Teatske M; Brug, Johannes; May, Anne M; van Vulpen, Jonna K; Aaronson, Neil K; Arbane, Gill; Bohus, Martin; Courneya, Kerry S; Daley, Amanda J; Galvao, Daniel A; Garrod, Rachel; Griffith, Kathleen A; Van Harten, Wim H; Hayes, Sandra C; Herrero-Román, Fernando; Kersten, Marie J; Lucia, Alejandro; McConnachie, Alex; van Mechelen, Willem; Mutrie, Nanette; Newton, Robert U; Nollet, Frans; Potthoff, Karin; Schmidt, Martina E; Schmitz, Kathryn H; Schulz, Karl Heinz; Sonke, Gabe; Steindorf, Karen; Stuiver, Martijn M; Taaffe, Dennis R; Thorsen, Lene; Twisk, Jos W; Velthuis, Miranda J; Wenzel, Jennifer; Winters-Stone, Kerri M; Wiskemann, Joachim; Chin A Paw, Mai J; Buffart, Laurien M</t>
  </si>
  <si>
    <t>british journal of sports medicine</t>
  </si>
  <si>
    <t>https://pubmed.ncbi.nlm.nih.gov/30181323</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</si>
  <si>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&gt;60 min. Exercise effects on LBMS were larger for patients who were living alone, for supervised interventions including resistance exercise and when session duration was &gt;60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</si>
  <si>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The Effect of Physical Activity Interventions Comprising Wearables and Smartphone Applications on Physical Activity: a Systematic Review and Meta-analysis.</t>
  </si>
  <si>
    <t>Gal, Roxanne; May, Anne M; van Overmeeren, Elon J; Simons, Monique; Monninkhof, Evelyn M</t>
  </si>
  <si>
    <t>sports medicine open</t>
  </si>
  <si>
    <t>https://pubmed.ncbi.nlm.nih.gov/30178072</t>
  </si>
  <si>
    <t>Worldwide physical activity levels of adults are declining, which is associated with increased chronic disease risk. Wearables and smartphone applications offer new opportunities to change physical activity behaviour. This systematic review summarizes the evidence regarding the effect of wearables and smartphone applications on promoting physical activity. PubMed, EMBASE and Cochrane databases were searched for RCTs, published since January 2008, on wearables and smartphone applications to promote physical activity. Studies were excluded when the study population consisted of children or adolescents, the intervention did not promote physical activity or comprised a minor part of the intervention, or the intervention was Internet-based and not accessible by smartphone. Risk of bias was assessed by the Cochrane collaboration tool. The primary outcome was changed in physical activity level. Meta-analyses were performed to assess the pooled effect on (moderate-to-vigorous) physical activity in minutes per day and daily step count. Eighteen RCTs were included. Use of wearables and smartphone applications led to a small to moderate increase in physical activity in minutes per day (SMD = 0.43, 95% CI = 0.03 to 0.82; I&lt;sup&gt;2&lt;/sup&gt; = 85%) and a moderate increase in daily step count (SMD = 0.51, 95% CI = 0.12 to 0.91; I&lt;sup&gt;2&lt;/sup&gt; = 90%). When removing studies with an unclear or high risk of bias, intervention effects improved and statistical heterogeneity was removed. This meta-analysis showed a small to moderate effect of physical activity interventions comprising wearables and smartphone applications on physical activity. Hence, wearables and smartphone applications are likely to bring new opportunities in delivering tailored interventions to increase levels of physical activity.</t>
  </si>
  <si>
    <t>Effect of magnesium on cognition after aneurysmal subarachnoid haemorrhage in a randomized trial.</t>
  </si>
  <si>
    <t>Huenges Wajer, I M C; Dorhout Mees, S M; van den Bergh, W M; Algra, A; Visser-Meily, J M A; Rinkel, G J E; van Zandvoort, M J E</t>
  </si>
  <si>
    <t>https://pubmed.ncbi.nlm.nih.gov/30048027</t>
  </si>
  <si>
    <t>In randomized trials magnesium supplementation did not improve clinical outcome after aneurysmal subarachnoid haemorrhage (aSAH) on handicap scales. After aSAH, many patients have cognitive problems that may not translate into handicap. The effect of magnesium on cognitive outcome after aSAH was studied. In total, 209 patients who had been included in the Magnesium for Aneurysmal Subarachnoid Haemorrhage (MASH-2) trial in the University Medical Centre of Utrecht were studied. Patients had been randomized to 64 mmol magnesium sulfate daily or placebo during hospitalization. Three months after aSAH patients underwent a neuropsychological examination (NPE) consisting of six neuropsychological tests or a brief cognitive assessment. Poisson and linear regression analyses were used to analyse the effect of magnesium on cognition. In the magnesium group 53 (49.5%) of the 107 patients and in the placebo group 51 (50.0%) of the 102 patients scored lower than the median cognitive score [relative risk 0.99, 95% confidence interval (CI) 0.76-1.30]. Linear regression analyses showed no significant relationship between intervention and cognition (B = 0.05, 95% CI -0.15 to 0.33). Treatment with magnesium has no effect on cognitive outcome after aSAH.</t>
  </si>
  <si>
    <t>Cervical Pessary After Arrested Preterm Labor: A Randomized Controlled Trial.</t>
  </si>
  <si>
    <t>Hermans, Frederik J R; Schuit, Ewoud; Bekker, Mireille N; Woiski, Mallory; de Boer, Marjon A; Sueters, Marieke; Scheepers, Hubertina C J; Franssen, Maureen T M; Pajkrt, Eva; Mol, Ben Willem J; Kok, Marjolein</t>
  </si>
  <si>
    <t>https://pubmed.ncbi.nlm.nih.gov/30095769</t>
  </si>
  <si>
    <t>To assess the effectiveness of cervical pessary in reducing the rate of preterm birth in women at high risk for preterm birth who did not deliver after an episode of threatened preterm labor. In a multicenter open-label randomized controlled trial, a cervical pessary was compared with no intervention (control group) (one-to-one ratio). Women between 24 and 34 weeks of gestation at high risk for preterm birth based on a short cervical length (less than 15 mm) or an intermediate cervical length (between 15 and 30 mm) with a positive fetal fibronectin test who did not deliver after an episode of threatened preterm labor were eligible. The primary outcome was birth before 37 weeks of gestation. Secondary outcomes were a composite adverse neonatal outcome, preterm birth before 34 and 32 weeks of gestation, and side effects. A total sample size of 200 women carrying singletons was planned so as to have adequate statistical power to detect a reduction in the rate of preterm birth from 40% to 20%. Women with twin gestations were also enrolled but were considered only in secondary analyses. After a planned interim analysis, the trial was stopped for futility. From November 2013 through September 2016, 130 women with a singleton pregnancy (65 pessary, 65 no treatment) were recruited. The groups had comparable baseline characteristics. In the cervical pessary group, 31 (48%) women delivered before 37 weeks of gestation compared with 25 (39%) in the no-treatment group (relative risk 1.2, 95% CI 0.83-1.8). Nine (15%) children in the cervical pessary group had the composite adverse perinatal outcome compared with eight (13%) in the control group (relative risk 1.2, 95% CI 0.49-2.9). In women at high risk for preterm birth who did not deliver after an episode of threatened preterm labor, treatment with a cervical pessary is not effective. Netherlands Trial Register, NTR4210.</t>
  </si>
  <si>
    <t>Comprehensive Proteomic Profiling-derived Immunohistochemistry-based Prediction Models for BRCA1 and BRCA2 Germline Mutation-related Breast Carcinomas.</t>
  </si>
  <si>
    <t>Vos, Shoko; Elias, Sjoerd G; van der Groep, Petra; Smolders, Yvonne H; van Gils, Carla H; van Diest, Paul J</t>
  </si>
  <si>
    <t>the american journal of surgical pathology</t>
  </si>
  <si>
    <t>https://pubmed.ncbi.nlm.nih.gov/29979200</t>
  </si>
  <si>
    <t>Heredity, mostly due to BRCA germline mutations, is involved in 5% to 10% of all breast cancer cases. Potential BRCA germline mutation carriers may be missed following the current eligibility criteria for BRCA genetic testing. The purpose of this study was to, therefore, develop an immunohistochemistry-based model to predict likelihood of underlying BRCA1 and BRCA2 germline mutations in unselected female breast cancer patients. The study group consisted of 100 BRCA1-related, 46 BRCA2-related, and 94 sporadic breast carcinomas. Tumor expression of 44 proteins involved in (BRCA-related) breast carcinogenesis was assessed by immunohistochemistry. A prediction model for BRCA-related versus non-BRCA-related breast cancer was developed using Lasso logistic regression analysis with cross-validation. The model was assessed for its discriminative value and clinical usefulness. The optimal prediction model included 14 predictors (age, cyclinD1, ERα, ERβ, FGFR2, FGFR3, FGFR4, GLUT1, IGFR, Ki67, mitotic activity index, MLH1, p120, and TOP2A), showed excellent discriminative performance (area under the receiving operating characteristic curve=0.943; 95% confidence interval=0.909-0.978), and reasonable calibration. To enhance possible implementation, we developed an alternative model only considering more widely available immunostains. This model included 15 predictors (age, BCL2, CK5/6, CK8/18, cyclinD1, E-cadherin, ERα, HER2, Ki67, mitotic activity index , MLH1, p16, PMS2, PR, and vimentin), and still showed very good discriminative performance (area under the receiving operating characteristic curve=0.853; 95% confidence interval=0.795-0.911). We present a well-applicable and accurate tool to predict which breast cancer patients may have an underlying BRCA germline mutation, largely consisting of immunohistochemical markers independent of clinical characteristics. This may improve identification of potential BRCA germline mutation carriers and optimize referral for germline mutation testing.</t>
  </si>
  <si>
    <t>Four ECG left ventricular hypertrophy criteria and the risk of cardiovascular events and mortality in patients with vascular disease.</t>
  </si>
  <si>
    <t>van Kleef, Monique E A M; Visseren, Frank L J; Vernooij, Joris W P; Nathoe, Hendrik M; Cramer, Maarten-Jan M; Bemelmans, Remy H H; van der Graaf, Yolanda; Spiering, Wilko; ,</t>
  </si>
  <si>
    <t>https://pubmed.ncbi.nlm.nih.gov/29878973</t>
  </si>
  <si>
    <t>The relation between different electrocardiographic left ventricular hypertrophy (ECG-LVH) criteria and cardiovascular risk in patients with clinical manifest arterial disease is unclear. Therefore, we determined the association between four ECG-LVH criteria: Sokolow-Lyon, Cornell product, Cornell/strain index and Framingham criterion; and risk of cardiovascular events and mortality in this population. Risk of cardiovascular events was estimated in 6913 adult patients with clinical manifest arterial disease originating from the Secondary Manifestations of ARTerial disease (SMART) cohort. Cox proportional regression analysis was used to estimate the risk of the four ECG-LVH criteria and the primary composite outcome: myocardial infarction (MI), stroke or cardiovascular death; and secondary outcomes: MI, stroke and all-cause mortality; adjusted for confounders. The highest prevalence of ECG-LVH was observed for Cornell product (10%) and Cornell/strain index (9%). All four ECG-LVH criteria were associated with an increased risk of the primary composite endpoint: Sokolow-Lyon (hazard ratio 1.37, 95% CI 1.13-1.66), Cornell product (hazard ratio 1.54, 95% CI 1.30-1.82), Cornell/strain index (hazard ratio 1.70, 95% CI 1.44-2.00) and Framingham criterion (hazard ratio 1.78, 95% CI 1.21-2.62). Cornell product, Cornell/strain index and Framingham criterion ECG-LVH were additionally associated with an elevated risk of secondary outcomes. Cardiovascular risk increased whenever two, or three or more ECG-LVH criteria were present concurrently. All four ECG-LVH criteria are associated with an increased risk of cardiovascular events. As Cornell/strain index is both highly prevalent and carries a high cardiovascular risk, this is likely the most relevant ECG-LVH criterion for clinical practice.</t>
  </si>
  <si>
    <t>Biennial Pattern of Rotavirus Gastroenteritis in The Netherlands and a Shifting Age Distribution After a Low Rotavirus Season, 2010-2016.</t>
  </si>
  <si>
    <t>Verberk, Janneke D M; Pijnacker, Roan; Bruijning-Verhagen, Patricia; Franz, Eelco; Vennema, Harry; Hooiveld, Mariëtte; Hahné, Susan J M; de Melker, Hester E</t>
  </si>
  <si>
    <t>https://pubmed.ncbi.nlm.nih.gov/29278607</t>
  </si>
  <si>
    <t>A hyperendemic rotavirus season was expected after a low-endemic 2014 season in the Netherlands. Rotavirus detections were however similar in 2015 and lower in 2016 compared with 2010-2013. Gastroenteritis consultation rates were also similar in 2015, but the age distribution shifted to older children because of an accumulation of noninfected children. Results indicate a possible shift to a biennial rotavirus pattern.</t>
  </si>
  <si>
    <t>Ethics of oocyte banking for third-party assisted reproduction: a systematic review.</t>
  </si>
  <si>
    <t>Kool, E M; Bos, A M E; van der Graaf, R; Fauser, B C J M; Bredenoord, A L</t>
  </si>
  <si>
    <t>https://pubmed.ncbi.nlm.nih.gov/29762669</t>
  </si>
  <si>
    <t>The demand for donor oocytes has increased dramatically over the years. Today people in need of ART with the use of donor oocytes can appeal to commercial or public donor oocyte banks. The introduction of oocyte banks has shed a new light on the practice of ART using donor oocytes. The establishment and maintenance of oocyte banks should be sensitive to the ethical considerations. However, it is currently unclear which ethical aspects have to be taken into account. The aim of this article is to identify the ethical aspects of establishing and maintaining oocyte banks for third-party ART. A systematic search was performed in July 2016 and February 2017 in both PubMed and Embase using a search string that combined synonyms for oocytes, donation or banking, reproductive care and ethics. We included a wide variety of English-language articles with a reasoned description of ethical aspects or moral considerations on oocyte donation or banking for third-party ART. The practice of oocyte banking consists of three components, namely, the intake, storage and distribution of donor oocytes, and each is associated with multiple ethical challenges. The majority of the literature discusses ethical aspects with regard to the intake of donor oocytes, taking into account both the interests of the donor and those of the potential child. Ethical aspects related to the donor are the risks and psychosocial impact of donation, motivations and compensation in donor recruitment, and requirements for informed consent. Ethical aspects related to the potential child are 2-fold: first, the welfare standard and the selection of donors, and second, anonymity and disclosure. Ethical aspects of storing donor oocytes for ART are quality standards, confidentiality, issues of ownership and control, and international transport of donor oocytes. Ethical aspects of the distribution of donor oocytes concern the selection of recipients and the acceptability of treatment of 'non-traditional' families in particular, prioritization of recipients in case of scarcity, cross-border reproductive care, matching of recipients and donor oocytes, informed consent and counselling for recipients. Our review demonstrates that multiple ethical aspects have to be taken into account when establishing and maintaining an oocyte bank. Yet, for many of these aspects there is no consensus regarding what approach should be employed. Remarkably, the existing literature focuses mainly on ethical aspects related to the intake of donor oocytes, while aspects related to storage and distribution of donor oocytes are less often addressed. An important gap in the existing literature should therefore be acknowledged. To conclude, our findings can serve as a starting point for clinicians in the field of ART, to conceptualize what challenges arise when establishing and maintaining oocyte banks for third-party ART. The review may also stimulate policy makers to set up a trustworthy and adaptive governance structure for the intake, storage and distribution of donor oocytes.</t>
  </si>
  <si>
    <t>Should the 14-day rule for embryo research become the 28-day rule?</t>
  </si>
  <si>
    <t>Appleby, John B; Bredenoord, Annelien L</t>
  </si>
  <si>
    <t>embo molecular medicine</t>
  </si>
  <si>
    <t>https://pubmed.ncbi.nlm.nih.gov/30087137</t>
  </si>
  <si>
    <t>The “14‐day rule”—broadly construed—is used in science policy and regulation to limit research on human embryos to a maximum period of 14 days after their creation or to the equivalent stage of development that is normally attributed to a 14‐day‐old embryo (Hyun &lt;i&gt;et al&lt;/i&gt;, 2016; Nuffield Council on Bioethics, 2017). For several decades, the 14‐day rule has been a shining example of how science policy and regulation can be developed with interdisciplinary consensus and applied across a number of countries to help fulfil an ethical and practical purpose: to facilitate efficient and ethical embryo research. However, advances in embryology and biomedical research have led to suggestions that the 14‐day rule is no longer adequate (Deglincerti &lt;i&gt;et al&lt;/i&gt;, 2016; Shahbazi &lt;i&gt;et al&lt;/i&gt;, 2016; Hurlbut &lt;i&gt;et al&lt;/i&gt;, 2017). Therefore, should the 14‐day rule be extended and, if so, where should we draw a new line for permissible embryo research? Here, we provide scientific, regulatory and ethical arguments that the 14‐day rule should be extended to 28 days (or the developmental equivalent stage of a 28‐day‐old embryo).</t>
  </si>
  <si>
    <t>The ethics of clinical applications of germline genome modification: a systematic review of reasons.</t>
  </si>
  <si>
    <t>van Dijke, Ivy; Bosch, Lance; Bredenoord, Annelien L; Cornel, Martina; Repping, Sjoerd; Hendriks, Saskia</t>
  </si>
  <si>
    <t>https://pubmed.ncbi.nlm.nih.gov/30085071</t>
  </si>
  <si>
    <t>What are the reasons for or against the future clinical application of germline genome modification (GGM)? A total of 169 reasons were identified, including 90 reasons for and 79 reasons against future clinical application of GGM. GGM is still unsafe and insufficiently effective for clinical purposes. However, the progress made using Clustered Regularly Interspaced Short Palindromic Repeats (CRISPR)- CRISPR-associated system (Cas) has led scientists to expect to overcome the technical hurdles in the foreseeable future. This has invited a debate on the socio-ethical and legal implications and acceptability of clinical applications of GGM. However, an overview of the reasons presented in this debate is missing. MEDLINE was systematically searched for articles published between January 2011 and June 2016. Articles covering reasons for or against clinical application of intentional modification of the nuclear DNA of the germline were included. Two researchers independently extracted the reported reasons from the articles and grouped them into categories through content analysis. The systematic search yielded 1179 articles and 180 articles were included. Most papers were written by professionals in ethics, (science) journalism and biomedical sciences. Overall, 169 reasons were identified, including 90 reasons for, and 79 reasons against future clinical application of GGM. None of the included articles mentioned more than 60/169 reasons. The reasons could be categorized into: (i) quality of life of affected individuals; (ii) safety; (iii) effectiveness; (iv) existence of a clinical need or alternative; (v) costs; (vi) homo sapiens as a species (i.e. relating to effects on our species); (vii) social justice; (viii) potential for misuse; (ix) special interests exercising influence; (x) parental rights and duties; (xi) comparability to acceptable processes; (xii) rights of the unborn child; and (xiii) human life and dignity. Considerations relating to the implementation processes and regulation were reported. We cannot ensure completeness as reasons may have been omitted in the reviewed literature and our search was limited to MEDLINE and a 5-year time period. Besides needing (pre)clinical studies on safety and effectiveness, authors call for a sound pre-implementation process. This overview of reasons may assist a thorough evaluation of the responsible introduction of GGM. University of Amsterdam, Alliance Grant of the Amsterdam Reproduction and Development Research Institute (I.D.), and Clinical Center, Department of Bioethics, National Institutes of Health Intramural Research Program (S.H.). There are no competing interests.</t>
  </si>
  <si>
    <t>Measurement of the Soft-Drop Jet Mass in pp Collisions at sqrt[s]=13  TeV with the ATLAS Detector.</t>
  </si>
  <si>
    <t xml:space="preserve">Aaboud, M; Aad, G; Abbott, B; Abdinov, O; Abeloos, B; Abidi, S H; AbouZeid, O S; Abraham, N L; Abramowicz, H; Abreu, H; Abreu, R;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t>
  </si>
  <si>
    <t>https://pubmed.ncbi.nlm.nih.gov/30230903</t>
  </si>
  <si>
    <t>Jet substructure observables have significantly extended the search program for physics beyond the standard model at the Large Hadron Collider. The state-of-the-art tools have been motivated by theoretical calculations, but there has never been a direct comparison between data and calculations of jet substructure observables that are accurate beyond leading-logarithm approximation. Such observables are significant not only for probing the collinear regime of QCD that is largely unexplored at a hadron collider, but also for improving the understanding of jet substructure properties that are used in many studies at the Large Hadron Collider. This Letter documents a measurement of the first jet substructure quantity at a hadron collider to be calculated at next-to-next-to-leading-logarithm accuracy. The normalized, differential cross section is measured as a function of log_{10}ρ^{2}, where ρ is the ratio of the soft-drop mass to the ungroomed jet transverse momentum. This quantity is measured in dijet events from 32.9  fb^{-1} of sqrt[s]=13  TeV proton-proton collisions recorded by the ATLAS detector. The data are unfolded to correct for detector effects and compared to precise QCD calculations and leading-logarithm particle-level Monte Carlo simulations.</t>
  </si>
  <si>
    <t>[Physician, disclose thyself! Self-disclosure as an educational tool].</t>
  </si>
  <si>
    <t>van Uum, Rick T; de Groot, Esther; Mol, Saskia S L</t>
  </si>
  <si>
    <t>https://pubmed.ncbi.nlm.nih.gov/30212004</t>
  </si>
  <si>
    <t>Supervisor self-disclosure is essential for both personal and professional development of the next generation of doctors. We highlight the importance of self-disclosure and urge doctors in a supervising role to embed self-disclosure in their supervisory activities. Effective supervision of residents and interns encompasses many elements. Self-disclosure positively contributes to a safe teaching environment as well as a nurturing supervisor-trainee relationship. Self-disclosure can be used in many supervisory settings to benefit the development of residents and interns. It is of the utmost importance that self-disclosure should be used consciously and at suitable moments. Tools to achieve optimal self-disclosure are provided.</t>
  </si>
  <si>
    <t>Fatty acids from dairy and meat and their association with risk of coronary heart disease.</t>
  </si>
  <si>
    <t>Vissers, Linda E T; Rijksen, Jonna; Boer, Jolanda M A; Verschuren, W M Monique; van der Schouw, Yvonne T; Sluijs, Ivonne</t>
  </si>
  <si>
    <t>https://pubmed.ncbi.nlm.nih.gov/30167851</t>
  </si>
  <si>
    <t>The relationship of total, saturated, mono-unsaturated and poly-unsaturated fatty acids (SFA, MUFA, PUFA) with coronary heart disease (CHD) is debated. We hypothesized that the association of dairy-derived FA with CHD may be different than the association of meat-derived FA with CHD. We therefore aimed to directly compare association of FA intakes from dairy and meat with risk of CHD using substitution models. Baseline (1993-1997) FA intake was measured using a validated food frequency questionnaire among 35,767 participants from the European Prospective Investigation into Cancer and Nutrition-Netherlands cohort (EPIC-NL). Incident CHD events (n = 2374) were obtained through linkage with national registries during a mean follow-up of 15 years. Association of FA from dairy substituted with FA from meat with CHD risk was estimated through multivariable Cox regression. Participants consumed 81.9 (SD 28.7) grams of FA per day, of which 17.9 (SD 5.2) was from dairy and 15.3 (SD 9.5) from meat. Substituting 1 en% of dairy-derived SFA with meat-derived SFA was associated with higher CHD risk (HR 1.06, 95% CI 1.02-1.10), but substituting dairy-derived MUFA or PUFA did not (HR&lt;sub&gt;MUFA&lt;/sub&gt; 1.03, 95% CI 0.97-1.09; HR&lt;sub&gt;PUFA&lt;/sub&gt; 1.17, 95% CI 0.90-1.53). Our modelling suggests that substituting dairy SFA with meat SFA is associated with a higher risk of CHD, but substituting dairy MUFA or PUFA with meat FA is not. These results need to be replicated in other cohorts with different fat intakes, preferably with larger variation in the intake of MUFA and PUFA from dairy and meat.</t>
  </si>
  <si>
    <t>Using a single noninferiority margin or preserved fraction for an entire pharmacological class was found to be inappropriate.</t>
  </si>
  <si>
    <t>Althunian, Turki A; de Boer, Anthonius; Groenwold, Rolf H H; Klungel, Olaf H</t>
  </si>
  <si>
    <t>https://pubmed.ncbi.nlm.nih.gov/30009941</t>
  </si>
  <si>
    <t>To assess the impact on noninferiority decisions when using a single margin or single preserved fraction (PF) for all noninferiority trials within a pharmacological class. A search in PubMed, EMBASE, and CENTRAL resulted in seven active-controlled statin trials (nine noninferiority comparisons) for treating hyperlipidemia. The impact of using a single margin was assessed by calculating whether this margin corresponds to different PFs among comparator statins which will demonstrate that the threshold of demonstrating noninferiority (in terms of the PF) varies among comparator statins. The use of a single PF was assessed by reanalyzing noninferiority in the included trials with new margins (based on the single PF) for each comparator statin. The use of a single margin resulted in PFs that range between 81% and 89% for the different comparators (i.e., different thresholds). The use of a single PF resulted in four of nine (44%) different noninferiority conclusions compared with the original analyses. The threshold of demonstrating noninferiority with a single margin or single PF of the effect per pharmacological class may not be consistent with using a margin/PF for each comparator separately and may impact the conclusions of noninferiority.</t>
  </si>
  <si>
    <t>Impact of different palliative systemic treatments on skeletal muscle mass in metastatic colorectal cancer patients.</t>
  </si>
  <si>
    <t>Kurk, Sophie A; Peeters, Petra H M; Dorresteijn, Bram; de Jong, Pim A; Jourdan, Marion; Kuijf, Hugo J; Punt, Cornelis J A; Koopman, Miriam; May, Anne M</t>
  </si>
  <si>
    <t>https://pubmed.ncbi.nlm.nih.gov/30144305</t>
  </si>
  <si>
    <t>Observational studies suggest that loss of skeletal muscle mass (SMM) is associated with chemotherapy-related toxicity, poor quality of life, and poor survival in metastatic colorectal cancer (mCRC) patients. Little is known about the evolution of SMM during palliative systemic therapy. We investigated changes in SMM during various consecutive palliative systemic treatment regimens using repeated abdominal computed tomography scans of mCRC patients who participated in the randomized phase 3 CAIRO3 study. In the CAIRO3 study, mCRC patients with stable disease or better after 6 cycles of first-line treatment with capecitabine + oxaliplatin + bevacizumab (CAPOX-B) were randomized between maintenance treatment with capecitabine + bevacizumab (CAP-B) or observation. Upon first disease progression, in both groups, CAPOX-B or other treatment was reintroduced until the second disease progression, which was the primary study endpoint. We analysed 1355 computed tomography scans of 450 (81%) CAIRO3 patients (64 ± 9.0 years, CAP-B n = 223; observation n = 227) for SMM at four time points (i.e. prior to the start of pre-randomization initial treatment, at randomization, and at first and at second disease progression) using the Slice-o-matic software and single slice evaluation at the lumbar 3 level. By using accepted and widely used formulas, whole body SMM was calculated. A linear mixed effects model, adjusted for relevant confounders, was used to assess SMM changes for the total group and within and between study arms. During 6 cycles of initial treatment with CAPOX-B prior to randomization, SMM decreased significantly in all patients [CAP-B arm: -0.53 kg (95% CI -1.12; -0.07) and observation arm: -0.85 kg (-1.45; -0.25)]. After randomization, SMM recovered during CAP-B treatment by 1.32 kg (0.73; 1.90) and observation by 1.20 kg (0.63; 1.78) (median time from randomization to first disease progression 8.6 and 4.1 months for CAP-B arm and observation arm, respectively). After first progression and during reintroduction treatment with CAPOX-B or other treatment, SMM again decreased significantly and comparable in both arms, CAP-B: -2.71 kg (-3.37; -2.03), and observation: -2.01 kg (-2.64; -1.41) (median time from first progression until second progression CAP-B arm: 4.7 months and observation arm: 6.6 months). This longitudinal study provides a unique insight in SMM changes in mCRC patients during palliative systemic treatment regimens, including observation. Our data show that muscle loss is reversible and may be influenced by the intensity of systemic regimens. Although studies have shown prognostic capacity for SMM, the effects of subsequent changes in SMM are unknown and may be clues for new future therapeutic interventions.</t>
  </si>
  <si>
    <t>Search for Low-Mass Dijet Resonances Using Trigger-Level Jets with the ATLAS Detector in pp Collisions at sqrt[s]=13  TeV.</t>
  </si>
  <si>
    <t>Aaboud, M; Aad, G; Abbott, B; Abdinov, O; Abeloos, B;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Angelidaki</t>
  </si>
  <si>
    <t>https://pubmed.ncbi.nlm.nih.gov/30192593</t>
  </si>
  <si>
    <t>Searches for dijet resonances with sub-TeV masses using the ATLAS detector at the Large Hadron Collider can be statistically limited by the bandwidth available to inclusive single-jet triggers, whose data-collection rates at low transverse momentum are much lower than the rate from standard model multijet production. This Letter describes a new search for dijet resonances where this limitation is overcome by recording only the event information calculated by the jet trigger algorithms, thereby allowing much higher event rates with reduced storage needs. The search targets low-mass dijet resonances in the range 450-1800 GeV. The analyzed data set has an integrated luminosity of up to 29.3  fb^{-1} and was recorded at a center-of-mass energy of 13 TeV. No excesses are found; limits are set on Gaussian-shaped contributions to the dijet mass distribution from new particles and on a model of dark-matter particles with axial-vector couplings to quarks.</t>
  </si>
  <si>
    <t>Detection of Incident Anal High-Risk Human Papillomavirus DNA in Men Who Have Sex With Men: Incidence or Reactivation?</t>
  </si>
  <si>
    <t>Twisk, Denise E; van der Sande, Marianne A B; van Eeden, Arne; Heideman, Daniëlle A M; van der Klis, Fiona R M; de Vries, Henry J C; Schim van der Loeff, Maarten F</t>
  </si>
  <si>
    <t>https://pubmed.ncbi.nlm.nih.gov/29771378</t>
  </si>
  <si>
    <t>We aimed to assess whether sexual exposure may explain all incident anal human papillomavirus (HPV) detections among men who have sex with men (MSM). A longitudinal study among MSM was conducted between 2010 and 2013 with visits every 6 months and up to 24 months of follow-up. Risk-factor questionnaires, blood samples, and anal and penile self-swabs were collected at each visit. Self-swabs were used for detection and genotyping of HPV by the broad spectrum L1 based SPF10 PCR DNA/enzyme immunoassay LiPA25 system. Serum samples were tested for high-risk HPV (hrHPV) antibodies. Incident anal HPV detection rates among sexually non-, low, and highly exposed MSM were compared. Factors associated with incident anal hrHPV detection were assessed using multivariable Cox regression. Seven hundred fourteen men (median age, 40 years; 39% human immunodeficiency virus [HIV] infected) were included in the analysis. Incident anal detections of all hrHPV types were observed among both sexually nonexposed and exposed MSM. In multivariable analyses, being highly sexually exposed, being HIV infected, and having a penile HPV infection were positively associated with incident anal HPV detection; those reporting more sex partners had a nonsignificantly increased risk of HPV detection. Incident anal hrHPV detection is common among recently nonexposed MSM, suggesting that a reactivated latent HPV infection instead of an incident infection may underlie incident HPV detection.</t>
  </si>
  <si>
    <t>Behavioral and neurodevelopmental outcome of children after maternal allopurinol administration during suspected fetal hypoxia: 5-year follow up of the ALLO-trial.</t>
  </si>
  <si>
    <t>Klumper, Job; Kaandorp, Joepe J; Schuit, Ewoud; Groenendaal, Floris; Koopman-Esseboom, Corine; Mulder, Eduard J H; Van Bel, Frank; Benders, Manon J N L; Mol, Ben W J; van Elburg, Ruurd M; Bos, Arend F; Derks, Jan B; ,</t>
  </si>
  <si>
    <t>https://pubmed.ncbi.nlm.nih.gov/30138355</t>
  </si>
  <si>
    <t>To evaluate the long-term neurodevelopmental and behavioral outcome of antenatal allopurinol treatment during suspected fetal hypoxia. We studied children born from women who participated in a randomized double-blind placebo controlled multicenter study (ALLO-trial). Labouring women in whom the fetus was suspected to have fetal hypoxia were randomly allocated to receive allopurinol or placebo. At 5 years of age, the children were assessed with 2 parent reported questionnaires, the Ages and Stages Questionnaire (ASQ) and the Child Behavior Checklist (CBCL). A child was marked abnormal for ASQ if it scored below 2 standard deviation under the normative mean of a reference population in at least one domain. For CBCL, a score above the cut-off value (95th percentile for narrowband scale, 85th percentile for broadband scale) in at least one scale was marked as abnormal. We obtained data from 138 out of the original 222 mildly asphyxiated children included in the ALLO-trial (response rate 62%, allopurinol n = 73, placebo n = 65). At 5 years of age, the number of children that scored abnormal on the ASQ were 11 (15.1%) in the allopurinol group versus 11 (9.2%) in the placebo group (relative risk (RR) 1.64, 95% confidence interval (CI): 0.64 to 4.17, p = 0.30). On CBCL 21 children (30.4%) scored abnormal in de allopurinol group versus 12 children (20.0%) in the placebo group (RR 1.52, 95% CI: 0.82 to 2.83, p = 0.18). We found no proof that allopurinol administered to labouring women with suspected fetal hypoxia improved long-term developmental and behavioral outcome. These findings are limited due to the fact that the study was potentially underpowered. NCT00189007 Dutch Trial Register NTR1383.</t>
  </si>
  <si>
    <t>Risk of cardiac and non-cardiac adverse events in community-dwelling older patients with atrial fibrillation: a prospective cohort study in the Netherlands.</t>
  </si>
  <si>
    <t>van Doorn, Sander; Tavenier, Annerien; Rutten, Frans H; Hoes, Arno W; Moons, Karel G M; Geersing, Geert-Jan</t>
  </si>
  <si>
    <t>https://pubmed.ncbi.nlm.nih.gov/30139900</t>
  </si>
  <si>
    <t>Patients with atrial fibrillation (AF) are at increased risk of many adverse events, notably stroke. To prevent all adverse outcomes, integrated AF care is advocated though the potential domain for such multidisciplinary management is still unclear. Therefore, insight in the systemic nature of AF and identifying patients at risk of adverse events after oral anticoagulation is needed. The aim of this study is to first describe the risk of hospitalisation and mortality in community-dwelling older patients with AF using anticoagulants, and second to assess the association between traditional cardiac risk factors and these outcomes. A prospective cohort. General practice. 2068 patients with AF using oral anticoagulants. We calculated incidence rates (IRs) of ischaemic stroke, bleeding, hospitalisations and mortality, and compared risk factors using Cox regression between those with and without an adverse event, both for cardiac and non-cardiac causes. During a median follow-up of 2.7 (IQR 2.2-3.0) years, the IR per 100 person-years was 22.1 for hospitalisations and 6.7 for mortality. Non-cardiac events outnumbered cardiac events (IRs 15.7 vs 7.6 per 100 person-years for hospitalisation, p&lt;0.001 and 5.0 vs 1.7, p&lt;0.001 for mortality). As a comparison, the IRs for stroke and major bleeding were 1.7 and 0.8 per 100 person years, respectively. In multivariate models, high age, heart failure and vascular disease were independently associated with all-cause hospitalisation and- in addition to diabetes, previous stroke and renal disease-for all-cause mortality. In anticoagulated community-dwelling patients with AF, stroke risk is effectively reduced and thus fairly low, whereas risks of hospitalisation and mortality remain high, importantly mainly for non-cardiac causes. Notably high age, heart failure and vascular disease are predictive for such outcomes and may be of value in identifying high-risk patients in the future. NTR3741.</t>
  </si>
  <si>
    <t>Measuring the impact of the 2012 European pharmacovigilance legislation on additional risk minimization measures.</t>
  </si>
  <si>
    <t>Francisca, Reynold D C; Zomerdijk, Inge M; Sturkenboom, Miriam C J M; Straus, Sabine M J M</t>
  </si>
  <si>
    <t>expert opinion on drug safety</t>
  </si>
  <si>
    <t>https://pubmed.ncbi.nlm.nih.gov/30107752</t>
  </si>
  <si>
    <t>Additional risk minimization measures (aRMMs) may be needed to ensure that the benefits continue to outweigh the risks for medicines associated with serious risks. Prior research showed an increasing trend in medicines with aRMMs. We assessed whether the European pharmacovigilance legislation may have impacted the number and type of aRMMs. We included new active substances approved between 1 January 2010 and 31 December 2015. Information extracted from the summary of the Risk Management Plan at the time of licensing included date and type of marketing authorization, presence and type of aRMMs. We tested for differences using Pearson's Χ&lt;sup&gt;2&lt;/sup&gt; test and segmented Poisson regression. We identified 231 medicines approved during the study period, of which 30% had aRMMs at the time of licensing. ARMMs were in place for 38% of medicines before July 2012 and for 28% after (p = 0.16). Segmented Poisson regression did not show changes in trend or level of medicines with aRMMs. During the study period, no significant differences in the proportion or trend of products with aRMMs at the time of licensing before and after the pharmacovigilance legislation were identified.</t>
  </si>
  <si>
    <t>Estimated Life Expectancy Without Recurrent Cardiovascular Events in Patients With Vascular Disease: The SMART-REACH Model.</t>
  </si>
  <si>
    <t>Kaasenbrood, Lotte; Bhatt, Deepak L; Dorresteijn, Jannick A N; Wilson, Peter W F; D'Agostino, Ralph B; Massaro, Joseph M; van der Graaf, Yolanda; Cramer, Maarten J M; Kappelle, L Jaap; de Borst, Gert J; Steg, Ph Gabriel; Visseren, Frank L J</t>
  </si>
  <si>
    <t>https://pubmed.ncbi.nlm.nih.gov/30369323</t>
  </si>
  <si>
    <t>Background In patients with vascular disease, risk models may support decision making on novel risk reducing interventions, such as proprotein convertase subtilisin/kexin type 9 inhibitors or anti-inflammatory agents. We developed and validated an innovative model to estimate life expectancy without recurrent cardiovascular events for individuals with coronary, cerebrovascular, and/or peripheral artery disease that enables estimation of preventive treatment effect in lifetime gained. Methods and Results Study participants originated from prospective cohort studies: the SMART (Secondary Manifestations of Arterial Disease) cohort and REACH (Reduction of Atherothrombosis for Continued Health) cohorts of 14 259 ( REACH Western Europe), 19 170 ( REACH North America) and 6959 ( SMART , The Netherlands) patients with cardiovascular disease. The SMART-REACH model to estimate life expectancy without recurrent events was developed in REACH Western Europe as a Fine and Gray competing risk model incorporating cardiovascular risk factors. Validation was performed in REACH North America and SMART . Outcomes were (1) cardiovascular events (myocardial infarction, stroke, cardiovascular death) and (2) noncardiovascular death. Predictors were sex, smoking, diabetes mellitus, systolic blood pressure, total cholesterol, creatinine, number of cardiovascular disease locations, atrial fibrillation, and heart failure. Calibration plots showed high agreement between estimated and observed prognosis in SMART and REACH North America. C-statistics were 0.68 (95% confidence interval, 0.67-0.70) in SMART and 0.67 (95% confidence interval, 0.66-0.68) in REACH North America. Performance of the SMART-REACH model was better compared with existing risk scores and adds the possibility of estimating lifetime gained by novel therapies. Conclusions The externally validated SMART-REACH model could be used for estimation of anticipated improvements in life expectancy without recurrent cardiovascular events in individual patients with cardiovascular disease in Western Europe and North America.</t>
  </si>
  <si>
    <t>Assessing Emotional Functioning with Increased Power: Relative Validity of a Customized EORTC Short Form in the International ACTION Trial.</t>
  </si>
  <si>
    <t>Jabbarian, Lea J; Groenvold, Mogens; Petersen, Morten Aa; Christensen, Caroline Arnfeldt; Deliens, Luc; van der Heide, Agnes; Kars, Marijke C; Miccinesi, Guido; Payne, Sheila; Wilcock, Andrew; Korfage, Ida J; ,</t>
  </si>
  <si>
    <t>https://pubmed.ncbi.nlm.nih.gov/30661639</t>
  </si>
  <si>
    <t>There is a need to improve the assessment of emotional functioning (EF). In the international Advance Care Planning: an Innovative Palliative Care Intervention to Improve Quality of Life in Cancer Patients - a Multi-Centre Cluster Randomized Clinical Trial (ACTION) trial involving patients with advanced cancer, EF was assessed by a customized 10-item short form (EF10). The EF10 is based on the European Organisation for Research and Treatment of Cancer (EORTC) EF item bank and has the potential for greater precision than the common EORTC Quality of Life Questionnaire Core 30 four-item scale (EF4). We assessed the relative validity (RV) of EF10 compared with EF4. Patients from Belgium, Denmark, Italy, the Netherlands, Slovenia, and the United Kingdom completed EF10 and EF4, and provided data on generic quality of life, coping, self-efficacy, and personal characteristics. Based on clinical and sociodemographic variables and questionnaire responses, 53 "known groups" that were expected to differ were formed, for example, females versus males. The EF10 and EF4 were first independently compared within this known group, for example, the EF10 score of females vs the EF10 score of males. When these differences were significant, the RV was calculated for the comparison of the EF10 with the EF4. A total of 1028 patients (57% lung, 43% colorectal cancer) participated. Forty-five of the 53 known-groups comparisons were significantly different and were used for calculating the RV. In 41 of 45 (91%) comparisons, the RV was more than 1, meaning that EF10 had a higher RV than EF4. The mean RV of EF10 compared with that of EF4 was 1.41, indicating superior statistical power of EF10 to detect differences in EF. Compared with EF4, EF10 shows superior power, allowing a 20% to 34% smaller sample size without reducing power, when used as a primary outcome measure.</t>
  </si>
  <si>
    <t>Pedunculated Morphology of T1 Colorectal Tumors Associates With Reduced Risk of Adverse Outcome.</t>
  </si>
  <si>
    <t>Kessels, Koen; Backes, Yara; Elias, Sjoerd G; van den Blink, Aneya; Offerhaus, G Johan A; van Bergeijk, Jeroen D; Groen, John N; Seerden, Tom C J; Schwartz, Matthijs P; de Vos Tot Nederveen Cappel, Wouter H; Spanier, Bernhard W M; Geesing, Joost M J; Kerkhof, Marjon; Siersema, Peter D; Didden, Paul; Boonstra, Jurjen J; Herrero, Lorenza Alvarez; Wolfhagen, Frank H J; Ter Borg, Frank; van Lent, Anja U; Terhaar Sive Droste, Jochim S; Hazen, Wouter L; Schrauwen, Ruud W M; Vleggaar, Frank P; Laclé, Miangela M; Moons, Leon M G; ,</t>
  </si>
  <si>
    <t>https://pubmed.ncbi.nlm.nih.gov/30130623</t>
  </si>
  <si>
    <t>Risk stratification for adverse events, such as metastasis to lymph nodes, is based only on histologic features of tumors. We aimed to compare adverse outcomes of pedunculated vs nonpedunculated T1 colorectal cancers (CRC). We performed a retrospective study of 1656 patients diagnosed with T1CRC from 2000 through 2014 at 14 hospitals in The Netherlands. The median follow-up time of patients was 42.5 months (interquartile range, 18.5-77.5 mo). We evaluated the association between tumor morphology and the primary composite end point, adverse outcome, adjusted for clinical variables, histologic variables, resection margins, and treatment approach. Adverse outcome was defined as metastasis to lymph nodes, distant metastases, local recurrence, or residual tissue. Secondary end points were tumor metastasis, recurrence, and incomplete resection. Adverse outcome occurred in 67 of 723 patients (9.3%) with pedunculated T1CRCs vs 155 of 933 patients (16.6%) with nonpedunculated T1CRCs. Pedunculated morphology was independently associated with decreased risk of adverse outcome (adjusted odds ratio [OR], 0.59; 95% CI, 0.42-0.83; P = .003). Metastasis, incomplete resection, and recurrence were observed in 5.8%, 4.6%, and 3.9% of pedunculated T1CRCs vs 10.6%, 8.0%, and 6.6% of nonpedunculated T1CRCs, respectively. Pedunculated morphology was independently associated with a reduced risk of metastasis (adjusted OR, 0.62; 95% CI, 0.41-0.94; P = .03), incomplete resection (adjusted OR, 0.57; 95% CI, 0.36-0.91; P = .02), and recurrence (adjusted hazard ratio, 0.52; 95% CI, 0.32-0.85; P = .009). Metastasis, incomplete resection, and recurrence did not differ significantly between low-risk pedunculated vs nonpedunculated T1CRCs (0.8% vs 2.9%, P = .38; 1.5% vs 0%, P = .99; 1.5% vs 0%; P = .99). However, incomplete resection and recurrence were significantly lower for high-risk pedunculated vs nonpedunculated T1CRCs (6.5% vs 12.5%; P = .007; 4.4% vs 8.6%; P = .03). In a retrospective study of patients with T1CRC, we found pedunculated morphology to be associated independently with a decreased risk of adverse outcome in a T1CRC population at high risk of adverse outcome. Incorporating morphologic features of tumors in risk assessment could help predict outcomes of patients with T1CRC and help identify the best candidates for surgery.</t>
  </si>
  <si>
    <t>Ethnic differences in cardiovascular morbidity and mortality among patients with breast cancer in the Netherlands: a register-based cohort study.</t>
  </si>
  <si>
    <t>Deen, Laura; Buddeke, Josefien; Vaartjes, Ilonca; Bots, Michiel L; Norredam, Marie; Agyemang, Charles</t>
  </si>
  <si>
    <t>https://pubmed.ncbi.nlm.nih.gov/30121599</t>
  </si>
  <si>
    <t>Cardiovascular disease (CVD) is of increasing concern among breast cancer survivors. However, evidence on ethnic differences in CVD among women with breast cancer is sparse. We assessed ethnic differences in cardiovascular morbidity and mortality among patients with breast cancer in the Netherlands. A nationwide register-based cohort study comprising all women with a first admission for breast cancer (n=127 714) between 1996 and 2010 in the Netherlands was conducted. Differences in CVD admission, CVD mortality and overall CVD event, which comprised a CVD admission and/or CVD mortality, between the largest ethnic minority groups (Surinamese, Moroccan, Turkish, Antillean and Indonesian) and the Dutch general population (henceforth, Dutch) were investigated using Cox proportional hazard models. The incidence of cardiovascular outcomes varied by the ethnic group. The incidence of an overall cardiovascular event was significantly higher for women with breast cancer from Suriname (HR 1.46; 95% CI 1.29 to 1.64) and Turkey (HR 1.25; 95% CI 1.03 to 1.51), compared with Dutch women with breast cancer. In contrast, Indonesian women with breast cancer had a significantly lower risk (HR 0.88; 95% CI 0.81 to 0.96) of a cardiovascular event compared with Dutch women with breast cancer. The risk of a cardiovascular event did not differ between Moroccan and Dutch women with breast cancer, whereas for Antillean women the risk was not significantly higher. Our findings suggest that Surinamese and Turkish women with breast cancer are disadvantaged in terms of cardiovascular outcomes compared with Dutch women with breast cancer. More work is needed to unravel the potential factors contributing to these differences.</t>
  </si>
  <si>
    <t>The transitional risk and incident questionnaire was valid and reliable for measuring transitional patient safety from the patients' perspective.</t>
  </si>
  <si>
    <t>van Melle, Marije A; van Stel, Henk F; Poldervaart, Judith M; de Wit, Niek J; Zwart, Dorien L M</t>
  </si>
  <si>
    <t>https://pubmed.ncbi.nlm.nih.gov/30121378</t>
  </si>
  <si>
    <t>This study describes the development and validation of the Transitional Risk and Incident Questionnaire (TRIQ), which measures transitional patient safety from the patients' perspective. The TRIQ was developed based on literature review, tested in the target group using a think-aloud procedure, and validated by a cross-sectional study among patients receiving health care at the interface between general practice and hospital care in two regions in the Netherlands. Exploratory factor analysis was performed, and internal consistency was assessed. The relationships between the occurrence of transitional safety incidents (TSIs) as measured by the TRIQ and relational continuity and those between TSI occurrence and overall rating of transitions were assessed. In total, 451 questionnaires were completed for analysis. The exploratory factor analysis provided a four-factor solution: (1) personal relation with general practitioner, (2) personal relation with hospital physician, (3) information exchange, and (4) treatment consistency. Internal consistency was good (composite reliability, 0.75-0.95). An experienced TSI was related to a poorer relational continuity both with the general practitioner and hospital and with a lower overall rating of all transitions. The TRIQ is a valid and reliable questionnaire measuring transitional patient safety from the patients' perspective.</t>
  </si>
  <si>
    <t>Value-based evaluation of dialysis versus conservative care in older patients with advanced chronic kidney disease: a cohort study.</t>
  </si>
  <si>
    <t>Verberne, Wouter R; Dijkers, Janneke; Kelder, Johannes C; Geers, Anthonius B M; Jellema, Wilbert T; Vincent, Hieronymus H; van Delden, Johannes J M; Bos, Willem Jan W</t>
  </si>
  <si>
    <t>https://pubmed.ncbi.nlm.nih.gov/30115028</t>
  </si>
  <si>
    <t>Conservative care is argued to be a reasonable treatment alternative for dialysis in older patients with advanced chronic kidney disease (CKD). However, comparisons are scarce and generally focus on survival only. Comparative data on more patient-relevant outcomes are needed to truly foster shared decision-making on an individual level, and cost comparison is needed to assess value of care. We conducted a retrospective observational single-center cohort study in 366 patients aged ≥70 years with advanced CKD, who chose dialysis (n = 240) or conservative care (n = 126) after careful counselling by a multidisciplinary team in a non-academic teaching hospital in The Netherlands. Using a value-based health care approach (value = outcomes/cost): survival, health-related quality of life-cross-sectionally assessed with the Kidney Disease Quality of Life Short Form™-treatment burden, and treatment costs were evaluated. The overall survival benefit of patients on a dialysis pathway compared with patients on conservative care diminished or lost significance in patients aged ≥80 years or with severe comorbidity. There were no differences between patients managed conservatively and dialysis patients on physical and mental health summary scores (all P &gt; 0.1). Patients on conservative care had 352.7 hospital free days per year versus 282.7 in patients on a dialysis pathway, calculated from treatment decision (adjusted incidence rate ratio: 1.15, 95% confidence interval: 1.09 to 1.21, P &lt;  0.001). Annual treatment costs were lower in patients on conservative care (adjusted cost ratio: 0.43, 95% confidence interval: 0.28 to 0.67, P &lt;  0.001). In this study, conservative care is shown to be a viable treatment option in older patients with advanced CKD, particularly in the oldest old and those with severe comorbidity. By achieving similar outcomes at lower treatment burden and treatment costs, value was generated for older patients choosing conservative care and society.</t>
  </si>
  <si>
    <t>Cardiovascular disease risk prediction in low income settings: A call for context specific risk equations.</t>
  </si>
  <si>
    <t>Boateng, Daniel; Agyemang, Charles; Kengne, Andre P; Grobbee, Diederick E; Klipstein-Grobusch, Kerstin; ,</t>
  </si>
  <si>
    <t>https://pubmed.ncbi.nlm.nih.gov/29885693</t>
  </si>
  <si>
    <t>Validity and reliability of a medical record review method identifying transitional patient safety incidents in merged primary and secondary care patients' records.</t>
  </si>
  <si>
    <t>van Melle, Marije A; Zwart, Dorien L M; Poldervaart, Judith M; Verkerk, Otto Jan; Langelaan, Maaike; van Stel, Henk F; de Wit, Niek J</t>
  </si>
  <si>
    <t>https://pubmed.ncbi.nlm.nih.gov/30104308</t>
  </si>
  <si>
    <t>Inadequate information transfer during transitions in healthcare is a major patient safety issue. Aim of this study was to pilot a review of medical records to identify transitional safety incidents (TSIs) for use in a large intervention study and assess its reliability and validity. A retrospective medical record review study. Combined primary and secondary care medical records of 301 patients who had visited their general practitioner and the University Medical Center Utrecht, the Netherlands, in 2013 were randomly selected. Six trained reviewers assessed these medical records for presence of TSIs. To assess inter-rater reliability, 10% of medical records were independently reviewed twice. To assess validity, the identified TSIs were compared with a reference standard of three objectively identifiable TSIs. The reviewers identified TSIs in 52 (17.3%) of all transitional medical records. Variation between reviewers was high (range: 3-28 per 50 medical records). Positive agreement for finding a TSI between reviewers was 0%, negative agreement 80% and the Cohen's kappa -0.15. The reviewers identified 43 (22%) of 194 objectively identifiable TSIs. The reliability of our measurement tool for identifying TSIs in transitional medical record performed by clinicians was low. Although the TSIs that were identified by clinicians were valid, they missed 80% of them. Restructuring the record review procedure is necessary.</t>
  </si>
  <si>
    <t>Postauthorization Changes to Specific Obligations of Conditionally Authorized Medicines in the European Union: A Retrospective Cohort Study.</t>
  </si>
  <si>
    <t>Bloem, Lourens T; Mantel-Teeuwisse, Aukje K; Leufkens, Hubert G M; De Bruin, Marie L; Klungel, Olaf H; Hoekman, Jarno</t>
  </si>
  <si>
    <t>https://pubmed.ncbi.nlm.nih.gov/29969839</t>
  </si>
  <si>
    <t>When medicines are granted a Conditional Marketing Authorisation (CMA) in Europe, specific obligations are requested to obtain comprehensive data on benefits and risks. We performed a retrospective cohort study to characterize obligations, examine changes to their description and due dates after initial authorization, determine timing of data submission relative to due dates, and identify drug-related, procedure-related, and obligation-related factors associated with change. We identified 69 obligations for 26 medicines conditionally authorized between 2006 and 2016. We found 39 changes to 27 obligations (39% of obligations), of which four substantially changed the obligation. For 55% of obligations, data submission was delayed. Eleven factors were associated with change, including the use of CMA as a rescue option. The results are potentially indicative of a continuous search by regulators to reduce uncertainties. Submission delays impact public health negatively by prolonging exposure of patients to unknown risks, particularly when the level of uncertainty is high.</t>
  </si>
  <si>
    <t>Search for new phenomena using the invariant mass distribution of same-flavour opposite-sign dilepton pairs in events with missing transverse momentum in &lt;math xmlns="http://www.w3.org/1998/Math/MathML"&gt;&lt;mrow&gt;&lt;msqrt&gt;&lt;mi&gt;s&lt;/mi&gt;&lt;/msqrt&gt;&lt;mo&gt;=&lt;/mo&gt;&lt;mn&gt;13&lt;/mn&gt;&lt;/mrow&gt;&lt;/math&gt;   &lt;math xmlns="http://www.w3.org/1998/Math/MathML"&gt;&lt;mrow&gt;&lt;mtext&gt;Te&lt;/mtext&gt;&lt;mspace&gt;&lt;/mspace&gt;&lt;/mrow&gt;&lt;/math&gt;&lt;i&gt;pp&lt;/i&gt; collisions with the ATLAS detector.</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</si>
  <si>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AlconadaVerzini, M J; Alderweireldt, S; Aleksa, M; Aleksandrov, I N; Alexa, C; Alexander, G; Alexopoulos, T; Alhroob, M; Ali, B; Aliev, M; Alimonti, G; Alison, J; Alkire, S P; Allaire, C; Allbrooke, B M M; Allen, B W; Allport, P P; Aloisio, A; Alonso, A; Alonso, F; Alpigiani, C; Alshehri, A A; Alstaty, M I; AlvarezGonzalez, B; ÁlvarezPiqueras, D; Alviggi, M G; Amadio, B T; AmaralCoutinho, Y; Ambroz, L; Amelung, C; Amidei, D; Amor DosSantos, S P; Amoroso, S; Amrouche, C S; Anastopoulos, C; Ancu, L S; Andari, N; Andeen, T; Anders, C F; Anders, J K; Anderson, K J; Andreazza, A; Andrei, V; Angelidakis, S; An</t>
  </si>
  <si>
    <t>https://pubmed.ncbi.nlm.nih.gov/30215627</t>
  </si>
  <si>
    <t>A search for new phenomena in final states containing an &lt;math xmlns="http://www.w3.org/1998/Math/MathML"&gt;&lt;mrow&gt;&lt;msup&gt;&lt;mi&gt;e&lt;/mi&gt;&lt;mo&gt;+&lt;/mo&gt;&lt;/msup&gt;&lt;msup&gt;&lt;mi&gt;e&lt;/mi&gt;&lt;mo&gt;-&lt;/mo&gt;&lt;/msup&gt;&lt;/mrow&gt;&lt;/math&gt; or &lt;math xmlns="http://www.w3.org/1998/Math/MathML"&gt;&lt;mrow&gt;&lt;msup&gt;&lt;mi&gt;μ&lt;/mi&gt;&lt;mo&gt;+&lt;/mo&gt;&lt;/msup&gt;&lt;msup&gt;&lt;mi&gt;μ&lt;/mi&gt;&lt;mo&gt;-&lt;/mo&gt;&lt;/msup&gt;&lt;/mrow&gt;&lt;/math&gt; pair, jets, and large missing transverse momentum is presented. This analysis makes use of proton-proton collision data with an integrated luminosity of &lt;math xmlns="http://www.w3.org/1998/Math/MathML"&gt;&lt;mrow&gt;&lt;mn&gt;36.1&lt;/mn&gt;&lt;mspace&gt;&lt;/mspace&gt;&lt;msup&gt;&lt;mrow&gt;&lt;mi&gt;fb&lt;/mi&gt;&lt;/mrow&gt;&lt;mrow&gt;&lt;mo&gt;-&lt;/mo&gt;&lt;mn&gt;1&lt;/mn&gt;&lt;/mrow&gt;&lt;/msup&gt;&lt;/mrow&gt;&lt;/math&gt; , collected during 2015 and 2016 at a centre-of-mass energy &lt;math xmlns="http://www.w3.org/1998/Math/MathML"&gt;&lt;mrow&gt;&lt;msqrt&gt;&lt;mi&gt;s&lt;/mi&gt;&lt;/msqrt&gt;&lt;mo&gt;=&lt;/mo&gt;&lt;mn&gt;13&lt;/mn&gt;&lt;mspace&gt;&lt;/mspace&gt;&lt;mtext&gt;TeV&lt;/mtext&gt;&lt;/mrow&gt;&lt;/math&gt; with the ATLAS detector at the Large Hadron Collider. The search targets the pair production of supersymmetric coloured particles (squarks or gluinos) and their decays into final states containing an &lt;math xmlns="http://www.w3.org/1998/Math/MathML"&gt;&lt;mrow&gt;&lt;msup&gt;&lt;mi&gt;e&lt;/mi&gt;&lt;mo&gt;+&lt;/mo&gt;&lt;/msup&gt;&lt;msup&gt;&lt;mi&gt;e&lt;/mi&gt;&lt;mo&gt;-&lt;/mo&gt;&lt;/msup&gt;&lt;/mrow&gt;&lt;/math&gt; or &lt;math xmlns="http://www.w3.org/1998/Math/MathML"&gt;&lt;mrow&gt;&lt;msup&gt;&lt;mi&gt;μ&lt;/mi&gt;&lt;mo&gt;+&lt;/mo&gt;&lt;/msup&gt;&lt;msup&gt;&lt;mi&gt;μ&lt;/mi&gt;&lt;mo&gt;-&lt;/mo&gt;&lt;/msup&gt;&lt;/mrow&gt;&lt;/math&gt; pair and the lightest neutralino ( &lt;math xmlns="http://www.w3.org/1998/Math/MathML"&gt;&lt;msubsup&gt;&lt;mover&gt;&lt;mi&gt;χ&lt;/mi&gt;&lt;mo&gt;~&lt;/mo&gt;&lt;/mover&gt;&lt;mn&gt;1&lt;/mn&gt;&lt;mn&gt;0&lt;/mn&gt;&lt;/msubsup&gt;&lt;/math&gt; ) via one of two next-to-lightest neutralino ( &lt;math xmlns="http://www.w3.org/1998/Math/MathML"&gt;&lt;msubsup&gt;&lt;mover&gt;&lt;mi&gt;χ&lt;/mi&gt;&lt;mo&gt;~&lt;/mo&gt;&lt;/mover&gt;&lt;mn&gt;2&lt;/mn&gt;&lt;mn&gt;0&lt;/mn&gt;&lt;/msubsup&gt;&lt;/math&gt; ) decay mechanisms: &lt;math xmlns="http://www.w3.org/1998/Math/MathML"&gt;&lt;mrow&gt;&lt;msubsup&gt;&lt;mover&gt;&lt;mi&gt;χ&lt;/mi&gt;&lt;mo&gt;~&lt;/mo&gt;&lt;/mover&gt;&lt;mn&gt;2&lt;/mn&gt;&lt;mn&gt;0&lt;/mn&gt;&lt;/msubsup&gt;&lt;mo&gt;→&lt;/mo&gt;&lt;mi&gt;Z&lt;/mi&gt;&lt;msubsup&gt;&lt;mover&gt;&lt;mi&gt;χ&lt;/mi&gt;&lt;mo&gt;~&lt;/mo&gt;&lt;/mover&gt;&lt;mn&gt;1&lt;/mn&gt;&lt;mn&gt;0&lt;/mn&gt;&lt;/msubsup&gt;&lt;/mrow&gt;&lt;/math&gt; , where the &lt;i&gt;Z&lt;/i&gt; boson decays leptonically leading to a peak in the dilepton invariant mass distribution around the &lt;i&gt;Z&lt;/i&gt; boson mass; and &lt;math xmlns="http://www.w3.org/1998/Math/MathML"&gt;&lt;mrow&gt;&lt;msubsup&gt;&lt;mover&gt;&lt;mi&gt;χ&lt;/mi&gt;&lt;mo&gt;~&lt;/mo&gt;&lt;/mover&gt;&lt;mn&gt;2&lt;/mn&gt;&lt;mn&gt;0&lt;/mn&gt;&lt;/msubsup&gt;&lt;mo&gt;→&lt;/mo&gt;&lt;msup&gt;&lt;mi&gt;ℓ&lt;/mi&gt;&lt;mo&gt;+&lt;/mo&gt;&lt;/msup&gt;&lt;msup&gt;&lt;mi&gt;ℓ&lt;/mi&gt;&lt;mo&gt;-&lt;/mo&gt;&lt;/msup&gt;&lt;msubsup&gt;&lt;mover&gt;&lt;mi&gt;χ&lt;/mi&gt;&lt;mo&gt;~&lt;/mo&gt;&lt;/mover&gt;&lt;mn&gt;1&lt;/mn&gt;&lt;mn&gt;0&lt;/mn&gt;&lt;/msubsup&gt;&lt;/mrow&gt;&lt;/math&gt; with no intermediate &lt;math xmlns="http://www.w3.org/1998/Math/MathML"&gt;&lt;mrow&gt;&lt;msup&gt;&lt;mi&gt;ℓ&lt;/mi&gt;&lt;mo&gt;+&lt;/mo&gt;&lt;/msup&gt;&lt;msup&gt;&lt;mi&gt;ℓ&lt;/mi&gt;&lt;mo&gt;-&lt;/mo&gt;&lt;/msup&gt;&lt;/mrow&gt;&lt;/math&gt; resonance, yielding a kinematic endpoint in the dilepton invariant mass spectrum. The data are found to be consistent with the Standard Model expectation. Results are interpreted using simplified models, and exclude gluinos and squarks with masses as large as 1.85 and 1.3  &lt;math xmlns="http://www.w3.org/1998/Math/MathML"&gt;&lt;mrow&gt;&lt;mtext&gt;Te&lt;/mtext&gt;&lt;mspace&gt;&lt;/mspace&gt;&lt;/mrow&gt;&lt;/math&gt; at 95% confidence level, respectively.</t>
  </si>
  <si>
    <t>Circulating levels of P-selectin and E-selectin relate to cardiovascular magnetic resonance-derived aortic characteristics in young adults from the general population, a cross-sectional study.</t>
  </si>
  <si>
    <t>Eikendal, Anouk L M; Bots, Michiel L; Gohar, Aisha; Lutgens, Esther; Hoefer, Imo E; den Ruijter, Hester M; Leiner, Tim</t>
  </si>
  <si>
    <t>journal of cardiovascular magnetic resonance official journal of the society for cardiovascular magnetic resonance</t>
  </si>
  <si>
    <t>https://pubmed.ncbi.nlm.nih.gov/30068374</t>
  </si>
  <si>
    <t>Although endothelial cell adhesion molecules (CAMs) are postulated to play a key role in early atherosclerosis, studies on endothelial CAMs are mainly pertained to middle-aged populations and populations with an unfavourable cardiovascular risk burden. Therefore, this study evaluated whether circulating endothelial CAMs are related to cardiovascular magnetic resonance imaging (CMR) derived indicators of arterial wall alterations in a random sample of young adults from the general population. This cross-sectional study is part of the general-population-based Atherosclerosis-Monitoring-and-Biomarker-measurements-In-The-YOuNg (AMBITYON) cohort study. In 131 adults (age: 25-35 years), demography, anthropometry and a lipid spectrum was acquired. Thoracic aortic wall area, wall thickness and pulse wave velocity (PWV) were measured using a 3 T CMR-system. From stored blood samples, four CAMs (E-selectin, P-selectin, vascular CAM-1 and intercellular CAM-1) were measured using dedicated methods. Linear mixed-effects regression analysis was used to evaluate the relation of these CAMs with the selected aortic characteristics. Of the studied endothelial CAMs, P-selectin related to natural logarithm transformed aortic wall thickness (β = 0.18 mm/(μg/ml), [95% confidence interval: 0.04, 0.31], p = 0.01) whereas E-selectin related to natural logarithm transformed aortic PWV (β = 3.01 (m/s)/(μg/ml), [95% confidence interval: 0.08, 5.95], p = 0.04). Of note, VCAM-1 and ICAM-1 did not relate to the selected aortic characteristics. In young adults from the general population, circulating P-selectin and E-selectin levels appear positively related to CMR-derived aortic wall thickness and PWV, possibly pointing towards atherogenic inflammatory arterial wall alterations inflicted by these CAMs already in young adulthood. Netherlands National Trial Register (NTR): NTR4742 , Registered 18 August 2014, retrospectively registered.</t>
  </si>
  <si>
    <t>Effect of exercise and/or reduced calorie dietary interventions on breast cancer-related endogenous sex hormones in healthy postmenopausal women.</t>
  </si>
  <si>
    <t>de Roon, Martijn; May, Anne M; McTiernan, Anne; Scholten, Rob J P M; Peeters, Petra H M; Friedenreich, Christine M; Monninkhof, Evelyn M</t>
  </si>
  <si>
    <t>https://pubmed.ncbi.nlm.nih.gov/30071893</t>
  </si>
  <si>
    <t>Physical inactivity and being overweight are modifiable lifestyle risk factors that consistently have been associated with a higher risk of postmenopausal breast cancer in observational studies. One biologic hypothesis underlying this relationship may be via endogenous sex hormone levels. It is unclear if changes in dietary intake, physical activity, or both, are most effective in changing these hormone levels. This systematic review and meta-analysis examines the effect of reduced caloric dietary intake and/or increased exercise levels on breast cancer-related endogenous sex hormones. We conducted a systematic literature search in MEDLINE, Embase, and Cochrane's Central Register of Controlled Trials (CENTRAL) up to March 2017. Main outcome measures were breast cancer-related endogenous sex hormones. Randomized controlled trials (RCTs) reporting effects of reduced caloric intake and/or exercise interventions on endogenous sex hormones in healthy, physically inactive postmenopausal women were included. Studies including women using hormone therapy were excluded. The methodological quality of each study was assessed by the Cochrane's risk of bias tool. From the 2599 articles retrieved, seven articles from six RCTs were included in this meta-analysis. These trials investigated 1588 healthy postmenopausal women with a mean age ranging from 58 to 61 years. A combined intervention of reduced caloric intake and exercise, with durations ranging from 16 to 52 weeks, compared with a control group (without an intervention to achieve weight loss) resulted in the largest beneficial effects on estrone treatment effect ratio (TER) = 0.90 (95% confidence interval (CI) = 0.83-0.97), total estradiol TER = 0.82 (0.75-0.90), free estradiol TER = 0.73 (0.66-0.81), free testosterone TER = 0.86 (0.79-0.93), and sex hormone biding globulin (SHBG) TER = 1.23 (1.15-1.31). A reduced caloric intake without an exercise intervention resulted in significant effects compared with control on total estradiol TER = 0.86 (0.77-0.95), free estradiol TER = 0.77 (0.69-0.84), free testosterone TER = 0.91 (0.84-0.98), and SHBG TER = 1.20 (1.06-1.36). Exercise without dietary change, versus control, resulted in borderline significant effects on androstenedione TER = 0.97 (0.94-1.00), total estradiol TER = 0. 97 (0.94-1.00), and free testosterone TER = 0. 0.97 (0.95-1.00). This meta-analysis of six RCTs demonstrated that there are beneficial effects of exercise, reduced caloric dietary intake or, preferably, a combination of exercise and diet on breast cancer-related endogenous sex hormones in physically inactive postmenopausal women.</t>
  </si>
  <si>
    <t>Prediction Models for Clinical Outcome After a Carotid Revascularization Procedure.</t>
  </si>
  <si>
    <t>Volkers, Eline J; Algra, Ale; Kappelle, L Jaap; Jansen, Olav; Howard, George; Hendrikse, Jeroen; Halliday, Alison; Gregson, John; Fraedrich, Gustav; Eckstein, Hans-Henning; Calvet, David; Bulbulia, Richard; Brown, Martin M; Becquemin, Jean-Pierre; Ringleb, Peter A; Mas, Jean-Louis; Bonati, Leo H; Brott, Thomas G; Greving, Jacoba P; ,</t>
  </si>
  <si>
    <t>https://pubmed.ncbi.nlm.nih.gov/30012816</t>
  </si>
  <si>
    <t>Background and Purpose- Prediction models may help physicians to stratify patients with high and low risk for periprocedural complications or long-term stroke risk after carotid artery stenting or carotid endarterectomy. We aimed to evaluate external performance of previously published prediction models for short- and long-term outcome after carotid revascularization in patients with symptomatic carotid artery stenosis. Methods- From a literature review, we selected all prediction models that used only readily available patient characteristics known before procedure initiation. Follow-up data from 2184 carotid artery stenting and 2261 carotid endarterectomy patients from 4 randomized trials (EVA-3S [Endarterectomy Versus Angioplasty in Patients With Symptomatic Severe Carotid Stenosis], SPACE [Stent-Protected Angioplasty Versus Carotid Endarterectomy], ICSS [International Carotid Stenting Study], and CREST [Carotid Revascularization Endarterectomy Versus Stenting Trial]) were used to validate 23 short-term outcome models to estimate stroke or death risk ≤30 days after the procedure and the original outcome measure for which the model was developed. Additionally, we validated 7 long-term outcome models for the original outcome measure. Predictive performance of the models was assessed with C statistics and calibration plots. Results- Stroke or death ≤30 days after the procedure occurred in 158 (7.2%) patients after carotid artery stenting and in 84 (3.7%) patients after carotid endarterectomy. Most models for short-term outcome after carotid artery stenting (n=4) or carotid endarterectomy (n=19) had poor discriminative performance (C statistics ranging from 0.49-0.64) and poor calibration with small absolute risk differences between the lowest and highest risk groups and overestimation of risk in the highest risk groups. Long-term outcome models (n=7) had a slightly better performance with C statistics ranging from 0.59 to 0.67 and reasonable calibration. Conclusions- Current models did not reliably predict outcome after carotid revascularization in a trial population of patients with symptomatic carotid stenosis. In particular, prediction of short-term outcome seemed to be difficult. Further external validation of existing prediction models or development of new prediction models is needed before such models can be used to support treatment decisions in individual patients.</t>
  </si>
  <si>
    <t>Response to letters to the editor regarding our paper "Early introduction of complementary foods and childhood overweight in breastfed and formula-fed infants in the Netherlands: the PIAMA birth cohort study".</t>
  </si>
  <si>
    <t>Pluymen, Linda P M; Wijga, Alet H; Gehring, Ulrike; Koppelman, Gerard H; Smit, Henriëtte A; van Rossem, Lenie</t>
  </si>
  <si>
    <t>https://pubmed.ncbi.nlm.nih.gov/29766291</t>
  </si>
  <si>
    <t>Decline in mortality in patients with dementia: Results from a nationwide cohort of 44 258 patients in the Netherlands during 2000 to 2008.</t>
  </si>
  <si>
    <t>https://pubmed.ncbi.nlm.nih.gov/30063069</t>
  </si>
  <si>
    <t>To investigate whether mortality and readmission risk have changed over the last decade. Prospective hospital-based cohort of 44 258 patients with dementia admitted to hospital or visiting a day clinic between 2000 and 2008. Absolute risks (ARs) of 1- and 3-year mortality and 1-year hospital readmission were quantified and stratified by type of care (day clinic or inpatient care). Cox models were used to compare hazard ratios (HRs), adjusted for age, sex, comorbidity, of death, and readmission across the years using 2000 as the reference group. One-year mortality declined among men visiting a day clinic (AR in 2008 versus 2000: 13.0%, 29.9%; HR 0.41, 95% CI, 0.30-0.55). Among inpatients, these ARs were 48.7%, 53.0% (HR 0.85, 95% CI, 0.77-0.94). Three-year mortality also declined (AR for men visiting a day clinic: 37.5%, 58.4%, HR 0.53, 95% CI, 0.43-0.64; for inpatients: 74.4%, 78.9%, HR 0.80, 95% CI, 0.73-0.88). Whereas 1-year readmission risk decreased among men visiting a day clinic (AR 44.1%, 65.9%, HR 0.52, 95% CI, 0.43-0.63), the risk increased among inpatients (AR 36.9%, 27.6%, HR 1.48, 95% CI, 1.28-1.72). One- and 3-year mortality remarkably declined. One-year hospital readmission risk increased among inpatients and decreased among patients visiting a day clinic. The results should raise awareness for the increased survival with dementia, as this has direct consequences for patients and (in)formal caregivers, and probably also for health care costs.</t>
  </si>
  <si>
    <t>The relation between body fat distribution, plasma concentrations of adipokines and the metabolic syndrome in patients with clinically manifest vascular disease.</t>
  </si>
  <si>
    <t>Schrover, Ilse M; van der Graaf, Yolanda; Spiering, Wilko; Visseren, Frank Lj; ,</t>
  </si>
  <si>
    <t>https://pubmed.ncbi.nlm.nih.gov/30052066</t>
  </si>
  <si>
    <t>Introduction We evaluated the relationship between adipokine plasma concentrations and body fat distribution and the metabolic syndrome. Methods In a cohort of 1215 patients with clinically manifest vascular disease the relation between subcutaneous adipose tissue, visceral adipose tissue, waist circumference, body mass index and plasma concentrations of adipsin, chemerin, monocyte chemoattractant protein-1, migration inhibitory factor, nerve growth factor, resistin, plasma amyloid A1, adiponectin, leptin, plasminogen activator inhibitor-1 and hepatic growth factor were cross-sectionally assessed with linear regression and adjusted for age and gender. The relation between adipokines and the metabolic syndrome was cross-sectionally evaluated using logistic regression. An adipokine profile was developed to measure the effect of combined rather than single adipokines. Results Adiposity was related to higher nerve growth factor, hepatic growth factor, migration inhibitory factor, leptin and adipsin and with lower chemerin, plasminogen activator inhibitor-1, resistin, plasma amyloid A1 and adiponectin. The strongest positive relations were between body mass index and adipsin (β 0.247; 95% CI 0.137-0.356) and leptin (β 0.266; 95% CI 0.207-0.324); the strongest negative relations were between body mass index and plasma amyloid A1 (β -0.266; 95% CI -0.386 to -0.146) and visceral adipose tissue and adiponectin (β -0.168; 95% CI -0.226 to -0.111). There was no relation between subcutaneous adipose tissue and adipokines. Odds for the metabolic syndrome were higher with each 1 SD higher hepatic growth factor (OR 1.21; 95% CI 1.06-1.38) and leptin (OR 1.26; 95% CI 1.10-1.45) and lower with each 1 SD higher adiponectin (OR 0.73; 95% CI 0.64-0.83) and resistin (OR 0.85; 95% CI 0.74-0.97). The adipokine profile was related to the metabolic syndrome (OR 1.03; 95% CI 1.00-1.06). Conclusion Plasma concentrations of adipokines are related to obesity and body fat distribution. The relation between adipokine concentrations and the metabolic syndrome is independent of visceral adipose tissue.</t>
  </si>
  <si>
    <t>Pretransplant C3d-Fixing Donor-Specific Anti-HLA Antibodies Are Not Associated with Increased Risk for Kidney Graft Failure.</t>
  </si>
  <si>
    <t>Kamburova, Elena G; Wisse, Bram W; Joosten, Irma; Allebes, Wil A; van der Meer, Arnold; Hilbrands, Luuk B; Baas, Marije C; Spierings, Eric; Hack, Cornelis E; van Reekum, Franka E; van Zuilen, Arjan D; Verhaar, Marianne C; Bots, Michiel L; Drop, Adriaan C A D; Plaisier, Loes;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Hoitsma, Andries J; van der Boog, Paul J M; de Fijter, Johan W; Betjes, Michiel G H; Heidt, Sebastiaan; Roelen, Dave L; Claas, Frans H; Otten, Henny G</t>
  </si>
  <si>
    <t>journal of the american society of nephrology jasn</t>
  </si>
  <si>
    <t>https://pubmed.ncbi.nlm.nih.gov/30049681</t>
  </si>
  <si>
    <t>&lt;b&gt;Background&lt;/b&gt; Complement-fixing antibodies against donor HLA are considered a contraindication for kidney transplant. A modification of the IgG single-antigen bead (SAB) assay allows detection of anti-HLA antibodies that bind C3d. Because early humoral graft rejection is considered to be complement mediated, this SAB-based technique may provide a valuable tool in the pretransplant risk stratification of kidney transplant recipients.&lt;b&gt;Methods&lt;/b&gt; Previously, we established that pretransplant donor-specific anti-HLA antibodies (DSAs) are associated with increased risk for long-term graft failure in complement-dependent cytotoxicity crossmatch-negative transplants. In this study, we further characterized the DSA-positive serum samples using the C3d SAB assay.&lt;b&gt;Results&lt;/b&gt; Among 567 pretransplant DSA-positive serum samples, 97 (17%) contained at least one C3d-fixing DSA, whereas 470 (83%) had non-C3d-fixing DSA. At 10 years after transplant, patients with C3d-fixing antibodies had a death-censored, covariate-adjusted graft survival of 60%, whereas patients with non-C3d-fixing DSA had a graft survival of 64% (hazard ratio, 1.02; 95% confidence interval, 0.70 to 1.48 for C3d-fixing DSA compared with non-C3d-fixing DSA; &lt;i&gt;P&lt;/i&gt;=0.93). Patients without DSA had a 10-year graft survival of 78%.&lt;b&gt;Conclusions&lt;/b&gt; The C3d-fixing ability of pretransplant DSA is not associated with increased risk for graft failure.</t>
  </si>
  <si>
    <t>Nonsteroidal anti-inflammatory drug use and breast cancer risk in a European prospective cohort study.</t>
  </si>
  <si>
    <t>Cairat, Manon; Fournier, Agnès; Murphy, Neil; Biessy, Carine; Scalbert, Augustin; Rinaldi, Sabina; Tjønneland, Anne; Olsen, Anja; Overvad, Kim; Arveux, Patrick; Boutron-Ruault, Marie-Christine; Cadeau, Claire; Fortner, Renée Turzanski; Kaaks, Rudolf; Boeing, Heiner; Aleksandrova, Krasimira; Peeters, Petra H M; Van Gils, Carla H; Wareham, Nicholas J; Khaw, Kay-Tee; Aune, Dagfinn; Riboli, Elio; Gunter, Marc J; Dossus, Laure</t>
  </si>
  <si>
    <t>https://pubmed.ncbi.nlm.nih.gov/29707771</t>
  </si>
  <si>
    <t>Experimental studies have shown a protective effect of nonsteroidal anti-inflammatory drugs (NSAIDs) on breast cancer development. However, results from epidemiological cohort studies are less consistent. Our objective was to assess the association between NSAID use and breast cancer risk within the European Prospective Investigation into Cancer and Nutrition (EPIC). EPIC is a prospective cohort study initiated in 1992 in 10 European countries. Self-reported information on NSAID use at baseline has been collected in five EPIC countries. Multivariable Cox regression models were used to estimate hazard ratios for the association of NSAID use with breast cancer incidence with adjustment for potential confounders. We also assessed effect modification by breast cancer risk factors and examined the associations within specific breast cancer subtypes. Among the 140,981 women included in the analysis, 7% were regularly using NSAIDs at baseline. During a median follow-up time period of 13 years, 7,379 incident breast cancer cases were diagnosed (816 in situ and 6,563 invasive). There were no statistically significant associations between NSAID use and breast cancer risk, overall and by subtypes. However, a statistically significant interaction was observed for invasive cases between NSAID use and ever use of menopausal hormonal therapy (MHT) among postmenopausal women [MHT users: HR&lt;sub&gt;NSAID use&lt;/sub&gt;  = 0.84 (0.73-0.96); non MHT users: HR&lt;sub&gt;NSAID use&lt;/sub&gt;  = 1.08 (0.93-1.25); p&lt;sub&gt;interaction&lt;/sub&gt;  = 0.05]. Our results indicate potential effect modification of MHT use on the association between use of NSAIDs and breast cancer risk which deserves in-depth investigation in studies with accurate data on both NSAID and MHT use.</t>
  </si>
  <si>
    <t>The prevalence of left ventricular diastolic dysfunction and heart failure with preserved ejection fraction in men and women with type 2 diabetes: A systematic review and meta-analysis.</t>
  </si>
  <si>
    <t>Bouthoorn, Selma; Valstar, Gideon B; Gohar, Aisha; den Ruijter, Hester M; Reitsma, Hans B; Hoes, Arno W; Rutten, Frans H</t>
  </si>
  <si>
    <t>diabetes vascular disease research</t>
  </si>
  <si>
    <t>https://pubmed.ncbi.nlm.nih.gov/30037278</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</si>
  <si>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</si>
  <si>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A framework for meta-analysis of prediction model studies with binary and time-to-event outcomes.</t>
  </si>
  <si>
    <t>Debray, Thomas Pa; Damen, Johanna Aag; Riley, Richard D; Snell, Kym; Reitsma, Johannes B; Hooft, Lotty; Collins, Gary S; Moons, Karel Gm</t>
  </si>
  <si>
    <t>https://pubmed.ncbi.nlm.nih.gov/30032705</t>
  </si>
  <si>
    <t>It is widely recommended that any developed-diagnostic or prognostic-prediction model is externally validated in terms of its predictive performance measured by calibration and discrimination. When multiple validations have been performed, a systematic review followed by a formal meta-analysis helps to summarize overall performance across multiple settings, and reveals under which circumstances the model performs suboptimal (alternative poorer) and may need adjustment. We discuss how to undertake meta-analysis of the performance of prediction models with either a binary or a time-to-event outcome. We address how to deal with incomplete availability of study-specific results (performance estimates and their precision), and how to produce summary estimates of the &lt;i&gt;c&lt;/i&gt;-statistic, the observed:expected ratio and the calibration slope. Furthermore, we discuss the implementation of frequentist and Bayesian meta-analysis methods, and propose novel empirically-based prior distributions to improve estimation of between-study heterogeneity in small samples. Finally, we illustrate all methods using two examples: meta-analysis of the predictive performance of EuroSCORE II and of the Framingham Risk Score. All examples and meta-analysis models have been implemented in our newly developed R package "metamisc".</t>
  </si>
  <si>
    <t>Combined use of polypill components in patients with type 2 diabetes mellitus.</t>
  </si>
  <si>
    <t>Janssen, Vivi E; Visseren, Frank L; de Boer, Anthonius; Grobbee, Diederick E; Westerink, Jan; van der Graaf, Yolanda; Lafeber, Melvin; ,</t>
  </si>
  <si>
    <t>https://pubmed.ncbi.nlm.nih.gov/30033753</t>
  </si>
  <si>
    <t>Objectives A polypill containing aspirin, a statin and blood pressure (BP)-lowering agents has been proposed for the prevention of cardiovascular disease. To increase adherence and reduce the gaps between indicated and used therapy, a polypill might be of interest for patients with type 2 diabetes (T2DM). Our aim was to assess the prevalence of the combined use of polypill components in patients with T2DM over time. Methods The combined use of polypill components was assessed between 1996 and 2015 in patients with T2DM in the prospective SMART cohort ( n = 1828). The results were dichotomized into patients without ( n = 568) and with ( n = 1260) vascular disease. The patient characteristics associated with the use of polypill components were evaluated. Results In total, 19% of patients with T2DM without vascular disease received a statin and ≥2 BP-lowering agents ('cardiovascular polypill') and 13% received additional oral glucose-lowering therapy ('diabetic polypill'). Of the patients with T2DM with vascular disease, 42% received the combination of an antiplatelet agent, a statin and ≥2 BP-lowering agents ('cardiovascular polypill') and 30% received additional glucose-lowering therapy ('diabetic polypill'). The prevalence of the use of the cardiovascular and diabetic polypill combination has substantially increased between 1996 and 2015 to 36 and 32% in patients without vascular disease and to 67 and 57% in patients with vascular disease. Conclusions Patients with T2DM frequently use polypill components, often together with oral glucose-lowering agents, and this rate of use has increased steadily between 1996 and 2015. Introducing a cardiovascular or diabetic polypill for patients with T2DM seems to be highly relevant.</t>
  </si>
  <si>
    <t>KIM-1 as a Blood-Based Marker for Early Detection of Kidney Cancer: A Prospective Nested Case-Control Study.</t>
  </si>
  <si>
    <t>Scelo, Ghislaine; Muller, David C; Riboli, Elio; Johansson, Mattias; Cross, Amanda J; Vineis, Paolo; Tsilidis, Konstantinos K; Brennan, Paul; Boeing, Heiner; Peeters, Petra H M; Vermeulen, Roel C H; Overvad, Kim; Bueno-de-Mesquita, H Bas; Severi, Gianluca; Perduca, Vittorio; Kvaskoff, Marina; Trichopoulou, Antonia; La Vecchia, Carlo; Karakatsani, Anna; Palli, Domenico; Sieri, Sabina; Panico, Salvatore; Weiderpass, Elisabete; Sandanger, Torkjel M; Nøst, Therese H; Agudo, Antonio; Quirós, J Ramón; Rodríguez-Barranco, Miguel; Chirlaque, Maria-Dolores; Key, Timothy J; Khanna, Prateek; Bonventre, Joseph V; Sabbisetti, Venkata S; Bhatt, Rupal S</t>
  </si>
  <si>
    <t>https://pubmed.ncbi.nlm.nih.gov/30037816</t>
  </si>
  <si>
    <t>&lt;b&gt;Purpose:&lt;/b&gt; Renal cell carcinoma (RCC) has the potential for cure with surgery when diagnosed at an early stage. Kidney injury molecule-1 (KIM-1) has been shown to be elevated in the plasma of RCC patients. We aimed to test whether plasma KIM-1 could represent a means of detecting RCC prior to clinical diagnosis.&lt;b&gt;Experimental Design:&lt;/b&gt; KIM-1 concentrations were measured in prediagnostic plasma from 190 RCC cases and 190 controls nested within a population-based prospective cohort study. Cases had entered the cohort up to 5 years before diagnosis, and controls were matched on cases for date of birth, date at blood donation, sex, and country. We applied conditional logistic regression and flexible parametric survival models to evaluate the association between plasma KIM-1 concentrations and RCC risk and survival.&lt;b&gt;Results:&lt;/b&gt; The incidence rate ratio (IRR) of RCC for a doubling in KIM-1 concentration was 1.71 [95% confidence interval (CI), 1.44-2.03, &lt;i&gt;P&lt;/i&gt; = 4.1 × 10&lt;sup&gt;-23&lt;/sup&gt;], corresponding to an IRR of 63.3 (95% CI, 16.2-246.9) comparing the 80th to the 20th percentiles of the KIM-1 distribution in this sample. Compared with a risk model including known risk factors of RCC (age, sex, country, body mass index, and tobacco smoking status), a risk model additionally including KIM-1 substantially improved discrimination between cases and controls (area under the receiver-operating characteristic curve of 0.8 compared with 0.7). High plasma KIM-1 concentrations were also associated with poorer survival (&lt;i&gt;P&lt;/i&gt; = 0.0053).&lt;b&gt;Conclusions:&lt;/b&gt; Plasma KIM-1 concentrations could predict RCC incidence up to 5 years prior to diagnosis and were associated with poorer survival. &lt;i&gt;Clin Cancer Res; 24(22); 5594-601. ©2018 AACR&lt;/i&gt;.</t>
  </si>
  <si>
    <t>Privacy in Big Data psychiatric and behavioural research: A multiple-case study.</t>
  </si>
  <si>
    <t>Mostert, M; Koomen, B M; van Delden, J J M; Bredenoord, A L</t>
  </si>
  <si>
    <t>international journal of law and psychiatry</t>
  </si>
  <si>
    <t>https://pubmed.ncbi.nlm.nih.gov/30217329</t>
  </si>
  <si>
    <t>In Big Data health research, concerns have risen about privacy and data protection. While the ethical and legal discussion about these issues is ongoing, so is research practice. The aim of this qualitative case study is to gain more insight into how these concerns are currently dealt with in practice. For this multiple-case study, the YOUth cohort, a longitudinal cohort focusing on psychosocial development, and Big Data Psychiatry, a pilot study in Big Data analytics on psychiatric health data, were selected. A broad range of relevant documents were collected and semi-structured interviews with stakeholders were conducted. Data were coded, studied and divided into themes during an iterative analytical process. Three themes emerged: abandoning anonymisation, reconfiguring participant control, and the search for guidance and expertise. Overall, the findings show that it takes considerable effort to take privacy and data protection norms into account in a Big Data health research initiative, especially when individual participant level data need to be linked or enriched. By embracing the complexity of the law in an early phase, setbacks could be prevented, the existing flexibility within the law could be utilised, and systems or organisations could be designed and constructed to take relevant rules into account. Our paper illustrates that a close collaboration of experts with different backgrounds within the initiative may be necessary to be able to successfully navigate this process.</t>
  </si>
  <si>
    <t>Increased Levels of Oxidative Damage in Liver Metastases Compared with Corresponding Primary Colorectal Tumors: Association with Molecular Subtype and Prior Treatment.</t>
  </si>
  <si>
    <t>van der Waals, Lizet M; Jongen, Jennifer M J; Elias, Sjoerd G; Veremiyenko, Kateryna; Trumpi, Kari; Trinh, Anne; Laoukili, Jamila; Ubink, Inge; Schenning-van Schelven, Susanne J; van Diest, Paul J; Borel Rinkes, Inne H M; Kranenburg, Onno</t>
  </si>
  <si>
    <t>the american journal of pathology</t>
  </si>
  <si>
    <t>https://pubmed.ncbi.nlm.nih.gov/30031728</t>
  </si>
  <si>
    <t>High levels of oxidative stress in disseminated colorectal cancer tumor cells may form a therapeutically exploitable vulnerability. However, it is unclear whether oxidative stress and damage persist in metastases. Therefore, we analyzed markers of oxidative damage in primary colorectal tumors and their corresponding liver metastases. Markers of generic and oxidative DNA damage [phosphorylated histone H2AX (γH2AX) and 8-hydroxy-2'-deoxyguanosine (8-OHdG)] were significantly higher in liver metastases compared with their corresponding primary tumors. Chemotherapy and/or radiotherapy before tumor resection was associated with increased persistent oxidative DNA damage, and this effect was more pronounced in metastases. Immunohistochemistry-based molecular classification into epithelial- and mesenchymal-like molecular subtypes revealed that untreated mesenchymal-like tumors contained lower levels of oxidative DNA damage compared with epithelial-like tumors. Treated mesenchymal-like tumors, but not epithelial-like tumors, showed significantly higher levels of γH2AX and 8-OHdG. Mesenchymal-like tumors expressed significantly lower levels of phosphorylated nuclear factor erythroid 2-related factor 2, a master regulator of the antioxidant response, and nuclear factor erythroid 2-related factor 2-controlled genes. Of interest, a positive 8-OHdG status identified a subgroup of mesenchymal-like metastases with a poor overall survival. An increased capacity to tolerate therapy-induced oxidative damage in mesenchymal-like colorectal cancer may explain, at least in part, the poor responsiveness of these tumors to chemotherapy, which could contribute to the poor survival of this patient subgroup.</t>
  </si>
  <si>
    <t>Improving cardiometabolic health through nudging dietary behaviours and physical activity in low SES adults: design of the Supreme Nudge project.</t>
  </si>
  <si>
    <t>Lakerveld, Jeroen; Mackenbach, Joreintje D; de Boer, Femke; Brandhorst, Boris; Broerse, Jacqueline E W; de Bruijn, Gert-Jan; Feunekes, Gerda; Gillebaart, Marleen; Harbers, Marjolein; Hoenink, Jody; Klein, Michel; Mensink, Frederike; Middel, Cédric; de Ridder, Denise T D; Rutters, Femke; Sluijs, Ivonne; van der Schouw, Yvonne T; Schuitmaker, Tjerk Jan; Te Velde, Saskia J; Velema, Elizabeth; Waterlander, Wilma; Brug, Johannes; Beulens, Joline W J</t>
  </si>
  <si>
    <t>https://pubmed.ncbi.nlm.nih.gov/30029600</t>
  </si>
  <si>
    <t>Initiating and maintaining a healthy lifestyle -including healthy eating and sufficient physical activity- is key for cardiometabolic health. A health-promoting environment can facilitate a healthy lifestyle, and may be especially helpful to reach individuals with a lower socio-economic status (SES). In the Supreme Nudge project, we will study the effects of pricing and nudging strategies in the supermarket - one of the most important point-of-choice settings for food choices - and of a context-specific mobile physical activity promotion app. This paper describes the stepwise and theory-based design of Supreme Nudge, which aims to develop, implement and evaluate environmental changes for a sustained impact on lifestyle behaviours and cardiometabolic health in low SES adults. Supreme Nudge uses a multi-disciplinary and mixed methods approach, integrating participatory action research, qualitative interviews, experimental pilot studies, and a randomized controlled trial in a real-life (supermarket) setting. First, we will identify the needs, characteristics and preferences of the target group as well as of the participating supermarket chain. Second, we will conduct a series of pilot studies to test novel, promising and feasible intervention components. Third, a final selection of intervention components will be implemented in a full-scale randomised controlled supermarket trial. Approximately 1000 low SES adults will be recruited across 8-12 supermarkets and randomised at supermarket level to receive 1) no intervention (control); 2) environmental nudges such as food product placement or promotion; 3) nudges and a tailored physical activity app that provides time- and context specific feedback; 4) pricing interventions, nudges, and the physical activity app. The effects on dietary behaviours and physical activity will be evaluated at 3, 6 and 12 months, and on cardiometabolic health at 6 and 12 months. Finally, we will evaluate the Reach, Effectiveness, Adoption, Implementation and Maintenance (RE-AIM) of the intervention, and we will use insights from System Innovation and Transition Management theories to define the best strategies for implementation and upscaling beyond the study period. The Supreme Nudge project is likely to generate thorough evidence relevant for policy and practice on the effects of a mixed method and multi-disciplinary intervention targeting dietary behaviours and physical activity. The real-life trial has been registered on 30 May 2018, NTR7302 .</t>
  </si>
  <si>
    <t>Poor reporting of multivariable prediction model studies: towards a targeted implementation strategy of the TRIPOD statement.</t>
  </si>
  <si>
    <t>https://pubmed.ncbi.nlm.nih.gov/30021577</t>
  </si>
  <si>
    <t>As complete reporting is essential to judge the validity and applicability of multivariable prediction models, a guideline for the Transparent Reporting of a multivariable prediction model for Individual Prognosis Or Diagnosis (TRIPOD) was introduced. We assessed the completeness of reporting of prediction model studies published just before the introduction of the TRIPOD statement, to refine and tailor its implementation strategy. Within each of 37 clinical domains, 10 journals with the highest journal impact factor were selected. A PubMed search was performed to identify prediction model studies published before the launch of TRIPOD in these journals (May 2014). Eligible publications reported on the development or external validation of a multivariable prediction model (either diagnostic or prognostic) or on the incremental value of adding a predictor to an existing model. We included 146 publications (84% prognostic), from which we assessed 170 models: 73 (43%) on model development, 43 (25%) on external validation, 33 (19%) on incremental value, and 21 (12%) on combined development and external validation of the same model. Overall, publications adhered to a median of 44% (25th-75th percentile 35-52%) of TRIPOD items, with 44% (35-53%) for prognostic and 41% (34-48%) for diagnostic models. TRIPOD items that were completely reported for less than 25% of the models concerned abstract (2%), title (5%), blinding of predictor assessment (6%), comparison of development and validation data (11%), model updating (14%), model performance (14%), model specification (17%), characteristics of participants (21%), model performance measures (methods) (21%), and model-building procedures (24%). Most often reported were TRIPOD items regarding overall interpretation (96%), source of data (95%), and risk groups (90%). More than half of the items considered essential for transparent reporting were not fully addressed in publications of multivariable prediction model studies. Essential information for using a model in individual risk prediction, i.e. model specifications and model performance, was incomplete for more than 80% of the models. Items that require improved reporting are title, abstract, and model-building procedures, as they are crucial for identification and external validation of prediction models.</t>
  </si>
  <si>
    <t>Patient delay in TIA: a systematic review.</t>
  </si>
  <si>
    <t>Dolmans, L Servaas; Hoes, Arno W; Bartelink, Marie-Louise E L; Koenen, Niels C T; Kappelle, L Jaap; Rutten, Frans H</t>
  </si>
  <si>
    <t>https://pubmed.ncbi.nlm.nih.gov/30027321</t>
  </si>
  <si>
    <t>Patients who suffer a transient ischemic attack (TIA) have a high short-term risk of developing ischemic stroke, notably within the first 48 h. Timely diagnosis and urgent preventive treatment substantially reduce this risk. We conducted a systemic review to quantify patient delay in patients with (suspected) TIA, and assess determinants related to such delay. A systematic review using MEDLINE and EMBASE databases up to March 2017 to identify studies reporting the time from onset of TIA symptoms to seeking medical help. We identified nine studies providing data on patient delay, published between 2006 and 2016, with 7/9 studies originating from the United Kingdom (UK). In total 1103 time-defined TIA patients (no remaining symptoms &gt; 24 h), and 896 patients with a minor stroke (i.e., mild remaining symptoms &gt; 24 h) were included (49.1% men, mean age 72.2 years). Patient's delay of more than 24 h was reported in 33.1-44.4% of TIA patients, with comparable proportions for minor stroke patients. Delays were on average shorter in patients interviewed at the emergency department than among patients seen at TIA outpatient clinics. Univariably associated with a shorter delay were (1) a longer duration of symptoms, (2) motor symptoms, (3) a higher ABCD2 score, and (4) correct patient's recognition as possible ischemic cerebrovascular event. More than a third of patients experiencing a TIA delays medical attention for more than a day, thus critically extending the initiation of stroke preventive treatment. There still seems to be insufficient awareness among lay people that symptoms suggestive of TIA should be considered as an emergency. Additional data and multivariable analyses are needed to define main determinants of patient delay.</t>
  </si>
  <si>
    <t>Short-Term Daily Intake of Polydextrose Fiber Does Not Shorten Intestinal Transit Time in Constipated Adults: A Randomized Controlled Trial.</t>
  </si>
  <si>
    <t>Duncan, Peter I; Enters-Weijnen, Catherine F; Emami, Nashmil; McLean, Peter; Nunes, Tiago; Beaumont, Maurice; Crabbe, Rafael; Whelan, Kevin; Scott, S Mark; deWit, Niek J; Weits, Teunis; Bergonzelli, Gabriela; Grobbee, Diederick E</t>
  </si>
  <si>
    <t>https://pubmed.ncbi.nlm.nih.gov/30029461</t>
  </si>
  <si>
    <t>Chronic constipation (CC) remains a common gastrointestinal (GI) disorder that conveys a substantial healthcare burden. Expert guidelines recommend increasing fiber intake, yet the clinical evidence to support this needs strengthening for specific fibers. The aim was to evaluate changes in intestinal transit time and GI symptoms in CC patients who consumed polydextrose. In a randomized, double-blind, placebo-controlled trial, 128 adults with CC received 8 g or 12 g polydextrose, or placebo, daily for 4 weeks. Transit time, as primary outcome, was assessed by radiopaque marker distribution after 2-weeks intervention. Bowel habits, GI symptoms and quality of life (QOL) were assessed by questionnaire, including the Patient-Assessment of Constipation (PAC) Symptoms (SYM), and PAC-QOL. Following 2-weeks intervention, no reduction was seen in transit time in any group and following 2- or 4-weeks intervention, no improvements were seen in stool frequency or consistency in any group. After 2-weeks intervention with 8 g/day polydextrose an improvement was seen in the PAC-SYM rectal score (&lt;i&gt;p&lt;/i&gt; = 0.041). After 4-weeks intervention both rectal (&lt;i&gt;p&lt;/i&gt; = 0.049) and stool (&lt;i&gt;p&lt;/i&gt; = 0.029) scores improved while improvement in the QOL satisfaction score did not reach significance (&lt;i&gt;p&lt;/i&gt; = 0.071). Overall, the results suggest that 2-weeks consumption of 8 or 12 g/day polydextrose does not significantly improve physiological measures of gut function in CC adults. Longer term consumption may improve clinical measures, but further studies will be required to substantiate this.</t>
  </si>
  <si>
    <t>Prospective Randomized Open-label Trial to evaluate risk faCTor management in patients with Unruptured intracranial aneurysms: Study protocol.</t>
  </si>
  <si>
    <t>Vergouwen, Mervyn DI; Rinkel, Gabriel Je; Algra, Ale; Fiehler, Jens; Steinmetz, Helmuth; Vajkoczy, Peter; Rutten, Frans H; Luntz, Steffen; Hänggi, Daniel; Etminan, Nima</t>
  </si>
  <si>
    <t>https://pubmed.ncbi.nlm.nih.gov/30019634</t>
  </si>
  <si>
    <t>Unruptured intracranial aneurysms are currently left untreated if the presumed complication risk of preventive endovascular or neurosurgical intervention is higher than the risk of rupture. Aneurysm wall inflammation and blood pressure are attractive modifiable risk factors of aneurysm rupture and growth. To investigate in patients with an unruptured intracranial aneurysm who do not qualify for preventive endovascular or neurosurgical intervention whether a treatment strategy of acetylsalicylic acid 100 mg/day plus intensive blood pressure treatment (targeted systolic blood pressure &lt; 120 mmHg, monitored with a home blood pressure measuring device) reduces the risk of aneurysm rupture or growth compared with care as usual (no acetylsalicylic acid, targeted office systolic blood pressure &lt; 140 mmHg, no home blood pressure measuring device). We aim to randomize 776 patients 1:1 to the intervention arm or care as usual. Bi-national (Germany and the Netherlands) multicenter, prospective, randomized, open-label phase III trial with blinded outcome assessment. The primary outcome is aneurysm rupture or growth (increase in any aneurysm diameter by ≥ 1 mm) on repeated MR or CT angiography within 36 ± 6 months after randomization. The Prospective Randomized Open-label Trial to Evaluate risk faCTor management in patients with Unruptured intracranial aneurysms (PROTECT-U) is the first randomized trial to investigate if a medical strategy reduces the risk of rupture or growth of intracranial aneurysms in patients not undergoing preventive endovascular or neurosurgical aneurysm treatment. Clinical trial Registration: NCT03063541.</t>
  </si>
  <si>
    <t>Does AMH relate to timing of menopause? Results of an Individual Patient Data meta- analysis.</t>
  </si>
  <si>
    <t>Depmann, M; Eijkemans, M J C; Broer, S L; Tehrani, F Ramezani; Solaymani-Dodaran, M; Azizi, F; Lambalk, C B; Randolph, J F; Harlow, S D; Freeman, E W; Sammel, M D; Verschuren, W M M; van der Schouw, Y T; Mol, B W; Broekmans, F J M</t>
  </si>
  <si>
    <t>https://pubmed.ncbi.nlm.nih.gov/30032277</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</si>
  <si>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</si>
  <si>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Longitudinal associations between risk appraisal of base stations for mobile phones, radio or television and non-specific symptoms.</t>
  </si>
  <si>
    <t>Martens, Astrid L; Slottje, Pauline; Smid, Tjabe; Kromhout, Hans; Vermeulen, Roel C H; Timmermans, Danielle R M</t>
  </si>
  <si>
    <t>https://pubmed.ncbi.nlm.nih.gov/30097140</t>
  </si>
  <si>
    <t>Studies found that higher risk appraisal of radiofrequency electromagnetic fields is associated with reporting more non-specific symptoms such as headache and back pain. There is limited data available on the longitudinal nature of such associations and what aspects of risk appraisal and characteristics of subjects are relevant. To examine cross-sectional and longitudinal associations between risk appraisal measures and non-specific symptoms, and assess the role of subject characteristics (sex, age, education, trait negative affect) in a general population cohort. This study was nested in the Dutch general population AMIGO cohort that was established in 2011/2012, when participants were 31-65 years old. We studied a sample of participants (n = 1720) who filled in two follow-up questionnaires in 2013 and 2014, including questions about perceived exposure, perceived risk, and health concerns as indicators of risk appraisal of base stations, and non-specific symptoms. Perceived exposure, perceived risk, and health concerns, respectively, were associated with higher symptom scores in cross-sectional and longitudinal analyses. Only health concerns (not perceived exposure and perceived risk) temporally preceded high symptom scores and vice versa. Female sex, younger age, higher education, and higher trait negative affect were associated with higher risk appraisal of mobile phone base stations. The findings in this study strengthen the evidence base for cross-sectional and longitudinal associations between higher risk appraisal and non-specific symptoms in the general population. However, the directionality of potential causal relations in non-sensitive general population samples should be examined further in future studies, providing information to the benefit of risk communication strategies.</t>
  </si>
  <si>
    <t>Exome-chip meta-analysis identifies novel loci associated with cardiac conduction, including ADAMTS6.</t>
  </si>
  <si>
    <t>Prins, Bram P; Mead, Timothy J; Brody, Jennifer A; Sveinbjornsson, Gardar; Ntalla, Ioanna; Bihlmeyer, Nathan A; van den Berg, Marten; Bork-Jensen, Jette; Cappellani, Stefania; Van Duijvenboden, Stefan; Klena, Nikolai T; Gabriel, George C; Liu, Xiaoqin; Gulec, Cagri; Grarup, Niels; Haessler, Jeffrey; Hall, Leanne M; Iorio, Annamaria; Isaacs, Aaron; Li-Gao, Ruifang; Lin, Honghuang; Liu, Ching-Ti; Lyytikäinen, Leo-Pekka; Marten, Jonathan; Mei, Hao; Müller-Nurasyid, Martina; Orini, Michele; Padmanabhan, Sandosh; Radmanesh, Farid; Ramirez, Julia; Robino, Antonietta; Schwartz, Molly; van Setten, Jessica; Smith, Albert V; Verweij, Niek; Warren, Helen R; Weiss, Stefan; Alonso, Alvaro; Arnar, David O; Bots, Michiel L; de Boer, Rudolf A; Dominiczak, Anna F; Eijgelsheim, Mark; Ellinor, Patrick T; Guo, Xiuqing; Felix, Stephan B; Harris, Tamara B; Hayward, Caroline; Heckbert, Susan R; Huang, Paul L; Jukema, J W; Kähönen, Mika; Kors, Jan A; Lambiase, Pier D; Launer, Lenore J; Li, Man; Linneberg, All</t>
  </si>
  <si>
    <t>https://pubmed.ncbi.nlm.nih.gov/30012220</t>
  </si>
  <si>
    <t>Genome-wide association studies conducted on QRS duration, an electrocardiographic measurement associated with heart failure and sudden cardiac death, have led to novel biological insights into cardiac function. However, the variants identified fall predominantly in non-coding regions and their underlying mechanisms remain unclear. Here, we identify putative functional coding variation associated with changes in the QRS interval duration by combining Illumina HumanExome BeadChip genotype data from 77,898 participants of European ancestry and 7695 of African descent in our discovery cohort, followed by replication in 111,874 individuals of European ancestry from the UK Biobank and deCODE cohorts. We identify ten novel loci, seven within coding regions, including ADAMTS6, significantly associated with QRS duration in gene-based analyses. ADAMTS6 encodes a secreted metalloprotease of currently unknown function. In vitro validation analysis shows that the QRS-associated variants lead to impaired ADAMTS6 secretion and loss-of function analysis in mice demonstrates a previously unappreciated role for ADAMTS6 in connexin 43 gap junction expression, which is essential for myocardial conduction. Our approach identifies novel coding and non-coding variants underlying ventricular depolarization and provides a possible mechanism for the ADAMTS6-associated conduction changes.</t>
  </si>
  <si>
    <t>Air pollution and airway resistance at age 8 years - the PIAMA birth cohort study.</t>
  </si>
  <si>
    <t>Finke, Isabelle; de Jongste, Johan C; Smit, Henriette A; Wijga, Alet H; Koppelman, Gerard H; Vonk, Judith; Brunekreef, Bert; Gehring, Ulrike</t>
  </si>
  <si>
    <t>https://pubmed.ncbi.nlm.nih.gov/30016982</t>
  </si>
  <si>
    <t>Air pollution has been found to adversely affect children's lung function. Forced expiratory volume in 1 s and forced vital capacity from spirometry have been studied most frequently, but measurements of airway resistance may provide additional information. We assessed associations of long-term air pollution exposure with airway resistance. We measured airway resistance at age 8 with the interrupter resistance technique (R&lt;sub&gt;int&lt;/sub&gt;) in participants of the Dutch PIAMA birth cohort study. We linked R&lt;sub&gt;int&lt;/sub&gt; with estimated annual average air pollution concentrations [nitrogen oxides (NO&lt;sub&gt;2&lt;/sub&gt;, NO&lt;sub&gt;x&lt;/sub&gt;), PM&lt;sub&gt;2.5&lt;/sub&gt; absorbance ("soot"), and particulate matter &lt; 2.5 μm (PM&lt;sub&gt;2.5&lt;/sub&gt;), &lt; 10 μm (PM&lt;sub&gt;10&lt;/sub&gt;) and 2.5-10 μm (PM&lt;sub&gt;coarse&lt;/sub&gt;)] at the birth address and current home address (n = 983). Associations between air pollution exposure and interrupter resistance (R&lt;sub&gt;int&lt;/sub&gt;) were assessed using multiple linear regression adjusting for potential confounders. We found that higher levels of NO&lt;sub&gt;2&lt;/sub&gt; at the current address were associated with higher R&lt;sub&gt;int&lt;/sub&gt; [adj. mean difference (95% confidence interval) per interquartile range increase in NO&lt;sub&gt;2&lt;/sub&gt;: 0.018 (0.001, 0.035) kPa·s·L&lt;sup&gt;- 1&lt;/sup&gt;]. Similar trends were observed for the other pollutants, except, PM&lt;sub&gt;10&lt;/sub&gt;. No association was found between R&lt;sub&gt;int&lt;/sub&gt; and exposure at the birth address. Our results support the hypothesis that air pollution exposure is associated with a lower lung function in schoolchildren.</t>
  </si>
  <si>
    <t>New prospects for PCSK9 inhibition?</t>
  </si>
  <si>
    <t>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 ,</t>
  </si>
  <si>
    <t>https://pubmed.ncbi.nlm.nih.gov/29579192</t>
  </si>
  <si>
    <t>Monitoring potentially modifiable lifestyle factors in cancer survivors: A narrative review on currently available methodologies and innovations for large-scale surveillance.</t>
  </si>
  <si>
    <t>Derksen, Jeroen W G; Beijer, Sandra; Koopman, Miriam; Verkooijen, Helena M; van de Poll-Franse, Lonneke V; May, Anne M</t>
  </si>
  <si>
    <t>https://pubmed.ncbi.nlm.nih.gov/30017381</t>
  </si>
  <si>
    <t>In most European countries, the prevalence of cancer has increased from 1-3% in the 1990's to 4-5% in the 2010's. This increase is largely due to earlier detection and improved treatment. The number of cancer patients who survive longer than 5 years after their primary diagnosis is increasing, emphasizing the need for research in cancer survivors focussing on improving quality of life and cancer prognosis. In this narrative review, we provide an overview of the current and novel methodologies for the ambulant assessment of potentially modifiable lifestyle factors in large-scale prospective studies and discuss future innovations for optimal surveillance of cancer survivors. Lifestyle factors described are potentially modifiable and include dietary intake, body composition, alcohol consumption, smoking behaviour and physical activity. To date, mostly questionnaires are used, but many monitoring tools are already available that allow ambulant measurements. However, technological improvements are still needed to longitudinally measure lifestyle factors on a large scale from diagnosis onwards. Measuring lifestyle factors non-invasively in a home setting could help to increase its feasibility and ultimately improve our understanding of the individual and synergistic effects of lifestyle factors on quality of life and long-term outcomes. In the process of developing such surveillance programmes, several aspects should be taken into account including, but not limited to, methodological considerations, study design optimisation, patient perspectives, privacy issues and information and communications technology solutions to capture, store and analyse big data. Future large-scale lifestyle surveillance studies in cancer survivors will, in addition to questionnaires, increasingly include ambulant monitoring using sensors and wireless tools as this lowers patient burden, provides objective information and facilitates longitudinal data collection.</t>
  </si>
  <si>
    <t>Does body mass index early in pregnancy influence the risk of maternal anaemia? An observational study in Indonesian and Ghanaian women.</t>
  </si>
  <si>
    <t>Mocking, Martina; Savitri, Ary I; Uiterwaal, Cuno S P M; Amelia, Dwirani; Antwi, Edward; Baharuddin, Mohammad; Grobbee, Diederick E; Klipstein-Grobusch, Kerstin; Browne, Joyce L</t>
  </si>
  <si>
    <t>https://pubmed.ncbi.nlm.nih.gov/30005609</t>
  </si>
  <si>
    <t>Anaemia is common among pregnant women, especially in low- and middle-income countries (LMICs). While body mass index (BMI) relates to many risk factors for anaemia in pregnancy, little is known about the direct relation with anaemia itself. This is particularly relevant in Southeast Asia and Sub-Saharan Africa where the prevalence of anaemia in pregnancy and the associated adverse outcomes is among the highest worldwide. This study aimed to assess the association between early pregnancy BMI and anaemia at first antenatal care visit in Indonesian and Ghanaian women. In addition, the associations between early pregnancy anaemia and adverse birth outcomes was assessed. Prospective cohort studies of women in early pregnancy were conducted in Jakarta, Indonesia (n = 433) and in Accra, Ghana (n = 946), between 2012 and 2014. Linear regression analysis was used to assess relations between early pregnancy BMI and pregnancy haemoglobin levels at booking. Logistic regression analyses were used to assess associations between early pregnancy anaemia as defined by the World Health Organization (WHO) criteria and a composite of adverse birth outcomes including stillbirth, low birth weight and preterm birth. Indonesian women had lower BMI than Ghanaian women (23.0 vs 25.4 kg/m&lt;sup&gt;2&lt;/sup&gt;, p &lt; 0.001) and higher mean haemoglobin levels (12.4 vs 11.1 g/dL, p &lt; 0.001), corresponding to anaemia prevalence of 10 and 44%, respectively. Higher early pregnancy BMI was associated with higher haemoglobin levels in Indonesian (0.054 g/dL/kg/m&lt;sup&gt;2&lt;/sup&gt;, 95% CI 0.03 to 0.08, p &lt; 0.001) and Ghanaian women (0.044 g/dL/kg/m&lt;sup&gt;2&lt;/sup&gt;, 0.02 to 0.07, p &lt; 0.001). Accordingly, risk for anaemia decreased with higher early pregnancy BMI for Indonesians (adjusted OR 0.88, 0.81 to 0.97, p = 0.01) and Ghanaians (adjusted OR 0.95, 0.92 to 0.98, p &lt; 0.001). No association between anaemia and the composite of adverse birth outcomes was observed. Higher BMI in early pregnancy is associated with higher haemoglobin levels at antenatal booking and with a reduced risk of anaemia in Indonesian and Ghanaian women.</t>
  </si>
  <si>
    <t>Antivirals for influenza-Like Illness? A randomised Controlled trial of Clinical and Cost effectiveness in primary CarE (ALIC&lt;sup&gt;4&lt;/sup&gt; E): the ALIC&lt;sup&gt;4&lt;/sup&gt; E protocol.</t>
  </si>
  <si>
    <t>Bongard, Emily;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Radzeviciene-Jurgute, Ruta; Sundvall, Pär-Daniel; Torres, Antoni; Touboul, Pia; Varthalis, Dionyssios; Verheij, Theo; Butler, Christopher C</t>
  </si>
  <si>
    <t>https://pubmed.ncbi.nlm.nih.gov/30002007</t>
  </si>
  <si>
    <t>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ISRCTN27908921; Pre-results.</t>
  </si>
  <si>
    <t>Experience of a single center in the conservative approach of 20 consecutive cases of asymptomatic extracranial carotid artery aneurysms.</t>
  </si>
  <si>
    <t>Pourier, V E C; Welleweerd, J C; Kappelle, L J; Rinkel, G J E; Ruigrok, Y M; van der Worp, H B; Lo, T H; Bots, M L; Moll, F L; de Borst, G J</t>
  </si>
  <si>
    <t>https://pubmed.ncbi.nlm.nih.gov/29904963</t>
  </si>
  <si>
    <t>The clinical course and optimal treatment strategy for asymptomatic extracranial carotid artery aneurysms (ECAAs) are unknown. We report our single-center experience with conservative management of patients with an asymptomatic ECAA. A search in our hospital records from 1998 to 2013 revealed 20 patients [mean age 52 (SD 12.5) years] with 23 ECAAs, defined as a 150% or more fusiform dilation or any saccular dilatation compared with the healthy internal carotid artery. None of the aneurysms were treated and we had no pre-defined follow-up schedule for these patients. The primary study end-point was the yearly rate for ipsilateral ischemic stroke. Secondary end-points were ipsilateral transient ischemic attack, any stroke-related death, other symptoms related to the aneurysm or growth defined as any diameter increase. The ECAA was either fusiform (n = 6; mean diameter 10.2 mm) or saccular (n = 17; mean diameter 10.9 mm). Eleven (55%) patients with 13 ECAAs received antithrombotic medication. During follow-up [median 46.5 (range 1-121) months], one patient died due to ipsilateral stroke and the ipsilateral cerebral stroke rate was 1.1 per 100 patient-years (95% confidence interval, 0.01-6.3). Three patients had ECAA growth, two of whom were asymptomatic and one was the patient who suffered a stroke. In this retrospective case series of patients with an asymptomatic ECAA, the risk of cerebral infarction is small but not negligible. Conservative management seems justified, in particular in patients without growth. Large prospective registry data are necessary to assess follow-up imaging strategies and the role of antiplatelet therapy.</t>
  </si>
  <si>
    <t>Search for heavy particles decaying into top-quark pairs using lepton-plus-jets events in proton-proton collisions at &lt;math xmlns="http://www.w3.org/1998/Math/MathML"&gt; &lt;mrow&gt;&lt;msqrt&gt;&lt;mi&gt;s&lt;/mi&gt;&lt;/msqrt&gt; &lt;mo&gt;=&lt;/mo&gt; &lt;mn&gt;13&lt;/mn&gt;&lt;/mrow&gt; &lt;/math&gt;   &lt;math xmlns="http://www.w3.org/1998/Math/MathML"&gt;&lt;mtext&gt;TeV&lt;/mtext&gt;&lt;/math&gt; with the ATLAS detector.</t>
  </si>
  <si>
    <t xml:space="preserve">Aaboud, M; Aad, G; Abbott, B; Abdinov, O; Abeloos, B;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t>
  </si>
  <si>
    <t>https://pubmed.ncbi.nlm.nih.gov/30395135</t>
  </si>
  <si>
    <t>A search for new heavy particles that decay into top-quark pairs is performed using data collected from proton-proton collisions at a centre-of-mass energy of 13  &lt;math xmlns="http://www.w3.org/1998/Math/MathML"&gt;&lt;mtext&gt;TeV&lt;/mtext&gt;&lt;/math&gt; by the ATLAS detector at the Large Hadron Collider. The integrated luminosity of the data sample is 36.1 fb &lt;math xmlns="http://www.w3.org/1998/Math/MathML"&gt;&lt;msup&gt;&lt;mrow&gt;&lt;/mrow&gt; &lt;mrow&gt;&lt;mo&gt;-&lt;/mo&gt; &lt;mn&gt;1&lt;/mn&gt;&lt;/mrow&gt; &lt;/msup&gt; &lt;/math&gt; . Events consistent with top-quark pair production are selected by requiring a single isolated charged lepton, missing transverse momentum and jet activity compatible with a hadronic top-quark decay. Jets identified as likely to contain &lt;i&gt;b&lt;/i&gt;-hadrons are required to reduce the background from other Standard Model processes. The invariant mass spectrum of the candidate top-quark pairs is examined for local excesses above the background expectation. No significant deviations from the Standard Model predictions are found. Exclusion limits are set on the production cross-section times branching ratio for hypothetical &lt;math xmlns="http://www.w3.org/1998/Math/MathML"&gt;&lt;msup&gt;&lt;mi&gt;Z&lt;/mi&gt; &lt;mo&gt;'&lt;/mo&gt;&lt;/msup&gt; &lt;/math&gt; bosons, Kaluza-Kein gluons and Kaluza-Klein gravitons that decay into top-quark pairs.</t>
  </si>
  <si>
    <t>Risk factors for atherosclerotic and medial arterial calcification of the intracranial internal carotid artery.</t>
  </si>
  <si>
    <t>Vos, Annelotte; Kockelkoren, Remko; de Vis, Jill B; van der Schouw, Yvonne T; van der Schaaf, Irene C; Velthuis, Birgitta K; Mali, Willem P T M; de Jong, Pim A; ,</t>
  </si>
  <si>
    <t>https://pubmed.ncbi.nlm.nih.gov/30032024</t>
  </si>
  <si>
    <t>Calcifications of the intracranial internal carotid artery (iICA) are an important risk factor for stroke. The calcifications can occur both in the intimal and medial layer of the vascular wall. The aim of this study is to assess whether medial calcification in the iICA is differently related to risk factors for cardiovascular disease, compared to intimal calcification. Unenhanced thin slice computed tomography (CT) scans from 1132 patients from the Dutch acute stroke study cohort were assessed for dominant localization of calcification (medial or intimal) by one of three observers based on established methodology. Associations between known cardiovascular risk factors (age, gender, body mass index, pulse pressure, eGFR, smoking, hypertension, diabetes mellitus, hyperlipidemia, previous vascular disease, and family history) and the dominant localization of calcifications were assessed via logistic regression analysis. In the 1132 patients (57% males, mean age 67.4 years [SD 13.8]), dominant intimal calcification was present in 30.9% and dominant medial calcification in 46.9%. In 10.5%, no calcification was seen. Age, pulse pressure and family history were risk factors for both types of calcification. Multivariably adjusted risk factors for dominant intimal calcification only were smoking (OR 2.09 [CI 1.27-3.44]) and hypertension (OR 2.09 [CI 1.29-3.40]) and for dominant medial calcification diabetes mellitus (OR 2.39 [CI 1.11-5.14]) and previous vascular disease (OR 2.20 [CI 1.30-3.75]). Risk factors are differently related to the dominant localizations of calcifications, a finding that supports the hypothesis that the intimal and medial calcification represents a distinct etiology.</t>
  </si>
  <si>
    <t>Changes in (risk) behavior and HPV knowledge among Dutch girls eligible for HPV vaccination: an observational cohort study.</t>
  </si>
  <si>
    <t>Donken, Robine; Tami, Adriana; Knol, Mirjam J; Lubbers, Karin; van der Sande, Marianne A B; Nijman, Hans W; Daemen, Toos; Weijmar Schultz, Willibrord C M; de Melker, Hester E</t>
  </si>
  <si>
    <t>https://pubmed.ncbi.nlm.nih.gov/29976170</t>
  </si>
  <si>
    <t>Implementation of human papillomavirus (HPV) vaccination raised concerns that vaccination could lead to riskier sexual behavior. This study explored how possible differences in sexual behavior and HPV knowledge developed over time between HPV-vaccinated and unvaccinated girls. A random sample of 19,939 girls (16-17 year olds) eligible for the catch-up HPV vaccination campaign in the Netherlands was invited for a longitudinal study with questionnaires every 6 months over a two-year follow-up period. Possible differences over time between vaccinated and unvaccinated participants were studied using generalized equations estimation (GEE). A total of 2989 girls participated in round one, of which 1574 participated (52.7%) in the final 5th round. Vaccinated girls were more likely to live in more urban areas (OR 1.28, 95%CI 1.10-1.47) and to use alcohol (OR 1.46, 95%CI 1.24-1.70) and contraceptives (OR 1.69, 95%CI 1.45-1.97). Vaccinated and unvaccinated girls showed comparable knowledge on HPV, HPV vaccination, and transmission. Vaccinated girls were more likely to be sexually active (OR 1.19, 95%CI 1.02-1.39), and this difference increased over time (OR for interaction 1.06, 95%CI 1.00-1.12). However, they had a slightly lower number of lifetime sexual partners (mean difference - 0.20, 95%CI -0.41-0.00). Vaccinated girls were less likely to use a condom with a steady partner (aOR 0.71, 95%CI 0.56-0.89). However, the difference between vaccinated and unvaccinated girls with regard to condom use with casual or steady partner(s) did not significantly change over time. Overall, we did not find indications that vaccination influenced sexual behavior in girls during 2 years of follow-up. The few differences found may be related to existing disparities in the socio-demographic characteristics of the young population pointing to the importance and improvement of education with regard to safe sex practices. Our findings do not suggest that vaccination status is associated with changes in sexual risk behavior and thus it is unlikely that this might influence the effectiveness of the vaccination program.</t>
  </si>
  <si>
    <t>Social networks in relation to self-reported symptomatic infections in individuals aged 40-75 - the Maastricht study.</t>
  </si>
  <si>
    <t>Brinkhues, Stephanie; Schram, Miranda T; Hoebe, Christian J P A; Kretzschmar, Mirjam E E; Koster, Annemarie; Dagnelie, Pieter C; Sep, Simone J S; van Kuijk, Sander M J; Savelkoul, Paul H M; Dukers-Muijrers, Nicole H T M</t>
  </si>
  <si>
    <t>https://pubmed.ncbi.nlm.nih.gov/29973154</t>
  </si>
  <si>
    <t>Most infections are spread through social networks (detrimental effect). However, social networks may also lower infection acquisition (beneficial effect). This study aimed to examine associations between social network parameters and prevalence of self-reported upper and lower respiratory, gastrointestinal and urinary tract infections in a population aged 40-75. In this population-based cross-sectional cohort study (N = 3004, mean age 60.0 ± 8.2 years, 49% women), infections within the past two months were assessed by self-administered questionnaires. Social network parameters were assessed using a name generator questionnaire. To examine the associated beneficial and detrimental network parameters, univariable and multivariable logistic regression was used. Participants reported an average of 10 people (alters) with whom they had 231 contacts per half year. Prevalences were 31.1% for upper respiratory, 11.5% for lower respiratory, 12.5% for gastrointestinal, and 5.7% for urinary tract infections. Larger network size, and a higher percentage of alters that were friends or acquaintances were associated with higher odds of upper respiratory, lower respiratory and/or gastrointestinal infections (detrimental). A higher total number of contacts, higher percentages of alters of the same age, and higher percentages of family members/acquaintances were associated with lower odds of upper respiratory, lower respiratory and/or gastrointestinal infections (beneficial). We identified both detrimental and beneficial associations of social network parameters with the prevalence of infections. Our findings can be used to complement mathematical models on infection spread, as well as to optimize current infectious disease control.</t>
  </si>
  <si>
    <t>Sample size for binary logistic prediction models: Beyond events per variable criteria.</t>
  </si>
  <si>
    <t>van Smeden, Maarten; Moons, Karel Gm; de Groot, Joris Ah; Collins, Gary S; Altman, Douglas G; Eijkemans, Marinus Jc; Reitsma, Johannes B</t>
  </si>
  <si>
    <t>https://pubmed.ncbi.nlm.nih.gov/29966490</t>
  </si>
  <si>
    <t>Binary logistic regression is one of the most frequently applied statistical approaches for developing clinical prediction models. Developers of such models often rely on an Events Per Variable criterion (EPV), notably EPV ≥10, to determine the minimal sample size required and the maximum number of candidate predictors that can be examined. We present an extensive simulation study in which we studied the influence of EPV, events fraction, number of candidate predictors, the correlations and distributions of candidate predictor variables, area under the ROC curve, and predictor effects on out-of-sample predictive performance of prediction models. The out-of-sample performance (calibration, discrimination and probability prediction error) of developed prediction models was studied before and after regression shrinkage and variable selection. The results indicate that EPV does not have a strong relation with metrics of predictive performance, and is not an appropriate criterion for (binary) prediction model development studies. We show that out-of-sample predictive performance can better be approximated by considering the number of predictors, the total sample size and the events fraction. We propose that the development of new sample size criteria for prediction models should be based on these three parameters, and provide suggestions for improving sample size determination.</t>
  </si>
  <si>
    <t>Ruling out pulmonary embolism across different subgroups of patients and healthcare settings: protocol for a systematic review and individual patient data meta-analysis (IPDMA).</t>
  </si>
  <si>
    <t>Geersing, G-J; Kraaijpoel, N; Büller, H R; van Doorn, S; van Es, N; Le Gal, G; Huisman, M V; Kearon, C; Kline, J A; Moons, K G M; Miniati, M; Righini, M; Roy, P-M; van der Wall, S J; Wells, P S; Klok, F A</t>
  </si>
  <si>
    <t>https://pubmed.ncbi.nlm.nih.gov/31093560</t>
  </si>
  <si>
    <t>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 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This pre-planned individual patient data meta-analysis aims to contribute in resolving remaining diagnostic challenges of time-efficient diagnosis of pulmonary embolism by tailoring available diagnostic strategies for different healthcare settings and comorbidity. Prospero trial registration: ID 89366.</t>
  </si>
  <si>
    <t>Safety and Immunogenicity of Measles Vaccination in HIV-Infected and HIV-Exposed Uninfected Children: A Systematic Review and Meta-Analysis.</t>
  </si>
  <si>
    <t>Mutsaerts, Eleonora A M L; Nunes, Marta C; van Rijswijk, Martijn N; Klipstein-Grobusch, Kerstin; Grobbee, Diederick E; Madhi, Shabir A</t>
  </si>
  <si>
    <t>https://pubmed.ncbi.nlm.nih.gov/31193646</t>
  </si>
  <si>
    <t>HIV-infected and HIV-exposed uninfected (HEU) children have an increased risk of measles that may be due to altered immune responses or suboptimal timing of measles vaccination. We aimed to evaluate the safety and immunogenicity of measles vaccination in HIV-infected and HEU children. For this systematic review and meta-analysis, we searched PubMed, Embase, Cochrane Library, CINAHL, Global Health Library and IndMED on May 9, 2018. Studies were included if they reported on safety or seroresponse (either seroprotection/seropositivity/seroconversion) after measles vaccination in HIV-infected or HEU children. We calculated pooled estimates to compare immunogenicity outcomes between HIV-infected, HEU and HIV-unexposed children, using risk ratios [RRs] (with 95%CIs). PROSPERO registration number: CRD42017057411. Seventy-one studies met the inclusion criteria (15,363 children). Twenty-eight studies reported on safety; vaccine-associated adverse events and deaths were uncommon. Sixty-two studies reported on immunogenicity, 27 were included in the meta-analysis. HIV-infected children had lower seroresponse rates after primary vaccination compared with HIV-unexposed (RR 0.74; 95%CI: 0.61-0.90, &lt;i&gt;I&lt;/i&gt; &lt;sup&gt;&lt;i&gt;2&lt;/i&gt;&lt;/sup&gt;  = 85.9%) and HEU children (0.78; 0.69-0.88, &lt;i&gt;I&lt;/i&gt; &lt;sup&gt;&lt;i&gt;2&lt;/i&gt;&lt;/sup&gt;  = 77.1%), which was mitigated by antiretroviral therapy and time interval between vaccination and serology. HEU and HIV-unexposed children had similar seroresponses. Vaccination at 6-months resulted in similar proportions of HIV-infected children having seroresponse compared with HIV-unexposed (0.96; 0.77-1.19) and HEU children (1.00; 0.73-1.37, &lt;i&gt;I&lt;/i&gt; &lt;sup&gt;&lt;i&gt;2&lt;/i&gt;&lt;/sup&gt;  = 63.7%). Primary measles vaccination at 6-months of age may provide protection against measles during early infancy in settings with high prevalence of maternal HIV-infection, however, further studies are needed to evaluate this strategy in HEU children and HIV-infected children receiving antiretroviral therapy. South African Research Chairs Initiative of the Department of Science and Technology and National Research Foundation in Vaccine Preventable Diseases; Medical Research Council: Respiratory and Meningeal Pathogens Research Unit.</t>
  </si>
  <si>
    <t>Homeostasis Model Assessment of Insulin Resistance and Survival in Patients With Diabetes and Acute Coronary Syndrome.</t>
  </si>
  <si>
    <t>Stähli, Barbara E; Nozza, Anna; Schrieks, Ilse C; Buse, John B; Malmberg, Klas; Mellbin, Linda; Neal, Bruce; Nicholls, Stephen J; Rydén, Lars; Svensson, Anders; Wedel, Hans; Weichert, Arlette; Lincoff, A Michael; Grobbee, Diederick E; Tardif, Jean-Claude; Schwartz, Gregory G</t>
  </si>
  <si>
    <t>https://pubmed.ncbi.nlm.nih.gov/29659887</t>
  </si>
  <si>
    <t>Insulin resistance has been linked to development and progression of atherosclerosis and is present in most patients with type 2 diabetes. Whether the degree of insulin resistance predicts adverse outcomes in patients with type 2 diabetes and acute coronary syndrome (ACS) is uncertain. The Effect of Aleglitazar on Cardiovascular Outcomes after Acute Coronary Syndrome in Patients with Type 2 Diabetes Mellitus trial compared the peroxisome proliferator-activated receptor-α/γ agonist aleglitazar with placebo in patients with type 2 diabetes and recent ACS. In participants not treated with insulin, we determined whether baseline homeostasis model assessment of insulin resistance (HOMA-IR; n = 4303) or the change in HOMA-IR on assigned study treatment (n = 3568) was related to the risk of death or major adverse cardiovascular events (cardiovascular death, myocardial infarction, and stroke) in unadjusted and adjusted models. Because an inverse association of HOMA-IR with N-terminal pro-B-type natriuretic peptide (NT-proBNP) has been described, we specifically examined effects of adjustment for the latter. In unadjusted analysis, twofold higher baseline HOMA-IR was associated with lower risk of death [hazard ratio (HR): 0.79, 95% CI: 0.68 to 0.91, P = 0.002]. Adjustment for 24 standard demographic and clinical variables had minimal effect on this association. However, after further adjustment for NT-proBNP, the association of HOMA-IR with death was no longer present (adjusted HR: 0.99, 95% CI: 0.83 to 1.19, P = 0.94). Baseline HOMA-IR was not associated with major adverse cardiovascular events, nor was the change in HOMA-IR on study treatment associated with death or major adverse cardiovascular events. After accounting for levels of NT-proBNP, insulin resistance assessed by HOMA-IR is not related to the risk of death or major adverse cardiovascular events in patients with type 2 diabetes and ACS.</t>
  </si>
  <si>
    <t>Opportunities and challenges for evidence-informed HIV-noncommunicable disease integrated care policies and programs: lessons from Malawi, South Africa, Swaziland and Kenya.</t>
  </si>
  <si>
    <t>Matanje Mwagomba, Beatrice L; Ameh, Soter; Bongomin, Pido; Juma, Pamela A; MacKenzie, Rachel K; Kyobutungi, Catherine; Lukhele, Nomthandazo; Mwangi, Kibachio Joseph Muiruri; Amberbir, Alemayehu; Klipstein-Grobusch, Kerstin; Gómez-Olivé, Francesc Xavier; Berman, Josh</t>
  </si>
  <si>
    <t>https://pubmed.ncbi.nlm.nih.gov/29952787</t>
  </si>
  <si>
    <t>Countries in sub-Saharan Africa (SSA) are recognizing the growing dual burden of HIV and noncommunicable diseases (NCDs). This article explores the availability, implementation processes, opportunities and challenges for policies and programs for HIV/NCD integration in four SSA countries: Malawi, Kenya, South Africa and Swaziland. We conducted a cross-sectional analysis of current policies and programs relating to HIV/NCD care integration from January to April 2017 using document review and expert opinions. The review focussed on availability and content of relevant policy documents and processes towards implementating national HIV/NCD integration policies. All four case study countries had at least one policy document including aspects of HIV/NCD care integration. Apart from South Africa that had a phased nation-wide implementation of a comprehensive integrated chronic disease model, the three other countries - Malawi, Kenya and Swaziland, had either pilot implementations or nation-wide single-disease integration of NCDs and HIV. Opportunities for HIV/NCD integration policies included: presence of overarching health policy documents that recognize the need for integration, and coordinated action by policymakers, researchers and implementers. Evidence gaps for cost-effectiveness, effects of integration on key HIV and NCD outcomes and funding mechanisms for sustained implementation of integrated HIV/NCD care strategies, were among challenges identified. Policymakers in Malawi, Kenya, South Africa and Swaziland have considered integration of NCD and HIV care but a lack of robust evidence hampers large-scale implementation of HIV/NCD integration. It is crucial for SSA Ministries of Health and throughout low-and-middle-income countries to utilize existing opportunities and advocate for evidence-informed HIV/NCD integration strategies.</t>
  </si>
  <si>
    <t>Effectiveness of Dural Sealants in Prevention of Cerebrospinal Fluid Leakage After Craniotomy: A Systematic Review.</t>
  </si>
  <si>
    <t>Kinaci, Ahmet; Algra, Ale; Heuts, Simon; O'Donnell, Devon; van der Zwan, Albert; van Doormaal, Tristan</t>
  </si>
  <si>
    <t>world neurosurgery</t>
  </si>
  <si>
    <t>https://pubmed.ncbi.nlm.nih.gov/29969744</t>
  </si>
  <si>
    <t>Cerebrospinal fluid (CSF) leakage is one of the most challenging complications in neurosurgery. We sought to evaluate the efficacy of dural sealants in preventing CSF leakage after cranial surgery. A literature search was performed in the PubMed, Embase, and Cochrane databases. The inclusion criteria were defined to include articles describing regular cranial procedures combined with the use of any dural sealant reporting CSF leakage. The primary outcome was CSF leakage (pseudomeningocele formation or incisional CSF leakage), secondary outcomes were pseudomeningocele formation, incisional CSF leakage, and surgical-site infection. Twenty articles were included. Ten of these were comparative studies (sealant vs. no sealant) including 3 randomized controlled trials. In the 20 articles, a total of 3682 surgical procedures were reported. The number of CSF leakages in general did not differ between the sealant group (8.2%) and control group (8.4%), risk ratio (RR) 0.84 (0.50-1.42), I&lt;sup&gt;2&lt;/sup&gt; = 56%. Exclusion of non-randomized controlled trials did not alter the results. Meta-analyses for secondary outcomes showed no difference between number of incisional CSF leakage, RR 0.30 (0.05-1.59), I&lt;sup&gt;2&lt;/sup&gt; = 38%. Also, no difference was found in the pseudomeningocele formation, RR 1.50 (0.43-5.17), I&lt;sup&gt;2&lt;/sup&gt; = 0%. Surgical-site infection was seen less in the sealant group (1.0%) compared with the control group (5.6%), RR 0.25 (0.13-0.48), I&lt;sup&gt;2&lt;/sup&gt; = 0%. This systematic review showed that dural sealants did not reduce the number of CSF leaks in general, the number of incisional CSF leaks alone, or the number of pseudomeningocele formations alone. However, dural sealants reduced the risk of surgical-site infection.</t>
  </si>
  <si>
    <t>Outpatient antibiotic use in Dutch infants after 10-valent pneumococcal vaccine introduction: a time-series analysis.</t>
  </si>
  <si>
    <t>Fortanier, Alexandre C; Venekamp, Roderick P; Stellato, Rebecca K; Sanders, Elisabeth A M; Damoiseaux, Roger A M J; Hoes, Arno W; Schilder, Anne M</t>
  </si>
  <si>
    <t>https://pubmed.ncbi.nlm.nih.gov/29961011</t>
  </si>
  <si>
    <t>This population-based cohort study assesses the impact of switching from a 7-valent pneumococcal conjugate vaccine (PCV) to a 10-valent PCV on outpatient antibiotic use in Dutch infants, and whether geographical vaccination coverage modifies this association. We extracted 2006-2013 anonymised antibiotic purchase data of 255 154 Dutch infants aged below 2 years from Achmea Health, a health insurance fund covering 28% of the national population. Changes in monthly antibiotic use from 2006-2011 (PCV7) to 2011-2013 (PCV10) were estimated using time-series analysis accounting for seasonality and autocorrelation. Interaction terms for vaccination coverage (categorised into seven groups) and period were added to the model to test whether this association was vaccination coverage-dependent. 275 337 antibiotic courses were used by 119 078 infants (461 352 person-years). PCV10 introduction was associated with a modest 1.6% overall reduction in antibiotic use (purchase rate ratio: 0.98, 95% CI: 0.98 to 0.99). Our model showed a significant difference in time trend in antibiotic use after PCV10 introduction (p&lt;i&gt;=&lt;/i&gt;0.0084) with an increase in prescriptions in the PCV7 period (slope: 0.0023/month, 95% CI: -0.0001 to 0.0047) versus a decline in the PCV10 period (slope: -0.0089/month, 95% CI: -0.0150 to -0.0029). There was no evidence that PCV vaccination coverage affected this association, but since the largest rate ratios were observed in municipalities with the lowest vaccine coverage and had very wide accompanying CIs, our study might have insufficient power to detect such an association. Switching from PCV7 to PCV10 was associated with a modest decline in outpatient antibiotic use in Dutch infants.</t>
  </si>
  <si>
    <t>Whole-exome sequencing in intellectual disability; cost before and after a diagnosis.</t>
  </si>
  <si>
    <t>Vrijenhoek, Terry; Middelburg, Eline M; Monroe, Glen R; van Gassen, Koen L I; Geenen, Joost W; Hövels, Anke M; Knoers, Nine V; van Amstel, Hans Kristian Ploos; Frederix, Gerardus W J</t>
  </si>
  <si>
    <t>https://pubmed.ncbi.nlm.nih.gov/29959382</t>
  </si>
  <si>
    <t>Clinical application of whole-exome and whole-genome sequencing (WES and WGS) has led to an increasing interest in how it could drive healthcare decisions. As with any healthcare innovation, implementation of next-generation sequencing in the clinic raises questions on affordability and costing impact for society as a whole. We retrospectively analyzed medical records of 370 patients with ID who had undergone WES at various stages of their diagnostic trajectory. We collected all medical interventions performed on these patients at the University Medical Center Utrecht (UMCU), Utrecht, the Netherlands. We categorized the patients according to their WES-based preliminary diagnosis ("yes", "no", and "uncertain"), and assessed the per-patient healthcare activities and corresponding costs before (pre) and after (post) genetic diagnosis. The WES-specific diagnostic yield among the 370 patients was 35% (128 patients). Pre-WES costs were €7.225 on average. Highest average costs were observed for laboratory-based tests, including genetics, followed by consults. Compared to pre-WES costs, the post-WES costs were on average 80% lower per patient, irrespective of the WES-based diagnostic outcome. Application of WES results in a considerable reduction of healthcare costs, not just in current settings, but even more so when applied earlier in the diagnostic trajectory (genetics-first). In such context, WES may replace less cost-effective traditional technologies without compromising the diagnostic yield. Moreover, WES appears to harbor an intrinsic "end-of-trajectory" effect; regardless of the diagnosis, downstream medical interventions decrease substantially in both number and costs.</t>
  </si>
  <si>
    <t>Advance care planning: A systematic review about experiences of patients with a life-threatening or life-limiting illness.</t>
  </si>
  <si>
    <t>Zwakman, M; Jabbarian, L J; van Delden, Jjm; van der Heide, A; Korfage, I J; Pollock, K; Rietjens, Jac; Seymour, J; Kars, M C</t>
  </si>
  <si>
    <t>https://pubmed.ncbi.nlm.nih.gov/29956558</t>
  </si>
  <si>
    <t>Advance care planning is seen as an important strategy to improve end-of-life communication and the quality of life of patients and their relatives. However, the frequency of advance care planning conversations in practice remains low. In-depth understanding of patients' experiences with advance care planning might provide clues to optimise its value to patients and improve implementation. To synthesise and describe the research findings on the experiences with advance care planning of patients with a life-threatening or life-limiting illness. A systematic literature review, using an iterative search strategy. A thematic synthesis was conducted and was supported by NVivo 11. The search was performed in MEDLINE, Embase, PsycINFO and CINAHL on 7 November 2016. Of the 3555 articles found, 20 were included. We identified three themes in patients' experiences with advance care planning. 'Ambivalence' refers to patients simultaneously experiencing benefits from advance care planning as well as unpleasant feelings. 'Readiness' for advance care planning is a necessary prerequisite for taking up its benefits but can also be promoted by the process of advance care planning itself. 'Openness' refers to patients' need to feel comfortable in being open about their preferences for future care towards relevant others. Although participation in advance care planning can be accompanied by unpleasant feelings, many patients reported benefits of advance care planning as well. This suggests a need for advance care planning to be personalised in a form which is both feasible and relevant at moments suitable for the individual patient.</t>
  </si>
  <si>
    <t>Reaching cardiovascular prevention guideline targets with a polypill-based approach: a meta-analysis of randomised clinical trials.</t>
  </si>
  <si>
    <t>Selak, Vanessa; Webster, Ruth; Stepien, Sandrine; Bullen, Chris; Patel, Anushka; Thom, Simon; Arroll, Bruce; Bots, Michiel L; Brown, Alex; Crengle, Sue; Dorairaj, Prabhakaran; Elley, C Raina; Grobbee, Diederick E; Harwood, Matire; Hillis, Graham S; Laba, Tracey-Lea; Neal, Bruce; Peiris, David; Rafter, Natasha; Reid, Christopher; Stanton, Alice; Tonkin, Andrew; Usherwood, Tim; Wadham, Angela; Rodgers, Anthony</t>
  </si>
  <si>
    <t>https://pubmed.ncbi.nlm.nih.gov/29954855</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</si>
  <si>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</si>
  <si>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Fosfomycin Etest for Enterobacteriaceae: Interobserver and interlaboratory agreement.</t>
  </si>
  <si>
    <t>van Mens, S P; Ten Doesschate, T; Kluytmans-van den Bergh, M F Q; Mouton, J W; Rossen, J W A; Verhulst, C; Bonten, M J M; Kluytmans, J A J W</t>
  </si>
  <si>
    <t>https://pubmed.ncbi.nlm.nih.gov/29958976</t>
  </si>
  <si>
    <t>The increasing use of fosfomycin requires reliable susceptibility testing in clinical practice. The reference standard, agar dilution (AD), is rarely used in routine settings. The fosfomycin Etest (BioMérieux) is frequently used, although reading MICs can be hampered by the interpretation of the growth of macrocolonies in the inhibition zone. We investigated the interobserver (IO), interlaboratory (IL), and interobserver-interlaboratory (IOIL) agreement of the fosfomycin Etest and evaluated the agreement with AD. Etests were performed for 57 extended spectrum beta-lactamase (ESBL)-producing Enterobacteriaceae of four bacterial species (Escherichia coli, Klebsiella pneumoniae, Klebsiella oxytoca and Enterobacter cloacae) in two laboratories. Photographs of fosfomycin Etests were interpreted by four observers following manufacturer's instructions. Essential agreement (EA) and categorical agreement (CA) between Etest and AD were 57% and 89% (κ-value 0.68), respectively, with an underestimation of Etest interpretations compared with AD of 0.26 (95% confidence interval [CI] 0.03-0.48) 2-fold dilutions. Between Etest observations, IO-EA and -CA were reached in 82% and 94% of comparisons; IL-EA and -CA in 38% and 85% of comparisons; and IOIL-EA and -CA in 40% and 85% of comparisons, respectively. Agreement of the Etest with AD and between Etests was better for E. coli than for other species. Ignoring all macrocolonies and haze during Etest interpretation improved the agreement with AD (CA κ-value 0.80) and between Etests (CA κ-value from 0.68 to 0.81). In this study on 57 ESBL-producing Enterobacteriaceae, IOIL agreement was low with an EA of 40% and a CA of 85%, affected most by IL agreement and to a lesser extent by IO agreement.</t>
  </si>
  <si>
    <t>A Reduction in Time with Electronic Monitoring In Stroke (ARTEMIS): study protocol for a randomised multicentre trial.</t>
  </si>
  <si>
    <t>Koster, Gaia T; Nguyen, T Truc My; Groot, Adrien E D; Coutinho, Jonathan M; Bosch, Jan; den Hertog, Heleen M; van Walderveen, Marianne A A; Algra, Ale; Wermer, Marieke J H; Roos, Yvo B; Kruyt, Nyika D; ,</t>
  </si>
  <si>
    <t>https://pubmed.ncbi.nlm.nih.gov/29950465</t>
  </si>
  <si>
    <t>Time is the most crucial factor limiting efficacy of intravenous thrombolysis (IVT) and intra-arterial thrombectomy (IAT). The delay between alarming the Emergency Medical Services (EMS) dispatch office and IVT/IAT initiation, that is, the &lt;i&gt;'total system delay'&lt;/i&gt; (TSD), depends on logistics and team effort. A promising method to reduce TSD is real-time audio-visual feedback to caregivers involved. With 'A Reduction in Time with Electronic Monitoring in Stroke' (ARTEMIS), we aim to investigate the effect of real-time audio-visual feedback on actual TSD to IVT/IAT to caregivers. ARTEMIS is a multiregional, multicentre, randomised open end-point trial including patients ≥18 years considered IVT/IAT-eligible by the EMS dispatch office or on-site EMS personnel. Patients are electronically tracked and randomised for real-time audio-visual feedback on TSD to caregivers via premounted handhelds and tablets throughout the TSD trajectory. Primary outcome is TSD to IVT/IAT. Secondary outcomes comprise proportion of IVT/IAT-treated patients, symptomatic intracerebral haemorrhage, IVT/IAT-treated stroke mimics, clinical outcome after three months and cost-effectiveness. Separate analyses for IAT-patients with or without prior IVT, within or out of office hours and EMS region will be performed. With 75 IAT-patients and 225 IVT-patients in each arm, we will be able to demonstrate a 20 min difference in TSD to IAT and a 10 min difference in TSD to IVT (p=0.05 and power=0.8). Study findings will be disseminated through peer-reviewed journals and (inter)national conference presentations. NCT02808806; Pre-results.</t>
  </si>
  <si>
    <t>Self-triage for acute primary care via a smartphone application: Practical, safe and efficient?</t>
  </si>
  <si>
    <t>Verzantvoort, Natascha C M; Teunis, Teun; Verheij, Theo J M; van der Velden, Alike W</t>
  </si>
  <si>
    <t>https://pubmed.ncbi.nlm.nih.gov/29944708</t>
  </si>
  <si>
    <t>Since the start of out-of-hours (OOH) primary care clinics, the number of patient consultations has been increasing. Triage plays an important role in patient selection for a consultation, and in providing reassurance and self-management advice. We aimed to investigate whether the smartphone application "Should I see a doctor?" (in Dutch:"moet ik naar de dokter?") could guide patients in appropriate consultation at OOH clinics by focusing on four topics: 1) app usage, 2) user satisfaction, 3) whether the app provides the correct advice, and 4) whether users intend to follow the advice. A prospective, cross-sectional study amongst app users in a routine primary care setting. The app is a self-triage tool for acute primary care. A built-in questionnaire asked users about the app's clarity, their satisfaction and whether they intended to follow the app's advice (n = 4456). A convenience sample of users was phoned by a triage nurse (reference standard) to evaluate whether the app's advice corresponded with the outcome of the triage call (n = 126). Suggestions of phoned participants were listed. The app was used by patients of all ages, also by parents for their children, and mostly for abdominal pain, skin disorders and cough. 58% of users received the advice to contact the clinic, 34% a self-care advice and 8% to wait-and-see. 65% of users intended to follow the app's advice. The app was rated as 'neutral' to 'very clear' by 87%, and 89% were 'neutral' to 'very satisfied'. In 81% of participants the app's advice corresponded to the triage call outcome, with sensitivity, specificity, positive- and negative predictive values of 84%, 74%, 88% and 67%, respectively. The app "Should I see a doctor?" could be a valuable tool to guide patients in contacting the OOH primary care clinic for acute care. To further improve the app's safety and efficiency, triaging multiple symptoms should be facilitated, and more information should be provided to patients receiving a wait-and-see advice.</t>
  </si>
  <si>
    <t>Correlation between neonatal outcomes of twins depends on the outcome: secondary analysis of twelve randomised controlled trials.</t>
  </si>
  <si>
    <t>Yelland, L N; Schuit, E; Zamora, J; Middleton, P F; Lim, A C; Nassar, A H; Rode, L; Serra, V; Thom, E A; Vayssière, C; Mol, Bwj; Gates, S</t>
  </si>
  <si>
    <t>https://pubmed.ncbi.nlm.nih.gov/29790271</t>
  </si>
  <si>
    <t>To estimate the magnitude of the correlation between neonatal outcomes of twins and demonstrate how this information can be used in the design of randomised controlled trials (RCTs) in women with twin pregnancies. Secondary analysis of data from 12 RCTs. Obstetric care in multiple countries, 2004-2012. 4504 twin pairs born to women who participated in RCTs to assess treatments given during pregnancy. Intraclass correlation coefficients (ICCs) were estimated using log-binomial and linear models. Perinatal death, respiratory distress syndrome, bronchopulmonary dysplasia, intraventricular haemorrhage, necrotising enterocolitis, sepsis, neonatal intensive care unit admission, birthweight, low birthweight and two composite measures of adverse neonatal outcome. ICCs for the composite measures of adverse neonatal outcome were all above 0.5, indicating moderate to strong correlation between adverse outcomes of twins. For individual neonatal outcomes, median ICCs across trials ranged from 0.13 to 0.79 depending on the outcome. An example illustrates how ICCs can be used in sample size calculations for RCTs in women with twin pregnancies. The correlation between neonatal outcomes of twins varies considerably between outcomes and may be lower than expected. Our ICC estimates can be used for designing and analysing RCTs that recruit women with twin pregnancies and for performing meta-analyses that include such RCTs. Researchers are encouraged to report ICCs for neonatal outcomes in twins in their own RCTs. Correlation between neonatal outcomes of twins depends on the outcome and may be lower than expected.</t>
  </si>
  <si>
    <t>Diabetes care providers' opinions and working methods after four years of experience with a diabetes patient web portal; a survey among health care providers in general practices and an outpatient clinic.</t>
  </si>
  <si>
    <t>Ronda, Maaike C M; Dijkhorst-Oei, Lioe-Ting; Vos, Rimke C; Rutten, Guy E H M</t>
  </si>
  <si>
    <t>https://pubmed.ncbi.nlm.nih.gov/29929483</t>
  </si>
  <si>
    <t>To gain insight into the opinions and working methods of diabetes care providers after using a diabetes web portal for 4 years in order to understand the role of the provider in patients' web portal use. Survey among physicians and nurses from general practices and an outpatient clinic, correlated with data from the common web portal. One hundred twenty-eight questionnaires were analysed (response rate 56.6%). Responders' mean age was 46.2 ± 9.8 years and 43.8% were physicians. The majority was of opinion that the portal improves patients' diabetes knowledge (90.6%) and quality of care (72.7%). Although uploading glucose diary (93.6%) and patient access to laboratory and clinical notes (91.2 and 71.0%) were considered important, these features were recommended to patients in only 71.8 and 19.5% respectively. 64.8% declared they informed their patients about the portal and 45.3% handed-out the information leaflet and website address. The portal was especially recommended to type 1 diabetes patients (78.3%); those on insulin (84.3%) and patients aged&lt; 65 years (72.4%). Few found it timesaving (21.9%). Diabetes care providers' opinions were not associated with patients' portal use. Providers are positive about patients web portals but still not recommend or encourage the use to all patients. There seems room for improvement in their working methods.</t>
  </si>
  <si>
    <t>Advance Care Planning in a Multicultural Family Centric Community: A Qualitative Study of Health Care Professionals', Patients', and Caregivers' Perspectives.</t>
  </si>
  <si>
    <t>Menon, Sumytra; Kars, Marijke C; Malhotra, Chetna; Campbell, Alastair V; van Delden, Johannes J M</t>
  </si>
  <si>
    <t>https://pubmed.ncbi.nlm.nih.gov/29775694</t>
  </si>
  <si>
    <t>Advance care planning (ACP) has been shown to improve end-of-life care, but it was developed in the U.S., and most research has been conducted in western communities. We aimed to study the attitudes and perceptions of patients with life-limiting illnesses, informal caregivers, doctors, nurses, and medical social workers regarding ACP in a multicultural family centric community. We conducted an explorative qualitative study, using focus groups and individual in-depth interviews. We used purposive sampling techniques to recruit 61 adults (15 doctors, 13 nurses, 5 medical social workers, 15 patients, and 13 caregivers) from multiple health care settings across the country. The participants are genuinely anxious about the implementation of ACP. They had positive and negative expectations of ACP. Many were confused about the legal framework for health care decision-making and expected ACP to be of limited value because family members, rather than the patient, were usually the key decision makers. A nuanced approach to ACP that considers the family network is required in multicultural family centric communities. Policies should be reconciled to create a more consistent message that respects patients, the family, and is legally coherent. Further research could focus on adaptations of ACP to promote its acceptance in such communities.</t>
  </si>
  <si>
    <t>Barriers and facilitators to participation in a health check for cardiometabolic diseases in primary care: A systematic review.</t>
  </si>
  <si>
    <t>de Waard, Anne-Karien M; Wändell, Per E; Holzmann, Martin J; Korevaar, Joke C; Hollander, Monika; Gornitzki, Carl; de Wit, Niek J; Schellevis, François G; Lionis, Christos; Søndergaard, Jens; Seifert, Bohumil; Carlsson, Axel C; ,</t>
  </si>
  <si>
    <t>https://pubmed.ncbi.nlm.nih.gov/29916723</t>
  </si>
  <si>
    <t>Background Health checks for cardiometabolic diseases could play a role in the identification of persons at high risk for disease. To improve the uptake of these health checks in primary care, we need to know what barriers and facilitators determine participation. Methods We used an iterative search strategy consisting of three steps: (a) identification of key-articles; (b) systematic literature search in PubMed, Medline and Embase based on keywords; (c) screening of titles and abstracts and subsequently full-text screening. We summarised the results into four categories: characteristics, attitudes, practical reasons and healthcare provider-related factors. Results Thirty-nine studies were included. Attitudes such as wanting to know of cardiometabolic disease risk, feeling responsible for, and concerns about one's own health were facilitators for participation. Younger age, smoking, low education and attitudes such as not wanting to be, or being, worried about the outcome, low perceived severity or susceptibility, and negative attitude towards health checks or prevention in general were barriers. Furthermore, practical issues such as information and the ease of access to appointments could influence participation. Conclusion Barriers and facilitators to participation in health checks for cardiometabolic diseases were heterogeneous. Hence, it is not possible to develop a 'one size fits all' approach to maximise the uptake. For optimal implementation we suggest a multifactorial approach adapted to the national context with special attention to people who might be more difficult to reach. Increasing the uptake of health checks could contribute to identifying the people at risk to be able to start preventive interventions.</t>
  </si>
  <si>
    <t>Development and internal validation of a clinical prediction model for external cephalic version.</t>
  </si>
  <si>
    <t>Velzel, Joost; Schuit, Ewoud; Vlemmix, Floortje; Molkenboer, Jan F M; Van der Post, Joris A M; Mol, Ben W; Kok, Marjolein</t>
  </si>
  <si>
    <t>https://pubmed.ncbi.nlm.nih.gov/29940417</t>
  </si>
  <si>
    <t>To develop a prediction model for the chance of successful external cephalic version (ECV). This is a secondary analysis of a multicenter, open-label randomized controlled trial that assessed the effectiveness of atosiban compared to fenoterol as uterine relaxant during ECV in women with a singleton fetus in breech presentation with a gestational age of 36 weeks or more. Potential predictors included maternal, pregnancy, fetal, and treatment characteristics and were recorded in all participants. Multivariable logistic regression analysis with a stepwise backward selection procedure was used to construct a prediction model for the occurrence of successful ECV. Model performance was assessed using calibration and discrimination. We included a total of 818 women with an overall ECV success rate of 37%. Ten predictive factors were identified with the stepwise selection procedure to be associated with a successful ECV: fenoterol as uterine relaxant, nulliparity, Caucasian ethnicity, gestational age at ECV, Amniotic Fluid Index, type of breech presentation, placental location, breech engagement, possibility to palpate the head and relaxation of the uterus. Our model showed good calibration and a good discriminative ability with a c-statistic of 0.78 (95% CI 0.75 to 0.81). Prediction of success of ECV seems feasible with a model showing good performance. This can be used in clinical practice after external validation.</t>
  </si>
  <si>
    <t>Effectiveness of endoscopic totally extraperitoneal (TEP) hernia correction for clinically occult inguinal hernia (EFFECT): study protocol for a randomized controlled trial.</t>
  </si>
  <si>
    <t>Roos, Marleen M; Verleisdonk, Egbert-Jan M M; Sanders, Floris B M; Hoes, Arno W; Stellato, Rebecca K; Frederix, Geert W J; Simmermacher, Rogier K J; Burgmans, Josephina P J; ,</t>
  </si>
  <si>
    <t>https://pubmed.ncbi.nlm.nih.gov/29914545</t>
  </si>
  <si>
    <t>Groin pain is a frequent complaint in surgical practice with an inguinal hernia being at the top of the differential diagnosis. The majority of inguinal hernias can be diagnosed clinically. However, patients with groin pain without signs of an inguinal hernia on anamnesis or physical examination provide a diagnostic challenge. If ultrasonography shows a hernia that could not be detected clinically, this entity is called a clinically occult hernia. It is debatable if this radiological hernia is the cause of complaints in all patients with inguinal pain. The objective of this study is to assess whether watchful waiting is non-inferior to endoscopic totally extraperitoneal (TEP) inguinal repair in patients with a clinically occult inguinal hernia. The EFFECT study is a multicenter non-blinded randomized controlled non-inferiority trial. Adult patients with unilateral groin pain and a clinically occult inguinal hernia are eligible to participate in this study. A total of 160 participants will be included and randomized to TEP inguinal hernia repair or a watchful waiting approach. The primary outcome of this study is pain reduction 3 months after treatment, measured by the Numeric Rating Scale (NRS). Secondary outcomes are quality of life, cost-effectiveness, patient satisfaction and crossover rate. Eight surgical centers will take part in the study. Participants will be followed-up for 1 year. This is the first large randomized controlled trial comparing treatments for patients with groin pain and a clinically occult inguinal hernia. To date, there are no interventional studies on the effect of surgery or a watchful waiting approach in terms of pain or quality of life in this subset of patients. A trial comparing the outcomes of the two approaches in patients with a clinically occult inguinal hernia is urgently needed to provide data facilitating the choice between the two treatment options. If watchful waiting is not inferior to surgical repair, costs of surgical repair may be saved. The study protocol (NL61730.100.17) is approved by the Medical Ethics Committee (MEC-U) of the Diakonessenhuis, Utrecht, The Netherlands. The study was registered at the Netherlands Trial Registry ( NTR6835 ) registered on November 13, 2017.</t>
  </si>
  <si>
    <t>Reasons for (non)participation in supplemental population-based MRI breast screening for women with extremely dense breasts.</t>
  </si>
  <si>
    <t>de Lange, S V; Bakker, M F; Monninkhof, E M; Peeters, P H M; de Koekkoek-Doll, P K; Mann, R M; Rutten, M J C M; Bisschops, R H C; Veltman, J; Duvivier, K M; Lobbes, M B I; de Koning, H J; Karssemeijer, N; Pijnappel, R M; Veldhuis, W B; van Gils, C H</t>
  </si>
  <si>
    <t>clinical radiology</t>
  </si>
  <si>
    <t>https://pubmed.ncbi.nlm.nih.gov/29759590</t>
  </si>
  <si>
    <t>To determine the willingness of women with extremely dense breasts to undergo breast cancer screening with magnetic resonance imaging (MRI) in a research setting, and to examine reasons for women to participate or not. Between 2011 and 2015, 8,061 women (50-75 years) were invited for supplemental MRI as part of the Dense Tissue and Early Breast Neoplasm Screening (DENSE) trial (ClinicalTrials.gov Identifier: NCT01315015), after a negative screening mammography in the national population-based mammography screening programme. Demographics of participants and non-participants were compared. All invitees were asked to report reasons for (non)participation. Ethical approval was obtained. Participants provided written informed consent. Of the 8,061 invitees, 66% answered that they were interested, and 59% eventually participated. Participants were on average 54-years old (interquartile range: 51-59 years), comparable to women with extremely dense breasts in the population-based screening programme (55 years). Women with higher socio-economic status (SES) were more often interested in participation than women with lower SES (68% versus 59%, p&lt;0.001). The most frequently stated reasons for non-participation were "MRI-related inconveniences and/or self-reported contraindications to MRI" (27%) and "anxiety regarding the result of supplemental screening" (21%). "Expected personal health benefit" (68%) and "contribution to science" (43%) were the most frequent reasons for participation. Of women invited for MRI because of extremely dense breasts, 59% participated. Common reasons for non-participation were "MRI-related inconveniences" and "anxiety regarding the result of supplemental screening". In case of future implementation, availability of precise evidence on benefits and harms might reduce this anxiety.</t>
  </si>
  <si>
    <t>The Impact of the 13-Valent Pneumococcal Conjugate Vaccine on Pneumococcal Carriage in the Community Acquired Pneumonia Immunization Trial in Adults (CAPiTA) Study.</t>
  </si>
  <si>
    <t>van Deursen, Anna M M; van Houten, Marlies A; Webber, Chris; Patton, Michael; Scott, Daniel; Patterson, Scott; Jiang, Qin; Gruber, William C; Schmoele-Thoma, Beate; Grobbee, Diederick E; Bonten, Marc J M; Sanders, Elisabeth A M</t>
  </si>
  <si>
    <t>https://pubmed.ncbi.nlm.nih.gov/29324986</t>
  </si>
  <si>
    <t>The impact of pneumococcal conjugate vaccination on the prevalence of nasopharyngeal carriage with pneumococci and other bacteria in adults is unknown. The direct effects of the 13-valent pneumococcal conjugate vaccine (PCV13) in community dwelling older adults was investigated as part of the randomized controlled Community Acquired Pneumonia immunization Trial in Adults (CAPiTA). We determined the carriage of Streptococcus pneumoniae, Staphylococcus aureus, Haemophilus influenzae, and Moraxella catarrhalis before and 6, 12, and 24 months after vaccination using polymerase chain reaction (PCR)-based methods and conventional cultures of nasopharyngeal and oropharyngeal swab samples in 1006 PCV13 recipients and 1005 controls. Serotyping of the 13 vaccine-type (VT) pneumococci was performed by PCR targeting capsular synthesis genes and Quellung reaction of isolates. Before randomization and based on PCR, 339 of 1891 subjects had nasopharyngeal carriage with any pneumococci (17.9%), and 114 of 1891 (6.0%) carried VT pneumococci. At 6 months after vaccination, VT pneumococcal carriage was significantly lower in PCV13 recipients than in the placebo group (relative risk, 0.53; 95% confidence interval, .35-.80; P = .04). There was no difference between the groups at 12 and 24 months after vaccination. Carriage of non-VT pneumococci, S. aureus, H. influenzae, and M. catarrhalis did not change between groups. In community-dwelling adults aged ≥65 years, a single dose of PCV13 seems to elicit a small and temporary reduction in VT carriage 6 months after vaccination. Neither replacement by non-VT serotypes nor impact on other nasopharyngeal bacteria was observed.</t>
  </si>
  <si>
    <t>Outlier classification performance of risk adjustment methods when profiling multiple providers.</t>
  </si>
  <si>
    <t>Brakenhoff, Timo B; Roes, Kit C B; Moons, Karel G M; Groenwold, Rolf H H</t>
  </si>
  <si>
    <t>https://pubmed.ncbi.nlm.nih.gov/29902975</t>
  </si>
  <si>
    <t>When profiling multiple health care providers, adjustment for case-mix is essential to accurately classify the quality of providers. Unfortunately, misclassification of provider performance is not uncommon and can have grave implications. Propensity score (PS) methods have been proposed as viable alternatives to conventional multivariable regression. The objective was to assess the outlier classification performance of risk adjustment methods when profiling multiple providers. In a simulation study based on empirical data, the classification performance of logistic regression (fixed and random effects), PS adjustment, and three PS weighting methods was evaluated when varying parameters such as the number of providers, the average incidence of the outcome, and the percentage of outliers. Traditional classification accuracy measures were considered, including sensitivity and specificity. Fixed effects logistic regression consistently had the highest sensitivity and negative predictive value, yet a low specificity and positive predictive value. Of the random effects methods, PS adjustment and random effects logistic regression performed equally well or better than all the remaining PS methods for all classification accuracy measures across the studied scenarios. Of the evaluated PS methods, only PS adjustment can be considered a viable alternative to random effects logistic regression when profiling multiple providers in different scenarios.</t>
  </si>
  <si>
    <t>Dementia and advance directives: some empirical and normative concerns.</t>
  </si>
  <si>
    <t>Jongsma, Karin R; Kars, Marijke C; van Delden, Johannes J M</t>
  </si>
  <si>
    <t>https://pubmed.ncbi.nlm.nih.gov/29907577</t>
  </si>
  <si>
    <t>The authors of the paper 'Advance euthanasia directives: a controversial case and its ethical implications' articulate concerns and reasons with regard to the conduct of euthanasia in persons with dementia based on advance directives. While we agree on the conclusion that there needs to be more attention for such directives in the preparation phase, we disagree with the reasons provided by the authors to support their conclusions. We will outline two concerns with their reasoning by drawing on empirical research and by providing reasons that contradict their assumptions about competence of people with dementia and the (un)importance of happiness in reasoning about advance directives of people with dementia. We will draw attention to the important normative questions that have been overstepped in their paper, and we will outline why further research is required.</t>
  </si>
  <si>
    <t>A mobile revolution for healthcare? Setting the agenda for bioethics.</t>
  </si>
  <si>
    <t>Lucivero, Federica; Jongsma, Karin R</t>
  </si>
  <si>
    <t>https://pubmed.ncbi.nlm.nih.gov/29907579</t>
  </si>
  <si>
    <t>Mobile health (mHealth) is rapidly being implemented and changing our ways of doing, understanding and organising healthcare. mHealth includes wearable devices as well as apps that track fitness, offer wellness programmes or provide tools to manage chronic conditions. According to industry and policy makers, these systems offer efficient and cost-effective solutions for disease prevention and self-management. While this development raises many ethically relevant questions, so far mHealth has received only little attention in medical ethics. This paper provides an overview of bioethical issues raised by mHealth and aims to draw scholarly attention to the ethical significance of its promises and challenges. We show that the overly positive promises of mHealth need to be nuanced and their desirability critically assessed. Finally, we offer suggestions to bioethicists to engage with this emerging trend in healthcare to develop mHealth to its best potential in a morally sound way.</t>
  </si>
  <si>
    <t>[Ethical dilemmas in a general practitioner's clinic due to incidental findings resulting from whole genome sequencing].</t>
  </si>
  <si>
    <t>Wouters, Roel H P; Bijlsma, Rhodé M; Voest, Emile E; Bredenoord, Annelien L</t>
  </si>
  <si>
    <t>https://pubmed.ncbi.nlm.nih.gov/31035742</t>
  </si>
  <si>
    <t>Whole genome sequencing (WGS) is increasingly being used in clinical practice. As a result, various healthcare professionals now encounter ethical dilemmas that were formerly confined within the genetics clinic. In addition to autonomy and well-being of both patients and their family members, which need to be balanced carefully, a societal perspective is also vital to ensure the ethically sound introduction of whole genome sequencing into daily practice. Important choices to be made are: who is eligible for whole genome sequencing; how can informed consent be sensibly obtained, when dealing with such vast quantities of genomic information; which type of information should be offered to patients; should professionals actively search for pathogenic mutations. The rise of WGS has an impact on the moral responsibilities incumbent on healthcare professionals and necessitates a comprehensive societal debate on the advent of personalized medicine.</t>
  </si>
  <si>
    <t>[Unsolicited genomic findings in daily clinical practice].</t>
  </si>
  <si>
    <t>https://pubmed.ncbi.nlm.nih.gov/30040258</t>
  </si>
  <si>
    <t>Adiponectin, Free Fatty Acids, and Cardiovascular Outcomes in Patients With Type 2 Diabetes and Acute Coronary Syndrome.</t>
  </si>
  <si>
    <t>Schrieks, Ilse C; Nozza, Anna; Stähli, Barbara E; Buse, John B; Henry, Robert R; Malmberg, Klas; Neal, Bruce; Nicholls, Stephen J; Rydén, Lars; Mellbin, Linda; Svensson, Anders; Wedel, Hans; Weichert, Arlette; Lincoff, A Michael; Tardif, Jean-Claude; Grobbee, Diederick E; Schwartz, Gregory G</t>
  </si>
  <si>
    <t>https://pubmed.ncbi.nlm.nih.gov/29903845</t>
  </si>
  <si>
    <t>In observational cohorts, adiponectin is inversely associated and free fatty acids (FFAs) are directly associated with incident coronary heart disease (CHD). Adiponectin tends to be reduced and FFAs elevated in type 2 diabetes. We investigated relationships of adiponectin and FFA and major adverse cardiovascular events (MACEs) and death in patients with acute coronary syndrome (ACS) and type 2 diabetes using data from the AleCardio (Effect of Aleglitazar on Cardiovascular Outcomes After Acute Coronary Syndrome in Patients With Type 2 Diabetes Mellitus) trial, which compared the PPAR-α/γ agonist aleglitazar with placebo. Using Cox regression adjusted for demographic, laboratory, and treatment variables, we determined associations of baseline adiponectin and FFAs, or the change in adiponectin and FFAs from baseline, with MACEs (cardiovascular death, myocardial infarction, or stroke) and death. A twofold higher baseline adiponectin (&lt;i&gt;n&lt;/i&gt; = 6,998) was directly associated with risk of MACEs (hazard ratio [HR] 1.17 [95% CI 1.08-1.27]) and death (HR 1.53 [95% CI 1.35-1.73]). A doubling of adiponectin from baseline to month 3 (&lt;i&gt;n&lt;/i&gt; = 6,325) was also associated with risk of death (HR 1.20 [95% CI 1.03-1.41]). Baseline FFAs (&lt;i&gt;n&lt;/i&gt; = 7,038), but not change in FFAs from baseline (&lt;i&gt;n&lt;/i&gt; = 6,365), were directly associated with greater risk of MACEs and death. There were no interactions with study treatment. In contrast to prior observational data for incident CHD, adiponectin is prospectively associated with MACEs and death in patients with type 2 diabetes and ACS, and an increase in adiponectin from baseline is directly related to death. These findings raise the possibility that adiponectin has different effects in patients with type 2 diabetes and ACS than in populations without prevalent cardiovascular disease. Consistent with prior data, FFAs are directly associated with adverse outcomes.</t>
  </si>
  <si>
    <t>Association between bone metabolism regulators and arterial stiffness in type 2 diabetes patients.</t>
  </si>
  <si>
    <t>Sharif, S; Bots, M L; Schalkwijk, C; Stehouwer, C D A; Visseren, F L J; Westerink, J; ,</t>
  </si>
  <si>
    <t>https://pubmed.ncbi.nlm.nih.gov/30017437</t>
  </si>
  <si>
    <t>Osteopontin (OPN), osteonectin (ON) and osteocalcin (OC) play an important role in the development of vascular calcifications, but it is unclear whether these bone metabolism regulators contribute to the development of arterial stiffness in type 2 diabetes patients. We therefore aim to determine the relationship between plasma concentrations of OPN, ON, OC and arterial stiffness in type 2 diabetes patients. Cross-sectional study of 1003 type 2 diabetes patients included in the Second Manifestations of ARTerial disease (SMART)-cohort. Generalized linear models were used to evaluate the relation between plasma levels of OPN, ON and OC and arterial stiffness as measured by pulse pressure (PP), ankle-brachial index (ABI) (≥0.9), carotid artery distension and an arterial stiffness summary score. Analyses were adjusted for age, sex, kidney function, diabetes duration and diastolic blood pressure. Higher OPN plasma levels were significantly related to a lower ABI (β-0.013; 95%CI -0.024 to -0.002) and a higher arterial stiffness summary score (OR1.24; 95%CI 1.03-1.49). OPN levels were not related to PP (β 0.59; 95%CI -0.63-1.81) or absolute carotid artery distention (β -7.03; 95%CI -20.00-5.93). ON and OC plasma levels were not related to any of the arterial stiffness measures. Only elevated plasma levels of OPN are associated with increased arterial stiffness in patients with type 2 diabetes as measured by the ankle-brachial index and arterial stiffness summary score. These findings indicate that OPN may be involved in the pathophysiology of arterial stiffness and call for further clinical investigation.</t>
  </si>
  <si>
    <t>Evaluating the impact of prediction models: lessons learned, challenges, and recommendations.</t>
  </si>
  <si>
    <t>Kappen, Teus H; van Klei, Wilton A; van Wolfswinkel, Leo; Kalkman, Cor J; Vergouwe, Yvonne; Moons, Karel G M</t>
  </si>
  <si>
    <t>https://pubmed.ncbi.nlm.nih.gov/31093561</t>
  </si>
  <si>
    <t>An important aim of clinical prediction models is to positively impact clinical decision making and subsequent patient outcomes. The impact on clinical decision making and patient outcome can be quantified in prospective comparative-ideally cluster-randomized-studies, known as 'impact studies'. However, such impact studies often require a lot of time and resources, especially when they are (cluster-)randomized studies. Before envisioning such large-scale randomized impact study, it is important to ensure a reasonable chance that the use of the prediction model by the targeted healthcare professionals and patients will indeed have a positive effect on both decision making and subsequent outcomes. We recently performed two differently designed, prospective impact studies on a clinical prediction model to be used in surgical patients. Both studies taught us new valuable lessons on several aspects of prediction model impact studies, and which considerations may guide researchers in their decision to conduct a prospective comparative impact study. We provide considerations on how to prepare a prediction model for implementation in practice, how to present the model predictions, and how to choose the proper design for a prediction model impact study.</t>
  </si>
  <si>
    <t>Hippocampal Calcifications: Risk Factors and Association with Cognitive Function.</t>
  </si>
  <si>
    <t>de Brouwer, Esther J M; Kockelkoren, Remko; Claus, Jules J; de Jonghe, Annemarieke; Geerlings, Mirjam I; Jongsma, Thomas E F; Mali, Willem P T M; Hendrikse, Jeroen; de Jong, Pim A; Koek, Huiberdina L</t>
  </si>
  <si>
    <t>https://pubmed.ncbi.nlm.nih.gov/29893650</t>
  </si>
  <si>
    <t>Purpose To identify risk factors for hippocampal calcifications and to investigate the association between hippocampal calcifications and cognitive function. Materials and Methods For this retrospective study, consecutive patients visiting a memory clinic at a Dutch general hospital between April 2009 and April 2015 were identified. All individuals underwent a standard diagnostic work-up including cognitive tests and brain CT. The following vascular risk factors were assessed: hypertension, diabetes mellitus, hyperlipidemia, and smoking. Cognitive screening consisted of the Cambridge Cognitive Examination, which includes the Mini-Mental State Examination. CT scans were analyzed for the presence and severity (absent, mild, moderate, severe) of hippocampal calcifications. One measure per patient, only the most severe score, was used. Logistic regression was used to identify risk factors for hippocampal calcifications, and linear regression was used for the association between hippocampal calcifications (patient level) and cognitive function. Results A total of 1991 patients (mean age, 78 years; range, 45-96 years) were included. The mean age of women was 79 years (range, 47-96 years), and the mean age of men was 77 years (range, 45-95 years). Of the 1991 patients, 380 (19.1%) had hippocampal calcifications. Older age (odds ratio [OR] per year, 1.05; 95% confidence interval [CI]: 1.03, 1.06), diabetes mellitus (OR, 1.50; 95% CI: 1.12, 2.00), and smoking (OR, 1.49; 95% CI: 1.05, 2.10) were associated with the presence of hippocampal calcifications. No associations were found between presence and severity of hippocampal calcifications and cognitive function. Conclusion Older age, diabetes mellitus, and smoking were associated with an increased risk of hippocampal calcifications. A greater degree of hippocampal calcifications was not associated with lower cognitive function in patients with memory complaints.</t>
  </si>
  <si>
    <t>Measurement of the inclusive and fiducial &lt;math xmlns="http://www.w3.org/1998/Math/MathML"&gt;&lt;mrow&gt;&lt;mi&gt;t&lt;/mi&gt; &lt;mover&gt;&lt;mrow&gt;&lt;mi&gt;t&lt;/mi&gt;&lt;/mrow&gt; &lt;mrow&gt;&lt;mo&gt;¯&lt;/mo&gt;&lt;/mrow&gt; &lt;/mover&gt; &lt;/mrow&gt; &lt;/math&gt; production cross-sections in the lepton+jets channel in &lt;i&gt;pp&lt;/i&gt; collisions at &lt;math xmlns="http://www.w3.org/1998/Math/MathML"&gt; &lt;mrow&gt;&lt;msqrt&gt;&lt;mi&gt;s&lt;/mi&gt;&lt;/msqrt&gt; &lt;mo&gt;=&lt;/mo&gt; &lt;mn&gt;8&lt;/mn&gt; &lt;mspace&gt;&lt;/mspace&gt; &lt;mtext&gt;TeV&lt;/mtext&gt;&lt;/mrow&gt; &lt;/math&gt;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</si>
  <si>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t>
  </si>
  <si>
    <t>https://pubmed.ncbi.nlm.nih.gov/30956553</t>
  </si>
  <si>
    <t>The inclusive and fiducial &lt;math xmlns="http://www.w3.org/1998/Math/MathML"&gt;&lt;mrow&gt;&lt;mi&gt;t&lt;/mi&gt; &lt;mover&gt;&lt;mrow&gt;&lt;mi&gt;t&lt;/mi&gt;&lt;/mrow&gt; &lt;mrow&gt;&lt;mo&gt;¯&lt;/mo&gt;&lt;/mrow&gt; &lt;/mover&gt; &lt;/mrow&gt; &lt;/math&gt; production cross-sections are measured in the lepton+jets channel using &lt;math xmlns="http://www.w3.org/1998/Math/MathML"&gt;&lt;mrow&gt;&lt;mn&gt;20.2&lt;/mn&gt; &lt;mspace&gt;&lt;/mspace&gt; &lt;msup&gt;&lt;mtext&gt;fb&lt;/mtext&gt; &lt;mrow&gt;&lt;mo&gt;-&lt;/mo&gt; &lt;mn&gt;1&lt;/mn&gt;&lt;/mrow&gt; &lt;/msup&gt; &lt;/mrow&gt; &lt;/math&gt; of proton-proton collision data at a centre-of-mass energy of 8 TeV recorded with the ATLAS detector at the LHC. Major systematic uncertainties due to the modelling of the jet energy scale and &lt;i&gt;b&lt;/i&gt;-tagging efficiency are constrained by separating selected events into three disjoint regions. In order to reduce systematic uncertainties in the most important background, the &lt;math xmlns="http://www.w3.org/1998/Math/MathML"&gt;&lt;mrow&gt;&lt;mi&gt;W&lt;/mi&gt; &lt;mtext&gt;+\,jets&lt;/mtext&gt;&lt;/mrow&gt; &lt;/math&gt; process is modelled using &lt;math xmlns="http://www.w3.org/1998/Math/MathML"&gt;&lt;mi&gt;Z&lt;/mi&gt;&lt;/math&gt; + jets events in a data-driven approach. The inclusive &lt;math xmlns="http://www.w3.org/1998/Math/MathML"&gt;&lt;mrow&gt;&lt;mi&gt;t&lt;/mi&gt; &lt;mover&gt;&lt;mrow&gt;&lt;mi&gt;t&lt;/mi&gt;&lt;/mrow&gt; &lt;mrow&gt;&lt;mo&gt;¯&lt;/mo&gt;&lt;/mrow&gt; &lt;/mover&gt; &lt;/mrow&gt; &lt;/math&gt; cross-section is measured with a precision of 5.7% to be &lt;math xmlns="http://www.w3.org/1998/Math/MathML"&gt; &lt;mrow&gt;&lt;msub&gt;&lt;mi&gt;σ&lt;/mi&gt; &lt;mtext&gt;inc&lt;/mtext&gt;&lt;/msub&gt; &lt;mrow&gt;&lt;mo&gt;(&lt;/mo&gt; &lt;mi&gt;t&lt;/mi&gt; &lt;mover&gt;&lt;mrow&gt;&lt;mi&gt;t&lt;/mi&gt;&lt;/mrow&gt; &lt;mrow&gt;&lt;mo&gt;¯&lt;/mo&gt;&lt;/mrow&gt; &lt;/mover&gt; &lt;mo&gt;)&lt;/mo&gt;&lt;/mrow&gt; &lt;mo&gt;=&lt;/mo&gt; &lt;mn&gt;248.3&lt;/mn&gt; &lt;mo&gt;±&lt;/mo&gt; &lt;mn&gt;0.7&lt;/mn&gt; &lt;mspace&gt;&lt;/mspace&gt; &lt;mrow&gt;&lt;mo&gt;(&lt;/mo&gt; &lt;mrow&gt;&lt;mi&gt;stat&lt;/mi&gt; &lt;mo&gt;.&lt;/mo&gt;&lt;/mrow&gt; &lt;mo&gt;)&lt;/mo&gt;&lt;/mrow&gt; &lt;mo&gt;±&lt;/mo&gt; &lt;mn&gt;13.4&lt;/mn&gt; &lt;mspace&gt;&lt;/mspace&gt; &lt;mrow&gt;&lt;mo&gt;(&lt;/mo&gt; &lt;mrow&gt;&lt;mi&gt;syst&lt;/mi&gt; &lt;mo&gt;.&lt;/mo&gt;&lt;/mrow&gt; &lt;mo&gt;)&lt;/mo&gt;&lt;/mrow&gt; &lt;mo&gt;±&lt;/mo&gt; &lt;mn&gt;4.7&lt;/mn&gt; &lt;mspace&gt;&lt;/mspace&gt; &lt;mrow&gt;&lt;mo&gt;(&lt;/mo&gt; &lt;mrow&gt;&lt;mi&gt;lumi&lt;/mi&gt; &lt;mo&gt;.&lt;/mo&gt;&lt;/mrow&gt; &lt;mo&gt;)&lt;/mo&gt;&lt;/mrow&gt; &lt;mspace&gt;&lt;/mspace&gt; &lt;mtext&gt;pb&lt;/mtext&gt;&lt;/mrow&gt; &lt;/math&gt; , assuming a top-quark mass of 172.5 GeV. The result is in agreement with the Standard Model prediction. The cross-section is also measured in a phase space close to that of the selected data. The fiducial cross-section is &lt;math xmlns="http://www.w3.org/1998/Math/MathML"&gt; &lt;mrow&gt;&lt;msub&gt;&lt;mi&gt;σ&lt;/mi&gt; &lt;mtext&gt;fid&lt;/mtext&gt;&lt;/msub&gt; &lt;mrow&gt;&lt;mo&gt;(&lt;/mo&gt; &lt;mi&gt;t&lt;/mi&gt; &lt;mover&gt;&lt;mrow&gt;&lt;mi&gt;t&lt;/mi&gt;&lt;/mrow&gt; &lt;mrow&gt;&lt;mo&gt;¯&lt;/mo&gt;&lt;/mrow&gt; &lt;/mover&gt; &lt;mo&gt;)&lt;/mo&gt;&lt;/mrow&gt; &lt;mo&gt;=&lt;/mo&gt; &lt;mn&gt;48.8&lt;/mn&gt; &lt;mo&gt;±&lt;/mo&gt; &lt;mn&gt;0.1&lt;/mn&gt; &lt;mspace&gt;&lt;/mspace&gt; &lt;mrow&gt;&lt;mo&gt;(&lt;/mo&gt; &lt;mrow&gt;&lt;mi&gt;stat&lt;/mi&gt; &lt;mo&gt;.&lt;/mo&gt;&lt;/mrow&gt; &lt;mo&gt;)&lt;/mo&gt;&lt;/mrow&gt; &lt;mo&gt;±&lt;/mo&gt; &lt;mn&gt;2.0&lt;/mn&gt; &lt;mspace&gt;&lt;/mspace&gt; &lt;mrow&gt;&lt;mo&gt;(&lt;/mo&gt; &lt;mrow&gt;&lt;mi&gt;syst&lt;/mi&gt; &lt;mo&gt;.&lt;/mo&gt;&lt;/mrow&gt; &lt;mo&gt;)&lt;/mo&gt;&lt;/mrow&gt; &lt;mo&gt;±&lt;/mo&gt; &lt;mn&gt;0.9&lt;/mn&gt; &lt;mspace&gt;&lt;/mspace&gt; &lt;mrow&gt;&lt;mo&gt;(&lt;/mo&gt; &lt;mrow&gt;&lt;mi&gt;lumi&lt;/mi&gt; &lt;mo&gt;.&lt;/mo&gt;&lt;/mrow&gt; &lt;mo&gt;)&lt;/mo&gt;&lt;/mrow&gt; &lt;mspace&gt;&lt;/mspace&gt; &lt;mtext&gt;pb&lt;/mtext&gt;&lt;/mrow&gt; &lt;/math&gt; with a precision of 4.5%.</t>
  </si>
  <si>
    <t>Pragmatic clinical trials: ethical imperatives and opportunities.</t>
  </si>
  <si>
    <t>Kalkman, Shona; van Thiel, Ghislaine J M W; Grobbee, Diederick E; van Delden, Johannes J M</t>
  </si>
  <si>
    <t>https://pubmed.ncbi.nlm.nih.gov/29906514</t>
  </si>
  <si>
    <t>Cohort profile: the Geoscience and Health Cohort Consortium (GECCO) in the Netherlands.</t>
  </si>
  <si>
    <t>Timmermans, Erik J; Lakerveld, Jeroen; Beulens, Joline W J; Boomsma, Dorret I; Kramer, Sophia E; Oosterman, Mirjam; Willemsen, Gonneke; Stam, Mariska; Nijpels, Giel; Schuengel, Carlo; Smit, Jan H; Brunekreef, Bert; Dekkers, Jasper E C; Deeg, Dorly J H; Penninx, Brenda W J H; Huisman, Martijn</t>
  </si>
  <si>
    <t>https://pubmed.ncbi.nlm.nih.gov/29886447</t>
  </si>
  <si>
    <t>In the Netherlands, a great variety of objectively measured geo-data is available, but these data are scattered and measured at varying spatial and temporal scales. The centralisation of these geo-data and the linkage of these data to individual-level data from longitudinal cohort studies enable large-scale epidemiological research on the impact of the environment on public health in the Netherlands. In the Geoscience and Health Cohort Consortium (GECCO), six large-scale and ongoing cohort studies have been enriched with a variety of existing geo-data. Here, we introduce GECCO by describing: (1) the phenotypes of the involved cohort studies, (2) the collected geo-data and their sources, (3) the methodology that was used to link the collected geo-data to individual cohort studies, (4) the similarity of commonly used geo-data between our consortium and the nationwide situation in the Netherlands and (5) the distribution of geo-data within our consortium. GECCO includes participants from six prospective cohort studies (eg, 44 657 respondents (18-100 years) in 2006) and it covers all municipalities in the Netherlands. Using postal code information of the participants, geo-data on the address-level, postal code-level as well as neighbourhood-level could be linked to individual-level cohort data. The geo-data could be successfully linked to almost all respondents of all cohort studies, with successful data-linkage rates ranging from 97.1% to 100.0% between cohort studies. The results show variability in geo-data within and across cohorts. GECCO increases power of analyses, provides opportunities for cross-checking and replication, ensures sufficient geographical variation in environmental determinants and allows for nuanced analyses on specific subgroups. GECCO offers unique opportunities for (longitudinal) studies on the complex relationships between the environment and health outcomes. For example, GECCO will be used for further research on environmental determinants of physical/psychosocial functioning and lifestyle behaviours.</t>
  </si>
  <si>
    <t>Four-year effects of exercise on fatigue and physical activity in patients with cancer.</t>
  </si>
  <si>
    <t>Witlox, Lenja; Hiensch, Anouk E; Velthuis, Miranda J; Steins Bisschop, Charlotte N; Los, Maartje; Erdkamp, Frans L G; Bloemendal, Haiko J; Verhaar, Marlies; Ten Bokkel Huinink, Daan; van der Wall, Elsken; Peeters, Petra H M; May, Anne M</t>
  </si>
  <si>
    <t>https://pubmed.ncbi.nlm.nih.gov/29879968</t>
  </si>
  <si>
    <t>In the earlier randomized controlled Physical Activity during Cancer Treatment (PACT) study, we found beneficial effects of an 18-week supervised exercise program on fatigue in patients with newly diagnosed breast or colon cancer undergoing adjuvant treatment. The present study assessed long-term effects of the exercise program on levels of fatigue and physical activity 4 years after participation in the PACT study. The original study was a two-armed, multicenter randomized controlled trial comparing an 18-week supervised exercise program to usual care among 204 breast cancer patients and 33 colon cancer patients undergoing adjuvant treatment. Of the 237 PACT participants, 197 participants were eligible and approached to participate in the 4-year post-baseline measurements, and 128 patients responded. We assessed fatigue and physical activity levels at 4 years post-baseline and compared this to levels at baseline, post-intervention (18 weeks post-baseline), and at 36 weeks post-baseline. Intention-to-treat mixed linear effects model analyses showed that cancer patients in the intervention group reported significantly higher moderate-to-vigorous total physical activity levels (141.46 min/week (95% confidence interval (CI) 1.31, 281.61, effect size (ES) = 0.22) after 4 years compared to the usual care group. Furthermore, cancer patients in the intervention group tended to experience less physical fatigue at 4 years post-baseline compared to the usual care group (- 1.13, 95% CI -2.45, 0.20, ES = 0.22), although the result was not statistically significant. Patients with breast or colon cancer who participated in the 18-week exercise intervention showed significant higher levels of moderate-to-vigorous total physical activity levels and a tendency towards lower physical fatigue levels 4 years post-baseline. Our result indicate that exercising during chemotherapy is a promising strategy for minimizing treatment-related side effects, both short and long term. Current Controlled Trials ISRCTN43801571 , Dutch Trial Register NTR2138 . Trial registered on 9 December 2009.</t>
  </si>
  <si>
    <t>[Real-time access via the patient portal; is this desirable for good care provision?].</t>
  </si>
  <si>
    <t>Kooiman, Stephanie A; Mostert, Menno; Biesaart, Monique C I H</t>
  </si>
  <si>
    <t>https://pubmed.ncbi.nlm.nih.gov/30040307</t>
  </si>
  <si>
    <t>More and more hospitals are opening patient portals, which enable patients to view their medical records online. Some hospitals take it one step further and offer patients real-time access. The right to digital access to data, either locally or at a distance, will be established in the course of the next few years in new European General Data Protection Regulation and in the Netherlands 'law for supplementary conditions for processing personal data in the care sector' ('Wet aanvullende bepalingen verwerking persoonsgegevens in de zorg'). These developments give relevancy to the question whether real-time access to medical records is desirable for good care provision. There are pros and cons to real-time access. Many of the pros also apply when access is provided after a short buffer period and more research, particularly into potential damaging consequences, is desirable. When all aspects are taken into consideration, a system of real-time access can be in conflict with good care provision in certain situations, for instance, if it is not possible to set up a buffer period.</t>
  </si>
  <si>
    <t>Characteristics of high- and low-risk individuals in the PRIORITY study: urinary proteomics and mineralocorticoid receptor antagonism for prevention of diabetic nephropathy in Type 2 diabetes.</t>
  </si>
  <si>
    <t>Tofte, N; Lindhardt, M; Adamova, K; Beige, J; Beulens, J W J; Birkenfeld, A L; Currie, G; Delles, C; Dimos, I; Francová, L; Frimodt-Møller, M; Girman, P; Göke, R; Havrdova, T; Kooy, A; Mischak, H; Navis, G; Nijpels, G; Noutsou, M; Ortiz, A; Parvanova, A; Persson, F; Ruggenenti, P L; Rutters, F; Rychlík, I; Spasovski, G; Speeckaert, M; Trillini, M; von der Leyen, H; Rossing, P</t>
  </si>
  <si>
    <t>https://pubmed.ncbi.nlm.nih.gov/29781558</t>
  </si>
  <si>
    <t>To compare clinical baseline data in individuals with Type 2 diabetes and normoalbuminuria, who are at high or low risk of diabetic kidney disease based on the urinary proteomics classifier CKD273. We conducted a prospective, randomized, double-blind, placebo-controlled international multicentre clinical trial and observational study in participants with Type 2 diabetes and normoalbuminuria, stratified into high- or low-risk groups based on CKD273 score. Clinical baseline data for the whole cohort and stratified by risk groups are reported. The associations between CKD273 and traditional risk factors for diabetic kidney disease were evaluated using univariate and logistic regression analysis. A total of 1777 participants from 15 centres were included, with 12.3% of these having a high-risk proteomic pattern. Participants in the high-risk group (n=218), were more likely to be men, were older, had longer diabetes duration, a lower estimated GFR and a higher urinary albumin:creatinine ratio than those in the low-risk group (n=1559, P&lt;0.02). Numerical differences were small and univariate regression analyses showed weak associations (R&lt;sup&gt;2&lt;/sup&gt; &lt; 0.04) of CKD273 with each baseline variable. In a logistic regression model including clinical variables known to be associated with diabetic kidney disease, estimated GFR, gender, log urinary albumin:creatinine ratio and use of renin-angiotensin system-blocking agents remained significant determinants of the CKD273 high-risk group: area under the curve 0.72 (95% CI 0.68-0.75; P&lt;0.01). In this population of individuals with Type 2 diabetes and normoalbuminuria, traditional diabetic kidney disease risk factors differed slightly between participants at high risk and those at low risk of diabetic kidney disease, based on CKD273. These data suggest that CKD273 may provide additional prognostic information over and above the variables routinely available in the clinic. Testing the added value will be subject to our ongoing study. (European Union Clinical Trials Register: EudraCT 2012-000452-34 and Clinicaltrials.gov: NCT02040441).</t>
  </si>
  <si>
    <t>Measurement tools and outcome measures used in transitional patient safety; a systematic review.</t>
  </si>
  <si>
    <t>https://pubmed.ncbi.nlm.nih.gov/29864119</t>
  </si>
  <si>
    <t>Patients are at risk for harm when treated simultaneously by healthcare providers from different healthcare organisations. To assess current practice and improvements of transitional patient safety, valid measurement tools are needed. To identify and appraise all measurement tools and outcomes that measure aspects of transitional patient safety, PubMed, Cinahl, Embase and Psychinfo were systematically searched. Two researchers performed the title and abstract and full-text selection. First, publications about validation of measurement tools were appraised for quality following COSMIN criteria. Second, we inventoried all measurement tools and outcome measures found in our search that assessed current transitional patient safety or the effect of interventions targeting transitional patient safety. The initial search yielded 8288 studies, of which 18 assessed validity of measurement tools of different aspects of transitional safety, and 191 assessed current transitional patient safety or effect of interventions. In the validated measurement tools, the overall quality of content and structural validity was acceptable; other COSMIN criteria, such as reliability, measurement error and responsiveness, were mostly poor or not reported. In our outcome inventory, the most frequently used validated outcome measure was the Care Transition Measure (n = 9). The most frequently used non-validated outcome measures were: medication discrepancies (n = 98), hospital readmissions (n = 55), adverse events (n = 34), emergency department visits (n = 33), (mental or physical) health status (n = 28), quality and timeliness of discharge summary, and patient satisfaction (n = 23). Although no validated measures exist that assess all aspects of transitional patient safety, we found validated measurement tools on specific aspects. Reporting of validity of transitional measurement tools was incomplete. Numerous outcome measures with unknown measurement properties are used in current studies on safety of care transitions, which makes interpretation or comparison of their results uncertain.</t>
  </si>
  <si>
    <t>Introducing PALETTE: an iterative method for conducting a literature search for a review in palliative care.</t>
  </si>
  <si>
    <t>Zwakman, Marieke; Verberne, Lisa M; Kars, Marijke C; Hooft, Lotty; van Delden, Johannes J M; Spijker, René</t>
  </si>
  <si>
    <t>https://pubmed.ncbi.nlm.nih.gov/29859532</t>
  </si>
  <si>
    <t>In the rapidly developing specialty of palliative care, literature reviews have become increasingly important to inform and improve the field. When applying widely used methods for literature reviews developed for intervention studies onto palliative care, challenges are encountered such as the heterogeneity of palliative care in practice (wide range of domains in patient characteristics, stages of illness and stakeholders), the explorative character of review questions, and the poorly defined keywords and concepts. To overcome the challenges and to provide guidance for researchers to conduct a literature search for a review in palliative care, Palliative cAre Literature rEview iTeraTive mEthod (PALLETE), a pragmatic framework, was developed. We assessed PALETTE with a detailed description. PALETTE consists of four phases; developing the review question, building the search strategy, validating the search strategy and performing the search. The framework incorporates different information retrieval techniques: contacting experts, pearl growing, citation tracking and Boolean searching in a transparent way to maximize the retrieval of literature relevant to the topic of interest. The different components and techniques are repeated until no new articles are qualified for inclusion. The phases within PALETTE are interconnected by a recurrent process of validation on 'golden bullets' (articles that undoubtedly should be part of the review), citation tracking and concept terminology reflecting the review question. To give insight in the value of PALETTE, we compared PALETTE with the recommended search method for reviews of intervention studies. By using PALETTE on two palliative care literature reviews, we were able to improve our review questions and search strategies. Moreover, in comparison with the recommended search for intervention reviews, the number of articles needed to be screened was decreased whereas more relevant articles were retrieved. Overall, PALETTE helped us in gaining a thorough understanding of the topic of interest and made us confident that the included studies comprehensively represented the topic. PALETTE is a coherent and transparent pragmatic framework to overcome the challenges of performing a literature review in palliative care. The method enables researchers to improve question development and to maximise both sensitivity and precision in their search process.</t>
  </si>
  <si>
    <t>Cautionary note: propensity score matching does not account for bias due to censoring.</t>
  </si>
  <si>
    <t>Penning de Vries, Bas B L; Groenwold, Rolf H H</t>
  </si>
  <si>
    <t>https://pubmed.ncbi.nlm.nih.gov/28992275</t>
  </si>
  <si>
    <t>This article gives a review of the limitations of propensity score matching as a tool for confounding control in the presence of censoring. Using an illustrative simulation study, we emphasize the importance of explicit adjustment for selective loss to follow-up and explain how this may be achieved.</t>
  </si>
  <si>
    <t>Receptor Conversion in Distant Breast Cancer Metastases: A Systematic Review and Meta-analysis.</t>
  </si>
  <si>
    <t>Schrijver, Willemijne A M E; Suijkerbuijk, Karijn P M; van Gils, Carla H; van der Wall, Elsken; Moelans, Cathy B; van Diest, Paul J</t>
  </si>
  <si>
    <t>https://pubmed.ncbi.nlm.nih.gov/29315431</t>
  </si>
  <si>
    <t>In metastatic breast cancer, hormone and/or human epidermal growth factor receptor 2 (HER2)-targeted therapy decision-making is still largely based on tissue characteristics of the primary tumor. However, a change of estrogen receptor alpha (ERα), progesterone receptor (PR), and HER2 status in distant metastases has frequently been reported. The actual incidence of this phenomenon has been debated. We performed a meta-analysis including 39 studies assessing receptor conversion from primary breast tumors to paired distant breast cancer metastases. We noted the direction of change (positive to negative or vice versa) and performed subgroup analyses for different thresholds for positivity, the type of test used to assess HER2 receptor status, and metastasis location-specific differences (two-sided tests). Overall, the incidence of receptor conversion varied largely between studies. For ERα, PR, and HER2, we found that random effects pooled positive to negative conversion percentages of 22.5% (95% confidence interval [CI] = 16.4% to 30.0%), 49.4% (95% CI = 40.5% to 58.2%), and 21.3% (95% CI = 14.3% to 30.5%), respectively. Negative to positive conversion percentages were 21.5% (95% CI = 18.1% to 25.5%), 15.9% (95% CI = 11.3% to 22.0%), and 9.5% (95% CI = 7.4% to 12.1%). Furthermore, ERα discordance was statistically significantly higher in the central nervous system and bone compared with liver metastases (20.8%, 95% CI = 15.0% to 28.0%, and 29.3%, 95% CI = 13.0% to 53.5%, vs 14.3%, 95% CI = 11.3% to 18.1, P = .008 and P &lt; .001, respectively), and PR discordance was higher in bone (42.7%, 95% CI = 35.1% to 50.6%, P &lt; .001) and liver metastases (47.0%, 95% CI = 41.0% to 53.0%, P &lt; .001) compared with central nervous system metastases (23.3%, 95% CI = 16.0% to 32.6%). Receptor conversion for ERα, PR, and HER2 occurs frequently in the course of disease progression in breast cancer. Large prospective studies assessing the impact of receptor conversion on treatment efficacy and survival are needed. Meanwhile, reassessing receptor status in metastases is strongly encouraged.</t>
  </si>
  <si>
    <t>Consent for governance in the ethical use of organoids.</t>
  </si>
  <si>
    <t>Boers, Sarah N; Bredenoord, Annelien L</t>
  </si>
  <si>
    <t>nature cell biology</t>
  </si>
  <si>
    <t>https://pubmed.ncbi.nlm.nih.gov/29784910</t>
  </si>
  <si>
    <t>A public health evaluation of 13-valent pneumococcal conjugate vaccine impact on adult disease outcomes from a randomized clinical trial in the Netherlands.</t>
  </si>
  <si>
    <t>Gessner, Bradford D; Jiang, Qin; Van Werkhoven, Cornelis H; Sings, Heather L; Webber, Chris; Scott, Daniel; Neuzil, Kathleen M; O'Brien, Katherine L; Wunderink, Richard G; Grobbee, Diederick E; Bonten, Marc J M; Jodar, Luis</t>
  </si>
  <si>
    <t>https://pubmed.ncbi.nlm.nih.gov/29861177</t>
  </si>
  <si>
    <t>We conducted a post-hoc analysis of a double blind, randomized, placebo-controlled trial of 13-valent pneumococcal conjugate vaccine (PCV13) among adults aged 65 years or older to assess public health impact. For all outcomes, we included all randomized subjects, using a modified intention-to-treat (mITT) approach to determine vaccine efficacy (VE), vaccine preventable disease incidence (VPDI) defined as control minus vaccinated group incidence, and numbers needed to vaccinate (NNV) (based on a five-year duration of protection). Results are reported for, in order, clinical, adjudicated (clinical plus radiologic infiltrate determined by committee), pneumococcal, and vaccine-type pneumococcal (VT-Sp) community-acquired pneumonia; invasive pneumococcal disease (IPD) and VT-IPD. VEs (95% CI) for all hospital episodes were 8.1% (-0.6%, 16.1%), 6.7% (-4.1%, 16.3%), 22.2% (2.0%, 38.3%), 37.5% (14.3%, 54.5%), 49.3% (23.2%, 66.5%), and 75.8% (47.6%, 88.8%). VPDIs per 100,000 person-years of observation (PYOs) were 72, 37, 25, 25, 20, and 15 with NNVs of 277, 535, 816, 798, 1016, and 1342. For clinical CAP, PCV13 was associated with a reduction of 909 (-115, 2013) hospital days per 100,000 PYOs translating to a reduction over 5 years of one hospital day for every 22 people vaccinated. When comparing at-risk persons (defined by self-report of diabetes, chronic lung disease, or other underlying conditions) to not at-risk persons, VEs were similar or lower, but because baseline incidences were higher the VPDIs were approximately 2-10 times higher and NNVs 50-90% lower. A public health analysis of pneumonia and IPD outcomes in a randomized controlled trial found substantial burden reduction following adult PCV13 immunization implemented in a setting with an ongoing infant PCV7-PCV10 program. VPDIs were higher among at-risk adults. The original study and the current analysis were funded by Pfizer.</t>
  </si>
  <si>
    <t>Population distribution of traditional and the emerging cardiovascular risk factors carotid plaque and IMT: the REFINE-Reykjavik study with comparison with the Tromsø study.</t>
  </si>
  <si>
    <t>Thorsson, Bolli; Eiriksdottir, Gudny; Sigurdsson, Sigurdur; Gudmundsson, Elias Freyr; Bots, Michael L; Aspelund, Thor; Arntzen, Kjell Arne; Mathiesen, Ellisiv B; Gudnason, Vilmundur</t>
  </si>
  <si>
    <t>https://pubmed.ncbi.nlm.nih.gov/29858406</t>
  </si>
  <si>
    <t>Population statistics for carotid plaque and cardiovascular risk factors reported in scientific journals are usually presented as averages for the population or age and sex adjusted, rather than sex and age groups. Important population differences about atherosclerosis and cardiovascular risk factors may thus be missed. We compare the distribution of cardiovascular risk factors, carotids plaque and carotid intima-media thickness (CIMT) in two population-based studies. Carotid artery atherosclerotic plaque prevalence and risk factors levels for cardiovascular disease by sex in 5-year age groups from the Risk Evaluation For Infarct Estimates Reykjavik study (REFINE-Reykjavik study) were compared with data from the Tromsø 6 study. The threshold of carotid plaque presence in the Tromsø 6 study fell between minimal and moderate plaque defined in the REFINE-Reykjavik study reflecting carotid plaque prevalence. The prevalence of minimal carotid plaque in the REFINE-Reykjavik study was 47% in men (40-69 years old) and 38% in women and 11% in men and 7% in women of moderate plaque. The prevalence of any plaque in the Tromsø 6 study was 35% in men and 27% in women. The mean (CIMT) was similar in the studies. In the Tromsø 6 study mean systolic blood pressure was 8 mm Hg higher in men and 10 mm Hg higher in women, mean low-density lipoprotein was 0.5 mmol/L higher in men and 0.3 mmol/L higher in women and the prevalence of smoking was 4% higher in men and 9% higher in women. However, body mass index was 0.8 kg/m&lt;sup&gt;2&lt;/sup&gt; higher in men and 0.9 kg/m&lt;sup&gt;2&lt;/sup&gt; in women in the REFINE-Reykjavik study. Comparison between Iceland and Norway revealed differences in the prevalence of carotid plaque, which was assumed to be due to different definition of plaque. However, clinically significant differences in conventional cardiovascular risk factors were seen. This underscores the importance of detailed comparison of population data across different populations.</t>
  </si>
  <si>
    <t>Alcohol intake in relation to non-fatal and fatal coronary heart disease and stroke: EPIC-CVD case-cohort study.</t>
  </si>
  <si>
    <t>Ricci, Cristian; Wood, Angela; Muller, David; Gunter, Marc J; Agudo, Antonio; Boeing, Heiner; van der Schouw, Yvonne T; Warnakula, Samantha; Saieva, Calogero; Spijkerman, Annemieke; Sluijs, Ivonne; Tjønneland, Anne; Kyrø, Cecilie; Weiderpass, Elisabete; Kühn, Tilman; Kaaks, Rudolf; Sánchez, Maria-Jose; Panico, Salvatore; Agnoli, Claudia; Palli, Domenico; Tumino, Rosario; Engström, Gunnar; Melander, Olle; Bonnet, Fabrice; Boer, Jolanda M A; Key, Timothy J; Travis, Ruth C; Overvad, Kim; Verschuren, W M Monique; Quirós, J Ramón; Trichopoulou, Antonia; Papatesta, Eleni-Maria; Peppa, Eleni; Iribas, Conchi Moreno; Gavrila, Diana; Forslund, Ann-Sofie; Jansson, Jan-Håkan; Matullo, Giuseppe; Arriola, Larraitz; Freisling, Heinz; Lassale, Camille; Tzoulaki, Ioanna; Sharp, Stephen J; Forouhi, Nita G; Langenberg, Claudia; Saracci, Rodolfo; Sweeting, Michael; Brennan, Paul; Butterworth, Adam S; Riboli, Elio; Wareham, Nick J; Danesh, John; Ferrari, Pietro</t>
  </si>
  <si>
    <t>https://pubmed.ncbi.nlm.nih.gov/29844013</t>
  </si>
  <si>
    <t>To investigate the association between alcohol consumption (at baseline and over lifetime) and non-fatal and fatal coronary heart disease (CHD) and stroke. Multicentre case-cohort study. A study of cardiovascular disease (CVD) determinants within the European Prospective Investigation into Cancer and nutrition cohort (EPIC-CVD) from eight European countries. 32 549 participants without baseline CVD, comprised of incident CVD cases and a subcohort for comparison. Non-fatal and fatal CHD and stroke (including ischaemic and haemorrhagic stroke). There were 9307 non-fatal CHD events, 1699 fatal CHD, 5855 non-fatal stroke, and 733 fatal stroke. Baseline alcohol intake was inversely associated with non-fatal CHD, with a hazard ratio of 0.94 (95% confidence interval 0.92 to 0.96) per 12 g/day higher intake. There was a J shaped association between baseline alcohol intake and risk of fatal CHD. The hazard ratios were 0.83 (0.70 to 0.98), 0.65 (0.53 to 0.81), and 0.82 (0.65 to 1.03) for categories 5.0-14.9 g/day, 15.0-29.9 g/day, and 30.0-59.9 g/day of total alcohol intake, respectively, compared with 0.1-4.9 g/day. In contrast, hazard ratios for non-fatal and fatal stroke risk were 1.04 (1.02 to 1.07), and 1.05 (0.98 to 1.13) per 12 g/day increase in baseline alcohol intake, respectively, including broadly similar findings for ischaemic and haemorrhagic stroke. Associations with cardiovascular outcomes were broadly similar with average lifetime alcohol consumption as for baseline alcohol intake, and across the eight countries studied. There was no strong evidence for interactions of alcohol consumption with smoking status on the risk of CVD events. Alcohol intake was inversely associated with non-fatal CHD risk but positively associated with the risk of different stroke subtypes. This highlights the opposing associations of alcohol intake with different CVD types and strengthens the evidence for policies to reduce alcohol consumption.</t>
  </si>
  <si>
    <t>LDL extracellular vesicle coagulation protein levels change after initiation of statin therapy. Findings from the METEOR trial.</t>
  </si>
  <si>
    <t>Verbree-Willemsen, Laura; Zhang, Ya-Nan; Gijsberts, Crystel M; Schoneveld, Arjan H; Wang, Jiong-Wei; Lam, Carolyn S P; Vernooij, Floor; Bots, Michiel L; Peelen, Linda M; Grobbee, Diederick E; Raichlen, Joel S; de Kleijn, Dominique P V; ,</t>
  </si>
  <si>
    <t>https://pubmed.ncbi.nlm.nih.gov/29898827</t>
  </si>
  <si>
    <t>Statins are thought to have pleiotropic properties, including anticoagulant effects, in addition to reducing lipoprotein (LDL) levels. Plasma extracellular vesicles (EVs) are small bilayer membrane vesicles involved in various biological processes including coagulation. Since subsets of EVs in the LDL plasma fraction (LDL-EVs) correlate with thrombin activity, we hypothesized that changes in LDL-EVs after statin therapy may differ from that of serum levels of coagulation proteins, providing insight into the effects of statins on coagulation. The study was conducted in 666 subjects with available serum from the METEOR trial, a trial of the effect of rosuvastatin versus placebo in patients with subclinical atherosclerosis. Changes in protein levels of von Willebrand Factor (VWF), SerpinC1 and plasminogen were measured in serum and in LDL-EVs, and were compared between the rosuvastatin and placebo groups. LDL-EV levels of plasminogen and VWF increased with rosuvastatin treatment compared to placebo (mean change of 126 ± 8 versus 17 ± 12 μg/mL for plasminogen (p &lt; 0.001) and 310 ± 60 versus 64 ± 55 μg/mL for VWF (p = 0.015)). There was no difference between groups for change in LDL-EV-SerpinC1. In contrast, serum plasminogen levels increased to a lesser extent with rosuvastatin compared to placebo (23 ± 29 versus 67 ± 17 μg/mL, p = 0.024) and serum VWF levels showed no significant difference between both groups. Rosuvastatin increases LDL-EV coagulation proteins plasminogen and VWF in patients with subclinical atherosclerosis, an effect that is different from the effect of rosuvastatin on the same proteins in serum. This identifies LDL-EVs as a newly detected possible intermediate between statin therapy and coagulation.</t>
  </si>
  <si>
    <t>Variation in minimum desired cardiovascular disease-free longevity benefit from statin and antihypertensive medications: a cross-sectional study of patient and primary care physician perspectives.</t>
  </si>
  <si>
    <t>Jaspers, Nicole E M; Visseren, Frank L J; Numans, Mattijs E; Smulders, Yvo M; van Loenen Martinet, Fere A; van der Graaf, Yolanda; Dorresteijn, Jannick A N</t>
  </si>
  <si>
    <t>https://pubmed.ncbi.nlm.nih.gov/29804065</t>
  </si>
  <si>
    <t>Expressing therapy benefit from a lifetime perspective, instead of only a 10-year perspective, is both more intuitive and of growing importance in doctor-patient communication. In cardiovascular disease (CVD) prevention, lifetime estimates are increasingly accessible via online decision tools. However, it is unclear what gain in life expectancy is considered meaningful by those who would use the estimates in clinical practice. We therefore quantified lifetime and 10-year benefit thresholds at which physicians and patients perceive statin and antihypertensive therapy as meaningful, and compared the thresholds with clinically attainable benefit. Cross-sectional study. (1) continuing medical education conference in December 2016 for primary care physicians;(2) information session in April 2017 for patients. 400 primary care physicians and 523 patients in the Netherlands. Months gain of CVD-free life expectancy at which lifelong statin therapy is perceived as meaningful, and months gain at which 10 years of statin and antihypertensive therapy is perceived as meaningful. Physicians were framed as users for lifelong and prescribers for 10-year therapy. Meaningful benefit was reported as median (IQR). Meaningful lifetime statin benefit was 24 months (IQR 23-36) in physicians (as users) and 42 months (IQR 12-42) in patients willing to consider therapy. Meaningful 10-year statin benefit was 12 months (IQR 10-12) for prescribing (physicians) and 14 months (IQR 10-14) for using (patients). Meaningful 10-year antihypertensive benefit was 12 months (IQR 8-12) for prescribing (physicians) and 14 months (IQR 10-14) for using (patients). Women desired greater benefit than men. Age, CVD status and co-medication had minimal effects on outcomes. Both physicians and patients report a large variation in meaningful longevity benefit. Desired benefit differs between physicians and patients and exceeds what is clinically attainable. Clinicians should recognise these discrepancies when prescribing therapy and implement individualised medicine and shared decision-making. Decision tools could provide information on realistic therapy benefit.</t>
  </si>
  <si>
    <t>Vascular extracellular vesicles in comorbidities of heart failure with preserved ejection fraction in men and women: The hidden players. A mini review.</t>
  </si>
  <si>
    <t>Gohar, Aisha; de Kleijn, Dominique P V; Hoes, Arno W; Rutten, Frans H; Hilfiker-Kleiner, Denise; Ferdinandy, Péter; Sluijter, Joost P G; den Ruijter, Hester M</t>
  </si>
  <si>
    <t>vascular pharmacology</t>
  </si>
  <si>
    <t>https://pubmed.ncbi.nlm.nih.gov/29807165</t>
  </si>
  <si>
    <t>Left ventricular diastolic dysfunction, the main feature of heart failure with preserved ejection fraction (HFpEF), is thought to be primarily caused by comorbidities affecting the endothelial function of the coronary microvasculature. Circulating extracellular vesicles, released by the endothelium have been postulated to reflect endothelial damage. Therefore, we reviewed the role of extracellular vesicles, in particularly endothelium microparticles, in these comorbidities, including obesity and hypertension, to identify if they may be potential markers of the endothelial dysfunction underlying left ventricular diastolic dysfunction and HFpEF.</t>
  </si>
  <si>
    <t>Search for the Decay of the Higgs Boson to Charm Quarks with the ATLAS Experiment.</t>
  </si>
  <si>
    <t xml:space="preserve">Aaboud, M; Aad, G; Abbott, B; Abdinov, O; Abeloos, B; Abidi, S H; AbouZeid, O S; Abraham, N L; Abramowicz, H; Abreu, H; Abulaiti, Y; Acharya, B S; Adachi, S; Adamczyk, L; Adelman, J; Adersberger, M; Adye, T; Affolder, A A; Afik, Y; Agheorghiesei, C; Aguilar-Saavedra, J A; Ahlen, S P;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Anastopoulos, C; Ancu, L S; Andari, N; Andeen, T; Anders, C F; Anders, J K; Anderson, K J; Andreazza, A; Andrei, V; Angelidakis, S; </t>
  </si>
  <si>
    <t>https://pubmed.ncbi.nlm.nih.gov/29883151</t>
  </si>
  <si>
    <t>A direct search for the standard model Higgs boson decaying to a pair of charm quarks is presented. Associated production of the Higgs and Z bosons, in the decay mode ZH→ℓ^{+}ℓ^{-}cc[over ¯] is studied. A data set with an integrated luminosity of 36.1  fb^{-1} of pp collisions at sqrt[s]=13TeV recorded by the ATLAS experiment at the LHC is used. The H→cc[over ¯] signature is identified using charm-tagging algorithms. The observed (expected) upper limit on σ(pp→ZH)×B(H→cc[over ¯]) is 2.7 (3.9_{-1.1}^{+2.1}) pb at the 95% confidence level for a Higgs boson mass of 125 GeV, while the standard model value is 26 fb.</t>
  </si>
  <si>
    <t>Applicability of diagnostic constructs for cognitive impairment in patients with type 2 diabetes mellitus.</t>
  </si>
  <si>
    <t>Groeneveld, Onno N; van den Berg, Esther; Rutten, Guy E H M; Koekkoek, Paula S; Kappelle, L Jaap; Biessels, Geert Jan; ,</t>
  </si>
  <si>
    <t>https://pubmed.ncbi.nlm.nih.gov/29802950</t>
  </si>
  <si>
    <t>Type 2 diabetes mellitus (T2DM) is associated with subtle cognitive changes, but also with more severe stages of cognitive dysfunction, including mild cognitive impairment (MCI) and dementia. For these severe stages, it is uncertain which domains are primarily affected and if all patients with impairment are captured by formal criteria for MCI or dementia. Ninety-five patients with T2DM suspected of cognitive impairment, identified through screening in primary care, underwent neuropsychological examination assessing five different domains. MCI or dementia were diagnosed using formal criteria. Forty-seven participants (49%) had impairment on at least one domain, most often involving memory (30%), information processing speed (22%) and visuoperception and construction (22%). Of these 47 people, 29 (62%) had multi-domain impairment. Of the 47 participants with objective impairment, 36 (77%) met criteria for MCI, three (6%) for dementia and eight (17%) met neither diagnosis, mostly because these patients did not complain about acquired dysfunction. This study shows that the clinical diagnostic evaluation of cognitive impairment in patients with T2DM should take into account that multiple domains can be affected and that not all patients with objective cognitive impairment fulfill criteria for MCI or dementia.</t>
  </si>
  <si>
    <t>The associations between diabetes distress and self-efficacy, medication adherence, self-care activities and disease control depend on the way diabetes distress is measured: Comparing the DDS-17, DDS-2 and the PAID-5.</t>
  </si>
  <si>
    <t>Chew, Boon-How; Vos, Rimke C; Pouwer, Frans; Rutten, Guy E H M</t>
  </si>
  <si>
    <t>https://pubmed.ncbi.nlm.nih.gov/29802952</t>
  </si>
  <si>
    <t>To examine whether diabetes distress (DD), when measured by three different instruments, was associated differently with self-efficacy, self-care activity, medication adherence and disease control in people with Type 2 diabetes mellitus. A cross-sectional study in three health clinics. DD was assessed with the 17-item Diabetes Distress Scale, the 2-item DDS-2 (DDS-2) and the 5-item Problem Areas in Diabetes Scale (PAID-5). Dependent variables included self-efficacy, self-care activities, medication adherence, HbA&lt;sub&gt;1c&lt;/sub&gt;, systolic and diastolic blood pressure (SBP, DBP). Multiple linear and logistic regression were used in analyses. In total 338 participants (56% women), with a mean age of 61 years and diabetes duration of 9.8 years, were included. DDS-2 was an independent determinant of SBP (β = 1.89, 95% CI 0.14, 3.64), DBP (β = 1.19, 95% CI 0.16, 2.21) and blood pressure target (OR = 2.09, 95% CI 1.12, 3.83). PAID-5 was an independent determinant of medication adherence (adjusted β = -0.05, 95% CI -0.08, -0.01) and self-care activities (OR = 0.50, 95% CI 0.26, 0.99). Associations of DD with important aspects of diabetes care are substantially influenced by confounders and depend on the way DD is measured. Our findings call for a judicious use of different DD measures in clinical practice and research. The study is registered on ClinicalTrials.gov (NCT02730754).</t>
  </si>
  <si>
    <t>Renal denervation in uncontrolled hypertension: the story continues to unfold.</t>
  </si>
  <si>
    <t>Blankestijn, Peter J; Bots, Michiel L</t>
  </si>
  <si>
    <t>https://pubmed.ncbi.nlm.nih.gov/29803591</t>
  </si>
  <si>
    <t>Search for a new heavy gauge-boson resonance decaying into a lepton and missing transverse momentum in 36 fb &lt;math xmlns="http://www.w3.org/1998/Math/MathML"&gt;&lt;msup&gt;&lt;mrow&gt;&lt;/mrow&gt; &lt;mrow&gt;&lt;mo&gt;-&lt;/mo&gt; &lt;mn&gt;1&lt;/mn&gt;&lt;/mrow&gt; &lt;/msup&gt; &lt;/math&gt; of &lt;i&gt;pp&lt;/i&gt; collisions at &lt;math xmlns="http://www.w3.org/1998/Math/MathML"&gt; &lt;mrow&gt;&lt;msqrt&gt;&lt;mi&gt;s&lt;/mi&gt;&lt;/msqrt&gt; &lt;mo&gt;=&lt;/mo&gt; &lt;mn&gt;13&lt;/mn&gt;&lt;/mrow&gt; &lt;/math&gt;  TeV with the ATLAS experiment.</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</si>
  <si>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t>
  </si>
  <si>
    <t>https://pubmed.ncbi.nlm.nih.gov/30996666</t>
  </si>
  <si>
    <t>The results of a search for new heavy &lt;math xmlns="http://www.w3.org/1998/Math/MathML"&gt;&lt;msup&gt;&lt;mi&gt;W&lt;/mi&gt; &lt;mo&gt;'&lt;/mo&gt;&lt;/msup&gt; &lt;/math&gt; bosons decaying to an electron or muon and a neutrino using proton-proton collision data at a centre-of-mass energy of &lt;math xmlns="http://www.w3.org/1998/Math/MathML"&gt; &lt;mrow&gt;&lt;msqrt&gt;&lt;mi&gt;s&lt;/mi&gt;&lt;/msqrt&gt; &lt;mspace&gt;&lt;/mspace&gt; &lt;mo&gt;=&lt;/mo&gt; &lt;mspace&gt;&lt;/mspace&gt; &lt;mn&gt;13&lt;/mn&gt;&lt;/mrow&gt; &lt;/math&gt;  TeV are presented. The dataset was collected in 2015 and 2016 by the ATLAS experiment at the Large Hadron Collider and corresponds to an integrated luminosity of 36.1  &lt;math xmlns="http://www.w3.org/1998/Math/MathML"&gt;&lt;mrow&gt;&lt;mspace&gt;&lt;/mspace&gt; &lt;mtext&gt;fb&lt;/mtext&gt; &lt;msup&gt;&lt;mspace&gt;&lt;/mspace&gt; &lt;mrow&gt;&lt;mo&gt;-&lt;/mo&gt; &lt;mn&gt;1&lt;/mn&gt;&lt;/mrow&gt; &lt;/msup&gt; &lt;/mrow&gt; &lt;/math&gt; . As no excess of events above the Standard Model prediction is observed, the results are used to set upper limits on the &lt;math xmlns="http://www.w3.org/1998/Math/MathML"&gt;&lt;msup&gt;&lt;mi&gt;W&lt;/mi&gt; &lt;mo&gt;'&lt;/mo&gt;&lt;/msup&gt; &lt;/math&gt; boson cross-section times branching ratio to an electron or muon and a neutrino as a function of the &lt;math xmlns="http://www.w3.org/1998/Math/MathML"&gt;&lt;msup&gt;&lt;mi&gt;W&lt;/mi&gt; &lt;mo&gt;'&lt;/mo&gt;&lt;/msup&gt; &lt;/math&gt; mass. Assuming a &lt;math xmlns="http://www.w3.org/1998/Math/MathML"&gt;&lt;msup&gt;&lt;mi&gt;W&lt;/mi&gt; &lt;mo&gt;'&lt;/mo&gt;&lt;/msup&gt; &lt;/math&gt; boson with the same couplings as the Standard Model &lt;i&gt;W&lt;/i&gt; boson, &lt;math xmlns="http://www.w3.org/1998/Math/MathML"&gt;&lt;msup&gt;&lt;mi&gt;W&lt;/mi&gt; &lt;mo&gt;'&lt;/mo&gt;&lt;/msup&gt; &lt;/math&gt; masses below 5.1 TeV are excluded at the 95% confidence level.</t>
  </si>
  <si>
    <t>Fish consumption and risk of stroke, coronary heart disease, and cardiovascular mortality in a Dutch population with low fish intake.</t>
  </si>
  <si>
    <t>Hengeveld, L M; Praagman, J; Beulens, J W J; Brouwer, I A; van der Schouw, Y T; Sluijs, I</t>
  </si>
  <si>
    <t>https://pubmed.ncbi.nlm.nih.gov/29795239</t>
  </si>
  <si>
    <t>Fish consumption of at least 1 portion/week is related to lower cardiovascular disease (CVD) risk. It is uncertain whether a less frequent intake is also beneficial and whether the type of fish matters. We investigated associations of very low intakes of total, fatty, and lean fish, compared with no fish intake, with 18-year incidences of stroke, coronary heart disease (CHD), and CVD mortality. Data were used from 34,033 participants, aged 20-70 years, of the EPIC-Netherlands cohort. Baseline (1993-1997) fish consumption was estimated using a food frequency questionnaire. We compared any fish consumption, &lt;1 portion/week (&lt;100 g) and ≥1 portion/week to non-fish consumption. During 18 follow-up years, 753 stroke events, 2134 CHD events, and 540 CVD deaths occurred. Among the fish consumers (~92%) median intakes of total, lean, and fatty fish were 57.9, 32.9, and 10.7 g/week, respectively. Any fish consumption compared with non-consumption was not associated with incidences of stroke, CHD, MI, and CVD mortality. Furthermore, consumption of &lt;1 portion/week of total, fatty, or lean fish was not associated with any CVD outcome, as compared with non-consumption. Consumption of ≥1 portion/week of lean fish (HR: 0.70, 95% CI: 0.57-0.86) and of fatty fish (HR: 0.63, 95% CI: 0.39-1.02) were associated with lower incidence of ischaemic stroke. Baseline fish consumption of &lt;1 portion/week, regardless of the type of fish, was unrelated to incidences of stroke, CHD, and CVD mortality in this Dutch cohort. Consumption of ≥1 portion/week of fatty or of lean fish reduced the incidence of ischaemic stroke.</t>
  </si>
  <si>
    <t>Higher Plasma Methylglyoxal Levels Are Associated With Incident Cardiovascular Disease and Mortality in Individuals With Type 2 Diabetes.</t>
  </si>
  <si>
    <t>Hanssen, Nordin M J; Westerink, Jan; Scheijen, Jean L J M; van der Graaf, Yolanda; Stehouwer, Coen D A; Schalkwijk, Casper G; ,</t>
  </si>
  <si>
    <t>https://pubmed.ncbi.nlm.nih.gov/29784769</t>
  </si>
  <si>
    <t>Methylglyoxal (MGO) is a reactive dicarbonyl compound and a potential key player in diabetic cardiovascular disease (CVD). Whether plasma MGO levels are associated with CVD in type 2 diabetes is unknown. We included 1,003 individuals (mean ± SD age 59.1 ± 10.5 years, 69.3% male, and 61.6% with prior CVD) with type 2 diabetes from the Second Manifestations of ARTerial disease cohort (SMART). We measured plasma MGO levels and two other dicarbonyls (glyoxal [GO] and 3-deoxyglucosone [3-DG]) at baseline with mass spectrometry. Median follow-up of CVD events was 8.6 years. Data were analyzed with Cox regression with adjustment for sex, age, smoking, systolic blood pressure, total cholesterol, HbA&lt;sub&gt;1c&lt;/sub&gt;, BMI, prior CVD, and medication use. Hazard ratios are expressed per SD Ln-transformed dicarbonyl. A total of 287 individuals suffered from at least one CVD event (&lt;i&gt;n&lt;/i&gt; = 194 fatal events, &lt;i&gt;n&lt;/i&gt; = 146 myocardial infarctions, and &lt;i&gt;n&lt;/i&gt; = 72 strokes); 346 individuals died, and 60 individuals underwent an amputation. Higher MGO levels were associated with total (hazard ratio 1.26 [95% CI 1.11-1.42]) and fatal (1.49 [1.30-1.71]) CVD and with all-cause mortality (1.25 [1.11-1.40]), myocardial infarction (1.22 [1.02-1.45]), and amputations (1.36 [1.05-1.76]). MGO levels were not apparently associated with stroke (1.03 [0.79-1.35]). Higher GO levels were significantly associated with fatal CVD (1.17 [1.00-1.37]) but not with other outcomes. 3-DG was not significantly associated with any of the outcomes. Plasma MGO and GO levels are associated with cardiovascular mortality in individuals with type 2 diabetes. Influencing dicaronyl levels may therefore be a target to reduce CVD in type 2 diabetes.</t>
  </si>
  <si>
    <t>Search for a Structure in the B_{s}^{0}π^{±} Invariant Mass Spectrum with the ATLAS Experiment.</t>
  </si>
  <si>
    <t>Aaboud, M; Aad, G; Abbott, B; Abdinov, O; Abeloos, B; Abidi, S H; AbouZeid, O S; Abraham, N L; Abramowicz, H; Abreu, H;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S; Angelozzi</t>
  </si>
  <si>
    <t>https://pubmed.ncbi.nlm.nih.gov/29864314</t>
  </si>
  <si>
    <t>A search for the narrow structure, X(5568), reported by the D0 Collaboration in the decay sequence X→B_{s}^{0}π^{±}, B_{s}^{0}→J/ψϕ, is presented. The analysis is based on a data sample recorded with the ATLAS detector at the LHC corresponding to 4.9  fb^{-1} of pp collisions at 7 TeV and 19.5  fb^{-1} at 8 TeV. No significant signal was found. Upper limits on the number of signal events, with properties corresponding to those reported by D0, and on the X production rate relative to B_{s}^{0} mesons, ρ_{X}, were determined at 95% confidence level. The results are N(X)&lt;382 and ρ_{X}&lt;0.015 for B_{s}^{0} mesons with transverse momenta above 10 GeV, and N(X)&lt;356 and ρ_{X}&lt;0.016 for transverse momenta above 15 GeV. Limits are also set for potential B_{s}^{0}π^{±} resonances in the mass range 5550 to 5700 MeV.</t>
  </si>
  <si>
    <t>Antibiotic Resistance and the Risk of Recurrent Bacteremia.</t>
  </si>
  <si>
    <t>Woudt, Sjoukje H S; de Greeff, Sabine C; Schoffelen, Annelot F; Vlek, Anne L M; Bonten, Marc J M; ,</t>
  </si>
  <si>
    <t>https://pubmed.ncbi.nlm.nih.gov/29228127</t>
  </si>
  <si>
    <t>Direct health effects of antibiotic resistance are difficult to assess. We quantified the risk of recurrent bacteremia associated with resistance. We extracted antimicrobial susceptibility testing data on blood isolates from the Dutch surveillance system for antimicrobial resistance between 2008 and 2017. First and first recurrent (4-30 days) bacteremia episodes were categorized as susceptible, single nonsusceptible, or co-nonsusceptible to third-generation cephalosporins without or with carbapenems (Enterobacteriaceae), ceftazidime without or with carbapenems (Pseudomonas species), aminopenicillins without or with vancomycin (Enterococcus species), or as methicillin-sensitive/-resistant S. aureus (MSSA/MRSA). We calculated risks of recurrent bacteremia after nonsusceptible vs susceptible first bacteremia, estimated the crude population attributable effect of resistance for the Netherlands, and calculated risks of nonsusceptible recurrent bacteremia after a susceptible first episode. Risk ratios for recurrent bacteremia after a single- and co-nonsusceptible first episode, respectively, vs susceptible first episode, were 1.7 (95% confidence interval [CI], 1.5-2.0) and 5.2 (95% CI, 2.1-12.4) for Enterobacteriaceae, 1.3 (95% CI, 0.5-3.1) and 5.0 (95% CI, 2.9-8.5) for Pseudomonas species, 1.4 (95% CI, 1.2-1.7) and 1.6 (95% CI, 0.6-4.2) for Enterococcus species, and 1.6 (95% CI, 1.1-2.4) for MRSA vs MSSA. The estimated population annual number of recurrent bacteremias associated with nonsusceptibility was 40. The risk of nonsusceptible recurrent bacteremia after a susceptible first episode was at most 0.4% (Pseudomonas species). Although antibiotic nonsusceptibility was consistently associated with higher risks of recurrent bacteremia, the estimated annual number of additional recurrent episodes in the Netherlands (40) was rather limited.</t>
  </si>
  <si>
    <t>Conventional Pathology Versus Gene Signatures for Assessing Luminal A and B Type Breast Cancers: Results of a Prospective Cohort Study.</t>
  </si>
  <si>
    <t>van Steenhoven, Julia E C; Kuijer, Anne; van Diest, Paul J; van Gorp, Joost M; Straver, Marieke; Elias, Sjoerd G; Wesseling, Jelle; Rutgers, Emiel; Timmer-Bonte, Johanna N H; Nieboer, Peter; Smilde, Tineke J; Imholz, Alex; Blanken, Charlotte F J M; Siesling, Sabine; van Dalen, Thijs</t>
  </si>
  <si>
    <t>https://pubmed.ncbi.nlm.nih.gov/29772837</t>
  </si>
  <si>
    <t>In this study, in estrogen receptor positive (ER+) early stage breast cancer patients who were considered candidates for 70-gene signature (70-GS, "MammaPrint") use, we compared molecular subtyping (MS) based on the previously validated 80-gene signature (80-GS, "BluePrint") versus surrogate pathological subtyping (PS). Between 1 January 2013 and 31 December 2015, 595 clinical intermediate risk ER+ early stage breast cancer patients were enrolled. Hormone receptor (HR) and HER2 receptor status were determined by conventional pathology using immunohistochemistry (IHC) and fluorescent in situ hybridization (FISH). Ki67 was assessed in a subset of patients. The overall concordance between PS and MS for luminal type cancers (A and B together) was 98%. The concordance between PS and MS for luminal A and luminal B type cancers based on the Bloom Richardson histological grade (BR) (&lt;i&gt;n =&lt;/i&gt; 586) or Ki67 (&lt;i&gt;n =&lt;/i&gt; 185) was low: 64% (Kappa 0.20 [95% CI 0.11⁻0.28]) and 65% (Kappa 0.22 [95% CI 0.062⁻0.37]), respectively. In this prospective study (NCT02209857) of a selection of ER+ and predominantly HER2- early-stage breast cancer patients, the additional ability of the 80-GS to distinguish between luminal, HER2-type and basal-like cancers was inherently very limited. The distinction of luminal-type tumors into A and B according to Ki67 status or BR grade versus the 70-GS revealed poor concordance.</t>
  </si>
  <si>
    <t>Modeled and perceived RF-EMF, noise and air pollution and symptoms in a population cohort. Is perception key in predicting symptoms?</t>
  </si>
  <si>
    <t>Martens, Astrid L; Reedijk, Marije; Smid, Tjabe; Huss, Anke; Timmermans, Danielle; Strak, Maciej; Swart, Wim; Lenters, Virissa; Kromhout, Hans; Verheij, Robert; Slottje, Pauline; Vermeulen, Roel C H</t>
  </si>
  <si>
    <t>https://pubmed.ncbi.nlm.nih.gov/29778684</t>
  </si>
  <si>
    <t>Psychosocial research has shown that perceived exposure can influence symptom reporting, regardless of actual exposure. The impact of this phenomenon on the interpretation of results from epidemiological research on environmental determinants of symptoms is unclear. Our aim was to compare associations between modeled exposures, the perceived level of these exposures and reported symptoms (non-specific symptoms, sleep disturbances, and respiratory symptoms) for three different environmental exposures (radiofrequency electromagnetic fields (RF-EMF), noise, and air pollution). These environmental exposures vary in the degree to which they can be sensorially observed. Participant characteristics, perceived exposures, and self-reported health were assessed with a baseline (n = 14,829, 2011/2012) and follow-up (n = 7905, 2015) questionnaire in the Dutch population-based Occupational and Environmental Health Cohort (AMIGO). Environmental exposures were estimated at the home address using spatial models. Cross-sectional and longitudinal regression models were used to examine the associations between modeled and perceived exposures, and reported symptoms. The extent to which exposure sources could be observed by participants likely influenced correlations between modeled and perceived exposure as correlations were moderate for air pollution (r&lt;sub&gt;Sp&lt;/sub&gt; = 0.34) and noise (r&lt;sub&gt;Sp&lt;/sub&gt; = 0.40), but less so for RF-EMF (r&lt;sub&gt;Sp&lt;/sub&gt; = 0.11). Perceived exposures were consistently associated with increased symptom scores (respiratory, sleep, non-specific). Modeled exposures, except RF-EMF, were associated with increased symptom scores, but these associations disappeared or strongly diminished when accounted for perceived exposure in the analyses. Perceived exposure has an important role in symptom reporting. When environmental determinants of symptoms are studied without acknowledging the potential role of both modeled and perceived exposures, there is a risk of bias in health risk assessment. However, the etiological role of exposure perceptions in relation to symptom reporting requires further research.</t>
  </si>
  <si>
    <t>The FAIR guiding principles for data stewardship: fair enough?</t>
  </si>
  <si>
    <t>Boeckhout, Martin; Zielhuis, Gerhard A; Bredenoord, Annelien L</t>
  </si>
  <si>
    <t>https://pubmed.ncbi.nlm.nih.gov/29777206</t>
  </si>
  <si>
    <t>The FAIR guiding principles for research data stewardship (findability, accessibility, interoperability, and reusability) look set to become a cornerstone of research in the life sciences. A critical appraisal of these principles in light of ongoing discussions and developments about data sharing is in order. The FAIR principles point the way forward for facilitating data sharing more systematically-provided that a number of ethical, methodological, and organisational challenges are addressed as well.</t>
  </si>
  <si>
    <t>Defining Host Responses during Systemic Bacterial Infection through Construction of a Murine Organ Proteome Atlas.</t>
  </si>
  <si>
    <t>Lapek, John D; Mills, Robert H; Wozniak, Jacob M; Campeau, Anaamika; Fang, Ronnie H; Wei, Xiaoli; van de Groep, Kirsten; Perez-Lopez, Araceli; van Sorge, Nina M; Raffatellu, Manuela; Knight, Rob; Zhang, Liangfang; Gonzalez, David J</t>
  </si>
  <si>
    <t>https://pubmed.ncbi.nlm.nih.gov/29778837</t>
  </si>
  <si>
    <t>Group A Streptococcus (GAS) remains one of the top 10 deadliest human pathogens worldwide despite its sensitivity to penicillin. Although the most common GAS infection is pharyngitis (strep throat), it also causes life-threatening systemic infections. A series of complex networks between host and pathogen drive invasive infections, which have not been comprehensively mapped. Attempting to map these interactions, we examined organ-level protein dynamics using a mouse model of systemic GAS infection. We quantified over 11,000 proteins, defining organ-specific markers for all analyzed tissues. From this analysis, an atlas of dynamically regulated proteins and pathways was constructed. Through statistical methods, we narrowed organ-specific markers of infection to 34 from the defined atlas. We show these markers are trackable in blood of infected mice, and a subset has been observed in plasma samples from GAS-infected clinical patients. This proteomics-based strategy provides insight into host defense responses, establishes potentially useful targets for therapeutic intervention, and presents biomarkers for determining affected organs during bacterial infection.</t>
  </si>
  <si>
    <t>Aging-related trajectories of lung function in the general population-The Doetinchem Cohort Study.</t>
  </si>
  <si>
    <t>van Oostrom, Sandra H; Engelfriet, Peter M; Verschuren, W M Monique; Schipper, Maarten; Wouters, Inge M; Boezen, Marike; Smit, Henriëtte A; Kerstjens, Huib A M; Picavet, H Susan J</t>
  </si>
  <si>
    <t>https://pubmed.ncbi.nlm.nih.gov/29768509</t>
  </si>
  <si>
    <t>The objective of this study was to explore trajectories of lung function decline with age in the general population, and to study the effect of sociodemographic and life style related risk factors, in particular smoking and BMI. For this purpose, we used data from the Doetinchem Cohort Study (DCS) of men and women, selected randomly from the general population and aged 20-59 years at inclusion in 1987-1991, and followed until the present. Participants in the DCS are assessed every five years. Spirometry has been performed as part of this assessment from 1994 onwards. Participants were included in this study if spirometric measurement of FEV1, which in this study was the main parameter of interest, was acceptable and reproducible on at least one measurement round, leading to the inclusion of 5727 individuals (3008 females). Statistical analysis revealed three typical trajectories. The majority of participants followed a trajectory that closely adhered to the Global Lung Initiative Reference values (94.9% of men and 96.4% of women). Two other trajectories showed a more pronounced decline. Smoking and the presence of respiratory complaints were the best predictors of a trajectory with stronger decline. A greater BMI over the follow-up period was associated with a more unfavorable FEV1 course both in men (β = -0.027 (SD = 0.002); P &lt; 0.001) and in women (β = -0.008 (SD = 0.001); P &lt; 0.001). Smokers at baseline who quit the habit during follow-up, showed smaller decline in FEV1 in comparison to persistent smokers, independent of BMI change (In men β = -0.074 (SD = 0.020); P &lt; 0.001. In women β = -0.277 (SD = 0.068); P &lt; 0.001). In conclusion, three typical trajectories of age-related FEV1 decline could be distinguished. Change in the lifestyle related risk factors, BMI and smoking, significantly impact aging-related decline of lung function. Identifying deviant trajectories may help in early recognition of those at risk of a diagnosis of lung disease later in life.</t>
  </si>
  <si>
    <t>Reasons for being in favour of or against genome modification: a survey of the Dutch general public.</t>
  </si>
  <si>
    <t>Hendriks, S; Giesbertz, N A A; Bredenoord, A L; Repping, S</t>
  </si>
  <si>
    <t>human reproduction open</t>
  </si>
  <si>
    <t>https://pubmed.ncbi.nlm.nih.gov/30895249</t>
  </si>
  <si>
    <t>What are the general public's reasons for being in favour of or against the use of genome modification for five potential applications? Overall, 43 reasons for being in favour, 45 reasons for being against as well as 26 conditional reasons for the use of genome modification were identified. Various applications of somatic genome modification are progressing towards clinical introduction and several recent studies have reported on germline genome modification. This has incited a debate on ethical and legal implications and acceptability. There is a growing plea to involve the general public earlier on in the developmental process of science and (bio)technology including genome modification. In April 2016, a cross-sectional survey was launched online among the Dutch general public. A documentary on genome modification on public television and calls in social media invited viewers and non-viewers, respectively, to participate. The questionnaire introduced five potential future applications of genome modification: modified wheat for individuals with gluten intolerance; somatic modification for individuals with neuromuscular diseases; germline modification to prevent passing on a neuromuscular disease; germline modification to introduce resistance to HIV; and germline modification to increase intelligence. Participants were asked to indicate whether and why they would make use of genome modification in these scenarios. The reasons mentioned were analysed through content analysis by two researchers independently. The proportion of respondents that was willing to modify was described per scenario and associations with respondent characteristics were analysed. The survey was completed by 1013 participants. Forty-three reasons for being in favour, 45 reasons for being against as well as 26 conditional reasons for the use of genome modification were identified. These could be categorized into 14 domains: safety of the individuals concerned; effectiveness; quality of life of the individuals concerned; existence of a clinical need or an alternative; biodiversity and ecosystems; animal homo sapiens (i.e. relating to effects on humans as a species); human life and dignity; trust in regulation; justice; costs; slippery slope; argument of nature; parental rights and duties; and (reproductive) autonomy. Participants' willingness to use genome modification was dependent on the application: most participants would eat modified wheat if gluten intolerant (74%), would use genome modification to cure his/her own neuromuscular disease (85%) and would apply germline modification to prevent passing on this neuromuscular disease (66%). A minority would apply germline modification to introduce resistance to HIV (30%) or increase intelligence (16%). Being young (odds ratio (OR) = 0.98 per year increase), being male (OR = 2.38), and having watched the documentary (OR = 1.82) were associated with being willing to apply genome modification in more scenarios. Inquiring for reasons through open questions in a survey allowed for a larger sample size and intuitive responses but resulted in less depth than traditional face-to-face interviews. As the survey was disseminated through social media, the sample is not representative of the overall Dutch population, and hence the quantitative results should not be interpreted as such. Further public consultation and a more in-depth ethical and societal debate on principles and conditions for responsible use of (germline) genome modification is required prior to future clinical introduction. Funded by the University of Amsterdam and University Medical Centre Utrecht. No conflict of interest. Not applicable.</t>
  </si>
  <si>
    <t>Waning and boosting: on the dynamics of immune status.</t>
  </si>
  <si>
    <t>Diekmann, O; de Graaf, W F; Kretzschmar, M E E; Teunis, P F M</t>
  </si>
  <si>
    <t>journal of mathematical biology</t>
  </si>
  <si>
    <t>https://pubmed.ncbi.nlm.nih.gov/29766232</t>
  </si>
  <si>
    <t>The aim is to describe the distribution of immune status (as captured by antibody level) on the basis of a within-host submodel for continuous waning and occasional boosting. Inspired by Feller's fundamental work and the more recent delay equation formulation of models for the dynamics of physiologically structured populations, we derive, for given force of infection, a linear renewal equation. The solution is obtained by generation expansion, with the generation number corresponding to the number of times the individual became infected. Our main result provides a precise characterization of the stable distribution of immune status.</t>
  </si>
  <si>
    <t>[Sexual delinquency and surgical castration: a 'measure of last resort' in the Netherlands from 1920-1970].</t>
  </si>
  <si>
    <t>Bertens, Roland M</t>
  </si>
  <si>
    <t>https://pubmed.ncbi.nlm.nih.gov/30040308</t>
  </si>
  <si>
    <t>From the 1920s, surgical castration increasingly became an accepted 'therapy' for the treatment of sexual delinquents in the Netherlands. Though often seen as a measure of last resort ('ultimum remedium'), the number of castration cases would reach into the hundreds during the following decennia. Since castration was applied to sexual delinquents, it meant that this procedure was not just dependent on medical, but also broader societal concerns and ideas about sexually acceptable behaviour. For example, homosexuals frequently underwent such surgery, often within the context of the Dutch Entrustment Act ('Terbeschikkingstelling' or 'TBR', now called 'TBS'). By the late 1960s, due to changing cultural and medical views, surgical castration was abandoned.</t>
  </si>
  <si>
    <t>A case study of nurse practitioner care compared with general practitioner care for children with respiratory tract infections.</t>
  </si>
  <si>
    <t>van Vugt, Saskia F; van de Pol, Alma C; Cleveringa, Frits G W; Stellato, Rebecca K; Kappers, Marieke P; de Wit, Niek J; Damoiseaux, Roger A M J</t>
  </si>
  <si>
    <t>https://pubmed.ncbi.nlm.nih.gov/29754411</t>
  </si>
  <si>
    <t>To compare quality of care provided by nurse practitioners (NP) with care provided by general practitioners (GP) for children with respiratory tract infections (RTI) in the Netherlands. Nurse practitioners increasingly manage acute conditions in general practice, with opportunities for more protocolled care. Studies on quality of NPs' care for children with RTIs are limited to the US healthcare system and do not take into account baseline differences in illness severity. Retrospective observational cohort study. Data were extracted from electronic healthcare records of children 0-6 years presenting with RTI between January-December 2013. Primary outcomes were antibiotic prescriptions and early return visits. Generalized estimating equations were used to correct for potential confounders. A total of 899 RTI consultations were assessed (168 seen by NP; 731 by GP). Baseline characteristics differed between these groups. Overall antibiotic prescription and early return visit rates were 21% and 24%, respectively. Adjusted odds ratio for antibiotic prescription after NP vs. GP delivered care was 1.40 (95% confidence interval 0.89-2.22) and for early return visits 1.53 (95% confidence interval 1.01-2.31). Important confounder for antibiotic prescription was illness severity. Presence of wheezing was a confounder for return visits. Complication and referral rates did not differ. Antibiotic prescription, complication and referral rates for paediatric RTI consultations did not differ significantly between NP and GP consultations, after correction for potential confounders. General practitioners, however, see more severely ill children and have a lower return visit rate. A randomised controlled study is needed to determine whether NP care quality is truly noninferior.</t>
  </si>
  <si>
    <t>Analytical performance of a platform for point-of-care CRP testing in adults consulting for lower respiratory tract infection in primary care.</t>
  </si>
  <si>
    <t>Matheeussen, Veerle; Van Hoof, Viviane; Loens, Katherine; Lammens, Christine; Vanderstraeten, Anouk; Coenen, Samuel; Butler, Chris C; Little, Paul; Verheij, Theo J M; Goossens, Herman; Ieven, Margareta; ,</t>
  </si>
  <si>
    <t>https://pubmed.ncbi.nlm.nih.gov/29744764</t>
  </si>
  <si>
    <t>C-reactive protein (CRP) is a biomarker widely used for disease severity assessment and treatment of inflammatory conditions. Point-of-care testing (POCT) devices should ideally be rapid and provide similar results to standard tests done in laboratories. Two thousand nine hundred twenty-two serum samples were obtained from adult patients presenting to primary care with symptoms of lower respiratory infection in a European diagnostic study. The analytic performance of the CRP QuikRead POCT device (Orion Diagnostica) was evaluated by comparing results with a central laboratory method (Dimension Vista, Siemens), with both tests performed in a laboratory setting. For a CRP cut-off concentration of ≥ 30 mg/L, the QuikRead test had a sensitivity of 92.2%, and specificity of 99.4%. The mean difference between the QuikRead and the central lab test was 0.4 mg/L. The slope of the Passing-Bablok regression was 0.94 (95% CI 0.93-0.95) indicating an underestimation of CRP levels of 6% by QuikRead. CRP estimates obtained from the QuikRead test correlate well with a central laboratory assay and the measurement displays low inter-assay variation. Therefore, the QuikRead test is a good candidate for CRP testing in primary care.</t>
  </si>
  <si>
    <t>Design of a 15-month interprofessional workplace learning program to expand the added value of clinical pharmacists in primary care.</t>
  </si>
  <si>
    <t>Hazen, Ankie; de Groot, Esther; de Gier, Han; Damoiseaux, Roger; Zwart, Dorien; Leendertse, Anne</t>
  </si>
  <si>
    <t>currents in pharmacy teaching learning</t>
  </si>
  <si>
    <t>https://pubmed.ncbi.nlm.nih.gov/29986822</t>
  </si>
  <si>
    <t>Clinical pharmacists who work in the general practice settings bring an improvement to patient care and outcomes. Postgraduate training for an independent clinical role does not often occur in the primary health care setting. When it does, the design of the curriculum is infrequently based on interprofessional workplace learning principles and it does not always integrate practical experience with classroom-based learning activities. This could lead to situations where clinical pharmacists are insufficiently trained to apply clinical reasoning skills and direct patient care in the general practice setting. A program was designed, including competencies and learning objectives, based on results from focus group interviews with stakeholders and the literature on interprofessional workplace learning. Ten participants were selected for a pilot run of the program and were asked several times for their opinion about the program. A 15-month training program was offered to pharmacists who became clinical pharmacists with the responsibility to perform patient consultations in general practice. The program was based on interprofessional workplace learning principles and facilitated the participants' skill in connecting the evidence, the patients' perspective and their own professional perspective. The 10 participating pharmacists were satisfied with the program. The training program provided increased opportunities to clinical pharmacists to add value in general practice. The training program enabled pharmacists to advance their skills in direct patient care and to improve the alignment between different professionals in the primary care domain.</t>
  </si>
  <si>
    <t>Prediction of vascular abnormalities on CT angiography in patients with acute headache.</t>
  </si>
  <si>
    <t>Alons, Imanda M E; Goudsmit, Ben F J; Jellema, Korné; van Walderveen, Marianne A A; Wermer, Marieke J H; Algra, Ale</t>
  </si>
  <si>
    <t>https://pubmed.ncbi.nlm.nih.gov/29741225</t>
  </si>
  <si>
    <t>Patients with acute headache increasingly undergo CT-angiography (CTA) to evaluate underlying vascular causes. The aim of this study is to determine clinical and non-contrast CT (NCCT) criteria to select patients who might benefit from CTA. We retrospectively included patients with acute headache who presented to the emergency department of an academic medical center and large regional teaching hospital and underwent NCCT and CTA. We identified factors that increased the probability of finding a vascular abnormality on CTA, performed multivariable regression analyses and determined discrimination with the c-statistic. A total of 384 patients underwent NCCT and CTA due to acute headache. NCCT was abnormal in 194 patients. Among these, we found abnormalities in 116 cases of which 99 aneurysms. In the remaining 190 with normal NCCT we found abnormalities in 12 cases; four unruptured aneurysms, three cerebral venous thrombosis', two reversible cerebral vasoconstriction syndromes, two cervical arterial dissections and one cerebellar infarction. In multivariable analysis abnormal NCCT, lowered consciousness and presentation within 6 hr of headache onset were independently associated with abnormal CTA. The c-statistic of abnormal NCCT alone was 0.80 (95% CI: 0.75-0.80), that also including the other two variables was 0.84 (95% CI: 0.80-0.88). If NCCT was normal no other factors could help identify patients at risk for abnormalities. In patients with acute headache abnormal NCCT is the strongest predictor of a vascular abnormality on CTA. If NCCT is normal no other predictors increase the probability of finding an abnormality on CTA and diagnostic yield is low.</t>
  </si>
  <si>
    <t>Grommets (ventilation tubes) for recurrent acute otitis media in children.</t>
  </si>
  <si>
    <t>Venekamp, Roderick P; Mick, Paul; Schilder, Anne Gm; Nunez, Desmond A</t>
  </si>
  <si>
    <t>https://pubmed.ncbi.nlm.nih.gov/29741289</t>
  </si>
  <si>
    <t>Acute otitis media (AOM) is one of the most common childhood illnesses. While many children experience sporadic AOM episodes, an important group suffer from recurrent AOM (rAOM), defined as three or more episodes in six months, or four or more in one year. In this subset of children AOM poses a true burden through frequent episodes of ear pain, general illness, sleepless nights and time lost from nursery or school. Grommets, also called ventilation or tympanostomy tubes, can be offered for rAOM. To assess the benefits and harms of bilateral grommet insertion with or without concurrent adenoidectomy in children with rAOM. The Cochrane ENT Information Specialist searched the Cochrane ENT Trials Register; CENTRAL; MEDLINE; EMBASE; CINAHL; Web of Science; ClinicalTrials.gov; ICTRP and additional sources for published and unpublished trials. The date of the search was 4 December 2017. Randomised controlled trials (RCTs) comparing bilateral grommet insertion with or without concurrent adenoidectomy and no ear surgery in children up to age 16 years with rAOM. We planned to apply two main scenarios: grommets as a single surgical intervention and grommets as concurrent treatment with adenoidectomy (i.e. children in both the intervention and comparator groups underwent adenoidectomy). The comparators included active monitoring, antibiotic prophylaxis and placebo medication. We used the standard methodological procedures expected by Cochrane. Primary outcomes were: proportion of children who have no AOM recurrences at three to six months follow-up (intermediate-term) and persistent tympanic membrane perforation (significant adverse event). Secondary outcomes were: proportion of children who have no AOM recurrences at six to 12 months follow-up (long-term); total number of AOM recurrences, disease-specific and generic health-related quality of life, presence of middle ear effusion and other adverse events at short-term, intermediate-term and long-term follow-up. We used GRADE to assess the quality of the evidence for each outcome; this is indicated in italics. Five RCTs (805 children) with unclear or high risk of bias were included. All studies were conducted prior to the introduction of pneumococcal vaccination in the countries' national immunisation programmes. In none of the trials was adenoidectomy performed concurrently in both groups.Grommets versus active monitoringGrommets were more effective than active monitoring in terms of:- proportion of children who had no AOM recurrence at six months (one study, 95 children, 46% versus 5%; risk ratio (RR) 9.49, 95% confidence interval (CI) 2.38 to 37.80, number needed to treat to benefit (NNTB) 3; low-quality evidence);- proportion of children who had no AOM recurrence at 12 months (one study, 200 children, 48% versus 34%; RR 1.41, 95% CI 1.00 to 1.99, NNTB 8; low-quality evidence);- number of AOM recurrences at six months (one study, 95 children, mean number of AOM recurrences per child: 0.67 versus 2.17, mean difference (MD) -1.50, 95% CI -1.99 to -1.01; low-quality evidence);- number of AOM recurrences at 12 months (one study, 200 children, one-year AOM incidence rate: 1.15 versus 1.70, incidence rate difference -0.55, 95% -0.17 to -0.93; low-quality evidence).Children receiving grommets did not have better disease-specific health-related quality of life (Otitis Media-6 questionnaire) at four (one study, 85 children) or 12 months (one study, 81 children) than those managed by active monitoring (low-quality evidence).One study reported no persistent tympanic membrane perforations among 54 children receiving grommets (low-quality evidence).Grommets versus antibiotic prophylaxisIt is uncertain whether or not grommets are more effective than antibiotic prophylaxis in terms of:- proportion of children who had no AOM recurrence at six months (two studies, 96 children, 60% versus 35%; RR 1.68, 95% CI 1.07 to 2.65, I&lt;sup&gt;2&lt;/sup&gt; = 0%, fixed-effect model, NNTB 5; very low-quality evidence);- number of AOM recurrences at six months (one study, 43 children, mean number of AOM recurrences per child: 0.86 versus 1.38, MD -0.52, 95% CI -1.37 to 0.33; very low-quality evidence).Grommets versus placebo medicationGrommets were more effective than placebo medication in terms of:- proportion of children who had no AOM recurrence at six months (one study, 42 children, 55% versus 15%; RR 3.64, 95% CI 1.20 to 11.04, NNTB 3; very low-quality evidence);- number of AOM recurrences at six months (one study, 42 children, mean number of AOM recurrences per child: 0.86 versus 2.0, MD -1.14, 95% CI -2.06 to -0.22; very low-quality evidence).One study reported persistent tympanic membrane perforations in 3 of 76 children (4%) receiving grommets (low-quality evidence).Subgroup analysisThere were insufficient data to determine whether presence of middle ear effusion at randomisation, type of grommet or age modified the effectiveness of grommets. Current evidence on the effectiveness of grommets in children with rAOM is limited to five RCTs with unclear or high risk of bias, which were conducted prior to the introduction of pneumococcal vaccination. Low to very low-quality evidence suggests that children receiving grommets are less likely to have AOM recurrences compared to those managed by active monitoring and placebo medication, but the magnitude of the effect is modest with around one fewer episode at six months and a less noticeable effect by 12 months. The low to very low quality of the evidence means that these numbers need to be interpreted with caution since the true effects may be substantially different. It is uncertain whether or not grommets are more effective than antibiotic prophylaxis. The risk of persistent tympanic membrane perforation after grommet insertion was low.Widespread use of pneumococcal vaccination has changed the bacteriology and epidemiology of AOM, and how this might impact the results of prior trials is unknown. New and high-quality RCTs of grommet insertion in children with rAOM are therefore needed. These trials should not only focus on the frequency of AOM recurrences, but also collect data on the severity of AOM episodes, antibiotic consumption and adverse effects of both surgery and antibiotics. This is particularly important since grommets may reduce the severity of AOM recurrences and allow for topical rather than oral antibiotic treatment.</t>
  </si>
  <si>
    <t>Limited benefit of haemoglobin glycation index as risk factor for cardiovascular disease in type 2 diabetes patients.</t>
  </si>
  <si>
    <t>Østergaard, H B; Mandrup-Poulsen, T; Berkelmans, G F N; van der Graaf, Y; Visseren, F L J; Westerink, J; ,</t>
  </si>
  <si>
    <t>diabetes metabolism</t>
  </si>
  <si>
    <t>https://pubmed.ncbi.nlm.nih.gov/29784563</t>
  </si>
  <si>
    <t>The haemoglobin glycation index (HGI) has been proposed as a marker of interindividual differences in haemoglobin glycosylation. Previous studies have shown a relationship between high HGI and risk of cardiovascular disease (CVD) in patients with diabetes. However, no studies have investigated the role of previous CVD in this association. The study cohort comprised patients with type 2 diabetes mellitus (T2DM; n=1910) included in the Second Manifestations of Arterial Disease (SMART) study. The relationship between either HGI or HbA&lt;sub&gt;1c&lt;/sub&gt; and a composite of cardiovascular events as the primary outcome, and mortality, cardiovascular mortality, myocardial infarction and stroke as secondary outcomes, was investigated using Cox proportional-hazards models. Similar analyses were performed after stratification according to previous CVD. A 1-unit higher HGI was associated with a 29% greater risk of a composite of cardiovascular events (HR: 1.29, 95% CI: 1.06-1.57) in patients without previous CVD, whereas no such relationship was seen in patients with previous CVD (HR: 0.96, 95% CI: 0.86-1.08). The direction and magnitude of the hazard ratios (HRs) of HGI and HbA&lt;sub&gt;1c&lt;/sub&gt; in relation to outcomes were similar. Additional adjustment for HbA&lt;sub&gt;1c&lt;/sub&gt; in the association between HGI and outcomes lowered the HRs. Similar to HbA&lt;sub&gt;1c&lt;/sub&gt;, higher HGI is related to higher risk of cardiovascular events in patients with T2DM without CVD. As HbA&lt;sub&gt;1c&lt;/sub&gt; has proved to be a comparable risk factor, and obtaining and interpreting the HGI is complicated, any additional benefit of applying the HGI in clinical settings is likely to be limited.</t>
  </si>
  <si>
    <t>Contemporary cardiovascular risk prediction.</t>
  </si>
  <si>
    <t>Damen, Johanna A A G; Hooft, Lotty; Moons, Karel G M</t>
  </si>
  <si>
    <t>https://pubmed.ncbi.nlm.nih.gov/29735390</t>
  </si>
  <si>
    <t>Bayesian sample size re-estimation using power priors.</t>
  </si>
  <si>
    <t>Brakenhoff, T B; Roes, Kcb; Nikolakopoulos, S</t>
  </si>
  <si>
    <t>https://pubmed.ncbi.nlm.nih.gov/29717945</t>
  </si>
  <si>
    <t>The sample size of a randomized controlled trial is typically chosen in order for frequentist operational characteristics to be retained. For normally distributed outcomes, an assumption for the variance needs to be made which is usually based on limited prior information. Especially in the case of small populations, the prior information might consist of only one small pilot study. A Bayesian approach formalizes the aggregation of prior information on the variance with newly collected data. The uncertainty surrounding prior estimates can be appropriately modelled by means of prior distributions. Furthermore, within the Bayesian paradigm, quantities such as the probability of a conclusive trial are directly calculated. However, if the postulated prior is not in accordance with the true variance, such calculations are not trustworthy. In this work we adapt previously suggested methodology to facilitate sample size re-estimation. In addition, we suggest the employment of power priors in order for operational characteristics to be controlled.</t>
  </si>
  <si>
    <t>The combined effect of mammographic texture and density on breast cancer risk: a cohort study.</t>
  </si>
  <si>
    <t>Wanders, Johanna O P; van Gils, Carla H; Karssemeijer, Nico; Holland, Katharina; Kallenberg, Michiel; Peeters, Petra H M; Nielsen, Mads; Lillholm, Martin</t>
  </si>
  <si>
    <t>https://pubmed.ncbi.nlm.nih.gov/29720220</t>
  </si>
  <si>
    <t>Texture patterns have been shown to improve breast cancer risk segregation in addition to area-based mammographic density. The additional value of texture pattern scores on top of volumetric mammographic density measures in a large screening cohort has never been studied. Volumetric mammographic density and texture pattern scores were assessed automatically for the first available digital mammography (DM) screening examination of 51,400 women (50-75 years of age) participating in the Dutch biennial breast cancer screening program between 2003 and 2011. The texture assessment method was developed in a previous study and validated in the current study. Breast cancer information was obtained from the screening registration system and through linkage with the Netherlands Cancer Registry. All screen-detected breast cancers diagnosed at the first available digital screening examination were excluded. During a median follow-up period of 4.2 (interquartile range (IQR) 2.0-6.2) years, 301 women were diagnosed with breast cancer. The associations between texture pattern scores, volumetric breast density measures and breast cancer risk were determined using Cox proportional hazard analyses. Discriminatory performance was assessed using c-indices. The median age of the women at the time of the first available digital mammography examination was 56 years (IQR 51-63). Texture pattern scores were positively associated with breast cancer risk (hazard ratio (HR) 3.16 (95% CI 2.16-4.62) (p value for trend &lt;0.001), for quartile (Q) 4 compared to Q1). The c-index of texture was 0.61 (95% CI 0.57-0.64). Dense volume and percentage dense volume showed positive associations with breast cancer risk (HR 1.85 (95% CI 1.32-2.59) (p value for trend &lt;0.001) and HR 2.17 (95% CI 1.51-3.12) (p value for trend &lt;0.001), respectively, for Q4 compared to Q1). When adding texture measures to models with dense volume or percentage dense volume, c-indices increased from 0.56 (95% CI 0.53-0.59) to 0.62 (95% CI 0.58-0.65) (p &lt; 0.001) and from 0.58 (95% CI 0.54-0.61) to 0.60 (95% CI 0.57-0.63) (p = 0.054), respectively. Deep-learning-based texture pattern scores, measured automatically on digital mammograms, are associated with breast cancer risk, independently of volumetric mammographic density, and augment the capacity to discriminate between future breast cancer and non-breast cancer cases.</t>
  </si>
  <si>
    <t>Parents' attitudes and views regarding antibiotics in the management of respiratory tract infections in children: a qualitative study of the influence of an information booklet.</t>
  </si>
  <si>
    <t>Dekker, Anne Rj; de Groot, Esther; Sebalj, Tom; Yardley, Lucy; Cals, Jochen Wl; Verheij, Theo Jm; van der Velden, Alike W</t>
  </si>
  <si>
    <t>https://pubmed.ncbi.nlm.nih.gov/30564719</t>
  </si>
  <si>
    <t>Respiratory tract infection (RTI) is the most common reason to consult a GP during childhood, and often results in unnecessary prescribing of antibiotics. Using an information booklet during the consultation has been shown to be a promising tool to reduce antibiotic prescribing. The influence of such information on parents' views, knowledge, and expectations has not been investigated yet. To explore the reported attitude and knowledge of parents towards antibiotics and management of childhood RTI, as well as the added influence of an information booklet, as perceived by parents. Qualitative interviews were conducted with Dutch parents who consulted the GP with their child for RTI symptoms and received an information booklet. Semi-structured interviews were audio-recorded, transcribed, coded, and analysed using framework analysis by open-axial coding and describing themes. Eighteen parents were interviewed. Four themes were identified: prior reticence towards antibiotics; expectations of the consultation and trust in the GPs' treatment decision; confirmation and reassurance by the booklet; self-management and future consultation intentions. Dutch parents felt reassured and more confident about their pre-existing reticent attitude towards antibiotic treatment; therefore, they thought their opinion and attitude had not really been changed by the booklet. In a low-prescribing country like the Netherlands, information should focus on enhancing self-efficacy and providing concrete safety-netting advice. For other countries with less reticence towards antibiotics, it is recommended that the knowledge, attitude, and perceptions of the population is studied, in order to be able to tailor interventions.</t>
  </si>
  <si>
    <t>Common and Rare Coding Genetic Variation Underlying the Electrocardiographic PR Interval.</t>
  </si>
  <si>
    <t xml:space="preserve">Lin, Honghuang; van Setten, Jessica; Smith, Albert V; Bihlmeyer, Nathan A; Warren, Helen R; Brody, Jennifer A; Radmanesh, Farid; Hall, Leanne; Grarup, Niels; Müller-Nurasyid, Martina; Boutin, Thibaud; Verweij, Niek; Lin, Henry J; Li-Gao, Ruifang; van den Berg, Marten E; Marten, Jonathan; Weiss, Stefan; Prins, Bram P; Haessler, Jeffrey; Lyytikäinen, Leo-Pekka; Mei, Hao; Harris, Tamara B; Launer, Lenore J; Li, Man; Alonso, Alvaro; Soliman, Elsayed Z; Connell, John M; Huang, Paul L; Weng, Lu-Chen; Jameson, Heather S; Hucker, William; Hanley, Alan; Tucker, Nathan R; Chen, Yii-Der Ida; Bis, Joshua C; Rice, Kenneth M; Sitlani, Colleen M; Kors, Jan A; Xie, Zhijun; Wen, Chengping; Magnani, Jared W; Nelson, Christopher P; Kanters, Jørgen K; Sinner, Moritz F; Strauch, Konstantin; Peters, Annette; Waldenberger, Melanie; Meitinger, Thomas; Bork-Jensen, Jette; Pedersen, Oluf; Linneberg, Allan; Rudan, Igor; de Boer, Rudolf A; van der Meer, Peter; Yao, Jie; Guo, Xiuqing; Taylor, Kent D; Sotoodehnia, </t>
  </si>
  <si>
    <t>https://pubmed.ncbi.nlm.nih.gov/29748316</t>
  </si>
  <si>
    <t>Electrical conduction from the cardiac sinoatrial node to the ventricles is critical for normal heart function. Genome-wide association studies have identified more than a dozen common genetic loci that are associated with PR interval. However, it is unclear whether rare and low-frequency variants also contribute to PR interval heritability. We performed large-scale meta-analyses of the PR interval that included 83 367 participants of European ancestry and 9436 of African ancestry. We examined both common and rare variants associated with the PR interval. We identified 31 genetic loci that were significantly associated with PR interval after Bonferroni correction (&lt;i&gt;P&lt;/i&gt;&lt;1.2×10&lt;sup&gt;-6&lt;/sup&gt;), including 11 novel loci that have not been reported previously. Many of these loci are involved in heart morphogenesis. In gene-based analysis, we found that multiple rare variants at &lt;i&gt;MYH6&lt;/i&gt; (&lt;i&gt;P&lt;/i&gt;=5.9×10&lt;sup&gt;-11&lt;/sup&gt;) and &lt;i&gt;SCN5A&lt;/i&gt; (&lt;i&gt;P&lt;/i&gt;=1.1×10&lt;sup&gt;-7&lt;/sup&gt;) were associated with PR interval. &lt;i&gt;SCN5A&lt;/i&gt; locus also was implicated in the common variant analysis, whereas &lt;i&gt;MYH6&lt;/i&gt; was a novel locus. We identified common variants at 11 novel loci and rare variants within 2 gene regions that were significantly associated with PR interval. Our findings provide novel insights to the current understanding of atrioventricular conduction, which is critical for cardiac activity and an important determinant of health.</t>
  </si>
  <si>
    <t>Inappropriate Use of Antimicrobials for Lower Respiratory Tract Infections in Elderly Patients: Patient- and Community-Related Implications and Possible Interventions.</t>
  </si>
  <si>
    <t>van Heijl, Inger; Schweitzer, Valentijn A; Zhang, Lufang; van der Linden, Paul D; van Werkhoven, Cornelis H; Postma, Douwe F</t>
  </si>
  <si>
    <t>drugs aging</t>
  </si>
  <si>
    <t>https://pubmed.ncbi.nlm.nih.gov/29663151</t>
  </si>
  <si>
    <t>The elderly are more susceptible to infections, which is reflected in the incidence and mortality of lower respiratory tract infections (LRTIs) increasing with age. Several aspects of antimicrobial use for LRTIs in elderly patients should be considered to determine appropriateness. We discuss possible differences in microbial etiology between elderly and younger adults, definitions of inappropriate antimicrobial use for LRTIs currently found in the literature, along with their results, and the possible negative impact of antimicrobial therapy at both an individual and community level. Finally, we propose that both antimicrobial stewardship interventions and novel rapid diagnostic techniques may optimize antimicrobial use in elderly patients with LRTIs.</t>
  </si>
  <si>
    <t>Short versus long duration of dual antiplatelet therapy following drug-eluting stents: a meta-analysis of randomised trials.</t>
  </si>
  <si>
    <t>Rozemeijer, R; Voskuil, M; Greving, J P; Bots, M L; Doevendans, P A; Stella, P R</t>
  </si>
  <si>
    <t>https://pubmed.ncbi.nlm.nih.gov/29541996</t>
  </si>
  <si>
    <t>Dual antiplatelet therapy (DAPT) remains the cornerstone therapy in the prevention of ischaemic events following drug-eluting stent (DES) implantation. Mandatory duration of DAPT after DES however, is a matter of debate. We aimed to evaluate safety and efficacy of short-term (up to 6 months) versus long-term (12 months) DAPT after DES implantation. We searched PubMed, EMBASE, Cochrane databases, and international meetings for randomised clinical trials (RCTs) comparing short with long DAPT. We performed a systematic review and meta-analysis of major trials with primary outcomes: all-cause death, myocardial infarction, definite or probable stent thrombosis, stroke, and major bleeding event. Nine RCTs with a total number of 19,099 patients were pooled in the present meta-analysis. When compared with long DAPT, short DAPT was associated with a significant reduction in major bleeding events (0.62% vs. 1.10%, risk ratio (RR) 0.58, 95% confidence interval (CI) 0.39 to 0.86, p &lt; 0.007, I&lt;sup&gt;2&lt;/sup&gt; = 21%), whereas all-cause death (1.65% vs. 1.84%, RR 0.90, 95% CI 0.73 to 1.11, p = 0.34, I2 = 0%), myocardial infarction (1.91% vs. 1.68%, RR 1.14, 95% CI 0.92 to 1.40, p = 0.23, I2 = 0%), definite or probable stent thrombosis (0.62% vs. 0.47%, RR 1.25, 95% CI 0.84 to 1.86, p = 0.27, I2 = 0%), and stroke (0.60% vs. 0.67%, RR 0.91, 95% CI 0.63 to 1.31, p = 0.61, I2 = 0%) were similar. Short DAPT following DES implantation results in a significant reduction of major bleeding events with no apparent increase in all-cause death, myocardial infarction, stent thrombosis, or stroke. Future dedicated trials should investigate the optimal strategies for patient-tailored DAPT in various subgroups.</t>
  </si>
  <si>
    <t>Epigenome-wide association study of adiposity and future risk of obesity-related diseases.</t>
  </si>
  <si>
    <t>Campanella, Gianluca; Gunter, Marc J; Polidoro, Silvia; Krogh, Vittorio; Palli, Domenico; Panico, Salvatore; Sacerdote, Carlotta; Tumino, Rosario; Fiorito, Giovanni; Guarrera, Simonetta; Iacoviello, Licia; Bergdahl, Ingvar A; Melin, Beatrice; Lenner, Per; de Kok, Theo M C M; Georgiadis, Panagiotis; Kleinjans, Jos C S; Kyrtopoulos, Soterios A; Bueno-de-Mesquita, H Bas; Lillycrop, Karen A; May, Anne M; Onland-Moret, N Charlotte; Murray, Robert; Riboli, Elio; Verschuren, Monique; Lund, Eiliv; Mode, Nicolle; Sandanger, Torkjel M; Fiano, Valentina; Trevisan, Morena; Matullo, Giuseppe; Froguel, Philippe; Elliott, Paul; Vineis, Paolo; Chadeau-Hyam, Marc</t>
  </si>
  <si>
    <t>https://pubmed.ncbi.nlm.nih.gov/29713043</t>
  </si>
  <si>
    <t>Obesity is an established risk factor for several common chronic diseases such as breast and colorectal cancer, metabolic and cardiovascular diseases; however, the biological basis for these relationships is not fully understood. To explore the association of obesity with these conditions, we investigated peripheral blood leucocyte (PBL) DNA methylation markers for adiposity and their contribution to risk of incident breast and colorectal cancer and myocardial infarction. DNA methylation profiles (Illumina Infinium&lt;sup&gt;®&lt;/sup&gt; HumanMethylation450 BeadChip) from 1941 individuals from four population-based European cohorts were analysed in relation to body mass index, waist circumference, waist-hip and waist-height ratio within a meta-analytical framework. In a subset of these individuals, data on genome-wide gene expression level, biomarkers of glucose and lipid metabolism were also available. Validation of methylation markers associated with all adiposity measures was performed in 358 individuals. Finally, we investigated the association of obesity-related methylation marks with breast, colorectal cancer and myocardial infarction within relevant subsets of the discovery population. We identified 40 CpG loci with methylation levels associated with at least one adiposity measure. Of these, one CpG locus (cg06500161) in ABCG1 was associated with all four adiposity measures (P = 9.07×10&lt;sup&gt;-&lt;/sup&gt;&lt;sup&gt;8&lt;/sup&gt; to 3.27×10&lt;sup&gt;-18&lt;/sup&gt;) and lower transcriptional activity of the full-length isoform of ABCG1 (P = 6.00×10&lt;sup&gt;-7&lt;/sup&gt;), higher triglyceride levels (P = 5.37×10&lt;sup&gt;-&lt;/sup&gt;&lt;sup&gt;9&lt;/sup&gt;) and higher triglycerides-to-HDL cholesterol ratio (P = 1.03×10&lt;sup&gt;-10&lt;/sup&gt;). Of the 40 informative and obesity-related CpG loci, two (in IL2RB and FGF18) were significantly associated with colorectal cancer (inversely, P &lt; 1.6×10&lt;sup&gt;-3&lt;/sup&gt;) and one intergenic locus on chromosome 1 was inversely associated with myocardial infarction (P &lt; 1.25×10&lt;sup&gt;-3&lt;/sup&gt;), independently of obesity and established risk factors. Our results suggest that epigenetic changes, in particular altered DNA methylation patterns, may be an intermediate biomarker at the intersection of obesity and obesity-related diseases, and could offer clues as to underlying biological mechanisms.</t>
  </si>
  <si>
    <t>Effectiveness of general practitioner online training and an information booklet for parents on antibiotic prescribing for children with respiratory tract infection in primary care: a cluster randomized controlled trial.</t>
  </si>
  <si>
    <t>Dekker, Anne R J; Verheij, Theo J M; Broekhuizen, Berna D L; Butler, Christopher C; Cals, Jochen W L; Francis, Nick A; Little, Paul; Sanders, Elisabeth A M; Yardley, Lucy; Zuithoff, Nicolaas P A; van der Velden, Alike W</t>
  </si>
  <si>
    <t>https://pubmed.ncbi.nlm.nih.gov/29438547</t>
  </si>
  <si>
    <t>Antibiotics are too often prescribed in childhood respiratory tract infection (RTI), despite limited effectiveness, potential side effects and bacterial resistance. We aimed to reduce antibiotic prescribing for children with RTI by online training for general practitioners (GPs) and information for parents. A pragmatic cluster randomized controlled trial in primary care. The intervention consisted of online training for GPs and an information booklet for parents. The primary outcome was the antibiotic prescription rate for children presenting with RTI symptoms, as registered by GPs. Secondary outcomes were number of reconsultations within the same disease episode, consultations for new episodes, hospital referrals and pharmacy-dispensed antibiotic courses for children. This trial was registered at the Dutch Trial Register (NTR), registration number: NTR4240. After randomization, GPs from a total of 32 general practices registered 1009 consultations. An antibiotic was prescribed in 21% of consultations in the intervention group, compared with 33% in the usual care group, controlled for baseline prescribing (rate ratio 0.65, 95% CI 0.46-0.91). The probability of reconsulting during the same RTI episode did not differ significantly between the intervention and control groups, and nor did the numbers of consultations for new episodes and hospital referrals. In the intervention group antibiotic dispensing was 32 courses per 1000 children/year lower than the control group, adjusted for baseline prescribing (rate ratio 0.78, 95% CI 0.66-0.92). The numbers and proportion of second-choice antibiotics did not differ significantly. Concise, feasible, online GP training, with an information booklet for parents, showed a relevant reduction in antibiotic prescribing for children with RTI.</t>
  </si>
  <si>
    <t>Unexpected Cardiac Computed Tomography Findings in Patients With Postoperative Myocardial Injury.</t>
  </si>
  <si>
    <t>Grobben, Remco B; van Waes, Judith A R; Leiner, Tim; Peelen, Linda M; de Borst, Gert Jan; Vogely, Henri C; Grobbee, Diederick E; Doevendans, Pieter A; van Klei, Wilton A; Nathoe, Hendrik M; ,</t>
  </si>
  <si>
    <t>anesthesia and analgesia</t>
  </si>
  <si>
    <t>https://pubmed.ncbi.nlm.nih.gov/29099425</t>
  </si>
  <si>
    <t>Postoperative myocardial injury (PMI) is a strong predictor of mortality after noncardiac surgery. PMI is believed to be attributable to coronary artery disease (CAD), yet its etiology is largely unclear. We aimed to quantify the prevalence of significant CAD in patients with and without PMI using coronary computed tomography angiography (CCTA). This prospective cohort study included patients of 60 years or older without a history of cardiac disease and with and without PMI after intermediate- to high-risk noncardiac surgery. PMI was defined as any serum troponin I level ≥60 ng/L on the first 3 postoperative days. Main exclusion criteria were known cardiac disease and postoperative ischemic symptoms or electrocardiography abnormalities. Noninvasive imaging consisted of a postoperative CCTA. Main outcome was CAD defined as &gt;50% coronary stenosis on CCTA. The analysis included 66 patients. Median peak troponin levels in the PMI (n = 46) and control group (n = 20) were 150 (interquartile range, 120-298) vs 15 (interquartile range, 10-31) ng/L (P &lt; .01). CAD was found in 23 patients with PMI (50%) vs 3 without PMI (15%; relative risk, 3.3; 95% confidence interval, 1.1-9.8). Remarkably, pulmonary embolism was present in 15 patients with PMI (33%) versus in 4 without PMI (20%; relative risk, 1.6; 95% confidence interval, 0.6-4.3). None of the patients died within 30 days. In patients without a history of cardiac disease, PMI after noncardiac surgery was associated with CAD. In addition, a clinically silent pulmonary embolism was found in one-third of patients with PMI. This urges further research to improve clinical workup using imaging and may have important clinical implications.</t>
  </si>
  <si>
    <t>Antioxidants linked with physical, cognitive and psychological frailty: Analysis of candidate biomarkers and markers derived from the MARK-AGE study.</t>
  </si>
  <si>
    <t>Rietman, M Liset; Spijkerman, Annemieke M W; Wong, Albert; van Steeg, Harry; Bürkle, Alexander; Moreno-Villanueva, María; Sindlinger, Thilo; Franceschi, Claudio; Grubeck-Loebenstein, Beatrix; Bernhardt, Jürgen; Slagboom, P Eline; Toussaint, Olivier; Debacq-Chainiaux, Florence; Sikora, Ewa; Gonos, Efstathios S; Breusing, Nicolle; Stuetz, Wolfgang; Weber, Daniela; Grune, Tilman; Basso, Andrea; Piacenza, Francesco; Malavolta, Marco; Collino, Sebastiano; Jansen, Eugene H J M; Verschuren, W M Monique; Dollé, Martijn E T</t>
  </si>
  <si>
    <t>https://pubmed.ncbi.nlm.nih.gov/29719199</t>
  </si>
  <si>
    <t>Frailty among elderly people leads to an increased risk for negative health outcomes. To prevent frailty, we need a better understanding of the underlying mechanisms and early detection of individuals at risk. Both may be served by identifying candidate (bio)markers, i.e. biomarkers and markers, for the physical, cognitive, and psychological frailty domains. We used univariate (Rank-ANOVA) and multivariate (elastic net) approaches on the RASIG study population (age range: 35-74 years, n = 2220) of the MARK-AGE study to study up to 331 (bio)markers between individuals with and without frailty for each domain. Biomarkers and markers identified by both approaches were studied further regarding their association with frailty using logistic regression. Univariately, we found lower levels of antioxidants, including β-cryptoxanthin and zeaxanthin, in those who were physically, cognitively or psychologically frail. Additionally, self-reported health was worse in these three frail groups. Multivariately, we observed lower levels of β-cryptoxanthin and zeaxanthin in the cognitively frail. Levels of these carotenoids were inversely associated with the risk of being cognitively frail after adjusting for confounders. Antioxidants and self-reported health are potential (bio)markers to detect persons at risk of becoming frail. The biomarkers identified may indicate the involvement of inflammation in frailty, especially for physical and cognitive frailty.</t>
  </si>
  <si>
    <t>Green Space Visits among Adolescents: Frequency and Predictors in the PIAMA Birth Cohort Study.</t>
  </si>
  <si>
    <t>Bloemsma, Lizan D; Gehring, Ulrike; Klompmaker, Jochem O; Hoek, Gerard; Janssen, Nicole A H; Smit, Henriëtte A; Vonk, Judith M; Brunekreef, Bert; Lebret, Erik; Wijga, Alet H</t>
  </si>
  <si>
    <t>https://pubmed.ncbi.nlm.nih.gov/29714963</t>
  </si>
  <si>
    <t>Green space may influence health through several pathways, for example, increased physical activity, enhanced social cohesion, reduced stress, and improved air quality. For green space to increase physical activity and social cohesion, spending time in green spaces is likely to be important. We examined whether adolescents visit green spaces and for what purposes. Furthermore, we assessed the predictors of green space visits. In this cross-sectional study, data for 1911 participants of the Dutch PIAMA (Prevention and Incidence of Asthma and Mite Allergy) birth cohort were analyzed. At age 17, adolescents reported how often they visited green spaces for physical activities, social activities, relaxation, and to experience nature and quietness. We assessed the predictors of green space visits altogether and for different purposes by log-binomial regression. Fifty-three percent of the adolescents visited green spaces at least once a week in summer, mostly for physical and social activities. Adolescents reporting that a green environment was (very) important to them visited green spaces most frequently {adjusted prevalence ratio (PR) [95% confidence interval (CI)] very vs. not important: 6.84 (5.10, 9.17) for physical activities and 4.76 (3.72, 6.09) for social activities}. Boys and adolescents with highly educated fathers visited green spaces more often for physical and social activities. Adolescents who own a dog visited green spaces more often to experience nature and quietness. Green space visits were not associated with the objectively measured quantity of residential green space, i.e., the average normalized difference vegetation index (NDVI) and percentages of urban, agricultural, and natural green space in circular buffers around the adolescents' homes. Subjective variables are stronger predictors of green space visits in adolescents than the objectively measured quantity of residential green space. https://doi.org/10.1289/EHP2429.</t>
  </si>
  <si>
    <t>Normal Values of Corrected Heart-Rate Variability in 10-Second Electrocardiograms for All Ages.</t>
  </si>
  <si>
    <t>https://pubmed.ncbi.nlm.nih.gov/29755366</t>
  </si>
  <si>
    <t>&lt;b&gt;Purpose:&lt;/b&gt; Heart-rate variability (HRV) measured on standard 10-s electrocardiograms (ECGs) has been associated with increased risk of cardiac and all-cause mortality, but age- and sex-dependent normal values have not been established. Since heart rate strongly affects HRV, its effect should be taken into account. We determined a comprehensive set of normal values of heart-rate corrected HRV derived from 10-s ECGs for both children and adults, covering both sexes. &lt;b&gt;Methods:&lt;/b&gt; Five population studies in the Netherlands (Pediatric Normal ECG Study, Leiden University Einthoven Science Project, Prevention of Renal and Vascular End-stage Disease Study, Utrecht Health Project, Rotterdam Study) provided 10-s, 12-lead ECGs. ECGs were stored digitally and analyzed by well-validated analysis software. We included cardiologically healthy participants, 42% being men. Their ages ranged from 11 days to 91 years. After quality control, 13,943 ECGs were available. Heart-rate correction formulas were derived using an exponential model. Two time-domain HRV markers were analyzed: the corrected standard deviation of the normal-to-normal RR intervals (SDNNc) and corrected root mean square of successive RR-interval differences (RMSSDc). &lt;b&gt;Results:&lt;/b&gt; There was a considerable age effect. For both SDNNc and RMSSDc, the median and the lower limit of normal decreased steadily from birth until old age. The upper limit of normal decreased until the age of 60, but increased markedly after that age. Differences of the median were minimal between men and women. &lt;b&gt;Conclusion:&lt;/b&gt; We report the first comprehensive set of normal values for heart-rate corrected 10-s HRV, which can be of value in clinical practice and in further research.</t>
  </si>
  <si>
    <t>Development and first evaluation of a novel multiplex real-time PCR on whole blood samples for rapid pathogen identification in critically ill patients with sepsis.</t>
  </si>
  <si>
    <t>van de Groep, Kirsten; Bos, Martine P; Savelkoul, Paul H M; Rubenjan, Anna; Gazenbeek, Christel; Melchers, Willem J G; van der Poll, Tom; Juffermans, Nicole P; Ong, David S Y; Bonten, Marc J M; Cremer, Olaf L; ,</t>
  </si>
  <si>
    <t>https://pubmed.ncbi.nlm.nih.gov/29700761</t>
  </si>
  <si>
    <t>Molecular tests may enable early adjustment of antimicrobial therapy and be complementary to blood culture (BC) which has imperfect sensitivity in critically ill patients. We evaluated a novel multiplex real-time PCR assay to diagnose bloodstream pathogens directly in whole blood samples (BSI-PCR). BSI-PCR included 11 species- and four genus-specific PCRs, a molecular Gram-stain PCR, and two antibiotic resistance markers. We collected 5 mL blood from critically ill patients simultaneously with clinically indicated BC. Microbial DNA was isolated using the Polaris method followed by automated DNA extraction. Sensitivity and specificity were calculated using BC as reference. BSI-PCR was evaluated in 347 BC-positive samples (representing up to 50 instances of each pathogen covered by the test) and 200 BC-negative samples. Bacterial species-specific PCR sensitivities ranged from 65 to 100%. Sensitivity was 26% for the Gram-positive PCR, 32% for the Gram-negative PCR, and ranged 0 to 7% for yeast PCRs. Yeast detection was improved to 40% in a smaller set-up. There was no overall association between BSI-PCR sensitivity and time-to-positivity of BC (which was highly variable), yet Ct-values were lower for true-positive versus false-positive PCR results. False-positive results were observed in 84 (4%) of the 2200 species-specific PCRs in 200 culture-negative samples, and ranged from 0 to 6% for generic PCRs. Sensitivity of BSI-PCR was promising for individual bacterial pathogens, but still insufficient for yeasts and generic PCRs. Further development of BSI-PCR will focus on improving sensitivity by increasing input volumes and on subsequent implementation as a bedside test.</t>
  </si>
  <si>
    <t>Perimesencephalic Hemorrhage: A Review of Epidemiology, Risk Factors, Presumed Cause, Clinical Course, and Outcome.</t>
  </si>
  <si>
    <t>Mensing, Liselore A; Vergouwen, Mervyn D I; Laban, Kamil G; Ruigrok, Ynte M; Velthuis, Birgitta K; Algra, Ale; Rinkel, Gabriel J E</t>
  </si>
  <si>
    <t>https://pubmed.ncbi.nlm.nih.gov/29695465</t>
  </si>
  <si>
    <t>We systematically reviewed the literature on epidemiology, risk factors, presumed cause, clinical course, and outcome of perimesencephalic hemorrhage. PubMed, Embase, and the Cochrane Library were searched until March 2016. Quality assessment was done by 2 authors independently. Pooled prevalence ratios and pooled odds ratios with 95% confidence intervals were calculated for data extracted from case-control studies. We included 208 papers. The incidence of perimesencephalic hemorrhage is ≈0.5 per 100.000 person-years, men are more often affected, and no risk factors were confirmed. Two decision analyses both found that a single, high-quality computed tomography angiography is the preferred diagnostic approach. Short-term complications, such as hydrocephalus or cranial nerve palsies, are rare, and usually transient, with the exception of acute symptomatic hydrocephalus necessitating treatment in 3% of patients. Lacunar infarcts in the brain stem were convincingly described in 4 patients only. Fatal rebleeding after installment of anticoagulation in the initial days after the hemorrhage was described in 1 patient. At long-term follow-up, death related to the hemorrhage has not been reported, disability is found in 0% to 6%, and neuropsychological sequelae are suggested. A single, high-quality computed tomography angiography is the preferred diagnostic strategy. Short-term complications are rare and often transient. Long-term outcome is excellent with respect to disability and death, but high-quality studies focused at neuropsychological sequelae are needed.</t>
  </si>
  <si>
    <t>Dietary patterns and type 2 diabetes among Ghanaian migrants in Europe and their compatriots in Ghana: the RODAM study.</t>
  </si>
  <si>
    <t>Galbete, Cecilia; Nicolaou, Mary; Meeks, Karlijn; Klipstein-Grobusch, Kerstin; de-Graft Aikins, Ama; Addo, Juliet; Amoah, Stephen K; Smeeth, Liam; Owusu-Dabo, Ellis; Spranger, Joachim; Agyemang, Charles; Mockenhaupt, Frank P; Beune, Erik; Stronks, Karien; Schulze, Matthias B; Danquah, Ina</t>
  </si>
  <si>
    <t>nutrition diabetes</t>
  </si>
  <si>
    <t>https://pubmed.ncbi.nlm.nih.gov/29695705</t>
  </si>
  <si>
    <t>We aimed to study the associations of dietary patterns (DPs) with type 2 diabetes (T2D) among Ghanaian adults. In the multi-centre, cross-sectional RODAM (Research on Obesity and Diabetes among African Migrants) study (n = 4543), three overall DPs ("mixed", "rice, pasta, meat and fish," and "roots, tubers and plantain") and two site-specific DPs per study site (rural Ghana, urban Ghana and Europe) were identified by principal component analysis. The DPs-T2D associations were calculated by logistic regression models. Higher adherence to the "rice, pasta, meat and fish" DP (characterized by legumes, rice/pasta, meat, fish, cakes/sweets, condiments) was associated with decreased odds of T2D, adjusted for socio-demographic factors, total energy intake and adiposity measures (odds ratio (OR)&lt;sub&gt;per 1 SD&lt;/sub&gt; = 0.80; 95% confidence interval (CI) = 0.70-0.92). Similar DPs and T2D associations were discernible in urban Ghana and Europe. In the total study population, neither the "mixed" DP (whole grain cereals, sweet spreads, dairy products, potatoes, vegetables, poultry, coffee/tea, sodas/juices, olive oil) nor the "roots, tubers and plantain" DP (refined cereals, fruits, nuts/seeds, roots/tubers/plantain, fermented maize products, legumes, palm oil, condiments) was associated with T2D. Yet, after the exclusion of individuals with self-reported T2D, the "roots, tubers and plantain" DP was inversely associated with T2D (OR&lt;sub&gt;per 1 SD&lt;/sub&gt; = 0.88; 95% CI = 0.69-1.12). In this Ghanaian population, DPs characterized by the intake of legumes, fish, meat and confectionery were inversely associated with T2D. The effect of a traditional-oriented diet (typical staples, vegetables and legumes) remains unclear.</t>
  </si>
  <si>
    <t>Exploring the role of low-frequency and rare exonic variants in alcohol and tobacco use.</t>
  </si>
  <si>
    <t>Marees, Andries T; Hammerschlag, Anke R; Bastarache, Lisa; de Kluiver, Hilde; Vorspan, Florence; van den Brink, Wim; Smit, Dirk J; Denys, Damiaan; Gamazon, Eric R; Li-Gao, Ruifang; Breetvelt, Elemi J; de Groot, Mark C H; Galesloot, Tessel E; Vermeulen, Sita H; Poppelaars, Jan L; Souverein, Patrick C; Keeman, Renske; de Mutsert, Renée; Noordam, Raymond; Rosendaal, Frits R; Stringa, Najada; Mook-Kanamori, Dennis O; Vaartjes, Ilonca; Kiemeney, Lambertus A; den Heijer, Martin; van Schoor, Natasja M; Klungel, Olaf H; Maitland-Van der Zee, Anke H; Schmidt, Marjanka K; Polderman, Tinca J C; van der Leij, Andries R; Posthuma, Danielle; Derks, Eske M</t>
  </si>
  <si>
    <t>https://pubmed.ncbi.nlm.nih.gov/29758381</t>
  </si>
  <si>
    <t>Alcohol and tobacco use are heritable phenotypes. However, only a small number of common genetic variants have been identified, and common variants account for a modest proportion of the heritability. Therefore, this study aims to investigate the role of low-frequency and rare variants in alcohol and tobacco use. We meta-analyzed ExomeChip association results from eight discovery cohorts and included 12,466 subjects and 7432 smokers in the analysis of alcohol consumption and tobacco use, respectively. The ExomeChip interrogates low-frequency and rare exonic variants, and in addition a small pool of common variants. We investigated top variants in an independent sample in which ICD-9 diagnoses of "alcoholism" (N = 25,508) and "tobacco use disorder" (N = 27,068) had been assessed. In addition to the single variant analysis, we performed gene-based, polygenic risk score (PRS), and pathway analyses. The meta-analysis did not yield exome-wide significant results. When we jointly analyzed our top results with the independent sample, no low-frequency or rare variants reached significance for alcohol consumption or tobacco use. However, two common variants that were present on the ExomeChip, rs16969968 (p = 2.39 × 10&lt;sup&gt;-7&lt;/sup&gt;) and rs8034191 (p = 6.31 × 10&lt;sup&gt;-7&lt;/sup&gt;) located in CHRNA5 and AGPHD1 at 15q25.1, showed evidence for association with tobacco use. Low-frequency and rare exonic variants with large effects do not play a major role in alcohol and tobacco use, nor does the aggregate effect of ExomeChip variants. However, our results confirmed the role of the CHRNA5-CHRNA3-CHRNB4 cluster of nicotinic acetylcholine receptor subunit genes in tobacco use.</t>
  </si>
  <si>
    <t>Impact of different assumptions on estimates of childhood diseases obtained from health care data: A retrospective cohort study.</t>
  </si>
  <si>
    <t>Osokogu, Osemeke U; Pacurariu, Alexandra; Mosseveld, Mees; Rijnbeek, Peter; Weibel, Daniel; Verhamme, Katia; Sturkenboom, Miriam C J M</t>
  </si>
  <si>
    <t>https://pubmed.ncbi.nlm.nih.gov/29691919</t>
  </si>
  <si>
    <t>Accurate estimates of disease incidence in children are required to support pediatric drug development. Analysis of electronic health care records (EHR) may yield such estimates but pediatric-specific methods are lacking. We aimed to understand the impact of assumptions regarding duration of disease episode and length of run-in period on incidence estimates from EHRs. Children aged 0 to 17 years (5-17 years for asthma) registered in the Integrated Primary Care Information database between 2002 and 2014 were studied. We tested the impact of the following: maximum duration of disease episode (0, 14, 30, 60, and 90 days) on recurrent diseases (acute otitis media [common] and acute pyelonephritis [rare]); and database run-in period on chronic diseases-asthma (common) and type 1 diabetes (DM) (rare). We calculated incidence rate ratios with 95% confidence intervals and stratified using 1-year age categories. Altogether, 503 495 children were registered. The incidence of acute otitis media was highest in &lt;2-year-old children; using 30 days disease duration as reference, the rate increased with 8% if the duration was 14 days and decreased with 8% when extended to 60 days. Disease duration did not impact acute pyelonephritis (rare). No run-in (to exclude prevalent cases) versus 24-month run-in period overestimated the incidence rate for asthma and DM by a factor of 2. Analysis of EHR allows for estimation of disease incidence in children, but assumptions regarding episode length and run-in period impact the incidence estimates. Such assumptions may be routinely explored.</t>
  </si>
  <si>
    <t>Mapping nurses' activities in surgical hospital wards: A time study.</t>
  </si>
  <si>
    <t>van den Oetelaar, W F J M; van Stel, H F; van Rhenen, W; Stellato, R K; Grolman, W</t>
  </si>
  <si>
    <t>https://pubmed.ncbi.nlm.nih.gov/29689048</t>
  </si>
  <si>
    <t>Balancing the number of nursing staff in relation to the number of patients is important for hospitals to remain efficient and optimizing the use of resources. One way to do this is to work with a workload management method. Many workload management methods use a time study to determine how nurses spend their time and to relate this to patient characteristics in order to predict nurse workload. In our study, we aim to determine how nurses spend their working day and we will attempt to explain differences between specialized surgical wards. The research took place in an academic hospital in the Netherlands. Six surgical wards were included, capacity 15 to 30 beds. We have used a work sampling methodology where trained observers registered activities of nurses and patient details every ten minutes during the day shift for a time period of three weeks. The work sampling showed that nurses spend between 40.1% and 55.8% of their time on direct patient care. In addition to this, nurses spend between 11.0% and 14.1% on collective patient care. In total, between 52.1% and 68% of time spent on tasks is directly patient related. We found significant differences between wards for 10 of the 21 activity groups. We also found that nurses spend on average 31% with the patient (bedside), which is lower than in another study (37%). However, we noticed a difference between departments. For regular surgical departments in our study this was on average 34% and for two departments that have additional responsibilities in training and education of nursing students, this was on average 25%. We found a relatively low percentage of time spent on direct plus indirect care, and a lower percentage of time spent with the patient. We suspect that this is due to the academic setting of the study; in our hospital, there are more tasks related to education than in hospitals in other study settings. We also found differences between the wards in our study, which are mostly explained by differences in the patient mix, nurse staffing (proportion of nursing students), type of surgery and region of the body where the surgery was performed. However, we could not explain all differences. We made a first attempt in identifying and explaining differences in nurses' activities between wards, however this domain needs more research in order to better explain the differences.</t>
  </si>
  <si>
    <t>Automatic quantification of calcifications in the coronary arteries and thoracic aorta on radiotherapy planning CT scans of Western and Asian breast cancer patients.</t>
  </si>
  <si>
    <t>Gernaat, Sofie A M; van Velzen, Sanne G M; Koh, Vicky; Emaus, Marleen J; Išgum, Ivana; Lessmann, Nikolas; Moes, Shinta; Jacobson, Anouk; Tan, Poey W; Grobbee, Diederick E; van den Bongard, Desiree H J; Tang, Johann I; Verkooijen, Helena M</t>
  </si>
  <si>
    <t>https://pubmed.ncbi.nlm.nih.gov/29703498</t>
  </si>
  <si>
    <t>This study automatically quantified calcifications in coronary arteries (CAC) and thoracic aorta (TAC) on breast planning computed tomography (CT) scans and assessed its reproducibility compared to manual scoring. Dutch (n = 1199) and Singaporean (n = 1090) breast cancer patients with radiotherapy planning CT scan were included. CAC and TAC were automatically scored using deep learning algorithm. CVD risk categories were based on Agatson CAC: 0, 1-10, 11-100, 101-400 and &gt;400. Reliability between automatic and manual scoring was assessed in 120 randomly selected CT scans from each population, with linearly weighted kappa for CAC categories and intraclass correlation coefficient for TAC. Median age was higher in Dutch patients than Singaporean patients: 57 versus 52 years. CAC and TAC increased with age and were more present in Dutch patients than Singaporean patients: 24.2% versus 17.3% and 73.0% versus 62.2%, respectively. Reliability of CAC categories and TAC was excellent in the Netherlands (0.85 (95% confidence interval (CI) = 0.77-0.93) and 0.98 (95% CI = 0.96-0.98) respectively) and Singapore (0.90 (95% CI = 0.84-0.96) and 0.99 (95% CI = 0.98-0.99) respectively). CAC and TAC prevalence was considerable and increased with age. Deep learning software is a reliable method to automatically measure CAC and TAC on radiotherapy breast CT scans.</t>
  </si>
  <si>
    <t>Rapid on-site evaluation during endoscopic ultrasound-guided fine-needle aspiration of lymph nodes does not increase diagnostic yield: A randomized, multicenter trial.</t>
  </si>
  <si>
    <t>Kappelle, W F W; Van Leerdam, M E; Schwartz, M P; Bülbül, M; Buikhuisen, W A; Brink, M A; Sie-Go, D M D S; Pullens, H J M; Nikolakopoulos, S; Van Diest, P J; Leenders, M; Moons, L M G; Bogte, A; Siersema, P D; Vleggaar, F P</t>
  </si>
  <si>
    <t>https://pubmed.ncbi.nlm.nih.gov/29681624</t>
  </si>
  <si>
    <t>Studies on the impact of rapid on-site evaluation (ROSE) during endoscopic ultrasound-guided fine-needle aspiration (EUS-FNA) of lymph nodes are retrospective and have shown conflicting results. We aimed to compare the diagnostic yield of EUS-FNA of lymph nodes with ROSE (ROSE+) and without ROSE (ROSE-). This was a multicenter, randomized controlled trial. Consecutive patients who were scheduled to undergo EUS-FNA of mediastinal or abdominal lymph nodes were randomized to ROSE+ or ROSE-. In the ROSE+ group, the number of passes was dictated by the on-site cytotechnician. In the ROSE- group, five passes were performed without interference from the cytotechnician. All samples were reviewed by a single-expert cytopathologist, blinded to group allocation. Primary endpoint was diagnostic yield with and without ROSE. After inclusion of 90 patients, interim analysis showed futility of study continuation since diagnostic yield of ROSE+ and ROSE- were comparable. A total of 91 patients were randomized to ROSE+ (N = 45) or ROSE- (N = 46). Diagnostic yield of ROSE+ and ROSE- and diagnostic accuracy were comparable: 93.3% vs. 95.7% (P = 0.68) and 97.6% vs. 93.2% (P = 0.62), respectively. Two major complications (one per group) occurred (p = 0.99). ROSE- patients more often reported self-limiting post-procedural pain (p &lt; 0.001). Median procedure time for ROSE+ (20 min) and ROSE- (23 min) was comparable (P = 0.06). Median time to review slides in the ROSE- group (12:47 min) was longer than with ROSE+ (7:52 min) (P &lt; 0.001). Mean costs of ROSE- and ROSE+ were comparable: €938.29 (±172.70) vs. €945.98 (±223.38) (P = 0.91), respectively. Diagnostic yield and accuracy of EUS-FNA of mediastinal and abdominal lymph nodes with and without ROSE are comparable. Time needed to review slides was shorter and post-procedural pain was less often reported in the ROSE+ group. Based on the primary outcome, the implementation of ROSE during EUS-FNA of mediastinal and abdominal lymph nodes cannot be advised. (Dutch Trial Register: NTR4876).</t>
  </si>
  <si>
    <t>Challenges in measuring interprofessional-interorganisational collaboration with a questionnaire.</t>
  </si>
  <si>
    <t>Meijer, Loes J; de Groot, Esther; van Smeden, Maarten; Schellevis, François G; Damoiseaux, Roger Amj</t>
  </si>
  <si>
    <t>https://pubmed.ncbi.nlm.nih.gov/30564705</t>
  </si>
  <si>
    <t>Collaboration between medical professionals from separate organisations is necessary to deliver good patient care. This care is influenced by professionals' perceptions about their collaboration. Until now, no instrument to measure such perceptions was available in the Netherlands. A questionnaire developed and validated in Spain was translated to assess perceptions about clinicians' collaboration in primary and secondary care in the Dutch setting. Validation in the Dutch setting of a Spanish questionnaire that aimed to assess perceptions of clinicians about interorganisational collaboration. After translation, cultural adaptation, and pre-testing, the questionnaire was sent to GPs and secondary care clinicians (SCCs) in three regions in the Netherlands. The responses of 445 responders were used to assess the validity and reliability of the questionnaire. A confirmatory factor analysis (CFA) and an exploratory factor analysis (EFA) were performed to study the construct validity of the hypothesised factor model underlying the questionnaire. Test-retest reliability was evaluated using weighted Kappa statistics. Results of the CFA indicated poor fit of the hypothesised factor structure. EFA, executed separately for each region, showed a highly unstable factor structure. The test-retest reliability analysis demonstrated low re-test reliability. The underlying factor structure of a Spanish questionnaire could not be reproduced. The construct validity and reliability of this questionnaire were insufficient to warrant use in the Dutch setting. This study demonstrates the need for evaluating validity and reliability of questionnaires in local settings.</t>
  </si>
  <si>
    <t>Big data from electronic health records for early and late translational cardiovascular research: challenges and potential.</t>
  </si>
  <si>
    <t>Hemingway, Harry; Asselbergs, Folkert W; Danesh, John; Dobson, Richard; Maniadakis, Nikolaos; Maggioni, Aldo; van Thiel, Ghislaine J M; Cronin, Maureen; Brobert, Gunnar; Vardas, Panos; Anker, Stefan D; Grobbee, Diederick E; Denaxas, Spiros; ,</t>
  </si>
  <si>
    <t>https://pubmed.ncbi.nlm.nih.gov/29370377</t>
  </si>
  <si>
    <t>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</si>
  <si>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Search for High-Mass Resonances Decaying to τν in pp Collisions at sqrt[s]=13  TeV with the ATLAS Detector.</t>
  </si>
  <si>
    <t>Aaboud, M; Aad, G; Abbott, B; Abdinov, O; Abeloos, B; Abidi, S H; AbouZeid, O S; Abraham, N L; Abramowicz, H; Abreu, H; Abulaiti, Y; Acharya, B S; Adachi, S; Adamczyk, L; Adelman, J; Adersberger, M; Adye, T; Affolder, A A; Afik, Y; Agheorghiesei, C; Aguilar-Saavedra, J A; Ahlen, S P;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t>
  </si>
  <si>
    <t>https://pubmed.ncbi.nlm.nih.gov/29756910</t>
  </si>
  <si>
    <t>A search for high-mass resonances decaying to τν using proton-proton collisions at sqrt[s]=13  TeV produced by the Large Hadron Collider is presented. Only τ-lepton decays with hadrons in the final state are considered. The data were recorded with the ATLAS detector and correspond to an integrated luminosity of 36.1  fb^{-1}. No statistically significant excess above the standard model expectation is observed; model-independent upper limits are set on the visible τν production cross section. Heavy W^{'} bosons with masses less than 3.7 TeV in the sequential standard model and masses less than 2.2-3.8 TeV depending on the coupling in the nonuniversal G(221) model are excluded at the 95% credibility level.</t>
  </si>
  <si>
    <t>Incidence of superficial venous thrombosis in primary care and risk of subsequent venous thromboembolic sequelae: a retrospective cohort study performed with routine healthcare data from the Netherlands.</t>
  </si>
  <si>
    <t>Geersing, Geert-Jan; Cazemier, Selma; Rutten, Frans; Fitzmaurice, David A; Hoes, Arno W</t>
  </si>
  <si>
    <t>https://pubmed.ncbi.nlm.nih.gov/29678975</t>
  </si>
  <si>
    <t>Recent studies in referred populations of patients with superficial venous thrombosis (SVT) report risks of venous thromboembolic (VTE) sequelae (deep vein thrombosis or pulmonary embolism) as high as 25%. Likely, these estimates are lower in non-referred patients, but large-scale population-based studies are lacking. We aimed to estimate the incidence rate of SVT in primary care and quantify its risk of VTE sequelae. A retrospective cohort study, using International Classification of Primary Care coding (K94.02) combined with free text searching (synonyms for SVT) to capture all SVT events. All patients were followed up for 3 months using manual free text searching. Primary care. All patients enlisted with general practitioners within the Utrecht General Practitioner Network between 2010 and 2016 (1 534 845 person-years follow-up). The incidence rate of SVT was expressed as the number of SVT events per 1000 person-years of follow-up and the 3-month cumulative incidence of VTE events was calculated. Logistic regression analysis was used to compare patients with SVT with and without VTE sequelae. A total of 2008 SVT cases were identified, that is, an SVT incidence rate of 1.31 (95% CI 1.25 to 1.37) per 1000 person-years follow-up, with higher rates notably with increasing age. VTE sequelae occurred in 83 patients; 51 at the time of SVT diagnosis and 32 patients during follow-up (total cumulative incidence of 4.1%; 95% CI 3.3% to 5.1%), and were more frequent in those with an active malignancy (OR 2.19; 95% 0.97 to 4.95) and less frequent in those with varicose veins at baseline (OR 0.57, 95% CI 0.34 to 0.94). We found an incidence rate of SVT in primary care of 1.31 per 1000 person-years. The risks of VTE sequelae was relatively low at 4.1%, with the highest risk in patients with cancer and in those who experience an SVT in the absence of varicose veins.</t>
  </si>
  <si>
    <t>Influence of stent design and use of protection devices on outcome of carotid artery stenting: a pooled analysis of individual patient data.</t>
  </si>
  <si>
    <t>Wodarg, Fritz; Turner, Elisabeth L; Dobson, Joanna; Ringleb, Peter A; Mali, Willem P; Fraedrich, Gustav; Chatellier, Gilles; Bequemin, Jean-Pierre; Brown, Martin M; Algra, Ale; Mas, Jean-Louis; Jansen, Olav; Bonati, Leo H; ,</t>
  </si>
  <si>
    <t>journal of neurointerventional surgery</t>
  </si>
  <si>
    <t>https://pubmed.ncbi.nlm.nih.gov/29674483</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</si>
  <si>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</si>
  <si>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Prevalence of left ventricular systolic dysfunction and heart failure with reduced ejection fraction in men and women with type 2 diabetes mellitus: a systematic review and meta-analysis.</t>
  </si>
  <si>
    <t>Bouthoorn, Selma; Gohar, Aisha; Valstar, Gideon; den Ruijter, Hester M; Reitsma, J B; Hoes, Arno W; Rutten, Frans H; ,</t>
  </si>
  <si>
    <t>https://pubmed.ncbi.nlm.nih.gov/29669564</t>
  </si>
  <si>
    <t>Type 2 diabetes mellitus (T2D) is associated with the development of left ventricular systolic dysfunction (LVSD) and heart failure with reduced ejection fraction (HFrEF). T2D patients with LVSD are at higher risk of mortality and morbidity than patients without LVSD, while progression of LVSD can be delayed or halted by the use of proven therapies. As estimates of the prevalence are scarce and vary considerably, the aim of this study was to retrieve summary estimates of the prevalence of LVSD/HFrEF in T2D and to see if there were any sex differences. A systematic search of Medline and Embase was performed to extract the prevalence of LVSD/HFrEF in T2D (17 studies, mean age 50.1 ± 6.3 to 71.5 ± 7.5), which were pooled using random-effects meta-analysis. The pooled prevalence of LVSD was higher in hospital populations (13 studies, n = 5835, 18% [95% CI 17-19%]), than in the general population (4 studies, n = 1707, 2% [95% CI 2-3%]). Seven studies in total reported sex-stratified prevalence estimates (men: 7% [95% CI 5-8%] vs. women: 1.3% [95% CI 0.0.2.2%]). The prevalence of HFrEF was available in one general population study (5.8% [95% CI 3.7.6%], men: 6.8% vs. women: 3.0%). The summary prevalence of LVSD is higher among T2D patients from a hospital setting compared with from the general population, with a higher prevalence in men than in women in both settings. The prevalence of HFrEF among T2D in the population was only assessed in a single study and again was higher among men than women.</t>
  </si>
  <si>
    <t>Ideal cardiovascular health among Ghanaian populations in three European countries and rural and urban Ghana: the RODAM study.</t>
  </si>
  <si>
    <t>van Nieuwenhuizen, Benjamin; Zafarmand, Mohammad Hadi; Beune, Erik; Meeks, Karlijn; Aikins, Ama de-Graft; Addo, Juliet; Owusu-Dabo, Ellis; Mockenhaupt, Frank P; Bahendeka, Silver; Schulze, Matthias B; Danquah, Ina; Spranger, Joachim; Klipstein-Grobusch, Kerstin; Appiah, Lambert Tetteh; Smeeth, Liam; Stronks, Karien; Agyemang, Charles</t>
  </si>
  <si>
    <t>https://pubmed.ncbi.nlm.nih.gov/29667109</t>
  </si>
  <si>
    <t>Cardiovascular health (CVH) is a construct defined by the American Heart Association (AHA) as part of its 2020 Impact Goal definition. CVH has, until now, not been evaluated in Sub-Saharan African populations. The aim of this study was to investigate differences in the prevalence of ideal CVH and its constituent metrics among Ghanaians living in rural and urban Ghana and Ghanaian migrants living in three European countries. The AHA definition of CVH is based on 7 metrics: smoking, body mass index, diet, physical activity, blood pressure, total cholesterol, and fasting plasma glucose. These were evaluated among 3510 Ghanaian adults (aged 25-70 years) residing in rural and urban Ghana and three European cities (Amsterdam, London and Berlin) in the multi-centre RODAM study. Differences between groups were assessed using logistic regression with adjustments for gender, age, and education. Only 0.3% of all participants met all 7 metrics of the AHA's definition of ideal CVH. Compared to rural Ghana (25.7%), the proportions and adjusted odds ratio (OR) of individuals who had 6-7 CVH metrics in the ideal category were substantially lower in urban Ghana, (7.5%; OR 0.204, 95% CI 0.15-0.29), Amsterdam (4.4%; 0.13, 0.08-0.19), Berlin (2.7%; 0.06, 0.03-0.11), and London (1.7%; 0.04, 0.02-0.09), respectively. The proportion of ideal CVH for the various metrics ranged from 96% for all sites in the smoking metric to below 6% in the diet metric. The proportion of ideal CVH is extremely low in Ghanaians, especially among those living in urban Ghana and Ghanaian migrants in Europe.</t>
  </si>
  <si>
    <t>Differential effects of donor-specific HLA antibodies in living versus deceased donor transplant.</t>
  </si>
  <si>
    <t>Kamburova, E G; Wisse, B W; Joosten, I; Allebes, W A; van der Meer, A; Hilbrands, L B; Baas, M C; Spierings, E; Hack, C E; van Reekum, F E; van Zuilen, A D; Verhaar, M C; Bots, M L; Drop, A C A D; Plaisier, L; Seelen, M A J; Sanders, J S F; Hepkema, B G; Lambeck, A J A; Bungener, L B; Roozendaal, C; Tilanus, M G J; Voorter, C E; Wieten, L; van Duijnhoven, E M; Gelens, M; Christiaans, M H L; van Ittersum, F J; Nurmohamed, S A; Lardy, N M; Swelsen, W; van der Pant, K A; van der Weerd, N C; Ten Berge, I J M; Bemelman, F J; Hoitsma, A; van der Boog, P J M; de Fijter, J W; Betjes, M G H; Heidt, S; Roelen, D L; Claas, F H; Otten, H G</t>
  </si>
  <si>
    <t>https://pubmed.ncbi.nlm.nih.gov/29464832</t>
  </si>
  <si>
    <t>The presence of donor-specific anti-HLA antibodies (DSAs) is associated with increased risk of graft failure after kidney transplant. We hypothesized that DSAs against HLA class I, class II, or both classes indicate a different risk for graft loss between deceased and living donor transplant. In this study, we investigated the impact of pretransplant DSAs, by using single antigen bead assays, on long-term graft survival in 3237 deceased and 1487 living donor kidney transplants with a negative complement-dependent crossmatch. In living donor transplants, we found a limited effect on graft survival of DSAs against class I or II antigens after transplant. Class I and II DSAs combined resulted in decreased 10-year graft survival (84% to 75%). In contrast, after deceased donor transplant, patients with class I or class II DSAs had a 10-year graft survival of 59% and 60%, respectively, both significantly lower than the survival for patients without DSAs (76%). The combination of class I and II DSAs resulted in a 10-year survival of 54% in deceased donor transplants. In conclusion, class I and II DSAs are a clear risk factor for graft loss in deceased donor transplants, while in living donor transplants, class I and II DSAs seem to be associated with an increased risk for graft failure, but this could not be assessed due to their low prevalence.</t>
  </si>
  <si>
    <t>Pediatric oncology as a Learning Health System: Ethical implications for best available treatment protocols.</t>
  </si>
  <si>
    <t>van der Graaf, Rieke; Dekking, Sara A; de Vries, Martine C; Zwaan, Christian Michel; van Delden, Johannes J M</t>
  </si>
  <si>
    <t>https://pubmed.ncbi.nlm.nih.gov/31245582</t>
  </si>
  <si>
    <t>Pediatric oncology is often considered as a field in which research and care are highly integrated. We believe that this integration can be seen as a so-called Learning Health System, a system in which research is considered an important means to continuously improve the practice of care. In order to substantiate our assumption of pediatric oncology as an LHS, we will analyze so-called "best available treatment protocols." These protocols always contain research elements, even if themain goal of these protocols is to treat children diagnosed with cancer. We will analyze the implications for ethical review and informed consent if these protocols had to function as exponents of pediatric oncology an LHS. An analysis of best available treatment protocols teaches us how these protocols integrate care and research and how these protocols can be seen as exponents of a system where care and research need no longer be sharply distinct practices. Further intervention in the field of pediatric oncology is essential to also meet the requirements for an ethically responsible LHS. Best available treatment protocols, which combine research and care, can be seen as examples of pediatric oncology as an LHS. However, in order to prevent that research elements in these protocols will be overlooked, we will have to find new ways to accommodate for the oversight of these protocols, such as multifaceted review and risk-adapted approaches. Moreover, informed consent process must be changed in order for patients to understand how care and research are integrated in these protocols.</t>
  </si>
  <si>
    <t>Risk thresholds for alcohol consumption: combined analysis of individual-participant data for 599 912 current drinkers in 83 prospective studies.</t>
  </si>
  <si>
    <t>Wood, Angela M; Kaptoge, Stephen; Butterworth, Adam S; Willeit, Peter; Warnakula, Samantha; Bolton, Thomas; Paige, Ellie; Paul, Dirk S; Sweeting, Michael; Burgess, Stephen; Bell, Steven; Astle, William; Stevens, David; Koulman, Albert; Selmer, Randi M; Verschuren, W M Monique; Sato, Shinichi; Njølstad, Inger; Woodward, Mark; Salomaa, Veikko; Nordestgaard, Børge G; Yeap, Bu B; Fletcher, Astrid; Melander, Olle; Kuller, Lewis H; Balkau, Beverley; Marmot, Michael; Koenig, Wolfgang; Casiglia, Edoardo; Cooper, Cyrus; Arndt, Volker; Franco, Oscar H; Wennberg, Patrik; Gallacher, John; de la Cámara, Agustín Gómez; Völzke, Henry; Dahm, Christina C; Dale, Caroline E; Bergmann, Manuela M; Crespo, Carlos J; van der Schouw, Yvonne T; Kaaks, Rudolf; Simons, Leon A; Lagiou, Pagona; Schoufour, Josje D; Boer, Jolanda M A; Key, Timothy J; Rodriguez, Beatriz; Moreno-Iribas, Conchi; Davidson, Karina W; Taylor, James O; Sacerdote, Carlotta; Wallace, Robert B; Quiros, J Ramon; Tumino, Rosario; Blazer, Dan G;</t>
  </si>
  <si>
    <t>https://pubmed.ncbi.nlm.nih.gov/29676281</t>
  </si>
  <si>
    <t>Low-risk limits recommended for alcohol consumption vary substantially across different national guidelines. To define thresholds associated with lowest risk for all-cause mortality and cardiovascular disease, we studied individual-participant data from 599 912 current drinkers without previous cardiovascular disease. We did a combined analysis of individual-participant data from three large-scale data sources in 19 high-income countries (the Emerging Risk Factors Collaboration, EPIC-CVD, and the UK Biobank). We characterised dose-response associations and calculated hazard ratios (HRs) per 100 g per week of alcohol (12·5 units per week) across 83 prospective studies, adjusting at least for study or centre, age, sex, smoking, and diabetes. To be eligible for the analysis, participants had to have information recorded about their alcohol consumption amount and status (ie, non-drinker vs current drinker), plus age, sex, history of diabetes and smoking status, at least 1 year of follow-up after baseline, and no baseline history of cardiovascular disease. The main analyses focused on current drinkers, whose baseline alcohol consumption was categorised into eight predefined groups according to the amount in grams consumed per week. We assessed alcohol consumption in relation to all-cause mortality, total cardiovascular disease, and several cardiovascular disease subtypes. We corrected HRs for estimated long-term variability in alcohol consumption using 152 640 serial alcohol assessments obtained some years apart (median interval 5·6 years [5th-95th percentile 1·04-13·5]) from 71 011 participants from 37 studies. In the 599 912 current drinkers included in the analysis, we recorded 40 310 deaths and 39 018 incident cardiovascular disease events during 5·4 million person-years of follow-up. For all-cause mortality, we recorded a positive and curvilinear association with the level of alcohol consumption, with the minimum mortality risk around or below 100 g per week. Alcohol consumption was roughly linearly associated with a higher risk of stroke (HR per 100 g per week higher consumption 1·14, 95% CI, 1·10-1·17), coronary disease excluding myocardial infarction (1·06, 1·00-1·11), heart failure (1·09, 1·03-1·15), fatal hypertensive disease (1·24, 1·15-1·33); and fatal aortic aneurysm (1·15, 1·03-1·28). By contrast, increased alcohol consumption was log-linearly associated with a lower risk of myocardial infarction (HR 0·94, 0·91-0·97). In comparison to those who reported drinking &gt;0-≤100 g per week, those who reported drinking &gt;100-≤200 g per week, &gt;200-≤350 g per week, or &gt;350 g per week had lower life expectancy at age 40 years of approximately 6 months, 1-2 years, or 4-5 years, respectively. In current drinkers of alcohol in high-income countries, the threshold for lowest risk of all-cause mortality was about 100 g/week. For cardiovascular disease subtypes other than myocardial infarction, there were no clear risk thresholds below which lower alcohol consumption stopped being associated with lower disease risk. These data support limits for alcohol consumption that are lower than those recommended in most current guidelines. UK Medical Research Council, British Heart Foundation, National Institute for Health Research, European Union Framework 7, and European Research Council.</t>
  </si>
  <si>
    <t>Predictive value for cardiovascular events of common carotid intima media thickness and its rate of change in individuals at high cardiovascular risk - Results from the PROG-IMT collaboration.</t>
  </si>
  <si>
    <t xml:space="preserve">Lorenz, Matthias W; Gao, Lu; Ziegelbauer, Kathrin; Norata, Giuseppe Danilo; Empana, Jean Philippe; Schmidtmann, Irene; Lin, Hung-Ju; McLachlan, Stela; Bokemark, Lena; Ronkainen, Kimmo; Amato, Mauro; Schminke, Ulf; Srinivasan, Sathanur R; Lind, Lars; Okazaki, Shuhei; Stehouwer, Coen D A; Willeit, Peter; Polak, Joseph F; Steinmetz, Helmuth; Sander, Dirk; Poppert, Holger; Desvarieux, Moise; Ikram, M Arfan; Johnsen, Stein Harald; Staub, Daniel; Sirtori, Cesare R; Iglseder, Bernhard; Beloqui, Oscar; Engström, Gunnar; Friera, Alfonso; Rozza, Francesco; Xie, Wuxiang; Parraga, Grace; Grigore, Liliana; Plichart, Matthieu; Blankenberg, Stefan; Su, Ta-Chen; Schmidt, Caroline; Tuomainen, Tomi-Pekka; Veglia, Fabrizio; Völzke, Henry; Nijpels, Giel; Willeit, Johann; Sacco, Ralph L; Franco, Oscar H; Uthoff, Heiko; Hedblad, Bo; Suarez, Carmen; Izzo, Raffaele; Zhao, Dong; Wannarong, Thapat; Catapano, Alberico; Ducimetiere, Pierre; Espinola-Klein, Christine; Chien, Kuo-Liong; Price, Jackie F; Bergström, </t>
  </si>
  <si>
    <t>https://pubmed.ncbi.nlm.nih.gov/29649236</t>
  </si>
  <si>
    <t>Carotid intima media thickness (CIMT) predicts cardiovascular (CVD) events, but the predictive value of CIMT change is debated. We assessed the relation between CIMT change and events in individuals at high cardiovascular risk. From 31 cohorts with two CIMT scans (total n = 89070) on average 3.6 years apart and clinical follow-up, subcohorts were drawn: (A) individuals with at least 3 cardiovascular risk factors without previous CVD events, (B) individuals with carotid plaques without previous CVD events, and (C) individuals with previous CVD events. Cox regression models were fit to estimate the hazard ratio (HR) of the combined endpoint (myocardial infarction, stroke or vascular death) per standard deviation (SD) of CIMT change, adjusted for CVD risk factors. These HRs were pooled across studies. In groups A, B and C we observed 3483, 2845 and 1165 endpoint events, respectively. Average common CIMT was 0.79mm (SD 0.16mm), and annual common CIMT change was 0.01mm (SD 0.07mm), both in group A. The pooled HR per SD of annual common CIMT change (0.02 to 0.43mm) was 0.99 (95% confidence interval: 0.95-1.02) in group A, 0.98 (0.93-1.04) in group B, and 0.95 (0.89-1.04) in group C. The HR per SD of common CIMT (average of the first and the second CIMT scan, 0.09 to 0.75mm) was 1.15 (1.07-1.23) in group A, 1.13 (1.05-1.22) in group B, and 1.12 (1.05-1.20) in group C. We confirm that common CIMT is associated with future CVD events in individuals at high risk. CIMT change does not relate to future event risk in high-risk individuals.</t>
  </si>
  <si>
    <t>Maternal Smoking during Pregnancy and Early Childhood and Development of Asthma and Rhinoconjunctivitis - a MeDALL Project.</t>
  </si>
  <si>
    <t>Thacher, Jesse D; Gehring, Ulrike; Gruzieva, Olena; Standl, Marie; Pershagen, Göran; Bauer, Carl-Peter; Berdel, Dietrich; Keller, Theresa; Koletzko, Sibylle; Koppelman, Gerard H; Kull, Inger; Lau, Susanne; Lehmann, Irina; Maier, Dieter; Schikowski, Tamara; Wahn, Ulrich; Wijga, Alet H; Heinrich, Joachim; Bousquet, Jean; Anto, Josep M; von Berg, Andrea; Melén, Erik; Smit, Henriette A; Keil, Thomas; Bergström, Anna</t>
  </si>
  <si>
    <t>https://pubmed.ncbi.nlm.nih.gov/29664587</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</si>
  <si>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</si>
  <si>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Pilot data on the association between social jetlag and obesity-related characteristics in Dutch adolescents over one year.</t>
  </si>
  <si>
    <t>de Zwart, Brenda J; Beulens, Joline W J; Elders, Petra; Rutters, Femke</t>
  </si>
  <si>
    <t>sleep medicine</t>
  </si>
  <si>
    <t>https://pubmed.ncbi.nlm.nih.gov/29880145</t>
  </si>
  <si>
    <t>Social jetlag, a form of chronic circadian misalignment, has previously been associated with obesity in adults. We aimed to investigate the association between social jetlag and obesity-related characteristics in Dutch adolescents over a 1-year period. We analysed data of 83 adolescents, who were recruited from a Dutch cohort born between the years 1990 and 1993. At the age of 16 and 17y, we determined anthropometric measurements, body composition, physical activity, hours of television use, and self-reported sleep duration. Using linear regression models, we assessed the association between social jetlag, defined as more than a 1-hour difference between the midpoint of sleep during weekdays and weekend days, and body mass index (BMI), body fat percentage, and waist circumference at baseline and after one year. We corrected the analysis for sex, sleep, physical activity, and hours of television use. At age 16y, we observed that social jetlag was highly prevalent, with only 13% of the adolescents reporting no social jetlag (≤1 h), whereas 29% and 58% reported a social jetlag of &gt;1-2 h and ≥2 h. In a cross-sectional analysis, we observed at age 16y a significant higher BMI in the group with no social jetlag, compared to the group with &gt;1- to 2-hour and ≥2-hour social jetlag after adjustment for sex (-0.81 kg/m&lt;sup&gt;2&lt;/sup&gt;, 95% confidence interval = -3.1 to 1.4; and -2.09 kg/m&lt;sup&gt;2&lt;/sup&gt;, 95% confidence interval = -4.1 to -0.1). This association remained significant after correction for the other possible confounders. No significant associations were observed between social jetlag at age 16y and changes in obesity-related characteristics over one year. Our pilot data showed that social jetlag is highly prevalent in adolescents, with social jetlag associated with a lower BMI; however, in this small group, social jetlag was not associated with changes in obesity-related characteristics over time.</t>
  </si>
  <si>
    <t>Search for heavy &lt;i&gt;ZZ&lt;/i&gt; resonances in the &lt;math xmlns="http://www.w3.org/1998/Math/MathML"&gt; &lt;mrow&gt;&lt;msup&gt;&lt;mi&gt;ℓ&lt;/mi&gt; &lt;mo&gt;+&lt;/mo&gt;&lt;/msup&gt; &lt;msup&gt;&lt;mi&gt;ℓ&lt;/mi&gt; &lt;mo&gt;-&lt;/mo&gt;&lt;/msup&gt; &lt;msup&gt;&lt;mi&gt;ℓ&lt;/mi&gt; &lt;mo&gt;+&lt;/mo&gt;&lt;/msup&gt; &lt;msup&gt;&lt;mi&gt;ℓ&lt;/mi&gt; &lt;mo&gt;-&lt;/mo&gt;&lt;/msup&gt; &lt;/mrow&gt; &lt;/math&gt; and &lt;math xmlns="http://www.w3.org/1998/Math/MathML"&gt; &lt;mrow&gt;&lt;msup&gt;&lt;mi&gt;ℓ&lt;/mi&gt; &lt;mo&gt;+&lt;/mo&gt;&lt;/msup&gt; &lt;msup&gt;&lt;mi&gt;ℓ&lt;/mi&gt; &lt;mo&gt;-&lt;/mo&gt;&lt;/msup&gt; &lt;mi&gt;ν&lt;/mi&gt; &lt;mover&gt;&lt;mrow&gt;&lt;mi&gt;ν&lt;/mi&gt;&lt;/mrow&gt; &lt;mrow&gt;&lt;mo&gt;¯&lt;/mo&gt;&lt;/mrow&gt; &lt;/mover&gt; &lt;/mrow&gt; &lt;/math&gt; final states using proton-proton collisions at &lt;math xmlns="http://www.w3.org/1998/Math/MathML"&gt; &lt;mrow&gt;&lt;msqrt&gt;&lt;mi&gt;s&lt;/mi&gt;&lt;/msqrt&gt; &lt;mo&gt;=&lt;/mo&gt; &lt;mn&gt;13&lt;/mn&gt;&lt;/mrow&gt; &lt;/math&gt;   &lt;math xmlns="http://www.w3.org/1998/Math/MathML"&gt;&lt;mtext&gt;TeV&lt;/mtext&gt;&lt;/math&gt;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</si>
  <si>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t>
  </si>
  <si>
    <t>https://pubmed.ncbi.nlm.nih.gov/31009022</t>
  </si>
  <si>
    <t>A search for heavy resonances decaying into a pair of &lt;math xmlns="http://www.w3.org/1998/Math/MathML"&gt;&lt;mi&gt;Z&lt;/mi&gt;&lt;/math&gt; bosons leading to &lt;math xmlns="http://www.w3.org/1998/Math/MathML"&gt; &lt;mrow&gt;&lt;msup&gt;&lt;mi&gt;ℓ&lt;/mi&gt; &lt;mo&gt;+&lt;/mo&gt;&lt;/msup&gt; &lt;msup&gt;&lt;mi&gt;ℓ&lt;/mi&gt; &lt;mo&gt;-&lt;/mo&gt;&lt;/msup&gt; &lt;msup&gt;&lt;mi&gt;ℓ&lt;/mi&gt; &lt;mo&gt;+&lt;/mo&gt;&lt;/msup&gt; &lt;msup&gt;&lt;mi&gt;ℓ&lt;/mi&gt; &lt;mo&gt;-&lt;/mo&gt;&lt;/msup&gt; &lt;/mrow&gt; &lt;/math&gt; and &lt;math xmlns="http://www.w3.org/1998/Math/MathML"&gt; &lt;mrow&gt;&lt;msup&gt;&lt;mi&gt;ℓ&lt;/mi&gt; &lt;mo&gt;+&lt;/mo&gt;&lt;/msup&gt; &lt;msup&gt;&lt;mi&gt;ℓ&lt;/mi&gt; &lt;mo&gt;-&lt;/mo&gt;&lt;/msup&gt; &lt;mi&gt;ν&lt;/mi&gt; &lt;mover&gt;&lt;mrow&gt;&lt;mi&gt;ν&lt;/mi&gt;&lt;/mrow&gt; &lt;mrow&gt;&lt;mo&gt;¯&lt;/mo&gt;&lt;/mrow&gt; &lt;/mover&gt; &lt;/mrow&gt; &lt;/math&gt; final states, where &lt;math xmlns="http://www.w3.org/1998/Math/MathML"&gt;&lt;mi&gt;ℓ&lt;/mi&gt;&lt;/math&gt; stands for either an electron or a muon, is presented. The search uses proton-proton collision data at a centre-of-mass energy of 13  &lt;math xmlns="http://www.w3.org/1998/Math/MathML"&gt;&lt;mtext&gt;TeV&lt;/mtext&gt;&lt;/math&gt; corresponding to an integrated luminosity of 36.1  &lt;math xmlns="http://www.w3.org/1998/Math/MathML"&gt;&lt;msup&gt;&lt;mtext&gt;fb&lt;/mtext&gt; &lt;mrow&gt;&lt;mo&gt;-&lt;/mo&gt; &lt;mn&gt;1&lt;/mn&gt;&lt;/mrow&gt; &lt;/msup&gt; &lt;/math&gt; collected with the ATLAS detector during 2015 and 2016 at the Large Hadron Collider. Different mass ranges for the hypothetical resonances are considered, depending on the final state and model. The different ranges span between 200 and 2000  &lt;math xmlns="http://www.w3.org/1998/Math/MathML"&gt;&lt;mtext&gt;GeV&lt;/mtext&gt;&lt;/math&gt; . The results are interpreted as upper limits on the production cross section of a spin-0 or spin-2 resonance. The upper limits for the spin-0 resonance are translated to exclusion contours in the context of Type-I and Type-II two-Higgs-doublet models, while those for the spin-2 resonance are used to constrain the Randall-Sundrum model with an extra dimension giving rise to spin-2 graviton excitations.</t>
  </si>
  <si>
    <t>Intra- and interobserver agreement for fetal cerebral measurements in 3D-ultrasonography.</t>
  </si>
  <si>
    <t>Albers, Maria E W A; Buisman, Erato T I A; Kahn, René S; Franx, Arie; Onland-Moret, N Charlotte; de Heus, Roel</t>
  </si>
  <si>
    <t>https://pubmed.ncbi.nlm.nih.gov/29637664</t>
  </si>
  <si>
    <t>The aim of this study is to evaluate intra- and interobserver agreement for measurement of intracranial, cerebellar, and thalamic volume with the Virtual Organ Computer-aided AnaLysis (VOCAL) technique in three-dimensional ultrasound images, in comparison to two-dimensional measurements of these brain structures. Three-dimensional ultrasound images of the brains of 80 fetuses at 20-24 weeks' gestational age were obtained from YOUth, a Dutch prospective cohort study. Two observers performed offline measurement of the occipitofrontal diameter, intracranial volume, transcerebellar diameter, cerebellar volume, and thalamic width, area, and volume, independently. VOCAL was used for calculation of the volumes. The two-way random, single measures intraclass correlation coefficient (ICC) was used for analysis of agreement and Bland-Altman plots were configured. Intra- and interobserver agreement was almost perfect for occipitofrontal diameter (intra ICC 0.88, 95% CI 0.82-0.92; inter ICC 0.91, 95% CI 0.85-0.94), intracranial volume (intra ICC 0.96, 95% CI 0.91-0.98; inter ICC 0.97, 95% CI 0.96-0.98) and transcerebellar diameter (intra ICC 0.91, 95% CI 0.86-0.94; inter ICC 0.86, 95% CI 0.78-0.910). For cerebellar volume, the intraobserver agreement was almost perfect (0.85, 95% CI 0.76-0.90), whereas the interobserver agreement was substantial (0.75, 95% CI 0.44-0.88). Agreement was only moderate for thalamic measurements. Bland-Altman plots for the volume measurements are normally distributed with acceptable mean differences and 95% limits of agreement. The intra- and interobserver agreement of the measurement of intracranial and cerebellar volume with VOCAL was almost perfect. These measurements are therefore reliable, and can be used to investigate fetal brain development. Thalamic measurements are not reliable enough.</t>
  </si>
  <si>
    <t>Optical correction of refractive error for preventing and treating eye symptoms in computer users.</t>
  </si>
  <si>
    <t>Heus, Pauline; Verbeek, Jos H; Tikka, Christina</t>
  </si>
  <si>
    <t>https://pubmed.ncbi.nlm.nih.gov/29633784</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</si>
  <si>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</si>
  <si>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Pessary for prevention of preterm birth in twin pregnancy with short cervix: 3-year follow-up study.</t>
  </si>
  <si>
    <t>van 't Hooft, J; van der Lee, J H; Opmeer, B C; van Wassenaer-Leemhuis, A G; van Baar, A L; Bekedam, D J; Steenis, L J P; Liem, S; Schuit, E; Cuijpers, C; Bleeker, E; Vinke, M E; Simons, N; de Graaf, I M; Mol, B W J; van de Beek, C</t>
  </si>
  <si>
    <t>https://pubmed.ncbi.nlm.nih.gov/29468770</t>
  </si>
  <si>
    <t>A recent randomized clinical trial (ProTWIN) showed that a cervical pessary prevented preterm birth and improved neonatal outcome in women with multiple pregnancy and cervical length (CL) &lt; 38 mm. In this follow-up study, the long-term developmental outcome of these children was evaluated at 3 years' corrected age. This was a follow-up study of ProTWIN, a multicenter trial conducted between 2009 and 2012 in which asymptomatic women with a multiple pregnancy were randomized to placement of a cervical pessary or no intervention. Current follow-up and analysis were limited to mothers with a mid-trimester CL &lt; 38 mm (78 women (157 children) in the pessary group and 55 women (111 children) in the control group). At 3 years of corrected age, surviving children were invited for a Bayley Scales of Infant and Toddler Development-third edition (Bayley-III) assessment. Death after randomization or neurodevelopmental disability (Bayley-III score of ≤ 85, 1 SD below mean) rates were compared between the pessary and control groups, according to the intention-to-treat principle and using multiple imputation for missing data. Mean Bayley-III scores in surviving children were also assessed. A linear mixed-effects model was used to adjust for correlation between children of one mother. From the time of entry in the ProTWIN trial until follow-up at 3 years of age, a total of 27 children had died (six (5%) in the pessary vs 21 (26%) in the control group; odds ratio (OR), 0.13; 95% CI, 0.04-0.48). Bayley-III outcomes were collected for 173/241 (72%) surviving children (114 (75%) in the pessary vs 59 (66%) in the control group). The cumulative incidence of death or survival with a neurodevelopmental disability was 12 (10%) in the pessary vs 23 (29%) in the control group (OR, 0.26; 95% CI, 0.09-0.73). No statistical or clinically relevant differences were found with respect to cognitive, language and motor development among surviving children between the groups. Comparable results were found after multiple imputation. In women with twin pregnancy and a CL &lt; 38 mm, the use of a cervical pessary strongly improved survival of the children without affecting neurodevelopment at 3 years' corrected age. Copyright © 2018 ISUOG. Published by John Wiley &amp; Sons Ltd.</t>
  </si>
  <si>
    <t>Surgical Site and Graft Infections in Endovascular and Open Abdominal Aortic Aneurysm Surgery.</t>
  </si>
  <si>
    <t>Langenberg, Jasper C M; Kluytmans, Jan A J W; de Groot, Hans G W; Ho, Gwan H; Veen, Eelco J; Buimer, M G; van der Laan, Lijckle</t>
  </si>
  <si>
    <t>surgical infections</t>
  </si>
  <si>
    <t>https://pubmed.ncbi.nlm.nih.gov/29630451</t>
  </si>
  <si>
    <t>Surgical site infections (SSIs) constitute one of many major complications after aortic aneurysm surgery and its details and outcome have not been evaluated extensively. This research evaluates the incidence and outcome of SSI and graft infection in open and endovascular abdominal aortic aneurysm surgery. A retrospective study was performed, including all patients who underwent surgery for aortoiliac aneurysmatic disease between January 2000 and December 2016 in the Amphia Hospital, Breda, The Netherlands. Surgical site infections were defined in accordance with criteria of the U.S. Centers for Disease Control and Prevention (CDC). Aortic graft infection was diagnosed by a combination of computed tomography imaging and microbiologic results. Between January 2000 and December 2016, 845 patients (mean age, 72.80 ± 7.15 y, 86.3% male) underwent abdominal aneurysm surgery (477 endovascular, 368 open). The total SSI rate was 3.1% (12 endovascular [2.5%], 14 open [3.8%], p = 0.318) with 0.8% deep SSI (26.9% of SSIs). No difference in SSIs was found between acute and elective surgery (2.9% vs. 3.1%, p = 1.000). Patients with SSI had a longer duration of stay (mean, 27.65 ± 30.74 d vs. 9.79 ± 12.50 d, p &lt; 0.0001) but no difference in 30-day or 1-year mortality. Twenty-four graft infections occurred (4.3% of open vs. 1.7% of endovascular surgery, p = 0.023) of which 20 (83.3%) required surgery. Two-year mortality was higher when graft infections occurred (33.3% vs. 16.3%, p = 0.046). Surgical site infections (odds ratio [OR] 7.10, 95% [CI] 2.10-23.98) and mycotic aneurysms (OR 9.38, 95% CI 1.78-54.19) are independent determinants for graft infections. This study shows that SSIs after endovascular aortic surgery are as common as after open aortic surgery. Furthermore, this study supports the concept that aortic graft infection is highly associated with SSIs and mycotic aneurysms. Studies evaluating the prevention or early diagnosis of graft infection after SSIs through intensified imaging follow-up or even long-term antibiotic treatment should be considered.</t>
  </si>
  <si>
    <t>2017 Update of ESC/EAS Task Force on practical clinical guidance for proprotein convertase subtilisin/kexin type 9 inhibition in patients with atherosclerotic cardiovascular disease or in familial hypercholesterolaemia.</t>
  </si>
  <si>
    <t>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t>
  </si>
  <si>
    <t>https://pubmed.ncbi.nlm.nih.gov/29045644</t>
  </si>
  <si>
    <t>Estimated individual lifetime benefit from PCSK9 inhibition in statin-treated patients with coronary artery disease.</t>
  </si>
  <si>
    <t>Kaasenbrood, Lotte; Ray, Kausik K; Boekholdt, S Matthijs; Smulders, Yvo M; LaRosa, John C; Kastelein, John J P; van der Graaf, Yolanda; Dorresteijn, Johannes A N; Visseren, Frank L J</t>
  </si>
  <si>
    <t>https://pubmed.ncbi.nlm.nih.gov/29622600</t>
  </si>
  <si>
    <t>In statin-treated patients with stable coronary artery disease (CAD), residual risk of cardiovascular events is partly explained by plasma levels of low-density lipoprotein cholesterol (LDL-C). This study aimed to estimate individual benefit of proprotein convertase subtilisin/kexin type 9 (PCSK9) inhibition in CAD patients already treated with high-dose statin. Individual lifetime benefit was estimated in months gain free of stroke or myocardial infarction (MI) until age 80 years. Predictions were based on two competing risk models developed in data from 4853 patients with CAD originating from the atorvastatin 80 mg arm of the Treating to New Targets (TNT) trial. The relative effect of PCSK9 inhibition was added to the models and was assumed based on average estimates from large clinical trials. We accounted for individual LDL-C levels, assuming 50% LDL-C reduction by PCSK9 inhibition and 21% cardiovascular risk reduction per mmol/L (39 mg/dL) LDL-C lowering. Estimated individual gain was &lt;6 months in 61% of the patients, 6-12 months in 28% of the patients and ≥12 months in 10% of the patients (median 5, quartiles 2-8 months). Highest estimated benefit was observed in younger patients (aged 40-60 years) with high risk factor burden, particularly if LDL-C levels were &gt;1.8 mmol/L (&gt;70 mg/dL). Estimated benefit was lowest (≤5 months) in older patients (≥70 years), in particular if LDL-C and other risk factors levels were low. The individual estimated lifetime benefit from PCSK9 inhibition in patients with stable CAD on high-dose statin varied from &lt;6 to ≥12 months free of stroke or MI. Highest benefit is expected in younger patients (age 40-60 years) with high risk factor burden and relatively high LDL-C levels. NCT00327691; Post-results.</t>
  </si>
  <si>
    <t>Comparison of prognostic models to predict the occurrence of colorectal cancer in asymptomatic individuals: a systematic literature review and external validation in the EPIC and UK Biobank prospective cohort studies.</t>
  </si>
  <si>
    <t>Smith, Todd; Muller, David C; Moons, Karel G M; Cross, Amanda J; Johansson, Mattias; Ferrari, Pietro; Fagherazzi, Guy; Peeters, Petra H M; Severi, Gianluca; Hüsing, Anika; Kaaks, Rudolf; Tjonneland, Anne; Olsen, Anja; Overvad, Kim; Bonet, Catalina; Rodriguez-Barranco, Miguel; Huerta, Jose Maria; Barricarte Gurrea, Aurelio; Bradbury, Kathryn E; Trichopoulou, Antonia; Bamia, Christina; Orfanos, Philippos; Palli, Domenico; Pala, Valeria; Vineis, Paolo; Bueno-de-Mesquita, Bas; Ohlsson, Bodil; Harlid, Sophia; Van Guelpen, Bethany; Skeie, Guri; Weiderpass, Elisabete; Jenab, Mazda; Murphy, Neil; Riboli, Elio; Gunter, Marc J; Aleksandrova, Krasimira Jekova; Tzoulaki, Ioanna</t>
  </si>
  <si>
    <t>gut</t>
  </si>
  <si>
    <t>https://pubmed.ncbi.nlm.nih.gov/29615487</t>
  </si>
  <si>
    <t>To systematically identify and validate published colorectal cancer risk prediction models that do not require invasive testing in two large population-based prospective cohorts. Models were identified through an update of a published systematic review and validated in the European Prospective Investigation into Cancer and Nutrition (EPIC) and the UK Biobank. The performance of the models to predict the occurrence of colorectal cancer within 5 or 10 years after study enrolment was assessed by discrimination (C-statistic) and calibration (plots of observed vs predicted probability). The systematic review and its update identified 16 models from 8 publications (8 colorectal, 5 colon and 3 rectal). The number of participants included in each model validation ranged from 41 587 to 396 515, and the number of cases ranged from 115 to 1781. Eligible and ineligible participants across the models were largely comparable. Calibration of the models, where assessable, was very good and further improved by recalibration. The C-statistics of the models were largely similar between validation cohorts with the highest values achieved being 0.70 (95% CI 0.68 to 0.72) in the UK Biobank and 0.71 (95% CI 0.67 to 0.74) in EPIC. Several of these non-invasive models exhibited good calibration and discrimination within both external validation populations and are therefore potentially suitable candidates for the facilitation of risk stratification in population-based colorectal screening programmes. Future work should both evaluate this potential, through modelling and impact studies, and ascertain if further enhancement in their performance can be obtained.</t>
  </si>
  <si>
    <t>Cancer patients' intentions towards receiving unsolicited genetic information obtained using next-generation sequencing.</t>
  </si>
  <si>
    <t>Bijlsma, Rhodé M; Wessels, Hester; Wouters, Roel H P; May, Anne M; Ausems, Margreet G E M; Voest, Emile E; Bredenoord, Annelien L</t>
  </si>
  <si>
    <t>familial cancer</t>
  </si>
  <si>
    <t>https://pubmed.ncbi.nlm.nih.gov/28852913</t>
  </si>
  <si>
    <t>Next-generation sequencing (NGS) can be used to generate information about a patient's tumour and personal genome. This powerful diagnostic tool provides solicited and unsolicited hereditary genetic (risk) information that could have consequences for cancer patients and their quality of life. A well-defined approach for returning appropriate genetic risk information is needed in personalized cancer care. A qualitative design with semi-structured interviews was used. We conducted interviews with 24 Dutch patients with different types of cancer, both NGS-experienced and NGS-inexperienced, to learn their intentions, needs and preferences towards receiving unsolicited genetic information obtained using NGS. Almost all participants had a positive attitude towards receiving unsolicited findings. After receiving comprehensive background information on NGS, including a binning model of four categories of unsolicited findings, most participants preferred to receive only subsets of genetic information. Their main concern was their own and others' (including family members) ability to cope with (the increased risk of having) a genetic disorder. Providing background information gave cancer patients the opportunity to select subsets of findings and increased their ability to make an informed choice. Special attention is needed for social and emotional factors to support the patients themselves and when communicating test results with their family members.</t>
  </si>
  <si>
    <t>Catheter-based renal denervation as therapy for chronic severe kidney-related pain.</t>
  </si>
  <si>
    <t>de Jager, Rosa L; Casteleijn, Niek F; de Beus, Esther; Bots, Michiel L; Vonken, Evert-Jan E; Gansevoort, Ron T; Blankestijn, Peter J</t>
  </si>
  <si>
    <t>https://pubmed.ncbi.nlm.nih.gov/28645206</t>
  </si>
  <si>
    <t>Loin pain haematuria syndrome (LPHS) and autosomal dominant polycystic kidney disease (ADPKD) are the most important non-urological conditions to cause chronic severe kidney-related pain. Multidisciplinary programmes and surgical methods have shown inconsistent results with respect to pain reduction. Percutaneous catheter-based renal denervation (RDN) could be a less invasive treatment option for these patients. Our aim was to explore the change in perceived pain and use of analgesic medication from baseline to 3, 6 and 12 months after RDN. Patients with LPHS or ADPKD, who experienced kidney-related pain ≥3 months with a visual analogue scale (VAS) score ≥ 50/100 could be included. Percutaneous RDN was performed with a single-electrode radiofrequency ablation catheter. RDN was performed in 11 patients (6 with LPHS and 5 with ADPKD). Perceived pain declined in the whole group by 23 mm (P = 0.012 for the total group). In patients with LPHS and ADPKD, the median daily defined dosage of analgesic medication decreased from 1.6 [interquartile range (IQR) 0.7-2.3] and 1.4 (IQR 0.0-7.4) at baseline to 0.3 (IQR 0.0-1.9; P = 0.138) and 0.0 (IQR 0.0-0.8; P = 0.285) at 12 months, respectively. Mean estimated glomerular filtration rate decreased in the whole group by 5.4 mL/min/1.73 m2 at 6 months compared with baseline (P = 0.163). These results suggest that percutaneous catheter-based RDN reduces pain complaints and the use of analgesic medication in patients with LPHS or ADPKD. The present results can serve as the rationale for a larger, preferably randomized (sham) controlled study.</t>
  </si>
  <si>
    <t>Clinical Trial Strategies to Compare Protons With Photons.</t>
  </si>
  <si>
    <t>Langendijk, Johannes A; Boersma, Liesbeth J; Rasch, Coen R N; van Vulpen, Marco; Reitsma, Johannes B; van der Schaaf, Arjen; Schuit, Ewoud</t>
  </si>
  <si>
    <t>seminars in radiation oncology</t>
  </si>
  <si>
    <t>https://pubmed.ncbi.nlm.nih.gov/29735194</t>
  </si>
  <si>
    <t>The favorable beam properties of protons can be translated into clinical benefits by target dose escalation to improve local control without enhancing unacceptable radiation toxicity or to spare normal tissues to prevent radiation-induced side effects without jeopardizing local tumor control. For the clinical validation of the added value of protons to improve local control, randomized controlled trials are required. For the clinical validation of the added value of protons to prevent side effects, both model-based validation or randomized controlled trials can be used. Model-based patient selection for proton therapy is crucial, independent of the validation approach. Combining these approaches in rapid learning health care systems is expected to yield the most efficient and scientifically sound way to continuously improve patient selection and the therapeutic window, eventually leading to more cancer survivors with better quality of life.</t>
  </si>
  <si>
    <t>Double trouble: modelling the impact of low risk perception and high-risk sexual behaviour on chlamydia transmission.</t>
  </si>
  <si>
    <t>journal of the royal society interface</t>
  </si>
  <si>
    <t>https://pubmed.ncbi.nlm.nih.gov/29618527</t>
  </si>
  <si>
    <t>Risk perception plays an important role in testing behaviour for sexually transmitted infections, but is rarely included in mathematical models exploring the impact of testing. We explored the impact of incorporating sexual behaviour (SB), risk perception (RP) and differential testing uptake in SB-RP groups on prevalence, using chlamydia as an example. We developed a pair model with a susceptible-infected-susceptible structure representing heterosexuals aged 16-26 years. The effect of testing on chlamydia prevalence was compared between a model with only SB (SB model) and a model with SB and RP (SB-RP model). In the SB-RP model, a scenario without differential testing uptake in SB-RP groups was compared to scenarios with differential testing uptake in SB-RP groups. Introducing testing into the SB-RP model resulted in a slightly smaller reduction in chlamydia prevalence (-38.0%) as compared to the SB model (-40.4%). In the SB-RP model, the scenario without differential testing uptake in SB-RP groups overestimated the reduction in chlamydia prevalence (with 4.8%), especially in the group with high SB and low RP (19.8%). We conclude that mathematical models incorporating RP and differential testing uptake in SB-RP groups improve the impact assessment of testing and treatment on chlamydia prevalence.</t>
  </si>
  <si>
    <t>Cohort Profile: The Hoorn Studies.</t>
  </si>
  <si>
    <t>Rutters, Femke; Nijpels, Giel; Elders, Petra; Stehouwer, Coen D A; van der Heijden, Amber A; Groeneveld, Lenka; 't Hart, Leen M; Dekker, Jacqueline M; Beulens, Joline W J</t>
  </si>
  <si>
    <t>https://pubmed.ncbi.nlm.nih.gov/29244153</t>
  </si>
  <si>
    <t>&lt;sup&gt;18&lt;/sup&gt;F-Fluoroestradiol Tumor Uptake Is Heterogeneous and Influenced by Site of Metastasis in Breast Cancer Patients.</t>
  </si>
  <si>
    <t>Nienhuis, Hilde H; van Kruchten, Michel; Elias, Sjoerd G; Glaudemans, Andor W J M; de Vries, Erik F J; Bongaerts, Alfons H H; Schröder, Carolien P; de Vries, Elisabeth G E; Hospers, Geke A P</t>
  </si>
  <si>
    <t>https://pubmed.ncbi.nlm.nih.gov/29602822</t>
  </si>
  <si>
    <t>Heterogeneity of estrogen receptor (ER) expression in breast cancer is recognized. However, knowledge about varying expression across metastases and surrounding normal tissue in patients is scarce. We therefore analyzed 16α-&lt;sup&gt;18&lt;/sup&gt;F-fluoro-17β-estradiol (&lt;sup&gt;18&lt;/sup&gt;F-FES) PET to assess ER expression heterogeneity. &lt;b&gt;Methods:&lt;/b&gt;&lt;sup&gt;18&lt;/sup&gt;F-FES PET on accredited PET/CT camera systems performed in patients with ER-positive metastatic breast cancer November 2009-December 2014 was analyzed. Lesions with an SUV&lt;sub&gt;max&lt;/sub&gt; 1.5 or more were considered ER-positive, but liver lesions were excluded given high background liver signal. CT lesions with a diameter 10 mm or more were included. We used multilevel linear-mixed models to evaluate determinants of &lt;sup&gt;18&lt;/sup&gt;F-FES uptake. Cluster analysis was performed with different imaging features per patient as input variables. &lt;b&gt;Results:&lt;/b&gt; In 91 patients, 1,617 metastases in bone (78%), lymph node (15%), lung (4%), or liver (2%) were identified by CT (11.2%), PET (56.6%), or both (32.2%). Median tumor uptake varied greatly between patients (SUV&lt;sub&gt;max&lt;/sub&gt;, 0.54-14.21). &lt;sup&gt;18&lt;/sup&gt;F-FES uptake in bone metastases was higher than in lymph node and lung metastases (geometric mean SUV&lt;sub&gt;max&lt;/sub&gt;, 2.61 [95% confidence interval (CI), 2.31-2.94] vs. 2.29 [95% CI, 2.00-2.61; &lt;i&gt;P&lt;/i&gt; &lt; 0.001] vs. 2.23 [95% CI, 1.88-2.61; &lt;i&gt;P&lt;/i&gt; = 0.021]), respectively. Cluster analysis identified 3 subgroups of patients characterized by particular metastatic sites and &lt;sup&gt;18&lt;/sup&gt;F-FES PET/CT features. SUV&lt;sub&gt;max&lt;/sub&gt; in surrounding normal tissue, highest in the bones, varied per patient (range, 0.7-3.3). &lt;b&gt;Conclusion:&lt;/b&gt;&lt;sup&gt;18&lt;/sup&gt;F-FES uptake is heterogeneous in tumor and normal tissue and influenced by anatomic site. Different patterns can be distinguished, possibly identifying biologically relevant ER-positive metastatic breast cancer patient subgroups.</t>
  </si>
  <si>
    <t>The effectiveness of an emotion-focused educational programme in reducing diabetes distress in adults with Type 2 diabetes mellitus (VEMOFIT): a cluster randomized controlled trial.</t>
  </si>
  <si>
    <t>Chew, B H; Vos, R C; Stellato, R K; Ismail, M; Rutten, G E H M</t>
  </si>
  <si>
    <t>https://pubmed.ncbi.nlm.nih.gov/29505098</t>
  </si>
  <si>
    <t>To evaluate the effectiveness of a brief, value-based emotion-focused educational programme (VEMOFIT) in Malay adults with Type 2 diabetes mellitus compared with a programme of active listening to participants' emotional experiences, social support and their opinion on the health clinic diabetes care services (attention control). Malay adults with severe diabetes distress [Diabetes Distress Scale (DDS-17) mean score ≥ 3] were included. VEMOFIT consisted of four biweekly group sessions, a booster session after 3 months and a follow-up 6 months post intervention. The attention control programme consisted of three sessions over the same period. Outcomes included diabetes distress, depressive symptoms, self-efficacy and disease control. Required total sample size was 165. Participants (n = 124) were randomized to either VEMOFIT (n = 53) or the attention control programme (n = 71). Participants had a mean (sd) age of 55.7 (9.7) years, median diabetes duration of 7.0 (8.0) years and mean HbA&lt;sub&gt;1c&lt;/sub&gt; level of 82 mmol/mol (9.7%). The mean DDS-17 level decreased significantly in both the VEMOFIT and the attention control programmes (3.4 to 2.9 vs. 3.1 to 2.7, respectively). The adjusted between-group DDS-17 difference was not significant [-0.01, 95% confidence interval (CI) -0.38, 0.35]. The proportion of individuals with severe diabetes distress decreased in both groups, from 89% to 47% vs. 69% to 39% (odds ratio 0.88; 95% CI 0.26, 2.90). Other outcomes did not differ between groups. Both interventions decreased diabetes distress significantly. The theory-based VEMOFIT programme was not superior to the attention control programme. The latter approach is a simpler way to decrease severe diabetes distress (Trial registration: NCT02730078; NMRR-15-1144-24803).</t>
  </si>
  <si>
    <t>Pneumonia risk of people living close to goat and poultry farms - Taking GPS derived mobility patterns into account.</t>
  </si>
  <si>
    <t>Klous, Gijs; Smit, Lidwien A M; Freidl, Gudrun S; Borlée, Floor; van der Hoek, Wim; IJzermans, C Joris; Kretzschmar, Mirjam E E; Heederik, Dick J J; Coutinho, Roel A; Huss, Anke</t>
  </si>
  <si>
    <t>https://pubmed.ncbi.nlm.nih.gov/29573654</t>
  </si>
  <si>
    <t>We previously observed an increased incidence of pneumonia in persons living near goat and poultry farms, using animal presence around the home to define exposure. However, it is unclear to what extent individual mobility and time spent outdoors close to home contributes to this increased risk. Therefore, the aim of the current study was to investigate the role of mobility patterns and time spent outdoors in the vicinity of goat or poultry farms in relation to pneumonia risk. In a rural Dutch cohort, 941 members logged their mobility using GPS trackers for 7 days. Pneumonia was diagnosed in 83 subjects (participants reported that pneumonia had been diagnosed by a medical doctor, or recorded in EMR from general practitioners, 2011-2014). We used logistic regression to evaluate pneumonia-risk by presence of goat farms within 500 and 1000 m around the home and around GPS-tracks (only non-motorised mobility), also we evaluated whether more time spent outdoors increased pneumonia-risks. We observed a clearly increased risk of pneumonia among people living in close proximity to goat farms, ORs increased with closer distances of homes to farms (500 m: 6.2 (95% CI 2.2-16.5) 1000 m: 2.5 (1.4-4.3)) The risk increased for individuals who spent more time outdoors close to home, but only if homes were close to goat farms (within 500 m and often outdoors: 12.7 (3.6-45.4) less often: 2.0 (0.3-9.2), no goat farms and often outdoors: 1.0 (0.6-1.6)). For poultry we found no increased risks. Pneumonia-risks increased when people lived near goat farms, especially when they spent more time outdoors, mobility does not seem to add to these risks.</t>
  </si>
  <si>
    <t>Response to Letter to the Editor Regarding "Yield of Computed Tomography (CT) Angiography in Patients with Acute Headache, Normal Neurological Examination, and Normal Non Contrast CT: A Meta-Analysis.".</t>
  </si>
  <si>
    <t>Alons, Imanda M E; Goudsmit, Ben F J; Jellema, Korne; van Walderveen, Marianne A A; Wermer, Marieke J H; Algra, Ale</t>
  </si>
  <si>
    <t>https://pubmed.ncbi.nlm.nih.gov/29602615</t>
  </si>
  <si>
    <t>Improved prediction of gestational hypertension by inclusion of placental growth factor and pregnancy associated plasma protein-a in a sample of Ghanaian women.</t>
  </si>
  <si>
    <t>Antwi, Edward; Klipstein-Grobusch, Kerstin; Browne, Joyce L; Schielen, Peter C; Koram, Kwadwo A; Agyepong, Irene A; Grobbee, Diederick E</t>
  </si>
  <si>
    <t>https://pubmed.ncbi.nlm.nih.gov/29587776</t>
  </si>
  <si>
    <t>We assessed whether adding the biomarkers Pregnancy Associated Plasma Protein-A (PAPP-A) and Placental Growth Factor (PlGF) to maternal clinical characteristics improved the prediction of a previously developed model for gestational hypertension in a cohort of Ghanaian pregnant women. This study was nested in a prospective cohort of 1010 pregnant women attending antenatal clinics in two public hospitals in Accra, Ghana. Pregnant women who were normotensive, at a gestational age at recruitment of between 8 and 13 weeks and provided a blood sample for biomarker analysis were eligible for inclusion. From serum, biomarkers PAPP-A and PlGF concentrations were measured by the AutoDELFIA immunoassay method and multiple of the median (MoM) values corrected for gestational age (PAPP-A and PlGF) and maternal weight (PAPP-A) were calculated. To obtain prediction models, these biomarkers were included with clinical predictors maternal weight, height, diastolic blood pressure, a previous history of gestational hypertension, history of hypertension in parents and parity in a logistic regression to obtain prediction models. The Area Under the Receiver Operating Characteristic Curve (AUC) was used to assess the predictive ability of the models. Three hundred and seventy three women participated in this study. The area under the curve (AUC) of the model with only maternal clinical characteristics was 0.75 (0.64-0.86) and 0.89(0.73-1.00) for multiparous and primigravid women respectively. The AUCs after inclusion of both PAPP-A and PlGF were 0.82 (0.74-0.89) and 0.95 (0.87-1.00) for multiparous and primigravid women respectively. Adding the biomarkers PAPP-A and PlGF to maternal characteristics to a prediction model for gestational hypertension in a cohort of Ghanaian pregnant women improved predictive ability. Further research using larger sample sizes in similar settings to validate these findings is recommended.</t>
  </si>
  <si>
    <t>Prognosis for patients with amyotrophic lateral sclerosis: development and validation of a personalised prediction model.</t>
  </si>
  <si>
    <t>Westeneng, Henk-Jan; Debray, Thomas P A; Visser, Anne E; van Eijk, Ruben P A; Rooney, James P K; Calvo, Andrea; Martin, Sarah; McDermott, Christopher J; Thompson, Alexander G; Pinto, Susana; Kobeleva, Xenia; Rosenbohm, Angela; Stubendorff, Beatrice; Sommer, Helma; Middelkoop, Bas M; Dekker, Annelot M; van Vugt, Joke J F A; van Rheenen, Wouter; Vajda, Alice; Heverin, Mark; Kazoka, Mbombe; Hollinger, Hannah; Gromicho, Marta; Körner, Sonja; Ringer, Thomas M; Rödiger, Annekathrin; Gunkel, Anne; Shaw, Christopher E; Bredenoord, Annelien L; van Es, Michael A; Corcia, Philippe; Couratier, Philippe; Weber, Markus; Grosskreutz, Julian; Ludolph, Albert C; Petri, Susanne; de Carvalho, Mamede; Van Damme, Philip; Talbot, Kevin; Turner, Martin R; Shaw, Pamela J; Al-Chalabi, Ammar; Chiò, Adriano; Hardiman, Orla; Moons, Karel G M; Veldink, Jan H; van den Berg, Leonard H</t>
  </si>
  <si>
    <t>https://pubmed.ncbi.nlm.nih.gov/29598923</t>
  </si>
  <si>
    <t>Amyotrophic lateral sclerosis (ALS) is a relentlessly progressive, fatal motor neuron disease with a variable natural history. There are no accurate models that predict the disease course and outcomes, which complicates risk assessment and counselling for individual patients, stratification of patients for trials, and timing of interventions. We therefore aimed to develop and validate a model for predicting a composite survival endpoint for individual patients with ALS. We obtained data for patients from 14 specialised ALS centres (each one designated as a cohort) in Belgium, France, the Netherlands, Germany, Ireland, Italy, Portugal, Switzerland, and the UK. All patients were diagnosed in the centres after excluding other diagnoses and classified according to revised El Escorial criteria. We assessed 16 patient characteristics as potential predictors of a composite survival outcome (time between onset of symptoms and non-invasive ventilation for more than 23 h per day, tracheostomy, or death) and applied backward elimination with bootstrapping in the largest population-based dataset for predictor selection. Data were gathered on the day of diagnosis or as soon as possible thereafter. Predictors that were selected in more than 70% of the bootstrap resamples were used to develop a multivariable Royston-Parmar model for predicting the composite survival outcome in individual patients. We assessed the generalisability of the model by estimating heterogeneity of predictive accuracy across external populations (ie, populations not used to develop the model) using internal-external cross-validation, and quantified the discrimination using the concordance (c) statistic (area under the receiver operator characteristic curve) and calibration using a calibration slope. Data were collected between Jan 1, 1992, and Sept 22, 2016 (the largest data-set included data from 1936 patients). The median follow-up time was 97·5 months (IQR 52·9-168·5). Eight candidate predictors entered the prediction model: bulbar versus non-bulbar onset (univariable hazard ratio [HR] 1·71, 95% CI 1·63-1·79), age at onset (1·03, 1·03-1·03), definite versus probable or possible ALS (1·47, 1·39-1·55), diagnostic delay (0·52, 0·51-0·53), forced vital capacity (HR 0·99, 0·99-0·99), progression rate (6·33, 5·92-6·76), frontotemporal dementia (1·34, 1·20-1·50), and presence of a C9orf72 repeat expansion (1·45, 1·31-1·61), all p&lt;0·0001. The c statistic for external predictive accuracy of the model was 0·78 (95% CI 0·77-0·80; 95% prediction interval [PI] 0·74-0·82) and the calibration slope was 1·01 (95% CI 0·95-1·07; 95% PI 0·83-1·18). The model was used to define five groups with distinct median predicted (SE) and observed (SE) times in months from symptom onset to the composite survival outcome: very short 17·7 (0·20), 16·5 (0·23); short 25·3 (0·06), 25·2 (0·35); intermediate 32·2 (0·09), 32·8 (0·46); long 43·7 (0·21), 44·6 (0·74); and very long 91·0 (1·84), 85·6 (1·96). We have developed an externally validated model to predict survival without tracheostomy and non-invasive ventilation for more than 23 h per day in European patients with ALS. This model could be applied to individualised patient management, counselling, and future trial design, but to maximise the benefit and prevent harm it is intended to be used by medical doctors only. Netherlands ALS Foundation.</t>
  </si>
  <si>
    <t>A cost of illness study of hypoglycaemic events in insulin-treated diabetes in the Netherlands.</t>
  </si>
  <si>
    <t>de Groot, Saskia; Enters-Weijnen, Catherine F; Geelhoed-Duijvestijn, Petronella H; Kanters, Tim A</t>
  </si>
  <si>
    <t>https://pubmed.ncbi.nlm.nih.gov/29581204</t>
  </si>
  <si>
    <t>Patients with diabetes mellitus are at a risk for hypoglycaemia. Besides the burden of hypoglycaemia for patients, hypoglycaemia poses an economic burden to society. The aim of this study was to calculate the per patient societal costs of hypoglycaemia among patients with type1 diabetes (T1DM) and type 2 diabetes (T2DM) on insulin therapy in the Netherlands. To calculate the costs of hypoglycaemia, data from the Global Hypoglycaemia Assessment Tool (HAT) study were used. Dutch patients were selected from the HAT study database and data regarding healthcare resource use, informal care use and productivity losses were combined with Dutch unit costs to calculate the per patient 4-week costs of patients experiencing hypoglycaemia. Besides these 4-week costs, costs per hypoglycaemic event were calculated by dividing the study population total 4-week costs by the total number of events in this period. Mean 4-week total costs of hypoglycaemia amounted to €163 (SD, €870) in T1DM and €134 (SD, €364) in T2DM. While productivity costs were the most important cost driver of hypoglycaemia in patients with T1DM (accounting for 72% of the total costs), costs of hypoglycaemia in patients with T2DM were almost entirely driven by costs within the healthcare sector (accounting for 98% of the total costs). Mean costs of a severe hypoglycaemic event were €828 and €508 in T1DM and T2DM, respectively, whereas mean costs of a non-severe event were almost zero. This study showed that the economic burden of severe hypoglycaemia is substantial. The prevention of hypoglycaemia could therefore not only reduce the burden for patients, but also the economic burden to society.</t>
  </si>
  <si>
    <t>Acute Brain Dysfunction: Development and Validation of a Daily Prediction Model.</t>
  </si>
  <si>
    <t>Marra, Annachiara; Pandharipande, Pratik P; Shotwell, Matthew S; Chandrasekhar, Rameela; Girard, Timothy D; Shintani, Ayumi K; Peelen, Linda M; Moons, Karl G M; Dittus, Robert S; Ely, E Wesley; Vasilevskis, Eduard E</t>
  </si>
  <si>
    <t>https://pubmed.ncbi.nlm.nih.gov/29580772</t>
  </si>
  <si>
    <t>The goal of this study was to develop and validate a dynamic risk model to predict daily changes in acute brain dysfunction (ie, delirium and coma), discharge, and mortality in ICU patients. Using data from a multicenter prospective ICU cohort, a daily acute brain dysfunction-prediction model (ABD-pm) was developed by using multinomial logistic regression that estimated 15 transition probabilities (from one of three brain function states [normal, delirious, or comatose] to one of five possible outcomes [normal, delirious, comatose, ICU discharge, or died]) using baseline and daily risk factors. Model discrimination was assessed by using predictive characteristics such as negative predictive value (NPV). Calibration was assessed by plotting empirical vs model-estimated probabilities. Internal validation was performed by using a bootstrap procedure. Data were analyzed from 810 patients (6,711 daily transitions). The ABD-pm included individual risk factors: mental status, age, preexisting cognitive impairment, baseline and daily severity of illness, and daily administration of sedatives. The model yielded very high NPVs for "next day" delirium (NPV: 0.823), coma (NPV: 0.892), normal cognitive state (NPV: 0.875), ICU discharge (NPV: 0.905), and mortality (NPV: 0.981). The model demonstrated outstanding calibration when predicting the total number of patients expected to be in any given state across predicted risk. We developed and internally validated a dynamic risk model that predicts the daily risk for one of three cognitive states, ICU discharge, or mortality. The ABD-pm may be useful for predicting the proportion of patients for each outcome state across entire ICU populations to guide quality, safety, and care delivery activities.</t>
  </si>
  <si>
    <t>Managing unsolicited findings in genomics: A qualitative interview study with cancer patients.</t>
  </si>
  <si>
    <t>Bijlsma, R M; Wouters, R H P; Wessels, H; May, A M; Ausems, M G E M; Voest, E E; Bredenoord, A L</t>
  </si>
  <si>
    <t>https://pubmed.ncbi.nlm.nih.gov/29471587</t>
  </si>
  <si>
    <t>Next-generation sequencing (NGS) is increasingly being employed in the context of personalized cancer treatment. Anticipating unsolicited findings that may arise during a NGS procedure is a key consideration; however, little is known about cancer patients' intentions, needs, and preferences concerning the return of unsolicited findings. A qualitative design using individual semi-structured interviews with 24 cancer patients was utilized to explore patients' decisions on whether to receive unsolicited findings from NGS. These interviews were subsequently analyzed using the constant comparative method to develop codes and themes. We identified 4 interrelated themes that emerged in the context of the return of unsolicited findings. First, we describe how cancer patients expressed a strong need to control their lives. Second, we show the importance of family dynamics. Third, the NGS procedure regarding unsolicited findings is perceived as cognitively complex, and fourth, the procedure is also considered emotionally complex. The results of our study contribute to a better understanding of what cancer patients consider important and what may motivate and influence them when making decisions on the disclosure of unsolicited findings following NGS. We show how Joel Feinberg's classification of autonomy may help clinicians to better understand cancer patients' desire for autonomous decision making while also acknowledging the emotional and cognitive difficulties regarding the disclosure of unsolicited findings. These insights could be helpful for clinicians to guide patients through this complex process.</t>
  </si>
  <si>
    <t>Development of diagnostic prediction tools for bacteraemia caused by third-generation cephalosporin-resistant enterobacteria in suspected bacterial infections: a nested case-control study.</t>
  </si>
  <si>
    <t>Rottier, W C; van Werkhoven, C H; Bamberg, Y R P; Dorigo-Zetsma, J W; van de Garde, E M; van Hees, B C; Kluytmans, J A J W; Kuck, E M; van der Linden, P D; Prins, J M; Thijsen, S F T; Verbon, A; Vlaminckx, B J M; Ammerlaan, H S M; Bonten, M J M</t>
  </si>
  <si>
    <t>https://pubmed.ncbi.nlm.nih.gov/29581056</t>
  </si>
  <si>
    <t>Current guidelines for the empirical antibiotic treatment predict the presence of third-generation cephalosporin-resistant enterobacterial bacteraemia (3GCR-E-Bac) in case of infection only poorly, thereby increasing unnecessary carbapenem use. We aimed to develop diagnostic scoring systems which can better predict the presence of 3GCR-E-Bac. A retrospective nested case-control study was performed that included patients ≥18 years of age from eight Dutch hospitals in whom blood cultures were obtained and intravenous antibiotics were initiated. Each patient with 3GCR-E-Bac was matched to four control infection episodes within the same hospital, based on blood-culture date and onset location (community or hospital). Starting from 32 commonly described clinical risk factors at infection onset, selection strategies were used to derive scoring systems for the probability of community- and hospital-onset 3GCR-E-Bac. 3GCR-E-Bac occurred in 90 of 22 506 (0.4%) community-onset infections and in 82 of 8110 (1.0%) hospital-onset infections, and these cases were matched to 360 community-onset and 328 hospital-onset control episodes. The derived community-onset and hospital-onset scoring systems consisted of six and nine predictors, respectively. With selected score cut-offs, the models identified 3GCR-E-Bac with sensitivity equal to existing guidelines (community-onset: 54.3%; hospital-onset: 81.5%). However, they reduced the proportion of patients classified as at risk for 3GCR-E-Bac (i.e. eligible for empirical carbapenem therapy) with 40% (95%CI 21-56%) and 49% (95%CI 39-58%) in, respectively, community-onset and hospital-onset infections. These prediction scores for 3GCR-E-Bac, specifically geared towards the initiation of empirical antibiotic treatment, may improve the balance between inappropriate antibiotics and carbapenem overuse.</t>
  </si>
  <si>
    <t>Bone markers and cardiovascular risk in type 2 diabetes patients.</t>
  </si>
  <si>
    <t>Zwakenberg, Sabine R; van der Schouw, Yvonne T; Schalkwijk, Casper G; Spijkerman, Annemieke M W; Beulens, Joline W J</t>
  </si>
  <si>
    <t>https://pubmed.ncbi.nlm.nih.gov/29571288</t>
  </si>
  <si>
    <t>Vascular calcifications are associated with a three- to fourfold increased risk of cardiovascular disease (CVD) and are highly prevalent in type 2 diabetes patients. Emerging evidence indicates that vascular calcification is a process of active bone formation regulated by stimulators and inhibitors of calcification. Therefore, this study aimed to evaluate whether six bone markers are associated with CVD risk in patients with type 2 diabetes. We used data of a case-cohort study, nested in the EPIC-NL cohort, comprising 134 CVD cases and a random subcohort of 218 participants, all with type 2 diabetes at baseline. Six bone markers (osteocalcin, osteopontin, osteonectin, osteoprotegerin, alkaline phosphatase and sclerostin) were measured in baseline plasma samples with multiplex assays and information on CVD events was obtained. The association of bone makers with CVD risk was evaluated using Cox proportional hazard analyses. Higher concentrations of plasma osteopontin were associated (p&lt;sub&gt;trend&lt;/sub&gt; &lt; 0.01) with an increased CVD risk with a hazard ratio of 2.00 (95%-CI 1.20-3.35) for the highest versus the lowest quartile in a multivariable adjusted model. The other bone markers were not associated with CVD risk. Higher osteopontin concentrations were associated with an increased CVD risk in type 2 diabetes patients. No consistent associations were found for the other five bone markers and risk of CVD in type 2 diabetes patients.</t>
  </si>
  <si>
    <t>A search for pair-produced resonances in four-jet final states at &lt;math xmlns="http://www.w3.org/1998/Math/MathML"&gt; &lt;mrow&gt;&lt;msqrt&gt;&lt;mi&gt;s&lt;/mi&gt;&lt;/msqrt&gt; &lt;mo&gt;=&lt;/mo&gt; &lt;mn&gt;13&lt;/mn&gt;&lt;/mrow&gt; &lt;/math&gt; &lt;math xmlns="http://www.w3.org/1998/Math/MathML"&gt;&lt;mtext&gt;TeV&lt;/mtext&gt;&lt;/math&gt; with the ATLAS detector.</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</si>
  <si>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t>
  </si>
  <si>
    <t>https://pubmed.ncbi.nlm.nih.gov/30996658</t>
  </si>
  <si>
    <t>A search for massive coloured resonances which are pair-produced and decay into two jets is presented. The analysis uses 36.7 fb &lt;math xmlns="http://www.w3.org/1998/Math/MathML"&gt;&lt;msup&gt;&lt;mrow&gt;&lt;/mrow&gt; &lt;mrow&gt;&lt;mo&gt;-&lt;/mo&gt; &lt;mn&gt;1&lt;/mn&gt;&lt;/mrow&gt; &lt;/msup&gt; &lt;/math&gt; of &lt;math xmlns="http://www.w3.org/1998/Math/MathML"&gt;&lt;msqrt&gt;&lt;mi&gt;s&lt;/mi&gt;&lt;/msqrt&gt; &lt;/math&gt; = 13 TeV &lt;i&gt;pp&lt;/i&gt; collision data recorded by the ATLAS experiment at the LHC in 2015 and 2016. No significant deviation from the background prediction is observed. Results are interpreted in a SUSY simplified model where the lightest supersymmetric particle is the top squark, &lt;math xmlns="http://www.w3.org/1998/Math/MathML"&gt;&lt;mover&gt;&lt;mi&gt;t&lt;/mi&gt; &lt;mo&gt;~&lt;/mo&gt;&lt;/mover&gt; &lt;/math&gt; , which decays promptly into two quarks through &lt;i&gt;R&lt;/i&gt;-parity-violating couplings. Top squarks with masses in the range &lt;math xmlns="http://www.w3.org/1998/Math/MathML"&gt;&lt;mrow&gt;&lt;mn&gt;100&lt;/mn&gt; &lt;mspace&gt;&lt;/mspace&gt; &lt;mtext&gt;GeV&lt;/mtext&gt; &lt;mo&gt;&lt;&lt;/mo&gt; &lt;msub&gt;&lt;mi&gt;m&lt;/mi&gt; &lt;mover&gt;&lt;mi&gt;t&lt;/mi&gt; &lt;mo&gt;~&lt;/mo&gt;&lt;/mover&gt; &lt;/msub&gt; &lt;mo&gt;&lt;&lt;/mo&gt; &lt;mn&gt;410&lt;/mn&gt;&lt;/mrow&gt; &lt;/math&gt;   &lt;math xmlns="http://www.w3.org/1998/Math/MathML"&gt;&lt;mtext&gt;GeV&lt;/mtext&gt;&lt;/math&gt; are excluded at 95% confidence level. If the decay is into a &lt;i&gt;b&lt;/i&gt;-quark and a light quark, a dedicated selection requiring two &lt;i&gt;b&lt;/i&gt;-tags is used to exclude masses in the ranges &lt;math xmlns="http://www.w3.org/1998/Math/MathML"&gt;&lt;mrow&gt;&lt;mn&gt;100&lt;/mn&gt; &lt;mspace&gt;&lt;/mspace&gt; &lt;mtext&gt;GeV&lt;/mtext&gt; &lt;mo&gt;&lt;&lt;/mo&gt; &lt;msub&gt;&lt;mi&gt;m&lt;/mi&gt; &lt;mover&gt;&lt;mi&gt;t&lt;/mi&gt; &lt;mo&gt;~&lt;/mo&gt;&lt;/mover&gt; &lt;/msub&gt; &lt;mo&gt;&lt;&lt;/mo&gt; &lt;mn&gt;470&lt;/mn&gt;&lt;/mrow&gt; &lt;/math&gt;   &lt;math xmlns="http://www.w3.org/1998/Math/MathML"&gt;&lt;mtext&gt;GeV&lt;/mtext&gt;&lt;/math&gt; and &lt;math xmlns="http://www.w3.org/1998/Math/MathML"&gt;&lt;mrow&gt;&lt;mn&gt;480&lt;/mn&gt; &lt;mspace&gt;&lt;/mspace&gt; &lt;mtext&gt;GeV&lt;/mtext&gt; &lt;mo&gt;&lt;&lt;/mo&gt; &lt;msub&gt;&lt;mi&gt;m&lt;/mi&gt; &lt;mover&gt;&lt;mi&gt;t&lt;/mi&gt; &lt;mo&gt;~&lt;/mo&gt;&lt;/mover&gt; &lt;/msub&gt; &lt;mo&gt;&lt;&lt;/mo&gt; &lt;mn&gt;610&lt;/mn&gt;&lt;/mrow&gt; &lt;/math&gt;   &lt;math xmlns="http://www.w3.org/1998/Math/MathML"&gt;&lt;mtext&gt;GeV&lt;/mtext&gt;&lt;/math&gt; . Additional limits are set on the pair-production of massive colour-octet resonances.</t>
  </si>
  <si>
    <t>Risk prediction for Staphylococcus aureus surgical site infection following cardiothoracic surgery; A secondary analysis of the V710-P003 trial.</t>
  </si>
  <si>
    <t>Paling, Fleur P; Olsen, Karina; Ohneberg, Kristin; Wolkewitz, Martin; Fowler, Vance G; DiNubile, Mark J; Jafri, Hasan S; Sifakis, Frangiscos; Bonten, Marc J M; Harbarth, Stephan J; Kluytmans, Jan A J W</t>
  </si>
  <si>
    <t>https://pubmed.ncbi.nlm.nih.gov/29561866</t>
  </si>
  <si>
    <t>Identifying patients undergoing cardiothoracic surgery at high risk of Staphylococcus aureus surgical site infection (SSI) is a prerequisite for implementing effective preventive interventions. The objective of this study was to develop a risk prediction model for S. aureus SSI or bacteremia after cardiothoracic surgery based on pre-operative variables. Data from the Merck Phase IIb/III S. aureus vaccine (V710-P003) clinical trial were analyzed. In this randomized placebo-controlled trial, the effect of preoperative vaccination against S. aureus was investigated in patients undergoing cardiothoracic surgery. The primary outcome was deep/superficial S. aureus SSI or S. aureus bacteremia through day 90 after surgery. Performance, calibration, and discrimination of the final model were assessed. Overall 164 out of 7,647 included patients (2.1%) developed S. aureus infection (149 SSI, 15 bacteremia, 28 both). Independent risk factors for developing the primary outcome were pre-operative colonization with S. aureus (OR 3.08, 95% confidence interval [CI] 2.23-4.22), diabetes mellitus (OR 1.87, 95% CI 1.34-2.60), BMI (OR 1.02 per kg/m2, 95% CI 0.99-1.05), and CABG (OR 2.67, 95% CI 1.91-3.78). Although vaccination had a significant (albeit modest) protective effect, it was omitted from the model because its addition did not significantly change the coefficients of the final model and V710-vaccine development has been discontinued due to insufficient efficacy. The final prediction model had moderate discriminative accuracy (AUC-value, 0.72). Pre-operative S. aureus colonization status, diabetes mellitus, BMI, and type of surgical procedure moderately predicted the risk of S. aureus SSI and/or bacteremia among patients undergoing cardiothoracic surgery.</t>
  </si>
  <si>
    <t>Health literacy among older adults is associated with their 10-years' cognitive functioning and decline - the Doetinchem Cohort Study.</t>
  </si>
  <si>
    <t>Geboers, Bas; Uiters, Ellen; Reijneveld, Sijmen A; Jansen, Carel J M; Almansa, Josué; Nooyens, Astrid C J; Verschuren, W M Monique; de Winter, Andrea F; Picavet, H Susan J</t>
  </si>
  <si>
    <t>https://pubmed.ncbi.nlm.nih.gov/29558890</t>
  </si>
  <si>
    <t>Many older adults have low levels of health literacy which affects their ability to participate optimally in healthcare. It is unclear how cognitive decline contributes to health literacy. To study this, longitudinal data are needed. The aim of this study was therefore to assess the associations of cognitive functioning and 10-years' cognitive decline with health literacy in older adults. Data from 988 participants (mean age = 65.3) of the Doetinchem Cohort Study were analyzed. Health literacy was measured by the Brief Health Literacy Screening. Memory, mental flexibility, information processing speed, and global cognitive functioning were assessed at the same time as health literacy and also 10 years earlier. Logistic regression analyses were performed, adjusted for age, gender, and educational level. Higher scores on tests in all cognitive domains were associated with a lower likelihood of having low health literacy after adjustment for confounders (all ORs &lt; 0.70, p-values&lt;.001). Similar associations were found for past cognitive functioning (all ORs &lt; 0.75, p-values&lt;.05). Before adjustment, stronger cognitive decline was associated with a greater likelihood of having low health literacy (all ORs &gt; 1.37, p-values&lt;.05). These associations lost significance after adjustment for educational level, except for the association of memory decline (OR = 1.40, p = .023, 95% CI: 1.05 to 1.88). Older adults with poorer cognitive functioning and stronger cognitive decline are at risk for having low health literacy, which can affect their abilities to promote health and self-manage disease. Low health literacy and declining cognitive functioning might be a barrier for person-centered care, even in relatively young older adults.</t>
  </si>
  <si>
    <t>Interplay between genetic predisposition, macronutrient intake and type 2 diabetes incidence: analysis within EPIC-InterAct across eight European countries.</t>
  </si>
  <si>
    <t>Li, Sherly X; Imamura, Fumiaki; Schulze, Matthias B; Zheng, Jusheng; Ye, Zheng; Agudo, Antonio; Ardanaz, Eva; Aune, Dagfinn; Boeing, Heiner; Dorronsoro, Miren; Dow, Courtney; Fagherazzi, Guy; Grioni, Sara; Gunter, Marc J; Huerta, José María; Ibsen, Daniel B; Jakobsen, Marianne Uhre; Kaaks, Rudolf; Key, Timothy J; Khaw, Kay-Tee; Kyrø, Cecilie; Mancini, Francesca Romana; Molina-Portillo, Elena; Murphy, Neil; Nilsson, Peter M; Onland-Moret, N Charlotte; Palli, Domenico; Panico, Salvatore; Poveda, Alaitz; Quirós, J Ramón; Ricceri, Fulvio; Sluijs, Ivonne; Spijkerman, Annemieke M W; Tjonneland, Anne; Tumino, Rosario; Winkvist, Anna; Langenberg, Claudia; Sharp, Stephen J; Riboli, Elio; Scott, Robert A; Forouhi, Nita G; Wareham, Nicholas J</t>
  </si>
  <si>
    <t>https://pubmed.ncbi.nlm.nih.gov/29549418</t>
  </si>
  <si>
    <t>Gene-macronutrient interactions may contribute to the development of type 2 diabetes but research evidence to date is inconclusive. We aimed to increase our understanding of the aetiology of type 2 diabetes by investigating potential interactions between genes and macronutrient intake and their association with the incidence of type 2 diabetes. We investigated the influence of interactions between genetic risk scores (GRSs) for type 2 diabetes, insulin resistance and BMI and macronutrient intake on the development of type 2 diabetes in the European Prospective Investigation into Cancer and Nutrition (EPIC)-InterAct, a prospective case-cohort study across eight European countries (N = 21,900 with 9742 incident type 2 diabetes cases). Macronutrient intake was estimated from diets reported in questionnaires, including proportion of energy derived from total carbohydrate, protein, fat, plant and animal protein, saturated, monounsaturated and polyunsaturated fat and dietary fibre. Using multivariable-adjusted Cox regression, we estimated country-specific interaction results on the multiplicative scale, using random-effects meta-analysis. Secondary analysis used isocaloric macronutrient substitution. No interactions were identified between any of the three GRSs and any macronutrient intake, with low-to-moderate heterogeneity between countries (I&lt;sup&gt;2&lt;/sup&gt; range 0-51.6%). Results were similar using isocaloric macronutrient substitution analyses and when weighted and unweighted GRSs and individual SNPs were examined. Genetic susceptibility to type 2 diabetes, insulin resistance and BMI did not modify the association between macronutrient intake and incident type 2 diabetes. This suggests that macronutrient intake recommendations to prevent type 2 diabetes do not need to account for differences in genetic predisposition to these three metabolic conditions.</t>
  </si>
  <si>
    <t>Opportunistic screening for heart failure with natriuretic peptides in patients with atrial fibrillation: a meta-analysis of individual participant data of four screening studies.</t>
  </si>
  <si>
    <t>van Doorn, Sander; Geersing, Geert-Jan; Kievit, Rogier F; van Mourik, Yvonne; Bertens, Loes C; van Riet, Evelien E S; Boonman-de Winter, Leandra J; Moons, Karel G M; Hoes, Arno W; Rutten, Frans H</t>
  </si>
  <si>
    <t>https://pubmed.ncbi.nlm.nih.gov/29549089</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</si>
  <si>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</si>
  <si>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Good intentions do not replace ethical conduct in research.</t>
  </si>
  <si>
    <t>Browne, Joyce L; Smit, Menno R; Angira, Francis; van der Graaf, Rieke; Bukusi, Elizabeth A</t>
  </si>
  <si>
    <t>https://pubmed.ncbi.nlm.nih.gov/29565011</t>
  </si>
  <si>
    <t>Sex-Specific Relations of Cardiovascular Risk Factors With Left Ventricular Diastolic Dysfunction/Heart Failure With Preserved Ejection Fraction Are Underreported: A Call for Action.</t>
  </si>
  <si>
    <t>Eikendal, Anouk L M; Gohar, Aisha; Rutten, Frans H; Bots, Michiel L; Appelman, Yolande; Hofstra, Leonard; Cramer, Maarten Jan M; Hoes, Arno W; den Ruijter, Hester M</t>
  </si>
  <si>
    <t>https://pubmed.ncbi.nlm.nih.gov/29548986</t>
  </si>
  <si>
    <t>Search for doubly charged Higgs boson production in multi-lepton final states with the ATLAS detector using proton-proton collisions at &lt;math xmlns="http://www.w3.org/1998/Math/MathML"&gt; &lt;mrow&gt;&lt;msqrt&gt;&lt;mi&gt;s&lt;/mi&gt;&lt;/msqrt&gt; &lt;mo&gt;=&lt;/mo&gt; &lt;mn&gt;13&lt;/mn&gt; &lt;mspace&gt;&lt;/mspace&gt; &lt;mtext&gt;TeV&lt;/mtext&gt;&lt;/mrow&gt;&lt;/math&gt;.</t>
  </si>
  <si>
    <t>https://pubmed.ncbi.nlm.nih.gov/31265007</t>
  </si>
  <si>
    <t>A search for doubly charged Higgs bosons with pairs of prompt, isolated, highly energetic leptons with the same electric charge is presented. The search uses a proton-proton collision data sample at a centre-of-mass energy of 13 TeV corresponding to 36.1 &lt;math xmlns="http://www.w3.org/1998/Math/MathML"&gt;&lt;msup&gt;&lt;mtext&gt;fb&lt;/mtext&gt; &lt;mrow&gt;&lt;mo&gt;-&lt;/mo&gt; &lt;mn&gt;1&lt;/mn&gt;&lt;/mrow&gt; &lt;/msup&gt; &lt;/math&gt; of integrated luminosity recorded in 2015 and 2016 by the ATLAS detector at the LHC. This analysis focuses on the decays &lt;math xmlns="http://www.w3.org/1998/Math/MathML"&gt; &lt;mrow&gt;&lt;msup&gt;&lt;mi&gt;H&lt;/mi&gt; &lt;mrow&gt;&lt;mo&gt;±&lt;/mo&gt; &lt;mo&gt;±&lt;/mo&gt;&lt;/mrow&gt; &lt;/msup&gt; &lt;mo&gt;→&lt;/mo&gt; &lt;msup&gt;&lt;mi&gt;e&lt;/mi&gt; &lt;mo&gt;±&lt;/mo&gt;&lt;/msup&gt; &lt;msup&gt;&lt;mi&gt;e&lt;/mi&gt; &lt;mo&gt;±&lt;/mo&gt;&lt;/msup&gt; &lt;/mrow&gt; &lt;/math&gt; , &lt;math xmlns="http://www.w3.org/1998/Math/MathML"&gt; &lt;mrow&gt;&lt;msup&gt;&lt;mi&gt;H&lt;/mi&gt; &lt;mrow&gt;&lt;mo&gt;±&lt;/mo&gt; &lt;mo&gt;±&lt;/mo&gt;&lt;/mrow&gt; &lt;/msup&gt; &lt;mo&gt;→&lt;/mo&gt; &lt;msup&gt;&lt;mi&gt;e&lt;/mi&gt; &lt;mo&gt;±&lt;/mo&gt;&lt;/msup&gt; &lt;msup&gt;&lt;mi&gt;μ&lt;/mi&gt; &lt;mo&gt;±&lt;/mo&gt;&lt;/msup&gt; &lt;/mrow&gt; &lt;/math&gt; and &lt;math xmlns="http://www.w3.org/1998/Math/MathML"&gt; &lt;mrow&gt;&lt;msup&gt;&lt;mi&gt;H&lt;/mi&gt; &lt;mrow&gt;&lt;mo&gt;±&lt;/mo&gt; &lt;mo&gt;±&lt;/mo&gt;&lt;/mrow&gt; &lt;/msup&gt; &lt;mo&gt;→&lt;/mo&gt; &lt;msup&gt;&lt;mi&gt;μ&lt;/mi&gt; &lt;mo&gt;±&lt;/mo&gt;&lt;/msup&gt; &lt;msup&gt;&lt;mi&gt;μ&lt;/mi&gt; &lt;mo&gt;±&lt;/mo&gt;&lt;/msup&gt; &lt;/mrow&gt; &lt;/math&gt; , fitting the dilepton mass spectra in several exclusive signal regions. No significant evidence of a signal is observed and corresponding limits on the production cross-section and consequently a lower limit on &lt;math xmlns="http://www.w3.org/1998/Math/MathML"&gt;&lt;mrow&gt;&lt;mi&gt;m&lt;/mi&gt; &lt;mo&gt;(&lt;/mo&gt; &lt;msup&gt;&lt;mi&gt;H&lt;/mi&gt; &lt;mrow&gt;&lt;mo&gt;±&lt;/mo&gt; &lt;mo&gt;±&lt;/mo&gt;&lt;/mrow&gt; &lt;/msup&gt; &lt;mo&gt;)&lt;/mo&gt;&lt;/mrow&gt; &lt;/math&gt; are derived at 95% confidence level. With &lt;math xmlns="http://www.w3.org/1998/Math/MathML"&gt; &lt;mrow&gt;&lt;msup&gt;&lt;mi&gt;ℓ&lt;/mi&gt; &lt;mo&gt;±&lt;/mo&gt;&lt;/msup&gt; &lt;msup&gt;&lt;mi&gt;ℓ&lt;/mi&gt; &lt;mo&gt;±&lt;/mo&gt;&lt;/msup&gt; &lt;mo&gt;=&lt;/mo&gt; &lt;msup&gt;&lt;mi&gt;e&lt;/mi&gt; &lt;mo&gt;±&lt;/mo&gt;&lt;/msup&gt; &lt;msup&gt;&lt;mi&gt;e&lt;/mi&gt; &lt;mo&gt;±&lt;/mo&gt;&lt;/msup&gt; &lt;mo&gt;/&lt;/mo&gt; &lt;msup&gt;&lt;mi&gt;μ&lt;/mi&gt; &lt;mo&gt;±&lt;/mo&gt;&lt;/msup&gt; &lt;msup&gt;&lt;mi&gt;μ&lt;/mi&gt; &lt;mo&gt;±&lt;/mo&gt;&lt;/msup&gt; &lt;mo&gt;/&lt;/mo&gt; &lt;msup&gt;&lt;mi&gt;e&lt;/mi&gt; &lt;mo&gt;±&lt;/mo&gt;&lt;/msup&gt; &lt;msup&gt;&lt;mi&gt;μ&lt;/mi&gt; &lt;mo&gt;±&lt;/mo&gt;&lt;/msup&gt; &lt;/mrow&gt; &lt;/math&gt; , the observed lower limit on the mass of a doubly charged Higgs boson only coupling to left-handed leptons varies from 770 to 870 GeV (850 GeV expected) for &lt;math xmlns="http://www.w3.org/1998/Math/MathML"&gt;&lt;mrow&gt;&lt;mi&gt;B&lt;/mi&gt; &lt;mo&gt;(&lt;/mo&gt; &lt;msup&gt;&lt;mi&gt;H&lt;/mi&gt; &lt;mrow&gt;&lt;mo&gt;±&lt;/mo&gt; &lt;mo&gt;±&lt;/mo&gt;&lt;/mrow&gt; &lt;/msup&gt; &lt;mo&gt;→&lt;/mo&gt; &lt;msup&gt;&lt;mi&gt;ℓ&lt;/mi&gt; &lt;mo&gt;±&lt;/mo&gt;&lt;/msup&gt; &lt;msup&gt;&lt;mi&gt;ℓ&lt;/mi&gt; &lt;mo&gt;±&lt;/mo&gt;&lt;/msup&gt; &lt;mo&gt;)&lt;/mo&gt; &lt;mo&gt;=&lt;/mo&gt; &lt;mn&gt;100&lt;/mn&gt; &lt;mo&gt;%&lt;/mo&gt;&lt;/mrow&gt; &lt;/math&gt; and both the expected and observed mass limits are above 450 GeV for &lt;math xmlns="http://www.w3.org/1998/Math/MathML"&gt;&lt;mrow&gt;&lt;mi&gt;B&lt;/mi&gt; &lt;mo&gt;(&lt;/mo&gt; &lt;msup&gt;&lt;mi&gt;H&lt;/mi&gt; &lt;mrow&gt;&lt;mo&gt;±&lt;/mo&gt; &lt;mo&gt;±&lt;/mo&gt;&lt;/mrow&gt; &lt;/msup&gt; &lt;mo&gt;→&lt;/mo&gt; &lt;msup&gt;&lt;mi&gt;ℓ&lt;/mi&gt; &lt;mo&gt;±&lt;/mo&gt;&lt;/msup&gt; &lt;msup&gt;&lt;mi&gt;ℓ&lt;/mi&gt; &lt;mo&gt;±&lt;/mo&gt;&lt;/msup&gt; &lt;mo&gt;)&lt;/mo&gt; &lt;mo&gt;=&lt;/mo&gt; &lt;mn&gt;10&lt;/mn&gt; &lt;mo&gt;%&lt;/mo&gt;&lt;/mrow&gt; &lt;/math&gt; and any combination of partial branching ratios.</t>
  </si>
  <si>
    <t>Circulating Fetuin-A and Risk of Type 2 Diabetes: A Mendelian Randomization Analysis.</t>
  </si>
  <si>
    <t>Kröger, Janine; Meidtner, Karina; Stefan, Norbert; Guevara, Marcela; Kerrison, Nicola D; Ardanaz, Eva; Aune, Dagfinn; Boeing, Heiner; Dorronsoro, Miren; Dow, Courtney; Fagherazzi, Guy; Franks, Paul W; Freisling, Heinz; Gunter, Marc J; Huerta, José María; Kaaks, Rudolf; Key, Timothy J; Khaw, Kay Tee; Krogh, Vittorio; Kühn, Tilman; Mancini, Francesca Romana; Mattiello, Amalia; Nilsson, Peter M; Olsen, Anja; Overvad, Kim; Palli, Domenico; Quirós, J Ramón; Rolandsson, Olov; Sacerdote, Carlotta; Sala, Núria; Salamanca-Fernández, Elena; Sluijs, Ivonne; Spijkerman, Annemieke M W; Tjonneland, Anne; Tsilidis, Konstantinos K; Tumino, Rosario; van der Schouw, Yvonne T; Forouhi, Nita G; Sharp, Stephen J; Langenberg, Claudia; Riboli, Elio; Schulze, Matthias B; Wareham, Nicholas J</t>
  </si>
  <si>
    <t>https://pubmed.ncbi.nlm.nih.gov/29523632</t>
  </si>
  <si>
    <t>Fetuin-A, a hepatic-origin protein, is strongly positively associated with risk of type 2 diabetes in human observational studies, but it is unknown whether this association is causal. We aimed to study the potential causal relation of circulating fetuin-A to risk of type 2 diabetes in a Mendelian randomization study with single nucleotide polymorphisms located in the fetuin-A-encoding &lt;i&gt;AHSG&lt;/i&gt; gene. We used data from eight European countries of the European Prospective Investigation into Cancer and Nutrition (EPIC)-InterAct case-cohort study including 10,020 incident cases. Plasma fetuin-A concentration was measured in a subset of 965 subcohort participants and 654 case subjects. A genetic score of the &lt;i&gt;AHSG&lt;/i&gt; single nucleotide polymorphisms was strongly associated with fetuin-A (28% explained variation). Using the genetic score as instrumental variable of fetuin-A, we observed no significant association of a 50 µg/mL higher fetuin-A concentration with diabetes risk (hazard ratio 1.02 [95% CI 0.97, 1.07]). Combining our results with those from the DIAbetes Genetics Replication And Meta-analysis (DIAGRAM) consortium (12,171 case subjects) also did not suggest a clear significant relation of fetuin-A with diabetes risk. In conclusion, although there is mechanistic evidence for an effect of fetuin-A on insulin sensitivity and secretion, this study does not support a strong, relevant relationship between circulating fetuin-A and diabetes risk in the general population.</t>
  </si>
  <si>
    <t>Intake of dietary saturated fatty acids and risk of type 2 diabetes in the European Prospective Investigation into Cancer and Nutrition-Netherlands cohort: associations by types, sources of fatty acids and substitution by macronutrients.</t>
  </si>
  <si>
    <t>Liu, Shengxin; van der Schouw, Yvonne T; Soedamah-Muthu, Sabita S; Spijkerman, Annemieke M W; Sluijs, Ivonne</t>
  </si>
  <si>
    <t>https://pubmed.ncbi.nlm.nih.gov/29524001</t>
  </si>
  <si>
    <t>The association between dietary saturated fatty acids (SFA) intake and type 2 diabetes (T2D) remains unclear. This study aimed at investigating the association between SFA intake and T2D risk based on (1) individual SFA (differing in carbon chain length), (2) food sources of SFA and (3) the substituting macronutrients. 37,421 participants from the European Prospective Investigation into Cancer and Nutrition-Netherlands (EPIC-NL) cohort were included in this study. Baseline dietary intake was assessed by a validated food frequency questionnaire. T2D risks were estimated by Cox regression models adjusted for non-dietary and dietary covariates. 893 incident T2D cases were documented during 10.1-year follow-up. We observed no association between total SFA and T2D risk. Marginally inverse associations were found for lauric acid (HR per 1 SD of energy%, 95% CI 0.92, 0.85-0.99), myristic acid (0.89, 0.79-0.99), margaric acid (0.84, 0.73-0.97), odd-chain SFA (pentadecylic plus margaric acids; 0.88, 0.79-0.99), and cheese derived SFA (0.90, 0.83-0.98). Soft and liquid fats derived SFA was found related to higher T2D risk (1.08, 1.01-1.17). When substituting SFA by proteins, carbohydrates and polyunsaturated fatty acids, significantly higher risks of T2D were observed (HRs per 1 energy% ranging from 1.05 to 1.15). In this Dutch population, total SFA does not relate to T2D risk. Rather, the association may depend on the types and food sources of SFA. Cheese-derived SFA and individual SFA that are commonly found in cheese, were significantly related to lower T2D risks. We cannot exclude the higher T2D risks found for soft and liquid fats derived SFA and for substituting SFA with other macronutrients are influenced by residual confounding by trans fatty acids or limited intake variation in polyunsaturated fatty acids and vegetable protein.</t>
  </si>
  <si>
    <t>Tumor-associated autoantibodies as early detection markers for ovarian cancer? A prospective evaluation.</t>
  </si>
  <si>
    <t>Kaaks, Rudolf; Fortner, Renée Turzanski; Hüsing, Anika; Barrdahl, Myrto; Hopper, Marika; Johnson, Theron; Tjønneland, Anne; Hansen, Louise; Overvad, Kim; Fournier, Agnès; Boutron-Ruault, Marie-Christine; Kvaskoff, Marina; Dossus, Laure; Johansson, Mattias; Boeing, Heiner; Trichopoulou, Antonia; Benetou, Vassiliki; La Vecchia, Carlo; Sieri, Sabina; Mattiello, Amalia; Palli, Domenico; Tumino, Rosario; Matullo, Giuseppe; Onland-Moret, N Charlotte; Gram, Inger T; Weiderpass, Elisabete; Sánchez, Maria-Jose; Navarro Sanchez, Carmen; Duell, Eric J; Ardanaz, Eva; Larranaga, Nerea; Lundin, Eva; Idahl, Annika; Jirström, Karin; Nodin, Björn; Travis, Ruth C; Riboli, Elio; Merritt, Melissa; Aune, Dagfinn; Terry, Kathryn; Cramer, Daniel W; Anderson, Karen S</t>
  </si>
  <si>
    <t>https://pubmed.ncbi.nlm.nih.gov/29473162</t>
  </si>
  <si>
    <t>Immuno-proteomic screening has identified several tumor-associated autoantibodies (AAb) that may have diagnostic capacity for invasive epithelial ovarian cancer, with AAbs to P53 proteins and cancer-testis antigens (CTAGs) as prominent examples. However, the early detection potential of these AAbs has been insufficiently explored in prospective studies. We performed ELISA measurements of AAbs to CTAG1A, CTAG2, P53 and NUDT11 proteins, for 194 patients with ovarian cancer and 705 matched controls from the European EPIC cohort, using serum samples collected up to 36 months prior to diagnosis under usual care. CA125 was measured using electrochemo-luminiscence. Diagnostic discrimination statistics were calculated by strata of lead-time between blood collection and diagnosis. With lead times ≤6 months, ovarian cancer detection sensitivity at 0.98 specificity (SE98) varied from 0.19 [95% CI 0.08-0.40] for CTAG1A, CTAG2 and NUDT1 to 0.23 [0.10-0.44] for P53 (0.33 [0.11-0.68] for high-grade serous tumors). However, at longer lead-times, the ability of these AAb markers to distinguish future ovarian cancer cases from controls declined rapidly; at lead times &gt;1 year, SE98 estimates were close to zero (all invasive cases, range: 0.01-0.11). Compared to CA125 alone, combined logistic regression scores of AAbs and CA125 did not improve detection sensitivity at equal level of specificity. The added value of these selected AAbs as markers for ovarian cancer beyond CA125 for early detection is therefore limited.</t>
  </si>
  <si>
    <t>Development and internal validation of a prediction rule for post-stroke infection and post-stroke pneumonia in acute stroke patients.</t>
  </si>
  <si>
    <t>Westendorp, Willeke F; Vermeij, Jan-Dirk; Hilkens, Nina A; Brouwer, Matthijs C; Algra, Ale; van der Worp, H Bart; Dippel, Diederik Wj; van de Beek, Diederik; Nederkoorn, Pual J</t>
  </si>
  <si>
    <t>https://pubmed.ncbi.nlm.nih.gov/29900413</t>
  </si>
  <si>
    <t>Patients with acute stroke are at high risk for infection. These infections are associated with unfavourable outcome after stroke. A prediction rule can identify the patients at the highest risk for strategies to prevent infection. We aim to develop a prediction rule for post-stroke pneumonia and other infections in patients with acute stroke. We used data from the Preventive Antibiotics in Stroke Study, a multicentre randomised trial comparing preventive ceftriaxone vs. standard stroke care in patients with acute stroke. Possible predictors for post-stroke pneumonia or infection were selected from the literature. Backward elimination logistic regression analysis was used to construct prediction rules for pneumonia or infection. Internal validation was performed and a risk chart was constructed. We adjusted for preventive antibiotic use. Pneumonia was diagnosed in 159 of the 2538 included patients, and infection in 348. Pneumonia was predicted by higher age, male sex, pre-stroke disability, medical history of chronic obstructive pulmonary disease, more severe stroke, dysphagia and intracerebral haemorrhage (rather than ischaemic stroke). Infections were predicted by higher age, male sex, history of diabetes, chronic obstructive pulmonary disease, more severe stroke, dysphagia, use of bladder catheter, preventive antibiotic use and intracerebral haemorrhage. With the prediction rule developed, risks for pneumonia ranged from 0.4% to 56.2% and from 1.8% to 88.0% for infection. Discrimination of the score was good (C-statistic, 0.84; 95% CI: 0.81-0.87 and 0.82; 95% CI: 0.79-0.84 for pneumonia and infection). The Preventive Antibiotics in Stroke Study pneumonia and infection rule identify patients at the highest risk for post-stroke pneumonia or infection and may be used for future studies and novel therapies, after confirmation in an external population.</t>
  </si>
  <si>
    <t>Long-term clinical parameters after switching to nocturnal haemodialysis: a Dutch propensity-score-matched cohort study comparing patients on nocturnal haemodialysis with patients on three-times-a-week haemodialysis/haemodiafiltration.</t>
  </si>
  <si>
    <t>Jansz, Thijs Thomas; Özyilmaz, Akin; Grooteman, Muriel P C; Hoekstra, Tiny; Romijn, Marieke; Blankestijn, Peter J; Bots, Michael L; van Jaarsveld, Brigit C</t>
  </si>
  <si>
    <t>https://pubmed.ncbi.nlm.nih.gov/29523566</t>
  </si>
  <si>
    <t>Nocturnal haemodialysis (NHD), characterised by 8-hour sessions ≥3 times a week, is known to improve clinical parameters in the short term compared with conventional-schedule haemodialysis (HD), generally 3×3.5-4 hours a week. We studied long-term effects of NHD and used patients on conventional HD/haemodiafiltration (HDF) as controls. Four-year prospective follow-up of patients who switched to NHD; we compared patients with patients on HD/HDF using propensity score matching. 28 Dutch dialysis centres. We included 159 patients starting with NHD any time since 2004, aged 56.7±12.9 years, with median dialysis vintage 2.3 (0.9-5.1) years. We propensity-score matched 100 patients on NHD to 100 on HD/HDF. Control of hypertension (predialysis blood pressure, number of antihypertensives), phosphate (phosphate, number of phosphate binders), nutritional status and inflammation (albumin, C reactive protein and postdialysis weight) and anaemia (erythropoiesis-stimulating agent (ESA) resistance). Switching to NHD was associated with a non-significant reduction of antihypertensives compared with HD/HDF (OR &lt;2 types 2.17, 95% CI 0.86 to 5.50, P=0.11); and a prolonged lower need for phosphate binders (OR &lt;2 types 1.83, 95% CI 1.10 to 3.03, P=0.02). NHD was not associated with significant changes in blood pressure or phosphate. NHD was associated with significantly higher albumin over time compared with HD/HDF (0.70 g/L/year, 95% CI 0.10 to 1.30, P=0.02). ESA resistance decreased significantly in NHD compared with HD/HDF, resulting in a 33% lower ESA dose in the long term. After switching to NHD, the lower need for antihypertensives, phosphate binders and ESA persists for at least 4 years. These sustained improvements in NHD contrast significantly with the course of these parameters during continued treatment with conventional-schedule HD and HDF. NHD provides an optimal form of dialysis, also suitable for patients expected to have a long waiting time for transplantation or those convicted to indefinite dialysis.</t>
  </si>
  <si>
    <t>Editor's Choice - Spinal Cord Ischaemia in Endovascular Thoracic and Thoraco-abdominal Aortic Repair: Review of Preventive Strategies.</t>
  </si>
  <si>
    <t>Dijkstra, Martijn L; Vainas, Tryfon; Zeebregts, Clark J; Hooft, Lotty; van der Laan, Maarten J</t>
  </si>
  <si>
    <t>https://pubmed.ncbi.nlm.nih.gov/29525741</t>
  </si>
  <si>
    <t>The incidence of spinal cord ischaemia (SCI) and subsequent paraplegia after thoracic endovascular aneurysm repair (TEVAR) and thoraco-abdominal endovascular aneurysm repair is estimated to be between 2.5% and 8%. The aim of this review is to provide an overview of SCI preventive strategies in TEVAR and thoraco-abdominal repair and recommend an optimal strategy. Medline, Embase, and the Cochrane Library were searched for studies on TEVAR, thoraco-abdominal endovascular repair, and the use of SCI preventive measures. The review was reported according to the PRISMA statement. The final analysis included 43 studies (7168 patients). All studies are cohort studies (non-comparative cohorts n = 37, comparative cohorts n = 6) and largely performed retrospectively (n = 27). The included studies had an average MINORS score of 9 (range 6-13) for non-comparative studies and 15.5 (range 12-18) for comparative studies. Transient SCI occurred in 5.7% (450/7,168, 95% CI 4.5-6.9%), permanent SCI in 2.2% (232/7,168, 95% CI 1.6-2.8%). There was a trend towards increased SCI incidence for more "high risk" cohorts. Avoidance of hypotension resulted in a slightly lower permanent SCI rate 1.8% (102/4216, 95% CI 1.2-2.3%) than the overall cohort. A very low SCI estimate (transient and permanent) was found in the subgroup of studies (2 studies, n = 248) using (mild) peri-operative hypothermia (transient SCI 0.8%, permanent SCI 0.4%). In the subgroup using temporary permissive endoleak, there was a transient SCI estimate (15.4%), with a permanent SCI estimate of 4.8%. The remaining preventive measures did not significantly impact transient or permanent SCI estimates. Low overall transient and permanent SCI rates are achieved during endovascular thoracic and thoraco-abdominal aortic repair. Based on the presented data, the use of selective spinal fluid drainage in high risk patients seems justified. Peri-operative hypotension should be avoided and treated where possible. The use of mild hypothermia is promising in small cohorts, but requires further evaluation. Further high quality data are essential to establish a definitive preventive strategy.</t>
  </si>
  <si>
    <t>Clustering of risk factors and the risk of incident cardiovascular disease in Asian and Caucasian populations: results from the Asia Pacific Cohort Studies Collaboration.</t>
  </si>
  <si>
    <t>Peters, Sanne A E; Wang, Xin; Lam, Tai-Hing; Kim, Hyeon Chang; Ho, Suzanne; Ninomiya, Toshiharu; Knuiman, Matthew; Vaartjes, Ilonca; Bots, Michael L; Woodward, Mark; ,</t>
  </si>
  <si>
    <t>https://pubmed.ncbi.nlm.nih.gov/29511013</t>
  </si>
  <si>
    <t>To assess the relationship between risk factor clusters and cardiovascular disease (CVD) incidence in Asian and Caucasian populations and to estimate the burden of CVD attributable to each cluster. Asia Pacific Cohort Studies Collaboration. Individual participant data from 34 population-based cohorts, involving 314 024 participants without a history of CVD at baseline. Clusters were 11 possible combinations of four individual risk factors (current smoking, overweight, blood pressure (BP) and total cholesterol). Cox regression models were used to obtain adjusted HRs and 95% CIs for CVD associated with individual risk factors and risk factor clusters. Population-attributable fractions (PAFs) were calculated. During a mean follow-up of 7 years, 6203 CVD events were recorded. The ranking of HRs and PAFs was similar for Australia and New Zealand (ANZ) and Asia; clusters including BP consistently showed the highest HRs and PAFs. The BP-smoking cluster had the highest HR for people with two risk factors: 4.13 (3.56 to 4.80) for Asia and 3.07 (2.23 to 4.23) for ANZ. Corresponding PAFs were 24% and 11%, respectively. For individuals with three risk factors, the BP-smoking-cholesterol cluster had the highest HR (4.67 (3.92 to 5.57) for Asia and 3.49 (2.69 to 4.53) for ANZ). Corresponding PAFs were 13% and 10%. Risk factor clusters act similarly on CVD risk in Asian and Caucasian populations. Clusters including elevated BP were associated with the highest excess risk of CVD.</t>
  </si>
  <si>
    <t>Measurement error is often neglected in medical literature: a systematic review.</t>
  </si>
  <si>
    <t>Brakenhoff, Timo B; Mitroiu, Marian; Keogh, Ruth H; Moons, Karel G M; Groenwold, Rolf H H; van Smeden, Maarten</t>
  </si>
  <si>
    <t>https://pubmed.ncbi.nlm.nih.gov/29522827</t>
  </si>
  <si>
    <t>In medical research, covariates (e.g., exposure and confounder variables) are often measured with error. While it is well accepted that this introduces bias and imprecision in exposure-outcome relations, it is unclear to what extent such issues are currently considered in research practice. The objective was to study common practices regarding covariate measurement error via a systematic review of general medicine and epidemiology literature. Original research published in 2016 in 12 high impact journals was full-text searched for phrases relating to measurement error. Reporting of measurement error and methods to investigate or correct for it were quantified and characterized. Two hundred and forty-seven (44%) of the 565 original research publications reported on the presence of measurement error. 83% of these 247 did so with respect to the exposure and/or confounder variables. Only 18 publications (7% of 247) used methods to investigate or correct for measurement error. Consequently, it is difficult for readers to judge the robustness of presented results to the existence of measurement error in the majority of publications in high impact journals. Our systematic review highlights the need for increased awareness about the possible impact of covariate measurement error. Additionally, guidance on the use of measurement error correction methods is necessary.</t>
  </si>
  <si>
    <t>Measurement of differential cross-sections of a single top quark produced in association with a &lt;i&gt;W&lt;/i&gt; boson at &lt;math xmlns="http://www.w3.org/1998/Math/MathML"&gt; &lt;mrow&gt;&lt;msqrt&gt;&lt;mi&gt;s&lt;/mi&gt;&lt;/msqrt&gt; &lt;mo&gt;=&lt;/mo&gt; &lt;mn&gt;13&lt;/mn&gt; &lt;mtext&gt;TeV&lt;/mtext&gt;&lt;/mrow&gt; &lt;/math&gt; with ATLAS.</t>
  </si>
  <si>
    <t>Aaboud, M; Aad, G; Abbott, B; Abdinov, O; Abeloos, B; Abidi, S H; AbouZeid, O S; Abraham, N L; Abramowicz, H; Abreu, H;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S; Angeloz</t>
  </si>
  <si>
    <t>https://pubmed.ncbi.nlm.nih.gov/31264996</t>
  </si>
  <si>
    <t>The differential cross-section for the production of a &lt;i&gt;W&lt;/i&gt; boson in association with a top quark is measured for several particle-level observables. The measurements are performed using &lt;math xmlns="http://www.w3.org/1998/Math/MathML"&gt; &lt;mrow&gt;&lt;mrow&gt;&lt;mn&gt;36.1&lt;/mn&gt;&lt;/mrow&gt; &lt;mspace&gt;&lt;/mspace&gt; &lt;msup&gt;&lt;mtext&gt;fb&lt;/mtext&gt; &lt;mrow&gt;&lt;mo&gt;-&lt;/mo&gt; &lt;mn&gt;1&lt;/mn&gt;&lt;/mrow&gt; &lt;/msup&gt; &lt;/mrow&gt; &lt;/math&gt; of &lt;i&gt;pp&lt;/i&gt; collision data collected with the ATLAS detector at the LHC in 2015 and 2016. Differential cross-sections are measured in a fiducial phase space defined by the presence of two charged leptons and exactly one jet matched to a &lt;i&gt;b&lt;/i&gt;-hadron, and are normalised with the fiducial cross-section. Results are found to be in good agreement with predictions from several Monte Carlo event generators.</t>
  </si>
  <si>
    <t>&lt;i&gt;Barley yellow dwarf virus&lt;/i&gt; Infection Leads to Higher Chemical Defense Signals and Lower Electrophysiological Reactions in Susceptible Compared to Tolerant Barley Genotypes.</t>
  </si>
  <si>
    <t>Paulmann, Maria K; Kunert, Grit; Zimmermann, Matthias R; Theis, Nina; Ludwig, Anatoli; Meichsner, Doreen; Oelmüller, Ralf; Gershenzon, Jonathan; Habekuss, Antje; Ordon, Frank; Furch, Alexandra C U; Will, Torsten</t>
  </si>
  <si>
    <t>frontiers in plant science</t>
  </si>
  <si>
    <t>https://pubmed.ncbi.nlm.nih.gov/29563918</t>
  </si>
  <si>
    <t>&lt;i&gt;Barley yellow dwarf virus&lt;/i&gt; (BYDV) is a phloem limited virus that is persistently transmitted by aphids. Due to huge yield losses in agriculture, the virus is of high economic relevance. Since the control of the virus itself is not possible, tolerant barley genotypes are considered as the most effective approach to avoid yield losses. Although several genes and quantitative trait loci are known and used in barley breeding for virus tolerance, little is known about molecular and physiological backgrounds of this trait. Therefore, we compared the anatomy and early defense responses of a virus susceptible to those of a virus-tolerant cultivar. One of the very early defense responses is the transmission of electrophysiological reactions. Electrophysiological reactions to BYDV infection might differ between susceptible and tolerant cultivars, since BYDV causes disintegration of sieve elements in susceptible cultivars. The structure of vascular bundles, xylem vessels and sieve elements was examined using microscopy. All three were significantly decreased in size in infected susceptible plants where the virus causes disintegration of sieve elements. This could be associated with an uncontrolled ion exchange between the sieve-element lumen and apoplast. Further, a reduced electrophysiological isolation would negatively affect the propagation of electrophysiological reactions. To test the influence of BYDV infection on electrophysiological reactions, electropotential waves (EPWs) induced by leaf-tip burning were recorded using aphids as bioelectrodes. EPWs in infected susceptible plants disappeared already after 10 cm in contrast to those in healthy susceptible or infected tolerant or healthy tolerant plants. Another early plant defense reaction is an increase in reactive oxygen species (ROS). Using a fluorescent dye, we found a significant increase in ROS content in infected susceptible plants but not in infected tolerant plants. Similar results were found for the phytohormones abscisic acid and three jasmonates. Salicylic acid levels were generally higher after BYDV infection compared to uninfected plants. Heat stimulation caused an increase in jasmonates. By shedding light on the plant defense mechanisms against BYDV, this study, provides further knowledge for breeding virus tolerant plants.</t>
  </si>
  <si>
    <t>Mini-guts in a dish: Perspectives of adult Cystic Fibrosis (CF) patients and parents of young CF patients on organoid technology.</t>
  </si>
  <si>
    <t>Boers, Sarah N; de Winter-de Groot, Karin M; Noordhoek, Jacquelien; Gulmans, Vincent; van der Ent, Cornelis K; van Delden, Johannes J M; Bredenoord, Annelien L</t>
  </si>
  <si>
    <t>https://pubmed.ncbi.nlm.nih.gov/29523474</t>
  </si>
  <si>
    <t>Organoid technology enables the cultivation of human tissues in a dish. Its precision medicine potential could revolutionize the Cystic Fibrosis (CF) field. We provide a first thematic exploration of the patient perspective on organoid technology to set the further research agenda, which is necessary for responsible development of this ethically challenging technology. 23 semi-structured qualitative interviews with 14 Dutch adult CF patients and 12 parents of young CF patients to examine their experiences, opinions, and attitudes regarding organoid technology. Four themes emerged: (1) Respondents express a close as well as a distant relationship to organoids; (2) the open-endedness of organoid technology sparks hopes and concerns, (3) commercial use evokes cautiousness. (4) Respondents mention the importance of sound consent procedures, long-term patient engagement, responsible stewardship, and stringent conditions for commercial use. The precision medicine potential of organoid technology can only be realized if the patient perspective is taken adequately into account.</t>
  </si>
  <si>
    <t>Designing Surveillance of Healthcare-Associated Infections in the Era of Automation and Reporting Mandates.</t>
  </si>
  <si>
    <t>van Mourik, Maaike S M; Perencevich, Eli N; Gastmeier, Petra; Bonten, Marc J M</t>
  </si>
  <si>
    <t>https://pubmed.ncbi.nlm.nih.gov/29514241</t>
  </si>
  <si>
    <t>Surveillance and feedback of infection rates to clinicians and other stakeholders is a cornerstone of healthcare-associated infection (HAI) prevention programs. In addition, HAIs are increasingly included in public reporting and payment mandates. Conventional manual surveillance methods are resource intensive and lack standardization. Developments in information technology have propelled a movement toward the use of standardized and semiautomated methods.When developing automated surveillance systems, several strategies can be chosen with regard to the degree of automation and standardization and the definitions used. Yet, the advantages of highly standardized surveillance may come at the price of decreased clinical relevance and limited preventability. The choice among (automated) surveillance approaches, therefore, should be guided by the intended aim and scale of surveillance (eg, research, in-hospital quality improvement, national surveillance, or pay-for-performance mandates), as this choice dictates subsequent methods, important performance characteristics, and suitability of the data generated for the different applications.</t>
  </si>
  <si>
    <t>PIRCHE-II Is Related to Graft Failure after Kidney Transplantation.</t>
  </si>
  <si>
    <t>Geneugelijk, Kirsten; Niemann, Matthias; Drylewicz, Julia; van Zuilen, Arjan D; Joosten, Irma; Allebes, Wil A; van der Meer, Arnold; Hilbrands, Luuk B; Baas, Marije C; Hack, C Erik; van Reekum, Franka E; Verhaar, Marianne C; Kamburova, Elena G; Bots, Michiel L; Seelen, Marc A J; Sanders, Jan Stephan; Hepkema, Bouke G; Lambeck, Annechien J; Bungener, Laura B; Roozendaal, Caroline; Tilanus, Marcel G J; Vanderlocht, Joris; Voorter, Christien E; Wieten, Lotte; van Duijnhoven, Elly M; Gelens, Mariëlle; Christiaans, Maarten H L; van Ittersum, Frans J; Nurmohamed, Azam; Lardy, Junior N M; Swelsen, Wendy; van der Pant, Karlijn A; van der Weerd, Neelke C; Ten Berge, Ineke J M; Bemelman, Fréderike J; Hoitsma, Andries; van der Boog, Paul J M; de Fijter, Johan W; Betjes, Michiel G H; Heidt, Sebastiaan; Roelen, Dave L; Claas, Frans H; Otten, Henny G; Spierings, Eric</t>
  </si>
  <si>
    <t>https://pubmed.ncbi.nlm.nih.gov/29556227</t>
  </si>
  <si>
    <t>Individual HLA mismatches may differentially impact graft survival after kidney transplantation. Therefore, there is a need for a reliable tool to define permissible HLA mismatches in kidney transplantation. We previously demonstrated that donor-derived Predicted Indirectly ReCognizable HLA Epitopes presented by recipient HLA class II (PIRCHE-II) play a role in &lt;i&gt;de novo&lt;/i&gt; donor-specific HLA antibodies formation after kidney transplantation. In the present Dutch multi-center study, we evaluated the possible association between PIRCHE-II and kidney graft failure in 2,918 donor-recipient couples that were transplanted between 1995 and 2005. For these donors-recipients couples, PIRCHE-II numbers were related to graft survival in univariate and multivariable analyses. Adjusted for confounders, the natural logarithm of PIRCHE-II was associated with a higher risk for graft failure [hazard ratio (HR): 1.13, 95% CI: 1.04-1.23, &lt;i&gt;p&lt;/i&gt; = 0.003]. When analyzing a subgroup of patients who had their first transplantation, the HR of graft failure for ln(PIRCHE-II) was higher compared with the overall cohort (HR: 1.22, 95% CI: 1.10-1.34, &lt;i&gt;p&lt;/i&gt; &lt; 0.001). PIRCHE-II demonstrated both early and late effects on graft failure in this subgroup. These data suggest that the PIRCHE-II may impact graft survival after kidney transplantation. Inclusion of PIRCHE-II in donor-selection criteria may eventually lead to an improved kidney graft survival.</t>
  </si>
  <si>
    <t>Factors Related to Physician Clinical Decision-Making for African-American and Hispanic Patients: a Qualitative Meta-Synthesis.</t>
  </si>
  <si>
    <t>Breathett, Khadijah; Jones, Jacqueline; Lum, Hillary D; Koonkongsatian, Dawn; Jones, Christine D; Sanghvi, Urvi; Hoffecker, Lilian; McEwen, Marylyn; Daugherty, Stacie L; Blair, Irene V; Calhoun, Elizabeth; de Groot, Esther; Sweitzer, Nancy K; Peterson, Pamela N</t>
  </si>
  <si>
    <t>journal of racial and ethnic health disparities</t>
  </si>
  <si>
    <t>https://pubmed.ncbi.nlm.nih.gov/29508374</t>
  </si>
  <si>
    <t>Clinical decision-making may have a role in racial and ethnic disparities in healthcare but has not been evaluated systematically. The purpose of this study was to synthesize qualitative studies that explore various aspects of how a patient's African-American race or Hispanic ethnicity may factor into physician clinical decision-making. Using Ovid MEDLINE, Embase, and Cochrane Library, we identified 13 manuscripts that met inclusion criteria of usage of qualitative methods; addressed US physician clinical decision-making factors when caring for African-American, Hispanic, or Caucasian patients; and published between 2000 and 2017. We derived six fundamental themes that detail the role of patient race and ethnicity on physician decision-making, including importance of race, patient-level issues, system-level issues, bias and racism, patient values, and communication. In conclusion, a non-hierarchical system of intertwining themes influenced clinical decision-making among racial and ethnic minority patients. Future study should systematically intervene upon each theme in order to promote equitable clinical decision-making among diverse racial/ethnic patients.</t>
  </si>
  <si>
    <t>Impact of acute otitis media clinical practice guidelines on antibiotic and analgesic prescriptions: a systematic review.</t>
  </si>
  <si>
    <t>Deniz, Yelin; van Uum, Rick T; de Hoog, Marieke L A; Schilder, Anne G M; Damoiseaux, Roger A M J; Venekamp, Roderick P</t>
  </si>
  <si>
    <t>https://pubmed.ncbi.nlm.nih.gov/29502073</t>
  </si>
  <si>
    <t>Clinical practice guidelines focusing on judicious use of antibiotics for childhood acute otitis media (AOM) have been introduced in many countries around the world. To systematically review the effects of these guidelines on the prescription of antibiotics and analgesics for children with AOM. Systematic searches of PubMed, Embase and Cochrane Library from inception to 6 June 2017 using broad search terms. Studies specifically aimed at evaluating the effects of introduction of national AOM practice guidelines on type of antibiotic and/or analgesic prescriptions were included, irrespective of design, setting or language. The Risk Of Bias In Non-randomized Studies of Interventions tool was used to assess risk of bias. Of 411 unique records retrieved, seven studies conducted in six different countries (France, Italy, Spain, Sweden, UK and USA (twice)) compared data before and after guideline introduction. All studies had an observational design, using longitudinal data of children aged under 15 years (n=200-4.6 million) from either routine care, insurance databases or electronic surveys. Risk of bias of all studies was judged serious to critical.Of the five studies reporting on antibiotic prescription rates, three showed a decline of 5%-12% up to 3 years after guideline introduction and two found no or negligible effect. In one US study, the initial 9% decline decreased to 5% after 4-6 years. The recommended first choice antibiotic was prescribed more frequently (9%-58% increase) after guideline introduction in four out of five studies reporting on this outcome. Analgesic prescription rates for AOM were reported in one US study and increased from 14% to 24% after guideline introduction. Based upon what is published, the effects of introduction of national clinical practice guidelines on antibiotic and analgesic prescribing for children with AOM seem modest at the most. PROSPERO: CRD42016050976.</t>
  </si>
  <si>
    <t>Under-diagnosis of rickettsial disease in clinical practice: A systematic review.</t>
  </si>
  <si>
    <t>van Eekeren, Louise E; de Vries, Sophia G; Wagenaar, Jiri F P; Spijker, René; Grobusch, Martin P; Goorhuis, Abraham</t>
  </si>
  <si>
    <t>https://pubmed.ncbi.nlm.nih.gov/29486240</t>
  </si>
  <si>
    <t>Rickettsial diseases present as acute febrile illnesses, sometimes with inoculation eschars. We performed a systematic review of studies published between 1997 and 2017 to assess the underestimation of non-eschar rickettsial disease (NERD) relative to eschar rickettsial disease (ERD), as a cause of acute fever in patients with rickettsial diseases that commonly present with eschar(s): scrub typhus (ST), Mediterranean spotted fever (MSF), and African tick-bite fever. We compared ERD/NERD ratios according to study design: 'complete approach' studies, with testing performed in all patients with 'unspecified febrile illness'; versus 'clinical judgement' studies, with testing performed if patients presented with specific symptoms. In 'complete approach' studies, ERD/NERD ratios were significantly lower, suggesting a considerable under-diagnosis of NERD in 'clinical judgement' studies. Based on these results, we estimate that the diagnosis of rickettsial disease was missed in 66.5% of patients with ST, and in 57.9% of patients with MSF. Study design influences the reported eschar rates in ST and MSF significantly. NERD is likely to be a vastly underdiagnosed entity, and clinicians should consider and test for the disease more often. CRD 42016053348.</t>
  </si>
  <si>
    <t>Intestinal carriage of ampicillin- and vancomycin-resistant Enterococcus faecium in humans, dogs and cats in the Netherlands.</t>
  </si>
  <si>
    <t>van den Bunt, G; Top, J; Hordijk, J; de Greeff, S C; Mughini-Gras, L; Corander, J; van Pelt, W; Bonten, M J M; Fluit, A C; Willems, R J L</t>
  </si>
  <si>
    <t>https://pubmed.ncbi.nlm.nih.gov/29294027</t>
  </si>
  <si>
    <t>The prevalence of ampicillin- and/or vancomycin-resistant Enterococcus faecium (AREf and VREf) has increased in hospitalized patients in the Netherlands. To quantify the prevalence, risk factors and co-carriage of AREf and VREf in humans, cats and dogs in the Dutch population. From 2014 to 2015, ∼2000 inhabitants of the Netherlands each month were randomly invited to complete a questionnaire and provide a faecal sample. Subjects owning pets were also asked to submit one dog or cat sample. Faecal samples were screened for AREf and VREf. The genetic relatedness of isolates was determined using core genome MLST. Logistic regression analysis was used to determine risk factors. Of 25 365 subjects, 4721 (18.6%) completed the questionnaire and 1992 (42.2%) human, 277 dog and 118 cat samples were submitted. AREf was detected in 29 human (1.5%), 71 dog (25.6%) and 6 cat (5.1%) samples. VREf (vanA) was detected in one human and one dog. AREf/VREf co-carriage was not detected in 388 paired samples. The use of antibiotics (OR 4.2, 95% CI 1.7-11.2) and proton pump inhibitors (OR 2.7, 95% CI 1.1-6.3) were risk factors for AREf carriage in humans. In dogs, these were the use of antibiotics (OR 2.3, 95% CI 1.1-4.6) and eating raw meat (OR 3.2, 95% CI 1.4-6.6). Core genome MLST-based phylogenetic linkage indicated clonal relatedness for a minority of human (16.7%) and pet AREf isolates (23.8%) in three clusters. Intestinal carriage with AREf or VREf is rare in the Dutch general population. Although AREf carriage is high in dogs, phylogenetic linkage between human and pet AREf isolates was limited.</t>
  </si>
  <si>
    <t>Validation of a Novel Molecular Host Response Assay to Diagnose Infection in Hospitalized Patients Admitted to the ICU With Acute Respiratory Failure.</t>
  </si>
  <si>
    <t>Koster-Brouwer, Maria E; Verboom, Diana M; Scicluna, Brendon P; van de Groep, Kirsten; Frencken, Jos F; Janssen, Davy; Schuurman, Rob; Schultz, Marcus J; van der Poll, Tom; Bonten, Marc J M; Cremer, Olaf L; ,</t>
  </si>
  <si>
    <t>https://pubmed.ncbi.nlm.nih.gov/29474322</t>
  </si>
  <si>
    <t>Discrimination between infectious and noninfectious causes of acute respiratory failure is difficult in patients admitted to the ICU after a period of hospitalization. Using a novel biomarker test (SeptiCyte LAB), we aimed to distinguish between infection and inflammation in this population. Nested cohort study. Two tertiary mixed ICUs in the Netherlands. Hospitalized patients with acute respiratory failure requiring mechanical ventilation upon ICU admission from 2011 to 2013. Patients having an established infection diagnosis or an evidently noninfectious reason for intubation were excluded. None. Blood samples were collected upon ICU admission. Test results were categorized into four probability bands (higher bands indicating higher infection probability) and compared with the infection plausibility as rated by post hoc assessment using strict definitions. Of 467 included patients, 373 (80%) were treated for a suspected infection at admission. Infection plausibility was classified as ruled out, undetermined, or confirmed in 135 (29%), 135 (29%), and 197 (42%) patients, respectively. Test results correlated with infection plausibility (Spearman's rho 0.332; p &lt; 0.001). After exclusion of undetermined cases, positive predictive values were 29%, 54%, and 76% for probability bands 2, 3, and 4, respectively, whereas the negative predictive value for band 1 was 76%. Diagnostic discrimination of SeptiCyte LAB and C-reactive protein was similar (p = 0.919). Among hospitalized patients admitted to the ICU with clinical uncertainty regarding the etiology of acute respiratory failure, the diagnostic value of SeptiCyte LAB was limited.</t>
  </si>
  <si>
    <t>Measurement of quarkonium production in proton-lead and proton-proton collisions at &lt;math xmlns="http://www.w3.org/1998/Math/MathML"&gt;&lt;mrow&gt;&lt;mn&gt;5.02&lt;/mn&gt; &lt;mspace&gt;&lt;/mspace&gt; &lt;mi&gt;TeV&lt;/mi&gt;&lt;/mrow&gt; &lt;/math&gt; with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</si>
  <si>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Andreazza, A; Andrei, V; Angelidak</t>
  </si>
  <si>
    <t>https://pubmed.ncbi.nlm.nih.gov/31265000</t>
  </si>
  <si>
    <t>The modification of the production of &lt;math xmlns="http://www.w3.org/1998/Math/MathML"&gt;&lt;mrow&gt;&lt;mi&gt;J&lt;/mi&gt; &lt;mo&gt;/&lt;/mo&gt; &lt;mi&gt;ψ&lt;/mi&gt;&lt;/mrow&gt; &lt;/math&gt; , &lt;math xmlns="http://www.w3.org/1998/Math/MathML"&gt;&lt;mrow&gt;&lt;mi&gt;ψ&lt;/mi&gt; &lt;mo&gt;(&lt;/mo&gt; &lt;mn&gt;2&lt;/mn&gt; &lt;mi&gt;S&lt;/mi&gt; &lt;mo&gt;)&lt;/mo&gt;&lt;/mrow&gt; &lt;/math&gt; , and &lt;math xmlns="http://www.w3.org/1998/Math/MathML"&gt;&lt;mrow&gt;&lt;mi&gt;Υ&lt;/mi&gt; &lt;mo&gt;(&lt;/mo&gt; &lt;mi&gt;n&lt;/mi&gt; &lt;mi&gt;S&lt;/mi&gt; &lt;mo&gt;)&lt;/mo&gt;&lt;/mrow&gt; &lt;/math&gt; ( &lt;math xmlns="http://www.w3.org/1998/Math/MathML"&gt;&lt;mrow&gt;&lt;mi&gt;n&lt;/mi&gt; &lt;mo&gt;=&lt;/mo&gt; &lt;mn&gt;1&lt;/mn&gt; &lt;mo&gt;,&lt;/mo&gt; &lt;mn&gt;2&lt;/mn&gt; &lt;mo&gt;,&lt;/mo&gt; &lt;mn&gt;3&lt;/mn&gt;&lt;/mrow&gt; &lt;/math&gt; ) in &lt;i&gt;p&lt;/i&gt;+Pb collisions with respect to their production in &lt;i&gt;pp&lt;/i&gt; collisions has been studied. The &lt;i&gt;p&lt;/i&gt;+Pb and &lt;i&gt;pp&lt;/i&gt; datasets used in this paper correspond to integrated luminosities of &lt;math xmlns="http://www.w3.org/1998/Math/MathML"&gt;&lt;mrow&gt;&lt;mn&gt;28&lt;/mn&gt; &lt;mspace&gt;&lt;/mspace&gt; &lt;msup&gt;&lt;mrow&gt;&lt;mi&gt;nb&lt;/mi&gt;&lt;/mrow&gt; &lt;mrow&gt;&lt;mo&gt;-&lt;/mo&gt; &lt;mn&gt;1&lt;/mn&gt;&lt;/mrow&gt; &lt;/msup&gt; &lt;/mrow&gt; &lt;/math&gt; and &lt;math xmlns="http://www.w3.org/1998/Math/MathML"&gt;&lt;mrow&gt;&lt;mn&gt;25&lt;/mn&gt; &lt;mspace&gt;&lt;/mspace&gt; &lt;msup&gt;&lt;mrow&gt;&lt;mi&gt;pb&lt;/mi&gt;&lt;/mrow&gt; &lt;mrow&gt;&lt;mo&gt;-&lt;/mo&gt; &lt;mn&gt;1&lt;/mn&gt;&lt;/mrow&gt; &lt;/msup&gt; &lt;/mrow&gt; &lt;/math&gt; respectively, collected in 2013 and 2015 by the ATLAS detector at the LHC, both at a centre-of-mass energy per nucleon pair of 5.02 TeV. The quarkonium states are reconstructed in the dimuon decay channel. The yields of &lt;math xmlns="http://www.w3.org/1998/Math/MathML"&gt;&lt;mrow&gt;&lt;mi&gt;J&lt;/mi&gt; &lt;mo&gt;/&lt;/mo&gt; &lt;mi&gt;ψ&lt;/mi&gt;&lt;/mrow&gt; &lt;/math&gt; and &lt;math xmlns="http://www.w3.org/1998/Math/MathML"&gt;&lt;mrow&gt;&lt;mi&gt;ψ&lt;/mi&gt; &lt;mo&gt;(&lt;/mo&gt; &lt;mrow&gt;&lt;mn&gt;2&lt;/mn&gt; &lt;mi&gt;S&lt;/mi&gt;&lt;/mrow&gt; &lt;mo&gt;)&lt;/mo&gt;&lt;/mrow&gt; &lt;/math&gt; are separated into prompt and non-prompt sources. The measured quarkonium differential cross sections are presented as a function of rapidity and transverse momentum, as is the nuclear modification factor, &lt;math xmlns="http://www.w3.org/1998/Math/MathML"&gt;&lt;msub&gt;&lt;mi&gt;R&lt;/mi&gt; &lt;mrow&gt;&lt;mi&gt;p&lt;/mi&gt; &lt;mi&gt;Pb&lt;/mi&gt;&lt;/mrow&gt; &lt;/msub&gt; &lt;/math&gt; for &lt;math xmlns="http://www.w3.org/1998/Math/MathML"&gt;&lt;mrow&gt;&lt;mi&gt;J&lt;/mi&gt; &lt;mo&gt;/&lt;/mo&gt; &lt;mi&gt;ψ&lt;/mi&gt;&lt;/mrow&gt; &lt;/math&gt; and &lt;math xmlns="http://www.w3.org/1998/Math/MathML"&gt;&lt;mrow&gt;&lt;mi&gt;Υ&lt;/mi&gt; &lt;mo&gt;(&lt;/mo&gt; &lt;mi&gt;n&lt;/mi&gt; &lt;mi&gt;S&lt;/mi&gt; &lt;mo&gt;)&lt;/mo&gt;&lt;/mrow&gt; &lt;/math&gt; . No significant modification of the &lt;math xmlns="http://www.w3.org/1998/Math/MathML"&gt;&lt;mrow&gt;&lt;mi&gt;J&lt;/mi&gt; &lt;mo&gt;/&lt;/mo&gt; &lt;mi&gt;ψ&lt;/mi&gt;&lt;/mrow&gt; &lt;/math&gt; production is observed while &lt;math xmlns="http://www.w3.org/1998/Math/MathML"&gt;&lt;mrow&gt;&lt;mi&gt;Υ&lt;/mi&gt; &lt;mo&gt;(&lt;/mo&gt; &lt;mi&gt;n&lt;/mi&gt; &lt;mi&gt;S&lt;/mi&gt; &lt;mo&gt;)&lt;/mo&gt;&lt;/mrow&gt; &lt;/math&gt; production is found to be suppressed at low transverse momentum in &lt;i&gt;p&lt;/i&gt;+Pb collisions relative to &lt;i&gt;pp&lt;/i&gt; collisions. The production of excited charmonium and bottomonium states is found to be suppressed relative to that of the ground states in central &lt;i&gt;p&lt;/i&gt;+Pb collisions.</t>
  </si>
  <si>
    <t>Long-term BMI and growth profiles in offspring of women with gestational diabetes.</t>
  </si>
  <si>
    <t>Hammoud, Nurah M; Visser, Gerard H A; van Rossem, Lenie; Biesma, Douwe H; Wit, Jan M; de Valk, Harold W</t>
  </si>
  <si>
    <t>https://pubmed.ncbi.nlm.nih.gov/29492638</t>
  </si>
  <si>
    <t>Gestational diabetes mellitus (GDM) is reported to be associated with childhood obesity, however the magnitude of this association and relation to intrauterine growth is uncertain. We, therefore, aimed to assess whether the growth trajectories of large for gestational age (LGA) and non-LGA offspring of mothers with GDM (OGDM) are different until early adolescence. We also aimed to explore whether growth trajectories of OGDM differ from those of offspring of mothers with type 1 or 2 diabetes (ODM1, ODM2). We studied height and BMI standard deviation score (SDS) of the OGDM group, up to the age of 14 years, with subgroup analysis comparing LGA with non-LGA at birth as a reflection of the intrauterine environment. All mothers with GDM who delivered at the University Medical Center Utrecht between 1990 and 2006 were contacted to participate; informed consent was received for 104 OGDM of 93 mothers. Offspring data were collected through Dutch infant welfare centres. Recorded height and weight were converted to BMI and age- and sex-specific SDS values for Dutch children. Additionally, we compared the OGDM group with ODM1 and ODM2 groups in order to identify those offspring with the highest risk of becoming overweight. Growth trajectories were compared between non-LGA and LGA OGDM and between OGDM, ODM1 and ODM2, using a random-effects model. In the longitudinal follow-up a mean of 7.4 ± 2 measurements per infant were available. Mothers had a prepregnancy BMI of 25.8 kg/m&lt;sup&gt;2&lt;/sup&gt; and 24% of their infants were LGA at birth. Heights of OGDM were no different from those of the Dutch Growth Study. Non-LGA OGDM showed a BMI SDS comparable with that of the reference population, with a slight increase in early adolescence. LGA OGDM had a higher BMI SDS trajectory than non-LGA OGDM and the reference population, which plateaued at around 10 years of age. Comparison of growth trajectories of OGDM, ODM1 and ODM2 showed ODM2 to have the highest trajectory followed by ODM1 and OGDM, with the LGA counterparts of all three offspring groups in the highest BMI SDS ranges. Until early adolescence, OGDM have a BMI that is 0.5 SDS higher than that of the Dutch background population. LGA OGDM appear to be at particularly higher risk of being overweight in adolescence compared with non-LGA OGDM, putting them also at a higher lifetime risk of being overweight and developing obesity. ODM2 showed the highest BMI SDS values and had an average BMI SDS of +1.6 until the age of 14, when it became +2 SD. These results emphasize the importance of adequate recognition and timely treatment of maternal gestational diabetes to prevent fetal macrosomia in obstetrics.</t>
  </si>
  <si>
    <t>The risk of cardiovascular disease following breast cancer by Framingham risk score.</t>
  </si>
  <si>
    <t>Gernaat, Sofie A M; Boer, Jolanda M A; van den Bongard, Desiree H J; Maas, Angela H E M; van der Pol, Carmen C; Bijlsma, Rhodé M; Grobbee, Diederick E; Verkooijen, Helena M; Peeters, Petra H</t>
  </si>
  <si>
    <t>https://pubmed.ncbi.nlm.nih.gov/29492735</t>
  </si>
  <si>
    <t>This study evaluates the risk of cardiovascular disease (CVD) following breast cancer, accounting for baseline CVD risk. Within the EPIC-NL (Dutch part of the European Prospective Investigation into Nutrition and Cancer) cohort, 1103 women were diagnosed with breast cancer. For every breast cancer patient, 3-4 women without breast cancer (n = 4328) were selected matched for age, year, and time since cohort enrollment. Based on CVD risk factors at cohort enrollment, 10-year risk of CVD was calculated and categorized: low (&lt; 10%), intermediate (10-20%), high (&gt; 20%). Cox proportional hazard models assessed the risk of CVD events (hospitalization or mortality) and CVD mortality of women with versus without breast cancer, adjusted for baseline CVD risk. After median follow-up of 5 and 6 years, 92 (8.3%) and 325 (7.5%) CVD events occurred in women with and without breast cancer, respectively. In the low CVD risk group, women with breast cancer had 1.44 (95% CI 1.00-2.06) times higher risk of CVD events than women without breast cancer. In the intermediate and high CVD risk categories, risk of CVD events was similar in women with and without breast cancer. Overall, women with breast cancer had 1.77 (95% CI 1.10-2.86) times higher risk of CVD mortality than women without breast cancer. Among women with low CVD risk, women with breast cancer have a higher risk of CVD event than women without breast cancer. Overall, women with breast cancer have a higher risk of CVD mortality than women without breast cancer.</t>
  </si>
  <si>
    <t>DNA methylation in childhood asthma: an epigenome-wide meta-analysis.</t>
  </si>
  <si>
    <t>Xu, Cheng-Jian; Söderhäll, Cilla; Bustamante, Mariona; Baïz, Nour; Gruzieva, Olena; Gehring, Ulrike; Mason, Dan; Chatzi, Leda; Basterrechea, Mikel; Llop, Sabrina; Torrent, Maties; Forastiere, Francesco; Fantini, Maria Pia; Carlsen, Karin C Lødrup; Haahtela, Tari; Morin, Andréanne; Kerkhof, Marjan; Merid, Simon Kebede; van Rijkom, Bianca; Jankipersadsing, Soesma A; Bonder, Marc Jan; Ballereau, Stephane; Vermeulen, Cornelis J; Aguirre-Gamboa, Raul; de Jongste, Johan C; Smit, Henriette A; Kumar, Ashish; Pershagen, Göran; Guerra, Stefano; Garcia-Aymerich, Judith; Greco, Dario; Reinius, Lovisa; McEachan, Rosemary R C; Azad, Raf; Hovland, Vegard; Mowinckel, Petter; Alenius, Harri; Fyhrquist, Nanna; Lemonnier, Nathanaël; Pellet, Johann; Auffray, Charles; ,; van der Vlies, Pieter; van Diemen, Cleo C; Li, Yang; Wijmenga, Cisca; Netea, Mihai G; Moffatt, Miriam F; Cookson, William O C M; Anto, Josep M; Bousquet, Jean; Laatikainen, Tiina; Laprise, Catherine; Carlsen, Kai-Håkon; Gori, Davide; Porta</t>
  </si>
  <si>
    <t>https://pubmed.ncbi.nlm.nih.gov/29496485</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</si>
  <si>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</si>
  <si>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Measurement of &lt;math xmlns="http://www.w3.org/1998/Math/MathML"&gt;&lt;mi&gt;τ&lt;/mi&gt;&lt;/math&gt; polarisation in &lt;math xmlns="http://www.w3.org/1998/Math/MathML"&gt;&lt;mrow&gt;&lt;mi&gt;Z&lt;/mi&gt; &lt;mo&gt;/&lt;/mo&gt; &lt;msup&gt;&lt;mi&gt;γ&lt;/mi&gt; &lt;mrow&gt;&lt;mrow&gt;&lt;/mrow&gt; &lt;mo&gt;∗&lt;/mo&gt;&lt;/mrow&gt; &lt;/msup&gt; &lt;mo&gt;→&lt;/mo&gt; &lt;mi&gt;τ&lt;/mi&gt; &lt;mi&gt;τ&lt;/mi&gt;&lt;/mrow&gt; &lt;/math&gt; decays in proton-proton collisions at &lt;math xmlns="http://www.w3.org/1998/Math/MathML"&gt; &lt;mrow&gt;&lt;msqrt&gt;&lt;mi&gt;s&lt;/mi&gt;&lt;/msqrt&gt; &lt;mo&gt;=&lt;/mo&gt; &lt;mn&gt;8&lt;/mn&gt;&lt;/mrow&gt; &lt;/math&gt; TeV with the ATLAS detector.</t>
  </si>
  <si>
    <t>https://pubmed.ncbi.nlm.nih.gov/31265004</t>
  </si>
  <si>
    <t>This paper presents a measurement of the polarisation of &lt;math xmlns="http://www.w3.org/1998/Math/MathML"&gt;&lt;mi&gt;τ&lt;/mi&gt;&lt;/math&gt; leptons produced in &lt;math xmlns="http://www.w3.org/1998/Math/MathML"&gt;&lt;mrow&gt;&lt;mi&gt;Z&lt;/mi&gt; &lt;mo&gt;/&lt;/mo&gt; &lt;msup&gt;&lt;mi&gt;γ&lt;/mi&gt; &lt;mrow&gt;&lt;mrow&gt;&lt;/mrow&gt; &lt;mo&gt;∗&lt;/mo&gt;&lt;/mrow&gt; &lt;/msup&gt; &lt;mo&gt;→&lt;/mo&gt; &lt;mi&gt;τ&lt;/mi&gt; &lt;mi&gt;τ&lt;/mi&gt;&lt;/mrow&gt; &lt;/math&gt; decays which is performed with a dataset of proton-proton collisions at &lt;math xmlns="http://www.w3.org/1998/Math/MathML"&gt; &lt;mrow&gt;&lt;msqrt&gt;&lt;mi&gt;s&lt;/mi&gt;&lt;/msqrt&gt; &lt;mo&gt;=&lt;/mo&gt; &lt;mn&gt;8&lt;/mn&gt;&lt;/mrow&gt; &lt;/math&gt; TeV, corresponding to an integrated luminosity of 20.2 fb &lt;math xmlns="http://www.w3.org/1998/Math/MathML"&gt;&lt;msup&gt;&lt;mrow&gt;&lt;/mrow&gt; &lt;mrow&gt;&lt;mo&gt;-&lt;/mo&gt; &lt;mn&gt;1&lt;/mn&gt;&lt;/mrow&gt; &lt;/msup&gt; &lt;/math&gt; recorded with the ATLAS detector at the LHC in 2012. The &lt;math xmlns="http://www.w3.org/1998/Math/MathML"&gt;&lt;mrow&gt;&lt;mi&gt;Z&lt;/mi&gt; &lt;mo&gt;/&lt;/mo&gt; &lt;msup&gt;&lt;mi&gt;γ&lt;/mi&gt; &lt;mrow&gt;&lt;mrow&gt;&lt;/mrow&gt; &lt;mo&gt;∗&lt;/mo&gt;&lt;/mrow&gt; &lt;/msup&gt; &lt;mo&gt;→&lt;/mo&gt; &lt;mi&gt;τ&lt;/mi&gt; &lt;mi&gt;τ&lt;/mi&gt;&lt;/mrow&gt; &lt;/math&gt; decays are reconstructed from a hadronically decaying &lt;math xmlns="http://www.w3.org/1998/Math/MathML"&gt;&lt;mi&gt;τ&lt;/mi&gt;&lt;/math&gt; lepton with a single charged particle in the final state, accompanied by a &lt;math xmlns="http://www.w3.org/1998/Math/MathML"&gt;&lt;mi&gt;τ&lt;/mi&gt;&lt;/math&gt; lepton that decays leptonically. The &lt;math xmlns="http://www.w3.org/1998/Math/MathML"&gt;&lt;mi&gt;τ&lt;/mi&gt;&lt;/math&gt; polarisation is inferred from the relative fraction of energy carried by charged and neutral hadrons in the hadronic &lt;math xmlns="http://www.w3.org/1998/Math/MathML"&gt;&lt;mi&gt;τ&lt;/mi&gt;&lt;/math&gt; decays. The polarisation is measured in a fiducial region that corresponds to the kinematic region accessible to this analysis. The &lt;math xmlns="http://www.w3.org/1998/Math/MathML"&gt;&lt;mi&gt;τ&lt;/mi&gt;&lt;/math&gt; polarisation extracted over the full phase space within the &lt;math xmlns="http://www.w3.org/1998/Math/MathML"&gt;&lt;mrow&gt;&lt;mi&gt;Z&lt;/mi&gt; &lt;mo&gt;/&lt;/mo&gt; &lt;msup&gt;&lt;mi&gt;γ&lt;/mi&gt; &lt;mrow&gt;&lt;mrow&gt;&lt;/mrow&gt; &lt;mo&gt;∗&lt;/mo&gt;&lt;/mrow&gt; &lt;/msup&gt; &lt;/mrow&gt; &lt;/math&gt; mass range of 66 &lt;math xmlns="http://www.w3.org/1998/Math/MathML"&gt;&lt;mrow&gt;&lt;mo&gt;&lt;&lt;/mo&gt; &lt;msub&gt;&lt;mi&gt;m&lt;/mi&gt; &lt;mrow&gt;&lt;mi&gt;Z&lt;/mi&gt; &lt;mo&gt;/&lt;/mo&gt; &lt;msup&gt;&lt;mi&gt;γ&lt;/mi&gt; &lt;mrow&gt;&lt;mrow&gt;&lt;/mrow&gt; &lt;mo&gt;∗&lt;/mo&gt;&lt;/mrow&gt; &lt;/msup&gt; &lt;/mrow&gt; &lt;/msub&gt; &lt;mo&gt;&lt;&lt;/mo&gt;&lt;/mrow&gt; &lt;/math&gt; 116 GeV is found to be &lt;math xmlns="http://www.w3.org/1998/Math/MathML"&gt; &lt;mrow&gt;&lt;msub&gt;&lt;mi&gt;P&lt;/mi&gt; &lt;mi&gt;τ&lt;/mi&gt;&lt;/msub&gt; &lt;mo&gt;=&lt;/mo&gt; &lt;mo&gt;-&lt;/mo&gt; &lt;mn&gt;0.14&lt;/mn&gt; &lt;mo&gt;±&lt;/mo&gt; &lt;mn&gt;0.02&lt;/mn&gt; &lt;mrow&gt;&lt;mo&gt;(&lt;/mo&gt; &lt;mtext&gt;stat&lt;/mtext&gt; &lt;mo&gt;)&lt;/mo&gt;&lt;/mrow&gt; &lt;mo&gt;±&lt;/mo&gt; &lt;mn&gt;0.04&lt;/mn&gt; &lt;mrow&gt;&lt;mo&gt;(&lt;/mo&gt; &lt;mtext&gt;syst&lt;/mtext&gt; &lt;mo&gt;)&lt;/mo&gt;&lt;/mrow&gt; &lt;/mrow&gt; &lt;/math&gt; . It is in agreement with the Standard Model prediction of &lt;math xmlns="http://www.w3.org/1998/Math/MathML"&gt; &lt;mrow&gt;&lt;msub&gt;&lt;mi&gt;P&lt;/mi&gt; &lt;mi&gt;τ&lt;/mi&gt;&lt;/msub&gt; &lt;mo&gt;=&lt;/mo&gt; &lt;mo&gt;-&lt;/mo&gt; &lt;mn&gt;0.1517&lt;/mn&gt; &lt;mo&gt;±&lt;/mo&gt; &lt;mn&gt;0.0019&lt;/mn&gt;&lt;/mrow&gt; &lt;/math&gt; , which is obtained from the ALPGEN event generator interfaced with the PYTHIA 6 parton shower modelling and the TAUOLA &lt;math xmlns="http://www.w3.org/1998/Math/MathML"&gt;&lt;mi&gt;τ&lt;/mi&gt;&lt;/math&gt; decay library.</t>
  </si>
  <si>
    <t>Predicting the Effect of Fenofibrate on Cardiovascular Risk for Individual Patients With Type 2 Diabetes.</t>
  </si>
  <si>
    <t>Koopal, Charlotte; Visseren, Frank L J; Westerink, Jan; van der Graaf, Yolanda; Ginsberg, Henry N; Keech, Anthony C</t>
  </si>
  <si>
    <t>https://pubmed.ncbi.nlm.nih.gov/29472432</t>
  </si>
  <si>
    <t>In clinical trials, treatment with fenofibrate did not reduce the incidence of major cardiovascular events (MCVE) in patients with type 2 diabetes mellitus (T2DM). However, treatment effects reported by trials comprise patients who respond poorly and patients who respond well to fenofibrate. Our aim was to use statistical modeling to estimate the expected treatment effect of fenofibrate for individual patients with T2DM. To estimate individual risk, the FIELD risk model, with 5-year MCVE as primary outcome, was externally validated in T2DM patients from ACCORD and the SMART observational cohort. Fenofibrate treatment effect was estimated in 17,142 T2DM patients from FIELD, ACCORD, and SMART. Individual treatment effect, expressed as absolute risk reduction (ARR), is the difference between treated and untreated MCVE risk. Results were stratified for patients with and without dyslipidemia (i.e., high triglycerides and low LDL cholesterol). External validation of the FIELD risk model showed good calibration and moderate discrimination in ACCORD (C-statistic 0.67 [95% CI 0.65-0.69]) and SMART (C-statistic 0.66 [95% CI 0.63-0.69]). Median 5-year MCVE risk in all three studies combined was 6.7% (interquartile range [IQR] 4.0-11.7) in patients without (&lt;i&gt;N&lt;/i&gt; = 13,224) and 9.4% (IQR 5.4-16.1%) in patients with (&lt;i&gt;N&lt;/i&gt; = 3,918) dyslipidemia. The median ARR was 2.15% (IQR 1.23-3.68) in patients with dyslipidemia, corresponding with a number needed to treat (NNT) of 47, and 0.22% (IQR 0.13-0.38) in patients without dyslipidemia (NNT 455). In individual patients with T2DM, there is a wide range of absolute treatment effect of fenofibrate, and overall the fenofibrate treatment effect was larger in patients with dyslipidemia. The method of individualized treatment effect prediction of fenofibrate on MCVE risk reduction in T2DM can be used to guide clinical decision making.</t>
  </si>
  <si>
    <t>Search for the direct production of charginos and neutralinos in final states with tau leptons in &lt;math xmlns="http://www.w3.org/1998/Math/MathML"&gt; &lt;mrow&gt;&lt;msqrt&gt;&lt;mi&gt;s&lt;/mi&gt;&lt;/msqrt&gt; &lt;mo&gt;=&lt;/mo&gt; &lt;mn&gt;13&lt;/mn&gt; &lt;mspace&gt;&lt;/mspace&gt; &lt;mi&gt;TeV&lt;/mi&gt;&lt;/mrow&gt; &lt;/math&gt; &lt;i&gt;pp&lt;/i&gt; collisions with the ATLAS detector.</t>
  </si>
  <si>
    <t>https://pubmed.ncbi.nlm.nih.gov/31264997</t>
  </si>
  <si>
    <t>A search for the direct production of charginos and neutralinos in final states with at least two hadronically decaying tau leptons is presented. The analysis uses a dataset of &lt;i&gt;pp&lt;/i&gt; collisions corresponding to an integrated luminosity of 36.1 fb &lt;math xmlns="http://www.w3.org/1998/Math/MathML"&gt;&lt;msup&gt;&lt;mrow&gt;&lt;/mrow&gt; &lt;mrow&gt;&lt;mo&gt;-&lt;/mo&gt; &lt;mn&gt;1&lt;/mn&gt;&lt;/mrow&gt; &lt;/msup&gt; &lt;/math&gt; , recorded with the ATLAS detector at the Large Hadron Collider at a centre-of-mass energy of 13 TeV. No significant deviation from the expected Standard Model background is observed. Limits are derived in scenarios of pair production and of and production in simplified models where the neutralinos and charginos decay solely via intermediate left-handed staus and tau sneutrinos, and the mass of the &lt;math xmlns="http://www.w3.org/1998/Math/MathML"&gt; &lt;msub&gt;&lt;mover&gt;&lt;mi&gt;τ&lt;/mi&gt; &lt;mo&gt;~&lt;/mo&gt;&lt;/mover&gt; &lt;mi&gt;L&lt;/mi&gt;&lt;/msub&gt; &lt;/math&gt; state is set to be halfway between the masses of the and the . Chargino masses up to 630 GeV are excluded at 95% confidence level in the scenario of direct production of for a massless . Common and masses up to 760 GeV are excluded in the case of production of and assuming a massless . Exclusion limits for additional benchmark scenarios with large and small mass-splitting between the and the are also studied by varying the &lt;math xmlns="http://www.w3.org/1998/Math/MathML"&gt; &lt;msub&gt;&lt;mover&gt;&lt;mi&gt;τ&lt;/mi&gt; &lt;mo&gt;~&lt;/mo&gt;&lt;/mover&gt; &lt;mi&gt;L&lt;/mi&gt;&lt;/msub&gt; &lt;/math&gt; mass between the masses of the and the .</t>
  </si>
  <si>
    <t>Early introduction of complementary foods and childhood overweight in breastfed and formula-fed infants in the Netherlands: the PIAMA birth cohort study.</t>
  </si>
  <si>
    <t>Pluymen, Linda P M; Wijga, Alet H; Gehring, Ulrike; Koppelman, Gerard H; Smit, Henriëtte A; van Rossem, L</t>
  </si>
  <si>
    <t>https://pubmed.ncbi.nlm.nih.gov/29470690</t>
  </si>
  <si>
    <t>To investigate whether early introduction of complementary foods (CF) is associated with an increased risk of overweight during childhood, and whether this association differs between formula-fed and breastfed infants. We included 2611 participants that were born at term from a Dutch population-based birth cohort (n = 3963) designed to investigate the development of asthma and allergies. Parents kept records of their infant's age when CF were first introduced. Weight and height were parent reported yearly from age 1 to 8 years, and at ages 11, 14 and 17 years. We used multivariate generalized estimating equations analysis to investigate the association between timing of CF introduction (before 4 months vs at or after 4 months of age) and overweight at ages 1-17 years. Children with CF introduction before 4 months had higher odds of being overweight during childhood than children with CF introduction at or after 4 months (OR 1.32, 95% CI 1.19, 1.47). This association was observed in formula-fed infants (OR 1.51, 95% CI 1.17, 1.94) and breastfed infants (OR 1.32, 95% CI 1.19, 1.47). The duration of breastfeeding modified the association between CF introduction and overweight: children breastfed for shorter than 4 months, but not children breastfed for 4 months or longer with CF introduction before 4 months had higher odds of being overweight (OR 1.37, 95% CI 1.19, 1.57 and 1.07, 95% CI 0.87, 1.32, respectively), compared to those with CF introduction at or after 4 months. In children born at term, formula-fed infants and infants who were breastfed for shorter than 4 months, but not infants who were breastfed for 4 months or longer, had a higher risk of being overweight during childhood when being introduced to CF before 4 months of age.</t>
  </si>
  <si>
    <t>High Prevalence of Intra-Familial Co-colonization by Extended-Spectrum Cephalosporin Resistant &lt;i&gt;Enterobacteriaceae&lt;/i&gt; in Preschool Children and Their Parents in Dutch Households.</t>
  </si>
  <si>
    <t>Liakopoulos, Apostolos; van den Bunt, Gerrita; Geurts, Yvon; Bootsma, Martin C J; Toleman, Mark; Ceccarelli, Daniela; van Pelt, Wilfrid; Mevius, Dik J</t>
  </si>
  <si>
    <t>https://pubmed.ncbi.nlm.nih.gov/29515562</t>
  </si>
  <si>
    <t>Extended-spectrum cephalosporin-resistant (ESC&lt;sup&gt;R&lt;/sup&gt;) &lt;i&gt;Enterobacteriaceae&lt;/i&gt; pose a serious infection control challenge for public health. The emergence of the ESC&lt;sup&gt;R&lt;/sup&gt; phenotype is mostly facilitated by plasmid-mediated horizontal extended-spectrum β-lactamases (ESBLs) and AmpC gene transfer within &lt;i&gt;Enterobacteriaceae&lt;/i&gt;. Current data regarding the plasmid contribution to this emergence within the Dutch human population is limited. Hence, the aim of this study was to gain insight into the role of plasmids in the dissemination of ESBL/AmpC genes inside Dutch households with preschool children and precisely delineate co-colonization. In 87 ESC&lt;sup&gt;R&lt;/sup&gt;&lt;i&gt;Enterobacteriaceae&lt;/i&gt; from fecal samples of parents and preschool children within 66 Dutch households, genomic localization, plasmid type and insertion sequences linked to ESBL/AmpC genes were determined. Chromosomal location of ESBL/AmpC genes was confirmed when needed. An epidemiologically relevant subset of the isolates based on household co-carriage was assessed by Multilocus Sequence Typing and Pulsed-Field Gel Electrophoresis for genetic relatedness. The narrow-host range I1α and F plasmids were the major facilitators of ESBL/AmpC-gene dissemination. Interestingly, we documented a relatively high occurrence of chromosomal integration of typically plasmid-encoded ESBL/AmpC-genes. A high diversity of non-epidemic &lt;i&gt;Escherichia coli&lt;/i&gt; sequence types (STs) was revealed; the predominant STs belonged to the pandemic lineages of extraintestinal pathogenic &lt;i&gt;E. coli&lt;/i&gt; ST131 and ST69. Intra-familiar co-carriage by identical ESC&lt;sup&gt;R&lt;/sup&gt;&lt;i&gt;Enterobacteriaceae&lt;/i&gt; was documented in 7 households compared to 14 based on sole gene typing, as previously reported. Co-carriage was more frequent than expected based on pure chance, suggesting clonal transmission between children and parents within the household.</t>
  </si>
  <si>
    <t>Left ventricular geometric patterns in end-stage kidney disease: Determinants and course over time.</t>
  </si>
  <si>
    <t>Nubé, Menso J; Hoekstra, Tiny; Doganer, Volkan; Bots, Michiel L; Blankestijn, Peter J; van den Dorpel, Marinus; Kamp, Otto; Ter Wee, Piet M; de Roij van Zuijdewijn, Camiel L M; Grooteman, Muriel P C</t>
  </si>
  <si>
    <t>hemodialysis international international symposium on home hemodialysis</t>
  </si>
  <si>
    <t>https://pubmed.ncbi.nlm.nih.gov/29461006</t>
  </si>
  <si>
    <t>While concentric left ventricular hypertrophy (cLVH) predominates in non-dialysis-dependent chronic kidney disease (CKD), eccentric left ventricular hypertrophy (eLVH) is most prevalent in dialysis-dependent CKD stage 5 (CKD5D). In these patients, the risk of sudden death is 5× higher than in individuals with cLVH. Currently, it is unknown which factors determine left ventricular (LV) geometry and how it changes over time in CKD5D. Data from participants of the CONvective TRAnsport Study who underwent serial transthoracic echocardiography were used. Based on left ventricular mass (LVM) and relative wall thickness (RWT), 4 types of left ventricular geometry were distinguished: normal, concentric remodeling, eLVH, and cLVH. Determinants of eLVH were assessed with logistic regression. Left ventricular geometry of patients who died and survived were compared. Long-term changes in RWT and LVM were evaluated with a linear mixed model. Three hundred twenty-two patients (63.1 ± 13.3 years) were included. At baseline, LVH was present in 71% (cLVH: 27%; eLVH: 44%). Prior cardiovascular disease (CVD) was positively associated with eLVH and ß-blocker use inversely. None of the putative volume parameters showed any relationship with eLVH. Although eLVH was most prevalent in non-survivors, the distribution of left ventricular geometry did not vary over time. The finding that previous CVD was positively associated with eLVH may result from the permanent high cardiac output and the strong tendency for aortic valve calcification in this group of long-term hemodialysis patients, who suffer generally also from chronic anemia and various other metabolic derangements. No association was found between eLVH and parameters of fluid balance. The distribution of left ventricular geometry did not alter over time. The assumption that LV geometry worsens over time in susceptible individuals, who then suffer from a high risk of dying, may explain these findings.</t>
  </si>
  <si>
    <t>Prevalence of Subclinical Coronary Artery Disease Assessed by Coronary Computed Tomography Angiography in 45- to 55-Year-Old Women With a History of Preeclampsia.</t>
  </si>
  <si>
    <t>Zoet, Gerbrand A; Benschop, Laura; Boersma, Eric; Budde, Ricardo P J; Fauser, Bart C J M; van der Graaf, Yolanda; de Groot, Christianne J M; Maas, Angela H E M; Roeters van Lennep, Jeanine E; Steegers, Eric A P; Visseren, Frank L; van Rijn, Bas B; Velthuis, Birgitta K; Franx, Arie; ,</t>
  </si>
  <si>
    <t>https://pubmed.ncbi.nlm.nih.gov/29459475</t>
  </si>
  <si>
    <t>Towards an appropriate framework to facilitate responsible inclusion of pregnant women in drug development programs.</t>
  </si>
  <si>
    <t>Roes, Kit C B; van der Zande, Indira S E; van Smeden, Maarten; van der Graaf, Rieke</t>
  </si>
  <si>
    <t>https://pubmed.ncbi.nlm.nih.gov/29458400</t>
  </si>
  <si>
    <t>Evidence-based treatment for pregnant women will ultimately require research conducted in the population of pregnant women. Currently, few scholars have addressed the issue of responsible inclusion of pregnant women in drug research. Because of additional risks associated with including pregnant women in drug research and the altered ways in which drugs are processed by the pregnant body, pregnant women cannot be treated as an ordinary subgroup in the various phases of drug development. Instead, responsible inclusion of pregnant women requires careful design and planning of research for pregnant women specifically. Knowledge about these aspects is virtually nonexistent. In this article, we present a practical framework for the responsible inclusion of pregnant women in drug development. We suggest that the framework consists of using a question-based approach with five key questions in combination with three prerequisites which should be addressed when considering inclusion of pregnant women in drug research. The five questions are: A. Can we consider the drug safe (enough) for first exposure in pregnant women and fetuses? B. In which dose range (potentially depending on gestational age) can the drug be considered to remain safe in pregnant women? C. At what dose (regimen, within the range considered safe) can we expect efficacy in pregnant women? D. Can efficacy be confirmed at the target dose, either similar to the initial population or different? E. Can clinical safety be confirmed at a sufficiently acceptable level at the target dose for pregnant women and fetuses, so as to conclude a positive benefit-risk ratio? Combining questions and prerequisites leads to a scheme for appropriate timing of responsible inclusion of pregnant women in drug research. Accordingly, we explore several research design options for including pregnant women in drug trials that are feasible within the framework. Ultimately, the framework may lead to (i) earlier inclusion of pregnant women in drug development, (ii) ensuring that key prerequisites, such as proper dosing, are addressed before more substantial numbers of pregnant women are included in trials, and (iii) optimal use of safety and efficacy data from the initial (nonpregnant) population throughout the drug development process.</t>
  </si>
  <si>
    <t>External Validation of Risk Scores for Major Bleeding in a Population-Based Cohort of Transient Ischemic Attack and Ischemic Stroke Patients.</t>
  </si>
  <si>
    <t>https://pubmed.ncbi.nlm.nih.gov/29459399</t>
  </si>
  <si>
    <t>The S&lt;sub&gt;2&lt;/sub&gt;TOP-BLEED score may help to identify patients at high risk of bleeding on antiplatelet drugs after a transient ischemic attack or ischemic stroke. The score was derived on trial populations, and its performance in a real-world setting is unknown. We aimed to externally validate the S&lt;sub&gt;2&lt;/sub&gt;TOP-BLEED score for major bleeding in a population-based cohort and to compare its performance with other risk scores for bleeding. We studied risk of bleeding in 2072 patients with a transient ischemic attack or ischemic stroke on antiplatelet agents in the population-based OXVASC (Oxford Vascular Study) according to 3 scores: S&lt;sub&gt;2&lt;/sub&gt;TOP-BLEED, REACH, and Intracranial-B&lt;sub&gt;2&lt;/sub&gt;LEED&lt;sub&gt;3&lt;/sub&gt;S. Performance was assessed with C statistics and calibration plots. During 8302 patient-years of follow-up, 117 patients had a major bleed. The S&lt;sub&gt;2&lt;/sub&gt;TOP-BLEED score showed a C statistic of 0.69 (95% confidence interval [CI], 0.64-0.73) and accurate calibration for 3-year risk of major bleeding. The S&lt;sub&gt;2&lt;/sub&gt;TOP-BLEED score was much more predictive of fatal bleeding than nonmajor bleeding (C statistics 0.77; 95% CI, 0.69-0.85 and 0.50; 95% CI, 0.44-0.58). The REACH score had a C statistic of 0.63 (95% CI, 0.58-0.69) for major bleeding and the Intracranial-B&lt;sub&gt;2&lt;/sub&gt;LEED&lt;sub&gt;3&lt;/sub&gt;S score a C statistic of 0.60 (95% CI, 0.51-0.70) for intracranial bleeding. The ratio of ischemic events versus bleeds decreased across risk groups of bleeding from 6.6:1 in the low-risk group to 1.8:1 in the high-risk group. The S&lt;sub&gt;2&lt;/sub&gt;TOP-BLEED score shows modest performance in a population-based cohort of patients with a transient ischemic attack or ischemic stroke. Although bleeding risks were associated with risks of ischemic events, risk stratification may still be useful to identify a subgroup of patients at particularly high risk of bleeding, in whom preventive measures are indicated.</t>
  </si>
  <si>
    <t>Measurement of longitudinal flow decorrelations in Pb+Pb collisions at &lt;math xmlns="http://www.w3.org/1998/Math/MathML"&gt; &lt;mrow&gt; &lt;msqrt&gt;&lt;msub&gt;&lt;mi&gt;s&lt;/mi&gt; &lt;mtext&gt;NN&lt;/mtext&gt;&lt;/msub&gt; &lt;/msqrt&gt; &lt;mo&gt;=&lt;/mo&gt; &lt;mn&gt;2.76&lt;/mn&gt;&lt;/mrow&gt; &lt;/math&gt; and 5.02 TeV with the ATLAS detector.</t>
  </si>
  <si>
    <t>https://pubmed.ncbi.nlm.nih.gov/31265002</t>
  </si>
  <si>
    <t>Measurements of longitudinal flow correlations are presented for charged particles in the pseudorapidity range &lt;math xmlns="http://www.w3.org/1998/Math/MathML"&gt;&lt;mrow&gt;&lt;mo&gt;|&lt;/mo&gt; &lt;mi&gt;η&lt;/mi&gt; &lt;mo&gt;|&lt;/mo&gt; &lt;mo&gt;&lt;&lt;/mo&gt; &lt;mn&gt;2.4&lt;/mn&gt;&lt;/mrow&gt; &lt;/math&gt; using 7 and 470 &lt;math xmlns="http://www.w3.org/1998/Math/MathML"&gt;&lt;mrow&gt;&lt;mi&gt;μ&lt;/mi&gt; &lt;msup&gt;&lt;mtext&gt;b&lt;/mtext&gt; &lt;mrow&gt;&lt;mo&gt;-&lt;/mo&gt; &lt;mn&gt;1&lt;/mn&gt;&lt;/mrow&gt; &lt;/msup&gt; &lt;/mrow&gt; &lt;/math&gt; of Pb+Pb collisions at &lt;math xmlns="http://www.w3.org/1998/Math/MathML"&gt; &lt;mrow&gt; &lt;msqrt&gt;&lt;msub&gt;&lt;mi&gt;s&lt;/mi&gt; &lt;mtext&gt;NN&lt;/mtext&gt;&lt;/msub&gt; &lt;/msqrt&gt; &lt;mo&gt;=&lt;/mo&gt; &lt;mn&gt;2.76&lt;/mn&gt;&lt;/mrow&gt; &lt;/math&gt; and 5.02 TeV, respectively, recorded by the ATLAS detector at the LHC. It is found that the correlation between the harmonic flow coefficients &lt;math xmlns="http://www.w3.org/1998/Math/MathML"&gt;&lt;msub&gt;&lt;mi&gt;v&lt;/mi&gt; &lt;mi&gt;n&lt;/mi&gt;&lt;/msub&gt; &lt;/math&gt; measured in two separated &lt;math xmlns="http://www.w3.org/1998/Math/MathML"&gt;&lt;mi&gt;η&lt;/mi&gt;&lt;/math&gt; intervals does not factorise into the product of single-particle coefficients, and this breaking of factorisation, or flow decorrelation, increases linearly with the &lt;math xmlns="http://www.w3.org/1998/Math/MathML"&gt;&lt;mi&gt;η&lt;/mi&gt;&lt;/math&gt; separation between the intervals. The flow decorrelation is stronger at 2.76 TeV than at 5.02 TeV. Higher-order moments of the correlations are also measured, and the corresponding linear coefficients for the &lt;math xmlns="http://www.w3.org/1998/Math/MathML"&gt;&lt;mrow&gt;&lt;mi&gt;k&lt;/mi&gt; &lt;mtext&gt;th&lt;/mtext&gt;&lt;/mrow&gt; &lt;/math&gt; -moment of the &lt;math xmlns="http://www.w3.org/1998/Math/MathML"&gt;&lt;msub&gt;&lt;mi&gt;v&lt;/mi&gt; &lt;mi&gt;n&lt;/mi&gt;&lt;/msub&gt; &lt;/math&gt; are found to be proportional to &lt;i&gt;k&lt;/i&gt; for &lt;math xmlns="http://www.w3.org/1998/Math/MathML"&gt;&lt;msub&gt;&lt;mi&gt;v&lt;/mi&gt; &lt;mn&gt;3&lt;/mn&gt;&lt;/msub&gt; &lt;/math&gt; , but not for &lt;math xmlns="http://www.w3.org/1998/Math/MathML"&gt;&lt;msub&gt;&lt;mi&gt;v&lt;/mi&gt; &lt;mn&gt;2&lt;/mn&gt;&lt;/msub&gt; &lt;/math&gt; . The decorrelation effect is separated into contributions from the magnitude of &lt;math xmlns="http://www.w3.org/1998/Math/MathML"&gt;&lt;msub&gt;&lt;mi&gt;v&lt;/mi&gt; &lt;mi&gt;n&lt;/mi&gt;&lt;/msub&gt; &lt;/math&gt; and the event-plane orientation, each as a function of &lt;math xmlns="http://www.w3.org/1998/Math/MathML"&gt;&lt;mi&gt;η&lt;/mi&gt;&lt;/math&gt; . These two contributions are found to be comparable. The longitudinal flow correlations are also measured between &lt;math xmlns="http://www.w3.org/1998/Math/MathML"&gt;&lt;msub&gt;&lt;mi&gt;v&lt;/mi&gt; &lt;mi&gt;n&lt;/mi&gt;&lt;/msub&gt; &lt;/math&gt; of different order in &lt;i&gt;n&lt;/i&gt;. The decorrelations of &lt;math xmlns="http://www.w3.org/1998/Math/MathML"&gt;&lt;msub&gt;&lt;mi&gt;v&lt;/mi&gt; &lt;mn&gt;2&lt;/mn&gt;&lt;/msub&gt; &lt;/math&gt; and &lt;math xmlns="http://www.w3.org/1998/Math/MathML"&gt;&lt;msub&gt;&lt;mi&gt;v&lt;/mi&gt; &lt;mn&gt;3&lt;/mn&gt;&lt;/msub&gt; &lt;/math&gt; are found to be independent of each other, while the decorrelations of &lt;math xmlns="http://www.w3.org/1998/Math/MathML"&gt;&lt;msub&gt;&lt;mi&gt;v&lt;/mi&gt; &lt;mn&gt;4&lt;/mn&gt;&lt;/msub&gt; &lt;/math&gt; and &lt;math xmlns="http://www.w3.org/1998/Math/MathML"&gt;&lt;msub&gt;&lt;mi&gt;v&lt;/mi&gt; &lt;mn&gt;5&lt;/mn&gt;&lt;/msub&gt; &lt;/math&gt; are found to be driven by the nonlinear contribution from &lt;math xmlns="http://www.w3.org/1998/Math/MathML"&gt;&lt;msubsup&gt;&lt;mi&gt;v&lt;/mi&gt; &lt;mn&gt;2&lt;/mn&gt; &lt;mn&gt;2&lt;/mn&gt;&lt;/msubsup&gt; &lt;/math&gt; and &lt;math xmlns="http://www.w3.org/1998/Math/MathML"&gt; &lt;mrow&gt;&lt;msub&gt;&lt;mi&gt;v&lt;/mi&gt; &lt;mn&gt;2&lt;/mn&gt;&lt;/msub&gt; &lt;msub&gt;&lt;mi&gt;v&lt;/mi&gt; &lt;mn&gt;3&lt;/mn&gt;&lt;/msub&gt; &lt;/mrow&gt; &lt;/math&gt; , respectively.</t>
  </si>
  <si>
    <t>Elements of the complete blood count associated with cardiovascular disease incidence: Findings from the EPIC-NL cohort study.</t>
  </si>
  <si>
    <t>Lassale, Camille; Curtis, Alyscia; Abete, Itziar; van der Schouw, Yvonne T; Verschuren, W M Monique; Lu, Yunxia; Bueno-de-Mesquita, H B As</t>
  </si>
  <si>
    <t>https://pubmed.ncbi.nlm.nih.gov/29459661</t>
  </si>
  <si>
    <t>All blood cells (white blood cells [WBC], red blood cells [RBC] and platelets) can play a role in atherosclerosis. Complete blood count (CBC) is widely available in clinical practice but utility as potential risk factors for cardiovascular disease (CVD) is uncertain. Our aim was to assess the associations of pre-diagnostic CBC with incidence of CVD in 14,362 adults free of CVD and aged 47.8 (±11.7) years at baseline, followed-up for 11.4 years (992 incident cases). Cox proportional hazards regressions were used to estimate HRs and 95%CI. Comparing the top (T3) to bottom (T1) tertile, increased total WBC, lymphocyte, monocyte and neutrophil counts were associated with higher CVD risk: 1.31 (1.10; 1.55), 1.20 (1.02; 1.41), 1.21 (1.03; 1.41) and 1.24 (1.05; 1.47), as well as mean corpuscular volume (MCV: 1.23 [1.04; 1.46]) and red cell distribution width (RDW: 1.22 [1.03; 1.44]). Platelets displayed an association for count values above the clinically normal range: 1.49 (1.00; 2.22). To conclude, total and differential WBC count, MCV, RDW and platelet count likely play a role in the aetiology of CVD but only WBC provide a modest improvement for the prediction of 10-year CVD risk over traditional CVD risk factors in a general population.</t>
  </si>
  <si>
    <t>Cost-effectiveness of PCSK9 inhibition in addition to standard lipid-lowering therapy in patients at high risk for vascular disease.</t>
  </si>
  <si>
    <t>Stam-Slob, Manon C; van der Graaf, Yolanda; de Boer, Anthonius; Greving, Jacoba P; Visseren, Frank L J</t>
  </si>
  <si>
    <t>https://pubmed.ncbi.nlm.nih.gov/29306457</t>
  </si>
  <si>
    <t>As proprotein convertase subtilisin-kexin type 9 (PCSK9) monoclonal antibodies are entering the market, we assessed the cost-effectiveness of PCSK9 inhibition added to standard lipid-lowering therapy in patient groups at high risk for major adverse cardiovascular events (MACE). A lifetime Markov Model was designed to estimate healthcare costs, quality-adjusted life years (QALYs) and incremental cost-effectiveness ratios (ICERs) for PCSK9 inhibition added to standard therapy in patients with Familial Hypercholesterolemia (FH), patients with vascular disease at high MACE recurrence risk, and patients with vascular disease with diabetes mellitus. The balance between costs and health outcomes was established for a broad range of potential relative risk reductions and drug costs. The expected QALY gain per patient and ICER in the main scenario were 1.4 QALYs for €78,485/QALY gained in patients with FH, 0.22 QALYs for €176,735/QALY gained in those with vascular disease and a predicted risk of MACE ≥30% in 10years, and 0.22 QALYs for €295,543/QALY gained in those with vascular disease and diabetes. Results were sensitive to assumptions on PCSK9 inhibitor treatment efficacy, and vascular event risks. The costs and effects of PCSK9 inhibition added to standard lipid-lowering treatment in patient groups at high risk for MACE can be estimated and adapted to a specific clinical setting. PCSK9 inhibition could be cost-effective in patients with FH. In patients with vascular disease PCSK9 inhibition is less cost-effective, however, a price development may change clinical practice. This model may aid treatment and reimbursement decisions regarding PCSK9 inhibitors.</t>
  </si>
  <si>
    <t>Direct top-quark decay width measurement in the &lt;math xmlns="http://www.w3.org/1998/Math/MathML"&gt;&lt;mrow&gt;&lt;mi&gt;t&lt;/mi&gt; &lt;mover&gt;&lt;mrow&gt;&lt;mi&gt;t&lt;/mi&gt;&lt;/mrow&gt; &lt;mrow&gt;&lt;mo&gt;¯&lt;/mo&gt;&lt;/mrow&gt; &lt;/mover&gt; &lt;/mrow&gt; &lt;/math&gt; lepton+jets channel at &lt;math xmlns="http://www.w3.org/1998/Math/MathML"&gt; &lt;mrow&gt;&lt;msqrt&gt;&lt;mi&gt;s&lt;/mi&gt;&lt;/msqrt&gt; &lt;mo&gt;=&lt;/mo&gt; &lt;mn&gt;8&lt;/mn&gt; &lt;mspace&gt;&lt;/mspace&gt; &lt;mtext&gt;TeV&lt;/mtext&gt;&lt;/mrow&gt; &lt;/math&gt; with the ATLAS experiment.</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</si>
  <si>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Verzini, M J Alconada; Alderweireldt, S C; Aleksa, M; Aleksandrov, I N; Alexa, C; Alexander, G; Alexopoulos, T; Alhroob, M; Ali, B; Aliev, M; Alimonti, G; Alison, J; Alkire, S P; Allbrooke, B M M; Allen, B W; Allport, P P; Aloisio, A; Alonso, A; Alonso, F; Alpigiani, C; Alshehri, A A; Alstaty, M I; Gonzalez, B Alvarez; Piqueras, D Álvarez; Alviggi, M G; Amadio, B T; Coutinho, Y Amaral; Amelung, C; Amidei, D; Dos Santos, S P Amor; Amoroso, S; Amundsen, G; Anastopoulos, C; Ancu, L S; Andari, N; Andeen, T; Anders, C F; Anders, J K; Anderson, K J; Andr</t>
  </si>
  <si>
    <t>https://pubmed.ncbi.nlm.nih.gov/31265010</t>
  </si>
  <si>
    <t>This paper presents a direct measurement of the decay width of the top quark using &lt;math xmlns="http://www.w3.org/1998/Math/MathML"&gt;&lt;mrow&gt;&lt;mi&gt;t&lt;/mi&gt; &lt;mover&gt;&lt;mrow&gt;&lt;mi&gt;t&lt;/mi&gt;&lt;/mrow&gt; &lt;mrow&gt;&lt;mo&gt;¯&lt;/mo&gt;&lt;/mrow&gt; &lt;/mover&gt; &lt;/mrow&gt; &lt;/math&gt; events in the lepton+jets final state. The data sample was collected by the ATLAS detector at the LHC in proton-proton collisions at a centre-of-mass energy of 8 TeV and corresponds to an integrated luminosity of 20.2 fb &lt;math xmlns="http://www.w3.org/1998/Math/MathML"&gt;&lt;msup&gt;&lt;mrow&gt;&lt;/mrow&gt; &lt;mrow&gt;&lt;mo&gt;-&lt;/mo&gt; &lt;mn&gt;1&lt;/mn&gt;&lt;/mrow&gt; &lt;/msup&gt; &lt;/math&gt; . The decay width of the top quark is measured using a template fit to distributions of kinematic observables associated with the hadronically and semileptonically decaying top quarks. The result, &lt;math xmlns="http://www.w3.org/1998/Math/MathML"&gt; &lt;mrow&gt;&lt;msub&gt;&lt;mi&gt;Γ&lt;/mi&gt; &lt;mi&gt;t&lt;/mi&gt;&lt;/msub&gt; &lt;mo&gt;=&lt;/mo&gt; &lt;mn&gt;1.76&lt;/mn&gt; &lt;mo&gt;±&lt;/mo&gt; &lt;mn&gt;0.33&lt;/mn&gt; &lt;mspace&gt;&lt;/mspace&gt; &lt;mrow&gt;&lt;mo&gt;(&lt;/mo&gt; &lt;mtext&gt;stat.&lt;/mtext&gt; &lt;mo&gt;)&lt;/mo&gt;&lt;/mrow&gt; &lt;msubsup&gt;&lt;mspace&gt;&lt;/mspace&gt; &lt;mrow&gt;&lt;mo&gt;-&lt;/mo&gt; &lt;mn&gt;0.68&lt;/mn&gt;&lt;/mrow&gt; &lt;mrow&gt;&lt;mo&gt;+&lt;/mo&gt; &lt;mn&gt;0.79&lt;/mn&gt;&lt;/mrow&gt; &lt;/msubsup&gt; &lt;mspace&gt;&lt;/mspace&gt; &lt;mrow&gt;&lt;mo&gt;(&lt;/mo&gt; &lt;mtext&gt;syst.&lt;/mtext&gt; &lt;mo&gt;)&lt;/mo&gt;&lt;/mrow&gt; &lt;mspace&gt;&lt;/mspace&gt; &lt;mtext&gt;GeV&lt;/mtext&gt;&lt;/mrow&gt; &lt;/math&gt; for a top-quark mass of 172.5 GeV, is consistent with the prediction of the Standard Model.</t>
  </si>
  <si>
    <t>Prediagnostic Serum Vitamin D Levels and the Risk of Crohn's Disease and Ulcerative Colitis in European Populations: A Nested Case-Control Study.</t>
  </si>
  <si>
    <t>Opstelten, Jorrit L; Chan, Simon S M; Hart, Andrew R; van Schaik, Fiona D M; Siersema, Peter D; Lentjes, Eef G W M; Khaw, Kay-Tee; Luben, Robert; Key, Timothy J; Boeing, Heiner; Bergmann, Manuela M; Overvad, Kim; Palli, Domenico; Masala, Giovanna; Racine, Antoine; Carbonnel, Franck; Boutron-Ruault, Marie-Christine; Tjønneland, Anne; Olsen, Anja; Andersen, Vibeke; Kaaks, Rudolf; Kühn, Tilman; Tumino, Rosario; Trichopoulou, Antonia; Peeters, Petra H M; Verschuren, W M Monique; Witteman, Ben J M; Oldenburg, Bas</t>
  </si>
  <si>
    <t>https://pubmed.ncbi.nlm.nih.gov/29462382</t>
  </si>
  <si>
    <t>A low vitamin D status has been put forward as a potential risk factor for the development of inflammatory bowel disease (IBD). This study investigated the association between prediagnostic circulating vitamin D concentrations and dietary intakes of vitamin D, and the risk of Crohn's disease (CD) and ulcerative colitis (UC). Among 359,728 participants of the European Prospective Investigation into Cancer and Nutrition cohort, individuals who developed CD or UC after enrollment were identified. Each case was matched with2 controls by center, gender, age, date of recruitment, and follow-up time. At cohort entry, blood samples were collected and dietary vitamin D intakes were obtained from validated food frequency questionnaires. Serum 25-hydroxyvitamin D levels were measured using liquid chromatography-tandem mass spectrometry. Conditional logistic regression was performed to determine the odds of CD and UC. Seventy-two participants developed CD and 169 participants developed UC after a median follow-up of 4.7 and 4.1 years, respectively. Compared with the lowest quartile, no associations with the 3 higher quartiles of vitamin D concentrations were observed for CD (p trend = 0.34) or UC (p trend = 0.66). Similarly, no associations were detected when serum vitamin D levels were analyzed as a continuous variable. Dietary vitamin D intakes were not associated with CD (p trend = 0.39) or UC (p trend = 0.83). Vitamin D status was not associated with the development of CD or UC. This does not suggest a major role for vitamin D deficiency in the etiology of IBD, although larger studies are needed to confirm these findings.</t>
  </si>
  <si>
    <t>Barriers and facilitators to the implementation of a paediatric palliative care team.</t>
  </si>
  <si>
    <t>Verberne, Lisa M; Kars, Marijke C; Schepers, Sasja A; Schouten-van Meeteren, Antoinette Y N; Grootenhuis, Martha A; van Delden, Johannes J M</t>
  </si>
  <si>
    <t>https://pubmed.ncbi.nlm.nih.gov/29433576</t>
  </si>
  <si>
    <t>Over the last decade, paediatric palliative care teams (PPCTs) have been introduced to support children with life-limiting diseases and their families and to ensure continuity, coordination and quality of paediatric palliative care (PPC). However, implementing a PPCT into an organisation is a challenge. The objective of this study was to identify barriers and facilitators reported by healthcare professionals (HCPs) in primary, secondary or tertiary care for implementing a newly initiated multidisciplinary PPCT to bridge the gap between hospital and home. The Measurement Instrument for Determinants of Innovations (MIDI) was used to assess responses of 71 HCPs providing PPC to one or more of the 129 children included in a pilot study of a PPCT based at a university children's hospital. The MIDI (29 items) assessed barriers and facilitators to implementing the PPCT by using a 5-point scale (completely disagree to completely agree) and additional open-ended questions. Items to which ≥20% of participants responded with 'totally disagree/disagree' and ≥80% responded with 'agree/totally agree' were considered as barriers and facilitators, respectively. A general inductive approach was used for open-ended questions. Reported barriers to implementing a PPCT were related to the HCP's own organisation (e.g., no working arrangements related to use of the intervention [PPCT] registered, other organisational changes such as merger going on). Reported facilitators were mainly related to the intervention (correctness, simplicity, observability and relevancy) and the user scale (positive outcome expectations, patient satisfaction) and only once to the organisation scale (information accessibility). Additionally, HCPs expressed the need for clarity about tasks of the PPCT and reported having made a transition from feeling threatened by the PPCT to satisfaction about the PPCT. Positive experiences with the PPCT are a major facilitator for implementing a PPCT. Tailored organisational strategies such as working arrangements by management, concrete information about the PPCT itself and the type of support provided by the PPCT should be clearly communicated to involved HCPs to increase awareness about benefits of the PPCT and ensure a successful implementation. New PPCTs need protection and resources in their initial year to develop into experienced and qualified PPCTs.</t>
  </si>
  <si>
    <t>Aetiology of lower respiratory tract infection in adults in primary care: a prospective study in 11 European countries.</t>
  </si>
  <si>
    <t>Ieven, M; Coenen, S; Loens, K; Lammens, C; Coenjaerts, F; Vanderstraeten, A; Henriques-Normark, B; Crook, D; Huygen, K; Butler, C C; Verheij, T J M; Little, P; Zlateva, K; van Loon, A; Claas, E C J; Goossens, H; ,</t>
  </si>
  <si>
    <t>https://pubmed.ncbi.nlm.nih.gov/29447989</t>
  </si>
  <si>
    <t>To describe the role of bacteria (including bacterial resistance), viruses (including those recently described) and mixed bacterial-viral infections in adults presenting to primary care with lower respiratory tract infection (LRTI). In all, 3104 adults with LRTI were enrolled, of whom 141 (4.5%) had community-acquired pneumonia (CAP), and 2985 matched controls in a prospective study in 16 primary care networks in Europe, and followed patients up at 28-35 days. We detected Streptococcus pneumoniae and Haemophilus influenzae and assessed susceptibility, atypical bacteria and viruses. A potential pathogen was detected in 1844 (59%) (in 350 (11%) bacterial pathogens only, in 1190 (38%) viral pathogens only, and in 304 (10%) both bacterial and viral pathogens). The most common bacterial pathogens isolated were S. pneumoniae (5.5% overall, 9.2% in CAP patients) and H. influenzae (5.4% overall, 14.2% in CAP patients). Less than 1% of S. pneumoniae were highly resistant to penicillin and 12.6% of H. influenzae were β-lactamase positive. The most common viral pathogens detected were human rhinovirus (20.1%), influenza viruses (9.9%), and human coronavirus (7.4%). Influenza virus, human parainfluenza viruses and human respiratory syncytial virus as well as human rhinovirus, human coronavirus and human metapneumovirus were detected significantly more frequently in LRTI patients than in controls. A bacterial pathogen is identified in approximately one in five adult patients with LRTI in primary care, and a viral pathogen in just under half, with mixed infections in one in ten. Penicillin-resistant pneumococci and β-lactamase-producing H. influenzae are uncommon. These new findings support a restrictive approach to antibiotic prescribing for LRTI and the use of first-line, narrow-spectrum agents in primary care.</t>
  </si>
  <si>
    <t>Random measurement error: Why worry? An example of cardiovascular risk factors.</t>
  </si>
  <si>
    <t>Brakenhoff, Timo B; van Smeden, Maarten; Visseren, Frank L J; Groenwold, Rolf H H</t>
  </si>
  <si>
    <t>https://pubmed.ncbi.nlm.nih.gov/29425217</t>
  </si>
  <si>
    <t>With the increased use of data not originally recorded for research, such as routine care data (or 'big data'), measurement error is bound to become an increasingly relevant problem in medical research. A common view among medical researchers on the influence of random measurement error (i.e. classical measurement error) is that its presence leads to some degree of systematic underestimation of studied exposure-outcome relations (i.e. attenuation of the effect estimate). For the common situation where the analysis involves at least one exposure and one confounder, we demonstrate that the direction of effect of random measurement error on the estimated exposure-outcome relations can be difficult to anticipate. Using three example studies on cardiovascular risk factors, we illustrate that random measurement error in the exposure and/or confounder can lead to underestimation as well as overestimation of exposure-outcome relations. We therefore advise medical researchers to refrain from making claims about the direction of effect of measurement error in their manuscripts, unless the appropriate inferential tools are used to study or alleviate the impact of measurement error from the analysis.</t>
  </si>
  <si>
    <t>A new selection method to increase the health benefits of CVD prevention strategies.</t>
  </si>
  <si>
    <t>Lagerweij, Ghizelda R; de Wit, G Ardine; Moons, Karel Gm; van der Schouw, Yvonne T; Verschuren, Wm Monique; Dorresteijn, Jannick An; Koffijberg, Hendrik; ,</t>
  </si>
  <si>
    <t>https://pubmed.ncbi.nlm.nih.gov/29411690</t>
  </si>
  <si>
    <t>Background Cardiovascular disease (CVD) prevention is commonly focused on providing individuals at high predicted CVD risk with preventive medication. Whereas CVD risk increases rapidly with age, current risk-based selection of individuals mainly targets the elderly. However, the lifelong (preventable) consequences of CVD events may be larger in younger individuals. The purpose of this paper is to investigate if health benefits from preventive treatment may increase when the selection strategy is further optimised. Methods Data from three Dutch cohorts were combined ( n = 47469, men:women 1:1.92) and classified into subgroups based on age and gender. The Framingham global risk score was used to estimate 10-year CVD risk. The associated lifelong burden of CVD events according to this 10-year CVD risk was expressed as quality-adjusted life years lost. Based on this approach, the additional health benefits from preventive treatment, reducing this 10-year CVD risk, from selecting individuals based on their expected CVD burden rather than their expected CVD risk were estimated. These benefits were expressed as quality-adjusted life years gained over lifetime. Results When using the current selection strategy (10% risk threshold), 32% of the individuals were selected for preventive treatment. When the same proportion was selected based on burden, more younger and fewer older individuals would receive treatment. Across all individuals, the gain in quality-adjusted life years was 217 between the two strategies, over a 10-year time horizon. In addition, when combining the strategies 5% extra eligible individuals were selected resulting in a gain of 628 quality-adjusted life years. Conclusion Improvement of the selection approach of individuals can help to reduce further the CVD burden. Selecting individuals for preventive treatment based on their expected CVD burden will provide more younger and fewer older individuals with treatment, and will reduce the overall CVD burden.</t>
  </si>
  <si>
    <t>Measurement of the &lt;i&gt;W&lt;/i&gt;-boson mass in pp collisions at &lt;math xmlns="http://www.w3.org/1998/Math/MathML"&gt; &lt;mrow&gt;&lt;msqrt&gt;&lt;mi&gt;s&lt;/mi&gt;&lt;/msqrt&gt; &lt;mo&gt;=&lt;/mo&gt; &lt;mn&gt;7&lt;/mn&gt; &lt;mspace&gt;&lt;/mspace&gt; &lt;mtext&gt;TeV&lt;/mtext&gt;&lt;/mrow&gt; &lt;/math&gt; with the ATLAS detector.</t>
  </si>
  <si>
    <t>Aaboud, M; Aad, G; Abbott, B; Abdallah, J; Abdinov, O; Abeloos, B; Abidi, S H; AbouZeid, O S; Abraham, N L; Abramowicz, H; Abreu, H; Abreu, R; Abulaiti, Y; Acharya, B S; Adachi, S; Adamczyk, L; Adams, D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t>
  </si>
  <si>
    <t>https://pubmed.ncbi.nlm.nih.gov/31265006</t>
  </si>
  <si>
    <t>A measurement of the mass of the &lt;i&gt;W&lt;/i&gt; boson is presented based on proton-proton collision data recorded in 2011 at a centre-of-mass energy of 7 TeV with the ATLAS detector at the LHC, and corresponding to &lt;math xmlns="http://www.w3.org/1998/Math/MathML"&gt;&lt;mrow&gt;&lt;mn&gt;4.6&lt;/mn&gt; &lt;mspace&gt;&lt;/mspace&gt; &lt;msup&gt;&lt;mtext&gt;fb&lt;/mtext&gt; &lt;mrow&gt;&lt;mo&gt;-&lt;/mo&gt; &lt;mn&gt;1&lt;/mn&gt;&lt;/mrow&gt; &lt;/msup&gt; &lt;/mrow&gt; &lt;/math&gt; of integrated luminosity. The selected data sample consists of &lt;math xmlns="http://www.w3.org/1998/Math/MathML"&gt;&lt;mrow&gt;&lt;mn&gt;7.8&lt;/mn&gt; &lt;mo&gt;×&lt;/mo&gt; &lt;msup&gt;&lt;mn&gt;10&lt;/mn&gt; &lt;mn&gt;6&lt;/mn&gt;&lt;/msup&gt; &lt;/mrow&gt; &lt;/math&gt; candidates in the &lt;math xmlns="http://www.w3.org/1998/Math/MathML"&gt;&lt;mrow&gt;&lt;mi&gt;W&lt;/mi&gt; &lt;mo&gt;→&lt;/mo&gt; &lt;mi&gt;μ&lt;/mi&gt; &lt;mi&gt;ν&lt;/mi&gt;&lt;/mrow&gt; &lt;/math&gt; channel and &lt;math xmlns="http://www.w3.org/1998/Math/MathML"&gt;&lt;mrow&gt;&lt;mn&gt;5.9&lt;/mn&gt; &lt;mo&gt;×&lt;/mo&gt; &lt;msup&gt;&lt;mn&gt;10&lt;/mn&gt; &lt;mn&gt;6&lt;/mn&gt;&lt;/msup&gt; &lt;/mrow&gt; &lt;/math&gt; candidates in the &lt;math xmlns="http://www.w3.org/1998/Math/MathML"&gt;&lt;mrow&gt;&lt;mi&gt;W&lt;/mi&gt; &lt;mo&gt;→&lt;/mo&gt; &lt;mi&gt;e&lt;/mi&gt; &lt;mi&gt;ν&lt;/mi&gt;&lt;/mrow&gt; &lt;/math&gt; channel. The &lt;i&gt;W&lt;/i&gt;-boson mass is obtained from template fits to the reconstructed distributions of the charged lepton transverse momentum and of the &lt;i&gt;W&lt;/i&gt; boson transverse mass in the electron and muon decay channels, yielding &lt;DispFormula&gt;&lt;math xmlns="http://www.w3.org/1998/Math/MathML"&gt; &lt;mrow&gt; &lt;mtable&gt; &lt;mtr&gt; &lt;mtd&gt; &lt;mrow&gt;&lt;msub&gt;&lt;mi&gt;m&lt;/mi&gt; &lt;mi&gt;W&lt;/mi&gt;&lt;/msub&gt; &lt;mo&gt;=&lt;/mo&gt; &lt;mn&gt;80370&lt;/mn&gt;&lt;/mrow&gt; &lt;/mtd&gt; &lt;mtd&gt;&lt;mrow&gt;&lt;mo&gt;±&lt;/mo&gt; &lt;mn&gt;7&lt;/mn&gt; &lt;mspace&gt;&lt;/mspace&gt; &lt;mo&gt;(&lt;/mo&gt; &lt;mtext&gt;stat.&lt;/mtext&gt; &lt;mo&gt;)&lt;/mo&gt; &lt;mo&gt;±&lt;/mo&gt; &lt;mn&gt;11&lt;/mn&gt; &lt;mo&gt;(&lt;/mo&gt; &lt;mtext&gt;exp. syst.&lt;/mtext&gt; &lt;mo&gt;)&lt;/mo&gt;&lt;/mrow&gt; &lt;/mtd&gt; &lt;/mtr&gt; &lt;mtr&gt;&lt;mtd&gt;&lt;mrow&gt;&lt;/mrow&gt;&lt;/mtd&gt; &lt;mtd&gt;&lt;mrow&gt;&lt;mo&gt;±&lt;/mo&gt; &lt;mn&gt;14&lt;/mn&gt; &lt;mspace&gt;&lt;/mspace&gt; &lt;mo&gt;(&lt;/mo&gt; &lt;mtext&gt;mod. syst.&lt;/mtext&gt; &lt;mo&gt;)&lt;/mo&gt; &lt;mspace&gt;&lt;/mspace&gt; &lt;mtext&gt;MeV&lt;/mtext&gt;&lt;/mrow&gt; &lt;/mtd&gt; &lt;/mtr&gt; &lt;mtr&gt; &lt;mtd&gt;&lt;mrow&gt;&lt;mrow&gt;&lt;/mrow&gt; &lt;mo&gt;=&lt;/mo&gt; &lt;mn&gt;80370&lt;/mn&gt;&lt;/mrow&gt; &lt;/mtd&gt; &lt;mtd&gt;&lt;mrow&gt;&lt;mo&gt;±&lt;/mo&gt; &lt;mn&gt;19&lt;/mn&gt; &lt;mspace&gt;&lt;/mspace&gt; &lt;mtext&gt;MeV&lt;/mtext&gt; &lt;mo&gt;,&lt;/mo&gt;&lt;/mrow&gt; &lt;/mtd&gt; &lt;/mtr&gt; &lt;/mtable&gt; &lt;/mrow&gt; &lt;/math&gt;&lt;/DispFormula&gt; where the first uncertainty is statistical, the second corresponds to the experimental systematic uncertainty, and the third to the physics-modelling systematic uncertainty. A measurement of the mass difference between the &lt;math xmlns="http://www.w3.org/1998/Math/MathML"&gt;&lt;msup&gt;&lt;mi&gt;W&lt;/mi&gt; &lt;mo&gt;+&lt;/mo&gt;&lt;/msup&gt; &lt;/math&gt; and &lt;math xmlns="http://www.w3.org/1998/Math/MathML"&gt;&lt;msup&gt;&lt;mi&gt;W&lt;/mi&gt; &lt;mo&gt;-&lt;/mo&gt;&lt;/msup&gt; &lt;/math&gt; bosons yields &lt;math xmlns="http://www.w3.org/1998/Math/MathML"&gt; &lt;mrow&gt;&lt;msub&gt;&lt;mi&gt;m&lt;/mi&gt; &lt;msup&gt;&lt;mi&gt;W&lt;/mi&gt; &lt;mo&gt;+&lt;/mo&gt;&lt;/msup&gt; &lt;/msub&gt; &lt;mo&gt;-&lt;/mo&gt; &lt;msub&gt;&lt;mi&gt;m&lt;/mi&gt; &lt;msup&gt;&lt;mi&gt;W&lt;/mi&gt; &lt;mo&gt;-&lt;/mo&gt;&lt;/msup&gt; &lt;/msub&gt; &lt;mo&gt;=&lt;/mo&gt; &lt;mo&gt;-&lt;/mo&gt; &lt;mspace&gt;&lt;/mspace&gt; &lt;mn&gt;29&lt;/mn&gt; &lt;mo&gt;±&lt;/mo&gt; &lt;mn&gt;28&lt;/mn&gt;&lt;/mrow&gt; &lt;/math&gt;  MeV.</t>
  </si>
  <si>
    <t>Task shifting in active management of the third stage of labor: a systematic review.</t>
  </si>
  <si>
    <t>Raams, Tessa M; Browne, Joyce L; Festen-Schrier, Verena J M M; Klipstein-Grobusch, Kerstin; Rijken, Marcus J</t>
  </si>
  <si>
    <t>https://pubmed.ncbi.nlm.nih.gov/29409456</t>
  </si>
  <si>
    <t>Active management of the third stage of labor (AMTSL) describes interventions with the common goal to prevent postpartum hemorrhage (PPH). In low- and middle-income countries, implementation of AMTSL is hampered by shortage of skilled birth attendants and a high percentage of home deliveries. Task shifting of specific AMTSL components to unskilled birth attendants or self-administration could be a strategy to increase access to potentially life-saving interventions. This study was designed to evaluate the effect, acceptance and safety of task shifting of specific aspects of AMTSL to unskilled birth attendants. A systematic search was conducted in five databases in September 2015 to identify intervention studies of AMTSL implemented by unskilled birth attendants or pregnant women themselves. Quality of studies was evaluated with an adapted Cochrane Collaboration assessment tool. Of 2469 studies screened, 21 were included. All studies assessed implementation of uterotonics (misoprostol tablets or oxytocin injections), administered by community health workers (CHWs), auxiliary midwives, traditional birth attendants (TBAs) or self-administration at antenatal (home) visits or delivery. Task shifting for none of the other AMTSL components was reported. Task shifting of provision of uterotonics reduced the risk of PPH (RR 0.16 to 1) compared to standard care (13 studies, n = 15.197). The correct dose and timing was reported for 83.4 to 99.8% (5 studies, n = 6083) and 63 to 100% (9 studies, n = 8378) women respectively. Uterotonics were recommended to others by 80 to 99.7% (7 studies, n = 6445); 80 to 99.4% (5 studies, n = 2677) would use the drug at next delivery. Willingness to pay for uterotonics varied from 54.6 to 100% (7 studies, n = 6090). Task shifting of AMTSL has thus far been evaluated for administration of uterotonics (misoprostol tablets and oxytocin injected by CHWs and auxiliary midwives) and resulted in reduction of PPH, high rates of appropriate use and satisfaction among users. In order to increase AMTSL coverage in low-staffed health facilities, task shifting of uterine massage or postpartum tonus assessment to unskilled attendants or delivered women could be considered. Task shifting of controlled cord traction is currently not recommended.</t>
  </si>
  <si>
    <t>Potential Red-Flag Identification of Colorectal Adenomas with Wide-Field Fluorescence Molecular Endoscopy.</t>
  </si>
  <si>
    <t>Hartmans, Elmire; Tjalma, Jolien J J; Linssen, Matthijs D; Allende, Pilar Beatriz Garcia; Koller, Marjory; Jorritsma-Smit, Annelies; Nery, Mariana E Silva de Oliveira; Elias, Sjoerd G; Karrenbeld, Arend; de Vries, Elisabeth G E; Kleibeuker, Jan H; van Dam, Gooitzen M; Robinson, Dominic J; Ntziachristos, Vasilis; Nagengast, Wouter B</t>
  </si>
  <si>
    <t>https://pubmed.ncbi.nlm.nih.gov/29556334</t>
  </si>
  <si>
    <t>Adenoma miss rates in colonoscopy are unacceptably high, especially for sessile serrated adenomas / polyps (SSA/Ps) and in high-risk populations, such as patients with Lynch syndrome. Detection rates may be improved by fluorescence molecular endoscopy (FME), which allows morphological visualization of lesions with high-definition white-light imaging as well as fluorescence-guided identification of lesions with a specific molecular marker. In a clinical proof-of-principal study, we investigated FME for colorectal adenoma detection, using a fluorescently labelled antibody (bevacizumab-800CW) against vascular endothelial growth factor A (VEGFA), which is highly upregulated in colorectal adenomas. &lt;b&gt;Methods:&lt;/b&gt; Patients with familial adenomatous polyposis (n = 17), received an intravenous injection with 4.5, 10 or 25 mg of bevacizumab-800CW. Three days later, they received NIR-FME. &lt;b&gt;Results:&lt;/b&gt; VEGFA-targeted NIR-FME detected colorectal adenomas at all doses. Best results were achieved in the highest (25 mg) cohort, which even detected small adenomas (&lt;3 mm). Spectroscopy analyses of freshly excised specimen demonstrated the highest adenoma-to-normal ratio of 1.84 for the 25 mg cohort, with a calculated median tracer concentration in adenomas of 6.43 nmol/mL. &lt;i&gt;Ex vivo&lt;/i&gt; signal analyses demonstrated NIR fluorescence within the dysplastic areas of the adenomas. &lt;b&gt;Conclusion:&lt;/b&gt; These results suggest that NIR-FME is clinically feasible as a real-time, red-flag technique for detection of colorectal adenomas.</t>
  </si>
  <si>
    <t>Randomised controlled trial protocol (GRIP study): examining the effect of involvement of a general practitioner and home care oncology nurse after a cancer diagnosis on patient reported outcomes and healthcare utilization.</t>
  </si>
  <si>
    <t>Perfors, I A A; Helsper, C W; Noteboom, E A; van der Wall, E; de Wit, N J; May, A M</t>
  </si>
  <si>
    <t>https://pubmed.ncbi.nlm.nih.gov/29402234</t>
  </si>
  <si>
    <t>Due to the ageing population and improving diagnostics and treatments, the number of cancer patients and cancer survivors is increasing. Policymakers, patients and professionals advocate a transfer of (part of) cancer care from the hospital environment to the primary care setting, as this could stimulate personalized and integrated care, increase cost-effectiveness and would better meet the patients' needs and expectations. The effects of structured active follow-up from primary care after cancer diagnosis have not been studied yet. Therefore the GRIP study aims to assess the effects of structured follow-up after a cancer diagnosis, by a primary care team including a general practitioner (GP) and a home care oncology nurse (HON), on satisfaction and healthcare utilization of patients treated with curative intent. We will conduct a multicentre, two-arm randomised controlled trial in The Netherlands. We plan to include 150 patients who will be treated with curative intent for either breast, lung, colorectal, gynaecologic cancer, or melanoma. Further inclusion criteria are: age 18 years and older, able to answer questionnaires in Dutch, GP agrees to participate and the possibility to include the patient before the start of treatment. All patients receive care as usual. The intervention arm will receive additional structured follow-up consisting of a GP consultation before onset of treatment to empower the patient for shared decision making with the specialist and a minimum of three contacts with the HON during and after treatment. Primary outcomes are: patient satisfaction with care at the level of specialist, GP and nurse and healthcare utilization. Secondary outcomes include: quality of life, employment status, patient empowerment, shared decision making, mental health and satisfaction with given information. Repeated questionnaires, filled in by the participants, will be assessed within the 1-year study period. This randomised controlled trial will evaluate the effects of structured follow-up after a cancer diagnosis by a primary care team including a GP and HON, for patients undergoing treatment with curative intent. Results from the present study may provide the evidence needed to optimally rearrange responsibilities in cancer care delivery and consequently improve cancer care and patient related outcomes. Trial number: NTR5909 .</t>
  </si>
  <si>
    <t>Search for new phenomena in high-mass final states with a photon and a jet from &lt;math xmlns="http://www.w3.org/1998/Math/MathML"&gt;&lt;mrow&gt;&lt;mi&gt;pp&lt;/mi&gt;&lt;/mrow&gt; &lt;/math&gt; collisions at &lt;math xmlns="http://www.w3.org/1998/Math/MathML"&gt;&lt;msqrt&gt;&lt;mi&gt;s&lt;/mi&gt;&lt;/msqrt&gt; &lt;/math&gt; = 13 TeV with the ATLAS detector.</t>
  </si>
  <si>
    <t>https://pubmed.ncbi.nlm.nih.gov/31265009</t>
  </si>
  <si>
    <t>A search is performed for new phenomena in events having a photon with high transverse momentum and a jet collected in &lt;math xmlns="http://www.w3.org/1998/Math/MathML"&gt;&lt;mrow&gt;&lt;mn&gt;36.7&lt;/mn&gt; &lt;mspace&gt;&lt;/mspace&gt; &lt;msup&gt;&lt;mtext&gt;fb&lt;/mtext&gt; &lt;mrow&gt;&lt;mo&gt;-&lt;/mo&gt; &lt;mn&gt;1&lt;/mn&gt;&lt;/mrow&gt; &lt;/msup&gt; &lt;/mrow&gt; &lt;/math&gt; of proton-proton collisions at a centre-of-mass energy of &lt;math xmlns="http://www.w3.org/1998/Math/MathML"&gt;&lt;msqrt&gt;&lt;mi&gt;s&lt;/mi&gt;&lt;/msqrt&gt; &lt;/math&gt; = 13 TeV recorded with the ATLAS detector at the Large Hadron Collider. The invariant mass distribution of the leading photon and jet is examined to look for the resonant production of new particles or the presence of new high-mass states beyond the Standard Model. No significant deviation from the background-only hypothesis is observed and cross-section limits for generic Gaussian-shaped resonances are extracted. Excited quarks hypothesized in quark compositeness models and high-mass states predicted in quantum black hole models with extra dimensions are also examined in the analysis. The observed data exclude, at 95% confidence level, the mass range below 5.3 TeV for excited quarks and 7.1 TeV (4.4 TeV) for quantum black holes in the Arkani-Hamed-Dimopoulos-Dvali (Randall-Sundrum) model with six (one) extra dimensions.</t>
  </si>
  <si>
    <t>Cohort profile: LIFEWORK, a prospective cohort study on occupational and environmental risk factors and health in the Netherlands.</t>
  </si>
  <si>
    <t>Reedijk, Marije; Lenters, Virissa; Slottje, Pauline; Pijpe, Anouk; Peeters, Petra H; Korevaar, Joke C; Bueno-de-Mesquita, Bas; Verschuren, W M Monique; Verheij, Robert A; Pieterson, Inka; van Leeuwen, Flora E; Rookus, Matti A; Kromhout, Hans; Vermeulen, Roel C H</t>
  </si>
  <si>
    <t>https://pubmed.ncbi.nlm.nih.gov/29431129</t>
  </si>
  <si>
    <t>LIFEWORK is a large federated prospective cohort established in the Netherlands to quantify the health effects of occupational and environmental exposures. This cohort is also the Dutch contribution to the international Cohort Study of Mobile Phone Use and Health (COSMOS). In this paper, we describe the study design, ongoing data collection, baseline characteristics of participants and the repeatability of key questionnaire items. 88 466 participants were enrolled in three cohort studies in 2011-2012. Exposure information was collected by a harmonised core questionnaire, or modelled based on occupational and residential histories; domains include air pollution (eg, nitrogen dioxide (NO&lt;sub&gt;2&lt;/sub&gt;), particulate matter with diameter ≤2.5 µm (PM&lt;sub&gt;2.5&lt;/sub&gt;)), noise, electromagnetic fields (EMF), mobile phone use, shift work and occupational chemical exposures. Chronic and subacute health outcomes are assessed by self-report and through linkage with health registries. Participants had a median age of 51 years at baseline (range 19-87), and the majority are female (90%), with nurses being over-represented. Median exposure levels of NO&lt;sub&gt;2&lt;/sub&gt;, PM&lt;sub&gt;2.5&lt;/sub&gt;, EMF from base stations and noise at the participants' home addresses at baseline were 22.9 µg/m&lt;sup&gt;3&lt;/sup&gt;, 16.6 µg/m&lt;sup&gt;3&lt;/sup&gt;, 0.003 mWm&lt;sup&gt;2&lt;/sup&gt; and 53.1 dB, respectively. Twenty-two per cent of participants reported to have started using a mobile phone more than 10 years prior to baseline. Repeatability for self-reported exposures was moderate to high (weighted kappa range: 0.69-1) for a subset of participants (n=237) who completed the questionnaire twice. We are actively and passively observing participants; we plan to administer a follow-up questionnaire every 4-5 years-the first follow-up will be completed in 2018-and linkage to cause-of-death and cancer registries occurs on a (bi)annual basis. This prospective cohort offers a unique, large and rich resource for research on contemporary occupational and environmental health risks and will contribute to the large international COSMOS study on mobile phone use and health.</t>
  </si>
  <si>
    <t>Malaria, sickle cell disease, HIV, and co-trimoxazole prophylaxis: An observational study.</t>
  </si>
  <si>
    <t>Owusu, Ewurama D A; Cofie, Nana S A; Nai, Edna A; Klipstein-Grobusch, Kerstin; Brown, Charles A; Mens, Petra F; Grobusch, Martin P</t>
  </si>
  <si>
    <t>https://pubmed.ncbi.nlm.nih.gov/29408573</t>
  </si>
  <si>
    <t>This observational study recorded the malaria and sickle cell disease (SCD) profile of people living with HIV/AIDS (PLHA) and determined whether prophylactic co-trimoxazole (CTX) and the haemoglobin S (Hb S) allele influenced malaria episodes. Sickling status, malaria episodes, and HIV type, as well as other data, were extracted retrospectively from the clinical records of 1001 patients attending the antiretroviral therapy clinic at Ridge Regional Hospital in Accra, Ghana between 2010 and 2015. Finger-prick capillary blood of returning patients (n=501) was tested for the haemoglobin (Hb) level and malaria, after information on malaria prevention methods was obtained through the administration of a questionnaire. The use of insecticide-treated mosquito nets was low (22.8%). CTX prophylaxis showed no significant influence on the overall number of malaria episodes from 2010 to 2015; however, it did show a statistically significant relationship (p=0.026) with the time elapsed since the last malaria episode. Even though 19% of participants possessed Hb S, it had no influence on malaria episodes. Hb S did not influence malaria in PLHA. Further studies in Hb SS and Hb SC are needed, as there are suggestions of increased frequency and severity of malaria. The impact of CTX prophylaxis on this cohort will be insightful.</t>
  </si>
  <si>
    <t>Associations Between Enteral Colonization With Gram-Negative Bacteria and Intensive Care Unit-Acquired Infections and Colonization of the Respiratory Tract.</t>
  </si>
  <si>
    <t>Frencken, Jos F; Wittekamp, Bastiaan H J; Plantinga, Nienke L; Spitoni, Cristian; van de Groep, Kirsten; Cremer, Olaf L; Bonten, Marc J M</t>
  </si>
  <si>
    <t>https://pubmed.ncbi.nlm.nih.gov/29186403</t>
  </si>
  <si>
    <t>Enteral and respiratory tract colonization with gram-negative bacteria may lead to subsequent infections in critically ill patients. We aimed to clarify the interdependence between gut and respiratory tract colonization and their associations with intensive care unit (ICU)-acquired infections in patients receiving selective digestive tract decontamination (SDD). Colonization status of the rectum and respiratory tract was determined using twice-weekly microbiological surveillance in mechanically ventilated subjects receiving SDD between May 2011 and June 2015 in a tertiary medical-surgical ICU in the Netherlands. Acquisition of infections was monitored daily by dedicated observers. Marginal structural models were used to determine the associations between gram-negative rectal colonization and respiratory tract colonization, ICU-acquired gram-negative infection, and ICU-acquired gram-negative bacteremia. Among 2066 ICU admissions, 1157 (56.0%) ever had documented gram-negative carriage in the rectum during ICU stay. Cumulative incidences of ICU-acquired gram-negative infection and bacteremia were 6.0% (n = 124) and 2.1% (n = 44), respectively. Rectal colonization was an independent risk factor for both respiratory tract colonization (cause-specific hazard ratio [CSHR], 2.93 [95% confidence interval {CI}, 2.02-4.23]) and new gram-negative infection in the ICU (CSHR, 3.04 [95% CI, 1.99-4.65]). Both rectal and respiratory tract colonization were associated with bacteremia (CSHR, 7.37 [95% CI, 3.25-16.68] and 2.56 [95% CI, 1.09-6.03], respectively). Similar associations were observed when Enterobacteriaceae and glucose nonfermenting gram-negative bacteria were analyzed separately. Gram-negative rectal colonization tends to be stronger associated with subsequent ICU-acquired gram-negative infections than gram-negative respiratory tract colonization. Gram-negative rectal colonization seems hardly associated with subsequent ICU-acquired gram-negative respiratory tract colonization.</t>
  </si>
  <si>
    <t>Blood pressure response to renal denervation is correlated with baseline blood pressure variability: a patient-level meta-analysis.</t>
  </si>
  <si>
    <t>Persu, Alexandre; Gordin, Daniel; Jacobs, Lotte; Thijs, Lutgarde; Bots, Michiel L; Spiering, Wilko; Miroslawska, Atena; Spaak, Jonas; Rosa, Ján; de Jong, Mark R; Berra, Elena; Fadl Elmula, Fadl Elmula M; Wuerzner, Gregoire; Taylor, Alison H M; Olszanecka, Agnieszka; Czarnecka, Danuta; Mark, Patrick B; Burnier, Michel; Renkin, Jean; Kjeldsen, Sverre E; Widimský, Jiří; Elvan, Arif; Kahan, Thomas; Steigen, Terje K; Blankestijn, Peter J; Tikkanen, Ilkka; Staessen, Jan A; ,</t>
  </si>
  <si>
    <t>https://pubmed.ncbi.nlm.nih.gov/29045339</t>
  </si>
  <si>
    <t>Sympathetic tone is one of the main determinants of blood pressure (BP) variability and treatment-resistant hypertension. The aim of our study was to assess changes in BP variability after renal denervation (RDN). In addition, on an exploratory basis, we investigated whether baseline BP variability predicted the BP changes after RDN. We analyzed 24-h BP recordings obtained at baseline and 6 months after RDN in 167 treatment-resistant hypertension patients (40% women; age, 56.7 years; mean 24-h BP, 152/90 mmHg) recruited at 11 expert centers. BP variability was assessed by weighted SD [SD over time weighted for the time interval between consecutive readings (SDiw)], average real variability (ARV), coefficient of variation, and variability independent of the mean (VIM). Mean office and 24-h BP fell by 15.4/6.6 and 5.5/3.7 mmHg, respectively (P &lt; 0.001). In multivariable-adjusted analyses, systolic/diastolic SDiw and VIM for 24-h SBP/DBP decreased by 1.18/0.63 mmHg (P ≤ 0.01) and 0.86/0.42 mmHg (P ≤ 0.05), respectively, whereas no significant changes in ARV or coefficient of variation occurred. Furthermore, baseline SDiw (P = 0.0006), ARV (P = 0.01), and VIM (P = 0.04) predicted the decrease in 24-h DBP but not 24-h SBP after RDN. RDN was associated with a decrease in BP variability independent of the BP level, suggesting that responders may derive benefits from the reduction in BP variability as well. Furthermore, baseline DBP variability estimates significantly correlated with mean DBP decrease after RDN. If confirmed in younger patients with less arterial damage, in the absence of the confounding effect of drugs and drug adherence, baseline BP variability may prove a good predictor of BP response to RDN.</t>
  </si>
  <si>
    <t>Myocardial Injury in Patients With Sepsis and Its Association With Long-Term Outcome.</t>
  </si>
  <si>
    <t>Frencken, Jos F; Donker, Dirk W; Spitoni, Cristian; Koster-Brouwer, Marlies E; Soliman, Ivo W; Ong, David S Y; Horn, Janneke; van der Poll, Tom; van Klei, Wilton A; Bonten, Marc J M; Cremer, Olaf L</t>
  </si>
  <si>
    <t>circulation cardiovascular quality and outcomes</t>
  </si>
  <si>
    <t>https://pubmed.ncbi.nlm.nih.gov/29378734</t>
  </si>
  <si>
    <t>Sepsis is frequently complicated by the release of cardiac troponin, but the clinical significance of this myocardial injury remains unclear. We studied the associations between troponin release during sepsis and 1-year outcomes. We enrolled consecutive patients with sepsis in 2 Dutch intensive care units between 2011 and 2013. Subjects with a clinically apparent cause of troponin release were excluded. High-sensitivity cardiac troponin I (hs-cTnI) concentration in plasma was measured daily during the first 4 intensive care unit days, and multivariable Cox regression analysis was used to model its association with 1-year mortality while adjusting for confounding. In addition, we studied cardiovascular morbidity occurring during the first year after hospital discharge. Among 1258 patients presenting with sepsis, 1124 (89%) were eligible for study inclusion. Hs-cTnI concentrations were elevated in 673 (60%) subjects on day 1, and 755 (67%) ever had elevated levels in the first 4 days. Cox regression analysis revealed that high hs-cTnI concentrations were associated with increased death rates during the first 14 days (adjusted hazard ratio, 1.72; 95% confidence interval, 1.14-2.59 and hazard ratio, 1.70; 95% confidence interval, 1.10-2.62 for hs-cTnI concentrations of 100-500 and &gt;500 ng/L, respectively) but not thereafter. Furthermore, elevated hs-cTnI levels were associated with the development of cardiovascular disease among 200 hospital survivors who were analyzed for this end point (adjusted subdistribution hazard ratio, 1.25; 95% confidence interval, 1.04-1.50). Myocardial injury occurs in the majority of patients with sepsis and is independently associated with early-but not late-mortality, as well as postdischarge cardiovascular morbidity.</t>
  </si>
  <si>
    <t>Separate and combined associations of obesity and metabolic health with coronary heart disease: a pan-European case-cohort analysis.</t>
  </si>
  <si>
    <t>Lassale, Camille; Tzoulaki, Ioanna; Moons, Karel G M; Sweeting, Michael; Boer, Jolanda; Johnson, Laura; Huerta, José María; Agnoli, Claudia; Freisling, Heinz; Weiderpass, Elisabete; Wennberg, Patrik; van der A, Daphne L; Arriola, Larraitz; Benetou, Vassiliki; Boeing, Heiner; Bonnet, Fabrice; Colorado-Yohar, Sandra M; Engström, Gunnar; Eriksen, Anne K; Ferrari, Pietro; Grioni, Sara; Johansson, Matthias; Kaaks, Rudolf; Katsoulis, Michail; Katzke, Verena; Key, Timothy J; Matullo, Giuseppe; Melander, Olle; Molina-Portillo, Elena; Moreno-Iribas, Concepción; Norberg, Margareta; Overvad, Kim; Panico, Salvatore; Quirós, J Ramón; Saieva, Calogero; Skeie, Guri; Steffen, Annika; Stepien, Magdalena; Tjønneland, Anne; Trichopoulou, Antonia; Tumino, Rosario; van der Schouw, Yvonne T; Verschuren, W M Monique; Langenberg, Claudia; Di Angelantonio, Emanuele; Riboli, Elio; Wareham, Nicholas J; Danesh, John; Butterworth, Adam S</t>
  </si>
  <si>
    <t>https://pubmed.ncbi.nlm.nih.gov/29020414</t>
  </si>
  <si>
    <t>The hypothesis of 'metabolically healthy obesity' implies that, in the absence of metabolic dysfunction, individuals with excess adiposity are not at greater cardiovascular risk. We tested this hypothesis in a large pan-European prospective study. We conducted a case-cohort analysis in the 520 000-person European Prospective Investigation into Cancer and Nutrition study ('EPIC-CVD'). During a median follow-up of 12.2 years, we recorded 7637 incident coronary heart disease (CHD) cases. Using cut-offs recommended by guidelines, we defined obesity and overweight using body mass index (BMI), and metabolic dysfunction ('unhealthy') as ≥ 3 of elevated blood pressure, hypertriglyceridaemia, low HDL-cholesterol, hyperglycaemia, and elevated waist circumference. We calculated hazard ratios (HRs) and 95% confidence intervals (95% CI) within each country using Prentice-weighted Cox proportional hazard regressions, accounting for age, sex, centre, education, smoking, diet, and physical activity. Compared with metabolically healthy normal weight people (reference), HRs were 2.15 (95% CI: 1.79; 2.57) for unhealthy normal weight, 2.33 (1.97; 2.76) for unhealthy overweight, and 2.54 (2.21; 2.92) for unhealthy obese people. Compared with the reference group, HRs were 1.26 (1.14; 1.40) and 1.28 (1.03; 1.58) for metabolically healthy overweight and obese people, respectively. These results were robust to various sensitivity analyses. Irrespective of BMI, metabolically unhealthy individuals had higher CHD risk than their healthy counterparts. Conversely, irrespective of metabolic health, overweight and obese people had higher CHD risk than lean people. These findings challenge the concept of 'metabolically healthy obesity', encouraging population-wide strategies to tackle obesity.</t>
  </si>
  <si>
    <t>The Transmissibility of Antibiotic-Resistant Enterobacteriaceae in Intensive Care Units.</t>
  </si>
  <si>
    <t>Gurieva, Tanya; Dautzenberg, Mirjam J D; Gniadkowski, Marek; Derde, Lennie P G; Bonten, Marc J M; Bootsma, Martin C J</t>
  </si>
  <si>
    <t>https://pubmed.ncbi.nlm.nih.gov/29020273</t>
  </si>
  <si>
    <t>The global emergence of infections caused by Enterobacteriaceae resistant to expanded-spectrum cephalosporins (ESCs) in intensive care units (ICUs) is, at least partly, driven by cross-transmission. Yet, individual transmission capacities of bacterial species have not been quantified. In this post hoc analysis of a multicenter study in 13 European ICUs, prospective surveillance data and a mathematical model were used to estimate transmission capacities and single-admission reproduction numbers (RA) of Escherichia coli and non-E. coli Enterobacteriaceae (non-EcE), all being ESC resistant. Surveillance was based on a chromogenic selective medium for ESC-resistant Enterobacteriaceae, allowing identification of E. coli and of Klebsiella, Enterobacter, Serratia, and Citrobacter species, grouped as non-EcE. Among 11420 patients included, the admission prevalence was 3.8% for non-EcE (74% being Klebsiella pneumoniae) and 3.3% for E. coli. Acquisition rates were 7.4 and 2.6 per 100 admissions at risk for non-EcE and E. coli, respectively. The estimated transmission capacity of non-EcE was 3.7 (95% credibility interval [CrI], 1.4-11.3) times higher than that of E. coli, yielding single-admission reproduction numbers (RA) of 0.17 (95% CrI, .094-.29) for non-EcE and 0.047 (95% CrI, .018-.098) for E. coli. In ICUs, non-EcE, mainly K. pneumoniae, are 3.7 times more transmissible than E. coli. Estimated RA values of these bacteria were below the critical threshold of 1, suggesting that in these ICUs outbreaks typically remain small with current infection control policies.</t>
  </si>
  <si>
    <t>Molecular relatedness of ESBL/AmpC-producing Escherichia coli from humans, animals, food and the environment: a pooled analysis.</t>
  </si>
  <si>
    <t>Dorado-García, Alejandro; Smid, Joost H; van Pelt, Wilfrid; Bonten, Marc J M; Fluit, Ad C; van den Bunt, Gerrita; Wagenaar, Jaap A; Hordijk, Joost; Dierikx, Cindy M; Veldman, Kees T; de Koeijer, Aline; Dohmen, Wietske; Schmitt, Heike; Liakopoulos, Apostolos; Pacholewicz, Ewa; Lam, Theo J G M; Velthuis, Annet G; Heuvelink, Annet; Gonggrijp, Maaike A; van Duijkeren, Engeline; van Hoek, Angela H A M; de Roda Husman, Ana Maria; Blaak, Hetty; Havelaar, Arie H; Mevius, Dik J; Heederik, Dick J J</t>
  </si>
  <si>
    <t>https://pubmed.ncbi.nlm.nih.gov/29165596</t>
  </si>
  <si>
    <t>In recent years, ESBL/AmpC-producing Escherichia coli (ESBL/AmpC-EC) have been isolated with increasing frequency from animals, food, environmental sources and humans. With incomplete and scattered evidence, the contribution to the human carriage burden from these reservoirs remains unclear. To quantify molecular similarities between different reservoirs as a first step towards risk attribution. Pooled data on ESBL/AmpC-EC isolates were recovered from 35 studies in the Netherlands comprising &gt;27 000 samples, mostly obtained between 2005 and 2015. Frequency distributions of ESBL/AmpC genes from 5808 isolates and replicons of ESBL/AmpC-carrying plasmids from 812 isolates were compared across 22 reservoirs through proportional similarity indices (PSIs) and principal component analyses (PCAs). Predominant ESBL/AmpC genes were identified in each reservoir. PCAs and PSIs revealed close human-animal ESBL/AmpC gene similarity between human farming communities and their animals (broilers and pigs) (PSIs from 0.8 to 0.9). Isolates from people in the general population had higher similarities to those from human clinical settings, surface and sewage water and wild birds (0.7-0.8), while similarities to livestock or food reservoirs were lower (0.3-0.6). Based on rarefaction curves, people in the general population had more diversity in ESBL/AmpC genes and plasmid replicon types than those in other reservoirs. Our 'One Health' approach provides an integrated evaluation of the molecular relatedness of ESBL/AmpC-EC from numerous sources. The analysis showed distinguishable ESBL/AmpC-EC transmission cycles in different hosts and failed to demonstrate a close epidemiological linkage of ESBL/AmpC genes and plasmid replicon types between livestock farms and people in the general population.</t>
  </si>
  <si>
    <t>Ramadan during pregnancy and birth weight of newborns.</t>
  </si>
  <si>
    <t>Savitri, Ary I; Amelia, Dwirani; Painter, Rebecca C; Baharuddin, Mohammad; Roseboom, Tessa J; Grobbee, Diederick E; Uiterwaal, Cuno S P M</t>
  </si>
  <si>
    <t>journal of nutritional science</t>
  </si>
  <si>
    <t>https://pubmed.ncbi.nlm.nih.gov/29430296</t>
  </si>
  <si>
    <t>Previous studies suggest that Ramadan exposure during pregnancy might affect the health of women and their babies, particularly through the effect of fasting. This study aimed to evaluate the association between Ramadan exposure and fasting during pregnancy on the birth weight of newborns. This study concerned 1351 pregnant women from a prospective cohort in Jakarta, Indonesia. Ramadan exposure was based on the actual overlap between Ramadan and pregnancy. Women's fasting behaviour was recorded among 139 women who came for antenatal care between 10 July 2013 and 7 August 2013, and those who had fasted for at least 1 d (&lt;i&gt;n&lt;/i&gt; 110) were classified as exposed to Ramadan fasting. Furthermore, a 24 h dietary recall was performed and repeated 1 month later. Birth weight of newborns who were exposed to Ramadan during pregnancy did not significantly differ from those who were not, both in the total and trimester-specific analysis. Maternal fasting did not seem to affect the birth weight of newborns (-72 (95 % CI -258, 114) g; &lt;i&gt;P&lt;/i&gt; = 0·44), although there was a non-significant trend towards lower birth weight with fasting in the second and third trimester. Women who fasted had significantly lower total energy, macronutrient and water intake as compared with women who did not. Women's intake was also lower during Ramadan (regardless of their fasting behaviour) as compared with 1 month later. Lifestyle changes that occur with Ramadan and fasting during pregnancy are associated with lower reported energy intake. We cannot conclude on the effect of fasting on birth weight due to low statistical power.</t>
  </si>
  <si>
    <t>Histologic Factors Associated With Need for Surgery in Patients With Pedunculated T1 Colorectal Carcinomas.</t>
  </si>
  <si>
    <t>Backes, Yara; Elias, Sjoerd G; Groen, John N; Schwartz, Matthijs P; Wolfhagen, Frank H J; Geesing, Joost M J; Ter Borg, Frank; van Bergeijk, Jeroen; Spanier, Bernhard W M; de Vos Tot Nederveen Cappel, Wouter H; Kessels, Koen; Seldenrijk, Cornelis A; Raicu, Mihaela G; Drillenburg, Paul; Milne, Anya N; Kerkhof, Marjon; Seerden, Tom C J; Siersema, Peter D; Vleggaar, Frank P; Offerhaus, G Johan A; Lacle, Miangela M; Moons, Leon M G; ,</t>
  </si>
  <si>
    <t>https://pubmed.ncbi.nlm.nih.gov/29366842</t>
  </si>
  <si>
    <t>Most patients with pedunculated T1 colorectal tumors referred for surgery are not found to have lymph node metastases, and were therefore unnecessarily placed at risk for surgery-associated complications. We aimed to identify histologic factors associated with need for surgery in patients with pedunculated T1 colorectal tumors. We performed a cohort-nested matched case-control study of 708 patients diagnosed with pedunculated T1 colorectal tumors at 13 hospitals in The Netherlands, from January 1, 2000 through December 31, 2014, followed for a median of 44 months (interquartile range, 20-80 months). We identified 37 patients (5.2%) who required surgery (due to lymph node, intramural, or distant metastases). These patients were matched with patients with pedunculated T1 colorectal tumors without a need for surgery (no metastases, controls, n = 111). Blinded pathologists analyzed specimens from each tumor, stained with H&amp;E. We evaluated associations between histologic factors and patient need for surgery using univariable conditional logistic regression analysis. We used multivariable least absolute shrinkage and selection operator (LASSO; an online version of the LASSO model is available at: http://t1crc.com/calculator/) regression to develop models for identification of patients with tumors requiring surgery, and tested the accuracy of our model by projecting our case-control data toward the entire cohort (708 patients). We compared our model with previously developed strategies to identify high-risk tumors: conventional model 1 (based on poor differentiation, lymphovascular invasion, or Haggitt level 4) and conventional model 2 (based on poor differentiation, lymphovascular invasion, Haggitt level 4, or tumor budding). We identified 5 histologic factors that differentiated cases from controls: lymphovascular invasion, Haggitt level 4 invasion, muscularis mucosae type B (incompletely or completely disrupted), poorly differentiated clusters and tumor budding, which identified patients who required surgery with an area under the curve (AUC) value of 0.83 (95% confidence interval, 0.76-0.90). When we used a clinically plausible predicted probability threshold of ≥4.0%, 67.5% (478 of 708) of patients were predicted to not need surgery. This threshold identified patients who required surgery with 83.8% sensitivity (95% confidence interval, 68.0%-93.8%) and 70.3% specificity (95% confidence interval, 60.9%-78.6%). Conventional models 1 and 2 identified patients who required surgery with lower AUC values (AUC, 0.67; 95% CI, 0.60-0.74; P = .002 and AUC, 0.64; 95% CI, 0.58-0.70; P &lt; .001, respectively) than our LASSO model. When we applied our LASSO model with a predicted probability threshold of ≥4.0%, the percentage of missed cases (tumors mistakenly assigned as low risk) was comparable (6 of 478 [1.3%]) to that of conventional model 1 (4 of 307 [1.3%]) and conventional model 2 (3 of 244 [1.2%]). However, the percentage of patients referred for surgery based on our LASSO model was much lower (32.5%, n = 230) than that for conventional model 1 (56.6%, n = 401) or conventional model 2 (65.5%, n = 464). In a cohort-nested matched case-control study of 708 patients with pedunculated T1 colorectal carcinomas, we developed a model based on histologic features of tumors that identifies patients who require surgery (due to high risk of metastasis) with greater accuracy than previous models. Our model might be used to identify patients most likely to benefit from adjuvant surgery.</t>
  </si>
  <si>
    <t>Performance of the 2012 Systemic Lupus International Collaborating Clinics classification criteria versus the 1997 American College of Rheumatology classification criteria in adult and juvenile systemic lupus erythematosus. A systematic review and meta-analysis.</t>
  </si>
  <si>
    <t>Hartman, Esther A R; van Royen-Kerkhof, Annet; Jacobs, Johannes W G; Welsing, Paco M J; Fritsch-Stork, Ruth D E</t>
  </si>
  <si>
    <t>autoimmunity reviews</t>
  </si>
  <si>
    <t>https://pubmed.ncbi.nlm.nih.gov/29366725</t>
  </si>
  <si>
    <t>To evaluate the performance in classifying systemic lupus erythematosus by the 2012 Systemic Lupus International Collaborating Clinics criteria (SLICC'12), versus the revised American College of Rheumatology criteria from 1997 (ACR'97) in adult and juvenile SLE patients. A systematic literature search was conducted in PubMed and Embase for studies comparing SLICC'12 and ACR'97 with clinical diagnosis. A meta-analysis was performed to estimate the sensitivity and specificity of SLICC'12 and ACR'97. To assess classification earlier in the disease by either set, sensitivity and specificity were compared for patients with disease duration &lt;5years. Sensitivity and specificity of individual criteria items were also assessed. In adult SLE (nine studies: 5236 patients, 1313 controls), SLICC'12 has higher sensitivity (94.6% vs. 89.6%) and similar specificity (95.5% vs. 98.1%) compared to ACR'97. For juvenile SLE (four studies: 568 patients, 339 controls), SLICC'12 demonstrates higher sensitivity (99.9% vs. 84.3%) than ACR'97, but much lower specificity (82.0% vs. 94.1%). SLICC'12 classifies juvenile SLE patients earlier in disease course. Individual items contributing to diagnostic accuracy are low complement, anti-ds DNA and acute cutaneous lupus in SLICC'12, and the immunologic and hematologic disorder in ACR'97. Based on sensitivity and specificity SLICC'12 is best for adult SLE. Following the view that higher specificity, i.e. avoidance of false positives, is preferable, ACR'97 is best for juvenile SLE even if associated with lower sensitivity. Our results on the contribution of the individual items of SLICC'12 and ACR´97 may be of value in future efforts to update classification criteria.</t>
  </si>
  <si>
    <t>Built environmental characteristics and diabetes: a systematic review and meta-analysis.</t>
  </si>
  <si>
    <t>https://pubmed.ncbi.nlm.nih.gov/29382337</t>
  </si>
  <si>
    <t>The built environment influences behaviour, like physical activity, diet and sleep, which affects the risk of type 2 diabetes mellitus (T2DM). This study systematically reviewed and meta-analysed evidence on the association between built environmental characteristics related to lifestyle behaviour and T2DM risk/prevalence, worldwide. We systematically searched PubMed, EMBASE.com and Web of Science from their inception to 6 June 2017. Studies were included with adult populations (&gt;18 years), T2DM or glycaemic markers as outcomes, and physical activity and/or food environment and/or residential noise as independent variables. We excluded studies of specific subsamples of the population, that focused on built environmental characteristics that directly affect the cardiovascular system, that performed prediction analyses and that do not report original research. Data appraisal and extraction were based on published reports (PROSPERO-ID: CRD42016035663). From 11,279 studies, 109 were eligible and 40 were meta-analysed. Living in an urban residence was associated with higher T2DM risk/prevalence (n = 19, odds ratio (OR) = 1.40; 95% CI, 1.2-1.6; I&lt;sup&gt;2&lt;/sup&gt; = 83%) compared to living in a rural residence. Higher neighbourhood walkability was associated with lower T2DM risk/prevalence (n = 8, OR = 0.79; 95% CI, 0.7-0.9; I&lt;sup&gt;2&lt;/sup&gt; = 92%) and more green space tended to be associated with lower T2DM risk/prevalence (n = 6, OR = 0.90; 95% CI, 0.8-1.0; I&lt;sup&gt;2&lt;/sup&gt; = 95%). No convincing evidence was found of an association between food environment with T2DM risk/prevalence. An important strength of the study was the comprehensive overview of the literature, but our study was limited by the conclusion of mainly cross-sectional studies. In addition to other positive consequences of walkability and access to green space, these environmental characteristics may also contribute to T2DM prevention. These results may be relevant for infrastructure planning.</t>
  </si>
  <si>
    <t>Fair inclusion of pregnant women in clinical trials: an integrated scientific and ethical approach.</t>
  </si>
  <si>
    <t>van der Graaf, Rieke; van der Zande, Indira S E; den Ruijter, Hester M; Oudijk, Martijn A; van Delden, Johannes J M; Oude Rengerink, Katrien; Groenwold, Rolf H H</t>
  </si>
  <si>
    <t>https://pubmed.ncbi.nlm.nih.gov/29378652</t>
  </si>
  <si>
    <t>Since pregnant women are severely underrepresented in clinical research, many take the position that the exclusion of pregnant women from research must be justified unless there are compelling "scientific reasons" for their exclusion. However, it is questionable whether this approach renders research with pregnant women fair. This paper analyzes and evaluates when research with pregnant women can be considered as fair and what constitutes scientific reasons for exclusion. Conceptual ethical and methodological analysis and evaluation of fair inclusion. Fair inclusion of pregnant women means (1) that pregnant women who are eligible are not excluded solely for being pregnant and (2) that the research interests of pregnant women are prioritized, meaning that they ought to receive substantially more attention. Fairness does not imply that pregnant women should be included in virtually every research project, as including only a few pregnant women in a population consisting only of women will not help to determine the effectiveness and safety of a treatment in pregnant women. Separate trials in pregnant women may be preferable once we assume, or know, that effects of interventions in pregnant women differ from the effects in other subpopulations, or when we assume, or know, that there are no differences. In the latter case, it may be preferable to conduct post-marketing studies or establish registries. If there is no conclusive evidence indicating either differences or equivalence of effects between pregnant and non-pregnant women, yet it seems unlikely that major differences or exact equivalence exist, the inclusion of pregnant women should be sufficient. Depending on the research question, this boils down to representativeness in terms of the proportion of pregnant and non-pregnant women, or to oversampling pregnant women. Fair inclusion of pregnant women in research implies that separate trials in pregnant women should be promoted. Inclusion of pregnant women has to be realized at the earliest phases of the research process. In addition to researchers and research ethics committees, scientific advisory councils, funders, drug regulatory agencies, pharmaceutical companies, journal editors and others have a joint responsibility to further develop the evidence base for drug use in pregnant women.</t>
  </si>
  <si>
    <t>Cardiovascular disease risk prediction in sub-Saharan African populations - Comparative analysis of risk algorithms in the RODAM study.</t>
  </si>
  <si>
    <t>Boateng, Daniel; Agyemang, Charles; Beune, Erik; Meeks, Karlijn; Smeeth, Liam; Schulze, Matthias B; Addo, Juliet; de-Graft Aikins, Ama; Galbete, Cecilia; Bahendeka, Silver; Danquah, Ina; Agyei-Baffour, Peter; Owusu-Dabo, Ellis; Mockenhaupt, Frank P; Spranger, Joachim; Kengne, Andre P; Grobbee, Diederick E; Klipstein-Grobusch, Kerstin</t>
  </si>
  <si>
    <t>https://pubmed.ncbi.nlm.nih.gov/29407113</t>
  </si>
  <si>
    <t>Validated absolute risk equations are currently recommended as the basis of cardiovascular disease (CVD) risk stratification in prevention and control strategies. However, there is no consensus on appropriate equations for sub-Saharan African populations. We assessed agreement between different cardiovascular risk equations among Ghanaian migrant and home populations with no overt CVD. The 10-year CVD risks were calculated for 3586 participants aged 40-70years in the multi-centre RODAM study among Ghanaians residing in Ghana and Europe using the Framingham laboratory and non-laboratory and Pooled Cohort Equations (PCE) algorithms. Participants were classified as low, moderate or high risk, corresponding to &lt;10%, 10-20% and &gt;20% respectively. Agreement between the risk algorithms was assessed using kappa and correlation coefficients. 19.4%, 12.3% and 5.8% were ranked as high 10-year CVD risk by Framingham non-laboratory, Framingham laboratory and PCE, respectively. The median (25th-75th percentiles) estimated 10-year CVD risk was 9.5% (5.4-15.7), 7.3% (3.9-13.2) and 5.0% (2.3-9.7) for Framingham non-laboratory, Framingham laboratory and PCE, respectively. The concordance between PCE and Framingham non-laboratory was better in the home Ghanaian population (kappa=0.42, r=0.738) than the migrant population (kappa=0.24, r=0.732) whereas concordance between PCE and Framingham laboratory was better in migrant Ghanaians (kappa=0.54, r=0.769) than the home population (kappa=0.51, r=0.758). CVD prediction with the same algorithm differs for the migrant and home populations and the interchangeability of Framingham laboratory and non-laboratory algorithms is limited. Validation against CVD outcomes is needed to inform appropriate selection of risk algorithms for use in African ancestry populations.</t>
  </si>
  <si>
    <t>Early time course of major bleeding on antiplatelet therapy after TIA or ischemic stroke.</t>
  </si>
  <si>
    <t>Hilkens, Nina A; Algra, Ale; Kappelle, L Jaap; Bath, Philip M; Csiba, László; Rothwell, Peter M; Greving, Jacoba P; ,</t>
  </si>
  <si>
    <t>https://pubmed.ncbi.nlm.nih.gov/29374102</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</si>
  <si>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</si>
  <si>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The Young Community of the European Association of Preventive Cardiology: The future in motion.</t>
  </si>
  <si>
    <t>D'Ascenzi, Flavio; Adami, Paolo Emilio; Eichler, Sarah; Castelletti, Silvia; Wagenaar, Kim P; Pelliccia, Antonio; Dendale, Paul; Grobbee, Diederick E</t>
  </si>
  <si>
    <t>https://pubmed.ncbi.nlm.nih.gov/29370709</t>
  </si>
  <si>
    <t>Overtreatment of older patients with type 2 diabetes mellitus in primary care.</t>
  </si>
  <si>
    <t>Hart, Huberta E; Rutten, Guy E; Bontje, Kyra N; Vos, Rimke C</t>
  </si>
  <si>
    <t>https://pubmed.ncbi.nlm.nih.gov/29193555</t>
  </si>
  <si>
    <t>Given that there are indications of overtreatment in older patients with type 2 diabetes in both the United States and Europe, we assessed the level of personalized diabetes treatment for older patients in primary care, focusing on overtreatment. Based on Dutch guidelines individuals aged ≥70 years were classified into 3 glycated haemoglobin (HbA1c) treatment target groups: 7% (53 mmol/mol), 7.5% (58 mmol/mol) and 8% (64 mmol/mol). In our cohort of 1002 patients (n = 319 aged ≥70 years), the 165 patients with HbA1c targets &gt;7% had more micro- and macrovascular complications, more often used ≥5 medicines and were more often frail compared with those with an HbA1c target ≤7%. Of these 165 patients, 64 (38.8%) were overtreated; that is, 20% of all people aged ≥70 years. The majority of overtreated people were frail and used ≥5 medicines. Hypoglycaemia occurred in 20.3% of these patients and almost 30% reported accidents involving falls. Personalized treatment in older people with type 2 diabetes is not common practice. A substantial number of older people are overtreated, with probable harmful consequences. To prevent overtreatment, definition of lower HbA1c limits might be helpful.</t>
  </si>
  <si>
    <t>Preferred Reporting Items for a Systematic Review and Meta-analysis of Diagnostic Test Accuracy Studies: The PRISMA-DTA Statement.</t>
  </si>
  <si>
    <t>McInnes, Matthew D F; Moher, David; Thombs, Brett D; McGrath, Trevor A; Bossuyt, Patrick M; ,; Clifford, Tammy; Cohen, Jérémie F; Deeks, Jonathan J; Gatsonis, Constantine; Hooft, Lotty; Hunt, Harriet A; Hyde, Christopher J; Korevaar, Daniël A; Leeflang, Mariska M G; Macaskill, Petra; Reitsma, Johannes B; Rodin, Rachel; Rutjes, Anne W S; Salameh, Jean-Paul; Stevens, Adrienne; Takwoingi, Yemisi; Tonelli, Marcello; Weeks, Laura; Whiting, Penny; Willis, Brian H</t>
  </si>
  <si>
    <t>https://pubmed.ncbi.nlm.nih.gov/29362800</t>
  </si>
  <si>
    <t>Systematic reviews of diagnostic test accuracy synthesize data from primary diagnostic studies that have evaluated the accuracy of 1 or more index tests against a reference standard, provide estimates of test performance, allow comparisons of the accuracy of different tests, and facilitate the identification of sources of variability in test accuracy. To develop the Preferred Reporting Items for Systematic Reviews and Meta-Analyses (PRISMA) diagnostic test accuracy guideline as a stand-alone extension of the PRISMA statement. Modifications to the PRISMA statement reflect the specific requirements for reporting of systematic reviews and meta-analyses of diagnostic test accuracy studies and the abstracts for these reviews. Established standards from the Enhancing the Quality and Transparency of Health Research (EQUATOR) Network were followed for the development of the guideline. The original PRISMA statement was used as a framework on which to modify and add items. A group of 24 multidisciplinary experts used a systematic review of articles on existing reporting guidelines and methods, a 3-round Delphi process, a consensus meeting, pilot testing, and iterative refinement to develop the PRISMA diagnostic test accuracy guideline. The final version of the PRISMA diagnostic test accuracy guideline checklist was approved by the group. The systematic review (produced 64 items) and the Delphi process (provided feedback on 7 proposed items; 1 item was later split into 2 items) identified 71 potentially relevant items for consideration. The Delphi process reduced these to 60 items that were discussed at the consensus meeting. Following the meeting, pilot testing and iterative feedback were used to generate the 27-item PRISMA diagnostic test accuracy checklist. To reflect specific or optimal contemporary systematic review methods for diagnostic test accuracy, 8 of the 27 original PRISMA items were left unchanged, 17 were modified, 2 were added, and 2 were omitted. The 27-item PRISMA diagnostic test accuracy checklist provides specific guidance for reporting of systematic reviews. The PRISMA diagnostic test accuracy guideline can facilitate the transparent reporting of reviews, and may assist in the evaluation of validity and applicability, enhance replicability of reviews, and make the results from systematic reviews of diagnostic test accuracy studies more useful.</t>
  </si>
  <si>
    <t>Implementation of a Structured Diabetes Consultation Model to Facilitate a Person-Centered Approach: Results From a Nationwide Dutch Study.</t>
  </si>
  <si>
    <t>Rutten, Guy E H M; van Vugt, Heidi A; de Weerdt, Inge; de Koning, Eelco</t>
  </si>
  <si>
    <t>https://pubmed.ncbi.nlm.nih.gov/29363538</t>
  </si>
  <si>
    <t>We assessed both from a patient and provider perspective the usefulness and added value of a consultation model that facilitates person-centered diabetes care. The model consists of &lt;i&gt;1&lt;/i&gt;) inventory of disease and patient-related factors; &lt;i&gt;2&lt;/i&gt;) setting personal goals; &lt;i&gt;3&lt;/i&gt;) choosing treatment; and &lt;i&gt;4&lt;/i&gt;) determination of required care. It was implemented in 47 general practices and 6 hospital outpatient clinics. Providers were trained, and patients were recommended to prepare their visit. All filled out a questionnaire after every consultation. Differences between primary and secondary care practices and between physician-led and nurse-led consultations were analyzed. Seventy-four physicians and thirty-one nurses participated, reporting on 1,366 consultations with type 2 diabetes patients. According to providers, the model was applicable in 72.4% (nurses 79.3% vs. physicians 68.5%, &lt;i&gt;P&lt;/i&gt; &lt; 0.001). Physicians more often had a consultation time &lt;25 min (80.4% vs. 56.9%, &lt;i&gt;P&lt;/i&gt; &lt; 0.001). According to providers, two of three patients spoke more than half of the consultation time (outpatient clinics 75.2% vs. general practices 66.6%, &lt;i&gt;P&lt;/i&gt; = 0.002; nurses 73.2% vs. physicians 64.4%, &lt;i&gt;P&lt;/i&gt; = 0.001). Providers stated that person-related factors often determined treatment goals. Almost all patients (94.4%) reported that they made shared decisions; they felt more involved than before (with physicians 45.1% vs. with nurses 33.6%, &lt;i&gt;P&lt;/i&gt; &lt; 0.001) and rated the consultation 8.6 of 10. After physician-led consultations, 52.5% reported that the consultation was better than before (nurse visit 33.7%, &lt;i&gt;P&lt;/i&gt; &lt; 0.001). A consultation model to facilitate person-centered care seems well applicable and results in more patient involvement, including shared decision making, and is appreciated by a substantial number of patients.</t>
  </si>
  <si>
    <t>Implementation of selective prevention for cardiometabolic diseases; are Dutch general practices adequately prepared?</t>
  </si>
  <si>
    <t>Stol, Daphne M; Hollander, Monika; Nielen, Markus M J; Badenbroek, Ilse F; Schellevis, François G; de Wit, Niek J</t>
  </si>
  <si>
    <t>https://pubmed.ncbi.nlm.nih.gov/29357728</t>
  </si>
  <si>
    <t>Current guidelines acknowledge the need for cardiometabolic disease (CMD) prevention and recommend five-yearly screening of a targeted population. In recent years programs for selective CMD-prevention have been developed, but implementation is challenging. The question arises if general practices are adequately prepared. Therefore, the aim of this study is to assess the organizational preparedness of Dutch general practices and the facilitators and barriers for performing CMD-prevention in practices currently implementing selective CMD-prevention. Observational study. Dutch primary care. General practices. Organizational characteristics. General practices implementing selective CMD-prevention are more often organized as a group practice (49% vs. 19%, p = .000) and are better organized regarding chronic disease management compared to reference practices. They are motivated for performing CMD-prevention and can be considered as 'frontrunners' of Dutch general practices with respect to their practice organization. The most important reported barriers are a limited availability of staff (59%) and inadequate funding (41%). The organizational infrastructure of Dutch general practices is considered adequate for performing most steps of selective CMD-prevention. Implementation of prevention programs including easily accessible lifestyle interventions needs attention. All stakeholders involved share the responsibility to realize structural funding for programmed CMD-prevention. Aforementioned conditions should be taken into account with respect to future implementation of selective CMD-prevention. Key Points   There is need for adequate CMD prevention. Little is known about the organization of selective CMD prevention in general practices.   • The organizational infrastructure of Dutch general practices is adequate for performing most steps of selective CMD prevention.   • Implementation of selective CMD prevention programs including easily accessible services for lifestyle support should be the focus of attention.   • Policy makers, health insurance companies and healthcare professionals share the responsibility to realize structural funding for selective CMD prevention.</t>
  </si>
  <si>
    <t>Prevention of severe infectious complications after colorectal surgery using preoperative orally administered antibiotic prophylaxis (PreCaution): study protocol for a randomized controlled trial.</t>
  </si>
  <si>
    <t>Mulder, Tessa; Kluytmans-van den Bergh, Marjolein F Q; de Smet, Anne Marie G A; van 't Veer, Nils E; Roos, Daphne; Nikolakopoulos, Stavros; Bonten, Marc J M; Kluytmans, Jan A J W; ,</t>
  </si>
  <si>
    <t>https://pubmed.ncbi.nlm.nih.gov/29351789</t>
  </si>
  <si>
    <t>Colorectal surgery is frequently complicated by surgical site infections (SSIs). The most important consequences of SSIs are prolonged hospitalization, an increased risk of surgical reintervention and an increase in mortality. Perioperative intravenously administered antibiotic prophylaxis is the standard of care to reduce the risk of SSIs. In the last few decades, preoperative orally administered antibiotics have been suggested as additional prophylaxis to further reduce the risk of infection, but are currently not part of routine practice in most hospitals. The objective of this study is to evaluate the efficacy of a preoperative orally administered antibiotic prophylaxis (Pre-OP) in addition to intravenously administered perioperative antibiotic prophylaxis to reduce the incidence of deep SSIs and/or mortality after elective colorectal surgery. The PreCaution trial is designed as a multicenter, double-blind, randomized, placebo-controlled clinical trial that will be carried out in The Netherlands. Adult patients who are scheduled for elective colorectal surgery are eligible to participate. In total, 966 patients will be randomized to receive the study medication. This will either be Pre-OP, a solution that consists of tobramycin and colistin sulphate, or a placebo solution. The study medication will be administered four times daily during the 3 days prior to surgery. Perioperative intravenously administered antibiotic prophylaxis will be administered to all patients in accordance with national infection control guidelines. The primary endpoint of the study is the cumulative incidence of deep SSIs and/or mortality within 30 days after surgery. Secondary endpoints include both infectious and non-infectious complications of colorectal surgery, and will be evaluated 30 days and/or 6 months after surgery. To date, conclusive evidence on the added value of preoperative orally administered antibiotic prophylaxis in colorectal surgery is lacking. The PreCaution trial should determine the effects of orally administered antibiotics in preventing infectious complications in elective colorectal surgery. Netherlands Trial Register, ID: NTR6113 . Registered on 11 October 2016; EudraCT 2015-005736-17.</t>
  </si>
  <si>
    <t>Concerns about composite reference standards in diagnostic research.</t>
  </si>
  <si>
    <t>Dendukuri, Nandini; Schiller, Ian; de Groot, Joris; Libman, Michael; Moons, Karel; Reitsma, Johannes; van Smeden, Maarten</t>
  </si>
  <si>
    <t>https://pubmed.ncbi.nlm.nih.gov/29348126</t>
  </si>
  <si>
    <t>Predicting the presence of macrovascular causes in non-traumatic intracerebral haemorrhage: the DIAGRAM prediction score.</t>
  </si>
  <si>
    <t>Hilkens, Nina A; van Asch, Charlotte J J; Werring, David J; Wilson, Duncan; Rinkel, Gabriël J E; Algra, Ale; Velthuis, Birgitta K; de Kort, Gérard A P; Witkamp, Theo D; van Nieuwenhuizen, Koen M; de Leeuw, Frank-Erik; Schonewille, Wouter J; de Kort, Paul L M; Dippel, Diederik W J; Raaymakers, Theodora W M; Hofmeijer, Jeannette; Wermer, Marieke J H; Kerkhoff, Henk; Jellema, Korné; Bronner, Irene M; Remmers, Michel J M; Bienfait, Henri Paul; Witjes, Ron J G M; Jäger, H Rolf; Greving, Jacoba P; Klijn, Catharina J M; ,</t>
  </si>
  <si>
    <t>https://pubmed.ncbi.nlm.nih.gov/29348301</t>
  </si>
  <si>
    <t>A substantial part of non-traumatic intracerebral haemorrhages (ICH) arises from a macrovascular cause, but there is little guidance on selection of patients for additional diagnostic work-up. We aimed to develop and externally validate a model for predicting the probability of a macrovascular cause in patients with non-traumatic ICH. The DIagnostic AngioGRAphy to find vascular Malformations (DIAGRAM) study (n=298; 69 macrovascular cause; 23%) is a prospective, multicentre study assessing yield and accuracy of CT angiography (CTA), MRI/ magnetic resonance angiography (MRA) and intra-arterial catheter angiography in diagnosing macrovascular causes in patients with non-traumatic ICH. We considered prespecified patient and ICH characteristics in multivariable logistic regression analyses as predictors for a macrovascular cause. We combined independent predictors in a model, which we validated in an external cohort of 173 patients with ICH (78 macrovascular cause, 45%). Independent predictors were younger age, lobar or posterior fossa (vs deep) location of ICH, and absence of small vessel disease (SVD). A model that combined these predictors showed good performance in the development data (c-statistic 0.83; 95% CI 0.78 to 0.88) and moderate performance in external validation (c-statistic 0.66; 95% CI 0.58 to 0.74). When CTA results were added, the c-statistic was excellent (0.91; 95% CI 0.88 to 0.94) and good after external validation (0.88; 95% CI 0.83 to 0.94). Predicted probabilities varied from 1% in patients aged 51-70 years with deep ICH and SVD, to more than 50% in patients aged 18-50 years with lobar or posterior fossa ICH without SVD. The DIAGRAM scores help to predict the probability of a macrovascular cause in patients with non-traumatic ICH based on age, ICH location, SVD and CTA.</t>
  </si>
  <si>
    <t>Reply to Lipcsey.</t>
  </si>
  <si>
    <t>Ong, David S Y; Bonten, Marc J M; Cremer, Olaf L</t>
  </si>
  <si>
    <t>https://pubmed.ncbi.nlm.nih.gov/29020305</t>
  </si>
  <si>
    <t>Report of the 5th European expert meeting on rotavirus vaccination (EEROVAC).</t>
  </si>
  <si>
    <t>de Hoog, Marieke L A; Vesikari, Timo; Giaquinto, Carlo; Huppertz, Hans-Iko; Martinon-Torres, Federico; Bruijning-Verhagen, Patricia</t>
  </si>
  <si>
    <t>https://pubmed.ncbi.nlm.nih.gov/29211629</t>
  </si>
  <si>
    <t>The Fifth European Expert Meeting on Rotavirus Vaccination was convened in Utrecht, The Netherlands, in March 2017. The 2-day meeting included invited lectures as well as original oral and poster presentations and brought together experts from 21 countries. Summary findings of the meeting include: Rotavirus vaccination programmes in Europe have resulted in reductions of 60-90% in rotavirus outpatient visits and hospitalizations. Long term trends indicate this impact is sustained over the years. Herd effects, protecting unvaccinated children and neonates too young to be vaccinated have been observed in many European countries. Early evidence now also suggests that rotavirus vaccination may be instrumental in the prevention of celiac disease. Special attention should be given to preterm infants, who may age out of the vaccination window before hospital discharge and to HIV infected children who are at increased risk of severe rotavirus AGE. There is a small but increased risk of IS following rotavirus vaccination and parents should therefore be informed about possible signs and symptoms of IS. New insights in rotavirus genetic susceptibility and interactions with microbiome may open opportunities for interventions to improve protection by vaccination, in particular in LMIC. The development of several novel rotavirus vaccines discussed at the meeting is also promising in this respect.</t>
  </si>
  <si>
    <t>Facilitators and barriers to pregnant women's participation in research: A systematic review.</t>
  </si>
  <si>
    <t>van der Zande, Indira S E; van der Graaf, Rieke; Hooft, Lotty; van Delden, Johannes J M</t>
  </si>
  <si>
    <t>women and birth journal of the australian college of midwives</t>
  </si>
  <si>
    <t>https://pubmed.ncbi.nlm.nih.gov/29373261</t>
  </si>
  <si>
    <t>Although there is consensus among many that exclusion of pregnant women from clinical research should be justified, there is uncertainty as to whether and why pregnant women themselves would be willing to participate even if they were found to be eligible. The objective was to identify the reasons why pregnant women participate in clinical research and thereby to distinguish between facilitators and barriers. We conducted a systematic review of articles regarding pregnant women's reasons for participation in clinical research. We used the PubMed/MEDLINE, EMBASE, PsycINFO and CINAHL databases and retrieved additional articles through manually searching the reference lists. We included all articles that reported on pregnant women's reasons for participation in clinical research. We accumulated all reasons that were mentioned in the total of articles and collated them to themes, classifying these themes as a facilitator or a barrier. The search identified thirty articles that met the inclusion criteria. Themes classified as facilitators: aspirational benefits, collateral benefits, direct benefits, third party influence and lack of inconvenience. Themes classified as barriers: inconveniences, risks, randomisation, lack of trust in research enterprise, medical reasons and third party influence. Pregnant women report mostly altruistic and personal reasons for their willingness to participate in clinical research, while barriers primarily relate to inconveniences. It appears that pregnant women's described reasoning is similar to the described reasoning of non-pregnant research subjects. Enhancing the facilitators and overcoming the barriers is the next step to increase the evidence-base underlying maternal and foetal health.</t>
  </si>
  <si>
    <t>Spatial access to restaurants and grocery stores in relation to frequency of home cooking.</t>
  </si>
  <si>
    <t>Pinho, Maria Gabriela M; Mackenbach, Joreintje D; Charreire, Hélène; Oppert, Jean-Michel; Bárdos, Helga; Rutter, Harry; Compernolle, Sofie; Beulens, Joline W J; Brug, Johannes; Lakerveld, Jeroen</t>
  </si>
  <si>
    <t>https://pubmed.ncbi.nlm.nih.gov/29338756</t>
  </si>
  <si>
    <t>Little is known about the relation between the neighbourhood food environment and home cooking. We explored the independent and combined associations between residential neighbourhood spatial access to restaurants and grocery stores with home cooking in European adults. Data of 5076 participants of the SPOTLIGHT study were collected across five European countries in 2014. Food retailers were classified into grocery stores (supermarkets and local food shops) and restaurants (full-service restaurants, fast food and take-away restaurants, café/bars). We used multinomial logistic regression models to test the associations between tertiles of spatial access to restaurants and spatial to access grocery stores and the outcome 'frequency of home cooking' categorized into 0-3; 4-5; and 6-7 days/week. Additive interaction analysis was used to test the combined association between access to grocery stores and to restaurants with home cooking. Mean age was 52.3 years; most participants were women (55.5%) and completed higher education (53.8%). Residents with highest access to restaurants had a reduced likelihood of home cooking 6-7 days/week (vs. 0-3 days/week) (relative risk ratio (RRR) 0.42; 95%CI = 0.23-0.76) when compared with lowest access to restaurants. No association was found for spatial access to grocery stores. Additive interaction analysis showed that individuals with medium access to grocery stores and highest access to restaurants had the lowest likelihood (RRR = 0.29, 95%CI = 0.10-0.84) of cooking 6-7 days/week when compared to individuals with lowest access to restaurants and highest access to grocery stores. Greater neighbourhood spatial access to restaurants was associated with lower frequency of home cooking, largely independent of access to grocery stores.</t>
  </si>
  <si>
    <t>Search for heavy resonances decaying into &lt;i&gt;WW&lt;/i&gt; in the &lt;math xmlns="http://www.w3.org/1998/Math/MathML"&gt;&lt;mrow&gt;&lt;mi&gt;e&lt;/mi&gt; &lt;mi&gt;ν&lt;/mi&gt; &lt;mi&gt;μ&lt;/mi&gt; &lt;mi&gt;ν&lt;/mi&gt;&lt;/mrow&gt; &lt;/math&gt; final state in &lt;i&gt;pp&lt;/i&gt; collisions at &lt;math xmlns="http://www.w3.org/1998/Math/MathML"&gt; &lt;mrow&gt;&lt;msqrt&gt;&lt;mi&gt;s&lt;/mi&gt;&lt;/msqrt&gt; &lt;mo&gt;=&lt;/mo&gt; &lt;mn&gt;13&lt;/mn&gt;&lt;/mrow&gt; &lt;/math&gt; &lt;math xmlns="http://www.w3.org/1998/Math/MathML"&gt;&lt;mrow&gt;&lt;mspace&gt;&lt;/mspace&gt; &lt;mtext&gt;TeV&lt;/mtext&gt;&lt;/mrow&gt; &lt;/math&gt; with the ATLAS detector.</t>
  </si>
  <si>
    <t>https://pubmed.ncbi.nlm.nih.gov/31265008</t>
  </si>
  <si>
    <t>A search for neutral heavy resonances is performed in the &lt;math xmlns="http://www.w3.org/1998/Math/MathML"&gt;&lt;mrow&gt;&lt;mi&gt;W&lt;/mi&gt; &lt;mi&gt;W&lt;/mi&gt; &lt;mo&gt;→&lt;/mo&gt; &lt;mi&gt;e&lt;/mi&gt; &lt;mi&gt;ν&lt;/mi&gt; &lt;mi&gt;μ&lt;/mi&gt; &lt;mi&gt;ν&lt;/mi&gt;&lt;/mrow&gt; &lt;/math&gt; decay channel using &lt;i&gt;pp&lt;/i&gt; collision data corresponding to an integrated luminosity of &lt;math xmlns="http://www.w3.org/1998/Math/MathML"&gt;&lt;mrow&gt;&lt;mn&gt;36.1&lt;/mn&gt; &lt;mspace&gt;&lt;/mspace&gt; &lt;msup&gt;&lt;mtext&gt;fb&lt;/mtext&gt; &lt;mrow&gt;&lt;mo&gt;-&lt;/mo&gt; &lt;mn&gt;1&lt;/mn&gt;&lt;/mrow&gt; &lt;/msup&gt; &lt;/mrow&gt; &lt;/math&gt; , collected at a centre-of-mass energy of 13 &lt;math xmlns="http://www.w3.org/1998/Math/MathML"&gt;&lt;mrow&gt;&lt;mspace&gt;&lt;/mspace&gt; &lt;mtext&gt;TeV&lt;/mtext&gt;&lt;/mrow&gt; &lt;/math&gt; by the ATLAS detector at the Large Hadron Collider. No evidence of such heavy resonances is found. In the search for production via the quark-antiquark annihilation or gluon-gluon fusion process, upper limits on &lt;math xmlns="http://www.w3.org/1998/Math/MathML"&gt; &lt;mrow&gt;&lt;msub&gt;&lt;mi&gt;σ&lt;/mi&gt; &lt;mi&gt;X&lt;/mi&gt;&lt;/msub&gt; &lt;mo&gt;×&lt;/mo&gt; &lt;mi&gt;B&lt;/mi&gt; &lt;mrow&gt;&lt;mo&gt;(&lt;/mo&gt; &lt;mi&gt;X&lt;/mi&gt; &lt;mo&gt;→&lt;/mo&gt; &lt;mi&gt;W&lt;/mi&gt; &lt;mi&gt;W&lt;/mi&gt; &lt;mo&gt;)&lt;/mo&gt;&lt;/mrow&gt; &lt;/mrow&gt; &lt;/math&gt; as a function of the resonance mass are obtained in the mass range between 200 &lt;math xmlns="http://www.w3.org/1998/Math/MathML"&gt;&lt;mrow&gt;&lt;mspace&gt;&lt;/mspace&gt; &lt;mtext&gt;GeV&lt;/mtext&gt;&lt;/mrow&gt; &lt;/math&gt; and up to 5 &lt;math xmlns="http://www.w3.org/1998/Math/MathML"&gt;&lt;mrow&gt;&lt;mspace&gt;&lt;/mspace&gt; &lt;mtext&gt;TeV&lt;/mtext&gt;&lt;/mrow&gt; &lt;/math&gt; for various benchmark models: a Higgs-like scalar in different width scenarios, a two-Higgs-doublet model, a heavy vector triplet model, and a warped extra dimensions model. In the vector-boson fusion process, constraints are also obtained on these resonances, as well as on a Higgs boson in the Georgi-Machacek model and a heavy tensor particle coupling only to gauge bosons.</t>
  </si>
  <si>
    <t>Efficient selective screening for heart failure in elderly men and women from the community: A diagnostic individual participant data meta-analysis.</t>
  </si>
  <si>
    <t>Kievit, Rogier F; Gohar, Aisha; Hoes, Arno W; Bots, Michiel L; van Riet, Evelien Es; van Mourik, Yvonne; Bertens, Loes Cm; Boonman-de Winter, Leandra Jm; den Ruijter, Hester M; Rutten, Frans H; ,</t>
  </si>
  <si>
    <t>https://pubmed.ncbi.nlm.nih.gov/29327942</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</si>
  <si>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</si>
  <si>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Search for dark matter produced in association with bottom or top quarks in &lt;math xmlns="http://www.w3.org/1998/Math/MathML"&gt; &lt;mrow&gt;&lt;msqrt&gt;&lt;mi&gt;s&lt;/mi&gt;&lt;/msqrt&gt; &lt;mo&gt;=&lt;/mo&gt; &lt;mn&gt;13&lt;/mn&gt;&lt;/mrow&gt; &lt;/math&gt;  TeV &lt;i&gt;pp&lt;/i&gt; collisions with the ATLAS detector.</t>
  </si>
  <si>
    <t>https://pubmed.ncbi.nlm.nih.gov/31265005</t>
  </si>
  <si>
    <t>A search for weakly interacting massive dark-matter particles produced in association with bottom or top quarks is presented. Final states containing third-generation quarks and missing transverse momentum are considered. The analysis uses &lt;math xmlns="http://www.w3.org/1998/Math/MathML"&gt;&lt;mrow&gt;&lt;mn&gt;36.1&lt;/mn&gt; &lt;mspace&gt;&lt;/mspace&gt; &lt;msup&gt;&lt;mrow&gt;&lt;mi&gt;fb&lt;/mi&gt;&lt;/mrow&gt; &lt;mrow&gt;&lt;mo&gt;-&lt;/mo&gt; &lt;mn&gt;1&lt;/mn&gt;&lt;/mrow&gt; &lt;/msup&gt; &lt;/mrow&gt; &lt;/math&gt; of proton-proton collision data recorded by the ATLAS experiment at &lt;math xmlns="http://www.w3.org/1998/Math/MathML"&gt; &lt;mrow&gt;&lt;msqrt&gt;&lt;mi&gt;s&lt;/mi&gt;&lt;/msqrt&gt; &lt;mo&gt;=&lt;/mo&gt; &lt;mn&gt;13&lt;/mn&gt;&lt;/mrow&gt; &lt;/math&gt;  TeV in 2015 and 2016. No significant excess of events above the estimated backgrounds is observed. The results are interpreted in the framework of simplified models of spin-0 dark-matter mediators. For colour-neutral spin-0 mediators produced in association with top quarks and decaying into a pair of dark-matter particles, mediator masses below 50 GeV are excluded assuming a dark-matter candidate mass of 1 GeV and unitary couplings. For scalar and pseudoscalar mediators produced in association with bottom quarks, the search sets limits on the production cross-section of 300 times the predicted rate for mediators with masses between 10 and &lt;math xmlns="http://www.w3.org/1998/Math/MathML"&gt;&lt;mrow&gt;&lt;mn&gt;50&lt;/mn&gt; &lt;mspace&gt;&lt;/mspace&gt; &lt;mtext&gt;GeV&lt;/mtext&gt;&lt;/mrow&gt; &lt;/math&gt; and assuming a dark-matter mass of &lt;math xmlns="http://www.w3.org/1998/Math/MathML"&gt;&lt;mrow&gt;&lt;mn&gt;1&lt;/mn&gt; &lt;mspace&gt;&lt;/mspace&gt; &lt;mtext&gt;GeV&lt;/mtext&gt;&lt;/mrow&gt; &lt;/math&gt; and unitary coupling. Constraints on colour-charged scalar simplified models are also presented. Assuming a dark-matter particle mass of &lt;math xmlns="http://www.w3.org/1998/Math/MathML"&gt;&lt;mrow&gt;&lt;mn&gt;35&lt;/mn&gt; &lt;mspace&gt;&lt;/mspace&gt; &lt;mtext&gt;GeV&lt;/mtext&gt;&lt;/mrow&gt; &lt;/math&gt; , mediator particles with mass below &lt;math xmlns="http://www.w3.org/1998/Math/MathML"&gt;&lt;mrow&gt;&lt;mn&gt;1.1&lt;/mn&gt; &lt;mspace&gt;&lt;/mspace&gt; &lt;mtext&gt;TeV&lt;/mtext&gt;&lt;/mrow&gt; &lt;/math&gt; are excluded for couplings yielding a dark-matter relic density consistent with measurements.</t>
  </si>
  <si>
    <t>Standard whole prostate gland radiotherapy with and without lesion boost in prostate cancer: Toxicity in the FLAME randomized controlled trial.</t>
  </si>
  <si>
    <t>Monninkhof, Evelyn M; van Loon, Juliette W L; van Vulpen, Marco; Kerkmeijer, Linda G W; Pos, Floris J; Haustermans, Karin; van den Bergh, Laura; Isebaert, Sofie; McColl, Gill M; Smeenk, Robert Jan; Noteboom, Juus; Walraven, Iris; Peeters, Petra H M; van der Heide, Uulke A</t>
  </si>
  <si>
    <t>https://pubmed.ncbi.nlm.nih.gov/29336835</t>
  </si>
  <si>
    <t>To compare toxicity rates in patients with localized prostate cancer treated with standard fractionated external beam radiotherapy (EBRT) with or without an additional integrated boost to the macroscopically visible tumour. FLAME is a phase 3 multicentre RCT (NCT01168479) of patients with pathologically confirmed localized intermediate or high-risk prostate cancer. The standard treatment arm (n = 287) received a dose to the entire prostate of 77 Gy in 35 fractions. The dose-escalated treatment arm (n = 284) received 77 Gy in 35 fractions to the entire prostate, with an integrated boost up to 95 Gy to the multi-parametric MRI-defined (macroscopic) tumour within the prostate. Treatment related toxicity was measured using the CTCAE version 3.0. Grade 2 or worse GU or GI events up to two years were compared between groups by presenting proportions and by Generalized Estimating Equations (GEE) analyses for repeated measures. Ninety percent of the 571 men randomly assigned between September 2009 and January 2015 had high-risk disease (Ash 2000), of whom nearly 66% were prescribed hormonal therapy up to three years. Median follow-up was 55 months at the time of this analysis. Toxicity prevalence rates for both GI and GU increased until the end of treatment and regressed thereafter, with no obvious differences across treatment groups. Late cumulative GI toxicity rates were 11.1% and 10.2% for the standard and dose-escalated group, respectively. These rates were 22.6% and 27.1% for GU toxicity. GEE analyses showed that both GU toxicity and GI toxicity (≥grade 2) up to two years after treatment were similar between arms (OR 1.02 95%CI 0.78-1.33p = 0.81 and (OR 1.19 95%CI 0.82-1.73p = 0.38), respectively. In intermediate- and high-risk prostate cancer patients, focal dose escalation integrated with standard EBRT did not result in an increase in GU and GI toxicity when compared to the standard treatment up to two years after treatment. This suggests that the described focal dose escalation technique is safe and feasible.</t>
  </si>
  <si>
    <t>Interval estimation of the overall treatment effect in a meta-analysis of a few small studies with zero events.</t>
  </si>
  <si>
    <t>Pateras, Konstantinos; Nikolakopoulos, Stavros; Mavridis, Dimitris; Roes, Kit C B</t>
  </si>
  <si>
    <t>https://pubmed.ncbi.nlm.nih.gov/29696231</t>
  </si>
  <si>
    <t>When a meta-analysis consists of a few small trials that report zero events, accounting for heterogeneity in the (interval) estimation of the overall effect is challenging. Typically, we predefine meta-analytical methods to be employed. In practice, data poses restrictions that lead to deviations from the pre-planned analysis, such as the presence of zero events in at least one study arm. We aim to explore heterogeneity estimators behaviour in estimating the overall effect across different levels of sparsity of events. We performed a simulation study that consists of two evaluations. We considered an overall comparison of estimators unconditional on the number of observed zero cells and an additional one by conditioning on the number of observed zero cells. Estimators that performed modestly robust when (interval) estimating the overall treatment effect across a range of heterogeneity assumptions were the Sidik-Jonkman, Hartung-Makambi and improved Paul-Mandel. The relative performance of estimators did not materially differ between making a predefined or data-driven choice. Our investigations confirmed that heterogeneity in such settings cannot be estimated reliably. Estimators whose performance depends strongly on the presence of heterogeneity should be avoided. The choice of estimator does not need to depend on whether or not zero cells are observed.</t>
  </si>
  <si>
    <t>Computed Tomography Perfusion Derived Blood-Brain Barrier Permeability Does Not Yet Improve Prediction of Hemorrhagic Transformation.</t>
  </si>
  <si>
    <t>Horsch, Alexander D; Bennink, Edwin; van Seeters, Tom; Kappelle, L Jaap; van der Graaf, Yolanda; Mali, Willem P T M; de Jong, Hugo W A M; Velthuis, Birgitta K; Dankbaar, Jan Willem; ,</t>
  </si>
  <si>
    <t>https://pubmed.ncbi.nlm.nih.gov/29402765</t>
  </si>
  <si>
    <t>Hemorrhagic transformation (HT) in acute ischemic stroke can occur as a result of reperfusion treatment. While withholding treatment may be warranted in patients with increased risk of HT, prediction of HT remains difficult. Nonlinear regression analysis can be used to estimate blood-brain barrier permeability (BBBP). The aim of this study was to identify a combination of clinical and imaging variables, including BBBP estimations, that can predict HT. From the Dutch acute stroke study, 545 patients treated with intravenous recombinant tissue plasminogen activator and/or intra-arterial treatment were selected, with available admission extended computed tomography (CT) perfusion and follow-up imaging. Patient admission treatment characteristics and CT imaging parameters regarding occlusion site, stroke severity, and BBBP were recorded. HT was assessed on day 3 follow-up imaging. The association between potential predictors and HT was analyzed using univariate and multivariate logistic regression. To compare the added value of BBBP, areas under the curve (AUCs) were created from 2 models, with and without BBBP. HT occurred in 57 patients (10%). In univariate analysis, older age (OR 1.03, 95% CI 1.006-1.05), higher admission National Institutes of Health Stroke Scale (NIHSS; OR 1.13, 95% CI 1.08-1.18), higher clot burden (OR 1.28, 95% CI 1.16-1.41), poor collateral score (OR 3.49, 95% CI 1.85-6.58), larger Alberta Stroke Program Early CT Score cerebral blood volume deficit size (OR 1.26, 95% CI 1.14-1.38), and increased BBBP (OR 2.22, 95% CI 1.46-3.37) were associated with HT. In multivariate analysis with age and admission NIHSS, the addition of BBBP did not improve the AUC compared to both independent predictors alone (AUC 0.77, 95% CI 0.71-0.83). BBBP predicts HT but does not improve prediction with age and admission NIHSS.</t>
  </si>
  <si>
    <t>Haemoglobin glycation index and risk for diabetes-related complications in the Action in Diabetes and Vascular Disease: Preterax and Diamicron Modified Release Controlled Evaluation (ADVANCE) trial.</t>
  </si>
  <si>
    <t>van Steen, Sigrid C; Woodward, Mark; Chalmers, John; Li, Qiang; Marre, Michel; Cooper, Mark E; Hamet, Pavel; Mancia, Giuseppe; Colagiuri, Stephen; Williams, Bryan; Grobbee, Diederick E; DeVries, J Hans; ,</t>
  </si>
  <si>
    <t>https://pubmed.ncbi.nlm.nih.gov/29308539</t>
  </si>
  <si>
    <t>Previous studies have suggested that the haemoglobin glycation index (HGI) can be used as a predictor of diabetes-related complications in individuals with type 1 and type 2 diabetes. We investigated whether HGI was a predictor of adverse outcomes of intensive glucose lowering and of diabetes-related complications in general, using data from the Action in Diabetes and Vascular Disease: Preterax and Diamicron Modified Release Controlled Evaluation (ADVANCE) trial. We studied participants in the ADVANCE trial with data available for baseline HbA&lt;sub&gt;1c&lt;/sub&gt; and fasting plasma glucose (FPG) (n = 11,083). HGI is the difference between observed HbA&lt;sub&gt;1c&lt;/sub&gt; and HbA&lt;sub&gt;1c&lt;/sub&gt; predicted from a simple linear regression of HbA&lt;sub&gt;1c&lt;/sub&gt; on FPG. Using Cox regression, we investigated the association between HGI, both categorised and continuous, and adverse outcomes, considering treatment allocation (intensive or standard glucose control) and compared prediction of HGI and HbA&lt;sub&gt;1c&lt;/sub&gt;. Intensive glucose control lowered mortality risk in individuals with high HGI only (HR 0.74 [95% CI 0.61, 0.91]; p = 0.003), while there was no difference in the effect of intensive treatment on mortality in those with high HbA&lt;sub&gt;1c&lt;/sub&gt;. Irrespective of treatment allocation, every SD increase in HGI was associated with a significant risk increase of 14-17% for macrovascular and microvascular disease and mortality. However, when adjusted for identical covariates, HbA&lt;sub&gt;1c&lt;/sub&gt; was a stronger predictor of these outcomes than HGI. HGI predicts risk for complications in ADVANCE participants, irrespective of treatment allocation, but no better than HbA&lt;sub&gt;1c&lt;/sub&gt;. Individuals with high HGI have a lower risk for mortality when on intensive treatment. Given the discordant results and uncertain relevance beyond HbA&lt;sub&gt;1c&lt;/sub&gt;, clinical use of HGI in type 2 diabetes cannot currently be recommended.</t>
  </si>
  <si>
    <t>Patient-reported symptoms and stepwise symptom management in patients on epidermal growth factor inhibitors: A retrospective, descriptive cohort study.</t>
  </si>
  <si>
    <t>Koldenhof, J J; Langenberg, M H G; Witteveen, P O; Teunissen, S C C M</t>
  </si>
  <si>
    <t>https://pubmed.ncbi.nlm.nih.gov/29314360</t>
  </si>
  <si>
    <t>Adverse events (AEs) of epidermal growth factor inhibitors (EGFRi) influence well-being with a risk to dose modifications (DMs). Hereby, clinical benefit of treatment might be affected. This retrospective cohort study was set up to gain insight into the suitability and added value of a patient-reported outcome measurement tool (PROM), together with a stepwise intervention management plan for EGFRi-related AEs in daily practice. The primary objective was to gain insight into total treatment duration and DMs, and the secondary objective to gain insight into patient-reported symptoms and well-being as well as healthcare professional-reported AEs. Sixty-eight patients on cetuximab and 19 on panitumumab treatment were included for analysis; 69% had squamous cell carcinoma of head and neck (SCCHN) and 26% metastatic colorectal carcinoma. DMs due to AEs occurred in 39% of the patients and dose discontinuations in 22%. Especially anorexia, dysphagia, oral pain and skin changes led to a decreased well-being. In patients on EGFRi, application of PROMs together with a stepwise symptom management plan enhances early recognition of symptom burden, pro-active symptom management and effect evaluation of interventions performed whereby well-being recovers. Since only SCCHN patients discontinued treatment due to AEs, patient-centred care focused on radiotherapy-related AEs, creates opportunities for amelioration.</t>
  </si>
  <si>
    <t>Bivalent Vaccine Effectiveness Against Type-Specific HPV Positivity: Evidence for Cross-Protection Against Oncogenic Types Among Dutch STI Clinic Visitors.</t>
  </si>
  <si>
    <t>Woestenberg, Petra J; King, Audrey J; van Benthem, Birgit H B; Donken, Robine; Leussink, Suzan; van der Klis, Fiona R M; de Melker, Hester E; van der Sande, Marianne A B; Hoebe, Christian J P A; Bogaards, Johannes A; ,</t>
  </si>
  <si>
    <t>https://pubmed.ncbi.nlm.nih.gov/29140439</t>
  </si>
  <si>
    <t>Observational postmarketing studies are important to assess vaccine effectiveness (VE). We estimated VE from the bivalent human papillomavirus (HPV) vaccine against HPV positivity of vaccine and nonvaccine types in a high-risk population. We included all vaccine-eligible women from the PASSYON study, a biennial cross-sectional survey in Dutch sexually transmitted infection clinics. Vaginal swabs were analyzed using a polymerase chain reaction-based assay (SPF10-LiPA25) able to detect the 12 high-risk HPV (hrHPV) types 16/18/31/33/35/39/45/51/52/56/58/59. We compared hrHPV positivity between self-reported vaccinated (≥1 dose) and unvaccinated women, and estimated VE by a logistic mixed model. We included 1087 women of which 53% were hrHPV positive and 60% reported to be vaccinated. The adjusted pooled VE against HPV-16/18 was 89.9% (81.7%-94.4%). Moreover, we calculated significant VE against nonvaccine types HPV-45 (91%), HPV-35 (57%), HPV-31 (50%), and HPV-52 (37%). Among women who were offered vaccination 5/6 years ago, we estimated similar VE against HPV-16/18 (92%) and all hrHPV types (35%) compared to women who were offered vaccination &lt;5 years ago (83% and 33%, respectively). We demonstrated high VE of the bivalent vaccine against HPV-16/18 and cross-protection against HPV-45/35/31/52. Protection against HPV-16/18 was sustained up to 6 years postvaccination.</t>
  </si>
  <si>
    <t>Multicentre prospective evaluation of real-time optical diagnosis of T1 colorectal cancer in large non-pedunculated colorectal polyps using narrow band imaging (the OPTICAL study).</t>
  </si>
  <si>
    <t>Backes, Yara; Schwartz, Matthijs P; Ter Borg, Frank; Wolfhagen, Frank H J; Groen, John N; de Vos Tot Nederveen Cappel, Wouter H; van Bergeijk, Jeroen; Geesing, Joost M J; Spanier, Bernhard W M; Didden, Paul; Vleggaar, Frank P; Lacle, Miangela M; Elias, Sjoerd G; Moons, Leon M G; ,</t>
  </si>
  <si>
    <t>https://pubmed.ncbi.nlm.nih.gov/29298873</t>
  </si>
  <si>
    <t>This study evaluated the preresection accuracy of optical diagnosis of T1 colorectal cancer (CRC) in large non-pedunculated colorectal polyps (LNPCPs). In this multicentre prospective study, endoscopists predicted the histology during colonoscopy in consecutive patients with LNPCPs using a standardised procedure for optical assessment. The presence of morphological features assessed with white light, and vascular and surface pattern with narrow-band imaging (NBI) were recorded, together with the optical diagnosis, the confidence level of prediction and the recommended treatment. A risk score chart was developed and validated using a multivariable mixed effects binary logistic least absolute shrinkage and selection (LASSO) model. Among 343 LNPCPs, 47 cancers were found (36 T1 CRCs and 11 ≥T2 CRCs), of which 11 T1 CRCs were superficial invasive T1 CRCs (23.4% of all malignant polyps). Sensitivity and specificity for optical diagnosis of T1 CRC were 78.7% (95% CI 64.3 to 89.3) and 94.2% (95% CI 90.9 to 96.6), and 63.3% (95% CI 43.9 to 80.1) and 99.0% (95% CI 97.1 to 100.0) for optical diagnosis of endoscopically unresectable lesions (ie, ≥T1 CRC with deep invasion), respectively. A LASSO-derived model using white light and NBI features discriminated T1 CRCs from non-invasive polyps with a cross-validation area under the curve (AUC) of 0.85 (95% CI 0.80 to 0.90). This model was validated in a temporal validation set of 100 LNPCPs (AUC of 0.81; 95% CI 0.66 to 0.96). Our study provides insights in the preresection accuracy of optical diagnosis of T1 CRC. Sensitivity is still limited, so further studies will show how the risk score chart could be improved and finally used for clinical decision making with regard to the type of endoresection to be used and whether to proceed to surgery instead of endoscopy. NTR5561.</t>
  </si>
  <si>
    <t>Apparent resistant hypertension and the risk of vascular events and mortality in patients with manifest vascular disease.</t>
  </si>
  <si>
    <t>van der Sande, Nicolette G C; de Beus, Esther; Bots, Michiel L; Voskuil, Michiel; Blankestijn, Peter J; Visseren, Frank; Spiering, Wilko; ,</t>
  </si>
  <si>
    <t>https://pubmed.ncbi.nlm.nih.gov/28763342</t>
  </si>
  <si>
    <t>Patients with apparent resistant hypertension (aRH) are at increased risk for developing cardiovascular disease. It is unknown if this condition is related to increased cardiovascular risk in patients with clinically manifest vascular disease. In 6191 hypertensive patients with clinically manifest vascular disease, we evaluated the risk of subsequent vascular events and mortality between patients with controlled hypertension, uncontrolled hypertension, controlled aRH, and uncontrolled aRH. Controlled aRH was defined as office blood pressure less than 140/90 mmHg while using at least four antihypertensive drugs. Uncontrolled aRH was defined as office blood pressure at least 140/90 mmHg while using three antihypertensive drugs including a diuretic, or at least four antihypertensive drugs. Outcomes of interest were myocardial infarction, stroke, cardiovascular mortality, the composite outcome of cardiovascular events, and all-cause mortality. In total 2564 patients (41%) had controlled hypertension, 3063 patients (49%) had uncontrolled hypertension, 123 patients (2%) had controlled aRH, and 411 patients (7%) had uncontrolled aRH. During 7.1 years of follow-up patients with controlled aRH were at a higher risk of cardiovascular mortality [hazard ratios 1.86; 95% confidence interval (CI) 1.10-3.15], and all-cause mortality (hazard ratios 1.64; 95% CI 1.07-2.52) compared with patients with controlled hypertension. Patients with uncontrolled aRH were at a higher risk of cardiovascular mortality (hazard ratios 1.36; 95% CI 1.01-1.83), and higher risk of all-cause mortality (hazard ratios 1.27; 95% CI 1.01-1.60) compared with patients with controlled hypertension. In hypertensive patients with clinically manifest vascular disease, presence of controlled and uncontrolled aRH is related to an increased risk of cardiovascular mortality and all-cause mortality.</t>
  </si>
  <si>
    <t>Automated Multi-Atlas Segmentation of Hippocampal and Extrahippocampal Subregions in Alzheimer's Disease at 3T and 7T: What Atlas Composition Works Best?</t>
  </si>
  <si>
    <t>Xie, Long; Shinohara, Russell T; Ittyerah, Ranjit; Kuijf, Hugo J; Pluta, John B; Blom, Kim; Kooistra, Minke; Reijmer, Yael D; Koek, Huiberdina L; Zwanenburg, Jaco J M; Wang, Hongzhi; Luijten, Peter R; Geerlings, Mirjam I; Das, Sandhitsu R; Biessels, Geert Jan; Wolk, David A; Yushkevich, Paul A; Wisse, Laura E M</t>
  </si>
  <si>
    <t>https://pubmed.ncbi.nlm.nih.gov/29614654</t>
  </si>
  <si>
    <t>Multi-atlas segmentation, a popular technique implemented in the Automated Segmentation of Hippocampal Subfields (ASHS) software, utilizes multiple expert-labelled images ("atlases") to delineate medial temporal lobe substructures. This multi-atlas method is increasingly being employed in early Alzheimer's disease (AD) research, it is therefore becoming important to know how the construction of the atlas set in terms of proportions of controls and patients with mild cognitive impairment (MCI) and/or AD affects segmentation accuracy. To evaluate whether the proportion of controls in the training sets affects the segmentation accuracy of both controls and patients with MCI and/or early AD at 3T and 7T. We performed cross-validation experiments varying the proportion of control subjects in the training set, ranging from a patient-only to a control-only set. Segmentation accuracy of the test set was evaluated by the Dice similarity coeffiecient (DSC). A two-stage statistical analysis was applied to determine whether atlas composition is linked to segmentation accuracy in control subjects and patients, for 3T and 7T. The different atlas compositions did not significantly affect segmentation accuracy at 3T and for patients at 7T. For controls at 7T, including more control subjects in the training set significantly improves the segmentation accuracy, but only marginally, with the maximum of 0.0003 DSC improvement per percent increment of control subject in the training set. ASHS is robust in this study, and the results indicate that future studies investigating hippocampal subfields in early AD populations can be flexible in the selection of their atlas compositions.</t>
  </si>
  <si>
    <t>ExomeChip-Wide Analysis of 95 626 Individuals Identifies 10 Novel Loci Associated With QT and JT Intervals.</t>
  </si>
  <si>
    <t>Bihlmeyer, Nathan A; Brody, Jennifer A; Smith, Albert Vernon; Warren, Helen R; Lin, Honghuang; Isaacs, Aaron; Liu, Ching-Ti; Marten, Jonathan; Radmanesh, Farid; Hall, Leanne M; Grarup, Niels; Mei, Hao; Müller-Nurasyid, Martina; Huffman, Jennifer E; Verweij, Niek; Guo, Xiuqing; Yao, Jie; Li-Gao, Ruifang; van den Berg, Marten; Weiss, Stefan; Prins, Bram P; van Setten, Jessica; Haessler, Jeffrey; Lyytikäinen, Leo-Pekka; Li, Man; Alonso, Alvaro; Soliman, Elsayed Z; Bis, Joshua C; Austin, Tom; Chen, Yii-Der Ida; Psaty, Bruce M; Harrris, Tamara B; Launer, Lenore J; Padmanabhan, Sandosh; Dominiczak, Anna; Huang, Paul L; Xie, Zhijun; Ellinor, Patrick T; Kors, Jan A; Campbell, Archie; Murray, Alison D; Nelson, Christopher P; Tobin, Martin D; Bork-Jensen, Jette; Hansen, Torben; Pedersen, Oluf; Linneberg, Allan; Sinner, Moritz F; Peters, Annette; Waldenberger, Melanie; Meitinger, Thomas; Perz, Siegfried; Kolcic, Ivana; Rudan, Igor; de Boer, Rudolf A; van der Meer, Peter; Lin, Henry J; Taylor, Ken</t>
  </si>
  <si>
    <t>https://pubmed.ncbi.nlm.nih.gov/29874175</t>
  </si>
  <si>
    <t>QT interval, measured through a standard ECG, captures the time it takes for the cardiac ventricles to depolarize and repolarize. JT interval is the component of the QT interval that reflects ventricular repolarization alone. Prolonged QT interval has been linked to higher risk of sudden cardiac arrest. We performed an ExomeChip-wide analysis for both QT and JT intervals, including 209 449 variants, both common and rare, in 17 341 genes from the Illumina Infinium HumanExome BeadChip. We identified 10 loci that modulate QT and JT interval duration that have not been previously reported in the literature using single-variant statistical models in a meta-analysis of 95 626 individuals from 23 cohorts (comprised 83 884 European ancestry individuals, 9610 blacks, 1382 Hispanics, and 750 Asians). This brings the total number of ventricular repolarization associated loci to 45. In addition, our approach of using coding variants has highlighted the role of 17 specific genes for involvement in ventricular repolarization, 7 of which are in novel loci. Our analyses show a role for myocyte internal structure and interconnections in modulating QT interval duration, adding to previous known roles of potassium, sodium, and calcium ion regulation, as well as autonomic control. We anticipate that these discoveries will open new paths to the goal of making novel remedies for the prevention of lethal ventricular arrhythmias and sudden cardiac arrest.</t>
  </si>
  <si>
    <t>Genetic Association of Lipids and Lipid Drug Targets With Abdominal Aortic Aneurysm: A Meta-analysis.</t>
  </si>
  <si>
    <t>Harrison, Seamus C; Holmes, Michael V; Burgess, Stephen; Asselbergs, Folkert W; Jones, Gregory T; Baas, Annette F; van 't Hof, F N; de Bakker, Paul I W; Blankensteijn, Jan D; Powell, Janet T; Saratzis, Athanasios; de Borst, Gert J; Swerdlow, Daniel I; van der Graaf, Yolanda; van Rij, Andre M; Carey, David J; Elmore, James R; Tromp, Gerard; Kuivaniemi, Helena; Sayers, Robert D; Samani, Nilesh J; Bown, Matthew J; Humphries, Steve E</t>
  </si>
  <si>
    <t>https://pubmed.ncbi.nlm.nih.gov/29188294</t>
  </si>
  <si>
    <t>Risk factors for abdominal aortic aneurysm (AAA) are largely unknown, which has hampered the development of nonsurgical treatments to alter the natural history of disease. To investigate the association between lipid-associated single-nucleotide polymorphisms (SNPs) and AAA risk. Genetic risk scores, composed of lipid trait-associated SNPs, were constructed and tested for their association with AAA using conventional (inverse-variance weighted) mendelian randomization (MR) and data from international AAA genome-wide association studies. Sensitivity analyses to account for potential genetic pleiotropy included MR-Egger and weighted median MR, and multivariable MR method was used to test the independent association of lipids with AAA risk. The association between AAA and SNPs in loci that can act as proxies for drug targets was also assessed. Data collection took place between January 9, 2015, and January 4, 2016. Data analysis was conducted between January 4, 2015, and December 31, 2016. Genetic elevation of low-density lipoprotein cholesterol (LDL-C), high-density lipoprotein cholesterol (HDL-C), and triglycerides (TG). The association between genetic risk scores of lipid-associated SNPs and AAA risk, as well as the association between SNPs in lipid drug targets (HMGCR, CETP, and PCSK9) and AAA risk. Up to 4914 cases and 48 002 controls were included in our analysis. A 1-SD genetic elevation of LDL-C was associated with increased AAA risk (odds ratio [OR], 1.66; 95% CI, 1.41-1.96; P = 1.1 × 10-9). For HDL-C, a 1-SD increase was associated with reduced AAA risk (OR, 0.67; 95% CI, 0.55-0.82; P = 8.3 × 10-5), whereas a 1-SD increase in triglycerides was associated with increased AAA risk (OR, 1.69; 95% CI, 1.38-2.07; P = 5.2 × 10-7). In multivariable MR analysis and both MR-Egger and weighted median MR methods, the association of each lipid fraction with AAA risk remained largely unchanged. The LDL-C-reducing allele of rs12916 in HMGCR was associated with AAA risk (OR, 0.93; 95% CI, 0.89-0.98; P = .009). The HDL-C-raising allele of rs3764261 in CETP was associated with lower AAA risk (OR, 0.89; 95% CI, 0.85-0.94; P = 3.7 × 10-7). Finally, the LDL-C-lowering allele of rs11206510 in PCSK9 was weakly associated with a lower AAA risk (OR, 0.94; 95% CI, 0.88-1.00; P = .04), but a second independent LDL-C-lowering variant in PCSK9 (rs2479409) was not associated with AAA risk (OR, 0.97; 95% CI, 0.92-1.02; P = .28). The MR analyses in this study lend support to the hypothesis that lipids play an important role in the etiology of AAA. Analyses of individual genetic variants used as proxies for drug targets support LDL-C lowering as a potential effective treatment strategy for preventing and managing AAA.</t>
  </si>
  <si>
    <t>White Matter Hyperintensities and Cognition in Mild Cognitive Impairment and Alzheimer's Disease: A Domain-Specific Meta-Analysis.</t>
  </si>
  <si>
    <t>van den Berg, Esther; Geerlings, Mirjam I; Biessels, Geert Jan; Nederkoorn, Paul J; Kloppenborg, Raoul P</t>
  </si>
  <si>
    <t>https://pubmed.ncbi.nlm.nih.gov/29630548</t>
  </si>
  <si>
    <t>White matter hyperintensities (WMHs) are related to cognitive dysfunction in the general population. The clinical relevance of WMHs in patients with Alzheimer's disease (AD) and mild cognitive impairment (MCI) is, however, unclear. This meta-analysis aimed to quantify the association of WMHs and specific cognitive domains in patients with MCI or AD. PubMed (January 1990-January 2017) was searched for studies that used MRI to quantify WMHs, and measured cognitive functioning (≥1 predefined cognitive domain with ≥1 test) in a well-defined population of persons diagnosed with MCI or AD. Fischer's Z was used as the common metric for effect size. Modifying effects of demographics, MMSE, and WMH location were examined. Twelve cross-sectional studies on AD (total n = 1,370, median age 75 years) and 10 studies on MCI (9 cross-sectional, 1 longitudinal; total n = 2,286, median age 73 years) were included. The association between WMHs and overall cognition was significantly stronger for MCI (-0.25, -0.36 to -0.14) than for AD (-0.11, -0.14 to -0.08; QM = 10.7, p &lt; 0.05). For both groups, largest effect sizes were found in attention and executive functions (-0.26, -0.36 to -0.15) and processing speed (-0.21, -0.35 to -0.12). No significant modifying effects of age and gender were found. WMHs have a medium-sized association with different cognitive functions in patients with MCI and a small, but statistically significant, association with cognition in AD. These result underscore the role of co-occurring vascular brain damage in MCI and AD.</t>
  </si>
  <si>
    <t>Histopathological and molecular classification of colorectal cancer and corresponding peritoneal metastases.</t>
  </si>
  <si>
    <t>Ubink, I; van Eden, W J; Snaebjornsson, P; Kok, N F M; van Kuik, J; van Grevenstein, W M U; Laclé, M M; Sanders, J; Fijneman, R J A; Elias, S G; Borel Rinkes, I H M; Aalbers, A G J; Kranenburg, O</t>
  </si>
  <si>
    <t>https://pubmed.ncbi.nlm.nih.gov/29341165</t>
  </si>
  <si>
    <t>Patients with colorectal peritoneal carcinomatosis have a very poor prognosis. The recently developed consensus molecular subtype (CMS) classification of primary colorectal cancer categorizes tumours into four robust subtypes, which could guide subtype-targeted therapy. CMS4, also known as the mesenchymal subtype, has the greatest propensity to form distant metastases. CMS4 status and histopathological features of colorectal peritoneal carcinomatosis were investigated in this study. Fresh-frozen tissue samples from primary colorectal cancer and paired peritoneal metastases from patients who underwent cytoreductive surgery combined with hyperthermic intraperitoneal chemotherapy were collected. Histopathological features were analysed, and a reverse transcriptase-quantitative PCR test was used to assess CMS4 status of all collected lesions. Colorectal peritoneal carcinomatosis was associated with adverse histopathological characteristics, including a high percentage of stroma in both primary tumours and metastases, and poor differentiation grade and high-grade tumour budding in primary tumours. Furthermore, CMS4 was significantly enriched in primary tumours with peritoneal metastases, compared with unselected stage I-IV tumours (60 per cent (12 of 20) versus 23 per cent; P = 0.002). The majority of peritoneal metastases (75 per cent, 21 of 28) were also classified as CMS4. Considerable intrapatient subtype heterogeneity was observed. Notably, 15 of 16 patients with paired tumours had at least one CMS4-positive tumour location. Significant enrichment for CMS4 was observed in colorectal peritoneal carcinomatosis. Surgical relevance Cytoreductive surgery combined with hyperthermic intraperitoneal chemotherapy (CRS-HIPEC) improves survival of selected patients with colorectal peritoneal carcinomatosis, but recurrence is common. Histopathological and molecular analysis of colorectal peritoneal carcinomatosis could provide clues for development of novel therapies. In this study, colorectal peritoneal carcinomatosis was found to be enriched for tumours with high stromal content and CMS4-positive status. To further improve prognosis for patients with colorectal peritoneal carcinomatosis, therapies that target tumour-stroma interaction could be added to CRS-HIPEC.</t>
  </si>
  <si>
    <t>[Prevention of postoperative infections: patient safety subordinated to antibiotic stewardship].</t>
  </si>
  <si>
    <t>Bonten, M J M; Kluytmans, J</t>
  </si>
  <si>
    <t>https://pubmed.ncbi.nlm.nih.gov/29473540</t>
  </si>
  <si>
    <t>A new Dutch guideline for surgical antimicrobial prophylaxis recommends preoperative treatment with mupirocin and chlorhexidine showers only in patients identified as nasal carriers of Staphylococcus aureus. Yet, preoperative screening and treatment may not be achieved in many patients, because of the infrastructural complexity of all procedures this requires. We are therefore pleading for a universal treatment approach, which is more cost-effective and precludes carriers from being missed, while monitoring the occurrence of S. aureus infections caused by mupirocin-resistant strains.</t>
  </si>
  <si>
    <t>Cost-effectiveness of screening for atrial fibrillation in primary care with a handheld, single-lead electrocardiogram device in the Netherlands.</t>
  </si>
  <si>
    <t>Jacobs, Maartje S; Kaasenbrood, Femke; Postma, Maarten J; van Hulst, Marinus; Tieleman, Robert G</t>
  </si>
  <si>
    <t>https://pubmed.ncbi.nlm.nih.gov/27733465</t>
  </si>
  <si>
    <t>Atrial fibrillation (AF) is the most common arrhythmia and prevalence increases with age. Patients with AF have a high risk of stroke, and screening for AF is recommended in all people aged 65 years or older to identify patients eligible for stroke prevention. A handheld, single-lead electrocardiogram (ECG) device can be used for systematic screening in the population at risk. The objective of this study is to estimate the cost-effectiveness of screening for AF in primary care with the MyDiagnostick® during seasonal influenza vaccination in the Netherlands. Lifetime costs and effects of a single screening session for AF detection were assessed from a societal perspective with a decision analytic model consisting of a straightforward decision tree and a joining Markov model. The decision model simulated all patients aged 65 years and over attending the seasonal influenza vaccination in the Netherlands. Event probabilities were derived from clinical trials. Sensitivity analyses were performed to assess the impact of important model assumptions as well as determining the relative effect of individual parameters. Screening for AF with the MyDiagnostick® in all patients older than 65 years that attend seasonal influenza vaccination in the Netherlands would decrease the overall costs by €764 and increase the quality-adjusted life-years (QALYs) by 0.27 years per patient. Early detection of AF would prevent strokes and leads to beneficial health effects with subsequent cost savings. This screening method would have an estimated probability of 99.8% for being cost-effective at a conservative willingness-to-pay of €20 000/QALY. Screening for AF in primary care with a handheld, single-lead ECG during seasonal influenza vaccination is very likely to be cost saving for identifying new cases of AF in the Dutch population aged 65 years and over. Active screening for AF with a single-lead, handheld ECG device during seasonal influenza vaccination could be implemented in primary care.</t>
  </si>
  <si>
    <t>The 3-Phase Process in the Cancer Experience of Adolescents and Young Adults.</t>
  </si>
  <si>
    <t>Belpame, Nathalie; Kars, Marijke C; Beeckman, Dimitri; Decoene, Elsie; Quaghebeur, Marijke; Van Hecke, Ann; Verhaeghe, Sofie</t>
  </si>
  <si>
    <t>cancer nursing</t>
  </si>
  <si>
    <t>https://pubmed.ncbi.nlm.nih.gov/28481777</t>
  </si>
  <si>
    <t>When confronted with cancer, adolescents and young adults (AYAs) enter a psychosocial trajectory. Previous research has acknowledged the importance of care adjusted to the specific needs of AYAs. To develop AYA-focused care, in-depth knowledge about the experiences of AYAs with cancer is necessary. The purposes of this study were to discover the psychosocial experiences of and their meanings for AYAs enduring cancer, as well as its treatment and follow-up, and to capture the basic social psychological process that shaped these experiences. This was a qualitative study in which individual semistructured interviews were conducted with 23 participants aged 15 to 25 years. A 3-phase process was identified, which demonstrated alterations in the AYAs' experiences and their underlying meanings: (1) maintaining normal life was essential, (2) normal life was slipping away, and (3) evolving toward a new normal life after treatment. Certain core dynamics were present in these 3 phases. Throughout the cancer trajectory, the AYAs attempted to maintain control, redefine the self, and incorporate their cancer experience to the long-term course of life and had varying expectations of their social networks. Understanding the process that AYAs with cancer go through and taking into account their experiences can facilitate better psychosocial care for this emotionally vulnerable population. Healthcare professionals need to take a patient-centered approach, with a focus on communication, to meet the needs of AYAs throughout the cancer trajectory.</t>
  </si>
  <si>
    <t>The Effectiveness of a PRoactive Multicomponent Intervention Program on Disability in Independently Living Older People: A Randomized Controlled Trial.</t>
  </si>
  <si>
    <t>van Lieshout, M R J; Bleijenberg, N; Schuurmans, M J; de Wit, N J</t>
  </si>
  <si>
    <t>the journal of nutrition health aging</t>
  </si>
  <si>
    <t>https://pubmed.ncbi.nlm.nih.gov/30379302</t>
  </si>
  <si>
    <t>There is an increase in functional limitations and a decline in physical and mental well-being with age. Very few effective lifestyle interventions are available to prevent adverse outcomes such as disability in (pre-) frail older people. The effectiveness of an interdisciplinary multicomponent intervention program to prevent disability in older people in the community was tested. A randomized controlled trial (RCT) with a one-year follow-up was conducted in the Netherlands. Community-dwelling pre-frail older people aged 65 years and over were invited to participate. Frailty was measured with the Groningen Frailty Indicator (GFI) and categorized into non-frail (GFI=0), pre-frail (GFI = 1-3) and frail (GFI ≥ 4). The intervention program consisted of four components: a medication review, physical fitness, social skills, and nutrition. The primary outcome was activity of daily living (ADL) measured with the Katz-6. Secondary outcomes were quality of life (SF-12) and healthcare consumption such as hospital admission, nursing home admission and primary care visits. Additional outcomes measured in the intervention group were physical fitness, Instrumental Activities of Daily Living (IADL), muscle strength, walking speed, functional capacity, mobility, feelings of depression and loneliness and nutritional status. The data were collected at baseline, after each intervention component and at a 12-month follow-up. An intention to treat analysis was used. In total, there were 290 participants, and 217 (74.8%) completed the study. The mean age was 74 (SD: 7.2), most were pre-frail (59.9%), the majority were female (55.2%), and the individuals were not living alone (61.4%). After the 12-month follow-up, the median Katz-6 score did not change significantly between the two groups; adjusted Odds Ratio (OR) = 0.96 (95% Confidence Interval (CI): 0.39-2.35, p-value 0.92). No statistically significant differences were observed between the groups for quality of life and healthcare consumption. Among the participants in the intervention group, IADL (Friedman's test p &lt;=0.04, X2 =6.50), walking speed (Friedman's test p &lt;0.001, X2 =19.09) and functional capacity (Friedman's test p &lt;0.001, X2 =33.29) improved significantly after the one-year follow-up. Right-hand grip strength improved immediately after completion of the intervention (Wilcoxon signed-rank test p=0.00, z= -3.39) but not after the 12-month follow-up. The intervention program did not significantly improve daily functioning, quality of life and healthcare consumption among (pre) frail community-dwelling older persons at the one-year follow-up. Participants in the intervention group experienced improvements in walking speed, functional capacity and instrumental activities of daily living. More research is needed to better understand why may benefit and how to identify the target population.</t>
  </si>
  <si>
    <t>[Cancer detection following unprovoked VTE; case history and physical examination are still of foremost importance].</t>
  </si>
  <si>
    <t>Geersing, G J</t>
  </si>
  <si>
    <t>https://pubmed.ncbi.nlm.nih.gov/29303099</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</si>
  <si>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</si>
  <si>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Parental Attitude Toward the Prenatal Diagnosis of Oral Cleft: A Prospective Cohort Study.</t>
  </si>
  <si>
    <t>Maarse, Wies; Boonacker, Chantal W B; Swanenburg de Veye, Henriette F N; Kon, Moshe; Breugem, Corstiaan C; Mink van der Molen, Aebele B; van Delden, Johannes J M</t>
  </si>
  <si>
    <t>the cleft palatecraniofacial journal official publication of the american cleft palatecraniofacial association</t>
  </si>
  <si>
    <t>https://pubmed.ncbi.nlm.nih.gov/29561713</t>
  </si>
  <si>
    <t>The prenatal diagnosis of oral clefts (OCs) by ultrasound can pose an ethical dilemma. The purpose of this study was to obtain insight into the psychosocial and moral considerations of prospective parents concerning OCs, the burden of OCs and parents' attitude toward possible termination of pregnancy (TOP) in order to improve counseling in the future. Between August 2011 and August 2014, a prospective cohort questionnaire study was administered. Prenatal care clinic of the Wilhelmina's Children hospital, a Tertiary Care Centre. Parents expecting a child with an OC. Expectation of OCs in general and attitudes toward the impact and expected burden of the OC of their child. Furthermore, parents were asked if they had considered TOP. Most of the parents described an OC as a cosmetic disability (50.6%) or as "just a little different" (29.4%). These parents expected that the OC would not affect their own happiness and have only minor influence on the happiness of their future child. Health professionals had a considerable influence on parental opinion. A minority (6.4%, 5/85) of the respondents considered TOP, and none of the responders chose to terminate the pregnancy. This study suggests that future parents have very few negative perceptions of OC after prenatal counseling. Caregivers should be aware that their counseling is important for decision-making of parents.</t>
  </si>
  <si>
    <t>Socio-demographic and behavioural determinants of body mass index among an adult population in rural Northern Ghana: the AWI-Gen study.</t>
  </si>
  <si>
    <t>Nonterah, Engelbert Adamwaba; Debpuur, Cornelius; Agongo, Godfred; Amenga-Etego, Lucas; Crowther, Nigel J; Ramsay, Michèle; Rexford Oduro, Abraham; ,</t>
  </si>
  <si>
    <t>https://pubmed.ncbi.nlm.nih.gov/29992851</t>
  </si>
  <si>
    <t>Obesity and associated cardiometabolic diseases are increasing in urban sub-Saharan Africa due to a complex epidemiological and nutritional transition. Related data on rural communities is scarce. The study characterized the socio-demographic and behavioural factors influencing body mass index (BMI) among adults in rural Northern Ghana Methods: A population-based cross-sectional study involving adults aged 40-60 years residing in the Kassena-Nankana districts was undertaken. Demographic, socio-economic and behavioural data were collected along with measures of anthropometry. We determined factors associated with BMI among women and men. A total of 2014 adults were studied. The median age was 51 (IQR 45-57) years and 54% were women. The prevalence of overweight/obesity was higher among women than men (18.4% vs. 7.2%; p &lt; 0.001), whilst underweight was more prevalent in men (18.3% vs. 13.1%; p = 0.001). Participants with the highest level of education and a high household socio-economic status had higher BMIs than those in the lowest strata in both men (β = 0.074, p = 0.028 and β = 0.072, p &lt; 0.001, respectively) and women (β = 0.174, p = 0.001 and β = 0.109, p &lt; 0.001, respectively). Men (β = -0.050; p &lt; 0.001) and women (β = -0.073; p &lt; 0.001) of the Nankana ethnic group had a lower BMI than the Kassena ethnic group. Among men, alcohol consumption (β = -0.021; p = 0.001) and smoking (β = -0.216; p &lt; 0.001) were associated with lower BMI. Smokeless tobacco was associated with lower BMI among women. Pesticide exposure was associated with higher BMI (β = 0.022; p = 0.022) among men. Age, sex, ethno-linguistic group and prevailing socio-demographic and behavioural factors within this rural community in Northern Ghana influence BMI. The observed positive association between pesticide use and BMI warrants further investigation.</t>
  </si>
  <si>
    <t>Variations in hypertension awareness, treatment, and control among Ghanaian migrants living in Amsterdam, Berlin, London, and nonmigrant Ghanaians living in rural and urban Ghana - the RODAM study.</t>
  </si>
  <si>
    <t>Agyemang, Charles; Nyaaba, Gertrude; Beune, Erik; Meeks, Karlijn; Owusu-Dabo, Ellis; Addo, Juliet; Aikins, Ama de-Graft; Mockenhaupt, Frank P; Bahendeka, Silver; Danquah, Ina; Schulze, Matthias B; Galbete, Cecilia; Spranger, Joachim; Agyei-Baffour, Peter; Henneman, Peter; Klipstein-Grobusch, Kerstin; Adeyemo, Adebowale; van Straalen, Jan; Commodore-Mensah, Yvonne; Appiah, Lambert T; Smeeth, Liam; Stronks, Karien</t>
  </si>
  <si>
    <t>https://pubmed.ncbi.nlm.nih.gov/28858173</t>
  </si>
  <si>
    <t>Hypertension is a major burden among African migrants, but the extent of the differences in prevalence, treatment, and control among similar African migrants and nonmigrants living in different contexts in high-income countries and rural and urban Africa has not yet been assessed. We assessed differences in hypertension prevalence and its management among relatively homogenous African migrants (Ghanaians) living in three European cities (Amsterdam, London, and Berlin) and nonmigrants living in rural and urban Ghana. A multicenter cross-sectional study was conducted among Ghanaian adults (n = 5659) aged 25-70 years. Comparisons between sites were made using prevalence ratios with adjustment for age, education, and BMI. The age-standardised prevalence of hypertension was 22 and 28% in rural Ghanaian men and women. The prevalence was higher in urban Ghana [men, 34%; adjusted prevalence ratio = 1.37, 95% confidence interval (CI), 1.10-1.70]; and much higher in migrants in Europe, especially in Berlin (men, 57%; prevalence ratio = 2.21, 1.78-2.73; women, 51%; prevalence ratio = 1.74, 1.45-2.09) than in rural Ghana. Hypertension awareness and treatment levels were higher in Ghanaian migrants than in nonmigrant Ghanaians. However, adequate hypertension control was lower in Ghanaian migrant men in Berlin (20%; prevalence ratio = 0.43 95%, 0.23-0.82), Amsterdam (29%; prevalence ratio = 0.59, 0.35-0.99), and London (36%; prevalence ratio = 0.86, 0.49-1.51) than rural Ghanaians (59%). Among women, no differences in hypertension control were observed. About 50% of migrants to 85% of rural Ghanaians with severe hypertension (Blood pressure &gt; 180/110) were untreated. Antihypertensive medication prescription patterns varied considerably by site. Hypertension prevalence, awareness, and treatment levels were generally higher in African migrants, but blood pressure control level was lower in Ghanaian migrant men compared with their nonmigrant peers. Further work is needed to identify key underlying factors to support prevention and management efforts.Supplement Figure 1, http://links.lww.com/HJH/A831.</t>
  </si>
  <si>
    <t>Women-specific risk factors for heart failure: A genetic approach.</t>
  </si>
  <si>
    <t>van der Kemp, Jet; van der Schouw, Yvonne T; Asselbergs, Folkert W; Onland-Moret, N Charlotte</t>
  </si>
  <si>
    <t>https://pubmed.ncbi.nlm.nih.gov/29452776</t>
  </si>
  <si>
    <t>Heart failure is a complex disease, which is presented differently by men and women. Several studies have shown that reproductive factors, such as age at natural menopause, parity and polycystic ovarian syndrome (PCOS), may play a role in the development of heart failure. Shared genetics may provide clues to underlying mechanisms; however, this has never been examined. Therefore, the aim of the current study was to explore whether any reproductive factor is potentially related to heart failure in women, based on genetic similarities. Conducting a systematic literature review, single nucleotide polymorphisms (SNPs) associated with reproductive factors, heart failure and its risk factors were extracted from recent genome-wide association studies. We tested whether there was any overlap between the SNPs and their proxies of reproductive risk factors with those known for heart failure or its risk factors. In total, 520 genetic variants were found that are associated with reproductive factors, namely age at menarche, age at natural menopause, menstrual cycle length, PCOS, preeclampsia, preterm delivery and spontaneous dizygotic twinning. For heart failure and associated phenotypes, 25 variants were found. Genetic variants for reproductive factors did not overlap with those for heart failure. However, age at menarche, gestational diabetes and PCOS were found to be genetically linked to risk factors for heart failure, such as atrial fibrillation, diabetes and smoking. Corresponding implicated genes, such as TNNI3K, ErbB3, MKL2, MTNR1B and PRKD1, may explain the associations between reproductive factors and heart failure. Exact effector mechanisms of these genes remain to be investigated further.</t>
  </si>
  <si>
    <t>Unravelling complex primary-care programs to maintain independent living in older people: a systematic overview.</t>
  </si>
  <si>
    <t>Smit, Linda C; Schuurmans, Marieke J; Blom, Jeanet W; Fabbricotti, Isabelle N; Jansen, Aaltje P D; Kempen, Gertrudis I J M; Koopmans, Raymond; Looman, Willemijn M; Melis, Rene J F; Metzelthin, Silke F; Moll van Charante, Eric P; Muntinga, Maaike E; Ruikes, Franca G H; Spoorenberg, Sophie L W; Suijker, Jacqueline J; Wynia, Klaske; Gussekloo, Jacobijn; De Wit, Niek J; Bleijenberg, Nienke</t>
  </si>
  <si>
    <t>https://pubmed.ncbi.nlm.nih.gov/29289764</t>
  </si>
  <si>
    <t>Complex interventions are criticized for being a "black box", which makes it difficult to determine why they succeed or fail. Recently, nine proactive primary-care programs aiming to prevent functional decline in older adults showed inconclusive effects. The aim of this study was to systematically unravel, compare, and synthesize the development and evaluation of nine primary-care programs within a controlled trial to further improve the development and evaluation of complex interventions. A systematic overview of all written data on the nine proactive primary-care programs was conducted using a validated item list. The nine proactive primary-care programs involved 214 general practices throughout the Netherlands. There was little or no focus on the (1) context surrounding the care program, (2) modeling of processes and outcomes, (3) intervention fidelity and adaptation, and (4) content and evaluation of training for interventionists. An in-depth analysis of the context, modeling of the processes and outcomes, measurement and reporting of intervention fidelity, and implementation of effective training for interventionists is needed to enhance the development and replication of future complex interventions.</t>
  </si>
  <si>
    <t>Overdiagnosis across medical disciplines: a scoping review.</t>
  </si>
  <si>
    <t>Jenniskens, Kevin; de Groot, Joris A H; Reitsma, Johannes B; Moons, Karel G M; Hooft, Lotty; Naaktgeboren, Christiana A</t>
  </si>
  <si>
    <t>https://pubmed.ncbi.nlm.nih.gov/29284720</t>
  </si>
  <si>
    <t>To provide insight into how and in what clinical fields overdiagnosis is studied and give directions for further applied and methodological research. Scoping review. Medline up to August 2017. All English studies on humans, in which overdiagnosis was discussed as a dominant theme. Studies were assessed on clinical field, study aim (ie, methodological or non-methodological), article type (eg, primary study, review), the type and role of diagnostic test(s) studied and the context in which these studies discussed overdiagnosis. From 4896 studies, 1851 were included for analysis. Half of all studies on overdiagnosis were performed in the field of oncology (50%). Other prevalent clinical fields included mental disorders, infectious diseases and cardiovascular diseases accounting for 9%, 8% and 6% of studies, respectively. Overdiagnosis was addressed from a methodological perspective in 20% of studies. Primary studies were the most common article type (58%). The type of diagnostic tests most commonly studied were imaging tests (32%), although these were predominantly seen in oncology and cardiovascular disease (84%). Diagnostic tests were studied in a screening setting in 43% of all studies, but as high as 75% of all oncological studies. The context in which studies addressed overdiagnosis related most frequently to its estimation, accounting for 53%. Methodology on overdiagnosis estimation and definition provided a source for extensive discussion. Other contexts of discussion included definition of disease, overdiagnosis communication, trends in increasing disease prevalence, drivers and consequences of overdiagnosis, incidental findings and genomics. Overdiagnosis is discussed across virtually all clinical fields and in different contexts. The variability in characteristics between studies and lack of consensus on overdiagnosis definition indicate the need for a uniform typology to improve coherence and comparability of studies on overdiagnosis.</t>
  </si>
  <si>
    <t>The vaginal microbiome and sexually transmitted infections are interlinked: Consequences for treatment and prevention.</t>
  </si>
  <si>
    <t>van de Wijgert, Janneke H H M</t>
  </si>
  <si>
    <t>https://pubmed.ncbi.nlm.nih.gov/29281632</t>
  </si>
  <si>
    <t>In a Perspective for our Collection on STI research, Janneke van de Wijgert discusses the latest on how the vaginal microbiota predisposes women to acquisition of STIs and discusses future potential for clinical intervention.</t>
  </si>
  <si>
    <t>Yield of Computed Tomography (CT) Angiography in Patients with Acute Headache, Normal Neurological Examination, and Normal Non Contrast CT: A Meta-Analysis.</t>
  </si>
  <si>
    <t>https://pubmed.ncbi.nlm.nih.gov/29277281</t>
  </si>
  <si>
    <t>Patients with acute severe headache, normal neurological examination, and a normal noncontrast head computed tomography (NCCT) may still have subarachnoid hemorrhage, cerebral venous thrombosis (CVT), cervical arterial dissection, or reversible cerebral vasoconstriction syndrome (RCVS). Computed tomography angiography (CTA) is used increasingly in the emergency department for evaluating this, but its added value remains controversial. We retrospectively collected data on the diagnostic yield of CTA in patients with acute severe headache, normal neurological examination, and normal NCCT who received additional CTA in the acute phase in 2 secondary referral centers for vascular neurology. We combined data of our patients with those from the literature and performed a meta-analysis. We included 88 patients from our hospital files and 641 patients after literature search. Of 729 patients 54 had a vascular abnormality on CTA (7.4%; 95% confidence interval [CI] 5.5%-9.3%). Abnormalities consisted of aneurysms (n = 42; 5.4%; 95% CI 3.8%-7.0%), CVT (n = 3, .5%), RCVS (n = 4, .5%), Moyamoya syndrome (n = 2, .3%), arterial dissection (n = 2, .3%), and ischemia (n = 1, .1%). Because most of the aneurysms were probably incidental findings, only 12 (1.6%) patients had a clear relation between the headache and CTA findings. The number needed to scan to find an abnormality was 14 overall, and 61 for an abnormality other than an aneurysm. Diagnostic yield of CTA in patients with acute headache, normal neurological examination, and normal NCCT is low, but because of the possible therapeutic consequences, its use might be justified in the emergency setting. Prospective studies confirming these results including cost-effectiveness analyses are needed.</t>
  </si>
  <si>
    <t>Protein-altering variants associated with body mass index implicate pathways that control energy intake and expenditure in obesity.</t>
  </si>
  <si>
    <t>https://pubmed.ncbi.nlm.nih.gov/29273807</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</si>
  <si>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</si>
  <si>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Search for direct top squark pair production in final states with two leptons in &lt;math xmlns="http://www.w3.org/1998/Math/MathML"&gt; &lt;mrow&gt;&lt;msqrt&gt;&lt;mi&gt;s&lt;/mi&gt;&lt;/msqrt&gt; &lt;mo&gt;=&lt;/mo&gt; &lt;mn&gt;13&lt;/mn&gt;&lt;/mrow&gt; &lt;/math&gt; TeV &lt;i&gt;pp&lt;/i&gt; collisions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</si>
  <si>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AlconadaVerzini, M J; Alderweireldt, S C; Aleksa, M; Aleksandrov, I N; Alexa, C; Alexander, G; Alexopoulos, T; Alhroob, M; Ali, B; Aliev, M; Alimonti, G; Alison, J; Alkire, S P; Allbrooke, B M M; Allen, B W; Allport, P P; Aloisio, A; Alonso, A; Alonso, F; Alpigiani, C; Alshehri, A A; Alstaty, M I; AlvarezGonzalez, B; ÁlvarezPiqueras, D; Alviggi, M G; Amadio, B T; AmaralCoutinho, Y; Amelung, C; Amidei, D; AmorDosSantos, S P; Amoroso, S; Amundsen, G; Anastopoulos, C; Ancu, L S; Andari, N; Andeen, T; Anders, C F; Anders, J K; Anderson, K J; Andreazza,</t>
  </si>
  <si>
    <t>https://pubmed.ncbi.nlm.nih.gov/31985737</t>
  </si>
  <si>
    <t>The results of a search for direct pair production of top squarks in events with two opposite-charge leptons (electrons or muons) are reported, using &lt;math xmlns="http://www.w3.org/1998/Math/MathML"&gt;&lt;mrow&gt;&lt;mn&gt;36.1&lt;/mn&gt; &lt;mspace&gt;&lt;/mspace&gt; &lt;msup&gt;&lt;mtext&gt;fb&lt;/mtext&gt; &lt;mrow&gt;&lt;mo&gt;-&lt;/mo&gt; &lt;mn&gt;1&lt;/mn&gt;&lt;/mrow&gt; &lt;/msup&gt; &lt;/mrow&gt; &lt;/math&gt; of integrated luminosity from proton-proton collisions at &lt;math xmlns="http://www.w3.org/1998/Math/MathML"&gt; &lt;mrow&gt;&lt;msqrt&gt;&lt;mi&gt;s&lt;/mi&gt;&lt;/msqrt&gt; &lt;mo&gt;=&lt;/mo&gt; &lt;mn&gt;13&lt;/mn&gt;&lt;/mrow&gt; &lt;/math&gt; TeV collected by the ATLAS detector at the Large Hadron Collider. To cover a range of mass differences between the top squark &lt;math xmlns="http://www.w3.org/1998/Math/MathML"&gt;&lt;mover&gt;&lt;mi&gt;t&lt;/mi&gt; &lt;mo&gt;~&lt;/mo&gt;&lt;/mover&gt; &lt;/math&gt; and lighter supersymmetric particles, four possible decay modes of the top squark are targeted with dedicated selections: the decay &lt;math xmlns="http://www.w3.org/1998/Math/MathML"&gt; &lt;mrow&gt;&lt;mover&gt;&lt;mi&gt;t&lt;/mi&gt; &lt;mo&gt;~&lt;/mo&gt;&lt;/mover&gt; &lt;mo&gt;→&lt;/mo&gt; &lt;mi&gt;b&lt;/mi&gt; &lt;msubsup&gt;&lt;mover&gt;&lt;mi&gt;χ&lt;/mi&gt; &lt;mo&gt;~&lt;/mo&gt;&lt;/mover&gt; &lt;mrow&gt;&lt;mn&gt;1&lt;/mn&gt;&lt;/mrow&gt; &lt;mo&gt;±&lt;/mo&gt;&lt;/msubsup&gt; &lt;/mrow&gt; &lt;/math&gt; into a &lt;i&gt;b&lt;/i&gt;-quark and the lightest chargino with &lt;math xmlns="http://www.w3.org/1998/Math/MathML"&gt; &lt;mrow&gt; &lt;msubsup&gt;&lt;mover&gt;&lt;mi&gt;χ&lt;/mi&gt; &lt;mo&gt;~&lt;/mo&gt;&lt;/mover&gt; &lt;mrow&gt;&lt;mn&gt;1&lt;/mn&gt;&lt;/mrow&gt; &lt;mo&gt;±&lt;/mo&gt;&lt;/msubsup&gt; &lt;mo&gt;→&lt;/mo&gt; &lt;mi&gt;W&lt;/mi&gt; &lt;msubsup&gt;&lt;mover&gt;&lt;mi&gt;χ&lt;/mi&gt; &lt;mo&gt;~&lt;/mo&gt;&lt;/mover&gt; &lt;mrow&gt;&lt;mn&gt;1&lt;/mn&gt;&lt;/mrow&gt; &lt;mn&gt;0&lt;/mn&gt;&lt;/msubsup&gt; &lt;/mrow&gt; &lt;/math&gt; , the decay &lt;math xmlns="http://www.w3.org/1998/Math/MathML"&gt; &lt;mrow&gt;&lt;mover&gt;&lt;mi&gt;t&lt;/mi&gt; &lt;mo&gt;~&lt;/mo&gt;&lt;/mover&gt; &lt;mo&gt;→&lt;/mo&gt; &lt;mi&gt;t&lt;/mi&gt; &lt;msubsup&gt;&lt;mover&gt;&lt;mi&gt;χ&lt;/mi&gt; &lt;mo&gt;~&lt;/mo&gt;&lt;/mover&gt; &lt;mrow&gt;&lt;mn&gt;1&lt;/mn&gt;&lt;/mrow&gt; &lt;mn&gt;0&lt;/mn&gt;&lt;/msubsup&gt; &lt;/mrow&gt; &lt;/math&gt; into an on-shell top quark and the lightest neutralino, the three-body decay &lt;math xmlns="http://www.w3.org/1998/Math/MathML"&gt; &lt;mrow&gt;&lt;mover&gt;&lt;mi&gt;t&lt;/mi&gt; &lt;mo&gt;~&lt;/mo&gt;&lt;/mover&gt; &lt;mo&gt;→&lt;/mo&gt; &lt;mi&gt;b&lt;/mi&gt; &lt;mi&gt;W&lt;/mi&gt; &lt;msubsup&gt;&lt;mover&gt;&lt;mi&gt;χ&lt;/mi&gt; &lt;mo&gt;~&lt;/mo&gt;&lt;/mover&gt; &lt;mrow&gt;&lt;mn&gt;1&lt;/mn&gt;&lt;/mrow&gt; &lt;mn&gt;0&lt;/mn&gt;&lt;/msubsup&gt; &lt;/mrow&gt; &lt;/math&gt; and the four-body decay &lt;math xmlns="http://www.w3.org/1998/Math/MathML"&gt; &lt;mrow&gt;&lt;mover&gt;&lt;mi&gt;t&lt;/mi&gt; &lt;mo&gt;~&lt;/mo&gt;&lt;/mover&gt; &lt;mo&gt;→&lt;/mo&gt; &lt;mi&gt;b&lt;/mi&gt; &lt;mi&gt;ℓ&lt;/mi&gt; &lt;mi&gt;ν&lt;/mi&gt; &lt;msubsup&gt;&lt;mover&gt;&lt;mi&gt;χ&lt;/mi&gt; &lt;mo&gt;~&lt;/mo&gt;&lt;/mover&gt; &lt;mrow&gt;&lt;mn&gt;1&lt;/mn&gt;&lt;/mrow&gt; &lt;mn&gt;0&lt;/mn&gt;&lt;/msubsup&gt; &lt;/mrow&gt; &lt;/math&gt; . No significant excess of events is observed above the Standard Model background for any selection, and limits on top squarks are set as a function of the &lt;math xmlns="http://www.w3.org/1998/Math/MathML"&gt;&lt;mover&gt;&lt;mi&gt;t&lt;/mi&gt; &lt;mo&gt;~&lt;/mo&gt;&lt;/mover&gt; &lt;/math&gt; and &lt;math xmlns="http://www.w3.org/1998/Math/MathML"&gt; &lt;msubsup&gt;&lt;mover&gt;&lt;mi&gt;χ&lt;/mi&gt; &lt;mo&gt;~&lt;/mo&gt;&lt;/mover&gt; &lt;mrow&gt;&lt;mn&gt;1&lt;/mn&gt;&lt;/mrow&gt; &lt;mn&gt;0&lt;/mn&gt;&lt;/msubsup&gt; &lt;/math&gt; masses. The results exclude at 95% confidence level &lt;math xmlns="http://www.w3.org/1998/Math/MathML"&gt;&lt;mover&gt;&lt;mi&gt;t&lt;/mi&gt; &lt;mo&gt;~&lt;/mo&gt;&lt;/mover&gt; &lt;/math&gt; masses up to about 720 GeV, extending the exclusion region of supersymmetric parameter space covered by previous searches.</t>
  </si>
  <si>
    <t>Chronic kidney disease and bleeding risk in patients at high cardiovascular risk: a cohort study.</t>
  </si>
  <si>
    <t>Ocak, G; Rookmaaker, M B; Algra, A; de Borst, G J; Doevendans, P A; Kappelle, L J; Verhaar, M C; Visseren, F L; ,</t>
  </si>
  <si>
    <t>https://pubmed.ncbi.nlm.nih.gov/29125709</t>
  </si>
  <si>
    <t>Essentials The association between chronic kidney disease and bleeding is unknown. We followed 10 347 subjects at high cardiovascular risk for bleeding events. Chronic kidney disease was associated with a 1.5-fold increased bleeding risk. Especially albuminuria rather than decreased kidney function was associated with bleeding events. Background There are indications that patients with chronic kidney disease have an increased bleeding risk. Objectives To investigate the association between chronic kidney disease and bleeding in patients at high cardiovascular risk. Methods We included 10 347 subjects referred to the University Medical Center Utrecht (the Netherlands) from September 1996 to February 2015 for an outpatient visit with classic risk factors for arterial disease or with symptomatic arterial disease (Second Manifestation of Arterial disease [SMART] cohort). Patients were staged according to the KDIGO guidelines, on the basis of estimated glomerular filtration rate (eGFR) and albuminuria, and were followed for the occurrence of major hemorrhagic events until March 2015. Hazard ratios (HRs) with 95% confidence intervals (CIs) for bleeding were calculated with Cox proportional hazards analyses. Results The incidence rate for bleeding in subjects with chronic kidney disease was 8.0 per 1000 person-years and that for subjects without chronic kidney disease was 3.5 per 1000 person-years. Patients with chronic kidney disease (n = 2443) had a 1.5-fold (95% CI 1.2-1.9) increased risk of bleeding as compared with subjects without chronic kidney disease (n = 7904) after adjustment. Subjects with an eGFR of &lt; 45 mL min&lt;sup&gt;-1&lt;/sup&gt;  1.73 m&lt;sup&gt;-2&lt;/sup&gt; with albuminuria had a 3.5-fold (95% CI 2.3-5.3) increased bleeding risk, whereas an eGFR of &lt; 45 mL min&lt;sup&gt;-1&lt;/sup&gt;  1.73 m&lt;sup&gt;-2&lt;/sup&gt; without albuminuria was not associated with an increased bleeding risk (HR 1.3, 95% CI 0.7-2.5). Conclusion Chronic kidney disease is a risk factor for bleeding in patients with classic risk factors for arterial disease or with symptomatic arterial disease, especially in the presence of albuminuria.</t>
  </si>
  <si>
    <t>[Strengths and weaknesses of guidelines: whether or not to prescribe antibiotics in general practice].</t>
  </si>
  <si>
    <t>Verheij, Th J M; van der Velden, Alike W; van der Lubben, M</t>
  </si>
  <si>
    <t>https://pubmed.ncbi.nlm.nih.gov/30730122</t>
  </si>
  <si>
    <t>Is non-compliance to guidelines regarding antimicrobial treatment in primary care a problem? On the one hand, individual variation in clinical problems warrants deviation from guidelines in some patients. But on the other hand, restrictive use of antibiotics is certainly necessary in primary care. Undertreatment of infectious diseases is not a major risk in primary care, but overtreatment is. Currently, steps are undertaken in the Netherlands to enhance antibiotic stewardship.</t>
  </si>
  <si>
    <t>Consensus-based cross-European recommendations for the identification, measurement and valuation of costs in health economic evaluations: a European Delphi study.</t>
  </si>
  <si>
    <t>van Lier, Lisanne I; Bosmans, Judith E; van Hout, Hein P J; Mokkink, Lidwine B; van den Hout, Wilbert B; de Wit, G Ardine; Dirksen, Carmen D; Nies, Henk L G R; Hertogh, Cees M P M; van der Roest, Henriëtte G</t>
  </si>
  <si>
    <t>https://pubmed.ncbi.nlm.nih.gov/29260341</t>
  </si>
  <si>
    <t>Differences between country-specific guidelines for economic evaluations complicate the execution of international economic evaluations. The aim of this study was to develop cross-European recommendations for the identification, measurement and valuation of resource use and lost productivity in economic evaluations using a Delphi procedure. A comprehensive literature search was conducted to identify European guidelines on the execution of economic evaluations or costing studies as part of economic evaluations. Guideline recommendations were extracted by two independent reviewers and formed the basis for the first round of the Delphi study, which was conducted among European health economic experts. During three written rounds, consensus (agreement of 67% or higher) was sought on items concerning the identification, measurement and valuation of costs. Recommendations from 18 guidelines were extracted. Consensus among 26 panellists from 17 European countries was reached on 61 of 68 items. The recommendations from the Delphi study are to adopt a societal perspective, to use patient report for measuring resource use and lost productivity, to value both constructs with use of country-specific standardized/unit costs and to use country-specific discounting rates. This study provides consensus-based cross-European recommendations on how to measure and value resource use and lost productivity in economic evaluations. These recommendations are expected to support researchers, healthcare professionals, and policymakers in executing and appraising economic evaluations performed in international contexts.</t>
  </si>
  <si>
    <t>Exploratory efficacy endpoints in the Community-Acquired Pneumonia Immunization Trial in Adults (CAPiTA).</t>
  </si>
  <si>
    <t>Webber, Chris; Patton, Michael; Bonten, Marc J M; ,</t>
  </si>
  <si>
    <t>https://pubmed.ncbi.nlm.nih.gov/29195607</t>
  </si>
  <si>
    <t>How to choose the most appropriate cognitive test to evaluate cognitive complaints in primary care.</t>
  </si>
  <si>
    <t>Janssen, Jolien; Koekkoek, Paula S; Moll van Charante, Eric P; Jaap Kappelle, L; Biessels, Geert Jan; Rutten, Guy E H M</t>
  </si>
  <si>
    <t>https://pubmed.ncbi.nlm.nih.gov/29246193</t>
  </si>
  <si>
    <t>Despite the wealth of research devoted to the performance of individual cognitive tests for diagnosing cognitive impairment (including mild cognitive impairment and dementia), it can be difficult for general practitioners to choose the most appropriate test for a patient with cognitive complaints in daily practice. In this paper we present a diagnostic algorithm for the evaluation of cognitive complaints in primary care. The rationale behind this algorithm is that the likelihood of cognitive impairment -which can be determined after history taking and an informant interview- should determine which cognitive test is most suitable. We distinguished three likelihoods of cognitive impairment: not likely, possible or likely. We selected cognitive tests based on pre-defined required test features for each of these three situations and a review of the literature. We incorporated the cognitive tests in a practical diagnostic algorithm. Based on the available literature, in patients with complaints but where cognitive impairment is considered to be unlikely the clock-drawing test can be used to rule out cognitive impairment. When cognitive impairment is possible the Montreal cognitive assessment can be used to rule out cognitive impairment or to make cognitive impairment more likely. When cognitive impairment is likely the Mini-Mental State Examination can be used to confirm the presence of cognitive impairment. We propose a diagnostic algorithm to increase the efficiency of ruling out or diagnosing cognitive impairment in primary care. Further study is needed to validate and evaluate this stepwise diagnostic algorithm.</t>
  </si>
  <si>
    <t>Determination of the strong coupling constant &lt;math xmlns="http://www.w3.org/1998/Math/MathML"&gt;&lt;msub&gt;&lt;mi&gt;α&lt;/mi&gt; &lt;mi&gt;s&lt;/mi&gt;&lt;/msub&gt; &lt;/math&gt; from transverse energy-energy correlations in multijet events at &lt;math xmlns="http://www.w3.org/1998/Math/MathML"&gt; &lt;mrow&gt;&lt;msqrt&gt;&lt;mi&gt;s&lt;/mi&gt;&lt;/msqrt&gt; &lt;mo&gt;=&lt;/mo&gt; &lt;mn&gt;8&lt;/mn&gt; &lt;mspace&gt;&lt;/mspace&gt; &lt;mtext&gt;TeV&lt;/mtext&gt;&lt;/mrow&gt; &lt;/math&gt; using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</si>
  <si>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Andreazza</t>
  </si>
  <si>
    <t>https://pubmed.ncbi.nlm.nih.gov/31985738</t>
  </si>
  <si>
    <t>Measurements of transverse energy-energy correlations and their associated asymmetries in multi-jet events using the ATLAS detector at the LHC are presented. The data used correspond to &lt;math xmlns="http://www.w3.org/1998/Math/MathML"&gt; &lt;mrow&gt;&lt;msqrt&gt;&lt;mi&gt;s&lt;/mi&gt;&lt;/msqrt&gt; &lt;mo&gt;=&lt;/mo&gt; &lt;mn&gt;8&lt;/mn&gt; &lt;mspace&gt;&lt;/mspace&gt; &lt;mtext&gt;TeV&lt;/mtext&gt;&lt;/mrow&gt; &lt;/math&gt; proton-proton collisions with an integrated luminosity of 20.2 &lt;math xmlns="http://www.w3.org/1998/Math/MathML"&gt;&lt;mrow&gt;&lt;mspace&gt;&lt;/mspace&gt; &lt;msup&gt;&lt;mtext&gt;fb&lt;/mtext&gt; &lt;mrow&gt;&lt;mo&gt;-&lt;/mo&gt; &lt;mn&gt;1&lt;/mn&gt;&lt;/mrow&gt; &lt;/msup&gt; &lt;/mrow&gt; &lt;/math&gt; . The results are presented in bins of the scalar sum of the transverse momenta of the two leading jets, unfolded to the particle level and compared to the predictions from Monte Carlo simulations. A comparison with next-to-leading-order perturbative QCD is also performed, showing excellent agreement within the uncertainties. From this comparison, the value of the strong coupling constant is extracted for different energy regimes, thus testing the running of &lt;math xmlns="http://www.w3.org/1998/Math/MathML"&gt; &lt;mrow&gt;&lt;msub&gt;&lt;mi&gt;α&lt;/mi&gt; &lt;mi&gt;s&lt;/mi&gt;&lt;/msub&gt; &lt;mrow&gt;&lt;mo&gt;(&lt;/mo&gt; &lt;mi&gt;μ&lt;/mi&gt; &lt;mo&gt;)&lt;/mo&gt;&lt;/mrow&gt; &lt;/mrow&gt; &lt;/math&gt; predicted in QCD up to scales over &lt;math xmlns="http://www.w3.org/1998/Math/MathML"&gt;&lt;mrow&gt;&lt;mn&gt;1&lt;/mn&gt; &lt;mspace&gt;&lt;/mspace&gt; &lt;mtext&gt;TeV&lt;/mtext&gt;&lt;/mrow&gt; &lt;/math&gt; . A global fit to the transverse energy-energy correlation distributions yields &lt;math xmlns="http://www.w3.org/1998/Math/MathML"&gt; &lt;mrow&gt;&lt;msub&gt;&lt;mi&gt;α&lt;/mi&gt; &lt;mi&gt;s&lt;/mi&gt;&lt;/msub&gt; &lt;mrow&gt;&lt;mo&gt;(&lt;/mo&gt; &lt;msub&gt;&lt;mi&gt;m&lt;/mi&gt; &lt;mi&gt;Z&lt;/mi&gt;&lt;/msub&gt; &lt;mo&gt;)&lt;/mo&gt;&lt;/mrow&gt; &lt;mo&gt;=&lt;/mo&gt; &lt;mn&gt;0.1162&lt;/mn&gt; &lt;mo&gt;±&lt;/mo&gt; &lt;mn&gt;0.0011&lt;/mn&gt; &lt;mtext&gt;(exp.)&lt;/mtext&gt; &lt;msubsup&gt;&lt;mspace&gt;&lt;/mspace&gt; &lt;mrow&gt;&lt;mo&gt;-&lt;/mo&gt; &lt;mn&gt;0.0070&lt;/mn&gt;&lt;/mrow&gt; &lt;mrow&gt;&lt;mo&gt;+&lt;/mo&gt; &lt;mn&gt;0.0084&lt;/mn&gt;&lt;/mrow&gt; &lt;/msubsup&gt; &lt;mtext&gt;(theo.)&lt;/mtext&gt; &lt;mspace&gt;&lt;/mspace&gt;&lt;/mrow&gt; &lt;/math&gt; , while a global fit to the asymmetry distributions yields a value of &lt;math xmlns="http://www.w3.org/1998/Math/MathML"&gt; &lt;mrow&gt;&lt;msub&gt;&lt;mi&gt;α&lt;/mi&gt; &lt;mi&gt;s&lt;/mi&gt;&lt;/msub&gt; &lt;mrow&gt;&lt;mo&gt;(&lt;/mo&gt; &lt;msub&gt;&lt;mi&gt;m&lt;/mi&gt; &lt;mi&gt;Z&lt;/mi&gt;&lt;/msub&gt; &lt;mo&gt;)&lt;/mo&gt;&lt;/mrow&gt; &lt;mo&gt;=&lt;/mo&gt; &lt;mn&gt;0.1196&lt;/mn&gt; &lt;mo&gt;±&lt;/mo&gt; &lt;mn&gt;0.0013&lt;/mn&gt; &lt;mtext&gt;(exp.)&lt;/mtext&gt; &lt;msubsup&gt;&lt;mspace&gt;&lt;/mspace&gt; &lt;mrow&gt;&lt;mo&gt;-&lt;/mo&gt; &lt;mn&gt;0.0045&lt;/mn&gt;&lt;/mrow&gt; &lt;mrow&gt;&lt;mo&gt;+&lt;/mo&gt; &lt;mn&gt;0.0075&lt;/mn&gt;&lt;/mrow&gt; &lt;/msubsup&gt; &lt;mtext&gt;(theo.)&lt;/mtext&gt; &lt;mspace&gt;&lt;/mspace&gt;&lt;/mrow&gt; &lt;/math&gt; .</t>
  </si>
  <si>
    <t>Effects of physical exercise on markers of inflammation in breast cancer patients during adjuvant chemotherapy.</t>
  </si>
  <si>
    <t>van Vulpen, Jonna K; Schmidt, Martina E; Velthuis, Miranda J; Wiskemann, Joachim; Schneeweiss, Andreas; Vermeulen, Roel C H; Habermann, Nina; Ulrich, Cornelia M; Peeters, Petra H M; van der Wall, Elsken; May, Anne M; Steindorf, Karen</t>
  </si>
  <si>
    <t>https://pubmed.ncbi.nlm.nih.gov/29235043</t>
  </si>
  <si>
    <t>Exercise has been shown to reduce fatigue during cancer treatment. Hypothesized mechanisms include inflammatory pathways. Therefore, we investigated effects of exercise on markers of inflammation in breast cancer patients during adjuvant chemotherapy. We pooled data from two randomized controlled exercise intervention trials with breast cancer patients during adjuvant chemotherapy (n = 130), which had previously shown beneficial effects of exercise on fatigue. Exercise comprised a 12-week resistance training (BEATE study) or an 18-week combined resistance and aerobic training (PACT study). Serum IL-6, IL-1ra, and the IL-6/IL-1ra ratio were quantified at baseline, mid-intervention, post-intervention, and 6-9 months post-baseline. Mixed effect models showed significant increases in IL-6 and IL-6/IL-1ra ratio during chemotherapy and decreases afterwards. Differences between exercise and control group were not significant at any time point. Changes in total cancer-related fatigue were significantly correlated with changes in IL-6/IL-1ra ratio (partial correlation r = 0.23) and IL-6 (r = 0.21), and changes in physical cancer-related fatigue with changes in IL-6/IL-1ra ratio (r = 0.21). Changes in fatigue were slightly correlated with changes in inflammatory markers, and there was a strong inflammatory response to adjuvant chemotherapy. The supervised exercise training did not counteract this increase in inflammation, suggesting that beneficial effects of exercise on fatigue during adjuvant chemotherapy for breast cancer are not essentially mediated by IL-6, IL-1ra, or the IL-6/IL-1ra ratio.</t>
  </si>
  <si>
    <t>Is It Our Duty To Hunt for Pathogenic Mutations?</t>
  </si>
  <si>
    <t>Wouters, Roel H P; Bijlsma, Rhodé M; Frederix, Geert W J; Ausems, Margreet G E M; van Delden, Johannes J M; Voest, Emile E; Bredenoord, Annelien L</t>
  </si>
  <si>
    <t>trends in molecular medicine</t>
  </si>
  <si>
    <t>https://pubmed.ncbi.nlm.nih.gov/29246758</t>
  </si>
  <si>
    <t>Should professionals systematically screen whole-genome sequencing (WGS) data to check for life-threatening mutations? Alternatively, should genome analysis focus on the primary reason for testing - that is, aiming to achieve precision medicine? We present an ethical review of the arguments and compare the act of searching for mutations with disclosing mutations that are discovered incidentally.</t>
  </si>
  <si>
    <t>Knowledge and awareness of and perception towards cardiovascular disease risk in sub-Saharan Africa: A systematic review.</t>
  </si>
  <si>
    <t>Boateng, Daniel; Wekesah, Frederick; Browne, Joyce L; Agyemang, Charles; Agyei-Baffour, Peter; Aikins, Ama de-Graft; Smit, Henriette A; Grobbee, Diederick E; Klipstein-Grobusch, Kerstin</t>
  </si>
  <si>
    <t>https://pubmed.ncbi.nlm.nih.gov/29232703</t>
  </si>
  <si>
    <t>Cardiovascular diseases (CVDs) are the most common cause of non-communicable disease mortality in sub-Saharan African (SSA) countries. Gaps in knowledge of CVD conditions and their risk factors are important barriers in effective prevention and treatment. Yet, evidence on the awareness and knowledge level of CVD and associated risk factors among populations of SSA is scarce. This review aimed to synthesize available evidence of the level of knowledge of and perceptions towards CVDs and risk factors in the SSA region. Five databases were searched for publications up to December 2016. Narrative synthesis was conducted for knowledge level of CVDs, knowledge of risk factors and clinical signs, factors influencing knowledge of CVDs and source of health information on CVDs. The review was registered with Prospero (CRD42016049165). Of 2212 titles and abstracts screened, 45 full-text papers were retrieved and reviewed and 20 were included: eighteen quantitative and two qualitative studies. Levels of knowledge and awareness for CVD and risk factors were generally low, coupled with poor perception. Most studies reported less than half of their study participants having good knowledge of CVDs and/or risk factors. Proportion of participants who were unable to identify a single risk factor and clinical symptom for CVDs ranged from 1.8% in a study among hospital staff in Nigeria to a high of 73% in a population-based survey in Uganda and 7% among University staff in Nigeria to 75.1% in a general population in Uganda respectively. High educational attainment and place of residence had a significant influence on the levels of knowledge for CVDs among SSA populations. Low knowledge of CVDs, risk factors and clinical symptoms is strongly associated with the low levels of educational attainment and rural residency in the region. These findings provide useful information for implementers of interventions targeted at the prevention and control of CVDs, and encourages them to incorporate health promotion and awareness campaigns in order to enhance knowledge and awareness of CVDs in the region.</t>
  </si>
  <si>
    <t>Data-generating models of dichotomous outcomes: Heterogeneity in simulation studies for a random-effects meta-analysis.</t>
  </si>
  <si>
    <t>Pateras, Konstantinos; Nikolakopoulos, Stavros; Roes, Kit</t>
  </si>
  <si>
    <t>https://pubmed.ncbi.nlm.nih.gov/29230852</t>
  </si>
  <si>
    <t>Simulation studies to evaluate performance of statistical methods require a well-specified data-generating model. Details of these models are essential to interpret the results and arrive at proper conclusions. A case in point is random-effects meta-analysis of dichotomous outcomes. We reviewed a number of simulation studies that evaluated approximate normal models for meta-analysis of dichotomous outcomes, and we assessed the data-generating models that were used to generate events for a series of (heterogeneous) trials. We demonstrate that the performance of the statistical methods, as assessed by simulation, differs between these 3 alternative data-generating models, with larger differences apparent in the small population setting. Our findings are relevant to multilevel binomial models in general.</t>
  </si>
  <si>
    <t>Dynamic borrowing through empirical power priors that control type I error.</t>
  </si>
  <si>
    <t>Nikolakopoulos, Stavros; van der Tweel, Ingeborg; Roes, Kit C B</t>
  </si>
  <si>
    <t>biometrics</t>
  </si>
  <si>
    <t>https://pubmed.ncbi.nlm.nih.gov/29228504</t>
  </si>
  <si>
    <t>In order for historical data to be considered for inclusion in the design and analysis of clinical trials, prospective rules are essential. Incorporation of historical data may be of particular interest in the case of small populations where available data is scarce and heterogeneity is not as well understood, and thus conventional methods for evidence synthesis might fall short. The concept of power priors can be particularly useful for borrowing evidence from a single historical study. Power priors employ a parameter &lt;math xmlns="http://www.w3.org/1998/Math/MathML"&gt;&lt;mi&gt;γ&lt;/mi&gt; &lt;mo&gt;∈&lt;/mo&gt; &lt;mo&gt;[&lt;/mo&gt; &lt;mn&gt;0&lt;/mn&gt; &lt;mo&gt;,&lt;/mo&gt; &lt;mn&gt;1&lt;/mn&gt; &lt;mo&gt;]&lt;/mo&gt;&lt;/math&gt; that quantifies the heterogeneity between the historical study and the new study. However, the possibility of borrowing data from a historical trial will usually be associated with an inflation of the type I error. We suggest a new, simple method of estimating the power parameter suitable for the case when only one historical dataset is available. The method is based on predictive distributions and parameterized in such a way that the type I error can be controlled by calibrating to the degree of similarity between the new and historical data. The method is demonstrated for normal responses in a one or two group setting. Generalization to other models is straightforward.</t>
  </si>
  <si>
    <t>Ovarian cancer early detection by circulating CA125 in the context of anti-CA125 autoantibody levels: Results from the EPIC cohort.</t>
  </si>
  <si>
    <t>Fortner, Renée T; Schock, Helena; Le Cornet, Charlotte; Hüsing, Anika; Vitonis, Allison F; Johnson, Theron S; Fichorova, Raina N; Fashemi, Titilayo; Yamamoto, Hidemi S; Tjønneland, Anne; Hansen, Louise; Overvad, Kim; Boutron-Ruault, Marie-Christine; Kvaskoff, Marina; Severi, Gianluca; Boeing, Heiner; Trichopoulou, Antonia; Papatesta, Eleni-Maria; La Vecchia, Carlo; Palli, Domenico; Sieri, Sabina; Tumino, Rosario; Sacerdote, Carlotta; Mattiello, Amalia; Onland-Moret, N Charlotte; Peeters, Petra H; Bueno-de-Mesquita, H B As; Weiderpass, Elisabete; Quirós, J Ramón; Duell, Eric J; Sánchez, Maria-Jose; Navarro, Carmen; Ardanaz, Eva; Larrañaga, Nerea; Nodin, Björn; Jirström, Karin; Idahl, Annika; Lundin, Eva; Khaw, Kay-Tee; Travis, Ruth C; Gunter, Marc; Johansson, Mattias; Dossus, Laure; Merritt, Melissa A; Riboli, Elio; Terry, Kathryn L; Cramer, Daniel W; Kaaks, Rudolf</t>
  </si>
  <si>
    <t>https://pubmed.ncbi.nlm.nih.gov/29159934</t>
  </si>
  <si>
    <t>CA125 is the best ovarian cancer early detection marker to date; however, sensitivity is limited and complementary markers are required to improve discrimination between ovarian cancer cases and non-cases. Anti-CA125 autoantibodies are observed in circulation. Our objective was to evaluate whether these antibodies (1) can serve as early detection markers, providing evidence of an immune response to a developing tumor, and (2) modify the discriminatory capacity of CA125 by either masking CA125 levels (resulting in lower discrimination) or acting synergistically to improve discrimination between cases and non-cases. We investigated these objectives using a nested case-control study within the European Prospective Investigation into Cancer and Nutrition cohort (EPIC) including 250 cases diagnosed within 4 years of blood collection and up to four matched controls. Circulating CA125 antigen and antibody levels were quantified using an electrochemiluminescence assay. Adjusted areas under the curve (aAUCs) by 2-year lag-time intervals were calculated using conditional logistic regression calibrated toward the absolute risk estimates from a pre-existing epidemiological risk model as an offset-variable. Anti-CA125 levels alone did not discriminate cases from controls. For cases diagnosed &lt;2 years after blood collection, discrimination by CA125 antigen was suggestively higher with higher anti-CA125 levels (aAUC, highest antibody tertile: 0.84 [0.76-0.92]; lowest tertile: 0.76 [0.67-0.86]; p&lt;sub&gt;het&lt;/sub&gt;  = 0.06). We provide the first evidence of potentially synergistic discrimination effects of CA125 and anti-CA125 antibodies in ovarian early detection. If these findings are replicated, evaluating CA125 in the context of its antibody may improve ovarian cancer early detection.</t>
  </si>
  <si>
    <t>Event rate net reclassification index and the integrated discrimination improvement for studying incremental value of risk markers.</t>
  </si>
  <si>
    <t>van Smeden, Maarten; Moons, Karel G M</t>
  </si>
  <si>
    <t>https://pubmed.ncbi.nlm.nih.gov/29156501</t>
  </si>
  <si>
    <t>The effectiveness of a nurse-led illness perception intervention in COPD patients: a cluster randomised trial in primary care.</t>
  </si>
  <si>
    <t>Weldam, Saskia W M; Schuurmans, Marieke J; Zanen, Pieter; Heijmans, Monique J W M; Sachs, Alfred P E; Lammers, Jan-Willem J</t>
  </si>
  <si>
    <t>https://pubmed.ncbi.nlm.nih.gov/29250529</t>
  </si>
  <si>
    <t>The new COPD-GRIP (Chronic Obstructive Pulmonary Disease - Guidance, Research on Illness Perception) intervention translates evidence regarding illness perceptions and health-related quality of life (HRQoL) into a nurse intervention to guide COPD patients and to improve health outcomes. It describes how to assess and discuss illness perceptions in a structured way. This study aimed to assess the effectiveness of the intervention in primary care. A cluster randomised controlled trial was conducted within 30 general practices and five home-care centres, including 204 COPD patients. 103 patients were randomly assigned to the intervention group and 101 patients to the usual-care group. To assess differences, repeated multilevel linear mixed modelling analyses were used. Primary outcome was change in health status on the Clinical COPD Questionnaire (CCQ) at 9 months. Secondary outcomes were HRQoL, daily activities, health education impact and changes in illness perceptions. There was no significant difference between the groups in the CCQ at 9 months. We found a significant increase in health-directed behaviour at 6 weeks (p=0.024) and in personal control (p=0.005) at 9 months in favour of the intervention group. The COPD-GRIP intervention, practised by nurses, did not improve health status in COPD patients in primary care. However, the intervention has benefits in improving the ability to control the disease and health-related behaviours in the short term. Therefore, taking illness perceptions into account when stimulating healthy behaviours in COPD patients should be considered. Further study on influencing the health status and HRQoL is needed.</t>
  </si>
  <si>
    <t>Prevalence and Effects of Functional Vitamin K Insufficiency: The PREVEND Study.</t>
  </si>
  <si>
    <t>Riphagen, Ineke J; Keyzer, Charlotte A; Drummen, Nadja E A; de Borst, Martin H; Beulens, Joline W J; Gansevoort, Ron T; Geleijnse, Johanna M; Muskiet, Frits A J; Navis, Gerjan; Visser, Sipke T; Vermeer, Cees; Kema, Ido P; Bakker, Stephan J L</t>
  </si>
  <si>
    <t>https://pubmed.ncbi.nlm.nih.gov/29292751</t>
  </si>
  <si>
    <t>Matrix Gla Protein (MGP) is a strong vitamin K-dependent inhibitor of soft tissue calcification. We assessed the prevalence of functional vitamin K insufficiency, as derived from plasma desphospho-uncarboxylated MGP (dp-ucMGP), and investigated whether plasma dp-ucMGP is associated with all-cause and cardiovascular mortality in a large general population-based cohort. We included 4275 subjects (aged 53 ± 12 years, 46.0% male) participating in the prospective general population-based Prevention of Renal and Vascular End-Stage Disease (PREVEND) study. The prevalence of functional vitamin K insufficiency (i.e., dp-ucMGP &gt; 500 pmol/L) was 31% in the total study population. This prevalence was significantly higher among elderly and subjects with comorbidities like hypertension, type 2 diabetes, chronic kidney disease, and cardiovascular disease (~50%). After 10 years of follow-up, 279 subjects had died, with 74 deaths attributable to cardiovascular causes. We found significant J-shaped associations of plasma dp-ucMGP with all-cause (linear term: hazard ratio (HR) (95% confidence interval (CI)) = 0.20 (0.12-0.33), &lt;i&gt;p&lt;/i&gt; &lt; 0.001; squared term: 1.14 (1.10-1.17), &lt;i&gt;p&lt;/i&gt; &lt; 0.001) and cardiovascular mortality (linear term: 0.12 (0.05-0.27), &lt;i&gt;p&lt;/i&gt; &lt; 0.001; squared term: 1.17 (1.11-1.23), &lt;i&gt;p&lt;/i&gt; &lt; 0.001). These associations remained significant after adjustment for potential confounders. Whether the correction of vitamin K insufficiency improves health outcomes needs to be addressed in future prospective intervention studies.</t>
  </si>
  <si>
    <t>Blood pressure patterns and body mass index status in pregnancy: An assessment among women reporting for antenatal care at the Korle-Bu Teaching hospital, Ghana.</t>
  </si>
  <si>
    <t>Amoakoh-Coleman, Mary; Ogum-Alangea, Deda; Modey-Amoah, Emefa; Ntumy, Michael Yao; Adanu, Richard M; Oppong, Samuel A</t>
  </si>
  <si>
    <t>https://pubmed.ncbi.nlm.nih.gov/29211781</t>
  </si>
  <si>
    <t>Maternal obesity in pregnancy has been linked with increased risk of pregnancy induced hypertension (PIH). In some tertiary referral hospitals in Ghana, PIH is the leading cause of institutional maternal mortality. To evaluate blood pressure changes during pregnancy amongst different body mass index (BMI) groups and how this relates to the risk of developing PIH. Women who had a dating ultrasound before 20 weeks gestation and registering for antenatal care at the Korle-Bu Teaching Hospital in Accra, between February and December 2013 and met the inclusion criteria were recruited into a cohort study. BMI was assessed at baseline. Blood pressure measurements were taken at (±2) 24, 28 and 36 weeks. Primary outcome measure of interest during follow-up was a diagnosis of PIH at these points. BP changes during follow up at the three points were measured. Descriptive analysis of baseline factors was carried out and compared for the BMI groups. Relative risk (RR) of PIH was estimated at 95% confidence interval. Mean (SD) age for the 361 women was 30.9 (4.8) years. Incidence of PIH amongst the cohort was 10.5% (95% CI: 7.45% - 14.45%) and 40.4% and 33.0% of them were overweight and obese respectively at baseline. Pregnant women who were obese at baseline had a three-fold increased risk of PIH compared to those with normal BMI [RR = 3.01 (1.06-8.52), p = 0.04]. Obese women have a significantly increased risk of PIH. Women should be screened at booking for obesity status. Antenatal protocols should have interventions for prevention or early detection of obesity and management of obesity to improve outcomes.</t>
  </si>
  <si>
    <t>Increasing value and reducing waste by optimizing the development of complex interventions: Enriching the development phase of the Medical Research Council (MRC) Framework.</t>
  </si>
  <si>
    <t>Bleijenberg, Nienke; de Man-van Ginkel, Janneke M; Trappenburg, Jaap C A; Ettema, Roelof G A; Sino, Carolien G; Heim, Noor; Hafsteindóttir, Thóra B; Richards, David A; Schuurmans, Marieke J</t>
  </si>
  <si>
    <t>https://pubmed.ncbi.nlm.nih.gov/29220738</t>
  </si>
  <si>
    <t>In recent years there has been much emphasis on 'research waste' caused by poor question selection, insufficient attention to previous research results, and avoidable weakness in research design, conduct and analysis. Little attention has been paid to the effect of inadequate development of interventions before proceeding to a full clinical trial. We therefore propose to enrich the development phase of the MRC Framework by adding crucial elements to improve the likelihood of success and enhance the fit with clinical practice METHODS: Based on existing intervention development guidance and synthesis, a comprehensive iterative intervention development approach is proposed. Examples from published reports are presented to illustrate the methodology that can be applied within each element to enhance the intervention design. A comprehensive iterative approach is presented by combining the elements of the MRC Framework development phase with essential elements from existing guidance including: problem identification, the systematic identification of evidence, identification or development of theory, determination of needs, the examination of current practice and context, modelling the process and expected outcomes leading to final element: the intervention design. All elements are drawn from existing models to provide intervention developers with a greater chance of producing an intervention that is well adopted, effective and fitted to the context. This comprehensive approach of developing interventions will strengthen the internal and external validity, minimize research waste and add value to health care research. In complex interventions in health care research, flaws in the development process immediately impact the chances of success. Knowledge regarding the causal mechanisms and interactions within the intended clinical context is needed to develop interventions that fit daily practice and are beneficial for the end-user.</t>
  </si>
  <si>
    <t>Overlapping network meta-analyses on the same topic: survey of published studies.</t>
  </si>
  <si>
    <t>Naudet, F; Schuit, E; Ioannidis, J P A</t>
  </si>
  <si>
    <t>https://pubmed.ncbi.nlm.nih.gov/29040566</t>
  </si>
  <si>
    <t>To assess how common it is for a published network meta-analysis (NMA) to have other published overlapping NMAs, and to evaluate these overlaps. A total of 88 NMAs of randomized controlled trials evaluating the comparative effectiveness of health interventions were randomly selected. For each of these, we searched for NMAs on the same topic. A random sample of 40 pairs (an index NMA and one of its overlapping NMAs) was selected to assess the overlap in terms of nodes, treatments and references. The topic with the largest number of overlapping NMAs was described in depth. In all, 68 of the 88 index NMAs had at least one overlapping NMA: 77% [95% confidence interval (CI), 69-86%]. We identified 515 pairs of overlapping NMAs. Among the 40 randomly selected pairs, 73% (95% CI, 58-88%) of nodes, 79% (95% CI, 72-86%) of treatments and 48% (95% CI, 37-59%) of references included in the index NMAs were also found in the respective overlapping NMAs. Efficacy of biologics in rheumatoid arthritis had the largest number of overlapping NMAs, with 28 NMAs published between 2003 and 2014. Differences in selection and definition of nodes of treatments resulted in different network geometries. There were also differences in both the direction and the statistical significance of effects. Published NMAs exhibit extensive overlap and potential redundancy. Erratic retrieval of eligible trials, and lack of consensus on the range of interventions to be considered and how they might be merged or split in different nodes, may cause confusion.</t>
  </si>
  <si>
    <t>Safety of a 1-hour Rule-out High-sensitive Troponin T Protocol in Patients With Chest Pain at the Emergency Department.</t>
  </si>
  <si>
    <t>Röttger, E; de Vries-Spithoven, S; Reitsma, J B; Limburg, A; van Ofwegen-Hanekamp, C E E; Hoes, A W; Poldervaart, J M</t>
  </si>
  <si>
    <t>https://pubmed.ncbi.nlm.nih.gov/29135620</t>
  </si>
  <si>
    <t>The 1-hour rule-out high-sensitive cardiac troponin T protocol (hs-cTnT), in which a serial troponin measurement is performed 1 hour after the first to assess the possibility of acute coronary syndrome (ACS), has been implemented in the European guidelines in 2015. Our aim was to assess the safety of this protocol in low-risk patients in the Emergency Department (ED) when implemented in daily practice. Patients with acute chest pain presenting to the ED of our hospital and younger than 75 years were included (May 2013 to October 2014, The Netherlands). Hs-cTnT was measured at presentation (T0) and 1-1.5 hours after T0 (T1). Patients with a first troponin (T0) ≥ 0.012 ug/l were excluded. Primary endpoint was the 6-week occurrence of major adverse cardiac events (MACEs), defined as unstable angina, acute myocardial infarction (AMI), percutaneous coronary intervention, significant stenosis managed conservatively, coronary artery bypass grafting, and death. Of the 374 analyzed patients, 16 patients (4.3%) developed 35 MACE. Of these 16 patients with endpoints, 3 were primarily discharged with noncardiac chest pain but returned within 6 weeks with unstable angina. Importantly, no patients experienced an AMI or died during follow-up. No AMIs or deaths occurred after introducing the 1-hour hs-cTnT protocol to rule-out ACS in chest pain patients, but other MACE such as unstable angina occurred. Our results suggest the protocol is safe to implement in the ED in The Netherlands.</t>
  </si>
  <si>
    <t>Cohort Profile Update: The Doetinchem Cohort Study 1987-2017: lifestyle, health and chronic diseases in a life course and ageing perspective.</t>
  </si>
  <si>
    <t>Picavet, H S J; Blokstra, Anneke; Spijkerman, Annemieke M W; Verschuren, W M Monique</t>
  </si>
  <si>
    <t>https://pubmed.ncbi.nlm.nih.gov/29040549</t>
  </si>
  <si>
    <t>Type 2 diabetes mellitus management among Ghanaian migrants resident in three European countries and their compatriots in rural and urban Ghana - The RODAM study.</t>
  </si>
  <si>
    <t>Bijlholt, Margriet; Meeks, Karlijn A C; Beune, Erik; Addo, Juliet; Smeeth, Liam; Schulze, Matthias B; Danquah, Ina; Galbete, Cecilia; de-Graft Aikins, Ama; Klipstein-Grobusch, Kerstin; Owusu-Dabo, Ellis; Spranger, Joachim; Mockenhaupt, Frank P; Amoah, Stephen K; Bahendeka, Silver; Stronks, Karien; Agyemang, Charles</t>
  </si>
  <si>
    <t>https://pubmed.ncbi.nlm.nih.gov/29203253</t>
  </si>
  <si>
    <t>To compare Type 2 Diabetes Mellitus (T2DM) awareness, treatment and control between Ghanaians resident in Ghana and Europe. Comparisons were made for the 530 participants of the Research on Obesity and Diabetes among African Migrants (RODAM) study with T2DM (25-70 years) living in Amsterdam, Berlin, London, urban Ghana and rural Ghana. We used logistic regression to assess disparities with adjustment for age, sex and education. T2DM awareness was 51% in rural Ghana. This was lower than levels in Europe ranging from 73% in London (age-sex adjusted odds ratio (OR) = 2.7; 95%CI = 1.2-6.0) to 79% in Amsterdam (OR = 4.7; 95%CI = 2.3-9.6). T2DM treatment was also lower in rural Ghana (37%) than in urban Ghana (56%; OR = 2.6; 95%CI = 1.3-5.3) and European sites ranging from 67% in London (OR = 3.4; 95%CI = 1.5-7.5) to 73% in Berlin (OR = 6.9; 95%CI = 2.9-16.4). In contrast, T2DM control in rural Ghana (63%) was comparable to Amsterdam and Berlin, but higher than in London (40%; OR = 0.4; 95%CI = 0.2-0.9) and urban Ghana (28%; OR = 0.3; 95%CI = 0.1-0.6). Our findings suggest that improved detection and treatment of T2DM in rural Ghana, and improved control for people with diagnosed T2DM in London and urban Ghana warrant prioritization. Further work is needed to understand the factors driving the differences.</t>
  </si>
  <si>
    <t>Newly identified risk factors for MRSA carriage in The Netherlands.</t>
  </si>
  <si>
    <t>Lekkerkerk, W S N; Haenen, A; van der Sande, M A B; Leenstra, T; de Greeff, S; Timen, A; Tjon-A-Tsien, A; Richardus, J H; van de Sande-Bruinsma, N; Vos, M C</t>
  </si>
  <si>
    <t>https://pubmed.ncbi.nlm.nih.gov/29190731</t>
  </si>
  <si>
    <t>To elucidate new risk factors for MRSA carriers without known risk factors (MRSA of unknown origin; MUO). These MUO carriers are neither pre-emptively screened nor isolated as normally dictated by the Dutch Search &amp; Destroy policy, thus resulting in policy failure. We performed a prospective case control study to determine risk factors for MUO acquisition/carriage (Dutch Trial Register: NTR2041). Cases were MUO carriers reported by participating medical microbiological laboratories to the RIVM from September 1st 2011 until September 1st 2013. Controls were randomly selected from the community during this period. Significant risk factors for MUO in logistic multivariate analysis were antibiotic use in the last twelve months, aOR 8.1 (5.6-11.7), screened as contact in a contact tracing but not detected as a MRSA carrier at that time, aOR 4.3 (2.1-8.8), having at least one foreign parent, aOR 2.4 (1.4-3.9) and receiving ambulatory care, aOR 2.3 (1.4-3.7). Our found risk factors explained 83% of the MUO carriage. Identifying new risk factors for MRSA carriers remains crucial for countries that apply a targeted screening approach as a Search and Destroy policy or as vertical infection prevention measure.</t>
  </si>
  <si>
    <t>In-hospital prescription changes and documentation in the medical records of the primary care provider: results from a medical record review study.</t>
  </si>
  <si>
    <t>Poldervaart, Judith M; van Melle, Marije A; Willemse, Sanne; de Wit, Niek J; Zwart, Dorien L M</t>
  </si>
  <si>
    <t>https://pubmed.ncbi.nlm.nih.gov/29187185</t>
  </si>
  <si>
    <t>An increasing number of transitions due to substitution of care of more complex patients urges insight in and improvement of transitional medication safety. While lack of documentation of prescription changes and/or lack of information exchange between settings likely cause adverse drug events, frequency of occurrence of these causes is not clear. Therefore, we aimed at determining the frequency of in-hospital patients’ prescription changes that are not or incorrectly documented in their primary care provider’s (PCP) medical record. A medical record review study was performed in a database linking patients’ medical records of hospital and PCP. A random sample (n = 600) was drawn from all 1399 patients who were registered at a participating primary care practice as well as the gastroenterology or cardiology department in 2013 of the University Medical Center Utrecht, the Netherlands. Outcomes were the number of in-hospital prescription changes that was not or incorrectly documented in the medical record of the PCP, and timeliness of documentation. Records of 390 patients included one or more primary-secondary care transitions; in total we identified 1511 transitions. During these transitions, 408 in-hospital prescription changes were made, of which 31% was not or incorrectly documented in the medical record of the PCP within the next 3 months. In case changes were documented, the median number of days between hospital visit and documentation was 3 (IQR 0–18). One third of in-hospital prescription changes was not or incorrectly documented in the PCP’s record, which likely puts patients at risk of adverse drug events after hospital visits. Such flawed reliability of a routine care process is unacceptable and warrants improvement and close monitoring.</t>
  </si>
  <si>
    <t>Detecting small-study effects and funnel plot asymmetry in meta-analysis of survival data: A comparison of new and existing tests.</t>
  </si>
  <si>
    <t>Debray, Thomas P A; Moons, Karel G M; Riley, Richard D</t>
  </si>
  <si>
    <t>https://pubmed.ncbi.nlm.nih.gov/28975717</t>
  </si>
  <si>
    <t>Small-study effects are a common threat in systematic reviews and may indicate publication bias. Their existence is often verified by visual inspection of the funnel plot. Formal tests to assess the presence of funnel plot asymmetry typically estimate the association between the reported effect size and their standard error, the total sample size, or the inverse of the total sample size. In this paper, we demonstrate that the application of these tests may be less appropriate in meta-analysis of survival data, where censoring influences statistical significance of the hazard ratio. We subsequently propose 2 new tests that are based on the total number of observed events and adopt a multiplicative variance component. We compare the performance of the various funnel plot asymmetry tests in an extensive simulation study where we varied the true hazard ratio (0.5 to 1), the number of published trials (N=10 to 100), the degree of censoring within trials (0% to 90%), and the mechanism leading to participant dropout (noninformative versus informative). Results demonstrate that previous well-known tests for detecting funnel plot asymmetry suffer from low power or excessive type-I error rates in meta-analysis of survival data, particularly when trials are affected by participant dropout. Because our novel test (adopting estimates of the asymptotic precision as study weights) yields reasonable power and maintains appropriate type-I error rates, we recommend its use to evaluate funnel plot asymmetry in meta-analysis of survival data. The use of funnel plot asymmetry tests should, however, be avoided when there are few trials available for any meta-analysis.</t>
  </si>
  <si>
    <t>Influence of breast compression pressure on the performance of population-based mammography screening.</t>
  </si>
  <si>
    <t>Holland, Katharina; Sechopoulos, Ioannis; Mann, Ritse M; den Heeten, Gerard J; van Gils, Carla H; Karssemeijer, Nico</t>
  </si>
  <si>
    <t>https://pubmed.ncbi.nlm.nih.gov/29183348</t>
  </si>
  <si>
    <t>In mammography, breast compression is applied to reduce the thickness of the breast. While it is widely accepted that firm breast compression is needed to ensure acceptable image quality, guidelines remain vague about how much compression should be applied during mammogram acquisition. A quantitative parameter indicating the desirable amount of compression is not available. Consequently, little is known about the relationship between the amount of breast compression and breast cancer detectability. The purpose of this study is to determine the effect of breast compression pressure in mammography on breast cancer screening outcomes. We used digital image analysis methods to determine breast volume, percent dense volume, and pressure from 132,776 examinations of 57,179 women participating in the Dutch population-based biennial breast cancer screening program. Pressure was estimated by dividing the compression force by the area of the contact surface between breast and compression paddle. The data was subdivided into quintiles of pressure and the number of screen-detected cancers, interval cancers, false positives, and true negatives were determined for each group. Generalized estimating equations were used to account for correlation between examinations of the same woman and for the effect of breast density and volume when estimating sensitivity, specificity, and other performance measures. Sensitivity was computed using interval cancers occurring between two screening rounds and using interval cancers within 12 months after screening. Pair-wise testing for significant differences was performed. Percent dense volume increased with increasing pressure, while breast volume decreased. Sensitivity in quintiles with increasing pressure was 82.0%, 77.1%, 79.8%, 71.1%, and 70.8%. Sensitivity based on interval cancers within 12 months was significantly lower in the highest pressure quintile compared to the third (84.3% vs 93.9%, p = 0.034). Specificity was lower in the lowest pressure quintile (98.0%) compared to the second, third, and fourth group (98.5%, p &lt; 0.005). Specificity of the fifth quintile was 98.4%. Results suggest that if too much pressure is applied during mammography this may reduce sensitivity. In contrast, if pressure is low this may decrease specificity.</t>
  </si>
  <si>
    <t>Detecting Acute Otitis Media Symptom Episodes Using a Mobile App: Cohort Study.</t>
  </si>
  <si>
    <t>Prins-van Ginkel, Annemarijn C; de Hoog, Marieke LA; Uiterwaal, C; Smit, Henriette A; Bruijning-Verhagen, Patricia Cj</t>
  </si>
  <si>
    <t>https://pubmed.ncbi.nlm.nih.gov/29183869</t>
  </si>
  <si>
    <t>Population cohort studies are useful to study infectious diseases episodes not attended by health care services, but conventional paper diaries and questionnaires to capture cases are prone to noncompliance and recall bias. Use of smart technology in this setting may improve case finding. The objective of our study was to validate an interactive mobile app for monitoring occurrence of acute infectious diseases episodes in individuals, independent of health care seeking, using acute otitis media (AOM) symptom episodes in infants as a case study. We were interested in determining participant compliance and app performance in detecting and ascertaining (parent-reported) AOM symptom episodes with this novel tool compared with traditional methods used for monitoring study participants. We tested the InfectieApp research app to detect AOM symptom episodes. In 2013, we followed 155 children aged 0 to 3 years for 4 months. Parents recorded the presence of AOM symptoms in a paper diary for 4 consecutive months and completed additional disease questionnaires when AOM symptoms were present. In 2015 in a similar cohort of 69 children, parents used an AOM diary and questionnaire app instead. During conventional and app-based recording, 93.13% (17,244/18,516) and 94.56% (7438/7866) of symptom diaries were returned, respectively, and at least one symptom was recorded for 32.50% (n=5606) and 43.99% (n=3272) of diary days (P&lt;.01). The incidence of AOM symptom episodes was 605 and 835 per 1000 child-years, respectively. Disease questionnaires were completed for 59% (17/29) of episodes when participants were using conventional recording, compared with 100% (18/18) for app-based recording. The use of the study's smart diary app improved AOM case finding and disease questionnaire completeness. For common infectious diseases that often remain undetected by health care services, use of this technology can substantially improve the accurateness of disease burden estimates.</t>
  </si>
  <si>
    <t>The new European guideline on cardiovascular disease prevention; how to make progress in general practice?</t>
  </si>
  <si>
    <t>Marchal, Suzanne; Van't Hof, Arnoud W J; Hollander, Monika</t>
  </si>
  <si>
    <t>https://pubmed.ncbi.nlm.nih.gov/29172801</t>
  </si>
  <si>
    <t>The new guideline on cardiovascular disease (CVD) prevention, issued by the European Society of Cardiology was endorsed by 10 other societies, including Wonca Europe. It advices on how to reduce the cardiovascular (CV) risk in the population and attributes an important role to the general practitioner (GP). The GP is involved in treatment of the high-risk population as well as in public health measures to encourage a healthy lifestyle and CV risk factor reduction in the whole population. The new guideline gives room for a personalized approach and emphasizes that CV risk estimation and counselling need regular follow-up. We highlight the recommendations that most caught our eye and comment on the challenges for general practice.</t>
  </si>
  <si>
    <t>The Montreal Cognitive Assessment-Basic (MoCA-B) is not a reliable screening tool for cognitive decline in HIV patients receiving combination antiretroviral therapy in rural South Africa.</t>
  </si>
  <si>
    <t>Hakkers, C S; Beunders, A J M; Ensing, M H M; Barth, R E; Boelema, S; Devillé, W L J; Tempelman, H A; Coutinho, R A; Hoepelman, A I M; Arends, J E; van Zandvoort, M J E</t>
  </si>
  <si>
    <t>https://pubmed.ncbi.nlm.nih.gov/29183843</t>
  </si>
  <si>
    <t>HIV-associated neurocognitive disorders (HAND) are frequently occurring comorbidities in HIV-positive patients, diagnosed by means of a neuropsychological assessment (NPA). Due to the magnitude of the HIV-positive population in Sub-Saharan Africa, easy-to-use cognitive screening tools are essential. This was a cross-sectional clinical trial involving 44 HIV-positive patients (on stable cART) and 73 HIV-negative controls completing an NPA, the International HIV Dementia Scale (IHDS), and a culturally appropriate cognitive screening tool, the Montreal Cognitive Assessment-Basic (MoCA-B). HAND were diagnosed by calculating Z-scores using internationally published normative data on NPA, as well as by using data from the HIV-negative group to validate the MoCA-B. One hundred and seventeen patients were included (25% male, median age 35 years, median 11 years of education). A moderate correlation was found between the MoCA-B and NPA total Z-score (Pearson's r=0.36, p=0.02). Area under the curve (AUC) values for MoCA-B and IHDS were 0.59 and 0.70, respectively. The prevalence of HAND in HIV-positive patients was 66% when calculating Z-scores using published normative data versus 48% when using the data from the present HIV-negative cohort. The MoCA-B appeared not to be a valid screening tool for HAND in this setting. The prevalence of HAND in this setting is high, but appeared overestimated when using published norms.</t>
  </si>
  <si>
    <t>Measurement of lepton differential distributions and the top quark mass in &lt;math xmlns="http://www.w3.org/1998/Math/MathML"&gt;&lt;mrow&gt;&lt;mi&gt;t&lt;/mi&gt; &lt;mover&gt;&lt;mrow&gt;&lt;mi&gt;t&lt;/mi&gt;&lt;/mrow&gt; &lt;mrow&gt;&lt;mo&gt;¯&lt;/mo&gt;&lt;/mrow&gt; &lt;/mover&gt; &lt;/mrow&gt; &lt;/math&gt; production in &lt;i&gt;pp&lt;/i&gt; collisions at &lt;math xmlns="http://www.w3.org/1998/Math/MathML"&gt; &lt;mrow&gt;&lt;msqrt&gt;&lt;mi&gt;s&lt;/mi&gt;&lt;/msqrt&gt; &lt;mo&gt;=&lt;/mo&gt; &lt;mn&gt;8&lt;/mn&gt;&lt;/mrow&gt; &lt;/math&gt;  TeV with the ATLAS detector.</t>
  </si>
  <si>
    <t>https://pubmed.ncbi.nlm.nih.gov/31999283</t>
  </si>
  <si>
    <t>This paper presents single lepton and dilepton kinematic distributions measured in dileptonic &lt;math xmlns="http://www.w3.org/1998/Math/MathML"&gt;&lt;mrow&gt;&lt;mi&gt;t&lt;/mi&gt; &lt;mover&gt;&lt;mrow&gt;&lt;mi&gt;t&lt;/mi&gt;&lt;/mrow&gt; &lt;mrow&gt;&lt;mo&gt;¯&lt;/mo&gt;&lt;/mrow&gt; &lt;/mover&gt; &lt;/mrow&gt; &lt;/math&gt; events produced in 20.2 &lt;math xmlns="http://www.w3.org/1998/Math/MathML"&gt;&lt;msup&gt;&lt;mtext&gt;fb&lt;/mtext&gt; &lt;mrow&gt;&lt;mo&gt;-&lt;/mo&gt; &lt;mn&gt;1&lt;/mn&gt;&lt;/mrow&gt; &lt;/msup&gt; &lt;/math&gt; of &lt;math xmlns="http://www.w3.org/1998/Math/MathML"&gt; &lt;mrow&gt;&lt;msqrt&gt;&lt;mi&gt;s&lt;/mi&gt;&lt;/msqrt&gt; &lt;mo&gt;=&lt;/mo&gt; &lt;mn&gt;8&lt;/mn&gt;&lt;/mrow&gt; &lt;/math&gt;  TeV &lt;i&gt;pp&lt;/i&gt; collisions recorded by the ATLAS experiment at the LHC. Both absolute and normalised differential cross-sections are measured, using events with an opposite-charge &lt;math xmlns="http://www.w3.org/1998/Math/MathML"&gt;&lt;mrow&gt;&lt;mi&gt;e&lt;/mi&gt; &lt;mi&gt;μ&lt;/mi&gt;&lt;/mrow&gt; &lt;/math&gt; pair and one or two &lt;i&gt;b&lt;/i&gt;-tagged jets. The cross-sections are measured in a fiducial region corresponding to the detector acceptance for leptons, and are compared to the predictions from a variety of Monte Carlo event generators, as well as fixed-order QCD calculations, exploring the sensitivity of the cross-sections to the gluon parton distribution function. Some of the distributions are also sensitive to the top quark pole mass; a combined fit of NLO fixed-order predictions to all the measured distributions yields a top quark mass value of &lt;math xmlns="http://www.w3.org/1998/Math/MathML"&gt; &lt;mrow&gt;&lt;msubsup&gt;&lt;mi&gt;m&lt;/mi&gt; &lt;mi&gt;t&lt;/mi&gt; &lt;mi&gt;pole&lt;/mi&gt;&lt;/msubsup&gt; &lt;mo&gt;=&lt;/mo&gt; &lt;mn&gt;173.2&lt;/mn&gt; &lt;mo&gt;±&lt;/mo&gt; &lt;mn&gt;0.9&lt;/mn&gt; &lt;mo&gt;±&lt;/mo&gt; &lt;mn&gt;0.8&lt;/mn&gt; &lt;mo&gt;±&lt;/mo&gt; &lt;mn&gt;1.2&lt;/mn&gt;&lt;/mrow&gt; &lt;/math&gt;  GeV, where the three uncertainties arise from data statistics, experimental systematics, and theoretical sources.</t>
  </si>
  <si>
    <t>Prescription of secondary preventive drugs after ischemic stroke: results from the Malaysian National Stroke Registry.</t>
  </si>
  <si>
    <t>Hwong, Wen Yea; Abdul Aziz, Zariah; Sidek, Norsima Nazifah; Bots, Michiel L; Selvarajah, Sharmini; Kappelle, L Jaap; Sivasampu, Sheamini; Vaartjes, Ilonca</t>
  </si>
  <si>
    <t>bmc neurology</t>
  </si>
  <si>
    <t>https://pubmed.ncbi.nlm.nih.gov/29169331</t>
  </si>
  <si>
    <t>Evaluation of secondary stroke prevention in low and middle-income countries remains limited. This study assessed the prescription of secondary preventive drugs among ischemic stroke patients upon hospital discharge in Malaysia and identified factors related to the prescribing decisions. From Malaysian National Stroke Registry, we included patients with non-fatal ischemic stroke. Prescriptions of antiplatelet, anticoagulants, antihypertensive drugs and lipid-lowering drugs were assessed. Multi-level logistic regressions were performed to determine the relation between potential factors and drug prescriptions. Of 5292 patients, 48% received antihypertensive drugs, 88.9% antiplatelet and 88.7% lipid-lowering drugs upon discharge. Thirty-three percent of patients with an indication for anticoagulants (n = 391) received it. Compared to patients &lt;=50 years, patients above 70 years were less likely to receive antiplatelet (OR: 0.72, 95% CI: 0.50-1.03), lipid-lowering drugs (OR: 0.66, 95% CI: 0.45-0.95) and anticoagulants (OR: 0.27, 95% CI: 0.09-0.83). Patients with moderate to severe disability upon discharge had less odds of receiving secondary preventive drugs; an odds ratio of 0.57 (95% CI: 0.45-0.71) for antiplatelet, 0.86 (95% CI: 0.75-0.98) for antihypertensive drugs and 0.78 (95% CI: 0.63-0.97) for lipid-lowering drugs in comparison to those with minor disability. Having prior specific comorbidities and drug prescriptions significantly increased the odds of receiving these drugs. No differences were found between sexes and ethnicities. Prescription of antihypertensive drugs and anticoagulants among ischemic stroke patients in Malaysia were suboptimal. Efforts to initiate regular clinical audits to evaluate the uptake and effectiveness of secondary preventive strategies are timely in low and middle-income settings.</t>
  </si>
  <si>
    <t>Validation of an imaging based cardiovascular risk score in a Scottish population.</t>
  </si>
  <si>
    <t>Kockelkoren, Remko; Jairam, Pushpa M; Murchison, John T; Debray, Thomas P A; Mirsadraee, Saeed; van der Graaf, Yolanda; Jong, Pim A de; van Beek, Edwin J R</t>
  </si>
  <si>
    <t>https://pubmed.ncbi.nlm.nih.gov/29279154</t>
  </si>
  <si>
    <t>A radiological risk score that determines 5-year cardiovascular disease (CVD) risk using routine care CT and patient information readily available to radiologists was previously developed. External validation in a Scottish population was performed to assess the applicability and validity of the risk score in other populations. 2915 subjects aged ≥40 years who underwent routine clinical chest CT scanning for non-cardiovascular diagnostic indications were followed up until first diagnosis of, or death from, CVD. Using a case-cohort approach, all cases and a random sample of 20% of the participant's CT examinations were visually graded for cardiovascular calcifications and cardiac diameter was measured. The radiological risk score was determined using imaging findings, age, gender, and CT indication. Performance on 5-year CVD risk prediction was assessed. 384 events occurred in 2124 subjects during a mean follow-up of 4.25 years (0-6.4 years). The risk score demonstrated reasonable performance in the studied population. Calibration showed good agreement between actual and 5-year predicted risk of CVD. The c-statistic was 0.71 (95%CI:0.67-0.75). The radiological CVD risk score performed adequately in the Scottish population offering a potential novel strategy for identifying patients at high risk for developing cardiovascular disease using routine care CT data.</t>
  </si>
  <si>
    <t>The association between a genetic risk score for allergy and the risk of developing allergies in childhood-Results of the WHISTLER cohort.</t>
  </si>
  <si>
    <t>Arabkhazaeli, Ali; Ahmadizar, Fariba; Leusink, Maarten; Arets, Hubertus G M; Raaijmakers, Jan A M; Uiterwaal, Cuno S P M; van der Ent, Cornelis K; Maitland-van der Zee, Anke-Hilse; Vijverberg, Susanne J H</t>
  </si>
  <si>
    <t>https://pubmed.ncbi.nlm.nih.gov/29047167</t>
  </si>
  <si>
    <t>Several genetic variants have been associated with the susceptibility to allergic disease in adults, but it remains unclear whether these genetic variants are also associated with the onset of allergic disease early in life. The aim of this study was to develop a genetic risk score (GRS) for allergy based on findings in adults and study its predictive capacity for allergy in children. A GRS was constructed based on 10 SNPs previously associated with allergies in adults. The GRS was tested in children who participated in a population-based newborn cohort (WHISTLER) and were followed from birth to school age. Logistic regression analysis was used to study the association between the GRS and the parental-reported allergies at age 5 (based on a reported allergy to ≥1 of the following allergens: pollen, house dust mites, or pets). A Cox regression model was used to study the association between GRS and a physician-diagnosed allergy during follow-up (allergic conjunctivitis, allergic rhinitis, and eczema/dermatitis). Cohen's kappa coefficient was calculated to study the agreement between physician-diagnosed allergy and parental-reported allergy at age 5. The GRS was significantly associated with parental-reported allergy (odds ratio: 15.9, 95% confidence interval (CI): 1.07-233.73) at age 5, as well as with a physician-diagnosed allergy during follow-up (hazard ratio: 1.89, 95% CI: 1.05-3.41). The overall agreement between physician-diagnosed and parental-reported allergies was 70.5% (kappa: 0.10, 95% CI: 0.03-0.18). An adult-derived GRS for allergy predicts the risk of developing allergies in childhood.</t>
  </si>
  <si>
    <t>HbA&lt;sub&gt;1c&lt;/sub&gt; is associated with altered expression in blood of cell cycle- and immune response-related genes.</t>
  </si>
  <si>
    <t>Slieker, Roderick C; van der Heijden, Amber A W A; van Leeuwen, Nienke; Mei, Hailiang; Nijpels, Giel; Beulens, Joline W J; 't Hart, Leen M</t>
  </si>
  <si>
    <t>https://pubmed.ncbi.nlm.nih.gov/29159468</t>
  </si>
  <si>
    <t>Individuals with type 2 diabetes are heterogeneous in their glycaemic control as tracked by blood HbA&lt;sub&gt;1c&lt;/sub&gt; levels. Here, we investigated the extent to which gene expression levels in blood reflect current and future HbA&lt;sub&gt;1c&lt;/sub&gt; levels. HbA&lt;sub&gt;1c&lt;/sub&gt; levels at baseline and 1 and 2 year follow-up were compared with gene expression levels in 391 individuals with type 2 diabetes from the Hoorn Diabetes Care System Cohort (15,564 genes, RNA sequencing). The functions of associated baseline genes were investigated further using pathway enrichment analysis. Using publicly available data, we investigated whether the genes identified are also associated with HbA&lt;sub&gt;1c&lt;/sub&gt; in the target tissues, muscle and pancreas. At baseline, 220 genes (1.4%) were associated with baseline HbA&lt;sub&gt;1c&lt;/sub&gt;. Identified genes were enriched for cell cycle and complement system activation pathways. The association of 15 genes extended to the target tissues, muscle (n = 113) and pancreatic islets (n = 115). At follow-up, expression of 25 genes (0.16%) associated with 1 year HbA&lt;sub&gt;1c&lt;/sub&gt; and nine genes (0.06%) with 2 year HbA&lt;sub&gt;1c&lt;/sub&gt;. Five genes overlapped across all time points, and 18 additional genes between baseline and 1 year follow-up. After adjustment for baseline HbA&lt;sub&gt;1c&lt;/sub&gt;, the number of significant genes at 1 and 2 years markedly decreased, suggesting that gene expression levels in whole blood reflect the current glycaemic state and but not necessarily the future glycaemic state. HbA&lt;sub&gt;1c&lt;/sub&gt; levels in individuals with type 2 diabetes are associated with expression levels of genes that link to the cell cycle and complement system activation.</t>
  </si>
  <si>
    <t>A comprehensive analysis of polymorphic variants in steroid hormone and insulin-like growth factor-1 metabolism and risk of in situ breast cancer: Results from the Breast and Prostate Cancer Cohort Consortium.</t>
  </si>
  <si>
    <t>Barrdahl, Myrto; Canzian, Federico; Gaudet, Mia M; Gapstur, Susan M; Trichopoulou, Antonia; Tsilidis, Kostas; van Gils, Carla H; Borgquist, Signe; Weiderpass, Elisabete; Khaw, Kay-Tee; Giles, Graham G; Milne, Roger L; Le Marchand, Loic; Haiman, Christopher; Lindström, Sara; Kraft, Peter; Hunter, David J; Ziegler, Regina; Chanock, Stephen J; Yang, Xiaohong R; Buring, Julie E; Lee, I-Min; Kaaks, Rudolf; Campa, Daniele</t>
  </si>
  <si>
    <t>https://pubmed.ncbi.nlm.nih.gov/29114882</t>
  </si>
  <si>
    <t>We assessed the association between 1,414 single nucleotide polymorphisms (SNPs) in genes involved in synthesis and metabolism of steroid hormones and insulin-like growth factor 1, and risk of breast cancer in situ (BCIS), with the aim of determining whether any of these were disease specific. This was carried out using 1,062 BCIS cases and 10,126 controls as well as 6,113 invasive breast cancer cases from the Breast and Prostate Cancer Cohort Consortium (BPC3). Three SNPs showed at least one nominally significant association in homozygous minor versus homozygous major models. ACVR2A-rs2382112 (OR&lt;sub&gt;hom&lt;/sub&gt;  = 3.05, 95%CI = 1.72-5.44, P&lt;sub&gt;hom&lt;/sub&gt;  = 1.47 × 10&lt;sup&gt;-4&lt;/sup&gt; ), MAST2-rs12124649 (OR&lt;sub&gt;hom&lt;/sub&gt;  = 1.73, 95% CI =1.18-2.54, P&lt;sub&gt;hom&lt;/sub&gt;  = 5.24 × 10&lt;sup&gt;-3&lt;/sup&gt; ), and INSR-rs10500204 (OR&lt;sub&gt;hom&lt;/sub&gt;  = 1.96, 95% CI = 1.44-2.67, P&lt;sub&gt;hom&lt;/sub&gt; =1.68 × 10&lt;sup&gt;-5&lt;/sup&gt; ) were associated with increased risk of BCIS; however, only the latter association was significant after correcting for multiple testing. Furthermore, INSR-rs10500204 was more strongly associated with the risk of BCIS than invasive disease in case-only analyses using the homozygous minor versus homozygous major model (OR&lt;sub&gt;hom&lt;/sub&gt;  = 1.78, 95% CI = 1.30-2.44, P&lt;sub&gt;hom&lt;/sub&gt;  = 3.23 × 10&lt;sup&gt;-4&lt;/sup&gt; ). The SNP INSR-rs10500204 is located in an intron of the INSR gene and is likely to affect binding of the promyelocytic leukemia (PML) protein. The PML gene is known as a tumor suppressor and growth regulator in cancer. However, it is not clear on what pathway the A-allele of rs10500204 could operate to influence the binding of the protein. Hence, functional studies are warranted to investigate this further.</t>
  </si>
  <si>
    <t>Effect of HIV-1 low-level viraemia during antiretroviral therapy on treatment outcomes in WHO-guided South African treatment programmes: a multicentre cohort study.</t>
  </si>
  <si>
    <t>Hermans, Lucas E; Moorhouse, Michelle; Carmona, Sergio; Grobbee, Diederick E; Hofstra, L Marije; Richman, Douglas D; Tempelman, Hugo A; Venter, Willem D F; Wensing, Annemarie M J</t>
  </si>
  <si>
    <t>https://pubmed.ncbi.nlm.nih.gov/29158101</t>
  </si>
  <si>
    <t>Antiretroviral therapy (ART) that enables suppression of HIV replication has been successfully rolled out at large scale to HIV-positive patients in low-income and middle-income countries. WHO guidelines for these regions define failure of ART with a lenient threshold of viraemia (HIV RNA viral load ≥1000 copies per mL). We investigated the occurrence of detectable viraemia during ART below this threshold and its effect on treatment outcomes in a large South African cohort. In this observational cohort study, we included HIV-positive adults registered between Jan 1, 2007, and May 1, 2016, at 57 clinical sites in South Africa, who were receiving WHO-recommended ART regimens and viral load monitoring. Low-level viraemia was defined as the occurrence of at least one viral load measurement of 51-999 copies per mL during ART. Outcomes were WHO-defined virological failure (one or more viral load measurement of ≥1000 copies per mL) and switch to second-line ART. Risks were estimated with Cox proportional hazard models. 70 930 patients were included in the analysis, of whom 67 644 received first-line ART, 1476 received second-line ART, and 1810 received both. Median duration of follow-up was 124 weeks (IQR 56-221) for patients on first-line ART and 101 weeks (IQR 51-178) for patients on second-line ART. Low-level viraemia occurred in 16 013 (23%) of 69 454 patients, with an incidence of 11·5 per 100 person-years of follow-up (95% CI 11·4-11·7), during first-line ART. Virological failure during follow-up occurred in 14 380 (22%) of 69 454 patients on first-line ART. Low-level viraemia was associated with increased hazards of virological failure (hazard ratio [HR] 2·6, 95% CI 2·5-2·8; p&lt;0·0001) and switch to second-line ART (HR 5·2, 4·4-6·1; p&lt;0·0001]) compared with virological suppression of less than 50 copies per mL. Risk of virological failure increased further with higher ranges and persistence of low-level viraemia. In this large cohort, low-level viraemia occurred frequently and increased the risk of virological failure and switch to second-line ART. Strategies for management of low-level viraemia need to be incorporated into WHO guidelines to meet UNAIDS-defined targets aimed at halting the global HIV epidemic. None.</t>
  </si>
  <si>
    <t>Guideline adherence for diagnostic faeces testing in primary care patients with gastroenteritis.</t>
  </si>
  <si>
    <t>Schierenberg, Alwin; Broekhuizen, Berna D L; Nipshagen, Martine D; Kommer, Maarten B J; Bruijning-Verhagen, Patricia C J; van Delft, Sanne; van de Pol, Alma C; Bonten, Marc J M; de Wit, Niek J</t>
  </si>
  <si>
    <t>https://pubmed.ncbi.nlm.nih.gov/28531259</t>
  </si>
  <si>
    <t>Gastroenteritis (GE) is a common reason for primary care consultation. Dutch clinical practice guidelines (CPG) recommend diagnostic faeces testing (DFT) only in primary care patients with severe illness, comprised immunity or increased transmission risk. For its superior accuracy, shorter turnaround time and ease of use, polymerase chain reaction (PCR)-based DFT has largely replaced conventional techniques. It is unknown whether this changed CPG adherence. To quantify the effect of PCR introduction on adherence to CPG indications for DFT in primary care patients with GE. We performed a cohort study using routine care data of 225 GPs. Episodes of GE where DFT was performed were extracted from electronic patient records. Presenting symptoms were identified and adherence to CPG indications for DFT assessed in two randomly drawn samples of each 500 patients, one from the period before PCR introduction (2010-11) and one after (2013). The association between PCR introduction and adherence was estimated using multivariable regression analysis. In 88% of all episodes relevant presenting symptoms were reported, most often 'frequent watery stool' (58%) and 'illness duration &gt;10 days' (40%). DFT was performed in 15% of episodes before PCR introduction and in 18% after. Overall, in 17% the DFT request was considered adherent to the CPG, 16% before PCR introduction and 18% after (adjusted OR 1.2, 95% CI 0.9-1.7). Overall adherence to CPG indications when requesting DFT in primary care patient with GE was 17%. Implementation of PCR-based DFT was not associated with a change in CPG adherence.</t>
  </si>
  <si>
    <t>The effects of misclassification in routine healthcare databases on the accuracy of prognostic prediction models: a case study of the CHA2DS2-VASc score in atrial fibrillation.</t>
  </si>
  <si>
    <t>van Doorn, S; Brakenhoff, T B; Moons, K G M; Rutten, F H; Hoes, A W; Groenwold, R H H; Geersing, G J</t>
  </si>
  <si>
    <t>https://pubmed.ncbi.nlm.nih.gov/31093547</t>
  </si>
  <si>
    <t>Research on prognostic prediction models frequently uses data from routine healthcare. However, potential misclassification of predictors when using such data may strongly affect the studied associations. There is no doubt that such misclassification could lead to the derivation of suboptimal prediction models. The extent to which misclassification affects the validation of existing prediction models is currently unclear.We aimed to quantify the amount of misclassification in routine care data and its effect on the validation of the existing risk prediction model. As an illustrative example, we validated the CHA2DS2-VASc prediction rule for predicting mortality in patients with atrial fibrillation (AF). In a prospective cohort in general practice in the Netherlands, we used computerized retrieved data from the electronic medical records of patients known with AF as index predictors. Additionally, manually collected data after scrutinizing all complete medical files were used as reference predictors. Comparing the index with the reference predictors, we assessed misclassification in individual predictors by calculating Cohen's kappas and other diagnostic test accuracy measures. Predictive performance was quantified by the c-statistic and by determining calibration of multivariable models. In total, 2363 AF patients were included. After a median follow-up of 2.7 (IQR 2.3-3.0) years, 368 patients died (incidence rate 6.2 deaths per 100 person-years). Misclassification in individual predictors ranged from substantial (Cohen's kappa 0.56 for prior history of heart failure) to minor (kappa 0.90 for a history of type 2 diabetes). The overall model performance was not affected when using either index or reference predictors, with a c-statistic of 0.684 and 0.681, respectively, and similar calibration. In a case study validating the CHA2DS2-VASc prediction model, we found substantial predictor misclassification in routine healthcare data with only limited effect on overall model performance. Our study should be repeated for other often applied prediction models to further evaluate the usefulness of routinely available healthcare data for validating prognostic models in the presence of predictor misclassification.</t>
  </si>
  <si>
    <t>Hypertension: Device therapy for uncontrolled hypertension: new approaches to an old problem.</t>
  </si>
  <si>
    <t>nature reviews nephrology</t>
  </si>
  <si>
    <t>https://pubmed.ncbi.nlm.nih.gov/29138517</t>
  </si>
  <si>
    <t>Measurement of detector-corrected observables sensitive to the anomalous production of events with jets and large missing transverse momentum in &lt;math xmlns="http://www.w3.org/1998/Math/MathML"&gt;&lt;mrow&gt;&lt;mi&gt;p&lt;/mi&gt; &lt;mi&gt;p&lt;/mi&gt;&lt;/mrow&gt; &lt;/math&gt; collisions at &lt;math xmlns="http://www.w3.org/1998/Math/MathML"&gt; &lt;mrow&gt;&lt;msqrt&gt;&lt;mi&gt;s&lt;/mi&gt;&lt;/msqrt&gt; &lt;mo&gt;=&lt;/mo&gt; &lt;mn&gt;13&lt;/mn&gt;&lt;/mrow&gt; &lt;/math&gt;  TeV using the ATLAS detector.</t>
  </si>
  <si>
    <t>https://pubmed.ncbi.nlm.nih.gov/31999280</t>
  </si>
  <si>
    <t>Observables sensitive to the anomalous production of events containing hadronic jets and missing momentum in the plane transverse to the proton beams at the Large Hadron Collider are presented. The observables are defined as a ratio of cross sections, for events containing jets and large missing transverse momentum to events containing jets and a pair of charged leptons from the decay of a &lt;math xmlns="http://www.w3.org/1998/Math/MathML"&gt;&lt;mrow&gt;&lt;mi&gt;Z&lt;/mi&gt; &lt;mo&gt;/&lt;/mo&gt; &lt;msup&gt;&lt;mi&gt;γ&lt;/mi&gt; &lt;mo&gt;∗&lt;/mo&gt;&lt;/msup&gt; &lt;/mrow&gt; &lt;/math&gt; boson. This definition minimises experimental and theoretical systematic uncertainties in the measurements. This ratio is measured differentially with respect to a number of kinematic properties of the hadronic system in two phase-space regions; one inclusive single-jet region and one region sensitive to vector-boson-fusion topologies. The data are found to be in agreement with the Standard Model predictions and used to constrain a variety of theoretical models for dark-matter production, including simplified models, effective field theory models, and invisible decays of the Higgs boson. The measurements use 3.2 fb &lt;math xmlns="http://www.w3.org/1998/Math/MathML"&gt;&lt;msup&gt;&lt;mrow&gt;&lt;/mrow&gt; &lt;mrow&gt;&lt;mo&gt;-&lt;/mo&gt; &lt;mn&gt;1&lt;/mn&gt;&lt;/mrow&gt; &lt;/msup&gt; &lt;/math&gt; of proton-proton collision data recorded by the ATLAS experiment at a centre-of-mass energy of 13  &lt;math xmlns="http://www.w3.org/1998/Math/MathML"&gt;&lt;mtext&gt;TeV&lt;/mtext&gt;&lt;/math&gt; and are fully corrected for detector effects, meaning that the data can be used to constrain new-physics models beyond those shown in this paper.</t>
  </si>
  <si>
    <t>THE AUTHORS REPLY.</t>
  </si>
  <si>
    <t>Martens, Astrid L; Slottje, Pauline; Timmermans, Danielle R M; Kromhout, Hans; Reedijk, Marije; Smid, Tjabe; Vermeulen, Roel C H</t>
  </si>
  <si>
    <t>https://pubmed.ncbi.nlm.nih.gov/29036282</t>
  </si>
  <si>
    <t>Identification of vascular patients at very high risk for recurrent cardiovascular events: validation of the current ACC/AHA very high risk criteria.</t>
  </si>
  <si>
    <t>van den Berg, M Johanneke; Bhatt, Deepak L; Kappelle, L Jaap; de Borst, Gert J; Cramer, Maarten J; van der Graaf, Yolanda; Steg, Ph Gabriel; Visseren, Frank L J; ,; ,</t>
  </si>
  <si>
    <t>https://pubmed.ncbi.nlm.nih.gov/28369481</t>
  </si>
  <si>
    <t>To validate and assess performance of the current ACC/AHA very high risk criteria in patients with clinically manifest arterial disease. Data were used from the SMART study (n = 7216) and REACH Registry (n = 48 322), two prospective cohorts of patients with manifest atherosclerotic arterial disease. Prevalence and incidence rates of recurrent major adverse cardiovascular events (MACE) were calculated, according to the ACC/AHA VHR criteria (cardiovascular disease combined with diabetes, smoking, dyslipidaemia, and/or recent recurrent coronary events). Performance of the ACC/AHA criteria was compared with single very high risk factors in terms of C-statistics and Net Reclassification Index. All patients were at VHR according to the ESC guidelines (incidence of recurrent MACE in SMART was 2.4/100PY, with 95% CI 2.3-2.5/100PY and in REACH 5.1/100PY with 95% CI 5.0-5.3/100PY). In SMART 57% of the patients were at VHR according to the ACC/AHA criteria (incidence of recurrent MACE 2.7/100PY, 95% CI 2.5-2.9/100PY) and in REACH this was 64% (5.9/100PY, 95% CI 5.7-6.1/100PY). The C-statistic for the ACC/AHA VHR criteria was 0.53 in REACH and 0.54 in SMART. Very high risk factors with comparable or slightly better performance were eGFR &lt; 45, polyvascular disease and age &gt;70 years. Around two third of the patients meeting the ACC/AHA VHR criteria had a predicted 10-year risk of recurrent MACE &lt;30%. The ACC/AHA VHR criteria have limited discriminative power. Identifying patients with clinically manifest arterial disease at VHR for recurrent vascular events using eGFR &lt;45, polyvascular disease, or age &gt;70 years performs as well as the ACC/AHA VHR criteria.</t>
  </si>
  <si>
    <t>Advance directives, proxy opinions, and treatment restrictions in patients with severe stroke.</t>
  </si>
  <si>
    <t>de Kort, Floor A S; Geurts, Marjolein; de Kort, Paul L M; van Tuijl, Julia H; van Thiel, Ghislaine J M W; Kappelle, L Jaap; van der Worp, H Bart</t>
  </si>
  <si>
    <t>https://pubmed.ncbi.nlm.nih.gov/29137615</t>
  </si>
  <si>
    <t>Patients with severe stroke often do not have the capacity to participate in discussions on treatment restrictions because of a reduced level of consciousness, aphasia, or another cognitive disorder. We assessed the role of advance directives and proxy opinions in the decision-making process of incapacitated patients. Sixty patients with severe functional dependence (Barthel Index ≤6) at day four after ischemic stroke or intracerebral hemorrhage were included in a prospective two-center cohort study. The decision-making process with respect to treatment restrictions was assessed by means of a semi-structured questionnaire administered to the treating physician at the day of inclusion. Forty-nine patients (82%) did not have the capacity to participate in the decision-making process. In eight patients, there was no discussion on treatment restrictions and full care was installed. In 41 patients, the decision whether to install treatment restrictions was discussed with proxies. One patient had a written advance directive. In the remaining 40 patients, proxies based their opinion on previously expressed wishes of the patient (18 patients) or advised in the best interest of the patient (22 patients). In 36 of 41 patients, treatment restrictions were installed after agreement between physician and proxy. At six months, 23 of 49 patients had survived. In only three of them the decision on treatment restrictions was based on previously expressed wishes. Remarkably, two of these survivors could not recall any of their alleged previously expressed wishes. Treatment restrictions were installed in the majority of incapacitated patients after stroke. Proxy opinions frequently served as the best way to respect the patients' autonomy, but their accuracy remains unclear.</t>
  </si>
  <si>
    <t>The Times They Are A-Changin': Time-Dependent Exposures and Time-Dependent Confounders.</t>
  </si>
  <si>
    <t>Frencken, Jos F; Postma, Douwe F; van Werkhoven, Cornelis H; Cremer, Olaf L; Bonten, Marc J M</t>
  </si>
  <si>
    <t>https://pubmed.ncbi.nlm.nih.gov/29020274</t>
  </si>
  <si>
    <t>Impact of infant pneumococcal conjugate vaccination on community acquired pneumonia hospitalization in all ages in the Netherlands.</t>
  </si>
  <si>
    <t>van Deursen, A M M; Schurink-Van't Klooster, T M; Man, W H; van de Kassteele, J; van Gageldonk-Lafeber, A B; Bruijning-Verhagen, P C J L; de Melker, H E; Sanders, E A M; Knol, M J</t>
  </si>
  <si>
    <t>https://pubmed.ncbi.nlm.nih.gov/29146381</t>
  </si>
  <si>
    <t>The long-term impact of pneumococcal conjugate vaccines on pneumonia hospitalizations in all age-groups varies between countries. In the Netherlands, the 7-valent pneumococcal conjugate vaccine (PCV7) was implemented for newborns in 2006 and replaced by PCV10 in 2011. We assessed the impact of PCVs on community-acquired pneumonia (CAP) hospitalization rates in all age-groups. A time series analysis using Poisson regression was performed on 155,994 CAP hospitalizations. Hospitalization rates were calculated using the total number of hospitalizations as denominator. The time trend in the pre-PCV period (1999-2006) was extrapolated to predict the hospitalization rate in the post-PCV period (2006-2014) if PCV had not been implemented. Rate ratios over time were calculated by comparing observed and predicted time trends. In children &lt;5 years of age, the observed hospitalization rates during the post-PCV period were significantly lower than predicted if PCV had not been implemented (0-6 months: 0.62, 95% CI: 0.41-0.96; 6 months - 1 year: 0.67, 95% CI: 0.50-0.90; 2-4 years: 0.78, 95% CI: 0.61-0.97). In all other age-groups, rate ratios declined over time but did not reach statistical significance. After introduction of PCV, CAP hospitalizations declined in young children but no clear impact of PCV on CAP hospitalizations was seen in other age-groups.</t>
  </si>
  <si>
    <t>The design of a Social Cost-Benefit Analysis of preventive interventions for toxoplasmosis: An example of the One Health approach.</t>
  </si>
  <si>
    <t>Suijkerbuijk, A W M; van Gils, P F; Bonačić Marinović, A A; Feenstra, T L; Kortbeek, L M; Mangen, M-J J; Opsteegh, M; de Wit, G A; van der Giessen, J W B</t>
  </si>
  <si>
    <t>https://pubmed.ncbi.nlm.nih.gov/29131528</t>
  </si>
  <si>
    <t>Toxoplasma gondii infections cause a large disease burden in the Netherlands, with an estimated health loss of 1,900 Disability Adjusted Life Years and a cost-of-illness estimated at €44 million annually. Infections in humans occur via exposure to oocysts in the environment and after eating undercooked meat containing tissue cysts, leading to asymptomatic or mild symptoms, but potentially leading to the development of ocular toxoplasmosis. Infection in pregnant women can lead to stillbirth and disorders in newborns. At present, prevention is only targeted at pregnant women. Cat vaccination, freezing of meat destined for undercooked consumption and enhancing biosecurity in pig husbandries are possible interventions to prevent toxoplasmosis. As these interventions bear costs for sectors in society that differ from those profiting from the benefits, we perform a social cost-benefit analysis (SCBA). In an SCBA, costs and benefits of societal domains affected by the interventions are identified, making explicit which stakeholder pays and who benefits. Using an epidemiological model, we consider transmission of T. gondii after vaccination of all owned cats or cats at livestock farms. To identify relevant high-risk meat products that will be eaten undercooked, a quantitative microbial risk assessment model developed to attribute predicted T. gondii infections to specific meat products will be used. In addition, we evaluate serological monitoring of pigs at slaughter followed by an audit and tailor made advice for farmers in case positive results were found. The benefits will be modelled stochastically as reduction in DALYs and monetized in Euro's following reference prices for DALYs. If the balance of total costs and benefits is positive, this will lend support to implementation of these preventive interventions at the societal level. Ultimately, the SCBA will provide guidance to policy makers on the most optimal intervention measures to reduce the disease burden of T. gondii in the Netherlands.</t>
  </si>
  <si>
    <t>Global phylogenetic analysis of Escherichia coli and plasmids carrying the mcr-1 gene indicates bacterial diversity but plasmid restriction.</t>
  </si>
  <si>
    <t>Matamoros, Sébastien; van Hattem, Jarne M; Arcilla, Maris S; Willemse, Niels; Melles, Damian C; Penders, John; Vinh, Trung Nguyen; Thi Hoa, Ngo; Bootsma, Martin C J; van Genderen, Perry J; Goorhuis, Abraham; Grobusch, Martin; Molhoek, Nicky; Oude Lashof, Astrid M L; Stobberingh, Ellen E; Verbrugh, Henri A; de Jong, Menno D; Schultsz, Constance</t>
  </si>
  <si>
    <t>https://pubmed.ncbi.nlm.nih.gov/29127343</t>
  </si>
  <si>
    <t>To understand the dynamics behind the worldwide spread of the mcr-1 gene, we determined the population structure of Escherichia coli and of mobile genetic elements (MGEs) carrying the mcr-1 gene. After a systematic review of the literature we included 65 E. coli whole genome sequences (WGS), adding 6 recently sequenced travel related isolates, and 312 MLST profiles. We included 219 MGEs described in 7 Enterobacteriaceae species isolated from human, animal and environmental samples. Despite a high overall diversity, 2 lineages were observed in the E. coli population that may function as reservoirs of the mcr-1 gene, the largest of which was linked to ST10, a sequence type known for its ubiquity in human faecal samples and in food samples. No genotypic clustering by geographical origin or isolation source was observed. Amongst a total of 13 plasmid incompatibility types, the IncI2, IncX4 and IncHI2 plasmids accounted for more than 90% of MGEs carrying the mcr-1 gene. We observed significant geographical clustering with regional spread of IncHI2 plasmids in Europe and IncI2 in Asia. These findings point towards promiscuous spread of the mcr-1 gene by efficient horizontal gene transfer dominated by a limited number of plasmid incompatibility types.</t>
  </si>
  <si>
    <t>Clinicopathological factors influencing outcome in metastatic colorectal cancer patients treated with fluoropyrimidine and bevacizumab maintenance treatment vs observation: an individual patient data meta-analysis of two phase 3 trials.</t>
  </si>
  <si>
    <t>Goey, Kaitlyn K H; Elias, Sjoerd G; Hinke, Axel; van Oijen, Martijn G H; Punt, Cornelis J A; Hegewisch-Becker, Susanna; Arnold, Dirk; Koopman, Miriam</t>
  </si>
  <si>
    <t>https://pubmed.ncbi.nlm.nih.gov/29123255</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</si>
  <si>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</si>
  <si>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Search for Heavy Higgs Bosons A/H Decaying to a Top Quark Pair in pp Collisions at sqrt[s]=8  TeV with the ATLAS Detector.</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</si>
  <si>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t>
  </si>
  <si>
    <t>https://pubmed.ncbi.nlm.nih.gov/29219511</t>
  </si>
  <si>
    <t>A search for heavy pseudoscalar (A) and scalar (H) Higgs bosons decaying into a top quark pair (tt[over ¯]) has been performed with 20.3  fb^{-1} of proton-proton collision data collected by the ATLAS experiment at the Large Hadron Collider at a center-of-mass energy sqrt[s]=8  TeV. Interference effects between the signal process and standard model tt[over ¯] production, which are expected to distort the signal shape from a single peak to a peak-dip structure, are taken into account. No significant deviation from the standard model prediction is observed in the tt[over ¯] invariant mass spectrum in final states with an electron or muon, large missing transverse momentum, and at least four jets. The results are interpreted within the context of a type-II two-Higgs-doublet model. Exclusion limits on the signal strength are derived as a function of the mass m_{A/H} and the ratio of the vacuum expectation values of the two Higgs fields, tanβ, for m_{A/H}&gt;500  GeV.</t>
  </si>
  <si>
    <t>Advance care planning for patients with chronic respiratory diseases: a systematic review of preferences and practices.</t>
  </si>
  <si>
    <t>Jabbarian, Lea J; Zwakman, Marieke; van der Heide, Agnes; Kars, Marijke C; Janssen, Daisy J A; van Delden, Johannes J; Rietjens, Judith A C; Korfage, Ida J</t>
  </si>
  <si>
    <t>https://pubmed.ncbi.nlm.nih.gov/29109233</t>
  </si>
  <si>
    <t>Advance care planning (ACP) supports patients in identifying and documenting their preferences and timely discussing them with their relatives and healthcare professionals (HCPs). Since the British Thoracic Society encourages ACP in chronic respiratory disease, the objective was to systematically review ACP practice in chronic respiratory disease, attitudes of patients and HCPs and barriers and facilitators related to engagement in ACP. We systematically searched 12 electronic databases for empirical studies on ACP in adults with chronic respiratory diseases. Identified studies underwent full review and data extraction. Of 2509 studies, 21 were eligible: 10 were quantitative studies. Although a majority of patients was interested in engaging in ACP, ACP was rarely carried out. Many HCPs acknowledged the importance of ACP but were hesitant to initiate it. Barriers to engagement in ACP were the complex disease course of patients with chronic respiratory diseases, HCPs' concern of taking away patients' hopes and lack of continuity of care. The identification of trigger points and training of HCPs on how to communicate sensitive topics were identified as facilitators to engagement in ACP. In conclusion, ACP is surprisingly uncommon in chronic respiratory disease, possibly due to the complex disease course of chronic respiratory diseases and ambivalence of both patients and HCPs to engage in ACP. Providing patients with information about their disease can help meeting their needs. Additionally, support of HCPs through identification of trigger points, training and system-related changes can facilitate engagement in ACP. CRD42016039787.</t>
  </si>
  <si>
    <t>Workplace learning through collaboration in primary healthcare: A BEME realist review of what works, for whom and in what circumstances: BEME Guide No. 46.</t>
  </si>
  <si>
    <t>Mertens, Fien; de Groot, Esther; Meijer, Loes; Wens, Johan; Gemma Cherry, Mary; Deveugele, Myriam; Damoiseaux, Roger; Stes, Ann; Pype, Peter</t>
  </si>
  <si>
    <t>https://pubmed.ncbi.nlm.nih.gov/29094626</t>
  </si>
  <si>
    <t>Changes in healthcare practice toward more proactive clinical, organizational and interprofessional working require primary healthcare professionals to learn continuously from each other through collaboration. This systematic review uses realist methodology to consolidate knowledge on the characteristics of workplace learning (WPL) through collaboration by primary healthcare professionals. Following several scoping searches, five electronic bibliographic databases were searched from January 1990 to December 2015 for relevant gray and published literature written in English, French, German and Dutch. Reviewers worked in pairs to identify relevant articles. A set of statements, based on the findings of our scoping searches, was used as a coding tree to analyze the papers. Interpretation of the results was done in alternating pairs, discussed within the author group and triangulated with stakeholders' views. Out of 6930 references, we included 42 publications that elucidated who, when, how and what primary healthcare professionals learn through collaboration. Papers were both qualitative and quantitative in design, and focused largely on WPL of collaborating general practitioners and nurses. No striking differences between different professionals within primary healthcare were noted. Professionals were often unaware of the learning that occurs through collaboration. WPL happened predominantly through informal discussions about patient cases and modeling for other professionals. Any professionals could both learn and facilitate others' learning. Outcomes were diverse, but contextualized knowledge seemed to be important. Primary care professionals' WPL is multifaceted. Existing social constructivist and social cognitivist learning theories form a framework from which to interpret these findings. Primary care policy makers and managers should ensure that professionals have access to protected time, earmarked for learning. Time is required for reflection, to learn new ways of interaction and to develop new habits within clinical practice.</t>
  </si>
  <si>
    <t>Efficient Sampling in Unmatched Case-Control Studies When the Total Number of Cases and Controls Is Fixed.</t>
  </si>
  <si>
    <t>Groenwold, Rolf H H; van Smeden, Maarten</t>
  </si>
  <si>
    <t>https://pubmed.ncbi.nlm.nih.gov/28682849</t>
  </si>
  <si>
    <t>In the case-control design, statistical efficiency is balanced with practical efficiency. In an unmatched case-control study of a binary exposure, in which the expected odds ratio deviates from the null (i.e., no effect) and the sum of the number of cases and controls is fixed, 1:1 sampling of cases and controls may yield suboptimal statistical efficiency. This holds especially for situations where the exposure is rare and for stronger relationships between the exposure and the outcome under study. The equations presented here may provide researchers with a simple and efficient strategy for sampling cases and controls when designing an unmatched case-control study for such a situation.</t>
  </si>
  <si>
    <t>Search for Dark Matter Produced in Association with a Higgs Boson Decaying to bb[over ¯] Using 36  fb^{-1} of pp Collisions at sqrt[s]=13  TeV with the ATLAS Detector.</t>
  </si>
  <si>
    <t>https://pubmed.ncbi.nlm.nih.gov/29219535</t>
  </si>
  <si>
    <t>Several extensions of the standard model predict associated production of dark-matter particles with a Higgs boson. Such processes are searched for in final states with missing transverse momentum and a Higgs boson decaying to a bb[over ¯] pair with the ATLAS detector using 36.1  fb^{-1} of pp collisions at a center-of-mass energy of 13 TeV at the LHC. The observed data are in agreement with the standard model predictions and limits are placed on the associated production of dark-matter particles and a Higgs boson.</t>
  </si>
  <si>
    <t>Migration and Cardiovascular Disease Risk Among Ghanaian Populations in Europe: The RODAM Study (Research on Obesity and Diabetes Among African Migrants).</t>
  </si>
  <si>
    <t>Boateng, Daniel; Agyemang, Charles; Beune, Erik; Meeks, Karlijn; Smeeth, Liam; Schulze, Matthias; Addo, Juliet; de-Graft Aikins, Ama; Galbete, Cecilia; Bahendeka, Silver; Danquah, Ina; Agyei-Baffour, Peter; Owusu-Dabo, Ellis; Mockenhaupt, Frank P; Spranger, Joachim; Kengne, Andre P; Grobbee, Diederick E; Stronks, Karien; Klipstein-Grobusch, Kerstin</t>
  </si>
  <si>
    <t>https://pubmed.ncbi.nlm.nih.gov/29150534</t>
  </si>
  <si>
    <t>For migrant populations from sub-Saharan Africa, adverse cardiovascular disease (CVD) risk factors have been observed to be higher than found in their home country-based counterparts or among the host populations in high-income countries. Differences in absolute overall CVD risk, however, remain largely unexplained. We, therefore, predicted the differences in 10-year CVD risk among sub-Saharan African migrants (Ghanaians) living in 3 European cities and Ghana. For 3864 subjects aged 40 to 70 years from the multicenter RODAM study (Research on Obesity and Diabetes Among African Migrants) conducted among Ghanaian adults residing in rural and urban Ghana and 3 European cities (Amsterdam, Berlin, and London), 10-year risk of CVD was estimated using the Pooled Cohort Equations with estimates ≥7.5% defining high CVD risk. Logistic regressions were used to determine the association of migration on CVD risk. The proportion with CVD risk ≥7.5% among Ghanaian men was 34.7% in rural Ghana, 45.4% in urban Ghana, 53.9% in Amsterdam, 61.0% in Berlin, and 52.2% in London. Compared with rural Ghana, CVD risk was significantly increased for Ghanaian men living in Berlin (adjusted odds ratio, 2.80; 95% confidence interval, 1.76-4.45) and Amsterdam (1.88; 1.25-2.84). Increased risk observed for men was largely not seen for women. CVD risk increased with longer stay in Europe. Knowledge about predictors of increased CVD risk among sub-Saharan African migrants in Europe and nonmigrants in urban centers will inform and support targeted health care and interventions to these populations.</t>
  </si>
  <si>
    <t>Long-term health-related quality of life after pancreatic resection for malignancy in patients with and without severe postoperative complications.</t>
  </si>
  <si>
    <t>Heerkens, Hanne D; van Berkel, Lisanne; Tseng, Dorine S J; Monninkhof, Evelyn M; van Santvoort, Hjalmar C; Hagendoorn, Jeroen; Borel Rinkes, Inne H M; Lips, Irene M; Intven, Martijn; Molenaar, I Quintus</t>
  </si>
  <si>
    <t>hpb the official journal of the international hepato pancreato biliary association</t>
  </si>
  <si>
    <t>https://pubmed.ncbi.nlm.nih.gov/29092792</t>
  </si>
  <si>
    <t>Surgery for pancreatic cancer yields significant morbidity and mortality risks and survival is limited. Therefore, the influence of complications on quality of life (QoL) after pancreatic surgery is important. This study compares QoL in patients with and without severe complications after surgery for pancreatic (pre-)malignancy. This prospective cohort study scored complications after pancreatic surgery according to the Clavien-Dindo system and the definitions of the International Study Group of Pancreatic Surgery. QoL was measured by the RAND36 questionnaire, the European Organization for Research and Treatment of Cancer core questionnaire (QLQ-C30) and the pancreas specific QLQ-PAN26. QoL in patients with severe complications was compared with QoL in patients with no or mild complications over a period of 12 months. Analysis was performed with linear mixed models for repeated measurements. Between March 2012 and July 2016, 137 patients were included. Sixty-eight patients (50%) had at least 1 severe complication. There were no statistically significant and clinically relevant differences between both groups in QoL up to 12 months after surgery. In this study, no differences in QoL between patients with and without severe postoperative complications were encountered during the first 12 months after surgery for pancreatic (pre-)malignancy. http://www.clinicaltrials.gov Identifier: NCT02175992.</t>
  </si>
  <si>
    <t>Is the coronary artery calcium score associated with acute coronary events in breast cancer patients treated with radiotherapy?</t>
  </si>
  <si>
    <t>Roos, Catharina T G; van den Bogaard, Veerle A B; Greuter, Marcel J W; Vliegenthart, Rozemarijn; Schuit, Ewoud; Langendijk, Johannes A; van der Schaaf, Arjen; Crijns, Anne P G; Maduro, John H</t>
  </si>
  <si>
    <t>https://pubmed.ncbi.nlm.nih.gov/29089148</t>
  </si>
  <si>
    <t>The main objective of this study was to test whether pre-treatment coronary artery calcium (CAC) was associated with the cumulative incidence of acute coronary events (ACE) among breast cancer (BC) patients treated with postoperative radiotherapy (RT). The study population consisted of 939 consecutive female BC patients treated with RT. The association between CAC and ACE was tested using Cox-proportional hazard models. Known risk factors for ACE and the mean heart dose (MHD), collected from three-dimensional computed tomography planning data, were tested for confounding. CAC scores varied from 0 to 2,859 (mean 27.3). The 9-year cumulative incidence of ACE was 3.2%, this was significantly associated with the pre-treatment CAC score. After correction for confounders, age, history of ischemic heart disease, diabetes, Body Mass Index ≥30, MHD, hypercholesterolemia and hypertension, the hazard ratio for ACE for the low and the combined intermediate and high CAC score category were 1.42 (95%CI: 0.49-4.17; p = 0.519) and 4.95 (95%CI: 1.69-14.53; p = 0.004) respectively, compared to the CAC zero category. High pre-treatment CAC is associated with ACE in BC patients treated with postoperative RT, even after correction for confounding factors such as MHD.</t>
  </si>
  <si>
    <t>The effects of exercise on the quality of life of patients with breast cancer (the UMBRELLA Fit study): study protocol for a randomized controlled trial.</t>
  </si>
  <si>
    <t>Gal, Roxanne; Monninkhof, Evelyn M; Groenwold, Rolf H H; van Gils, Carla H; van den Bongard, Desiree H J G; Peeters, Petra H M; Verkooijen, Helena M; May, Anne M</t>
  </si>
  <si>
    <t>https://pubmed.ncbi.nlm.nih.gov/29078800</t>
  </si>
  <si>
    <t>Meta-analyses of randomized controlled trials (RCTs) have shown that exercise has beneficial effects on quality of life (QoL) in patients with breast cancer. However, these effects were often small. Blinding in an exercise trial is not possible, which has the possible disadvantage of difficult accrual, drop-out after randomization to control and contamination between study groups (controls adopting the behaviour of the intervention group). The cohort multiple randomized controlled trial (cmRCT) is an alternative for conventional RCTs and has the potential to overcome these disadvantages. This cmRCT will be performed within the Utrecht cohort for Multiple BREast cancer intervention studies and Long-term evaLuAtion (UMBRELLA). Patients with breast cancer who visit the radiotherapy department of the University Medical Center Utrecht are asked to participate in UMBRELLA. Patients give consent for collection of medical information, providing patient-reported outcomes through regular questionnaires and randomization into future intervention studies. Patients who fulfill the UMBRELLA Fit study eligibility criteria (12 to 18 months post inclusion in UMBRELLA, low physical activity level) will be randomly allocated to the intervention or control group (1:1 ratio). Patients randomized to the intervention group will be offered a 12-week exercise programme. The control group will not be informed. Regular cohort measurements will be used for outcome assessment. Feasiblity (including participation, contamination, generalizability and retention) of the cmRCT design and effects of the intervention on QoL will be evaluated. We will examine the feasibility of the cmRCT design in exercise-oncology research and compare this with conventional RCTs. Furthermore, the effectiveness of an exercise intervention on the QoL of patients with breast cancer in the short term (6 months) and long term (24 months) will be studied. Netherlands Trial Register, NTR5482/NL.52062.041.15 . Retrospectively registered on 7 December 2015.</t>
  </si>
  <si>
    <t>C-reactive protein point-of-care testing in children with cough: qualitative study of GPs' perceptions.</t>
  </si>
  <si>
    <t>Schot, Marjolein Jc; Broekhuizen, Berna Dl; Cals, Jochen Wl; Brussee, Esther; de Wit, Niek J; Verheij, Theo Jm; de Groot, Esther</t>
  </si>
  <si>
    <t>https://pubmed.ncbi.nlm.nih.gov/30564689</t>
  </si>
  <si>
    <t>Point-of-care C-reactive protein (CRP) testing is widely accepted in Dutch general practice for adult patients with acute cough, but GPs' perceptions of its use in children with suspected lower respiratory tract infection (LRTI) are unknown. Knowledge of these perceptions is important when considering broadening its indication to use in children. To explore the perceptions of Dutch GPs of the addition of point-of-care CRP testing to the diagnostic evaluation of children, and compare these to their perceptions of use in adults. A qualitative study in general practice in the Netherlands. Semi-structured interviews were held with 11 GPs. Interviews were analysed using open coding and a thematic approach. GPs' perceptions of the addition of point-of-care CRP testing to diagnostic process in children with suspected LRTI differ from their perceptions of this in adults. Five themes were identified: patient characteristics; vulnerability of the child; clinical presentation; availability of evidence; the impact of the procedure; and use of point-of-care CRP testing as a communication tool. Differences between the perceptions of using point-of-care CRP testing in children and adults need to be addressed when considering the possible implementation of this diagnostic instrument.</t>
  </si>
  <si>
    <t>Treatment of electrical status epilepticus in sleep: Clinical and EEG characteristics and response to 147 treatments in 47 patients.</t>
  </si>
  <si>
    <t>van den Munckhof, Bart; Alderweireld, Christian; Davelaar, Susanne; van Teeseling, Heleen C; Nikolakopoulos, Stavros; Braun, Kees P J; Jansen, Floor E</t>
  </si>
  <si>
    <t>https://pubmed.ncbi.nlm.nih.gov/29128194</t>
  </si>
  <si>
    <t>Electrical status epilepticus in sleep (ESES) syndrome is characterized by near-continuous sleep-induced epileptiform activity and acquired cognitive deficits. Treatment is assumed mandatory to improve cognitive outcome. We aimed to compare EEG characteristics, subjective evaluation and objective neuropsychological assessment as measures to evaluate treatment efficacy, and to analyze possible predictors. We retrospectively included patients with ESES syndrome treated in our center. Treatment effect was analyzed on sleep EEG spike wave index (SWI) and cognitive functioning. 47 patients had 147 (43 steroid and 104 non-steroid) treatments. Cognitive improvement was reported after 36% of treatments at first follow-up and 45% of treatments at last follow-up. The median SWI change for treatments resulting in subjective cognitive improvement was -44%, and 0% for those not resulting in subjective cognitive improvement at first follow-up (p = 0.008) and -50% vs. +5% at last follow-up (p = 0.002). No clear association between subjective cognitive improvement and IQ change, and between SWI and IQ change was found. By means of logistic regression we found that steroid treatment, as compared to non-steroid treatment, was associated with cognitive improvement at first follow-up (multivariate OR after multiple imputation 2.5, 95% CI 1.1-5.7), while at last follow-up, higher age at diagnosis was related to cognitive improvement only in univariate analysis (OR 1.02, 95% CI 1.01-1.04). We found that in children with ESES, cognitive improvement after treatment was strongly associated with SWI decrease, while it was not reflected by a significant IQ increase. Steroid treatment was most successful in improving cognitive performance.</t>
  </si>
  <si>
    <t>Interpretability of the European Heart Failure Self-care Behaviour scale.</t>
  </si>
  <si>
    <t>Wagenaar, Kim P; Broekhuizen, Berna Dl; Rutten, Frans H; Strömberg, Anna; van Stel, Henk F; Hoes, Arno W; Jaarsma, Tiny</t>
  </si>
  <si>
    <t>https://pubmed.ncbi.nlm.nih.gov/29138538</t>
  </si>
  <si>
    <t>The European Heart Failure Self-care Behaviour scale (EHFScBs) is a valid patient-reported questionnaire to measure self-care behavior of heart failure (HF) patients. We assessed the interpretability of the EHFScBs. We used data of 1,023 HF patients. Interpretability refers to the clinical meaning of the score and its changes over time. We operationalized interpretability by evaluating distributions of EHFScBs scores across relevant HF subgroups by eyeballing, by testing the risk on hospitalizations and mortality of a plausible threshold, and by determining a clinically relevant minimal important change (MIC). The scale score ranged from 0 to 100, with a higher score meaning better self-care. A threshold of ≥70 was defined as adequate and &lt;70 as inadequate self-care. The EHFScBs scores were similarly normally distributed among the subgroups with a mean between 57.8 (SD 19.4) and 72.0 (SD 18.0). The 464 HF patients with adequate self-care had significantly less all-cause hospitalizations than the 559 patients with inadequate self-care. The degree of self-care showed to be independent of relevant HF subgroups. A single threshold of 70 accurately discriminated between patients with adequate and inadequate self-care. The threshold of 70 can be used in designing studies and informing health policy makers.</t>
  </si>
  <si>
    <t>Variation in neonatal mortality and its relation to country characteristics in sub-Saharan Africa: an ecological study.</t>
  </si>
  <si>
    <t>Kayode, Gbenga Ayodele; Grobbee, Diederick E; Amoakoh-Coleman, Mary; Ansah, Evelyn; Uthman, Olalekan A; Klipstein-Grobusch, Kerstin</t>
  </si>
  <si>
    <t>https://pubmed.ncbi.nlm.nih.gov/29104766</t>
  </si>
  <si>
    <t>A substantial reduction in neonatal mortality is the main priority to reduce under-five mortality. A clear understanding of the variation in neonatal mortality and the underlying causes is important for targeted intervention. We aimed to explore variation in neonatal mortality and identify underlying causes of variation in neonatal mortality in sub-Saharan Africa (SSA). This ecological study used 2012 publicly available data from WHO, the US Agency for International Development and the World Bank. Variation in neonatal mortality across 49 SSA countries was examined using control chart and explanatory spatial data analysis. Associations between country-level characteristics and neonatal mortality were examined using linear regression analysis. The control chart showed that 28 (57%) SSA countries exhibited special-cause variation, 14 countries were below and 14 above the 99.8% control-limits. The remaining 21 (43%) SSA countries showed common-cause variation. No spatial clustering was observed for neonatal mortality (Global Moran's I statistic -0.10; p=0.74). Linear regression analysis showed HIV/AIDS prevalence among the population of reproductive age to be positively associated with neonatal mortality (β=0.463; 95% CI 0.135 to 0.790; p&lt;0.01). Declining socioeconomic deprivation (β=-0.234; 95% CI -0.424 to -0.044; p&lt;0.05) and high quality of healthcare governance (β=-1.327, 95% CI -2.073 to -0.580; p&lt;0.01) were inversely associated with neonatal mortality. This study shows a wide variation in neonatal mortality in SSA. A substantial part of this variation can be explained by differences in the quality of healthcare governance, prevalence of HIV and socioeconomic deprivation. Future studies should validate our findings using more rigorous epidemiological study designs.</t>
  </si>
  <si>
    <t>Secondary analysis of frequency, circumstances and consequences of calculation errors of the HEART (history, ECG, age, risk factors and troponin) score at the emergency departments of nine hospitals in the Netherlands.</t>
  </si>
  <si>
    <t>Ras, Marten; Reitsma, Johannes B; Hoes, Arno W; Six, Alfred Jacob; Poldervaart, Judith M</t>
  </si>
  <si>
    <t>https://pubmed.ncbi.nlm.nih.gov/29061617</t>
  </si>
  <si>
    <t>The HEART score can accurately stratify the risk of major adverse cardiac events (MACE) in patients with chest pain. We investigated the frequency, circumstances and potential consequences of errors in its calculation. We performed a secondary analysis of a stepped wedge trial of patients with chest pain presenting to nine Dutch emergency departments. We recalculated HEART scores for all patients by re-evaluating the elements age (A), risk factors (R) and troponin (T) and compared these new scores with those given by physicians in daily practice. We investigated which circumstances increased the probability of incorrect scoring and explored the potential consequences. The HEART score was incorrectly scored in 266 out of 1752 patients (15.2%; 95% CI 13.5% to 16.9%). Most errors occurred in the R ('Risk factors') element (61%). Time of admission, and patient's age or gender did not contribute to errors, but more errors were made in patients with higher scores. In 102 patients (5.8%, 95% CI 4.7% to 6.9%) the incorrect HEART score resulted in incorrect risk categorisation (too low or too high). Patients with an incorrectly calculated HEART score had a higher risk of MACE (OR 1.85; 95% CI 1.37 to 2.50), which was largely related to more errors being made in patients with higher HEART scores. Our results show that the HEART score was incorrectly calculated in 15% of patients, leading to inappropriate risk categorisation in 5.8% which may have led to suboptimal clinical decision-making and management. Actions should be taken to improve the score's use in daily practice.</t>
  </si>
  <si>
    <t>Predictors of mortality in hospital survivors with type 2 diabetes mellitus and acute coronary syndromes.</t>
  </si>
  <si>
    <t>Savonitto, Stefano; Morici, Nuccia; Nozza, Anna; Cosentino, Francesco; Perrone Filardi, Pasquale; Murena, Ernesto; Morocutti, Giorgio; Ferri, Marco; Cavallini, Claudio; Eijkemans, Marinus Jc; Stähli, Barbara E; Schrieks, Ilse C; Toyama, Tadashi; Lambers Heerspink, H J; Malmberg, Klas; Schwartz, Gregory G; Lincoff, A Michael; Ryden, Lars; Tardif, Jean Claude; Grobbee, Diederick E</t>
  </si>
  <si>
    <t>https://pubmed.ncbi.nlm.nih.gov/29052439</t>
  </si>
  <si>
    <t>To define the predictors of long-term mortality in patients with type 2 diabetes mellitus and recent acute coronary syndrome. A total of 7226 patients from a randomized trial, testing the effect on cardiovascular outcomes of the dual peroxisome proliferator-activated receptor agonist aleglitazar in patients with type 2 diabetes mellitus and recent acute coronary syndrome (AleCardio trial), were analysed. Median follow-up was 2 years. The independent mortality predictors were defined using Cox regression analysis. The predictive information provided by each variable was calculated as percent of total chi-square of the model. All-cause mortality was 4.0%, with cardiovascular death contributing for 73% of mortality. The mortality prediction model included N-terminal proB-type natriuretic peptide (adjusted hazard ratio = 1.68; 95% confidence interval = 1.51-1.88; 27% of prediction), lack of coronary revascularization (hazard ratio = 2.28; 95% confidence interval = 1.77-2.93; 18% of prediction), age (hazard ratio = 1.04; 95% confidence interval = 1.02-1.05; 15% of prediction), heart rate (hazard ratio = 1.02; 95% confidence interval = 1.01-1.03; 10% of prediction), glycated haemoglobin (hazard ratio = 1.11; 95% confidence interval = 1.03-1.19; 8% of prediction), haemoglobin (hazard ratio = 1.01; 95% confidence interval = 1.00-1.02; 8% of prediction), prior coronary artery bypass (hazard ratio = 1.61; 95% confidence interval = 1.11-2.32; 7% of prediction) and prior myocardial infarction (hazard ratio = 1.40; 95% confidence interval = 1.05-1.87; 6% of prediction). In patients with type 2 diabetes mellitus and recent acute coronary syndrome, mortality prediction is largely dominated by markers of cardiac, rather than metabolic, dysfunction.</t>
  </si>
  <si>
    <t>Screening for HIV, hepatitis B and syphilis on dried blood spots: A promising method to better reach hidden high-risk populations with self-collected sampling.</t>
  </si>
  <si>
    <t>van Loo, Inge H M; Dukers-Muijrers, Nicole H T M; Heuts, Rosalie; van der Sande, Marianne A B; Hoebe, Christian J P A</t>
  </si>
  <si>
    <t>https://pubmed.ncbi.nlm.nih.gov/29053737</t>
  </si>
  <si>
    <t>Many people at high risk for sexually transmitted infections (STIs), e.g., men who have sex with men (MSM), are not optimally reached by current sexual health care systems with testing. To facilitate testing by home-based sampling or sampling in outreach setting we evaluated dried blood spots (DBS), a method for self-collected blood sampling for serological screening of HIV, hepatitis B (HBV) and syphilis. The aims of this study were to assess the acceptability and feasibility of self-collected DBS and to compare the test results for screening of HIV, HBV and syphilis from DBS with blood drawn by venous puncture. DBS were collected from men who have sex with men (MSM), visiting the STI clinic of the public health service South Limburg (n = 183) and HIV positive and HBV positive patients (n = 34), visiting the outpatient clinics of the Maastricht University Medical Centre in the period January 2012-April 2015. The 93 first participating MSM visiting the STI clinic were asked to fill in a questionnaire about the feasibility and acceptability about self-collection of DBS in a setting without going to a health care facility and were asked to collect the DBS themselves. Serological screening tests for HIV (HIV combi PT, Roche), HBV (HBsAg, Roche) and syphilis (Treponema pallidum Ig, Biokit 3.0) were performed on DBS and on blood drawn by venous puncture, which was routinely taken for screening. In total 217 participants were included in the study with a median age of 40 years (range between 17-80). Of MSM 84% agreed that it was clear and easy to do the finger-prick, while 53% agreed that it was clear and easy to apply the blood onto the DBS card. Also, 80% of MSM would use the bloodspot test again. In 91% (198) of DBS, sufficient material was collected to perform the three tests. No difference was observed in DBS quality between self-collected DBS and health care worker collected DBS. For HIV (n = 195 DBS-serum pairs) sensitivity and specificity were 100%. For HBV the sensitivity for HBsAg (n = 202) was 90% and specificity was 99%. For syphilis (n = 191) the sensitivity of the DBS was 93% with a specificity of 99%. Analysis of the DBS of HIV positive participants (n = 38) did show similar test performance for HBV and syphilis as in HIV negatives. DBS is an acceptable self-sampling method for MSM, as there was no difference in DBS quality in self-collected and health care worker collected DBS. Test performance, i.e., its high sensitivity (&gt;90%) and specificity (&gt;99%) measures show that DBS is a valid alternative for venous blood puncture. Especially when DBS is combined with home-collected sampling for Chlamydia trachomatis and Neisseria gonorrhoeae, complete STI screening can be done in outreach setting and/or home-collected sampling in MSM.</t>
  </si>
  <si>
    <t>Do admission glucose levels aid in predicting mortality associated with community-acquired pneumonia?</t>
  </si>
  <si>
    <t>Postma, Douwe F; van Werkhoven, Cornelis H; Troeman, Darren P R; Sankatsing, Sanjay U C; Oosterheert, Jan Jelrik; Bonten, Marc J M</t>
  </si>
  <si>
    <t>https://pubmed.ncbi.nlm.nih.gov/29051267</t>
  </si>
  <si>
    <t>Diabetes-Related Distress and Depressive Symptoms Are Not Merely Negative over a 3-Year Period in Malaysian Adults with Type 2 Diabetes Mellitus Receiving Regular Primary Diabetes Care.</t>
  </si>
  <si>
    <t>Chew, Boon-How; Vos, Rimke C; Stellato, Rebecca K; Rutten, Guy E H M</t>
  </si>
  <si>
    <t>https://pubmed.ncbi.nlm.nih.gov/29089913</t>
  </si>
  <si>
    <t>For people with type 2 diabetes mellitus (T2DM) the daily maintenance of physical and psychological health is challenging. However, the interrelatedness of these two health domains, and of diabetes-related distress (DRD) and depressive symptoms, in the Asian population is still poorly understood. DRD and depressive symptoms have important but distinct influences on diabetes self-care and disease control. Furthermore, the question of whether changes in DRD or depressive symptoms follow a more or less natural course or depend on disease and therapy-related factors is yet to be answered. The aim of this study was to identify the factors influencing changes in DRD or depressive symptoms, at a 3-year follow-up point, in Malaysian adults with T2DM who received regular primary diabetes care. Baseline data included age, sex, ethnicity, marital status, educational level, employment status, health-related quality of life (WHOQOL-BREF), insulin use, diabetes-related complications and HbA1c. DRD was assessed both at baseline and after 3 years using a 17-item Diabetes Distress Scale (DDS-17), while depressive symptoms were assessed using the Patient Health Questionnaire (PHQ-9). Linear mixed models were used to examine the relationship between baseline variables and change scores in DDS-17 and PHQ-9. Almost half (336) of 700 participants completed both measurements. At follow-up, their mean (SD) age and diabetes duration were 60.6 (10.1) years and 9.8 (5.9) years, respectively, and 54.8% were women. More symptoms of depression at baseline was the only significant and independent predictor of improved DRD at 3 years (adjusted β = -0.06, &lt;i&gt;p&lt;/i&gt; = 0.002). Similarly, worse DRD at baseline was the only significant and independent predictor of fewer depressive symptoms 3 years later (adjusted β = -0.98, &lt;i&gt;p&lt;/i&gt; = 0.005). Thus, more "negative feelings" at baseline could be a manifestation of initial coping behaviors or a facilitator of a better psychological coaching by physicians or nurses that might be beneficial in the long term. We therefore conclude that initial negative feelings should not be seen as a necessarily adverse factor in diabetes care.</t>
  </si>
  <si>
    <t>Oral Hypoglycemic Agents Added to Insulin Monotherapy for Type 2 Diabetes.</t>
  </si>
  <si>
    <t>Vos, Rimke C; Rutten, Guy E H M</t>
  </si>
  <si>
    <t>https://pubmed.ncbi.nlm.nih.gov/29049639</t>
  </si>
  <si>
    <t>Among patients with type 2 diabetes mellitus who do not achieve optimal glycemic control with insulin monotherapy, is the addition of oral hypoglycemic agents associated with benefits (measured by lowering of hemoglobin A1c) or adverse effects? Adding a sulfonylurea to insulin was associated with more hypoglycemic events compared with insulin alone, but this association was not observed for metformin. Adding a sulfonylurea or metformin to insulin was associated with a decrease in hemoglobin A1c of approximately 1.0%.</t>
  </si>
  <si>
    <t>Influence of Risk Category and Screening Round on the Performance of an MR Imaging and Mammography Screening Program in Carriers of the BRCA Mutation and Other Women at Increased Risk.</t>
  </si>
  <si>
    <t>Vreemann, Suzan; Gubern-Mérida, Albert; Schlooz-Vries, Margrethe S; Bult, Peter; van Gils, Carla H; Hoogerbrugge, Nicoline; Karssemeijer, Nico; Mann, Ritse M</t>
  </si>
  <si>
    <t>https://pubmed.ncbi.nlm.nih.gov/29040037</t>
  </si>
  <si>
    <t>Purpose To evaluate the real-life performance of a breast cancer screening program for women with different categories of increased breast cancer risk with multiple follow-up rounds in an academic hospital with a large screening population. Materials and Methods Screening examinations (magnetic resonance [MR] imaging and mammography) for women at increased breast cancer risk (January 1, 2003, to January 1, 2014) were evaluated. Risk category, age, recall for workup of screening-detected abnormalities, biopsy, and histopathologic diagnosis were recorded. Recall rate, biopsy rate, positive predictive value of recall, positive predictive value of biopsy, cancer detection rate, sensitivity, and specificity were calculated for first and follow-up rounds. Results There were 8818 MR and 6245 mammographic examinations performed in 2463 women. Documented were 170 cancers; of these, there were 129 screening-detected cancers, 16 interval cancers, and 25 cancers discovered at prophylactic mastectomy. Overall sensitivity was 75.9% including the cancers discovered at prophylactic mastectomy (95% confidence interval: 69.5%, 82.4%) and 90.0% excluding those cancers (95% confidence interval: 83.3%, 93.7%). Sensitivity was lowest for carriers of the BRCA1 mutation (66.1% and 81.3% when including and not including cancers in prophylactic mastectomy specimens, respectively). Specificity was higher at follow-up (96.5%; 95% confidence interval: 96.0%, 96.9%) than in first rounds (85.1%; 95% confidence interval: 83.4%, 86.5%) and was high for both MR imaging (97.1%; 95% confidence interval: 96.7%, 97.5%) and mammography (98.7%; 95% confidence interval: 98.3%, 99.0%). Positive predictive value of recall and positive predictive value of biopsy were lowest in women who had only a family history of breast cancer. Conclusion Screening performance was dependent on risk category. Sensitivity was lowest in carriers of the BRCA1 mutation. The specificity of high-risk breast screening improved at follow-up rounds. &lt;sup&gt;©&lt;/sup&gt; RSNA, 2017 Online supplemental material is available for this article.</t>
  </si>
  <si>
    <t>Pioglitazone and the secondary prevention of cardiovascular disease. A meta-analysis of randomized-controlled trials.</t>
  </si>
  <si>
    <t>de Jong, Marit; van der Worp, H Bart; van der Graaf, Yolanda; Visseren, Frank L J; Westerink, Jan</t>
  </si>
  <si>
    <t>https://pubmed.ncbi.nlm.nih.gov/29037211</t>
  </si>
  <si>
    <t>Pioglitazone targets multiple pathogenic pathways involved in the development of cardiovascular diseases (CVD). The aim of this systematic review and meta-analysis is to assess the effects of pioglitazone treatment on the secondary prevention of CVD. Randomized-controlled trials of pioglitazone in patients with CVD were identified through PubMed, Embase, Cochrane and CINAHL, in a search up to May 2016. Studies were included if pioglitazone was compared with any control (usual care, placebo or active comparator) and if patients were previously diagnosed with CVD. The outcomes of interest included major adverse cardiovascular events (MACE), myocardial infarction (MI), stroke, all-cause mortality and heart failure (HF). All outcomes were compared by pooled risk ratios (RR) with a 95% confidence interval (CI). Pooled estimates were calculated using a random-effects model. Ten studies reported the effects of pioglitazone on any of the outcomes of interest. Pioglitazone reduced recurrent MACE (RR 0.74, 95% 0.60-0.92; I&lt;sup&gt;2&lt;/sup&gt; = 35), MI (RR 0.77, 95% CI 0.64-0.93; I&lt;sup&gt;2&lt;/sup&gt; = 0%), or stroke (RR 0.81, 95% CI 0.68-0.96; I&lt;sup&gt;2&lt;/sup&gt; = 0%). Pioglitazone did not reduce all-cause mortality (RR 0.94, 95% CI 0.81-1.08; I&lt;sup&gt;2&lt;/sup&gt; = 0%), whereas pioglitazone treatment was associated with an increased risk of HF (RR 1.33, 95% CI 1.14-1.54). Pioglitazone lowers the risk of recurrent MACE, stroke, or MI in patients with clinical manifest vascular disease. Pioglitazone does not lower the risk for all-cause mortality, and increases the risk for the development of HF.</t>
  </si>
  <si>
    <t>The impact of 13-valent pneumococcal conjugate vaccination on virus-associated community-acquired pneumonia in elderly: Exploratory analysis of the CAPiTA trial.</t>
  </si>
  <si>
    <t>Huijts, S M; Coenjaerts, F E J; Bolkenbaas, M; van Werkhoven, C H; Grobbee, D E; Bonten, M J M; ,</t>
  </si>
  <si>
    <t>https://pubmed.ncbi.nlm.nih.gov/29050992</t>
  </si>
  <si>
    <t>Our objective was to evaluate whether vaccination with the 13-valent pneumococcal conjugate vaccine (PCV13) prevents the incidence of community-acquired pneumonia (CAP) caused by influenza (influenza-associated CAP, IA-CAP) or other respiratory viruses in the elderly. This analysis was part of the Community-Acquired Pneumonia immunization Trial in Adults (CAPiTA); a double blind, randomized, placebo-controlled trial in 84 496 immunocompetent individuals aged ≥65 years. CAP was defined by clinical and radiological criteria, and oropharyngeal swabs were collected from all individuals referred to a sentinel centre with a clinical suspicion of pneumonia. Presence of influenza A and B, parainfluenza 1, 2, 3 and 4, human adeno-, boca-, corona-, metapneumo-, rhino- and respiratory syncytial viruses was determined by real-time PCR. Of 3209 episodes of suspected pneumonia, viral aetiology was tested in 2917 and proportions with influenza virus, human metapneumovirus and respiratory syncytial virus were 4.6%, 2.5% and 3.1%, respectively. There were 1653 oropharyngeal swabs for PCR testing available from 1814 episodes that fulfilled criteria for CAP, yielding 23 first episodes of IA-CAP in the PCV13 and 35 in the in placebo group-vaccine efficacy for IA-CAP of 34.4% (95% CI -11.1% to 61.2%; p 0.117). Annual influenza vaccination was received by 672 (87.2%) in the PCV13 group and 719 (87.7%) in the placebo group of the confirmed CAP cases. In a randomized study of 84 496 elderly individuals with a high uptake of influenza vaccination, PCV13 was not associated with a statistically significant reduction of influenza or virus-associated CAP. Overall incidence of non-influenza viral pneumonia was low.</t>
  </si>
  <si>
    <t>Right heart dysfunction and failure in heart failure with preserved ejection fraction: mechanisms and management. Position statement on behalf of the Heart Failure Association of the European Society of Cardiology.</t>
  </si>
  <si>
    <t>Gorter, Thomas M; van Veldhuisen, Dirk J; Bauersachs, Johann; Borlaug, Barry A; Celutkiene, Jelena; Coats, Andrew J S; Crespo-Leiro, Marisa G; Guazzi, Marco; Harjola, Veli-Pekka; Heymans, Stephane; Hill, Loreena; Lainscak, Mitja; Lam, Carolyn S P; Lund, Lars H; Lyon, Alexander R; Mebazaa, Alexandre; Mueller, Christian; Paulus, Walter J; Pieske, Burkert; Piepoli, Massimo F; Ruschitzka, Frank; Rutten, Frans H; Seferovic, Petar M; Solomon, Scott D; Shah, Sanjiv J; Triposkiadis, Filippos; Wachter, Rolf; Tschöpe, Carsten; de Boer, Rudolf A</t>
  </si>
  <si>
    <t>https://pubmed.ncbi.nlm.nih.gov/29044932</t>
  </si>
  <si>
    <t>There is an unmet need for effective treatment strategies to reduce morbidity and mortality in patients with heart failure with preserved ejection fraction (HFpEF). Until recently, attention in patients with HFpEF was almost exclusively focused on the left side. However, it is now increasingly recognized that right heart dysfunction is common and contributes importantly to poor prognosis in HFpEF. More insights into the development of right heart dysfunction in HFpEF may aid to our knowledge about this complex disease and may eventually lead to better treatments to improve outcomes in these patients. In this position paper from the Heart Failure Association of the European Society of Cardiology, the Committee on Heart Failure with Preserved Ejection Fraction reviews the prevalence, diagnosis, and pathophysiology of right heart dysfunction and failure in patients with HFpEF. Finally, potential treatment strategies, important knowledge gaps and future directions regarding the right side in HFpEF are discussed.</t>
  </si>
  <si>
    <t>Maternal BMI at the start of pregnancy and offspring epigenome-wide DNA methylation: findings from the pregnancy and childhood epigenetics (PACE) consortium.</t>
  </si>
  <si>
    <t xml:space="preserve">Sharp, Gemma C; Salas, Lucas A; Monnereau, Claire; Allard, Catherine; Yousefi, Paul; Everson, Todd M; Bohlin, Jon; Xu, Zongli; Huang, Rae-Chi; Reese, Sarah E; Xu, Cheng-Jian; Baïz, Nour; Hoyo, Cathrine; Agha, Golareh; Roy, Ritu; Holloway, John W; Ghantous, Akram; Merid, Simon K; Bakulski, Kelly M; Küpers, Leanne K; Zhang, Hongmei; Richmond, Rebecca C; Page, Christian M; Duijts, Liesbeth; Lie, Rolv T; Melton, Phillip E; Vonk, Judith M; Nohr, Ellen A; Williams-DeVane, ClarLynda; Huen, Karen; Rifas-Shiman, Sheryl L; Ruiz-Arenas, Carlos; Gonseth, Semira; Rezwan, Faisal I; Herceg, Zdenko; Ekström, Sandra; Croen, Lisa; Falahi, Fahimeh; Perron, Patrice; Karagas, Margaret R; Quraishi, Bilal M; Suderman, Matthew; Magnus, Maria C; Jaddoe, Vincent W V; Taylor, Jack A; Anderson, Denise; Zhao, Shanshan; Smit, Henriette A; Josey, Michele J; Bradman, Asa; Baccarelli, Andrea A; Bustamante, Mariona; Håberg, Siri E; Pershagen, Göran; Hertz-Picciotto, Irva; Newschaffer, Craig; Corpeleijn, Eva; Bouchard, </t>
  </si>
  <si>
    <t>human molecular genetics</t>
  </si>
  <si>
    <t>https://pubmed.ncbi.nlm.nih.gov/29016858</t>
  </si>
  <si>
    <t>Pre-pregnancy maternal obesity is associated with adverse offspring outcomes at birth and later in life. Individual studies have shown that epigenetic modifications such as DNA methylation could contribute. Within the Pregnancy and Childhood Epigenetics (PACE) Consortium, we meta-analysed the association between pre-pregnancy maternal BMI and methylation at over 450,000 sites in newborn blood DNA, across 19 cohorts (9,340 mother-newborn pairs). We attempted to infer causality by comparing the effects of maternal versus paternal BMI and incorporating genetic variation. In four additional cohorts (1,817 mother-child pairs), we meta-analysed the association between maternal BMI at the start of pregnancy and blood methylation in adolescents. In newborns, maternal BMI was associated with small (&lt;0.2% per BMI unit (1 kg/m2), P &lt; 1.06 × 10-7) methylation variation at 9,044 sites throughout the genome. Adjustment for estimated cell proportions greatly attenuated the number of significant CpGs to 104, including 86 sites common to the unadjusted model. At 72/86 sites, the direction of the association was the same in newborns and adolescents, suggesting persistence of signals. However, we found evidence for acausal intrauterine effect of maternal BMI on newborn methylation at just 8/86 sites. In conclusion, this well-powered analysis identified robust associations between maternal adiposity and variations in newborn blood DNA methylation, but these small effects may be better explained by genetic or lifestyle factors than a causal intrauterine mechanism. This highlights the need for large-scale collaborative approaches and the application of causal inference techniques in epigenetic epidemiology.</t>
  </si>
  <si>
    <t>Changing costs of metastatic non small cell lung cancer in the Netherlands.</t>
  </si>
  <si>
    <t>Keusters, W R; de Weger, V A; Hövels, A; Schellens, J H M; Frederix, G W J</t>
  </si>
  <si>
    <t>https://pubmed.ncbi.nlm.nih.gov/29173766</t>
  </si>
  <si>
    <t>The primary objective of this study was to identify the total intramural cost of illness of metastatic non-small cell lung cancer (NSCLC) in the Netherlands between 2006-2012. Secondary objective was to identify whether changes in cost patterns of metastatic NSCLC have occurred over the last years. Patients diagnosed with metastatic NSCLC between 1-1-2006 and 31-12-2012, who had follow-up to death or the date of data cut-off and no trial participation were included. A structured chart review was performed using a case report form. Data collection started after diagnosis of metastatic NSCLC and ended at death or April first, 2015. Data regarding outpatient visits, clinical attendance, oncolytic drug use, imaging, lab tests, radiotherapy and surgery were collected. Sixty-seven patients were included with a median age of 67 years. The median follow-up was 234days. On average patients had 28 outpatient visits and 11 inpatient days. Oncolytic drugs were administered to 76% of the patients. Mean per patient expenditures amounted up to €17,463, with oncolytic drugs (€6,390) as the main cost driver. In comparison with the time-period of 2003-2005 total per patient per year expenses decreased by 44%. The contribution to total yearly costs of oncolytic drugs increased from 18% to 35%, while costs for inpatient stay decreased from 52% to 28% of total expenditures. Outcomes in this study demonstrate that average treatment costs for metastatic NSCLC in the Netherlands Cancer Institute amount to €17,463. Compared to a prior study the average cost for metastatic NSCLC over time in the Netherlands has decreased. A shift of main cost drivers seems to have occurred from inpatient stay, to oncolytic drugs as main contributor. The shift towards treatment cost might become more visible with the introduction of immunotherapy. These results mark the importance of up-to-date cost of illness studies.</t>
  </si>
  <si>
    <t>Performance of the ATLAS track reconstruction algorithms in dense environments in LHC Run 2.</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</si>
  <si>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Santos, S P Amor Dos; Amorim, A; Amoroso, S; Amundsen, G; Anastopoulos, C; Ancu, L S; Andari, N; Andeen, T; Anders, C F; Anders, J K; Anderson, K J; Andreazza, A; Andrei, </t>
  </si>
  <si>
    <t>https://pubmed.ncbi.nlm.nih.gov/29081711</t>
  </si>
  <si>
    <t>With the increase in energy of the Large Hadron Collider to a centre-of-mass energy of 13 [Formula: see text] for Run 2, events with dense environments, such as in the cores of high-energy jets, became a focus for new physics searches as well as measurements of the Standard Model. These environments are characterized by charged-particle separations of the order of the tracking detectors sensor granularity. Basic track quantities are compared between 3.2 fb[Formula: see text] of data collected by the ATLAS experiment and simulation of proton-proton collisions producing high-transverse-momentum jets at a centre-of-mass energy of 13 [Formula: see text]. The impact of charged-particle separations and multiplicities on the track reconstruction performance is discussed. The track reconstruction efficiency in the cores of jets with transverse momenta between 200 and 1600 [Formula: see text] is quantified using a novel, data-driven, method. The method uses the energy loss, [Formula: see text], to identify pixel clusters originating from two charged particles. Of the charged particles creating these clusters, the measured fraction that fail to be reconstructed is [Formula: see text] and [Formula: see text] for jet transverse momenta of 200-400 [Formula: see text] and 1400-1600 [Formula: see text], respectively.</t>
  </si>
  <si>
    <t>A combination of plasma phospholipid fatty acids and its association with incidence of type 2 diabetes: The EPIC-InterAct case-cohort study.</t>
  </si>
  <si>
    <t>Imamura, Fumiaki; Sharp, Stephen J; Koulman, Albert; Schulze, Matthias B; Kröger, Janine; Griffin, Julian L; Huerta, José M; Guevara, Marcela; Sluijs, Ivonne; Agudo, Antonio; Ardanaz, Eva; Balkau, Beverley; Boeing, Heiner; Chajes, Veronique; Dahm, Christina C; Dow, Courtney; Fagherazzi, Guy; Feskens, Edith J M; Franks, Paul W; Gavrila, Diana; Gunter, Marc; Kaaks, Rudolf; Key, Timothy J; Khaw, Kay-Tee; Kühn, Tilman; Melander, Olle; Molina-Portillo, Elena; Nilsson, Peter M; Olsen, Anja; Overvad, Kim; Palli, Domenico; Panico, Salvatore; Rolandsson, Olov; Sieri, Sabina; Sacerdote, Carlotta; Slimani, Nadia; Spijkerman, Annemieke M W; Tjønneland, Anne; Tumino, Rosario; van der Schouw, Yvonne T; Langenberg, Claudia; Riboli, Elio; Forouhi, Nita G; Wareham, Nick J</t>
  </si>
  <si>
    <t>https://pubmed.ncbi.nlm.nih.gov/29020051</t>
  </si>
  <si>
    <t>Combinations of multiple fatty acids may influence cardiometabolic risk more than single fatty acids. The association of a combination of fatty acids with incident type 2 diabetes (T2D) has not been evaluated. We measured plasma phospholipid fatty acids by gas chromatography in 27,296 adults, including 12,132 incident cases of T2D, over the follow-up period between baseline (1991-1998) and 31 December 2007 in 8 European countries in EPIC-InterAct, a nested case-cohort study. The first principal component derived by principal component analysis of 27 individual fatty acids (mole percentage) was the main exposure (subsequently called the fatty acid pattern score [FA-pattern score]). The FA-pattern score was partly characterised by high concentrations of linoleic acid, stearic acid, odd-chain fatty acids, and very-long-chain saturated fatty acids and low concentrations of γ-linolenic acid, palmitic acid, and long-chain monounsaturated fatty acids, and it explained 16.1% of the overall variability of the 27 fatty acids. Based on country-specific Prentice-weighted Cox regression and random-effects meta-analysis, the FA-pattern score was associated with lower incident T2D. Comparing the top to the bottom fifth of the score, the hazard ratio of incident T2D was 0.23 (95% CI 0.19-0.29) adjusted for potential confounders and 0.37 (95% CI 0.27-0.50) further adjusted for metabolic risk factors. The association changed little after adjustment for individual fatty acids or fatty acid subclasses. In cross-sectional analyses relating the FA-pattern score to metabolic, genetic, and dietary factors, the FA-pattern score was inversely associated with adiposity, triglycerides, liver enzymes, C-reactive protein, a genetic score representing insulin resistance, and dietary intakes of soft drinks and alcohol and was positively associated with high-density-lipoprotein cholesterol and intakes of polyunsaturated fat, dietary fibre, and coffee (p &lt; 0.05 each). Limitations include potential measurement error in the fatty acids and other model covariates and possible residual confounding. A combination of individual fatty acids, characterised by high concentrations of linoleic acid, odd-chain fatty acids, and very long-chain fatty acids, was associated with lower incidence of T2D. The specific fatty acid pattern may be influenced by metabolic, genetic, and dietary factors.</t>
  </si>
  <si>
    <t>Medication adherence in patients with apparent resistant hypertension: findings from the SYMPATHY trial.</t>
  </si>
  <si>
    <t>de Jager, Rosa L; van Maarseveen, Erik M; Bots, Michiel L; Blankestijn, Peter J; ,</t>
  </si>
  <si>
    <t>https://pubmed.ncbi.nlm.nih.gov/28815689</t>
  </si>
  <si>
    <t>Hypertension is only controlled in approximately 35% of the patients, which could be partially due to nonadherence. Recently, bioanalytical assessment of adherence to blood pressure (BP) lowering drugs has gaining interest. Our aim was to explore possible determinants of nonadherence in treatment resistant hypertension, assessed by objective screening for antihypertensive agents in serum. The secondary aim was to study the effect of adherence on the change in BP. This project was a substudy of SYMPATHY; an open-label randomized-controlled trial to assess the effect of renal denervation on BP 6 months after treatment compared to usual care in patients with resistant hypertension. Stored serum samples were screened for antihypertensive agents to assess adherence at baseline and 6 months after intervention, using liquid chromatography-tandem mass spectrometry. Office and 24-h BP were measured on the same day as blood was sampled. Patients and physicians were unaware of adherence measurements. Ninety-eight baseline and 83 6-month samples were available for analysis. Sixty-eight percent [95% confidence interval (CI) 59-78%] of the patients was nonadherent (n = 67). For every onw pill more prescribed, 0.785 [95%CI 0.529-0.891] prescribed pill was less detected in blood. A decrease of one pill in adherence between baseline and 6 months was associated with a significant rise in office systolic BP of 4 (95%CI 0.230-8.932) mmHg. Objective measurement of BP lowering drugs in serum, as a tool to assess adherence, showed that nonadherence was very common in patients with apparent resistant hypertension. Furthermore, the assessment results were related to (changes in) blood pressure. Our findings provide direct and objective methodology to help the physician to understand and to improve the condition of apparent resistant hypertension.</t>
  </si>
  <si>
    <t>The Missing Link in the Pathophysiology of Vascular Cognitive Impairment: Design of the Heart-Brain Study.</t>
  </si>
  <si>
    <t>Hooghiemstra, Astrid M; Bertens, Anne Suzanne; Leeuwis, Anna E; Bron, Esther E; Bots, Michiel L; Brunner-La Rocca, Hans-Peter; de Craen, Anton J M; van der Geest, Rob J; Greving, Jacoba P; Kappelle, L Jaap; Niessen, Wiro J; van Oostenbrugge, Robert J; van Osch, Matthias J P; de Roos, Albert; van Rossum, Albert C; Biessels, Geert Jan; van Buchem, Mark A; Daemen, Mat J A P; van der Flier, Wiesje M; ,</t>
  </si>
  <si>
    <t>cerebrovascular diseases extra</t>
  </si>
  <si>
    <t>https://pubmed.ncbi.nlm.nih.gov/29017156</t>
  </si>
  <si>
    <t>Hemodynamic balance in the heart-brain axis is increasingly recognized as a crucial factor in maintaining functional and structural integrity of the brain and thereby cognitive functioning. Patients with heart failure (HF), carotid occlusive disease (COD), and vascular cognitive impairment (VCI) present themselves with complaints attributed to specific parts of the heart-brain axis, but hemodynamic changes often go beyond the part of the axis for which they primarily seek medical advice. The Heart-Brain Study hypothesizes that the hemodynamic status of the heart and the brain is an important but underestimated cause of VCI. We investigate this by studying to what extent hemodynamic changes contribute to VCI and what the mechanisms involved are. Here, we provide an overview of the design and protocol. The Heart-Brain Study is a multicenter cohort study with a follow-up measurement after 2 years among 645 participants (175 VCI, 175 COD, 175 HF, and 120 controls). Enrollment criteria are the following: 1 of the 3 diseases diagnosed according to current guidelines, age ≥50 years, no magnetic resonance contraindications, ability to undergo cognitive testing, and independence in daily life. A core clinical dataset is collected including sociodemographic factors, cardiovascular risk factors, detailed neurologic, cardiac, and medical history, medication, and a physical examination. In addition, we perform standardized neuropsychological testing, cardiac, vascular and brain MRI, and blood sampling. In subsets of participants we assess Alz-heimer biomarkers in cerebrospinal fluid, and assess echocardiography and 24-hour blood pressure monitoring. Follow-up measurements after 2 years include neuropsychological testing, brain MRI, and blood samples for all participants. We use centralized state-of-the-art storage platforms for clinical and imaging data. Imaging data are processed centrally with automated standardized pipelines. The Heart-Brain Study investigates relationships between (cardio-)vascular factors, the hemodynamic status of the heart and the brain, and cognitive impairment. By studying the complete heart-brain axis in patient groups that represent components of this axis, we have the opportunity to assess a combination of clinical and subclinical manifestations of disorders of the heart, vascular system and brain, with hemodynamic status as a possible binding factor.</t>
  </si>
  <si>
    <t>Long-term impairment attributable to congenital cytomegalovirus infection: a retrospective cohort study.</t>
  </si>
  <si>
    <t>Korndewal, Marjolein J; Oudesluys-Murphy, Anne Marie; Kroes, Aloys C M; van der Sande, Marianne A B; de Melker, Hester E; Vossen, Ann C T M</t>
  </si>
  <si>
    <t>https://pubmed.ncbi.nlm.nih.gov/28990181</t>
  </si>
  <si>
    <t>This study aimed to estimate long-term impairment attributable to congenital cytomegalovirus infection (cCMV). This nationwide cohort study retrospectively assessed cCMV in children born in 2008 in the Netherlands, testing 31 484 stored neonatal dried blood spots. Extensive medical data of cCMV-positive children (n=133) and matched cCMV-negative comparison children (n=274) up to 6 years of age were analysed. Moderate to severe long-term impairment was diagnosed in 24.8% (33 out of 133) of all cCMV-positive children (53.8% in symptomatic, 17.8% in asymptomatic), compared with 12.0% (33 out of 274) of cCMV-negative children. Sensorineural hearing loss was seen only in five cCMV-positive children (3.8%). Developmental delays were diagnosed more often in cCMV-positive children than cCMV-negative children: motor (12.0% vs 1.5%), cognitive (6.0% vs 1.1%), and speech-language (16.5% vs 7.3%). Long-term impairment in multiple domains was more frequent in symptomatic (19.2%) and asymptomatic (8.4%) cCMV-positive children than cCMV-negative children (1.8%). Children with cCMV were twice as likely to have long-term impairment up to the age of 6 years, especially developmental delays and sensorineural hearing loss, than cCMV-negative comparison children, with a risk difference of 12.8%. These insights into the risk of cCMV-associated impairment can help optimize care and stimulate preventive measures. Congenital cytomegalovirus infection (cCMV) leads to impairment in 25% of cases. Fifty per cent of children with cCMV symptoms at birth have long-term impairment. The risk difference of moderate to severe long-term impairment between children with and without cCMV is 13%, attributable to cCMV. cCMV leads to motor, cognitive, and speech-language developmental delay in children.</t>
  </si>
  <si>
    <t>Selective digestive and oropharyngeal decontamination in medical and surgical ICU patients: authors' reply.</t>
  </si>
  <si>
    <t>Plantinga, N L; Bonten, M J M</t>
  </si>
  <si>
    <t>https://pubmed.ncbi.nlm.nih.gov/28993168</t>
  </si>
  <si>
    <t>Is a randomized trial of a short course of aminoglycoside added to β-lactam antibiotics for empirical treatment in critically ill patients with sepsis justified?</t>
  </si>
  <si>
    <t>Ong, D S Y; van Werkhoven, C H; Cremer, O L; Thwaites, G E; Bonten, M J M</t>
  </si>
  <si>
    <t>https://pubmed.ncbi.nlm.nih.gov/28989114</t>
  </si>
  <si>
    <t>Anti-Müllerian hormone and risk of ovarian cancer in nine cohorts.</t>
  </si>
  <si>
    <t>Jung, Seungyoun; Allen, Naomi; Arslan, Alan A; Baglietto, Laura; Barricarte, Aurelio; Brinton, Louise A; Egleston, Brian L; Falk, Roni T; Fortner, Renée T; Helzlsouer, Kathy J; Gao, Yutang; Idahl, Annika; Kaaks, Rudolph; Krogh, Vittorio; Merritt, Melissa A; Lundin, Eva; Onland-Moret, N Charlotte; Rinaldi, Sabina; Schock, Helena; Shu, Xiao-Ou; Sluss, Patrick M; Staats, Paul N; Sacerdote, Carlotta; Travis, Ruth C; Tjønneland, Anne; Trichopoulou, Antonia; Tworoger, Shelley S; Visvanathan, Kala; Weiderpass, Elisabete; Zeleniuch-Jacquotte, Anne; Dorgan, Joanne F</t>
  </si>
  <si>
    <t>https://pubmed.ncbi.nlm.nih.gov/28921520</t>
  </si>
  <si>
    <t>Animal and experimental data suggest that anti-Müllerian hormone (AMH) serves as a marker of ovarian reserve and inhibits the growth of ovarian tumors. However, few epidemiologic studies have examined the association between AMH and ovarian cancer risk. We conducted a nested case-control study of 302 ovarian cancer cases and 336 matched controls from nine cohorts. Prediagnostic blood samples of premenopausal women were assayed for AMH using a picoAMH enzyme-linked immunosorbent assay. Odds ratios (ORs) and 95% confidence intervals (CIs) were calculated using multivariable-adjusted conditional logistic regression. AMH concentration was not associated with overall ovarian cancer risk. The multivariable-adjusted OR (95% CI), comparing the highest to the lowest quartile of AMH, was 0.99 (0.59-1.67) (P&lt;sub&gt;trend&lt;/sub&gt; : 0.91). The association did not differ by age at blood draw or oral contraceptive use (all P&lt;sub&gt;heterogeneity&lt;/sub&gt; : ≥0.26). There also was no evidence for heterogeneity of risk for tumors defined by histologic developmental pathway, stage, and grade, and by age at diagnosis and time between blood draw and diagnosis (all P&lt;sub&gt;heterogeneity&lt;/sub&gt; : ≥0.39). In conclusion, this analysis of mostly late premenopausal women from nine cohorts does not support the hypothesized inverse association between prediagnostic circulating levels of AMH and risk of ovarian cancer.</t>
  </si>
  <si>
    <t>An alternative approach identified optimal risk thresholds for treatment indication: an illustration in coronary heart disease.</t>
  </si>
  <si>
    <t>van Giessen, Anoukh; de Wit, G Ardine; Moons, Karel G M; Dorresteijn, Jannick A N; Koffijberg, Hendrik</t>
  </si>
  <si>
    <t>https://pubmed.ncbi.nlm.nih.gov/28986242</t>
  </si>
  <si>
    <t>Treatment thresholds based on risk predictions can be optimized by considering various health (economic) outcomes and performing marginal analyses, but this is rarely performed. We demonstrate a general approach to identify treatment thresholds optimizing individual health (economic) outcomes, illustrated for statin treatment based on 10-year coronary heart disease (CHD) risk predicted by the Framingham risk score. Creating a health economic model for a risk-based prevention strategy, risk thresholds can be evaluated on several outcomes of interest. Selecting an appropriate threshold range and decrement size for the thresholds and adapting the health economic model accordingly, outcomes can be calculated for each risk threshold. A stepwise, or marginal, comparison of clinical as well as health economic outcomes, that is, comparing outcomes using a specific threshold to outcomes of the former threshold while gradually lowering the threshold, then takes into account the balance between additional numbers of individuals treated and their outcomes (additional health effects and costs). In our illustration, using a Markov model for CHD, we evaluated risk thresholds by gradually lowering thresholds from 20% to 0%. This approach can be applied to identify optimal risk thresholds on any outcome, such as to limit complications, maximize health outcomes, or optimize cost-effectiveness. In our illustration, keeping the population-level fraction of statin-induced complications &lt;10% resulted in thresholds of T = 6% (men) and T = 2% (women). Lowering the threshold and comparing quality-adjusted life-years (QALYs) after each 1% decrease, QALYs were gained down to T = 1% (men) and T = 0% (women). Also accounting for costs, net health benefits were favorable down to T = 3% (men) and T = 6% (women). Using a stepwise risk-based approach to threshold optimization allows for preventive strategies that optimize outcomes. Presenting this comprehensive overview of outcomes will better inform decision makers when defining a treatment threshold.</t>
  </si>
  <si>
    <t>Wheelchair Shuttle Test for Assessing Aerobic Fitness in Youth With Spina Bifida: Validity and Reliability.</t>
  </si>
  <si>
    <t>Bloemen, Manon A T; de Groot, Janke F; Backx, Frank J G; Benner, Joyce; Kruitwagen, Cas L J J; Takken, Tim</t>
  </si>
  <si>
    <t>https://pubmed.ncbi.nlm.nih.gov/29029556</t>
  </si>
  <si>
    <t>Testing aerobic fitness in youth is important because of expected relationships with health. The purpose of the study was to estimate the validity and reliability of the Shuttle Ride Test in youth who have spina bifida and use a wheelchair for mobility and sport. Ths study is a validity and reliability study. The Shuttle Ride Test, Graded Wheelchair Propulsion Test, and skill-related fitness tests were administered to 33 participants for the validity study (age = 14.5 ± 3.1 y) and to 28 participants for the reliability study (age = 14.7 ± 3.3 y). No significant differences were found between the Graded Wheelchair Propulsion Test and the Shuttle Ride Test for most cardiorespiratory responses. Correlations between the Graded Wheelchair Propulsion Test and the Shuttle Ride Test were moderate to high (r = .55-.97). The variance in peak oxygen uptake (VO2peak) could be predicted for 77% of the participants by height, number of shuttles completed, and weight, with large prediction intervals. High correlations were found between number of shuttles completed and skill-related fitness tests (CI = .73 to -.92). Intraclass correlation coefficients were high (.77-.98), with a smallest detectable change of 1.5 for number of shuttles completed and with coefficients of variation of 6.2% and 6.4% for absolute VO2peak and relative VO2peak, respectively. When measuring VO2peak directly by using a mobile gas analysis system, the Shuttle Ride Test is highly valid for testing VO2peak in youth who have spina bifida and use a wheelchair for mobility and sport. The outcome measure of number of shuttles represents aerobic fitness and is also highly correlated with both anaerobic performance and agility. It is not possible to predict VO2peak accurately by using the number of shuttles completed. Moreover, the Shuttle Ride Test is highly reliable in youth with spina bifida, with a good smallest detectable change for the number of shuttles completed.</t>
  </si>
  <si>
    <t>Use of Laboratory Markers in Addition to Symptoms for Diagnosis of Inflammatory Bowel Disease in Children: A Meta-analysis of Individual Patient Data.</t>
  </si>
  <si>
    <t>Holtman, Gea A; Lisman-van Leeuwen, Yvonne; Day, Andrew S; Fagerberg, Ulrika L; Henderson, Paul; Leach, Stevan T; Perminow, Gøri; Mack, David; van Rheenen, Patrick F; van de Vijver, Els; Wilson, David C; Reitsma, Johannes B; Berger, Marjolein Y</t>
  </si>
  <si>
    <t>https://pubmed.ncbi.nlm.nih.gov/28806445</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</si>
  <si>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</si>
  <si>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Global respiratory syncytial virus-associated mortality in young children (RSV GOLD): a retrospective case series.</t>
  </si>
  <si>
    <t>Scheltema, Nienke M; Gentile, Angela; Lucion, Florencia; Nokes, D James; Munywoki, Patrick K; Madhi, Shabir A; Groome, Michelle J; Cohen, Cheryl; Moyes, Jocelyn; Thorburn, Kentigern; Thamthitiwat, Somsak; Oshitani, Hitoshi; Lupisan, Socorro P; Gordon, Aubree; Sánchez, José F; O'Brien, Katherine L; ,; Gessner, Bradford D; Sutanto, Agustinus; Mejias, Asuncion; Ramilo, Octavio; Khuri-Bulos, Najwa; Halasa, Natasha; de-Paris, Fernanda; Pires, Márcia Rosane; Spaeder, Michael C; Paes, Bosco A; Simões, Eric A F; Leung, Ting F; da Costa Oliveira, Maria Tereza; de Freitas Lázaro Emediato, Carla Cecília; Bassat, Quique; Butt, Warwick; Chi, Hsin; Aamir, Uzma Bashir; Ali, Asad; Lucero, Marilla G; Fasce, Rodrigo A; Lopez, Olga; Rath, Barbara A; Polack, Fernando P; Papenburg, Jesse; Roglić, Srđan; Ito, Hisato; Goka, Edward A; Grobbee, Diederick E; Nair, Harish; Bont, Louis J</t>
  </si>
  <si>
    <t>the lancet global health</t>
  </si>
  <si>
    <t>https://pubmed.ncbi.nlm.nih.gov/28911764</t>
  </si>
  <si>
    <t>Respiratory syncytial virus (RSV) infection is an important cause of pneumonia mortality in young children. However, clinical data for fatal RSV infection are scarce. We aimed to identify clinical and socioeconomic characteristics of children aged younger than 5 years with RSV-related mortality using individual patient data. In this retrospective case series, we developed an online questionnaire to obtain individual patient data for clinical and socioeconomic characteristics of children aged younger than 5 years who died with community-acquired RSV infection between Jan 1, 1995, and Oct 31, 2015, through leading research groups for child pneumonia identified through a comprehensive literature search and existing research networks. For the literature search, we searched PubMed for articles published up to Feb 3, 2015, using the key terms "RSV", "respiratory syncytial virus", or "respiratory syncytial viral" combined with "mortality", "fatality", "death", "died", "deaths", or "CFR" for articles published in English. We invited researchers and clinicians identified to participate between Nov 1, 2014, and Oct 31, 2015. We calculated descriptive statistics for all variables. We studied 358 children with RSV-related in-hospital death from 23 countries across the world, with data contributed from 31 research groups. 117 (33%) children were from low-income or lower middle-income countries, 77 (22%) were from upper middle-income countries, and 164 (46%) were from high-income countries. 190 (53%) were male. Data for comorbidities were missing for some children in low-income and middle-income countries. Available data showed that comorbidities were present in at least 33 (28%) children from low-income or lower middle-income countries, 36 (47%) from upper middle-income countries, and 114 (70%) from high-income countries. Median age for RSV-related deaths was 5·0 months (IQR 2·3-11·0) in low-income or lower middle-income countries, 4·0 years (2·0-10·0) in upper middle-income countries, and 7·0 years (3·6-16·8) in high-income countries. This study is the first large case series of children who died with community-acquired RSV infection. A substantial proportion of children with RSV-related death had comorbidities. Our results show that perinatal immunisation strategies for children aged younger than 6 months could have a substantial impact on RSV-related child mortality in low-income and middle-income countries. Bill &amp; Melinda Gates Foundation.</t>
  </si>
  <si>
    <t>Repeated cervical length measurements for the verification of short cervical length.</t>
  </si>
  <si>
    <t>Hermans, Frederik J R; Koullali, Bouchra; van Os, Melanie A; van der Ven, Jeanine E M; Kazemier, Brenda M; Woiski, Mallory D; Willekes, Christine; Kuiper, Petra N; Roumen, Frans J M E; de Groot, Christianne M; de Miranda, Esteriek; Verhoeven, Corine; Haak, Monique C; Pajkrt, Eva; Schuit, Ewoud; Mol, Ben Willem J; ,</t>
  </si>
  <si>
    <t>https://pubmed.ncbi.nlm.nih.gov/28884811</t>
  </si>
  <si>
    <t>To determine if the verification of short cervical length with a repeated measurement improved the identification of patients with short cervical length at increased risk of preterm delivery. The present secondary analysis analyzed prospective cohort study data from patients with singleton pregnancies without a history of preterm delivery who presented for obstetric care in the Netherlands and delivered between November 18, 2009, and January 1, 2013. Cervical length was measured during standard anomaly scan and a second measurement was performed if the cervical length was 30 mm of shorter. Logistic regression and Cox proportional hazards modeling were used to evaluate associations between cervical length measurements and spontaneous preterm delivery before 37 weeks of pregnancy. Cervical length measurements from 12 358 patients were included; 221 (1.8%) had an initial cervical length measurement of 30 mm or shorter. A second cervical length measurement was performed for 167 (75.6%) patients; no differences were identified in the odds of spontaneous preterm delivery when evaluated using the first, second, or a mean of both measurements, regardless of whether cervical length was analyzed as a continuous or dichotomous variable. Among patients with singleton pregnancies, verification of short cervical length did not improve the identification of short cervical length.</t>
  </si>
  <si>
    <t>Medications Recommended for Secondary Prevention After First Acute Coronary Syndrome: Effectiveness of Treatment Combinations in a Real-Life Setting.</t>
  </si>
  <si>
    <t>Bezin, Julien; Klungel, Olaf H; Lassalle, Régis; Dureau-Pournin, Caroline; Moore, Nicholas; Pariente, Antoine</t>
  </si>
  <si>
    <t>https://pubmed.ncbi.nlm.nih.gov/28875506</t>
  </si>
  <si>
    <t>Long-term effectiveness of evidence-based cardiovascular medications (EBCMs) indicated after acute coronary syndrome (ACS) needs to be assessed considering the combination effects for these drugs recommended in association. Using a nationwide database, we conducted a cohort study to evaluate the effectiveness of all possible incomplete EBCMs-based combinations as compared to that associating the four recommended EBCMs over up to 5 years of follow-up. Among the 31,668 patients included, 22.9% had ACS recurrence or died during follow-up. The risks associated with the use of 3-EBCM based combinations were 1.46 (95% confidence interval: 1.33-1.60) for the combinations without statins, 1.30 (1.17-1.43) for the combinations without angiotensin-converting enzyme inhibitors or angiotensin receptor blockers, 1.11 (0.98-1.25) for the combinations without antiplatelet agents, and 0.99 (0.89-1.10) for the combination without beta-blockers. These findings question the interest of maintaining long-term treatment with beta-blockers in addition to the other EBCMs for post-ACS secondary prevention.</t>
  </si>
  <si>
    <t>Magnifying chromoendoscopy does not seem helpful in avoiding unnecessary surgery once deep submucosal invasion is suspected.</t>
  </si>
  <si>
    <t>Backes, Yara; Reitsma, Johannes B; Moons, Leon M G</t>
  </si>
  <si>
    <t>https://pubmed.ncbi.nlm.nih.gov/28954320</t>
  </si>
  <si>
    <t>Self-management support in routine primary care by nurses.</t>
  </si>
  <si>
    <t>Westland, Heleen; Schröder, Carin D; de Wit, Jessica; Frings, Judith; Trappenburg, Jaap C A; Schuurmans, Marieke J</t>
  </si>
  <si>
    <t>british journal of health psychology</t>
  </si>
  <si>
    <t>https://pubmed.ncbi.nlm.nih.gov/28952179</t>
  </si>
  <si>
    <t>To examine how and to what extent self-management support, including behaviour change support, is provided by primary care nurses in routine consultations with chronically ill patients. Observational study design. Routine consultations of primary care nurses in the Netherlands with chronically ill patients were audio-taped and analysed. The analysis identified health topics addressed according to health care standards, self-management topics addressed using a validated set of topics, and behaviour change techniques (BCTs) using the Behaviour Change Techniques Taxonomy v1. Seventy-eight routine consultations of 17 primary care nurses with chronically ill patients were included in the analysis. Nurses addressed both health topics and self-management topics in brief, fragmented, and often inconsistent manners. Dietary intake and physical activity were the most frequently addressed topics. Nurses applied 21 BCTs to target behaviour change, but the use of these techniques was mainly inconsistent and implicit. The most consistently used BCTs were review behaviour goal(s) (56.4%) and feedback on behaviour (51.3%). Nurses addressed both health topics and self-management topics in their routine consultations. The duration, frequency, and number of addressed topics differed throughout the consultations. Nurses tended to prioritize the monitoring and optimization of patients' medical treatment and provided limited self-management support. Nurses seldom deepened their focus on behaviour change and infrequently used effective techniques to support this change. Adoption of self-management in primary care, including behaviour change, might be enhanced if nurses consistently and explicitly use effective BCTs in their consultations. Statement of contribution What is already known on this subject? Primary care nurses play a pivotal role in self-management support for patients with a chronic condition. Adequate self-management support requires nurses to activate patients and enhance behaviour change. Little is known regarding to what extent nurses provide self-management support in routine primary care. What does this study add? Self-management support is brief, fragmented, and inconsistently provided by nurses. Nurses tend to prioritize medical treatment optimization and seldom focus on behavioural change. Nurses' use of effective behaviour change techniques is low and should be enhanced.</t>
  </si>
  <si>
    <t>Long-Term Air Pollution Exposure and Amyotrophic Lateral Sclerosis in Netherlands: A Population-based Case-control Study.</t>
  </si>
  <si>
    <t>Seelen, Meinie; Toro Campos, Rosario A; Veldink, Jan H; Visser, Anne E; Hoek, Gerard; Brunekreef, Bert; van der Kooi, Anneke J; de Visser, Marianne; Raaphorst, Joost; van den Berg, Leonard H; Vermeulen, Roel C H</t>
  </si>
  <si>
    <t>https://pubmed.ncbi.nlm.nih.gov/29989551</t>
  </si>
  <si>
    <t>Recently, there has been increasing evidence that exposure to air pollution is linked to neurodegenerative diseases, but little is known about the association with amyotrophic lateral sclerosis (ALS). We investigated the association between long-term exposure to air pollution and risk of developing ALS. A population-based case-control study was conducted in Netherlands from 1 January 2006 to 1 January 2013. Data from 917 ALS patients and 2,662 controls were analyzed. Annual mean air pollution concentrations were assessed by land use regression (LUR) models developed as part of the European Study of Cohorts for Air Pollution Effects (ESCAPE). Exposure estimates included nitrogen oxides (NO&lt;sub&gt;2&lt;/sub&gt;, NO&lt;sub&gt;x&lt;/sub&gt;), particulate matter (PM) with diameters of &lt;2.5 μm (PM&lt;sub&gt;2.5&lt;/sub&gt;), &lt;10 μm (PM&lt;sub&gt;10&lt;/sub&gt;), between 10 μm and 2.5 μm (PM&lt;sub&gt;coarse&lt;/sub&gt;), and PM&lt;sub&gt;2.5&lt;/sub&gt; absorbance. We performed conditional logistic regression analysis using two different multivariate models (model 1 adjusted for age, gender, education, smoking status, alcohol use, body mass index, and socioeconomic status; model 2 additionally adjusted for urbanization degree). Risk of ALS was significantly increased for individuals in the upper exposure quartile of PM&lt;sub&gt;2.5&lt;/sub&gt; absorbance [OR=1.67; 95% confidence interval (CI): 1.27, 2.18], NO&lt;sub&gt;2&lt;/sub&gt; (OR=1.74; 95% CI: 1.32, 2.30), and NO&lt;sub&gt;x&lt;/sub&gt; concentrations (OR=1.38; 95% CI: 1.07, 1.77). These results, except for NO&lt;sub&gt;x&lt;/sub&gt;, remained significant after adjusting additionally for urbanization degree. Based on a large population-based case-control study, we report evidence for the association between long-term exposure to traffic-related air pollution and increased susceptibility to ALS. Our findings further support the necessity for regulatory public health interventions to combat air pollution levels and provide additional insight into the potential pathophysiology of ALS. https://doi.org/10.1289/EHP1115.</t>
  </si>
  <si>
    <t>Prognostic value of circulating microRNAs on heart failure-related morbidity and mortality in two large diverse cohorts of general heart failure patients.</t>
  </si>
  <si>
    <t>Bayés-Genis, Antoni; Lanfear, David E; de Ronde, Maurice W J; Lupón, Josep; Leenders, Joost J; Liu, Zhen; Zuithoff, Nicolaas P A; Eijkemans, Marinus J C; Zamora, Elisabet; De Antonio, Marta; Zwinderman, Aeilko H; Pinto-Sietsma, Sara-Joan; Pinto, Yigal M</t>
  </si>
  <si>
    <t>https://pubmed.ncbi.nlm.nih.gov/28949058</t>
  </si>
  <si>
    <t>Small studies suggested circulating microRNAs (miRNAs) as biomarkers for heart failure (HF). However, standardized approaches and quality assessment for measuring circulating miRNAs are not uniformly established, and most studies have been small, so that results are inconsistent. We used a standardized data handling protocol, optimized for circulating miRNA qPCRs to remove noise and used it to assess which circulating miRNAs robustly add prognostic information in patients with HF. We measured 12 miRNAs in two independent cohorts totalling 2203 subjects. Cohort I (Barcelona) comprised 834 chronic HF patients. Cohort II (Detroit) comprised 1369 chronic HF patients. Each sample was measured in duplicate, and normalized to a very abundant and stable miRNA (miR-486-5p). We used a multistep algorithm to distinguish false amplification signals and thus classify each miRNA measurement as 'valid', 'undetectable' or 'invalid'. Higher levels of miR-1254 and miR-1306-5p were significantly associated with risk of the combined endpoint of all-cause mortality and HF hospitalization in both cohorts, with hazard ratios ranging from 1.11 to 1.21 per log increase (P-values 0.004 to 0.009). However, adding these miRNAs to established predictors (age, sex, haemoglobin, renal function, and NT-proBNP) did not further augment the c-statistic beyond 0.69 (cohort I) or 0.70 (cohort II). We used a stringent quality assessment for miRNA testing, and were able to replicate the association of miR-1254 and miR-1306-5p with risk of death and HF hospitalization in HF patients of two independent cohorts. However, these two circulating miRNAs failed to improve prognostication over established predictors.</t>
  </si>
  <si>
    <t>Development of prediction models for upper and lower respiratory and gastrointestinal tract infections using social network parameters in middle-aged and older persons -The Maastricht Study.</t>
  </si>
  <si>
    <t>Brinkhues, S; van Kuijk, S M J; Hoebe, C J P A; Savelkoul, P H M; Kretzschmar, M E E; Jansen, M W J; de Vries, N; Sep, S J S; Dagnelie, P C; Schaper, N C; Verhey, F R J; Bosma, H; Maes, J; Schram, M T; Dukers-Muijrers, N H T M</t>
  </si>
  <si>
    <t>https://pubmed.ncbi.nlm.nih.gov/28946936</t>
  </si>
  <si>
    <t>The ability to predict upper respiratory infections (URI), lower respiratory infections (LRI), and gastrointestinal tract infections (GI) in independently living older persons would greatly benefit population and individual health. Social network parameters have so far not been included in prediction models. Data were obtained from The Maastricht Study, a population-based cohort study (N = 3074, mean age (±s.d.) 59.8 ± 8.3, 48.8% women). We used multivariable logistic regression analysis to develop prediction models for self-reported symptomatic URI, LRI, and GI (past 2 months). We determined performance of the models by quantifying measures of discriminative ability and calibration. Overall, 953 individuals (31.0%) reported URI, 349 (11.4%) LRI, and 380 (12.4%) GI. The area under the curve was 64.7% (95% confidence interval (CI) 62.6-66.8%) for URI, 71.1% (95% CI 68.4-73.8) for LRI, and 64.2% (95% CI 61.3-67.1%) for GI. All models had good calibration (based on visual inspection of calibration plot, and Hosmer-Lemeshow goodness-of-fit test). Social network parameters were strong predictors for URI, LRI, and GI. Using social network parameters in prediction models for URI, LRI, and GI seems highly promising. Such parameters may be used as potential determinants that can be addressed in a practical intervention in older persons, or in a predictive tool to compute an individual's probability of infections.</t>
  </si>
  <si>
    <t>Long-chain polyunsaturated fatty acids in infant formula and cardiovascular markers in childhood.</t>
  </si>
  <si>
    <t>Pluymen, Linda P M; Dalmeijer, Geertje W; Smit, Henriëtte A; Uiterwaal, Cuno S P M; van der Ent, Cornelis K; van Rossem, Lenie</t>
  </si>
  <si>
    <t>https://pubmed.ncbi.nlm.nih.gov/28949070</t>
  </si>
  <si>
    <t>To investigate whether children who consumed infant formula supplemented with long-chain polyunsaturated fatty acids (LCPUFAs) had a more favourable cardiovascular profile than children who consumed formula without these fatty acids, we used the Wheezing Illnesses Study Leidsche Rijn, a birth cohort that included 2,468 newborns between 2001 and 2014. Data on infant feeding were obtained by questionnaires. At age 5, blood pressure, carotid intima-media thickness (CIMT), and carotid distension were measured. We used multivariable linear regression analysis to compare levels of cardiovascular markers in formula-fed children born before and after the LCPUFA supplementation. To account for secular trends, we compared levels of cardiovascular markers in a control group of breastfed children from the same cohort born before and after the supplementation. Formula-fed children born after the LCPUFA supplementation (n = 48) had no different systolic blood pressure (-2.58 mmHg, 95% confidence interval, CI [-5.5, 0.30]), diastolic blood pressure (-0.13 mmHg, 95% CI [-2.3, 2.1]), or carotid distension (24.8 MPa&lt;sup&gt;-1&lt;/sup&gt; , 95% CI [-47.1, 96.6]) and had a higher CIMT (18.6 μm, 95% CI [3.7, 33.5]) than formula-fed children born before the supplementation (n = 163). In the control group, children born after the LCPUFA supplementation (n = 98) had no different systolic- or diastolic-blood pressure, or CIMT, and a higher carotid distension than children born before the supplementation (n = 142). In conclusion, children who consumed infant formula supplemented with LCPUFAs did not have a more favourable cardiovascular profile in early childhood than children who consumed formula without LCPUFAs.</t>
  </si>
  <si>
    <t>Rationale and design of ASPIRE-ICU: a prospective cohort study on the incidence and predictors of Staphylococcus aureus and Pseudomonas aeruginosa pneumonia in the ICU.</t>
  </si>
  <si>
    <t>Paling, Fleur P; Troeman, Darren P R; Wolkewitz, Martin; Kalyani, Rubana; Prins, Daniël R; Weber, Susanne; Lammens, Christine; Timbermont, Leen; Goossens, Herman; Malhotra-Kumar, Surbhi; Sifakis, Frangiscos; Bonten, Marc J M; Kluytmans, Jan A J W</t>
  </si>
  <si>
    <t>https://pubmed.ncbi.nlm.nih.gov/28946849</t>
  </si>
  <si>
    <t>The epidemiology of ICU pneumonia caused by Staphylococcus aureus (S. aureus) and Pseudomonas aeruginosa (P. aeruginosa) is not fully described, but is urgently needed to support the development of effective interventions. The objective of this study is to estimate the incidence of S. aureus and P. aeruginosa ICU pneumonia and to assess its association with patient-related and contextual risk factors. ASPIRE-ICU is a prospective, observational, multi-center cohort study nested within routine surveillance among ICU patients in Europe describing the occurrence of S. aureus and P. aeruginosa ICU pneumonia. Two thousand (2000) study cohort subjects will be enrolled (50% S. aureus colonized) in which specimens and data will be collected. Study cohort subjects will be enrolled from a larger surveillance population, in which basic surveillance data is captured. The primary outcomes are the incidence of S. aureus ICU acquired pneumonia and the incidence of P. aeruginosa ICU acquired pneumonia through ICU stay. The analysis will include advanced survival techniques (competing risks and multistate models) for each event separately as well as for the sub-distribution of ICU pneumonia to determine independent association of outcomes with risk factors.. A risk prediction model will be developed to quantify the risk for acquiring S. aureus or P. aeruginosa ICU pneumonia during ICU stay by using a composite score of independent risk factors. The diagnosis of pathogen-specific ICU pneumonia is difficult, however, the criteria used in this study are objective and comparable to those in the literature. This study is registered on clinicaltrials.gov under identifier NCT02413242 .</t>
  </si>
  <si>
    <t>Study of &lt;math xmlns="http://www.w3.org/1998/Math/MathML"&gt;&lt;mrow&gt;&lt;mi&gt;W&lt;/mi&gt; &lt;mi&gt;W&lt;/mi&gt; &lt;mi&gt;γ&lt;/mi&gt;&lt;/mrow&gt; &lt;/math&gt; and &lt;math xmlns="http://www.w3.org/1998/Math/MathML"&gt;&lt;mrow&gt;&lt;mi&gt;W&lt;/mi&gt; &lt;mi&gt;Z&lt;/mi&gt; &lt;mi&gt;γ&lt;/mi&gt;&lt;/mrow&gt; &lt;/math&gt; production in &lt;math xmlns="http://www.w3.org/1998/Math/MathML"&gt;&lt;mrow&gt;&lt;mi&gt;p&lt;/mi&gt; &lt;mi&gt;p&lt;/mi&gt;&lt;/mrow&gt; &lt;/math&gt; collisions at &lt;math xmlns="http://www.w3.org/1998/Math/MathML"&gt; &lt;mrow&gt;&lt;msqrt&gt;&lt;mi&gt;s&lt;/mi&gt;&lt;/msqrt&gt; &lt;mo&gt;=&lt;/mo&gt; &lt;mn&gt;8&lt;/mn&gt; &lt;mspace&gt;&lt;/mspace&gt; &lt;mtext&gt;TeV&lt;/mtext&gt;&lt;/mrow&gt; &lt;/math&gt; and search for anomalous quartic gauge couplings with the ATLAS experiment.</t>
  </si>
  <si>
    <t>https://pubmed.ncbi.nlm.nih.gov/32011612</t>
  </si>
  <si>
    <t>This paper presents a study of &lt;math xmlns="http://www.w3.org/1998/Math/MathML"&gt;&lt;mrow&gt;&lt;mi&gt;W&lt;/mi&gt; &lt;mi&gt;W&lt;/mi&gt; &lt;mi&gt;γ&lt;/mi&gt;&lt;/mrow&gt; &lt;/math&gt; and &lt;math xmlns="http://www.w3.org/1998/Math/MathML"&gt;&lt;mrow&gt;&lt;mi&gt;W&lt;/mi&gt; &lt;mi&gt;Z&lt;/mi&gt; &lt;mi&gt;γ&lt;/mi&gt;&lt;/mrow&gt; &lt;/math&gt; triboson production using events from proton-proton collisions at a centre-of-mass energy of &lt;math xmlns="http://www.w3.org/1998/Math/MathML"&gt; &lt;mrow&gt;&lt;msqrt&gt;&lt;mi&gt;s&lt;/mi&gt;&lt;/msqrt&gt; &lt;mo&gt;=&lt;/mo&gt; &lt;mtext&gt;8&lt;/mtext&gt; &lt;mspace&gt;&lt;/mspace&gt; &lt;mtext&gt;TeV&lt;/mtext&gt;&lt;/mrow&gt; &lt;/math&gt; recorded with the ATLAS detector at the LHC and corresponding to an integrated luminosity of 20.2 fb &lt;math xmlns="http://www.w3.org/1998/Math/MathML"&gt;&lt;msup&gt;&lt;mrow&gt;&lt;/mrow&gt; &lt;mrow&gt;&lt;mo&gt;-&lt;/mo&gt; &lt;mn&gt;1&lt;/mn&gt;&lt;/mrow&gt; &lt;/msup&gt; &lt;/math&gt; . The &lt;math xmlns="http://www.w3.org/1998/Math/MathML"&gt;&lt;mrow&gt;&lt;mi&gt;W&lt;/mi&gt; &lt;mi&gt;W&lt;/mi&gt; &lt;mi&gt;γ&lt;/mi&gt;&lt;/mrow&gt; &lt;/math&gt; production cross-section is determined using a final state containing an electron, a muon, a photon, and neutrinos ( &lt;math xmlns="http://www.w3.org/1998/Math/MathML"&gt;&lt;mrow&gt;&lt;mi&gt;e&lt;/mi&gt; &lt;mi&gt;ν&lt;/mi&gt; &lt;mi&gt;μ&lt;/mi&gt; &lt;mi&gt;ν&lt;/mi&gt; &lt;mi&gt;γ&lt;/mi&gt;&lt;/mrow&gt; &lt;/math&gt; ). Upper limits on the production cross-section of the &lt;math xmlns="http://www.w3.org/1998/Math/MathML"&gt;&lt;mrow&gt;&lt;mi&gt;e&lt;/mi&gt; &lt;mi&gt;ν&lt;/mi&gt; &lt;mi&gt;μ&lt;/mi&gt; &lt;mi&gt;ν&lt;/mi&gt; &lt;mi&gt;γ&lt;/mi&gt;&lt;/mrow&gt; &lt;/math&gt; final state and the &lt;math xmlns="http://www.w3.org/1998/Math/MathML"&gt;&lt;mrow&gt;&lt;mi&gt;W&lt;/mi&gt; &lt;mi&gt;W&lt;/mi&gt; &lt;mi&gt;γ&lt;/mi&gt;&lt;/mrow&gt; &lt;/math&gt; and &lt;math xmlns="http://www.w3.org/1998/Math/MathML"&gt;&lt;mrow&gt;&lt;mi&gt;W&lt;/mi&gt; &lt;mi&gt;Z&lt;/mi&gt; &lt;mi&gt;γ&lt;/mi&gt;&lt;/mrow&gt; &lt;/math&gt; final states containing an electron or a muon, two jets, a photon, and a neutrino ( &lt;math xmlns="http://www.w3.org/1998/Math/MathML"&gt;&lt;mrow&gt;&lt;mi&gt;e&lt;/mi&gt; &lt;mi&gt;ν&lt;/mi&gt; &lt;mi&gt;j&lt;/mi&gt; &lt;mi&gt;j&lt;/mi&gt; &lt;mi&gt;γ&lt;/mi&gt;&lt;/mrow&gt; &lt;/math&gt; or &lt;math xmlns="http://www.w3.org/1998/Math/MathML"&gt;&lt;mrow&gt;&lt;mi&gt;μ&lt;/mi&gt; &lt;mi&gt;ν&lt;/mi&gt; &lt;mi&gt;j&lt;/mi&gt; &lt;mi&gt;j&lt;/mi&gt; &lt;mi&gt;γ&lt;/mi&gt;&lt;/mrow&gt; &lt;/math&gt; ) are also derived. The results are compared to the cross-sections predicted by the Standard Model at next-to-leading order in the strong-coupling constant. In addition, upper limits on the production cross-sections are derived in a fiducial region optimised for a search for new physics beyond the Standard Model. The results are interpreted in the context of anomalous quartic gauge couplings using an effective field theory. Confidence intervals at 95% confidence level are derived for the 14 coupling coefficients to which &lt;math xmlns="http://www.w3.org/1998/Math/MathML"&gt;&lt;mrow&gt;&lt;mi&gt;W&lt;/mi&gt; &lt;mi&gt;W&lt;/mi&gt; &lt;mi&gt;γ&lt;/mi&gt;&lt;/mrow&gt; &lt;/math&gt; and &lt;math xmlns="http://www.w3.org/1998/Math/MathML"&gt;&lt;mrow&gt;&lt;mi&gt;W&lt;/mi&gt; &lt;mi&gt;Z&lt;/mi&gt; &lt;mi&gt;γ&lt;/mi&gt;&lt;/mrow&gt; &lt;/math&gt; production are sensitive.</t>
  </si>
  <si>
    <t>The predictive value of symptoms for anxiety in hospice inpatients with advanced cancer.</t>
  </si>
  <si>
    <t>Zweers, Danielle; de Graaf, Everlien; de Graeff, Alexander; Stellato, Rebecca K; Witteveen, Petronella O; Teunissen, Saskia C C M</t>
  </si>
  <si>
    <t>https://pubmed.ncbi.nlm.nih.gov/28942739</t>
  </si>
  <si>
    <t>ABSTRACTObjective:Insight into symptoms as predictors for anxiety may help to foster early identification of anxiety and to ameliorate anxiety management. The aim of this study was to determine which frequently occurring symptoms are predictors for anxiety in advanced cancer patients recently admitted to a hospice. Symptom burden was measured in patients admitted to a hospice who died ≤3 month after admission using the Utrecht Symptom Diary. This is a Dutch-translated and adapted version of the Edmonton Symptom Assessment System to self-assess the 11 most prevalent symptoms and overall well-being on a 0-10 numerical rating scale. Multiple linear regression analysis was employed to analyze the predictive value of fatigue, nausea, pain, dyspnea, depressed mood, insomnia, and well-being on anxiety. A total of 211 patients were included, 42% of whom were men, and the median age was 71 years (range = 31-95). Anxiety was uncommon and rarely severe: 25% had a score ≥1, and 14% had a score &gt;3. After correction for age, gender, and marital status, depressed mood (p = 0.00) and dyspnea (p = 0.01) were independent predictors for anxiety and explained 23% of the variance in anxiety. Hospice inpatients with advanced cancer who suffer from dyspnea and/or depressed mood are at increased risk for anxiety. Treatment of dyspnea and depressed mood may contribute to adequate anxiety management. Further research should explore other factors associated with anxiety, especially in the psychological, social, and spiritual domains.</t>
  </si>
  <si>
    <t>Food variety, dietary diversity, and type 2 diabetes in a multi-center cross-sectional study among Ghanaian migrants in Europe and their compatriots in Ghana: the RODAM study.</t>
  </si>
  <si>
    <t>Danquah, Ina; Galbete, Cecilia; Meeks, Karlijn; Nicolaou, Mary; Klipstein-Grobusch, Kerstin; Addo, Juliet; Aikins, Ama de-Graft; Amoah, Stephen K; Agyei-Baffour, Peter; Boateng, Daniel; Bedu-Addo, George; Spranger, Joachim; Smeeth, Liam; Owusu-Dabo, Ellis; Agyemang, Charles; Mockenhaupt, Frank P; Beune, Erik; Schulze, Matthias B</t>
  </si>
  <si>
    <t>https://pubmed.ncbi.nlm.nih.gov/28948398</t>
  </si>
  <si>
    <t>The importance of dietary diversification for type 2 diabetes (T2D) risk remains controversial. We investigated associations of between- and within-food group variety with T2D, and the role of dietary diversification for the relationships between previously identified dietary patterns (DPs) and T2D among Ghanaian adults. In the multi-center cross-sectional Research on Obesity and Diabetes among African Migrants (RODAM) Study (n = 3810; Ghanaian residence, 56%; mean age, 46.2 years; women, 63%), we constructed the Food Variety Score (FVS; 0-20 points), the Dietary Diversity Score (DDS; 0-7 points), and the Diet Quality Index-International (DQI-I) variety component (0-20 points). The associations of these scores, of a "rice, pasta, meat and fish" DP, of a "mixed" DP, and of a "roots, tubers and plantain" DP with T2D were calculated by logistic regression. The FVS was inversely associated with T2D, adjusted for socio-demographic, lifestyle, and anthropometric factors [odds ratio (OR) for T2D per 1 standard deviation (SD) increase: 0.81; 95% confidence interval (CI) 0.71-0.93]. The DDS and the DQI-I variety component were not associated with T2D. There was no association of the "mixed" DP and the "roots, tubers and plantain" DP with T2D. Yet, the "rice, pasta, meat and fish" DP is inversely associated with T2D (OR for T2D per 1 SD increase: 0.82; 95% CI 0.71-0.95); this effect was slightly attenuated by the FVS. In this Ghanaian population, between-food group variety may exert beneficial effects on glucose metabolism and partially explains the inverse association of the "rice, pasta, meat and fish" DP with T2D.</t>
  </si>
  <si>
    <t>Validation of a questionnaire measuring transitional patient safety climate indicated differences in transitional patient safety climate between primary and secondary care.</t>
  </si>
  <si>
    <t>https://pubmed.ncbi.nlm.nih.gov/28951109</t>
  </si>
  <si>
    <t>This study describes the development and validation of the TRAnsitional patient safety Climate Evaluation (TRACE) questionnaire, measuring transitional patient safety climate from the perspective of general practitioners and hospital physicians. Patient safety climate reflects the professionals' perception of the organizational patient safety culture. In the development of the TRACE, we adjusted existing questionnaires on patient safety culture. Exploratory factor analysis (EFA) was performed. Internal consistency and correlations between factors and a global transitional patient safety rating were calculated. In total, 162 questionnaires were completed (response 23%; general practice: N = 97, hospital physicians: N = 65). Analysis of all respondents did not provide an interpretable factor solution. However, the EFA on the results of hospital physicians revealed four relevant factors: (1) collaboration, (2) speaking up, (3) communication on transitional incidents and improvement measures, and (4) transitional patient safety management. The internal consistency of these factors was good for hospital respondents (0.71-0.87) and fair to acceptable for general practices' respondents (0.63-0.72). Although the TRACE questionnaire did not provide a solid factor structure in a combined sample of general practice and hospital respondents, the factors found reliable in hospital setting had acceptable reliability in general practice setting.</t>
  </si>
  <si>
    <t>Cardiac imaging to detect coronary artery disease in athletes aged 35 years and older. A scoping review.</t>
  </si>
  <si>
    <t>Braber, T L; Reitsma, J B; Mosterd, A; Willemink, M J; Prakken, N H J; Halle, M; Sharma, S; Velthuis, B K</t>
  </si>
  <si>
    <t>https://pubmed.ncbi.nlm.nih.gov/28833626</t>
  </si>
  <si>
    <t>Sudden cardiac death (SCD) is a devastating event in athletes. Screening efforts that were first directed at athletes younger than 35 years are now focusing on the rapidly growing group of older sportspersons. Athletes aged ≥35 years have a 10-fold increased risk of exercise-related cardiac arrest, mostly due to coronary artery disease (CAD). Although cardiac imaging is pivotal in identifying CAD, the role of imaging modalities in screening asymptomatic older sportspersons remains unclear. We performed a scoping review to identify the role of cardiac imaging to detect CAD in older sportspersons and to identify gaps in the existing literature. We searched MEDLINE, EMBASE and the Cochrane library for studies reporting data on cardiac imaging of CAD in sportspersons ≥35 years. The systematic search yielded 1737 articles, and 14 were included in this scoping review. Imaging modalities included two echocardiography, one unenhanced computed tomography (CT) for coronary artery calcium scoring (CACS), three CACS and contrast-enhanced CT angiography (CCTA), two CACS and cardiac magnetic resonance (CMR), one CCTA with CMR and echocardiography, two CCTA, two CMR, and one myocardial perfusion imaging article. The low number of relevant articles and the selection bias introduced by studying specific groups, like veteran marathon runners, indicate the need for future research. Cardiac CT (CACS and CCTA) probably has the highest potential for pre-participation screening, with high diagnostic value to detect CAD and low radiation dose. However, currently there is insufficient evidence for incorporating routine cardiac imaging in the pre-participation screening of asymptomatic sportspersons over 35 years.</t>
  </si>
  <si>
    <t>Predicted burden could replace predicted risk in preventive strategies for cardiovascular disease.</t>
  </si>
  <si>
    <t>Lagerweij, Ghizelda R; de Wit, G Ardine; Moons, Karel G M; Verschuren, W M Monique; Boer, Jolanda M A; Koffijberg, Hendrik</t>
  </si>
  <si>
    <t>https://pubmed.ncbi.nlm.nih.gov/28943378</t>
  </si>
  <si>
    <t>The objective of this study was to explore the extent of the differences in definitions of composite end points and assess how these differences influence estimates of cardiovascular disease (CVD) burden. Data from a Dutch cohort study (n = 19,484) was used to calculate 10-year risks according to four CVD risk prediction models: Adult Treatment Panel (ATP) III, Framingham Global Risk Score (FRS), Pooled Cohort Equations (PCE), and SCORE. Health loss was estimated based on the impact of event types included in the corresponding composite end points. Finally, each prediction model was used to estimate the expected CVD burden in high-risk individuals, expressed as Quality-Adjusted Life Years (QALYs) lost. The definition of the composite end points varied widely across the four models. FRS predicted the highest CVD risks, and the composite end point used in SCORE was associated with the highest health burden. The predicted CVD burden in high-risk individuals was 0.23, 0.74, 0.43, and 0.39 QALYs lost per individual when using ATP, FRS, PCE, and SCORE, respectively. The investigated CVD risk prediction models showed huge variation in definition of composite end points and associated health burden. Therefore, health consequences related to predicted risks cannot be readily compared across prediction models, and estimates of burden of disease depend crucially on the prediction model used.</t>
  </si>
  <si>
    <t>Long sleep duration is associated with lower cognitive function among middle-age adults - the Doetinchem Cohort Study.</t>
  </si>
  <si>
    <t>van Oostrom, Sandra H; Nooyens, Astrid C J; van Boxtel, Martin P J; Verschuren, W M Monique</t>
  </si>
  <si>
    <t>https://pubmed.ncbi.nlm.nih.gov/29425581</t>
  </si>
  <si>
    <t>In older adults, both short and long sleep duration are associated with lower cognitive function, suggesting an inverted U-shaped association between sleep duration and cognitive outcomes. This study examined whether sleep duration is associated with (changes in) cognitive function in a middle-aged population. In the Doetinchem Cohort Study, the cognitive function of 2970 men and women aged 41-75 years at baseline (1995-2007) was examined 2-3 times, with 5-year time intervals. Global cognitive function and the domains memory, information processing speed, and cognitive flexibility were assessed. In multivariable linear regression models, (change in) self-reported sleep duration was studied in association with the level and change in cognitive function. In a subsample of the population (n = 2587), the association of sleep duration and feeling rested with cognitive function was studied. Sleep duration of 9 h and more was statistically significantly associated with lower global cognitive function (p &lt; 0.01), memory (p = 0.02), and flexibility (p = 0.03), compared to a sleep duration of 7 or 8 h. Among adults feeling frequently not well rested, both short and long sleep duration were associated with a lower speed of cognitive function. An inverted U-shaped association between sleep duration and cognitive function was observed for speed, flexibility, and global cognitive function. Sleep duration was not associated with change in cognitive function. Middle-age adults with long sleep duration had a lower cognitive function.</t>
  </si>
  <si>
    <t>Longitudinal analysis of colon crypt stem cell dynamics in sulindac treated Familial Adenomatous Polyposis patients.</t>
  </si>
  <si>
    <t>Ma, Huiying; Brosens, Lodewijk A A; Elias, Sjoerd G; Morsink, Folkert H M; Nijman, Isaac J; Hylind, Linda M; Montgomery, Elizabeth A; Offerhaus, G Johan A; Giardiello, Francis M; de Leng, Wendy W J</t>
  </si>
  <si>
    <t>https://pubmed.ncbi.nlm.nih.gov/28931879</t>
  </si>
  <si>
    <t>The non-steroidal anti-inflammatory drug sulindac decreases size and number of adenomas after 4-6 months of treatment for familial adenomatous polyposis (FAP) patients. However, the underlying mechanism remains unknown. As stem cells are thought to be the tumor precursor cells, visualizing their behavior is crucial for monitoring tumor progression. Increased tag diversity in inactive genes is indicative of a protracted clonal evolution and consequently, increased risk for tumor formation. Therefore, the effect of sulindac on stem cell dynamics was studied. Normal appearing single crypts were laser microdissected in placebo- and sulindac- treated FAP patient tissue after which the methylation patterns were visualized by Next Generation Sequencing. A significant difference in tag diversity over time was found in the sulindac group compared to the placebo group (*p = 0.018), indicative of a shortened clonal evolution treated sulindac. The rate of change in tag diversity over time was correlated with polyp number change over time. No significant difference over time was observed in the percent methylation when comparing placebo vs sulindac. In conclusion, daily sulindac administration in FAP patients significantly altered colorectal stem cell dynamics, which might explain the chemopreventive action of this drug indicating that tag diversity may be used as a predictive biomarker.</t>
  </si>
  <si>
    <t>Predicting Major Bleeding in Ischemic Stroke Patients With Atrial Fibrillation.</t>
  </si>
  <si>
    <t>Hilkens, Nina A; Algra, Ale; Greving, Jacoba P</t>
  </si>
  <si>
    <t>https://pubmed.ncbi.nlm.nih.gov/28931618</t>
  </si>
  <si>
    <t>Performance of risk scores for major bleeding in patients with atrial fibrillation and a previous transient ischemic attack or ischemic stroke is not well established. We aimed to validate risk scores for major bleeding in patients with atrial fibrillation treated with oral anticoagulants after cerebral ischemia and explore the net benefit of oral anticoagulants among bleeding risk categories. We analyzed 3623 patients with a history of transient ischemic attack or stroke included in the RE-LY trial (Randomized Evaluation of Long-Term Anticoagulation Therapy). We assessed performance of HEMORR&lt;sub&gt;2&lt;/sub&gt;HAGES (hepatic or renal disease, ethanol abuse, malignancy, older age, reduced platelet count or function, hypertension [uncontrolled], anemia, genetic factors, excessive fall risk, and stroke), Shireman, HAS-BLED (hypertension, abnormal renal/liver function, stroke, bleeding history or predisposition, labile international normalized ratio, elderly, drugs/alcohol concomitantly), ATRIA (Anticoagulation and Risk Factors in Atrial Fibrillation), and ORBIT scores (older age, reduced haemoglobin/haematocrit/history of anaemia, bleeding history, insufficient kidney function, and treatment with antiplatelet) with C statistics and calibration plots. Net benefit of oral anticoagulants was explored by comparing risk reduction in ischemic stroke with risk increase in major bleedings on warfarin. During 6922 person-years of follow-up, 266 patients experienced a major bleed (3.8 per 100 person-years). C statistics ranged from 0.62 (Shireman) to 0.67 (ATRIA). Calibration was poor for ATRIA and moderate for other models. The reduction in recurrent ischemic strokes on warfarin was larger than the increase in major bleeding risk, irrespective of bleeding risk category. Performance of prediction models for major bleeding in patients with cerebral ischemia and atrial fibrillation is modest but comparable with performance in patients with only atrial fibrillation. Bleeding risk scores cannot guide treatment decisions for oral anticoagulants but may still be useful to identify modifiable risk factors for bleeding. Clinical usefulness may be best for ORBIT, which is based on a limited number of easily obtainable variables and showed reasonable performance.</t>
  </si>
  <si>
    <t>Sex differences in risk factor management of coronary heart disease across three regions.</t>
  </si>
  <si>
    <t>Zhao, Min; Vaartjes, Ilonca; Graham, Ian; Grobbee, Diederick; Spiering, Wilko; Klipstein-Grobusch, Kerstin; Woodward, Mark; Peters, Sanne Ae</t>
  </si>
  <si>
    <t>https://pubmed.ncbi.nlm.nih.gov/28931567</t>
  </si>
  <si>
    <t>To investigate whether there are sex differences in risk factor management of patients with established coronary heart disease (CHD), and to assess demographic variations of any potential sex differences. Patients with CHD were recruited from Europe, Asia, and the Middle East between 2012-2013. Adherence to guideline-recommended treatment and lifestyle targets was assessed and summarised as a Cardiovascular Health Index Score (CHIS). Age-adjusted regression models were used to estimate odds ratios for women versus men in risk factor management. 10 112 patients (29% women) were included. Compared with men, women were less likely to achieve targets for total cholesterol (OR 0.50, 95% CI 0.43 to 0.59), low-density lipoprotein cholesterol (OR 0.57, 95% CI 0.51 to 0.64), and glucose (OR 0.78, 95% CI 0.70 to 0.87), or to be physically active (OR 0.74, 95% CI 0.68 to 0.81) or non-obese (OR 0.82, 95% CI 0.74 to 0.90). In contrast, women had better control of blood pressure (OR 1.31, 95% CI 1.20 to 1.44) and were more likely to be a non-smoker (OR 1.93, 95% CI 1.67 to 2.22) than men. Overall, women were less likely than men to achieve all treatment targets (OR 0.75, 95% CI 0.60 to 0.93) or obtain an adequate CHIS (OR 0.81, 95% CI 0.73 to 0.91), but no significant differences were found for all lifestyle targets (OR 0.93, 95% CI 0.84 to 1.02). Sex disparities in reaching treatment targets were smaller in Europe than in Asia and the Middle East. Women in Asia were more likely than men to reach lifestyle targets, with opposing results in Europe and the Middle East. Risk factor management for the secondary prevention of CHD was generally worse in women than in men. The magnitude and direction of the sex differences varied by region.</t>
  </si>
  <si>
    <t>Effect of adding bezafibrate to standard lipid-lowering therapy on post-fat load lipid levels in patients with familial dysbetalipoproteinemia. A randomized placebo-controlled crossover trial.</t>
  </si>
  <si>
    <t>Koopal, Charlotte; Marais, A David; Westerink, Jan; van der Graaf, Yolanda; Visseren, Frank L J</t>
  </si>
  <si>
    <t>journal of lipid research</t>
  </si>
  <si>
    <t>https://pubmed.ncbi.nlm.nih.gov/28928170</t>
  </si>
  <si>
    <t>Familial dysbetalipoproteinemia (FD) is a genetic disorder associated with impaired postprandial lipid clearance. The effect of adding bezafibrate to standard lipid-lowering therapy on postprandial and fasting lipid levels in patients with FD is unknown. In this randomized placebo-controlled double-blind crossover trial, 15 patients with FD received bezafibrate and placebo for 6 weeks in randomized order in addition to standard lipid-lowering therapy (statin, ezetimibe, and/or lifestyle). We assessed post-fat load lipids, expressed as incremental area under the curve (iAUC) and area under the curve (AUC), as well as fasting levels and safety, and found that adding bezafibrate did not reduce post-fat load non-HDL-cholesterol (non-HDL-C) iAUC (1.78 ± 4.49 mmol·h/l vs. 1.03 ± 2.13 mmol·h/l, &lt;i&gt;P&lt;/i&gt; = 0.57), but did reduce post-fat load triglyceride (TG) iAUC (8.05 ± 3.32 mmol·h/l vs. 10.61 ± 5.92 mmol·h/l, &lt;i&gt;P&lt;/i&gt; = 0.03) and apoB (0.64 ± 0.62 g·h/l vs. 0.93 ± 0.71 g·h/l, &lt;i&gt;P&lt;/i&gt; = 0.01). Furthermore, bezafibrate significantly improved AUC and fasting levels of non-HDL-C, TG, total cholesterol, HDL-C, and apoB. Bezafibrate was associated with lower estimated glomerular filtration rate (78.4 ± 11.4 ml/min/1.73 m&lt;sup&gt;2&lt;/sup&gt; vs. 86.1 ± 5.85 ml/min/1.73 m&lt;sup&gt;2&lt;/sup&gt;, &lt;i&gt;P&lt;/i&gt; = 0.002). In conclusion, in patients with FD, the addition of bezafibrate to standard lipid-lowering therapy resulted in improved post-fat load and fasting plasma lipids. Combination therapy of statin/fibrate could be considered as standard lipid-lowering treatment in FD.</t>
  </si>
  <si>
    <t>Salt intake and blood pressure response to percutaneous renal denervation in resistant hypertension.</t>
  </si>
  <si>
    <t>de Beus, Esther; de Jager, Rosa L; Beeftink, Martine M; Sanders, Margreet F; Spiering, Wilko; Vonken, Evert-Jan; Voskuil, Michiel; Bots, Michiel L; Blankestijn, Peter J; ,</t>
  </si>
  <si>
    <t>journal of clinical hypertension greenwich conn</t>
  </si>
  <si>
    <t>https://pubmed.ncbi.nlm.nih.gov/28929577</t>
  </si>
  <si>
    <t>The effect of lowering sympathetic nerve activity by renal denervation (RDN) is highly variable. With the exception of office systolic blood pressure (BP), predictors of the BP-lowering effect have not been identified. Because dietary sodium intake influences sympathetic drive, and, conversely, sympathetic activity influences salt sensitivity in hypertension, we investigated 24-hour urinary sodium excretion in participants of the SYMPATHY trial. SYMPATHY investigated RDN in patients with resistant hypertension. Both 24-hour ambulatory and office BP measurements were end points. No relationship was found for baseline sodium excretion and change in BP 6 months after RDN in multivariable-adjusted regression analysis. Change in the salt intake-measured BP relationships at 6 months vs baseline was used as a measure for salt sensitivity. BP was 8 mm Hg lower with similar salt intake after RDN, suggesting a decrease in salt sensitivity. However, the change was similar in the control group, and thus not attributable to RDN.</t>
  </si>
  <si>
    <t>Integrated management of atrial fibrillation including tailoring of anticoagulation in primary care: study design of the ALL-IN cluster randomised trial.</t>
  </si>
  <si>
    <t>van den Dries, Carline J; Oudega, Ruud; Elvan, Arif; Rutten, Frans H; van de Leur, Sjef J C M; Bilo, Henk J G; Hoes, Arno W; Moons, Karel G M; Geersing, Geert-Jan</t>
  </si>
  <si>
    <t>https://pubmed.ncbi.nlm.nih.gov/28928175</t>
  </si>
  <si>
    <t>In our ageing society, we are at the merge of an expected epidemic of atrial fibrillation (AF). AF management requires an integrated approach, including rate or rhythm control, stroke prevention with anticoagulation and treatment of comorbidities such as heart failure or type 2 diabetes. As such, primary care seems to be the logical healthcare setting for the chronic management of patients with AF. However, primary care has not yet played a dominant role in AF management, which has been in fact more fragmented between different healthcare providers. This fragmentation might have contributed to high healthcare costs. To demonstrate the feasibility of managing AF in primary care, studies are needed that evaluate the safety and (cost-)effectiveness of integrated AF management in primary care. The ALL-IN trial is a multicentre, pragmatic, cluster randomised, non-inferiority trial performed in primary care practices in a suburban region in the Netherlands. We aim to include a minimum of 1000 patients with AF aged 65 years or more from around 18 to 30 practices. Duration of the study is 2 years. Practices will be randomised to either the intervention arm (providing integrated AF management, involving a trained practice nurse and collaboration with secondary care) or the control arm (care as usual). The primary endpoint is all-cause mortality. Secondary endpoints are cardiovascular mortality, (non)-cardiovascular hospitalisation, major adverse cardiac events, stroke, major bleeding, clinically relevant non-major bleeding, quality of life and cost-effectiveness. The protocol was approved by the Medical Ethical Committee of the Isala Hospital Zwolle, the Netherlands. Patients in the intervention arm will be asked informed consent for participating in the intervention. Results are expected in 2019 and will be disseminated through both national and international journals and conferences. This trial is registered at the Netherlands Trial Register (NTR5532).</t>
  </si>
  <si>
    <t>Symptom Intensity of Hospice Patients: A Longitudinal Analysis of Concordance Between Patients' and Nurses' Outcomes.</t>
  </si>
  <si>
    <t>de Graaf, Everlien; Zweers, Daniëlle; de Graeff, Alexander; Stellato, Rebecca K; Teunissen, Saskia C C M</t>
  </si>
  <si>
    <t>https://pubmed.ncbi.nlm.nih.gov/28923527</t>
  </si>
  <si>
    <t>Nearing death, hospice patients are increasingly unable or unwilling to self-report their symptom intensity and rely on nurses' assessments. We hypothesized that concordance between patients' and nurses' assessments of symptom intensity improves over time. A prospective longitudinal study was conducted from January 2012 to June 2015 using dyads of patient- and nurse-reported outcome measures, collected in daily hospice practice in the first three weeks after admission. Main outcomes were symptom intensity and well-being, measured using the Utrecht Symptom Diary (USD) and USD-Professional. Absolute concordance was the proportion of dyads with no difference in scores between USD and USD-Professional per week after admission. For agreement beyond chance, the squared weighted Kappa for symptom intensity and the one-way agreement intraclass correlation coefficient for well-being were used. The most prevalent symptoms, fatigue, dry mouth, and anorexia also had the highest intensity scores assessed by patients and nurses. Symptom intensity was underestimated more frequently than overestimated by the nurses. The absolute concordance was fair to good (35%-69%). Agreement beyond chance was low to fair (0.146-0.539) and the intraclass correlation for well-being was low (0.25-0.28). Absolute concordance and agreement beyond chance did not improve over time. Concordance between patients' and nurses' assessment of symptom prevalence is good, and both patients and nurses reveal identical symptoms as most and least prevalent and intense. However, nurses tend to underestimate symptom intensity. Concordance between patients and nurses symptom intensity scores is poor and does not improve over time.</t>
  </si>
  <si>
    <t>Efficacy of Radioembolization with &lt;sup&gt;166&lt;/sup&gt;Ho-Microspheres in Salvage Patients with Liver Metastases: A Phase 2 Study.</t>
  </si>
  <si>
    <t>Prince, Jip F; van den Bosch, Maurice A A J; Nijsen, Johannes F W; Smits, Maarten L J; van den Hoven, Andor F; Nikolakopoulos, Stavros; Wessels, Frank J; Bruijnen, Rutger C G; Braat, Manon N G J A; Zonnenberg, Bernard A; Lam, Marnix G E H</t>
  </si>
  <si>
    <t>https://pubmed.ncbi.nlm.nih.gov/28916623</t>
  </si>
  <si>
    <t>Radioembolization of liver malignancies with &lt;sup&gt;166&lt;/sup&gt;Ho-microspheres has been shown to be safe in a phase 1 dose-escalation study. The purpose of this study was to investigate the efficacy of &lt;sup&gt;166&lt;/sup&gt;Ho radioembolization. &lt;b&gt;Methods:&lt;/b&gt; In this prospective single-arm study, 56 patients were enrolled, all with liver metastases refractory to systemic therapy and ineligible for surgical resection. The primary outcome was a response by 2 target lesions on triphasic liver CT scans 3 mo after therapy, as assessed using RECIST, version 1.1. Secondary outcomes included overall tumor response, time to imaging progression, overall survival, toxicity, quality of life, and quantification of the microspheres on SPECT and MRI. &lt;b&gt;Results:&lt;/b&gt; Between May 2012 and March 2015, 38 eligible patients were treated, one of whom was not evaluable. In 27 (73%) of 37 patients, the target lesions showed complete response, partial response, or stable disease (disease control) at 3 mo (95% confidence interval [CI], 57%-85%). The median overall survival was 14.5 mo (95% CI, 8.6-22.8 mo). For colorectal cancer patients (&lt;i&gt;n&lt;/i&gt; = 23), the median overall survival was 13.4 mo (95% CI, 8.2-15.7 mo). Grade 3 or 4 toxic events after treatment (according to the Common Terminology Criteria for Adverse Events, version 4.03) included abdominal pain (in 18% of patients), nausea (8%), ascites (3%), fatigue (3%), gastric stenosis (3%), hepatic failure (3%), liver abscesses (3%), paroxysmal atrial tachycardia (3%), thoracic pain (3%), upper gastrointestinal hemorrhage (3%), and vomiting (3%). On SPECT, &lt;sup&gt;166&lt;/sup&gt;Ho could be quantified with high accuracy and precision, with a mean overestimation of 9.3% ± 7.1% in the liver. &lt;b&gt;Conclusion:&lt;/b&gt; Radioembolization with &lt;sup&gt;166&lt;/sup&gt;Ho-microspheres induced a tumor response with an acceptable toxicity profile in salvage patients with liver metastases.</t>
  </si>
  <si>
    <t>Construction of Full-length Infectious cDNA Clones of Apple chlorotic leaf spot virus and Their Agroinoculation to Woody Plants by a Novel Method of Vacuum Infiltration.</t>
  </si>
  <si>
    <t>Zhang, Lei; Jelkmann, Wilhelm</t>
  </si>
  <si>
    <t>plant disease</t>
  </si>
  <si>
    <t>https://pubmed.ncbi.nlm.nih.gov/30677370</t>
  </si>
  <si>
    <t>Construction and agroinoculation of full-length infectious cDNA clones of plant RNA viruses have been used in plant virology to prove Koch's postulates and for development of viruses as vectors for expressing foreign genes in plants. Four full-length cDNA clones (pIF3-12, pIF3-14, pIF3-15, and pIF3-19) of Apple chlorotic leaf spot virus (ACLSV) isolate 38/85 were produced. Two of the four full-length cDNA clones (pIF3-15 and pIF3-19) proved to be infectious on Nicotiana occidentalis 37B test plants by agroinoculation and were then mechanically transmissible to healthy N. occidentalis 37B. The genomic cDNAs of ACLSV pIF3-15 and pIF3-19 shared nucleotide identity of 77.5%, demonstrating mixed infections of multiple strains of ACLSV in the source tree of isolate 38/85. The two full-length cDNA clones were agroinoculated to apple seedlings by a newly developed vacuum infiltration method. The success rate of agroinoculation was greater than 78%, defined as the number of PCR positive seedlings to the number of apple seedlings that survived. ACLSV was transmissible from agroinoculated seedlings by cleft grafting. The results of this study will be useful for construction of infectious cDNA clones of plant viruses from full-length PCR fragments and agroinoculating woody host plants using the vacuum infiltration method outlined here.</t>
  </si>
  <si>
    <t>Antimicrobial resistance in women with urinary tract infection in primary care: No relation with type 2 diabetes mellitus.</t>
  </si>
  <si>
    <t>Vinken, Johanna E M; Mol, Helen E; Verheij, Theo J M; van Delft, Sanne; Kolader, Marion; Ekkelenkamp, Miquel B; Rutten, Guy E H M; Broekhuizen, Berna D L</t>
  </si>
  <si>
    <t>https://pubmed.ncbi.nlm.nih.gov/28919055</t>
  </si>
  <si>
    <t>To determine if type 2 diabetes mellitus (T2DM) is associated with the spectrum of uropathogens and antimicrobial resistance in urinary tract infections (UTI) in primary care. A cross-sectional study in female outpatients ≥30 years with positive urine cultures. T2DM patients were 1:1 matched to controls by age group and general practitioner (GP). GPs were sent questionnaires for additional data. Uropathogens and resistance patterns were compared between patients with and without T2DM. Multivariable regression analysis was performed to assess the independent association between T2DM and resistance to first line treatments, defined as resistance to nitrofurantoin, trimethoprim, fosfomycin, ciprofloxacin, amoxicillin/clavulanic acid and/or trimethoprim/sulfamethoxazole. In 566 urine cultures, 680 uropathogens were found. Resistance to first line treatment antibiotics was present in 62.5% of patients. Frequencies and resistance rates of uropathogens did not differ between both groups of patients. Previous UTI and previous hospital admission were independent risk factors for resistance, but T2DM was not. In this study T2DM was not an independent risk factor for antimicrobial resistance in UTI in primary care. Previous UTI and hospitalisation are drivers of resistance and should be included in the decision to perform a urine culture to target first line UTI treatment.</t>
  </si>
  <si>
    <t>Patients to learn from: on the need for systematic integration of research and care in academic health care.</t>
  </si>
  <si>
    <t>Boeckhout, Martin; Scheltens, Philip; Manders, Peggy; Smit, Cees; Bredenoord, Annelien L; Zielhuis, Gerhard A</t>
  </si>
  <si>
    <t>journal of clinical and translational research</t>
  </si>
  <si>
    <t>https://pubmed.ncbi.nlm.nih.gov/30873488</t>
  </si>
  <si>
    <t>Patients suffering from rare, extreme or extremely complex sets of symptoms have something to expect from efforts to improve care through research. Biomedical research and care have often been approached as distinct worlds which are and should be only loosely connected. For observational research focusing on data drawn from real-world settings, however, that approach is found wanting. Integrating research and care responsibly is the main challenge instead. Integrated IT infrastructures facilitating Personalized medicine and Big Data are crucial components of a learning health care system, in which patients regularly play a double role: as individuals to be treated and as cases to learn from. Drawing on the example of the Dutch Parelsnoer Institute (PSI), a national biobanking and IT infrastructure integrated with clinical care procedures, this article outlines the reforms that are needed. Systematic integration of research and care offers a promising avenue, provided that a number of conditions are met: data and IT infrastructures will require overhauls in order to facilitate secure, high-quality data integration between research and care; institutional focus is needed to bring patient populations and expertise together; ethical frameworks and approaches for integrating research and care responsibly require further elaboration; clinical procedures and professional responsibilities may need to be adapted in order to accommodate research requirements in clinical processes; and involvement of patients and other stakeholders in design and research priority setting is needed to further the goals of real-world and patient relevance. Integrating research and care in academic medicine in a more systematic fashion offers a promising perspective to current and future patients. In order to live up to these promises, research and care should be integrated more systematically in academic health science, with patients being included as research participants by default. Data and tissue infrastructures and facilities can provide a platform for doing so. At the same time, many issues remain to be settled. New ethical ways and means for protecting and respecting patient-participants in such a double role are also needed in this respect. In this way a deeper transformation is at stake as well: a change towards a setting in which patients fully take center stage in debate and action on the future of biomedicine.</t>
  </si>
  <si>
    <t>A novel statistical model for analyzing data of a systematic review generates optimal cutoff values for fractional exhaled nitric oxide for asthma diagnosis.</t>
  </si>
  <si>
    <t>Schneider, Antonius; Linde, Klaus; Reitsma, Johannes B; Steinhauser, Susanne; Rücker, Gerta</t>
  </si>
  <si>
    <t>https://pubmed.ncbi.nlm.nih.gov/28916487</t>
  </si>
  <si>
    <t>Measurement of fractional exhaled nitric oxide (FE&lt;sub&gt;NO&lt;/sub&gt;) might substitute bronchial provocation for diagnosing asthma. However, optimal FE&lt;sub&gt;NO&lt;/sub&gt; thresholds for diagnosing asthma remain unclear. We reanalyzed data collected for a systematic review investigating the diagnostic accuracy of FE&lt;sub&gt;NO&lt;/sub&gt; measurement to exploit all available thresholds under consideration of pretest probabilities using a newly developed statistical model. One hundred and fifty data sets for a total of 53 different cutoffs extracted from 26 studies with 4,518 participants were analyzed with the multiple thresholds model. This model allows identifying thresholds at which the test is likely to perform best. Diagnosing asthma might only be possible in a meaningful manner when the pretest probability of asthma is at least 30%. In that case, FE&lt;sub&gt;NO&lt;/sub&gt; &gt; 50 ppb leads to a positive predictive value of 0.76 [95% confidence interval (CI): 0.29-0.96]. Excluding asthma might only be possible, when the pretest probability of asthma is 30% at maximum. Then, FE&lt;sub&gt;NO&lt;/sub&gt; &lt; 20 ppb leads to a negative predictive value of 0.86 (95% CI 0.66-0.95). The multiple thresholds model generates a more comprehensive and more clinically useful picture of the effects of different thresholds, which facilitates the determination of optimal thresholds for diagnosing or excluding asthma with FE&lt;sub&gt;NO&lt;/sub&gt; measurement.</t>
  </si>
  <si>
    <t>Preventing cardiovascular disease after hypertensive disorders of pregnancy: Searching for the how and when.</t>
  </si>
  <si>
    <t>Groenhof, T Katrien J; van Rijn, Bas B; Franx, Arie; Roeters van Lennep, Jeanine E; Bots, Michiel L; Lely, A Titia</t>
  </si>
  <si>
    <t>https://pubmed.ncbi.nlm.nih.gov/28895439</t>
  </si>
  <si>
    <t>Background Women with a history of a hypertensive disorder during pregnancy (HDP) have an increased risk of cardiovascular events. Guidelines recommend assessment of cardiovascular risk factors in these women later in life, but provide limited advice on how this follow-up should be organized. Design Systematic review and meta-regression analysis. Methods The aim of our study was to provide an overview of existing knowledge on the changes over time in three major modifiable components of cardiovascular risk assessment after HDP: blood pressure, glucose homeostasis and lipid levels. Data from 44 studies and up to 6904 women with a history of a HDP were compared with risk factor levels reported for women of corresponding age in the National Health And Nutrition Examination Survey, Estudio Epidemiólogico de la Insuficiencia Renal en España and Hong Kong cohorts ( N = 27,803). Results Compared with the reference cohort, women with a HDP presented with higher mean blood pressure. Hypertension was present in a higher rate among women with a previous HDP from 15 years postpartum onwards. At 15 years postpartum (±age 45), one in five women with a history of a HDP suffer from hypertension. No differences in glucose homeostasis parameters or lipid levels were observed. Conclusions Based on our analysis, it is not possible to point out a time point to commence screening for cardiovascular risk factors in women after a HDP. We recommend redirection of future research towards the development of a stepwise approach identifying the women with the highest cardiovascular risk.</t>
  </si>
  <si>
    <t>Screening for psychological distress before radiotherapy for painful bone metastases may be useful to identify patients with high levels of distress.</t>
  </si>
  <si>
    <t>Westhoff, Paulien G; de Graeff, Alexander; Monninkhof, Evelyn M; Berveling, Maaike J; van Vulpen, Marco; Leer, Jan Willem H; Marijnen, Corrie A M; Reyners, Anna K L; van der Linden, Yvette M; ,</t>
  </si>
  <si>
    <t>https://pubmed.ncbi.nlm.nih.gov/28893119</t>
  </si>
  <si>
    <t>Psychological distress (PD) has a major impact on quality of life. We studied the incidence of PD before and after radiotherapy for painful bone metastases. Furthermore, we aimed to identify factors predictive for PD. Between 1996 and 1998, the Dutch Bone Metastasis Study included 1157 patients with painful bone metastases. Patients were randomized between two fractionation schedules. The study showed a pain response of 74% in both groups. Patients filled out weekly questionnaires for 13 weeks, then monthly for two years. The questionnaires included a subscale for PD on the Rotterdam Symptom Checklist. We used generalized estimating equations and multivariable logistic regression analyses. At baseline, 290 patients (27%) had a high level of PD. For the entire group, the level of PD remained constant over time. The majority of patients with a low level of PD at baseline remained at a low level during follow-up. In patients with a high level of PD at baseline, the mean level of PD decreased after treatment and stabilized around the cutoff level. Female patients, higher age, worse performance, lower pain score and worse self-reported QoL were associated with an increased chance of PD, although the model showed moderate discriminative power. A substantial proportion of patients had a high level of PD before and after radiotherapy for painful bone metastases. Most patients who reported high levels of PD when referred for palliative radiotherapy remained at high levels thereafter. Therefore, screening of PD prior to treatment seems appropriate, in order to select patients requiring intervention.</t>
  </si>
  <si>
    <t>Severe depression more common in patients with ductal carcinoma in situ than early-stage invasive breast cancer patients.</t>
  </si>
  <si>
    <t>Gregorowitsch, M L; van den Bongard, H J G D; Young-Afat, D A; Pignol, J P; van Gils, C H; May, A M; Verkooijen, H M</t>
  </si>
  <si>
    <t>https://pubmed.ncbi.nlm.nih.gov/28894982</t>
  </si>
  <si>
    <t>Ductal carcinoma in situ (DCIS) is associated with an excellent prognosis; historical studies have shown similar levels of psychological distress in patients with DCIS and with early-stage invasive breast cancer (early-IBC). It is suggested that these results might have led to better patient education about prognosis after DCIS. This study reports the current levels of anxiety, depression, and health-related quality of life (HRQoL) in DCIS and early-IBC patients. DCIS (n = 89) and early-IBC patients, T1-2N0, (n = 361) were selected from the UMBRELLA breast cancer cohort. Patient-reported outcomes were prospectively collected before the start of adjuvant radiotherapy (baseline) and at 3, 6, 12, 18, and 24 months thereafter. Mixed models were used to compare differences in levels of anxiety, depression, and HRQoL between DCIS and early-IBC patients. DCIS and early-IBC patients reported similar levels of anxiety, which were highest at baseline. Depression scores were comparable between groups, also after stratification by use of adjuvant chemotherapy. The proportion of patients reporting high-risk depression scores (i.e., Hospital Anxiety and Depression Sale score &gt;8) was significantly higher among patients with DCIS at 6, 12 and 18 months, and this proportion increased over the first 18 months. Health-related quality of life was comparable between both groups. Severe depression scores are more common in DCIS patients, despite their excellent prognosis. These results suggest that further improvement of patient education and effective patient doctor communication about the prognostic differences between patients with DCIS and invasive breast cancer is still highly needed.</t>
  </si>
  <si>
    <t>Reproductive factors in relation to heart failure in women: A systematic review.</t>
  </si>
  <si>
    <t>Bolijn, Renee; Onland-Moret, N Charlotte; Asselbergs, Folkert W; van der Schouw, Yvonne T</t>
  </si>
  <si>
    <t>https://pubmed.ncbi.nlm.nih.gov/29150167</t>
  </si>
  <si>
    <t>The biological mechanisms underlying the sex-related differences in risk of heart failure are still not well understood. The aim of this review was to provide an overview of the current evidence on the association between reproductive factors and risk of heart failure in women.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</si>
  <si>
    <t>Mitochondrial Replacement Techniques: Remaining Ethical Challenges.</t>
  </si>
  <si>
    <t>Bredenoord, Annelien L; Appleby, John B</t>
  </si>
  <si>
    <t>cell stem cell</t>
  </si>
  <si>
    <t>https://pubmed.ncbi.nlm.nih.gov/28886365</t>
  </si>
  <si>
    <t>Recent developments in the field of mitochondrial replacement technique (MRT) research and clinical practice have raised ethical concerns worldwide. We argue that the future use of MRTs requires a concerted effort among the global research and clinical community to implement and enforce responsible innovation and governance.</t>
  </si>
  <si>
    <t>Prevalence and clinical characteristics of apparent therapy-resistant hypertension in patients with cardiovascular disease: a cross-sectional cohort study in secondary care.</t>
  </si>
  <si>
    <t>de Beus, Esther; van der Sande, Nicolette G C; Bots, Michiel L; Spiering, Wilko; Voskuil, Michiel; Visseren, Frank L J; Blankestijn, Peter J</t>
  </si>
  <si>
    <t>https://pubmed.ncbi.nlm.nih.gov/28882918</t>
  </si>
  <si>
    <t>Our aim was to investigate the prevalence of apparent therapy-resistant hypertension (aTRH) in patients with clinical manifest cardiovascular disease (CVD), and to study clinical characteristics related to aTRH in this population. The SMART (Second Manifestations of ARTerial disease) study is a large, single-centre cohort study in secondary care. Office blood pressure (BP) at inclusion was used to evaluate BP control in 6191 hypertensive patients with clinical manifest (cardio)vascular disease. Therapy-resistant hypertension was defined as BP ≥140/90 mm Hg despite use of antihypertensive drugs from ≥3 drug classes including a diuretic or use of ≥4 antihypertensive drugs irrespective of BP. Logistic regression analysis was used to explore the relationship between clinical characteristics measured at baseline and presence of aTRH. The prevalence of aTRH was 9.1% (95% CI 8.4 to 9.8). Prevalence increased with age and when albuminuria was present and was higher in patients with lower estimated glomerular filtration rate (eGFR). Presence of aTRH was related to diabetes, female sex, duration and multiple locations of vascular disease, body mass index and waist circumference. Carotid intima-media thickness was higher (0.99±0.28 vs 0.93±0.28 mm) and ankle-brachial index lower (1.07±0.20 vs 1.10±0.19) in patients with aTRH compared with patients without aTRH. aTRH is prevalent in patients with clinical manifest CVD and is related to clinical factors known to be related with increased vascular risk, and with lower eGFR.</t>
  </si>
  <si>
    <t>Anti-Mullerian hormone and endometrial cancer: a multi-cohort study.</t>
  </si>
  <si>
    <t>Fortner, Renée T; Schock, Helena; Jung, Seungyoun; Allen, Naomi E; Arslan, Alan A; Brinton, Louise A; Egleston, Brian L; Falk, Roni T; Gunter, Marc J; Helzlsouer, Kathy J; Idahl, Annika; Johnson, Theron S; Kaaks, Rudolf; Krogh, Vittorio; Lundin, Eva; Merritt, Melissa A; Navarro, Carmen; Onland-Moret, N Charlotte; Palli, Domenico; Shu, Xiao-Ou; Sluss, Patrick M; Staats, Paul N; Trichopoulou, Antonia; Weiderpass, Elisabete; Zeleniuch-Jacquotte, Anne; Zheng, Wei; Dorgan, Joanne F</t>
  </si>
  <si>
    <t>https://pubmed.ncbi.nlm.nih.gov/28873086</t>
  </si>
  <si>
    <t>The Mullerian ducts are the embryological precursors of the female reproductive tract, including the uterus; anti-Mullerian hormone (AMH) has a key role in the regulation of foetal sexual differentiation. Anti-Mullerian hormone inhibits endometrial tumour growth in experimental models by stimulating apoptosis and cell cycle arrest. To date, there are no prospective epidemiologic data on circulating AMH and endometrial cancer risk. We investigated this association among women premenopausal at blood collection in a multicohort study including participants from eight studies located in the United States, Europe, and China. We identified 329 endometrial cancer cases and 339 matched controls. Anti-Mullerian hormone concentrations in blood were quantified using an enzyme-linked immunosorbent assay. Conditional logistic regression was used to estimate odds ratios (ORs) and 95% confidence intervals (CI) across tertiles and for a doubling of AMH concentrations (OR&lt;sub&gt;log2&lt;/sub&gt;). Subgroup analyses were performed by ages at blood donation and diagnosis, oral contraceptive use, and tumour characteristics. Anti-Mullerian hormone was not associated with the risk of endometrial cancer overall (OR&lt;sub&gt;log2&lt;/sub&gt;: 1.07 (0.99-1.17)), or with any of the examined subgroups. Although experimental models implicate AMH in endometrial cancer growth inhibition, our findings do not support a role for circulating AMH in the aetiology of endometrial cancer.</t>
  </si>
  <si>
    <t>Long-term exposure to particulate matter, NO&lt;sub&gt;2&lt;/sub&gt; and the oxidative potential of particulates and diabetes prevalence in a large national health survey.</t>
  </si>
  <si>
    <t>Strak, Maciej; Janssen, Nicole; Beelen, Rob; Schmitz, Oliver; Vaartjes, Ilonca; Karssenberg, Derek; van den Brink, Carolien; Bots, Michiel L; Dijst, Martin; Brunekreef, Bert; Hoek, Gerard</t>
  </si>
  <si>
    <t>https://pubmed.ncbi.nlm.nih.gov/28886416</t>
  </si>
  <si>
    <t>The evidence from observational epidemiological studies of a link between long-term air pollution exposure and diabetes prevalence and incidence is currently mixed. Some studies found the strongest associations of diabetes with fine particles, other studies with nitrogen dioxide and some studies found no associations. Our aim was to investigate associations between long-term exposure to multiple air pollutants and diabetes prevalence in a large national survey in the Netherlands. We performed a cross-sectional analysis using the 2012 Dutch national health survey to investigate the associations between the 2009 annual average concentrations of multiple air pollutants (PM&lt;sub&gt;10&lt;/sub&gt;, PM&lt;sub&gt;2.5&lt;/sub&gt;, PM&lt;sub&gt;10-2.5&lt;/sub&gt;, PM&lt;sub&gt;2.5&lt;/sub&gt; absorbance, OP&lt;sup&gt;DTT&lt;/sup&gt;, OP&lt;sup&gt;ESR&lt;/sup&gt; and NO&lt;sub&gt;2&lt;/sub&gt;) and diabetes prevalence, among 289,703 adults. Air pollution exposure was assessed by land use regression models. Diabetes was defined based on a combined measure of self-reported physician diagnosis and medication prescription from an external database. Using logistic regression, we adjusted for potential confounders, including neighborhood- and individual socio-economic status and lifestyle-related risk factors such as smoking habits, alcohol consumption, physical activity and BMI. After adjustment for potential confounders, all pollutants (except PM&lt;sub&gt;2.5&lt;/sub&gt;) were associated with diabetes prevalence. In two-pollutant models, NO&lt;sub&gt;2&lt;/sub&gt; and OP&lt;sup&gt;DTT&lt;/sup&gt; remained associated with increased diabetes prevalence. For NO&lt;sub&gt;2&lt;/sub&gt; and OP&lt;sup&gt;DTT&lt;/sup&gt;, single-pollutant ORs per interquartile range were 1.07 (95% CI: 1.05, 1.09) and 1.08 (95% CI: 1.05, 1.10), respectively. Stratified analysis showed no consistent effect modification by any of the included known diabetes risk factors. Long-term residential air pollution exposure was associated with diabetes prevalence in a large health survey in the Netherlands, strengthening the evidence of air pollution being an important diabetes risk factor. Most consistent associations were observed for NO&lt;sub&gt;2&lt;/sub&gt; and oxidative potential of PM&lt;sub&gt;2.5&lt;/sub&gt; measured by the DTT assay. The finding of an association with the oxidative potential of fine particles but not with PM&lt;sub&gt;2.5&lt;/sub&gt;, suggests that particle composition may be important for a potential effect on diabetes.</t>
  </si>
  <si>
    <t>The impact of age and sex on the reporting of cough and angioedema with renin-angiotensin system inhibitors: a case/noncase study in VigiBase.</t>
  </si>
  <si>
    <t>Alharbi, Fawaz F; Kholod, Anzhelika A V; Souverein, Patrick C; Meyboom, Ronald H; de Groot, Mark C H; de Boer, Anthonius; Klungel, Olaf H</t>
  </si>
  <si>
    <t>fundamental clinical pharmacology</t>
  </si>
  <si>
    <t>https://pubmed.ncbi.nlm.nih.gov/28767167</t>
  </si>
  <si>
    <t>The purpose of this study was to assess the impact of age and sex on the reporting of cough and angioedema related to renin-angiotensin system (RAS) inhibitors. A case/noncase study was performed in VigiBase. Two case groups were identified, reports of cough and reports of angioedema, and noncases were all reports of all other adverse events. Logistic regression analysis was used to assess the association between reporting of cough and angioedema with each class of RAS inhibitors stratified by age/sex and to control for confounding. The reporting of cough with angiotensin-converting enzyme (ACE) inhibitors was significantly higher in women than in men [adjusted reporting odds ratio (ROR): 44.0, 95% CI (43.2-44.8) for women vs. 29.2, 95% CI (28.5-29.9) for men]. There was no difference in reporting of cough linked to angiotensin receptor blockers (ARBs) and aliskiren between men and women. In contrast, the reporting of angioedema with ACE inhibitors and ARBs was significantly higher in men than in women, but for aliskiren, women had a significantly higher ROR than men [adjusted ROR: 5.20, 95% CI (4.18-6.46) for women vs. 3.04, 95% CI (2.30-4.02) for men]. The reporting of cough with ACE inhibitors was increased with age until reaching a plateau at middle adulthood (40-59 years) and the reporting of angioedema with ACE inhibitors was increased with age until elderly (60-79 years). Age had only a slight effect on the reporting of cough and angioedema with ARBs and aliskiren. Both age and sex have substantial effects on the reporting of cough and angioedema with RAS inhibitors and in particular ACE inhibitors. Further study is needed to determine whether these differences mainly express different adverse drug reaction risks in subgroups or also can be explained by factors influencing reporting.</t>
  </si>
  <si>
    <t>Cost-effectiveness of human papillomavirus vaccination in Germany.</t>
  </si>
  <si>
    <t>Damm, Oliver; Horn, Johannes; Mikolajczyk, Rafael T; Kretzschmar, Mirjam E E; Kaufmann, Andreas M; Deleré, Yvonne; Ultsch, Bernhard; Wichmann, Ole; Krämer, Alexander; Greiner, Wolfgang</t>
  </si>
  <si>
    <t>https://pubmed.ncbi.nlm.nih.gov/28878573</t>
  </si>
  <si>
    <t>The aim of this study was to assess the cost-effectiveness of human papillomavirus (HPV) vaccination in addition to the current cervical cancer screening programme in Germany using a dynamic transmission model. Based on a mathematical model simulating the transmission dynamics and the natural history of HPV infection and associated diseases (cervical intraepithelial neoplasia, cervical cancer, and genital warts), we estimated the epidemiological and economic consequences of HPV vaccination with both the quadrivalent and bivalent vaccines. In our base case analysis, we assessed the cost-effectiveness of vaccinating 12-year-old girls with a 3-dose schedule. In sensitivity analysis, we also evaluated the use of a 2-dose schedule and assessed the impact of vaccinating boys. From a health care payer perspective, incremental cost-effectiveness ratios (ICERs) of a 3-dose schedule were €34,249 per quality-adjusted life year (QALY) for the bivalent and €14,711 per QALY for the quadrivalent vaccine. Inclusion of indirect costs decreased ICERs by up to 40%. When adopting a health care payer perspective, ICERs of a 2-dose approach decreased to €19,450 per QALY for the bivalent and to €3645 per QALY for the quadrivalent vaccine. From a societal perspective, a 2-dose approach using the quadrivalent vaccine was a cost-saving strategy while using the bivalent vaccine resulted in an ICER of €13,248 per QALY. Irrespective of the perspective adopted, additional vaccination of boys resulted in ICERs exceeding €50,000 per QALY, except for scenarios with low coverage (20%) in girls. Our model results suggest that routine HPV vaccination of 12-year-old girls with three doses is likely to be cost-effective in Germany. Due to the additional impact on genital warts, the quadrivalent vaccine appeared to be more cost-effective than the bivalent vaccine. A 2-dose schedule of the quadrivalent vaccine might even lead to cost savings when adopting a societal perspective. The cost-effectiveness of additional vaccination of boys was highly dependent on the coverage in girls.</t>
  </si>
  <si>
    <t>Pessary or Progesterone to Prevent Preterm delivery in women with short cervical length: the Quadruple P randomised controlled trial.</t>
  </si>
  <si>
    <t>van Zijl, Maud D; Koullali, Bouchra; Naaktgeboren, Christiana A; Schuit, Ewoud; Bekedam, Dick J; Moll, Etelka; Oudijk, Martijn A; van Baal, Wilhelmina M; de Boer, Marjon A; Visser, Henricus; van Drongelen, Joris; van de Made, Flip W; Vollebregt, Karlijn C; Muller, Moira A; Bekker, Mireille N; Brons, Jozien T J; Sueters, Marieke; Langenveld, Josje; Franssen, Maureen T; Schuitemaker, Nico W; van Beek, Erik; Scheepers, Hubertina C J; de Boer, Karin; Tepe, Eveline M; Huisjes, Anjoke J M; Hooker, Angelo B; Verheijen, Evelyn C J; Papatsonis, Dimitri N; Mol, Ben Willem J; Kazemier, Brenda M; Pajkrt, Eva</t>
  </si>
  <si>
    <t>https://pubmed.ncbi.nlm.nih.gov/28870155</t>
  </si>
  <si>
    <t>Preterm birth is in quantity and in severity the most important topic in obstetric care in the developed world. Progestogens and cervical pessaries have been studied as potential preventive treatments with conflicting results. So far, no study has compared both treatments. The Quadruple P study aims to compare the efficacy of vaginal progesterone and cervical pessary in the prevention of adverse perinatal outcome associated with preterm birth in asymptomatic women with a short cervix, in singleton and multiple pregnancies separately. It is a nationwide open-label multicentre randomized clinical trial (RCT) with a superiority design and will be accompanied by an economic analysis. Pregnant women undergoing the routine anomaly scan will be offered cervical length measurement between 18 and 22 weeks in a singleton and at 16-22 weeks in a multiple pregnancy. Women with a short cervix, defined as less than, or equal to 35 mm in a singleton and less than 38 mm in a multiple pregnancy, will be invited to participate in the study. Eligible women will be randomly allocated to receive either progesterone or a cervical pessary. Following randomization, the silicone cervical pessary will be placed during vaginal examination or 200 mg progesterone capsules will be daily self-administered vaginally. Both interventions will be continued until 36 weeks gestation or until delivery, whichever comes first. Primary outcome will be composite adverse perinatal outcome of perinatal mortality and perinatal morbidity including bronchopulmonary dysplasia, intraventricular haemorrhage grade III and IV, periventricular leukomalacia higher than grade I, necrotizing enterocolitis higher than stage I, Retinopathy of prematurity (ROP) or culture proven sepsis. These outcomes will be measured up until 10 weeks after the expected due date. Secondary outcomes will be, among others, time to delivery, preterm birth rate before 28, 32, 34 and 37 weeks, admission to neonatal intensive care unit, maternal morbidity, maternal admission days for threatened preterm labour and costs. This trial will provide evidence on whether vaginal progesterone or a cervical pessary is more effective in decreasing adverse perinatal outcome in both singletons and multiples. Trial registration number: NTR 4414 . Date of registration January 29th 2014.</t>
  </si>
  <si>
    <t>heartfailurematters.org', an educational website for patients and carers from the Heart Failure Association of the European Society of Cardiology: objectives, use and future directions.</t>
  </si>
  <si>
    <t>Wagenaar, Kim P; Rutten, Frans H; Klompstra, Leonie; Bhana, Yusuf; Sieverink, Floor; Ruschitzka, Frank; Seferovic, Petar M; Lainscak, Mitja; Piepoli, Massimo F; Broekhuizen, Berna D L; Strömberg, Anna; Jaarsma, Tiny; Hoes, Arno W; Dickstein, Kenneth</t>
  </si>
  <si>
    <t>https://pubmed.ncbi.nlm.nih.gov/28871622</t>
  </si>
  <si>
    <t>In 2007, the Heart Failure Association of the European Society of Cardiology (ESC) launched the information website heartfailurematters.org (HFM site) with the aim of creating a practical tool through which to provide advice and guidelines for living with heart failure to patients, their carers, health care professionals and the general public worldwide. The website is managed by the ESC at the European Heart House and is currently available in nine languages. The aim of this study is to describe the background, objectives, use, lessons learned and future directions of the HFM site. Data on the number of visitor sessions on the site as measured by Google Analytics were used to explore use of the HFM site from 2010 to 2015. Worldwide, the annual number of sessions increased from 416 345 in 2010 to 1 636 368 in 2015. Most users (72-75%) found the site by using a search engine. Desktops and, more recently, smartphones were used to visit the website, accounting for 50% and 38%, respectively, of visits to the site in 2015. Although its use has increased, the HFM site has not yet reached its full potential: fewer than 2 million users have visited the website, whereas the number of people living with heart failure worldwide is estimated to be 23 million. Uptake and use could be further improved by a continuous process of qualitative assessment of users' preferences, and the provision of professional helpdesk facilities, comprehensive information technology, and promotional support.</t>
  </si>
  <si>
    <t>Identification and rejection of pile-up jets at high pseudorapidity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</si>
  <si>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t>
  </si>
  <si>
    <t>https://pubmed.ncbi.nlm.nih.gov/32011613</t>
  </si>
  <si>
    <t>The rejection of forward jets originating from additional proton-proton interactions (pile-up) is crucial for a variety of physics analyses at the LHC, including Standard Model measurements and searches for physics beyond the Standard Model. The identification of such jets is challenging due to the lack of track and vertex information in the pseudorapidity range &lt;math xmlns="http://www.w3.org/1998/Math/MathML"&gt;&lt;mrow&gt;&lt;mo&gt;|&lt;/mo&gt; &lt;mi&gt;η&lt;/mi&gt; &lt;mo&gt;|&lt;/mo&gt; &lt;mo&gt;&gt;&lt;/mo&gt; &lt;mn&gt;2.5&lt;/mn&gt;&lt;/mrow&gt; &lt;/math&gt; . This paper presents a novel strategy for forward pile-up jet tagging that exploits jet shapes and topological jet correlations in pile-up interactions. Measurements of the per-jet tagging efficiency are presented using a data set of 3.2 fb &lt;math xmlns="http://www.w3.org/1998/Math/MathML"&gt;&lt;msup&gt;&lt;mrow&gt;&lt;/mrow&gt; &lt;mrow&gt;&lt;mo&gt;-&lt;/mo&gt; &lt;mn&gt;1&lt;/mn&gt;&lt;/mrow&gt; &lt;/msup&gt; &lt;/math&gt; of proton-proton collisions at a centre-of-mass energy of 13 &lt;math xmlns="http://www.w3.org/1998/Math/MathML"&gt;&lt;mrow&gt;&lt;mspace&gt;&lt;/mspace&gt; &lt;mtext&gt;TeV&lt;/mtext&gt;&lt;/mrow&gt; &lt;/math&gt; collected with the ATLAS detector. The fraction of pile-up jets rejected in the range &lt;math xmlns="http://www.w3.org/1998/Math/MathML"&gt;&lt;mrow&gt;&lt;mn&gt;2.5&lt;/mn&gt; &lt;mo&gt;&lt;&lt;/mo&gt; &lt;mo&gt;|&lt;/mo&gt; &lt;mi&gt;η&lt;/mi&gt; &lt;mo&gt;|&lt;/mo&gt; &lt;mo&gt;&lt;&lt;/mo&gt; &lt;mn&gt;4.5&lt;/mn&gt;&lt;/mrow&gt; &lt;/math&gt; is estimated in simulated events with an average of 22 interactions per bunch-crossing. It increases with jet transverse momentum and, for jets with transverse momentum between 20 and 50 GeV, it ranges between 49% and 67% with an efficiency of 85% for selecting hard-scatter jets. A case study is performed in Higgs boson production via the vector-boson fusion process, showing that these techniques mitigate the background growth due to additional proton-proton interactions, thus enhancing the reach for such signatures.</t>
  </si>
  <si>
    <t>Immunogenicity of the 13-Valent Pneumococcal Conjugate Vaccine in Older Adults With and Without Comorbidities in the Community-Acquired Pneumonia Immunization Trial in Adults (CAPiTA).</t>
  </si>
  <si>
    <t>van Deursen, Anna M M; van Houten, Marlies A; Webber, Chris; Patton, Michael; Scott, Daniel A; Patterson, Scott; Sidhu, Mohinder; Drews, Wayne; Gruber, William C; Emini, Emilio A; Grobbee, Diederick E; Bonten, Marc J M; Sanders, Elisabeth A M</t>
  </si>
  <si>
    <t>https://pubmed.ncbi.nlm.nih.gov/29017280</t>
  </si>
  <si>
    <t>In the randomized controlled Community-Acquired Pneumonia Immunization Trial in Adults (CAPiTA), the efficacy of the 13-valent pneumococcal conjugate vaccine (PCV13) against first episodes of vaccine-type community-acquired pneumonia in adults aged ≥65 years was 46%. The long-term immunogenicity of PCV13 in pneumococcal vaccine-naive older adults was investigated as part of CAPiTA. We determined the immune responses to PCV13 before and at 1, 12, and 24 months after vaccination in 1006 PCV13 recipients and 1005 controls with 3 age-stratified study participant cohorts. PCV13 serotype-specific opsonophagocytic activity (OPA) titers and immunoglobulin G (IgG) concentrations were determined. Sample collection completeness was at least 93.4% at each time point. In all 3 age categories, a single dose of PCV13 elicited OPA titers and IgG concentrations for all 13 serotypes that were significantly higher than baseline and the corresponding responses in the placebo group at all time points. In the eldest subjects (≥80 years of age at vaccination), OPA titers and IgG concentrations remained above baseline and there was no apparent difference in OPA titers and IgG concentrations between those with self-reported comorbidities and healthy older adults. However, the study was not powered to determine statistical significance between different age and comorbidity groups, and thus these results are exploratory. In immunocompetent adults ≥65 years of age, PCV13 elicits significant increases in OPA titers and IgG concentrations that persist 2 years postvaccination for all 13 serotypes, regardless of age and comorbidity. NCT00744263.</t>
  </si>
  <si>
    <t>Maintenance treatment with capecitabine and bevacizumab versus observation in metastatic colorectal cancer: updated results and molecular subgroup analyses of the phase 3 CAIRO3 study.</t>
  </si>
  <si>
    <t>Goey, K K H; Elias, S G; van Tinteren, H; Laclé, M M; Willems, S M; Offerhaus, G J A; de Leng, W W J; Strengman, E; Ten Tije, A J; Creemers, G-J M; van der Velden, A; de Jongh, F E; Erdkamp, F L G; Tanis, B C; Punt, C J A; Koopman, M</t>
  </si>
  <si>
    <t>https://pubmed.ncbi.nlm.nih.gov/28911067</t>
  </si>
  <si>
    <t>The phase 3 CAIRO3 study showed that capecitabine plus bevacizumab (CAP-B) maintenance treatment after six cycles capecitabine, oxaliplatin, and bevacizumab (CAPOX-B) in metastatic colorectal cancer (mCRC) patients is effective, without compromising quality of life. In this post hoc analysis with updated follow-up and data regarding sidedness, we defined subgroups according to RAS/BRAF mutation status and mismatch repair (MMR) status, and investigated their influence on treatment efficacy. A total of 558 patients with previously untreated mCRC and stable disease or better after six cycles CAPOX-B induction treatment were randomised to either CAP-B maintenance treatment (n = 279) or observation (n = 279). Upon first progression, patients were to receive CAPOX-B reintroduction until second progression (PFS2, primary end point). We centrally assessed RAS/BRAF mutation status and MMR status, or used local results if central assessment was not possible. Intention-to-treat stratified Cox models adjusted for baseline covariables were used to examine whether treatment efficacy was modified by RAS/BRAF mutation status. RAS, BRAF mutations, and MMR deficiency were detected in 240/420 (58%), 36/381 (9%), and 4/279 (1%) patients, respectively. At a median follow-up of 87 months (IQR 69-97), all mutational subgroups showed significant improvement from maintenance treatment for the primary end point PFS2 [RAS/BRAF wild-type: hazard ratio (HR) 0.57 (95% CI 0.39-0.84); RAS-mutant: HR 0.74 (0.55-0.98); V600EBRAF-mutant: HR 0.28 (0.12-0.64)] and secondary end points, except for the RAS-mutant subgroup regarding overall survival. Adjustment for sidedness instead of primary tumour location yielded comparable results. Although right-sided tumours were associated with inferior prognosis, both patients with right- and left-sided tumours showed significant benefit from maintenance treatment. CAP-B maintenance treatment after six cycles CAPOX-B is effective in first-line treatment of mCRC across all mutational subgroups. The benefit of maintenance treatment was most pronounced in patients with RAS/BRAF wild-type and V600EBRAF-mutant tumours. NCT00442637.</t>
  </si>
  <si>
    <t>Renal safety of catheter-based renal denervation: systematic review and meta-analysis.</t>
  </si>
  <si>
    <t>Sanders, Margreet F; Reitsma, Johannes B; Morpey, Moira; Gremmels, Hendrik; Bots, Michiel L; Pisano, Anna; Bolignano, Davide; Zoccali, Carmine; Blankestijn, Peter J</t>
  </si>
  <si>
    <t>https://pubmed.ncbi.nlm.nih.gov/29059396</t>
  </si>
  <si>
    <t>Catheter-based renal denervation (RDN) is a possible treatment to lower blood pressure. The invasive nature of RDN and the use of contrast agents raise concerns about potential consequent kidney damage. Our objective was to determine the change in renal function after RDN by performing a systematic review on hypertensive patients treated with RDN. A systematic search was performed in the Embase and MEDLINE databases to identify studies reporting on the effects of catheter-based RDN on renal outcome. Studies published between January 2009 and May 2016, irrespective of study design, device used or indication for treatment were included. We performed random effects meta-analyses on the change in estimated glomerular filtration rate (eGFR), serum creatinine, serum cystatin C and albumin:creatinine ratio after RDN. We only extracted and meta-analysed data from patients treated with RDN. From 1034 citations, 52 studies (38 cohort studies, 4 non-randomized comparative studies and 10 randomized controlled trials) reporting on 56 RDN cohorts were included in meta-analyses and another 14 studies in a qualitative review. Of these 56 cohorts, 48 were specifically eligible for determining the change in eGFR after RDN, totaling 2381 patients. There was no statistically significant change in eGFR after a mean follow-up time of 9.1 ± 7.0 months [0.64 mL/min/1.73 m 2 (95% confidence interval -0.47 to 1.76), P = 0.26]. The pooled mean change in serum creatinine and the results of the qualitative review further supported these findings. Based on meta-analyses of 52 studies and a qualitative review of an additional 14 studies, reporting on 2898 patients in total, we conclude that renal function does not significantly change up to at least 9 months after RDN.</t>
  </si>
  <si>
    <t>Reply to Cobussen et al.</t>
  </si>
  <si>
    <t>https://pubmed.ncbi.nlm.nih.gov/29017276</t>
  </si>
  <si>
    <t>Selective digestive and oropharyngeal decontamination in medical and surgical ICU patients: individual patient data meta-analysis.</t>
  </si>
  <si>
    <t>Plantinga, N L; de Smet, A M G A; Oostdijk, E A N; de Jonge, E; Camus, C; Krueger, W A; Bergmans, D; Reitsma, J B; Bonten, M J M</t>
  </si>
  <si>
    <t>https://pubmed.ncbi.nlm.nih.gov/28870727</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</si>
  <si>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</si>
  <si>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A four-domain approach of frailty explored in the Doetinchem Cohort Study.</t>
  </si>
  <si>
    <t>van Oostrom, Sandra H; van der A, Daphne L; Rietman, M Liset; Picavet, H Susan J; Lette, Manon; Verschuren, W M Monique; de Bruin, Simone R; Spijkerman, Annemieke M W</t>
  </si>
  <si>
    <t>https://pubmed.ncbi.nlm.nih.gov/28854882</t>
  </si>
  <si>
    <t>Accumulation of problems in physical, psychological, cognitive, or social functioning is characteristic for frail individuals. Using a four-domain approach of frailty, this study explored how sociodemographic and lifestyle factors, life events and health are associated with frailty. The study sample included 4019 men and women (aged 40-81 years) examined during the fifth round (2008-2012) of the Doetinchem Cohort Study. Four domains of frailty were considered: physical (≥4 of 8 criteria: unintentional weight loss, exhaustion, strength, perceived health, walking, balance, hearing and vision impairments), psychological (2 criteria: depressive symptoms, mental health), cognitive (&lt;10th percentile on global cognitive functioning), and social frailty (≥2 of 3 criteria: loneliness, social support, social participation). Logistic regression was used to study the cross-sectional association of sociodemographic factors, lifestyle, life events and chronic diseases with frailty domains. About 17% of the population was frail on one or more domains. Overlap between the frailty domains was limited since 82% of the frail population was frail on one domain only. Low educated respondents were at higher risk of being psychologically and socially frail. Having multiple diseases was associated with a higher risk of being physically and psychologically frail. Being physically active was consistently associated with a lower risk of frailty on each of the four domains. Short or long sleep duration was associated with a higher risk of being physically, psychologically, and socially frail. Sociodemographic factors, lifestyle and multimorbidity contributed differently to the four frailty domains. It is important to consider multiple frailty domains since this helps to identify different groups of frail people, and as such to provide tailored care and support. Lifestyle factors including physical activity, smoking and sleep duration were associated with multiple domains of frailty.</t>
  </si>
  <si>
    <t>Non-specific effects of measles, mumps, and rubella (MMR) vaccination in high income setting: population based cohort study in the Netherlands.</t>
  </si>
  <si>
    <t>Tielemans, Susanne M A J; de Melker, Hester E; Hahné, Susan J M; Boef, Anna G C; van der Klis, Fiona R M; Sanders, Elisabeth A M; van der Sande, Marianne A B; Knol, Mirjam J</t>
  </si>
  <si>
    <t>https://pubmed.ncbi.nlm.nih.gov/28855159</t>
  </si>
  <si>
    <t>&lt;b&gt;Objectives&lt;/b&gt; To investigate whether measles, mumps, and rubella (MMR) vaccine has positive non-specific effects in a high income setting and to compare rates of hospital admissions for infections between children aged ≤2 years who received live MMR vaccine and those who received an inactivated vaccine against diphtheria, tetanus, pertussis, polio, and &lt;i&gt;Haemophilus influenzae&lt;/i&gt; type b (DTaP-IPV-Hib) as their most recent vaccination.&lt;b&gt;Design&lt;/b&gt; Nationwide population based cohort study.&lt;b&gt;Setting&lt;/b&gt; In the Netherlands, DTaP-IPV-Hib+pneumococcal vaccination (PCV) is recommended at ages 2, 3, 4, and 11 months and MMR + meningococcal C (MenC) vaccination at age 14 months. Data from the national vaccine register were linked to hospital admission data.&lt;b&gt;Participants&lt;/b&gt; 1 096 594 children born in 2005-11 who received the first four DTaP-IPV-Hib+PCV vaccines.&lt;b&gt;Main outcome measures&lt;/b&gt; Hazard ratio for admission to hospital for infection in children with MMR+MenC compared with the fourth DTaP-IPV-Hib+PCV as their most recent vaccination. Cox regression was performed with most recent vaccination as time dependent variable, adjusted for potential confounders. Analyses were repeated with admission for injuries or poisoning as a negative control outcome. In addition, rate of admission for infection was compared between the fourth and third DTaP-IPV-Hib+PCVas most recent vaccination.&lt;b&gt;Results&lt;/b&gt; Having had MMR+MenC as the most recent vaccination was associated with a hazard ratio of 0.62 (95% confidence interval 0.57 to 0.67) for admission to hospital for infection and 0.84 (0.73 to 0.96) for injuries or poisoning, compared with the fourth DTaP-IPV-Hib+PCV as most recent vaccination. The fourth DTaP-IPV-Hib+PCV as most recent vaccination was associated with a hazard ratio of 0.69 (0.63 to 0.76) for admission to hospital for infection, compared with the third DTaP-IPV-Hib+PCV as most recent vaccination.&lt;b&gt;Conclusions&lt;/b&gt; Healthy vaccinee bias could at least partly explain the observed lower rate of admission to hospital with infection after MMR vaccination. The lower rate is associated with receipt of any additional vaccine, not specifically MMR vaccine. This emphasises the caution required in the interpretation of findings from observational studies on non-specific effects of vaccination.</t>
  </si>
  <si>
    <t>Measurement of &lt;math xmlns="http://www.w3.org/1998/Math/MathML"&gt;&lt;mrow&gt;&lt;mi&gt;W&lt;/mi&gt; &lt;mi&gt;W&lt;/mi&gt; &lt;mo&gt;/&lt;/mo&gt; &lt;mi&gt;W&lt;/mi&gt; &lt;mi&gt;Z&lt;/mi&gt; &lt;mo&gt;→&lt;/mo&gt; &lt;mi&gt;ℓ&lt;/mi&gt; &lt;mi&gt;ν&lt;/mi&gt; &lt;mi&gt;q&lt;/mi&gt; &lt;msup&gt;&lt;mi&gt;q&lt;/mi&gt; &lt;mo&gt;'&lt;/mo&gt;&lt;/msup&gt; &lt;/mrow&gt; &lt;/math&gt; production with the hadronically decaying boson reconstructed as one or two jets in &lt;i&gt;pp&lt;/i&gt; collisions at &lt;math xmlns="http://www.w3.org/1998/Math/MathML"&gt; &lt;mrow&gt;&lt;msqrt&gt;&lt;mi&gt;s&lt;/mi&gt;&lt;/msqrt&gt; &lt;mo&gt;=&lt;/mo&gt; &lt;mn&gt;8&lt;/mn&gt; &lt;mspace&gt;&lt;/mspace&gt; &lt;mtext&gt;TeV&lt;/mtext&gt;&lt;/mrow&gt; &lt;/math&gt; with ATLAS, and constraints on anomalous gauge couplings.</t>
  </si>
  <si>
    <t>https://pubmed.ncbi.nlm.nih.gov/32011611</t>
  </si>
  <si>
    <t>This paper presents a study of the production of &lt;i&gt;WW&lt;/i&gt; or &lt;i&gt;WZ&lt;/i&gt; boson pairs, with one &lt;i&gt;W&lt;/i&gt; boson decaying to &lt;math xmlns="http://www.w3.org/1998/Math/MathML"&gt;&lt;mrow&gt;&lt;mi&gt;e&lt;/mi&gt; &lt;mi&gt;ν&lt;/mi&gt;&lt;/mrow&gt; &lt;/math&gt; or &lt;math xmlns="http://www.w3.org/1998/Math/MathML"&gt;&lt;mrow&gt;&lt;mi&gt;μ&lt;/mi&gt; &lt;mi&gt;ν&lt;/mi&gt;&lt;/mrow&gt; &lt;/math&gt; and one &lt;i&gt;W&lt;/i&gt; or &lt;i&gt;Z&lt;/i&gt; boson decaying hadronically. The analysis uses &lt;math xmlns="http://www.w3.org/1998/Math/MathML"&gt;&lt;mrow&gt;&lt;mn&gt;20.2&lt;/mn&gt; &lt;mspace&gt;&lt;/mspace&gt; &lt;mspace&gt;&lt;/mspace&gt; &lt;mtext&gt;fb&lt;/mtext&gt; &lt;msup&gt;&lt;mspace&gt;&lt;/mspace&gt; &lt;mrow&gt;&lt;mo&gt;-&lt;/mo&gt; &lt;mn&gt;1&lt;/mn&gt;&lt;/mrow&gt; &lt;/msup&gt; &lt;/mrow&gt; &lt;/math&gt; of &lt;math xmlns="http://www.w3.org/1998/Math/MathML"&gt; &lt;mrow&gt;&lt;msqrt&gt;&lt;mi&gt;s&lt;/mi&gt;&lt;/msqrt&gt; &lt;mo&gt;=&lt;/mo&gt; &lt;mn&gt;8&lt;/mn&gt; &lt;mspace&gt;&lt;/mspace&gt; &lt;mtext&gt;TeV&lt;/mtext&gt;&lt;/mrow&gt; &lt;/math&gt; &lt;i&gt;pp&lt;/i&gt; collision data, collected by the ATLAS detector at the Large Hadron Collider. Cross-sections for &lt;i&gt;WW&lt;/i&gt; / &lt;i&gt;WZ&lt;/i&gt; production are measured in high- &lt;math xmlns="http://www.w3.org/1998/Math/MathML"&gt;&lt;msub&gt;&lt;mi&gt;p&lt;/mi&gt; &lt;mi&gt;T&lt;/mi&gt;&lt;/msub&gt; &lt;/math&gt; fiducial regions defined close to the experimental event selection. The cross-section is measured for the case where the hadronically decaying boson is reconstructed as two resolved jets, and the case where it is reconstructed as a single jet. The transverse momentum distribution of the hadronically decaying boson is used to search for new physics. Observations are consistent with the Standard Model predictions, and 95% confidence intervals are calculated for parameters describing anomalous triple gauge-boson couplings.</t>
  </si>
  <si>
    <t>Physical ExeRcise Following Esophageal Cancer Treatment (PERFECT) study: design of a randomized controlled trial.</t>
  </si>
  <si>
    <t>van Vulpen, Jonna K; Siersema, Peter D; van Hillegersberg, Richard; Nieuwenhuijzen, Grard A P; Kouwenhoven, Ewout A; Groenendijk, Richard P R; van der Peet, Donald L; Hazebroek, Eric J; Rosman, Camiel; Schippers, Carlo C G; Steenhagen, Elles; Peeters, Petra H M; May, Anne M</t>
  </si>
  <si>
    <t>https://pubmed.ncbi.nlm.nih.gov/28821284</t>
  </si>
  <si>
    <t>Following esophagectomy, esophageal cancer patients experience a clinically relevant deterioration of health-related quality of life, both on the short- and long-term. With the currently growing number of esophageal cancer survivors, the burden of disease- and treatment-related complaints and symptoms becomes more relevant. This emphasizes the need for interventions aimed at improving quality of life. Beneficial effects of post-operative physical exercise have been reported in several cancer types, but so far comparable evidence in esophageal cancer patients is lacking. The aim of this study is to investigate effects of physical exercise on health-related quality of life in esophageal cancer patients following surgery. The Physical ExeRcise Following Esophageal Cancer Treatment (PERFECT) study is a multicenter randomized controlled trial including 150 esophageal cancer patients after surgery with curative intent. Patients are randomly allocated to an exercise group or usual care group. The exercise group participates in a 12-week combined aerobic and resistance exercise program, supervised by a physiotherapist near the patient's home-address. In addition, participants in the exercise group are requested to be physically active for at least 30 min per day, every day of the week. Participants allocated to the usual care group are asked to maintain their habitual physical activity pattern. The primary outcome is health-related quality of life (EORTC-QLQ-C30). Secondary outcomes include esophageal cancer specific quality of life, fatigue, anxiety and depression, sleep quality, work-related factors, cardiorespiratory fitness (VO&lt;sub&gt;2peak&lt;/sub&gt;), muscle strength, physical activity, malnutrition risk, anthropometry, blood markers, recurrence of disease and survival. All questionnaire outcomes, diaries and accelerometers are assessed at baseline, post-intervention (12 weeks post-baseline) and 24 weeks post-baseline. Physical fitness, anthropometry and blood markers are assessed at baseline and post-intervention. In addition, adherence and safety are monitored throughout the exercise program. This randomized controlled trial investigates effects of physical exercise versus usual care in esophageal cancer patients after surgery. As the design of the exercise program closely resembles daily practice, this study can contribute both to evidence on effects of exercise in esophageal cancer patients, and to potential implementation strategies. Trial registration:Netherlands Trial Registry NTR5045 Date of trial registration: January 19th, 2015 Date and version study protocol: February 2017, version 1.</t>
  </si>
  <si>
    <t>STARD for Abstracts: essential items for reporting diagnostic accuracy studies in journal or conference abstracts.</t>
  </si>
  <si>
    <t>Cohen, Jérémie F; Korevaar, Daniël A; Gatsonis, Constantine A; Glasziou, Paul P; Hooft, Lotty; Moher, David; Reitsma, Johannes B; de Vet, Henrica Cw; Bossuyt, Patrick M; ,</t>
  </si>
  <si>
    <t>https://pubmed.ncbi.nlm.nih.gov/28819063</t>
  </si>
  <si>
    <t>Challenge in interpretation of Mendelian randomization studies using lactase persistence as instrumental variable.</t>
  </si>
  <si>
    <t>Vissers, L E T; van der Schouw, Y T; Sluijs, I</t>
  </si>
  <si>
    <t>https://pubmed.ncbi.nlm.nih.gov/28812574</t>
  </si>
  <si>
    <t>Reproducibility and relative validity of a food frequency questionnaire to estimate intake of dietary phylloquinone and menaquinones.</t>
  </si>
  <si>
    <t>Zwakenberg, S R; Engelen, A I P; Dalmeijer, G W; Booth, S L; Vermeer, C; Drijvers, J J M M; Ocke, M C; Feskens, E J M; van der Schouw, Y T; Beulens, J W J</t>
  </si>
  <si>
    <t>https://pubmed.ncbi.nlm.nih.gov/28812579</t>
  </si>
  <si>
    <t>This study aims to investigate the reproducibility and relative validity of the Dutch food frequency questionnaire (FFQ), to estimate intake of dietary phylloquinone and menaquinones compared with 24-h dietary recalls (24HDRs) and plasma markers of vitamin K status. In a cross-sectional study among 63 men and 58 women, the FFQ was completed three times over a 1-year period and the reproducibility was calculated over these measurements. Twelve-monthly 24HDR were collected to estimate relative validity. In addition, the relative validity of the FFQ, compared with plasma phylloquinone and desphospho-uncarboxylated matrix Gla protein (dpucMGP), was assessed cross-sectionally among 507 postmenopausal women. Intraclass correlations showed a good reproducibility, with correlations ranging from 0.65 to 0.83. The relative validity for phylloquinone intake compared with 24HDR was lower for women (r&lt;sub&gt;s&lt;/sub&gt;=0.28) than men (r&lt;sub&gt;s&lt;/sub&gt;=0.40). The relative validity, compared with 24HDR, for intake of short-chain menaquinones were ranging between 0.30 and 0.34. Long-chain menaquinones showed good relative validity (r&lt;sub&gt;s&lt;/sub&gt;=0.60-0.69). Plasma phylloquinone concentrations were weakly correlated with phylloquinone intake (r&lt;sub&gt;s&lt;/sub&gt;=0.16 (0.07-0.24). Plasma dpucMGP was negatively but weakly correlated with phylloquinone intake (r&lt;sub&gt;s&lt;/sub&gt;=-0.09 (-0.18; -0.01)) and long-chain menaquinones (r&lt;sub&gt;s&lt;/sub&gt;=-0.13 (-0.21; -0.04)), but not with short-chain menaquinones (r&lt;sub&gt;s&lt;/sub&gt;=-0.04 (-0.13; 0.05)). The FFQ is reproducible to rank subjects for phylloquinone and menaquinone intake.The relative validity of our FFQ, compared with 24HDR, to estimate intake of phylloquinone and short-chain menaquinones was low, but the relative validity for long-chain menaquinones was good. The relative validity of our FFQ, compared with plasma phylloquinone and dpucMGP, was relatively low for both phylloquinone and menaquinone intake.</t>
  </si>
  <si>
    <t>The impact of serum potassium-influencing antihypertensive drugs on the risk of out-of-hospital cardiac arrest: A case-control study.</t>
  </si>
  <si>
    <t>Alharbi, Fawaz F; Souverein, Patrick C; de Groot, Mark C H; Blom, Marieke T; de Boer, Anthonius; Klungel, Olaf H; Tan, Hanno L</t>
  </si>
  <si>
    <t>https://pubmed.ncbi.nlm.nih.gov/28662543</t>
  </si>
  <si>
    <t>Sudden cardiac arrest (SCA) is a complex multifactorial event and most commonly caused by ventricular tachycardia/ fibrillation (VT/ VF). Some antihypertensive drugs could induce hypokalaemia or hyperkalaemia, which may increase susceptibility to VT/VF and SCA. To assess the association between different classes of antihypertensive drugs classified according to their potential impact on serum potassium levels and the occurrence of out-of-hospital cardiac arrest (OHCA) based on VT/VF. A case-control study was performed among current users of antihypertensive drugs. Cases were OHCA victims with electrocardiogram documented VT/VF drawn from the AmsteRdam REsuscitation STudies (ARREST) registry, and controls were non-OHCA individuals from the PHARMO database. Antihypertensive drugs were classified into: (i) antihypertensives with neutral effect on serum potassium levels; (ii) hypokalaemia-inducing antihypertensives; (iii) hyperkalaemia-inducing antihypertensives; (iv) combination of antihypertensives with hypo- and hyperkalaemic effects. We included 1345 cases and 4145 controls. The risk of OHCA was significantly increased among users of hypokalaemia-inducing antihypertensives [adjusted odds ratio (OR) 1.39; 95% confidence interval (CI) 1.10-1.76] and among users of a combination of antihypertensives with hypo- and hyperkalaemic effects (adjusted OR 1.42; 95%CI 1.17-1.72) vs. users of antihypertensives with neutral effect. There was no difference in OHCA risk between users of hyperkalaemia-inducing antihypertensives vs. users of antihypertensive drugs with neutral effect (adjusted OR 1.15; 95%CI 0.95-1.40). The risk of OHCA is significantly increased in patients who were current users of hypokalaemia-inducing antihypertensives and patients using a combination of antihypertensives with hypo- and hyperkalaemic effects.</t>
  </si>
  <si>
    <t>Rotavirus disease course among immunocompromised patients; 5-year observations from a tertiary care medical centre.</t>
  </si>
  <si>
    <t>Bruijning-Verhagen, P; Nipshagen, M D; de Graaf, H; Bonten, M J M</t>
  </si>
  <si>
    <t>https://pubmed.ncbi.nlm.nih.gov/28813644</t>
  </si>
  <si>
    <t>Rotavirus (RV) is highly endemic inside and outside hospital-settings. Immunocompromised children and adults are at risk of complicated rotavirus gastroenteritis (RVGE), but general rotavirus disease severity in this group remains poorly described and rotavirus testing is not routinely performed beyond infancy. We assessed rotavirus disease among immunocompromised hospitalized patients. Rotavirus infections at a Dutch tertiary-care centre were identified from 5-year laboratory records. Rotavirus disease course was evaluated by chart review for each immunocompromised patient. In a matched case-control analysis, we assessed whether being immunocompromised predisposed to RVGE. Rotavirus testing practice for suspected infectious gastroenteritis in our hospital was determined over a 3-years period. Out of 4584 RV tests performed, 294 were positive among hospitalized patients. Immunocompromised patients represented 57% (N = 20) of adult, and 12% (N = 32) of paediatric RVGE. A complicated disease course occurred in 81% of them and 33% required adaptations in underlying disease management. Immunocompromised adults were 7.4 times more likely todevelop RVGE compared to non-immunocompromised matched hospital-controls. Rotavirus testing in adult patients with suspected infectious gastroenteritis was uncommon (12% tested). In our hospital, most adults with RVGE are immunocompromised compared to a much smaller proportion in children. RVGE in immunocompromised patients is associated with significant morbidity. Routine rotavirus testing beyond infancy should be recommended for immunocompromised patients with suspected infectious gastroenteritis.</t>
  </si>
  <si>
    <t>Fiducial, total and differential cross-section measurements of &lt;i&gt;t&lt;/i&gt;-channel single top-quark production in &lt;i&gt;pp&lt;/i&gt; collisions at 8 TeV using data collected by the ATLAS detector.</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</si>
  <si>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 S; Angelozzi, I; Ange</t>
  </si>
  <si>
    <t>https://pubmed.ncbi.nlm.nih.gov/28943801</t>
  </si>
  <si>
    <t>Detailed measurements of &lt;i&gt;t&lt;/i&gt;-channel single top-quark production are presented. They use 20.2 fb[Formula: see text] of data collected by the ATLAS experiment in proton-proton collisions at a centre-of-mass energy of 8 TeV at the LHC. Total, fiducial and differential cross-sections are measured for both top-quark and top-antiquark production. The fiducial cross-section is measured with a precision of 5.8% (top quark) and 7.8% (top antiquark), respectively. The total cross-sections are measured to be [Formula: see text] for top-quark production and [Formula: see text] for top-antiquark production, in agreement with the Standard Model prediction. In addition, the ratio of top-quark to top-antiquark production cross-sections is determined to be [Formula: see text]. The differential cross-sections as a function of the transverse momentum and rapidity of both the top quark and the top antiquark are measured at both the parton and particle levels. The transverse momentum and rapidity differential cross-sections of the accompanying jet from the &lt;i&gt;t&lt;/i&gt;-channel scattering are measured at particle level. All measurements are compared to various Monte Carlo predictions as well as to fixed-order QCD calculations where available.</t>
  </si>
  <si>
    <t>Mobility assessment of a rural population in the Netherlands using GPS measurements.</t>
  </si>
  <si>
    <t>Klous, Gijs; Smit, Lidwien A M; Borlée, Floor; Coutinho, Roel A; Kretzschmar, Mirjam E E; Heederik, Dick J J; Huss, Anke</t>
  </si>
  <si>
    <t>https://pubmed.ncbi.nlm.nih.gov/28793901</t>
  </si>
  <si>
    <t>The home address is a common spatial proxy for exposure assessment in epidemiological studies but mobility may introduce exposure misclassification. Mobility can be assessed using self-reports or objectively measured using GPS logging but self-reports may not assess the same information as measured mobility. We aimed to assess mobility patterns of a rural population in the Netherlands using GPS measurements and self-reports and to compare GPS measured to self-reported data, and to evaluate correlates of differences in mobility patterns. In total 870 participants filled in a questionnaire regarding their transport modes and carried a GPS-logger for 7 consecutive days. Transport modes were assigned to GPS-tracks based on speed patterns. Correlates of measured mobility data were evaluated using multiple linear regression. We calculated walking, biking and motorised transport durations based on GPS and self-reported data and compared outcomes. We used Cohen's kappa analyses to compare categorised self-reported and GPS measured data for time spent outdoors. Self-reported time spent walking and biking was strongly overestimated when compared to GPS measurements. Participants estimated their time spent in motorised transport accurately. Several variables were associated with differences in mobility patterns, we found for instance that obese people (BMI &gt; 30 kg/m&lt;sup&gt;2&lt;/sup&gt;) spent less time in non-motorised transport (GMR 0.69-0.74) and people with COPD tended to travel longer distances from home in motorised transport (GMR 1.42-1.51). If time spent walking outdoors and biking is relevant for the exposure to environmental factors, then relying on the home address as a proxy for exposure location may introduce misclassification. In addition, this misclassification is potentially differential, and specific groups of people will show stronger misclassification of exposure than others. Performing GPS measurements and identifying explanatory factors of mobility patterns may assist in regression calibration of self-reports in other studies.</t>
  </si>
  <si>
    <t>Complementary Value of Contralateral Parenchymal Enhancement on DCE-MRI to Prognostic Models and Molecular Assays in High-risk ER&lt;sup&gt;+&lt;/sup&gt;/HER2&lt;sup&gt;-&lt;/sup&gt; Breast Cancer.</t>
  </si>
  <si>
    <t>van der Velden, Bas H M; Elias, Sjoerd G; Bismeijer, Tycho; Loo, Claudette E; Viergever, Max A; Wessels, Lodewyk F A; Gilhuijs, Kenneth G A</t>
  </si>
  <si>
    <t>https://pubmed.ncbi.nlm.nih.gov/28790119</t>
  </si>
  <si>
    <t>&lt;b&gt;Purpose:&lt;/b&gt; To determine whether markers of healthy breast stroma are able to select a subgroup of patients at low risk of death or metastasis from patients considered at high risk according to routine markers of the tumor.&lt;b&gt;Experimental Design:&lt;/b&gt; Patients with ER&lt;sup&gt;+&lt;/sup&gt;/HER2&lt;sup&gt;-&lt;/sup&gt; breast cancer were consecutively included for retrospective analysis. The contralateral parenchyma was segmented automatically on dynamic contrast-enhanced magnetic resonance imaging (DCE-MRI), where upon the average of the top-10% late enhancement was calculated. This contralateral parenchymal enhancement (CPE) was analyzed with respect to routine prognostic models and molecular assays (Nottingham Prognostic Index, Dutch clinical chemotherapy-selection guidelines, 70-gene signature, and 21-gene recurrence score). CPE was split in tertiles and tested for overall and distant disease-free survival. CPE was adjusted for patient and tumor characteristics, as well as systemic therapy, using inverse probability weighting (IPW). Subanalyses were performed in patients at high risk according to prognostic models and molecular assays.&lt;b&gt;Results:&lt;/b&gt; Four-hundred-and-fifteen patients were included, constituting the same group in which the association between CPE and survival was discovered. Median follow-up was 85 months, 34/415(8%) patients succumbed. After IPW-adjustment for patient and tumor characteristics, patients with high CPE had significantly better overall survival than those with low CPE in groups at high risk according to the Nottingham Prognostic Index [HR (95% CI): 0.08 (0.00-0.40), &lt;i&gt;P&lt;/i&gt; &lt; 0.001]; Dutch clinical guidelines [HR (95% CI): 0.22 (0.00-0.81), &lt;i&gt;P&lt;/i&gt; = 0.021]; and 21-gene recurrence score [HR (95% CI): 0.14 (0.00-0.84), &lt;i&gt;P&lt;/i&gt; = 0.030]. One group showed a trend [70-gene signature: HR (95% CI): 0.25 (0.00-1.02), &lt;i&gt;P&lt;/i&gt; = 0.054].&lt;b&gt;Conclusions:&lt;/b&gt; In patients at high risk based on the tumor, subgroups at relatively low risk were identified using pretreatment enhancement of the stroma on breast DCE-MRI. &lt;i&gt;Clin Cancer Res; 23(21); 6505-15. ©2017 AACR&lt;/i&gt;.</t>
  </si>
  <si>
    <t>Cost-Effectiveness of a Proactive Primary Care Program for Frail Older People: A Cluster-Randomized Controlled Trial.</t>
  </si>
  <si>
    <t>Bleijenberg, Nienke; Drubbel, Irene; Neslo, Rabin Ej; Schuurmans, Marieke J; Ten Dam, Valerie H; Numans, Mattijs E; de Wit, G Ardine; de Wit, Niek J</t>
  </si>
  <si>
    <t>https://pubmed.ncbi.nlm.nih.gov/28801235</t>
  </si>
  <si>
    <t>A proactive integrated approach has shown to preserve daily functioning among older people in the community. The aim is to determine the cost-effectiveness of a proactive integrated primary care program. Economic evaluation embedded in a single-blind, 3-armed, cluster-randomized controlled trial with 12 months' follow-up in 39 general practices in the Netherlands. General practices were randomized to one of 3 trial arms: (1) an electronic frailty screening instrument using routine medical record data followed by standard general practitioner (GP) care; (2) this screening instrument followed by a nurse-led care program; or (3) usual care. Health resource utilization data were collected using electronic medical records and questionnaires. Associated costs were calculated. A cost-effectiveness analysis from a societal perspective was undertaken. The incremental cost per quality-adjusted life-year was calculated comparing proactive screening arm with usual care, and screening plus nurse-led care arm with usual care, as well as the screening arm with screening plus nurse-led care arm. Out of 7638 potential participants, 3092 (40.5%) older adults participated. Whereas effect differences were minor, the total costs per patient were lower in both intervention groups compared with usual care. The probability of cost-effectiveness at €20,000 per QALY threshold was 87% and 91% for screening plus GP care versus usual care and for screening plus nurse-led care compared to usual care, respectively. For screening plus nurse-led care vs screening plus standard GP care, the probability was 55%. A proactive screening intervention has a high probability of being cost-effective compared to usual care. The combined intervention showed less value for money.</t>
  </si>
  <si>
    <t>Cardiovascular RiskprofilE - IMaging and gender-specific disOrders (CREw-IMAGO): rationale and design of a multicenter cohort study.</t>
  </si>
  <si>
    <t>Zoet, Gerbrand A; Meun, Cindy; Benschop, Laura; Boersma, Eric; Budde, Ricardo P J; Fauser, Bart C J M; de Groot, Christianne J M; van der Lugt, Aad; Maas, Angela H E M; Moons, Karl G M; Roeters van Lennep, Jeanine E; Roos-Hesselink, Jolien W; Steegers, Eric A P; van Rijn, Bas B; Laven, Joop S E; Franx, Arie; Velthuis, Birgitta K</t>
  </si>
  <si>
    <t>https://pubmed.ncbi.nlm.nih.gov/28784118</t>
  </si>
  <si>
    <t>Reproductive disorders, such as polycystic ovary syndrome (PCOS), primary ovarian insufficiency (POI) and hypertensive pregnancy disorders (HPD) like pre-eclampsia (PE), are associated with an increased risk of cardiovascular disease (CVD). Detection of early signs of cardiovascular disease (CVD), as well as identification of risk factors among women of reproductive age which improve cardiovascular risk prediction, is a challenge and current models might underestimate long-term health risks. The aim of this study is to assess cardiovascular disease in patients with a history of a reproductive disorder by low-dose computed tomography (CT). Women of 45 - 55 years, who experienced a reproductive disorder (PCOS, POI, HPD), are invited to participate in this multicenter, prospective, cohort study. Women will be recruited after regular cardiovascular screening, including assessment of classical cardiovascular risk factors. CT of the coronary arteries (both coronary artery calcium scoring (CACS), and contrast-enhanced coronary CT angiography (CCTA)) and carotid siphon calcium scoring (CSC) is planned in 300 women with HPD and 300 women with PCOS or POI. In addition, arterial stiffness (non-invasive pulse wave velocity (PWV)) measurement and cell-based biomarkers (inflammatory circulating cells) will be obtained. Initial inclusion is focused on women of 45 - 55 years. However, the age range (40 - 45 years and/or ≥ 55 years) and group composition may be adjusted based on the findings of the interim analysis. Participants can potentially benefit from information obtained in this study concerning their current cardiovascular health and expected future risk of cardiovascular events. The results of this study will provide insights in the development of CVD in women with a history of reproductive disorders. Ultimately, this study may lead to improved cardiovascular prediction models and will provide an opportunity for timely adjustment of preventive strategies. Limitations of this study include the possibility of overdiagnosis and the average radiation dose of 3.5 mSv during coronary and carotid siphon CT, although the increased lifetime malignancy risk is negligible. Netherlands Trial Register, NTR5531 . Date registered: October 21st, 2015.</t>
  </si>
  <si>
    <t>Innovation in neurosurgery: less than IDEAL? A systematic review.</t>
  </si>
  <si>
    <t>Muskens, I S; Diederen, S J H; Senders, J T; Zamanipoor Najafabadi, A H; van Furth, W R; May, A M; Smith, T R; Bredenoord, A L; Broekman, M L D</t>
  </si>
  <si>
    <t>acta neurochirurgica</t>
  </si>
  <si>
    <t>https://pubmed.ncbi.nlm.nih.gov/28780715</t>
  </si>
  <si>
    <t>Surgical innovation is different from the introduction of novel pharmaceuticals. To help address this, in 2009 the IDEAL Collaboration (Idea, Development, Exploration, Assessment, Long-term follow-up) introduced the five-stage framework for surgical innovation. To evaluate the framework feasibility for novel neurosurgical procedure introduction, two innovative surgical procedures were examined: the endoscopic endonasal approach for skull base meningiomas (EEMS) and the WovenEndobridge (WEB device) for endovascular treatment of intracranial aneurysms. The published literature on EEMS and WEB devices was systematically reviewed. Identified studies were classified according to the IDEAL framework stage. Next, studies were evaluated for possible categorization according to the IDEAL framework. Five hundred seventy-six papers describing EEMS were identified of which 26 papers were included. No prospective studies were identified, and no studies reported on ethical approval or patient informed consent for the innovative procedure. Therefore, no clinical studies could be categorized according to the IDEAL Framework. For WEB devices, 6229 articles were screened of which 21 were included. In contrast to EEMS, two studies were categorized as 2a and two as 2b. The results of this systematic review demonstrate that both EEMS and WEB devices were not introduced according to the (later developed in the case of EEMS) IDEAL framework. Elements of the framework such as informed consent, ethical approval, and rigorous outcomes reporting are important and could serve to improve the quality of neurosurgical research. Alternative study designs and the use of big data could be useful modifications of the IDEAL framework for innovation in neurosurgery.</t>
  </si>
  <si>
    <t>Relation between adiposity and vascular events, malignancy and mortality in patients with stable cerebrovascular disease.</t>
  </si>
  <si>
    <t>Jaspers, N E M; Dorresteijn, J A N; van der Graaf, Y; Westerink, J; Kappelle, L J; Nathoe, H M; Algra, A; Visseren, F L J</t>
  </si>
  <si>
    <t>https://pubmed.ncbi.nlm.nih.gov/28775374</t>
  </si>
  <si>
    <t>Abdominal adiposity is associated with various risk factors including hypertension, and is therefore particularly relevant in patients with stable cerebrovascular disease (CeVD). A U-shaped relation between body mass index (BMI, kg m&lt;sup&gt;-&lt;/sup&gt;&lt;sup&gt;2&lt;/sup&gt;) and cardiovascular events is often described. Whether this U-shape persists for abdominal adiposity, and consequently which reference values should guide clinical practice, is unclear. We described the relation between multiple adiposity measurements and risk of vascular events, vascular mortality, malignancy and all-cause mortality in patients with clinically stable CeVD. During a median follow-up time of 6.8 years, 1767 patients were prospectively followed. Relations were assessed using multivariable adjusted Cox proportional hazards models. Adiposity was assessed with BMI, waist circumference (stratified by gender) and the contribution of visceral fat to total abdominal fat (VAT%) measured using ultrasound. Relations were nonlinear if the χ&lt;sup&gt;2&lt;/sup&gt;-statistic of the nonlinear term was significant (P-value&lt;0.05). Nadirs were reported for nonlinear and hazard ratios (HRs) for linear relations. The relations between BMI and outcomes were nonlinear with nadirs ranging between 27.1 (95% confidence interval (CI) 21.9-29.3) kg m&lt;sup&gt;2&lt;/sup&gt; for vascular mortality and 28.1 (95% CI, 19.0-38.2)) kg m&lt;sup&gt;-&lt;/sup&gt;&lt;sup&gt;2&lt;/sup&gt; for malignancy. The relation between waist circumference and all-cause mortality was nonlinear with a nadir of 84.0 (95% CI, 18.7-134.8) cm for females and 94.8 (95% CI, 80.3-100.1) cm for males. No nonlinearity was detected for VAT%. A 1-s.d. (9.8%) increase in VAT% was related to both vascular (HR, 1.23, 95% CI 1.00-1.51) and all-cause mortality (HR, 1.22, 95% CI 1.05-1.42). In patients with CeVD, a BMI around 27-28 kg m&lt;sup&gt;-&lt;/sup&gt;&lt;sup&gt;2&lt;/sup&gt; relates to the lowest risk of vascular events, vascular mortality, malignancy and all-cause mortality. However, increasing abdominal adiposity confers a higher risk of all-cause mortality. Thus, whereas traditional BMI cutoffs may be re-evaluated in this population, striving for low abdominal obesity should remain a goal.</t>
  </si>
  <si>
    <t>Search for the Dimuon Decay of the Higgs Boson in pp Collisions at sqrt[s]=13  TeV with the ATLAS Detector.</t>
  </si>
  <si>
    <t>https://pubmed.ncbi.nlm.nih.gov/28949725</t>
  </si>
  <si>
    <t>A search for the dimuon decay of the Higgs boson was performed using data corresponding to an integrated luminosity of 36.1  fb^{-1} collected with the ATLAS detector in pp collisions at sqrt[s]=13  TeV at the Large Hadron Collider. No significant excess is observed above the expected background. The observed (expected) upper limit on the cross section times branching ratio is 3.0 (3.1) times the Standard Model prediction at the 95% confidence level for a Higgs boson mass of 125 GeV. When combined with the pp collision data at sqrt[s]=7  TeV and sqrt[s]=8  TeV, the observed (expected) upper limit is 2.8 (2.9) times the Standard Model prediction.</t>
  </si>
  <si>
    <t>Validity and reliability of a Malay version of the brief illness perception questionnaire for patients with type 2 diabetes mellitus.</t>
  </si>
  <si>
    <t>Chew, Boon-How; Vos, Rimke C; Heijmans, Monique; Shariff-Ghazali, Sazlina; Fernandez, Aaron; Rutten, Guy E H M</t>
  </si>
  <si>
    <t>https://pubmed.ncbi.nlm.nih.gov/28774271</t>
  </si>
  <si>
    <t>Illness perceptions involve the personal beliefs that patients have about their illness and may influence health behaviours considerably. Since an instrument to measure these perceptions for Malay population in Malaysia is lacking, we translated and examined the psychometric properties of the Malay version of the Brief Illness Perception Questionnaire (MBIPQ) in adult patients with type 2 diabetes mellitus. The MBIPQ has nine items, all use a 0-10 response scale, except the ninth item about causal factors, which is an open-ended item. A standard procedure was used to translate and adapt the English BIPQ into Malay language. Construct validity was examined comparing item scores and scores on the Diabetes Management Self-Efficacy Scale, the Morisky Medication Adherence Scale, the World Health Organization Quality of Life-brief, the 9-item Patient Health Questionnaire, the 17-item Diabetes Distress Scale, HbA1c and the presence of complications. In addition, 2-week and 4-week test-retest reliability were studied. A total of 312 patients completed the MBIPQ. Out of this, 97 and 215 patients completed the 2- or 4-weeks test-retest reliability questionnaire, respectively. Moderate inter-items correlations were observed between illness perception dimensions (r = -0.31 to 0.53). MBIPQ items showed the expected correlations with self-efficacy (r = 0.35), medication adherence (r = 0.29), quality of life (r = -0.17 to 0.31) and depressive symptoms (r = -0.18 to 0.21). People with severe diabetes-related distress also were more concern (t-test = 4.01, p &lt; 0.001) and experienced lower personal control (t-test = 2.07, p = 0.031). People with any diabetes-related complication perceived the consequences as more serious (t-test = 2.04, p = 0.044). The 2-week and 4-week test-retest reliabilities varied between ICC&lt;sub&gt;agreement&lt;/sub&gt; 0.39 to 0.70 and 0.58 to 0.78, respectively. The psychometric properties of items in the MBIPQ are moderate. The MBIPQ showed good cross-cultural validity and moderate construct validity. Test-retest reliability was moderate. Despite the moderate psychometric properties, the MBIPQ may be useful in clinical practice as it is a useful instrument to elicit and communicate on patient's personal thoughts and feelings. Future research is needed to establish its responsiveness and predictive validity. ClinicalTrials.gov NCT02730754 registered on March 29, 2016; NCT02730078 registered on March 29, 2016.</t>
  </si>
  <si>
    <t>Predicting major bleeding in patients with noncardioembolic stroke on antiplatelets: S&lt;sub&gt;2&lt;/sub&gt;TOP-BLEED.</t>
  </si>
  <si>
    <t>Hilkens, Nina A; Algra, Ale; Diener, Hans-Christoph; Reitsma, Johannes B; Bath, Philip M; Csiba, Laszlo; Hacke, Werner; Kappelle, L Jaap; Koudstaal, Peter J; Leys, Didier; Mas, Jean-Louis; Sacco, Ralph L; Amarenco, Pierre; Sissani, Leila; Greving, Jacoba P; ,</t>
  </si>
  <si>
    <t>https://pubmed.ncbi.nlm.nih.gov/28768848</t>
  </si>
  <si>
    <t>To develop and externally validate a prediction model for major bleeding in patients with a TIA or ischemic stroke on antiplatelet agents. We combined individual patient data from 6 randomized clinical trials (CAPRIE, ESPS-2, MATCH, CHARISMA, ESPRIT, and PRoFESS) investigating antiplatelet therapy after TIA or ischemic stroke. Cox regression analyses stratified by trial were performed to study the association between predictors and major bleeding. A risk prediction model was derived and validated in the PERFORM trial. Performance was assessed with the &lt;i&gt;c&lt;/i&gt; statistic and calibration plots. Major bleeding occurred in 1,530 of the 43,112 patients during 94,833 person-years of follow-up. The observed 3-year risk of major bleeding was 4.6% (95% confidence interval [CI] 4.4%-4.9%). Predictors were male sex, smoking, type of antiplatelet agents (aspirin-clopidogrel), outcome on modified Rankin Scale ≥3, prior stroke, high blood pressure, lower body mass index, elderly, Asian ethnicity, and diabetes (S&lt;sub&gt;2&lt;/sub&gt;TOP-BLEED). The S&lt;sub&gt;2&lt;/sub&gt;TOP-BLEED score had a &lt;i&gt;c&lt;/i&gt; statistic of 0.63 (95% CI 0.60-0.64) and showed good calibration in the development data. Major bleeding risk ranged from 2% in patients aged 45-54 years without additional risk factors to more than 10% in patients aged 75-84 years with multiple risk factors. In external validation, the model had a &lt;i&gt;c&lt;/i&gt; statistic of 0.61 (95% CI 0.59-0.63) and slightly underestimated major bleeding risk. The S&lt;sub&gt;2&lt;/sub&gt;TOP-BLEED score can be used to estimate 3-year major bleeding risk in patients with a TIA or ischemic stroke who use antiplatelet agents, based on readily available characteristics. The discriminatory performance may be improved by identifying stronger predictors of major bleeding.</t>
  </si>
  <si>
    <t>A comparative study of brachial plexus sonography and magnetic resonance imaging in chronic inflammatory demyelinating neuropathy and multifocal motor neuropathy.</t>
  </si>
  <si>
    <t>Goedee, H S; Jongbloed, B A; van Asseldonk, J-T H; Hendrikse, J; Vrancken, A F J E; Franssen, H; Nikolakopoulos, S; Visser, L H; van der Pol, W L; van den Berg, L H</t>
  </si>
  <si>
    <t>https://pubmed.ncbi.nlm.nih.gov/28762574</t>
  </si>
  <si>
    <t>To compare the performance of neuroimaging techniques, i.e. high-resolution ultrasound (HRUS) and magnetic resonance imaging (MRI), when applied to the brachial plexus, as part of the diagnostic work-up of chronic inflammatory demyelinating neuropathy (CIDP) and multifocal motor neuropathy (MMN). Fifty-one incident, treatment-naive patients with CIDP (n = 23) or MMN (n = 28) underwent imaging of the brachial plexus using (i) a standardized MRI protocol to assess enlargement or T2 hyperintensity and (ii) bilateral HRUS to determine the extent of nerve (root) enlargement. We found enlargement of the brachial plexus in 19/51 (37%) and T2 hyperintensity in 29/51 (57%) patients with MRI and enlargement in 37/51 (73%) patients with HRUS. Abnormal results were only found in 6/51 (12%) patients with MRI and 12/51 (24%) patients with HRUS. A combination of the two imaging techniques identified 42/51 (83%) patients. We found no association between age, disease duration or Medical Research Council sum-score and sonographic nerve size, MRI enlargement or presence of T2 hyperintensity. Brachial plexus sonography could complement MRI in the diagnostic work-up of patients with suspected CIDP and MMN. Our results indicate that combined imaging studies may add value to the current diagnostic consensus criteria for chronic inflammatory neuropathies.</t>
  </si>
  <si>
    <t>A Novel Diagnostic Tool for Selecting Patients With Mesenchymal-Type Colon Cancer Reveals Intratumor Subtype Heterogeneity.</t>
  </si>
  <si>
    <t>Ubink, Inge; Elias, Sjoerd G; Moelans, Cathy B; Laclé, Miangela M; van Grevenstein, Wilhelmina M U; van Diest, Paul J; Borel Rinkes, Inne H M; Kranenburg, Onno</t>
  </si>
  <si>
    <t>https://pubmed.ncbi.nlm.nih.gov/28376187</t>
  </si>
  <si>
    <t>Consensus molecular subtype 4 (CMS4) is a recently identified aggressive colon cancer subtype for which platelet-derived growth factor receptors (PDGFRs) and KIT are potential therapeutic targets. We aimed to develop a clinically applicable CMS4 reverse transcription polymerase chain reaction (RT-qPCR) test to select patients for PDGFR/KIT-targeted therapy. We used logistic regression to develop a CMS4 prediction rule based on microarray expression values of PDGFRA , PDGFRB , PDGFC , and KIT (566 training and 1259 test samples, using the 273-gene random forest classifier as CMS4 reference standard). We next translated the prediction rule into a single-sample RT-qPCR test, which we independently validated in 29 fresh tumor samples. To study intratumor CMS4 heterogeneity, we used the RT-qPCR test to analyze five random regions of 20 colon tumors. The microarray-based prediction rule diagnosed CMS4-type tumors extremely well in both training and independent test samples (training: area under the curve [AUC] = 0.95, 95% confidence interval [CI] = 0.94 to 0.97; test: AUC = 0.95, 95% CI = 0.94 to 0.96), with excellent calibration and approximately 80% overall net benefit over a large threshold range. Translation into an RT-qPCR test did not affect discrimination (AUC = 0.97, 95% CI = 0.93 to 1.00, independent validation). RT-qPCR analysis of five random tumor regions revealed extensive intratumor CMS4 heterogeneity in nine out of 20 tumors. At least two regions likely have to be analyzed to identify patients that are predominantly CMS4 positive (&gt;50% average CMS4 chance). The CMS4 RT-qPCR test is a promising clinical tool for selecting individual patients for CMS4-subtype-targeted therapy.</t>
  </si>
  <si>
    <t>Multi-faceted implementation strategy to increase use of a clinical guideline for the diagnosis of deep venous thrombosis in primary care.</t>
  </si>
  <si>
    <t>Kingma, Anna E C; van Stel, Henk F; Oudega, Ruud; Moons, Karel G M; Geersing, Geert-Jan</t>
  </si>
  <si>
    <t>https://pubmed.ncbi.nlm.nih.gov/27471223</t>
  </si>
  <si>
    <t>A clinical decision rule (CDR), combined with a negative D-dimer test, can safely rule out deep venous thrombosis (DVT) in primary care. This strategy is recommended by guidelines, yet uptake by GPs is low. To evaluate a multi-faceted implementation strategy aimed at increased use of the guideline recommended CDR plus D-dimer test in primary care patients with suspected DVT. This multi-faceted implementation strategy consisted of educational outreach visits, financial reimbursements and periodical newsletters. 217 Dutch GPs (implementation group) received this strategy and included patients. Effectiveness was measured through the following patient-level outcomes: (i) proportion of non-referred patients, (ii) proportion of missed DVT cases within this group and (iii) the proportion of patients in whom the guideline was applied incorrectly. Implementation outcomes ('acceptability', 'feasibility', 'fidelity' and 'sustainability') were assessed with an online questionnaire. Patient-level outcomes were compared with those of patients included by 450 GPs, uninformed about the study's purposes providing information about usual care. 336 (54%) of 619 analyzable implementation group patients were not referred, missing 6 [1.8% (95% confidence interval 0.7% to 3.9%)] DVT cases. Incorrect guideline use was observed in 199 patients (32%). Self-reported acceptability, feasibility and expected sustainability were high. Guideline use increased from 42% to an expected continuation of use of 91%. Only 32 usual care GPs included 62 patients, making formal comparison unreliable. This multi-faceted implementation strategy safely reduced patient referral to secondary care, despite frequently incorrect application of the guideline and resulted in high acceptability, feasibility and expected sustainability.</t>
  </si>
  <si>
    <t>The influence of socioeconomic status and ethnicity on adjuvant systemic treatment guideline adherence for early-stage breast cancer in the Netherlands.</t>
  </si>
  <si>
    <t>Kuijer, A; Verloop, J; Visser, O; Sonke, G; Jager, A; van Gils, C H; van Dalen, T; Elias, S G</t>
  </si>
  <si>
    <t>https://pubmed.ncbi.nlm.nih.gov/28459994</t>
  </si>
  <si>
    <t>We aimed to assess whether socioeconomic status (SES) and ethnicity affect adjuvant systemic therapy (AST) guideline adherence in early breast cancer patients in a health care setting with assumed equal access to care. Data from all female patients surgically treated for primary unifocal early breast cancer between January 2005 and December 2014 were retrieved from the Netherlands Cancer Registry. We assessed the association between SES, ethnicity and non-adherence to adjuvant chemotherapy (CT) or endocrine therapy (ET) guideline indications with Poisson regression models, adjusting for clinicopathological variables. A total of 104 201 patients were included in the current analysis. Of patients without an indication, 4% and 13% received adjuvant CT or ET (overtreatment), whereas 39% and 14% of patients with an indication did not receive CT or ET (undertreatment). Medium and low SES patients were 1.01 (95% CI 1.00-1.01) and 1.01 (95% CI 1.00-1.01) times more likely to be undertreated and 0.85 (95% CI 0.76-0.94) and 0.67 (95% CI 0.60-0.75) times more likely to be overtreated with CT compared with high SES patients [resulting in an overall relative risk of CT use of 0.94 (95% CI 0.92-0.96) and 0.85 (95% CI 0.83-0.87), respectively]. No association between SES and ET guideline adherence or ethnicity and CT/ET guideline adherence was observed. In the Netherlands, minimal SES disparities in CT guideline adherence were observed: low SES patients are less likely be overtreated and marginally more likely to be undertreated with CT resulting in an overall decreased risk of receiving CT. No ethnical disparities in AST guideline adherence were observed.</t>
  </si>
  <si>
    <t>Clinicians' interpretations of point of care urine culture versus laboratory culture results: analysis from the four-country POETIC trial of diagnosis of uncomplicated urinary tract infection in primary care.</t>
  </si>
  <si>
    <t>Hullegie, Saskia; Wootton, Mandy; Verheij, Theo J M; Thomas-Jones, Emma; Bates, Janine; Hood, Kerenza; Gal, Micaela; Francis, Nick A; Little, Paul; Moore, Michael; Llor, Carl; Pickles, Timothy; Gillespie, David; Kirby, Nigel; Brugman, Curt; Butler, Christopher C</t>
  </si>
  <si>
    <t>https://pubmed.ncbi.nlm.nih.gov/28334777</t>
  </si>
  <si>
    <t>Urine culture at the point of care minimises delay between obtaining the sample and agar inoculation in a microbiology laboratory, and quantification and sensitivity results can be available more rapidly in primary care. To identify the degree to which clinicians' interpretations of a point-of-care-test (POCT) urine culture (Flexicult™ SSI-Urinary Kit) agrees with laboratory culture in women presenting to primary care with symptoms of uncomplicated urinary tract infections (UTI). Primary care clinicians used the Flexicult™-POCT, recorded their findings and took a photograph of the result, which was interpreted by microbiology laboratory technicians. Urine samples were additionally processed in routine care laboratories. Cross tabulations were used to identify important differences in organism identification, quantification and antibiotic susceptibility between these three sources of data. The influence of various laboratory definitions for UTI on culture were assessed. Primary care clinicians identified 202/289 urine samples (69.9%) as positive for UTI using the Flexicult™-POCT, whereas laboratory culture identified 94-190 (32.5-65.7%) as positive, depending on definition thresholds. 82.9% of samples identified positive for E. coli on laboratory culture were also considered positive for E. coli using the Flexicult™ -POCT, and susceptibilities were reasonably concordant. There were major discrepancies between laboratory staff interpretation of Flexicult™ photographs, clinicians' interpretation of the Flexicult™ test, and laboratory culture results. Flexicult™-POCT overestimated the positivity rate of urine samples for UTI when laboratory culture was used as the reference standard. However, it is unclear whether point-of-care or laboratory based urine culture provides the most valid diagnostic information.</t>
  </si>
  <si>
    <t>Effectiveness of an Integrated Approach to HIV and Hypertension Care in Rural South Africa: Controlled Interrupted Time-Series Analysis.</t>
  </si>
  <si>
    <t>Ameh, Soter; Klipstein-Grobusch, Kerstin; Musenge, Eustasius; Kahn, Kathleen; Tollman, Stephen; Gómez-Olivé, Francesc Xavier</t>
  </si>
  <si>
    <t>journal of acquired immune deficiency syndromes</t>
  </si>
  <si>
    <t>https://pubmed.ncbi.nlm.nih.gov/28640065</t>
  </si>
  <si>
    <t>South Africa faces a dual burden of HIV/AIDS and noncommunicable diseases. In 2011, a pilot integrated chronic disease management (ICDM) model was introduced by the National Health Department into selected primary health care (PHC) facilities. The objective of this study was to assess the effectiveness of the ICDM model in controlling patients' CD4 counts (&gt;350 cells/mm) and blood pressure [BP (&lt;140/90 mm Hg)] in PHC facilities in the Bushbuckridge municipality, South Africa. A controlled interrupted time-series study was conducted using the data from patients' clinical records collected multiple times before and after the ICDM model was initiated in PHC facilities in Bushbuckridge. Patients ≥18 years were recruited by proportionate sampling from the pilot (n = 435) and comparing (n = 443) PHC facilities from 2011 to 2013. Health outcomes for patients were retrieved from facility records for 30 months. We performed controlled segmented regression to model the monthly averages of individuals' propensity scores using autoregressive moving average model at 5% significance level. The pilot facilities had 6% greater likelihood of controlling patients' CD4 counts than the comparison facilities (coefficient = 0.057; 95% confidence interval: 0.056 to 0.058; P &lt; 0.001). Compared with the comparison facilities, the pilot facilities had 1.0% greater likelihood of controlling patients' BP (coefficient = 0.010; 95% confidence interval: 0.003 to 0.016; P = 0.002). Application of the model had a small effect in controlling patients' CD4 counts and BP, but showed no overall clinical benefit for the patients; hence, the need to more extensively leverage the HIV program for hypertension treatment.</t>
  </si>
  <si>
    <t>Increased risk of asthma in overweight children born large for gestational age.</t>
  </si>
  <si>
    <t>Pinto, L A; Guerra, S; Anto, J M; Postma, D; Koppelman, G H; de Jongste, J C; Gehring, U; Smit, H A; Wijga, A H</t>
  </si>
  <si>
    <t>https://pubmed.ncbi.nlm.nih.gov/28599075</t>
  </si>
  <si>
    <t>Being born large for gestational age (LGA) is a marker of increased growth velocity in fetal life and a risk factor for childhood overweight. Both being born LGA and childhood overweight may influence the development of asthma, although the role of overweight in the association between LGA and childhood asthma is unclear. Importantly, recent studies have suggested that the association between overweight and asthma may be related to non-allergic pathways. If this also applies to the association between LGA and asthma, the association between being born LGA and asthma may be different for atopic and non-atopic children. We investigated the association of being LGA with the prevalence of asthma at age 8 in atopic and non-atopic children and the role of overweight in this association. Complete data on asthma, anthropometry and atopy at age of 8 years, and potential confounders were available for 1608 participants of the PIAMA birth cohort. Odds ratios for the association between LGA and asthma in atopic and non-atopic children were estimated by logistic regression analysis adjusting for potential confounders. Overweight was assessed as a potential modifier of the association between LGA and asthma. Being born LGA was not significantly associated with asthma at age of 8 in atopic and non-atopic children. However, overweight at age of 8 years modified the association between asthma at age of 8 and LGA. In non-atopic children, children who were born LGA and were overweight at age of 8 years had a significantly increased odds of asthma compared to non-LGA, non-overweight children (adj OR 7.04; 95% CI 2.2-24). We observed that non-atopic children born LGA, who were overweight by 8 years have an increased risk of asthma. If confirmed, these findings suggest that non-atopic children born LGA may be identified early in life as a high-risk group for asthma.</t>
  </si>
  <si>
    <t>Development and Internal Validation of a Clinical Risk Score to Predict Pain Response After Palliative Radiation Therapy in Patients With Bone Metastases.</t>
  </si>
  <si>
    <t>van der Velden, Joanne M; Peters, Max; Verlaan, Jorrit-Jan; Versteeg, Anne L; Zhang, Liying; Tsao, May; Danjoux, Cyril; Barnes, Elizabeth; van Vulpen, Marco; Chow, Edward; Verkooijen, Helena M</t>
  </si>
  <si>
    <t>https://pubmed.ncbi.nlm.nih.gov/29063851</t>
  </si>
  <si>
    <t>To investigate the relationship between patient and tumor characteristics and pain response in patients with metastatic bone disease, and construct and internally validate a clinical prediction model for pain response to guide individualized treatment decision making. A total of 965 patients with painful bone metastases undergoing palliative radiation therapy at a tertiary referral center between 1999 and 2007 were identified. Pain scores were measured at 1, 2, and 3 months after radiation therapy. Pain response was defined as at least a 2-point decrease on a pain score scale of 0-10, without increase in analgesics, or an analgesic decrease of at least 25% without an increase in pain score. Thirteen candidate predictors were identified from the literature and expert experience. After multiple imputation, final predictors were selected using stepwise regression and collapsed into a prediction model. Model performance was evaluated by calibration and discrimination and corrected for optimism. Overall 462 patients (47.9%) showed a response. Primary tumor site, performance status, and baseline pain score were predictive for pain response, with a corrected c-statistic of 0.63. The predicted response rates after radiation therapy increased from 37.5% for patients with the highest risk score to 79.8% for patients with the lowest risk score and were in good agreement with the observed response rates. A prediction score for pain response after palliative radiation therapy was developed. The model performance was moderate, showing that prediction of pain response is difficult. New biomarkers and predictors may lead to improved identification of the large group of patients who are unlikely to respond and who may benefit from other or innovative treatment options.</t>
  </si>
  <si>
    <t>Comparison between treatment effects in a randomised controlled trial and an observational study using propensity scores in primary care.</t>
  </si>
  <si>
    <t>Stuart, Beth L; Grebel, Louise En; Butler, Christopher C; Hood, Kerenza; Verheij, Theo J M; Little, Paul</t>
  </si>
  <si>
    <t>https://pubmed.ncbi.nlm.nih.gov/28760739</t>
  </si>
  <si>
    <t>Although randomised controlled trials (RCTs) are considered 'gold standard' evidence, they are not always feasible or appropriate, and may represent a select population. Observational studies provide a useful alternative to enhance applicability, but results can be biased due to confounding. To explore the utility of propensity scores for causal inference in an observational study. Comparison of the effect of amoxicillin on key outcomes in an international RCT and observational study of lower respiratory tract infections. Propensity scores were calculated and applied as probability weights in the analyses. The adjusted results were compared with the effects reported in the RCT. Groups were well balanced in the RCT but significantly imbalanced in the observational study, with evidence of confounding by indication: patients receiving antibiotics tended to be older and more unwell at baseline consultation. In the trial duration of symptoms (hazard ratio 1.06, 95% CI = 0.96 to 1.18) and symptom severity (-0.07, 95% CI = -0.15 to 0.007) did not differ between groups. Weighting by propensity score in the observational study resulted in very similar estimates of effect: duration of symptoms (hazard ratio 1.06, 95% CI = 0.80 to 1.40) and difference for symptom severity (-0.07, 95% CI = -0.34 to 0.20). The observational study, after conditioning on propensity score, echoed the trial results. Provided that detailed information is available on potential sources of confounding, effects of interventions can probably be assessed reasonably well in observational datasets, allowing them to be more directly compared with the results of RCTs.</t>
  </si>
  <si>
    <t>SPRINT trial: It's not just the blood pressure!</t>
  </si>
  <si>
    <t>Berkelmans, Gijs Fn; Visseren, Frank Lj; Jaspers, Nicole Em; Spiering, Wilko; van der Graaf, Yolanda; Dorresteijn, Jannick An</t>
  </si>
  <si>
    <t>https://pubmed.ncbi.nlm.nih.gov/28749177</t>
  </si>
  <si>
    <t>Background The SPRINT trial showed a beneficial effect of systolic blood pressure treatment targets of 120 mmHg on cardiovascular risk compared to targets of 140 mmHg. However, differences in medication use, most importantly diuretics, are suggested as an alternative explanation. This post-hoc analysis aimed to determine whether the reduced event rate can be attributed to changes in systolic blood pressure (ΔSBP) . Methods Analyses were based on all 9361 participants of the SPRINT trial. ΔSBP was defined as the change between baseline and 6-month follow-up systolic blood pressure. Major cardiovascular events were myocardial infarction, other acute coronary syndromes, stroke, heart failure, or cardiovascular death. Cox regression was used to describe the relation between ΔSBP and major cardiovascular events. Analyses were performed separately for patients in the lowest tertile of baseline systolic blood pressure, as the SPRINT trial reported the highest treatment effect in this subgroup. Results The relation between ΔSBP and major cardiovascular events was a hazard ratio per 10 mmHg decrease of 0.93 (95% confidence interval 0.89-0.98). Similar results were found within the lowest tertile of baseline systolic blood pressure: hazard ratio per 10 mmHg decrease 0.91 (95% confidence interval 0.82-1.01). Conclusion Our results show that lowering blood pressure prevents cardiovascular disease. However, not all the positive effects in the SPRINT trial could be explained by ΔSBP. Alternative explanations, such as differences in medication use, should be considered for the positive findings of the SPRINT trial.</t>
  </si>
  <si>
    <t>Atmospheric Pressure and Abdominal Aortic Aneurysm Rupture: Results From a Time Series Analysis and Case-Crossover Study.</t>
  </si>
  <si>
    <t>Penning de Vries, Bas B L; Kolkert, Joé L P; Meerwaldt, Robbert; Groenwold, Rolf H H</t>
  </si>
  <si>
    <t>https://pubmed.ncbi.nlm.nih.gov/28741441</t>
  </si>
  <si>
    <t>Associations between atmospheric pressure and abdominal aortic aneurysm (AAA) rupture risk have been reported, but empirical evidence is inconclusive and largely derived from studies that did not account for possible nonlinearity, seasonality, and confounding by temperature. Associations between atmospheric pressure and AAA rupture risk were investigated using local meteorological data and a case series of 358 patients admitted to hospital for ruptured AAA during the study period, January 2002 to December 2012. Two analyses were performed-a time series analysis and a case-crossover study. Results from the 2 analyses were similar; neither the time series analysis nor the case-crossover study showed a significant association between atmospheric pressure ( P = .627 and P = .625, respectively, for mean daily atmospheric pressure) or atmospheric pressure variation ( P = .464 and P = .816, respectively, for 24-hour change in mean daily atmospheric pressure) and AAA rupture risk. This study failed to support claims that atmospheric pressure causally affects AAA rupture risk. In interpreting our results, one should be aware that the range of atmospheric pressure observed in this study is not representative of the atmospheric pressure to which patients with AAA may be exposed, for example, during air travel or travel to high altitudes in the mountains. Making firm claims regarding these conditions in relation to AAA rupture risk is difficult at best. Furthermore, despite the fact that we used one of the largest case series to date to investigate the effect of atmospheric pressure on AAA rupture risk, it is possible that this study is simply too small to demonstrate a causal link.</t>
  </si>
  <si>
    <t>Association between age at menarche and cardiovascular disease: A systematic review on risk and potential mechanisms.</t>
  </si>
  <si>
    <t>Luijken, Janneke; van der Schouw, Yvonne T; Mensink, Daniëlle; Onland-Moret, N Charlotte</t>
  </si>
  <si>
    <t>https://pubmed.ncbi.nlm.nih.gov/28923182</t>
  </si>
  <si>
    <t>Age at menarche (AAM) has been reported to be associated with the risk of cardiovascular disease (CVD), but the shape of and the mechanisms behind this association remain unclear. We reviewed the data on the association between AAM and different subtypes of CVD, and used shared genetic loci to identify possible mechanisms underlying this association using shared genetic association. We searched the databases of PubMed, Web of Science and Embase through to April 2017. We included articles with any clinically manifest CVD endpoint and for any ethnicity. We identified single nucleotide polymorphisms (SNPs) for AAM in genome-wide association studies (GWAS) in Caucasians through PubMed and HuGE Navigator, and searched whether these SNPs or any of their proxies were associated with any CVD-related trait. Eight studies in Caucasian populations reported an inverse linear relation between AAM and CVD risk, whereas one large study reported a significant U-shaped relation between them. Data from Asian populations were contradictory and inconclusive. In total, 122 AAM SNPs were identified at a genome-wide significance level (p&lt;5×10&lt;sup&gt;-8&lt;/sup&gt;). Of those, 18 were also associated with various CVD-related traits, primarily body mass index (BMI), obesity, and height. In conclusion, early AAM and possibly also late AAM increase the risk of CVD in Caucasian populations. Weight and height may be part of the mechanism underlying the relation between AAM and CVD risk in Caucasians. Data on other ethnicities are too limited for meaningful analysis and conclusions.</t>
  </si>
  <si>
    <t>Topological cell clustering in the ATLAS calorimeters and its performance in LHC Run 1.</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</si>
  <si>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Allport, P P; Aloisio, A; Alonso, A; Alonso, F; Alpigiani, C; Altheimer, A;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Angerami, A</t>
  </si>
  <si>
    <t>https://pubmed.ncbi.nlm.nih.gov/28943797</t>
  </si>
  <si>
    <t>The reconstruction of the signal from hadrons and jets emerging from the proton-proton collisions at the Large Hadron Collider (LHC) and entering the ATLAS calorimeters is based on a three-dimensional topological clustering of individual calorimeter cell signals. The cluster formation follows cell signal-significance patterns generated by electromagnetic and hadronic showers. In this, the clustering algorithm implicitly performs a topological noise suppression by removing cells with insignificant signals which are not in close proximity to cells with significant signals. The resulting &lt;i&gt;topological cell clusters&lt;/i&gt; have shape and location information, which is exploited to apply a local energy calibration and corrections depending on the nature of the cluster. Topological cell clustering is established as a well-performing calorimeter signal definition for jet and missing transverse momentum reconstruction in ATLAS.</t>
  </si>
  <si>
    <t>Discovery and replication of SNP-SNP interactions for quantitative lipid traits in over 60,000 individuals.</t>
  </si>
  <si>
    <t>Holzinger, Emily R; Verma, Shefali S; Moore, Carrie B; Hall, Molly; De, Rishika; Gilbert-Diamond, Diane; Lanktree, Matthew B; Pankratz, Nathan; Amuzu, Antoinette; Burt, Amber; Dale, Caroline; Dudek, Scott; Furlong, Clement E; Gaunt, Tom R; Kim, Daniel Seung; Riess, Helene; Sivapalaratnam, Suthesh; Tragante, Vinicius; van Iperen, Erik P A; Brautbar, Ariel; Carrell, David S; Crosslin, David R; Jarvik, Gail P; Kuivaniemi, Helena; Kullo, Iftikhar J; Larson, Eric B; Rasmussen-Torvik, Laura J; Tromp, Gerard; Baumert, Jens; Cruickshanks, Karen J; Farrall, Martin; Hingorani, Aroon D; Hovingh, G K; Kleber, Marcus E; Klein, Barbara E; Klein, Ronald; Koenig, Wolfgang; Lange, Leslie A; Mӓrz, Winfried; North, Kari E; Charlotte Onland-Moret, N; Reiner, Alex P; Talmud, Philippa J; van der Schouw, Yvonne T; Wilson, James G; Kivimaki, Mika; Kumari, Meena; Moore, Jason H; Drenos, Fotios; Asselbergs, Folkert W; Keating, Brendan J; Ritchie, Marylyn D</t>
  </si>
  <si>
    <t>biodata mining</t>
  </si>
  <si>
    <t>https://pubmed.ncbi.nlm.nih.gov/28770004</t>
  </si>
  <si>
    <t>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Our analysis consisted of a discovery phase using a merged dataset of five different cohorts (&lt;i&gt;n&lt;/i&gt; = 12,853 to &lt;i&gt;n&lt;/i&gt;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&lt;i&gt;p&lt;/i&gt; &lt; 0.001 in a previous association study. 2. A filter that only tested interactions identified by Biofilter 2.0. Pairwise models that reached an interaction significance level of &lt;i&gt;p&lt;/i&gt; &lt; 0.001 in the discovery dataset were tested for replication. We identified thirteen SNP-SNP models that were significant in more than one replication cohort after accounting for multiple testing. These results may reveal novel insights into the genetic etiology of lipid levels. Furthermore, we developed a pipeline to perform a computationally efficient interaction analysis with multi-cohort replication.</t>
  </si>
  <si>
    <t>Incidence of cardiovascular events and vascular interventions in patients with type 2 diabetes.</t>
  </si>
  <si>
    <t>Engelen, Suzanne E; van der Graaf, Yolanda; Stam-Slob, Manon C; Grobbee, Diederick E; Cramer, Maarten J; Kappelle, L Jaap; de Borst, Gert J; Visseren, Frank L J; Westerink, Jan; ,</t>
  </si>
  <si>
    <t>https://pubmed.ncbi.nlm.nih.gov/28802735</t>
  </si>
  <si>
    <t>Diabetes mellitus is associated with an increased risk for cardiovascular morbidity and mortality. The vascular burden in terms of incidence of cardiovascular events (CVE) and vascular interventions is however poorly quantified. In this study we evaluated the incidence rates of CVE and vascular interventions in patients with type 2 diabetes (T2DM) with and without cardiovascular disease (CVD) in comparison to patients without type 2 diabetes. In a cohort of 9.808 high-risk patients with and without cardiovascular disease and type 2 diabetes originated from the ongoing, single-center prospective SMART (Second Manifestations of ARTerial disease) cohort, the number and incidence rates of CVE and interventions were calculated. The incidence rates were adjusted for confounders using Poisson regression models. CVE were defined as vascular death, stroke and myocardial infarction (MI). Interventions were defined as percutaneous coronary intervention, coronary artery bypass grafting, percutaneous transluminal angioplasty or stenting of the peripheral arteries and amputation. Patients with T2DM and CVD had a 4-fold higher incidence rate of CVE and a 8-fold higher incidence rate of vascular interventions compared to high-risk patients without T2DM and CVD after adjusting for confounders. The incidence rate for the composite of non-fatal MI, non-fatal stroke and vascular death was 5.8 per 1000person-years in patients without T2DM or CVD at baseline, 15.2 per 1000person-years in patients with T2DM but without CVD at baseline, 26.0 per 1000person-years in patients without T2DM but with CVD and 40.7 per 1000person-years in patients with both T2DM and CVD at baseline. A similar increasing incidence rate was seen for all vascular interventions from patients without T2DM or CVD to patients with both T2DM and CVD. Patients with type 2 diabetes or CVD are subject to an increased incidence of cardiovascular events and interventions compared to high-risk patients without type 2 diabetes or vascular disease. Patients with type 2 diabetes and CVD have the highest incidence of new cardiovascular diseases and vascular interventions when compared to patients without type 2 diabetes and CVD. These results underline the need for optimal risk factor treatment as well as the need for new prevention and treatment strategies in this very high risk population.</t>
  </si>
  <si>
    <t>Physical Activity and Characteristics of the Carotid Artery Wall in High-Risk Patients-The SMART (Second Manifestations of Arterial Disease) Study.</t>
  </si>
  <si>
    <t>Boss, H Myrthe; van der Graaf, Yolanda; Visseren, Frank L J; Van den Berg-Vos, Renske M; Bots, Michiel L; de Borst, Gert Jan; Cramer, Maarten J; Kappelle, L Jaap; Geerlings, Mirjam I; ,</t>
  </si>
  <si>
    <t>https://pubmed.ncbi.nlm.nih.gov/28736388</t>
  </si>
  <si>
    <t>Physical activity reduces the risk of vascular disease. This benefit is not entirely explained through an effect on vascular risk factors. We examined the relationship of physical activity and characteristics of the carotid artery wall in patients with vascular disease or risk factors. Cross-sectional analyses were performed in 9578 patients from the SMART (Second Manifestations of Arterial Disease) study, a prospective cohort study among patients with vascular disease or risk factors. Physical activity was assessed using questionnaires. Carotid intima-media thickness and carotid artery stenosis of both common carotid arteries was measured. In a subset of 3165 participants carotid diastolic diameter and distension were assessed. Carotid stiffness was expressed as the distensibility coefficient and Young's elastic modulus. Regression analyses adjusted for vascular risk factors showed that physical activity was inversely associated with diastolic diameter (fifth versus first quintile B=-0.13 mm; 95% CI, -0.21 to -0.05) and decreased risk of carotid artery stenosis (relative risk, 0.58; 95% CI, 0.48-0.69). A light level of physical activity was associated with less carotid stiffness (second versus first quintile; Young's elastic modulus B=-0.11 kPa&lt;sup&gt;-1&lt;/sup&gt;×10&lt;sup&gt;-3&lt;/sup&gt;; 95% CI, -0.16 to -0.06; distensibility coefficient B=0.93 kPa×10&lt;sup&gt;3&lt;/sup&gt;; 95% CI, 0.34-1.51), but there was no additional benefit with increasing levels of physical activity. In patients with vascular disease, physical activity was inversely associated with common carotid intima-media thickness, but not in patients with vascular risk factors. In patients with vascular disease or risk factors, increased physical activity was associated with smaller carotid diastolic diameter, decreased risk of carotid artery stenosis, and less carotid stiffness, but it only showed benefits on carotid intima-media thickness in patients with vascular disease.</t>
  </si>
  <si>
    <t>Nut intake and 5-year changes in body weight and obesity risk in adults: results from the EPIC-PANACEA study.</t>
  </si>
  <si>
    <t>Freisling, Heinz; Noh, Hwayoung; Slimani, Nadia; Chajès, Véronique; May, Anne M; Peeters, Petra H; Weiderpass, Elisabete; Cross, Amanda J; Skeie, Guri; Jenab, Mazda; Mancini, Francesca R; Boutron-Ruault, Marie-Christine; Fagherazzi, Guy; Katzke, Verena A; Kühn, Tilman; Steffen, Annika; Boeing, Heiner; Tjønneland, Anne; Kyrø, Cecilie; Hansen, Camilla P; Overvad, Kim; Duell, Eric J; Redondo-Sánchez, Daniel; Amiano, Pilar; Navarro, Carmen; Barricarte, Aurelio; Perez-Cornago, Aurora; Tsilidis, Konstantinos K; Aune, Dagfinn; Ward, Heather; Trichopoulou, Antonia; Naska, Androniki; Orfanos, Philippos; Masala, Giovanna; Agnoli, Claudia; Berrino, Franco; Tumino, Rosario; Sacerdote, Carlotta; Mattiello, Amalia; Bueno-de-Mesquita, H Bas; Ericson, Ulrika; Sonestedt, Emily; Winkvist, Anna; Braaten, Tonje; Romieu, Isabelle; Sabaté, Joan</t>
  </si>
  <si>
    <t>https://pubmed.ncbi.nlm.nih.gov/28733927</t>
  </si>
  <si>
    <t>There is inconsistent evidence regarding the relationship between higher intake of nuts, being an energy-dense food, and weight gain. We investigated the relationship between nut intake and changes in weight over 5 years. This study includes 373,293 men and women, 25-70 years old, recruited between 1992 and 2000 from 10 European countries in the European Prospective Investigation into Cancer and Nutrition (EPIC) study. Habitual intake of nuts including peanuts, together defined as nut intake, was estimated from country-specific validated dietary questionnaires. Body weight was measured at recruitment and self-reported 5 years later. The association between nut intake and body weight change was estimated using multilevel mixed linear regression models with center/country as random effect and nut intake and relevant confounders as fixed effects. The relative risk (RR) of becoming overweight or obese after 5 years was investigated using multivariate Poisson regressions stratified according to baseline body mass index (BMI). On average, study participants gained 2.1 kg (SD 5.0 kg) over 5 years. Compared to non-consumers, subjects in the highest quartile of nut intake had less weight gain over 5 years (-0.07 kg; 95% CI -0.12 to -0.02) (P trend = 0.025) and had 5% lower risk of becoming overweight (RR 0.95; 95% CI 0.92-0.98) or obese (RR 0.95; 95% CI 0.90-0.99) (both P trend &lt;0.008). Higher intake of nuts is associated with reduced weight gain and a lower risk of becoming overweight or obese.</t>
  </si>
  <si>
    <t>Predicting enrollment performance of investigational centers in phase III multi-center clinical trials.</t>
  </si>
  <si>
    <t>van den Bor, Rutger M; Grobbee, Diederick E; Oosterman, Bas J; Vaessen, Petrus W J; Roes, Kit C B</t>
  </si>
  <si>
    <t>https://pubmed.ncbi.nlm.nih.gov/29696188</t>
  </si>
  <si>
    <t>Failure to meet subject recruitment targets in clinical trials continues to be a widespread problem with potentially serious scientific, logistical, financial and ethical consequences. On the operational level, enrollment-related issues may be mitigated by careful site selection and by allocating monitoring or training resources proportionally to the anticipated risk of poor enrollment. Such procedures require estimates of the expected recruitment performance that are sufficiently reliable to allow centers to be sensibly categorized. In this study, we investigate whether information obtained from feasibility questionnaires can potentially be used to predict which centers will and which centers will not meet their enrollment targets by means of multivariable logistic regression analysis. From a large set of 59 candidate predictors, we determined the subset that is optimal for predictive purposes using Least Absolute Shrinkage and Selection Operator (LASSO) regularization. Although the extent to which the results are generalizable remains to be determined, they indicate that the prediction accuracy of the optimal model is only a marginal improvement over the intercept-only model, illustrating the difficulty of prediction in this setting.</t>
  </si>
  <si>
    <t>Frailty Screening Tools for Elderly Patients Incident to Dialysis.</t>
  </si>
  <si>
    <t>van Loon, Ismay N; Goto, Namiko A; Boereboom, Franciscus T J; Bots, Michiel L; Verhaar, Marianne C; Hamaker, Marije E</t>
  </si>
  <si>
    <t>https://pubmed.ncbi.nlm.nih.gov/28716855</t>
  </si>
  <si>
    <t>A geriatric assessment is an appropriate method for identifying frail elderly patients. In CKD, it may contribute to optimize personalized care. However, a geriatric assessment is time consuming. The purpose of our study was to compare easy to apply frailty screening tools with the geriatric assessment in patients eligible for dialysis. A total of 123 patients on incident dialysis ≥65 years old were included &lt;3 weeks before to ≤2 weeks after dialysis initiation, and all underwent a geriatric assessment. Patients with impairment in two or more geriatric domains on the geriatric assessment were considered frail. The diagnostic abilities of six frailty screening tools were compared with the geriatric assessment: the Fried Frailty Index, the Groningen Frailty Indicator, Geriatric8, the Identification of Seniors at Risk, the Hospital Safety Program, and the clinical judgment of the nephrologist. Outcome measures were sensitivity, specificity, positive predictive value, and negative predictive value. In total, 75% of patients were frail according to the geriatric assessment. Sensitivity of frailty screening tools ranged from 48% (Fried Frailty Index) to 88% (Geriatric8). The discriminating features of the clinical judgment were comparable with the other screening tools. The Identification of Seniors at Risk screening tool had the best discriminating abilities, with a sensitivity of 74%, a specificity of 80%, a positive predictive value of 91%, and a negative predictive value of 52%. The negative predictive value was poor for all tools, which means that almost one half of the patients screened as fit (nonfrail) had two or more geriatric impairments on the geriatric assessment. All frailty screening tools are able to detect geriatric impairment in elderly patients eligible for dialysis. However, all applied screening tools, including the judgment of the nephrologist, lack the discriminating abilities to adequately rule out frailty compared with a geriatric assessment.</t>
  </si>
  <si>
    <t>Measurements of electroweak [Formula: see text] production and constraints on anomalous gauge couplings with the ATLAS detector.</t>
  </si>
  <si>
    <t>Aaboud, M; Aad, G; Abbott, B; Abdallah, J; Abdinov, O; Abeloos, B; Abidi, S H; AbouZeid, O S; Abraham, N L; Abramowicz, H; Abreu, H; Abreu, R; Abulaiti, Y; Acharya, B S; Adachi, S; Adamczyk, L; Adams, D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Piqueras, D Álvarez; Alviggi, M G; Amadio, B T; Amaral Coutinho, Y; Amelung, C; Amidei, D; Santos, S P Amor Dos; Amorim, A; Amoroso, S; Amundsen, G; Anastopoulos, C; Ancu, L S; Andari, N; Andeen, T; Anders, C F; Anders, J K; Anderson, K J; Andreazza, A; Andrei, V;</t>
  </si>
  <si>
    <t>https://pubmed.ncbi.nlm.nih.gov/28943794</t>
  </si>
  <si>
    <t>Measurements of the electroweak production of a &lt;i&gt;W&lt;/i&gt; boson in association with two jets at high dijet invariant mass are performed using [Formula: see text] 7 and 8 [Formula: see text] proton-proton collision data produced by the Large Hadron Collider, corresponding respectively to 4.7 and 20.2 fb[Formula: see text] of integrated luminosity collected by the ATLAS detector. The measurements are sensitive to the production of a &lt;i&gt;W&lt;/i&gt; boson via a triple-gauge-boson vertex and include both the fiducial and differential cross sections of the electroweak process.</t>
  </si>
  <si>
    <t>Vulnerability of pregnant women in clinical research.</t>
  </si>
  <si>
    <t>van der Zande, Indira S E; van der Graaf, Rieke; Oudijk, Martijn A; van Delden, Johannes J M</t>
  </si>
  <si>
    <t>https://pubmed.ncbi.nlm.nih.gov/28716977</t>
  </si>
  <si>
    <t>Notwithstanding the need to produce evidence-based knowledge on medications for pregnant women, they remain underrepresented in clinical research. Sometimes they are excluded because of their supposed vulnerability, but there are no universally accepted criteria for considering pregnant women as vulnerable. Our aim was to explore &lt;i&gt;whether&lt;/i&gt; and if so &lt;i&gt;to what extent&lt;/i&gt; pregnant women are vulnerable as research subjects. We performed a conceptual and empirical analysis of vulnerability applied to pregnant women. A conceptual analysis supports Hurst's definition of vulnerability. Consequently, we argue that pregnant women are vulnerable if they encounter an identifiably increased likelihood of incurring additional or greater wrong. According to the literature, this increased likelihood could exist of four alleged features for pregnant women's vulnerability: (i) informed consent, (ii) susceptibility to coercion, (iii) higher exposure to risk due to lack of knowledge, (iv) vulnerability of the fetus. Testing the features against Hurst's definition demonstrates that they all concern the same issue: pregnant women are only vulnerable because a higher exposure to risk due to lack of scientific knowledge comprises an increased wrong. Research Ethics Committees have a responsibility to protect the vulnerable, but a higher exposure to risk due to lack of scientific knowledge is a much broader issue and also needs to be addressed by other stakeholders. The only reason why pregnant women are potentially vulnerable is to the extent that they are increasingly exposed to higher risks due to a lack of scientific knowledge. Accordingly, the discussion can advance to the development of practical strategies to promote fair inclusion of pregnant women in clinical research.</t>
  </si>
  <si>
    <t>Accounting for treatment use when validating a prognostic model: a simulation study.</t>
  </si>
  <si>
    <t>Pajouheshnia, Romin; Peelen, Linda M; Moons, Karel G M; Reitsma, Johannes B; Groenwold, Rolf H H</t>
  </si>
  <si>
    <t>https://pubmed.ncbi.nlm.nih.gov/28709404</t>
  </si>
  <si>
    <t>Prognostic models often show poor performance when applied to independent validation data sets. We illustrate how treatment use in a validation set can affect measures of model performance and present the uses and limitations of available analytical methods to account for this using simulated data. We outline how the use of risk-lowering treatments in a validation set can lead to an apparent overestimation of risk by a prognostic model that was developed in a treatment-naïve cohort to make predictions of risk without treatment. Potential methods to correct for the effects of treatment use when testing or validating a prognostic model are discussed from a theoretical perspective.. Subsequently, we assess, in simulated data sets, the impact of excluding treated individuals and the use of inverse probability weighting (IPW) on the estimated model discrimination (c-index) and calibration (observed:expected ratio and calibration plots) in scenarios with different patterns and effects of treatment use. Ignoring the use of effective treatments in a validation data set leads to poorer model discrimination and calibration than would be observed in the untreated target population for the model. Excluding treated individuals provided correct estimates of model performance only when treatment was randomly allocated, although this reduced the precision of the estimates. IPW followed by exclusion of the treated individuals provided correct estimates of model performance in data sets where treatment use was either random or moderately associated with an individual's risk when the assumptions of IPW were met, but yielded incorrect estimates in the presence of non-positivity or an unobserved confounder. When validating a prognostic model developed to make predictions of risk without treatment, treatment use in the validation set can bias estimates of the performance of the model in future targeted individuals, and should not be ignored. When treatment use is random, treated individuals can be excluded from the analysis. When treatment use is non-random, IPW followed by the exclusion of treated individuals is recommended, however, this method is sensitive to violations of its assumptions.</t>
  </si>
  <si>
    <t>Decline in risk of recurrent cardiovascular events in the period 1996 to 2014 partly explained by better treatment of risk factors and less subclinical atherosclerosis.</t>
  </si>
  <si>
    <t>Berkelmans, Gijs F N; van der Graaf, Yolanda; Dorresteijn, Jannick A N; de Borst, Gert Jan; Cramer, Maarten J; Kappelle, L Jaap; Westerink, Jan; Visseren, Frank L J; ,</t>
  </si>
  <si>
    <t>https://pubmed.ncbi.nlm.nih.gov/28728850</t>
  </si>
  <si>
    <t>To quantify the decline in recurrent major cardiovascular events (MCVE) risk in patients with clinically manifest vascular disease between 1996 and 2014 and to assess whether the improvements in recurrent MCVE-risk can be explained by reduced prevalence of risk factors, more medication use and less subclinical atherosclerosis. The study was conducted in the Second Manifestations of ARTerial disease (SMART) cohort in patients entering the cohort in the period 1996-2014. The prevalence of risk factors and subclinical atherosclerosis was measured at baseline. Incidence rates per 100person-years for recurrent MCVE (including stroke, myocardial infarction, retinal bleeding, retinal infarction, terminal heart failure, sudden death, fatal rupture of abdominal aneurysm) were calculated, stratified by the year of study enrolment. For the attributable risk of changes in risk factors, risk factor treatment, and subclinical atherosclerosis on the incidence rates of recurrent MCVE, adjusted rate ratios were estimated with Poisson regression. 7216 patients had a median follow-up of 6.5years (IQR 3.4-9.9). The crude incidence of recurrent MCVE declined by 53% between 1996 and 2014 (from 3.68 to 1.73 events per 100person-years) and by 75% adjusted for age and sex. This improvement in vascular prognosis was 36% explained by changes in risk factors, medication use and subclinical atherosclerosis. The risk of recurrent MCVE in patients with clinically manifest vascular disease has strongly declined in the period between 1996 and 2014. This is only partly attributable to lower prevalence of risk factors, improved medication use and less subclinical atherosclerosis.</t>
  </si>
  <si>
    <t>Does the effect of one-day simulation team training in obstetric emergencies decline within one year? A post-hoc analysis of a multicentre cluster randomised controlled trial.</t>
  </si>
  <si>
    <t>van de Ven, J; Fransen, A F; Schuit, E; van Runnard Heimel, P J; Mol, B W; Oei, S G</t>
  </si>
  <si>
    <t>https://pubmed.ncbi.nlm.nih.gov/28738295</t>
  </si>
  <si>
    <t>Does the effect of one-day simulation team training in obstetric emergencies decline within one year? A post-hoc analysis of a multicentre cluster randomised controlled trial. J van de Ven, AF Fransen, E Schuit, PJ van Runnard Heimel, BW Mol, SG Oei OBJECTIVE: To investigate whether the effect of a one-day simulation-based obstetric team training on patient outcome changes over time. Post-hoc analysis of a multicentre, open, randomised controlled trial that evaluated team training in obstetrics (TOSTI study).We studied women with a singleton pregnancy beyond 24 weeks of gestation in 24 obstetric units. Included obstetric units were randomised to either a one-day, multi-professional simulation-based team training focusing on crew resource management in a medical simulation centre (12 units) or to no team training (12 units). We assessed whether outcomes differed between both groups in each of the first four quarters following the team training and compared the effect of team training over quarters. Primary outcome was a composite outcome of low Apgar score, severe postpartum haemorrhage, trauma due to shoulder dystocia, eclampsia and hypoxic-ischemic encephalopathy. During a one year period after the team training the rate of obstetric complications, both on the composite level and the individual component level, did not differ between any of the quarters. For trauma due to shoulder dystocia team training led to a significant decrease in the first quarter (0.06% versus 0.26%, OR 0.19, 95% CI 0.03 to 0.98) but in the subsequent quarters no significant reductions were observed. Similar results were found for invasive treatment for severe postpartum haemorrhage where a significant increase was only seen in the first quarter (0.4% versus 0.03%, OR 19, 95% CI 2.5-147), and not thereafter. The beneficial effect of a one-day, simulation-based, multiprofessional, obstetric team training seems to decline after three months. If team training is further evaluated or implemented, repetitive training sessions every three months seem therefore recommended.</t>
  </si>
  <si>
    <t>The prognostic value of lymph node yield in the earliest stage of colorectal cancer: a multicenter cohort study.</t>
  </si>
  <si>
    <t>Backes, Yara; Elias, Sjoerd G; Bhoelan, Bibie S; Groen, John N; van Bergeijk, Jeroen; Seerden, Tom C J; Pullens, Hendrikus J M; Spanier, Bernhard W M; Geesing, Joost M J; Kessels, Koen; Kerkhof, Marjon; Siersema, Peter D; de Vos Tot Nederveen Cappel, Wouter H; van Lelyveld, Niels; Wolfhagen, Frank H J; Ter Borg, Frank; Offerhaus, G Johan A; Lacle, Miangela M; Moons, Leon M G; ,</t>
  </si>
  <si>
    <t>https://pubmed.ncbi.nlm.nih.gov/28705200</t>
  </si>
  <si>
    <t>In patients with stage II colorectal cancer (CRC) the number of surgically retrieved lymph nodes (LNs) is associated with prognosis, resulting in a minimum of 10-12 retrieved LNs being recommended for this stage. Current guidelines do not provide a recommendation regarding LN yield in T1 CRC. Studies evaluating LN yield in T1 CRC suggest that such high LN yields are not feasible in this early stage, and a lower LN yield might be appropriate. We aimed to validate the cut-off of 10 retrieved LNs on risk for recurrent cancer and detection of LN metastasis (LNM) in T1 CRC, and explored whether this number is feasible in clinical practice. Patients diagnosed with T1 CRC and treated with surgical resection between 2000 and 2014 in thirteen participating hospitals were selected from the Netherlands Cancer Registry. Medical records were reviewed to collect additional information. The association between LN yield and recurrence and LNM respectively were analyzed using 10 LNs as cut-off. Propensity score analysis using inverse probability weighting (IPW) was performed to adjust for clinical and histological confounding factors (i.e., age, sex, tumor location, size and morphology, presence of LNM, lymphovascular invasion, depth of submucosal invasion, and grade of differentiation). In total, 1017 patients with a median follow-up time of 49.0 months (IQR 19.6-81.5) were included. Four-hundred five patients (39.8%) had a LN yield ≥ 10. Forty-one patients (4.0%) developed recurrence. LN yield ≥ 10 was independently associated with a decreased risk for recurrence (IPW-adjusted HR 0.20; 95% CI 0.06-0.67; P = 0.009). LNM were detected in 84 patients (8.3%). LN yield ≥ 10 was independently associated with increased detection of LNM (IPW-adjusted OR 2.27; 95% CI 1.39-3.69; P = 0.001). In this retrospective observational study, retrieving &lt; 10 LNs was associated with an increased risk of CRC recurrence, advocating the importance to perform an appropriate oncologic resection of the draining LNs and diligent LN search when patients with T1 CRC at high-risk for LNM are referred for surgical resection. Given that both gastroenterologists, surgeons and pathologists will encounter T1 CRCs with increasing frequency due to the introduction of national screening programs, awareness on the consequences of an inadequate LN retrieval is of utmost importance.</t>
  </si>
  <si>
    <t>Jet reconstruction and performance using particle flow with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</si>
  <si>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t>
  </si>
  <si>
    <t>https://pubmed.ncbi.nlm.nih.gov/28943792</t>
  </si>
  <si>
    <t>This paper describes the implementation and performance of a particle flow algorithm applied to 20.2 fb[Formula: see text] of ATLAS data from 8 TeV proton-proton collisions in Run 1 of the LHC. The algorithm removes calorimeter energy deposits due to charged hadrons from consideration during jet reconstruction, instead using measurements of their momenta from the inner tracker. This improves the accuracy of the charged-hadron measurement, while retaining the calorimeter measurements of neutral-particle energies. The paper places emphasis on how this is achieved, while minimising double-counting of charged-hadron signals between the inner tracker and calorimeter. The performance of particle flow jets, formed from the ensemble of signals from the calorimeter and the inner tracker, is compared to that of jets reconstructed from calorimeter energy deposits alone, demonstrating improvements in resolution and pile-up stability.</t>
  </si>
  <si>
    <t>Circulating RANKL and RANKL/OPG and Breast Cancer Risk by ER and PR Subtype: Results from the EPIC Cohort.</t>
  </si>
  <si>
    <t>Sarink, Danja; Schock, Helena; Johnson, Theron; Overvad, Kim; Holm, Marianne; Tjønneland, Anne; Boutron-Ruault, Marie-Christine; His, Mathilde; Kvaskoff, Marina; Boeing, Heiner; Lagiou, Pagona; Papatesta, Eleni-Maria; Trichopoulou, Antonia; Palli, Domenico; Pala, Valeria; Mattiello, Amalia; Tumino, Rosario; Sacerdote, Carlotta; Bueno-de-Mesquita, H B As; van Gils, Carla H; Peeters, Petra H; Weiderpass, Elisabete; Agudo, Antonio; Sánchez, Maria-José; Chirlaque, Maria-Dolores; Ardanaz, Eva; Amiano, Pilar; Khaw, Kay Tee; Travis, Ruth; Dossus, Laure; Gunter, Mark; Rinaldi, Sabina; Merritt, Melissa; Riboli, Elio; Kaaks, Rudolf; Fortner, Renée T</t>
  </si>
  <si>
    <t>cancer prevention research philadelphia pa</t>
  </si>
  <si>
    <t>https://pubmed.ncbi.nlm.nih.gov/28701332</t>
  </si>
  <si>
    <t>Receptor activator of nuclear factor-kappa B (RANK)-RANK ligand (RANKL) signaling promotes mammary tumor development in experimental models. Circulating concentrations of soluble RANKL (sRANKL) may influence breast cancer risk via activation of RANK signaling; this may be modulated by osteoprotegerin (OPG), the decoy receptor for RANKL. sRANKL and breast cancer risk by hormone receptor subtype has not previously been investigated. A case-control study was nested in the European Prospective Investigation into Cancer and Nutrition (EPIC) cohort. This study included 1,976 incident invasive breast cancer cases [estrogen receptor positive (ER+), &lt;i&gt;n&lt;/i&gt; = 1,598], matched 1:1 to controls. Women were pre- or postmenopausal at blood collection. Serum sRANKL was quantified using an ELISA, serum OPG using an electrochemiluminescent assay. Risk ratios (RR) and 95% confidence intervals (95% CI) were calculated using conditional logistic regression. Associations between sRANKL and breast cancer risk differed by tumor hormone receptor status (&lt;i&gt;P&lt;/i&gt;&lt;sub&gt;het&lt;/sub&gt; = 0.05). Higher concentrations of sRANKL were positively associated with risk of ER+ breast cancer [5th vs. 1st quintile RR 1.28 (95% CI, 1.01-1.63); &lt;i&gt;P&lt;/i&gt;&lt;sub&gt;trend&lt;/sub&gt; = 0.20], but not ER- disease. For both ER+ and estrogen and progesterone receptor positive (ER+PR+) breast cancer, results considering the sRANKL/OPG ratio were similar to those for sRANKL; we observed a suggestive inverse association between the ratio and ER-PR- disease [5th vs. 1st quintile RR = 0.60 (0.31-1.14); &lt;i&gt;P&lt;/i&gt;&lt;sub&gt;trend&lt;/sub&gt; = 0.03]. This study provides the first large-scale prospective data on circulating sRANKL and breast cancer. We observed limited evidence for an association between sRANKL and breast cancer risk. &lt;i&gt;Cancer Prev Res; 10(9); 525-34. ©2017 AACR&lt;/i&gt;.</t>
  </si>
  <si>
    <t>Reply to: Late-Life Depression, Cortisol, and the Hippocampus: On the Need to Consider Depressive, Hippocampal, and Pharmacological Complexities.</t>
  </si>
  <si>
    <t>Geerlings, Mirjam I; Gerritsen, Lotte</t>
  </si>
  <si>
    <t>https://pubmed.ncbi.nlm.nih.gov/28838558</t>
  </si>
  <si>
    <t>The use of evidence during group meetings of Dutch general practitioners.</t>
  </si>
  <si>
    <t>Ter Brugge, Bastiaan P H; Bartelink, Marie-Louise E L; Damoiseaux, Roger A M J; de Groot, Esther</t>
  </si>
  <si>
    <t>https://pubmed.ncbi.nlm.nih.gov/28701105</t>
  </si>
  <si>
    <t>For Evidence Based Medicine (EBM) learning journal clubs are recommended, but these are not common practice. How participants discuss and learn about applying evidence in other group meetings is unknown. We examined different types of group meetings and explored the use of, and discussions about, clinical research evidence. A mixed-methods study design was adopted. After distribution and analysis of a questionnaire about types of group meetings, interviews were conducted to better understand the most frequently occurring type. GPs have different types of meetings, but the most common group meetings where evidence wass discussed were so called quality circles, i.e. pharmacotherapy audit meetings in which GPs discuss drug prescription figures or preferred treatment together with pharmacists. Interviews showed that the source of evidence used mostly are the recommendations in the national GP guidelines. The underlying evidence or new research did not play an important role in the discussions. Quality circles seem to be more goal-oriented than learning oriented. Learning discussions about controversies in clinical research or about the integration of evidence, patient values and clinical expertise occurred infrequently. To harvest the potential value of group meetings for EBM learning, quality circles in their present design are not optimal.</t>
  </si>
  <si>
    <t>What determines treatment satisfaction of patients with type 2 diabetes on insulin therapy? An observational study in eight European countries.</t>
  </si>
  <si>
    <t>Boels, Anne Meike; Vos, Rimke C; Hermans, Tom G T; Zuithoff, Nicolaas P A; Müller, Nicolle; Khunti, Kamlesh; Rutten, Guy E H M; ,</t>
  </si>
  <si>
    <t>https://pubmed.ncbi.nlm.nih.gov/28701411</t>
  </si>
  <si>
    <t>Patients with type 2 diabetes (T2DM) on insulin therapy are less satisfied with their diabetes treatment than those on oral hypoglycaemic therapies or lifestyle advice only. Determinants of satisfaction in patients with T2DM on insulin therapy are not clearly known. The aim of this study was to determine the association of treatment satisfaction with demographic and clinical characteristics of patients with T2DM. For this study we used data from the GUIDANCE (Guideline Adherence to Enhance Care) study, a cross-sectional study among 7597 patients with T2DM patients from Belgium, France, Germany, Ireland, Italy, Sweden, the Netherlands and the UK. The majority of patients were recruited from primary care. Treatment satisfaction was assessed by the Diabetes Treatment Satisfaction Questionnaire (DTSQ, score 0-36; higher scores reflecting higher satisfaction). To determine which patient characteristics and laboratory values were independently associated with treatment satisfaction, a linear mixed model analysis was used. In total, 1984 patients on insulin were analysed; the number of included patients per country ranged from 166 (the Netherlands) to 384 (Italy). The mean DTSQ score was 28.50±7.52 and ranged from 25.93±6.57 (France) to 30.11±5.09 (the Netherlands). Higher DTSQ scores were associated with having received diabetes education (β 1.64, 95% CI 0.95 to 2.32), presence of macrovascular complications (β 0.76, 95% CI 0.21 to 1.31) and better health status (β 0.08 for every one unit increase on a 0-100 scale, 95% CI 0.07 to 0.10). Lower DTSQ scores were associated with more frequently perceived hyperglycaemia (β -0.32 for every 1 unit increase on a seven-point Likert scale, 95% CI -0.50 to -0.13), and higher glycated haemoglobin (β -0.52 for every percentage increase, 95% CI -0.75 to -0.29). A number of factors including diabetes education, perceived and actual hyperglycaemia and macrovascular complications are associated with treatment satisfaction. Self-management education programmes should incorporate these factors for ongoing support in patients with T2DM.</t>
  </si>
  <si>
    <t>The association between HIV (treatment), pregnancy serum lipid concentrations and pregnancy outcomes: a systematic review.</t>
  </si>
  <si>
    <t>Harmsen, Marissa J; Browne, Joyce L; Venter, Francois; Klipstein-Grobusch, Kerstin; Rijken, Marcus J</t>
  </si>
  <si>
    <t>https://pubmed.ncbi.nlm.nih.gov/28697741</t>
  </si>
  <si>
    <t>Observed adverse effects of antiretroviral therapy (ART) on the lipid profile could be of significance in pregnancy. This systematic review aims to summarize studies that investigated the association between HIV, ART and serum lipids during pregnancy and adverse pregnancy outcomes. A systematic search was conducted in five electronic databases to obtain articles that measured serum lipid concentrations or the incidence of dyslipidaemia in HIV-infected pregnant women. Included articles were assessed for quality according to the Cochrane Risk of Bias Tool. The extracted data was analysed through descriptive analysis. Of the 1264 articles screened, 17 articles were included in this review; eleven reported the incidence of dyslipidaemia, and twelve on maternal serum lipid concentrations under the influence of HIV-infection and ART. No articles reported pregnancy outcomes in relation to serum lipids. Articles were of acceptable quality, but heterogenic in methods and study design. Lipid levels in HIV-infected women increased 1.5-3 fold over the trimesters of pregnancy, and remained within the physiological reference range. The percentage of women with dyslipidaemia was variable between the studies [0-88.9%] and highest in the groups on first generation protease inhibitors and for women on ART at conception. This systematic review observed physiologic concentrations of serum lipids for HIV-infected women receiving ART during pregnancy. Serum lipids were increased in users of first generation protease inhibitors and for those on treatment at conception. There was no information available about pregnancy outcomes. Future studies are needed which include HIV-uninfected control groups, control for potential confounders, and overcome limitations associated with included studies.</t>
  </si>
  <si>
    <t>Neoadjuvant chemotherapy affects molecular classification of colorectal tumors.</t>
  </si>
  <si>
    <t>Trumpi, K; Ubink, I; Trinh, A; Djafarihamedani, M; Jongen, J M; Govaert, K M; Elias, S G; van Hooff, S R; Medema, J P; Lacle, M M; Vermeulen, L; Borel Rinkes, I H M; Kranenburg, O</t>
  </si>
  <si>
    <t>oncogenesis</t>
  </si>
  <si>
    <t>https://pubmed.ncbi.nlm.nih.gov/28692036</t>
  </si>
  <si>
    <t>The recent discovery of 'molecular subtypes' in human primary colorectal cancer has revealed correlations between subtype, propensity to metastasize and response to therapy. It is currently not known whether the molecular tumor subtype is maintained after distant spread. If this is the case, molecular subtyping of the primary tumor could guide subtype-targeted therapy of metastatic disease. In this study, we classified paired samples of primary colorectal carcinomas and their corresponding liver metastases (n=129) as epithelial-like or mesenchymal-like, using a recently developed immunohistochemistry-based classification tool. We observed considerable discordance (45%) in the classification of primary tumors and their liver metastases. Discordant classification was significantly associated with the use of neoadjuvant chemotherapy. Furthermore, gene expression analysis of chemotherapy-exposed versus chemotherapy naive liver metastases revealed expression of a mesenchymal program in pre-treated tumors. To explore whether chemotherapy could cause gene expression changes influencing molecular subtyping, we exposed patient-derived colonospheres to six short cycles of 5-fluorouracil. Gene expression profiling and signature enrichment analysis subsequently revealed that the expression of signatures identifying mesenchymal-like tumors was strongly increased in chemotherapy-exposed tumor cultures. Unsupervised clustering of large cohorts of human colon tumors with the chemotherapy-induced gene expression program identified a poor prognosis mesenchymal-like subgroup. We conclude that neoadjuvant chemotherapy induces a mesenchymal phenotype in residual tumor cells and that this may influence the molecular classification of colorectal tumors.</t>
  </si>
  <si>
    <t>Trends in comorbidity in patients hospitalised for cardiovascular disease.</t>
  </si>
  <si>
    <t>Buddeke, Josefien; Bots, Michiel L; van Dis, Ineke; Liem, Anho; Visseren, Frank L J; Vaartjes, Ilonca</t>
  </si>
  <si>
    <t>https://pubmed.ncbi.nlm.nih.gov/28712563</t>
  </si>
  <si>
    <t>We determined trends over time in cardiovascular and non-cardiovascular comorbidity in patients hospitalised for cardiovascular disease (CVD). The Dutch nationwide hospital register was used to identify patients hospitalised for CVD during 2000-2010. Comorbidity was defined as a previous hospital admission for CVD other than the index CVD, cancer, diabetes, musculoskeletal and connective tissue disorders, respiratory disorders, thyroid gland disorders, kidney disorders and dementia in the five years previous to hospital admittance for the index CVD. Trends were calculated in strata of age and sex and for different types of CVD: coronary heart disease (CHD), cerebrovascular disease (CVA), heart failure (HF) and peripheral arterial disease (PAD). We identified 2,397,773 admissions for CVD between 2000 and 2010. Comorbidity was present in 38%. In HF, PAD, CHD and CVA this was 54%, 46%, 40%, and 32%, respectively. Between 2000 and 2010, the percentage of patients with comorbidity increased (+1.1%), this increase was most pronounced in patients ≥75years (+3.0%). Cardiovascular disease was the most frequent comorbid condition, though became less prevalent over time (men -5%; women: -2%), whereas non-cardiovascular comorbidity increased in men (+4%), and remained similar in women (-1%). Cancer was the most common non-cardiovascular comorbid condition and increased in men and women (men: +5%; women: +4%). Comorbid conditions are highly prevalent in patients hospitalised for CVD, especially HF and PAD patients. In older patients, prevalences increased over time. Cardiovascular diseases were the most common comorbid condition, though the prevalence decreased over the study period whereas the prevalence of cancer increased.</t>
  </si>
  <si>
    <t>Environmental exposure to pesticides and the risk of Parkinson's disease in the Netherlands.</t>
  </si>
  <si>
    <t>Brouwer, Maartje; Huss, Anke; van der Mark, Marianne; Nijssen, Peter C G; Mulleners, Wim M; Sas, Antonetta M G; van Laar, Teus; de Snoo, Geert R; Kromhout, Hans; Vermeulen, Roel C H</t>
  </si>
  <si>
    <t>https://pubmed.ncbi.nlm.nih.gov/28704700</t>
  </si>
  <si>
    <t>Exposure to pesticides has been linked to Parkinson's disease (PD), although associations between specific pesticides and PD have not been well studied. Residents of rural areas can be exposed through environmental drift and volatilization of agricultural pesticides. Our aim was to investigate the association between lifetime environmental exposure to individual pesticides and the risk of PD, in a national case-control study. Environmental exposure to pesticides was estimated using a spatio-temporal model, based on agricultural crops around the residential address. Distance up to 100m from the residence was considered most relevant, considering pesticide drift potential of application methods used in the Netherlands. Exposure estimates were generated for 157 pesticides, used during the study period, of which four (i.e. paraquat, maneb, lindane, benomyl) were considered a priori relevant for PD. A total of 352 PD cases and 607 hospital-based controls were included. No significant associations with PD were found for the a priori pesticides. In a hypothesis generating analysis, including 153 pesticides, increased risk of PD was found for 21 pesticides, mainly used on cereals and potatoes. Results were suggestive for an association between bulb cultivation and PD. For paraquat, risk estimates for the highest cumulative exposure tertile were in line with previously reported elevated risks. Increased risk of PD was observed for exposure to (a cluster of) pesticides used on rotating crops. High correlations limited our ability to identify individual pesticides responsible for this association. This study provides some evidence for an association between environmental exposure to specific pesticides and the risk of PD, and generates new leads for further epidemiological and mechanistic research.</t>
  </si>
  <si>
    <t>Series: Pragmatic trials and real world evidence: Paper 5. Usual care and real life comparators.</t>
  </si>
  <si>
    <t>Zuidgeest, Mira G P; Welsing, Paco M J; van Thiel, Ghislaine J M W; Ciaglia, Antonio; Alfonso-Cristancho, Rafael; Eckert, Laurent; Eijkemans, Marinus J C; Egger, Matthias; ,</t>
  </si>
  <si>
    <t>https://pubmed.ncbi.nlm.nih.gov/28694123</t>
  </si>
  <si>
    <t>Pragmatic trials may deliver real-world evidence on the added value of new medications compared with usual care and inform decision making earlier in development. This fifth paper in a series on pragmatic trials in the Journal discusses usual care as a comparator and the allocation of treatment strategies. The allocation and implementation of treatment strategies should resemble clinical practice as closely as possible. Randomization at the level of the site, as opposed to at the individual level, may be preferred. Data analysis according to the intention-to-treat principle is recommended, and crossover between treatment arms and strong treatment preferences may be accounted for in the study design in specific situations. Although usual care is the comparator of choice, this may differ substantially between centers and countries complicating comparator choice. Using clinical guidelines to define usual care can be helpful in standardizing comparator treatments; however, this may decrease the applicability of the results to real-life settings. Conversely, using multiple usual-care treatment arms will increase the complexity of the study. The specific objectives of the trial and design choices should be discussed with all stakeholders to realize the full potential of the pragmatic trial.</t>
  </si>
  <si>
    <t>A multi-centre, non-inferiority, randomised controlled trial to compare a cervical pessary with a cervical cerclage in the prevention of preterm delivery in women with short cervical length and a history of preterm birth - PC study.</t>
  </si>
  <si>
    <t>Koullali, Bouchra; van Kempen, Liselotte E M; van Zijl, Maud D; Naaktgeboren, Christiana A; Schuit, Ewoud; Bekedam, Dick J; Franssen, Maureen T M; Nij Bijvank, Sebastiaan W A; Sueters, Marieke; van Baal, Marchien; de Boer, Marjon A; Hooker, Angelo B; Hermsen, Brenda B J; Toolenaar, Toon A A M; Zwart, Joost J; van der Ham, David P; van der Made, Flip W; Prefumo, Federico; Martinez de Tejada, Begoña; Papatsonis, Dimitri N M; Huisjes, Anjoke J M; Scheepers, Liesbeth H C J; van Hoorn, Marion E; Hasaart, Tom H M; Schuitemaker, Nico W E; Vollebregt, Karlijn C; Müller, Moira A; Evers, Inge M; Post, Marinka S; de Boer, Karin; Visser, Henricus; Mensing van Charante, Nico A; Langenveld, Josje; Steemers, Nicole Y C; Mol, Ben W J; Oudijk, Martijn A; Pajkrt, Eva</t>
  </si>
  <si>
    <t>https://pubmed.ncbi.nlm.nih.gov/28683739</t>
  </si>
  <si>
    <t>Quality of life as indicator of poor outcome in hemodialysis: relation with mortality in different age groups.</t>
  </si>
  <si>
    <t>van Loon, I N; Bots, M L; Boereboom, F T J; Grooteman, M P C; Blankestijn, P J; van den Dorpel, M A; Nubé, M J; Ter Wee, P M; Verhaar, M C; Hamaker, M E</t>
  </si>
  <si>
    <t>https://pubmed.ncbi.nlm.nih.gov/28679361</t>
  </si>
  <si>
    <t>Physical, cognitive and psychosocial functioning are frequently impaired in dialysis patients and impairment in these domains relates to poor outcome. The aim of this analysis was to compare the prevalence of impairment as measured by the Kidney Disease Quality of Life- Short Form (KDQOL-SF) subscales between the different age categories and to assess whether the association of these subscales with mortality differs between younger and older dialysis patients. This study included data from 714 prevalent hemodialysis patients, from 26 centres, who were enrolled in the CONvective TRAnsport STudy (CONTRAST NCT00205556, 09-12-2005). Baseline HRQOL domains were evaluated for patients &lt;65 years, 65-74 years and over 75 years. Multivariable Cox proportional hazards analyses were performed to assess the relation between the separate domains and 2-year mortality. Emotional health was higher in patients over the age of 75 compared to younger patients (mean level 71, 73 and 77 for increasing age categories respectively, p = 0.02), whilst physical functioning was significantly lower in older patients (mean level 60, 48 and 40, p &lt; 0.01). A low level of physical functioning (Hazard Ratio (HR) 1.72 [95%Confidence Interval (CI) 1.02-2.73]), emotional health (HR 1.85 [95% 1.30-2.63]), and social functioning (HR 1.59 [95% CI 1.12-2.26]), was individually associated with an increased 2-year mortality within the whole population. The absence of effect modification suggests no evidence for different relations within the older age groups. In dialysis patients, older age is associated with lower levels of physical functioning, whilst the level of emotional health is not associated with age. KDQOL-SF domains physical functioning, emotional health and social functioning are independently associated with mortality in prevalent younger and older hemodialysis patients.</t>
  </si>
  <si>
    <t>Food consumption, nutrient intake, and dietary patterns in Ghanaian migrants in Europe and their compatriots in Ghana.</t>
  </si>
  <si>
    <t>Galbete, Cecilia; Nicolaou, Mary; Meeks, Karlijn A; de-Graft Aikins, Ama; Addo, Juliet; Amoah, Stephen K; Smeeth, Liam; Owusu-Dabo, Ellis; Klipstein-Grobusch, Kerstin; Bahendeka, Silver; Agyemang, Charles; Mockenhaupt, Frank P; Beune, Erik J; Stronks, Karien; Schulze, Matthias B; Danquah, Ina</t>
  </si>
  <si>
    <t>https://pubmed.ncbi.nlm.nih.gov/28747862</t>
  </si>
  <si>
    <t>&lt;b&gt;Background&lt;/b&gt;: West African immigrants in Europe are disproportionally affected by metabolic conditions compared to European host populations. Nutrition transition through urbanisation and migration may contribute to this observations, but remains to be characterised. &lt;b&gt;Objective&lt;/b&gt;: We aimed to describe the dietary behaviour and its socio-demographic factors among Ghanaian migrants in Europe and their compatriots living different Ghanaian settings. &lt;b&gt;Methods&lt;/b&gt;: The multi-centre, cross-sectional RODAM (Research on Obesity and Diabetes among African Migrants) study was conducted among Ghanaian adults in rural and urban Ghana, and Europe. Dietary patterns were identified by principal component analysis. &lt;b&gt;Results&lt;/b&gt;: Contributions of macronutrient to the daily energy intake was different across the three study sites. Three dietary patterns were identified. Adherence to the 'mixed' pattern was associated with female sex, higher education, and European residency. The 'rice, pasta, meat, and fish' pattern was associated with male sex, younger age, higher education, and urban Ghanaian environment. Adherence to the 'roots, tubers, and plantain' pattern was mainly related to rural Ghanaian residency. &lt;b&gt;Conclusion&lt;/b&gt;: We observed differences in food preferences across study sites: in rural Ghana, diet concentrated on starchy foods; in urban Ghana, nutrition was dominated by animal-based products; and in Europe, diet appeared to be highly diverse.</t>
  </si>
  <si>
    <t>Cardiac Stress and Inflammatory Markers as Predictors of Heart Failure in Patients With Type 2 Diabetes: The ADVANCE Trial.</t>
  </si>
  <si>
    <t>Ohkuma, Toshiaki; Jun, Min; Woodward, Mark; Zoungas, Sophia; Cooper, Mark E; Grobbee, Diederick E; Hamet, Pavel; Mancia, Giuseppe; Williams, Bryan; Welsh, Paul; Sattar, Naveed; Shaw, Jonathan E; Rahimi, Kazem; Chalmers, John; ,</t>
  </si>
  <si>
    <t>https://pubmed.ncbi.nlm.nih.gov/28684396</t>
  </si>
  <si>
    <t>This study examined the individual and combined effect of N-terminal pro-B-type natriuretic peptide (NT-proBNP), high-sensitivity cardiac troponin T (hs-cTnT), interleukin-6 (IL-6), and hs-CRP on the prediction of heart failure incidence or progression in patients with type 2 diabetes. A nested case-cohort study was conducted in 3,098 participants with type 2 diabetes in the Action in Diabetes and Vascular Disease: Preterax and Diamicron Modified Release Controlled Evaluation (ADVANCE) trial. A higher value of each biomarker was significantly associated with a higher risk of heart failure incidence or progression, after adjustment for major risk factors. The hazard ratios per 1-SD increase were 3.06 (95% CI 2.37, 3.96) for NT-proBNP, 1.50 (1.27, 1.77) for hs-cTnT, 1.48 (1.27, 1.72) for IL-6, and 1.32 (1.12, 1.55) for hs-CRP. The addition of NT-proBNP to the model including conventional risk factors meaningfully improved 5-year risk-predictive performance (C statistic 0.8162 to 0.8800; continuous net reclassification improvement [NRI] 73.1%; categorical NRI [&lt;5%, 5-10%, &gt;10% 5-year risk] 24.2%). In contrast, the addition of hs-cTnT, IL-6, or hs-CRP did not improve the prediction metrics consistently in combination or when added to NT-proBNP. Only NT-proBNP strongly and consistently improved the prediction of heart failure in patients with type 2 diabetes beyond a wide range of clinical risk factors and biomarkers.</t>
  </si>
  <si>
    <t>Variations in the prevalence of childhood asthma and wheeze in MeDALL cohorts in Europe.</t>
  </si>
  <si>
    <t>Uphoff, Eleonora P; Bird, Philippa K; Antó, Joseph Maria; Basterrechea, Mikel; von Berg, Andrea; Bergström, Anna; Bousquet, Jean; Chatzi, Leda; Fantini, Maria Pia; Ferrero, Amparo; Gehring, Ulrike; Gori, Davide; Heinrich, Joachim; Keil, Thomas; Kull, Inger; Lau, Susanne; Maier, Dieter; Momas, Isabelle; Narduzzi, Silvia; Porta, Daniela; Ranciere, Fanny; Roumeliotaki, Theano; Schikowski, Tamara; Smit, Henriette A; Standl, Marie; Sunyer, Jordi; Wright, John</t>
  </si>
  <si>
    <t>https://pubmed.ncbi.nlm.nih.gov/28845428</t>
  </si>
  <si>
    <t>While there is evidence for variations in prevalence rates of childhood wheeze and asthma between countries, longitudinal, individual-level data are needed to understand these differences. The aim of this study was to examine variations in prevalence rates of childhood asthma, wheeze and wheeze with asthma in Europe. We analysed datasets from 10 MeDALL (Mechanisms of the Development of ALLergy) cohorts in eight countries, representing 26 663 children, to calculate prevalence rates of wheeze and asthma by child age and wheeze with asthma at age 4 years. Harmonised variables included outcomes parent-reported wheeze and parent-reported doctor-diagnosed asthma, and covariates maternal education, parental smoking, pets, parental asthma, doctor-diagnosed allergic rhinitis, doctor-diagnosed eczema and wheeze severity. At age 4 years, asthma prevalence varied from 1.72% in Germany to 13.48% in England and the prevalence of wheeze varied from 9.82% in Greece to 55.37% in Spain. Adjusted estimates of the proportion of 4-year-old children with wheeze diagnosed with asthma remained highest in England (38.14%, 95% CI 31.38-44.90%) and lowest in Spain (15.94%, 95% CI 6.16-25.71%). The large differences in prevalence rates of asthma, wheeze and wheeze with asthma at age 4 years between European cohorts may indicate that childhood asthma is more readily diagnosed in some countries while going unrecognised elsewhere.</t>
  </si>
  <si>
    <t>The Effect of Gastrostomy Placement on Gastric Function in Children: a Prospective Cohort Study.</t>
  </si>
  <si>
    <t>Franken, Josephine; Mauritz, Femke A; Stellato, Rebecca K; Van der Zee, David C; Van Herwaarden-Lindeboom, Maud Y A</t>
  </si>
  <si>
    <t>https://pubmed.ncbi.nlm.nih.gov/28424983</t>
  </si>
  <si>
    <t>A gastrostomy placement is frequently performed in pediatric patients who require long-term enteral tube feeding. Unfortunately, postoperative complications such as leakage, feeding intolerance, and gastroesophageal reflux frequently occur. These complications may be due to postoperative gastric dysmotility. Our aim was to evaluate the effect of gastrostomy placement on gastric emptying in children. A prospective study was performed including 50 children undergoing laparoscopic gastrostomy. Before and 3 months after gastrostomy, assessment was performed using the &lt;sup&gt;13&lt;/sup&gt;C-octanoic acid breath test, 24-h pH monitoring, and reflux symptom questionnaires. Gastric half-emptying time significantly increased from the 57th to the 79th percentile (p &lt; 0.001) after gastrostomy (p &lt; 0.001). Fifty percent of patients with normal preoperative gastric emptying develop delayed gastric emptying (DGE, P &gt; 95) after gastrostomy (p = 0.01). Most patients (≥75%) with leakage and/or feeding intolerance after gastrostomy had DGE after operation. A decrease in gastric emptying was associated with an increase in esophageal acid exposure time (r = 0.375, p &lt; 0.001). Gastrostomy placement in children causes a significant delay in gastric emptying. Postoperative DGE was associated with gastroesophageal reflux and was found in most patients with postoperative leakage and feeding intolerance. These negative physiologic effects should be taken into account when considering gastrostomy placement in children.</t>
  </si>
  <si>
    <t>A closer look at the trajectory of physical functioning in chronic hemodialysis.</t>
  </si>
  <si>
    <t>van Loon, Ismay; Hamaker, Marije E; Boereboom, Franciscus T J; Grooteman, Muriel P C; Blankestijn, Peter J; van den Dorpel, Rene M A; Nubé, Menso J; Ter Wee, Piet M; Verhaar, Marianne C; Bots, Michiel L</t>
  </si>
  <si>
    <t>https://pubmed.ncbi.nlm.nih.gov/28164208</t>
  </si>
  <si>
    <t>in chronic hemodialysis, physical functioning (PF) is known to be poor. We set out to assess to what extent chronic dialysis patients are able to maintain a good physical condition over time and what the influence of age is on the trajectory of PF. we used data form 714 prevalent hemodialysis patients, enrolled in the CONvective TRAnsport STudy (CONTRAST). The PF subscale of the KDQOL SF-36 was assessed at baseline (n = 679) and during 2 years of follow-up (n = 298). Baseline PF score (0-100) was categorized into tertiles (good, intermediate and low). Change of PF of ≥ 5 points was considered clinically relevant. A regression model was applied to assess factors related to 'decline of PF (≥5 points)/low PF (0-33) at follow-up'. during follow-up, only 15.3 % (1 out of 6) of patients succeeded in maintaining a good physical condition, the remainder deteriorated or died. Of the older patients (≥75) only 3.6% remained in a good physical condition. Factors related to decline/low PF were increasing age (odds ratio [OR] = 1.96 [95% CI: 1.03-3.72] for 65-74 years and OR = 2.38 [95%CI: 1.17-4.84] for ≥75 years compared to &lt;65 years) and albumin (OR = 1.10 [95%CI: 1.01-1.18] per g/L decrease). very few hemodialysis patients maintain a good physical condition over a 2-year time span. Especially in older patients, physical performance is poor and decline is faster than in the healthy population. These findings should be taken into account when considering dialysis in older patients and more emphasis should be placed to attempts for improving physical condition.</t>
  </si>
  <si>
    <t>Alcohol Consumption and Common Carotid Intima-Media Thickness: The USE-IMT Study.</t>
  </si>
  <si>
    <t>Britton, Annie R; Grobbee, Diederick E; den Ruijter, Hester M; Anderson, Todd J; Desvarieux, Moise; Engström, Gunnar; Evans, Greg W; Hedblad, Bo; Kauhanen, Jussi; Kurl, Sudhir; Lonn, Eva M; Mathiesen, Ellisiv B; Polak, Joseph F; Price, Jacqueline F; Rembold, Christopher M; Rosvall, Maria; Rundek, Tatjana; Salonen, Jukka T; Stehouwer, Coen; Tuomainen, Tomi-Pekka; Bots, Michiel L</t>
  </si>
  <si>
    <t>alcohol and alcoholism oxford oxfordshire</t>
  </si>
  <si>
    <t>https://pubmed.ncbi.nlm.nih.gov/28525540</t>
  </si>
  <si>
    <t>Epidemiological evidence indicates a protective effect of light to moderate alcohol consumption compared to non-drinking and heavy drinking. Although several mechanisms have been suggested, the effect of alcohol on atherosclerotic changes in vessel walls is unclear. Therefore, we explored the relationship between alcohol consumption and common carotid intima media thickness, a marker of early atherosclerosis in the general population. Individual participant data from eight cohorts, involving 37,494 individuals from the USE-IMT collaboration were used. Multilevel age and sex adjusted linear regression models were applied to estimate mean differences in common carotid intima-media thickness (CIMT) with alcohol consumption. The mean age was 57.9 years (SD 8.6) and the mean CIMT was 0.75 mm (SD 0.177). About, 40.5% reported no alcohol consumed, and among those who drank, mean consumption was 13.3 g per day (SD 16.4). Those consuming no alcohol or a very small amount (&lt;5 g per day) had significantly lower common CIMT values than those consuming &gt;10 g per day, after adjusting for a range of confounding factors. In this large CIMT consortium, we did not find evidence to support a protective effect of alcohol on CIMT.</t>
  </si>
  <si>
    <t>Serum sclerostin: relation with mortality and impact of hemodiafiltration.</t>
  </si>
  <si>
    <t>Lips, Lotte; de Roij van Zuijdewijn, Camiel L M; Ter Wee, Piet M; Bots, Michiel L; Blankestijn, Peter J; van den Dorpel, Marinus A; Fouque, Denis; de Jongh, Renate; Pelletier, Solenne; Vervloet, Marc G; Nubé, Menso J; Grooteman, Muriel P C</t>
  </si>
  <si>
    <t>https://pubmed.ncbi.nlm.nih.gov/27342581</t>
  </si>
  <si>
    <t>The glycoprotein sclerostin (Scl; 22 kDa), which is involved in bone metabolism, may play a role in vascular calcification in haemodialysis (HD) patients. In the present study, we investigated the relation between serum Scl (sScl) and mortality. The effects of dialysis modality and the magnitude of the convection volume in haemodiafiltration (HDF) on sScl were also investigated. In a subset of patients from the CONTRAST study, a randomized controlled trial comparing HDF with HD, sScl was measured at baseline and at intervals of 6, 12, 24 and 36 months. Patients were divided into quartiles, according to their baseline sScl. The relation between time-varying sScl and mortality with a 4-year follow-up period was investigated using crude and adjusted Cox regression models. Linear mixed models were used for longitudinal measurements of sScl. The mean (±standard deviation) age of 396 test subjects was 63.6 (±13.9 years), 61.6% were male and the median follow-up was 2.9 years. Subjects with the highest sScl had a lower mortality risk than those with the lowest concentrations [adjusted hazard ratio 0.51 (95% confidence interval, CI, 0.31-0.86, P = 0.01)]. Stratified models showed a stable sScl in patients treated with HD (Δ +2.9 pmol/L/year, 95% CI -0.5 to +6.3, P = 0.09) and a decreasing concentration in those treated with HDF (Δ -4.5 pmol/L/year, 95% CI -8.0 to -0.9, P = 0.02). The relative change in the latter group was related to the magnitude of the convection volume. (i) A high sScl is associated with a lower mortality risk in patients with end-stage kidney disease; (ii) treatment with HDF causes sScl to fall; and (iii) the relative decline in patients treated with HDF is dependent on the magnitude of the convection volume.</t>
  </si>
  <si>
    <t>Practical guidance on heart failure diagnosis and management in primary care: recent EPCCS recommendations.</t>
  </si>
  <si>
    <t>Taylor, Clare J; Rutten, Frans H; Brouwer, Judith R; Hobbs, Fd Richard</t>
  </si>
  <si>
    <t>https://pubmed.ncbi.nlm.nih.gov/28663432</t>
  </si>
  <si>
    <t>Characterizing Adult Sleep Behavior Over 20 Years-The Population-Based Doetinchem Cohort Study.</t>
  </si>
  <si>
    <t>Zomers, Margot L; Hulsegge, Gerben; van Oostrom, Sandra H; Proper, Karin I; Verschuren, W M Monique; Picavet, H Susan J</t>
  </si>
  <si>
    <t>sleep</t>
  </si>
  <si>
    <t>https://pubmed.ncbi.nlm.nih.gov/28525637</t>
  </si>
  <si>
    <t>To describe sleep duration patterns of adults over a 20-year period; to compare sociodemographic, lifestyle, and health characteristics across these patterns; and to relate the patterns to sleep quality. The study population consisted of 3695 adults aged 20 to 59 years at baseline. Five measurements of self-reported sleep duration were used to compose seven patterns from 1987 to 2012: persistent short (≤6 hours), moderate (7-8 hours), or long (≥9 hours) sleep duration and several changing patterns (varying and became short, moderate, or long sleepers). Multinomial logistic regression analyses were used to compare characteristics across sleep duration patterns. About 56% of the adults had persistent moderate sleep duration over 20 years. This group had a better sleep quality than the other groups. Of the adults who changed in their sleep duration (40%), 43% became a short sleeper. Sleep duration patterns that deviate from persistent moderate sleep duration were associated with physical inactivity during leisure time (odds ratios [ORs] and 95% confidence intervals [95% CIs] varied between 1.26 [1.04-1.53] and 1.58 [1.06-2.37]) and with poor self-rated health (ORs [95% CIs] varied between 1.50 [1.20-1.87] and 2.15 [1.48-3.12]). Nearly half of the adults did not have persistent moderate sleep duration over a 20-year period and more than one-sixth became short sleeper. This is reason for concern considering the adverse health status associated with short and long sleep duration. Leisure-time physical activity is a potential important target to prevent unfavorable changes in sleep duration over the life course.</t>
  </si>
  <si>
    <t>Mammographic density and ageing: A collaborative pooled analysis of cross-sectional data from 22 countries worldwide.</t>
  </si>
  <si>
    <t>Burton, Anya; Maskarinec, Gertraud; Perez-Gomez, Beatriz; Vachon, Celine; Miao, Hui; Lajous, Martín; López-Ridaura, Ruy; Rice, Megan; Pereira, Ana; Garmendia, Maria Luisa; Tamimi, Rulla M; Bertrand, Kimberly; Kwong, Ava; Ursin, Giske; Lee, Eunjung; Qureshi, Samera A; Ma, Huiyan; Vinnicombe, Sarah; Moss, Sue; Allen, Steve; Ndumia, Rose; Vinayak, Sudhir; Teo, Soo-Hwang; Mariapun, Shivaani; Fadzli, Farhana; Peplonska, Beata; Bukowska, Agnieszka; Nagata, Chisato; Stone, Jennifer; Hopper, John; Giles, Graham; Ozmen, Vahit; Aribal, Mustafa Erkin; Schüz, Joachim; Van Gils, Carla H; Wanders, Johanna O P; Sirous, Reza; Sirous, Mehri; Hipwell, John; Kim, Jisun; Lee, Jong Won; Dickens, Caroline; Hartman, Mikael; Chia, Kee-Seng; Scott, Christopher; Chiarelli, Anna M; Linton, Linda; Pollan, Marina; Flugelman, Anath Arzee; Salem, Dorria; Kamal, Rasha; Boyd, Norman; Dos-Santos-Silva, Isabel; McCormack, Valerie</t>
  </si>
  <si>
    <t>https://pubmed.ncbi.nlm.nih.gov/28666001</t>
  </si>
  <si>
    <t>Mammographic density (MD) is one of the strongest breast cancer risk factors. Its age-related characteristics have been studied in women in western countries, but whether these associations apply to women worldwide is not known. We examined cross-sectional differences in MD by age and menopausal status in over 11,000 breast-cancer-free women aged 35-85 years, from 40 ethnicity- and location-specific population groups across 22 countries in the International Consortium on Mammographic Density (ICMD). MD was read centrally using a quantitative method (Cumulus) and its square-root metrics were analysed using meta-analysis of group-level estimates and linear regression models of pooled data, adjusted for body mass index, reproductive factors, mammogram view, image type, and reader. In all, 4,534 women were premenopausal, and 6,481 postmenopausal, at the time of mammography. A large age-adjusted difference in percent MD (PD) between post- and premenopausal women was apparent (-0.46 cm [95% CI: -0.53, -0.39]) and appeared greater in women with lower breast cancer risk profiles; variation across population groups due to heterogeneity (I2) was 16.5%. Among premenopausal women, the √PD difference per 10-year increase in age was -0.24 cm (95% CI: -0.34, -0.14; I2 = 30%), reflecting a compositional change (lower dense area and higher non-dense area, with no difference in breast area). In postmenopausal women, the corresponding difference in √PD (-0.38 cm [95% CI: -0.44, -0.33]; I2 = 30%) was additionally driven by increasing breast area. The study is limited by different mammography systems and its cross-sectional rather than longitudinal nature. Declines in MD with increasing age are present premenopausally, continue postmenopausally, and are most pronounced over the menopausal transition. These effects were highly consistent across diverse groups of women worldwide, suggesting that they result from an intrinsic biological, likely hormonal, mechanism common to women. If cumulative breast density is a key determinant of breast cancer risk, younger ages may be the more critical periods for lifestyle modifications aimed at breast density and breast cancer risk reduction.</t>
  </si>
  <si>
    <t>Suitable support for anxious hospice patients: what do nurses 'know', 'do' and 'need'? An explanatory mixed method study.</t>
  </si>
  <si>
    <t>Zweers, Danielle; de Graaf, Everlien; Teunissen, Saskia</t>
  </si>
  <si>
    <t>https://pubmed.ncbi.nlm.nih.gov/28667086</t>
  </si>
  <si>
    <t>To provide insight into what nurses know, do and need to provide support to anxious patients in hospice care (HC). A mixed method study consisted of an online survey and focus groups (FGs) about what nurses know, do, and need was conducted. 336 HC nurses were invited to participate. Descriptive statistics were computed using SPSS. The χ&lt;sup&gt;2&lt;/sup&gt; and t-tests were conducted to compare. The FGs were transcribed verbatim and thematically analysed. The survey was completed by 265 nurses (79%), and five FGs (n=25) were conducted. Most nurses had &gt;10 years working experience; mean age was 52. The majority (59%) felt that they were equipped with sufficient knowledge; however, lack of knowledge (31%) as well as lack of time (50%) were hampering factors. Identification of anxiety was difficult due to the variety of its expression. Tools for identifying were used by 37%. Interventions were generally chosen intuitively. A major responsibility was experienced in caring for patients with panic attacks during late night shifts, making immediate decisions necessary. This study highlights the struggles of nurses caring for anxious patients in HC. Anxiety management is dependent on the competencies and preferences of the individual nurse. One-third of the nurses require additional training. According to HC nurses, the intervention set should include guidelines for applying assessment tools, effective communication strategies and decision models as well as prediction models in order to select tailored interventions. Future research should focus on patients' perspectives in order to understand crucial measures for anxiety management.</t>
  </si>
  <si>
    <t>Measurement of multi-particle azimuthal correlations in pp, p + Pb and low-multiplicity Pb + Pb collisions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</si>
  <si>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t>
  </si>
  <si>
    <t>https://pubmed.ncbi.nlm.nih.gov/29200942</t>
  </si>
  <si>
    <t>Multi-particle cumulants and corresponding Fourier harmonics are measured for azimuthal angle distributions of charged particles in [Formula: see text] collisions at [Formula: see text] = 5.02 and 13 TeV and in [Formula: see text] + Pb collisions at [Formula: see text] = 5.02 TeV, and compared to the results obtained for low-multiplicity [Formula: see text] collisions at [Formula: see text] = 2.76 TeV. These measurements aim to assess the collective nature of particle production. The measurements of multi-particle cumulants confirm the evidence for collective phenomena in [Formula: see text] + Pb and low-multiplicity [Formula: see text] collisions. On the other hand, the [Formula: see text] results for four-particle cumulants do not demonstrate collective behaviour, indicating that they may be biased by contributions from non-flow correlations. A comparison of multi-particle cumulants and derived Fourier harmonics across different collision systems is presented as a function of the charged-particle multiplicity. For a given multiplicity, the measured Fourier harmonics are largest in [Formula: see text], smaller in [Formula: see text] + Pb and smallest in [Formula: see text] collisions. The [Formula: see text] results show no dependence on the collision energy, nor on the multiplicity.</t>
  </si>
  <si>
    <t>Fluidity of the dietary fatty acid profile and risk of coronary heart disease and ischemic stroke: Results from the EPIC-Netherlands cohort study.</t>
  </si>
  <si>
    <t>Sluijs, I; Praagman, J; Boer, J M A; Verschuren, W M M; van der Schouw, Y T</t>
  </si>
  <si>
    <t>https://pubmed.ncbi.nlm.nih.gov/28739187</t>
  </si>
  <si>
    <t>The fluidity of dietary fatty acids consumed has been suggested to inversely affect coronary heart disease (CHD) risk. Lipophilic index (LI) represents overall fluidity of the dietary fatty acid profile. Lipophilic load (LL) represents a combination of overall fluidity and absolute intake of dietary fatty acids. We investigated the relations of dietary LI and LL with risk of CHD and ischemic stroke (iStroke). We used data from the prospective EPIC-NL study, including 36,520 participants aged 20-70 years. LI and LL were calculated using dietary intake data estimated with a validated FFQ. Incident CHD (n = 2348) and iStroke (n = 479) cases were obtained through linkage to national registers during 15 years follow-up. LI and LL were not associated with CHD risk (HRs&lt;sub&gt;highest-versus-lowest-quartiles&lt;/sub&gt;: 0.93 [95%CI: 0.83, 1.04], and 0.92 [95%CI: 0.79, 1.07], respectively), and neither with iStroke risk (HRs 1.15 (95%CI: 0.89, 1.48), and 0.98 (95%CI: 0.70, 1.38), respectively). Original fatty acid classes (SFA, MUFA and PUFA), and LI and LL stratified by these fatty acid classes, were overall not related to CHD and ischemic stroke either. In this Dutch population, neither the overall fluidity of the dietary fatty acid profile (LI), nor the combined fluidity and amount of fatty acids consumed (LL) were related to CHD or iStroke risk. Dietary LI and LL may have limited added value above original fatty acid classes and food sources in establishing the relation of fatty acid consumption with CVD.</t>
  </si>
  <si>
    <t>Atypical coverage in community-acquired pneumonia after outpatient beta-lactam monotherapy.</t>
  </si>
  <si>
    <t>van Werkhoven, Cornelis H; van de Garde, Ewoudt M W; Oosterheert, Jan Jelrik; Postma, Douwe F; Bonten, Marc J M</t>
  </si>
  <si>
    <t>respiratory medicine</t>
  </si>
  <si>
    <t>https://pubmed.ncbi.nlm.nih.gov/28732822</t>
  </si>
  <si>
    <t>In adults hospitalized with community-acquired pneumonia (CAP) after &gt;48 h of outpatient beta-lactam monotherapy, coverage of atypical pathogens is recommended based on expert opinion. In a post-hoc analysis of a large study of CAP treatment we included patients who received beta-lactam monotherapy for &gt;48 h before hospitalization. Length of hospital stay (LOS), 30-day mortality, and number of treatment escalations were compared for those that continued beta-lactam monotherapy and those that received atypical coverage at admission. Of 179 patients (median age 66 years (IQR 50-78), 100 (56%) male), 131 (73%) received additional atypical coverage at admission. These patients were younger, had less comorbidities, and longer symptom duration, compared to those that continued beta-lactam monotherapy. In crude analysis, median (IQR) LOS was 6 (4-8) and 6 (4-9) days, mortality was 2% and 4%, and treatment escalations occurred in 8 (17%) and 11 (8%) patients without and with atypical coverage, respectively. Adjusted effect ratios for absence of atypical coverage on LOS, mortality, and treatment escalation were 0.77 (95% CI 0.61-0.97), 0.37 (0.04-3.67), and 2.75 (0.94-8.09), respectively. In adults hospitalized with CAP after &gt;48 h of outpatient beta-lactam monotherapy, not starting antibiotics with atypical coverage was associated with a trend towards more treatment escalations, without evidence of increased LOS or mortality.</t>
  </si>
  <si>
    <t>Facilitating Prospective Registration of Diagnostic Accuracy Studies: A STARD Initiative.</t>
  </si>
  <si>
    <t>Korevaar, Daniël A; Hooft, Lotty; Askie, Lisa M; Barbour, Virginia; Faure, Hélène; Gatsonis, Constantine A; Hunter, Kylie E; Kressel, Herbert Y; Lippman, Hannah; McInnes, Matthew D F; Moher, David; Rifai, Nader; Cohen, Jérémie F; Bossuyt, Patrick M M</t>
  </si>
  <si>
    <t>clinical chemistry</t>
  </si>
  <si>
    <t>https://pubmed.ncbi.nlm.nih.gov/28630237</t>
  </si>
  <si>
    <t>Short-Course Adjunctive Gentamicin as Empirical Therapy in Patients With Severe Sepsis and Septic Shock: A Prospective Observational Cohort Study.</t>
  </si>
  <si>
    <t>Ong, David S Y; Frencken, Jos F; Klein Klouwenberg, Peter M C; Juffermans, Nicole; van der Poll, Tom; Bonten, Marc J M; Cremer, Olaf L; ,</t>
  </si>
  <si>
    <t>https://pubmed.ncbi.nlm.nih.gov/28329088</t>
  </si>
  <si>
    <t>Metaanalyses failed to demonstrate clinical benefits of beta lactam plus aminoglycoside combination therapy compared to beta lactam monotherapy in patients with sepsis. However, few data exist on the effects of short-course adjunctive aminoglycoside therapy in sepsis patients with organ failure or shock. We prospectively enrolled consecutive patients with severe sepsis or septic shock in 2 intensive care units in the Netherlands from 2011 to 2015. Local antibiotic protocols recommended empirical gentamicin add-on therapy in only 1 of the units. We used logistic regression analyses to determine the association between gentamicin use and the number of days alive and free of renal failure, shock, and death, all on day 14. Of 648 patients enrolled, 245 received gentamicin (222 of 309 [72%] in hospital A and 23 of 339 [7%] in hospital B) for a median duration of 2 days (interquartile range, 1-3). The adjusted odds ratios associated with gentamicin use were 1.39 (95% confidence interval [CI], 1.00-1.94) for renal failure, 1.34 (95% CI, 0.96-1.86) for shock duration, and 1.41 (95% CI, 0.94-2.12) for day-14 mortality. Based on in vitro susceptibilities, inappropriate (initial) gram-negative coverage was given in 9 of 245 (4%) and 18 of 403 (4%) patients treated and not treated with gentamicin, respectively (P = .62). Short-course empirical gentamicin use in patients with sepsis was associated with an increased incidence of renal failure but not with faster reversal of shock or improved survival in a setting with low prevalence of antimicrobial resistance.</t>
  </si>
  <si>
    <t>Search for dark matter at [Formula: see text] in final states containing an energetic photon and large missing transverse momentum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</si>
  <si>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t>
  </si>
  <si>
    <t>https://pubmed.ncbi.nlm.nih.gov/28781578</t>
  </si>
  <si>
    <t>Results of a search for physics beyond the Standard Model in events containing an energetic photon and large missing transverse momentum with the ATLAS detector at the Large Hadron Collider are reported. As the number of events observed in data, corresponding to an integrated luminosity of 36.1 fb[Formula: see text]  of proton-proton collisions at a centre-of-mass energy of [Formula: see text], is in agreement with the Standard Model expectations, model-independent limits are set on the fiducial cross section for the production of events in this final state. Exclusion limits are also placed in models where dark-matter candidates are pair-produced. For dark-matter production via an axial-vector or a vector mediator in the &lt;i&gt;s&lt;/i&gt;-channel, this search excludes mediator masses below 750-[Formula: see text] for dark-matter candidate masses below 230-[Formula: see text] at 95% confidence level, depending on the couplings. In an effective theory of dark-matter production, the limits restrict the value of the suppression scale [Formula: see text] to be above [Formula: see text] at 95% confidence level. A limit is also reported on the production of a high-mass scalar resonance by processes beyond the Standard Model, in which the resonance decays to [Formula: see text] and the &lt;i&gt;Z&lt;/i&gt; boson subsequently decays into neutrinos.</t>
  </si>
  <si>
    <t>Randomized trial of switching from prescribed non-selective non-steroidal anti-inflammatory drugs to prescribed celecoxib: the Standard care vs. Celecoxib Outcome Trial (SCOT).</t>
  </si>
  <si>
    <t>MacDonald, Thomas M; Hawkey, Chris J; Ford, Ian; McMurray, John J V; Scheiman, James M; Hallas, Jesper; Findlay, Evelyn; Grobbee, Diederick E; Hobbs, F D Richard; Ralston, Stuart H; Reid, David M; Walters, Matthew R; Webster, John; Ruschitzka, Frank; Ritchie, Lewis D; Perez-Gutthann, Susana; Connolly, Eugene; Greenlaw, Nicola; Wilson, Adam; Wei, Li; Mackenzie, Isla S</t>
  </si>
  <si>
    <t>https://pubmed.ncbi.nlm.nih.gov/27705888</t>
  </si>
  <si>
    <t>Selective cyclooxygenase-2 inhibitors and conventional non-selective non-steroidal anti-inflammatory drugs (nsNSAIDs) have been associated with adverse cardiovascular (CV) effects. We compared the CV safety of switching to celecoxib vs. continuing nsNSAID therapy in a European setting. Patients aged 60 years and over with osteoarthritis or rheumatoid arthritis, free from established CV disease and taking chronic prescribed nsNSAIDs, were randomized to switch to celecoxib or to continue their previous nsNSAID. The primary endpoint was hospitalization for non-fatal myocardial infarction or other biomarker positive acute coronary syndrome, non-fatal stroke or CV death analysed using a Cox model with a pre-specified non-inferiority limit of 1.4 for the hazard ratio (HR). In total, 7297 participants were randomized. During a median 3-year follow-up, fewer subjects than expected developed an on-treatment (OT) primary CV event and the rate was similar for celecoxib, 0.95 per 100 patient-years, and nsNSAIDs, 0.86 per 100 patient-years (HR = 1.12, 95% confidence interval, 0.81-1.55; P = 0.50). Comparable intention-to-treat (ITT) rates were 1.14 per 100 patient-years with celecoxib and 1.10 per 100 patient-years with nsNSAIDs (HR = 1.04; 95% confidence interval, 0.81-1.33; P = 0.75). Pre-specified non-inferiority was achieved in the ITT analysis. The upper bound of the 95% confidence limit for the absolute increase in OT risk associated with celecoxib treatment was two primary events per 1000 patient-years exposure. There were only 15 adjudicated secondary upper gastrointestinal complication endpoints (0.078/100 patient-years on celecoxib vs. 0.053 on nsNSAIDs OT, 0.078 vs. 0.053 ITT). More gastrointestinal serious adverse reactions and haematological adverse reactions were reported on nsNSAIDs than celecoxib, but more patients withdrew from celecoxib than nsNSAIDs (50.9% patients vs. 30.2%; P &lt; 0.0001). In subjects 60 years and over, free from CV disease and taking prescribed chronic nsNSAIDs, CV events were infrequent and similar on celecoxib and nsNSAIDs. There was no advantage of a strategy of switching prescribed nsNSAIDs to prescribed celecoxib. This study excluded an increased risk of the primary endpoint of more than two events per 1000 patient-years associated with switching to prescribed celecoxib. https://clinicaltrials.gov/show/NCT00447759; Unique identifier: NCT00447759.</t>
  </si>
  <si>
    <t>Person-centred type 2 diabetes care: time for a paradigm shift.</t>
  </si>
  <si>
    <t>Rutten, Guy E H M; Alzaid, Aus</t>
  </si>
  <si>
    <t>https://pubmed.ncbi.nlm.nih.gov/28606729</t>
  </si>
  <si>
    <t>Measurement of jet fragmentation in Pb+Pb and &lt;i&gt;pp&lt;/i&gt; collisions at &lt;math xmlns="http://www.w3.org/1998/Math/MathML"&gt;&lt;mrow&gt;&lt;msqrt&gt;&lt;msub&gt;&lt;mi&gt;s&lt;/mi&gt;&lt;mi&gt;NN&lt;/mi&gt;&lt;/msub&gt;&lt;/msqrt&gt;&lt;mo&gt;=&lt;/mo&gt;&lt;mn&gt;2.76&lt;/mn&gt;&lt;/mrow&gt;&lt;/math&gt; TeV with the ATLAS detector at the LHC.</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</si>
  <si>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 Angelidakis</t>
  </si>
  <si>
    <t>https://pubmed.ncbi.nlm.nih.gov/30215625</t>
  </si>
  <si>
    <t>The distributions of transverse momentum and longitudinal momentum fraction of charged particles in jets are measured in Pb+Pb and &lt;i&gt;pp&lt;/i&gt; collisions with the ATLAS detector at the LHC. The distributions are measured as a function of jet transverse momentum and rapidity. The analysis utilises an integrated luminosity of 0.14 nb &lt;math xmlns="http://www.w3.org/1998/Math/MathML"&gt;&lt;msup&gt;&lt;mrow&gt;&lt;/mrow&gt;&lt;mrow&gt;&lt;mo&gt;-&lt;/mo&gt;&lt;mn&gt;1&lt;/mn&gt;&lt;/mrow&gt;&lt;/msup&gt;&lt;/math&gt; of Pb+Pb data and 4.0 pb &lt;math xmlns="http://www.w3.org/1998/Math/MathML"&gt;&lt;msup&gt;&lt;mrow&gt;&lt;/mrow&gt;&lt;mrow&gt;&lt;mo&gt;-&lt;/mo&gt;&lt;mn&gt;1&lt;/mn&gt;&lt;/mrow&gt;&lt;/msup&gt;&lt;/math&gt; of &lt;i&gt;pp&lt;/i&gt; data collected in 2011 and 2013, respectively, at the same centre-of-mass energy of 2.76 TeV per colliding nucleon pair. The distributions measured in &lt;i&gt;pp&lt;/i&gt; collisions are used as a reference for those measured in Pb+Pb collisions in order to evaluate the impact on the internal structure of jets from the jet energy loss of fast partons propagating through the hot, dense medium created in heavy-ion collisions. Modest but significant centrality-dependent modifications of fragmentation functions in Pb+Pb collisions with respect to those in &lt;i&gt;pp&lt;/i&gt; collisions are seen. No significant dependence of modifications on jet &lt;math xmlns="http://www.w3.org/1998/Math/MathML"&gt;&lt;msub&gt;&lt;mi&gt;p&lt;/mi&gt;&lt;mi&gt;T&lt;/mi&gt;&lt;/msub&gt;&lt;/math&gt; and rapidity selections is observed except for the fragments with the highest transverse momenta for which some reduction of yields is observed for more forward jets.</t>
  </si>
  <si>
    <t>The impact of penicillin allergy labels on antibiotic and health care use in primary care: a retrospective cohort study.</t>
  </si>
  <si>
    <t>Su, Tanly; Broekhuizen, Berna D L; Verheij, Theo J M; Rockmann, Heike</t>
  </si>
  <si>
    <t>https://pubmed.ncbi.nlm.nih.gov/28593040</t>
  </si>
  <si>
    <t>Suspected penicillin allergy (Pen-A) is often not verified by diagnostic testing. In third line penicillin allergy labels were associated with prescription of broad spectrum antibiotics, hospital stay duration and readmission. Assess the impact of Pen-A labels on antibiotic and health care use in primary care. A retrospective cohort study was conducted in primary care in the Utrecht area, the Netherlands. All patients registered with a penicillin allergy on 31 December 2013 were selected from the General Practitioner Network database. Each patient with a Pen-A label was matched for age, gender, follow-up period with three patients without Pen-A label. Risk (OR) of receiving a reserve and second choice antibiotic, number and type of antibiotics prescribed during follow-up and number of GP contacts were compared between the two cohorts. Of 196,440 patients, 1254 patients (0.6%) with a Pen-A label were identified and matched with 3756 patients without Pen-A label. Pen-A labels resulted in higher risk of receiving ≥1 antibiotic prescription per year (OR 2.56, 95% CI 2.05-3.20), ≥1 s choice antibiotic prescription per year (OR 2.21 95% CI 1.11-4.40), and ≥4 GP contacts per year (OR 1.71 95% CI 1.46-2.00). The chance of receiving tetracyclins (OR 2.24, 95% CI 1.29-3.89), macrolides/lincosamides/streptogamins (OR 8.69, 95% CI 4.26-17.73) and quinolones (OR 2.59, 95% CI 1.22-5.48) was higher in Pen-A patients. In primary health care Pen-A labels are associated with increased antibiotic use, including second choice antibiotics, and more health care use.</t>
  </si>
  <si>
    <t>The effect of volumetric breast density on the risk of screen-detected and interval breast cancers: a cohort study.</t>
  </si>
  <si>
    <t>Wanders, Johanna O P; Holland, Katharina; Karssemeijer, Nico; Peeters, Petra H M; Veldhuis, Wouter B; Mann, Ritse M; van Gils, Carla H</t>
  </si>
  <si>
    <t>https://pubmed.ncbi.nlm.nih.gov/28583146</t>
  </si>
  <si>
    <t>In the light of the breast density legislation in the USA, it is important to know a woman's breast cancer risk, but particularly her risk of a tumor that is not detected through mammographic screening (interval cancer). Therefore, we examined the associations of automatically measured volumetric breast density with screen-detected and interval cancer risk, separately. Volumetric breast measures were assessed automatically using Volpara version 1.5.0 (Matakina, New Zealand) for the first available digital mammography (DM) examination of 52,814 women (age 50 - 75 years) participating in the Dutch biennial breast cancer screening program between 2003 and 2011. Breast cancer information was obtained from the screening registration system and through linkage with the Netherlands Cancer Registry. We excluded all screen-detected breast cancers diagnosed as a result of the first digital screening examination. During a median follow-up period of 4.2 (IQR 2.0-6.2) years, 523 women were diagnosed with breast cancer of which 299 were screen-detected and 224 were interval breast cancers. The associations between volumetric breast measures and breast cancer risk were determined using Cox proportional hazards analyses. Percentage dense volume was found to be positively associated with both interval and screen-detected breast cancers (hazard ratio (HR) 8.37 (95% CI 4.34-16.17) and HR 1.39 (95% CI 0.82-2.36), respectively, for Volpara density grade category (VDG) 4 compared to VDG1 (p for heterogeneity &lt; 0.001)). Dense volume (DV) was also found to be positively associated with both interval and screen-detected breast cancers (HR 4.92 (95% CI 2.98-8.12) and HR 2.30 (95% CI 1.39-3.80), respectively, for VDG-like category (C)4 compared to C1 (p for heterogeneity = 0.041)). The association between percentage dense volume categories and interval breast cancer risk (HR 8.37) was not significantly stronger than the association between absolute dense volume categories and interval breast cancer risk (HR 4.92). Our results suggest that both absolute dense volume and percentage dense volume are strong markers of breast cancer risk, but that they are even stronger markers for predicting the occurrence of tumors that are not detected during mammography breast cancer screening.</t>
  </si>
  <si>
    <t>Precision measurement and interpretation of inclusive &lt;math xmlns="http://www.w3.org/1998/Math/MathML"&gt;&lt;msup&gt;&lt;mi&gt;W&lt;/mi&gt;&lt;mo&gt;+&lt;/mo&gt;&lt;/msup&gt;&lt;/math&gt; , &lt;math xmlns="http://www.w3.org/1998/Math/MathML"&gt;&lt;msup&gt;&lt;mi&gt;W&lt;/mi&gt;&lt;mo&gt;-&lt;/mo&gt;&lt;/msup&gt;&lt;/math&gt; and &lt;math xmlns="http://www.w3.org/1998/Math/MathML"&gt;&lt;mrow&gt;&lt;mi&gt;Z&lt;/mi&gt;&lt;mo&gt;/&lt;/mo&gt;&lt;msup&gt;&lt;mi&gt;γ&lt;/mi&gt;&lt;mo&gt;∗&lt;/mo&gt;&lt;/msup&gt;&lt;/mrow&gt;&lt;/math&gt; production cross sections with the ATLAS detector.</t>
  </si>
  <si>
    <t>https://pubmed.ncbi.nlm.nih.gov/30215626</t>
  </si>
  <si>
    <t>High-precision measurements by the ATLAS Collaboration are presented of inclusive &lt;math xmlns="http://www.w3.org/1998/Math/MathML"&gt;&lt;mrow&gt;&lt;msup&gt;&lt;mi&gt;W&lt;/mi&gt;&lt;mo&gt;+&lt;/mo&gt;&lt;/msup&gt;&lt;mo&gt;→&lt;/mo&gt;&lt;msup&gt;&lt;mi&gt;ℓ&lt;/mi&gt;&lt;mo&gt;+&lt;/mo&gt;&lt;/msup&gt;&lt;mi&gt;ν&lt;/mi&gt;&lt;/mrow&gt;&lt;/math&gt; , &lt;math xmlns="http://www.w3.org/1998/Math/MathML"&gt;&lt;mrow&gt;&lt;msup&gt;&lt;mi&gt;W&lt;/mi&gt;&lt;mo&gt;-&lt;/mo&gt;&lt;/msup&gt;&lt;mo&gt;→&lt;/mo&gt;&lt;msup&gt;&lt;mi&gt;ℓ&lt;/mi&gt;&lt;mo&gt;-&lt;/mo&gt;&lt;/msup&gt;&lt;mover&gt;&lt;mrow&gt;&lt;mi&gt;ν&lt;/mi&gt;&lt;/mrow&gt;&lt;mrow&gt;&lt;mo&gt;¯&lt;/mo&gt;&lt;/mrow&gt;&lt;/mover&gt;&lt;/mrow&gt;&lt;/math&gt; and &lt;math xmlns="http://www.w3.org/1998/Math/MathML"&gt;&lt;mrow&gt;&lt;mi&gt;Z&lt;/mi&gt;&lt;mo&gt;/&lt;/mo&gt;&lt;msup&gt;&lt;mi&gt;γ&lt;/mi&gt;&lt;mo&gt;∗&lt;/mo&gt;&lt;/msup&gt;&lt;mo&gt;→&lt;/mo&gt;&lt;mi&gt;ℓ&lt;/mi&gt;&lt;mi&gt;ℓ&lt;/mi&gt;&lt;/mrow&gt;&lt;/math&gt; ( &lt;math xmlns="http://www.w3.org/1998/Math/MathML"&gt;&lt;mrow&gt;&lt;mi&gt;ℓ&lt;/mi&gt;&lt;mo&gt;=&lt;/mo&gt;&lt;mi&gt;e&lt;/mi&gt;&lt;mo&gt;,&lt;/mo&gt;&lt;mi&gt;μ&lt;/mi&gt;&lt;/mrow&gt;&lt;/math&gt; ) Drell-Yan production cross sections at the LHC. The data were collected in proton-proton collisions at &lt;math xmlns="http://www.w3.org/1998/Math/MathML"&gt;&lt;mrow&gt;&lt;msqrt&gt;&lt;mi&gt;s&lt;/mi&gt;&lt;/msqrt&gt;&lt;mo&gt;=&lt;/mo&gt;&lt;mn&gt;7&lt;/mn&gt;&lt;mspace&gt;&lt;/mspace&gt;&lt;mtext&gt;TeV&lt;/mtext&gt;&lt;/mrow&gt;&lt;/math&gt; with an integrated luminosity of &lt;math xmlns="http://www.w3.org/1998/Math/MathML"&gt;&lt;mrow&gt;&lt;mn&gt;4.6&lt;/mn&gt;&lt;mspace&gt;&lt;/mspace&gt;&lt;msup&gt;&lt;mrow&gt;&lt;mi&gt;fb&lt;/mi&gt;&lt;/mrow&gt;&lt;mrow&gt;&lt;mo&gt;-&lt;/mo&gt;&lt;mn&gt;1&lt;/mn&gt;&lt;/mrow&gt;&lt;/msup&gt;&lt;/mrow&gt;&lt;/math&gt; . Differential &lt;math xmlns="http://www.w3.org/1998/Math/MathML"&gt;&lt;msup&gt;&lt;mi&gt;W&lt;/mi&gt;&lt;mo&gt;+&lt;/mo&gt;&lt;/msup&gt;&lt;/math&gt; and &lt;math xmlns="http://www.w3.org/1998/Math/MathML"&gt;&lt;msup&gt;&lt;mi&gt;W&lt;/mi&gt;&lt;mo&gt;-&lt;/mo&gt;&lt;/msup&gt;&lt;/math&gt; cross sections are measured in a lepton pseudorapidity range &lt;math xmlns="http://www.w3.org/1998/Math/MathML"&gt;&lt;mrow&gt;&lt;mrow&gt;&lt;mo&gt;|&lt;/mo&gt;&lt;/mrow&gt;&lt;msub&gt;&lt;mi&gt;η&lt;/mi&gt;&lt;mi&gt;ℓ&lt;/mi&gt;&lt;/msub&gt;&lt;mrow&gt;&lt;mo&gt;|&lt;/mo&gt;&lt;mo&gt;&lt;&lt;/mo&gt;&lt;mn&gt;2.5&lt;/mn&gt;&lt;/mrow&gt;&lt;/mrow&gt;&lt;/math&gt; . Differential &lt;math xmlns="http://www.w3.org/1998/Math/MathML"&gt;&lt;mrow&gt;&lt;mi&gt;Z&lt;/mi&gt;&lt;mo&gt;/&lt;/mo&gt;&lt;msup&gt;&lt;mi&gt;γ&lt;/mi&gt;&lt;mo&gt;∗&lt;/mo&gt;&lt;/msup&gt;&lt;/mrow&gt;&lt;/math&gt; cross sections are measured as a function of the absolute dilepton rapidity, for &lt;math xmlns="http://www.w3.org/1998/Math/MathML"&gt;&lt;mrow&gt;&lt;mrow&gt;&lt;mo&gt;|&lt;/mo&gt;&lt;/mrow&gt;&lt;msub&gt;&lt;mi&gt;y&lt;/mi&gt;&lt;mrow&gt;&lt;mi&gt;ℓ&lt;/mi&gt;&lt;mi&gt;ℓ&lt;/mi&gt;&lt;/mrow&gt;&lt;/msub&gt;&lt;mrow&gt;&lt;mo&gt;|&lt;/mo&gt;&lt;mo&gt;&lt;&lt;/mo&gt;&lt;mn&gt;3.6&lt;/mn&gt;&lt;/mrow&gt;&lt;/mrow&gt;&lt;/math&gt; , for three intervals of dilepton mass, &lt;math xmlns="http://www.w3.org/1998/Math/MathML"&gt;&lt;msub&gt;&lt;mi&gt;m&lt;/mi&gt;&lt;mrow&gt;&lt;mi&gt;ℓ&lt;/mi&gt;&lt;mi&gt;ℓ&lt;/mi&gt;&lt;/mrow&gt;&lt;/msub&gt;&lt;/math&gt; , extending from 46 to &lt;math xmlns="http://www.w3.org/1998/Math/MathML"&gt;&lt;mrow&gt;&lt;mn&gt;150&lt;/mn&gt;&lt;mspace&gt;&lt;/mspace&gt;&lt;mspace&gt;&lt;/mspace&gt;&lt;mtext&gt;GeV&lt;/mtext&gt;&lt;/mrow&gt;&lt;/math&gt; . The integrated and differential electron- and muon-channel cross sections are combined and compared to theoretical predictions using recent sets of parton distribution functions. The data, together with the final inclusive &lt;math xmlns="http://www.w3.org/1998/Math/MathML"&gt;&lt;mrow&gt;&lt;msup&gt;&lt;mi&gt;e&lt;/mi&gt;&lt;mo&gt;±&lt;/mo&gt;&lt;/msup&gt;&lt;mi&gt;p&lt;/mi&gt;&lt;/mrow&gt;&lt;/math&gt; scattering cross-section data from H1 and ZEUS, are interpreted in a next-to-next-to-leading-order QCD analysis, and a new set of parton distribution functions, ATLAS-epWZ16, is obtained. The ratio of strange-to-light sea-quark densities in the proton is determined more accurately than in previous determinations based on collider data only, and is established to be close to unity in the sensitivity range of the data. A new measurement of the CKM matrix element &lt;math xmlns="http://www.w3.org/1998/Math/MathML"&gt;&lt;mrow&gt;&lt;mrow&gt;&lt;mo&gt;|&lt;/mo&gt;&lt;/mrow&gt;&lt;msub&gt;&lt;mi&gt;V&lt;/mi&gt;&lt;mrow&gt;&lt;mi&gt;c&lt;/mi&gt;&lt;mi&gt;s&lt;/mi&gt;&lt;/mrow&gt;&lt;/msub&gt;&lt;mrow&gt;&lt;mo&gt;|&lt;/mo&gt;&lt;/mrow&gt;&lt;/mrow&gt;&lt;/math&gt; is also provided.</t>
  </si>
  <si>
    <t>The cost of Lyme borreliosis.</t>
  </si>
  <si>
    <t>van den Wijngaard, Cees C; Hofhuis, Agnetha; Wong, Albert; Harms, Margriet G; de Wit, G Ardine; Lugnér, Anna K; Suijkerbuijk, Anita W M; Mangen, Marie-Josée J; van Pelt, Wilfrid</t>
  </si>
  <si>
    <t>https://pubmed.ncbi.nlm.nih.gov/28444236</t>
  </si>
  <si>
    <t>Lyme borreliosis (LB) is the most frequently reported tick-borne infection in Europe and North America. The aim of this study was to estimate the cost-of-illness of LB in the Netherlands. We used available incidence estimates from 2010 for tick bite consultations and three symptomatic LB outcomes: erythema migrans (EM), disseminated LB and Lyme-related persisting symptoms. The cost was estimated using these incidences and the average cost per patient as derived from a patient questionnaire. We estimated the cost from a societal perspective, including healthcare cost, patient cost and production loss, using the friction cost method and a 4% annual discount rate. Tick bites and LB in 2010 led to a societal cost of €19.3 million (95% CI 15.6-23.4; 16.6 million population) for the Netherlands. Healthcare cost and production loss each constituted 48% of the total cost (€9.3 and €9.2 million/year), and patient cost 4% (€0.8 million/year). Of the total cost, 37% was related to disseminated LB, followed by 27% for persisting symptoms, 22% for tick bites and 14% for EM. Per outcome, for an individual case the mean cost of disseminated LB and Lyme-related persisting symptoms was both around €5700; for EM and GP consultations for tick bites this was €122 and €53. As an alternative to the friction cost method, the human capital method resulted in a total cost of €23.5 million/year. LB leads to a substantial societal cost. Further research should therefore focus on additional preventive interventions.</t>
  </si>
  <si>
    <t>Patient Characteristics Associated With a Successful Response to Nurse-Led Care Programs Targeting the Oldest-Old: A Comparison of Two RCTs.</t>
  </si>
  <si>
    <t>Bleijenberg, Nienke; Imhof, Lorenz; Mahrer-Imhof, Romy; Wallhagen, Margaret I; de Wit, Niek J; Schuurmans, Marieke J</t>
  </si>
  <si>
    <t>worldviews on evidencebased nursing</t>
  </si>
  <si>
    <t>https://pubmed.ncbi.nlm.nih.gov/28632933</t>
  </si>
  <si>
    <t>To improve the effectiveness of community-based care programs, especially those targeting the oldest-old population (80+), data are needed that elucidate those factors associated with a successful response to the intervention. Two comparable nurse-led care programs have been evaluated in two large randomized controlled trials (RCTs), one in Switzerland and one in the Netherlands. To identify common patient characteristics that are related to a successful response to proactive nurse-led care, we explored if and to what extent, identical factors were present in both study populations. A secondary data analysis using trial data from the intervention group of both RCTs was conducted. The study sample consisted 461 older adults, 230 from the U-PROFIT trial (the Netherlands) and 231 from the HPC trial (Switzerland). The mean age of the total sample was 85.1 years (SD 3.7). The UPROFIT intervention, delivered by registered nurses, included a frailty assessment and a comprehensive geriatric assessment (CGA) at home followed by an individualized evidence-based care plan, care coordination, and follow-up. The HCP intervention was delivered by advanced practice nurses consisting of four home visits and three phone calls, and was guided by the principles of health promotion, empowerment, partnership, and family-centeredness. A successful response was defined as "stable" or "no decline" in daily functioning at follow-up. Daily functioning was measured with 13 items of activities of daily living and instrumental activities of daily living. Multivariate logistic regression models were applied to calculate the association between individual characteristics and a successful response. Almost half of the participants in the U-PROFIT trial (50.9%), and two-thirds (65.7%) of the participants in the HCP trial had a successful response at follow-up. Fewer comorbidities and a better self-rated health had the strongest predictive value for benefiting from the intervention (OR = 0.83 [95% CI 0.66-1.03], and OR = 1.5 [95% CI 0.92-2.45]), respectively. Two large RCTs demonstrated that a preventive nurse-led care program can preserve daily functioning in the oldest-old population. Older people with few comorbidities and higher self-rated health had a higher likelihood of a positive outcome. Unraveling the characteristics associated with a successful response provides important information for further refining and targeting an intervention to obtain maximum effectiveness. More effort is needed to modify interventions for the oldest-old with multiple morbidities and low levels of education.</t>
  </si>
  <si>
    <t>Quality assurance and the need to evaluate interventions and audit programme outcomes.</t>
  </si>
  <si>
    <t>Zhao, Min; Vaartjes, Ilonca; Klipstein-Grobusch, Kerstin; Kotseva, Kornelia; Jennings, Catriona; Grobbee, Diederick E; Graham, Ian</t>
  </si>
  <si>
    <t>https://pubmed.ncbi.nlm.nih.gov/28618906</t>
  </si>
  <si>
    <t>Evidence-based clinical guidelines provide standards for the provision of healthcare. However, these guidelines have been poorly implemented in daily practice. Clinical audit is a quality improvement tool to promote quality of care in daily practice and to improve outcomes through the systematic review of care delivery and implementation of changes. A major priority in the management of subjects with cardiovascular disease (CVD) management is secondary prevention by controlling cardiovascular risk factors and providing appropriate medical treatment. Clinical audits can be applied to monitor modifiable risk factors and evaluate quality improvements of CVD management in daily practice. Existing clinical audits have provided an overview of the burden of risk factors in subjects with CVD and reflect real-world risk factor recording and management. However, consistent and representative data from clinic audits are still insufficient to fully monitor quality improvement of CVD management. Data are lacking in particular from low- and middle-income countries, limiting the evaluation of CVD management quality by clinical audit projects in many settings. To support the development of clinical standards, monitor daily practice performance, and improve quality of care in CVD management at national and international levels, more widespread clinical audits are warranted.</t>
  </si>
  <si>
    <t>Sex, body mass index, and blood pressure are related to aortic characteristics in healthy, young adults using magnetic resonance vessel wall imaging: the AMBITYON study.</t>
  </si>
  <si>
    <t>Eikendal, Anouk L M; den Ruijter, Hester M; Haaring, Cees; Saam, Tobias; van der Geest, Rob J; Westenberg, Jos J M; Bots, Michiel L; Hoefer, Imo E; Leiner, Tim</t>
  </si>
  <si>
    <t>magma new york ny</t>
  </si>
  <si>
    <t>https://pubmed.ncbi.nlm.nih.gov/28569376</t>
  </si>
  <si>
    <t>More detailed evaluation of atherosclerosis and its key determinants in young individuals is warranted to improve knowledge on the pathophysiology of its development and progression. This study evaluated associations of magnetic resonance imaging (MRI)-derived aortic wall area, wall thickness, and pulse wave velocity (PWV) with cardiovascular risk factors in asymptomatic, young adults. In 124 adults (age: 25-35 years) from the general population-based Atherosclerosis Monitoring and Biomarker Measurements in the Young study, demography, anthropometry, and blood samples were collected. The studied MRI-parameters were measured using a 3.0T MRI system. Relations between cardiovascular risk factors and aortic characteristics were assessed using multivariable linear regression analyses. Mean age was 31.8 years, 47.6% was male. Aortic wall area was positively associated with age [β = 0.01, (95% confidence interval (CI) 2.00 × 10&lt;sup&gt;-3&lt;/sup&gt;, 0.02), p = 0.01] and BMI [β = 0.01, (0.01, 0.02), p = 0.003] and negatively associated with sex (reference: men) [β = -0.06, (-0.11, -0.01), p = 0.02]. Natural logarithm transformed (ln) aortic wall thickness was positively associated with BMI [β = 0.01, (1.00 × 10&lt;sup&gt;-3&lt;/sup&gt;, 0.02), p = 0.02]. Ln aortic PWV was positively associated with 10 mmHg increment of SBP [β = 0.06, (0.03, 0.09), p &lt; 0.001] and DBP [β = 0.06, (0.02, 0.09), p = 0.006]. No relations were observed for smoking and lipids. Already in early adulthood, aortic wall geometry and stiffness vary by age, sex, BMI, and blood pressure.</t>
  </si>
  <si>
    <t>Measurements of the production cross section of a [Formula: see text] boson in association with jets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</si>
  <si>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G; Anders, J K; Anderson, K J; Andreazza, A; Andrei, V; Angelidakis, S</t>
  </si>
  <si>
    <t>https://pubmed.ncbi.nlm.nih.gov/29200941</t>
  </si>
  <si>
    <t>Measurements of the production cross section of a [Formula: see text] boson in association with jets in proton-proton collisions at [Formula: see text] TeV are presented, using data corresponding to an integrated luminosity of 3.16 fb[Formula: see text] collected by the ATLAS experiment at the CERN Large Hadron Collider in 2015. Inclusive and differential cross sections are measured for events containing a [Formula: see text] boson decaying to electrons or muons and produced in association with up to seven jets with [Formula: see text] GeV and [Formula: see text]. Predictions from different Monte Carlo generators based on leading-order and next-to-leading-order matrix elements for up to two additional partons interfaced with parton shower and fixed-order predictions at next-to-leading order and next-to-next-to-leading order are compared with the measured cross sections. Good agreement within the uncertainties is observed for most of the modelled quantities, in particular with the generators which use next-to-leading-order matrix elements and the more recent next-to-next-to-leading-order fixed-order predictions.</t>
  </si>
  <si>
    <t>Chance of surgery in adult congenital heart disease.</t>
  </si>
  <si>
    <t>Verheugt, Carianne L; Uiterwaal, Cuno Spm; Vaartjes, Ilonca; van der Velde, Enno T; Zomer, A C; Meijboom, Folkert J; Pieper, Petronella G; Post, Marco C; Vliegen, Hubert W; Hazekamp, Mark G; Grobbee, Diederick E; Mulder, Barbara Jm</t>
  </si>
  <si>
    <t>https://pubmed.ncbi.nlm.nih.gov/28541122</t>
  </si>
  <si>
    <t>Background Young patients with congenital heart disease reaching adulthood face mandatory transition to adult cardiology. Their new cardiologist needs to assess the chances of major future events such as surgery. Using a large national registry, we assessed if patient characteristics at the age of 18 years could predict the chance of congenital heart surgery in adulthood. Design and methods Of 10,300 patients from the CONCOR national registry, we used general patient characteristics at age 18 years, underlying congenital heart defect, history of complications, and interventions in childhood as potential predictors of congenital heart surgery occurring from age 18 years up to age 40 and 60 years. Cox regression was used to calculate hazard ratios with 95% confidence intervals. Analyses were performed separately for all congenital heart surgery and for valvular surgery alone. Results Altogether 2427 patients underwent congenital heart surgery after age 18 years, 1389 of whom underwent valvular surgery. Underlying heart defect, male sex, multiple defects, childhood endocarditis, supraventricular arrhythmia, aortic complications and paediatric cardiovascular surgery, independently predicted adult congenital heart surgery. The mean chance of congenital heart surgery was 22% up to age 40 and 43% up to age 60 years; individual chances spanned from 9-68% up to age 40 and from 19-93% up to age 60 years. Conclusion At the time of transition from paediatric to adult cardiology, an easily obtainable set of characteristics of patients with congenital heart disease can meaningfully inform cardiologists about the patient's individual chance of surgery in adulthood. Our findings warrant validation in other cohorts.</t>
  </si>
  <si>
    <t>Effectiveness of shared goal setting and decision making to achieve treatment targets in type 2 diabetes patients: A cluster-randomized trial (OPTIMAL).</t>
  </si>
  <si>
    <t>Den Ouden, Henk; Vos, Rimke C; Rutten, Guy E H M</t>
  </si>
  <si>
    <t>https://pubmed.ncbi.nlm.nih.gov/28544171</t>
  </si>
  <si>
    <t>About 20% of patients with type 2 diabetes achieve all their treatment targets. Shared decision making (SDM) using a support aid based on the 5-years results of the ADDITION study on multifactorial treatment, could increase this proportion. Cluster-randomized trial in 35 former ADDITION primary care practices. Practices were randomized to SDM or care as usual (1:1). Both ADDITION and non-ADDITION type 2 diabetes patients, 60-80 years, known with diabetes for 8-12 years, were included. In the intervention group, patients were presented evidence about the relationship between treatment intensity and cardiovascular events. They chose intensive or less intensive treatment and prioritized their targets. After 1 year priorities could be rearranged. 24 months. Intention-to-treat analysis. proportion of patients that achieved all three treatment targets. At baseline 26.4% in the SDM group (n=72) had already achieved all three treatment goals (CG: 23.5%, n=81). In the SDM group 44 patients chose intensive treatment, 25 continued their former less intensive treatment and three people switched from the more to the less intensive protocol. After 24 months 31.8% of the patients in the SDM group achieved all three treatment targets (CG: 25.3%), RR 1.26 (95% CI 0.81-1.95). Mean systolic blood pressure decreased in the SDM group (-5.4 mm Hg, P&lt;.01), mean HbA1c and total cholesterol did not change. Despite an already high baseline level of diabetes care, we found strong indications that SDM on both intensity of treatment and prioritizing treatment goals further improved outcomes.</t>
  </si>
  <si>
    <t>Series: Pragmatic trials and real world evidence: Paper 1. Introduction.</t>
  </si>
  <si>
    <t>Zuidgeest, Mira G P; Goetz, Iris; Groenwold, Rolf H H; Irving, Elaine; van Thiel, Ghislaine J M W; Grobbee, Diederick E; ,</t>
  </si>
  <si>
    <t>https://pubmed.ncbi.nlm.nih.gov/28549929</t>
  </si>
  <si>
    <t>This is the introductory paper in a series of eight papers. In this series, we integrate the theoretical design options with the practice of conducting pragmatic trials. For most new market-approved treatments, the clinical evidence is insufficient to fully guide physicians and policy makers in choosing the optimal treatment for their patients. Pragmatic trials can fill this gap, by providing evidence on the relative effectiveness of a treatment strategy in routine clinical practice, already in an early phase of development, while maintaining the strength of randomized controlled trials. Selecting the setting, study population, mode of intervention, comparator, and outcome are crucial in designing pragmatic trials. In combination with monitoring and data collection that does not change routine care, this will enable appropriate generalization to the target patient group in clinical practice. To benefit from the full potential of pragmatic trials, there is a need for guidance and tools in designing these studies while ensuring operational feasibility. This paper introduces the concept of pragmatic trial design. The complex interplay between pragmatic design options, feasibility, stakeholder acceptability, validity, precision, and generalizability will be clarified. In this way, balanced design choices can be made in pragmatic trials with an optimal chance of success in practice.</t>
  </si>
  <si>
    <t>Multisite external validation of a risk prediction model for the diagnosis of blood stream infections in febrile pediatric oncology patients without severe neutropenia.</t>
  </si>
  <si>
    <t>Esbenshade, Adam J; Zhao, Zhiguo; Aftandilian, Catherine; Saab, Raya; Wattier, Rachel L; Beauchemin, Melissa; Miller, Tamara P; Wilkes, Jennifer J; Kelly, Michael J; Fernbach, Alison; Jeng, Michael; Schwartz, Cindy L; Dvorak, Christopher C; Shyr, Yu; Moons, Karl G M; Sulis, Maria-Luisa; Friedman, Debra L</t>
  </si>
  <si>
    <t>https://pubmed.ncbi.nlm.nih.gov/28542918</t>
  </si>
  <si>
    <t>Pediatric oncology patients are at an increased risk of invasive bacterial infection due to immunosuppression. The risk of such infection in the absence of severe neutropenia (absolute neutrophil count ≥ 500/μL) is not well established and a validated prediction model for blood stream infection (BSI) risk offers clinical usefulness.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The results of this external validation demonstrated that the EsVan and EsVan2 models are able to predict BSI across multiple performance sites and, once validated and implemented prospectively, could assist in decision making in clinical practice. Cancer 2017;123:3781-3790. © 2017 American Cancer Society.</t>
  </si>
  <si>
    <t>Cost-Effectiveness Analysis of Corneal Collagen Crosslinking for Progressive Keratoconus.</t>
  </si>
  <si>
    <t>Godefrooij, Daniel A; Mangen, Marie-Josee J; Chan, Elsie; O'Brart, David P S; Imhof, Saskia M; de Wit, G Ardine; Wisse, Robert P L</t>
  </si>
  <si>
    <t>ophthalmology</t>
  </si>
  <si>
    <t>https://pubmed.ncbi.nlm.nih.gov/28532974</t>
  </si>
  <si>
    <t>To evaluate the cost effectiveness of corneal collagen crosslinking (CXL) for progressive keratoconus from the healthcare payer's perspective. A probabilistic Markov-type model using data from published clinical trials and cohort studies. Two identical cohorts, each comprising 1000 virtual patients with progressive bilateral keratoconus, were modeled; one cohort underwent CXL and the other cohort received no intervention. Both cohorts were modeled and evaluated annually over a lifetime. Quality-adjusted life years (QALYs), total cost, disease progression, and the probability of corneal transplantation, graft failure, or both were calculated based on data from published trials and cohort studies. These outcomes were compared between the 2 cohorts. In our base scenario, the stabilizing effect of CXL was assumed to be 10 years; however, longer durations also were analyzed. One-way sensitivity analyses were performed to test the robustness of the outcomes. Incremental cost-effectiveness ratio (ICER), defined as euros per QALY. Assuming a 10-year effect of CXL, the ICER was €54 384/QALY ($59 822/QALY). When we adjusted the effect of CXL to a lifelong stabilizing effect, the ICER decreased to €10 149/QALY ($11 163/QALY). Other sensitivity and scenario analyses that had a relevant impact on ICER included the discount rate, visual acuity before CXL, and healthcare costs. Corneal collagen crosslinking for progressive keratoconus is cost effective at a willingness-to-pay threshold of 3 times the current gross domestic product (GDP) per capita. Moreover, a longer stabilizing effect of CXL increases cost effectiveness. If CXL had a stabilizing effect on keratoconus of 15 years or longer, then the ICER would be less than the 1 × GDP per capita threshold and thus very cost effective.</t>
  </si>
  <si>
    <t>Migraine and Cerebrovascular Atherosclerosis in Patients With Ischemic Stroke.</t>
  </si>
  <si>
    <t>van Os, Hendrikus J A; Mulder, Inge A; Broersen, Alexander; Algra, Ale; van der Schaaf, Irene C; Kappelle, L Jaap; Velthuis, Birgitta K; Terwindt, Gisela M; Schonewille, Wouter J; Visser, Marieke C; Ferrari, Michel D; van Walderveen, Marianne A A; Wermer, Marieke J H; ,</t>
  </si>
  <si>
    <t>https://pubmed.ncbi.nlm.nih.gov/28526767</t>
  </si>
  <si>
    <t>Migraine is a well-established risk factor for ischemic stroke, but migraine is also related to other vascular diseases. This study aims to investigate the association between migraine and cerebrovascular atherosclerosis in patients with acute ischemic stroke. We retrieved data on patients with ischemic stroke from the DUST (Dutch Acute Stroke Study). Migraine history was assessed with a migraine screener and confirmed by telephone interview based on the ICHD criteria (International Classification of Headache Disorders). We assessed intra- and extracranial atherosclerotic changes and quantified intracranial internal carotid artery calcifications as measure of atherosclerotic burden on noncontrast computed tomography and computed tomographic angiography. We calculated risk ratios with adjustments for possible confounders with multivariable Poisson regression analyses. We included 656 patients, aged 18 to 99 years, of whom 53 had a history of migraine (29 with aura). Patients with migraine did not have more frequent atherosclerotic changes in intracranial (51% versus 74%; adjusted risk ratio, 0.82; 95% confidence interval, 0.64-1.05) or extracranial vessels (62% versus 79%; adjusted risk ratio, 0.93; 95% confidence interval, 0.77-1.12) than patients without migraine and had comparable internal carotid artery calcification volumes (largest versus medium and smallest volume tertile, 23% versus 35%; adjusted risk ratio, 0.93; 95% confidence interval, 0.57-1.52). Migraine is not associated with excess atherosclerosis in large vessels in patients with acute ischemic stroke. Our findings suggest that the biological mechanisms by which migraine results in ischemic stroke are not related to macrovascular cerebral atherosclerosis.</t>
  </si>
  <si>
    <t>Reconstruction of primary vertices at the ATLAS experiment in Run 1 proton-proton collisions at the LHC.</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</si>
  <si>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t>
  </si>
  <si>
    <t>https://pubmed.ncbi.nlm.nih.gov/28943786</t>
  </si>
  <si>
    <t>This paper presents the method and performance of primary vertex reconstruction in proton-proton collision data recorded by the ATLAS experiment during Run 1 of the LHC. The studies presented focus on data taken during 2012 at a centre-of-mass energy of [Formula: see text] TeV. The performance has been measured as a function of the number of interactions per bunch crossing over a wide range, from one to seventy. The measurement of the position and size of the luminous region and its use as a constraint to improve the primary vertex resolution are discussed. A longitudinal vertex position resolution of about [Formula: see text] is achieved for events with high multiplicity of reconstructed tracks. The transverse position resolution is better than [Formula: see text] and is dominated by the precision on the size of the luminous region. An analytical model is proposed to describe the primary vertex reconstruction efficiency as a function of the number of interactions per bunch crossing and of the longitudinal size of the luminous region. Agreement between the data and the predictions of this model is better than 3% up to seventy interactions per bunch crossing.</t>
  </si>
  <si>
    <t>Performance of the ATLAS trigger system in 2015.</t>
  </si>
  <si>
    <t>,; 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G; Anders, J K; Anderson, K J; Andreazza, A; Andrei, V; Angelidakis</t>
  </si>
  <si>
    <t>https://pubmed.ncbi.nlm.nih.gov/28943784</t>
  </si>
  <si>
    <t>During 2015 the ATLAS experiment recorded [Formula: see text] of proton-proton collision data at a centre-of-mass energy of [Formula: see text]. The ATLAS trigger system is a crucial component of the experiment, responsible for selecting events of interest at a recording rate of approximately 1 kHz from up to 40 MHz of collisions. This paper presents a short overview of the changes to the trigger and data acquisition systems during the first long shutdown of the LHC and shows the performance of the trigger system and its components based on the 2015 proton-proton collision data.</t>
  </si>
  <si>
    <t>Autonomy and self-esteem of women who donate to an oocyte cryopreservation bank in the Netherlands.</t>
  </si>
  <si>
    <t>Bakker, Marjolein R; Maas, Joyce; Bekker, Marrie H; Bredenoord, Annelien L; Fauser, Bart C; Bos, Annelies M</t>
  </si>
  <si>
    <t>reproductive biomedicine online</t>
  </si>
  <si>
    <t>https://pubmed.ncbi.nlm.nih.gov/28579040</t>
  </si>
  <si>
    <t>Worldwide, oocyte donors donate voluntarily or receive varying amounts of money for donation. This raises ethical questions regarding the appropriateness of financial compensation, and the possibility of undue inducement and exploitation of oocyte donors. Are these donors capable of making an independent, well-considered decision? Regarding this matter, it is important to examine aspects such as autonomy-connectedness and self-esteem. In this cross-sectional study, demographic characteristics and donation motivations were assessed in 92 women who attended the University Medical Center (UMC) Utrecht as potential oocyte donors between June 2012 and July 2016. Demographic characteristics were assessed. Motivations were recorded in semi-structured interviews (response rate 59%). The Rosenberg Self-Esteem Scale was used to assess level of self-esteem. The Autonomy-Connectedness Scale was used to measure the level of autonomy-connectedness. The typical oocyte donor at the UMC Utrecht is a well-educated, employed, 31-year-old woman living with her partner in a completed family with two children, and donating on altruistic grounds. The donors showed higher autonomy-connectedness scores than the average female Dutch population and do not lack self-esteem (questionnaire response rate 66%). Concerns regarding exploitation and attraction of women with lower socioeconomic status, with shortcomings in autonomy-connectedness and self-esteem, could not be confirmed in this group.</t>
  </si>
  <si>
    <t>Antenatal coffee and tea consumption and the effect on birth outcome and hypertensive pregnancy disorders.</t>
  </si>
  <si>
    <t>van der Hoeven, Timothy; Browne, Joyce L; Uiterwaal, Cuno S P M; van der Ent, Cornelis K; Grobbee, Diederick E; Dalmeijer, Geertje W</t>
  </si>
  <si>
    <t>https://pubmed.ncbi.nlm.nih.gov/28520809</t>
  </si>
  <si>
    <t>Coffee and tea are commonly consumed during pregnancy. While several of their components, like caffeine, have strong pharmacological effects, the effect on the unborn fetus remains unclear. Caffeine intake has been associated with abortion, preterm birth and fetal growth restriction, but a general consensus on caffeine restriction is still lacking. We aimed to investigate antenatal coffee, tea and caffeine consumption and the effect on birth weight and length, gestational age at birth and hypertensive disorders in pregnancy. A total of 936 healthy pregnancies from the WHISTLER birth cohort with data on coffee and tea consumption were included. Maternal and child characteristics as well as antenatal coffee and tea consumption were obtained through postpartum questionnaires. Reported consumption was validated using available preconceptional data. Caffeine intake was calculated from coffee and tea consumption. Linear and logistic regression was used to assess the association with birth outcome and hypertensive disorders. After adjustment for smoking and maternal age, a daily consumption of more than 300mg of caffeine compared to less than 100mg of caffeine was significantly associated with an increased gestational age (linear regression coefficient = 2.00 days, 95%CI = 0.12-4.21, P = 0.03). Tea consumption was significantly related to a higher risk of pregnancy induced hypertension (OR = 1.13, 95%CI = 1.04-1.23, P = 0.004). No associations concerning coffee consumption or birth weight and birth length were observed. Daily caffeine consumption of more than 300mg is possibly associated with an increase in gestational age at birth. A possible relation between high tea consumption and increased risk for pregnancy induced hypertension warrants further research. For most outcomes, we found no significant associations with coffee or tea intake.</t>
  </si>
  <si>
    <t>Ethics of Informed Consent for Pragmatic Trials with New Interventions.</t>
  </si>
  <si>
    <t>Kalkman, Shona; Kim, Scott Y H; van Thiel, Ghislaine J M W; Grobbee, Diederick E; van Delden, Johannes J M</t>
  </si>
  <si>
    <t>https://pubmed.ncbi.nlm.nih.gov/28712619</t>
  </si>
  <si>
    <t>Pragmatic trials evaluate the comparative benefits, risks, and burdens of health care interventions in real-world conditions. Such studies are now recognized as valuable to the perimarketing stage of drug development and evaluation, with early pragmatic trials (EPTs) being explored as a means to generate real-world evidence at the time of regulatory market approval. In this article, we present an analysis of the ethical issues involved in informed consent for EPTs, in light of the generally recognized concern that traditional ethical rules governing randomized clinical trials, such as lengthy informed consent procedures, could threaten the "real world" nature of such trials. Specifically, we examine to what extent modifications (waivers or alterations) to regulatory consent for EPTs would be ethical. We first identify broadly accepted necessary conditions for modifications of informed consent (namely, the research involves no more than minimal risk of harm, the research is impracticable with regulatory consent, and the alternative to regulatory consent does not violate legitimate patient expectations) and then apply those criteria to the premarket and early postmarket contexts. The analysis shows that neither waivers nor alterations of regulatory consent for premarket EPTs will be ethically permissible. For postmarket EPTs with newly approved interventions, waivers of consent will be ethically problematic, but some studies might be conducted in an ethical manner with alterations to regulatory consent.</t>
  </si>
  <si>
    <t>A qualitative study on acceptable levels of risk for pregnant women in clinical research.</t>
  </si>
  <si>
    <t>https://pubmed.ncbi.nlm.nih.gov/28506267</t>
  </si>
  <si>
    <t>There is ambiguity with regard to what counts as an acceptable level of risk in clinical research in pregnant women and there is no input from stakeholders relative to such research risks. The aim of our paper was to explore what stakeholders who are actively involved in the conduct of clinical research in pregnant women deem an acceptable level of risk for pregnant women in clinical research. Accordingly, we used the APOSTEL VI study, a low-risk obstetrical randomised controlled trial, as a case-study. We conducted a prospective qualitative study using 35 in-depth semi-structured interviews and one focus group. We interviewed healthcare professionals, Research Ethics Committee members (RECs) and regulators who are actively involved in the conduct of clinical research in pregnant women, in addition to pregnant women recruited for the APOSTEL VI case-study in the Netherlands. Three themes characterise the way stakeholders view risks in clinical research in pregnant women in general. Additionally, one theme characterises the way healthcare professionals and pregnant women view risks with respect to the case-study specifically. First, ideas on what constitutes an acceptable level of risk in general ranged from a preference for zero risk for the foetus up to minimal risk. Second, the desirability of clinical research in pregnant women in general was questioned altogether. Third, stakeholders proposed to establish an upper limit of risk in potentially beneficial clinical research in pregnant women in order to protect the foetus and the pregnant woman from harm. Fourth and finally, the case-study illustrates that healthcare professionals' individual perception of risk may influence recruitment. Healthcare professionals, RECs, regulators and pregnant women are all risk adverse in practice, possibly explaining the continuing underrepresentation of pregnant women in clinical research. Determining the acceptable levels of risk on a universal level alone is insufficient, because the individual perception of risk also influences behaviour towards pregnant women in clinical research. Therefore, bioethicists and researchers might be interested in changing the perception of risk, which could be achieved by education and awareness about the actual benefits and harms of inclusion and exclusion of pregnant women.</t>
  </si>
  <si>
    <t>Risk of death from cardiovascular disease following breast cancer: a systematic review.</t>
  </si>
  <si>
    <t>Gernaat, S A M; Ho, P J; Rijnberg, N; Emaus, M J; Baak, L M; Hartman, M; Grobbee, D E; Verkooijen, H M</t>
  </si>
  <si>
    <t>https://pubmed.ncbi.nlm.nih.gov/28503723</t>
  </si>
  <si>
    <t>Breast cancer incidence and survival is high, which results in high prevalence of breast cancer survivors. The risk of (death from) cardiovascular disease (CVD) is higher in patients exposed to cardiotoxic treatments, in particular if they have pre-existing CVD risk factors. This study systematically summarized the risk of death from CVD following breast cancer. Databases of Medline, Embase, and the Cochrane Library were systematically searched using the following terms and synonyms: breast cancer, cardiovascular disease, and cause of death. Articles reporting on both risk and risk factors of CVD mortality following breast cancer were eligible for inclusion. The methodological quality of each article was assessed using the Newcastle Ottawa quality assessment scale for cohort studies. Fourteen articles were included assessing the risk of CVD mortality among 1,217,910 women with breast cancer. The methodological quality was high for the majority of the studies. Studies were heterogeneous in design, study population, length of follow-up, CVD outcomes, and risk factors. 1.6-10.4% of all women with breast cancer died of CVD. Women with breast cancer had a higher risk of CVD mortality than women from the general population. The risk of CVD mortality was higher among women with breast cancer with older age at diagnosis, left-sided tumor, diagnosis in an earlier calendar period, and black ethnic origin. CVD is an important cause of death following breast cancer. Identification of patients at high risk of CVD is important to optimize CVD prevention and tailor breast cancer treatment.</t>
  </si>
  <si>
    <t>Series: Pragmatic trials and real world evidence: Paper 6. Outcome measures in the real world.</t>
  </si>
  <si>
    <t>Welsing, Paco M; Oude Rengerink, Katrien; Collier, Sue; Eckert, Laurent; van Smeden, Maarten; Ciaglia, Antonio; Nachbaur, Gaelle; Trelle, Sven; Taylor, Aliki J; Egger, Matthias; Goetz, Iris; ,</t>
  </si>
  <si>
    <t>https://pubmed.ncbi.nlm.nih.gov/28502810</t>
  </si>
  <si>
    <t>Results from pragmatic trials should reflect the comparative treatment effects encountered in patients in real-life clinical practice to guide treatment decisions. Therefore, pragmatic trials should focus on outcomes that are relevant to patients, clinical practice, and treatment choices. This sixth article in the series (see Box) discusses different types of outcomes and their suitability for pragmatic trials, design choices for measuring these outcomes, and their implications and challenges. Measuring outcomes in pragmatic trials should not interfere with real-world clinical practice to ensure generalizability of trial results, and routinely collected outcomes should be prioritized. Typical outcomes include mortality, morbidity, functional status, well-being, and resource use. Surrogate endpoints are typically avoided as primary outcome. It is important to measure outcomes over a relevant time horizon and obtain valid and precise results. As pragmatic trials are often open label, a less subjective outcome can reduce bias. Methods that decrease bias or enhance precision of the results, such as standardization and blinding of outcome assessment, should be considered when a high risk of bias or high variability is expected. The selection of outcomes in pragmatic trials should be relevant for decision making and feasible in terms of executing the trial in the context of interest. Therefore, this should be discussed with all stakeholders as early as feasible to ensure the relevance of study results for decision making in clinical practice and the ability to perform the study.</t>
  </si>
  <si>
    <t>Series: Pragmatic trials and real world evidence: Paper 3. Patient selection challenges and consequences.</t>
  </si>
  <si>
    <t>Oude Rengerink, Katrien; Kalkman, Shona; Collier, Susan; Ciaglia, Antonio; Worsley, Sally D; Lightbourne, Alison; Eckert, Laurent; Groenwold, Rolf H H; Grobbee, Diederick E; Irving, Elaine A; ,</t>
  </si>
  <si>
    <t>https://pubmed.ncbi.nlm.nih.gov/28502808</t>
  </si>
  <si>
    <t>This paper addresses challenges of identifying, enrolling, and retaining participants in a trial conducted within a routine care setting. All patients who are potential candidates for the treatments in routine clinical practice should be considered eligible for a pragmatic trial. To ensure generalizability, the recruited sample should have a similar distribution of the treatment effect modifiers as the target population. In practice, this can be best achieved by including-within the selected sites-all patients without further selection. If relevant heterogeneity between subgroups is expected, increasing the relative proportion of the subgroup of patients in the heterogeneous trial could be considered (oversampling) or a separate trial in this subgroup can be planned. Selection will nevertheless occur. Low enrollment and loss to follow-up can introduce selection and can jeopardize validity as well as generalizability. Pragmatic trials are conducted in clinical practice rather than in a dedicated research setting, which could reduce recruitment rates. However, if a trial poses a minimal burden to the physician and the patient and routine clinical practice is maximally adhered to, the participation rate may be high and loss to follow-up will not be a specific problem for pragmatic trials.</t>
  </si>
  <si>
    <t>Series: Pragmatic trials and real world evidence: Paper 4. Informed consent.</t>
  </si>
  <si>
    <t>Kalkman, Shona; van Thiel, Ghislaine J M W; Zuidgeest, Mira G P; Goetz, Iris; Pfeiffer, Boris M; Grobbee, Diederick E; van Delden, Johannes J M; ,</t>
  </si>
  <si>
    <t>https://pubmed.ncbi.nlm.nih.gov/28502809</t>
  </si>
  <si>
    <t>The GetReal consortium of the Innovative Medicines Initiative aims to develop strategies to incorporate real-world evidence earlier into the drug life cycle to better inform health care decision makers on the comparative risks and benefits of new drugs. Pragmatic trials are currently explored as a means to generate such evidence in routine care settings. The traditional informed consent model for randomized clinical trials has been argued to pose substantial hurdles to the practicability of pragmatic trials: it would lead to recruitment difficulties, reduced generalizability of the results, and selection bias. The present article analyzes these challenges and discusses four proposed alternative informed consent models: integrated consent, targeted consent, broadcast consent, and a waiver of consent. These alternative consent models each aim at overcoming operational and methodological challenges, while still providing patients all the relevant information they need to make informed decisions. Each consent model, however, relies on different attitudes toward the principle of respect for persons and the related duty to inform patients as well as represents different views on whether the common good demands moral duties from patients. Such normative consequences of modifying consent requirements should be at least acknowledged and ought to be assessed in light of the validity of empirical claims.</t>
  </si>
  <si>
    <t>Series: Pragmatic trials and real world evidence: Paper 7. Safety, quality and monitoring.</t>
  </si>
  <si>
    <t>Irving, Elaine; van den Bor, Rutger; Welsing, Paco; Walsh, Veronica; Alfonso-Cristancho, Rafael; Harvey, Catherine; Garman, Nadia; Grobbee, Diederick E; ,</t>
  </si>
  <si>
    <t>https://pubmed.ncbi.nlm.nih.gov/28502812</t>
  </si>
  <si>
    <t>Pragmatic trials offer the opportunity to obtain real-life data on the relative effectiveness and safety of a treatment before or after market authorization. This is the penultimate paper in a series of eight, describing the impact of design choices on the practical implementation of pragmatic trials. This paper focuses on the practical challenges of collecting and reporting safety data and of monitoring trial conduct while maintaining routine clinical care practice. Current ICH guidance recommends that all serious adverse events and all drug-related events must be reported in an interventional trial. In line with current guidance, we propose a risk-based approach to the collection of non-drug-related non-serious adverse events and even serious events not related to treatment based on the risk profile of the medicine/class in the patient population of interest. Different options available to support the collection and reporting of safety data while minimizing study-related follow-up visits are discussed. A risk-based approach to monitoring trial conduct is also discussed, highlighting the difference in the balance of risks likely to occur in a pragmatic trial compared to traditional clinical trials and the careful consideration that must be given to the mitigation and management of these risks to maintain routine care.</t>
  </si>
  <si>
    <t>Validation study of the SCREENIVF: an instrument to screen women or men on risk for emotional maladjustment before the start of a fertility treatment.</t>
  </si>
  <si>
    <t>Ockhuijsen, Henrietta D L; van Smeden, Maarten; van den Hoogen, Agnes; Boivin, Jacky</t>
  </si>
  <si>
    <t>fertility and sterility</t>
  </si>
  <si>
    <t>https://pubmed.ncbi.nlm.nih.gov/28501369</t>
  </si>
  <si>
    <t>To examine construct and criterion validity of the Dutch SCREENIVF among women and men undergoing a fertility treatment. A prospective longitudinal study nested in a randomized controlled trial. University hospital. Couples, 468 women and 383 men, undergoing an IVF/intracytoplasmic sperm injection (ICSI) treatment in a fertility clinic, completed the SCREENIVF. Construct and criteria validity of the SCREENIVF. The comparative fit index and root mean square error of approximation for women and men show a good fit of the factor model. Across time, the sensitivity for Hospital Anxiety and Depression Scale subscale in women ranged from 61%-98%, specificity 53%-65%, predictive value of a positive test (PVP) 13%-56%, predictive value of a negative test (PVN) 70%-99%. The sensitivity scores for men ranged from 38%-100%, specificity 71%-75%, PVP 9%-27%, PVN 92%-100%. A prediction model revealed that for women 68.7% of the variance in the Hospital Anxiety and Depression Scale on time 1 and 42.5% at time 2 and 38.9% at time 3 was explained by the predictors, the sum score scales of the SCREENIVF. For men, 58.1% of the variance in the Hospital Anxiety and Depression Scale on time 1 and 46.5% at time 2 and 37.3% at time 3 was explained by the predictors, the sum score scales of the SCREENIVF. The SCREENIVF has good construct validity but the concurrent validity is better than the predictive validity. SCREENIVF will be most effectively used in fertility clinics at the start of treatment and should not be used as a predictive tool.</t>
  </si>
  <si>
    <t>Nutrition in peri-operative esophageal cancer management.</t>
  </si>
  <si>
    <t>Steenhagen, Elles; van Vulpen, Jonna K; van Hillegersberg, Richard; May, Anne M; Siersema, Peter D</t>
  </si>
  <si>
    <t>expert review of gastroenterology hepatology</t>
  </si>
  <si>
    <t>https://pubmed.ncbi.nlm.nih.gov/28454509</t>
  </si>
  <si>
    <t>Nutritional status and dietary intake are increasingly recognized as essential areas in esophageal cancer management. Nutritional management of esophageal cancer is a continuously evolving field and comprises an interesting area for scientific research. Areas covered: This review encompasses the current literature on nutrition in the pre-operative, peri-operative, and post-operative phases of esophageal cancer. Both established interventions and potential novel targets for nutritional management are discussed. Expert commentary: To ensure an optimal pre-operative status and to reduce peri-operative complications, it is key to assess nutritional status in all pre-operative esophageal cancer patients and to apply nutritional interventions accordingly. Since esophagectomy results in a permanent anatomical change, a special focus on nutritional strategies is needed in the post-operative phase, including early initiation of enteral feeding, nutritional interventions for post-operative complications, and attention to long-term nutritional intake and status. Nutritional aspects of pre-optimization and peri-operative management should be incorporated in novel Enhanced Recovery After Surgery programs for esophageal cancer.</t>
  </si>
  <si>
    <t>Response Adjusted for Days of Antibiotic Risk (RADAR): evaluation of a novel method to compare strategies to optimize antibiotic use.</t>
  </si>
  <si>
    <t>Schweitzer, V A; van Smeden, M; Postma, D F; Oosterheert, J J; Bonten, M J M; van Werkhoven, C H</t>
  </si>
  <si>
    <t>https://pubmed.ncbi.nlm.nih.gov/28501668</t>
  </si>
  <si>
    <t>The Response Adjusted for Days of Antibiotic Risk (RADAR) statistic was proposed to improve the efficiency of trials comparing antibiotic stewardship strategies to optimize antibiotic use. We studied the behaviour of RADAR in a non-inferiority trial in which a β-lactam monotherapy strategy (n = 656) was non-inferior to fluoroquinolone monotherapy (n = 888) for patients with moderately severe community-acquired pneumonia. Patients were ranked according to clinical outcome, using five or eight categories, and antibiotic use. RADAR was calculated as the probability that the β-lactam group had a more favourable ranking than the fluoroquinolone group. To investigate the sensitivity of RADAR to detrimental clinical outcome we simulated increasing rates of 90-day mortality in the β-lactam group and performed the RADAR and non-inferiority analysis. The RADAR of the β-lactam group compared with the fluoroquinolone group was 60.3% (95% CI 57.9%-62.7%) using five and 58.4% (95% CI 56.0%-60.9%) using eight clinical outcome categories, all in favour of β-lactam. Sample sizes for RADAR were 38% (250/653) and 89% (580/653) of the non-inferiority sample size calculation, using five or eight clinical outcome categories, respectively. With simulated mortality rates, loss of non-inferiority of the β-lactam group occurred at a relative risk of 1.125 in the conventional analysis, whereas using RADAR the β-lactam group lost superiority at a relative risk of mortality of 1.25 and 1.5, with eight and five clinical outcome categories, respectively. RADAR favoured β-lactam over fluoroquinolone therapy for community-acquired pneumonia. Although RADAR required fewer patients than conventional non-inferiority analysis, the statistic was less sensitive to detrimental outcomes.</t>
  </si>
  <si>
    <t>Predictive performance of the CHA2DS2-VASc rule in atrial fibrillation: a systematic review and meta-analysis.</t>
  </si>
  <si>
    <t>van Doorn, S; Debray, T P A; Kaasenbrood, F; Hoes, A W; Rutten, F H; Moons, K G M; Geersing, G J</t>
  </si>
  <si>
    <t>https://pubmed.ncbi.nlm.nih.gov/28375552</t>
  </si>
  <si>
    <t>Essentials The widely recommended CHA2DS2-VASc shows conflicting results in contemporary validation studies. We performed a systematic review and meta-analysis of 19 studies validating CHA2DS2-VASc. There was high heterogeneity in stroke risks for different CHA2DS2-VASc scores. This was not explained by differences between setting of care, or by performing meta-regression. Background The CHA2DS2-VASc decision rule is widely recommended for estimating stroke risk in patients with atrial fibrillation (AF), although validation studies show ambiguous and conflicting results. Objectives To: (i) review existing studies validating CHA2DS2-VASc in AF patients who are not (yet) anticoagulated; (ii) meta-analyze estimates of stroke risk per score; and (iii) explore sources of heterogeneity across the validation studies. Methods We performed a systematic literature review and random effects meta-analysis of studies externally validating CHA2DS2-VASc in AF patients not receiving anticoagulants. To explore between-study heterogeneity in stroke risk, we stratified studies to the clinical setting in which patient enrollment started, and performed meta-regression. Results In total, 19 studies were evaluated, with over two million person-years of follow-up. In studies recruiting AF patients in hospitals, stroke risks for scores of 0, 1 and 2 were 0.4% (approximate 95% prediction interval [PI] 0.2-3.2%), 1.2% (95% PI 0.1-3.8%), and 2.2% (95% PI 0.03-7.8%), respectively. These were consistently higher than those in studies recruiting patients from the open general population, with risks of 0.2% (95% PI 0.0-0.9%), 0.7% (95% PI 0.3-1.2%) and 1.5% (95% PI 0.4-3.3%) for scores of 0, 1, and 2, respectively. Heterogeneity, as reflected by the wide PIs, could not be fully explained by meta-regression. Conclusions Studies validating CHA2DS2-VASc show high heterogeneity in predicted stroke risks for different scores.</t>
  </si>
  <si>
    <t>Relation between Kidney Length and Cardiovascular and Renal Risk in High-Risk Patients.</t>
  </si>
  <si>
    <t>van der Sande, Nicolette G C; Visseren, Frank L J; van der Graaf, Yolanda; Nathoe, Hendrik M; de Borst, Gert Jan; Leiner, Tim; Blankestijn, Peter J; ,</t>
  </si>
  <si>
    <t>https://pubmed.ncbi.nlm.nih.gov/28487344</t>
  </si>
  <si>
    <t>Kidney length is often measured during routine abdominal ultrasonography and may be of use to identify patients at high vascular and renal risk. We aimed to explore patient characteristics related to kidney length, from which reference values were derived, and evaluate the relationship between kidney length and the risk of cardiovascular events and ESRD in high-risk patients. The study population consisted of 10,251 patients with clinical manifest arterial disease or vascular risk factors included in the Second Manifestations of ARTerial disease (SMART) Study cohort between 1996 and 2014. Linear regression was used to explore patient characteristics of kidney length. The relationship between kidney length and cardiovascular events (myocardial infarction, stroke, and cardiovascular mortality), all-cause mortality, and ESRD was analyzed using Cox regression. Kidney length was analyzed in tertiles, using the second tertile as the reference category. Kidney length was strongly correlated with body surface area (2.04 mm; 95% confidence interval [95% CI], 1.95 to 2.13 per 0.1 m&lt;sup&gt;2&lt;/sup&gt; increase) and eGFR (1.62 mm; 95% CI, 1.52 to 1.73 per 10 ml/min per 1.73 m&lt;sup&gt;2&lt;/sup&gt; increase). During the median follow-up of 6.3 years, 1317 patients experienced a cardiovascular event, including 711 myocardial infarctions, 369 strokes, and 735 vascular cause deaths. A total of 1462 patients died of any cause and 52 patients developed ESRD. Irrespective of eGFR, patients in the third tertile of kidney length (11.7-16.1 cm) were at higher risk of cardiovascular mortality (hazard ratio, 1.33; 95% CI, 1.05 to 1.67) and cardiovascular events (hazard ratio, 1.28; 95% CI, 1.09 to 1.50). Patients in the first tertile of kidney length (7.8-10.8 cm) were not at higher risk of cardiovascular adverse events. Large kidney length is related to higher risk of cardiovascular events and mortality in high-risk patients, irrespective of eGFR. Kidney length may serve as a clinical marker to further identify patients at high cardiovascular risk.</t>
  </si>
  <si>
    <t>Fish consumption, intake of fats and cognitive decline at middle and older age: the Doetinchem Cohort Study.</t>
  </si>
  <si>
    <t>Nooyens, Astrid C J; van Gelder, Boukje M; Bueno-de-Mesquita, H Bas; van Boxtel, Martin P J; Verschuren, W M Monique</t>
  </si>
  <si>
    <t>https://pubmed.ncbi.nlm.nih.gov/28488130</t>
  </si>
  <si>
    <t>To get insight in the impact of fish and fat intake in the prevention of accelerated cognitive decline with ageing, we tested associations between fish and different fat intakes and 5-year change in cognitive functions. In 2612 men and women of the Doetinchem Cohort Study, aged 43-70 years at baseline, dietary intake (including fish consumption) and cognitive function were assessed at baseline and at 5-year follow-up. Average fish consumption (frequency) and intakes (as energy percentages) of total fat, saturated, mono unsaturated, and polyunsaturated fatty acids (PUFA), linoleic, docosahexaenoic, eicosapentaenoic, and a-linolenic acid (ALA), and cholesterol were averaged over baseline and follow-up. Intakes were studied in relation to 5-year change in global cognitive function, memory, information processing speed, and cognitive flexibility, using ANCOVA and multivariate linear regression analyses. No consistent association between (fatty) fish consumption and cognitive decline was observed. Higher cholesterol intake was associated with faster cognitive decline (p &lt; 0.05). Higher n-3 PUFA (especially ALA) intake was associated with slower decline in global cognitive function and memory (p &lt; 0.01). Intakes of other fatty acids were not associated with cognitive decline. Higher cholesterol intake was detrimental, while higher ALA intake was beneficial for maintaining cognitive function with ageing, already at middle age.</t>
  </si>
  <si>
    <t>Age-Specific Vascular Risk Factor Profiles According to Stroke Subtype.</t>
  </si>
  <si>
    <t>Hauer, Allard J; Ruigrok, Ynte M; Algra, Ale; van Dijk, Ewoud J; Koudstaal, Peter J; Luijckx, Gert-Jan; Nederkoorn, Paul J; van Oostenbrugge, Robert J; Visser, Marieke C; Wermer, Marieke J; Kappelle, L Jaap; Klijn, Catharina J M; ,</t>
  </si>
  <si>
    <t>https://pubmed.ncbi.nlm.nih.gov/28483775</t>
  </si>
  <si>
    <t>Ischemic and hemorrhagic stroke are increasingly recognized as heterogeneous diseases with distinct subtypes and etiologies. Information on variation in distribution of vascular risk factors according to age in stroke subtypes is limited. We investigated the prevalence of vascular risk factors in stroke subtypes in relation to age. We studied a prospective multicenter university hospital-based cohort of 4033 patients. For patients with ischemic stroke caused by large artery atherosclerosis, small vessel disease, or cardioembolism and for patients with spontaneous intracerebral hemorrhage or aneurysmal subarachnoid hemorrhage, we calculated prevalences of vascular risk factors in 4 age groups: &lt;55, 55 to 65, 65 to 75, and ≥75 years, and mean differences with 95% CIs in relation to the reference age group. Patients aged &lt;55 years were significantly more often of non-white origin (in particular in spontaneous intracerebral hemorrhage and aneurysmal subarachnoid hemorrhage patients) and most often smoked (most prominent for aneurysmal subarachnoid hemorrhage patients). Patients aged &lt;55 years with ischemic stroke caused by large artery atherosclerosis or small vessel disease more often had hypertension, hyperlipidemia, and diabetes mellitus than patients with ischemic stroke of cardiac origin. Overall, the frequency of hypertension, hyperlipidemia, and diabetes mellitus increased with age among all stroke subtypes, whereas smoking decreased with age. Regardless of age, accumulation of potentially modifiable risk factors was most pronounced in patients with ischemic stroke caused by large artery atherosclerosis or small vessel disease. The prevalence of common cardiovascular risk factors shows different age-specific patterns among various stroke subtypes. Recognition of these patterns may guide tailored stroke prevention efforts aimed at specific risk groups.</t>
  </si>
  <si>
    <t>Measurements of top-quark pair differential cross-sections in the [Formula: see text] channel in &lt;i&gt;pp&lt;/i&gt; collisions at [Formula: see text] TeV using the ATLAS detector.</t>
  </si>
  <si>
    <t>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Amako, K; Amaral Coutinho, Y; Amelung, C; Amidei, D; Amor Dos Santos, S P; Amorim, A; Amoroso, S; Amundsen, G; Anastopoulos, C; Ancu, L S; Andari, N; Andeen, T; Anders, C F; Anders, G; Anders, J K; Anderson, K J; Andreazza, A; Andrei, V; Ange</t>
  </si>
  <si>
    <t>https://pubmed.ncbi.nlm.nih.gov/28579920</t>
  </si>
  <si>
    <t>This article presents measurements of [Formula: see text] differential cross-sections in a fiducial phase-space region, using an integrated luminosity of 3.2 fb[Formula: see text] of proton-proton data at a centre-of-mass energy of [Formula: see text] TeV recorded by the ATLAS experiment at the LHC in 2015. Differential cross-sections are measured as a function of the transverse momentum and absolute rapidity of the top quark, and of the transverse momentum, absolute rapidity and invariant mass of the [Formula: see text] system. The [Formula: see text] events are selected by requiring one electron and one muon of opposite electric charge, and at least two jets, one of which must be tagged as containing a &lt;i&gt;b&lt;/i&gt;-hadron. The measured differential cross-sections are compared to predictions of next-to-leading order generators matched to parton showers and the measurements are found to be consistent with all models within the experimental uncertainties with the exception of the Powheg-Box [Formula: see text] Herwig++ predictions, which differ significantly from the data in both the transverse momentum of the top quark and the mass of the [Formula: see text] system.</t>
  </si>
  <si>
    <t>Pubertal Timing and Cardiometabolic Markers at Age 16 Years.</t>
  </si>
  <si>
    <t>Berentzen, Nina E; Wijga, Alet H; van Rossem, Lenie; Postma, Dirkje S; Gehring, Ulrike; Smit, Henriëtte A</t>
  </si>
  <si>
    <t>https://pubmed.ncbi.nlm.nih.gov/28495176</t>
  </si>
  <si>
    <t>To examine the association between pubertal timing and cardiometabolic markers among adolescents. We used data from Dutch adolescents participating in a birth cohort study. The study population for the current study consisted of 799 adolescents of whom data were available for at least 1 of the exposure variables (pubertal timing and/or age at menarche) and any of the cardiometabolic markers (waist circumference, cholesterol, blood pressure [BP], glycated hemoglobin) measured at age 16 years. Adolescents self-reported pubertal development at ages 11, 14, and 16 years. We categorized participants with early (84 girls, 88 boys), intermediate (240 girls, 211 boys), or late pubertal timing (89 girls, 85 boys). We estimated differences in cardiometabolic markers using linear regression analysis. Girls with early pubertal timing had 1.54 cm larger waist circumference (95% CI .05; 3.03) and 3.98 mm Hg higher systolic BP (95% CI 1.69; 6.27) at age 16 years than girls with intermediate pubertal timing. The association with systolic BP remained after adjusting for childhood body mass index (BMI) (age 8 years) but attenuated after adjusting for BMI in adolescence (age 16 years). Boys with early pubertal timing had 0.79 mmol/mol lower glycated hemoglobin (95%CI -1.38; -0.20) than boys with intermediate pubertal timing. Girls with early pubertal timing had unfavorable BP levels at age 16 years, independent of BMI in childhood. Girls and boys with late pubertal timing had a tendency for lower waist circumference, but no differences in other cardiometabolic markers. Late pubertal timing does not appear to be a risk factor for unfavorable cardiometabolic markers in adolescence.</t>
  </si>
  <si>
    <t>Trajectories of metabolic risk factors and biochemical markers prior to the onset of type 2 diabetes: the population-based longitudinal Doetinchem study.</t>
  </si>
  <si>
    <t>Hulsegge, G; Spijkerman, A M W; van der Schouw, Y T; Bakker, S J L; Gansevoort, R T; Smit, H A; Verschuren, W M M</t>
  </si>
  <si>
    <t>https://pubmed.ncbi.nlm.nih.gov/28481339</t>
  </si>
  <si>
    <t>Risk factors often develop at young age and are maintained over time, but it is not fully understood how risk factors develop over time preceding type 2 diabetes. We examined how levels and trajectories of metabolic risk factors and biochemical markers prior to diagnosis differ between persons with and without type 2 diabetes over 15-20 years. A total of 355 incident type 2 diabetes cases (285 self-reported, 70 with random glucose ⩾11.1 mmol l&lt;sup&gt;-1&lt;/sup&gt;) and 2130 controls were identified in a prospective cohort between 1987-2012. Risk factors were measured at 5-year intervals. Trajectories preceding case ascertainment were analysed using generalised estimating equations. Among participants with a 21-year follow-up period, those with type 2 diabetes had higher levels of metabolic risk factors and biochemical markers 15-20 years before case ascertainment. Subsequent trajectories were more unfavourable in participants with type 2 diabetes for body mass index (BMI), HDL cholesterol and glucose (P&lt;0.01), and to a lesser extent for waist circumference, diastolic and systolic blood pressure, triglycerides, alanine aminotransferase, gamma glutamyltransferase, C-reactive protein, uric acid and estimated glomerular filtration rate compared with participants without type 2 diabetes. Among persons with type 2 diabetes, BMI increased by 5-8% over 15 years, whereas the increase among persons without type 2 diabetes was 0-2% (P&lt;0.01). The observed differences in trajectories of metabolic risk factors and biochemical markers were largely attenuated after inclusion of BMI in the models. Results were similar for men and women. Participants with diabetes had more unfavourable levels of metabolic risk factors and biochemical markers already 15-20 years before diagnosis and worse subsequent trajectories than others. Our results highlight the need, in particular, for maintenance of a healthy weight from young adulthood onwards for diabetes prevention.</t>
  </si>
  <si>
    <t>Targeted outreach hepatitis B vaccination program in high-risk adults: The fundamental challenge of the last mile.</t>
  </si>
  <si>
    <t>Mangen, M-J J; Stibbe, H; Urbanus, A; Siedenburg, E C; Waldhober, Q; de Wit, G A; van Steenbergen, J E; ,</t>
  </si>
  <si>
    <t>https://pubmed.ncbi.nlm.nih.gov/28483198</t>
  </si>
  <si>
    <t>The aim of this study was to evaluate the cost-effectiveness of the on-going decentralised targeted hepatitis B vaccination program for behavioural high-risk groups operated by regional public health services in the Netherlands since 1-November-2002. Target groups for free vaccination are men having sex with men (MSM), commercial sex workers (CSW) and hard drug users (HDU). Heterosexuals with a high partner change rate (HRP) were included until 1-November-2007. Based on participant, vaccination and serology data collected up to 31-December-2012, the number of participants and program costs were estimated. Observed anti-HBc prevalence was used to estimate the probability of susceptible individuals per risk-group to become infected with hepatitis B virus (HBV) in their remaining life. We distinguished two time-periods: 2002-2006 and 2007-2012, representing different recruitment strategies and target groups. Correcting for observed vaccination compliance, the number of future HBV-infections avoided was estimated per risk-group. By combining these numbers with estimates of life-years lost, quality-of-life losses and healthcare costs of HBV-infections - as obtained from a Markov model-, the benefit of the program was estimated for each risk-group separately. The overall incremental cost-effectiveness ratio of the program was €30,400/QALY gained, with effects and costs discounted at 1.5% and 4%, respectively. The program was more cost-effective in the first period (€24,200/QALY) than in the second period (€42,400/QALY). In particular, the cost-effectiveness for MSM decreased from €20,700/QALY to €47,700/QALY. This decentralised targeted HBV-vaccination program is a cost-effective intervention in certain unvaccinated high-risk adults. Saturation within the risk-groups, participation of individuals with less risky behaviour, and increased recruitment investments in the second period made the program less cost-effective over time. The project should therefore discus how to reduce costs per risk-group, increase effects or when to integrate the vaccination in regular healthcare.</t>
  </si>
  <si>
    <t>Smoking prevalence differs by location of residence among Ghanaians in Africa and Europe: The RODAM study.</t>
  </si>
  <si>
    <t>Brathwaite, Rachel; Addo, Juliet; Kunst, Anton E; Agyemang, Charles; Owusu-Dabo, Ellis; de-Graft Aikins, Ama; Beune, Erik; Meeks, Karlijn; Klipstein-Grobusch, Kerstin; Bahendeka, Silver; Mockenhaupt, Frank P; Amoah, Stephen; Galbete, Cecilia; Schulze, Matthias B; Danquah, Ina; Smeeth, Liam</t>
  </si>
  <si>
    <t>https://pubmed.ncbi.nlm.nih.gov/28475620</t>
  </si>
  <si>
    <t>Although the prevalence of smoking is low in Ghana, little is known about the effect of migration on smoking. Comparing Ghanaians living in their country of origin to those living in Europe offers an opportunity to investigate smoking by location of residence and the associations between smoking behaviours and migration-related factors. Data on a relatively homogenous group of Ghanaians living in London (n = 949), Amsterdam (n = 1400), Berlin (n = 543), rural Ghana (n = 973) and urban Ghana (n = 1400) from the cross-sectional RODAM (Research on Obesity &amp; Diabetes in African Migrants) study were used. Age-standardized prevalence rates of smoking by location of residence and factors associated with smoking among Ghanaian men were estimated using prevalence ratios (PR: 95% CIs). Current smoking was non-existent among women in rural and urban Ghana and London but was 3.2% and 3.3% in women in Amsterdam and Berlin, respectively. Smoking prevalence was higher in men in Europe (7.8%) than in both rural and urban Ghana (4.8%): PR 1.91: 95% CI 1.27, 2.88, adjusted for age, marital status, education and employment. Factors associated with a higher prevalence of smoking among Ghanaian men included European residence, being divorced or widowed, living alone, Islam religion, infrequent attendance at religious services, assimilation (cultural orientation), and low education. Ghanaians living in Europe are more likely to smoke than their counterparts in Ghana, suggesting convergence to European populations, although prevalence rates are still far below those in the host populations.</t>
  </si>
  <si>
    <t>Appropriate endpoints for evaluation of new antibiotic therapies for severe infections: a perspective from COMBACTE's STAT-Net.</t>
  </si>
  <si>
    <t>Timsit, Jean-François; de Kraker, Marlieke E A; Sommer, Harriet; Weiss, Emmanuel; Bettiol, Esther; Wolkewitz, Martin; Nikolakopoulos, Stavros; Wilson, David; Harbarth, Stephan; ,</t>
  </si>
  <si>
    <t>https://pubmed.ncbi.nlm.nih.gov/28466147</t>
  </si>
  <si>
    <t>In this era of rising antimicrobial resistance, slowly refilling antibiotic development pipelines, and an aging population, we need to ensure that randomized clinical trials (RCTs) determine the added benefit of new antibiotic agents effectively and in a valid way, especially for severely ill patients. Unfortunately, universally accepted endpoints for the evaluation of new drugs in severe infections are lacking. We review and discuss the current practices and challenges regarding endpoints in RCTs in this field and propose novel approaches. Usual endpoints actually recommended for drug development suffer from important flaws. Mortality requires large sample size and only partly related to the infectious process. Clinical cure rate is highly subjective in critically ill patients where symptoms may be related to other intercurrent events. Currently, composite endpoints, hierarchical nested designs, and competing risks analysis seem to be the most promising new tools for designing and analyzing clinical trials in this area, although they require further validation. Regulatory authorities, pharmaceutical companies, and clinicians need to agree on the most appropriate clinical endpoints for severe infections to ensure efficient approval of new, effective antibiotic agents.</t>
  </si>
  <si>
    <t>Risk of death from cardiovascular disease following breast cancer in Southeast Asia: a prospective cohort study.</t>
  </si>
  <si>
    <t>Gernaat, S A M; Ho, P J; Rijnberg, N; Lee, S C; Lim, S H; Yap, Y S; Grobbee, D E; Hartman, M; Verkooijen, H M</t>
  </si>
  <si>
    <t>https://pubmed.ncbi.nlm.nih.gov/28465587</t>
  </si>
  <si>
    <t>Breast cancer incidence and survival is high in Southeast Asia. As such, many women diagnosed with breast cancer are at risk of dying of other causes. Given the increased risk of cardiotoxicity induced by breast cancer treatments, it is important to identify patients at high risk of cardiovascular disease (CVD) mortality. The aim of this study was to investigate if this risk varies by age and ethnicity. Patient details were obtained from 5,868 Chinese, Malay, and Indian women diagnosed with in situ or non-metastasized invasive breast cancer at the National University Hospital of Singapore and KK Women's and Children's Hospital in Singapore. Death causes were obtained from the National Registry of Births and Deaths. Flexible parametric survival models estimated CVD mortality rates and hazard ratios. During a median follow-up of six years, 1,010 deaths occurred of which 6.8% were due to CVD. CVD mortality rates of older women peaked within the first year following diagnosis and increased over time since diagnosis. Indian had more than double the risk of CVD mortality than Chinese, independent of age at diagnosis and stage. Taking ethnicity and age into account may promote CVD risk stratification and management in (Southeast Asian) women with breast cancer.</t>
  </si>
  <si>
    <t>Association Between Telomere Length and Risk of Cancer and Non-Neoplastic Diseases: A Mendelian Randomization Study.</t>
  </si>
  <si>
    <t>,; Haycock, Philip C; Burgess, Stephen; Nounu, Aayah; Zheng, Jie; Okoli, George N; Bowden, Jack; Wade, Kaitlin Hazel; Timpson, Nicholas J; Evans, David M; Willeit, Peter; Aviv, Abraham; Gaunt, Tom R; Hemani, Gibran; Mangino, Massimo; Ellis, Hayley Patricia; Kurian, Kathreena M; Pooley, Karen A; Eeles, Rosalind A; Lee, Jeffrey E; Fang, Shenying; Chen, Wei V; Law, Matthew H; Bowdler, Lisa M; Iles, Mark M; Yang, Qiong; Worrall, Bradford B; Markus, Hugh Stephen; Hung, Rayjean J; Amos, Chris I; Spurdle, Amanda B; Thompson, Deborah J; O'Mara, Tracy A; Wolpin, Brian; Amundadottir, Laufey; Stolzenberg-Solomon, Rachael; Trichopoulou, Antonia; Onland-Moret, N Charlotte; Lund, Eiliv; Duell, Eric J; Canzian, Federico; Severi, Gianluca; Overvad, Kim; Gunter, Marc J; Tumino, Rosario; Svenson, Ulrika; van Rij, Andre; Baas, Annette F; Bown, Matthew J; Samani, Nilesh J; van t'Hof, Femke N G; Tromp, Gerard; Jones, Gregory T; Kuivaniemi, Helena; Elmore, James R; Johansson, Mattias; Mckay, James; Scelo, G</t>
  </si>
  <si>
    <t>https://pubmed.ncbi.nlm.nih.gov/28241208</t>
  </si>
  <si>
    <t>The causal direction and magnitude of the association between telomere length and incidence of cancer and non-neoplastic diseases is uncertain owing to the susceptibility of observational studies to confounding and reverse causation. To conduct a Mendelian randomization study, using germline genetic variants as instrumental variables, to appraise the causal relevance of telomere length for risk of cancer and non-neoplastic diseases. Genomewide association studies (GWAS) published up to January 15, 2015. GWAS of noncommunicable diseases that assayed germline genetic variation and did not select cohort or control participants on the basis of preexisting diseases. Of 163 GWAS of noncommunicable diseases identified, summary data from 103 were available. Summary association statistics for single nucleotide polymorphisms (SNPs) that are strongly associated with telomere length in the general population. Odds ratios (ORs) and 95% confidence intervals (CIs) for disease per standard deviation (SD) higher telomere length due to germline genetic variation. Summary data were available for 35 cancers and 48 non-neoplastic diseases, corresponding to 420 081 cases (median cases, 2526 per disease) and 1 093 105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It is likely that longer telomeres increase risk for several cancers but reduce risk for some non-neoplastic diseases, including cardiovascular diseases.</t>
  </si>
  <si>
    <t>An Unbalanced Inflammatory Cytokine Response Is Not Associated With Mortality Following Sepsis: A Prospective Cohort Study.</t>
  </si>
  <si>
    <t>Frencken, Jos F; van Vught, Lonneke A; Peelen, Linda M; Ong, David S Y; Klein Klouwenberg, Peter M C; Horn, Janneke; Bonten, Marc J M; van der Poll, Tom; Cremer, Olaf L; ,</t>
  </si>
  <si>
    <t>https://pubmed.ncbi.nlm.nih.gov/28257334</t>
  </si>
  <si>
    <t>The prevailing theory of host response during sepsis states that an excessive production of pro-inflammatory mediators causes early deaths, whereas a predominantly anti-inflammatory response may lead to immunosuppression, secondary infection, and late deaths. We assessed inflammatory (im)balance by measuring pro-inflammatory interleukin-6 and anti-inflammatory interleukin-10 during three distinct time periods after sepsis, and assessed its association with mortality. Prospective observational cohort. Two tertiary mixed ICUs in The Netherlands. Consecutive patients presenting with severe sepsis or septic shock from 2011 to 2013. None. We repeatedly measured plasma interleukin-6 and interleukin-10 concentrations using cytometric bead array. Poisson regression was used to analyze the relation between inflammatory markers measured on 1) ICU admission and day 4 mortality, 2) day 4 and day 28 mortality, and 3) ICU discharge and 1-year mortality. Secondary outcome was development of ICU-acquired infections. Among 708 patients, 86 (12%) died within 4 days, 140 (20%) died between days 4 and 28, and an additional 155 (22%) died before 1 year. Interleukin-6 and interleukin-10 levels were both independently associated with mortality, but the balance of this response as modelled by an interleukin-6 and interleukin-10 interaction term was not (relative risk, 0.99; 95% CI, 0.95-1.04 on admission; relative risk, 1.02; 95% CI, 0.98-1.06 on day 4; and relative risk, 1.12; 95% CI, 0.98-1.29 at ICU discharge). However, inflammatory imbalance on day 4 was associated with development of ICU-acquired infections (subdistribution hazard ratio, 0.87; 95% CI, 0.77-0.98). Although both interleukin-6 and interleukin-10 productions are associated with death, the balance of these inflammatory mediators does not seem to impact either early, intermediate, or late mortality in patients presenting to the ICU with sepsis.</t>
  </si>
  <si>
    <t>Epidemiology of Multiple Herpes Viremia in Previously Immunocompetent Patients With Septic Shock.</t>
  </si>
  <si>
    <t>Ong, David S Y; Bonten, Marc J M; Spitoni, Cristian; Verduyn Lunel, Frans M; Frencken, Jos F; Horn, Janneke; Schultz, Marcus J; van der Poll, Tom; Klein Klouwenberg, Peter M C; Cremer, Olaf L; ,</t>
  </si>
  <si>
    <t>https://pubmed.ncbi.nlm.nih.gov/28158551</t>
  </si>
  <si>
    <t>Systemic reactivations of herpesviruses may occur in intensive care unit (ICU) patients, even in those without prior immune deficiency. However, the clinical relevance of these events is uncertain. In this study we selected patients admitted with septic shock and treated for more than 4 days from a prospectively enrolled cohort of consecutive adults in the mixed ICUs of 2 tertiary care hospitals in the Netherlands. We excluded patients who had received antiviral treatment in the week before ICU admission and those with known immunodeficiency. We studied viremia episodes with cytomegalovirus (CMV), Epstein-Barr virus (EBV), human herpesvirus 6 (HHV-6), herpes simplex virus types 1 (HSV-1) and 2 (HSV-2), and varicella zoster virus (VZV) by weekly polymerase chain reaction in plasma. Among 329 patients, we observed 399 viremia episodes in 223 (68%) patients. Viremia with CMV, EBV, HHV-6, HSV-1, HSV-2, and VZV was detected in 60 (18%), 157 (48%), 80 (24%), 87 (26%), 13 (4%), and 2 (0.6%) patients, respectively; 112 (34%) patients had multiple concurrent viremia events. Crude mortality in the ICU was 36% in this latter group compared to 19% in remaining patients (P &lt; .01). After adjustment for potential confounders, time-dependent bias, and competing risks, only concurrent CMV and EBV reactivations remained independently associated with increased mortality (adjusted subdistribution hazard ratio, 3.17; 95% confidence interval, 1.41-7.13). Herpesvirus reactivations were documented in 68% of septic shock patients without prior immunodeficiency and frequently occurred simultaneously. Concurrent reactivations could be independently associated with mortality. NCT01905033.</t>
  </si>
  <si>
    <t>Personal health records in the Netherlands: potential user preferences quantified by a discrete choice experiment.</t>
  </si>
  <si>
    <t>Determann, Domino; Lambooij, Mattijs S; Gyrd-Hansen, Dorte; de Bekker-Grob, Esther W; Steyerberg, Ewout W; Heldoorn, Marcel; Pedersen, Line Bjørnskov; de Wit, G Ardine</t>
  </si>
  <si>
    <t>https://pubmed.ncbi.nlm.nih.gov/28011592</t>
  </si>
  <si>
    <t>To identify groups of potential users based on their preferences for characteristics of personal health records (PHRs) and to estimate potential PHR uptake. We performed a discrete choice experiment, which consisted of 12 choice scenarios, each comprising 2 hypothetical PHR alternatives and an opt-out. The alternatives differed based on 5 characteristics. The survey was administered to Internet panel members of the Dutch Federation of Patients and Consumer Organizations. We used latent class models to analyze the data. A total of 1,443 potential PHR users completed the discrete choice experiment. We identified 3 latent classes: "refusers" (class probability 43%), "eager adopters" (37%), and "reluctant adopters" (20%). The predicted uptake for the reluctant adopters ranged from 4% in the case of a PHR with the worst attribute levels to 68% in the best case. Those with 1 or more chronic diseases were significantly more likely to belong to the eager adopter class. The data storage provider was the most decisive aspect for the eager and reluctant adopters, while cost was most decisive for the refusers. Across all classes, health care providers and independent organizations were the most preferred data storage providers. We identified 3 groups, of which 1 group (more than one-third of potential PHR users) indicated great interest in a PHR irrespective of PHR characteristics. Policymakers who aim to expand the use of PHRs will be most successful when health care providers and health facilities or independent organizations store PHR data while refraining from including market parties.</t>
  </si>
  <si>
    <t>Clostridium difficile in England: can we stop washing our hands?</t>
  </si>
  <si>
    <t>van Kleef, Esther; Kuijper, Ed J; Bonten, Marc J M; Cooper, Ben S</t>
  </si>
  <si>
    <t>https://pubmed.ncbi.nlm.nih.gov/28447950</t>
  </si>
  <si>
    <t>Early Endarterectomy Carries a Lower Procedural Risk Than Early Stenting in Patients With Symptomatic Stenosis of the Internal Carotid Artery: Results From 4 Randomized Controlled Trials.</t>
  </si>
  <si>
    <t>Rantner, Barbara; Kollerits, Barbara; Roubin, Gary S; Ringleb, Peter A; Jansen, Olaf; Howard, George; Hendrikse, Jeroen; Halliday, Alison; Gregson, John; Eckstein, Hans-Henning; Calvet, David; Bulbulia, Richard; Bonati, Leo H; Becquemin, Jean-Pierre; Algra, Ale; Brown, Martin M; Mas, Jean-Louis; Brott, Thomas G; Fraedrich, Gustav; ,</t>
  </si>
  <si>
    <t>https://pubmed.ncbi.nlm.nih.gov/28455318</t>
  </si>
  <si>
    <t>Patients undergoing carotid endarterectomy (CEA) for symptomatic stenosis of the internal carotid artery benefit from early intervention. Heterogeneous data are available on the influence of timing of carotid artery stenting (CAS) on procedural risk. We investigated the association between timing of treatment (0-7 days and &gt;7 days after the qualifying neurological event) and the 30-day risk of stroke or death after CAS or CEA in a pooled analysis of individual patient data from 4 randomized trials by the Carotid Stenosis Trialists' Collaboration. Analyses were done per protocol. To obtain combined estimates, logistic mixed models were applied. Among a total of 4138 patients, a minority received their allocated treatment within 7 days after symptom onset (14% CAS versus 11% CEA). Among patients treated within 1 week of symptoms, those treated by CAS had a higher risk of stroke or death compared with those treated with CEA: 8.3% versus 1.3%, risk ratio, 6.7; 95% confidence interval, 2.1 to 21.9 (adjusted for age at treatment, sex, and type of qualifying event). For interventions after 1 week, CAS was also more hazardous than CEA: 7.1% versus 3.6%, adjusted risk ratio, 2.0; 95% confidence interval, 1.5 to 2.7 (&lt;i&gt;P&lt;/i&gt; value for interaction with time interval 0.06). In randomized trials comparing stenting with CEA for symptomatic carotid artery stenosis, CAS was associated with a substantially higher periprocedural risk during the first 7 days after the onset of symptoms. Early surgery is safer than stenting for preventing future stroke. URL: http://www.clinicaltrials.gov. Unique identifier: NCT00190398; URL: http://www.controlled-trials.com. Unique identifier: ISRCTN57874028; Unique identifier: ISRCTN25337470; URL: http://www.clinicaltrials.gov. Unique identifier: NCT00004732.</t>
  </si>
  <si>
    <t>Risk Factors for Recurrent Cardiovascular Events Before Age 65 Years or Within 2.5 Years of a Recent First Cardiovascular Event.</t>
  </si>
  <si>
    <t>van den Berg, M Johanneke; Westerink, Jan; van der Graaf, Yolanda; Kappelle, L Jaap; de Borst, Gert J; Cramer, Maarten-Jan M; Visseren, Frank L J; ,</t>
  </si>
  <si>
    <t>the american journal of cardiology</t>
  </si>
  <si>
    <t>https://pubmed.ncbi.nlm.nih.gov/28532782</t>
  </si>
  <si>
    <t>The aim of this study was to quantify the relation between classical risk factors (smoking, diabetes, BMI, waist circumference, blood pressure, and lipids), risk factor targets, and risk of recurrent major atherosclerotic cardiovascular events (MACE). This was first done for recurrent MACE ≤65 years in patients aged &lt;60 years and second for recurrent MACE ≤2.5 years after a first cardiovascular event. Data were used from the Second Manifestations of Arterial Disease study (n = 5,115), a prospective cohort of patients with a recent (≤1 year) first cardiovascular event. During follow-up, 746 recurrent MACE occurred. Smoking (hazard ratio [HR] 1.43, 95% CI 1.11 to 1.84), diabetes (HR 1.83, 95% CI 1.11 to 1.84), diastolic blood pressure (&gt;90 vs 70 to 90 mm Hg, HR 1.54, 95% CI 1.15 to 2.07), and high-density lipoprotein cholesterol (≤1.0 vs &gt;1.0 mmol/L, HR 1.34, 95% CI 1.03 to 1.76) were related to increased risk of recurrent MACE ≤65 years in patients aged &lt;60 years. Smoking (HR 1.65, 95% CI 1.23 to 2.22), physical inactivity (highest vs lowest tertile, HR 1.48, 95% CI 1.05 to 2.09), body mass index (per kg/m&lt;sup&gt;2&lt;/sup&gt;, HR 1.04, 95% CI 1.00 to 1.08), diastolic blood pressure (&gt;90 vs 70 to 90 mm Hg, HR 1.61, 95% CI 1.17 to 2.21), low-density lipoprotein cholesterol (per mmol/L, HR 1.18, 95% CI 1.02 to 1.37), and non-high-density lipoprotein cholesterol (per mmol/L, HR 1.15, 95% CI 1.03 to 1.28) were related to recurrent MACE ≤2.5 years of follow-up. In conclusion, in patients with a recent cardiovascular event, smoking, blood pressure, and lipids are related to increased risk of recurrent cardiovascular events at young age or within a short time span, and intensive treatment of modifiable risk factors may contribute to prevent recurrent MACE in these patients.</t>
  </si>
  <si>
    <t>Characteristics of Esophageal Cancer Cases in Tanzania.</t>
  </si>
  <si>
    <t>Mmbaga, Elia J; Deardorff, Katrina V; Mushi, Beatrice; Mgisha, William; Merritt, Megan; Hiatt, Robert A; Mwaiselage, Julius; Zhang, Li; Van Loon, Katherine</t>
  </si>
  <si>
    <t>journal of global oncology</t>
  </si>
  <si>
    <t>https://pubmed.ncbi.nlm.nih.gov/30241222</t>
  </si>
  <si>
    <t>Age-standardized incidence rates for esophageal cancer (EC) in East Africa have been reported as disproportionately high compared with the worldwide incidence of nine per 100,000 population. This study aimed to characterize EC cases seen at Muhimbili National Hospital and Ocean Road Cancer Institute in Dar es Salaam, Tanzania. Demographic, clinical, and treatment variables were abstracted from charts of patients who received care for a diagnosis of EC at one or both institutions between 2011 and 2013. Categorical data were summarized as frequency counts and percentages. Continuous data were presented as medians and ranges. To compare men and women, Pearson's χ&lt;sup&gt;2&lt;/sup&gt; and two-sample t tests were applied. Seven hundred thirty-eight unique cases of EC were identified, of whom 68% were men and the median age was 60 years (range, 19 to 95 years). Notably, 93 cases (13%) were ≤ 40 years old at diagnosis. Squamous cell carcinoma was the dominant histology, comprising 90% of cases with documented histopathology. However, 34% of cases with a diagnosis of EC were not pathologically confirmed. The stage was documented as locoregional in 4% of cases, locally advanced in 20% of cases, metastatic in 14% of cases, and unknown in 63% of cases. Of 430 patients who received treatment at Ocean Road Cancer Institute, 76% were treated with radiation, 44% were treated with chemotherapy, 3% underwent a cancer-related surgical procedure, and 10% of cases received no cancer-directed therapy. The median overall survival for all patients was 6.9 months (95% CI, 5.0 to 12.8), regardless of stage at presentation. Between 2011 and 2013, cases of EC represented a large clinical burden at both institutions.</t>
  </si>
  <si>
    <t>Relationship Between Lifelong Exercise Volume and Coronary Atherosclerosis in Athletes.</t>
  </si>
  <si>
    <t>Aengevaeren, Vincent L; Mosterd, Arend; Braber, Thijs L; Prakken, Niek H J; Doevendans, Pieter A; Grobbee, Diederick E; Thompson, Paul D; Eijsvogels, Thijs M H; Velthuis, Birgitta K</t>
  </si>
  <si>
    <t>https://pubmed.ncbi.nlm.nih.gov/28450347</t>
  </si>
  <si>
    <t>Higher levels of physical activity are associated with a lower risk of cardiovascular events. Nevertheless, there is debate on the dose-response relationship of exercise and cardiovascular disease outcomes and whether high volumes of exercise may accelerate coronary atherosclerosis. We aimed to determine the relationship between lifelong exercise volumes and coronary atherosclerosis. Middle-aged men engaged in competitive or recreational leisure sports underwent a noncontrast and contrast-enhanced computed tomography scan to assess coronary artery calcification (CAC) and plaque characteristics. Participants reported lifelong exercise history patterns. Exercise volumes were multiplied by metabolic equivalent of task (MET) scores to calculate MET-minutes per week. Participants' activity was categorized as &lt;1000, 1000 to 2000, or &gt;2000 MET-min/wk. A total of 284 men (age, 55±7 years) were included. CAC was present in 150 of 284 participants (53%) with a median CAC score of 35.8 (interquartile range, 9.3-145.8). Athletes with a lifelong exercise volume &gt;2000 MET-min/wk (n=75) had a significantly higher CAC score (9.4 [interquartile range, 0-60.9] versus 0 [interquartile range, 0-43.5]; &lt;i&gt;P&lt;/i&gt;=0.02) and prevalence of CAC (68%; adjusted odds ratio [OR&lt;sub&gt;adjusted&lt;/sub&gt;]=3.2; 95% confidence interval [CI], 1.6-6.6) and plaque (77%; OR&lt;sub&gt;adjusted&lt;/sub&gt;=3.3; 95% CI, 1.6-7.1) compared with &lt;1000 MET-min/wk (n=88; 43% and 56%, respectively). Very vigorous intensity exercise (≥9 MET) was associated with CAC (OR&lt;sub&gt;adjusted&lt;/sub&gt;=1.47; 95% CI, 1.14-1.91) and plaque (OR&lt;sub&gt;adjusted&lt;/sub&gt;=1.56; 95% CI, 1.17-2.08). Among participants with CAC&gt;0, there was no difference in CAC score (&lt;i&gt;P&lt;/i&gt;=0.20), area (&lt;i&gt;P&lt;/i&gt;=0.21), density (&lt;i&gt;P&lt;/i&gt;=0.25), and regions of interest (&lt;i&gt;P&lt;/i&gt;=0.20) across exercise volume groups. Among participants with plaque, the most active group (&gt;2000 MET-min/wk) had a lower prevalence of mixed plaques (48% versus 69%; OR&lt;sub&gt;adjusted&lt;/sub&gt;=0.35; 95% CI, 0.15-0.85) and more often had only calcified plaques (38% versus 16%; OR&lt;sub&gt;adjusted&lt;/sub&gt;=3.57; 95% CI, 1.28-9.97) compared with the least active group (&lt;1000 MET-min/wk). Participants in the &gt;2000 MET-min/wk group had a higher prevalence of CAC and atherosclerotic plaques. The most active group, however, had a more benign composition of plaques, with fewer mixed plaques and more often only calcified plaques. These observations may explain the increased longevity typical of endurance athletes despite the presence of more coronary atherosclerotic plaque in the most active participants.</t>
  </si>
  <si>
    <t>Body mass index and outcome after revascularization for symptomatic carotid artery stenosis.</t>
  </si>
  <si>
    <t>Volkers, Eline J; Greving, Jacoba P; Hendrikse, Jeroen; Algra, Ale; Kappelle, L Jaap; Becquemin, Jean-Pierre; Bonati, Leo H; Brott, Thomas G; Bulbulia, Richard; Calvet, David; Eckstein, Hans-Henning; Fraedrich, Gustav; Gregson, John; Halliday, Alison; Howard, George; Jansen, Olav; Roubin, Gary S; Brown, Martin M; Mas, Jean-Louis; Ringleb, Peter A; ,</t>
  </si>
  <si>
    <t>https://pubmed.ncbi.nlm.nih.gov/28446644</t>
  </si>
  <si>
    <t>To determine whether the obesity paradox exists in patients who undergo carotid artery stenting (CAS) or carotid endarterectomy (CEA) for symptomatic carotid artery stenosis. We combined individual patient data from 2 randomized trials (Endarterectomy vs Angioplasty in Patients with Symptomatic Severe Carotid Stenosis and Stent-Protected Angioplasty vs Carotid Endarterectomy) and 3 centers in a third trial (International Carotid Stenting Study). Baseline body mass index (BMI) was available for 1,969 patients and classified into 4 groups: &lt;20, 20-&lt;25, 25-&lt;30, and ≥30 kg/m&lt;sup&gt;2&lt;/sup&gt;. Primary outcome was stroke or death, investigated separately for the periprocedural and postprocedural period (≤120 days/&gt;120 days after randomization). This outcome was compared between different BMI strata in CAS and CEA patients separately, and in the total group. We performed intention-to-treat multivariable Cox regression analyses. Median follow-up was 2.0 years. Stroke or death occurred in 159 patients in the periprocedural (cumulative risk 8.1%) and in 270 patients in the postprocedural period (rate 4.8/100 person-years). BMI did not affect periprocedural risk of stroke or death for patients assigned to CAS (&lt;i&gt;p&lt;/i&gt;&lt;sub&gt;trend&lt;/sub&gt; = 0.39) or CEA (&lt;i&gt;p&lt;/i&gt;&lt;sub&gt;trend&lt;/sub&gt; = 0.77) or for the total group (&lt;i&gt;p&lt;/i&gt;&lt;sub&gt;trend&lt;/sub&gt; = 0.48). Within the total group, patients with BMI 25-&lt;30 had lower postprocedural risk of stroke or death than patients with BMI 20-&lt;25 (BMI 25-&lt;30 vs BMI 20-&lt;25; hazard ratio 0.72; 95% confidence interval 0.55-0.94). BMI is not associated with periprocedural risk of stroke or death; however, BMI 25-&lt;30 is associated with lower postprocedural risk than BMI 20-&lt;25. These observations were similar for CAS and CEA.</t>
  </si>
  <si>
    <t>Measurement of the &lt;i&gt;W&lt;/i&gt; boson polarisation in [Formula: see text] events from &lt;i&gt;pp&lt;/i&gt; collisions at [Formula: see text] = 8 TeV in the lepton + jets channel with ATLAS.</t>
  </si>
  <si>
    <t>https://pubmed.ncbi.nlm.nih.gov/28515670</t>
  </si>
  <si>
    <t>This paper presents a measurement of the polarisation of &lt;i&gt;W&lt;/i&gt; bosons from [Formula: see text] decays, reconstructed in events with one high-[Formula: see text] lepton and at least four jets. Data from &lt;i&gt;pp&lt;/i&gt; collisions at the LHC were collected at [Formula: see text] = 8 TeV and correspond to an integrated luminosity of 20.2 fb[Formula: see text]. The angle [Formula: see text] between the &lt;i&gt;b&lt;/i&gt;-quark from the top quark decay and a direct &lt;i&gt;W&lt;/i&gt; boson decay product in the &lt;i&gt;W&lt;/i&gt; boson rest frame is sensitive to the &lt;i&gt;W&lt;/i&gt; boson polarisation. Two different &lt;i&gt;W&lt;/i&gt; decay products are used as polarisation analysers: the charged lepton and the down-type quark for the leptonically and hadronically decaying &lt;i&gt;W&lt;/i&gt; boson, respectively. The most precise measurement of the &lt;i&gt;W&lt;/i&gt; boson polarisation via the distribution of [Formula: see text] is obtained using the leptonic analyser and events in which at least two of the jets are tagged as &lt;i&gt;b&lt;/i&gt;-quark jets. The fitted fractions of longitudinal, left- and right-handed polarisation states are [Formula: see text], [Formula: see text] and [Formula: see text], and are the most precisely measured &lt;i&gt;W&lt;/i&gt; boson polarisation fractions to date. Limits on anomalous couplings of the &lt;i&gt;Wtb&lt;/i&gt; vertex are set.</t>
  </si>
  <si>
    <t>Exploring the relationship between perceived barriers to healthy eating and dietary behaviours in European adults.</t>
  </si>
  <si>
    <t>Pinho, M G M; Mackenbach, J D; Charreire, H; Oppert, J-M; Bárdos, H; Glonti, K; Rutter, H; Compernolle, S; De Bourdeaudhuij, I; Beulens, J W J; Brug, J; Lakerveld, J</t>
  </si>
  <si>
    <t>https://pubmed.ncbi.nlm.nih.gov/28447202</t>
  </si>
  <si>
    <t>Dietary behaviours may be influenced by perceptions of barriers to healthy eating. Using data from a large cross-European study (N = 5900), we explored associations between various perceived barriers to healthy eating and dietary behaviours among adults from urban regions in five European countries and examined whether associations differed across regions and socio-demographic backgrounds. Frequency of consumption of fruit, vegetables, fish, fast food, sugar-sweetened beverages, sweets, breakfast and home-cooked meals were split by the median into higher and lower consumption. We tested associations between barriers (irregular working hours; giving up preferred foods; busy lifestyle; lack of willpower; price of healthy food; taste preferences of family and friends; lack of healthy options and unappealing foods) and dietary variables using multilevel logistic regression models. We explored whether associations differed by age, sex, education, urban region, weight status, household composition or employment. Respondents who perceived any barrier were less likely to report higher consumption of healthier foods and more likely to report higher consumption of fast food. 'Lack of willpower', 'time constraints' and 'taste preferences' were most consistently associated with consumption. For example, those perceiving lack of willpower ate less fruit [odds ratio (OR) 0.57; 95% confidence interval (CI) 0.50-0.64], and those with a busy lifestyle ate less vegetables (OR 0.54; 95% CI 0.47-0.62). Many associations differed in size, but not in direction, by region, sex, age and household composition. Perceived 'lack of willpower', 'time constraints' and 'taste preferences' were barriers most strongly related to dietary behaviours, but the association between various barriers and lower intake of fruit and vegetables was somewhat more pronounced among younger participants and women.</t>
  </si>
  <si>
    <t>The Utrecht cohort for Multiple BREast cancer intervention studies and Long-term evaLuAtion (UMBRELLA): objectives, design, and baseline results.</t>
  </si>
  <si>
    <t>Young-Afat, D A; van Gils, C H; van den Bongard, H J G D; Verkooijen, H M; ,</t>
  </si>
  <si>
    <t>https://pubmed.ncbi.nlm.nih.gov/28444532</t>
  </si>
  <si>
    <t>In oncology, RCTs are often beset by slow recruitment, limited generalizability, and strong preferences for interventions by patients and physicians. The cohort multiple randomized controlled trial (cmRCT) is an innovative design with the potential to overcome those challenges. In cmRCT, a prospective cohort serves as an infrastructure for multiple RCTs. We implemented cmRCT in a clinical breast cancer setting by creating UMBRELLA-a large prospective cohort of breast cancer and DCIS patients/survivors. For all participants, clinical data and patient-reported outcomes (PROs, i.e., quality of life, fatigue, anxiety and depression, physical activity, work ability, and cosmetic satisfaction) are being collected at regular time-intervals for a period of 10 years. These data are being used both for observational and randomized studies. For each intervention to be tested against standard care, a subcohort of eligible patients is identified within UMBRELLA. From this subcohort, a random sample of patients is offered the intervention. Their outcomes are compared to the outcomes of patients receiving standard care. So far, between October 2013 and July 2016, we have recruited 1308 participants. In this period, 1308/1486 (88%) patients who were invited for participation in UMBRELLA consented to cohort participation. Of these patients, 1138 (87%) gave broad consent for randomization to future interventions. Return rate for PROs at baseline were 80%, and varied from 67 to 74% during follow-up. Several observational studies-and the first randomized intervention study-are currently ongoing. Results from UMBRELLA show that this novel study design is feasible and acceptable to patients in a clinical breast cancer setting. We invite researchers who are interested in conducting randomized or observational studies within the UMBRELLA cohort to contact the UMBRELLA scientific advisory board.</t>
  </si>
  <si>
    <t>Detection and characterization of small infarcts in the caudate nucleus on 7 Tesla MRI: The SMART-MR study.</t>
  </si>
  <si>
    <t>Ghaznawi, Rashid; de Bresser, Jeroen; van der Graaf, Yolanda; Zwartbol, Maarten Ht; Witkamp, Theo D; Geerlings, Mirjam I; Hendrikse, Jeroen; ,</t>
  </si>
  <si>
    <t>https://pubmed.ncbi.nlm.nih.gov/28436255</t>
  </si>
  <si>
    <t>Small infarcts are among the key imaging features of cerebral small vessel disease (CSVD), but remain largely undetected on conventional MRI. We aimed to evaluate (1) imaging criteria for the detection of small infarcts in the caudate nucleus on 7T MRI, (2) intra- and inter-rater agreement, (3) frequency and (4) detection rate on 7T versus 1.5T MRI. In 90 patients (68 ± 8 years) with a history of vascular disease from the SMART-MR study, we defined 7T imaging criteria for cavitated and non-cavitated small infarcts in the caudate nucleus. In a separate set of 23 patients from the SMART study, intra-rater and inter-rater agreement was excellent for presence, number, and individual locations (Kappa's, ICCs, and Dice similarity coefficients ranged from 0.85 to 1.00). In the 90 patients, 21 infarcts (20 cavitated) in 12 patients were detected on 7T (13%) compared to 7 infarcts in 6 patients on 1.5T (7%). In conclusion, we established reproducible imaging criteria for the detection of small infarcts in the caudate nucleus on 7T MRI and showed that 7T MRI allows for a higher detection rate than conventional 1.5T MRI. These imaging criteria can be used in future studies to provide new insights into the pathophysiology of CSVD.</t>
  </si>
  <si>
    <t>The degree of integration of non-dispensing pharmacists in primary care practice and the impact on health outcomes: A systematic review.</t>
  </si>
  <si>
    <t>Hazen, Ankie C M; de Bont, Antoinette A; Boelman, Lia; Zwart, Dorien L M; de Gier, Johan J; de Wit, Niek J; Bouvy, Marcel L</t>
  </si>
  <si>
    <t>https://pubmed.ncbi.nlm.nih.gov/28506574</t>
  </si>
  <si>
    <t>A non-dispensing pharmacist conducts clinical pharmacy services aimed at optimizing patients individual pharmacotherapy. Embedding a non-dispensing pharmacist in primary care practice enables collaboration, probably enhancing patient care. The degree of integration of non-dispensing pharmacists into multidisciplinary health care teams varies strongly between settings. The degree of integration may be a determinant for its success. This study investigates how the degree of integration of a non-dispensing pharmacist impacts medication related health outcomes in primary care. In this literature review we searched two electronic databases and the reference list of published literature reviews for studies about clinical pharmacy services performed by non-dispensing pharmacists physically co-located in primary care practice. We assessed the degree of integration via key dimensions of integration based on the conceptual framework of Walshe and Smith. We included English language studies of any design that had a control group or baseline comparison published from 1966 to June 2016. Descriptive statistics were used to correlate the degree of integration to health outcomes. The analysis was stratified for disease-specific and patient-centered clinical pharmacy services. Eighty-nine health outcomes in 60 comparative studies contributed to the analysis. The accumulated evidence from these studies shows no impact of the degree of integration of non-dispensing pharmacists on health outcomes. For disease specific clinical pharmacy services the percentage of improved health outcomes for none, partial and fully integrated NDPs is respectively 75%, 63% and 59%. For patient-centered clinical pharmacy services the percentage of improved health outcomes for none, partial and fully integrated NDPs is respectively 55%, 57% and 70%. Full integration adds value to patient-centered clinical pharmacy services, but not to disease-specific clinical pharmacy services. To obtain maximum benefits of clinical pharmacy services for patients with multiple medications and comorbidities, full integration of non-dispensing pharmacists should be promoted.</t>
  </si>
  <si>
    <t>&lt;i&gt;P. aeruginosa&lt;/i&gt; colonization at ICU admission as a risk factor for developing &lt;i&gt;P. aeruginosa&lt;/i&gt; ICU pneumonia.</t>
  </si>
  <si>
    <t>Paling, Fleur P; Wolkewitz, Martin; Depuydt, Pieter; de Bus, Liesbet; Sifakis, Frangiscos; Bonten, Marc J M; Kluytmans, Jan A J W</t>
  </si>
  <si>
    <t>https://pubmed.ncbi.nlm.nih.gov/28428877</t>
  </si>
  <si>
    <t>To determine the incidence of &lt;i&gt;P. aeruginosa&lt;/i&gt; (PA) ICU pneumonia and its independent association with PA colonization at ICU admission. This was a post-hoc analysis of a prospectively collected cohort study. Adult ICU patients with a length of stay of ≥48 h were included and assessed for microbiologically confirmed PA ICU pneumonia. Multivariate survival analysis was performed, including the covariates age, gender, PA colonization at ICU admission, ICU admission specialty and mechanical ventilation at ICU admission, while taking into account the effect of competing risks. We included 5093 patients, 2447 (48%) were tested for colonization; of those 226 (9.2%) were PA colonized at ICU admission. The incidence of PA ICU pneumonia was 1.34% (&lt;i&gt;n&lt;/i&gt; = 68). PA colonization was an independent risk factor (subdistribution hazard ratio [SHR] 8.8; 95% confidence interval [CI] 4.9-15.7), as was mechanical ventilation (SHR 5.3, 95% CI 2.7-10.6). In this study the incidence of &lt;i&gt;P. aeruginosa&lt;/i&gt; ICU pneumonia was 1.34%. Hazard ratios for PA colonized patients compared to non-colonized to develop PA ICU pneumonia were 8.8. The high risk associated with &lt;i&gt;P. aeruginosa&lt;/i&gt; colonization for subsequent infection may offer a target for future interventions.</t>
  </si>
  <si>
    <t>Prevalence of cardiovascular medication on secondary prevention after myocardial infarction in China between 1995-2015: A systematic review and meta-analysis.</t>
  </si>
  <si>
    <t>Zhao, Min; Klipstein-Grobusch, Kerstin; Wang, Xin; Reitsma, Johannes B; Zhao, Dong; Grobbee, Diederick E; Graham, Ian; Vaartjes, Ilonca</t>
  </si>
  <si>
    <t>https://pubmed.ncbi.nlm.nih.gov/28426793</t>
  </si>
  <si>
    <t>Myocardial Infarction (MI) has become a major cause of morbidity and mortality in China, but little is known about the prevalence of guideline-recommended cardiovascular medications after MI events over the last two decades. This systematic review and meta-analysis aims to summarize cardiovascular medication use between 1995-2015 and to assess factors in associated with the trends in cardiovascular medications. A systematic search was conducted in four databases (Pubmed, Embase, CENTRAL, and CNKI) to obtain observational studies published between 1995 and 2015, reporting on the use of cardiovascular medications in China. Risk of bias of individual studies was appraised and selected studies were pooled for estimated prevalence of cardiovascular medication. Prevalence of cardiovascular medication use for 1995 and 2015 was estimated by random effects meta-regression model. From 13,940 identified publications, 35 studies, comprising 28,000 patients, were included. The pooled prevalence for aspirin, beta-blockers, statins, ACE-Inhibitors, ACE-Inhibitor/ARBs and nitrates was 92% [95% confidence interval (CI): 0.89-0.95], 63% (95% CI: 0.57-0.69), 72% (95% CI: 0.60-0.82), 49% (95% CI: 0.41-0.57), 59% (95% CI: 0.48-0.69) and 79% (95% CI: 0.74-0.91), respectively. A significant increase in beta-blocker and statin use and a decrease of nitrate use was observed over time. The estimated prevalence of beta-blockers, statins, and nitrates was 78%, 91.1%, and 59.3% in 2015, compared to 32%, 17% and 96% in 1995, respectively. Cardiovascular medication use after MI is far from optimal in Chinese patients, even though the prevalence of use increased over the period 1995-2015. With a rapidly increasing number of MI patients in China, a comprehensive strategy on secondary prevention is warranted. PROSPERO (CRD42015025246).</t>
  </si>
  <si>
    <t>Imatinib treatment of poor prognosis mesenchymal-type primary colon cancer: a proof-of-concept study in the preoperative window period (ImPACCT).</t>
  </si>
  <si>
    <t>Ubink, I; Bloemendal, H J; Elias, S G; Brink, M A; Schwartz, M P; Holierhoek, Y C W; Verheijen, P M; Boerman, A W; Mathijssen, R H J; de Leng, W W J; de Weger, R A; van Grevenstein, W M U; Koopman, M; Lolkema, M P; Kranenburg, O; Borel Rinkes, I H M</t>
  </si>
  <si>
    <t>https://pubmed.ncbi.nlm.nih.gov/28424071</t>
  </si>
  <si>
    <t>The identification of four Consensus Molecular Subtypes (CMS1-4) of colorectal cancer forms a new paradigm for the design and evaluation of subtype-directed therapeutic strategies. The most aggressive subtype - CMS4 - has the highest chance of disease recurrence. Novel adjuvant therapies for patients with CMS4 tumours are therefore urgently needed. CMS4 tumours are characterized by expression of mesenchymal and stem-like genes. Previous pre-clinical work has shown that targeting Platelet-Derived Growth Factor Receptors (PDGFRs) and the related KIT receptor with imatinib is potentially effective against mesenchymal-type colon cancer. In the present study we aim to provide proof for the concept that imatinib can reduce the aggressive phenotype of primary CMS4 colon cancer. Tumour biopsies from patients with newly diagnosed stage I-III colon cancer will be analysed with a novel RT-qPCR test to pre-select patients with CMS4 tumours. Selected patients (n = 27) will receive treatment with imatinib (400 mg per day) starting two weeks prior to planned tumour resection. To assess treatment-induced changes in the aggressive CMS4 phenotype, RNA sequencing will be performed on pre- and post-treatment tissue samples. The development of effective adjuvant therapy for primary colon cancer is hindered by multiple factors. First, new drugs that may have value in the prevention of (early) distant recurrence are almost always first tested in patients with heavily pre-treated metastatic disease. Second, measuring on-target drug effects and biological consequences in tumour tissue is not commonly a part of the study design. Third, due to the lack of patient selection tools, clinical trials in the adjuvant setting require large patient populations. Finally, the evaluation of recurrence-prevention requires a long-term follow-up. In the ImPACCT trial these issues are addressed by including newly diagnosed pre-selected patients with CMS4 tumours prior to primary tumour resection, rather than non-selected patients with late-stage disease. By making use of the pre-operative window period, the biological effect of imatinib treatment on CMS4 tumours can be rapidly assessed. Delivering proof-of-concept for drug action in early stage disease should form the basis for the design of future trials with subtype-targeted therapies in colon cancer patients. ClinicalTrials.gov: NCT02685046 . Registration date: February 9, 2016.</t>
  </si>
  <si>
    <t>Reporting of Bayesian analysis in epidemiologic research should become more transparent.</t>
  </si>
  <si>
    <t>Rietbergen, Charlotte; Debray, Thomas P A; Klugkist, Irene; Janssen, Kristel J M; Moons, Karel G M</t>
  </si>
  <si>
    <t>https://pubmed.ncbi.nlm.nih.gov/28428139</t>
  </si>
  <si>
    <t>The objective of this systematic review is to investigate the use of Bayesian data analysis in epidemiology in the past decade and particularly to evaluate the quality of research papers reporting the results of these analyses. Complete volumes of five major epidemiological journals in the period 2005-2015 were searched via PubMed. In addition, we performed an extensive within-manuscript search using a specialized Java application. Details of reporting on Bayesian statistics were examined in the original research papers with primary Bayesian data analyses. The number of studies in which Bayesian techniques were used for primary data analysis remains constant over the years. Though many authors presented thorough descriptions of the analyses they performed and the results they obtained, several reports presented incomplete method sections and even some incomplete result sections. Especially, information on the process of prior elicitation, specification, and evaluation was often lacking. Though available guidance papers concerned with reporting of Bayesian analyses emphasize the importance of transparent prior specification, the results obtained in this systematic review show that these guidance papers are often not used. Additional efforts should be made to increase the awareness of the existence and importance of these checklists to overcome the controversy with respect to the use of Bayesian techniques. The reporting quality in epidemiological literature could be improved by updating existing guidelines on the reporting of frequentist analyses to address issues that are important for Bayesian data analyses.</t>
  </si>
  <si>
    <t>The risk of bias in randomized controlled trials in otorhinolaryngology: hardly any improvement since 1950.</t>
  </si>
  <si>
    <t>Peters, Jeroen P M; Stegeman, Inge; Grolman, Wilko; Hooft, Lotty</t>
  </si>
  <si>
    <t>bmc ear nose and throat disorders</t>
  </si>
  <si>
    <t>https://pubmed.ncbi.nlm.nih.gov/28428729</t>
  </si>
  <si>
    <t>Randomized Controlled Trials (RCTs) represent the most valuable study design to evaluate the effectiveness of therapeutic interventions. However, flaws in design, conduct, analysis, and reporting of RCTs can cause the effect of an intervention to be under- or overestimated. These biased RCTs may be included in literature reviews. To make the assessment of Risk of Bias (RoB) consistent and transparent, Cochrane published a RoB tool, with which RoB is assessed per item as "low", "unclear" or "high". Our objective was to provide an overview of RoB assessments of RCTs in otorhinolaryngology over time, and to identify items where improvement is still warranted. We retrieved Cochrane reviews in the otorhinolaryngologic research field published in 2012 and 2013. We used all judgments per item as assessed by the review authors of the included RCTs. We evaluated the association between "low RoB" vs. "unclear and high RoB" and the year of publication (time strata: '&lt;1990', '1990-1995', '1996-2000', '2001-2005', '2006-2012') per item using binary logistic regression. We extracted the RoB assessments from 42 Cochrane reviews that had included 402 RCTs (median number of RCTs per review: 7, range 1-40). In total 2,356 items were assessed (mean number of assessed items per RCT: 5.9, standard deviation 1.8). On binary logistic regression, RCTs published in 2006-2012, compared with those published before 1990, were more likely to have a low RoB for two items: &lt;i&gt;random sequence generation&lt;/i&gt; (odds ratio 6.09 [95% confidence interval: 3.11-11.95]) and &lt;i&gt;allocation concealment&lt;/i&gt; (3.59 [1.87-6.90]). On all other items, there was no significant increase in the proportion of low RoB when comparing RCTs published in 2006-2012 with RCTs published before 1990. Although there were some positive developments in the RoB assessments in otorhinolaryngology, a further decrease in RoB is still warranted on several items. Currently, biased RCTs are included in Cochrane reviews and effects of therapeutic interventions can be under- or overestimated, with implications for clinical patient care.</t>
  </si>
  <si>
    <t>Pre-post evaluation of effects of a titanium dioxide coating on environmental contamination of an intensive care unit: the TITANIC study.</t>
  </si>
  <si>
    <t>de Jong, B; Meeder, A M; Koekkoek, K W A C; Schouten, M A; Westers, P; van Zanten, A R H</t>
  </si>
  <si>
    <t>https://pubmed.ncbi.nlm.nih.gov/28545831</t>
  </si>
  <si>
    <t>Among patients admitted to European hospitals or intensive care units (ICUs), 5.7% and 19.5% will encounter healthcare-associated infections (HAIs), respectively, and antimicrobial resistance is emerging. As hospital surfaces are contaminated with potentially pathogenic bacteria, environmental cleanliness is an essential aspect to reduce HAIs. To address the efficacy of a titanium dioxide coating in reducing the microbial colonization of environmental surfaces in an ICU. A prospective, controlled, single-centre pilot study was conducted to examine the effect of a titanium dioxide coating on the microbial colonization of surfaces in an ICU. During the pre- and post-intervention periods, surfaces were cultured with agar contact plates (BBL RODAC plates). Factors that were potentially influencing the bacterial colonization of surfaces were recorded. A repeated measurements analysis within a hierarchic multi-level framework was used to analyse the effect of the intervention, controlling for the explanatory variables. The mean ratio for the total number of colony-forming units (cfus) in a room between the pre- and post-intervention periods was 0.86 (standard deviation 0.57). The optimal model included the following explanatory variables: intervention (P=0.065), week (P=0.002), culture surfaces (P&lt;0.001), ICU room (P=0.039), and interaction between intervention and week (P=0.002) and between week and culture surfaces (P=0.031). The effect of the intervention on the number of cfus from all culture plates in Week 4 between the pre- and post-intervention periods was -0.47 (95% confidence interval -0.24 to - 0.70). This study found that a titanium dioxide coating had no effect on the microbial colonization of surfaces in an ICU.</t>
  </si>
  <si>
    <t>Moderate alcohol consumption is associated with lower chronic disease burden expressed in disability-adjusted life years: a prospective cohort study.</t>
  </si>
  <si>
    <t>Beulens, Joline W J; Fransen, Heidi P; Struijk, Ellen A; Boer, Jolanda M A; de Wit, G Ardine; Onland-Moret, N Charlotte; Hoekstra, Jeljer; Bueno-de-Mesquita, H Bas; Peeters, Petra H M; May, Anne M</t>
  </si>
  <si>
    <t>https://pubmed.ncbi.nlm.nih.gov/28409278</t>
  </si>
  <si>
    <t>The relation of alcohol consumption with disease burden remains debated partly due to opposite associations with cardiovascular disease (CVD) and cancer. The relation of alcohol consumption with disease burden expressed in disability-adjusted life years (DALYs) summarizes opposing associations of alcohol consumption on chronic diseases. This study aimed to investigate the association of alcohol consumption with chronic disease burden expressed in DALYs based on individual-participant data. The study was a prospective study among 33,066 men and women from the EPIC-NL cohort. At baseline, alcohol consumption was assessed with a validated food-frequency questionnaire. Participants were followed for occurrence of and mortality from chronic diseases and DALYs were calculated. After 12.4 years follow-up, 6647 disease incidences and 1482 deaths were documented, resulting in 68,225 healthy years of life lost (6225 DALYs). Moderate drinkers (women 5-14.9 g/day, men 5-29.9 g/day) had a lower chronic disease burden (mean DALYs -0.27; 95% CI -0.43; -0.11) than light drinkers (0-4.9 g/day), driven by a lower disease burden due to CVD (-0.18: -0.29; -0.06) but not cancer (-0.05: -0.16; 0.06). The associations were most pronounced among older participants (≥50 years; -0.32; -0.53; -0.10) and not observed among younger women (-0.08; -0.43; 0.35), albeit non-significant (p&lt;sub&gt;interaction&lt;/sub&gt; &gt; 0.14). Substantial drinking (women 15-29.9 g/day, men 30-59.9 g/day) compared to light drinking was not associated with chronic disease burden. Our results show that moderate compared to light alcohol consumption was associated with living approximately 3 months longer in good health. These results were mainly observed among older participants and not seen among younger women.</t>
  </si>
  <si>
    <t>Performance of algorithms that reconstruct missing transverse momentum in [Formula: see text]= 8 TeV proton-proton collisions in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</si>
  <si>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Piqueras, D Álvarez; Alviggi, M G; Amadio, B T; Amako, K; Amaral Coutinho, Y; Amelung, C; Amidei, D; Dos Santos, S P Amor; Amorim, A; Amoroso, S; Amram, N; Amundsen, G; Anastopoulos, C; Ancu, L S; Andari, N; Andeen, T; Anders, C F; Anders, G; Anders, J K; Anderson, K J; Andreazza, A; Andrei, V; Angelidakis, S; Angelozzi, I; Anger, P; A</t>
  </si>
  <si>
    <t>https://pubmed.ncbi.nlm.nih.gov/28515666</t>
  </si>
  <si>
    <t>The reconstruction and calibration algorithms used to calculate missing transverse momentum ([Formula: see text] ) with the ATLAS detector exploit energy deposits in the calorimeter and tracks reconstructed in the inner detector as well as the muon spectrometer. Various strategies are used to suppress effects arising from additional proton-proton interactions, called pileup, concurrent with the hard-scatter processes. Tracking information is used to distinguish contributions from the pileup interactions using their vertex separation along the beam axis. The performance of the [Formula: see text] reconstruction algorithms, especially with respect to the amount of pileup, is evaluated using data collected in proton-proton collisions at a centre-of-mass energy of 8 [Formula: see text] during 2012, and results are shown for a data sample corresponding to an integrated luminosity of [Formula: see text]. The simulation and modelling of [Formula: see text]  in events containing a &lt;i&gt;Z&lt;/i&gt; boson decaying to two charged leptons (electrons or muons) or a &lt;i&gt;W&lt;/i&gt; boson decaying to a charged lepton and a neutrino are compared to data. The acceptance for different event topologies, with and without high transverse momentum neutrinos, is shown for a range of threshold criteria for [Formula: see text] , and estimates of the systematic uncertainties in the [Formula: see text]  measurements are presented.</t>
  </si>
  <si>
    <t>Post-hoc analysis of a randomized controlled trial: Diabetes mellitus modifies the efficacy of the 13-valent pneumococcal conjugate vaccine in elderly.</t>
  </si>
  <si>
    <t>Huijts, Susanne M; van Werkhoven, Cornelis H; Bolkenbaas, Marieke; Grobbee, Diederick E; Bonten, Marc J M</t>
  </si>
  <si>
    <t>https://pubmed.ncbi.nlm.nih.gov/28410813</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</si>
  <si>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</si>
  <si>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Clinical failure is more common in young children with acute otitis media who receive a short course of antibiotics compared with standard duration.</t>
  </si>
  <si>
    <t>Venekamp, Roderick P; Schilder, Anne G M</t>
  </si>
  <si>
    <t>evidencebased medicine</t>
  </si>
  <si>
    <t>https://pubmed.ncbi.nlm.nih.gov/28404603</t>
  </si>
  <si>
    <t>A computationally simple central monitoring procedure, effectively applied to empirical trial data with known fraud.</t>
  </si>
  <si>
    <t>van den Bor, Rutger M; Vaessen, Petrus W J; Oosterman, Bas J; Zuithoff, Nicolaas P A; Grobbee, Diederick E; Roes, Kit C B</t>
  </si>
  <si>
    <t>https://pubmed.ncbi.nlm.nih.gov/28412468</t>
  </si>
  <si>
    <t>Central monitoring of multicenter clinical trials becomes an ever more feasible quality assurance tool, in particular for the detection of data fabrication. More widespread application, across both industry sponsored as well as academic clinical trials, requires central monitoring methodologies that are both effective and relatively simple in implementation. We describe a computationally simple fraud detection procedure intended to be applied repeatedly and (semi-)automatically to accumulating baseline data and to detect data fabrication in multicenter trials as early as possible. The procedure is based on anticipated characteristics of fabricated data. It consists of seven analyses, each of which flags approximately 10% of the centers. Centers that are flagged three or more times are considered "potentially fraudulent" and require additional investigation. The procedure is illustrated using empirical trial data with known fraud. In the illustration data, the fraudulent center is detected in most repeated applications to the accumulating trial data, while keeping the proportion of false-positive results at sufficiently low levels. The proposed procedure is computationally simple and appears to be effective in detecting center-level data fabrication. However, assessment of the procedure on independent trial data sets with known data fabrication is required.</t>
  </si>
  <si>
    <t>Predictors of Knowledge and Image Interpretation Skill Development in Radiology Residents.</t>
  </si>
  <si>
    <t>Ravesloot, Cécile J; van der Schaaf, Marieke F; Kruitwagen, Cas L J J; van der Gijp, Anouk; Rutgers, Dirk R; Haaring, Cees; Ten Cate, Olle; van Schaik, Jan P J</t>
  </si>
  <si>
    <t>https://pubmed.ncbi.nlm.nih.gov/28398873</t>
  </si>
  <si>
    <t>Purpose To investigate knowledge and image interpretation skill development in residency by studying scores on knowledge and image questions on radiology tests, mediated by the training environment. Materials and Methods Ethical approval for the study was obtained from the ethical review board of the Netherlands Association for Medical Education. Longitudinal test data of 577 of 2884 radiology residents who took semiannual progress tests during 5 years were retrospectively analyzed by using a nonlinear mixed-effects model taking training length as input variable. Tests included nonimage and image questions that assessed knowledge and image interpretation skill. Hypothesized predictors were hospital type (academic or nonacademic), training hospital, enrollment age, sex, and test date. Results Scores showed a curvilinear growth during residency. Image scores increased faster during the first 3 years of residency and reached a higher maximum than knowledge scores (55.8% vs 45.1%). The slope of image score development versus knowledge question scores of 1st-year residents was 16.8% versus 12.4%, respectively. Training hospital environment appeared to be an important predictor in both knowledge and image interpretation skill development (maximum score difference between training hospitals was 23.2%; P &lt; .001). Conclusion Expertise developed rapidly in the initial years of radiology residency and leveled off in the 3rd and 4th training year. The shape of the curve was mainly influenced by the specific training hospital. &lt;sup&gt;©&lt;/sup&gt; RSNA, 2017 Online supplemental material is available for this article.</t>
  </si>
  <si>
    <t>A quantitative comparison of anti-Müllerian hormone measurement and its shifting boundaries between two assays.</t>
  </si>
  <si>
    <t>de Kat, A C; Broekmans, F J M; van Westing, A C; Lentjes, E; Verschuren, W M M; van der Schouw, Y T</t>
  </si>
  <si>
    <t>https://pubmed.ncbi.nlm.nih.gov/28539163</t>
  </si>
  <si>
    <t>Anti-Müllerian hormone (AMH), a quantitative marker of ovarian reserve, is used for both clinical and research purposes in the field of reproductive medicine. Numerous AMH assays have been developed. Among other factors, the lack of large-scale comparisons of the various assays hinders the universal interpretation of AMH levels. Moreover, little is known of the practical performance of highly sensitive assays compared with conventional assays with regard to the very low AMH levels found in women nearing menopause. This study aimed to compare the measurements of the Gen II (Beckman Coulter) assay with those of the highly sensitive picoAMH (AnshLabs) assay. This cross-sectional study included 1985 premenopausal women who completed the second visit of the population-based Doetinchem Cohort Study, with a mean age of 42±7years. AMH levels were measured with the Gen II and picoAMH assays. Passing-Bablok and Bland Altman analyses were performed and differences in the proportion of detectable samples were assessed. The results from the Gen II and picoAMH assays were highly correlated, with a Spearman correlation coefficient of 0.91. The Passing-Bablok regression formula was picoAMH=0.01+1.69*GenII, meaning that on average picoAMH levels were 69% higher than Gen II levels. Of the 670 samples with an undetectable AMH value with the Gen II assay, AMH could be detected in 78% with the picoAMH assay, at a median concentration [interquartile range] of 0.05 [0.01-0.14] ng/mL. These results indicate that, despite a high correlation, there is a large relative difference between results of the Gen II and picoAMH assays. The use of a highly sensitive AMH assay is likely to result in a large increase in the proportion of samples with detectable levels. This may enable research into women's health across the menopausal transition and research into the potential clinical benefits of distinguishing between women with very low ovarian reserve.</t>
  </si>
  <si>
    <t>The Netherlands Chlamydia cohort study (NECCST) protocol to assess the risk of late complications following Chlamydia trachomatis infection in women.</t>
  </si>
  <si>
    <t>Hoenderboom, B M; van Oeffelen, A A M; van Benthem, B H B; van Bergen, J E A M; Dukers-Muijrers, N H T M; Götz, H M; Hoebe, C J P A; Hogewoning, A A; van der Klis, F R M; van Baarle, D; Land, J A; van der Sande, M A B; van Veen, M G; de Vries, F; Morré, S A; van den Broek, I V F</t>
  </si>
  <si>
    <t>https://pubmed.ncbi.nlm.nih.gov/28399813</t>
  </si>
  <si>
    <t>Chlamydia trachomatis (CT), the most common bacterial sexually transmitted infection (STI) among young women, can result in serious sequelae. Although the course of infection is often asymptomatic, CT may cause pelvic inflammatory disease (PID), leading to severe complications, such as prolonged time to pregnancy, ectopic pregnancy, and tubal factor subfertility. The risk of and risk factors for complications following CT-infection have not been assessed in a long-term prospective cohort study, the preferred design to define infections and complications adequately. In the Netherlands Chlamydia Cohort Study (NECCST), a cohort of women of reproductive age with and without a history of CT-infection is followed over a minimum of ten years to investigate (CT-related) reproductive tract complications. This study is a follow-up of the Chlamydia Screening Implementation (CSI) study, executed between 2008 and 2011 in the Netherlands. For NECCST, female CSI participants who consented to be approached for follow-up studies (n = 14,685) are invited, and prospectively followed until 2022. Four data collection moments are foreseen every two consecutive years. Questionnaire data and blood samples for CT-Immunoglobulin G (IgG) measurement are obtained as well as host DNA to determine specific genetic biomarkers related to susceptibility and severity of infection. CT-history will be based on CSI test outcomes, self-reported infections and CT-IgG presence. Information on (time to) pregnancies and the potential long-term complications (i.e. PID, ectopic pregnancy and (tubal factor) subfertility), will be acquired by questionnaires. Reported subfertility will be verified in medical registers. Occurrence of these late complications and prolonged time to pregnancy, as a proxy for reduced fertility due to a previous CT-infection, or other risk factors, will be investigated using longitudinal statistical procedures. In the proposed study, the occurrence of late complications following CT-infection and its risk factors will be assessed. Ultimately, provided reliable risk factors and/or markers can be identified for such late complications. This will contribute to the development of a prognostic tool to estimate the risk of CT-related complications at an early time point, enabling targeted prevention and care towards women at risk for late complications. Dutch Trial Register NTR-5597 . Retrospectively registered 14 February 2016.</t>
  </si>
  <si>
    <t>Level of Digitization in Dutch Hospitals and the Lengths of Stay of Patients with Colorectal Cancer.</t>
  </si>
  <si>
    <t>van Poelgeest, Rube; van Groningen, Julia T; Daniels, John H; Roes, Kit C; Wiggers, Theo; Wouters, Michel W; Schrijvers, Guus</t>
  </si>
  <si>
    <t>journal of medical systems</t>
  </si>
  <si>
    <t>https://pubmed.ncbi.nlm.nih.gov/28391455</t>
  </si>
  <si>
    <t>A substantial amount of research has been published on the association between the use of electronic medical records (EMRs) and quality outcomes in U.S. hospitals, while limited research has focused on the Western European experience. The purpose of this study is to explore the association between the use of EMR technologies in Dutch hospitals and length of stay after colorectal cancer surgery. Two data sets were leveraged for this study; the HIMSS Analytics Electronic Medical Record Adoption Model (EMRAM&lt;sup&gt;SM&lt;/sup&gt;) and the Dutch surgical colorectal audit (DSCA). The HIMSS Analytics EMRAM score was used to define a Dutch hospital's electronic medical records (EMR) capabilities while the DSCA was used to profile colorectal surgery quality outcomes (specifically total length of stay (LOS) in the hospital and the LOS in ICU). A total of 73 hospitals with a valid EMRAM score and associated DSCA patients (n = 30.358) during the study period (2012-2014) were included in the comparative set. A multivariate regression method was used to test differences adjusted for case mix, year of surgery, surgical technique and for complications, as well as stratifying for academic affiliated hospitals and general hospitals. A significant negative association was observed to exist between the total LOS (relative median LOS 0,974, CI 95% 0.959-0,989) of patients treated in advanced EMR hospitals (high EMRAM score cohort) versus patients treated at less advanced EMR care settings, once the data was adjusted for the case mix, year of surgery and type of surgery (laparoscopy or laparotomy). Adjusting for complications in a subgroup of general hospitals (n = 39) yielded essentially the same results (relative median LOS 0,934, CI 95% 0,915-0,954). No consistent significant associations were found with respect to LOS on the ICU. The findings of this study suggest advanced EMR capabilities support a healthcare provider's efforts to achieve desired quality outcomes and efficiency in Western European hospitals.</t>
  </si>
  <si>
    <t>Measurement of jet activity produced in top-quark events with an electron, a muon and two &lt;i&gt;b&lt;/i&gt;-tagged jets in the final state in &lt;i&gt;pp&lt;/i&gt; collisions at [Formula: see text] TeV with the ATLAS detector.</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</si>
  <si>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Amaral Coutinho, Y; Amelung, C; Amidei, D; Amor Dos Santos, S P; Amorim, A; Amoroso, S; Amundsen, G; Anastopoulos, C; Ancu, L S; Andari, N; Andeen, T; Anders, C F; Anders, J K; Anderson, K J; Andreazza, A; Andrei, V; Angelidakis, S; Angelozzi, I; Ange</t>
  </si>
  <si>
    <t>https://pubmed.ncbi.nlm.nih.gov/28515663</t>
  </si>
  <si>
    <t>Measurements of jet activity in top-quark pair events produced in proton-proton collisions are presented, using 3.2 fb[Formula: see text] of &lt;i&gt;pp&lt;/i&gt; collision data at a centre-of-mass energy of 13 TeV collected by the ATLAS experiment at the Large Hadron Collider. Events are chosen by requiring an opposite-charge [Formula: see text] pair and two &lt;i&gt;b&lt;/i&gt;-tagged jets in the final state. The normalised differential cross-sections of top-quark pair production are presented as functions of additional-jet multiplicity and transverse momentum, [Formula: see text]. The fraction of signal events that do not contain additional jet activity in a given rapidity region, the gap fraction, is measured as a function of the [Formula: see text] threshold for additional jets, and is also presented for different invariant mass regions of the [Formula: see text] system. All measurements are corrected for detector effects and presented as particle-level distributions compared to predictions with different theoretical approaches for QCD radiation. While the kinematics of the jets from top-quark decays are described well, the generators show differing levels of agreement with the measurements of observables that depend on the production of additional jets.</t>
  </si>
  <si>
    <t>Cardiorespiratory fitness, cognition and brain structure after TIA or minor ischemic stroke.</t>
  </si>
  <si>
    <t>Boss, H Myrthe; Van Schaik, Sander M; Witkamp, Theo D; Geerlings, Mirjam I; Weinstein, Henry C; Van den Berg-Vos, Renske M</t>
  </si>
  <si>
    <t>https://pubmed.ncbi.nlm.nih.gov/28382852</t>
  </si>
  <si>
    <t>Background It is not known whether cardiorespiratory fitness is associated with better cognitive performance and brain structure in patients with a TIA or minor ischemic stroke. Aims To examine the association between cardiorespiratory fitness, cognition and brain structure in patients with a TIA and minor stroke. Methods The study population consisted of patients with a TIA or minor stroke with a baseline measurement of the peak oxygen consumption, a MRI scan of brain and neuropsychological assessment. Composite z-scores were calculated for the cognitive domains attention, memory and executive functioning. White matter hyperintensities, microbleeds and lacunes were rated visually. The mean apparent diffusion coefficient was measured in regions of interest in frontal and occipital white matter and in the centrum semiovale as a marker of white matter structure. Normalized brain volumes were estimated by use of Statistical Parametric Mapping. Results In 84 included patients, linear regression analysis adjusted for age, sex and education showed that a higher peak oxygen consumption was associated with higher cognitive z-scores, a larger grey matter volume (B = 0.15 (95% CI 0.05; 0.26)) and a lower mean apparent diffusion coefficient (B = -.004 (95% CI -.007; -.001)). We found no association between the peak oxygen consumption and severe white matter hyperintensities, microbleeds, lacunes and total brain volume. Conclusions These data suggest that cardiorespiratory fitness is associated with better cognitive performance, greater grey matter volume and greater integrity of the white matter in patients with a TIA or minor ischemic stroke. Further prospective trials are necessary to define the effect of cardiorespiratory fitness on cognition and brain structure in patients with TIA or minor stroke.</t>
  </si>
  <si>
    <t>Defining the noninferiority margin and analysing noninferiority: An overview.</t>
  </si>
  <si>
    <t>https://pubmed.ncbi.nlm.nih.gov/28252213</t>
  </si>
  <si>
    <t>Noninferiority trials are used to assess whether the effect of a new drug is not worse than an active comparator by more than a noninferiority margin. If the difference between the new drug and the active comparator does not exceed this prespecified margin, noninferiority can be concluded. This margin must be specified based on clinical and statistical reasoning; however, it is considered as one of the most challenging steps in the design of noninferiority trials. Regulators recommend that the margin should be defined based on the historical evidence of the active comparator (the latter is often the well-established standard treatment of the disease), which can be performed by different approaches. There are several factors and assumptions that need to be accounted for during the process of defining the margin and during the analysis of noninferiority. Three methods are commonly used to analyse noninferiority trials: the fixed-margin method; the point-estimate method; and the synthesis method. This article provides an overview of analysing noninferiority and choosing the noninferiority margin.</t>
  </si>
  <si>
    <t>Androgens Are Differentially Associated with Ovarian Cancer Subtypes in the Ovarian Cancer Cohort Consortium.</t>
  </si>
  <si>
    <t>Ose, Jennifer; Poole, Elizabeth M; Schock, Helena; Lehtinen, Matti; Arslan, Alan A; Zeleniuch-Jacquotte, Anne; Visvanathan, Kala; Helzlsouer, Kathy; Buring, Julie E; Lee, I-Min; Tjønneland, Anne; Dossus, Laure; Trichopoulou, Antonia; Masala, Giovanna; Onland-Moret, N Charlotte; Weiderpass, Elisabete; Duell, Eric J; Idahl, Annika; Travis, Ruth C; Rinaldi, Sabina; Merritt, Melissa A; Trabert, Britton; Wentzensen, Nicolas; Tworoger, Shelley S; Kaaks, Rudolf; Fortner, Renée T</t>
  </si>
  <si>
    <t>https://pubmed.ncbi.nlm.nih.gov/28381542</t>
  </si>
  <si>
    <t>Invasive epithelial ovarian cancer (EOC) is the most lethal gynecologic malignancy. The etiology of EOC remains elusive; however, experimental and epidemiologic data suggest a role for hormone-related exposures in ovarian carcinogenesis and risk factor differences by histologic phenotypes and developmental pathways. Research on prediagnosis androgen concentrations and EOC risk has yielded inconclusive results, and analyses incorporating EOC subtypes are sparse. We conducted a pooled analysis of 7 nested case-control studies in the Ovarian Cancer Cohort Consortium to investigate the association between pre-diagnosis circulating androgens [testosterone, free testosterone, androstenedione, dehydroepiandrosterone sulfate (DHEAS)], sex hormone binding globulin (SHBG), and EOC risk by tumor characteristics (i.e., histology, grade, and stage). The final study population included 1,331 EOC cases and 3,017 matched controls. Multivariable conditional logistic regression was used to assess risk associations in pooled individual data. Testosterone was positively associated with EOC risk (all subtypes combined, OR&lt;sub&gt;log2&lt;/sub&gt; = 1.12; 95% confidence interval 1.02-1.24); other endogenous androgens and SHBG were not associated with overall risk. Higher concentrations of testosterone and androstenedione associated with an increased risk in endometrioid and mucinous tumors [e.g., testosterone, endometrioid tumors, OR&lt;sub&gt;log2&lt;/sub&gt; = 1.40 (1.03-1.91)], but not serous or clear cell. An inverse association was observed between androstenedione and high grade serous tumors [OR&lt;sub&gt;log2&lt;/sub&gt; = 0.76 (0.60-0.96)]. Our analyses provide further evidence for a role of hormone-related pathways in EOC risk, with differences in associations between androgens and histologic subtypes of EOC. &lt;i&gt;Cancer Res; 77(14); 3951-60. ©2017 AACR&lt;/i&gt;.</t>
  </si>
  <si>
    <t>Difficulty Managing Medications and Finances in Older Adults: A 10-year Cohort Study.</t>
  </si>
  <si>
    <t>Bleijenberg, Nienke; Smith, Alexander K; Lee, Sei J; Cenzer, Irena Stijacic; Boscardin, John W; Covinsky, Kenneth E</t>
  </si>
  <si>
    <t>https://pubmed.ncbi.nlm.nih.gov/28378345</t>
  </si>
  <si>
    <t>Difficulty managing medicines and finances becomes increasingly common with advanced age, and compromises the ability to live safely and independently. Remarkably little is known how often this occurs. To provide population-based estimates of the risk of developing incident difficulty managing medications and finances in older adults. A prospective cohort study. The Health and Retirement Study (HRS), a nationally representative study of older adults. 9,434 participants aged 65 and older who did not need help in managing medications or managing finances in 2002. Follow-up assessments occurred every 2 years until 2012. The primary outcomes were time to difficulty managing medications and time to difficulty managing finances. Risk factors such as demographics, comorbidities, functional status, and cognitive status were assessed at baseline. Hazard models that considered the competing risk of death were used to estimate both the cumulative incidence of developing difficulty managing medications and finances and to identify potential risk factors. Analyses were adjusted for age, gender, race, marital status, wealth and education. The 10 years incidence of difficulty increased markedly with age, ranging from 10.3% (95% CI 9.3-11.6) for managing medications and 23.1% (95% CI 21.6-24.7) for managing finances in those aged 65-69, to 38.2% (95% CI 33.4-43.5) for medicines and 69% (95% CI 63.7-74.3) for finances in those over age 85. Women had a higher probability of developing difficulty managing medications and managing finances than men. This study highlights the importance of preparing older adults for the likelihood they will need assistance with managing their medicines and finances as the risk for having difficulty with these activities over time is substantial.</t>
  </si>
  <si>
    <t>Effect of structural animal health planning on antimicrobial use and animal health variables in conventional dairy farming in the Netherlands.</t>
  </si>
  <si>
    <t>Speksnijder, David C; Graveland, Haitske; Eijck, Ineke A J M; Schepers, René W M; Heederik, Dick J J; Verheij, Theo J M; Wagenaar, Jaap A</t>
  </si>
  <si>
    <t>journal of dairy science</t>
  </si>
  <si>
    <t>https://pubmed.ncbi.nlm.nih.gov/28390724</t>
  </si>
  <si>
    <t>Widespread veterinary use of antimicrobials might contribute to the increasing burden of antimicrobial resistance. Despite many successful efforts to reduce veterinary antimicrobial use in the Netherlands, antimicrobial use on a substantial number of farms has remained relatively high over the past few years. Farm-specific solutions are required to further lower antimicrobial use on these farms. Reducing the burden of animal diseases at the farm level by means of a structured approach to animal health planning could be promising. This intervention study aimed to evaluate the main effects of an animal health planning program developed by an advisory team consisting of a dairy farmer, his veterinarian, and his feed adviser under the guidance of a professional facilitator. During an initial farm visit, the advisory team developed a farm-specific animal health planning program with support from the facilitator. After 1 yr, the effects of this program on animal health, production parameters, and antimicrobial use were evaluated and compared with control farms that did not have a facilitated animal health planning program. Antimicrobial use on intervention farms was significantly reduced between the start and the end of the study period; however, no significant differences in the rate of reduction between the intervention and control groups could be observed (-19% and -14%, respectively). Reduced antimicrobial use did not result in negative effects on animal health and production parameters during the study period in both groups. On intervention farms, a significant positive relationship was found between the percentage of completed action points at farm level and the percentage reduction in antimicrobial use. The level of compliance with action points and the quality of collaboration between farmer and advisers were positively associated with the accomplishment of corresponding objectives. However, the total number of objectives was negatively associated with the level of compliance with action points and tended to be negatively associated with the percentage reduction in antimicrobial use at farm level. Gradually reducing antimicrobial use without adverse effects on animal health and productivity is possible by adjusting management practices in a team effort. Fostering good collaboration among farmer, veterinarian, and feed adviser and focusing on a limited number of objectives have positive effects on the outcomes of the animal health planning program and antimicrobial use.</t>
  </si>
  <si>
    <t>HIV and risk of cardiovascular disease in sub-Saharan Africa: Rationale and design of the Ndlovu Cohort Study.</t>
  </si>
  <si>
    <t>Vos, Alinda; Tempelman, Hugo; Devillé, Walter; Barth, Roos; Wensing, Annemarie; Kretzschmar, Mirjam; Klipstein-Grobusch, Kerstin; Hoepelman, Andy; Tesselaar, Kiki; Aitken, Sue; Madzivhandila, Mashudu; Uiterwaal, Cuno; Venter, Francois; Coutinho, Roel; Grobbee, Diederick E</t>
  </si>
  <si>
    <t>https://pubmed.ncbi.nlm.nih.gov/28379043</t>
  </si>
  <si>
    <t>Background The largest proportion of people living with HIV resides in sub-Saharan Africa (SSA). Evidence from developed countries suggests that HIV infection increases the relative risk of cardiovascular disease (CVD) by up to 50%. Differences in lifestyle, gender distribution, routes of HIV transmission and HIV subtype preclude generalisation of data from Western countries to the SSA situation. The Ndlovu Cohort Study aims to provide insight into the burden of cardiovascular risk factors and disease, the mechanisms driving CVD risk and the contribution of HIV infection and its treatment to the development of CVD in a rural area of SSA. Design The Ndlovu Cohort Study is a prospective study in the Moutse area, Limpopo Province, South Africa. Methods A total of 1000 HIV-positive and 1000 HIV-negative participants aged 18 years and older with a male to female ratio of 1:1 will be recruited. Measurements of CVD risk factors and HIV-related characteristics will be performed at baseline, and participants will be followed-up over time at 6-month intervals. The burden of CVD will be assessed with repeated carotid intima-media thickness and pulse wave velocity measurements, as well as by recording clinical cardiovascular events that occur during the follow-up period. Conclusion This project will contribute to the understanding of the epidemiology and pathogenesis of CVD in the context of HIV infection in a rural area of SSA. The ultimate goal is to improve cardiovascular risk prediction and to indicate preventive approaches in the HIV-infected population and, potentially, for non-infected high-risk populations in a low-resource setting.</t>
  </si>
  <si>
    <t>Risk and associated risk factors of hospitalization for specific health problems over time in childhood cancer survivors: a medical record linkage study.</t>
  </si>
  <si>
    <t>Font-Gonzalez, Anna; Feijen, Elizabeth Lieke A M; Geskus, Ronald B; Dijkgraaf, Marcel G W; van der Pal, Helena J H; Heinen, Richard C; Jaspers, Monique W; van Leeuwen, Flora E; Reitsma, J B Johannes; Caron, Hubert N; Sieswerda, Elske; Kremer, Leontien C</t>
  </si>
  <si>
    <t>https://pubmed.ncbi.nlm.nih.gov/28378525</t>
  </si>
  <si>
    <t>Childhood cancer survivors (CCS) experience higher hospitalization rates compared to the general population for neoplasms, circulatory diseases, endocrine/nutritional/metabolic diseases and eye disorders. We studied trends in hospitalization rates and associated patient and treatment-specific risk factors for diagnosis subgroups among these four diseases. We performed medical record linkage of a ≥5-year CCS cohort with national registers, and obtained a random reference sample matched on age, gender and calendar year per CCS. For each diagnosis subgroup we compared hospitalization rates and trends over time in CCS and the reference population. Further, we analyzed risk factors for hospitalizations within the four CCS diagnosis groups. We used multivariate Poisson regression for all models. We retrieved hospitalization data from 1382 CCS and 26,583 reference persons. CCS had increased hospitalization rates for almost all diagnosis subgroups examined. Hospitalization rates for endocrine/nutritional/metabolic diseases appeared to increase with longer time since primary cancer diagnosis up to 30 years after primary cancer diagnosis. Survivors initially treated with radiotherapy had increased hospitalization rates for neoplasms (P &lt; 0.001), those initially treated with anthracyclines (2.5 [1.1-5.5]) and radiotherapy to thorax and/or abdomen (9.3 [2.4-36.6]) had increased hospitalization rates for diseases of the circulatory system, and those initially treated with radiotherapy to head and/or neck had increased hospitalization rates for endocrine/nutritional/metabolic diseases (6.7 [3.5-12.7]) and diseases of the eye (3.6 [1.5-8.9]). Our study highlights that long-term health problems resulting in hospitalizations are still clinically relevant later in life of CCS. The identified treatment-related risk factors associated with hospitalizations support targeted follow-up care for these risk groups of CCS.</t>
  </si>
  <si>
    <t>The effectiveness of a value-based EMOtion-cognition-Focused educatIonal programme to reduce diabetes-related distress in Malay adults with Type 2 diabetes (VEMOFIT): study protocol for a cluster randomised controlled trial.</t>
  </si>
  <si>
    <t>Chew, Boon-How; Vos, Rimke C; Shariff Ghazali, Sazlina; Shamsuddin, Nurainul Hana; Fernandez, Aaron; Mukhtar, Firdaus; Ismail, Mastura; Mohd Ahad, Azainorsuzila; Sundram, Narayanan N; Ali, Siti Zubaidah Mohd; Rutten, Guy E H M</t>
  </si>
  <si>
    <t>https://pubmed.ncbi.nlm.nih.gov/28376921</t>
  </si>
  <si>
    <t>Type 2 diabetes mellitus (T2DM) patients experience many psychosocial problems related to their diabetes. These often lead to emotional disorders such as distress, stress, anxiety and depression, resulting in decreased self-care, quality of life and disease control. The purpose of the current study is to evaluate the effectiveness of a brief value-based emotion-focused educational programme in adults with T2DM on diabetes-related distress (DRD), depressive symptoms, illness perceptions, quality of life, diabetes self-efficacy, self-care and clinical outcomes. A cluster randomised controlled trial will be conducted in 10 public health clinics in Malaysia, all providing diabetes care according to national clinical practice guidelines. Patients' inclusion criteria: Malay, ≥ 18 years with T2DM for at least 2 years, on regular follow-up with one of three biomarkers HbA1c, systolic blood pressure and LDL-cholesterol sub-optimally controlled, and with a mean 17-item Diabetes Distress Scale (DDS-17) score ≥ 3. The intervention consists of four sessions and one booster over a period of 4 months that provide information and skills to assist patients in having proper perceptions of their T2DM including an understanding of the treatment targets, understanding and managing their emotions and goal-setting. The comparator is an attention-control group with three meetings over a similar period. With an estimated intra-cluster correlation coefficient ρ of 0.015, a cluster size of 20 and 20% non-completion, the trial will need to enroll 198 patients. the between groups difference in proportion of patients achieving a mean DDS-17 score &lt; 3 (non-significant distress) at 6 months post-intervention. Secondary outcomes will be the differences in the above mentioned variables between groups. We hypothesize that primary and secondary outcomes will improve significantly after the intervention compared to the comparator group. The results of this study can contribute to better care for T2DM patients with DRD. ClinicalTrials.gov NCT02730078 . Registered on 29 March 2016, last updated on 4 January 2017.</t>
  </si>
  <si>
    <t>The effect of a clinical decision-making mHealth support system on maternal and neonatal mortality and morbidity in Ghana: study protocol for a cluster randomized controlled trial.</t>
  </si>
  <si>
    <t>Amoakoh, Hannah Brown; Klipstein-Grobusch, Kerstin; Amoakoh-Coleman, Mary; Agyepong, Irene Akua; Kayode, Gbenga A; Sarpong, Charity; Grobbee, Diederick E; Ansah, Evelyn K</t>
  </si>
  <si>
    <t>https://pubmed.ncbi.nlm.nih.gov/28372580</t>
  </si>
  <si>
    <t>Mobile health (mHealth) presents one of the potential solutions to maximize health worker impact and efficiency in an effort to reach the Sustainable Development Goals 3.1 and 3.2, particularly in sub-Saharan African countries. Poor-quality clinical decision-making is known to be associated with poor pregnancy and birth outcomes. This study aims to assess the effect of a clinical decision-making support system (CDMSS) directed at frontline health care providers on neonatal and maternal health outcomes. A cluster randomized controlled trial will be conducted in 16 eligible districts (clusters) in the Eastern Region of Ghana to assess the effect of an mHealth CDMSS for maternal and neonatal health care services on maternal and neonatal outcomes. The CDMSS intervention consists of an Unstructured Supplementary Service Data (USSD)-based text messaging of standard emergency obstetric and neonatal protocols to providers on their request. The primary outcome of the intervention is the incidence of institutional neonatal mortality. Outcomes will be assessed through an analysis of data on maternal and neonatal morbidity and mortality extracted from the District Health Information Management System-2 (DHIMS-2) and health facility-based records. The quality of maternal and neonatal health care will be assessed in two purposively selected clusters from each study arm. In this trial the effect of a mobile CDMSS on institutional maternal and neonatal health outcomes will be evaluated to generate evidence-based recommendations for the use of mobile CDMSS in Ghana and other West African countries. ClinicalTrials.gov, identifier: NCT02468310 . Registered on 7 September 2015; Pan African Clinical Trials Registry, identifier: PACTR20151200109073 . Registered on 9 December 2015 retrospectively from trial start date.</t>
  </si>
  <si>
    <t>Home or foster home care versus institutional long-term care for functionally dependent older people.</t>
  </si>
  <si>
    <t>Young, Camilla; Hall, Amanda M; Gonçalves-Bradley, Daniela C; Quinn, Terry J; Hooft, Lotty; van Munster, Barbara C; Stott, David J</t>
  </si>
  <si>
    <t>https://pubmed.ncbi.nlm.nih.gov/28368550</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</si>
  <si>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</si>
  <si>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Safety of Temporary Discontinuation of Antihypertensive Medication in Patients With Difficult-to-Control Hypertension.</t>
  </si>
  <si>
    <t>Beeftink, Martine M A; van der Sande, Nicolette G C; Bots, Michiel L; Doevendans, Pieter A; Blankestijn, Peter J; Visseren, Frank L J; Voskuil, Michiel; Spiering, Wilko</t>
  </si>
  <si>
    <t>https://pubmed.ncbi.nlm.nih.gov/28373591</t>
  </si>
  <si>
    <t>Successful control of blood pressure relies on identification of secondary causes and contributing factors of hypertension. As antihypertensive medication can interfere with diagnostic investigations, temporary discontinuation of medication is advised. However, there are concerns about the safety of temporary discontinuation of antihypertensive medication in patients with difficult-to-control hypertension. We assessed the occurrence of adverse cardiovascular and cerebrovascular events potentially attributable to temporary discontinuation of antihypertensive medication between February 2010 and March 2016 (n=604) in our Analysis of Complicated Hypertension screening program. A reference group (n=604) was extracted from the SMART study (Second Manifestations of Arterial Disease) cohort (comprising a similar cohort at our hospital in whom medication was not stopped) and individually matched for blood pressure, age, sex, and history of cardiovascular disease. Discontinuation of medication was well tolerated; 62% reported no complaints, 24% had mild discomfort that could be left untreated, and 14% experienced complaints that required prescription of antihypertensive escape medication. Three major adverse events were observed in the Analysis of Complicated Hypertension group between discontinuation of medication and 30 days after restart of medication (event rate=31.2 events per 1000 patient-year). In the reference cohort, 5 cardiovascular events were observed during a similar follow-up period (event rate=51.2 events per 1000 patient-year). In conclusion, discontinuation of antihypertensive medication for the diagnostic evaluation of hypertension does not increase the acute risk of cardiovascular events when performed in a well-controlled setting in specialized hospitals with appropriate protocols for monitoring safety.</t>
  </si>
  <si>
    <t>Associations between lifestyle factors and an unhealthy diet.</t>
  </si>
  <si>
    <t>Fransen, Heidi P; Boer, Jolanda M A; Beulens, Joline W J; de Wit, G Ardine; Bueno-de-Mesquita, H Bas; Hoekstra, Jeljer; May, Anne M; Peeters, Petra H M</t>
  </si>
  <si>
    <t>https://pubmed.ncbi.nlm.nih.gov/27744349</t>
  </si>
  <si>
    <t>: Unhealthy dietary patterns have been associated with other unhealthy lifestyle factors such as smoking and physical inactivity. Whether these associations are similar in high- and low-educated individuals is currently unknown. We used information of the EPIC-NL cohort, a prospective cohort of 39 393 men and women, aged 20-70 years at recruitment. A lifestyle questionnaire and a validated food frequency questionnaire were administered at recruitment (1993-97). Low adherence to a Mediterranean-style diet was used to determine an unhealthy dietary pattern. Lifestyle-related factors included body mass index, waist circumference, smoking status, physical activity level, dietary supplement use and daily breakfast consumption. Multivariate logistic regression analyses were performed for the total population and by strata of educational level. In total 30% of the study population had an unhealthy dietary pattern: 39% in the lowest educated group and 20% in the highest educated group. Physical inactivity, a large waist circumference, no dietary supplement use and skipping breakfast were associated with an unhealthy dietary pattern in both low and high educated participants. Among low educated participants, current smokers had a greater odds of an unhealthy diet compared with never smokers: OR 1.42 (95% CI: 1.25; 1.61). This association was not observed in the high educated group. Most associations between lifestyle-related factors and unhealthy diet were consistent across educational levels, except for smoking. Only among low educated participants, current smokers reported an unhealthier dietary pattern in comparison to never smokers. These results can be used in the development of targeted health promotion strategies.</t>
  </si>
  <si>
    <t>Impact of Medication Adherence on the Effect of Renal Denervation: The SYMPATHY Trial.</t>
  </si>
  <si>
    <t>de Jager, Rosa L; de Beus, Esther; Beeftink, Martine M A; Sanders, Margreet F; Vonken, Evert-Jan; Voskuil, Michiel; van Maarseveen, Erik M; Bots, Michiel L; Blankestijn, Peter J; ,</t>
  </si>
  <si>
    <t>https://pubmed.ncbi.nlm.nih.gov/28264922</t>
  </si>
  <si>
    <t>Randomized trials of catheter-based renal denervation (RDN) as therapy for resistant hypertension showed conflicting results in blood pressure (BP) lowering effect. Adherence to medication is modest in this patient group and may importantly drive these conflicting results. SYMPATHY is a prospective open label multicenter trial in Dutch patients with resistant hypertension. Primary outcome was change in daytime systolic ambulatory BP at 6 months. Patients were randomly assigned to RDN on top of usual care. Adherence to BP lowering drugs was assessed at baseline and follow-up, using blood samples drawn synchronously with BP measurements. Patients and physicians were unaware of the adherence assessment. Primary analyses showed a mean difference between RDN (n=95) and control (n=44) in changes in daytime systolic ambulatory BP after 6 months of 2.0 mm Hg (95% confidence interval, -6.1 to 10.2 mm Hg) in favor of control. In 80% of patients, fewer medications were detected than prescribed and adherence changed during follow-up in 31%. In those with stable adherence during follow-up, mean difference between RDN and control for daytime systolic ambulatory BP was -3.3 mm Hg (-13.7 to 7.2 mm Hg) in favor of RDN. RDN as therapy for resistant hypertension was not superior to usual care. Objective assessment of medication use shows that medication adherence is extremely poor, when patients are unaware of monitoring. Changes over time in adherence are common and affect treatment estimates considerably. Objective measurement of medication adherence during follow-up is strongly recommended in randomized trials. URL: http://www.clinicaltrials.gov. Unique identifier: NCT01850901.</t>
  </si>
  <si>
    <t>No psychological distress in sportsmen aged 45 years and older after cardiovascular screening, including cardiac CT: The Measuring Athlete's Risk of Cardiovascular events (MARC) study.</t>
  </si>
  <si>
    <t>Schurink, M M; Braber, T L; Prakken, N H J; Doevendans, P A F M; Backx, F J G; Grobbee, D E; Rienks, R; Nathoe, H M; Bots, M L; Velthuis, B K; Mosterd, A</t>
  </si>
  <si>
    <t>https://pubmed.ncbi.nlm.nih.gov/28144819</t>
  </si>
  <si>
    <t>Psychological distress caused by cardiovascular pre-participation screening (PPS) may be a reason not to implement a PPS program. We assessed the psychological impact of PPS, including cardiac computed tomography (CT), in 318 asymptomatic sportsmen aged ≥45 years. Coronary artery disease (CAD) was defined as a coronary artery calcium score ≥100 Agatson units and/or ≥50% luminal stenosis on contrast-enhanced cardiac CT. Psychological impact was measured with the Impact of Event Scale (IES) (seven items) on a six-point scale (grade 0-5). A sum score ≥19 indicates clinically relevant psychological distress. A Likert scale was used to assess overall experiences and impact on sports and lifestyle. A total of 275 participants (86.5% response rate, 95% CI 83-90%) with a mean age of 54.5 ± 6.4 years completed the questionnaires, 48 (17.5%, 95% CI 13-22%) of whom had CAD. The median IES score was 1 (IQR 0-2, [0-23]). IES was slightly higher in those with CAD (mean rank 175 vs. 130, p &lt; 0.001). One participant (with CAD) experienced clinically relevant psychological distress (IES = 23). Participants reported numerous benefits, including feeling safer exercising (58.6%, 95% CI 53-65%) and positive lifestyle changes, especially in those with CAD (17.2 vs. 52.1%, p &lt; 0.001). The majority were satisfied with their participation (93.8%, 95% CI 91-97%). Cardiovascular PPS, including cardiac CT, causes no relevant psychological distress in older sportsmen. Psychological distress should not be a reason to forego screening in sportsmen.</t>
  </si>
  <si>
    <t>Pre-adult famine exposure and subsequent colorectal cancer risk in women.</t>
  </si>
  <si>
    <t>Brand, Morris P; Peeters, Petra Hm; van Gils, Carla H; Elias, Sjoerd G</t>
  </si>
  <si>
    <t>https://pubmed.ncbi.nlm.nih.gov/27585673</t>
  </si>
  <si>
    <t>Nutritional deprivation during growth and development may contribute to colorectal cancer (CRC) risk in later life. We studied 7906 women who were aged 0-21 years during the 1944-45 Dutch famine, who enrolled in the Prospect-EPIC study between 1993 and 1997. We used Cox proportional hazard analyses to estimate hazard ratios (HRs) and 95% confidence intervals (CIs) for colorectal (proximal, distal and rectal) cancer risk across self-reported famine exposure and exposure-age categories, while adjusting for potential confounders. During a median of 17.3 years of follow-up, 245 CRC cases occurred. Moderately and severely famine-exposed women showed a respective 24% and 44% higher CRC risk compared with women who reported no exposure [HR moderate 1.24 (95% CI: 0.93-1.64); HR severe 1.44 (1.03-2.03); P trend 0.027]. This relation attenuated when adjusted for potential confounders [adjusted HR moderate 1.15 (0.87-1.53); HR severe 1.35 (0.96-1.90); P trend 0.091]. Stratified results suggested that severe famine exposure between 10 and 17 years of age was particularly related to CRC risk[adjusted HR moderate 1.39 (0.91-2.11); HR severe 1.76 (1.10-2.83); P trend 0.019; P interaction(famine*10-17yrs) 0.096]. Overall, we found no differences in famine effects across CRC subsites, but age-at-exposure stratified results suggested an increased risk for proximal CRC in those aged 10-17 years during exposure to the famine [adjusted HR moderate 2.14 (1.06-4.32), HR severe 2.96 (1.35-6.46); P trend 0.005]. Overall and within age-at-exposure categories, tests for subsite specific heterogeneity in famine effects were not significant. Our findings suggest that severe exposure to a short period of caloric restriction in pre-adult women may relate to CRC risk decades later.</t>
  </si>
  <si>
    <t>The economic burden of a Salmonella Thompson outbreak caused by smoked salmon in the Netherlands, 2012-2013.</t>
  </si>
  <si>
    <t>Suijkerbuijk, Anita W M; Bouwknegt, Martijn; Mangen, Marie-Josee J; de Wit, G Ardine; van Pelt, Wilfrid; Bijkerk, Paul; Friesema, Ingrid H M</t>
  </si>
  <si>
    <t>https://pubmed.ncbi.nlm.nih.gov/27836967</t>
  </si>
  <si>
    <t>In 2012, the Netherlands experienced the most extensive food-related outbreak of Salmonella ever recorded. It was caused by smoked salmon contaminated with Salmonella Thompson during processing. In total, 1149 cases of salmonellosis were laboratory confirmed and reported to RIVM. Twenty percent of cases was hospitalised and four cases were reported to be fatal. The purpose of this study was to estimate total costs of the Salmonella Thompson outbreak. Data from a case-control study were used to estimate the cost-of-illness of reported cases (i.e. healthcare costs, patient costs and production losses). Outbreak control costs were estimated based on interviews with staff from health authorities. Using the Dutch foodborne disease burden and cost-of-illness model, we estimated the number of underestimated cases and the associated cost-of-illness. The estimated number of cases, including reported and underestimated cases was 21 123. Adjusted for underestimation, the total cost-of-illness would be €6.8 million (95% CI €2.5-€16.7 million) with productivity losses being the main cost driver. Adding outbreak control costs, the total outbreak costs are estimated at €7.5 million. In the Netherlands, measures are taken to reduce salmonella concentrations in food, but detection of contamination during food processing remains difficult. As shown, Salmonella outbreaks have the potential for a relatively high disease and economic burden for society. Early warning and close cooperation between the industry, health authorities and laboratories is essential for rapid detection, control of outbreaks, and to reduce disease and economic burden.</t>
  </si>
  <si>
    <t>The importance of considering competing treatment affecting prognosis in the evaluation of therapy in trials: the example of renal transplantation in hemodialysis trials.</t>
  </si>
  <si>
    <t>Hazelbag, C Marijn; Peters, Sanne A E; Blankestijn, Peter J; Bots, Michiel L; Canaud, Bernard; Davenport, Andrew; Grooteman, Muriel P C; Kircelli, Fatih; Locatelli, Francesco; Maduell, Francisco; Morena, Marion; Nubé, Menso J; Ok, Ercan; Torres, Ferran; Hoes, Arno W; Groenwold, Rolf H H; ,</t>
  </si>
  <si>
    <t>https://pubmed.ncbi.nlm.nih.gov/28339826</t>
  </si>
  <si>
    <t>During the follow-up in a randomized controlled trial (RCT), participants may receive additional (non-randomly allocated) treatment that affects the outcome. Typically such additional treatment is not taken into account in evaluation of the results. Two pivotal trials of the effects of hemodiafiltration (HDF) versus hemodialysis (HD) on mortality in patients with end-stage renal disease reported differing results. We set out to evaluate to what extent methods to take other treatments (i.e. renal transplantation) into account may explain the difference in findings between RCTs. This is illustrated using a clinical example of two RCTs estimating the effect of HDF versus HD on mortality. Using individual patient data from the Estudio de Supervivencia de Hemodiafiltración On-Line (ESHOL; n  =  902) and The Dutch CONvective TRAnsport STudy (CONTRAST; n  = 714) trials, five methods for estimating the effect of HDF versus HD on all-cause mortality were compared: intention-to-treat (ITT) analysis (i.e. not taking renal transplantation into account), per protocol exclusion (PP excl ; exclusion of patients who receive transplantation), PP cens (censoring patients at the time of transplantation), transplantation-adjusted (TA) analysis and an extension of the TA analysis (TA ext ) with additional adjustment for variables related to both the risk of receiving a transplant and the risk of an outcome (transplantation-outcome confounders). Cox proportional hazards models were applied. Unadjusted ITT analysis of all-cause mortality led to differing results between CONTRAST and ESHOL: hazard ratio (HR) 0.95 (95% CI 0.75-1.20) and HR 0.76 (95% CI 0.59-0.97), respectively; difference between 5 and 24% risk reductions. Similar differences between the two trials were observed for the other unadjusted analytical methods (PP cens, PP excl , TA) The HRs of HDF versus HD treatment became more similar after adding transplantation as a time-varying covariate and including transplantation-outcome confounders: HR 0.89 (95% CI 0.69-1.13) in CONTRAST and HR 0.80 (95% CI 0.62-1.02) in ESHOL. The apparent differences in estimated treatment effects between two dialysis trials were to a large extent attributable to differences in applied methodology for taking renal transplantation into account in their final analyses. Our results exemplify the necessity of careful consideration of the treatment effect of interest when estimating the therapeutic effect in RCTs in which participants may receive additional treatments.</t>
  </si>
  <si>
    <t>Antibiotic management of children with infectious diseases in Dutch Primary Care.</t>
  </si>
  <si>
    <t>Dekker, Anne R J; Verheij, Theo J M; van der Velden, Alike W</t>
  </si>
  <si>
    <t>https://pubmed.ncbi.nlm.nih.gov/28122841</t>
  </si>
  <si>
    <t>Childhood infections are common in general practice. Although clinical guidelines recommend restrictive antibiotic use for children, antibiotics are too often prescribed. The aim of this study was to obtain insight in antibiotic prescribing for children related to clinical diagnoses. This is pivotal to define improvement strategies in the antibiotic management. In this observational study, we used consultation data collected from 45 general practices in the Netherlands in 2012. Infectious disease episode incidences, the number of antibiotic prescriptions per 1000 person-years, the proportion of episodes with an antibiotic prescription and the choice of antibiotic subclass were analysed for the most relevant diagnoses over different ages. A total of 262 antibiotic courses were prescribed per 1000 person-years on average, with the highest number among children of 1 year (714/1000 person-years). Antibiotics were prescribed in 24% of infectious disease episodes. Acute upper respiratory tract infection (RTI) was the most common reason to visit the GP (173/1000 person-years), and the second most frequent indication to prescribe antibiotics. Antibiotics were most often prescribed for acute otitis media (58/1000 person-years). Amoxicillin dominated prescribing (55%), followed by macrolides (14%) and amoxicillin/clavulanate (10%), prescribing of narrow-spectrum antibiotics was low (10%). This detailed insight in antibiotic management of childhood infections shows targets for Dutch improvement strategies: (i) prevent antibiotic prescribing for acute upper RTI and bronchitis; (ii) stimulate the use of narrow-spectrum antibiotics; and (iii) reduce the use of macrolides and amoxicillin/clavulanate. Furthermore, this information is helpful to compare antibiotic policy between countries.</t>
  </si>
  <si>
    <t>Panel 7: Otitis Media: Treatment and Complications.</t>
  </si>
  <si>
    <t>Schilder, Anne G M; Marom, Tal; Bhutta, Mahmood F; Casselbrant, Margaretha L; Coates, Harvey; Gisselsson-Solén, Marie; Hall, Amanda J; Marchisio, Paola; Ruohola, Aino; Venekamp, Roderick P; Mandel, Ellen M</t>
  </si>
  <si>
    <t>otolaryngologyhead and neck surgery official journal of american academy of otolaryngologyhead and neck surgery</t>
  </si>
  <si>
    <t>https://pubmed.ncbi.nlm.nih.gov/28372534</t>
  </si>
  <si>
    <t>Objective We aimed to summarize key articles published between 2011 and 2015 on the treatment of (recurrent) acute otitis media, otitis media with effusion, tympanostomy tube otorrhea, chronic suppurative otitis media and complications of otitis media, and their implications for clinical practice. Data Sources PubMed, Ovid Medline, the Cochrane Library, and Clinical Evidence (BMJ Publishing). Review Methods All types of articles related to otitis media treatment and complications between June 2011 and March 2015 were identified. A total of 1122 potential related articles were reviewed by the panel members; 118 relevant articles were ultimately included in this summary. Conclusions Recent literature and guidelines emphasize accurate diagnosis of acute otitis media and optimal management of ear pain. Watchful waiting is optional in mild to moderate acute otitis media; antibiotics do shorten symptoms and duration of middle ear effusion. The additive benefit of adenoidectomy to tympanostomy tubes in recurrent acute otitis media and otitis media with effusion is controversial and age dependent. Topical antibiotic is the treatment of choice in acute tube otorrhea. Symptomatic hearing loss due to persistent otitis media with effusion is best treated with tympanostomy tubes. Novel molecular and biomaterial treatments as adjuvants to surgical closure of eardrum perforations seem promising. There is insufficient evidence to support the use of complementary and alternative treatments. Implications for Practice Emphasis on accurate diagnosis of otitis media, in its various forms, is important to reduce overdiagnosis, overtreatment, and antibiotic resistance. Children at risk for otitis media and its complications deserve special attention.</t>
  </si>
  <si>
    <t>Panel 1: Epidemiology and Diagnosis.</t>
  </si>
  <si>
    <t>Homøe, Preben; Kværner, Kari; Casey, Janet R; Damoiseaux, Roger A M J; van Dongen, Thijs M A; Gunasekera, Hasantha; Jensen, Ramon G; Kvestad, Ellen; Morris, Peter S; Weinreich, Heather M</t>
  </si>
  <si>
    <t>https://pubmed.ncbi.nlm.nih.gov/28372531</t>
  </si>
  <si>
    <t>Objective To create a literature review between 2011 and June 1, 2015, on advances in otitis media (OM) epidemiology and diagnosis (including relevant audiology studies). Data Sources Electronic search engines (PubMed, EMBASE, and Cochrane Library) with a predefined search strategy. Review Methods Articles with appropriate epidemiologic methodology for OM, including acute mastoiditis and eustachian tube dysfunction. Items included OM worldwide and in high-risk populations, OM-related hearing loss, news in OM diagnostics, prenatal risk factors and comorbidities, postnatal risk factors, genetics, microbiological epidemiology, guidelines, and quality of life. Conclusions Diagnostic evidence and genetic studies are increasing; guidelines are introduced worldwide; and there is evidence of benefit of pneumococcal conjugate vaccines. New risk factors and comordities are identified in the study period, and quality of life is affected in children and their families. Implications for Practice Chronic suppurative OM occurs worldwide and contributes to lifelong hearing loss. Uniform definitions are still lacking and should be provided. An association between HIV and chronic suppurative OM has been found. Tympanometry is recommended for diagnosis, with or without pneumatic otoscopy. Video otoscopy, algorithms, and validated questionnaires may assist clinicians. Childhood obesity is associated with OM. Heritability accounts for 20% to 50% of OM diagnoses. OM-prone children seem to produce weaker immunologic responses to pneumococcal conjugate vaccines. Clinicians tend to individualize treatment without adhering to guidelines.</t>
  </si>
  <si>
    <t>Ethics of stem cell-derived gametes made in a dish: fertility for everyone?</t>
  </si>
  <si>
    <t>Bredenoord, Annelien L; Hyun, Insoo</t>
  </si>
  <si>
    <t>https://pubmed.ncbi.nlm.nih.gov/28279974</t>
  </si>
  <si>
    <t>A timely and thoughtful discussion of the ethical challenges and societal impacts presented by the recent reports demonstrating the successful &lt;i&gt;in vitro&lt;/i&gt; generation of functional gametes from somatic and pluripotent stem cells. [Image: see text]</t>
  </si>
  <si>
    <t>ELAPSS score for prediction of risk of growth of unruptured intracranial aneurysms.</t>
  </si>
  <si>
    <t>Backes, Daan; Rinkel, Gabriel J E; Greving, Jacoba P; Velthuis, Birgitta K; Murayama, Yuichi; Takao, Hiroyuki; Ishibashi, Toshihiro; Igase, Michiya; terBrugge, Karel G; Agid, Ronit; Jääskeläinen, Juha E; Lindgren, Antti E; Koivisto, Timo; von Und Zu Fraunberg, Mikael; Matsubara, Shunji; Moroi, Junta; Wong, George K C; Abrigo, Jill M; Igase, Keiji; Matsumoto, Katsumi; Wermer, Marieke J H; van Walderveen, Marianne A A; Algra, Ale; Vergouwen, Mervyn D I</t>
  </si>
  <si>
    <t>https://pubmed.ncbi.nlm.nih.gov/28363976</t>
  </si>
  <si>
    <t>To develop a risk score that estimates 3-year and 5-year absolute risks for aneurysm growth. From 10 cohorts of patients with unruptured intracranial aneurysms and follow-up imaging, we pooled individual data on sex, population, age, hypertension, history of subarachnoid hemorrhage, and aneurysm location, size, aspect ratio, and shape but not on smoking during follow-up and family history of intracranial aneurysms in 1,507 patients with 1,909 unruptured intracranial aneurysms and used aneurysm growth as outcome. With aneurysm-based multivariable Cox regression analysis, we determined predictors for aneurysm growth, which were presented as a risk score to calculate 3-year and 5-year risks for aneurysm growth by risk factor status. Aneurysm growth occurred in 257 patients (17%) and 267 aneurysms (14%) during 5,782 patient-years of follow-up. Predictors for aneurysm growth were earlier subarachnoid hemorrhage, location of the aneurysm, age &gt;60 years, population, size of the aneurysm, and shape of the aneurysm (ELAPSS). The 3-year growth risk ranged from &lt;5% to &gt;42% and the 5-year growth risk from &lt;9% to &gt;60%, depending on the risk factor status. The ELAPSS score consists of 6 easily retrievable predictors and can help physicians in decision making on the need for and timing of follow-up imaging in patients with unruptured intracranial aneurysms.</t>
  </si>
  <si>
    <t>Erratum to: Methods for evaluating medical tests and biomarkers.</t>
  </si>
  <si>
    <t>Gopalakrishna, Gowri; Langendam, Miranda; Scholten, Rob; Bossuyt, Patrick; Leeflang, Mariska; Noel-Storr, Anna; Thomas, James; Marshall, Iain; Wallace, Byron; Whiting, Penny; Davenport, Clare; Leeflang, Mariska; GopalaKrishna, Gowri; de Salis, Isabel; Mallett, Sue; Wolff, Robert; Whiting, Penny; Riley, Richard; Westwood, Marie; Kleinen, Jos; Collins, Gary; Reitsma, Hans; Moons, Karel; Zapf, Antonia; Hoyer, Annika; Kramer, Katharina; Kuss, Oliver; Ensor, J; Deeks, J J; Martin, E C; Riley, R D; Rücker, Gerta; Steinhauser, Susanne; Schumacher, Martin; Riley, Richard; Ensor, Joie; Snell, Kym; Willis, Brian; Debray, Thomas; Moons, Karel; Deeks, Jon; Collins, Gary; di Ruffano, Lavinia Ferrante; Willis, Brian; Davenport, Clare; Mallett, Sue; Taylor-Phillips, Sian; Hyde, Chris; Deeks, Jon; Mallett, Sue; Taylor, Stuart A; Batnagar, Gauraang; ,; ,; ,; Taylor-Phillips, Sian; Di Ruffano, Lavinia Ferrante; Seedat, Farah; Clarke, Aileen; Deeks, Jon; Byron, Sarah; Nixon, Frances; Albrow, Rebecca; Wal</t>
  </si>
  <si>
    <t>https://pubmed.ncbi.nlm.nih.gov/31095132</t>
  </si>
  <si>
    <t>[This corrects the article DOI: 10.1186/s41512-016-0001-y.].</t>
  </si>
  <si>
    <t>Prediction of complications in early-onset pre-eclampsia (PREP): development and external multinational validation of prognostic models.</t>
  </si>
  <si>
    <t>Thangaratinam, Shakila; Allotey, John; Marlin, Nadine; Dodds, Julie; Cheong-See, Fiona; von Dadelszen, Peter; Ganzevoort, Wessel; Akkermans, Joost; Kerry, Sally; Mol, Ben W; Moons, Karl G M; Riley, Richard D; Khan, Khalid S; ,</t>
  </si>
  <si>
    <t>https://pubmed.ncbi.nlm.nih.gov/28356148</t>
  </si>
  <si>
    <t>Unexpected clinical deterioration before 34 weeks gestation is an undesired course in early-onset pre-eclampsia. To safely prolong preterm gestation, accurate and timely prediction of complications is required. Women with confirmed early onset pre-eclampsia were recruited from 53 maternity units in the UK to a large prospective cohort study (PREP-946) for development of prognostic models for the overall risk of experiencing a complication using logistic regression (PREP-L), and for predicting the time to adverse maternal outcome using a survival model (PREP-S). External validation of the models were carried out in a multinational cohort (PIERS-634) and another cohort from the Netherlands (PETRA-216). Main outcome measures were C-statistics to summarise discrimination of the models and calibration plots and calibration slopes. A total of 169 mothers (18%) in the PREP dataset had adverse outcomes by 48 hours, and 633 (67%) by discharge. The C-statistics of the models for predicting complications by 48 hours and by discharge were 0.84 (95% CI, 0.81-0.87; PREP-S) and 0.82 (0.80-0.84; PREP-L), respectively. The PREP-S model included maternal age, gestation, medical history, systolic blood pressure, deep tendon reflexes, urine protein creatinine ratio, platelets, serum alanine amino transaminase, urea, creatinine, oxygen saturation and treatment with antihypertensives or magnesium sulfate. The PREP-L model included the above except deep tendon reflexes, serum alanine amino transaminase and creatinine. On validation in the external PIERS dataset, the reduced PREP-S model showed reasonable calibration (slope 0.80) and discrimination (C-statistic 0.75) for predicting adverse outcome by 48 hours. Reduced PREP-L model showed excellent calibration (slope: 0.93 PIERS, 0.90 PETRA) and discrimination (0.81 PIERS, 0.75 PETRA) for predicting risk by discharge in the two external datasets. PREP models can be used to obtain predictions of adverse maternal outcome risk, including early preterm delivery, by 48 hours (PREP-S) and by discharge (PREP-L), in women with early onset pre-eclampsia in the context of current care. They have a potential role in triaging high-risk mothers who may need transfer to tertiary units for intensive maternal and neonatal care. ISRCTN40384046 , retrospectively registered.</t>
  </si>
  <si>
    <t>A pro-inflammatory diet is associated with increased risk of developing hypertension among middle-aged women.</t>
  </si>
  <si>
    <t>Vissers, L E T; Waller, M; van der Schouw, Y T; Hébert, J R; Shivappa, N; Schoenaker, D A J M; Mishra, G D</t>
  </si>
  <si>
    <t>https://pubmed.ncbi.nlm.nih.gov/28446366</t>
  </si>
  <si>
    <t>A pro-inflammatory diet is thought to lead to hypertension through oxidative stress and vessel wall inflammation. We therefore investigated the association between the dietary inflammatory index (DII) and developing hypertension in a population-based cohort of middle-aged women. The Australian Longitudinal Study on Women's Health included 7169 Australian women, aged 52 years (SD 1 year) at baseline in 2001, who were followed up through 4 surveys until 2013. The DII, a literature-derived dietary index that has been validated against several inflammatory markers, was calculated based on data collected via a validated food-frequency questionnaire administered at baseline. Hypertension was defined as new onset of doctor-diagnosed hypertension, ascertained through self-report between 2001 and 2013. Generalised Estimating Equation analyses were used to investigate the association between the DII and incident hypertension. The analyses were adjusted for demographic and hypertension risk factors. During 12-years follow-up we identified 1680 incident cases of hypertension. A more pro-inflammatory diet was associated with higher risk of hypertension in dichotomised analyses with an OR&lt;sub&gt;fully adjusted&lt;/sub&gt; of 1.24, 95% CI: 1.06-1.45. A pro-inflammatory diet might lead to a higher risk of developing hypertension. These results need to be replicated in other studies.</t>
  </si>
  <si>
    <t>Erratum to: Unraveling the associations of age and menopause with cardiovascular risk factors in a large population-based study.</t>
  </si>
  <si>
    <t>de Kat, A C; Dam, V; Onland-Moret, N C; Eijkemans, M J C; Broekmans, F J M; van der Schouw, Y T</t>
  </si>
  <si>
    <t>https://pubmed.ncbi.nlm.nih.gov/28356103</t>
  </si>
  <si>
    <t>Impact of Survey Administration Mode on the Results of a Health-Related Discrete Choice Experiment: Online and Paper Comparison.</t>
  </si>
  <si>
    <t>Determann, Domino; Lambooij, Mattijs S; Steyerberg, Ewout W; de Bekker-Grob, Esther W; de Wit, G Ardine</t>
  </si>
  <si>
    <t>https://pubmed.ncbi.nlm.nih.gov/28712625</t>
  </si>
  <si>
    <t>Electronic data collection is increasingly being used for discrete choice experiments (DCEs). To study whether paper or electronic administration results in measurement effects. Respondents were drawn from the same sample frame (an Internet panel) and completed a nearly identical DCE survey either online or on paper during the same period. A DCE on preferences for basic health insurance served as a case study. We used panel mixed logit models for the analysis. In total, 898 respondents completed the survey: 533 respondents completed the survey online, whereas 365 respondents returned the paper survey. There were no significant differences with respect to sociodemographic characteristics between the respondents in both samples. The median response time was shorter for the online sample than for the paper sample, and a smaller proportion of respondents from the online sample were satisfied with the number of choice sets. Although some willingness- to-pay estimates were higher for the online sample, the elicited preferences for basic health insurance characteristics were similar between both modes of administration. We find no indication that online surveys yield inferior results compared with paper-based surveys, whereas the price per respondent is lower for online surveys. Researchers might want to include fewer choice sets per respondent when collecting DCE data online. Because our findings are based on a nonrandomized DCE that covers one health domain only, research in other domains is needed to support our findings.</t>
  </si>
  <si>
    <t>Response by Kaasenbrood et al to Letter Regarding Article, "Distribution of Estimated 10-Year Risk of Recurrent Vascular Events and Residual Risk in a Secondary Prevention Population".</t>
  </si>
  <si>
    <t>Kaasenbrood, Lotte; van der Graaf, Yolanda; Visseren, Frank L J</t>
  </si>
  <si>
    <t>https://pubmed.ncbi.nlm.nih.gov/28348097</t>
  </si>
  <si>
    <t>Identification of 12 new susceptibility loci for different histotypes of epithelial ovarian cancer.</t>
  </si>
  <si>
    <t>Phelan, Catherine M; Kuchenbaecker, Karoline B; Tyrer, Jonathan P; Kar, Siddhartha P; Lawrenson, Kate; Winham, Stacey J; Dennis, Joe; Pirie, Ailith; Riggan, Marjorie J; Chornokur, Ganna; Earp, Madalene A; Lyra, Paulo C; Lee, Janet M; Coetzee, Simon; Beesley, Jonathan; McGuffog, Lesley; Soucy, Penny; Dicks, Ed; Lee, Andrew; Barrowdale, Daniel; Lecarpentier, Julie; Leslie, Goska; Aalfs, Cora M; Aben, Katja K H; Adams, Marcia; Adlard, Julian; Andrulis, Irene L; Anton-Culver, Hoda; Antonenkova, Natalia; ,; Aravantinos, Gerasimos; Arnold, Norbert; Arun, Banu K; Arver, Brita; Azzollini, Jacopo; Balmaña, Judith; Banerjee, Susana N; Barjhoux, Laure; Barkardottir, Rosa B; Bean, Yukie; Beckmann, Matthias W; Beeghly-Fadiel, Alicia; Benitez, Javier; Bermisheva, Marina; Bernardini, Marcus Q; Birrer, Michael J; Bjorge, Line; Black, Amanda; Blankstein, Kenneth; Blok, Marinus J; Bodelon, Clara; Bogdanova, Natalia; Bojesen, Anders; Bonanni, Bernardo; Borg, Åke; Bradbury, Angela R; Brenton, James D; Bre</t>
  </si>
  <si>
    <t>https://pubmed.ncbi.nlm.nih.gov/28346442</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</si>
  <si>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</si>
  <si>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Electron efficiency measurements with the ATLAS detector using 2012 LHC proton-proton collision data.</t>
  </si>
  <si>
    <t>https://pubmed.ncbi.nlm.nih.gov/28579919</t>
  </si>
  <si>
    <t>This paper describes the algorithms for the reconstruction and identification of electrons in the central region of the ATLAS detector at the Large Hadron Collider (LHC). These algorithms were used for all ATLAS results with electrons in the final state that are based on the 2012 &lt;i&gt;pp&lt;/i&gt; collision data produced by the LHC at [Formula: see text] = 8 [Formula: see text]. The efficiency of these algorithms, together with the charge misidentification rate, is measured in data and evaluated in simulated samples using electrons from [Formula: see text], [Formula: see text] and [Formula: see text] decays. For these efficiency measurements, the full recorded data set, corresponding to an integrated luminosity of 20.3 fb[Formula: see text], is used. Based on a new reconstruction algorithm used in 2012, the electron reconstruction efficiency is 97% for electrons with [Formula: see text] [Formula: see text] and 99% at [Formula: see text] [Formula: see text]. Combining this with the efficiency of additional selection criteria to reject electrons from background processes or misidentified hadrons, the efficiency to reconstruct and identify electrons at the ATLAS experiment varies from 65 to 95%, depending on the transverse momentum of the electron and background rejection.</t>
  </si>
  <si>
    <t>Association between socioeconomic position and the prevalence of type 2 diabetes in Ghanaians in different geographic locations: the RODAM study.</t>
  </si>
  <si>
    <t>Addo, Juliet; Agyemang, Charles; de-Graft Aikins, Ama; Beune, Erik; Schulze, Matthias B; Danquah, Ina; Galbete, Cecilia; Nicolaou, Mary; Meeks, Karlijn; Klipstein-Grobusch, Kerstin; Bahendaka, Silver; Mockenhaupt, Frank P; Owusu-Dabo, Ellis; Kunst, Anton; Stronks, Karien; Smeeth, Liam</t>
  </si>
  <si>
    <t>https://pubmed.ncbi.nlm.nih.gov/28348205</t>
  </si>
  <si>
    <t>The prevalence of diabetes has been shown to be socially patterned but the direction of the association in low-income countries and among migrant populations in Europe has varied in the literature. This study examined the association between socioeconomic position (SEP) and diabetes in Ghanaians in Europe and in Ghana. Data were derived from the multicentre Research on Obesity and Diabetes among African Migrants (RODAM) study of Ghanaian adults aged 25-70 years residing in Europe (Amsterdam, Berlin and London) and in urban and rural Ghana. Educational attainment (elementary, secondary or higher) and occupational class (low or high) were used as indicators of SEP. Age-standardised prevalence of diabetes and prevalence ratios were evaluated separately for men and women of different SEP in Ghana and Europe. A total of 5290 participants were included in the analyses. The prevalence of diabetes decreased with increasing level of education in Ghanaian men and women in Europe and in men in urban Ghana, whereas diabetes prevalence increased with increasing level of education in men and women in rural Ghana. The association between occupational class and the prevalence of diabetes followed a less consistent pattern in men and women in the different locations. The association of diabetes and SEP differed in rural Ghana compared with urban settings in Ghana and Europe and comparing men and women, highlighting the complex interaction of SEP and the development of diabetes. These findings have important implications for diabetes prevention strategies in Ghanaians in different locations.</t>
  </si>
  <si>
    <t>Post-Discharge Worsening Renal Function in Patients with Type 2 Diabetes and Recent Acute Coronary Syndrome.</t>
  </si>
  <si>
    <t>Morici, Nuccia; Savonitto, Stefano; Ponticelli, Claudio; Schrieks, Ilse C; Nozza, Anna; Cosentino, Francesco; Stähli, Barbara E; Perrone Filardi, Pasquale; Schwartz, Gregory G; Mellbin, Linda; Lincoff, A Michael; Tardif, Jean-Claude; Grobbee, Diederick E</t>
  </si>
  <si>
    <t>the american journal of medicine</t>
  </si>
  <si>
    <t>https://pubmed.ncbi.nlm.nih.gov/28344139</t>
  </si>
  <si>
    <t>Worsening renal function during hospitalization for an acute coronary syndrome is strongly predictive of in-hospital and long-term outcome. However, the role of post-discharge worsening renal function has never been investigated in this setting. We considered the placebo cohort of the AleCardio trial comparing aleglitazar with standard medical therapy among patients with type 2 diabetes mellitus and a recent acute coronary syndrome. Patients who had died or had been admitted to hospital for heart failure before the 6-month follow-up, as well as patients without complete renal function data, were excluded, leaving 2776 patients for the analysis. Worsening renal function was defined as a &gt;20% reduction in estimated glomerular filtration rate from discharge to 6 months, or progression to macroalbuminuria. The Cox regression analysis was used to determine the prognostic impact of 6-month renal deterioration on the composite of all-cause death and hospitalization for heart failure. Worsening renal function occurred in 204 patients (7.34%). At a median follow-up of 2 years the estimated rates of death and hospitalization for heart failure per 100 person-years were 3.45 (95% confidence interval [CI], 2.46-6.36) for those with worsening renal function, versus 1.43 (95% CI, 1.14-1.79) for patients with stable renal function. At the adjusted analysis worsening renal function was associated with the composite endpoint (hazard ratio 2.65; 95% CI, 1.57-4.49; P &lt;.001). Post-discharge worsening renal function is not infrequent among patients with type 2 diabetes and acute coronary syndromes with normal or mildly depressed renal function, and is a strong predictor of adverse cardiovascular events.</t>
  </si>
  <si>
    <t>Internet-based Self-Management Support for Patients With Well-Controlled Type 2 Diabetes: A Real-Life Study.</t>
  </si>
  <si>
    <t>Hart, Huberta E; Geilen, Inge Etm; de Leeuw, Elke; Rutten, Guy Ehm; Vos, Rimke C</t>
  </si>
  <si>
    <t>https://pubmed.ncbi.nlm.nih.gov/28336505</t>
  </si>
  <si>
    <t>Little attention has been paid to self-management support of patients with well-controlled type 2 diabetes mellitus (T2DM). Most studies evaluated the addition of self-management support to regular diabetes care, but self-management as an alternative for part of regular diabetes care has hardly been studied. In this study, we offered patients with well-controlled T2DM the opportunity to perform the 3 quarterly monitoring sessions at home using an Internet-based self-management program, resulting in online personalized advice. The aim of our study was to assess the reach and feasibility of an Internet-based diabetes self-management support program for patients with well-controlled T2DM, addressing both primary care providers' (PCPs) opinions and patients' willingness to participate in such a support program. PCPs assessed patients' eligibility for Internet-based self-management, and patients were offered the opportunity to participate. Characteristics of eligible and ineligible patients were compared, as well as those of participants and nonparticipants, also with regard to quality of life, treatment satisfaction, and illness perceptions. Multivariate logistic regression models were performed and odds ratios (ORs) calculated with 95% CIs. Almost half (128/282, 45.4%) of the patients with well-controlled T2DM were considered ineligible by their PCPs mainly because of cognitive impairment and language barriers (8.2% and 8.9%). Older patients (OR for each year 1.06, 95% CI 1.03-1.09, P&lt;.001), non-Western European patients (OR 3.64, 95% CI 1.67-7.92, P=.001), and patients with a longer diabetes duration (OR for each year 1.56, 95% CI 1.04-2.34, P=.03) were more often regarded as ineligible. Of the 154 patients considered eligible, 57 (37.0%) consented to participate and 30 (10.6%) started the program. Of 57 participants, 45 returned the 3 questionnaires; 21 of 97 nonparticipants returned the questionnaires. Nonparticipants less often thought that their disease would last their entire life (median 8.0 vs 10.0, P=.03) and they were more satisfied with their current treatment than participants (DTSQ total score 44.0 vs 40.0, P=.05). There was no significant difference in quality of life between the 2 groups. PCPs considered half of their patients with well-controlled T2DM incapable of Internet-based self-management mainly because of cognitive impairment and language barriers; of the selected patients, about 1 out of 3 was willing to participate. Older patients, non-Western European patients, and patients with a higher BMI were less likely to participate. Predominantly, practical issues (such as Internet problems) hindered implementation of the Internet-based self-management program.</t>
  </si>
  <si>
    <t>Relationships between structure, process and outcome to assess quality of integrated chronic disease management in a rural South African setting: applying a structural equation model.</t>
  </si>
  <si>
    <t>Ameh, Soter; Gómez-Olivé, Francesc Xavier; Kahn, Kathleen; Tollman, Stephen M; Klipstein-Grobusch, Kerstin</t>
  </si>
  <si>
    <t>https://pubmed.ncbi.nlm.nih.gov/28330486</t>
  </si>
  <si>
    <t>South Africa faces a complex dual burden of chronic communicable and non-communicable diseases (NCDs). In response, the Integrated Chronic Disease Management (ICDM) model was initiated in primary health care (PHC) facilities in 2011 to leverage the HIV/ART programme to scale-up services for NCDs, achieve optimal patient health outcomes and improve the quality of medical care. However, little is known about the quality of care in the ICDM model. The objectives of this study were to: i) assess patients' and operational managers' satisfaction with the dimensions of ICDM services; and ii) evaluate the quality of care in the ICDM model using Avedis Donabedian's theory of relationships between structure (resources), process (clinical activities) and outcome (desired result of healthcare) constructs as a measure of quality of care. A cross-sectional study was conducted in 2013 in seven PHC facilities in the Bushbuckridge municipality of Mpumalanga Province, north-east South Africa - an area underpinned by a robust Health and Demographic Surveillance System (HDSS). The patient satisfaction questionnaire (PSQ-18), with measures reflecting structure/process/outcome (SPO) constructs, was adapted and administered to 435 chronic disease patients and the operational managers of all seven PHC facilities. The adapted questionnaire contained 17 dimensions of care, including eight dimensions identified as priority areas in the ICDM model - critical drugs, equipment, referral, defaulter tracing, prepacking of medicines, clinic appointments, waiting time, and coherence. A structural equation model was fit to operationalise Donabedian's theory, using unidirectional, mediation, and reciprocal pathways. The mediation pathway showed that the relationships between structure, process and outcome represented quality systems in the ICDM model. Structure correlated with process (0.40) and outcome (0.75). Given structure, process correlated with outcome (0.88). Of the 17 dimensions of care in the ICDM model, three structure (equipment, critical drugs, accessibility), three process (professionalism, friendliness and attendance to patients) and three outcome (competence, confidence and coherence) dimensions reflected their intended constructs. Of the priority dimensions, referrals, defaulter tracing, prepacking of medicines, appointments, and patient waiting time did not reflect their intended constructs. Donabedian's theoretical framework can be used to provide evidence of quality systems in the ICDM model.</t>
  </si>
  <si>
    <t>Risk of acute myocardial infarction after discontinuation of antihypertensive agents: a case-control study.</t>
  </si>
  <si>
    <t>Alharbi, F F; Souverein, P C; de Groot, M C; Maitland-van der Zee, A H; de Boer, A; Klungel, O H</t>
  </si>
  <si>
    <t>https://pubmed.ncbi.nlm.nih.gov/28332511</t>
  </si>
  <si>
    <t>We performed a nested case-control study in a cohort of antihypertensive drug users to assess the association between discontinuation of different antihypertensive agents and the risk of acute myocardial infarction (AMI). Cases and controls were drawn from the Utrecht Cardiovascular Pharmacogenetics database. Patients who were hospitalised for their first AMI were considered cases and controls were not hospitalised for AMI. Antihypertensive users were defined as current users if the index date (date of AMI) fell within the prescribed duration or as discontinuers if this date fell outside the prescribed duration. According to the recency of discontinuation, discontinuers were divided into the following: recent discontinuers (⩽90 days), intermediate-term discontinuers (91-180 days) and long-term discontinuers (&gt;180 days). We found that the risk of AMI was significantly increased in discontinuers, regardless of time since discontinuation, of beta-blockers (adjusted odds ratio (OR) 1.54; 95% confidence interval (CI; 1.25-1.91), P-value&lt;0.0005), calcium channel blockers (CCBs; adjusted OR 2.25; 95% CI (1.53-3.30), P-value&lt;0.0005) and diuretics (adjusted OR 1.76; 95% CI (1.24-2.48), P-value=0.002) compared to current users of these drugs. Moreover, the risk of AMI was significantly increased in long-term discontinuers (beta-blockers, CCBs, angiotensin-converting enzyme inhibitors and diuretics) and intermediate-term discontinuers (beta-blockers and CCBs) versus current users of these drugs. There was no difference in AMI risk between recent discontinuers of antihypertensive drugs versus current users of these drugs. In conclusion, discontinuation of antihypertensive drugs increases the risk of AMI after &gt;90 days of discontinuation. This further underlines the importance of persistence to antihypertensive drug therapy to reduce the risk of AMI in patients with hypertension.</t>
  </si>
  <si>
    <t>Clustering of cardiovascular risk factors and carotid intima-media thickness: The USE-IMT study.</t>
  </si>
  <si>
    <t>Wang, Xin; Dalmeijer, Geertje W; den Ruijter, Hester M; Anderson, Todd J; Britton, Annie R; Dekker, Jacqueline; Engström, Gunnar; Evans, Greg W; de Graaf, Jacqueline; Grobbee, Diederick E; Hedblad, Bo; Holewijn, Suzanne; Ikeda, Ai; Kauhanen, Jussi; Kitagawa, Kazuo; Kitamura, Akihiko; Kurl, Sudhir; Lonn, Eva M; Lorenz, Matthias W; Mathiesen, Ellisiv B; Nijpels, Giel; Okazaki, Shuhei; Polak, Joseph F; Price, Jacqueline F; Rembold, Christopher M; Rosvall, Maria; Rundek, Tatjana; Salonen, Jukka T; Sitzer, Matthias; Stehouwer, Coen D A; Tuomainen, Tomi-Pekka; Peters, Sanne A E; Bots, Michiel L</t>
  </si>
  <si>
    <t>https://pubmed.ncbi.nlm.nih.gov/28323823</t>
  </si>
  <si>
    <t>The relation of a single risk factor with atherosclerosis is established. Clinically we know of risk factor clustering within individuals. Yet, studies into the magnitude of the relation of risk factor clusters with atherosclerosis are limited. Here, we assessed that relation. Individual participant data from 14 cohorts, involving 59,025 individuals were used in this cross-sectional analysis. We made 15 clusters of four risk factors (current smoking, overweight, elevated blood pressure, elevated total cholesterol). Multilevel age and sex adjusted linear regression models were applied to estimate mean differences in common carotid intima-media thickness (CIMT) between clusters using those without any of the four risk factors as reference group. Compared to the reference, those with 1, 2, 3 or 4 risk factors had a significantly higher common CIMT: mean difference of 0.026 mm, 0.052 mm, 0.074 mm and 0.114 mm, respectively. These findings were the same in men and in women, and across ethnic groups. Within each risk factor cluster (1, 2, 3 risk factors), groups with elevated blood pressure had the largest CIMT and those with elevated cholesterol the lowest CIMT, a pattern similar for men and women. Clusters of risk factors relate to increased common CIMT in a graded manner, similar in men, women and across race-ethnic groups. Some clusters seemed more atherogenic than others. Our findings support the notion that cardiovascular prevention should focus on sets of risk factors rather than individual levels alone, but may prioritize within clusters.</t>
  </si>
  <si>
    <t>Risk factors for ESBL-producing Escherichia coli on pig farms: A longitudinal study in the context of reduced use of antimicrobials.</t>
  </si>
  <si>
    <t>Dohmen, Wietske; Dorado-García, Alejandro; Bonten, Marc J M; Wagenaar, Jaap A; Mevius, Dik; Heederik, Dick J J</t>
  </si>
  <si>
    <t>https://pubmed.ncbi.nlm.nih.gov/28323856</t>
  </si>
  <si>
    <t>The presence of extended-spectrum beta-lactamase-producing Escherichia coli (ESBL-E. coli) in food animals is a public health concern. This study aimed to determine prevalence of ESBL-E. coli on pig farms and to assess the effect of reducing veterinary antimicrobial use (AMU) and farm management practices on ESBL-E. coli occurrence on pig farms. During 2011-2013, 36 Dutch conventional pig farms participated in a longitudinal study (4 sampling times in 18 months). Rectal swabs were taken from 60 pigs per farm and pooled per 6 pigs within the same age category. Presence of ESBL-E. coli was determined by selective plating and ESBL genes were characterized by microarray, PCR and gene sequencing. An extensive questionnaire on farm characteristics and AMU as Defined Daily Dosages per Animal Year (DDDA/Y) was available for the 6-month periods before each sampling moment. Associations between the presence of ESBL-E. coli-positive pigs and farm management practices were modelled with logistic regression. The number of farms with ESBL-E. coli carrying pigs decreased from 16 to 10 and the prevalence of ESBL-E. coli-positive pooled pig samples halved from 27% to 13%. Overall, the most detected ESBL genes were blaCTX-M-1, blaTEM-52 and blaCTX-M-14. The presence of ESBL-E. coli carrying pigs was not related to total AMU, but it was strongly determined by the presence or absence of cephalosporin use at the farm (OR = 46.4, p = 0.006). Other farm management factors, related with improved biosecurity, were also plausibly related to lower probabilities for ESBL-E. coli-positive farms (e.g. presence of a hygiene lock, pest control delivered by a professional). In conclusion, ESBL-E. coli prevalence decreased in pigs during 2011 and 2013 in the Netherlands. On pig farms, the use of cephalosporins was associated with the presence of ESBL-E. coli carrying pigs.</t>
  </si>
  <si>
    <t>Correlates of circulating ovarian cancer early detection markers and their contribution to discrimination of early detection models: results from the EPIC cohort.</t>
  </si>
  <si>
    <t>Fortner, Renée T; Vitonis, Allison F; Schock, Helena; Hüsing, Anika; Johnson, Theron; Fichorova, Raina N; Fashemi, Titilayo; Yamamoto, Hidemi S; Tjønneland, Anne; Hansen, Louise; Overvad, Kim; Boutron-Ruault, Marie-Christine; Kvaskoff, Marina; Severi, Gianluca; Boeing, Heiner; Trichopoulou, Antonia; Benetou, Vassiliki; La Vecchia, Carlo; Palli, Domenico; Sieri, Sabina; Tumino, Rosario; Matullo, Giuseppe; Mattiello, Amalia; Onland-Moret, N Charlotte; Peeters, Petra H; Weiderpass, Elisabete; Gram, Inger Torhild; Jareid, Mie; Quirós, J Ramón; Duell, Eric J; Sánchez, Maria-Jose; Chirlaque, María Dolores; Ardanaz, Eva; Larrañaga, Nerea; Nodin, Björn; Brändstedt, Jenny; Idahl, Annika; Khaw, Kay-Tee; Allen, Naomi; Gunter, Marc; Johansson, Mattias; Dossus, Laure; Merritt, Melissa A; Riboli, Elio; Cramer, Daniel W; Kaaks, Rudolf; Terry, Kathryn L</t>
  </si>
  <si>
    <t>https://pubmed.ncbi.nlm.nih.gov/28320479</t>
  </si>
  <si>
    <t>Ovarian cancer early detection markers CA125, CA15.3, HE4, and CA72.4 vary between healthy women, limiting their utility for screening. We evaluated cross-sectional relationships between lifestyle and reproductive factors and these markers among controls (n = 1910) from a nested case-control study in the European Prospective Investigation into Cancer and Nutrition (EPIC). Improvements in discrimination of prediction models adjusting for correlates of the markers were evaluated among postmenopausal women in the nested case-control study (n = 590 cases). Generalized linear models were used to calculate geometric means of CA125, CA15.3, and HE4. CA72.4 above vs. below limit of detection was evaluated using logistic regression. Early detection prediction was modeled using conditional logistic regression. CA125 concentrations were lower, and CA15.3 higher, in post- vs. premenopausal women (p ≤ 0.02). Among postmenopausal women, CA125 was higher among women with higher parity and older age at menopause (p&lt;sub&gt;trend&lt;/sub&gt; ≤ 0.02), but lower among women reporting oophorectomy, hysterectomy, ever use of estrogen-only hormone therapy, or current smoking (p &lt; 0.01). CA15.3 concentrations were higher among heavier women and in former smokers (p ≤ 0.03). HE4 was higher with older age at blood collection and in current smokers, and inversely associated with OC use duration, parity, and older age at menopause (≤ 0.02). No associations were observed with CA72.4. Adjusting for correlates of the markers in prediction models did not improve the discrimination. This study provides insights into sources of variation in ovarian cancer early detection markers in healthy women and informs about the utility of individualizing marker cutpoints based on epidemiologic factors.</t>
  </si>
  <si>
    <t>Long-term outcomes and cost effectiveness of high-dose dexamethasone for cardiac surgery: a randomised trial.</t>
  </si>
  <si>
    <t>Dieleman, J M; de Wit, G A; Nierich, A P; Rosseel, P M; van der Maaten, J M; Hofland, J; Diephuis, J C; de Lange, F; Boer, C; Neslo, R E; Moons, K G; van Herwerden, L A; Tijssen, J G; Kalkman, C J; van Dijk, D; ,</t>
  </si>
  <si>
    <t>anaesthesia</t>
  </si>
  <si>
    <t>https://pubmed.ncbi.nlm.nih.gov/28317094</t>
  </si>
  <si>
    <t>Prophylactic intra-operative administration of dexamethasone may improve short-term clinical outcomes in cardiac surgical patients. The purpose of this study was to evaluate long-term clinical outcomes and cost effectiveness of dexamethasone versus placebo. Patients included in the multicentre, randomised, double-blind, placebo-controlled DExamethasone for Cardiac Surgery (DECS) trial were followed up for 12 months after their cardiac surgical procedure. In the DECS trial, patients received a single intra-operative dose of dexamethasone 1 mg.kg&lt;sup&gt;-1&lt;/sup&gt; (n = 2239) or placebo (n = 2255). The effects on the incidence of major postoperative events were evaluated. Also, overall costs for the 12-month postoperative period, and cost effectiveness, were compared between groups. Of 4494 randomised patients, 4457 patients (99%) were followed up until 12 months after surgery. There was no difference in the incidence of major postoperative events, the relative risk (95%CI) being 0.86 (0.72-1.03); p = 0.1. Treatment with dexamethasone reduced costs per patient by £921 [€1084] (95%CI £-1672 to -137; p = 0.02), mainly through reduction of postoperative respiratory failure and duration of postoperative hospital stay. The probability of dexamethasone being cost effective compared with placebo was 97% at a threshold value of £17,000 [€20,000] per quality-adjusted life year. We conclude that intra-operative high-dose dexamethasone did not have an effect on major adverse events at 12 months after cardiac surgery, but was associated with a reduction in costs. Routine dexamethasone administration is expected to be cost effective at commonly accepted threshold levels for cost effectiveness.</t>
  </si>
  <si>
    <t>Predictors for individual patient antibiotic treatment effect in hospitalized community-acquired pneumonia patients.</t>
  </si>
  <si>
    <t>Simonetti, A F; van Werkhoven, C H; Schweitzer, V A; Viasus, D; Carratalà, J; Postma, D F; Oosterheert, J J; Bonten, M J M</t>
  </si>
  <si>
    <t>https://pubmed.ncbi.nlm.nih.gov/28336384</t>
  </si>
  <si>
    <t>Our objective was to identify clinical predictors of antibiotic treatment effects in hospitalized patients with community-acquired pneumonia (CAP) who were not in the intensive care unit (ICU). Post-hoc analysis of three prospective cohorts (from the Netherlands and Spain) of adult patients with CAP admitted to a non-ICU ward having received either β-lactam monotherapy, β-lactam + macrolide, or a fluoroquinolone-based therapy as empirical antibiotic treatment. We evaluated candidate clinical predictors of treatment effects in multiple mixed-effects models by including interactions of the predictors with empirical antibiotic choice and using 30-day mortality, ICU admission and length of hospital stay as outcomes. Among 8562 patients, empirical treatment was β-lactam in 4399 (51.4%), fluoroquinolone in 3373 (39.4%), and β-lactam + macrolide in 790 (9.2%). Older age (interaction OR 1.67, 95% CI 1.23-2.29, p 0.034) and current smoking (interaction OR 2.36, 95% CI 1.34-4.17, p 0.046) were associated with lower effectiveness of fluoroquinolone on 30-day mortality. Older age was also associated with lower effectiveness of β-lactam + macrolide on length of hospital stay (interaction effect ratio 1.14, 95% CI 1.06-1.22, p 0.008). Older age and smoking could influence the response to specific antibiotic regimens. The effect modification of age and smoking should be considered hypothesis generating to be evaluated in future trials.</t>
  </si>
  <si>
    <t>Exploring the nature of prediagnostic blood transcriptome markers of chronic lymphocytic leukemia by assessing their overlap with the transcriptome at the clinical stage.</t>
  </si>
  <si>
    <t>Vlaanderen, Jelle; Leenders, Max; Chadeau-Hyam, Marc; Portengen, Lützen; Kyrtopoulos, Soterios A; Bergdahl, Ingvar A; Johansson, Ann-Sofie; Hebels, Dennie D G A J; de Kok, Theo M C M; Vineis, Paolo; Vermeulen, Roel C H</t>
  </si>
  <si>
    <t>https://pubmed.ncbi.nlm.nih.gov/28320322</t>
  </si>
  <si>
    <t>We recently identified 700 genes whose expression levels were predictive of chronic lymphocytic leukemia (CLL) in a genome-wide gene expression analysis of prediagnostic blood from future cases and matched controls. We hypothesized that a large fraction of these markers were likely related to early disease manifestations. Here we aim to gain a better understanding of the natural history of the identified markers by comparing results from our prediagnostic analysis, the only prediagnostic analysis to date, to results obtained from a meta-analysis of a series of publically available transcriptomics profiles obtained in incident CLL cases and controls. We observed considerable overlap between the results from our prediagnostic study and the clinical CLL signals (p-value for overlap Bonferroni significant markers 0.01; p-value for overlap nominal significant markers &lt; 2.20e-16). We observed similar patterns with time to diagnosis and similar functional annotations for the markers that were identified in both settings compared to the markers that were only identified in the prediagnostic study. These results suggest that both gene sets operate in similar pathways. An overlap exists between expression levels of genes predictive of CLL identified in prediagnostic blood and expression levels of genes associated to CLL at the clinical stage. Our analysis provides insight in a set of genes for which expression levels can be used to follow the time-course of the disease; providing an opportunity to study CLL progression in more detail in future studies.</t>
  </si>
  <si>
    <t>Biomarkers of folate and vitamin B12 and breast cancer risk: report from the EPIC cohort.</t>
  </si>
  <si>
    <t>Matejcic, M; de Batlle, J; Ricci, C; Biessy, C; Perrier, F; Huybrechts, I; Weiderpass, E; Boutron-Ruault, M C; Cadeau, C; His, M; Cox, D G; Boeing, H; Fortner, R T; Kaaks, R; Lagiou, P; Trichopoulou, A; Benetou, V; Tumino, R; Panico, S; Sieri, S; Palli, D; Ricceri, F; Bueno-de-Mesquita, H B As; Skeie, G; Amiano, P; Sánchez, M J; Chirlaque, M D; Barricarte, A; Quirós, J R; Buckland, G; van Gils, C H; Peeters, P H; Key, T J; Riboli, E; Gylling, B; Zeleniuch-Jacquotte, A; Gunter, M J; Romieu, I; Chajès, V</t>
  </si>
  <si>
    <t>https://pubmed.ncbi.nlm.nih.gov/27905104</t>
  </si>
  <si>
    <t>Epidemiological studies have reported inconsistent findings for the association between B vitamins and breast cancer (BC) risk. We investigated the relationship between biomarkers of folate and vitamin B12 and the risk of BC in the European Prospective Investigation into Cancer and Nutrition (EPIC) cohort. Plasma concentrations of folate and vitamin B12 were determined in 2,491 BC cases individually matched to 2,521 controls among women who provided baseline blood samples. Multivariable logistic regression models were used to estimate odds ratios by quartiles of either plasma B vitamin. Subgroup analyses by menopausal status, hormone receptor status of breast tumors (estrogen receptor [ER], progesterone receptor [PR] and human epidermal growth factor receptor 2 [HER2]), alcohol intake and MTHFR polymorphisms (677C &gt; T and 1298A &gt; C) were also performed. Plasma levels of folate and vitamin B12 were not significantly associated with the overall risk of BC or by hormone receptor status. A marginally positive association was found between vitamin B12 status and BC risk in women consuming above the median level of alcohol (OR&lt;sub&gt;Q4-Q1&lt;/sub&gt;  = 1.26; 95% CI 1.00-1.58; P&lt;sub&gt;trend&lt;/sub&gt;  = 0.05). Vitamin B12 status was also positively associated with BC risk in women with plasma folate levels below the median value (OR&lt;sub&gt;Q4-Q1&lt;/sub&gt;  = 1.29; 95% CI 1.02-1.62; P&lt;sub&gt;trend&lt;/sub&gt;  = 0.03). Overall, folate and vitamin B12 status was not clearly associated with BC risk in this prospective cohort study. However, potential interactions between vitamin B12 and alcohol or folate on the risk of BC deserve further investigation.</t>
  </si>
  <si>
    <t>Renal denervation beyond the bifurcation: The effect of distal ablation placement on safety and blood pressure.</t>
  </si>
  <si>
    <t>Beeftink, Martine M A; Spiering, Wilko; De Jong, Mark R; Doevendans, Pieter A; Blankestijn, Peter J; Elvan, Arif; Heeg, Jan-Evert; Bots, Michiel L; Voskuil, Michiel</t>
  </si>
  <si>
    <t>https://pubmed.ncbi.nlm.nih.gov/28296025</t>
  </si>
  <si>
    <t>Renal denervation may be more effective if performed distal in the renal artery because of smaller distances between the lumen and perivascular nerves. The authors reviewed the angiographic results of 97 patients and compared blood pressure reduction in relation to the location of the denervation. No significant differences in blood pressure reduction or complications were found between patient groups divided according to their spatial distribution of the ablations (proximal to the bifurcation in both arteries, distal to the bifurcation in one artery and distal in the other artery, or distal to the bifurcation in both arteries), but systolic ambulatory blood pressure reduction was significantly related to the number of distal ablations. No differences in adverse events were observed. In conclusion, we found no reason to believe that renal denervation distal to the bifurcation poses additional risks over the currently advised approach of proximal denervation, but improved efficacy remains to be conclusively established.</t>
  </si>
  <si>
    <t>The impact of community-acquired pneumonia on the health-related quality-of-life in elderly.</t>
  </si>
  <si>
    <t>Mangen, Marie-Josée J; Huijts, Susanne M; Bonten, Marc J M; de Wit, G Ardine</t>
  </si>
  <si>
    <t>https://pubmed.ncbi.nlm.nih.gov/28292280</t>
  </si>
  <si>
    <t>The sustained health-related quality-of-life of patients surviving community-acquired pneumonia has not been accurately quantified. The aim of the current study was to quantify differences in health-related quality-of-life of community-dwelling elderly with and without community-acquired pneumonia during a 12-month follow-up period. In a matched cohort study design, nested in a prospective randomized double-blind placebo-controlled trial on the efficacy of the 13-valent pneumococcal vaccine in community-dwelling persons of ≥65 years, health-related quality-of-life was assessed in 562 subjects hospitalized with suspected community-acquired pneumonia (i.e. diseased cohort) and 1145 unaffected persons (i.e. non-diseased cohort) matched to pneumonia cases on age, sex, and health status (EQ-5D-3L-index). Health-related quality-of-life was determined 1-2 weeks after hospital discharge/inclusion and 1, 6 and 12 months thereafter, using Euroqol EQ-5D-3L and Short Form-36 Health survey questionnaires. One-year quality-adjusted life years (QALY) were estimated for both diseased and non-diseased cohorts. Separate analyses were performed for pneumonia cases with and without radiologically confirmed community-acquired pneumonia. The one-year excess QALY loss attributed to community-acquired pneumonia was 0.13. Mortality in the post-discharge follow-up year was 8.4% in community-acquired pneumonia patients and 1.2% in non-diseased persons (p &lt; 0.001). During follow-up health-related quality-of-life was persistently lower in community-acquired pneumonia patients, compared to non-diseased persons, but differences in health-related quality-of-life between radiologically confirmed and non-confirmed community-acquired pneumonia cases were not statistically significant. Community-acquired pneumonia was associated with a six-fold increased mortality and 16% lower quality-of-life in the post-discharge year among patients surviving hospitalization for community-acquired pneumonia, compared to non-diseased persons. ClinicalTrials.gov, NCT00812084 .</t>
  </si>
  <si>
    <t>PAIS 2 (Paracetamol [Acetaminophen] in Stroke 2): Results of a Randomized, Double-Blind Placebo-Controlled Clinical Trial.</t>
  </si>
  <si>
    <t>de Ridder, Inger R; den Hertog, Heleen M; van Gemert, H Maarten A; Schreuder, A H C M L Tobien; Ruitenberg, Annemieke; Maasland, E Lisette; Saxena, Ritu; van Tuijl, Jordie H; Jansen, Ben P W; Van den Berg-Vos, Renske M; Vermeij, Frederique; Koudstaal, Peter J; Kappelle, L Jaap; Algra, Ale; van der Worp, H Bart; Dippel, Diederik W J; ,</t>
  </si>
  <si>
    <t>https://pubmed.ncbi.nlm.nih.gov/28289240</t>
  </si>
  <si>
    <t>Subfebrile body temperature and fever in the first days after stroke are strongly associated with unfavorable outcome. A subgroup analysis of a previous trial suggested that early treatment with paracetamol may improve functional outcome in patients with acute stroke and a body temperature of ≥36.5°C. In the present trial, we aimed to confirm this finding. PAIS 2 (Paracetamol [Acetaminophen] in Stroke 2) was a multicenter, randomized, double-blind, placebo-controlled clinical trial. We aimed to include 1500 patients with acute ischemic stroke or intracerebral hemorrhage within 12 hours of symptom onset. Patients were treated with paracetamol in a daily dose of 6 g or matching placebo for 3 consecutive days. The primary outcome was functional outcome at 3 months, assessed with the modified Rankin Scale and analyzed with multivariable ordinal logistic regression. Because of slow recruitment and lack of funding, the study was stopped prematurely. Between December 2011 and October 2015, we included 256 patients, of whom 136 (53%) were allocated to paracetamol. In this small sample, paracetamol had no effect on functional outcome (adjusted common odds ratio, 1.15; 95% confidence interval, 0.74-1.79). There was no difference in the number of serious adverse events (paracetamol n=35 [26%] versus placebo n=28 [24%]). Treatment with high-dose paracetamol seemed to be safe. The effect of high-dose paracetamol on functional outcome remains uncertain. Therefore, a large trial of early treatment with high-dose paracetamol is still needed. URL: http://www.trialregister.nl. Unique identifier: NTR2365.</t>
  </si>
  <si>
    <t>Barriers and facilitators to the uptake of tuberculosis diagnostic and treatment services by hard-to-reach populations in countries of low and medium tuberculosis incidence: a systematic review of qualitative literature.</t>
  </si>
  <si>
    <t>de Vries, Sophia G; Cremers, Anne L; Heuvelings, Charlotte C; Greve, Patrick F; Visser, Benjamin J; Bélard, Sabine; Janssen, Saskia; Spijker, René; Shaw, Beth; Hill, Ruaraidh A; Zumla, Alimuddin; van der Werf, Marieke J; Sandgren, Andreas; Grobusch, Martin P</t>
  </si>
  <si>
    <t>https://pubmed.ncbi.nlm.nih.gov/28291721</t>
  </si>
  <si>
    <t>Tuberculosis disproportionately affects hard-to-reach populations, such as homeless people, migrants, refugees, prisoners, or drug users. These people often face challenges in accessing quality health care. We did a systematic review of the qualitative literature to identify barriers and facilitators to the uptake of tuberculosis diagnostic and treatment services by people from hard-to-reach populations in all European Union (EU), European Economic Area, EU candidate, and Organisation for Economic Co-operation and Development countries. The 12 studies included in this review mainly focused on migrants. Views on perceived susceptibility to and severity of tuberculosis varied widely and included many misconceptions. Stigma and challenges regarding access to health care were identified as barriers to tuberculosis diagnosis and treatment uptake, whereas support from nurses, family, and friends was a facilitator for treatment adherence. Further studies are required to identify barriers and facilitators to the improved identification and management of tuberculosis in hard-to-reach populations to inform recommendations for more effective tuberculosis control programmes.</t>
  </si>
  <si>
    <t>Effectiveness of interventions for diagnosis and treatment of tuberculosis in hard-to-reach populations in countries of low and medium tuberculosis incidence: a systematic review.</t>
  </si>
  <si>
    <t>Heuvelings, Charlotte C; de Vries, Sophia G; Greve, Patrick F; Visser, Benjamin J; Bélard, Sabine; Janssen, Saskia; Cremers, Anne L; Spijker, René; Shaw, Beth; Hill, Ruaraidh A; Zumla, Alimuddin; Sandgren, Andreas; van der Werf, Marieke J; Grobusch, Martin P</t>
  </si>
  <si>
    <t>https://pubmed.ncbi.nlm.nih.gov/28291722</t>
  </si>
  <si>
    <t>Tuberculosis is over-represented in hard-to-reach (underserved) populations in high-income countries of low tuberculosis incidence. The mainstay of tuberculosis care is early detection of active tuberculosis (case finding), contact tracing, and treatment completion. We did a systematic review with a scoping component of relevant studies published between 1990 and 2015 to update and extend previous National Institute for Health and Care Excellence (NICE) reviews on the effectiveness of interventions for identifying and managing tuberculosis in hard-to-reach populations. The analyses showed that tuberculosis screening by (mobile) chest radiography improved screening coverage and tuberculosis identification, reduced diagnostic delay, and was cost-effective among several hard-to-reach populations. Sputum culture for pre-migration screening and active referral to a tuberculosis clinic improved identification. Furthermore, monetary incentives improved tuberculosis identification and management among drug users and homeless people. Enhanced case management, good cooperation between services, and directly observed therapy improved treatment outcome and compliance. Strong conclusions cannot be drawn because of the heterogeneity of evidence with regard to study population, methodology, and quality.</t>
  </si>
  <si>
    <t>Clinical characteristics associated with diagnostic delay of pulmonary embolism in primary care: a retrospective observational study.</t>
  </si>
  <si>
    <t>Hendriksen, Janneke M T; Koster-van Ree, Marleen; Morgenstern, Marcus J; Oudega, Ruud; Schutgens, Roger E G; Moons, Karel G M; Geersing, Geert-Jan</t>
  </si>
  <si>
    <t>https://pubmed.ncbi.nlm.nih.gov/28279993</t>
  </si>
  <si>
    <t>To evaluate the extent of delay in the diagnosis of pulmonary embolism (PE) in primary care, and to identify determinants that are associated with such diagnostic delay. Retrospective observational study. 6 primary care practices across the Netherlands. Data from patients with an objectively confirmed diagnosis of PE (International Classification of Primary Care (ICPC) code K93) up to June 2015 were extracted from the electronic medical records. For all these PE events, we reviewed all consultations with their general practitioner (GP) and scored any signs and symptoms that could be attributed to PE in the 3 months prior to the event. Also, we documented actual comorbidity and the diagnosis considered initially. Delay was defined as a time gap of &gt;7 days between the first potentially PE-related contact with the GP and the final PE diagnosis. Multivariable logistic regression analysis was performed to identify independent determinants for delay. In total, 180 incident PE cases were identified, of whom 128 patients had 1 or more potential PE-related contact with their GP within the 3 months prior to the diagnosis. Based on our definition, in 33 of these patients (26%), diagnostic delay was observed. Older age (age &gt;75 years; OR 5.1 (95% CI 1.8 to 14.1)) and the absence of chest symptoms (ie, chest pain or pain on inspiration; OR 5.4 (95% CI 1.9 to 15.2)) were independent determinants for diagnostic delay. A respiratory tract infection prior to the PE diagnosis was reported in 13% of cases without delay, and in 33% of patients with delay (p=0.008). Diagnostic delay of more than 7 days in the diagnosis of PE is common in primary care, especially in the elderly, and if chest symptoms, like pain on inspiration, are absent.</t>
  </si>
  <si>
    <t>Redefining radiotherapy for early-stage breast cancer with single dose ablative treatment: a study protocol.</t>
  </si>
  <si>
    <t>Charaghvandi, R K; van Asselen, B; Philippens, M E P; Verkooijen, H M; van Gils, C H; van Diest, P J; Pijnappel, R M; Hobbelink, M G G; Witkamp, A J; van Dalen, T; van der Wall, E; van Heijst, T C; Koelemij, R; van Vulpen, M; van den Bongard, H J G D</t>
  </si>
  <si>
    <t>https://pubmed.ncbi.nlm.nih.gov/28274211</t>
  </si>
  <si>
    <t>A shift towards less burdening and more patient friendly treatments for breast cancer is currently ongoing. In low-risk patients with early-stage disease, accelerated partial breast irradiation (APBI) is an alternative for whole breast irradiation following breast-conserving surgery. MRI-guided single dose ablative APBI has the potential to offer a minimally burdening, non-invasive treatment that could replace current breast-conserving therapy. The ABLATIVE study is a prospective, single arm, multicenter study evaluating preoperative, single dose, ablative radiation treatment in patients with early-stage breast cancer. Patients with core biopsy proven non-lobular invasive breast cancer, (estrogen receptor positive, Her2 negative, maximum tumor size 3.0 cm on diagnostic MRI) and a negative sentinel node biopsy are eligible. Radiotherapy (RT) planning will be performed using a contrast enhanced (CE) planning CT-scan, co-registered with a CE-MRI, both in supine RT position. A total of twenty-five consecutive patients will be treated with a single ablative RT dose of 20 Gy to the tumor and 15 Gy to the tumorbed. Follow-up MRIs are scheduled within 1 week, 2, 4 and 6 months after single-dose RT. Breast-conserving surgery is scheduled at six months following RT. Primary study endpoint is pathological complete response. Secondary study endpoints are the radiological response and toxicity. Furthermore, patients will fill out questionnaires on quality of life and functional status. Cosmetic outcome will be evaluated by the treating radiation oncologist, patient and 'Breast Cancer Conservation Treatment cosmetic results' software. Recurrence and survival rates will be assessed. The patients will be followed up to 10 years after diagnosis. If patients give additional informed consent, a biopsy and a part of the irradiated specimen will be stored at the local Biobank and used for future research on radiotherapy response associated genotyping. The ABLATIVE study evaluates MRI-guided single dose ablative RT in patients with early-stage breast cancer, aiming at a less burdening and non-invasive alternative for current breast-conserving treatment. ClinicalTrials.gov registration number NCT02316561 . The trial was registrated prospectively on October 10th 2014.</t>
  </si>
  <si>
    <t>A Network Meta-Analysis of Clinical Management Strategies for Treatment-Resistant Hypertension: Making Optimal Use of the Evidence.</t>
  </si>
  <si>
    <t>Makai, Peter; IntHout, Joanna; Deinum, Jaap; Jenniskens, Kevin; Wilt, Gert Jan van der</t>
  </si>
  <si>
    <t>https://pubmed.ncbi.nlm.nih.gov/28275946</t>
  </si>
  <si>
    <t>With the addition of surgical interventions to current medicinal treatments, it is increasingly challenging for clinicians to rationally choose among the various options for treating patients with apparent treatment-resistant hypertension (ATRHTN). This study aims to establish the comparative effectiveness of mineralocorticoid receptor antagonists (MRA), renal denervation (RDN), darusentan and central arteriovenous anastomosis (CAA) for patients with ATRHTN by performing a network meta-analysis. Data Sources: Studies from recent meta-analyses for RDN and placebo effect were supplemented with a systematic search for MRAs in ATRHTN in the Pubmed, EMBASE, CINAHL and Cochrane databases through November 2016. Randomized controlled trials comparing treatment options for patients with ATRHTN. Data were extracted using predefined data extraction forms, including the Grading of Recommendations Assessment, Development and Evaluation (GRADE) criteria. A Bayesian random effects model was used to conduct a network meta-analysis. Spironolactone was used as the main comparator. Main Outcomes and Measures: Reduction in 24-h ambulatory blood pressure measurement (ABPM). Twenty articles met our inclusion criteria, and seven treatment alternatives were compared. Compared to MRA, CAA had the highest probability of being more effective, further reducing 24-h SBP (-4.8 mmHg [-13.0, 3.7]) and 24-h DBP (-9.7 mmHg [-18, -0.63]). This difference is likely to be clinically meaningful, with a probability of 78 and 96% at a threshold of a 2-mmHg reduction in blood pressure. When compared to MRA as anchor, darusentan, CAA and RDN are not more effective in achieving a clinically significant reduction in ambulatory blood pressure in individuals with apparent treatment-resistant hypertension.</t>
  </si>
  <si>
    <t>Impact of switching from different treatment regimens to a fixed-dose combination pill (polypill) in patients with cardiovascular disease or similarly high risk.</t>
  </si>
  <si>
    <t>Lafeber, Melvin; Spiering, Wilko; Visseren, Frank Lj; Grobbee, Diederick E; Bots, Michiel L; Stanton, Alice; Patel, Anushka; Prabhakaran, Dorairaj; Webster, Ruth; Thom, Simon; Rodgers, Anthony; ,</t>
  </si>
  <si>
    <t>https://pubmed.ncbi.nlm.nih.gov/28436727</t>
  </si>
  <si>
    <t>Aims Cardiovascular fixed-dose combination pills, or polypills, may help address the widespread lack of access and adherence to proven medicines. Initiation of polypill-based care typically entails switching from current separately taken medications. Given the heterogeneity in usual care, there is interest in the impact of polypill treatment across different patterns of prior medication regimen. Methods A total of 2004 participants with established cardiovascular disease or estimated 5-year cardiovascular risk of over 15% were randomised to polypill-based treatment (aspirin 75 mg, simvastatin 40 mg, lisinopril 10 mg and either atenolol 50 mg or hydrochlorothiazide 12.5 mg) or usual care. Baseline medications were classified by potency relative to polypill components. Estimated cardiovascular risk reduction was calculated by combining risk factor changes with results seen in meta-analyses of previous randomised trials. Results For cholesterol reduction conferred by polypills, there was a dose response across baseline statin groups, with mean low-density lipoprotein (LDL)-cholesterol differences of 0.37, 0.22, 0.14 and 0.07 mmol/L among patients taking no statin, less potent, equipotent and more potent statin at baseline, respectively. Similarly there were differences in mean systolic BP of 5.4, 6.2, 3.3 and 1.8 mmHg among patients taking 0, 1, 2 or 3 BP-lowering agents. Among patients taking more potent statins at baseline, there was no significant difference in LDL-cholesterol but there were benefits for BP and aspirin adherence. Similar results were seen among patients taking 3 BP-lowering agents at baseline. Switching to a polypill-based strategy resulted in estimated cardiovascular relative risk reductions across a wide range of usual care patterns of antiplatelet, statin and BP-lowering therapy prescribing. Conclusion Adherence benefits from switching to a polypill resulted in risk factor changes that were at least as good as usual care across a wide variety of treatment patterns, including equally potent or more potent regimens. The benefits of switching to polypill-based care were greatest among those stepped up from partial treatment or less potent treatment.</t>
  </si>
  <si>
    <t>Renal artery and parenchymal changes after renal denervation: assessment by magnetic resonance angiography.</t>
  </si>
  <si>
    <t>Sanders, Margreet F; van Doormaal, Pieter Jan; Beeftink, Martine M A; Bots, Michiel L; Fadl Elmula, Fadl Elmula M; Habets, Jesse; Hammer, Frank; Hoffmann, Pavel; Jacobs, Lotte; Mark, Patrick B; Persu, Alexandre; Renkin, Jean; Roditi, Giles; Spiering, Wilko; Staessen, Jan A; Taylor, Alison H; Verloop, Willemien L; Vink, Eva E; Vonken, Evert-Jan; Voskuil, Michiel; Leiner, Tim; Blankestijn, Peter J; ,</t>
  </si>
  <si>
    <t>https://pubmed.ncbi.nlm.nih.gov/28271154</t>
  </si>
  <si>
    <t>Relatively little is known about the incidence of long-term renal damage after renal denervation (RDN), a potential new treatment for hypertension. In this study the incidence of renal artery and parenchymal changes, assessed with contrast-enhanced magnetic resonance angiography (MRA) after RDN, is investigated. This study is an initiative of ENCOReD, a collaboration of hypertension expert centres. Patients in whom an MRA was performed before and after RDN were included. Scans were evaluated by two independent, blinded radiologists. Primary outcome was the change in renal artery morphology and parenchyma. MRAs from 96 patients were analysed. Before RDN, 41 renal anomalies were observed, of which 29 mostly mild renal artery stenoses. After a median time of 366 days post RDN, MRA showed a new stenosis (25-49% lumen reduction) in two patients and progression of pre-existing lumen reduction in a single patient. No other renal changes were observed and renal function remained stable. We observed new or progressed renal artery stenosis in three out of 96 patients, after a median time of 12 months post RDN (3.1%). Procedural angiographies showed that ablations were applied near the observed stenosis in only one of the three patients. • The incidence of vascular changes 12 months post RDN was 3.1%. • No renal vascular or parenchymal changes other than stenoses were observed. • Ablations were applied near the stenosis in only one of three patients.</t>
  </si>
  <si>
    <t>Methods of defining the non-inferiority margin in randomized, double-blind controlled trials: a systematic review.</t>
  </si>
  <si>
    <t>Althunian, Turki A; de Boer, Anthonius; Klungel, Olaf H; Insani, Widya N; Groenwold, Rolf H H</t>
  </si>
  <si>
    <t>https://pubmed.ncbi.nlm.nih.gov/28270184</t>
  </si>
  <si>
    <t>There is no consensus on the preferred method for defining the non-inferiority margin in non-inferiority trials, and previous studies showed that the rationale for its choice is often not reported. This study investigated how the non-inferiority margin is defined in the published literature, and whether its reporting has changed over time. A systematic PubMed search was conducted for all published randomized, double-blind, non-inferiority trials from January 1, 1966, to February 6, 2015. The primary outcome was the number of margins that were defined by methods other than the historical evidence of the active comparator. This was evaluated for a time trend. We also assessed the under-reporting of the methods of defining the margin as a secondary outcome, and whether this changed over time. Both outcomes were analyzed using a Poisson log-linear model. Predictors for better reporting of the methods, and the use of the fixed-margin method (one of the historical evidence methods) were also analyzed using logistic regression. Two hundred seventy-three articles were included, which account for 273 non-inferiority margins. There was no statistically significant difference in the number of margins that were defined by other methods compared to those defined based on the historical evidence (ratio 2.17, 95% CI 0.86 to 5.82, p = 0.11), and this did not change over time. The number of margins for which methods were unreported was similar to those with reported methods (ratio 1.35, 95% CI 0.76 to 2.43, p = 0.31), with no change over time. The method of defining the margin was less often reported in journals with low-impact factors compared to journals with high-impact factors (OR 0.20; 95% CI 0.10 to 0.37, p &lt; 0.0001). The publication of the FDA draft guidance in 2010 was associated with increased reporting of the fixed-margin method (after versus before 2010) (OR 3.54; 95% CI 1.12 to 13.35, p = 0.04). Non-inferiority margins are not commonly defined based on the historical evidence of the active comparator, and they are poorly reported. Authors, reviewers, and editors need to take notice of reporting this critical information to allow for better judgment of non-inferiority trials.</t>
  </si>
  <si>
    <t>Cost-effectiveness analysis of an 18-week exercise programme for patients with breast and colon cancer undergoing adjuvant chemotherapy: the randomised PACT study.</t>
  </si>
  <si>
    <t>May, Anne M; Bosch, Marcel J C; Velthuis, Miranda J; van der Wall, Elsken; Steins Bisschop, Charlotte N; Los, Maartje; Erdkamp, Frans; Bloemendal, Haiko J; de Roos, Marnix A J; Verhaar, Marlies; Ten Bokkel Huinink, Daan; Peeters, Petra H M; de Wit, G Ardine</t>
  </si>
  <si>
    <t>https://pubmed.ncbi.nlm.nih.gov/28264824</t>
  </si>
  <si>
    <t>Meta-analyses show that exercise interventions during cancer treatment reduce cancer-related fatigue. However, little is known about the cost-effectiveness of such interventions. Here we aim to assess the cost-effectiveness of the 18-week physical activity during cancer treatment (PACT) intervention for patients with breast and colon cancer. The PACT trial showed beneficial effects for fatigue and physical fitness. Cost-effectiveness analyses with a 9-month time horizon (18 weeks of intervention and 18 weeks of follow-up) within the randomised controlled multicentre PACT study. Outpatient clinics of 7 hospitals in the Netherlands (1 academic and 6 general hospitals) PARTICIPANTS: 204 patients with breast cancer and 33 with colon cancer undergoing adjuvant treatment including chemotherapy. Supervised 1-hour aerobic and resistance exercise (twice per week for 18 weeks) or usual care. Costs, quality-adjusted life years (QALY) and the incremental cost-effectiveness ratio. For colon cancer, the cost-effectiveness analysis showed beneficial effects of the exercise intervention with incremental costs savings of €4321 and QALY improvements of 0.03. 100% of bootstrap simulations indicated that the intervention is dominant (ie, cheaper and more effective). For breast cancer, the results did not indicate that the exercise intervention was cost-effective. Incremental costs were €2912, and the incremental effect was 0.01 QALY. At a Dutch threshold value of €20 000 per QALY, the probability that the intervention is cost-effective was 2%. Our results suggest that the 18-week exercise programme was cost-effective for colon cancer, but not for breast cancer. ISRCTN43801571.</t>
  </si>
  <si>
    <t>Search for new phenomena in events containing a same-flavour opposite-sign dilepton pair, jets, and large missing transverse momentum in [Formula: see text] [Formula: see text][Formula: see text] collisions with the ATLAS detector.</t>
  </si>
  <si>
    <t xml:space="preserve">Aaboud, M; Aad, G; Abbott, B; Abdallah, J; Abdinov, O; Abeloos, B; AbouZeid, O S; Abraham, N L; Abramowicz, H; Abreu, H; Abreu, R; Abulaiti, Y; Acharya, B S; Adachi, S; Adamczyk, L; Adams, D L; Adelman, J; Adye, T; Affolder, A A; Agatonovic-Jovin, T; Agheorghiesei, C; Aguilar-Saavedra, J A; Ahlen, S P; Ahmadov, F; Aielli, G; Akerstedt, H; Åkesson, T P A; Akimov, A V; Alberghi, G L; Albert, J;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 S; Angelozzi, I; Angerami, </t>
  </si>
  <si>
    <t>https://pubmed.ncbi.nlm.nih.gov/28690423</t>
  </si>
  <si>
    <t>Two searches for new phenomena in final states containing a same-flavour opposite-sign lepton (electron or muon) pair, jets, and large missing transverse momentum are presented. These searches make use of proton-proton collision data, collected during 2015 and 2016 at a centre-of-mass energy [Formula: see text] [Formula: see text] by the ATLAS detector at the large hadron collider, which correspond to an integrated luminosity of [Formula: see text]. Both searches target the pair production of supersymmetric particles, squarks or gluinos, which decay to final states containing a same-flavour opposite-sign lepton pair via one of two mechanisms: a leptonically decaying &lt;i&gt;Z&lt;/i&gt; boson in the final state, leading to a peak in the dilepton invariant-mass distribution around the &lt;i&gt;Z&lt;/i&gt; boson mass; and decays of neutralinos (e.g. [Formula: see text]), yielding a kinematic endpoint in the dilepton invariant-mass spectrum. The data are found to be consistent with the Standard Model expectation. Results are interpreted in simplified models of gluino-pair (squark-pair) production, and provide sensitivity to gluinos (squarks) with masses as large as 1.70 [Formula: see text] (980 [Formula: see text]).</t>
  </si>
  <si>
    <t>Measurement properties of the EQ-5D across four major geriatric conditions: Findings from TOPICS-MDS.</t>
  </si>
  <si>
    <t>Lutomski, Jennifer E; Krabbe, Paul F M; Bleijenberg, Nienke; Blom, Jeanett; Kempen, Gertrudis I J M; MacNeil-Vroomen, Janet; Muntinga, Maaike E; Steyerburg, Ewout; Olde-Rikkert, Marcel G M; Melis, René J F; ,</t>
  </si>
  <si>
    <t>health and quality of life outcomes</t>
  </si>
  <si>
    <t>https://pubmed.ncbi.nlm.nih.gov/28253865</t>
  </si>
  <si>
    <t>As populations age, chronic geriatric conditions linked to progressive organ failure jeopardize health-related quality of life (HRQoL). Thus, this research assessed the validity and applicability of the EQ-5D (a common HRQoL instrument) across four major chronic geriatric conditions: hearing issues, joint damage, urinary incontinence, or dizziness with falls. The study sample comprised 25,637 community-dwelling persons aged 65 years and older residing in the Netherlands (Data source: TOPICS-MDS, www.topics-mds.eu ). Floor and ceiling effects were examined. To assess convergent validity, random effects meta-correlations (Spearman's rho) were derived between individual EQ-5D domains and related survey items. To further examine construct validity, the association between sociodemographic characteristics and EQ-5D summary scores were assessed using linear mixed models. Outcomes were compared to the overall study population as well as a 'healthy' subgroup reporting no major chronic conditions. Whereas ceiling effects were observed in the overall study population and the 'healthy' subgroup, such was not the case in the geriatric condition subgroups. The majority of hypotheses regarding correlations between survey items and sociodemographic associations were supported. EQ-5D summary scores were lower in respondents who were older, female, widowed/single, lower educated, and living alone. Increasing co-morbidity had a clear negative effect on EQ-5D scores. This study supported the construct validity of the EQ-5D across four major geriatric conditions. For older persons who are generally healthy, i.e. reporting few to no chronic conditions, the EQ-5D confers poor discriminative ability due to ceiling effects. Although the overall dataset initially suggested poor discriminative ability for the EQ-5D, such was not the case within subgroups presenting with major geriatric conditions.</t>
  </si>
  <si>
    <t>Search for triboson [Formula: see text] production in &lt;i&gt;pp&lt;/i&gt; collisions at [Formula: see text] [Formula: see text]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</si>
  <si>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Amor Dos Santos, S P; Amorim, A; Amoroso, S; Amundsen, G; Anastopoulos, C; Ancu, L S; Andari, N; Andeen, T; Anders, C F; Anders, G; Anders, J K; Anderson, K J; Andreazza, A; An</t>
  </si>
  <si>
    <t>https://pubmed.ncbi.nlm.nih.gov/28331433</t>
  </si>
  <si>
    <t>This paper reports a search for triboson [Formula: see text] production in two decay channels ([Formula: see text] and [Formula: see text] with [Formula: see text]) in proton-proton collision data corresponding to an integrated luminosity of 20.3 [Formula: see text] at a centre-of-mass energy of 8 [Formula: see text] with the ATLAS detector at the Large Hadron Collider. Events with exactly three charged leptons, or two leptons with the same electric charge in association with two jets, are selected. The total number of events observed in data is consistent with the Standard Model (SM) predictions. The observed 95% confidence level upper limit on the SM [Formula: see text] production cross section is found to be 730 fb with an expected limit of 560 fb in the absence of SM [Formula: see text] production. Limits are also set on &lt;i&gt;WWWW&lt;/i&gt; anomalous quartic gauge couplings.</t>
  </si>
  <si>
    <t>Acute Otitis Media During Infancy: Parent-reported Incidence and Modifiable Risk Factors.</t>
  </si>
  <si>
    <t>Prins-van Ginkel, Annemarijn C; Bruijning-Verhagen, Patricia C J; Uiterwaal, Cuno S P M; van der Ent, Cornelis K; Smit, Henriette A; de Hoog, Marieke L A</t>
  </si>
  <si>
    <t>https://pubmed.ncbi.nlm.nih.gov/27870813</t>
  </si>
  <si>
    <t>Age at exposure to acute otitis media (AOM) risk factors such as day care attendance, lack of breastfeeding and tobacco smoke is little studied but important for targeting AOM prevention strategies. Moreover, studies are typically restricted to clinically diagnosed AOM, while a significant subset can occur outside the health care system, depending on the country setting. This study aims to determine risk factor exposure and effect of its timing within the first year of life on parent-reported AOM symptom episodes. In the WHeezing and Illnesses STudy LEidsche Rijn birth-cohort study, 1056 children were prospectively followed during their first year of life. Group day care attendance, breastfeeding and tobacco smoke exposure were recorded monthly and parent-reported AOM symptoms daily. Generalized estimating equations were used to estimate the association between the time-varying risk factors and AOM symptom episodes, while correcting for confounding by indication. The first-year incidence rate of parent-reported AOM was 569/1000 child-years [95% confidence interval (CI): 523-618]. Children who attended day care had higher odds of developing AOM symptom episodes compared with those not attending (odds ratio: 5.0; 95% CI: 2.6-9.6). Tobacco smoke exposure and (a history of) breastfeeding were not associated with AOM. Test for interaction revealed that the effect of day care increased with each month younger in age. First-year day care attendance is a major risk factor for AOM symptom episodes among infants in the community. This adjusted effect estimate is higher than previously reported and is age-dependent. AOM prevention strategies in day care facilities should therefore focus in particular on the youngest age groups.</t>
  </si>
  <si>
    <t>Influence of cut-off value on prevalence of short cervical length.</t>
  </si>
  <si>
    <t>van Os, M A; Kleinrouweler, C E; Schuit, E; van der Ven, A J; Pajkrt, E; de Groot, C J M; Mol, B W J; Haak, M C</t>
  </si>
  <si>
    <t>https://pubmed.ncbi.nlm.nih.gov/27194622</t>
  </si>
  <si>
    <t>To assess the distribution of cervical length (CL) in a large cohort of asymptomatic low-risk women with singleton pregnancy and no previous preterm birth and to explain the low prevalence of short CL ≤ 30 mm in this cohort. This was a secondary analysis of a multicenter cohort study with an embedded randomized controlled trial (Triple P trial; NTR-2078) on the prevention of preterm birth with progesterone. In the cohort study, CL was measured in asymptomatic low-risk women with singleton pregnancy to investigate its predictive capacity to identify those at increased risk for preterm birth. A short CL was defined by a cut-off value of ≤ 30 mm, based on existing literature. Women with a short CL were subsequently included in a randomized controlled trial evaluating the effect of progesterone, compared with placebo, on preterm birth. In total, 57 centers and 20 234 women participated in the study. Normal distributions for CL were simulated based on the mean and SD of the original data. The distribution of CL was assessed for each individual center and measurements were compared between levels of care: primary (29 ultrasound centers), secondary (21 general hospitals) and tertiary (seven university medical centers) care institutions. Comparison was also performed between centers with low, intermediate and high volume of CL measurements. CL distributions before (n = 12 284 women) and after (n = 7950 women) a national symposium, at which the prevalence of short CL measurements was addressed publicly, were analyzed. Between November 2009 and August 2013, 20 234 women had CL measurements, of whom 367 (1.8%) had a short CL. Mean ± SD CL was 44.2 ± 7.8 mm. A 'dip' in the distribution of CL measurements between 20 and 30 mm was observed, defined by a ratio of &lt; 50% when comparing the number of measurements in observed and simulated normal distributions. The dip was present in 89% of participating centers. All centers showed a dip in the distribution of measurements ≤ 30 mm when analyzed according to the level of care and volume of measurements. A significant difference was found when comparing the distribution before and after publicly addressing the low prevalence of short CL (1.7% vs 2.0% of measurements were ≤ 30 mm, respectively; P &lt; 0.001). A cut-off value of 30 mm for CL was used to include women in a randomized clinical trial that was embedded in a cohort study. We suggest that the use of a predefined cut-off value for a short cervix influences the distribution of the CL measurements. Since the measurement is not blinded, preference of assessors for the control or intervention arms may have introduced selection bias. This might have resulted in fewer measurements around the cut-off value. Other trials using similar designs could benefit from this observation and take precautions to avoid selection bias. Copyright © 2016 ISUOG. Published by John Wiley &amp; Sons Ltd.</t>
  </si>
  <si>
    <t>Mortality reduction by post-dilution online-haemodiafiltration: a cause-specific analysis.</t>
  </si>
  <si>
    <t>Nubé, Menso J; Peters, Sanne A E; Blankestijn, Peter J; Canaud, Bernard; Davenport, Andrew; Grooteman, Muriel P C; Asci, Gulay; Locatelli, Francesco; Maduell, Francisco; Morena, Marion; Ok, Ercan; Torres, Ferran; Bots, Michiel L; ,</t>
  </si>
  <si>
    <t>https://pubmed.ncbi.nlm.nih.gov/28025382</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</si>
  <si>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</si>
  <si>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Response to Zhang et al.</t>
  </si>
  <si>
    <t>Backes, Y; Moss, A; Reitsma, J B; Siersema, P D; Moons, Leon M G</t>
  </si>
  <si>
    <t>https://pubmed.ncbi.nlm.nih.gov/28270673</t>
  </si>
  <si>
    <t>Quality of integrated chronic disease care in rural South Africa: user and provider perspectives.</t>
  </si>
  <si>
    <t>Ameh, Soter; Klipstein-Grobusch, Kerstin; D'ambruoso, Lucia; Kahn, Kathleen; Tollman, Stephen M; Gómez-Olivé, Francesc Xavier</t>
  </si>
  <si>
    <t>https://pubmed.ncbi.nlm.nih.gov/28207046</t>
  </si>
  <si>
    <t>The integrated chronic disease management (ICDM) model was introduced as a response to the dual burden of HIV/AIDS and non-communicable diseases (NCDs) in South Africa, one of the first of such efforts by an African Ministry of Health. The aim of the ICDM model is to leverage HIV programme innovations to improve the quality of chronic disease care. There is a dearth of literature on the perspectives of healthcare providers and users on the quality of care in the novel ICDM model. This paper describes the viewpoints of operational managers and patients regarding quality of care in the ICDM model. In 2013, we conducted a case study of the seven PHC facilities in the rural Agincourt sub-district in northeast South Africa. Focus group discussions (n = 8) were used to obtain data from 56 purposively selected patients ≥18 years. In-depth interviews were conducted with operational managers of each facility and the sub-district health manager. Donabedian’s structure, process and outcome theory for service quality evaluation underpinned the conceptual framework in this study. Qualitative data were analysed, with MAXQDA 2 software, to identify 17 a priori dimensions of care and unanticipated themes that emerged during the analysis. The manager and patient narratives showed the inadequacies in structure (malfunctioning blood pressure machines and staff shortage); process (irregular prepacking of drugs); and outcome (long waiting times). There was discordance between managers and patients regarding reasons for long patient waiting time which managers attributed to staff shortage and missed appointments, while patients ascribed it to late arrival of managers to the clinics. Patients reported anti-hypertension drug stock-outs (structure); sub-optimal defaulter-tracing (process); rigid clinic appointment system (process). Emerging themes showed that patients reported HIV stigmatisation in the community due to defaulter-tracing activities of home-based carers, while managers reported treatment of chronic diseases by traditional healers and reduced facility-related HIV stigma because HIV and NCD patients attended the same clinic. Leveraging elements of HIV programmes for NCDs, specifically hypertension management, is yet to be achieved in the study setting in part because of malfunctioning blood pressure machines and anti-hypertension drug stock-outs. This has implications for the nationwide scale up of the ICDM model in South Africa and planning of an integrated chronic disease care in other low- and middle-income countries.</t>
  </si>
  <si>
    <t>DNA methylome analysis identifies accelerated epigenetic ageing associated with postmenopausal breast cancer susceptibility.</t>
  </si>
  <si>
    <t>Ambatipudi, Srikant; Horvath, Steve; Perrier, Flavie; Cuenin, Cyrille; Hernandez-Vargas, Hector; Le Calvez-Kelm, Florence; Durand, Geoffroy; Byrnes, Graham; Ferrari, Pietro; Bouaoun, Liacine; Sklias, Athena; Chajes, Véronique; Overvad, Kim; Severi, Gianluca; Baglietto, Laura; Clavel-Chapelon, Françoise; Kaaks, Rudolf; Barrdahl, Myrto; Boeing, Heiner; Trichopoulou, Antonia; Lagiou, Pagona; Naska, Androniki; Masala, Giovanna; Agnoli, Claudia; Polidoro, Silvia; Tumino, Rosario; Panico, Salvatore; Dollé, Martijn; Peeters, Petra H M; Onland-Moret, N Charlotte; Sandanger, Torkjel M; Nøst, Therese H; Weiderpass, Elisabete; Quirós, J Ramón; Agudo, Antonio; Rodriguez-Barranco, Miguel; Huerta Castaño, José María; Barricarte, Aurelio; Fernández, Ander Matheu; Travis, Ruth C; Vineis, Paolo; Muller, David C; Riboli, Elio; Gunter, Marc; Romieu, Isabelle; Herceg, Zdenko</t>
  </si>
  <si>
    <t>https://pubmed.ncbi.nlm.nih.gov/28259012</t>
  </si>
  <si>
    <t>A vast majority of human malignancies are associated with ageing, and age is a strong predictor of cancer risk. Recently, DNA methylation-based marker of ageing, known as 'epigenetic clock', has been linked with cancer risk factors. This study aimed to evaluate whether the epigenetic clock is associated with breast cancer risk susceptibility and to identify potential epigenetics-based biomarkers for risk stratification. Here, we profiled DNA methylation changes in a nested case-control study embedded in the European Prospective Investigation into Cancer and Nutrition (EPIC) cohort (n = 960) using the Illumina HumanMethylation 450K BeadChip arrays and used the Horvath age estimation method to calculate epigenetic age for these samples. Intrinsic epigenetic age acceleration (IEAA) was estimated as the residuals by regressing epigenetic age on chronological age. We observed an association between IEAA and breast cancer risk (OR, 1.04; 95% CI, 1.007-1.076, P = 0.016). One unit increase in IEAA was associated with a 4% increased odds of developing breast cancer (OR, 1.04; 95% CI, 1.007-1.076). Stratified analysis based on menopausal status revealed that IEAA was associated with development of postmenopausal breast cancers (OR, 1.07; 95% CI, 1.020-1.11, P = 0.003). In addition, methylome-wide analyses revealed that a higher mean DNA methylation at cytosine-phosphate-guanine (CpG) islands was associated with increased risk of breast cancer development (OR per 1 SD = 1.20; 95 %CI: 1.03-1.40, P = 0.02) whereas mean methylation levels at non-island CpGs were indistinguishable between cancer cases and controls. Epigenetic age acceleration and CpG island methylation have a weak, but statistically significant, association with breast cancer susceptibility.</t>
  </si>
  <si>
    <t>Relative risk of hemorrhage during pregnancy in patients with brain arteriovenous malformations.</t>
  </si>
  <si>
    <t>van Beijnum, Janneke; Wilkinson, Tim; Whitaker, Heather J; van der Bom, Johanna G; Algra, Ale; Vandertop, W Peter; van den Berg, René; Brouwer, Patrick A; Rinkel, Gabriël Je; Kappelle, L Jaap; Al-Shahi Salman, Rustam; ,; Klijn, Catharina Jm</t>
  </si>
  <si>
    <t>https://pubmed.ncbi.nlm.nih.gov/28635373</t>
  </si>
  <si>
    <t>Background It is unclear whether the risk of bleeding from brain arteriovenous malformations is higher during pregnancy, delivery, or puerperium. We compared occurrence of brain arteriovenous malformation hemorrhage in women during this period with occurrence of hemorrhage outside this period during their fertile years. Methods We included all women with ruptured brain arteriovenous malformations (16-41 years) from a retrospective database of patients with brain arteriovenous malformations in four Dutch university hospitals (n = 95) and from the population-based Scottish Audit of Intracranial Vascular Malformations (n = 44). We estimated the relative rate of brain arteriovenous malformation rupture (before any treatment) during exposed time (pregnancy, delivery, puerperium) versus non-exposed time during fertile years, using the case-crossover design as primary analysis, and the self-controlled case-series design as secondary analysis. Results In 17 of 95 Dutch women and in 3 of 44 Scottish women, hemorrhages occurred while pregnant; none occurred during delivery or puerperium. In Dutch women, the relative rate of brain arteriovenous malformation rupture during pregnancy, delivery, or puerperium was 6.8 (95% confidence interval 3.6-13) according to the case-crossover method and 7.1 (95% confidence interval 3.4-13) using the self-controlled case-series method. In Scottish women, the relative rate was 1.3 (95% confidence interval 0.39-4.1) using the case-crossover method and 1.7 (95% confidence interval 0.0-4.4) according to the self-controlled case-series method. Because of limited overlap of confidence intervals, we refrained from pooling the cohorts. Conclusions Case-crossover and self-controlled case series analyses reveal an increase in relative rate of brain arteriovenous malformation rupture during pregnancy in the Dutch cohort but not in the Scottish cohort. Since point estimates varied between both cohorts and numbers are relatively small, the clinical implications of our findings are uncertain.</t>
  </si>
  <si>
    <t>Cost-effectiveness of capecitabine and bevacizumab maintenance treatment after first-line induction treatment in metastatic colorectal cancer.</t>
  </si>
  <si>
    <t>Franken, M D; van Rooijen, E M; May, A M; Koffijberg, H; van Tinteren, H; Mol, L; Ten Tije, A J; Creemers, G J; van der Velden, A M T; Tanis, B C; Uyl-de Groot, C A; Punt, C J A; Koopman, M; van Oijen, M G H</t>
  </si>
  <si>
    <t>https://pubmed.ncbi.nlm.nih.gov/28237866</t>
  </si>
  <si>
    <t>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t>
  </si>
  <si>
    <t>No benefits of hypothermia in patients treated with hemicraniectomy for large ischemic stroke.</t>
  </si>
  <si>
    <t>Schneider, Hauke; Krüger, Philipp; Algra, Ale; Hofmeijer, Jeannette; van der Worp, H Bart; Jüttler, Eric; Vahedi, Katayoun; Schackert, Gabriele; Reichmann, Heinz; Puetz, Volker</t>
  </si>
  <si>
    <t>https://pubmed.ncbi.nlm.nih.gov/28350280</t>
  </si>
  <si>
    <t>Background Space-occupying middle cerebral artery brain infarcts are associated with the development of brain edema, which may lead to cerebral herniation and death despite early hemicraniectomy. Aims To evaluate the benefit of therapeutic hypothermia in patients with space-occupying cerebral infarction treated with hemicraniectomy within 48 h of stroke onset. Methods Patients aged 18-60 years with space-occupying cerebral infarction treated with hemicraniectomy within 48 h and hypothermia (33-34°C) were selected from a single university hospital between 2001 and 2010 (n = 53). Patients treated with hemicraniectomy alone served as comparison group (n = 58), originating from three randomized controlled trials evaluating the effects of early decompressive surgery (DECIMAL, DESTINY, HAMLET). Primary outcome was the score on the modified Rankin scale at 12 months dichotomized between modified Rankin scale 0-3 and modified Rankin scale 4-6. Secondary outcome measures were modified Rankin scale score 0-4 and survival. Risk ratios were adjusted with Poisson regression. Results Mean patient age was 48 years. Median time from stroke onset to hemicraniectomy was 23.5 h in both treatment groups. Treatment with hypothermia had no effect on the primary outcome (modified Rankin scale 0-3 versus 4-6 (13/53 (25%) versus 24/58 (41%)); adjusted risk ratio 0.66, 95% confidence interval 0.38-1.13). Fewer patients treated with hypothermia had a modified Rankin scale score of 0-4 (21/53 (40%) versus 42/58 (72%); adjusted risk ratio 0.53, 95% confidence interval 0.37-0.76) and fewer patients survived (26/53 (49%) versus 46/58 (79%); adjusted risk ratio 0.60, 95% confidence interval 0.44-0.82). Conclusions In patients with space-occupying cerebral infarction, treatment with hypothermia had no additional benefit on functional outcome compared with treatment with hemicraniectomy alone.</t>
  </si>
  <si>
    <t>Lifetime secondhand smoke exposure and childhood and adolescent asthma: findings from the PIAMA cohort.</t>
  </si>
  <si>
    <t>Milanzi, Edith B; Brunekreef, Bert; Koppelman, Gerard H; Wijga, Alet H; van Rossem, Lenie; Vonk, Judith M; Smit, Henriëtte A; Gehring, Ulrike</t>
  </si>
  <si>
    <t>https://pubmed.ncbi.nlm.nih.gov/28231798</t>
  </si>
  <si>
    <t>Secondhand smoke (SHS) exposure is a modifiable risk factor associated with childhood asthma. Associations with adolescent asthma and the relevance of the timing and patterns of exposure are unclear. Knowledge of critical windows of exposure is important for targeted interventions. We used data until age 17 from 1454 children of the Dutch population-based PIAMA birth cohort. Residential SHS exposure was assessed through parental questionnaires completed at ages 3 months, 1-8 (yearly), 11, 14, and 17 years. Lifetime exposure was determined as; a) time window-specific exposure (prenatal, infancy, preschool, primary school, and secondary school); b) lifetime cumulative exposure; c) longitudinal exposure patterns using latent class growth modeling (LCGM). Generalized estimation equations and logistic regression were used to analyze associations between exposure and asthma at ages 4 to 17 years, adjusting for potential confounders. With all three methods, we consistently found no association between SHS exposure and asthma at ages 4 to 17 years e.g. adjusted overall odds ratio (95% confidence interval) 0.67 (0.41-1.12), 1.00 (0.66-1.51) and 0.67 (0.41-1.11) for prenatal maternal active smoking, infancy, and preschool school time window exposures, respectively. We assessed lifetime SHS exposure using different methods. Different timing and patterns of SHS exposure were not associated with an increased risk of asthma in childhood and adolescence in our study. More longitudinal studies could investigate effects of lifetime SHS exposure on asthma in adolescence and later life.</t>
  </si>
  <si>
    <t>Unravelling effectiveness of a nurse-led behaviour change intervention to enhance physical activity in patients at risk for cardiovascular disease in primary care: study protocol for a cluster randomised controlled trial.</t>
  </si>
  <si>
    <t>Westland, Heleen; Bos-Touwen, Irene D; Trappenburg, Jaap C A; Schröder, Carin D; de Wit, Niek J; Schuurmans, Marieke J</t>
  </si>
  <si>
    <t>https://pubmed.ncbi.nlm.nih.gov/28228151</t>
  </si>
  <si>
    <t>Self-management interventions are considered effective in patients with chronic disease, but trials have shown inconsistent results, and it is unknown which patients benefit most. Adequate self-management requires behaviour change in both patients and health care providers. Therefore, the Activate intervention was developed with a focus on behaviour change in both patients and nurses. The intervention aims for change in a single self-management behaviour, namely physical activity, in primary care patients at risk for cardiovascular disease. The aim of this study is to evaluate the effectiveness of the Activate intervention. A two-arm cluster randomised controlled trial will be conducted to compare the Activate intervention with care as usual at 31 general practices in the Netherlands. Approximately 279 patients at risk for cardiovascular disease will participate. The Activate intervention is developed using the Behaviour Change Wheel and consists of 4 nurse-led consultations in a 3-month period, integrating 17 behaviour change techniques. The Behaviour Change Wheel was also applied to analyse what behaviour change is needed in nurses to deliver the intervention adequately. This resulted in 1-day training and coaching sessions (including 21 behaviour change techniques). The primary outcome is physical activity, measured as the number of minutes of moderate to vigorous physical activity using an accelerometer. Potential effect modifiers are age, body mass index, level of education, social support, depression, patient-provider relationship and baseline number of minutes of physical activity. Data will be collected at baseline and at 3 months and 6 months of follow-up. A process evaluation will be conducted to evaluate the training of nurses, treatment fidelity, and to identify barriers to and facilitators of implementation as well as to assess participants' satisfaction. To increase physical activity in patients and to support nurses in delivering the intervention, behaviour change techniques are applied to change behaviours of the patients and nurses. Evaluation of the effectiveness of the intervention, exploration of which patients benefit most, and evaluation of our theory-based training for primary care nurses will enhance understanding of what works and for whom, which is essential for further implementation of self-management in clinical practice. ClinicalTrials.gov identifier: NCT02725203 . Registered on 25 March 2016.</t>
  </si>
  <si>
    <t>Effect of Fibrinogen Concentrate on Intraoperative Blood Loss Among Patients With Intraoperative Bleeding During High-Risk Cardiac Surgery: A Randomized Clinical Trial.</t>
  </si>
  <si>
    <t>Bilecen, Süleyman; de Groot, Joris A H; Kalkman, Cor J; Spanjersberg, Alexander J; Brandon Bravo Bruinsma, George J; Moons, Karel G M; Nierich, Arno P</t>
  </si>
  <si>
    <t>https://pubmed.ncbi.nlm.nih.gov/28241354</t>
  </si>
  <si>
    <t>Fibrinogen concentrate might partly restore coagulation defects and reduce intraoperative bleeding. To determine whether fibrinogen concentrate infusion dosed to achieve a plasma fibrinogen level of 2.5 g/L in high-risk cardiac surgery patients with intraoperative bleeding reduces intraoperative blood loss. A randomized, placebo-controlled, double-blind clinical trial conducted in Isala Zwolle, the Netherlands (February 2011-January 2015), involving patients undergoing elective, high-risk cardiac surgery (ie, combined coronary artery bypass graft [CABG] surgery and valve repair or replacement surgery, the replacement of multiple valves, aortic root reconstruction, or reconstruction of the ascending aorta or aortic arch) with intraoperative bleeding (blood volume between 60 and 250 mL suctioned from the thoracic cavity in a period of 5 minutes) were randomized to receive either fibrinogen concentrate or placebo. Intravenous, single-dose administration of fibrinogen concentrate (n = 60) or placebo (n = 60), targeted to achieve a postinfusion plasma fibrinogen level of 2.5 g/L. The primary outcome was blood loss in milliliters between intervention (ie, after removal of cardiopulmonary bypass) and closure of chest. Safety variables (within 30 days) included: in-hospital mortality, myocardial infarction, cerebrovascular accident or transient ischemic attack, renal insufficiency or failure, venous thromboembolism, pulmonary embolism, and operative complications. Among 120 patients (mean age; 71 [SD, 10] years, 37 women [31%]) included in the study, combined CABG and valve repair or replacement surgery comprised 72% of procedures and had a mean (SD) cardiopulmonary bypass time of 200 minutes (83) minutes. For the primary outcome, median blood loss in the fibrinogen group was 50 mL (interquartile range [IQR], 29-100 mL) compared with 70 mL (IQR, 33-145 mL) in the control group (P = .19), the absolute difference 20 mL (95% CI, -13 to 35 mL). There were 6 cases of stroke or transient ischemic attack (4 in the fibrinogen group); 4 myocardial infarctions (3 in the fibrinogen group); 2 deaths (both in the fibrinogen group); 5 cases with renal insufficiency or failure (3 in the fibrinogen group); and 9 cases with reoperative thoracotomy (4 in the fibrinogen group). Among patients with intraoperative bleeding during high-risk cardiac surgery, administration of fibrinogen concentrate, compared with placebo, resulted in no significant difference in the amount of intraoperative blood loss. clinicaltrials.gov Identifier: NCT01124981 and EudraCT No: 2009-018086-12.</t>
  </si>
  <si>
    <t>Selection of individuals for genetic testing for familial hypercholesterolaemia: development and external validation of a prediction model for the presence of a mutation causing familial hypercholesterolaemia.</t>
  </si>
  <si>
    <t>Besseling, Joost; Reitsma, Johannes B; Gaudet, Daniel; Brisson, Diane; Kastelein, John J P; Hovingh, G Kees; Hutten, Barbara A</t>
  </si>
  <si>
    <t>https://pubmed.ncbi.nlm.nih.gov/27044878</t>
  </si>
  <si>
    <t>Familial hypercholesterolaemia (FH) is an autosomal dominant disease that warrants early diagnosis to prevent premature cardiovascular disease (CVD). However, genetic testing to make a definite diagnosis is costly, and careful selection of eligible subjects is important. Unfortunately, accuracy of current diagnostic criteria is poor, especially in young individuals. We therefore developed and validated a model to predict the presence of an FH causing mutation in persons referred by general practitioners. All participants in the Dutch FH screening programme from 1994 to 2014 were included in the development cohort. The validation cohort consisted of consecutive patients, suspected for FH, attending the outpatient lipid clinic in Saguenay (Quebec) from 1993 to 2014. Cross-sectional data were available on medical history, lipid profile, and DNA analysis. Multivariable logistic regression analysis was used for model development. The primary outcome was the presence of a deleterious FH mutation. The development cohort comprised 26 167 FH patients and 37 939 unaffected relatives. Our final model included age; sex; levels of low-density lipoprotein cholesterol (LDL-C), high-density lipoprotein cholesterol, and triglycerides; history and age of CVD; use of statins; smoking; alcohol; and presence of hypertension. The area under the receiver operating characteristic curve (AUC) was 85.4% (95% CI: 85.0-85.9). The calibration slope was 1.02 (where 1.00 is optimal). In the validation cohort (1436 FH patients and 1767 unaffected persons), the AUC was 95.4% (95% CI: 94.7-96.1%) and the calibration slope 1.06. Our model showed good discrimination and calibration. We specifically expect our model to be of added value for young persons set against current diagnostic criteria, since LDL-C and age are now used as continuous predictors. The equation will be available as an online calculator to estimate the probability of the presence of an FH mutation in individual patients. This tool might aid physicians in the decision for referral of patients for molecular testing.</t>
  </si>
  <si>
    <t>Bladder wall thickness has no role in the diagnosis of detrusor overactivity.</t>
  </si>
  <si>
    <t>Schuit, E</t>
  </si>
  <si>
    <t>https://pubmed.ncbi.nlm.nih.gov/28220632</t>
  </si>
  <si>
    <t>Erratum to: Scaling up strategies of the chronic respiratory disease programme of the European Innovation Partnership on Active and Healthy Ageing (Action Plan B3: Area 5).</t>
  </si>
  <si>
    <t>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t>
  </si>
  <si>
    <t>https://pubmed.ncbi.nlm.nih.gov/28239450</t>
  </si>
  <si>
    <t>[This corrects the article DOI: 10.1186/s13601-016-0116-9.].</t>
  </si>
  <si>
    <t>Aspects and Intensity of Pediatric Palliative Case Management Provided by a Hospital-Based Case Management Team: A Comparative Study Between Children With Malignant and Nonmalignant Disease.</t>
  </si>
  <si>
    <t>Jagt-van Kampen, Charissa T; Colenbrander, Derk A; Bosman, Diederik K; Grootenhuis, Martha A; Kars, Marijke C; Schouten-van Meeteren, Antoinette Yn</t>
  </si>
  <si>
    <t>https://pubmed.ncbi.nlm.nih.gov/28273758</t>
  </si>
  <si>
    <t>Anticipating case management is considered crucial in pediatric palliative care. In 2012, our children's university hospital initiated a specialized pediatric palliative care team (PPCT) to deliver inbound and outbound case management for children with life-shortening disease. The aim of this report is to gain insight in the first 9 months of this PPCT. Aspects of care during the first 9 months of the PPCT are presented, and comparison is made between patients with malignant disease (MD) and nonmalignant disease (NMD) in a retrospective study design. Insight in the aspects of care of all patients with a life-shortening disease was retrieved from web-based files and the hour registrations from the PPCT. Forty-three children were supported by the PPCT during the first 9 months: 22 with MD with a median of 50 (1-267) days and 29 minutes (4-615) of case management per patient per day and 21 patients with NMD with a median of 79.5 (5-211) days and 16 minutes of case management per day (6-64). Our data show significantly more interprofessional contacts for patients with MD and more in-hospital contacts for patients with NMD. The median number of admission days per patient was 11 (0-22) for MD (44% for anticancer therapy) and 44 (0-303) for NMD (36% for infectious diseases). This overview of aspects of pediatric palliative case management shows shorter but more intensive case management for MD in comparison with NMD. This insight in palliative case management guides the design of a PPCT.</t>
  </si>
  <si>
    <t>Cost-Effectiveness of Intensifying Lipid-Lowering Therapy With Statins Based on Individual Absolute Benefit in Coronary Artery Disease Patients.</t>
  </si>
  <si>
    <t>Stam-Slob, Manon C; van der Graaf, Yolanda; Greving, Jacoba P; Dorresteijn, Jannick A N; Visseren, Frank L J</t>
  </si>
  <si>
    <t>https://pubmed.ncbi.nlm.nih.gov/28214794</t>
  </si>
  <si>
    <t>A validated prediction model estimates the absolute benefit of intensive versus standard lipid-lowering therapy (LLT) with statins on next major cardiovascular events for individual patients with coronary artery disease. We aimed to assess whether targeting intensive LLT therapy to coronary artery disease patients with the highest predicted absolute benefit is cost-effective compared to treating all with standard or all with intensive LLT. A lifetime Markov model was constructed for coronary artery disease patients (n=10 000) with mean age 61 years. Number of major cardiovascular events, (non) vascular death, costs, and quality-adjusted life years (QALYs) were estimated for the following strategies: (1) standard LLT for all (reference strategy); (2) intensive LLT for those with 5-year absolute major cardiovascular events risk reduction (ARR) ≥3%, ≥2.3%, or ≥1.5% (corresponding to ≥20%, ≥15%, or ≥10% 5-year major cardiovascular events risk); and (3) intensive LLT for all. With intensive LLT for those with ≥3% 5-year ARR (13% of patients), 380 QALYs were gained for €2423/QALY. Using a threshold of ≥2.3% ARR (26% of patients), 630 QALYs were gained for €5653/QALY. Using a threshold of ≥1.5% ARR (56% of patients), 1020 QALYs were gained for €10 960/QALY. By treating all intensively, 1410 QALYs were gained (0.14 QALY per patient) for €17 223/QALY. With benefit-based treatment, 0.16 to 0.17 QALY was gained per treated patient. Intensive LLT with statins for all coronary artery disease patients results in the highest overall QALY gain against acceptable costs. However, the number of QALYs gained with intensive LLT by statins in individual patients can be increased with selective benefit-based treatment. URL: http://www.clinicaltrials.gov. Unique identifiers: NCT00327691 and NCT00159835.</t>
  </si>
  <si>
    <t>Pre-diagnosis insulin-like growth factor-I and risk of epithelial invasive ovarian cancer by histological subtypes: A collaborative re-analysis from the Ovarian Cancer Cohort Consortium.</t>
  </si>
  <si>
    <t>Ose, Jennifer; Schock, Helena; Poole, Elizabeth M; Lehtinen, Matti; Visvanathan, Kala; Helzlsouer, Kathy; Buring, Julie E; Lee, I-Min; Tjønneland, Anne; Boutron-Ruault, Marie-Christine; Trichopoulou, Antonia; Mattiello, Amalia; Onland-Moret, N Charlotte; Weiderpass, Elisabete; Sánchez, María-José; Idahl, Annika; Travis, Ruth C; Rinaldi, Sabina; Merritt, Melissa A; Wentzensen, Nicolas; Tworoger, Shelley S; Kaaks, Rudolf; Fortner, Renée T</t>
  </si>
  <si>
    <t>cancer causes control ccc</t>
  </si>
  <si>
    <t>https://pubmed.ncbi.nlm.nih.gov/28205047</t>
  </si>
  <si>
    <t>Biologic evidence suggests that the Insulin-like growth factor (IGF)-family may be involved in the etiology of epithelial invasive ovarian cancer (EOC). However, prospective studies investigating the role of IGF-I in ovarian carcinogenesis have yielded conflicting results. We pooled and harmonized data from 6 case-control studies nested within the Ovarian Cancer Cohort Consortium to investigate the association between pre-diagnosis IGF-I concentrations and subsequent risk of EOC. We evaluated IGF-I concentrations and risk of EOC overall and by tumor subtype (defined by histology, grade, stage) in 1,270 cases and 2,907 matched controls. Multivariable conditional logistic regression models were used to calculate odds ratios (OR) and 95% confidence intervals (CI). Doubling of IGF-I concentration was associated with significantly lower risk of overall EOC [OR&lt;sub&gt;log2&lt;/sub&gt; = 0.82; CI 0.72-0.93]. We observed no heterogeneity by tumor characteristics (e.g., histology, p &lt;sub&gt;het&lt;/sub&gt; = 0.62), menopausal status at blood collection (p &lt;sub&gt;het&lt;/sub&gt; = 0.79), or age at diagnosis (p &lt;sub&gt;het&lt;/sub&gt; = 0.60). These results suggest that IGF-I concentrations are inversely associated with EOC risk, independent of histological phenotype. Future prospective research should consider potential mechanisms for this association, including, considering other members of the IGF-family to better characterize the role of IGF-signaling in the etiology of EOC.</t>
  </si>
  <si>
    <t>Vitamin D and mortality: Individual participant data meta-analysis of standardized 25-hydroxyvitamin D in 26916 individuals from a European consortium.</t>
  </si>
  <si>
    <t>Gaksch, Martin; Jorde, Rolf; Grimnes, Guri; Joakimsen, Ragnar; Schirmer, Henrik; Wilsgaard, Tom; Mathiesen, Ellisiv B; Njølstad, Inger; Løchen, Maja-Lisa; März, Winfried; Kleber, Marcus E; Tomaschitz, Andreas; Grübler, Martin; Eiriksdottir, Gudny; Gudmundsson, Elias F; Harris, Tamara B; Cotch, Mary F; Aspelund, Thor; Gudnason, Vilmundur; Rutters, Femke; Beulens, Joline W J; van 't Riet, Esther; Nijpels, Giel; Dekker, Jacqueline M; Grove-Laugesen, Diana; Rejnmark, Lars; Busch, Markus A; Mensink, Gert B M; Scheidt-Nave, Christa; Thamm, Michael; Swart, Karin M A; Brouwer, Ingeborg A; Lips, Paul; van Schoor, Natasja M; Sempos, Christopher T; Durazo-Arvizu, Ramón A; Škrabáková, Zuzana; Dowling, Kirsten G; Cashman, Kevin D; Kiely, Mairead; Pilz, Stefan</t>
  </si>
  <si>
    <t>https://pubmed.ncbi.nlm.nih.gov/28207791</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</si>
  <si>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</si>
  <si>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Achieving high convection volumes in postdilution online hemodiafiltration: a prospective multicenter study.</t>
  </si>
  <si>
    <t>de Roij van Zuijdewijn, Camiel L M; Chapdelaine, Isabelle; Nubé, Menso J; Blankestijn, Peter J; Bots, Michiel L; Konings, Constantijn J A M; Kremer Hovinga, Ton K; Molenaar, Femke M; van der Weerd, Neelke C; Grooteman, Muriel P C</t>
  </si>
  <si>
    <t>https://pubmed.ncbi.nlm.nih.gov/29225810</t>
  </si>
  <si>
    <t>&lt;b&gt;Background.&lt;/b&gt; Available evidence suggests a reduced mortality risk for patients treated with high-volume postdilution hemodiafiltration (HDF) when compared with hemodialysis (HD) patients. As the magnitude of the convection volume depends on treatment-related factors rather than patient-related characteristics, we prospectively investigated whether a high convection volume (defined as ≥22 L/session) is feasible in the majority of patients (&gt;75%). &lt;b&gt;Methods.&lt;/b&gt; A multicenter study was performed in adult prevalent dialysis patients. Nonparticipating eligible patients formed the control group. Using a stepwise protocol, treatment time (up to 4 hours), blood flow rate (up to 400 mL/min) and filtration fraction (up to 33%) were optimized as much as possible. The convection volume was determined at the end of this optimization phase and at 4 and 8 weeks thereafter. &lt;b&gt;Results.&lt;/b&gt; Baseline characteristics were comparable in participants (&lt;i&gt;n&lt;/i&gt; = 86) and controls (&lt;i&gt;n&lt;/i&gt; = 58). At the end of the optimization and 8 weeks thereafter, 71/86 (83%) and 66/83 (80%) of the patients achieved high-volume HDF (mean 25.5 ± 3.6 and 26.0 ± 3.4 L/session, respectively). While treatment time remained unaltered, mean blood flow rate increased by 27% and filtration fraction increased by 23%. Patients with &lt;22 L/session had a higher percentage of central venous catheters (CVCs), a shorter treatment time and lower blood flow rate when compared with patients with ≥22 L/session. &lt;b&gt;Conclusions.&lt;/b&gt; High-volume HDF is feasible in a clear majority of dialysis patients. Since none of the patients agreed to increase treatment time, these findings indicate that high-volume HDF is feasible just by increasing blood flow rate and filtration fraction.</t>
  </si>
  <si>
    <t>Severity of Respiratory Syncytial Virus Lower Respiratory Tract Infection With Viral Coinfection in HIV-Uninfected Children.</t>
  </si>
  <si>
    <t>Mazur, Natalie I; Bont, Louis; Cohen, Adam L; Cohen, Cheryl; von Gottberg, Anne; Groome, Michelle J; Hellferscee, Orienka; Klipstein-Grobusch, Kerstin; Mekgoe, Omphile; Naby, Fathima; Moyes, Jocelyn; Tempia, Stefano; Treurnicht, Florette K; Venter, Marietje; Walaza, Sibongile; Wolter, Nicole; Madhi, Shabir A; ,</t>
  </si>
  <si>
    <t>https://pubmed.ncbi.nlm.nih.gov/27927871</t>
  </si>
  <si>
    <t>Molecular diagnostics enable sensitive detection of respiratory viruses, but their clinical significance remains unclear in pediatric lower respiratory tract infection (LRTI). We aimed to determine whether viral coinfections increased life-threatening disease in a large cohort. Molecular testing was performed for respiratory viruses in nasopharyngeal aspirates collected from children aged &lt;5 years within 24 hours of hospital admission during sentinel surveillance for severe acute respiratory illness (SARI) hospitalization conducted in South Africa during February 2009-December 2013. The primary outcome was life-threatening disease, defined as mechanical ventilation, intensive care unit admission, or death. Of 2322 HIV-uninfected children with respiratory syncytial virus (RSV)-associated LRTI, 1330 (57.3%) had RSV monoinfection, 38 (1.6%) had life-threatening disease, 575 (24.8%) had rhinovirus, 347 (14.9%) had adenovirus (ADV), and 30 (1.3%) had influenza virus. RSV and any other viral coinfection was not associated with severe disease, ADV coinfection had increased odds of life-threatening disease (adjusted OR, 3.4; 95% CI, 1.6-7.2; P = .001), and influenza coinfection had increased odds of life-threatening disease and prolonged length of stay (adjusted OR, 2.1; 95% CI, 1.0-4.5; P = .05) compared with RSV monoinfection. RSV coinfection with any respiratory virus is not associated with more severe disease when compared to RSV alone in this study. However, increased life-threatening disease in RSV-ADV and RSV-influenza coinfection warrants further study.</t>
  </si>
  <si>
    <t>Barriers to early presentation and diagnosis of breast cancer among African women living in sub-Saharan Africa.</t>
  </si>
  <si>
    <t>Akuoko, Cynthia Pomaa; Armah, Ernestina; Sarpong, Theresa; Quansah, Dan Yedu; Amankwaa, Isaac; Boateng, Daniel</t>
  </si>
  <si>
    <t>https://pubmed.ncbi.nlm.nih.gov/28192444</t>
  </si>
  <si>
    <t>Breast cancer (BC) has been described as the leading cause of cancer deaths among women especially in the developing world including sub Saharan Africa (SSA). Delayed presentation and late diagnosis at health facilities are parts of the contributing factors of high BC mortality in Africa. This review aimed to appraise the contributing factors to delayed breast cancer presentation and diagnosis among SSA women. Five databases encompassing medical and social sciences were systematically searched using predefined search terms linked with breast cancer presentation and diagnosis and sub Saharan Africa. Reference lists of relevant papers were also hand searched. Quality of quantitative and qualitative articles were assessed using the National Institute of Health (NIH) Quality Assessment Tool for Observational Cohort and Cross-Sectional Studies and the Critical Appraisal Skills Programme (CASP) quality appraisal checklist. Thematic analysis was used to synthesize the qualitative studies to integrate findings. Fourteen (14) quantitative studies, two (2) qualitative studies and one (1) mixed method study merited inclusion for analysis. This review identified low knowledge of breast cancer among SSA women. This review also found lack of awareness of early detection treatment, poor perception of BC, socio-cultural factors such as belief, traditions and fear as factors impacting African women's health seeking behavior in relation to breast cancer. Improving African women's knowledge and understanding will improve behaviors related to breast cancer and facilitate early presentation and detection and enhance proper management and treatment of breast cancer.</t>
  </si>
  <si>
    <t>Relation of Epicardial Adipose Tissue Radiodensity to Coronary Artery Calcium on Cardiac Computed Tomography in Patients at High Risk for Cardiovascular Disease.</t>
  </si>
  <si>
    <t>Franssens, Bas T; Nathoe, Hendrik M; Visseren, Frank L J; van der Graaf, Yolanda; Leiner, Tim; ,</t>
  </si>
  <si>
    <t>https://pubmed.ncbi.nlm.nih.gov/28279438</t>
  </si>
  <si>
    <t>Adipose tissue radiodensity detected by computed tomography (CT) is hypothesized to be associated with differences in adipose tissue composition which may contribute to the development of coronary atherosclerosis independent of epicardial adipose tissue volume. The aim of the present study is to quantify the relation between epicardial adipose tissue radiodensity and presence, distribution, and density of coronary artery calcium (CAC) in patients at high risk for cardiovascular disease. A total of 140 patients of the Secondary Manifestations of ARTerial disease (SMART) study underwent cardiac-CT angiography. Ordinal logistic and linear regression was used to quantify the relation between epicardial adipose tissue radiodensity (in Hounsfield Units, HU) and CAC. One SD lower attenuation (5 HU) was associated with a 1.90 (95% confidence interval [CI] 1.14 to 3.19) higher odds for men and a 1.07 (95% CI 0.41 to 2.75) higher odds for women of being in a higher CAC class (0, 1 to 100, 101 to 400, and &gt;400), independent of age, coronary artery bypass graft history, epicardial adipose tissue volume, and body mass index. One SD lower attenuation was not associated with more diffuse distribution of CAC, but increased the odds of being in a higher tertile of CAC density per plaque (odds ratio 1.77, 95% CI 1.18 to 2.66). In conclusion, low epicardial adipose tissue CT attenuation is associated with higher CAC scores in men at high risk for cardiovascular disease, independent of epicardial depot volume and body mass index. Present results suggest a potential role for epicardial adipose tissue radiodensity as a measure of adipose tissue composition and may inform on the contribution of epicardial adipose tissue composition to coronary atherosclerosis.</t>
  </si>
  <si>
    <t>The haemoglobin glycation index as predictor of diabetes-related complications in the AleCardio trial.</t>
  </si>
  <si>
    <t>van Steen, Sigrid Cj; Schrieks, Ilse C; Hoekstra, Joost Bl; Lincoff, A Michael; Tardif, Jean-Claude; Mellbin, Linda G; Rydén, Lars; Grobbee, Diederick E; DeVries, J Hans; ,</t>
  </si>
  <si>
    <t>https://pubmed.ncbi.nlm.nih.gov/28186441</t>
  </si>
  <si>
    <t>The haemoglobin glycation index (HGI) quantifies the interindividual variation in the propensity for glycation and is a predictor of diabetes complications and adverse effects of intensive glucose lowering. We investigated the relevance of HGI as independent predictor of complications by using data of the AleCardio trial. The AleCardio trial randomized 7226 type 2 diabetes patients with an acute coronary syndrome to aleglitazar or placebo. From 6458 patients with baseline glycated haemoglobin (HbA&lt;sub&gt;1c&lt;/sub&gt;) and fasting plasma glucose (FPG), a linear regression equation, HbA&lt;sub&gt;1c&lt;/sub&gt; (%) = 5.45 + 0.0158 * FPG (mg/dl), was used to calculate predicted HbA&lt;sub&gt;1c&lt;/sub&gt; and derive HGI (= observed - predicted HbA&lt;sub&gt;1c&lt;/sub&gt;). With multivariate Cox regression we examined the association with major adverse cardiac events, cardiovascular mortality, total mortality and hypoglycaemia, irrespective of treatment allocation, using HGI subgroups (low, intermediate and high) and HGI as continuous variable. Patients with high HGI were younger, more often non-Caucasian, had a longer duration of diabetes, showed more retinopathy and used insulin more often. Hypoglycaemia occurred less often in the low HGI subgroup, but this difference disappeared after adjustment for duration of diabetes, insulin and sulphonylurea use. Low HGI patients were at lower risk for cardiovascular mortality (hazard ratio 0.64; 95% confidence interval 0.44-0.93, p = 0.020) and total mortality (hazard ratio 0.69; 95% confidence interval 0.50-0.95, p = 0.025), as compared with high HGI patients. Every percentage increase in HGI was associated with a 16% increase in the risk for cardiovascular mortality ( p = 0.005). The association between HGI and mortality disappeared with additional adjustment for HbA&lt;sub&gt;1c&lt;/sub&gt;. HGI predicts mortality in diabetes patients with acute coronary syndromes, but no better than HbA&lt;sub&gt;1c&lt;/sub&gt;.</t>
  </si>
  <si>
    <t>A new community for those involved and interested in diagnosis and prognosis.</t>
  </si>
  <si>
    <t>Moons, Karel G M; Cook, Nancy; Collins, Gary</t>
  </si>
  <si>
    <t>https://pubmed.ncbi.nlm.nih.gov/31093537</t>
  </si>
  <si>
    <t>Why do we need a new journal titled &lt;i&gt;Diagnostic and Prognostic Research&lt;/i&gt; in the year 2017, in an era where communication has shifted towards instant messaging via avenues such as Twitter, blogs and Facebook and where we already have tens of thousands of biomedical journals, producing millions of papers, editorials and letters each year?</t>
  </si>
  <si>
    <t>Osteoprotegerin and breast cancer risk by hormone receptor subtype: a nested case-control study in the EPIC cohort.</t>
  </si>
  <si>
    <t>Fortner, Renée T; Sarink, Danja; Schock, Helena; Johnson, Theron; Tjønneland, Anne; Olsen, Anja; Overvad, Kim; Affret, Aurélie; His, Mathilde; Boutron-Ruault, Marie-Christine; Boeing, Heiner; Trichopoulou, Antonia; Naska, Androniki; Orfanos, Philippos; Palli, Domenico; Sieri, Sabina; Mattiello, Amalia; Tumino, Rosario; Ricceri, Fulvio; Bueno-de-Mesquita, H Bas; Peeters, Petra H M; Van Gils, Carla H; Weiderpass, Elisabete; Lund, Eiliv; Quirós, J Ramón; Agudo, Antonio; Sánchez, Maria-José; Chirlaque, María-Dolores; Ardanaz, Eva; Dorronsoro, Miren; Key, Tim; Khaw, Kay-Tee; Rinaldi, Sabina; Dossus, Laure; Gunter, Marc; Merritt, Melissa A; Riboli, Elio; Kaaks, Rudolf</t>
  </si>
  <si>
    <t>https://pubmed.ncbi.nlm.nih.gov/28173834</t>
  </si>
  <si>
    <t>Circulating osteoprotegerin (OPG), a member of the receptor activator of nuclear factor kappa-B (RANK) axis, may influence breast cancer risk via its role as the decoy receptor for both the RANK ligand (RANKL) and tumor necrosis factor-related apoptosis-inducing ligand (TRAIL). Circulating OPG and breast cancer risk has been examined in only one prior study. A case-control study was nested in the European Prospective Investigation into Cancer and Nutrition (EPIC) cohort. A total of 2008 incident invasive breast cancer cases (estrogen receptor (ER)+, n = 1622; ER-, n = 386), matched 1:1 to controls, were included in the analysis. Women were predominantly postmenopausal at blood collection (77%); postmenopausal women included users and non-users of postmenopausal hormone therapy (HT). Serum OPG was quantified with an electrochemiluminescence assay. Relative risks (RRs) and 95% confidence intervals (CIs) were calculated using conditional logistic regression. The associations between OPG and ER+ and ER- breast cancer differed significantly. Higher concentrations of OPG were associated with increased risk of ER- breast cancer (top vs. bottom tertile RR = 1.93 [95% CI 1.24-3.02]; p &lt;sub&gt;trend&lt;/sub&gt; = 0.03). We observed a suggestive inverse association for ER+ disease overall and among women premenopausal at blood collection. Results for ER- disease did not differ by menopausal status at blood collection (p &lt;sub&gt;het&lt;/sub&gt; = 0.97), and we observed no heterogeneity by HT use at blood collection (p &lt;sub&gt;het&lt;/sub&gt; ≥ 0.43) or age at breast cancer diagnosis (p &lt;sub&gt;het&lt;/sub&gt; ≥ 0.30). This study provides the first prospective data on OPG and breast cancer risk by hormone receptor subtype. High circulating OPG may represent a novel risk factor for ER- breast cancer.</t>
  </si>
  <si>
    <t>Measurement of the prompt &lt;i&gt;J&lt;/i&gt;/[Formula: see text] pair production cross-section in &lt;i&gt;pp&lt;/i&gt; collisions at [Formula: see text] TeV with the ATLAS detector.</t>
  </si>
  <si>
    <t>https://pubmed.ncbi.nlm.nih.gov/28331429</t>
  </si>
  <si>
    <t>The production of two prompt [Formula: see text] mesons, each with transverse momenta [Formula: see text] GeV and rapidity [Formula: see text], is studied using a sample of proton-proton collisions at [Formula: see text] TeV, corresponding to an integrated luminosity of 11.4 fb[Formula: see text] collected in 2012 with the ATLAS detector at the LHC. The differential cross-section, assuming unpolarised [Formula: see text] production, is measured as a function of the transverse momentum of the lower-[Formula: see text] [Formula: see text] meson, di-[Formula: see text] [Formula: see text] and mass, the difference in rapidity between the two [Formula: see text] mesons, and the azimuthal angle between the two [Formula: see text] mesons. The fraction of prompt pair events due to double parton scattering is determined by studying kinematic correlations between the two [Formula: see text] mesons. The total and double parton scattering cross-sections are compared with predictions. The effective cross-section of double parton scattering is measured to be [Formula: see text] mb.</t>
  </si>
  <si>
    <t>Anti-Müllerian Hormone Trajectories Are Associated With Cardiovascular Disease in Women: Results From the Doetinchem Cohort Study.</t>
  </si>
  <si>
    <t>de Kat, Annelien C; Verschuren, W Monique; Eijkemans, Marinus J C; Broekmans, Frank J M; van der Schouw, Yvonne T</t>
  </si>
  <si>
    <t>https://pubmed.ncbi.nlm.nih.gov/28153992</t>
  </si>
  <si>
    <t>Earlier age at menopause is widely considered to be associated with an increased risk of cardiovascular disease. However, the underlying mechanisms of this relationship remain undetermined. Indications suggest that anti-Müllerian hormone (AMH), an ovarian reserve marker, plays a physiological role outside of the reproductive system. Therefore, we investigated whether longitudinal AMH decline trajectories are associated with an increased risk of cardiovascular disease (CVD) occurrence. This study included 3108 female participants between 20 and 60 years of age at baseline of the population-based Doetinchem Cohort. Participants completed ≥1 of 5 consecutive quinquennial visits between 1987 and 2010, resulting in a total follow-up time of 20 years. AMH was measured in 8507 stored plasma samples. Information on total CVD, stroke, and coronary heart disease was obtained through a hospital discharge registry linkage. The association of AMH trajectories with CVD was quantified with joint modeling, with adjustment for age, smoking, oral contraceptive use, body mass index, menopausal status, postmenopausal hormone therapy use, diastolic blood pressure, total cholesterol, high-density lipoprotein cholesterol, and glucose levels. By the end of follow-up, 8.2% of the women had suffered from CVD, 4.9% had suffered from coronary heart disease, and 2.6% had experienced a stroke. After adjustment, each ng/mL lower &lt;sub&gt;log&lt;/sub&gt;AMH level was associated with a 21% higher risk of CVD (hazard ratio, 1.21; 95% confidence interval, 1.07-1.36) and a 26% higher risk of coronary heart disease (hazard ratio, 1.25; 95% confidence interval, 1.08-1.46). Each additional ng/mL/year decrease of &lt;sub&gt;log&lt;/sub&gt;AMH was associated with a significantly higher risk of CVD (hazard ratio, 1.46; 95% confidence interval, 1.14-1.87) and coronary heart disease (hazard ratio, 1.56; 95% confidence interval, 1.15-2.12). No association between AMH and stroke was found. These results indicate that AMH trajectories in women are independently associated with CVD risk. Therefore, we postulate that the decline of circulating AMH levels may be part of the pathophysiology of the increased cardiovascular risk of earlier menopause. Confirmation of this association and elucidation of its underlying mechanisms are needed to place these results in a clinical perspective.</t>
  </si>
  <si>
    <t>The polypill approach - An innovative strategy to improve cardiovascular health in Europe.</t>
  </si>
  <si>
    <t>Fuster, Valentín; Gambús, Francesc; Patriciello, Aldo; Hamrin, Margaretha; Grobbee, Diederick E</t>
  </si>
  <si>
    <t>bmc pharmacology toxicology</t>
  </si>
  <si>
    <t>https://pubmed.ncbi.nlm.nih.gov/28166827</t>
  </si>
  <si>
    <t>Cardiovascular disease (CVD) is a major cause of disability and premature death. Despite European guidelines advocating the use of medical therapies in CVD, many patients still do not achieve the guideline-recommended treatment, which highlights the need for change and innovations in this field. This requirement has been widely recognised by the national ministries of health, several European cardiology societies, and the European Parliament, who support the initiation of strategies to improve and promote cardiovascular health. One of the key risk factors to recurrent cardiovascular events is the lack of adherence to medication and this has been added to the agenda of the European Commission. With the intention to improve treatment adherence in CVD, polypills have been investigated and numerous studies demonstrate that they significantly improve medication adherence, which contributes to the improvement of health outcomes. In Europe, the first cardiovascular polypill, developed by a public-private partnership (CNIC-Ferrer), recently became available for general prescription as a therapy for CVD prevention. This polypill significantly improves adherence, preventing fatal and non-fatal cardiovascular events, and appears to be a cost-effective strategy to improve sustainability of the health care systems in CVD. Given the importance of urgent and simple solutions to restraining the pandemic nature of CVD, the polypill approach should therefore be considered by physicians and public health systems as an available and innovative option to improve cardiovascular health.</t>
  </si>
  <si>
    <t>From concept to practice, is multidimensional care the leading principle in hospice care? An exploratory mixed method study.</t>
  </si>
  <si>
    <t>de Graaf, Everlien; van Klinken, Merel; Zweers, Danielle; Teunissen, Saskia</t>
  </si>
  <si>
    <t>https://pubmed.ncbi.nlm.nih.gov/28167657</t>
  </si>
  <si>
    <t>Hospice care (HC) aims to optimise the quality of life of patients and their families by relief and prevention of multidimensional suffering. The aim of this study is to gain insight into multidimensional care (MC) provided to hospice inpatients by a multiprofessional team (MT) and identify facilitators, to ameliorate multidimensional HC. This exploratory mixed-method study with a sequential quantitative-qualitative design was conducted from January to December 2015. First a quantitative study of 36 patient records (12 hospices, 3 patient records/hospice) was performed. The outcomes were MC, clinical reasoning and assessment tools. Second, MC was qualitatively explored using semistructured focus group interviews with multiprofessional hospice teams. Both methods had equal priority and were integrated during analysis. The physical dimension was most prevalent in daily care, reflecting the patients' primary expressed priority at admission and the nurses' and physicians' primary focus. The psychological, social and spiritual dimensions were less frequently described. Assessment tools were used systematically by 4/12 hospices. Facilitators identified were interdisciplinary collaboration, implemented methods of clinical reasoning and structures. MC is not always verifiable in patient records; however, it is experienced by hospice professionals. The level of MC varied between hospices. The use of assessment tools and a stepped skills approach for spiritual care are recommended and multidimensional assessment tools should be developed. Leadership and commitment of all members of the MT is needed to establish the integration of multidimensional symptom management and interdisciplinary collaboration as preconditions for integrated multidimensional HC.</t>
  </si>
  <si>
    <t>Patient factors that influence clinicians' decision making in self-management support: A clinical vignette study.</t>
  </si>
  <si>
    <t>Bos-Touwen, Irene D; Trappenburg, Jaap C A; van der Wulp, Ineke; Schuurmans, Marieke J; de Wit, Niek J</t>
  </si>
  <si>
    <t>https://pubmed.ncbi.nlm.nih.gov/28166244</t>
  </si>
  <si>
    <t>Self-management support is an integral part of current chronic care guidelines. The success of self-management interventions varies between individual patients, suggesting a need for tailored self-management support. Understanding the role of patient factors in the current decision making of health professionals can support future tailoring of self-management interventions. The aim of this study is to identify the relative importance of patient factors in health professionals' decision making regarding self-management support. A factorial survey was presented to primary care physicians and nurses. The survey consisted of clinical vignettes (case descriptions), in which 11 patient factors were systematically varied. Each care provider received a set of 12 vignettes. For each vignette, they decided whether they would give this patient self-management support and whether they expected this support to be successful. The associations between respondent decisions and patient factors were explored using ordered logit regression. The survey was completed by 60 general practitioners and 80 nurses. Self-management support was unlikely to be provided in a third of the vignettes. The most important patient factor in the decision to provide self-management support as well as in the expectation that self-management support would be successful was motivation, followed by patient-provider relationship and illness perception. Other factors, such as depression or anxiety, education level, self-efficacy and social support, had a small impact on decisions. Disease, disease severity, knowledge of disease, and age were relatively unimportant factors. This is the first study to explore the relative importance of patient factors in decision making and the expectations regarding the provision of self-management support to chronic disease patients. By far, the most important factor considered was patient's motivation; unmotivated patients were less likely to receive self-management support. Future tailored interventions should incorporate strategies to enhance motivation in unmotivated patients. Furthermore, care providers should be better equipped to promote motivational change in their patients.</t>
  </si>
  <si>
    <t>Genome-wide association analysis implicates dysregulation of immunity genes in chronic lymphocytic leukaemia.</t>
  </si>
  <si>
    <t>Law, Philip J; Berndt, Sonja I; Speedy, Helen E; Camp, Nicola J; Sava, Georgina P; Skibola, Christine F; Holroyd, Amy; Joseph, Vijai; Sunter, Nicola J; Nieters, Alexandra; Bea, Silvia; Monnereau, Alain; Martin-Garcia, David; Goldin, Lynn R; Clot, Guillem; Teras, Lauren R; Quintela, Inés; Birmann, Brenda M; Jayne, Sandrine; Cozen, Wendy; Majid, Aneela; Smedby, Karin E; Lan, Qing; Dearden, Claire; Brooks-Wilson, Angela R; Hall, Andrew G; Purdue, Mark P; Mainou-Fowler, Tryfonia; Vajdic, Claire M; Jackson, Graham H; Cocco, Pierluigi; Marr, Helen; Zhang, Yawei; Zheng, Tongzhang; Giles, Graham G; Lawrence, Charles; Call, Timothy G; Liebow, Mark; Melbye, Mads; Glimelius, Bengt; Mansouri, Larry; Glenn, Martha; Curtin, Karen; Diver, W Ryan; Link, Brian K; Conde, Lucia; Bracci, Paige M; Holly, Elizabeth A; Jackson, Rebecca D; Tinker, Lesley F; Benavente, Yolanda; Boffetta, Paolo; Brennan, Paul; Maynadie, Marc; McKay, James; Albanes, Demetrius; Weinstein, Stephanie; Wang, Zhaoming; Caporaso, Neil</t>
  </si>
  <si>
    <t>https://pubmed.ncbi.nlm.nih.gov/28165464</t>
  </si>
  <si>
    <t>Several chronic lymphocytic leukaemia (CLL) susceptibility loci have been reported; however, much of the heritable risk remains unidentified. Here we perform a meta-analysis of six genome-wide association studies, imputed using a merged reference panel of 1,000 Genomes and UK10K data, totalling 6,200 cases and 17,598 controls after replication. We identify nine risk loci at 1p36.11 (rs34676223, P=5.04 × 10&lt;sup&gt;-13&lt;/sup&gt;), 1q42.13 (rs41271473, P=1.06 × 10&lt;sup&gt;-10&lt;/sup&gt;), 4q24 (rs71597109, P=1.37 × 10&lt;sup&gt;-10&lt;/sup&gt;), 4q35.1 (rs57214277, P=3.69 × 10&lt;sup&gt;-8&lt;/sup&gt;), 6p21.31 (rs3800461, P=1.97 × 10&lt;sup&gt;-8&lt;/sup&gt;), 11q23.2 (rs61904987, P=2.64 × 10&lt;sup&gt;-11&lt;/sup&gt;), 18q21.1 (rs1036935, P=3.27 × 10&lt;sup&gt;-8&lt;/sup&gt;), 19p13.3 (rs7254272, P=4.67 × 10&lt;sup&gt;-8&lt;/sup&gt;) and 22q13.33 (rs140522, P=2.70 × 10&lt;sup&gt;-9&lt;/sup&gt;). These new and established risk loci map to areas of active chromatin and show an over-representation of transcription factor binding for the key determinants of B-cell development and immune response.</t>
  </si>
  <si>
    <t>Data Science and Biostatistics; Data Science and Biostatistics; Data Science and Biostatistics; Epidemiology and Health Economics; Epidemiology and Health Economics; Data Science and Biostatistics; Global Health and Bioethics; Epidemiology and Health Economics; Data Science and Biostatistics; Epidemiology and Health Economics; Epidemiology and Health Economics</t>
  </si>
  <si>
    <t>Quantification of masking risk in screening mammography with volumetric breast density maps.</t>
  </si>
  <si>
    <t>Holland, Katharina; van Gils, Carla H; Mann, Ritse M; Karssemeijer, Nico</t>
  </si>
  <si>
    <t>https://pubmed.ncbi.nlm.nih.gov/28161786</t>
  </si>
  <si>
    <t>Fibroglandular tissue may mask breast cancers, thereby reducing the sensitivity of mammography. Here, we investigate methods for identification of women at high risk of a masked tumor, who could benefit from additional imaging. The last negative screening mammograms of 111 women with interval cancer (IC) within 12 months after the examination and 1110 selected normal screening exams from women without cancer were used. From the mammograms, volumetric breast density maps were computed, which provide the dense tissue thickness for each pixel location. With these maps, three measurements were derived: (1) percent dense volume (PDV), (2) percent area where dense tissue thickness exceeds 1 cm (PDA), and (3) dense tissue masking model (DTMM). Breast density was scored by a breast radiologist using BI-RADS. Women with heterogeneously and extremely dense breasts were considered at high masking risk. For each masking measure, mammograms were divided into a high- and low-risk category such that the same proportion of the controls is at high masking risk as with BI-RADS. Of the women with IC, 66.1, 71.9, 69.2, and 63.0% were categorized to be at high masking risk with PDV, PDA, DTMM, and BI-RADS, respectively, against 38.5% of the controls. The proportion of IC at high masking risk is statistically significantly different between BI-RADS and PDA (p-value 0.022). Differences between BI-RADS and PDV, or BI-RADS and DTMM, are not statistically significant. Measures based on density maps, and in particular PDA, are promising tools to identify women at high risk for a masked cancer.</t>
  </si>
  <si>
    <t>Search for lepton-flavour-violating decays of the Higgs and &lt;i&gt;Z&lt;/i&gt; bosons with the ATLAS detector.</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</si>
  <si>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Angelozz</t>
  </si>
  <si>
    <t>https://pubmed.ncbi.nlm.nih.gov/28775664</t>
  </si>
  <si>
    <t>Direct searches for lepton flavour violation in decays of the Higgs and &lt;i&gt;Z&lt;/i&gt; bosons with the ATLAS detector at the LHC are presented. The following three decays are considered: [Formula: see text], [Formula: see text], and [Formula: see text]. The searches are based on the data sample of proton-proton collisions collected by the ATLAS detector corresponding to an integrated luminosity of 20.3 [Formula: see text] at a centre-of-mass energy of [Formula: see text] TeV. No significant excess is observed, and upper limits on the lepton-flavour-violating branching ratios are set at the 95[Formula: see text] confidence level: Br[Formula: see text], Br[Formula: see text], and Br[Formula: see text].</t>
  </si>
  <si>
    <t>Rare and low-frequency coding variants alter human adult height.</t>
  </si>
  <si>
    <t>Marouli, Eirini; Graff, Mariaelisa; Medina-Gomez, Carolina; Lo, Ken Sin; Wood, Andrew R; Kjaer, Troels R; Fine, Rebecca S; Lu, Yingchang; Schurmann, Claudia; Highland, Heather M; Rüeger, Sina; Thorleifsson, Gudmar; Justice, Anne E; Lamparter, David; Stirrups, Kathleen E; Turcot, Valérie; Young, Kristin L; Winkler, Thomas W; Esko, Tõnu; Karaderi, Tugce; Locke, Adam E; Masca, Nicholas G D; Ng, Maggie C Y; Mudgal, Poorva; Rivas, Manuel A; Vedantam, Sailaja; Mahajan, Anubha; Guo, Xiuqing; Abecasis, Goncalo; Aben, Katja K; Adair, Linda S; Alam, Dewan S; Albrecht, Eva; Allin, Kristine H; Allison, Matthew; Amouyel, Philippe; Appel, Emil V; Arveiler, Dominique; Asselbergs, Folkert W; Auer, Paul L; Balkau, Beverley; Banas, Bernhard; Bang, Lia E; Benn, Marianne; Bergmann, Sven; Bielak, Lawrence F; Blüher, Matthias; Boeing, Heiner; Boerwinkle, Eric; Böger, Carsten A; Bonnycastle, Lori L; Bork-Jensen, Jette; Bots, Michiel L; Bottinger, Erwin P; Bowden, Donald W; Brandslund, Ivan; Breen, Gerome; Br</t>
  </si>
  <si>
    <t>https://pubmed.ncbi.nlm.nih.gov/28146470</t>
  </si>
  <si>
    <t>Height is a highly heritable, classic polygenic trait with approximately 700 common associated variants identified through genome-wide association studies so far. Here, we report 83 height-associated coding variants with lower minor-allele frequencies (in the range of 0.1-4.8%) and effects of up to 2 centimetres per allele (such as those in IHH, STC2, AR and CRISPLD2), greater than ten times the average effect of common variants. In functional follow-up studies, rare height-increasing alleles of STC2 (giving an increase of 1-2 centimetres per allele) compromised proteolytic inhibition of PAPP-A and increased cleavage of IGFBP-4 in vitro, resulting in higher bioavailability of insulin-like growth factors. These 83 height-associated variants overlap genes that are mutated in monogenic growth disorders and highlight new biological candidates (such as ADAMTS3, IL11RA and NOX4) and pathways (such as proteoglycan and glycosaminoglycan synthesis) involved in growth. Our results demonstrate that sufficiently large sample sizes can uncover rare and low-frequency variants of moderate-to-large effect associated with polygenic human phenotypes, and that these variants implicate relevant genes and pathways.</t>
  </si>
  <si>
    <t>The cohort multiple randomized controlled trial design: a valid and efficient alternative to pragmatic trials?</t>
  </si>
  <si>
    <t>van der Velden, Joanne M; Verkooijen, Helena M; Young-Afat, Danny A; Burbach, Johannes Pm; van Vulpen, Marco; Relton, Clare; van Gils, Carla H; May, Anne M; Groenwold, Rolf Hh</t>
  </si>
  <si>
    <t>https://pubmed.ncbi.nlm.nih.gov/27118559</t>
  </si>
  <si>
    <t>Randomized controlled trials (RCTs)-the gold standard for evaluating the effects of medical interventions-are notoriously challenging in terms of logistics, planning and costs. The cohort multiple randomized controlled trial approach is designed to facilitate randomized trials for pragmatic evaluation of (new) interventions and is a promising variation from conventional pragmatic RCTs. In this paper, we evaluate methodological challenges of conducting an RCT within a cohort. We argue that equally valid results can be obtained from trials conducted within cohorts as from pragmatic RCTs. However, whether this design is more efficient compared with conducting a pragmatic RCT depends on the amount and nature of non-compliance in the intervention arm.</t>
  </si>
  <si>
    <t>Parental experiences with a paediatric palliative care team: A qualitative study.</t>
  </si>
  <si>
    <t>Verberne, Lisa M; Schouten-van Meeteren, Antoinette Yn; Bosman, Diederik K; Colenbrander, Derk A; Jagt, Charissa T; Grootenhuis, Martha A; van Delden, Johannes Jm; Kars, Marijke C</t>
  </si>
  <si>
    <t>https://pubmed.ncbi.nlm.nih.gov/28659021</t>
  </si>
  <si>
    <t>Parents of children with a life-limiting disease have to rely on themselves at home while adequate paediatric palliative care is lacking. In several countries, paediatric palliative care teams are introduced to ensure continuity and quality of care and to support the child and the family. Yet, little is known about how parents experience such multidisciplinary teams. To obtain insight into the support provided by a new paediatric palliative care team from the parents' perspective. An interpretative qualitative interview study using thematic analysis was performed. A total of 47 single or repeated interviews were undertaken with 42 parents of 24 children supported by a multidisciplinary paediatric palliative care team located at a university children's hospital. The children suffered from malignant or non-malignant diseases. In advance, parents had limited expectations of the paediatric palliative care team. Some had difficulty accepting the need for palliative care for their child. Once parents experienced what the team achieved for their child and family, they valued the team's involvement. Valuable elements were as follows: (1) process-related aspects such as continuity, coordination of care, and providing one reliable point of contact; (2) practical support; and (3) the team members' sensitive and reliable attitude. As a point of improvement, parents suggested more concrete clarification upfront of the content of the team's support. Parents feel supported by the paediatric palliative care team. The three elements valued by parents probably form the structure that underlies quality of paediatric palliative care. New teams should cover these three valuable elements.</t>
  </si>
  <si>
    <t>Mechanisms of the Development of Allergy (MeDALL): Introducing novel concepts in allergy phenotypes.</t>
  </si>
  <si>
    <t>Anto, Josep M; Bousquet, Jean; Akdis, Mubeccel; Auffray, Charles; Keil, Thomas; Momas, Isabelle; Postma, Dirkje S; Valenta, Rudolf; Wickman, Magnus; Cambon-Thomsen, Anne; Haahtela, Tari; Lambrecht, Bart N; Lodrup Carlsen, Karin C; Koppelman, Gerard H; Sunyer, Jordi; Zuberbier, Torsten; Annesi-Maesano, Isabelle; Arno, Albert; Bindslev-Jensen, Carsten; De Carlo, Giuseppe; Forastiere, Francesco; Heinrich, Joachim; Kowalski, Marek L; Maier, Dieter; Melén, Erik; Smit, Henriette A; Standl, Marie; Wright, John; Asarnoj, Anna; Benet, Marta; Ballardini, Natalia; Garcia-Aymerich, Judith; Gehring, Ulrike; Guerra, Stefano; Hohmann, Cynthia; Kull, Inger; Lupinek, Christian; Pinart, Mariona; Skrindo, Ingebjorg; Westman, Marit; Smagghe, Delphine; Akdis, Cezmi; Andersson, Niklas; Bachert, Claus; Ballereau, Stephane; Ballester, Ferran; Basagana, Xavier; Bedbrook, Anna; Bergstrom, Anna; von Berg, Andrea; Brunekreef, Bert; Burte, Emilie; Carlsen, Kai-Hakon; Chatzi, Leda; Coquet, Jonathan M; Curin, Mirela</t>
  </si>
  <si>
    <t>https://pubmed.ncbi.nlm.nih.gov/28183433</t>
  </si>
  <si>
    <t>Asthma, rhinitis, and eczema are complex diseases with multiple genetic and environmental factors interlinked through IgE-associated and non-IgE-associated mechanisms. Mechanisms of the Development of ALLergy (MeDALL; EU FP7-CP-IP; project no: 261357; 2010-2015) studied the complex links of allergic diseases at the clinical and mechanistic levels by linking epidemiologic, clinical, and mechanistic research, including in vivo and in vitro models. MeDALL integrated 14 European birth cohorts, including 44,010 participants and 160 cohort follow-ups between pregnancy and age 20 years. Thirteen thousand children were prospectively followed after puberty by using a newly standardized MeDALL Core Questionnaire. A microarray developed for allergen molecules with increased IgE sensitivity was obtained for 3,292 children. Estimates of air pollution exposure from previous studies were available for 10,000 children. Omics data included those from historical genome-wide association studies (23,000 children) and DNA methylation (2,173), targeted multiplex biomarker (1,427), and transcriptomic (723) studies. Using classical epidemiology and machine-learning methods in 16,147 children aged 4 years and 11,080 children aged 8 years, MeDALL showed the multimorbidity of eczema, rhinitis, and asthma and estimated that only 38% of multimorbidity was attributable to IgE sensitization. MeDALL has proposed a new vision of multimorbidity independent of IgE sensitization, and has shown that monosensitization and polysensitization represent 2 distinct phenotypes. The translational component of MeDALL is shown by the identification of a novel allergic phenotype characterized by polysensitization and multimorbidity, which is associated with the frequency, persistence, and severity of allergic symptoms. The results of MeDALL will help integrate personalized, predictive, preventative, and participatory approaches in allergic diseases.</t>
  </si>
  <si>
    <t>Peripheral insulin resistance rather than beta cell dysfunction accounts for geographical differences in impaired fasting blood glucose among sub-Saharan African individuals: findings from the RODAM study.</t>
  </si>
  <si>
    <t>Meeks, Karlijn A C; Stronks, Karien; Adeyemo, Adebowale; Addo, Juliet; Bahendeka, Silver; Beune, Erik; Owusu-Dabo, Ellis; Danquah, Ina; Galbete, Cecilia; Henneman, Peter; Klipstein-Grobusch, Kerstin; Mockenhaupt, Frank P; Osei, Kwame; Schulze, Matthias B; Spranger, Joachim; Smeeth, Liam; Agyemang, Charles</t>
  </si>
  <si>
    <t>https://pubmed.ncbi.nlm.nih.gov/28144712</t>
  </si>
  <si>
    <t>The aim of this study was to assess the extent to which insulin resistance and beta cell dysfunction account for differences in impaired fasting blood glucose (IFBG) levels in sub-Saharan African individuals living in different locations in Europe and Africa. We also aimed to identify determinants associated with insulin resistance and beta cell dysfunction among this population. Data from the cross-sectional multicentre Research on Obesity and Diabetes among African Migrants (RODAM) study were analysed. Participants included Ghanaian individuals without diabetes, aged 18-96 years old, who were residing in Amsterdam (n = 1337), Berlin (n = 502), London (n = 961), urban Ghana (n = 1309) and rural Ghana (n = 970). Glucose and insulin were measured in fasting venous blood samples. Anthropometrics were assessed during a physical examination. Questionnaires were used to assess demographics, physical activity, smoking status, alcohol consumption and energy intake. Insulin resistance and beta cell function were determined using homeostatic modelling (HOMA-IR and HOMA-B, respectively). Logistic regression analysis was used to study the contribution of HOMA-IR and inverse HOMA-B (beta cell dysfunction) to geographical differences in IFBG (fasting glucose 5.6-6.9 mmol/l). Multivariate linear regression analysis was used to identify determinants associated with HOMA-IR and inverse HOMA-B. IFBG was more common in individuals residing in urban Ghana (OR 1.41 [95% CI 1.08, 1.84]), Amsterdam (OR 3.44 [95% CI 2.69, 4.39]) and London (OR 1.58 [95% CI 1.20 2.08), but similar in individuals living in Berlin (OR 1.00 [95% CI 0.70, 1.45]), compared with those in rural Ghana (reference population). The attributable risk of IFBG per 1 SD increase in HOMA-IR was 69.3% and in inverse HOMA-B was 11.1%. After adjustment for HOMA-IR, the odds for IFBG reduced to 0.96 (95% CI 0.72, 1.27), 2.52 (95%CI 1.94, 3.26) and 1.02 (95% CI 0.78, 1.38) for individuals in Urban Ghana, Amsterdam and London compared with rural Ghana, respectively. In contrast, adjustment for inverse HOMA-B had very minor impact on the ORs of IFBG. In multivariate analyses, BMI (β = 0.17 [95% CI 0.11, 0.24]) and waist circumference (β = 0.29 [95%CI 0.22, 0.36]) were most strongly associated with higher HOMA-IR, whereas inverse HOMA-B was most strongly associated with age (β = 0.20 [95% CI 0.16, 0.23]) and excess alcohol consumption (β = 0.25 [95% CI 0.07, 0.43]). Our findings suggest that insulin resistance, rather than beta cell dysfunction, is more important in accounting for the geographical differences in IFBG among sub-Saharan African individuals. We also show that BMI and waist circumference are important factors in insulin resistance in this population.</t>
  </si>
  <si>
    <t>Calcification of the splenic, iliac, and breast arteries and risk of all-cause and cardiovascular mortality.</t>
  </si>
  <si>
    <t>Hendriks, Eva J E; Beulens, Joline W J; de Jong, Pim A; van der Schouw, Yvonne T; Sun, Wei-Ning; Wright, C Michael; Criqui, Michael H; Allison, Matthew A; Ix, Joachim H</t>
  </si>
  <si>
    <t>https://pubmed.ncbi.nlm.nih.gov/28216252</t>
  </si>
  <si>
    <t>CVD risks associated with coronary artery calcification (CAC) and aortic calcification (AC) are well known, but less is known about other calcified arteries. We aimed to assess the associations of arterial calcification in the breast, splenic, and internal and external iliac arteries with CVD risk factors and mortality. We conducted a case-cohort study nested in a cohort of 5196 individuals who self-referred or were referred by a health care provider for whole body computed tomography (CT), including a random subcohort (n = 395) and total and CVD mortality cases (n = 298 and n = 90), who died during a median follow-up of 9.4 years. Arterial calcification in the breast, splenic, and internal and external iliac arteries on CT was scored using a simple visual score. AC and CAC were previously measured using the Agatston technique. Logistic regression models were made to study associations of CVD risk factors with calcification in the different vascular beds. Prentice-weighted Cox proportional hazards models adjusted for CVD risk factors, and calcification in other vascular beds, were used to study associations with mortality. In the subcohort, the mean age was 56.6 years (SD 11.1) and 41.3% were female. The prevalence of calcification on CT, was 11.6% in the splenic, 47.9% in the internal iliac and 9.5% in the external iliac arteries, while 3.7% of women had breast artery calcification (BAC). Calcification in the splenic and iliac arteries was associated with calcification in the abdominal aorta but differentially associated with other CVD risk factors in logistic regression models. The prevalence of BAC was too low to fit these multivariable models. Calcification of the external iliac arteries was significantly associated with both all-cause and CVD mortality, but no longer significant when adjusted for CVD risk factors. Breast artery calcification was associated with both all-cause and CVD mortality independent of CVD risk factors and AAC and CAC (all-cause HR 5.67 [95% CI 1.50-21.41]). Risk factors associated with calcification, and the association of calcification with risk of mortality differ across vascular beds, possibly reflecting different pathophysiology.</t>
  </si>
  <si>
    <t>Late-Life Depression, Hippocampal Volumes, and Hypothalamic-Pituitary-Adrenal Axis Regulation: A Systematic Review and Meta-analysis.</t>
  </si>
  <si>
    <t>https://pubmed.ncbi.nlm.nih.gov/28318491</t>
  </si>
  <si>
    <t>We systematically reviewed and meta-analyzed the association of late-life depression (LLD) with hippocampal volume (HCV) and total brain volume (TBV), and of cortisol levels with HCV, including subgroup analyses of depression characteristics and methodological aspects. We searched PubMed and Embase for original studies that examined the cross-sectional relationship between LLD and HCV or TBV, and 46 studies fulfilled the inclusion criteria. Standardized mean differences (Hedges' g) between LLD and control subjects were calculated from crude or adjusted brain volumes using random effects. Standardized Fisher transformations of the correlations between cortisol levels and HCVs were calculated using random effects. We included 2702 LLD patients and 11,165 control subjects from 35 studies examining HCV. Relative to control subjects, patients had significantly smaller HCVs (standardized mean difference = -0.32 [95% confidence interval, -0.44 to -0.19]). Subgroup analyses showed that late-onset depression was more strongly associated with HCV than early-onset depression. In addition, effect sizes were larger for case-control studies, studies with lower quality, and studies with small sample size, and were almost absent in cohort studies and studies with larger sample sizes. For TBV, 2523 patients and 7880 control subjects from 31 studies were included. The standardized mean difference in TBV between LLD and control subjects was -0.10 (95% confidence interval, -0.16 to -0.04). Of the 12 studies included, higher levels of cortisol were associated with smaller HCV (correlation = -0.11 [95% confidence interval, -0.18 to -0.04]). While an overall measure of LLD may be associated with smaller HCVs, differentiating clinical aspects of LLD and examining methodological issues show that this relationship is not straightforward.</t>
  </si>
  <si>
    <t>Relation between brown adipose tissue and measures of obesity and metabolic dysfunction in patients with cardiovascular disease.</t>
  </si>
  <si>
    <t>Franssens, Bas T; Hoogduin, Hans; Leiner, Tim; van der Graaf, Yolanda; Visseren, Frank L J</t>
  </si>
  <si>
    <t>https://pubmed.ncbi.nlm.nih.gov/28130811</t>
  </si>
  <si>
    <t>To evaluate whether brown adipose tissue (BAT) is present in middle-aged patients with cardiovascular comorbidities and to quantify how BAT presence associates with obesity and metabolic dysfunction. Supraclavicular and subcutaneous adipose tissue fat-signal-fraction (FF) was determined with 1.5T water-fat magnetic resonance imaging (MRI) in 50 patients with coronary artery disease, cerebrovascular disease, or peripheral artery disease. The association between BAT presence, as measured by a higher FF difference between supraclavicular and subcutaneous adipose tissue, and obesity and metabolic dysfunction was quantified using multivariable linear regression. Supraclavicular adipose tissue displays a lower FF of 82.6% (interquartile range [IQR] 78.8-84.3) compared to 90.2% (IQR 87.3-91.9) in subcutaneous white adipose tissue (WAT, P &lt; 0.0001). BAT presence was associated with less obesity and metabolic dysfunction. For example, 1 SD lower waist circumference (11.7 cm), 1 SD lower triglycerides (1.0 mmol/L), and absence of metabolic syndrome and type 2 diabetes were associated with 1.1% (95% confidence interval [CI] 0.1; 2.0), 1.1% (95% CI 0.1; 2.0), 2.1% (95% CI 0.1; 4.1), and 4.1% (95% CI 0.1; 7.1) higher FF difference between supraclavicular adipose tissue and subcutaneous WAT, respectively. Supraclavicular adipose tissue has BAT characteristics in adult patients with clinical manifest cardiovascular disease and BAT presence is associated with less obesity and a more favorable metabolic profile. 2 Technical Efficacy: Stage 2 J. MAGN. RESON. IMAGING 2017;46:497-504.</t>
  </si>
  <si>
    <t>Uniform data collection in routine clinical practice in cardiovascular patients for optimal care, quality control and research: The Utrecht Cardiovascular Cohort.</t>
  </si>
  <si>
    <t>Asselbergs, Folkert W; Visseren, Frank Lj; Bots, Michiel L; de Borst, Gert J; Buijsrogge, Marc P; Dieleman, Jan M; van Dinther, Baukje Gf; Doevendans, Pieter A; Hoefer, Imo E; Hollander, Monika; de Jong, Pim A; Koenen, Steven V; Pasterkamp, Gerard; Ruigrok, Ynte M; van der Schouw, Yvonne T; Verhaar, Marianne C; Grobbee, Diederick E</t>
  </si>
  <si>
    <t>https://pubmed.ncbi.nlm.nih.gov/28128643</t>
  </si>
  <si>
    <t>Background Cardiovascular disease remains the major contributor to morbidity and mortality. In routine care for patients with an elevated cardiovascular risk or with symptomatic cardiovascular disease information is mostly collected in an unstructured manner, making the data of limited use for structural feedback, quality control, learning and scientific research. Objective The Utrecht Cardiovascular Cohort (UCC) initiative aims to create an infrastructure for uniform registration of cardiovascular information in routine clinical practice for patients referred for cardiovascular care at the University Medical Center Utrecht, the Netherlands. This infrastructure will promote optimal care according to guidelines, continuous quality control in a learning healthcare system and creation of a research database. Methods The UCC comprises three parts. UCC-1 comprises enrolment of all eligible cardiovascular patients in whom the same information will be collected, based on the Dutch cardiovascular management guideline. A sample of UCC-1 will be invited for UCC-2. UCC-2 involves an enrichment through extensive clinical measurements with emphasis on heart failure, cerebral ischaemia, arterial aneurysms, diabetes mellitus and elevated blood pressure. UCC-3 comprises on-top studies, with in-depth measurements in smaller groups of participants typically based on dedicated project grants. All participants are followed up for morbidity and mortality through linkage with national registries. Conclusion In a multidisciplinary effort with physicians, patients and researchers the UCC sets a benchmark for a learning cardiovascular healthcare system. UCC offers an invaluable resource for future high quality care as well as for first-class research for investigators.</t>
  </si>
  <si>
    <t>Comparative effectiveness of recommended versus less intensive drug combinations in secondary prevention of acute coronary syndrome.</t>
  </si>
  <si>
    <t>Bezin, Julien; Groenwold, Rolf H H; Ali, M Sanni; Lassalle, Régis; Robinson, Philip; de Boer, Anthonius; Moore, Nicholas; Klungel, Olaf H; Pariente, Antoine</t>
  </si>
  <si>
    <t>https://pubmed.ncbi.nlm.nih.gov/28124399</t>
  </si>
  <si>
    <t>The secondary prevention treatment for acute coronary syndrome (ACS) is based on the combined use of drugs from four therapeutic classes (beta-blockers, antiplatelet agents, statins, and angiotensin-converting enzyme inhibitors or angiotensin receptor blockers). The objective of this study was to compare the long-term effectiveness of the recommended therapeutic combination with those of incomplete combinations in secondary prevention of ACS. This cohort study used data from a representative sample of the French national healthcare insurance system database. Patients hospitalised for an incident ACS between 2006 and 2011 and aged ≥20 years at the time of ACS were included in the study. Effectiveness in preventing the composite outcome ACS, transient ischemic attack, ischemic stroke or all-cause-death was estimated using time-fixed and time-dependent Cox proportional hazards models with different definitions of exposure (at inclusion or determined daily during follow-up) and adjustment for patient characteristics, co-morbidities and co-medications. Of the 2874 patients included in the study, 33.9% were women; median age was 67 years (interquartile range: 56-77). The median duration of follow-up was 3.6 years (interquartile range: 2.2-5.3). Compared with the use of recommended combination, use of combination with three classes increased the risk of the composite outcome from 1.25 (95% confidence interval (95%CI), [1.07-1.47]) in the time-fixed model and from 1.40 (95%CI, [1.15-1.70]) or 1.42 (95%CI, [1.13-1.79]) in the time-dependent models. After ACS, the use of incomplete drugs combinations compared with the recommended four drugs combination was associated with a higher risk of cardiovascular morbidity and all-cause mortality. Copyright © 2017 John Wiley &amp; Sons, Ltd.</t>
  </si>
  <si>
    <t>High ratios of kidney function to kidney size are related to mortality and kidney function decline in high-risk patients.</t>
  </si>
  <si>
    <t>van der Sande, Nicolette Gc; Blankestijn, Peter J; Leiner, Tim; van der Graaf, Yolanda; de Borst, Gert Jan; Cramer, Maarten Jm; Visseren, Frank Lj; ,</t>
  </si>
  <si>
    <t>https://pubmed.ncbi.nlm.nih.gov/28121180</t>
  </si>
  <si>
    <t>Background The ratio of estimated glomerular filtration rate (eGFR) to kidney size reflects the kidney's capacity for filtration per kidney volume or kidney length. High ratios of eGFR to kidney size, which might indicate glomerular hyperfiltration, could be related to kidney function decline, cardiovascular disease and mortality. Methods In 6926 patients with clinically manifest vascular disease, we evaluated the relationship between eGFR/kidney size and the risk of cardiovascular events and all-cause mortality using Cox regression. Quartiles were made for eGFR/kidney size, using the second quartile as the reference category. In 1516 patients with second measurements of eGFR, linear regression was used to evaluate the relationship between eGFR/kidney size and annual kidney function decline. Results The relationship between eGFR/kidney size and all-cause mortality followed a reversed J-shaped curve with increased risk for the lowest (hazard ratio (HR) 1.17; 95% confidence interval (CI) 1.01-1.36) and highest quartile (HR 1.04; 95% CI 0.87-1.25) of eGFR/volume, and for the lowest (HR 1.37;95%CI 1.19-1.59) and highest quartile (HR 1.28; 95% CI 1.06-1.54) of eGFR/length. The risk for cardiovascular events was increased for the lowest quartile of eGFR/length (HR 1.55; 95% CI 1.33-1.82). An increase in eGFR/volume and eGFR/length, was related to a greater kidney function decline, β -0.34 (95% CI -0.42 to -0.26) and β -0.55 (95% CI -0.63 to -0.48) ml/min/1.73 m&lt;sup&gt;2&lt;/sup&gt; per year respectively. Conclusions High eGFR/volume and eGFR/length, which might indicate glomerular hyperfiltration, are related to kidney function decline. High eGFR/length confers an increased risk for all-cause mortality in patients with clinically manifest vascular disease.</t>
  </si>
  <si>
    <t>Will genetic studies deliver the next generation of cardioprotective therapies?</t>
  </si>
  <si>
    <t>Nicholls, Stephen J; Ray, Kausik K; Grobbee, Diederick E</t>
  </si>
  <si>
    <t>https://pubmed.ncbi.nlm.nih.gov/28121171</t>
  </si>
  <si>
    <t>A systematic literature review on the efficacy-effectiveness gap: comparison of randomized controlled trials and observational studies of glucose-lowering drugs.</t>
  </si>
  <si>
    <t>Ankarfeldt, Mikkel Z; Adalsteinsson, Erpur; Groenwold, Rolf Hh; Ali, M Sanni; Klungel, Olaf H</t>
  </si>
  <si>
    <t>https://pubmed.ncbi.nlm.nih.gov/28176959</t>
  </si>
  <si>
    <t>To identify a potential efficacy-effectiveness gap and possible explanations (drivers of effectiveness) for differences between results of randomized controlled trials (RCTs) and observational studies investigating glucose-lowering drugs. A systematic literature review was conducted in English language articles published between 1 January, 2000 and 31 January, 2015 describing either RCTs or observational studies comparing glucagon-like peptide-1 analogs (GLP-1) with insulin or comparing dipeptidyl peptidase-4 inhibitors (DPP-4i) with sulfonylurea, all with change in glycated hemoglobin (HbA1c) as outcome. Medline, Embase, Current Content, and Biosis were searched. Information on effect estimates, baseline characteristics of the study population, publication year, study duration, and number of patients, and for observational studies, characteristics related to confounding adjustment and selection- and information bias were extracted. From 312 hits, 11 RCTs and 7 observational studies comparing GLP-1 with insulin, and from 474 hits, 16 RCTs and 4 observational studies comparing DPP-4i with sulfonylurea were finally included. No differences were observed in baseline characteristics of the study populations (age, sex, body mass index, time since diagnosis of type 2 diabetes mellitus, and HbA1c) or effect sizes across study designs. Mean effect sizes ranged from -0.43 to 0.91 and from -0.80 to 1.13 in RCTs and observational studies, respectively, comparing GLP-1 with insulin, and from -0.13 to 2.70 and -0.20 to 0.30 in RCTs and observational studies, respectively, comparing DPP-4i and sulfonylurea. Generally, the identified observational studies held potential flaws with regard to confounding adjustment and selection- and information bias. Neither potential drivers of effectiveness nor an efficacy-effectiveness gap were identified. However, the limited number of studies and potential problems with confounding adjustment, selection- and information bias in the observational studies, may have hidden a true efficacy-effectiveness gap.</t>
  </si>
  <si>
    <t>No evidence for cross-protection of the HPV-16/18 vaccine against HPV-6/11 positivity in female STI clinic visitors.</t>
  </si>
  <si>
    <t>Woestenberg, Petra J; King, Audrey J; van der Sande, Marianne A B; Donken, Robine; Leussink, Suzan; van der Klis, Fiona R M; Hoebe, Christian J P A; Bogaards, Johannes A; van Benthem, Birgit H B; ,; ,</t>
  </si>
  <si>
    <t>https://pubmed.ncbi.nlm.nih.gov/28126492</t>
  </si>
  <si>
    <t>Data from a vaccine trial and from post-vaccine surveillance in the United Kingdom have suggested that the bivalent HPV-16/18 vaccine offers cross-protection against HPV-6/11 and protection against anogenital warts (AGW). We studied the effect of the bivalent vaccine on genital HPV-6/11 positivity and AGW in the Netherlands. We included all vaccine-eligible women from the PASSYON study, a biennial cross-sectional study among 16- to 24-year-old sexually transmitted infection (STI) clinic attendants. Vaginal self-swabs were analyzed for type specific HPV and AGW were diagnosed at the STI-clinic. Prevalence of HPV-6 and/or HPV-11 and AGW were compared between self-reported vaccinated and unvaccinated women by log-binomial regression analysis, adjusted for demographics and risk behavior. Of the 1198 women included, 56% reported to be vaccinated at least once. Relative to unvaccinated women, the adjusted prevalence ratio (PR) for HPV-6/11 was 1.03 (95% confidence interval [CI] 0.74-1.43) for women vaccinated at least once. The crude PR for AGW was 0.67 (95% CI 0.22-2.07) for women vaccinated at least once. Adjustment did not change these results. We observed no cross-protective effect of the bivalent vaccine on genital HPV-6/11 positivity and a non-significant partially protective effect on AGW.</t>
  </si>
  <si>
    <t>The Use of Antidepressants, Anxiolytics, and Hypnotics in People with Type 2 Diabetes and Patterns Associated with Use: The Hoorn Diabetes Care System Cohort.</t>
  </si>
  <si>
    <t>Mast, R; Rauh, S P; Groeneveld, L; Koopman, A D; Beulens, J W J; Jansen, A P D; Bremmer, M; van der Heijden, A A W A; Elders, P J; Dekker, J M; Nijpels, G; Hugtenburg, J G; Rutters, F</t>
  </si>
  <si>
    <t>https://pubmed.ncbi.nlm.nih.gov/28232942</t>
  </si>
  <si>
    <t>&lt;i&gt;Objective&lt;/i&gt;. With depression being present in approximately 20% of people with type 2 diabetes mellitus (T2DM), we expect equally frequent prescription of antidepressants, anxiolytics, and hypnotics. Nevertheless, prescription data in people with T2DM is missing and the effect of depression on glycaemic control is contradictory. The aim of this study was to assess the prevalence of antidepressants, anxiolytics, and/or hypnotics use in a large, managed, primary care system cohort of people with T2DM and to determine the sociodemographic characteristics, comorbidities, T2DM medication, and metabolic control associated with its use. &lt;i&gt;Method&lt;/i&gt;. The prevalence of antidepressants, anxiolytics, and/or hypnotics use in the years 2007-2012 was assessed in the Hoorn Diabetes Care System Cohort from the Netherlands. &lt;i&gt;Results&lt;/i&gt;. From the 7016 people with T2DM, 500 people (7.1%) used antidepressants only, 456 people (6.5%) used anxiolytics and/or hypnotics only, and 254 people (3.6%) used a combination. &lt;i&gt;Conclusion&lt;/i&gt;. We conclude that in our managed, primary care system 17% of all people with T2DM used antidepressants, anxiolytics, and/or hypnotics. Users of antidepressants, anxiolytics, and/or hypnotics were more often female, non-Caucasian, lower educated, and more often treated with insulin.</t>
  </si>
  <si>
    <t>Coxiella burnetii (Q fever) prevalence in associated populations of humans and small ruminants in The Gambia.</t>
  </si>
  <si>
    <t>Bok, Jeroen; Hogerwerf, Lenny; Germeraad, Eveline A; Roest, Hendrik I J; Faye-Joof, Tisbeh; Jeng, Momodou; Nwakanma, Davis; Secka, Arss; Stegeman, Arjan; Goossens, Bart; Wegmüller, Rita; van der Sande, Marianne A B; van der Hoek, Wim; Secka, Ousman</t>
  </si>
  <si>
    <t>https://pubmed.ncbi.nlm.nih.gov/27987380</t>
  </si>
  <si>
    <t>To simultaneously estimate the prevalence of antibodies against Coxiella burnetii (Q fever) among adults and small ruminants, and C. burnetii shedding prevalence among small ruminants in households in the Kiang West district of The Gambia, and to assess associated risk factors. Sera of 599 adults and 615 small ruminants from 125 compounds within 12 villages were tested for antibodies against C. burnetii using ELISA. Vaginal swabs and milk samples of 155 small ruminants were tested using PCR to investigate shedding of C. burnetii. A total of 3.8-9.7% of adults, depending on ELISA test cut-off, and 24.9% of small ruminants in Kiang West were seropositive. Having at least one seropositive animal in one's compound was a risk factor for human seropositivity (OR: 3.35, 95% CI: 1.09-14.44). A grazing area within a village was a risk factor for seropositivity in small ruminants (OR: 2.07, 95% CI: 1.26-3.50); others were having lambed (OR: 2.75, 95% CI: 1.37-5.76) and older age of the animals (OR: 2.75, 95% CI: 1.37-5.76 for 1-3 years and OR 5.84, 95% CI: 3.10-11.64 for &gt;3 years); 57.4% of sampled small ruminants were shedding C. burnetii. Coxiella burnetii infection is endemic among both humans and small ruminants in this area of The Gambia. Human and animal exposure to C. burnetii were related at compound level. Further research into the clinical relevance of C. burnetii infection in West Africa is needed.</t>
  </si>
  <si>
    <t>Stroke in 2016: Stroke is treatable, but prevention is the key.</t>
  </si>
  <si>
    <t>Algra, Ale; Wermer, Marieke J H</t>
  </si>
  <si>
    <t>nature reviews neurology</t>
  </si>
  <si>
    <t>https://pubmed.ncbi.nlm.nih.gov/28106062</t>
  </si>
  <si>
    <t>Measurement of the [Formula: see text] and [Formula: see text] production cross sections in multilepton final states using 3.2 fb[Formula: see text] of [Formula: see text] collisions at [Formula: see text] = 13 TeV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</si>
  <si>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 S; A</t>
  </si>
  <si>
    <t>https://pubmed.ncbi.nlm.nih.gov/28260981</t>
  </si>
  <si>
    <t>A measurement of the [Formula: see text] and [Formula: see text] production cross sections in final states with either two same-charge muons, or three or four leptons (electrons or muons) is presented. The analysis uses a data sample of proton-proton collisions at [Formula: see text] TeV recorded with the ATLAS detector at the Large Hadron Collider in 2015, corresponding to a total integrated luminosity of 3.2 fb[Formula: see text]. The inclusive cross sections are extracted using likelihood fits to signal and control regions, resulting in [Formula: see text] pb and [Formula: see text] pb, in agreement with the Standard Model predictions.</t>
  </si>
  <si>
    <t>Human tissues in a dish: The research and ethical implications of organoid technology.</t>
  </si>
  <si>
    <t>Bredenoord, Annelien L; Clevers, Hans; Knoblich, Juergen A</t>
  </si>
  <si>
    <t>science new york ny</t>
  </si>
  <si>
    <t>https://pubmed.ncbi.nlm.nih.gov/28104841</t>
  </si>
  <si>
    <t>The ability to generate human tissues in vitro from stem cells has raised enormous expectations among the biomedical research community, patients, and the general public. These organoids enable studies of normal development and disease and allow the testing of compounds directly on human tissue. Organoids hold the promise to influence the entire innovation cycle in biomedical research. They affect fields that have been subjects of intense ethical debate, ranging from animal experiments and the use of embryonic or fetal human tissues to precision medicine, organoid transplantation, and gene therapy. However, organoid research also raises additional ethical questions that require reexamination and potential recalibration of ethical and legal policies. In this Review, we describe the current state of research and discuss the ethical implications of organoid technology.</t>
  </si>
  <si>
    <t>Selecting patients with non-ST-elevation acute coronary syndrome for coronary angiography: a nationwide clinical vignette study in the Netherlands.</t>
  </si>
  <si>
    <t>Engel, Josien; Poldervaart, Judith M; van der Wulp, Ineke; Reitsma, Johannes B; de Bruijne, Martine C; Bunge, Jeroen J H; Cramer, Maarten J; Tietge, Wouter J; Uijlings, Ruben; Wagner, Cordula</t>
  </si>
  <si>
    <t>https://pubmed.ncbi.nlm.nih.gov/28104706</t>
  </si>
  <si>
    <t>Cardiac guidelines recommend that the decision to perform coronary angiography (CA) in patients with Non-ST-Elevation Acute Coronary Syndrome (NST-ACS) is based on multiple factors. It is, however, unknown how cardiologists weigh these factors in their decision-making. The aim was to investigate the importance of different clinical characteristics, including information derived from risk scores, in the decision-making of Dutch cardiologists regarding performing CA in patients with suspected NST-ACS. A web-based survey containing clinical vignettes. Registered Dutch cardiologists were approached to complete the survey, in which they were asked to indicate whether they would perform CA for 8 vignettes describing 7 clinical factors: age, renal function, known coronary artery disease, persistent chest pain, presence of risk factors, ECG findings and troponin levels. Cardiologists were divided into two groups: group 1 received vignettes 'without' a risk score present, while group 2 completed vignettes 'with' a risk score present. 129 (of 946) cardiologists responded. In both groups, elevated troponin levels and typical ischaemic changes (p&lt;0.001) made cardiologists decide more often to perform CA. Severe renal dysfunction (p&lt;0.001) made cardiologists more hesitant to decide on CA. Age and risk score could not be assessed independently, as these factors were strongly associated. Inspecting the factors together showed, for example, that cardiologists were more hesitant to perform CA in elderly patients with high-risk scores than in younger patients with intermediate risk scores. When deciding to perform in-hospital CA (≤72 hours after patient admission) in patients with suspected NST-ACS, cardiologists tend to rely mostly on troponin levels, ECG changes and renal function. Future research should focus on why CA is less often recommended in patients with severe renal dysfunction, and in elderly patients with high-risk scores. In addition, the impact of age and risk score on decision-making should be further investigated.</t>
  </si>
  <si>
    <t>Assessment of channeling bias among initiators of glucose-lowering drugs: A UK cohort study.</t>
  </si>
  <si>
    <t>Ankarfeldt, Mikkel Z; Thorsted, Brian L; Groenwold, Rolf Hh; Adalsteinsson, Erpur; Ali, M Sanni; Klungel, Olaf H</t>
  </si>
  <si>
    <t>https://pubmed.ncbi.nlm.nih.gov/28176886</t>
  </si>
  <si>
    <t>Channeling bias may occur when a newly marketed drug and an established drug, despite similar indications, are prescribed to patients with different prognostic characteristics (ie, confounding). To investigate channeling bias and its impact on relative effectiveness of glucagon-like peptide-1 (GLP-1) analogs versus basal insulin and dipeptidyl peptidase-4 inhibitors (DPP-4i) versus sulfonylurea. In the UK Clinical Practice Research Datalink, patients with type 2 diabetes initiating treatment between 2006 and 2015 were included. Analyses were stratified by years since first prescription of GLP-1 and DPP-4i, respectively. The characteristics of GLP-1 versus insulin and DPP-4i versus sulfonylurea initiators were compared over time. After propensity score matching, the relative effectiveness regarding 6-month changes in glycated hemoglobin (HbA&lt;sub&gt;1c&lt;/sub&gt;) and body weight was estimated. In total, 8,398 GLP-1, 14,807 insulin, 24,481 DPP-4i, and 33,505 sulfonylurea initiators were identified. No major channeling was observed. Considerable overlap in distributions of characteristics allowed for propensity score-matched analyses. Relative effectiveness was similar across time. The overall relative effect of GLP-1 versus insulin showed no difference for HbA&lt;sub&gt;1c&lt;/sub&gt; and relative increase in body weight (3.57 kg [95% confidence interval {CI}: 3.21, 3.92]) for insulin. The overall relative effect of DPP-4i versus sulfonylurea showed relative decrease in HbA&lt;sub&gt;1c&lt;/sub&gt; (-0.34% [95% CI: -0.38, -0.30]) and increase in body weight (1.58 kg [95% CI: 1.38, 1.78]) for sulfonylurea. No major channeling was identified in the investigated glucose-lowering drugs. Relative effectiveness could be estimated already in the first year after launch and was consistent in the years thereafter.</t>
  </si>
  <si>
    <t>Development and validation of a prediction model for gestational hypertension in a Ghanaian cohort.</t>
  </si>
  <si>
    <t>Antwi, Edward; Groenwold, Rolf H H; Browne, Joyce L; Franx, Arie; Agyepong, Irene A; Koram, Kwadwo A; Klipstein-Grobusch, Kerstin; Grobbee, Diederick E</t>
  </si>
  <si>
    <t>https://pubmed.ncbi.nlm.nih.gov/28093430</t>
  </si>
  <si>
    <t>To develop and validate a prediction model for identifying women at increased risk of developing gestational hypertension (GH) in Ghana. A prospective study. We used frequencies for descriptive analysis, χ&lt;sup&gt;2&lt;/sup&gt; test for associations and logistic regression to derive the prediction model. Discrimination was estimated by the c-statistic. Calibration was assessed by calibration plot of actual versus predicted probability. Primary care antenatal clinics in Ghana. 2529 pregnant women in the development cohort and 647 pregnant women in the validation cohort. Inclusion criterion was women without chronic hypertension. Gestational hypertension. Predictors of GH were diastolic blood pressure, family history of hypertension in parents, history of GH in a previous pregnancy, parity, height and weight. The c-statistic of the original model was 0.70 (95% CI 0.67-0.74) and 0.68 (0.60 to 0.77) in the validation cohort. Calibration was good in both cohorts. The negative predictive value of women in the development cohort at high risk of GH was 92.0% compared to 94.0% in the validation cohort. The prediction model showed adequate performance after validation in an independent cohort and can be used to classify women into high, moderate or low risk of developing GH. It contributes to efforts to provide clinical decision-making support to improve maternal health and birth outcomes.</t>
  </si>
  <si>
    <t>Incidence, Predictors, and Outcomes of New-Onset Atrial Fibrillation in Critically Ill Patients with Sepsis. A Cohort Study.</t>
  </si>
  <si>
    <t>Klein Klouwenberg, Peter M C; Frencken, Jos F; Kuipers, Sanne; Ong, David S Y; Peelen, Linda M; van Vught, Lonneke A; Schultz, Marcus J; van der Poll, Tom; Bonten, Marc J; Cremer, Olaf L; ,</t>
  </si>
  <si>
    <t>https://pubmed.ncbi.nlm.nih.gov/27467907</t>
  </si>
  <si>
    <t>Patients admitted to intensive care units with sepsis are prone to developing cardiac dysrhythmias, most commonly atrial fibrillation. To determine the incidence, risk factors, and outcomes of atrial fibrillation in a cohort of critically ill patients with sepsis. We assessed the association between atrial fibrillation and mortality using time-dependent competing risks survival analysis. Subsequently, for development of a risk score estimating the probability of a first occurrence of atrial fibrillation within the following 24 hours, we performed logistic regression analysis. Among 1,782 patients with sepsis admitted to two tertiary intensive care units in the Netherlands between January 2011 and June 2013, a total of 1,087 episodes of atrial fibrillation occurred in 418 (23%) individuals. The cumulative risk of new-onset atrial fibrillation was 10% (95% confidence interval [CI], 8-12), 22% (95% CI, 18-25), and 40% (95% CI, 36-44) in patients with sepsis, severe sepsis, and septic shock, respectively. New-onset atrial fibrillation was associated with a longer stay (hazard ratio [HR], 0.55; 95% CI, 0.48-0.64), an increased death rate (HR, 1.52; 95% CI, 1.16-2.00), and an overall increased mortality risk (subdistribution HR, 2.10; 95% CI, 1.61-2.73) when considering discharge as a competing event. A simple risk score for daily prediction of atrial fibrillation occurrence yielded good discrimination (C statistic, 0.81; 95% CI, 0.79-0.84) and calibration (chi-square, 9.38; P = 0.31), with similar performance in an independent validation cohort (C statistic, 0.80; 95% CI, 0.76-0.85). Atrial fibrillation is a common complication of sepsis and independently associated with excess mortality. A simple risk score may identify patients at high risk of this complication. Clinical trial registered with www.clinicaltrials.gov (NCT 01905033).</t>
  </si>
  <si>
    <t>A measurement of the calorimeter response to single hadrons and determination of the jet energy scale uncertainty using LHC Run-1 &lt;i&gt;pp&lt;/i&gt;-collision data with the ATLAS detector.</t>
  </si>
  <si>
    <t>https://pubmed.ncbi.nlm.nih.gov/28260979</t>
  </si>
  <si>
    <t>A measurement of the calorimeter response to isolated charged hadrons in the ATLAS detector at the LHC is presented. This measurement is performed with 3.2 nb[Formula: see text] of proton-proton collision data at [Formula: see text] [Formula: see text] from 2010 and 0.1 nb[Formula: see text] of data at [Formula: see text] [Formula: see text] from 2012. A number of aspects of the calorimeter response to isolated hadrons are explored. After accounting for energy deposited by neutral particles, there is a 5% discrepancy in the modelling, using various sets of Geant4 hadronic physics models, of the calorimeter response to isolated charged hadrons in the central calorimeter region. The description of the response to anti-protons at low momenta is found to be improved with respect to previous analyses. The electromagnetic and hadronic calorimeters are also examined separately, and the detector simulation is found to describe the response in the hadronic calorimeter well. The jet energy scale uncertainty and correlations in scale between jets of different momenta and pseudorapidity are derived based on these studies. The uncertainty is 2-5% for jets with transverse momenta above 2 [Formula: see text], where this method provides the jet energy scale uncertainty for ATLAS.</t>
  </si>
  <si>
    <t>Association between Immune Markers and Surrogate Markers of Cardiovascular Disease in HIV Positive Patients: A Systematic Review.</t>
  </si>
  <si>
    <t>Vos, Alinda G; Hulzebosch, Annelieke; Grobbee, Diederick E; Barth, Roos E; Klipstein-Grobusch, Kerstin</t>
  </si>
  <si>
    <t>https://pubmed.ncbi.nlm.nih.gov/28085961</t>
  </si>
  <si>
    <t>HIV infection is associated with an increased risk of cardiovascular disease (CVD). Chronic low-grade immune activation is likely one of the driving mechanisms. This systematic review provides an overview of the evidence addressing the relation between immune markers and surrogate markers of CVD (except CIMT) in HIV infection. A systematic search was performed in PubMed, Embase and Cochrane Library identifying all articles from 1996 to April 2015. It addressed the relation between immune markers and surrogate markers of CVD (except Carotid Intima-media Thickness) in HIV-positive adults. Two authors, using predefined criteria, independently conducted the selection of articles, critical appraisal and extraction of the data. Analysis focused on immune markers that were assessed most frequently. The review was conducted according to the PRISMA guideline and performed as part of an overarching review registered with PROSPERO (CRD42014010516). Twenty-nine articles were selected, describing 34 immune markers and nine different CVD surrogate outcomes: coronary calcium score (13 times) and flow-mediated dilation (10 times) were used most frequently. Twenty-seven studies had a cross-sectional design. CRP, IL-6 and sVCAM-1 were assessed most frequently. None of the immune markers were clearly associated with any of the surrogate CVD outcomes. No effect estimate could be calculated due to marked heterogeneity in study populations, immune markers, outcomes and statistical approaches. This review could not identify a clear association between any of the immune markers and surrogate CVD outcomes. This may reflect a true lack of association, or may be explained by heterogeneity across studies and lack of follow-up data. Future research should focus on longitudinal studies measuring a select set of immune markers and surrogate CVD outcomes awaiting the primary outcome of clinical cardiovascular events.</t>
  </si>
  <si>
    <t>Cardiorespiratory Fitness after Transient Ischemic Attack and Minor Ischemic Stroke: Baseline Data of the MoveIT Study.</t>
  </si>
  <si>
    <t>Boss, H Myrthe; Deijle, Inger A; Van Schaik, Sander M; de Melker, Edwin C; van den Berg, Bob T J; Weinstein, Henry C; Geerlings, Mirjam I; Kappelle, L Jaap; Van den Berg-Vos, Renske M</t>
  </si>
  <si>
    <t>https://pubmed.ncbi.nlm.nih.gov/28089564</t>
  </si>
  <si>
    <t>Cardiorespiratory fitness (CRF) is reduced in patients with stroke. It is unclear whether it is also reduced in patients with a transient ischemic attack (TIA) or minor stroke. We investigated the CRF in patients with a recent TIA or minor stroke and explored which determinants are associated with a lower fitness. In 113 patients with a recent TIA or minor ischemic stroke (64 (SD = 10) years of age; 49 (IQR 27-86) days post TIA or stroke), the peak oxygen consumption (VO2peak) was determined in a symptom-limited ramp exercise test. Physical activity level, vascular risk factors, history of vascular or pulmonary disease, and stroke characteristics were recorded at inclusion and related to the VO2peak. Mean VO2peak was 22 mL/kg/min (SD = 6), which is the fifth percentile of age- and sex-related normative values. Increasing age and female sex were associated with a lower VO2peak (B (95% CI): per 10 years -2.57 mL/kg/min (-3.75; -1.40) and female sex -5.84 mL/kg/min (-8.06; -3.62)). Age- and sex-adjusted linear regression analyses showed that a history of cardiovascular disease and pulmonary disease was associated with a lower VO2peak. In addition, a lower level of physical activity, hypertension, smoking, and overweight were associated with a lower VO2peak. History of stroke and stroke characteristics were not related to VO2peak. The majority of patients with a recent TIA or minor ischemic stroke have a poor CRF. Our findings suggest that premorbid cardiovascular and pulmonary disease and vascular risk factors, but not TIA- or stroke-related factors, contribute to a reduced CRF.</t>
  </si>
  <si>
    <t>A prospective study on the characteristics and subjects of pediatric palliative care case management provided by a hospital based palliative care team.</t>
  </si>
  <si>
    <t>Jagt-van Kampen, Charissa T; Kars, Marijke C; Colenbrander, Derk A; Bosman, Diederik K; Grootenhuis, Martha A; Caron, Huib N; Schouten-van Meeteren, Antoinette Y N</t>
  </si>
  <si>
    <t>https://pubmed.ncbi.nlm.nih.gov/28077099</t>
  </si>
  <si>
    <t>Case management is a subject of interest within pediatric palliative care. Detailed descriptions of the content of this type of case management are lacking. We aim to describe the contents of care provided, utilization of different disciplines, and times of usage of a pediatric palliative care case management program compared for patients with malignant disease (MD) and non-malignant disease (NMD). A three-month prospective study, with questionnaires filled in by members of a pediatric palliative care team (PPCT) for each contact with parents. Four hundred fifty-five contacts took place with parents of 70 patients (27MD, 43NMD). Sixty-two percent of all contacts were with the specialized nurse. The child life specialists, psychologist and social worker were also regularly consulted, the chaplain was not consulted. Ninety-five percent of all contacts took place between 8 am and 6 pm during weekdays, a limited number between 6 pm and 9 pm. Twenty-five percent of all contacts were proactively initiated by the PPCT, 25 % were initiated by parents. In these care characteristics, no differences were seen for MD and NMD patients. Psychosocial topics were addressed most frequently. MD patients consulted the PPCT more often about school and NMD patients about socio-economic issues. All different disciplines of the PPCT were regularly consulted, except for the chaplain. With an easy accessible team with a highly pro-active approach, availability from 8 am to 9 pm seems sufficient to accommodate patient's and parent's needs. More anticipation seems required for socio-economic topics. This insight in pediatric palliative case management can provide guidance in the development of a new PPCT.</t>
  </si>
  <si>
    <t>Aims and tasks in parental caregiving for children receiving palliative care at home: a qualitative study.</t>
  </si>
  <si>
    <t>Verberne, Lisa M; Kars, Marijke C; Schouten-van Meeteren, Antoinette Y N; Bosman, Diederik K; Colenbrander, Derk A; Grootenhuis, Martha A; van Delden, Johannes J M</t>
  </si>
  <si>
    <t>https://pubmed.ncbi.nlm.nih.gov/28078429</t>
  </si>
  <si>
    <t>In paediatric palliative care (PPC), parents are confronted with increasing caregiving demands. More children are cared for at home, and the need for PPC of children is lengthened due to technical and medical improvements. Therefore, a clear understanding of the content of parental caregiving in PPC becomes increasingly important. The objective is to gain insight into parental caregiving based on the lived experience of parents with a child with a life-limiting disease. An interpretative qualitative study using thematic analysis was performed. Single or repeated interviews were undertaken with 42 parents of 24 children with a malignant or non-malignant disease, receiving PPC. Based on their ambition to be a 'good parent', parents caring for a child with a life-limiting disease strived for three aims: controlled symptoms and controlled disease, a life worth living for their ill child and family balance. These aims resulted in four tasks that parents performed: providing basic and complex care, organising good quality care and treatment, making sound decisions while managing risks and organising a good family life. Parents need early explanation from professionals about balancing between their aims and the related tasks to get a grip on their situation and to prevent becoming overburdened. What is Known: • In paediatric palliative care, parents are confronted with increasing caregiving demands. • Parenting is often approached from the perspective of stress. What is New: • Parents strive for three aims: controlled symptoms and controlled disease, a life worth living for their child and family balance. • Parents perform four tasks: providing basic and complex care, organising good quality care, making decisions while managing risks and organising a good family life. • Professionals need insight into the parents' aims and tasks from the parental perspective to strengthen parents' resilience.</t>
  </si>
  <si>
    <t>Cost-effectiveness of antibiotic treatment strategies for community-acquired pneumonia: results from a cluster randomized cross-over trial.</t>
  </si>
  <si>
    <t>van Werkhoven, Cornelis H; Postma, Douwe F; Mangen, Marie-Josee J; Oosterheert, Jan Jelrik; Bonten, Marc J M; ,</t>
  </si>
  <si>
    <t>https://pubmed.ncbi.nlm.nih.gov/28068956</t>
  </si>
  <si>
    <t>To determine the cost-effectiveness of strategies of preferred antibiotic treatment with beta-lactam/macrolide combination or fluoroquinolone monotherapy compared to beta-lactam monotherapy. Costs and effects were estimated using data from a cluster-randomized cross-over trial of antibiotic treatment strategies, primarily from the reduced third payer perspective (i.e. hospital admission costs). Cost-minimization analysis (CMA) and cost-effectiveness analysis (CEA) were performed using linear mixed models. CMA results were expressed as difference in costs per patient. CEA results were expressed as incremental cost-effectiveness ratios (ICER) showing additional costs per prevented death. A total of 2,283 patients were included. Crude average costs within 90 days from the reduced third payer perspective were €4,294, €4,392, and €4,002 per patient for the beta-lactam monotherapy, beta-lactam/macrolide combination, and fluoroquinolone monotherapy strategy, respectively. CMA results were €106 (95% CI €-697 to €754) for the beta-lactam/macrolide combination strategy and €-278 (95%CI €-991 to €396) for the fluoroquinolone monotherapy strategy, both compared to the beta-lactam monotherapy strategy. The ICER was not statistically significantly different between the strategies. Other perspectives yielded similar results. There were no significant differences in cost-effectiveness of strategies of preferred antibiotic treatment of CAP on non-ICU wards with either beta-lactam monotherapy, beta-lactam/macrolide combination therapy, or fluoroquinolone monotherapy. The trial was registered with ClinicalTrials.gov, number NCT01660204 , on May 2nd, 2012.</t>
  </si>
  <si>
    <t>Revised CIOMS International Ethical Guidelines for Health-Related Research Involving Humans.</t>
  </si>
  <si>
    <t>van Delden, Johannes J M; van der Graaf, Rieke</t>
  </si>
  <si>
    <t>https://pubmed.ncbi.nlm.nih.gov/27923072</t>
  </si>
  <si>
    <t>Quality of life in community-dwelling Dutch elderly measured by EQ-5D-3L.</t>
  </si>
  <si>
    <t>Mangen, Marie-Josée J; Bolkenbaas, Marieke; Huijts, Susanne M; van Werkhoven, Cornelis H; Bonten, Marc J M; de Wit, G Ardine</t>
  </si>
  <si>
    <t>https://pubmed.ncbi.nlm.nih.gov/28069062</t>
  </si>
  <si>
    <t>We aimed to evaluate health status and associated factors in community-dwelling elderly in the Netherlands. Participants from a placebo-controlled double-blind randomized controlled trial conducted in the Netherlands were invited at the time of enrolment to participate in this study. Data were collected on comorbidities, socio-demographic background and health status, using EQ-5D-3L instrument. EQ-5D-3L summary index values (EQ-5D-indices) was derived using Dutch tariff. Regression analysis was conducted to identify factors associated with EQ-5D-indices and visual analogue scale (EQ-VAS). 48,634 elderly (≥65 years) were included. The most frequently reported complaint was pain/discomfort (29.4%), but for the elder elderly (i.e. ≥85 years) it was mobility (52.9%). The proportion of persons reporting (multiple) problems increased with age from 31.5% for 65-69 years old subjects to 65.9% for elder elderly. The mean EQ-5D-indices and EQ-VAS decreased with age from 0.94 and 84, respectively in those 65 to 69 years old to 0.86 and 76, respectively, in ≥85 years old subjects. Increasing age, female gender, low education, geographic factors and comorbidities were associated with impaired health status. Within community-dwelling elderly large differences in health status exist. Impairment increases rapidly with age, but health status is also associated with socio-demographic variables and comorbidities. ClinicalTrials.gov, NCT00812084 .</t>
  </si>
  <si>
    <t>A guide to systematic review and meta-analysis of prediction model performance.</t>
  </si>
  <si>
    <t>Debray, Thomas P A; Damen, Johanna A A G; Snell, Kym I E; Ensor, Joie; Hooft, Lotty; Reitsma, Johannes B; Riley, Richard D; Moons, Karel G M</t>
  </si>
  <si>
    <t>https://pubmed.ncbi.nlm.nih.gov/28057641</t>
  </si>
  <si>
    <t>Unraveling the associations of age and menopause with cardiovascular risk factors in a large population-based study.</t>
  </si>
  <si>
    <t>https://pubmed.ncbi.nlm.nih.gov/28049531</t>
  </si>
  <si>
    <t>Although the association between menopause and cardiovascular disease (CVD) risk has been studied extensively, the simultaneous role of chronological aging herein remains underexposed. This study aims to disentangle the relationships of menopausal status and chronological aging with CVD risk factors in the largest study population to date. In this cross-sectional study, CVD risk factors were compared between women with a different menopausal status within the same yearly age strata. The study population comprised female participants of the baseline visit of the population-based LifeLines Cohort Study. A total of 63,466 women, aged between 18 and 65 years, was included. Of them, 39,379 women were considered to be premenopausal, 8669 were perimenopausal, 14,514 were naturally postmenopausal, and 904 were surgically postmenopausal. Compared to postmenopausal women aged 45 years, average total cholesterol (TC) and low-density lipoprotein cholesterol (LDL-c) were 0.5 and 0.4 mmol/L higher, respectively, in postmenopausal women aged 50. Systolic and diastolic blood pressure levels were 4 and 1 mmHg higher, respectively. At all ages between 46 and 55 years, and after adjustment for confounders, naturally postmenopausal women had 0.2 to 0.4 mmol/L higher TC and 0.1 to 0.3 mmol/L higher LDL-c levels compared to premenopausal women in the same age range. Systolic blood pressure levels were up to 4 mmHg lower in naturally post- compared to premenopausal women at all ages between 29 and 52 years. Body mass index levels were up to 3.2 kg/m&lt;sup&gt;2&lt;/sup&gt; higher in women with surgical menopause compared to all other women between the ages 32 and 52 years. All aforementioned results were statistically significant. Chronological age and menopausal status are both independently associated with CVD risk factors. Based on the comparatively smaller observed differences associated with menopausal status than with chronological aging, the significance of a more unfavorable lipid profile in a later reproductive stage may be less obvious than previously thought.</t>
  </si>
  <si>
    <t>The Value of a Checklist for Child Abuse in Out-of-Hours Primary Care: To Screen or Not to Screen.</t>
  </si>
  <si>
    <t>Schouten, Maartje C M; van Stel, Henk F; Verheij, Theo J M; Houben, Michiel L; Russel, Ingrid M B; Nieuwenhuis, Edward E S; van de Putte, Elise M</t>
  </si>
  <si>
    <t>https://pubmed.ncbi.nlm.nih.gov/28045904</t>
  </si>
  <si>
    <t>To assess the diagnostic value of the screening instrument SPUTOVAMO-R2 (checklist, 5 questions) for child abuse at Out-of-hours Primary Care locations (OPC), by comparing the test outcome with information from Child Protection Services (CPS). Secondary, to determine whether reducing the length of the checklist compromises diagnostic value. All children (&lt;18 years) attending one of the participating OPCs in the region of Utrecht, the Netherlands, in a year time, were included. The checklist is an obligatory field in the electronic patient file. CPS provided data on all checklist positives and a sample of 5500 checklist negatives (dataset). The checklist outcome was compared with a report to CPS in 10 months follow up after the OPC visit. The checklist was filled in for 50671 children; 108 (0.2%) checklists were positive. Within the dataset, 61 children were reported to CPS, with emotional neglect as the most frequent type of abuse (32.8%). The positive predictive value (PPV) of the checklist for child abuse was 8.3 (95% CI 3.9-15.2). The negative predictive value (NPV) was 99.1 (98.8-99.3), with 52 false negatives. When the length of the checklist was reduced to two questions closely related to the medical process (SPUTOVAMO-R3), the PPV was 9.1 (3.7-17.8) and the NPV 99.1 (98.7-99.3). These two questions are on the injury in relation to the history, and the interaction between child and parents. The checklist SPUTOVAMO-R2 has a low detection rate of child abuse within the OPC setting, and a high false positive rate. Therefore, we recommend to use the shortened checklist only as a tool to increase the awareness of child abuse and not as a diagnostic instrument.</t>
  </si>
  <si>
    <t>The association between HIV, antiretroviral therapy, and gestational diabetes mellitus.</t>
  </si>
  <si>
    <t>Soepnel, Larske M; Norris, Shane A; Schrier, Verena J M M; Browne, Joyce L; Rijken, Marcus J; Gray, Glenda; Klipstein-Grobusch, Kerstin</t>
  </si>
  <si>
    <t>https://pubmed.ncbi.nlm.nih.gov/27677165</t>
  </si>
  <si>
    <t>The widespread, chronic use of antiretroviral therapy raises questions concerning the metabolic consequences of HIV infection and treatment. Antiretroviral therapy, and specifically protease inhibitors, has been associated with hyperglycemia. As pregnant women are vulnerable to development of hyperglycemia, the objective of this study was to explore existing literature on the relationship between HIV infection, HIV treatment, and gestational diabetes mellitus (GDM). A systematic search was conducted in six databases for articles providing data on HIV-positivity, protease inhibitor exposure, and GDM or glucose intolerance development in pregnancy. The quality of articles was evaluated using an adapted Cochrane Collaboration bias assessment tool. Risk ratios were generated from pooled data using meta-analysis by the Mantel-Haenszel method. Of 891 references screened, six studies on the role of HIV-positivity, 10 on protease inhibitor use, and two on both were included. Meta-analysis showed no significant relationship between HIV infection and the development of GDM [risk ratio 0.80, 95% confidence interval (CI): 0.47-1.37, I = 0%]. Meta-analysis of protease inhibitor exposure showed increased GDM in studies using first-generation protease inhibitors (risk ratio 2.29, 95% CI: 1.46-3.58) and studies using the strictest diagnosis criteria, the National Diabetes Data Group criteria for 3-h oral glucose tolerance test (risk ratio 3.81, 95% CI: 2.18-6.67). Meta-analysis showed no significant association between HIV-positivity and GDM. Significance of protease inhibitor use was limited to studies using the strictest diagnostic criteria for GDM. Results are limited by high risk of bias. Well designed prospective studies are needed to further clarify this relationship and its consequences for clinical practice.</t>
  </si>
  <si>
    <t>Ethnic Variations in Prognosis of Patients with Dementia: A Prospective Nationwide Registry Linkage Study in The Netherlands.</t>
  </si>
  <si>
    <t>Agyemang, Charles; van de Vorst, Irene E; Koek, Huiberdina L; Bots, Michiel L; Seixas, Azizi; Norredam, Marie; Ikram, Umar; Stronks, Karien; Vaartjes, Ilonca</t>
  </si>
  <si>
    <t>https://pubmed.ncbi.nlm.nih.gov/27911320</t>
  </si>
  <si>
    <t>Data on dementia prognosis among ethnic minority groups are limited in Europe. We assessed differences in short-term (1-year) and long-term (3-year) mortality and readmission risk after a first hospitalization or first ever referral to a day clinic for dementia between ethnic minority groups and the ethnic Dutch population in the NetherlandsMethods: Nationwide prospective cohorts of first hospitalized dementia patients (N = 55,827) from January 1, 2000 to December 31, 2010 were constructed. Differences in short-term and long-term mortality and readmission risk following hospitalization or referral to the day clinic between ethnic minority groups (Surinamese, Turkish, Antilleans, Indonesians) and the ethnic Dutch population were investigated using Cox proportional hazard regression models with adjustment for age, sex, and comorbidities. Age-sex-adjusted short-term and long-term risks of death following a first hospitalization with dementia were comparable between the ethnic minority groups and the ethnic Dutch. Age- and sex-adjusted risk of admission was higher only in Turkish compared with ethnic Dutch (HR 1.57, 95% CI,1.08-2.29). The difference between Turkish and the Dutch attenuated and was no longer statistically significant after further adjustment for comorbidities. There were no ethnic differences in short-term and long-term risk of death, and risk of readmission among day clinic patients. Compared with Dutch patients with a comparable comorbidity rate, ethnic minority patients with dementia did not have a worse prognosis. Given the poor prognosis of dementia, timely and targeted advance care planning is essential, particularly in ethnic minority groups who are mired by cultural barriers and where uptake of advance care planning is known to be low.</t>
  </si>
  <si>
    <t>[Lowering LDL-cholesterol: the lower the better?].</t>
  </si>
  <si>
    <t>Bots, M L</t>
  </si>
  <si>
    <t>https://pubmed.ncbi.nlm.nih.gov/28145216</t>
  </si>
  <si>
    <t>There is still a debate about the optimal LDL level to achieve with pharmacological treatment. Some support the 'the lower, the better' approach, others support 'a level less than 2.5 mmol/l suffices'. Two recent JAMA papers lend support to both views. So what to believe? The issue is whether those with an achieved low LDL level (&lt; 1.8 mmol/l) carry a lower vascular risk than those with an LDL between 1.8 and 2.5 mmol/l. To study this, both groups need to be identical with respect to all other factors that determine the risk, and therefore only differ in their respective LDL levels. So it is all about adjustment for confounding. One paper (shows no benefit for a LDL level lower than 2.5 mmol/l) is based on individual participant information, allowing for optimal adjustment. The other paper (shows the lower, the better) is based on mean levels of trial groups, and cannot adequately adjust for confounding. These examples demonstrate that study design is very important.</t>
  </si>
  <si>
    <t>Disability in the Individual ADL, IADL, and Mobility among Older Adults: A Prospective Cohort Study.</t>
  </si>
  <si>
    <t>Bleijenberg, N; Zuithoff, N P A; Smith, A K; de Wit, N J; Schuurmans, M J</t>
  </si>
  <si>
    <t>https://pubmed.ncbi.nlm.nih.gov/28972242</t>
  </si>
  <si>
    <t>To examine the risk of disability in 15 individual ADL, IADL, and mobility in older adults by age; and to assess the association of multimorbidity, gender, and education with disability. A prospective cohort study. The sample included 805 community-dwelling older people aged 60+ living in the Netherlands. Disability was assessed using the Katz-15 Index of Independence in Basic Activities of Daily Living (ADL), Instrumental Activities of Daily Living (IADL) and one mobility item. Disability in any of these activities was defined as the inability to perform the activity without assistance. The risk of disability by age for each individual ADL, IADL, and for mobility was assessed using Generalized mixed models. Disability in activities as household tasks, traveling, shopping, and continence had the highest risk and increased rapidly with age. The risk traveling disability among people aged 65 with two comorbidities increase from 9% to 37% at age 85. Disability in using the telephone, managing medications, finances, transferring, and toileting, had a very low risk and hardly increased with age. Compared to those without chronic conditions, those with ≥ 3 chronic conditions had a 3 to 5 times higher risk of developing disability. Males had a higher risk of disability in managing medication (P=0.005), and preparing meals (P=0.019), whereas females had a higher risk of disability with traveling (P=0.001). No association between education and disability on the individual ADL, IADL, and mobility was observed. Older adults were mostly disabled in physical related activities, whereas disability in more cognitive related activities was less often experienced. The impact of multimorbidity on disability in each activity was substantial, while education was not.</t>
  </si>
  <si>
    <t>[Health advocacy in medical student education].</t>
  </si>
  <si>
    <t>Damoiseaux, R A M J; Soethout, M B M</t>
  </si>
  <si>
    <t>https://pubmed.ncbi.nlm.nih.gov/29241472</t>
  </si>
  <si>
    <t>The introduction of the CanMEDS method to qualify training and ongoing education for healthcare providers in terms of competencies has provided a clear framework for medical schools' curricula. Different roles are outlined, and one of these is health advocacy. Physicians are accountable to society to use their knowledge and expertise to improve health. Even before the introduction of CanMEDS, physicians took responsibility for improving health by tackling issues in society that negatively affected the health of many; one obvious example is the provision of clean water and sewage systems to prevent epidemics of infectious diseases such as cholera. The role of the health advocate is now addressed within medical education in graduate and postgraduate medical training curricula. If they are to be really effective, trainers should provide proper role models on how to be a health advocate; even though each doctor does not have to become a politician to change the world, all doctors should look further than the individual patient in their surgery.</t>
  </si>
  <si>
    <t>[The objective of advance care planning].</t>
  </si>
  <si>
    <t>van Delden, J J M</t>
  </si>
  <si>
    <t>https://pubmed.ncbi.nlm.nih.gov/29125085</t>
  </si>
  <si>
    <t>This commentary reflects on a study to determine the efficacy of an advance care planning (ACP) website in increasing planning documentation. It is interesting to see that ACP is considered to be a regular intervention. ACP thus ceases to be something to believe in or not and becomes a normal intervention, the efficacy of which can be studied. The study also shows that ACP is a concept which can take many forms, that ACP in itself is almost an umbrella term and that physicians need not take the central role in ACP. The main point of critique of the study, however, is that the endpoint of the study is documentation. One can question whether that is the right objective of ACP as the worth of ACP would seem to lie more in the process of enabling a patient to reflect on treatment goals and personal values than in writing a living will.</t>
  </si>
  <si>
    <t>A longitudinal study of atrazine and 2,4-D exposure and oxidative stress markers among iowa corn farmers.</t>
  </si>
  <si>
    <t>Lerro, Catherine C; Beane Freeman, Laura E; Portengen, Lützen; Kang, Daehee; Lee, Kyoungho; Blair, Aaron; Lynch, Charles F; Bakke, Berit; De Roos, Anneclaire J; Vermeulen, Roel C H</t>
  </si>
  <si>
    <t>environmental and molecular mutagenesis</t>
  </si>
  <si>
    <t>https://pubmed.ncbi.nlm.nih.gov/28116766</t>
  </si>
  <si>
    <t>Reactive oxygen species, potentially formed through environmental exposures, can overwhelm an organism's antioxidant capabilities resulting in oxidative stress. Long-term oxidative stress is linked with chronic diseases. Pesticide exposures have been shown to cause oxidative stress in vivo. We utilized a longitudinal study of corn farmers and non-farming controls in Iowa to examine the impact of exposure to the widely used herbicides atrazine and 2,4-dichlorophenoxyacetic acid (2,4-D) on markers of oxidative stress. 225 urine samples were collected during five agricultural time periods (pre-planting, planting, growing, harvest, off-season) for 30 farmers who applied pesticides occupationally and 10 controls who did not; all were non-smoking men ages 40-60. Atrazine mercapturate (atrazine metabolite), 2,4-D, and oxidative stress markers (malondialdehyde [MDA], 8-hydroxy-2'-deoxyguanosine [8-OHdG], and 8-isoprostaglandin-F&lt;sub&gt;2α&lt;/sub&gt; [8-isoPGF]) were measured in urine. We calculated β estimates and 95% confidence intervals (95%CI) for each pesticide-oxidative stress marker combination using multivariate linear mixed-effect models for repeated measures. Farmers had higher urinary atrazine mercapturate and 2,4-D levels compared with controls. In regression models, after natural log transformation, 2,4-D was associated with elevated levels of 8-OHdG (β = 0.066, 95%CI = 0.008-0.124) and 8-isoPGF (β = 0.088, 95%CI = 0.004-0.172). 2,4-D may be associated with oxidative stress because of modest increases in 8-OHdG, a marker of oxidative DNA damage, and 8-isoPGF, a product of lipoprotein peroxidation, with recent 2,4-D exposure. Future studies should investigate the role of 2,4-D-induced oxidative stress in the pathogenesis of human diseases. Environ. Mol. Mutagen. 58:30-38, 2017. © 2016 Wiley Periodicals, Inc.</t>
  </si>
  <si>
    <t>ARIA 2016: Care pathways implementing emerging technologies for predictive medicine in rhinitis and asthma across the life cycle.</t>
  </si>
  <si>
    <t>Bousquet, J; Hellings, P W; Agache, I; Bedbrook, A; Bachert, C; Bergmann, K C; Bewick, M; Bindslev-Jensen, C; Bosnic-Anticevitch, S; Bucca, C; Caimmi, D P; Camargos, P A M; Canonica, G W; Casale, T; Chavannes, N H; Cruz, A A; De Carlo, G; Dahl, R; Demoly, P; Devillier, P; Fonseca, J; Fokkens, W J; Guldemond, N A; Haahtela, T; Illario, M; Just, J; Keil, T; Klimek, L; Kuna, P; Larenas-Linnemann, D; Morais-Almeida, M; Mullol, J; Murray, R; Naclerio, R; O'Hehir, R E; Papadopoulos, N G; Pawankar, R; Potter, P; Ryan, D; Samolinski, B; Schunemann, H J; Sheikh, A; Simons, F E R; Stellato, C; Todo-Bom, A; Tomazic, P V; Valiulis, A; Valovirta, E; Ventura, M T; Wickman, M; Young, I; Yorgancioglu, A; Zuberbier, T; Aberer, W; Akdis, C A; Akdis, M; Annesi-Maesano, I; Ankri, J; Ansotegui, I J; Anto, J M; Arnavielhe, S; Asarnoj, A; Arshad, H; Avolio, F; Baiardini, I; Barbara, C; Barbagallo, M; Bateman, E D; Beghé, B; Bel, E H; Bennoor, K S; Benson, M; Białoszewski, A Z; Bieber, T; Bjermer, L; Blain, H</t>
  </si>
  <si>
    <t>https://pubmed.ncbi.nlm.nih.gov/28050247</t>
  </si>
  <si>
    <t>The Allergic Rhinitis and its Impact on Asthma (ARIA) initiative commenced during a World Health Organization workshop in 1999. The initial goals were (1) to propose a new allergic rhinitis classification, (2) to promote the concept of multi-morbidity in asthma and rhinitis and (3) to develop guidelines with all stakeholders that could be used globally for all countries and populations. ARIA-disseminated and implemented in over 70 countries globally-is now focusing on the implementation of emerging technologies for individualized and predictive medicine. MASK [MACVIA (&lt;i&gt;Contre les Maladies Chroniques pour un Vieillissement Actif&lt;/i&gt;)-ARIA Sentinel NetworK] uses mobile technology to develop care pathways for the management of rhinitis and asthma by a multi-disciplinary group and by patients themselves. An app (Android and iOS) is available in 20 countries and 15 languages. It uses a visual analogue scale to assess symptom control and work productivity as well as a clinical decision support system. It is associated with an inter-operable tablet for physicians and other health care professionals. The scaling up strategy uses the recommendations of the European Innovation Partnership on Active and Healthy Ageing. The aim of the novel ARIA approach is to provide an active and healthy life to rhinitis sufferers, whatever their age, sex or socio-economic status, in order to reduce health and social inequalities incurred by the disease.</t>
  </si>
  <si>
    <t>Determinants of adherence to antiretroviral therapy among HIV-positive adults in sub-Saharan Africa: a systematic review.</t>
  </si>
  <si>
    <t>Heestermans, Tessa; Browne, Joyce L; Aitken, Susan C; Vervoort, Sigrid C; Klipstein-Grobusch, Kerstin</t>
  </si>
  <si>
    <t>https://pubmed.ncbi.nlm.nih.gov/28588979</t>
  </si>
  <si>
    <t>The rapid scale up of antiretroviral treatment (ART) in sub-Saharan Africa (SSA) has resulted in an increased focus on patient adherence. Non-adherence can lead to drug-resistant HIV caused by failure to achieve maximal viral suppression. Optimal treatment requires the identification of patients at high risk of suboptimal adherence and targeted interventions. The aim of this review was to identify and summarise determinants of adherence to ART among HIV-positive adults. Systematic review of adherence to ART in SSA from January 2002 to October 2014. A systematic search was performed in 6 databases (PubMed, Cochrane Library, EMBASE, Web of Science, Popline, Global Health Library) for qualitative and quantitative articles. Risk of bias was assessed. A meta-analysis was conducted for pooled estimates of effect size on adherence determinants. Of the 4052 articles screened, 146 were included for final analysis, reporting on determinants of 161 922 HIV patients with an average adherence score of 72.9%. Main determinants of non-adherence were use of alcohol, male gender, use of traditional/herbal medicine, dissatisfaction with healthcare facility and healthcare workers, depression, discrimination and stigmatisation, and poor social support. Promoters of adherence included counselling and education interventions, memory aids, and active disclosure among people living with HIV. Determinants of health status had conflicting influence on adherence. The sociodemographic, psychosocial, health status, treatment-related and intervention-related determinants are interlinked and contribute to optimal adherence. Clinics providing ART in SSA should therefore design targeted interventions addressing these determinants to optimise health outcomes.</t>
  </si>
  <si>
    <t>Age-specific Incidence and Prevalence of Keratoconus: A Nationwide Registration Study.</t>
  </si>
  <si>
    <t>Godefrooij, Daniel A; de Wit, G Ardine; Uiterwaal, Cuno S; Imhof, Saskia M; Wisse, Robert P L</t>
  </si>
  <si>
    <t>american journal of ophthalmology</t>
  </si>
  <si>
    <t>https://pubmed.ncbi.nlm.nih.gov/28039037</t>
  </si>
  <si>
    <t>To determine the age-specific incidence and prevalence of keratoconus in the modern era of diagnostics. Epidemiologic study. Total of 4.4 million patients from a mandatory health insurance database. Data were extracted from the largest health insurance provider in the Netherlands. Patients aged 10-40 years were defined as the relevant age category for newly diagnosed keratoconus and the annual incidence of newly diagnosed keratoconus was determined. The prevalence of keratoconus was estimated based on the annual incidence, mean age at diagnosis, and average life expectancy. Main outcome measure was the annual incidence and prevalence of keratoconus. The annual incidence of keratoconus was 1:7500 in the relevant age category (13.3 cases per 100 000, 95% confidence interval [CI]: 11.6-15.2) and the estimated prevalence of keratoconus in the general population was 1:375 (265 cases per 100 000, 95% CI: 260-270). These values are 5-fold to 10-fold higher than previously reported values in population studies. The mean age at diagnosis was 28.3 years and 60.6% of diagnosed patients were male. Both the annual incidence and the prevalence of keratoconus were 5-fold to 10-fold higher than previously reported.</t>
  </si>
  <si>
    <t>Effect modification in the association between glycated haemoglobin and cardiovascular disease and mortality in patients with type 2 diabetes.</t>
  </si>
  <si>
    <t>van Munster, Sanne N; van der Graaf, Yolanda; de Valk, Harold W; Visseren, Frank L J; Westerink, Jan; ,</t>
  </si>
  <si>
    <t>https://pubmed.ncbi.nlm.nih.gov/27807924</t>
  </si>
  <si>
    <t>To identify patients with type 2 diabetes (T2D) who may benefit from lower or higher glycated haemoglobin (HbA1c) targets, based on readily available patient characteristics. Patients with T2D were included in the present study from the Second Manifestations of ARTerial disease (SMART) cohort. Several patient characteristics were evaluated for effect modification in the relationship between HbA1c and cardiovascular disease and all-cause mortality, using multiplicative interaction analyses and stratified Cox proportional hazard analyses. Combinations of patient characteristics, as used in existing treatment algorithms, were similarly evaluated. Of 1753 patients, 323 experienced a vascular event during a median of 6.6 years of follow-up and 375 patients died. For the association between HbA1c and cardiovascular events, no effect modifiers were found. Body mass index (BMI) and weight showed significant interaction for the association between HbA1c and mortality ( P = .04). Analyses, stratified for 25 kg/m&lt;sup&gt;2&lt;/sup&gt; or 30 or 35 kg/m&lt;sup&gt;2&lt;/sup&gt; , showed quite dissimilar hazard ratios without reaching statistical significance. Combinations of patient characteristics used in existing treatment algorithms, did not influence the relationship between HbA1c and cardiovascular disease or mortality ( P = .46 to P = .92). Using easily obtainable patient characteristics, whether alone or in combinations used in existing treatment algorithms, it was not possible, except for BMI or weight, considered continuously, to identify patients with T2D who had a differential association between HbA1c and cardiovascular events or all-cause mortality in our cohort.</t>
  </si>
  <si>
    <t>Volumetric breast density affects performance of digital screening mammography.</t>
  </si>
  <si>
    <t>Wanders, Johanna O P; Holland, Katharina; Veldhuis, Wouter B; Mann, Ritse M; Pijnappel, Ruud M; Peeters, Petra H M; van Gils, Carla H; Karssemeijer, Nico</t>
  </si>
  <si>
    <t>https://pubmed.ncbi.nlm.nih.gov/28012087</t>
  </si>
  <si>
    <t>To determine to what extent automatically measured volumetric mammographic density influences screening performance when using digital mammography (DM). We collected a consecutive series of 111,898 DM examinations (2003-2011) from one screening unit of the Dutch biennial screening program (age 50-75 years). Volumetric mammographic density was automatically assessed using Volpara. We determined screening performance measures for four density categories comparable to the American College of Radiology (ACR) breast density categories. Of all the examinations, 21.6% were categorized as density category 1 ('almost entirely fatty') and 41.5, 28.9, and 8.0% as category 2-4 ('extremely dense'), respectively. We identified 667 screen-detected and 234 interval cancers. Interval cancer rates were 0.7, 1.9, 2.9, and 4.4‰ and false positive rates were 11.2, 15.1, 18.2, and 23.8‰ for categories 1-4, respectively (both p-trend &lt; 0.001). The screening sensitivity, calculated as the proportion of screen-detected among the total of screen-detected and interval tumors, was lower in higher density categories: 85.7, 77.6, 69.5, and 61.0% for categories 1-4, respectively (p-trend &lt; 0.001). Volumetric mammographic density, automatically measured on digital mammograms, impacts screening performance measures along the same patterns as established with ACR breast density categories. Since measuring breast density fully automatically has much higher reproducibility than visual assessment, this automatic method could help with implementing density-based supplemental screening.</t>
  </si>
  <si>
    <t>Long-term effects of aided phytostabilisation on microbial communities of metal-contaminated mine soil.</t>
  </si>
  <si>
    <t>Garaiyurrebaso, Olatz; Garbisu, Carlos; Blanco, Fernando; Lanzén, Anders; Martín, Iker; Epelde, Lur; Becerril, José M; Jechalke, Sven; Smalla, Kornelia; Grohmann, Elisabeth; Alkorta, Itziar</t>
  </si>
  <si>
    <t>fems microbiology ecology</t>
  </si>
  <si>
    <t>https://pubmed.ncbi.nlm.nih.gov/28011599</t>
  </si>
  <si>
    <t>Aided phytostabilisation uses metal-tolerant plants, together with organic or inorganic amendments, to reduce metal bioavailability in soil while improving soil quality. The long-term effects of the following organic amendments were examined as part of an aided phytostabilisation field study in an abandoned Pb/Zn mining area: cow slurry, sheep manure and paper mill sludge mixed with poultry manure. In the mining area, two heavily contaminated vegetated sites, showing different levels of soil metal contamination (LESS and MORE contaminated site), were selected for this study. Five years after amendment application, metal bioavailability (CaCl&lt;sub&gt;2&lt;/sub&gt; extractability) along with a variety of indicators of soil microbial activity, biomass and diversity were analysed. Paper mill sludge mixed with poultry manure treatment resulted in the highest reduction of Cd, Pb and Zn bioavailability, as well as in stimulation of soil microbial activity and diversity, especially at the LESS contaminated site. In contrast, cow slurry was the least successful treatment. Our results emphasise the importance of the (i) long-term monitoring of soil quality at sites subjected to aided phytostabilisation and (ii) selection of the most efficient amendments and plants in terms of both reduction of metal bioavailability and improvement of soil quality.</t>
  </si>
  <si>
    <t>Diabetes self-management education after pre-selection of patients: design of a randomised controlled trial.</t>
  </si>
  <si>
    <t>Vos, Rimke C; Eikelenboom, Nathalie W D; Klomp, Maarten; Stellato, Rebecca K; Rutten, Guy E H M</t>
  </si>
  <si>
    <t>diabetology metabolic syndrome</t>
  </si>
  <si>
    <t>https://pubmed.ncbi.nlm.nih.gov/28031750</t>
  </si>
  <si>
    <t>Many self-management programs have been developed so far. Their effectiveness varies. The program 'Beyond Good Intentions' (BGI) is based on proactive coping and has proven to be (cost-) effective in achieving reductions in BMI and blood pressure in screen-detected type 2 diabetes patients up until nine months follow-up. However, its long-term effectiveness in people already known with diabetes is lacking. In addition, its (cost-) effectiveness might increase if people who are likely not to be benefit from the program are excluded in a valid way. Therefore it was aimed to investigate the long-term effects of the educational program BGI on cardiovascular risk, quality of life and diabetes self-management behaviour in a pre-selected group of patients known with type 2 diabetes up to 5 years. Randomised controlled trial with 2.5 year follow-up. Adults (≤75 years) with a type 2 diabetes duration between 3 months and 5 years will be included. With the use of a self-management screening tool (SeMaS) their potential barriers of self-management due to depression and/or anxiety will be determined. Based on the results of the SeMaS selection patients will be randomised (1:1) to the BGI-group (n = 53) or the control-group (n = 53). In addition to receiving usual care, patients in the BGI-group will follow the 12-week theory-based self-management program and a booster session a few months thereafter. The control-group will receive care as usual. The primary outcome is change in Body Mass Index after 2.5 years follow-up. Secondary outcomes are HbA1c, lipid profile and systolic blood pressure, (diabetes) quality of life, level of physical activity, dietary intake and medication adherence and proactive coping. Cost-effectiveness will be based on total use of health care resources during the entire study period. Difference between groups in change over time will be analysed according to intention-to-treat analysis. By differentiating between patients who will and those who are likely not to benefit from the educational program, a more (cost-) effective self-management program might be designed, also on the long-run. &lt;i&gt;Trial registration&lt;/i&gt; NTR 5330.</t>
  </si>
  <si>
    <t>Mammographic density assessed on paired raw and processed digital images and on paired screen-film and digital images across three mammography systems.</t>
  </si>
  <si>
    <t>Burton, Anya; Byrnes, Graham; Stone, Jennifer; Tamimi, Rulla M; Heine, John; Vachon, Celine; Ozmen, Vahit; Pereira, Ana; Garmendia, Maria Luisa; Scott, Christopher; Hipwell, John H; Dickens, Caroline; Schüz, Joachim; Aribal, Mustafa Erkin; Bertrand, Kimberly; Kwong, Ava; Giles, Graham G; Hopper, John; Pérez Gómez, Beatriz; Pollán, Marina; Teo, Soo-Hwang; Mariapun, Shivaani; Taib, Nur Aishah Mohd; Lajous, Martín; Lopez-Riduara, Ruy; Rice, Megan; Romieu, Isabelle; Flugelman, Anath Arzee; Ursin, Giske; Qureshi, Samera; Ma, Huiyan; Lee, Eunjung; Sirous, Reza; Sirous, Mehri; Lee, Jong Won; Kim, Jisun; Salem, Dorria; Kamal, Rasha; Hartman, Mikael; Miao, Hui; Chia, Kee-Seng; Nagata, Chisato; Vinayak, Sudhir; Ndumia, Rose; van Gils, Carla H; Wanders, Johanna O P; Peplonska, Beata; Bukowska, Agnieszka; Allen, Steve; Vinnicombe, Sarah; Moss, Sue; Chiarelli, Anna M; Linton, Linda; Maskarinec, Gertraud; Yaffe, Martin J; Boyd, Norman F; Dos-Santos-Silva, Isabel; McCormack, Valerie A</t>
  </si>
  <si>
    <t>https://pubmed.ncbi.nlm.nih.gov/27993168</t>
  </si>
  <si>
    <t>Inter-women and intra-women comparisons of mammographic density (MD) are needed in research, clinical and screening applications; however, MD measurements are influenced by mammography modality (screen film/digital) and digital image format (raw/processed). We aimed to examine differences in MD assessed on these image types. We obtained 1294 pairs of images saved in both raw and processed formats from Hologic and General Electric (GE) direct digital systems and a Fuji computed radiography (CR) system, and 128 screen-film and processed CR-digital pairs from consecutive screening rounds. Four readers performed Cumulus-based MD measurements (n = 3441), with each image pair read by the same reader. Multi-level models of square-root percent MD were fitted, with a random intercept for woman, to estimate processed-raw MD differences. Breast area did not differ in processed images compared with that in raw images, but the percent MD was higher, due to a larger dense area (median 28.5 and 25.4 cm&lt;sup&gt;2&lt;/sup&gt; respectively, mean √dense area difference 0.44 cm (95% CI: 0.36, 0.52)). This difference in √dense area was significant for direct digital systems (Hologic 0.50 cm (95% CI: 0.39, 0.61), GE 0.56 cm (95% CI: 0.42, 0.69)) but not for Fuji CR (0.06 cm (95% CI: -0.10, 0.23)). Additionally, within each system, reader-specific differences varied in magnitude and direction (p &lt; 0.001). Conversion equations revealed differences converged to zero with increasing dense area. MD differences between screen-film and processed digital on the subsequent screening round were consistent with expected time-related MD declines. MD was slightly higher when measured on processed than on raw direct digital mammograms. Comparisons of MD on these image formats should ideally control for this non-constant and reader-specific difference.</t>
  </si>
  <si>
    <t>Outbreaks of syphilis among men who have sex with men attending STI clinics between 2007 and 2015 in the Netherlands: a space-time clustering study.</t>
  </si>
  <si>
    <t>van Aar, F; den Daas, C; van der Sande, M A B; Soetens, L C; de Vries, H J C; van Benthem, B H B</t>
  </si>
  <si>
    <t>https://pubmed.ncbi.nlm.nih.gov/27986969</t>
  </si>
  <si>
    <t>Infectious syphilis (syphilis) is diagnosed predominantly among men who have sex with men (MSM) in the Netherlands and is a strong indicator for sexual risk behaviour. Therefore, an increase in syphilis can be an early indicator of resurgence of other STIs, including HIV. National and worldwide outbreaks of syphilis, as well as potential changes in sexual networks were reason to explore syphilis trends and clusters in more depth. National STI/HIV surveillance data were used, containing epidemiological, behavioural and clinical data from STI clinics. We examined syphilis positivity rates stratified by HIV status and year. Additionally, we performed space-time cluster analysis on municipality level between 2007 and 2015, using SaTScan to evaluate whether or not there was a higher than expected syphilis incidence in a certain area and time period, using the maximum likelihood ratio test statistic. Among HIV-positive MSM, the syphilis positivity rate decreased between 2007 (12.3%) and 2011 (4.5%), followed by an increasing trend (2015: 8.0%). Among HIV-negative MSM, the positivity rate decreased between 2007 (2.8%) and 2011 also (1.4%) and started to increase from 2013 onwards (2015: 1.8%). In addition, we identified three geospatial clusters. The first cluster consisted of MSM sex workers in the South of the Netherlands (July 2009-September 2010, n=10, p&lt;0.001). The second cluster were mostly HIV-positive MSM (58.5%) (Amsterdam; July 2011-December 2015; n=1123, p&lt;0.001), although the proportion of HIV-negative MSM increased over time. The third cluster was large in space (predominantly the city of Rotterdam; April-September 2015, n=72, p=0.014) and were mostly HIV-negative MSM (62.5%). Using SaTScan analysis, we observed several not yet recognised outbreaks and a rapid resurgence of syphilis among known HIV-positive MSM first, but more recently, also among HIV-negative MSM. The three identified clusters revealed locations, periods and specific characteristics of the involved MSM that could be used when developing targeted interventions.</t>
  </si>
  <si>
    <t>Research Into Childhood Obstructive Sleep-Disordered Breathing: A Systematic Review.</t>
  </si>
  <si>
    <t>Venekamp, Roderick P; Chandrasekharan, Deepak; Abel, Francois; Blackshaw, Helen; Kreis, Irene A; Evans, Hannah E R; Schilder, Anne G M</t>
  </si>
  <si>
    <t>https://pubmed.ncbi.nlm.nih.gov/27988237</t>
  </si>
  <si>
    <t>Despite recent clinical guideline development, the best pathway of care for children with symptoms of obstructive sleep-disordered breathing (oSDB) is still debated. This systematic review aims to map the research in childhood oSDB that has been conducted so far to support further guideline development, identify evidence gaps, and guide future research. A systematic search was performed in PubMed, EMBASE, and the Cochrane Library from inception to November 26, 2015. All publications on childhood oSDB were included, irrespective of type and language. The annual number of publications in the field of oSDB was counted over all years; for those published since January 1, 2011 (ie, the date of the latest literature search of the American Academy of Pediatrics guideline), total and annual numbers of publications across main research themes and methodologies were calculated. Of the 7,637 unique records retrieved, 5,871 publications were eligible for inclusion. There was an increase in annual publications since 2000, with 46% published since 2011. Most publications (61%) focused on individual treatment modalities, incidence, or prognosis. Few publications (2.7%) focused on health service delivery, outcomes, and health economics. Observational studies composed 78.5% of publications, 2.4% were randomized controlled trials, and 0.4% used a qualitative approach as their main methodology. A recent surge in research activity into childhood oSDB has improved the knowledge base for this condition; however, the lack of health services, health economics, and outcomes research impacts the applicability of evidence informing current guidance and leaves important questions for future research. PROSPERO: registration number CRD42015029291.</t>
  </si>
  <si>
    <t>Herd effects of child vaccination with pneumococcal conjugate vaccine against pneumococcal non-invasive community-acquired pneumonia: What is the evidence?</t>
  </si>
  <si>
    <t>van Werkhoven, Cornelis H</t>
  </si>
  <si>
    <t>https://pubmed.ncbi.nlm.nih.gov/27937061</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</si>
  <si>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</si>
  <si>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Search for squarks and gluinos in events with hadronically decaying tau leptons, jets and missing transverse momentum in proton-proton collisions at [Formula: see text] TeV recorded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</si>
  <si>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Santos, S P Amor Dos; Amorim, A; Amoroso, S; Amundsen, G; Anastopoulos, C; Ancu, L S; Andari, N; Andeen, T; Anders, C F; Anders, G; Anders, J K; Anderson, K J; Andreazza, A; Andrei, V; An</t>
  </si>
  <si>
    <t>https://pubmed.ncbi.nlm.nih.gov/28747848</t>
  </si>
  <si>
    <t>A search for supersymmetry in events with large missing transverse momentum, jets, and at least one hadronically decaying tau lepton has been performed using 3.2 fb[Formula: see text] of proton-proton collision data at [Formula: see text] recorded by the ATLAS detector at the Large Hadron Collider in 2015. Two exclusive final states are considered, with either exactly one or at least two tau leptons. No excess over the Standard Model prediction is observed in the data. Results are interpreted in the context of gauge-mediated supersymmetry breaking and a simplified model of gluino pair production with tau-rich cascade decays, substantially improving on previous limits. In the GMSB model considered, supersymmetry-breaking scale ([Formula: see text]) values below [Formula: see text] are excluded at the 95% confidence level, corresponding to gluino masses below [Formula: see text]. For large values of [Formula: see text], values of [Formula: see text] up to [Formula: see text] and gluino masses up to [Formula: see text] are excluded. In the simplified model, gluino masses are excluded up to [Formula: see text] for neutralino masses around [Formula: see text]. Neutralino masses below [Formula: see text] are excluded for all gluino masses between 800 and [Formula: see text], while the strongest exclusion of [Formula: see text] is achieved for gluino masses around [Formula: see text].</t>
  </si>
  <si>
    <t>Automatic Coronary Artery Calcium Scoring on Radiotherapy Planning CT Scans of Breast Cancer Patients: Reproducibility and Association with Traditional Cardiovascular Risk Factors.</t>
  </si>
  <si>
    <t>Gernaat, Sofie A M; Išgum, Ivana; de Vos, Bob D; Takx, Richard A P; Young-Afat, Danny A; Rijnberg, Noor; Grobbee, Diederick E; van der Graaf, Yolanda; de Jong, Pim A; Leiner, Tim; van den Bongard, Desiree H J; Pignol, Jean-Philippe; Verkooijen, Helena M</t>
  </si>
  <si>
    <t>https://pubmed.ncbi.nlm.nih.gov/27936125</t>
  </si>
  <si>
    <t>Coronary artery calcium (CAC) is a strong and independent predictor of cardiovascular disease (CVD) risk. This study assesses reproducibility of automatic CAC scoring on radiotherapy planning computed tomography (CT) scans of breast cancer patients, and examines its association with traditional cardiovascular risk factors. This study included 561 breast cancer patients undergoing radiotherapy between 2013 and 2015. CAC was automatically scored with an algorithm using supervised pattern recognition, expressed as Agatston scores and categorized into five categories (0, 1-10, 11-100, 101-400, &gt;400). Reproducibility between automatic and manual expert scoring was assessed in 79 patients with automatically determined CAC above zero and 84 randomly selected patients without automatically determined CAC. Interscan reproducibility of automatic scoring was assessed in 294 patients having received two scans (82% on the same day). Association between CAC and CVD risk factors was assessed in 36 patients with CAC scores &gt;100, 72 randomly selected patients with scores 1-100, and 72 randomly selected patients without CAC. Reliability was assessed with linearly weighted kappa and agreement with proportional agreement. 134 out of 561 (24%) patients had a CAC score above zero. Reliability of CVD risk categorization between automatic and manual scoring was 0.80 (95% Confidence Interval (CI): 0.74-0.87), and slightly higher for scans with breath-hold. Agreement was 0.79 (95% CI: 0.72-0.85). Interscan reliability was 0.61 (95% CI: 0.50-0.72) with an agreement of 0.84 (95% CI: 0.80-0.89). Ten out of 36 (27.8%) patients with CAC scores above 100 did not have other cardiovascular risk factors. Automatic CAC scoring on radiotherapy planning CT scans is a reliable method to assess CVD risk based on Agatston scores. One in four breast cancer patients planned for radiotherapy have elevated CAC score. One in three patients with high CAC scores don't have other CVD risk factors and wouldn't have been identified as high risk.</t>
  </si>
  <si>
    <t>Long-term effects of a weight loss intervention with or without exercise component in postmenopausal women: A randomized trial.</t>
  </si>
  <si>
    <t>de Roon, Martijn; van Gemert, Willemijn A; Peeters, Petra H; Schuit, Albertine J; Monninkhof, Evelyn M</t>
  </si>
  <si>
    <t>https://pubmed.ncbi.nlm.nih.gov/27981025</t>
  </si>
  <si>
    <t>The aim of this study was to determine the long-term effects of a weight loss intervention with or without an exercise component on body weight and physical activity. Women were randomized to diet (&lt;i&gt;n&lt;/i&gt; = 97) or exercise (&lt;i&gt;N&lt;/i&gt; = 98) for 16 weeks. During the intervention, both groups had achieved the set goal of 5-6 kg weight loss. All women were re-contacted twelve months after study cessation for follow-up where body weight and physical activity were measured (PASE questionnaire and ActiGraph accelerometer). At follow-up, body weight and physical activity (measured by the PASE questionnaire and accelerometer) were measured again. At follow-up, both mainly exercise (- 4.3 kg, &lt;i&gt;p&lt;/i&gt; &lt; 0.001) and diet (- 3.4 kg, &lt;i&gt;p&lt;/i&gt; &lt; 0.001) showed significantly reduced body weight compared to baseline. Both the mainly exercise and diet group were significantly more physically active at one year follow-up compared to baseline (PASE: + 33%, &lt;i&gt;p&lt;/i&gt; &lt; 0.001 and + 12%, &lt;i&gt;p&lt;/i&gt; = 0.040, respectively; ActiGraph: + 16%, &lt;i&gt;p&lt;/i&gt; = 0.012. and + 2.2%, &lt;i&gt;p&lt;/i&gt; = 0.695 moderate-to-vigorous activity, respectively). Moreover, the increase in physical activity was statistically significantly when comparing exercise to diet (+ 0.6%, &lt;i&gt;p&lt;/i&gt; = 0.035). ActiGraph data also showed significantly less sedentary time in mainly exercise group compared to baseline (- 2.1%, &lt;i&gt;p&lt;/i&gt; = 0.018) and when comparing exercise to diet (- 1.8%, &lt;i&gt;p&lt;/i&gt; = 0.023). No significant within group differences were found for the diet group. This study shows largely sustained weight loss one year after completing a weight loss program with and without exercise in overweight postmenopausal women. Although the mainly exercise group maintained more physically active compared to the diet group, maintenance of weight loss did not differ between groups.</t>
  </si>
  <si>
    <t>Overweight and obesity epidemic in Ghana-a systematic review and meta-analysis.</t>
  </si>
  <si>
    <t>Ofori-Asenso, Richard; Agyeman, Akosua Adom; Laar, Amos; Boateng, Daniel</t>
  </si>
  <si>
    <t>https://pubmed.ncbi.nlm.nih.gov/27938360</t>
  </si>
  <si>
    <t>In many low and middle income countries (LMICs), the distribution of adulthood nutritional imbalance is shifting from a predominance of undernutrition to overnutrition. This complex problem poses a huge challenge to governments, non-state actors, and individuals desirous of addressing the problem of malnutrition in LMICs. The objective of this study was to systematically review the literature towards providing an estimate of the prevalence of overweight and obesity among adult Ghanaians. This study followed the recommendations outlined in the PRISMA statement. Searches were performed in PubMed, Science Direct, google scholar, Africa Journals Online (AJOL) and the WHO African Index Medicus database. This retrieved studies (published up to 31st March 2016) that reported overweight and obesity prevalence among Ghanaians. All online searches were supplemented by reference screening of retrieved papers to identify additional studies. Forty-three (43) studies involving a total population of 48,966 sampled across all the ten (10) regions of Ghana were selected for the review. Our analysis indicates that nearly 43% of Ghanaian adults are either overweight or obese. The national prevalence of overweight and obesity were estimated as 25.4% (95% CI 22.2-28.7%) and 17.1% (95% CI = 14.7-19.5%), respectively. Higher prevalence of overweight (27.2% vs 16.7%) and obesity (20.6% vs 8.0%) were estimated for urban than rural dwellers. Prevalence of overweight (27.8% vs 21.8%) and obesity (21.9% vs 6.0%) were also significantly higher in women than men. About 45.6% of adult diabetes patients in Ghana are either overweight or obese. At the regional level, about 43.4%, 36.9%, 32.4% and 55.2% of residents in Ashanti, Central, Northern and Greater Accra region, respectively are overweight or obese. These patterns generally mimic the levels of urbanization. Per studies' publication years, consistent increases in overweight and obesity prevalence were observed in Ghana in the period 1998-2016. There is a high and rising prevalence of overweight and obesity among Ghanaian adults. The possible implications on current and future population health, burden of chronic diseases, health care spending and broader economy could be enormous for a country still battling many infectious and parasitic diseases. Public health preventive measures that are appropriate for the Ghanaian context, culturally sensitive, cost-effective and sustainable are urgently needed to tackle this epidemic.</t>
  </si>
  <si>
    <t>Diagnostic value of sonography in treatment-naive chronic inflammatory neuropathies.</t>
  </si>
  <si>
    <t>Goedee, H Stephan; van der Pol, W Ludo; van Asseldonk, Jan-Thies H; Franssen, Hessel; Notermans, Nicolette C; Vrancken, Alexander J F E; van Es, Michael A; Nikolakopoulos, Stavros; Visser, Leo H; van den Berg, Leonard H</t>
  </si>
  <si>
    <t>https://pubmed.ncbi.nlm.nih.gov/27927940</t>
  </si>
  <si>
    <t>To determine the diagnostic value of high-resolution ultrasound (HRUS) for detection of chronic inflammatory demyelinating polyneuropathy (CIDP), Lewis-Sumner syndrome (LSS), and multifocal motor neuropathy (MMN). Between January 2013 and January 2015, we enrolled 75 consecutive treatment-naive patients with chronic inflammatory neuropathies and 70 disease controls. We performed extensive nerve conduction and standardized HRUS studies bilaterally of large arm and leg nerves and brachial plexus. We determined optimal sonographic cutoff values of nerve size and used receiver operating characteristic analysis and logistic regression models to identify nerve combinations with optimal diagnostic performance. Enlargement of median nerve at forearm &gt;10 mm&lt;sup&gt;2&lt;/sup&gt;, upper arm &gt;13 mm&lt;sup&gt;2&lt;/sup&gt;, and any trunk of brachial plexus &gt;8 mm&lt;sup&gt;2&lt;/sup&gt; was 99% specific for chronic inflammatory neuropathies. A shortened HRUS protocol for detecting this abnormal nerve enlargement showed high sensitivity (83%-95%), positive predictive value (100%), and negative predictive value (98%) in discriminating CIDP, LSS, and MMN from clinical mimics. Sonographic enlargement of proximal median nerve segments in the arms and brachial plexus is a key feature of chronic inflammatory neuropathies, which helps to reliably distinguish them from axonal neuropathies and amyotrophic lateral sclerosis. This study provides Class II evidence that, in absence of clinical features that suggest a hereditary demyelinating neuropathy, sonographic enlargement of proximal median nerve segments and brachial plexus accurately identifies patients with chronic inflammatory neuropathies.</t>
  </si>
  <si>
    <t>Blood pressure levels and the risk of intracerebral hemorrhage after ischemic stroke.</t>
  </si>
  <si>
    <t>Hilkens, Nina A; Greving, Jacoba P; Algra, Ale; Klijn, Catharina J M</t>
  </si>
  <si>
    <t>https://pubmed.ncbi.nlm.nih.gov/27927936</t>
  </si>
  <si>
    <t>To investigate the association between blood pressure (BP) levels and risk of intracerebral hemorrhage (ICH) after ischemic stroke. We performed a post hoc analysis of data from the Prevention Regimen for Effectively Avoiding Second Strokes (PRoFESS) trial, a randomized clinical trial including 20,332 patients with recent noncardioembolic ischemic stroke. BP measurements were divided into predefined categories. We calculated incidence rates per BP category and performed multivariable Cox regression analysis with systolic blood pressure (SBP) and diastolic blood pressure (DBP) categories as time-dependent covariables. One hundred thirty-three ICHs occurred during 50,778 person-years of follow-up, resulting in an incidence rate of 2.6 per 1,000 person-years. The incidence rate of ICH increased with increasing SBP and DBP categories. Risk of ICH was significantly higher in patients with SBP ≥160 mm Hg (hazard ratio 2.27, 95% confidence interval 1.34-3.86) compared with those with SBP of 130-&lt;140 mm Hg and in patients with DBP ≥100 mm Hg (hazard ratio 3.08, 95% confidence interval 1.78-5.34) compared with those with DBP of 80-&lt;90 mm Hg. The association between SBP or DBP and ICH did not differ by ischemic stroke subtype (p = 0.55 and 0.93). Among patients with recent noncardioembolic ischemic stroke, the risk of ICH is high. High SBP and DBP are associated with an increased risk of ICH. The association between BP and ICH is not dependent on ischemic stroke subtype.</t>
  </si>
  <si>
    <t>Ethical clinical translation of stem cell interventions for neurologic disease.</t>
  </si>
  <si>
    <t>Cote, David J; Bredenoord, Annelien L; Smith, Timothy R; Ammirati, Mario; Brennum, Jannick; Mendez, Ivar; Ammar, Ahmed S; Balak, Naci; Bolles, Gene; Esene, Ignatius Ngene; Mathiesen, Tiit; Broekman, Marike L</t>
  </si>
  <si>
    <t>https://pubmed.ncbi.nlm.nih.gov/27927932</t>
  </si>
  <si>
    <t>The application of stem cell transplants in clinical practice has increased in frequency in recent years. Many of the stem cell transplants in neurologic diseases, including stroke, Parkinson disease, spinal cord injury, and demyelinating diseases, are unproven-they have not been tested in prospective, controlled clinical trials and have not become accepted therapies. Stem cell transplant procedures currently being carried out have therapeutic aims, but are frequently experimental and unregulated, and could potentially put patients at risk. In some cases, patients undergoing such operations are not included in a clinical trial, and do not provide genuinely informed consent. For these reasons and others, some current stem cell interventions for neurologic diseases are ethically dubious and could jeopardize progress in the field. We provide discussion points for the evaluation of new stem cell interventions for neurologic disease, based primarily on the new Guidelines for Stem Cell Research and Clinical Translation released by the International Society for Stem Cell Research in May 2016. Important considerations in the ethical translation of stem cells to clinical practice include regulatory oversight, conflicts of interest, data sharing, the nature of investigation (e.g., within vs outside of a clinical trial), informed consent, risk-benefit ratios, the therapeutic misconception, and patient vulnerability. To help guide the translation of stem cells from the laboratory into the neurosurgical clinic in an ethically sound manner, we present an ethical discussion of these major issues at stake in the field of stem cell clinical research for neurologic disease.</t>
  </si>
  <si>
    <t>Magnetic Resonance Imaging and Cerebral Ischemia After Aneurysmal Subarachnoid Hemorrhage: A Systematic Review and Meta-Analysis.</t>
  </si>
  <si>
    <t>van der Kleij, Lisa A; De Vis, Jill B; Olivot, Jean-Marc; Calviere, Lionel; Cognard, Christophe; Zuithoff, Nicolaas P A; Rinkel, Gabriel J E; Hendrikse, Jeroen; Vergouwen, Mervyn D I</t>
  </si>
  <si>
    <t>https://pubmed.ncbi.nlm.nih.gov/27924052</t>
  </si>
  <si>
    <t>Effects and moderators of exercise on quality of life and physical function in patients with cancer: An individual patient data meta-analysis of 34 RCTs.</t>
  </si>
  <si>
    <t>Buffart, Laurien M; Kalter, Joeri; Sweegers, Maike G; Courneya, Kerry S; Newton, Robert U; Aaronson, Neil K; Jacobsen, Paul B; May, Anne M; Galvão, Daniel A; Chinapaw, Mai J; Steindorf, Karen; Irwin, Melinda L; Stuiver, Martijn M; Hayes, Sandi; Griffith, Kathleen A; Lucia, Alejandro; Mesters, Ilse; van Weert, Ellen; Knoop, Hans; Goedendorp, Martine M; Mutrie, Nanette; Daley, Amanda J; McConnachie, Alex; Bohus, Martin; Thorsen, Lene; Schulz, Karl-Heinz; Short, Camille E; James, Erica L; Plotnikoff, Ron C; Arbane, Gill; Schmidt, Martina E; Potthoff, Karin; van Beurden, Marc; Oldenburg, Hester S; Sonke, Gabe S; van Harten, Wim H; Garrod, Rachel; Schmitz, Kathryn H; Winters-Stone, Kerri M; Velthuis, Miranda J; Taaffe, Dennis R; van Mechelen, Willem; Kersten, Marie-José; Nollet, Frans; Wenzel, Jennifer; Wiskemann, Joachim; Verdonck-de Leeuw, Irma M; Brug, Johannes</t>
  </si>
  <si>
    <t>https://pubmed.ncbi.nlm.nih.gov/28006694</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</si>
  <si>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</si>
  <si>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Measurement of the [Formula: see text] dijet cross section in &lt;i&gt;pp&lt;/i&gt; collisions at [Formula: see text] TeV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</si>
  <si>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Angelozzi</t>
  </si>
  <si>
    <t>https://pubmed.ncbi.nlm.nih.gov/28316501</t>
  </si>
  <si>
    <t>The dijet production cross section for jets containing a &lt;i&gt;b&lt;/i&gt;-hadron (&lt;i&gt;b&lt;/i&gt;-jets) has been measured in proton-proton collisions with a centre-of-mass energy of [Formula: see text] TeV, using the ATLAS detector at the LHC. The data used correspond to an integrated luminosity of [Formula: see text]. The cross section is measured for events with two identified &lt;i&gt;b&lt;/i&gt;-jets with a transverse momentum [Formula: see text] GeV and a minimum separation in the [Formula: see text]-[Formula: see text] plane of [Formula: see text]. At least one of the jets in the event is required to have [Formula: see text] GeV. The cross section is measured differentially as a function of dijet invariant mass, dijet transverse momentum, boost of the dijet system, and the rapidity difference, azimuthal angle and angular distance between the &lt;i&gt;b&lt;/i&gt;-jets. The results are compared to different predictions of leading order and next-to-leading order perturbative quantum chromodynamics matrix elements supplemented with models for parton-showers and hadronization.</t>
  </si>
  <si>
    <t>Thromboprophylaxis after Knee Arthroscopy and Lower-Leg Casting.</t>
  </si>
  <si>
    <t>van Adrichem, Raymond A; Nemeth, Banne; Algra, Ale; le Cessie, Saskia; Rosendaal, Frits R; Schipper, Inger B; Nelissen, Rob G H H; Cannegieter, Suzanne C; ,</t>
  </si>
  <si>
    <t>https://pubmed.ncbi.nlm.nih.gov/27959702</t>
  </si>
  <si>
    <t>The use of thromboprophylaxis to prevent clinically apparent venous thromboembolism after knee arthroscopy or casting of the lower leg is disputed. We compared the incidence of symptomatic venous thromboembolism after these procedures between patients who received anticoagulant therapy and those who received no anticoagulant therapy. We conducted two parallel, pragmatic, multicenter, randomized, controlled, open-label trials with blinded outcome evaluation: the POT-KAST trial, which included patients undergoing knee arthroscopy, and the POT-CAST trial, which included patients treated with casting of the lower leg. Patients were assigned to receive either a prophylactic dose of low-molecular-weight heparin (for the 8 days after arthroscopy in the POT-KAST trial or during the full period of immobilization due to casting in the POT-CAST trial) or no anticoagulant therapy. The primary outcomes were the cumulative incidences of symptomatic venous thromboembolism and major bleeding within 3 months after the procedure. In the POT-KAST trial, 1543 patients underwent randomization, of whom 1451 were included in the intention-to-treat population. Venous thromboembolism occurred in 5 of the 731 patients (0.7%) in the treatment group and in 3 of the 720 patients (0.4%) in the control group (relative risk, 1.6; 95% confidence interval [CI], 0.4 to 6.8; absolute difference in risk, 0.3 percentage points; 95% CI, -0.6 to 1.2). Major bleeding occurred in 1 patient (0.1%) in the treatment group and in 1 (0.1%) in the control group (absolute difference in risk, 0 percentage points; 95% CI, -0.6 to 0.7). In the POT-CAST trial, 1519 patients underwent randomization, of whom 1435 were included in the intention-to-treat population. Venous thromboembolism occurred in 10 of the 719 patients (1.4%) in the treatment group and in 13 of the 716 patients (1.8%) in the control group (relative risk, 0.8; 95% CI, 0.3 to 1.7; absolute difference in risk, -0.4 percentage points; 95% CI, -1.8 to 1.0). No major bleeding events occurred. In both trials, the most common adverse event was infection. The results of our trials showed that prophylaxis with low-molecular-weight heparin for the 8 days after knee arthroscopy or during the full period of immobilization due to casting was not effective for the prevention of symptomatic venous thromboembolism. (Funded by the Netherlands Organization for Health Research and Development; POT-KAST and POT-CAST ClinicalTrials.gov numbers, NCT01542723 and NCT01542762 , respectively.).</t>
  </si>
  <si>
    <t>Measurement of the photon identification efficiencies with the ATLAS detector using LHC Run-1 data.</t>
  </si>
  <si>
    <t>https://pubmed.ncbi.nlm.nih.gov/28316500</t>
  </si>
  <si>
    <t>The algorithms used by the ATLAS Collaboration to reconstruct and identify prompt photons are described. Measurements of the photon identification efficiencies are reported, using 4.9 fb[Formula: see text] of &lt;i&gt;pp&lt;/i&gt; collision data collected at the LHC at [Formula: see text] [Formula: see text] and 20.3 fb[Formula: see text] at [Formula: see text] [Formula: see text]. The efficiencies are measured separately for converted and unconverted photons, in four different pseudorapidity regions, for transverse momenta between 10 [Formula: see text] and 1.5 [Formula: see text]. The results from the combination of three data-driven techniques are compared to the predictions from a simulation of the detector response, after correcting the electromagnetic shower momenta in the simulation for the average differences observed with respect to data. Data-to-simulation efficiency ratios used as correction factors in physics measurements are determined to account for the small residual efficiency differences. These factors are measured with uncertainties between 0.5% and 10% in 7 [Formula: see text] data and between 0.5% and 5.6% in 8 [Formula: see text] data, depending on the photon transverse momentum and pseudorapidity.</t>
  </si>
  <si>
    <t>Comments on propensity score matching following multiple imputation.</t>
  </si>
  <si>
    <t>Penning de Vries, Bbl; Groenwold, Rhh</t>
  </si>
  <si>
    <t>https://pubmed.ncbi.nlm.nih.gov/27852808</t>
  </si>
  <si>
    <t>Explaining the Decline in Coronary Heart Disease Mortality in the Netherlands between 1997 and 2007.</t>
  </si>
  <si>
    <t>Koopman, Carla; Vaartjes, Ilonca; van Dis, Ineke; Verschuren, W M Monique; Engelfriet, Peter; Heintjes, Edith M; Blokstra, Anneke; Deeg, Dorly J H; Visser, Marjolein; Bots, Michiel L; O'Flaherty, Martin; Capewell, Simon</t>
  </si>
  <si>
    <t>https://pubmed.ncbi.nlm.nih.gov/27906998</t>
  </si>
  <si>
    <t>We set out to determine what proportion of the mortality decline from 1997 to 2007 in coronary heart disease (CHD) in the Netherlands could be attributed to advances in medical treatment and to improvements in population-wide cardiovascular risk factors. We used the IMPACT-SEC model. Nationwide information was obtained on changes between 1997 and 2007 in the use of 42 treatments and in cardiovascular risk factor levels in adults, aged 25 or over. The primary outcome was the number of CHD deaths prevented or postponed. The age-standardized CHD mortality fell by 48% from 269 to 141 per 100.000, with remarkably similar relative declines across socioeconomic groups. This resulted in 11,200 fewer CHD deaths in 2007 than expected. The model was able to explain 72% of the mortality decline. Approximately 37% (95% CI: 10%-80%) of the decline was attributable to changes in acute phase and secondary prevention treatments: the largest contributions came from treating patients in the community with heart failure (11%) or chronic angina (9%). Approximately 36% (24%-67%) was attributable to decreases in risk factors: blood pressure (30%), total cholesterol levels (10%), smoking (5%) and physical inactivity (1%). Ten% more deaths could have been prevented if body mass index and diabetes would not have increased. Overall, these findings did not vary across socioeconomic groups, although within socioeconomic groups the contribution of risk factors differed. CHD mortality has recently halved in The Netherlands. Equally large contributions have come from the increased use of acute and secondary prevention treatments and from improvements in population risk factors (including primary prevention treatments). Increases in obesity and diabetes represent a major challenge for future prevention policies.</t>
  </si>
  <si>
    <t>Usefulness of quality indicators for antibiotic use: case study for the Netherlands.</t>
  </si>
  <si>
    <t>van der Velden, Alike W; Roukens, Monique; van de Garde, Ewoudt; Lourens, Marco; Natsch, Stephanie; ,</t>
  </si>
  <si>
    <t>https://pubmed.ncbi.nlm.nih.gov/27664820</t>
  </si>
  <si>
    <t>Inappropriate antibiotic use drives development of antimicrobial resistance. Worldwide, guideline adherence for antibiotic treatment of infectious disease is far from optimal. Insight in prescribing quality is pivotal for healthcare professionals and policy makers to intervene appropriately. European countries uniformly monitor antibiotic use, which is reported yearly by the European Centre for Disease Prevention and Control. Unfortunately, this has not had enough impact to decrease prescribing and resistance levels. Quality indicators (QIs) could provide better insight in prescribing quality and enable benchmarking to other countries; this could trigger action to improve antimicrobial prescribing. European Surveillance of Antimicrobial Consumption (ESAC) proposed 12 antibiotic QIs. Trends in use of antibiotic subgroups and the 12 ESAC QI values were determined for Dutch primary care (2004-2013); outcomes were compared to other European countries. Dutch antibiotic use is low within the European context. Nitrofurantoin use is higher than the European average, use of small-spectrum antibiotics lowers. Use of macrolides, quinolones and amoxicillin/clavulanate declined, which was not supported by the broad/narrow QI results. QIs expressing antibiotic subgroup use in Defined Daily Doses/1000 inhabitants/day, particularly small-spectrum and non-first choices, provide proper insight in prescribing quality and are useful for benchmarking purposes. QIs measuring percentages were not considered useful. The broad/narrow ratio could be more informative when adjusted to national guidelines, or when more antibiotic subgroups are included based on better European consensus. Benchmarking the above mentioned Dutch QI values to other countries provides direction for three specific strategies to further improve Dutch antibiotic prescribing practice.</t>
  </si>
  <si>
    <t>[Implementation of a proactive integrated primary care program for frail older people: from science to evidence-based practice].</t>
  </si>
  <si>
    <t>Bleijenberg, Nienke; de Jonge, Artine; Brand, Morris P; O'Flynn, Caitriona; Schuurmans, Marieke J; de Wit, Niek J</t>
  </si>
  <si>
    <t>tijdschrift voor gerontologie en geriatrie</t>
  </si>
  <si>
    <t>https://pubmed.ncbi.nlm.nih.gov/27882453</t>
  </si>
  <si>
    <t>Multimorbidity, functional impairment and frailty among community-dwelling older people are causing increasing complexity in primary care. A proactive integrated primary care approach is therefore essential. Between October 2014-2015, an evidence-based proactive care program for frail older people was implemented in the region Noord-West Veluwe en Zeewolde, the Netherlands. This study evaluated the feasibility of the implementation, having a strong focus on the collaboration between the medical and social domain. Using a mixed-methods design we evaluated several process indicators. Data were obtained from electronic routine medical record data within primary care, questionnaires, and interviews with older adults. The questionnaires provided information regarding the expectations and experiences towards the program and were sent to health care professionals at baseline and six months follow-up. Stakeholders from various domains were asked to fill in the questionnaire at baseline and twelve months follow-up. Interviews were conducted to explore the experiences of older adults with the program. Regional work groups were set up in each municipality to enhance the interdisciplinary and domain transcending collaboration. The proactive primary care program was implemented in 42 general practices who provided care to 7904 older adults aged 75 years or older. A total of 101 health care professionals and 44 stakeholders filled in the questionnaires. The need for better structure and interdisciplinary cooperation seemed widespread among the participants. The implementation resulted in a positive significant change in the demand for a better regional healthcare-framework (34% p ≤ .001) among health care professionals, and the needs for transparency regarding the possibilities for referral improved (27% , p = .009). Half of the participants reported that the regional collaboration has been improved after the implementation. Health care professionals and stakeholders gained increased attention and awareness of frail elderly in their area compared to before the implementation. Older people and their caregivers were positive about the proactive approach. The nurses reported that the screenings questionnaire was too lengthy and therefore time consuming. The implementation of the proactive primary care approach in daily practice was feasible. A strong interdisciplinary collaboration was realized. The program was easily adapted to the local context.</t>
  </si>
  <si>
    <t>A Health Professions Education Research-Specific Ethical Review Board.</t>
  </si>
  <si>
    <t>van den Broek, W E Sjoukje; Scheele, Fedde; Ten Cate, Olle; van Delden, Johannes J M</t>
  </si>
  <si>
    <t>https://pubmed.ncbi.nlm.nih.gov/29408845</t>
  </si>
  <si>
    <t>Adult height, coronary heart disease and stroke: a multi-locus Mendelian randomization meta-analysis.</t>
  </si>
  <si>
    <t xml:space="preserve">Nüesch, Eveline; Dale, Caroline; Palmer, Tom M; White, Jon; Keating, Brendan J; van Iperen, Erik Pa; Goel, Anuj; Padmanabhan, Sandosh; Asselbergs, Folkert W; ,; Verschuren, W M; Wijmenga, C; Van der Schouw, Y T; Onland-Moret, N C; Lange, Leslie A; Hovingh, G K; Sivapalaratnam, Suthesh; Morris, Richard W; Whincup, Peter H; Wannamethe, Goya S; Gaunt, Tom R; Ebrahim, Shah; Steel, Laura; Nair, Nikhil; Reiner, Alexander P; Kooperberg, Charles; Wilson, James F; Bolton, Jennifer L; McLachlan, Stela; Price, Jacqueline F; Strachan, Mark Wj; Robertson, Christine M; Kleber, Marcus E; Delgado, Graciela; März, Winfried; Melander, Olle; Dominiczak, Anna F; Farrall, Martin; Watkins, Hugh; Leusink, Maarten; Maitland-van der Zee, Anke H; de Groot, Mark Ch; Dudbridge, Frank; Hingorani, Aroon; Ben-Shlomo, Yoav; Lawlor, Debbie A; ,; Amuzu, A; Caufield, M; Cavadino, A; Cooper, J; Davies, T L; ,; Drenos, F; Engmann, J; Finan, C; Giambartolomei, C; Hardy, R; Humphries, S E; Hypponen, E; Kivimaki, M; Kuh, D; </t>
  </si>
  <si>
    <t>https://pubmed.ncbi.nlm.nih.gov/25979724</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</si>
  <si>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&lt; 0.001), triglycerides ( P  &lt; 0.001), non high-density (non-HDL) cholesterol ( P  &lt; 0.001), C-reactive protein ( P  = 0.042), and systolic blood pressure ( P  = 0.064) and higher levels of forced expiratory volume in 1 s and forced vital capacity ( P  &lt; 0.001 for both). Taller individuals have a lower risk of CHD with potential explanations being that taller people have a better lung function and lower levels of body mass index, cholesterol and blood pressure.</t>
  </si>
  <si>
    <t>Am I My Family's Keeper? Disclosure Dilemmas in Next-Generation Sequencing.</t>
  </si>
  <si>
    <t>Wouters, Roel H P; Bijlsma, Rhodé M; Ausems, Margreet G E M; van Delden, Johannes J M; Voest, Emile E; Bredenoord, Annelien L</t>
  </si>
  <si>
    <t>human mutation</t>
  </si>
  <si>
    <t>https://pubmed.ncbi.nlm.nih.gov/27647774</t>
  </si>
  <si>
    <t>Ever since genetic testing is possible for specific mutations, ethical debate has sparked on the question of whether professionals have a duty to warn not only patients but also their relatives that might be at risk for hereditary diseases. As next-generation sequencing (NGS) swiftly finds its way into clinical practice, the question who is responsible for conveying unsolicited findings to family members becomes increasingly urgent. Traditionally, there is a strong emphasis on the duties of the professional in this debate. But what is the role of the patient and her family? In this article, we discuss the question of whose duty it is to convey relevant genetic risk information concerning hereditary diseases that can be cured or prevented to the relatives of patients undergoing NGS. We argue in favor of a shared responsibility for professionals and patients and present a strategy that reconciles these roles: a moral accountability nudge. Incorporated into informed consent and counseling services such as letters and online tools, this nudge aims to create awareness on specific patient responsibilities. Commitment of all parties is needed to ensure adequate dissemination of results in the NGS era.</t>
  </si>
  <si>
    <t>Musculoskeletal complaints while growing up from age 11 to age 14: the PIAMA birth cohort study.</t>
  </si>
  <si>
    <t>Picavet, H Susan J; Berentzen, Nina; Scheuer, Ninotsjka; Ostelo, Raymond W J G; Brunekreef, Bert; Smit, Henriette A; Wijga, Alet</t>
  </si>
  <si>
    <t>pain</t>
  </si>
  <si>
    <t>https://pubmed.ncbi.nlm.nih.gov/27780179</t>
  </si>
  <si>
    <t>For musculoskeletal complaints (MSCs) among adults, several risk factors are known, but the most important determinant is an earlier episode of MSCs. Research has shifted to younger ages, showing a high prevalence of MSCs among children and adolescents. Our purpose was to evaluate the prevalence of MSCs among those growing up from age 11 to 14 and to explore the role of several sociodemographic, growth and development, psychosocial, and lifestyle factors. Data collected at age 11 (n = 2651) and age 14 (n = 2522) in the ongoing Dutch Prevention and Incidence of Asthma and Mite Allergy (PIAMA) birth cohort study were used. Analyses included multiple logistic regression analyses using stepwise backward selection. The 1-year prevalence of any MSCs for at least 1 month increased from 15.8% at age 11 to 24.4% at age 14, and this was also found for upper extremity complaints (from 4.7% to 7.6%), back complaints (from 2.7% to 9.3%), and lower extremity complaints (from 11.9% to 14.7%). More MSCs were found among girls, those with sports injuries, those with sleeping problems, and those with daytime tiredness, although complaints at age 11 were by far the most important factor associated with MSCs at age 14 for all pain sites. This study showed that MSC is already common at an early age and that already at age 14 the factor with the strongest association is an earlier episode of MSCs. Sleeping problems and tiredness may also play a role in the early development of MSCs, either as determinant or as a consequence.</t>
  </si>
  <si>
    <t>Psilocybin: promising results in double-blind trials require confirmation by real-world evidence.</t>
  </si>
  <si>
    <t>Breckenridge, Alasdair; Grobbee, Diederick E</t>
  </si>
  <si>
    <t>journal of psychopharmacology oxford england</t>
  </si>
  <si>
    <t>https://pubmed.ncbi.nlm.nih.gov/27909175</t>
  </si>
  <si>
    <t>PCSK9 genetic variants and risk of type 2 diabetes: a mendelian randomisation study.</t>
  </si>
  <si>
    <t>Schmidt, Amand F; Swerdlow, Daniel I; Holmes, Michael V; Patel, Riyaz S; Fairhurst-Hunter, Zammy; Lyall, Donald M; Hartwig, Fernando Pires; Horta, Bernardo Lessa; Hyppönen, Elina; Power, Christine; Moldovan, Max; van Iperen, Erik; Hovingh, G Kees; Demuth, Ilja; Norman, Kristina; Steinhagen-Thiessen, Elisabeth; Demuth, Juri; Bertram, Lars; Liu, Tian;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Luan, Jian'an; Bobak, Martin; Malyutina, Sofia; Pająk, Andrzej; Kubinova, Ruzena; Tamosiunas, Abdonas; Pikhart, Hynek; Husemoen, Lise Lott</t>
  </si>
  <si>
    <t>https://pubmed.ncbi.nlm.nih.gov/27908689</t>
  </si>
  <si>
    <t>Statin treatment and variants in the gene encoding HMG-CoA reductase are associated with reductions in both the concentration of LDL cholesterol and the risk of coronary heart disease, but also with modest hyperglycaemia, increased bodyweight, and modestly increased risk of type 2 diabetes, which in no way offsets their substantial benefits. We sought to investigate the associations of LDL cholesterol-lowering PCSK9 variants with type 2 diabetes and related biomarkers to gauge the likely effects of PCSK9 inhibitors on diabetes risk. In this mendelian randomisation study, we used data from cohort studies, randomised controlled trials, case control studies, and genetic consortia to estimate associations of PCSK9 genetic variants with LDL cholesterol, fasting blood glucose, HbA&lt;sub&gt;1c&lt;/sub&gt;, fasting insulin, bodyweight, waist-to-hip ratio, BMI, and risk of type 2 diabetes, using a standardised analysis plan, meta-analyses, and weighted gene-centric scores. Data were available for more than 550 000 individuals and 51 623 cases of type 2 diabetes. Combined analyses of four independent PCSK9 variants (rs11583680, rs11591147, rs2479409, and rs11206510) scaled to 1 mmol/L lower LDL cholesterol showed associations with increased fasting glucose (0·09 mmol/L, 95% CI 0·02 to 0·15), bodyweight (1·03 kg, 0·24 to 1·82), waist-to-hip ratio (0·006, 0·003 to 0·010), and an odds ratio for type diabetes of 1·29 (1·11 to 1·50). Based on the collected data, we did not identify associations with HbA&lt;sub&gt;1c&lt;/sub&gt; (0·03%, -0·01 to 0·08), fasting insulin (0·00%, -0·06 to 0·07), and BMI (0·11 kg/m&lt;sup&gt;2&lt;/sup&gt;, -0·09 to 0·30). PCSK9 variants associated with lower LDL cholesterol were also associated with circulating higher fasting glucose concentration, bodyweight, and waist-to-hip ratio, and an increased risk of type 2 diabetes. In trials of PCSK9 inhibitor drugs, investigators should carefully assess these safety outcomes and quantify the risks and benefits of PCSK9 inhibitor treatment, as was previously done for statins. British Heart Foundation, and University College London Hospitals NHS Foundation Trust (UCLH) National Institute for Health Research (NIHR) Biomedical Research Centre.</t>
  </si>
  <si>
    <t>Test of CP invariance in vector-boson fusion production of the Higgs boson using the &lt;i&gt;Optimal Observable&lt;/i&gt; method in the ditau decay channel with the ATLAS detector.</t>
  </si>
  <si>
    <t>Aad, G; Abbott, B; Abdinov, O; Abdallah, J; Abeloos, B; Aben, R; Abolins, M;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t>
  </si>
  <si>
    <t>https://pubmed.ncbi.nlm.nih.gov/28316497</t>
  </si>
  <si>
    <t>A test of CP invariance in Higgs boson production via vector-boson fusion using the method of the &lt;i&gt;Optimal Observable&lt;/i&gt; is presented. The analysis exploits the decay mode of the Higgs boson into a pair of [Formula: see text] leptons and is based on 20.3 [Formula: see text] of proton-proton collision data at [Formula: see text] = 8 [Formula: see text] collected by the ATLAS experiment at the LHC. Contributions from CP-violating interactions between the Higgs boson and electroweak gauge bosons are described in an effective field theory framework, in which the strength of CP violation is governed by a single parameter [Formula: see text]. The mean values and distributions of CP-odd observables agree with the expectation in the Standard Model and show no sign of CP violation. The CP-mixing parameter [Formula: see text] is constrained to the interval [Formula: see text] at 68% confidence level, consistent with the Standard Model expectation of [Formula: see text].</t>
  </si>
  <si>
    <t>A closed testing procedure to select an appropriate method for updating prediction models.</t>
  </si>
  <si>
    <t>Vergouwe, Yvonne; Nieboer, Daan; Oostenbrink, Rianne; Debray, Thomas P A; Murray, Gordon D; Kattan, Michael W; Koffijberg, Hendrik; Moons, Karel G M; Steyerberg, Ewout W</t>
  </si>
  <si>
    <t>https://pubmed.ncbi.nlm.nih.gov/27891652</t>
  </si>
  <si>
    <t>Prediction models fitted with logistic regression often show poor performance when applied in populations other than the development population. Model updating may improve predictions. Previously suggested methods vary in their extensiveness of updating the model. We aim to define a strategy in selecting an appropriate update method that considers the balance between the amount of evidence for updating in the new patient sample and the danger of overfitting. We consider recalibration in the large (re-estimation of model intercept); recalibration (re-estimation of intercept and slope) and model revision (re-estimation of all coefficients) as update methods. We propose a closed testing procedure that allows the extensiveness of the updating to increase progressively from a minimum (the original model) to a maximum (a completely revised model). The procedure involves multiple testing with maintaining approximately the chosen type I error rate. We illustrate this approach with three clinical examples: patients with prostate cancer, traumatic brain injury and children presenting with fever. The need for updating the prostate cancer model was completely driven by a different model intercept in the update sample (adjustment: 2.58). Separate testing of model revision against the original model showed statistically significant results, but led to overfitting (calibration slope at internal validation = 0.86). The closed testing procedure selected recalibration in the large as update method, without overfitting. The advantage of the closed testing procedure was confirmed by the other two examples. We conclude that the proposed closed testing procedure may be useful in selecting appropriate update methods for previously developed prediction models. Copyright © 2016 John Wiley &amp; Sons, Ltd.</t>
  </si>
  <si>
    <t>Luminosity determination in &lt;i&gt;pp&lt;/i&gt; collisions at [Formula: see text] = 8 TeV using the ATLAS detector at the LHC.</t>
  </si>
  <si>
    <t>https://pubmed.ncbi.nlm.nih.gov/28316496</t>
  </si>
  <si>
    <t>The luminosity determination for the ATLAS detector at the LHC during &lt;i&gt;pp&lt;/i&gt; collisions at [Formula: see text] 8 TeV in 2012 is presented. The evaluation of the luminosity scale is performed using several luminometers, and comparisons between these luminosity detectors are made to assess the accuracy, consistency and long-term stability of the results. A luminosity uncertainty of [Formula: see text] is obtained for the [Formula: see text] of &lt;i&gt;pp&lt;/i&gt; collision data delivered to ATLAS at [Formula: see text] 8 TeV in 2012.</t>
  </si>
  <si>
    <t>Factors influencing exacerbation-related self-management in patients with COPD: a qualitative study.</t>
  </si>
  <si>
    <t>Korpershoek, Yjg; Vervoort, Scjm; Nijssen, Lit; Trappenburg, Jca; Schuurmans, M J</t>
  </si>
  <si>
    <t>international journal of chronic obstructive pulmonary disease</t>
  </si>
  <si>
    <t>https://pubmed.ncbi.nlm.nih.gov/27932877</t>
  </si>
  <si>
    <t>In patients with COPD, self-management skills are important to reduce the impact of exacerbations. However, both detection and adequate response to exacerbations appear to be difficult for some patients. Little is known about the underlying process of exacerbation-related self-management. Therefore, the objective of this study was to identify and explain the underlying process of exacerbation-related self-management behavior. A qualitative study using semi-structured in-depth interviews was performed according to the grounded theory approach, following a cyclic process in which data collection and data analysis alternated. Fifteen patients (male n=8; age range 59-88 years) with mild to very severe COPD were recruited from primary and secondary care settings in the Netherlands, in 2015. Several patterns in exacerbation-related self-management behavior were identified, and a conceptual model describing factors influencing exacerbation-related self-management was developed. Acceptance, knowledge, experiences with exacerbations, perceived severity of symptoms and social support were important factors influencing exacerbation-related self-management. Specific factors influencing recognition of exacerbations were heterogeneity of exacerbations and habituation to symptoms. Feelings of fear, perceived influence on exacerbation course, patient beliefs, ambivalence toward treatment, trust in health care providers and self-empowerment were identified as specific factors influencing self-management actions. This study provided insight into factors influencing exacerbation-related self-management behavior in COPD patients. The conceptual model can be used as a framework for health care professionals providing self-management support. In the development of future self-management interventions, factors influencing the process of exacerbation-related self-management should be taken into account.</t>
  </si>
  <si>
    <t>Association between human immunodeficiency virus infection and arterial stiffness in children.</t>
  </si>
  <si>
    <t>Kuilder, Justin S; Idris, Nikmah S; Grobbee, Diederick E; Bots, Michiel L; Cheung, Michael Mh; Burgner, David; Kurniati, Nia; Uiterwaal, Cuno Spm</t>
  </si>
  <si>
    <t>https://pubmed.ncbi.nlm.nih.gov/27885058</t>
  </si>
  <si>
    <t>Background Human immunodeficiency virus infection (HIV) is associated with increased cardiovascular risk and adverse cardiovascular outcome in adults. Early recognition of changes in vascular properties might prove essential in cardiovascular prevention in HIV-infected patients. We investigated the relations between HIV infection and arterial stiffness in children. Methods This cross-sectional study included 51 HIV-infected and 52 healthy children (age 3.2-14.5 years, 49 males). All infected children had acquired HIV by vertical transmission and were receiving antiretroviral therapy at time of assessment. Arterial stiffness was measured by pulse wave velocity and aortic augmentation index, using the Arteriograph system (Tensiomed Kft, Budapest, Hungary). We applied multivariable general linear modeling to evaluate the relationship between HIV infection and arterial stiffness with further adjustment for confounders and possible intermediary variables. Findings represent mean group differences with 95% confidence intervals and p values. Results Aortic augmentation index was higher by 9.0% (5.6-12.5, p &lt; 0.001) in HIV-infected than in healthy children. Adjustment for blood pressure, protease inhibitor use, biomarkers for level of inflammation, lipid- and glucose-metabolism, as possible intermediary variables, did not appreciably alter the results. There were no significant differences in pulse wave velocity between HIV-infected and healthy children (mean difference 0.28 m/s, -0.14-0.69, p = 0.19). Conclusion HIV-infected children have an increased aortic augmentation index, compared to healthy children. Early cardiovascular assessment may be important in targeted prevention for HIV-infected children.</t>
  </si>
  <si>
    <t>Hyperemesis gravidarum and placental dysfunction disorders.</t>
  </si>
  <si>
    <t>Koudijs, Heleen M; Savitri, Ary I; Browne, Joyce L; Amelia, Dwirani; Baharuddin, Mohammad; Grobbee, Diederick E; Uiterwaal, Cuno S P M</t>
  </si>
  <si>
    <t>https://pubmed.ncbi.nlm.nih.gov/27884114</t>
  </si>
  <si>
    <t>Evidence about the consequence of hyperemesis gravidarum (HG) on pregnancy outcomes is still inconclusive. In this study, we evaluated if occurrence of hyperemesis gravidarum is associated with placental dysfunction disorders and neonatal outcomes. A prospective cohort study was conducted in a maternal and child health primary care referral center, Budi Kemuliaan Hospital and its branch, in Jakarta, Indonesia. 2252 pregnant women visiting the hospital for regular antenatal care visits from July 2012 until October 2014 were included at their first clinic visit. For women without, with mild and with severe hyperemesis, placental dysfunction disorders (gestational hypertension, preeclampsia (PE), stillbirth, miscarriage), neonatal outcomes (birth weight, small for gestational age (SGA), low birth weight (LBW), Apgar score at 5 min, gestational age at delivery) and placental outcomes (placental weight and placental-weight-to-birth-weight ratio (PW/BW ratio)) were studied. Compared to newborns of women without hyperemesis, newborns of women with severe hyperemesis had a 172 g lower birth weight in adjusted analysis (95%CI -333.26; -10.18; p = 0.04). There were no statistically significant effects on placental dysfunction disorders or other neonatal outcome measures. The results of our study suggest that hyperemesis gravidarum does not seem to induce placental dysfunction disorders, but does, if severe lead to lower birth weight.</t>
  </si>
  <si>
    <t>The unique status of first-in-human studies: strengthening the social value requirement.</t>
  </si>
  <si>
    <t>Habets, Michelle G J L; van Delden, Johannes J M; Bredenoord, Annelien L</t>
  </si>
  <si>
    <t>https://pubmed.ncbi.nlm.nih.gov/27894931</t>
  </si>
  <si>
    <t>For clinical research to be ethical, risks need to be balanced by anticipated benefits. This is challenging for first-in-human (FIH) studies as participants are not expected to benefit directly, and risks are potentially high. We argue that this differentiates FIH studies from other clinical trials to the extent that they should be given unique status in international research ethics guidelines. As there is a general positive attitude regarding the benefits of science, it is important to establish a more systematic method to assess anticipated social value to safeguard participants not only from enrolling in risky, but also in futile trials. Here, we provide some of necessary steps needed to assess the anticipated social value of the intervention.</t>
  </si>
  <si>
    <t>Erratum to: Hospitalization costs for community-acquired pneumonia in Dutch elderly: an observational study.</t>
  </si>
  <si>
    <t>Vissink, Conrad E; Huijts, Susanne M; de Wit, G Ardine; Bonten, Marc J M; Mangen, Marie-Josée J</t>
  </si>
  <si>
    <t>https://pubmed.ncbi.nlm.nih.gov/27884117</t>
  </si>
  <si>
    <t>No rationale for 1 variable per 10 events criterion for binary logistic regression analysis.</t>
  </si>
  <si>
    <t>van Smeden, Maarten; de Groot, Joris A H; Moons, Karel G M; Collins, Gary S; Altman, Douglas G; Eijkemans, Marinus J C; Reitsma, Johannes B</t>
  </si>
  <si>
    <t>https://pubmed.ncbi.nlm.nih.gov/27881078</t>
  </si>
  <si>
    <t>Ten events per variable (EPV) is a widely advocated minimal criterion for sample size considerations in logistic regression analysis. Of three previous simulation studies that examined this minimal EPV criterion only one supports the use of a minimum of 10 EPV. In this paper, we examine the reasons for substantial differences between these extensive simulation studies. The current study uses Monte Carlo simulations to evaluate small sample bias, coverage of confidence intervals and mean square error of logit coefficients. Logistic regression models fitted by maximum likelihood and a modified estimation procedure, known as Firth's correction, are compared. The results show that besides EPV, the problems associated with low EPV depend on other factors such as the total sample size. It is also demonstrated that simulation results can be dominated by even a few simulated data sets for which the prediction of the outcome by the covariates is perfect ('separation'). We reveal that different approaches for identifying and handling separation leads to substantially different simulation results. We further show that Firth's correction can be used to improve the accuracy of regression coefficients and alleviate the problems associated with separation. The current evidence supporting EPV rules for binary logistic regression is weak. Given our findings, there is an urgent need for new research to provide guidance for supporting sample size considerations for binary logistic regression analysis.</t>
  </si>
  <si>
    <t>The whole story: a systematic review of economic evaluations of HPV vaccination including non-cervical HPV-associated diseases.</t>
  </si>
  <si>
    <t>Suijkerbuijk, Anita W M; Donken, Robine; Lugnér, Anna K; de Wit, G Ardine; Meijer, Chris J L M; de Melker, Hester E; Bogaards, Johannes A</t>
  </si>
  <si>
    <t>expert review of vaccines</t>
  </si>
  <si>
    <t>https://pubmed.ncbi.nlm.nih.gov/27807989</t>
  </si>
  <si>
    <t>Many economic evaluations of HPV vaccination have been published, but most have focused on the prevention of cervical disease as a primary health outcome. The cost-effectiveness of vaccination is likely to be underestimated if not all HPV-associated diseases are taken into account. In this review, we assess the influence of non-cervical HPV-associated diseases on the incremental cost-effectiveness ratio (ICER) of preadolescent HPV vaccination. Areas covered: We systematically searched the literature and identified 18 studies that included non-cervical diseases in the estimates of cost-effectiveness of HPV-vaccination. When taking other HPV-related diseases into account compared to not including such other diseases, the mean ICERs were 2.85 times more favorable for girls only vaccination and 3.89 times for gender neutral vaccination. Expert commentary: Including non-cervical diseases in economic evaluations of HPV vaccination programs makes it more likely that the ICER falls beneath accepted cost-effectiveness thresholds and therefore increases the scope for gender neutral vaccination.</t>
  </si>
  <si>
    <t>Provider adherence to first antenatal care guidelines and risk of pregnancy complications in public sector facilities: a Ghanaian cohort study.</t>
  </si>
  <si>
    <t>Amoakoh-Coleman, Mary; Klipstein-Grobusch, Kerstin; Agyepong, Irene Akua; Kayode, Gbenga A; Grobbee, Diederick E; Ansah, Evelyn K</t>
  </si>
  <si>
    <t>https://pubmed.ncbi.nlm.nih.gov/27881104</t>
  </si>
  <si>
    <t>Guideline utilization aims at improvement in quality of care and better health outcomes. The objective of the current study was to determine the effect of provider complete adherence to the first antenatal care guidelines on the risk of maternal and neonatal complications in a low resource setting. Women delivering in 11 health facilities in the Greater Accra region of Ghana were recruited into a cohort study. Their first antenatal visit records were reviewed to assess providers' adherence to the guidelines, using a thirteen-point checklist. Information on their socio-demographic characteristics and previous pregnancy history was collected. Participants were followed up for 6 weeks post-partum to complete data collection on outcomes. The incidence of maternal and neonatal complications was estimated. The effects of complete adherence on risk of maternal and neonatal complications were estimated and expressed as relative risks (RRs) with their 95% confidence intervals (CI) adjusted for a potential clustering effect of health facilities. Overall, 926 women were followed up to 6 weeks post-partum. Mean age (SD) of participants was 28.2 (5.4) years. Complete adherence to guidelines pertained to the care of 48.5% of women. Incidence of preterm deliveries, low birth weight, stillbirths and neonatal mortality were 5.3, 6.1, 0.4 and 1.4% respectively. Complete adherence to the guidelines decreased risk of any neonatal complication [0.72 (0.65-0.93); p = 0.01] and delivery complication [0.66 (0.44-0.99), p = 0.04]. Complete provider adherence to antenatal care guidelines at first antenatal visit influences delivery and neonatal outcomes. While there is the need to explore and understand explanatory mechanisms for these observations, programs that promote complete adherence to guidelines will improve the pregnancy outcomes.</t>
  </si>
  <si>
    <t>Threshold Analysis and Biodistribution of Fluorescently Labeled Bevacizumab in Human Breast Cancer.</t>
  </si>
  <si>
    <t>Koch, Maximilian; de Jong, Johannes S; Glatz, Jürgen; Symvoulidis, Panagiotis; Lamberts, Laetitia E; Adams, Arthur L L; Kranendonk, Mariëtte E G; Terwisscha van Scheltinga, Anton G T; Aichler, Michaela; Jansen, Liesbeth; de Vries, Jakob; Lub-de Hooge, Marjolijn N; Schröder, Carolien P; Jorritsma-Smit, Annelies; Linssen, Matthijs D; de Boer, Esther; van der Vegt, Bert; Nagengast, Wouter B; Elias, Sjoerd G; Oliveira, Sabrina; Witkamp, Arjen J; Mali, Willem P T M; Van der Wall, Elsken; Garcia-Allende, P Beatriz; van Diest, Paul J; de Vries, Elisabeth G E; Walch, Axel; van Dam, Gooitzen M; Ntziachristos, Vasilis</t>
  </si>
  <si>
    <t>https://pubmed.ncbi.nlm.nih.gov/27879266</t>
  </si>
  <si>
    <t>In vivo tumor labeling with fluorescent agents may assist endoscopic and surgical guidance for cancer therapy as well as create opportunities to directly observe cancer biology in patients. However, malignant and nonmalignant tissues are usually distinguished on fluorescence images by applying empirically determined fluorescence intensity thresholds. Here, we report the development of fSTREAM, a set of analytic methods designed to streamline the analysis of surgically excised breast tissues by collecting and statistically processing hybrid multiscale fluorescence, color, and histology readouts toward precision fluorescence imaging. fSTREAM addresses core questions of how to relate fluorescence intensity to tumor tissue and how to quantitatively assign a normalized threshold that sufficiently differentiates tumor tissue from healthy tissue. Using fSTREAM we assessed human breast tumors stained in vivo with fluorescent bevacizumab at microdose levels. Showing that detection of such levels is achievable, we validated fSTREAM for high-resolution mapping of the spatial pattern of labeled antibody and its relation to the underlying cancer pathophysiology and tumor border on a per patient basis. We demonstrated a 98% sensitivity and 79% specificity when using labeled bevacizumab to outline the tumor mass. Overall, our results illustrate a quantitative approach to relate fluorescence signals to malignant tissues and improve the theranostic application of fluorescence molecular imaging. Cancer Res; 77(3); 623-31. ©2016 AACR.</t>
  </si>
  <si>
    <t>Non-occupational physical activity levels of shift workers compared with non-shift workers.</t>
  </si>
  <si>
    <t>Loef, Bette; Hulsegge, Gerben; Wendel-Vos, G C Wanda; Verschuren, W M Monique; Vermeulen, Roel C H; Bakker, Marije F; van der Beek, Allard J; Proper, Karin I</t>
  </si>
  <si>
    <t>https://pubmed.ncbi.nlm.nih.gov/27872151</t>
  </si>
  <si>
    <t>Lack of physical activity (PA) has been hypothesised as an underlying mechanism in the adverse health effects of shift work. Therefore, our aim was to compare non-occupational PA levels between shift workers and non-shift workers. Furthermore, exposure-response relationships for frequency of night shifts and years of shift work regarding non-occupational PA levels were studied. Data of 5980 non-shift workers and 532 shift workers from the European Prospective Investigation into Cancer and Nutrition-Netherlands (EPIC-NL) were used in these cross-sectional analyses. Time spent (hours/week) in different PA types (walking/cycling/exercise/chores) and intensities (moderate/vigorous) were calculated based on self-reported PA. Furthermore, sports were operationalised as: playing sports (no/yes), individual versus non-individual sports, and non-vigorous-intensity versus vigorous-intensity sports. PA levels were compared between shift workers and non-shift workers using Generalized Estimating Equations and logistic regression. Shift workers reported spending more time walking than non-shift workers (B=2.3 (95% CI 1.2 to 3.4)), but shift work was not associated with other PA types and any of the sports activities. Shift workers who worked 1-4 night shifts/month (B=2.4 (95% CI 0.6 to 4.3)) and ≥5 night shifts/month (B=3.7 (95% CI 1.8 to 5.6)) spent more time walking than non-shift workers. No exposure-response relationships were found between years of shift work and PA levels. Shift workers spent more time walking than non-shift workers, but we observed no differences in other non-occupational PA levels. To better understand if and how PA plays a role in the negative health consequences of shift work, our findings need to be confirmed in future studies.</t>
  </si>
  <si>
    <t>Adult derived genetic blood pressure scores and blood pressure measured in different body postures in young children.</t>
  </si>
  <si>
    <t>Jansen, Maria Ac; Dalmeijer, Geertje W; Visseren, Frank Lj; van der Ent, Cornelis K; Leusink, Maarten; Onland-Moret, N Charlotte; Maitland-van der Zee, Anke H; Grobbee, Diederick E; Uiterwaal, Cuno Spm</t>
  </si>
  <si>
    <t>https://pubmed.ncbi.nlm.nih.gov/27856808</t>
  </si>
  <si>
    <t>Aims Several genes are related to blood pressure (BP) levels in adults, but it is largely unknown whether these genes also determine BP early in life. Methods Systolic BP (SBP) and diastolic BP (DBP) were measured in 720 5-year-old children from the WHeezing-Illnesses-STudy-LEidsche-Rijn (WHISTLER) birth cohort in sitting and supine positions using a semi-automatic oscillometric device. Illumina chip technology was used to genotype 18, 19, 11 and 12 single nucleotide polymorphisms associated with adult SBP, DBP, mean arterial pressure (MAP) and hypertension, respectively, in the children's DNA and separate weighted genetic risk scores (GRSs) were constructed. The associations are reported as linear regression coefficients (mmHg BP in childhood/GRS score point) or odds ratios (highest childhood BP quintile/hypertension GRS score point). Results A higher GRS for SBP was related to higher supine SBP (0.37, 95% CI 0.01 to 0.7), but not to supine DBP (-0.05, 95% CI -0.4 to 0.3) or supine MAP (0.19, 95% CI -0.1 to 0.5). A higher GRS for DBP was related to a higher supine SBP (0.66, 95% CI 0.1 to 1.2), but not to supine DBP (-0.07, 95% CI -0.6 to 0.4) or supine MAP (0.28, 95% CI -0.2 to 0.7). With the sitting BP measurements, the GRSs for SBP and DBP were related to neither SBP nor DBP. No association was found between GRS for MAP and SBP, DBP or MAP. Hypertension GRS was not associated with a higher BP in children. Conclusions Higher scores for adult derived diastolic and systolic BP genes appear to be related to higher supine systolic BP at age 5 years.</t>
  </si>
  <si>
    <t>Laparoscopic antireflux surgery increases health-related quality of life in children with GERD.</t>
  </si>
  <si>
    <t>Mauritz, Femke A; Stellato, Rebecca K; van Heurn, L W Ernst; Siersema, Peter D; Sloots, Cornelius E J; Houwen, Roderick H J; van der Zee, David C; van Herwaarden-Lindeboom, Maud Y A</t>
  </si>
  <si>
    <t>surgical endoscopy</t>
  </si>
  <si>
    <t>https://pubmed.ncbi.nlm.nih.gov/27864715</t>
  </si>
  <si>
    <t>Improving health-related quality of life (HRQoL) is increasingly recognized as an essential part of patient care outcome. Little is known about the effect of laparoscopic antireflux surgery (LARS) on the HRQoL in the pediatric patients. The aims of this study were to evaluate the effect of LARS on HRQoL in children with gastroesophageal reflux disease (GERD) and to identify predictors that influence HRQoL outcome after LARS. Between 2011 and 2013, 25 patients with therapy-resistant GERD [median age 6 (2-18) years] were included prospectively. Caregivers and children with normal neurodevelopment (&gt;4 years) were asked to fill out the validated PedsQL 4.0 Generic Core Scales before and 3-4 months after LARS. The PedsQL was completed by all caregivers (n = 25) and 12 children. HRQoL total score improved significantly after LARS, both from a parental (p = 0.009) and child's perspective (p = 0.018). The psychosocial health summary and physical health summary scores also improved significantly after LARS. HRQoL before and after LARS was significantly lower in children with impaired neurodevelopment (p &lt; 0.001). However, neurodevelopment did not influence the effect of LARS on HRQoL. The only significant predictor for improvement in HRQoL after LARS was age at the time of operation (p = 0.001). HRQoL significantly improves after LARS. Although children with impaired neurodevelopment had lower overall HRQoL, neurodevelopment by itself does not predict inferior improvement in HRQoL after LARS. Older children have a more favorable HRQoL outcome after LARS compared to younger children. This may suggest caution when considering LARS in younger GERD patients.</t>
  </si>
  <si>
    <t>COOLIST (Cooling for Ischemic Stroke Trial): A Multicenter, Open, Randomized, Phase II, Clinical Trial.</t>
  </si>
  <si>
    <t>Geurts, Marjolein; Petersson, Jesper; Brizzi, Marco; Olsson-Hau, Stefan; Luijckx, Gert-Jan; Algra, Ale; Dippel, Diederik W J; Kappelle, L Jaap; van der Worp, H Bart</t>
  </si>
  <si>
    <t>https://pubmed.ncbi.nlm.nih.gov/27856954</t>
  </si>
  <si>
    <t>Animal studies suggest that cooling improves outcome after ischemic stroke. We assessed the feasibility and safety of surface cooling to different target temperatures in awake patients with acute ischemic stroke. A multicenter, randomized, open, phase II, clinical trial, comparing standard treatment with surface cooling to 34.0°C, 34.5°C, or 35.0°C in awake patients with acute ischemic stroke and an National Institutes of Health Stroke Scale score of ≥6, initiated within 4.5 hours after symptom onset and maintained for 24 hours. The primary outcome was feasibility, defined as the proportion of patients who had successfully completed the assigned treatment. Safety was a secondary outcome. Inclusion was terminated after 22 patients because of slow recruitment. Five patients were randomized to 34.0°C, 6 to 34.5°C, 5 to 35.0°C (cooling was initiated in 4), and 6 to standard care. No (0%), 1 (17%), and 3 (75%) patients, respectively, completed the assigned treatment (P=0.03). No (0%), 2 (33%), and 4 (100%) patients reached the target temperature (P=0.01). Pneumonia occurred in 8 cooled patients but not in controls (absolute risk increase, 53%; 95% confidence interval, 28-79%; P=0.002). In awake patients with acute ischemic stroke, surface cooling is feasible to 35.0°C, but not to 34.5°C and 34.0°C. Cooling is associated with an increased risk of pneumonia. URL: http://www.trialregister.nl. Unique identifier: NTR2616.</t>
  </si>
  <si>
    <t>Interventions for children with ear discharge occurring at least two weeks following grommet (ventilation tube) insertion.</t>
  </si>
  <si>
    <t>Venekamp, Roderick P; Javed, Faisal; van Dongen, Thijs Ma; Waddell, Angus; Schilder, Anne Gm</t>
  </si>
  <si>
    <t>https://pubmed.ncbi.nlm.nih.gov/27854381</t>
  </si>
  <si>
    <t>Ear discharge (otorrhoea) is common in children with grommets (ventilation/tympanostomy tubes); the proportion of children developing discharge ranges from 25% to 75%. The most common treatment strategies include oral broad-spectrum antibiotics, antibiotic eardrops or those containing a combination of antibiotic(s) and a corticosteroid, and initial observation. Important drivers for one strategy over the other are concerns over the side effects of oral antibiotics and the potential ototoxicity of antibiotic eardrops. To assess the benefits and harms of current treatment strategies for children with ear discharge occurring at least two weeks following grommet (ventilation tube) insertion. The Cochrane ENT Information Specialist searched the ENT Trials Register, CENTRAL (2016, Issue 5), multiple databases and additional sources for published and unpublished trials (search date 23 June 2016). Randomised controlled trials comparing at least two of the following: oral antibiotics, oral corticosteroids, antibiotic eardrops (with or without corticosteroid), corticosteroid eardrops, microsuction cleaning of the ear canal, saline rinsing of the ear canal, placebo or no treatment. The main comparison of interest was antibiotic eardrops (with or without corticosteroid) versus oral antibiotics. We used the standard methodological procedures expected by Cochrane. Primary outcomes were: proportion of children with resolution of ear discharge at short-term follow-up (less than two weeks), adverse events and serious complications. Secondary outcomes were: proportion of children with resolution of ear discharge at intermediate- (two to four weeks) and long-term (four to 12 weeks) follow-up, proportion of children with resolution of ear pain and fever at short-term follow-up, duration of ear discharge, proportion of children with chronic ear discharge, ear discharge recurrences, tube blockage, tube extrusion, health-related quality of life and hearing. We used GRADE to assess the quality of the evidence for each outcome; this is indicated in italics. We included nine studies, evaluating a range of treatments, with 2132 children who developed acute ear discharge beyond the immediate postoperative period. We judged the risk of bias to be low to moderate in most studies. Antibiotic eardrops (with or without corticosteroid) versus oral antibioticsAntibiotic eardrops with or without corticosteroid were more effective than oral antibiotics in terms of:- resolution of discharge at one week (one study, 42 children, ciprofloxacin eardrops versus amoxicillin: 77% versus 30%; risk ratio (RR) 2.58, 95% confidence interval (CI) 1.27 to 5.22; moderate-quality evidence);- resolution of discharge at two weeks (one study, 153 children, bacitracin-colistin-hydrocortisone eardrops versus amoxicillin-clavulanate: 95% versus 56%; RR 1.70, 95% CI 1.38 to 2.08; moderate-quality evidence);- duration of discharge (two studies, 233 children, ciprofloxacin eardrops versus amoxicillin: median 4 days versus 7 days and bacitracin-colistin-hydrocortisone eardrops versus amoxicillin-clavulanate: 4 days versus 5 days; moderate-quality evidence);- ear discharge recurrences (one study, 148 children, bacitracin-colistin-hydrocortisone eardrops versus amoxicillin-clavulanate: 0 versus 1 episode at six months; low-quality evidence); and- disease-specific quality of life (one study, 153 children, bacitracin-colistin-hydrocortisone eardrops versus amoxicillin-clavulanate: difference in change in median Otitis Media-6 total score (range 6 to 42) at two weeks: -2; low-quality evidence).We found no evidence that antibiotic eardrops were more effective in terms of the proportion of children developing chronic ear discharge or tube blockage, generic quality of life or hearing.Adverse events occurred at similar rates in children treated with antibiotic eardrops and those treated with oral antibiotics, while no serious complications occurred in either of the groups. Other comparisons(a) Antibiotic eardrops with or without corticosteroid were more effective thancorticosteroid eardrops in terms of:- duration of ear discharge (one study, 331 children, ciprofloxacin versus ciprofloxacin-fluocinolone acetonide versus fluocinolone acetonide eardrops: median 5 days versus 7 days versus 22 days; moderate-quality evidence).(b) Antibiotic eardrops were more effective than saline rinsing of the ear canal in terms of:- resolution of ear discharge at one week (one study, 48 children, ciprofloxacin eardrops versus saline rinsing: 77% versus 46%; RR 1.67, 95% CI 1.04 to 2.69; moderate-quality evidence);but not in terms of tube blockage. Since the lower limit of the 95% CI for the effect size for resolution of ear discharge at one week approaches unity, a trivial or clinically irrelevant difference cannot be excluded.(c) Eardrops containing two antibiotics and a corticosteroid (bacitracin-colistin-hydrocortisone) were more effective than no treatment in terms of:- resolution of discharge at two weeks (one study; 151 children: 95% versus 45%; RR 2.09, 95% CI 1.62 to 2.69; moderate-quality evidence);- duration of discharge (one study; 147 children, median 4 days versus 12 days; moderate-quality evidence);- chronic discharge (one study; 147 children; RR 0.08, 95% CI 0.01 to 0.62; low-quality evidence); and- disease-specific quality of life (one study, 153 children, difference in change in median Otitis Media-6 total score (range 6 to 42) between groups at two weeks: -1.5; low-quality evidence).We found no evidence that antibiotic eardrops were more effective in terms of ear discharge recurrences or generic quality of life.(d) Eardrops containing a combination of an antibiotic and a corticosteroid were more effective than eardrops containing antibiotics (low-quality evidence) in terms of:- resolution of ear discharge at short-term follow-up (two studies, 590 children: 35% versus 20%; RR 1.76, 95% CI 1.33 to 2.31); and- duration of discharge (three studies, 813 children);but not in terms of resolution of discharge at intermediate-term follow-up or proportion of children with tube blockage. However, there is a substantial risk of publication bias, therefore these findings should be interpreted with caution. We found moderate to low-quality evidence that antibiotic eardrops (with or without corticosteroid) are more effective than oral antibiotics, corticosteroid eardrops and no treatment in children with ear discharge occurring at least two weeks following grommet insertion. There is some limited, inconclusive evidence that antibiotic eardrops are more effective than saline rinsing. There is uncertainty whether antibiotic-corticosteroid eardrops are more effective than eardrops containing antibiotics only.</t>
  </si>
  <si>
    <t>Use of Antihypertensive Drugs and Ischemic Stroke Severity - Is There a Role for Angiotensin-II?</t>
  </si>
  <si>
    <t>Hwong, Wen Yea; Bots, Michiel L; Selvarajah, Sharmini; Abdul Aziz, Zariah; Sidek, Norsima Nazifah; Spiering, Wilko; Kappelle, L Jaap; Vaartjes, Ilonca</t>
  </si>
  <si>
    <t>https://pubmed.ncbi.nlm.nih.gov/27846309</t>
  </si>
  <si>
    <t>The increase in angiotensin II (Ang II) formation by selected antihypertensive drugs is said to exhibit neuroprotective properties, but this translation into improvement in clinical outcomes has been inconclusive. We undertook a study to investigate the relationship between types of antihypertensive drugs used prior to a stroke event and ischemic stroke severity. We hypothesized that use of antihypertensive drugs that increase Ang II formation (Ang II increasers) would reduce ischemic stroke severity when compared to antihypertensive drugs that suppress Ang II formation (Ang II suppressors). From the Malaysian National Neurology Registry, we included hypertensive patients with first ischemic stroke who presented within 48 hours from ictus. Antihypertensive drugs were divided into Ang II increasers (angiotensin-I receptor blockers (ARBs), calcium channel blockers (CCBs) and diuretics) and Ang II suppressors (angiotensin-converting-enzyme inhibitors (ACEIs) and beta blockers). We evaluated stroke severity during admission with the National Institute of Health Stroke Scale (NIHSS). We performed a multivariable logistic regression with the score being dichotomized at 15. Scores of less than 15 were categorized as less severe stroke. A total of 710 patients were included. ACEIs was the most commonly prescribed antihypertensive drug in patients using Ang II suppressors (74%) and CCBs, in patients prescribed with Ang II increasers at 77%. There was no significant difference in the severity of ischemic stroke between patients who were using Ang II increasers in comparison to patients with Ang II suppressors (OR: 1.32, 95%CI: 0.83-2.10, p = 0.24). In our study, we found that use of antihypertensive drugs that increase Ang II formation was not associated with less severe ischemic stroke as compared to use of antihypertensive drugs that suppress Ang II formation.</t>
  </si>
  <si>
    <t>STARD 2015 guidelines for reporting diagnostic accuracy studies: explanation and elaboration.</t>
  </si>
  <si>
    <t>Cohen, Jérémie F; Korevaar, Daniël A; Altman, Douglas G; Bruns, David E; Gatsonis, Constantine A; Hooft, Lotty; Irwig, Les; Levine, Deborah; Reitsma, Johannes B; de Vet, Henrica C W; Bossuyt, Patrick M M</t>
  </si>
  <si>
    <t>https://pubmed.ncbi.nlm.nih.gov/28137831</t>
  </si>
  <si>
    <t>Diagnostic accuracy studies are, like other clinical studies, at risk of bias due to shortcomings in design and conduct, and the results of a diagnostic accuracy study may not apply to other patient groups and settings. Readers of study reports need to be informed about study design and conduct, in sufficient detail to judge the trustworthiness and applicability of the study findings. The STARD statement (Standards for Reporting of Diagnostic Accuracy Studies) was developed to improve the completeness and transparency of reports of diagnostic accuracy studies. STARD contains a list of essential items that can be used as a checklist, by authors, reviewers and other readers, to ensure that a report of a diagnostic accuracy study contains the necessary information. STARD was recently updated. All updated STARD materials, including the checklist, are available at http://www.equator-network.org/reporting-guidelines/stard Here, we present the STARD 2015 explanation and elaboration document. Through commented examples of appropriate reporting, we clarify the rationale for each of the 30 items on the STARD 2015 checklist, and describe what is expected from authors in developing sufficiently informative study reports.</t>
  </si>
  <si>
    <t>Defining the clinical pathway in cochrane diagnostic test accuracy reviews.</t>
  </si>
  <si>
    <t>Gopalakrishna, G; Langendam, Miranda W; Scholten, Rob J P M; Bossuyt, Patrick M M; Leeflang, Mariska M G</t>
  </si>
  <si>
    <t>https://pubmed.ncbi.nlm.nih.gov/27832765</t>
  </si>
  <si>
    <t>The value of a medical test depends on the context in which it might be used. Ideally, questions, results and conclusions of a diagnostic test accuracy (DTA) systematic review should be presented in light of this context. There is increasing acceptance of the value for knowing the impact a test can have on downstream consequences such as costs, implications for further testing and treatment options however there is currently no explicit guidance on how to address this. Authors of a Cochrane diagnostic review have recently been asked to include the clinical pathway in which a test maybe used. We aimed to evaluate how authors were developing their clinical pathways in the light of this. We searched the Cochrane Database of Systematic Reviews for all published DTA reviews. We included only those reviews that included a clinical pathway. We developed a checklist, based on the guidance in the Cochrane Handbook for DTA review authors. To this, we added a number of additional descriptors. We checked if the included pathways fulfilled these descriptors as defined by our checklist. We found 47 reviews, of which 33 (73 %) contained aspects pertaining to a clinical pathway. The 33 reviews addressed the clinical pathway differently, both in content and format. Of these, 21 provided a textual description and 12 include visual and textual descriptions. There was considerable variation in how comprehensively review authors adhered to our checklist. Eighteen reviews (51 %) linked the index test results to downstream clinical management actions and patient consequences, but only eight went on to differentially report on the consequences for false negative results and nine on the consequences for false positive results. There is substantial variation in the clinical pathway descriptions in Cochrane systematic reviews of test accuracy. Most reviews do not link misclassifications (i.e. false negatives and false positive) to downstream patient consequences. Review authors could benefit from more explicit guidance on how to create such pathways, which in turn can help guide them in their evidence selection and appraisal of the evidence in the context of downstream consequences of testing.</t>
  </si>
  <si>
    <t>Tumor-Specific Uptake of Fluorescent Bevacizumab-IRDye800CW Microdosing in Patients with Primary Breast Cancer: A Phase I Feasibility Study.</t>
  </si>
  <si>
    <t>Lamberts, Laetitia E; Koch, Maximillian; de Jong, Johannes S; Adams, Arthur L L; Glatz, Jürgen; Kranendonk, Mariëtte E G; Terwisscha van Scheltinga, Anton G T; Jansen, Liesbeth; de Vries, Jakob; Lub-de Hooge, Marjolijn N; Schröder, Carolien P; Jorritsma-Smit, Annelies; Linssen, Matthijs D; de Boer, Esther; van der Vegt, Bert; Nagengast, Wouter B; Elias, Sjoerd G; Oliveira, Sabrina; Witkamp, Arjen J; Mali, Willem P Th M; Van der Wall, Elsken; van Diest, Paul J; de Vries, Elisabeth G E; Ntziachristos, Vasilis; van Dam, Gooitzen M</t>
  </si>
  <si>
    <t>https://pubmed.ncbi.nlm.nih.gov/28119364</t>
  </si>
  <si>
    <t>&lt;b&gt;Purpose:&lt;/b&gt; To provide proof of principle of safety, breast tumor-specific uptake, and positive tumor margin assessment of the systemically administered near-infrared fluorescent tracer bevacizumab-IRDye800CW targeting VEGF-A in patients with breast cancer.&lt;b&gt;Experimental Design:&lt;/b&gt; Twenty patients with primary invasive breast cancer eligible for primary surgery received 4.5 mg bevacizumab-IRDye800CW as intravenous bolus injection. Safety aspects were assessed as well as tracer uptake and tumor delineation during surgery and &lt;i&gt;ex vivo&lt;/i&gt; in surgical specimens using an optical imaging system. &lt;i&gt;Ex vivo&lt;/i&gt; multiplexed histopathology analyses were performed for evaluation of biodistribution of tracer uptake and coregistration of tumor tissue and healthy tissue.&lt;b&gt;Results:&lt;/b&gt; None of the patients experienced adverse events. Tracer levels in primary tumor tissue were higher compared with those in the tumor margin (&lt;i&gt;P&lt;/i&gt; &lt; 0.05) and healthy tissue (&lt;i&gt;P&lt;/i&gt; &lt; 0.0001). VEGF-A tumor levels also correlated with tracer levels (&lt;i&gt;r&lt;/i&gt; = 0.63, &lt;i&gt;P&lt;/i&gt; &lt; 0.0002). All but one tumor showed specific tracer uptake. Two of 20 surgically excised lumps contained microscopic positive margins detected &lt;i&gt;ex vivo&lt;/i&gt; by fluorescent macro- and microscopy and confirmed at the cellular level.&lt;b&gt;Conclusions:&lt;/b&gt; Our study shows that systemic administration of the bevacizumab-IRDye800CW tracer is safe for breast cancer guidance and confirms tumor and tumor margin uptake as evaluated by a systematic validation methodology. The findings are a step toward a phase II dose-finding study aimed at &lt;i&gt;in vivo&lt;/i&gt; margin assessment and point to a novel drug assessment tool that provides a detailed picture of drug distribution in the tumor tissue. &lt;i&gt;Clin Cancer Res; 23(11); 2730-41. ©2016 AACR&lt;/i&gt;.</t>
  </si>
  <si>
    <t>Fatigue as a long-term risk factor for limitations in instrumental activities of daily living and/or mobility performance in older adults after 10 years.</t>
  </si>
  <si>
    <t>Mueller-Schotte, Sigrid; Bleijenberg, Nienke; van der Schouw, Yvonne T; Schuurmans, Marieke J</t>
  </si>
  <si>
    <t>https://pubmed.ncbi.nlm.nih.gov/27877027</t>
  </si>
  <si>
    <t>Decline in the performance of instrumental activities of daily living (IADL) and mobility may be preceded by symptoms the patient experiences, such as fatigue. The aim of this study is to investigate whether self-reported non-task-specific fatigue is a long-term risk factor for IADL-limitations and/or mobility performance in older adults after 10 years. A prospective study from two previously conducted cross-sectional studies with 10-year follow-up was conducted among 285 males and 249 females aged 40-79 years at baseline. Fatigue was measured by asking "Did you feel tired within the past 4 weeks?" (males) and "Do you feel tired?" (females). Self-reported IADLs were assessed at baseline and follow-up. Mobility was assessed by the 6-minute walk test. Gender-specific associations between fatigue and IADL-limitations and mobility were estimated by multivariable logistic and linear regression models. A total of 18.6% of males and 28.1% of females were fatigued. After adjustment, the odds ratio for fatigued versus non-fatigued males affected by IADL-limitations was 3.3 (&lt;i&gt;P&lt;/i&gt;=0.023). In females, the association was weaker and not statistically significant, with odds ratio being 1.7 (&lt;i&gt;P&lt;/i&gt;=0.154). Fatigued males walked 39.1 m shorter distance than those non-fatigued (&lt;i&gt;P&lt;/i&gt;=0.048). For fatigued females, the distance was 17.5 m shorter compared to those non-fatigued (&lt;i&gt;P&lt;/i&gt;=0.479). Our data suggest that self-reported fatigue may be a long-term risk factor for IADL-limitations and mobility performance in middle-aged and elderly males but possibly not in females.</t>
  </si>
  <si>
    <t>Growth and BMI during the first 14 y of life in offspring from women with type 1 or type 2 diabetes mellitus.</t>
  </si>
  <si>
    <t>Hammoud, Nurah M; de Valk, Harold W; van Rossem, Lenie; Biesma, Douwe H; Wit, Jan M; Visser, Gerard H A</t>
  </si>
  <si>
    <t>pediatric research</t>
  </si>
  <si>
    <t>https://pubmed.ncbi.nlm.nih.gov/27828938</t>
  </si>
  <si>
    <t>Infants of women with pregestational diabetes are at risk for developing obesity in later life. This study aimed to identify subgroups at highest risk, by studying growth profiles of offspring from women with type 1 or 2 diabetes mellitus (ODM1, ODM2) until the age of 14 y. Information from infant welfare centers was received for 78 ODM1 and 44 ODM2. Mean BMI SD scores (SDS) (based on 1980 nation-wide references) and height SDS (based on 2009 references) were calculated and included in a random-effects model. Values were compared to the 2009 Dutch growth study. BMI SDS profiles differed between ODM1 and ODM2, with the highest mean BMI SDS profiles in ODM2. Other factors that affected growth profiles in these infants included the presence of maternal obesity, large for gestational age (LGA) at birth and in ODM2 a Dutch-Mediterranean origin. Offspring of women with diabetes have higher BMI SDS profiles than observed in the 2009 Dutch growth study, with the highest BMI SDS in ODM2 who are LGA at birth and have obese mothers. Preventive strategies for offspring adiposity may include pursuing lower prepregnancy maternal BMI, prevention of LGA at birth, and prevention of increased weight gain during childhood.</t>
  </si>
  <si>
    <t>A screening protocol for child abuse at out-of-hours primary care locations: a descriptive study.</t>
  </si>
  <si>
    <t>Schouten, Maartje C M; van Stel, Henk F; Verheij, Theo J M; Nieuwenhuis, Edward E S; van de Putte, Elise M</t>
  </si>
  <si>
    <t>https://pubmed.ncbi.nlm.nih.gov/27825297</t>
  </si>
  <si>
    <t>Child abuse is often unrecognized at out-of-hours primary care (OOH-PC) services. The aim of our study was to evaluate the clinical outcome of the screening instrument SPUTOVAMO-R2 for child abuse (checklist), followed by a structured approach (reporting code), at OOH-PC services. The reporting code with five steps should ensure consistent action in case of a suspicion. All children attending one of the five participating OOH-PC services in the region of Utrecht, the Netherlands, in a year time, were included. The checklist is an obligatory field in the electronic patient file and was filled in for all children. In case of a positive checklist, the steps in the reporting code were followed. Additionally, the case was evaluated in a multidisciplinary team to determine the probability of child abuse. The checklist was filled in for 50671 children; 108 (0.2 %) were positive. The multidisciplinary team diagnosed child abuse in 24 (22 %) of the 108 positive checklists, and no child abuse in 36 (33 %). Emotional neglect was the most frequent type of abuse diagnosed. For all abused children, care was implemented according to the protocol. The most frequent care given was a referral to the hospital (N = 7) or contact with child's own general practitioner (N = 6). A checklist followed by a reporting code guarantees consistent actions and care for children with a suspicion of child abuse. The percentage of positive checklists is lower than expected. Validity of the checklist should be assessed in a diagnostic study.</t>
  </si>
  <si>
    <t>Low Seroprevalence of Brucellosis in Humans and Small Ruminants in the Gambia.</t>
  </si>
  <si>
    <t>Germeraad, Eveline A; Hogerwerf, Lenny; Faye-Joof, Tisbeh; Goossens, Bart; van der Hoek, Wim; Jeng, Momodou; Lamin, Modou; Manneh, Ismaila L; Nwakanma, Davis; Roest, Hendrik I J; Secka, Arss; Stegeman, Arjan; Wegmüller, Rita; van der Sande, Marianne A B; Secka, Ousman</t>
  </si>
  <si>
    <t>https://pubmed.ncbi.nlm.nih.gov/27824952</t>
  </si>
  <si>
    <t>Brucellosis is a worldwide zoonosis with significant impact on rural livelihoods and a potentially underestimated contributor to febrile illnesses. The aim of this study was to estimate the seroprevalence of brucellosis in humans and small ruminants in The Gambia. The study was carried out in rural and urban areas. In 12 rural villages in Kiang West district, sera were collected from humans (n = 599) and small ruminants (n = 623) from the same compounds. From lactating small ruminants, milk samples and vaginal swabs were obtained. At the urban study sites, sera were collected from small ruminants (n = 500) from slaughterhouses and livestock markets. Information on possible risk factors for seropositivity was collected through questionnaires. Sera were screened for antibodies against Brucella spp. with the Rose Bengal Test, ELISA and Micro Agglutination Test (human sera only). PCR was performed on 10 percent of the milk samples and vaginal swabs from small ruminants. One human and 14 sheep sera were positive by the Rose Bengal Test. The rest were negative in all serological tests used. The PCR results were all negative. The results suggest that brucellosis is currently not a generalized problem in humans or small ruminants in The Gambia.</t>
  </si>
  <si>
    <t>Search for the Higgs boson produced in association with a &lt;i&gt;W&lt;/i&gt; boson and decaying to four &lt;i&gt;b&lt;/i&gt;-quarks via two spin-zero particles in &lt;i&gt;pp&lt;/i&gt; collisions at 13 TeV with the ATLAS detector.</t>
  </si>
  <si>
    <t>https://pubmed.ncbi.nlm.nih.gov/28316494</t>
  </si>
  <si>
    <t>This paper presents a dedicated search for exotic decays of the Higgs boson to a pair of new spin-zero particles, [Formula: see text], where the particle &lt;i&gt;a&lt;/i&gt; decays to &lt;i&gt;b&lt;/i&gt;-quarks and has a mass in the range of 20-60 GeV. The search is performed in events where the Higgs boson is produced in association with a [Formula: see text] boson, giving rise to a signature of a lepton (electron or muon), missing transverse momentum, and multiple jets from &lt;i&gt;b&lt;/i&gt;-quark decays. The analysis is based on the full dataset of &lt;i&gt;pp&lt;/i&gt; collisions at [Formula: see text] recorded in 2015 by the ATLAS detector at the CERN Large Hadron Collider, corresponding to an integrated luminosity of 3.2 [Formula: see text]. No significant excess of events above the Standard Model prediction is observed, and a [Formula: see text] confidence-level upper limit is derived for the product of the production cross section for [Formula: see text] times the branching ratio for the decay [Formula: see text]. The upper limit ranges from 6.2 pb for an &lt;i&gt;a&lt;/i&gt;-boson mass [Formula: see text] to 1.5 pb for [Formula: see text].</t>
  </si>
  <si>
    <t>Endoscopic resection of high-risk T1 colorectal carcinoma prior to surgical resection has no adverse effect on long-term outcomes.</t>
  </si>
  <si>
    <t>Overwater, A; Kessels, K; Elias, S G; Backes, Y; Spanier, B W M; Seerden, T C J; Pullens, H J M; de Vos Tot Nederveen Cappel, W H; van den Blink, A; Offerhaus, G J A; van Bergeijk, J; Kerkhof, M; Geesing, J M J; Groen, J N; van Lelyveld, N; Ter Borg, F; Wolfhagen, F; Siersema, P D; Lacle, M M; Moons, L M G; ,</t>
  </si>
  <si>
    <t>https://pubmed.ncbi.nlm.nih.gov/27811313</t>
  </si>
  <si>
    <t>It is difficult to predict the presence of histological risk factors for lymph node metastasis (LNM) before endoscopic treatment of T1 colorectal cancer (CRC). Therefore, endoscopic therapy is propagated to obtain adequate histological staging. We examined whether secondary surgery following endoscopic resection of high-risk T1 CRC does not have a negative effect on patients' outcomes compared with primary surgery. Patients with T1 CRC with one or more histological risk factors for LNM (high risk) and treated with primary or secondary surgery between 2000 and 2014 in 13 hospitals were identified in the Netherlands Cancer Registry. Additional data were collected from hospital records, endoscopy, radiology and pathology reports. A propensity score analysis was performed using inverse probability weighting (IPW) to correct for confounding by indication. 602 patients were eligible for analysis (263 primary; 339 secondary surgery). Overall, 34 recurrences were observed (5.6%). After adjusting with IPW, no differences were observed between primary and secondary surgery for the presence of LNM (OR 0.97; 95% CI 0.49 to 1.93; p=0.940) and recurrence during follow-up (HR 0.97; 95% CI 0.41 to 2.34; p=0.954). Further adjusting for lymphovascular invasion, depth of invasion and number of retrieved lymph nodes did not alter this outcome. Our data do not support an increased risk of LNM or recurrence after secondary surgery compared with primary surgery. Therefore, an attempt for an en-bloc resection of a possible T1 CRC without evident signs of deep invasion seems justified in order to prevent surgery of low-risk T1 CRC in a significant proportion of patients.</t>
  </si>
  <si>
    <t>Hippocampal volume and the course of depressive symptoms over eight years of follow-up.</t>
  </si>
  <si>
    <t>Buddeke, J; Kooistra, M; Zuithoff, N P A; Gerritsen, L; Biessels, G J; van der Graaf, Y; Geerlings, M I; ,</t>
  </si>
  <si>
    <t>https://pubmed.ncbi.nlm.nih.gov/27800603</t>
  </si>
  <si>
    <t>To estimate the association between hippocampal and total brain volume and the course of depressive symptoms over eight years of follow-up in patients with a history of vascular disease. Within the SMART-Medea study, 636 participants (62 ± 10 years) had a 1.5-tesla brain MRI obtaining hippocampal and total brain volumes. Depressive symptoms were assessed with the Patient Health Questionnaire-9 biannually during eight-year follow-up. Generalized estimating equation models with robust standard errors were used to assess the associations of hippocampal and total brain volumes with depressive symptoms during follow-up adjusting for age, sex, education, and intracranial volume. An interaction term between volume and time (6-month intervals) was included to examine whether the course of depressive symptoms differed according to hippocampal and total brain volume. The mean PHQ-9 score was 2.8 ± 3.5. Smaller hippocampal volumes were associated with an increasing course of depressive symptom levels, while larger volumes were associated with decreasing levels (P-value interaction = 0.07). Smaller total brain volume was associated with consistently higher levels of depressive symptoms, but not with change in course of depressive symptoms (P-value interaction = 0.45). Smaller hippocampal volume but not total brain volume is associated with poorer course of depressive symptoms over eight years of follow-up.</t>
  </si>
  <si>
    <t>What the General Practitioner Needs to Know About Their Chronic Heart Failure Patient.</t>
  </si>
  <si>
    <t>Rutten, Frans H; Gallagher, Joe</t>
  </si>
  <si>
    <t>cardiac failure review</t>
  </si>
  <si>
    <t>https://pubmed.ncbi.nlm.nih.gov/28785457</t>
  </si>
  <si>
    <t>In this article we highlight what general practitioners (GPs) need to know about heart failure (HF). We pay attention to its definition, diagnosis - with risks of under- and over-diagnosis - and the role natriuretic peptides, electrocardiography, echocardiography, but also spirometry. We stress the role of the GP in case finding and risk stratification with optimisation of cardiovascular drug use in high-risk groups. Epidemiological data are provided, followed by discussion of the management aspects and possibilities of cooperative care of patients with chronic HF, focussing on pharmacological treatment, comorbidities and end-of-life care. This article highlights the experience and clinical practice of the authors: specifics of local heart failure management, and the role of the GP, will naturally vary.</t>
  </si>
  <si>
    <t>Comparison of the GRACE, HEART and TIMI score to predict major adverse cardiac events in chest pain patients at the emergency department.</t>
  </si>
  <si>
    <t>Poldervaart, J M; Langedijk, M; Backus, B E; Dekker, I M C; Six, A J; Doevendans, P A; Hoes, A W; Reitsma, J B</t>
  </si>
  <si>
    <t>https://pubmed.ncbi.nlm.nih.gov/27810290</t>
  </si>
  <si>
    <t>The performance of the GRACE, HEART and TIMI scores were compared in predicting the probability of major adverse cardiac events (MACE) in chest pain patients presenting at the emergency department (ED), in particular their ability to identify patients at low risk. Chest pain patients presenting at the ED in nine Dutch hospitals were included. The primary outcome was MACE within 6weeks. The HEART score was determined by the treating physician at the ED. The GRACE and TIMI score were calculated based on prospectively collected data. Performance of the scores was compared by calculating AUC curves. Additionally, the number of low-risk patients identified by each score were compared at a fixed level of safety of at least 95% or 98% sensitivity. In total, 1748 patients were included. The AUC of GRACE, HEART, and TIMI were 0.73 (95% CI: 0.70-0.76%), 0.86 (95% CI: 0.84-0.88%) and 0.80 (95% CI: 0.78-0.83%), respectively (all differences in AUC highly statistically significant). At an absolute level of safety of at least 98% sensitivity, the GRACE score identified 231 patients as "low risk" in which 2.2% a MACE was missed; the HEART score identified 381 patients as "low risk" with 0.8% missed MACE. The TIMI score identified no "low risk" patients at this safety level. The HEART score outperformed the GRACE and TIMI scores in discriminating between those with and without MACE in chest pain patients, and identified the largest group of low-risk patients at the same level of safety.</t>
  </si>
  <si>
    <t>Published diagnostic models safely excluded colorectal cancer in an independent primary care validation study.</t>
  </si>
  <si>
    <t>Elias, Sjoerd G; Kok, Liselotte; Witteman, Ben J M; Goedhard, Jelle G; Romberg-Camps, Mariëlle J L; Muris, Jean W M; de Wit, Niek J; Moons, Karel G M</t>
  </si>
  <si>
    <t>https://pubmed.ncbi.nlm.nih.gov/27989951</t>
  </si>
  <si>
    <t>To validate published diagnostic models for their ability to safely reduce unnecessary endoscopy referrals in primary care patients suspected of significant colorectal disease. Following a systematic literature search, we independently validated the identified diagnostic models in a cross-sectional study of 810 Dutch primary care patients with persistent lower abdominal complaints referred for endoscopy. We estimated diagnostic accuracy measures for colorectal cancer (N = 37) and significant colorectal disease (N = 141; including colorectal cancer, inflammatory bowel disease, diverticulitis, or &gt;1-cm adenomas). We evaluated 18 models-12 specific for colorectal cancer-, of which most were able to safely rule out colorectal cancer: the best model (National Institute for Health and Care Excellence-1) prevented 59% of referrals (95% confidence interval [CI]: 56-63%), with 96% sensitivity (95% CI: 83-100%), 100% negative predictive value (NPV; 95% CI: 99-100%), and an area under the receiver operating characteristics curve (AUC) of 0.86 (95% CI: 0.80-0.92). The models performed less for significant colorectal disease: the best model (Brazer) prevented 23% of referrals (95% CI: 20-26%), with 95% sensitivity (95% CI: 90-98%), 96% NPV (95% CI: 92-98%), and an AUC of 0.73 (95% CI: 0.69-0.78). Most models safely excluded colorectal cancer in many primary care patients with lower gastrointestinal complaints referred for endoscopy. Models performed less well for significant colorectal disease.</t>
  </si>
  <si>
    <t>Frequency and prognostic impact of mid-expiratory flow reduction in stable patients six months after hospitalisation for heart failure with reduced ejection fraction.</t>
  </si>
  <si>
    <t>Brenner, Susanne; Christa, Martin; Berliner, Dominik; Deubner, Nikolas; Ertl, Georg; Held, Matthias; Marx, Almuth; Angermann, Christiane E; Störk, Stefan; Rutten, Frans H; Güder, Gülmisal</t>
  </si>
  <si>
    <t>https://pubmed.ncbi.nlm.nih.gov/27816302</t>
  </si>
  <si>
    <t>This study investigates the prevalence and prognostic impact of central and small airways obstruction (CAO and SAO) in patients with stable heart failure (HF). Spirometry was performed in 585 outpatients (mean age 65±12years, 75% male) six months after hospitalisation for acute decompensation secondary to HF with ejection fraction &lt;40%. We assessed forced expiratory volume in the first second (FEV1), forced vital capacity (FVC) and mid-expiratory flow (MEF) at 50% of FVC. CAO was defined by FEV1/FVC &lt;0.7. SAO was defined by FEV1/FVC ≥0.7 plus MEF &lt;60% of predicted value. CAO and SAO were excluded in 359 patients (61% of all). MEF &lt;60% predicted was found in 226 patients (39% of all), among those 88 with CAO (15% of all) and 138 (24% of all) with SAO. During a twelve month follow-up, 42 patients (7.2%) died. Mortality rates of patients with CAO and SAO were comparable (12.5% and 10.9%, respectively, p=0.74), and both higher than in patients without airways obstruction (4.5%, both p&lt;0.01). In univariable Cox regression analysis, both CAO and SAO were associated with 2-fold increased all-cause mortality risk (hazard ratios [95% confidence intervals]: 2.78 [1.33-6.19], p=0.007 and 2.51 [1.24-5.08], p=0.010, respectively). Adjustment for determinants of CAO and SAO, prognostic markers of heart failure and comorbidities attenuated the association of mortality with CAO but not with SAO. SAO is more common than CAO and indicates an increased mortality risk in HF. Thus, reduced MEF may be a feature of patients at risk and merits special attention in HF management.</t>
  </si>
  <si>
    <t>Tuberculosis patients' pre-hospital delay and non-compliance with a longstanding DOT programme: a mixed methods study in urban Zambia.</t>
  </si>
  <si>
    <t>Cremers, Anne Lia; Gerrets, René; Kapata, Nathan; Kabika, Austin; Birnie, Emma; Klipstein-Grobusch, Kerstin; Grobusch, Martin P</t>
  </si>
  <si>
    <t>https://pubmed.ncbi.nlm.nih.gov/27793145</t>
  </si>
  <si>
    <t>Tuberculosis (TB) remains a major health problem in Zambia, despite considerable efforts to control and prevent it. With this study, we aim to understand how perceptions and cultural, social, economic, and organisational factors influence TB patients' pre-hospital delay and non-compliance with care provided by the National Tuberculosis Programme (NTP). A mixed methods study was conducted with 300 TB patients recruited at Kanyama clinic for structured interviews. Thirty were followed-up for multiple in-depth interviews. Six focus group discussions were organised and participant observation was conducted. Ten biomedical care providers, 10 traditional healers, and 10 faith healers were interviewed. Factors associated with non-compliance (disruption of treatment &gt; one week) were assessed by applying logistic regression analyses; qualitative analysis was used to additionally assess factors influencing pre-hospital delay and for triangulation of study findings. TB treatment non-compliance was low (10 %), no association of outcome with cultural or socio-economic factors was found. Only patients' time constraints and long distance to the clinic indicated a possible association with a higher risk of non-compliance (OR 0.52; 95 % CI 0.25, 1.10, p = 0.086). Qualitative data showed that most TB patients combined understandings of biomedical and traditional TB knowledge, used herbal, traditional and/or faith healing, suffered from stigmatizing attitudes, experienced poverty and food shortages, and faced several organisational obstacles while being on treatment. This led in some cases to pre-hospital delay or treatment non-compliance. Mixed methods analysis demonstrated the importance of in-depth information ascertained by qualitative approaches to understand how cultural, socio-economic and organisational factors are influencing patients' pre-hospital delay and treatment compliance. To strengthen the Zambian NTP, combating stigma is of utmost priority coupled with programmes addressing poverty. Organisational barriers and co-operation between (private) clinics and traditional/faith healers should be considered.</t>
  </si>
  <si>
    <t>Search for minimal supersymmetric standard model Higgs Bosons &lt;i&gt;H&lt;/i&gt; / &lt;i&gt;A&lt;/i&gt; and for a [Formula: see text] boson in the [Formula: see text] final state produced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</si>
  <si>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Amako, K; Amaral Coutinho, Y; Amelung, C; Amidei, D; Amor Dos Santos, S P; Amorim, A; Amoroso, S; Amundsen, G; Anastopoulos, C; Ancu, L S; Andari, N; Andeen, T; Anders, C F; Anders, G; Anders, J K; Anderson, K J; Andreazza, A; An</t>
  </si>
  <si>
    <t>https://pubmed.ncbi.nlm.nih.gov/28316491</t>
  </si>
  <si>
    <t>A search for neutral Higgs bosons of the minimal supersymmetric standard model (MSSM) and for a heavneutral [Formula: see text] boson is performed using a data sample corresponding to an integrated luminosity of 3.2 fb[Formula: see text] from proton-proton collisions at [Formula: see text]  [Formula: see text] recorded by the ATLAS detector at the LHC. The heavy resonance is assumed to decay to a [Formula: see text] pair with at least one [Formula: see text] lepton decaying to final states with hadrons and a neutrino. The search is performed in the mass range of 0.2-1.2  [Formula: see text] for the MSSM neutral Higgs bosons and 0.5-2.5  [Formula: see text] for the heavy neutral [Formula: see text] boson. The data are in good agreement with the background predicted by the Standard Model. The results are interpreted in MSSM and [Formula: see text] benchmark scenarios. The most stringent constraints on the MSSM [Formula: see text]-[Formula: see text] space exclude at 95 % confidence level (CL) [Formula: see text] for [Formula: see text] [Formula: see text] in the [Formula: see text] MSSM scenario. For the Sequential Standard Model, a [Formula: see text] mass up to 1.90  [Formula: see text] is excluded at 95 % CL and masses up to 1.82-2.17  [Formula: see text] are excluded for a [Formula: see text] of the strong flavour model.</t>
  </si>
  <si>
    <t>Performance of pile-up mitigation techniques for jets in [Formula: see text] collisions at [Formula: see text] TeV using the ATLAS detector.</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</si>
  <si>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Allport, P P; Aloisio, A; Alonso, A; Alonso, F; Alpigiani, C; Altheimer, A; Gonzalez, B Alvarez; Piqueras, D Álvarez; Alviggi, M G; Amadio, B T; Amako, K; Coutinho, Y Amaral; Amelung, C; Amidei, D; Dos Santos, S P Amor; Amorim, A; Amoroso, S; Amram, N; Amundsen, G; Anastopoulos, C; Ancu, L S; Andari, N; Andeen, T; Anders, C F; Anders, G; Anders, J K; Anderson, K J; Andreazza, A; Andrei, V; Angelidakis, S; Angelozzi, I; Anger, P; Angerami, A</t>
  </si>
  <si>
    <t>https://pubmed.ncbi.nlm.nih.gov/28316490</t>
  </si>
  <si>
    <t>The large rate of multiple simultaneous proton-proton interactions, or pile-up, generated by the Large Hadron Collider in Run 1 required the development of many new techniques to mitigate the adverse effects of these conditions. This paper describes the methods employed in the ATLAS experiment to correct for the impact of pile-up on jet energy and jet shapes, and for the presence of spurious additional jets, with a primary focus on the large 20.3 [Formula: see text] data sample collected at a centre-of-mass energy of [Formula: see text]. The energy correction techniques that incorporate sophisticated estimates of the average pile-up energy density and tracking information are presented. Jet-to-vertex association techniques are discussed and projections of performance for the future are considered. Lastly, the extension of these techniques to mitigate the effect of pile-up on jet shapes using subtraction and grooming procedures is presented.</t>
  </si>
  <si>
    <t>Chronic hyperglycemia is related to poor functional outcome after acute ischemic stroke.</t>
  </si>
  <si>
    <t>Luitse, Merel Ja; Velthuis, Birgitta K; Kappelle, L Jaap; van der Graaf, Yolanda; Biessels, Geert Jan; ,</t>
  </si>
  <si>
    <t>https://pubmed.ncbi.nlm.nih.gov/27784821</t>
  </si>
  <si>
    <t>Background Acute hyperglycemia is associated with poor functional outcome after ischemic stroke, but the association between chronic antecedent hyperglycemia and outcome is unclear. Aim We assessed the association between chronic hyperglycemia, measured by hemoglobin A1c, and functional outcome in patients with acute ischemic stroke. Methods We included 812 patients with acute ischemic stroke (mean age 66 ± 14 years; 61.5% male). Patients were categorized per hemoglobin A1c level: no (&lt;39 mmol/mol), moderate (39-42 mmol/mol), or severe chronic hyperglycemia (&gt;42 mmol/mol). Poor functional outcome was defined as modified Rankin Scale score &gt; 2 after 3 months. The relation between chronic hyperglycemia and functional outcome was assessed with a Poisson regression analysis and expressed as risk ratios with 95% confidence intervals with no chronic hyperglycemia as the reference. Results Moderate chronic hyperglycemia was present in 234 (28.8%) patients and severe chronic hyperglycemia in 183 (22.5%) patients. Acute hyperglycemia on admission was present in 338 (41.6%) patients. Severe chronic hyperglycemia was associated with poor outcome (risk ratios 1.40; 95% confidence interval 1.09-1.79). After adjustment for age, sex, stroke severity, vascular risk factors, and acute hyperglycemia on admission the risk ratios was 1.35 (95% confidence interval 1.04-1.76). Moderate chronic hyperglycemia was not associated with poor outcome (risk ratios 1.12; 95% confidence interval 0.87-1.44). Conclusion Severe chronic hyperglycemia is associated with poor functional outcome in patients with acute ischemic stroke. This association is independent of hyperglycemia in the acute stage of stroke and of an unfavorable vascular risk factor profile.</t>
  </si>
  <si>
    <t>ESBL/AmpC-producing Enterobacteriaceae in households with children of preschool age: prevalence, risk factors and co-carriage.</t>
  </si>
  <si>
    <t>van den Bunt, G; Liakopoulos, A; Mevius, D J; Geurts, Y; Fluit, A C; Bonten, M J M; Mughini-Gras, L; van Pelt, W</t>
  </si>
  <si>
    <t>https://pubmed.ncbi.nlm.nih.gov/27789683</t>
  </si>
  <si>
    <t>ESBL/AmpC-producing Enterobacteriaceae are an emerging public health concern. As households with preschool children may substantially contribute to the community burden of antimicrobial resistance, we determined the prevalence, risk factors and co-carriage of ESBL/AmpC-producing bacteria in preschool children and their parents. From April 2013 to January 2015, each month 2000 preschool children were randomly selected from Dutch population registries. The parents were invited to complete an epidemiological questionnaire and to obtain and send a faecal sample from the selected child and from one parent. Samples were tested for ESBL/AmpC-producing bacteria. Logistic regression was used to identify risk factors for ESBL/AmpC carriage in children and parents, and findings were internally validated by bootstrapping. In total, 1016 families were included and ESBL/AmpC prevalence was 4.0% (95% CI 3.2%-5.0%); 3.5% (95% CI 2.5%-4.8%) in children and 4.5% (95% CI 3.4%-6.0%) in parents. Attending a daycare centre (DCC) was the only significant risk factor for children (OR 2.1, 95% CI 1.0-4.3). For parents, the only significant risk factor was having one or more children attending DCCs (OR 2.2, 95% CI 1.2-4.8). For parents of ESBL/AmpC-positive children the OR for ESBL/AmpC carriage was 19.7 (95% CI 9.2-42.4). Co-carriage of specific ESBL/AmpC genotypes in child and parent occurred more often than expected by chance (14.6% versus 1.1%, P &lt; 0.001). In this study, intestinal carriage with ESBL/AmpCs was detected in ∼4% of households with preschool children. DCC attendance was a risk factor in both children and parents and co-carriage of specific genotypes frequently occurred in child-parent pairs. These findings suggest household transmission or/and family-specific exposure to common sources of ESBL/AmpC-producing bacteria.</t>
  </si>
  <si>
    <t>Measurement of the Inelastic Proton-Proton Cross Section at sqrt[s]=13  TeV with the ATLAS Detector at the LHC.</t>
  </si>
  <si>
    <t>https://pubmed.ncbi.nlm.nih.gov/27834993</t>
  </si>
  <si>
    <t>This Letter presents a measurement of the inelastic proton-proton cross section using 60  μb^{-1} of pp collisions at a center-of-mass energy sqrt[s] of 13 TeV with the ATLAS detector at the LHC. Inelastic interactions are selected using rings of plastic scintillators in the forward region (2.07&lt;|η|&lt;3.86) of the detector. A cross section of 68.1±1.4  mb is measured in the fiducial region ξ=M_{X}^{2}/s&gt;10^{-6}, where M_{X} is the larger invariant mass of the two hadronic systems separated by the largest rapidity gap in the event. In this ξ range the scintillators are highly efficient. For diffractive events this corresponds to cases where at least one proton dissociates to a system with M_{X}&gt;13  GeV. The measured cross section is compared with a range of theoretical predictions. When extrapolated to the full phase space, a cross section of 78.1±2.9  mb is measured, consistent with the inelastic cross section increasing with center-of-mass energy.</t>
  </si>
  <si>
    <t>Predicting the presence of bacterial pathogens in the airways of primary care patients with acute cough.</t>
  </si>
  <si>
    <t>Teepe, Jolien; Broekhuizen, Berna D L; Loens, Katherine; Lammens, Christine; Ieven, Margareta; Goossens, Herman; Little, Paul; Butler, Chris C; Coenen, Samuel; Godycki-Cwirko, Maciek; Verheij, Theo J M; ,</t>
  </si>
  <si>
    <t>cmaj canadian medical association journal journal de lassociation medicale canadienne</t>
  </si>
  <si>
    <t>https://pubmed.ncbi.nlm.nih.gov/27777252</t>
  </si>
  <si>
    <t>Bacterial testing of all patients who present with acute cough is not feasible in primary care. Furthermore, the extent to which easily obtainable clinical information predicts bacterial infection is unknown. We evaluated the diagnostic value of clinical examination and testing for C-reactive protein and procalcitonin for bacterial lower respiratory tract infection. Through a European diagnostic study, we recruited 3104 adults with acute cough (≤ 28 days) in primary care settings. All of the patients underwent clinical examination, measurement of C-reactive protein and procalcitonin in blood, and chest radiography. Bacterial infection was determined by conventional culture, polymerase chain reaction and serology, and positive results were defined by the presence of &lt;i&gt;Streptococcus pneumoniae&lt;/i&gt;, &lt;i&gt;Haemophilus influenzae&lt;/i&gt;, &lt;i&gt;Mycoplasma pneumoniae&lt;/i&gt;, &lt;i&gt;Bordetella pertussis&lt;/i&gt; or &lt;i&gt;Legionella pneumophila&lt;/i&gt;. Using multivariable regression analysis, we examined the association of diagnostic variables with the presence of bacterial infection. Overall, 539 patients (17%) had bacterial lower respiratory tract infection, and 38 (1%) had bacterial pneumonia. The only item with diagnostic value for lower respiratory tract infection was discoloured sputum (area under the receiver operating characteristic [ROC] curve 0.56, 95% confidence interval [CI] 0.54-0.59). Adding C-reactive protein above 30 mg/L increased the area under the ROC curve to 0.62 (95% CI 0.59-0.65). For bacterial pneumonia, comorbidity, fever and crackles on auscultation had diagnostic value (area under ROC curve 0.68, 95% CI 0.58-0.77). Adding C-reactive protein above 30 mg/L increased the area under the ROC curve to 0.79 (95% CI 0.71-0.87). Procalcitonin did not add diagnostic information for any bacterial lower respiratory tract infection, including bacterial pneumonia. In adults presenting with acute lower respiratory tract infection, signs, symptoms and C-reactive protein showed diagnostic value for a bacterial cause. However, the ability of these diagnostic indicators to exclude a bacterial cause was limited. Procalcitonin added no clinically relevant information.</t>
  </si>
  <si>
    <t>Use of a Diagnostic Score to Prioritize Computed Tomographic (CT) Imaging for Patients Suspected of Ischemic Stroke Who May Benefit from Thrombolytic Therapy.</t>
  </si>
  <si>
    <t>Hwong, Wen Yea; Bots, Michiel L; Selvarajah, Sharmini; Kappelle, L Jaap; Abdul Aziz, Zariah; Sidek, Norsima Nazifah; Vaartjes, Ilonca</t>
  </si>
  <si>
    <t>https://pubmed.ncbi.nlm.nih.gov/27768752</t>
  </si>
  <si>
    <t>A shortage of computed tomographic (CT) machines in low and middle income countries often results in delayed CT imaging for patients suspected of a stroke. Yet, time constraint is one of the most important aspects for patients with an ischemic stroke to benefit from thrombolytic therapy. We set out to assess whether application of the Siriraj Stroke Score is able to assist physicians in prioritizing patients with a high probability of having an ischemic stroke for urgent CT imaging. From the Malaysian National Neurology Registry, we selected patients aged 18 years and over with clinical features suggesting of a stroke, who arrived in the hospital 4.5 hours or less from ictus. The prioritization of receiving CT imaging was left to the discretion of the treating physician. We applied the Siriraj Stroke Score to all patients, refitted the score and defined a cut-off value to best distinguish an ischemic stroke from a hemorrhagic stroke. Of the 2176 patients included, 73% had an ischemic stroke. Only 33% of the ischemic stroke patients had CT imaging within 4.5 hours. The median door-to-scan time for these patients was 4 hours (IQR: 1;16). With the recalibrated score, it would have been possible to prioritize 95% (95% CI: 94%-96%) of patients with an ischemic stroke for urgent CT imaging. In settings where CT imaging capacity is limited, we propose the use of the Siriraj Stroke Score to prioritize patients with a probable ischemic stroke for urgent CT imaging.</t>
  </si>
  <si>
    <t>Search for gluinos in events with an isolated lepton, jets and missing transverse momentum at [Formula: see text] = 13 Te V with the ATLAS detector.</t>
  </si>
  <si>
    <t xml:space="preserve">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Angerami, </t>
  </si>
  <si>
    <t>https://pubmed.ncbi.nlm.nih.gov/28316489</t>
  </si>
  <si>
    <t>The results of a search for gluinos in final states with an isolated electron or muon, multiple jets and large missing transverse momentum using proton-proton collision data at a centre-of-mass energy of [Formula: see text] are presented. The dataset used was recorded in 2015 by the ATLAS experiment at the Large Hadron Collider and corresponds to an integrated luminosity of 3.2 fb[Formula: see text]. Six signal selections are defined that best exploit the signal characteristics. The data agree with the Standard Model background expectation in all six signal selections, and the largest deviation is a 2.1 standard deviation excess. The results are interpreted in a simplified model where pair-produced gluinos decay via the lightest chargino to the lightest neutralino. In this model, gluinos are excluded up to masses of approximately 1.6 Te V depending on the mass spectrum of the simplified model, thus surpassing the limits of previous searches.</t>
  </si>
  <si>
    <t>Obesity and type 2 diabetes in sub-Saharan Africans - Is the burden in today's Africa similar to African migrants in Europe? The RODAM study.</t>
  </si>
  <si>
    <t>Agyemang, Charles; Meeks, Karlijn; Beune, Erik; Owusu-Dabo, Ellis; Mockenhaupt, Frank P; Addo, Juliet; de Graft Aikins, Ama; Bahendeka, Silver; Danquah, Ina; Schulze, Matthias B; Spranger, Joachim; Burr, Tom; Agyei-Baffour, Peter; Amoah, Stephen K; Galbete, Cecilia; Henneman, Peter; Klipstein-Grobusch, Kerstin; Nicolaou, Mary; Adeyemo, Adebowale; van Straalen, Jan; Smeeth, Liam; Stronks, Karien</t>
  </si>
  <si>
    <t>https://pubmed.ncbi.nlm.nih.gov/27769239</t>
  </si>
  <si>
    <t>Rising rates of obesity and type 2 diabetes (T2D) are impending major threats to the health of African populations, but the extent to which they differ between rural and urban settings in Africa and upon migration to Europe is unknown. We assessed the burden of obesity and T2D among Ghanaians living in rural and urban Ghana and Ghanaian migrants living in different European countries. A multi-centre cross-sectional study was conducted among Ghanaian adults (n = 5659) aged 25-70 years residing in rural and urban Ghana and three European cities (Amsterdam, London and Berlin). Comparisons between groups were made using prevalence ratios (PRs) with adjustments for age and education. In rural Ghana, the prevalence of obesity was 1.3 % in men and 8.3 % in women. The prevalence was considerably higher in urban Ghana (men, 6.9 %; PR: 5.26, 95 % CI, 2.04-13.57; women, 33.9 %; PR: 4.11, 3.13-5.40) and even more so in Europe, especially in London (men, 21.4 %; PR: 15.04, 5.98-37.84; women, 54.2 %; PR: 6.63, 5.04-8.72). The prevalence of T2D was low at 3.6 % and 5.5 % in rural Ghanaian men and women, and increased in urban Ghanaians (men, 10.3 %; PR: 3.06; 1.73-5.40; women, 9.2 %; PR: 1.81, 1.25-2.64) and highest in Berlin (men, 15.3 %; PR: 4.47; 2.50-7.98; women, 10.2 %; PR: 2.21, 1.30-3.75). Impaired fasting glycaemia prevalence was comparatively higher only in Amsterdam, and in London, men compared with rural Ghana. Our study shows high risks of obesity and T2D among sub-Saharan African populations living in Europe. In Ghana, similarly high prevalence rates were seen in an urban environment, whereas in rural areas, the prevalence of obesity among women is already remarkable. Similar processes underlying the high burden of obesity and T2D following migration may also be at play in sub-Saharan Africa as a consequence of urbanisation.</t>
  </si>
  <si>
    <t>Import and spread of extended-spectrum β-lactamase-producing Enterobacteriaceae by international travellers (COMBAT study): a prospective, multicentre cohort study.</t>
  </si>
  <si>
    <t>Arcilla, Maris S; van Hattem, Jarne M; Haverkate, Manon R; Bootsma, Martin C J; van Genderen, Perry J J; Goorhuis, Abraham; Grobusch, Martin P; Lashof, Astrid M Oude; Molhoek, Nicky; Schultsz, Constance; Stobberingh, Ellen E; Verbrugh, Henri A; de Jong, Menno D; Melles, Damian C; Penders, John</t>
  </si>
  <si>
    <t>https://pubmed.ncbi.nlm.nih.gov/27751772</t>
  </si>
  <si>
    <t>International travel contributes to the dissemination of antimicrobial resistance. We investigated the acquisition of extended-spectrum β-lactamase-producing Enterobacteriaceae (ESBL-E) during international travel, with a focus on predictive factors for acquisition, duration of colonisation, and probability of onward transmission. Within the prospective, multicentre COMBAT study, 2001 Dutch travellers and 215 non-travelling household members were enrolled. Faecal samples and questionnaires on demographics, illnesses, and behaviour were collected before travel and immediately and 1, 3, 6, and 12 months after return. Samples were screened for the presence of ESBL-E. In post-travel samples, ESBL genes were sequenced and PCR with specific primers for plasmid-encoded β-lactamase enzymes TEM, SHV, and CTX-M group 1, 2, 8, 9, and 25 was used to confirm the presence of ESBL genes in follow-up samples. Multivariable regression analyses and mathematical modelling were used to identify predictors for acquisition and sustained carriage, and to determine household transmission rates. This study is registered with ClinicalTrials.gov, number NCT01676974. 633 (34·3%) of 1847 travellers who were ESBL negative before travel and had available samples after return had acquired ESBL-E during international travel (95% CI 32·1-36·5), with the highest number of acquisitions being among those who travelled to southern Asia in 136 of 181 (75·1%, 95% CI 68·4-80·9). Important predictors for acquisition of ESBL-E were antibiotic use during travel (adjusted odds ratio 2·69, 95% CI 1·79-4·05), traveller's diarrhoea that persisted after return (2·31, 1·42-3·76), and pre-existing chronic bowel disease (2·10, 1·13-3·90). The median duration of colonisation after travel was 30 days (95% CI 29-33). 65 (11·3%) of 577 remained colonised at 12 months. CTX-M enzyme group 9 ESBLs were associated with a significantly increased risk of sustained carriage (median duration 75 days, 95% CI 48-102, p=0·0001). Onward transmission was found in 13 (7·7%) of 168 household members. The probability of transmitting ESBL-E to another household member was 12% (95% CI 5-18). Acquisition and spread of ESBL-E during and after international travel was substantial and worrisome. Travellers to areas with a high risk of ESBL-E acquisition should be viewed as potential carriers of ESBL-E for up to 12 months after return. Netherlands Organisation for Health Research and Development (ZonMw).</t>
  </si>
  <si>
    <t>Clot length predicts recanalisation but not outcome after basilar artery occlusion.</t>
  </si>
  <si>
    <t>van der Hoeven, Erik Jrj; Algra, Ale; Vos, Jan Albert; Mattle, Heinrich P; Weimar, Christian; Schonewille, Wouter J; Kappelle, Jaap; ,</t>
  </si>
  <si>
    <t>https://pubmed.ncbi.nlm.nih.gov/31008295</t>
  </si>
  <si>
    <t>The aim of our study was to evaluate the effect of clot length on both recanalisation and outcome in acute basilar artery occlusion (BAO). One hundred forty-nine patients with an acute basilar artery occlusion from the Basilar Artery International Cooperation Study (BASICS) were included. Clot length was assessed on computed tomographic angiography. Thrombus length was divided in tertiles and was related to recanalisation and outcome at 1 month, with Poisson regression. Modified Rankin scale scores of 4 or 5, or death were considered poor outcomes. Additionally, clot length was analysed as a continuous variable. Forty-nine patients (33%) had a short (4-11 mm), 50 (34%) an intermediate (12-22 mm), and 50 (34%) a long clot (≥23 mm). Multivariable analyses showed a significantly lower probability of recanalisation but no statistically significant difference in poor outcome for patients with a long clot compared with patients with a short clot (RR 0.64, 95% CI: 0.42-0.98 and RR 1.10, 95% CI: 0.88-1.37, respectively). No statistically significant differences were found for patients with an intermediate clot length compared with patients with a short clot length (RR 0.97, 95% CI: 0.75-1.25 and RR 1.11, 95% CI: 0.88-1.40, respectively). Analyses of clot length as a continuous variable showed a 10% reduction in chance of recanalisation and a 2% increase in risk of poor outcome with every centimeter increase in clot length (RR 0.90, 95% CI: 0.78-1.04 and RR 1.02, 95% CI: 0.98-1.05, respectively). Clot length predicted recanalisation but not outcome at 1 month in patients with a BAO. We found 2% more poor outcome and 10% less recanalisation with every centimeter increase in clot length.</t>
  </si>
  <si>
    <t>Reference Values for Cardiac and Aortic Magnetic Resonance Imaging in Healthy, Young Caucasian Adults.</t>
  </si>
  <si>
    <t>Eikendal, Anouk L M; Bots, Michiel L; Haaring, Cees; Saam, Tobias; van der Geest, Rob J; Westenberg, Jos J M; den Ruijter, Hester M; Hoefer, Imo E; Leiner, Tim</t>
  </si>
  <si>
    <t>https://pubmed.ncbi.nlm.nih.gov/27732640</t>
  </si>
  <si>
    <t>Reference values for morphological and functional parameters of the cardiovascular system in early life are relevant since they may help to identify young adults who fall outside the physiological range of arterial and cardiac ageing. This study provides age and sex specific reference values for aortic wall characteristics, cardiac function parameters and aortic pulse wave velocity (PWV) in a population-based sample of healthy, young adults using magnetic resonance (MR) imaging. In 131 randomly selected healthy, young adults aged between 25 and 35 years (mean age 31.8 years, 63 men) of the general-population based Atherosclerosis-Monitoring-and-Biomarker-measurements-In-The-YOuNg (AMBITYON) study, descending thoracic aortic dimensions and wall thickness, thoracic aortic PWV and cardiac function parameters were measured using a 3.0T MR-system. Age and sex specific reference values were generated using dedicated software. Differences in reference values between two age groups (25-30 and 30-35 years) and both sexes were tested. Aortic diameters and areas were higher in the older age group (all p&lt;0.007). Moreover, aortic dimensions, left ventricular mass, left and right ventricular volumes and cardiac output were lower in women than in men (all p&lt;0.001). For mean and maximum aortic wall thickness, left and right ejection fraction and aortic PWV we did not observe a significant age or sex effect. This study provides age and sex specific reference values for cardiovascular MR parameters in healthy, young Caucasian adults. These may aid in MR guided pre-clinical identification of young adults who fall outside the physiological range of arterial and cardiac ageing.</t>
  </si>
  <si>
    <t>Personalized assent for pediatric biobanks.</t>
  </si>
  <si>
    <t>Giesbertz, Noor A A; Melham, Karen; Kaye, Jane; van Delden, Johannes J M; Bredenoord, Annelien L</t>
  </si>
  <si>
    <t>https://pubmed.ncbi.nlm.nih.gov/27733160</t>
  </si>
  <si>
    <t>Pediatric biobanking is considered important for generating biomedical knowledge and improving (pediatric) health care. However, the inclusion of children's samples in biobanks involves specific ethical issues. One of the main concerns is how to appropriately engage children in the consent procedure. We suggest that children should be involved through a personalized assent procedure, which means that both the content and the process of assent are adjusted to the individual child. In this paper we provide guidance on how to put personalized assent into pediatric biobanking practice and consider both the content and process of personalized assent. In the discussion we argue that the assent procedure itself is formative. Investing in the procedure should be a requirement for pediatric biobank research. Although personalized assent will require certain efforts, the pediatric (biobank) community must be aware of its importance. The investment and trust earned can result in ongoing engagement, important longitudinal information, and stability in/for the research infrastructure, as well as increased knowledge among its participants about research activity. Implementing personalized assent will both respect the child and support biobank research.</t>
  </si>
  <si>
    <t>Simulation-based team training for multi-professional obstetric care teams to improve patient outcome: a multicentre, cluster randomised controlled trial.</t>
  </si>
  <si>
    <t>Fransen, A F; van de Ven, J; Schuit, E; van Tetering, Aac; Mol, B W; Oei, S G</t>
  </si>
  <si>
    <t>https://pubmed.ncbi.nlm.nih.gov/27726304</t>
  </si>
  <si>
    <t>To investigate whether simulation-based obstetric team training in a simulation centre improves patient outcome. Multicentre, open, cluster randomised controlled trial. Obstetric units in the Netherlands. Women with a singleton pregnancy beyond 24 weeks of gestation. Random allocation of obstetric units to a 1-day, multi-professional, simulation-based team training focusing on crew resource management (CRM) in a simulation centre or to no such team training. Intention-to-treat analyses were performed at the cluster level, including a measurement 1 year prior to the intervention. Primary outcome was a composite outcome of obstetric complications during the first year post-intervention, including low Apgar score, severe postpartum haemorrhage, trauma due to shoulder dystocia, eclampsia and hypoxic-ischaemic encephalopathy. Maternal and perinatal mortality were also registered. Each study group included 12 units with a median unit size of 1224 women, combining for a total of 28 657 women. In total, 471 medical professionals received the training course. The composite outcome of obstetric complications did not differ between study groups [odds ratio (OR) 1.0, 95% confidence interval (CI) 0.80-1.3]. Team training reduced trauma due to shoulder dystocia (OR 0.50, 95% CI 0.25-0.99) and increased invasive treatment for severe postpartum haemorrhage (OR 2.2, 95% CI 1.2-3.9) compared with no intervention. Other outcomes did not differ between study groups. A 1-day, off-site, simulation-based team training, focusing on teamwork skills, did not reduce a composite of obstetric complications. 1-day, off-site, simulation-based team training did not reduce a composite of obstetric complications.</t>
  </si>
  <si>
    <t>Cost-Effectiveness of Hepatitis C Treatment for People Who Inject Drugs and the Impact of the Type of Epidemic; Extrapolating from Amsterdam, the Netherlands.</t>
  </si>
  <si>
    <t>van Santen, Daniëla K; de Vos, Anneke S; Matser, Amy; Willemse, Sophie B; Lindenburg, Karen; Kretzschmar, Mirjam E E; Prins, Maria; de Wit, G Ardine</t>
  </si>
  <si>
    <t>https://pubmed.ncbi.nlm.nih.gov/27711200</t>
  </si>
  <si>
    <t>People who inject drugs (PWID) are disproportionally affected by the hepatitis C virus (HCV) infection. The efficacy of HCV treatment has significantly improved in recent years with the introduction of direct-acting antivirals (DAAs). However, DAAs are more costly than pegylated-interferon and ribavirin (PegIFN/RBV). We aimed to assess the cost-effectiveness of four HCV treatment strategies among PWID and treatment scale-up. An individual-based model was used describing HIV and HCV transmission and disease progression among PWID. We considered two epidemiological situations. A declining epidemic, based on the situation in Amsterdam, the Netherlands, and a stable HCV epidemic, as observed in other settings. Data on HCV incidence, prevalence, treatment setting and uptake were derived from observed data among PWID in Amsterdam. We assessed the incremental cost-effectiveness ratio (ICER, costs in €/quality-adjusted life year (QALY)) of four treatment strategies: 1) PegIFN/RBV; 2) sofosbuvir/RBV for genotype 2-3 and dual DAA for genotype 1-4; 3) Dual DAA for all genotypes; 4) Dual DAA with 3x treatment uptake. In both types of epidemic, dual DAA therapy was most cost-effective strategy. In the declining epidemic, dual DAA yielded an ICER of 344 €/QALY while in the stable epidemic dual DAA led to cost-savings. Scaling-up treatment was also highly cost-effective. Our results were robust over a range of sensitivity analyses. HCV treatment with DAA-containing regimens is a highly cost-effective intervention among PWID. Based on the economic and population benefits of scaling-up treatment, stronger efforts are needed to achieve higher uptake rates among PWID.</t>
  </si>
  <si>
    <t>Search for bottom squark pair production in proton-proton collisions at [Formula: see text] TeV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</si>
  <si>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Alstaty, M; Gonzalez, B Alvarez; Piqueras, D Álvarez; Alviggi, M G; Amadio, B T; Amako, K; Coutinho, Y Amaral; Amelung, C; Amidei, D; Dos Santos, S P Amor; Amorim, A; Amoroso, S; Amundsen, G; Anastopoulos, C; Ancu, L S; Andari, N; Andeen, T; Anders, C F; Anders, G; Anders, J K; Anderson, K J; Andreazza, A; Andrei, V; Angelidakis, S; A</t>
  </si>
  <si>
    <t>https://pubmed.ncbi.nlm.nih.gov/28316487</t>
  </si>
  <si>
    <t>The result of a search for pair production of the supersymmetric partner of the Standard Model bottom quark ([Formula: see text]) is reported. The search uses 3.2 fb[Formula: see text]  of &lt;i&gt;pp&lt;/i&gt; collisions at [Formula: see text] TeV collected by the ATLAS experiment at the Large Hadron Collider in 2015. Bottom squarks are searched for in events containing large missing transverse momentum and exactly two jets identified as originating from &lt;i&gt;b&lt;/i&gt;-quarks. No excess above the expected Standard Model background yield is observed. Exclusion limits at 95 % confidence level on the mass of the bottom squark are derived in phenomenological supersymmetric &lt;i&gt;R&lt;/i&gt;-parity-conserving models in which the [Formula: see text] is the lightest squark and is assumed to decay exclusively via [Formula: see text], where [Formula: see text] is the lightest neutralino. The limits significantly extend previous results; bottom squark masses up to 800 (840) GeV are excluded for the [Formula: see text] mass below 360 (100) GeV whilst differences in mass above 100 GeV between the [Formula: see text] and the [Formula: see text] are excluded up to a [Formula: see text] mass of 500 GeV.</t>
  </si>
  <si>
    <t>Concurrent validity and reliability of wireless instrumented insoles measuring postural balance and temporal gait parameters.</t>
  </si>
  <si>
    <t>Oerbekke, Michiel S; Stukstette, Mirelle J; Schütte, Kurt; de Bie, Rob A; Pisters, Martijn F; Vanwanseele, Benedicte</t>
  </si>
  <si>
    <t>gait posture</t>
  </si>
  <si>
    <t>https://pubmed.ncbi.nlm.nih.gov/27744250</t>
  </si>
  <si>
    <t>The OpenGo seems promising to take gait analysis out of laboratory settings due to its capability of long-term measurements and mobility. However, the OpenGo's concurrent validity and reliability need to be assessed to determine if the instrument is suitable for validation in patient samples. Twenty healthy volunteers participated. Center of pressure data were collected under eyes open and closed conditions with participants performing unilateral stance trials on the gold standard (AMTI OR6-7 force plate) while wearing the OpenGo. Temporal gait data (stance time, gait cycle time, and cadence) were collected at a self-selected comfortable walking speed with participants performing test-retest trials on an instrumented treadmill while wearing the OpenGo. Validity was assessed using Bland-Altman plots. Reliability was assessed with Intraclass Correlation Coefficient (2,1) and smallest detectable changes were calculated. Negative means of differences were found in all measured parameters, illustrating lower scores for the OpenGo on average. The OpenGo showed negative upper limits of agreement in center of pressure parameters on the mediolateral axis. Temporal reliability ICCs ranged from 0.90-0.93. Smallest detectable changes for both stance times were 0.04 (left) and 0.05 (right) seconds, for gait cycle time 0.08s, and for cadence 4.5 steps per minute. The OpenGo is valid and reliable for the measurement of temporal gait parameters during walking. Measurements of center of pressure parameters during unilateral stance are not considered valid. The OpenGo seems a promising instrument for clinically screening and monitoring temporal gait parameters in patients, however validation in patient populations is needed.</t>
  </si>
  <si>
    <t>Osteoporosis management in patients with breast cancer: EMAS position statement.</t>
  </si>
  <si>
    <t>Trémollieres, Florence A; Ceausu, Iuliana; Depypere, Herman; Lambrinoudaki, Irene; Mueck, Alfred; Pérez-López, Faustino R; van der Schouw, Yvonne T; Senturk, Levent M; Simoncini, Tommaso; Stevenson, John C; Stute, Petra; Rees, Margaret</t>
  </si>
  <si>
    <t>https://pubmed.ncbi.nlm.nih.gov/27802892</t>
  </si>
  <si>
    <t>Aromatase inhibitors (AIs) are the first-line recommended standard of care for postmenopausal estrogen receptor-positive breast cancer. Because they cause a profound suppression of estrogen levels, concerns regarding their potential to increase the risk of fracture were rapidly raised. There is currently a general consensus that a careful baseline evaluation is needed of the risk of fracture in postmenopausal women about to start treatment with AIs but also in all premenopausal women with early disease. Bisphosphonates have been shown in several phase III trials to prevent the bone loss induced by cancer treatment, although no fracture data are available. Even though they do not have regulatory approval for this indication, their use must be discussed with women at high risk of fracture. Accordingly, several guidelines recommend considering treatment in women with a T-score ≤-2 or those with two or more clinical risk factors. Moreover, recent data suggest that bisphosphonates, especially intravenous zoledronic acid, may have an anticancer effect, in that they reduce bone recurrence as well as extra-skeletal metastasis and breast cancer mortality in postmenopausal women. The anti-RANK ligand antibody denosumab is also emerging as a new adjuvant therapeutic option to prevent AI-induced bone loss. It has been shown to extend the time to first fracture in postmenopausal women treated with AIs. Several issues still need to be addressed regarding the use of these different agents in an adjuvant setting. The purpose of this position statement is to review the literature on antifracture therapy and to discuss the current guidelines for the management of osteoporosis in women with early breast cancer.</t>
  </si>
  <si>
    <t>Innovative ways of studying the effect of migration on obesity and diabetes beyond the common designs: lessons from the RODAM study.</t>
  </si>
  <si>
    <t>Agyemang, Charles; Beune, Erik; Meeks, Karlijn; Addo, Juliet; Aikins, Ama de-Graft; Bahendeka, Silver; Danquah, Ina; Mockenhaupt, Frank P; Schulze, Matthias B; Klipstein-Grobusch, Kerstin; Smeeth, Liam; Stronks, Karien</t>
  </si>
  <si>
    <t>annals of the new york academy of sciences</t>
  </si>
  <si>
    <t>https://pubmed.ncbi.nlm.nih.gov/27706830</t>
  </si>
  <si>
    <t>Type 2 diabetes and obesity are major global public health problems, with migrant populations in high-income countries being particularly affected. Type 2 diabetes and obesity are also major threats in low- and middle-income countries, from which most migrant populations originate. Transitioning of societies and the resulting changes in lifestyles are thought to be major driving forces, but the key specific factors within this broad category still need to be determined. Migrant studies provide a unique opportunity to understand the potential underlying causes of these conditions, but current research is mainly geared toward analyzing the differences between migrants and the host populations in the countries of settlement. For better understanding, there is a need to extend migrant health research across national boundaries. This review discusses innovative ways of studying the effect of migration on type 2 diabetes and obesity beyond the common designs and the relevance of extending migrant health studies across national boundaries in the current era of increasing global migration. Specifically, we describe the burden and different methods for conducting migrant studies. We use the Research on Obesity and Diabetes among African Migrants (RODAM) study as a case study, discussing the methods, some results, and lessons learned, including challenges and an essential recipe for success that may guide future migrant health research.</t>
  </si>
  <si>
    <t>Search for new phenomena in different-flavour high-mass dilepton final states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</si>
  <si>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Santos, S P Amor Dos; Amorim, A; Amoroso, S; Amundsen, G; Anastopoulos, C; Ancu, L S; Andari, N; Andeen, T; Anders, C F; Anders, G; Anders, J K; Anderson, K J; Andreazza, A; An</t>
  </si>
  <si>
    <t>https://pubmed.ncbi.nlm.nih.gov/28316486</t>
  </si>
  <si>
    <t>A search is performed for a heavy particle decaying into different flavour dilepton pairs ([Formula: see text], [Formula: see text] or [Formula: see text]), using 3.2 fb[Formula: see text] of proton-proton collision data at [Formula: see text] TeV collected in 2015 by the ATLAS detector at the Large Hadron Collider. No excess over the Standard Model prediction is observed. Limits at the 95 % credibility level are set on the mass of a [Formula: see text] boson with lepton-flavour-violating couplings at 3.0, 2.7 and 2.6 TeV, and on the mass of a supersymmetric [Formula: see text] sneutrino with &lt;i&gt;R&lt;/i&gt;-parity-violating couplings at 2.3, 2.2 and 1.9 TeV, for [Formula: see text], [Formula: see text] and [Formula: see text] final states, respectively. The results are also interpreted as limits on the threshold mass for quantum black hole production.</t>
  </si>
  <si>
    <t>CT-angiography source images indicate less fatal outcome despite coma of patients in the Basilar Artery International Cooperation Study.</t>
  </si>
  <si>
    <t>Pallesen, Lars P; Khomenko, Andrei; Dzialowski, Imanuel; Barlinn, Jessica; Barlinn, Kristian; Zerna, Charlotte; van der Hoeven, Erik Jrj; Algra, Ale; Kapelle, L Jaap; Michel, Patrik; Bodechtel, Ulf; Demchuk, Andrew M; Schonewille, Wouter; Puetz, Volker; ,</t>
  </si>
  <si>
    <t>https://pubmed.ncbi.nlm.nih.gov/27698280</t>
  </si>
  <si>
    <t>Background Coma is associated with poor outcome in patients with basilar artery occlusion. Aims We sought to assess whether the posterior circulation Acute Stroke Prognosis Early CT Score and the Pons-Midbrain Index applied to CT angiography source images predict the outcome of comatose patients in the Basilar Artery International Cooperation Study. Methods Basilar Artery International Cooperation Study was a prospective, observational registry of patients with acute basilar artery occlusion with 48 recruiting centers worldwide. We applied posterior circulation Acute Stroke Prognosis Early CT Score and Pons-Midbrain Index to CT angiography source images of Basilar Artery International Cooperation Study patients who presented with coma. We calculated adjusted risk ratios to assess the association of dichotomized posterior circulation Acute Stroke Prognosis Early CT Score (≥8 vs. &lt;8) and Pons-Midbrain Index (&lt;3 vs. ≥3) with mortality and favourable outcome (modified Rankin Scale score 0-3) at one month. Results Of 619 patients in the Basilar Artery International Cooperation Study registry, CT angiography source images were available for review in 158 patients. Among these, 78 patients (49%) presented with coma. Compared to non-comatose patients, comatose patients were more likely to die (risk ratios 2.34; CI 95% 1.56-3.52) and less likely to have a favourable outcome (risk ratios 0.44; CI 95% 0.24-0.80). Among comatose patients, a Pons-Midbrain Index &lt; 3 was related to reduced mortality (adjusted RR 0.66; 95% CI 0.46-0.96), but not to favourable outcome (adjusted RR 1.19; 95% CI 0.39-3.62). Posterior circulation Acute Stroke Prognosis Early CT Score dichotomized at ≥ 8 vs. &lt;8 was not significantly associated with death (adjusted RR 0.70; 95% CI 0.46-1.05). Conclusion In comatose patients with basilar artery occlusion, the extent of brainstem ischemia appears to be related to mortality but not to favourable outcome.</t>
  </si>
  <si>
    <t>Measurements of top-quark pair differential cross-sections in the lepton+jets channel in &lt;i&gt;pp&lt;/i&gt; collisions at [Formula: see text] using the ATLAS detector.</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</si>
  <si>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</si>
  <si>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https://pubmed.ncbi.nlm.nih.gov/28747847</t>
  </si>
  <si>
    <t>Measurements of normalized differential cross-sections of top-quark pair production are presented as a function of the top-quark, [Formula: see text] system and event-level kinematic observables in proton-proton collisions at a centre-of-mass energy of [Formula: see text]. The observables have been chosen to emphasize the [Formula: see text] production process and to be sensitive to effects of initial- and final-state radiation, to the different parton distribution functions, and to non-resonant processes and higher-order corrections. The dataset corresponds to an integrated luminosity of 20.3 fb[Formula: see text], recorded in 2012 with the ATLAS detector at the CERN Large Hadron Collider. Events are selected in the lepton+jets channel, requiring exactly one charged lepton and at least four jets with at least two of the jets tagged as originating from a &lt;i&gt;b&lt;/i&gt;-quark. The measured spectra are corrected for detector effects and are compared to several Monte Carlo simulations. The results are in fair agreement with the predictions over a wide kinematic range. Nevertheless, most generators predict a harder top-quark transverse momentum distribution at high values than what is observed in the data. Predictions beyond NLO accuracy improve the agreement with data at high top-quark transverse momenta. Using the current settings and parton distribution functions, the rapidity distributions are not well modelled by any generator under consideration. However, the level of agreement is improved when more recent sets of parton distribution functions are used.</t>
  </si>
  <si>
    <t>Back to the basics of ovarian aging: a population-based study on longitudinal anti-Müllerian hormone decline.</t>
  </si>
  <si>
    <t>de Kat, A C; van der Schouw, Y T; Eijkemans, M J C; Herber-Gast, G C; Visser, J A; Verschuren, W M M; Broekmans, F J M</t>
  </si>
  <si>
    <t>https://pubmed.ncbi.nlm.nih.gov/27716302</t>
  </si>
  <si>
    <t>Anti-Müllerian hormone (AMH) is currently used as an ovarian reserve marker for individualized fertility counseling, but very little is known of individual AMH decline in women. This study assessed whether the decline trajectory of AMH is uniform for all women, and whether baseline age-specific AMH levels remain consistently high or low during this trajectory. A total of 3326 female participants from the population-based Doetinchem Cohort Study were followed with five visits over a 20-year period. Baseline age was 40 ± 10 years with a range of 20-59 years. AMH was measured in 12,929 stored plasma samples using the picoAMH assay (AnshLabs). Decline trajectories of AMH were studied with both chronological age and reproductive age, i.e., time to menopause. Multivariable linear mixed effects models characterized the individual AMH decline trajectories. The overall rate of AMH decline accelerated after 40 years of age. Mixed models with varying age-specific AMH levels and decline rates provided the significantly best fit to the data, indicating that the fall in AMH levels over time does not follow a fixed pattern for individual women. AMH levels remained consistent along individual trajectories of age, with an intraclass correlation coefficient (ICC) of 0.87. The ICC of 0.32 for AMH trajectories with time to menopause expressed the large variation in AMH levels at a given time before the menopause. The differences between low and high age-specific AMH levels remained distinguishable, but became increasingly smaller with increasing chronological and reproductive age. This is the first study to characterize individual AMH decline over a long time period and broad age range. The varying AMH decline rates do not support the premise of a uniform AMH decline trajectory. Although age-specific AMH levels remain consistently high or low with increasing age, the converging trajectories and variance of AMH levels at a given time before menopause shed doubt on the added value of AMH to represent individualized reproductive age.</t>
  </si>
  <si>
    <t>Predictors of adherence to isoniazid preventive therapy in people living with HIV in Ethiopia.</t>
  </si>
  <si>
    <t>Ayele, H T; van Mourik, M S M; Bonten, M J M</t>
  </si>
  <si>
    <t>the international journal of tuberculosis and lung disease the official journal of the international union against tuberculosis and lung disease</t>
  </si>
  <si>
    <t>https://pubmed.ncbi.nlm.nih.gov/27725045</t>
  </si>
  <si>
    <t>Although isoniazid preventive therapy (IPT) is effective in the prevention of tuberculosis (TB) in people living with the human immunodeficiency virus (PLHIV), patient adherence to this strategy is suboptimal. This prospective cohort study was conducted in the HIV/AIDS (acquired immune-deficiency syndrome) out-patient chronic care unit of Dilla University Hospital, Dilla, Ethiopia, from May 2014 to February 2015. Adherence was defined as completion of the 6-month course of treatment with 90% of pills taken, as measured by diary and pill count. Data were collected on potential predictors, including patients' demographic and clinical characteristics. Univariable and multivariable logistic regression models were fitted to identify independent predictors of adherence to IPT. Of 162 PLHIV included, 104 (64.2%) were adherent to IPT. In the final multivariable model, concomitant use of antiretroviral therapy (ART) and/or cotrimoxazole preventive therapy (CPT) was associated with adherence to IPT (OR 2.66, 95%CI 1.15-6.17). Experiencing a high level of HIV stigma and episodes of opportunistic infections tended to be associated with non-adherence to IPT (OR 0.51, 95%CI 0.25-1.04 and OR 0.14, 95%CI 0.02-1.15) in comparison to low stigma and no opportunistic infections, respectively. PLHIV receiving ART or CPT were more likely to adhere to IPT.</t>
  </si>
  <si>
    <t>Response to Comment on Sharif et al. HDL Cholesterol as a Residual Risk Factor for Vascular Events and All-Cause Mortality in Patients With Type 2 Diabetes. Diabetes Care 2016;39:1424-1430.</t>
  </si>
  <si>
    <t>Sharif, Shahnam; van der Graaf, Yolanda; Nathoe, Hendrik M; de Valk, Harold W; Visseren, Frank L J; Westerink, Jan; ,</t>
  </si>
  <si>
    <t>https://pubmed.ncbi.nlm.nih.gov/27660133</t>
  </si>
  <si>
    <t>Limited Evidence on the Management of Respiratory Tract Infections in Down's Syndrome: A Systematic Review.</t>
  </si>
  <si>
    <t>Manikam, Logan; Reed, Kate; Venekamp, Roderick P; Hayward, Andrew; Littlejohns, Peter; Schilder, Anne; Lakhanpaul, Monica</t>
  </si>
  <si>
    <t>https://pubmed.ncbi.nlm.nih.gov/27273687</t>
  </si>
  <si>
    <t>To systematically review the effectiveness of preventative and therapeutic interventions for respiratory tract infections (RTIs) in people with Down's syndrome. Databases were searched for any published and ongoing studies of respiratory tract diseases in children and adults with Down's syndrome. These databases were searched for controlled trials, cohort studies and controlled before-after studies. Trial registries were searched for ongoing studies. Initially, all study types were included to provide a broad overview of the existing evidence base. However, those with a critical risk of bias were excluded using the Cochrane Risk of Bias tool. A total of 13,575 records were identified from which 5 studies fulfilled the eligibility criteria and 3 fulfilled our criteria for data extraction. One randomized controlled trial of moderate risk of bias compared zinc therapy with placebo. Outcome data were only reported for 50 (78%) children who presented with extreme symptoms; no benefit of zinc therapy was found. One non-randomized controlled trial with serious risk of bias included 26 children and compared pidotimod (an immunostimulant) with no treatment; pidotimod was associated with fewer upper RTI recurrences compared with no treatment (1.43 vs. 3.82). A prospective cohort study with moderate risk of bias compared 532 palivizumab treated children with 233 untreated children and found that children treated with palivizumab had fewer respiratory syncytial virus-related hospitalization (23 untreated and 8 treated), but the same number of overall RTI-related hospitalizations (73 untreated and 74 treated) in the first 2 years of life. The evidence base for the management of RTIs in people with Down's syndrome is incomplete; current studies included children only and carry a moderate to serious risk of bias. Methodologic rigorous studies are warranted to guide clinicians in how best to prevent and treat RTIs in children with Down's syndrome.</t>
  </si>
  <si>
    <t>Staphylococcus aureus colonization at ICU admission as a risk factor for developing S. aureus ICU pneumonia.</t>
  </si>
  <si>
    <t>Paling, F P; Wolkewitz, M; Bode, L G M; Klein Klouwenberg, P M C; Ong, D S Y; Depuydt, P; de Bus, L; Sifakis, F; Bonten, M J M; Kluytmans, J A J W</t>
  </si>
  <si>
    <t>https://pubmed.ncbi.nlm.nih.gov/27693658</t>
  </si>
  <si>
    <t>To quantify the incidence of intensive care unit (ICU)-acquired pneumonia caused by Staphylococcus aureus (S. aureus) and its association with S. aureus colonization at ICU admission. This was a post-hoc analysis of two cohort studies in critically ill patients. The primary outcome was the incidence of microbiologically confirmed S. aureus ICU-acquired pneumonia. Incidences of S. aureus ICU pneumonia and associations with S. aureus colonization at ICU admission were determined using competing risks analyses. In all ICUs, patients were screened for respiratory tract S. aureus carriage on admission as part of infection control policies. Pooling of data was not deemed possible because of heterogeneity in baseline differences in patient population. The two cohort studies contained data of 9156 ICU patients. The average carriage rate of S. aureus among screened patients was 12.7%. In total, 1185 (12.9%) patients developed ICU pneumonia. Incidences of S. aureus ICU pneumonia were 1.33% and 1.08% in cohorts 1 and 2, respectively. After accounting for competing events, the adjusted subdistribution hazard ratio (SHR) of S. aureus colonization at admission for developing S. aureus ICU pneumonia was 9.55 (95% CI 5.31-17.18) in cohort 1 and 14.54 (95% CI 7.24-29.21) in cohort 2. The overall cumulative incidence of S. aureus ICU pneumonia in these ICUs was low. Patients colonized with S. aureus at ICU admission had an up to 15 times increased risk for developing this outcome compared with non-colonized patients.</t>
  </si>
  <si>
    <t>Validation of Noninvasive In Vivo Compound Ultrasound Strain Imaging Using Histologic Plaque Vulnerability Features.</t>
  </si>
  <si>
    <t>Hansen, Hendrik H G; de Borst, Gert Jan; Bots, Michiel L; Moll, Frans L; Pasterkamp, Gerard; de Korte, Chris L</t>
  </si>
  <si>
    <t>https://pubmed.ncbi.nlm.nih.gov/27686104</t>
  </si>
  <si>
    <t>Carotid plaque rupture is a major cause of stroke. Key issue for risk stratification is early identification of rupture-prone plaques. A noninvasive technique, compound ultrasound strain imaging, was developed providing high-resolution radial deformation/strain images of atherosclerotic plaques. This study aims at in vivo validation of compound ultrasound strain imaging in patients by relating the measured strains to typical features of vulnerable plaques derived from histology after carotid endarterectomy. Strains were measured in 34 severely stenotic (&gt;70%) carotid arteries at the culprit lesion site within 48 hours before carotid endarterectomy. In all cases, the lumen-wall boundary was identifiable on B-mode ultrasound, and the imaged cross-section did not move out of the imaging plane from systole to diastole. After endarterectomy, the plaques were processed using a validated histology analysis technique. Locally elevated strain values were observed in regions containing predominantly components related to plaque vulnerability, whereas lower values were observed in fibrous, collagen-rich plaques. The median strain of the inner plaque layer (1 mm thickness) was significantly higher (P&lt;0.01) for (fibro)atheromatous (n=20, strain=0.27%) than that for fibrous plaques (n=14, strain=-0.75%). Also, a significantly larger area percentage of the inner layer revealed strains above 0.5% for (fibro)atheromatous (45.30%) compared with fibrous plaques (31.59%). (Fibro)atheromatous plaques were detected with a sensitivity, specificity, positive predictive value, and negative predictive value of 75%, 86%, 88%, and 71%, respectively. Strain did not significantly correlate with fibrous cap thickness, smooth muscle cell, or macrophage concentration. Compound ultrasound strain imaging allows differentiating (fibro)atheromatous from fibrous carotid artery plaques.</t>
  </si>
  <si>
    <t>Distribution of Estimated 10-Year Risk of Recurrent Vascular Events and Residual Risk in a Secondary Prevention Population.</t>
  </si>
  <si>
    <t>Kaasenbrood, Lotte; Boekholdt, S Matthijs; van der Graaf, Yolanda; Ray, Kausik K; Peters, Ron J G; Kastelein, John J P; Amarenco, Pierre; LaRosa, John C; Cramer, Maarten J M; Westerink, Jan; Kappelle, L Jaap; de Borst, Gert J; Visseren, Frank L J</t>
  </si>
  <si>
    <t>https://pubmed.ncbi.nlm.nih.gov/27682883</t>
  </si>
  <si>
    <t>Among patients with clinically manifest vascular disease, the risk of recurrent vascular events is likely to vary. We assessed the distribution of estimated 10-year risk of recurrent vascular events in a secondary prevention population. We also estimated the potential risk reduction and residual risk that can be achieved if patients reach guideline-recommended risk factor targets. The SMART score (Second Manifestations of Arterial Disease) for 10-year risk of myocardial infarction, stroke, or vascular death was applied to 6904 patients with vascular disease. The risk score was externally validated in 18 436 patients with various manifestations of vascular disease from the TNT (Treating to New Targets), IDEAL (Incremental Decrease in End Points Through Aggressive Lipid Lowering), SPARCL (Stroke Prevention by Aggressive Reduction in Cholesterol Levels), and CAPRIE (Clopidogrel Versus Aspirin in Patients at Risk of Ischemic Events) trials. The residual risk at guideline-recommended targets was estimated by applying relative risk reductions from meta-analyses to the estimated risk for targets for systolic blood pressure, low-density lipoprotein cholesterol, smoking, physical activity, and use of antithrombotic agents. The external performance of the SMART risk score was reasonable, apart from overestimation of risk in patients with 10-year risk &gt;40%. In patients with various manifestations of vascular disease, median 10-year risk of a recurrent major vascular event was 17% (interquartile range, 11%-28%), varying from &lt;10% in 18% to &gt;30% in 22% of the patients. If risk factors were at guideline-recommended targets, the residual 10-year risk would be &lt;10% in 47% and &gt;30% in 9% of the patients (median, 11%; interquartile range, 7%-17%). Among patients with vascular disease, there is very substantial variation in estimated 10-year risk of recurrent vascular events. If all modifiable risk factors were at guideline-recommended targets, half of the patients would have a 10-year risk &lt;10%. These data suggest that even with optimal treatment, many patients with vascular disease will remain at &gt;20% and even &gt;30% 10-year risk, clearly delineating an area of substantial unmet medical need.</t>
  </si>
  <si>
    <t>The performance of the jet trigger for the ATLAS detector during 2011 data taking.</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</si>
  <si>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t>
  </si>
  <si>
    <t>https://pubmed.ncbi.nlm.nih.gov/28316483</t>
  </si>
  <si>
    <t>The performance of the jet trigger for the ATLAS detector at the LHC during the 2011 data taking period is described. During 2011 the LHC provided proton-proton collisions with a centre-of-mass energy of 7 TeV and heavy ion collisions with a 2.76 TeV per nucleon-nucleon collision energy. The ATLAS trigger is a three level system designed to reduce the rate of events from the 40 MHz nominal maximum bunch crossing rate to the approximate 400 Hz which can be written to offline storage. The ATLAS jet trigger is the primary means for the online selection of events containing jets. Events are accepted by the trigger if they contain one or more jets above some transverse energy threshold. During 2011 data taking the jet trigger was fully efficient for jets with transverse energy above 25 GeV for triggers seeded randomly at Level 1. For triggers which require a jet to be identified at each of the three trigger levels, full efficiency is reached for offline jets with transverse energy above 60 GeV. Jets reconstructed in the final trigger level and corresponding to offline jets with transverse energy greater than 60 GeV, are reconstructed with a resolution in transverse energy with respect to offline jets, of better than 4 % in the central region and better than 2.5 % in the forward direction.</t>
  </si>
  <si>
    <t>Is there an added value of faecal calprotectin and haemoglobin in the diagnostic work-up for primary care patients suspected of significant colorectal disease? A cross-sectional diagnostic study.</t>
  </si>
  <si>
    <t>Elias, Sjoerd G; Kok, Liselotte; de Wit, Niek J; Witteman, Ben J M; Goedhard, Jelle G; Romberg-Camps, Mariëlle J L; Muris, Jean W M; Moons, Karel G M</t>
  </si>
  <si>
    <t>https://pubmed.ncbi.nlm.nih.gov/27666114</t>
  </si>
  <si>
    <t>The majority of primary care patients referred for bowel endoscopy do not have significant colorectal disease (SCD), and are - in hindsight - unnecessarily exposed to a small but realistic risk of severe endoscopy-associated complications. We developed a diagnostic strategy to better exclude SCD in these patients and evaluated the value of adding a faecal calprotectin point-of-care (POC) and/or a POC faecal immunochemical test for haemoglobin (FIT) to routine clinical information. We used data from a prospective diagnostic study in SCD-suspected patients from 266 Dutch primary care practices referred for endoscopy to develop a diagnostic model for SCD with routine clinical information, which we extended with faecal calprotectin POC (quantitatively in μg/g faeces) and/or POC FIT results (qualitatively with a 6 μg/g faeces detection limit). We defined SCD as colorectal cancer (CRC), inflammatory bowel disease, diverticulitis, or advanced adenoma (&gt;1 cm). Of 810 patients, 141 (17.4 %) had SCD. A diagnostic model with routine clinical data discriminated between patients with and without SCD with an area under the receiver operating characteristic curve (AUC) of 0.741 (95 % CI, 0.694-0.789). This AUC increased to 0.763 (95 % CI, 0.718-0.809; P = 0.078) when adding the calprotectin POC test, to 0.831 (95 % CI, 0.791-0.872; P &lt; 0.001) when adding the POC FIT, and to 0.837 (95 % CI, 0.798-0.876; P &lt; 0.001) upon combined extension. At a ≥ 5.0 % SCD probability threshold for endoscopy referral, 30.4 % of the patients tested negative based on this combined POC-tests extended model (95 % CI, 25.7-35.3 %), with 96.4 % negative predictive value (95 % CI, 93.1-98.2 %) and 93.7 % sensitivity (95 % CI, 88.2-96.8 %). Excluding the calprotectin POC test from this model still yielded 30.1 % test negatives (95 % CI, 24.7-35.6 %) and 96.0 % negative predictive value (95 % CI, 92.6-97.9 %), with 93.0 % sensitivity (95 % CI, 87.4-96.4 %). FIT - and to a much lesser extent calprotectin - POC testing showed incremental value for SCD diagnosis beyond standard clinical information. A diagnostic strategy with routine clinical data and a POC FIT test may safely rule out SCD and prevent unnecessary endoscopy referral in approximately one third of SCD-suspected primary care patients. Please see related article: http://bmcmedicine.biomedcentral.com/articles/10.1186/s12916-016-0694-3 .</t>
  </si>
  <si>
    <t>Cesarean Delivery, Overweight throughout Childhood, and Blood Pressure in Adolescence.</t>
  </si>
  <si>
    <t>Pluymen, Linda P M; Smit, Henriëtte A; Wijga, Alet H; Gehring, Ulrike; De Jongste, Johan C; Van Rossem, Lenie</t>
  </si>
  <si>
    <t>https://pubmed.ncbi.nlm.nih.gov/27686586</t>
  </si>
  <si>
    <t>To investigate whether children delivered by cesarean had a higher risk of being overweight from early until late childhood and whether they had a higher blood pressure in adolescence compared with children delivered vaginally. We used data from a Dutch birth cohort study with prenatal inclusion in 1996 and 1997. Mode of delivery (cesarean or vaginal delivery) was ascertained at 3 months after birth by questionnaire. During clinical examinations, height and weight (at age 4, 8, 12, and 16 years) and blood pressure (at age 12 and 16 years) were measured. We used mixed model analysis to estimate associations of cesarean delivery with overweight and blood pressure z scores in 2641 children who participated in at least 1 of the 4 examinations. Children born by cesarean delivery (n = 236, 8.9%) had a 1.52 (95% CI 1.18, 1.96) higher odds of being overweight throughout childhood than children delivered vaginally. Children born by cesarean delivery had no higher systolic blood pressure z-score (0.11 SD, 95% CI -0.04, 0.26), nor a different diastolic blood pressure z-score (-0.00 SD, 95% CI -0.10, 0.09) in adolescence than children delivered vaginally. Compared with children delivered vaginally, children delivered by cesarean had a 52% higher risk of being overweight throughout childhood, but this was not accompanied by a higher blood pressure in adolescence.</t>
  </si>
  <si>
    <t>Search for supersymmetry in a final state containing two photons and missing transverse momentum in [Formula: see text] = 13 TeV [Formula: see text] collisions at the LHC using the ATLAS detector.</t>
  </si>
  <si>
    <t>https://pubmed.ncbi.nlm.nih.gov/28303085</t>
  </si>
  <si>
    <t>A search has been made for supersymmetry in a final state containing two photons and missing transverse momentum using the ATLAS detector at the Large Hadron Collider. The search makes use of [Formula: see text] of proton-proton collision data collected at a centre-of-mass energy of 13 TeV in 2015. Using a combination of data-driven and Monte-Carlo-based approaches, the Standard Model background is estimated to be [Formula: see text] events. No events are observed in the signal region; considering the expected background and its uncertainty, this observation implies a model-independent 95 % CL upper limit of 0.93 fb (3.0 events) on the visible cross section due to physics beyond the Standard Model. In the context of a generalized model of gauge-mediated supersymmetry breaking with a bino-like next-to-lightest supersymmetric particle, this leads to a lower limit of 1650 GeV on the mass of a degenerate octet of gluino states, independent of the mass of the lighter bino-like neutralino.</t>
  </si>
  <si>
    <t>Study of the rare decays of [Formula: see text] and [Formula: see text] into muon pairs from data collected during the LHC Run 1 with the ATLAS detector.</t>
  </si>
  <si>
    <t>https://pubmed.ncbi.nlm.nih.gov/28775663</t>
  </si>
  <si>
    <t>A study of the decays [Formula: see text] and [Formula: see text] has been performed using data corresponding to an integrated luminosity of 25 fb[Formula: see text] of 7 and 8 TeV proton-proton collisions collected with the ATLAS detector during the LHC Run 1. For the [Formula: see text] dimuon decay, an upper limit on the branching fraction is set at [Formula: see text] at 95 % confidence level. For [Formula: see text], the branching fraction [Formula: see text] is measured. The results are consistent with the Standard Model expectation with a &lt;i&gt;p&lt;/i&gt; value of 4.8 %, corresponding to 2.0 standard deviations.</t>
  </si>
  <si>
    <t>Public health facility resource availability and provider adherence to first antenatal guidelines in a low resource setting in Accra, Ghana.</t>
  </si>
  <si>
    <t>Amoakoh-Coleman, Mary; Agyepong, Irene Akua; Kayode, Gbenga A; Grobbee, Diederick E; Klipstein-Grobusch, Kerstin; Ansah, Evelyn K</t>
  </si>
  <si>
    <t>https://pubmed.ncbi.nlm.nih.gov/27654404</t>
  </si>
  <si>
    <t>Lack of resources has been identified as a reason for non-adherence to clinical guidelines. Our aim was to describe public health facility resource availability in relation to provider adherence to first antenatal visit guidelines. A cross-sectional analysis of the baseline data of a prospective cohort study on adherence to first antenatal care visit guidelines was carried out in 11 facilities in the Greater Accra Region of Ghana. Provider adherence was studied in relation to health facility resource availability such as antenatal workload for clinical staffs, routine antenatal drugs, laboratory testing, protocols, ambulance and equipment. Eleven facilities comprising 6 hospitals (54.5 %), 4 polyclinics (36.4 %) and 1 health center were randomly sampled. Complete provider adherence to first antenatal guidelines for all the 946 participants was 48.1 % (95 % CI: 41.8-54.2 %), varying significantly amongst the types of facilities, with highest rate in the polyclinics. Average antenatal workload per month per clinical staff member was higher in polyclinics compared to the hospitals. All facility laboratories were able to conduct routine antenatal tests. Most routine antenatal drugs were available in all facilities except magnesium sulphate and sulphadoxine-pyrimethamine which were lacking in some. Antenatal service protocols and equipment were also available in all facilities. Although antenatal workload varies across different facility types in the Greater Accra region, other health facility resources that support implementation of first antenatal care guidelines are equally available in all the facilities. These factors therefore do not adequately account for the low and varying proportions of complete adherence to guidelines across facility types. Providers should be continually engaged for a better understanding of the barriers to their adherence to these guidelines.</t>
  </si>
  <si>
    <t>Narrow Band Imaging, Magnifying Chromoendoscopy, and Gross Morphological Features for the Optical Diagnosis of T1 Colorectal Cancer and Deep Submucosal Invasion: A Systematic Review and Meta-Analysis.</t>
  </si>
  <si>
    <t>Backes, Y; Moss, A; Reitsma, J B; Siersema, P D; Moons, L M G</t>
  </si>
  <si>
    <t>https://pubmed.ncbi.nlm.nih.gov/27644737</t>
  </si>
  <si>
    <t>Optical diagnosis of T1 colorectal cancer (CRC) and T1 CRC with deep submucosal invasion is important in guiding the treatment strategy. The use of advanced imaging is not standard clinical practice in Western countries. A systematic review and meta-analysis were conducted comparing the accuracy of narrow band imaging (NBI), magnifying chromoendoscopy (MCE), and gross morphological features (GMF) seen with conventional view for the optical diagnosis of T1 CRC and deep submucosal invasion. A literature search identified studies on the optical diagnosis of T1 CRC and deep invasion using NBI, MCE, or GMF. Pooled estimates (PE) of sensitivity and specificity across studies reporting on NBI or MCE were compared using a random effects bivariate meta-regression approach, and a paired analysis focusing on studies that performed both techniques within the same patient was performed. Thirty-three studies with 31,568 polyps were included. For the optical diagnosis of T1 CRC, both NBI (4 studies; PE 0.85, 95% confidence interval (CI) 0.75-0.91) and MCE (5 studies; PE 0.90, 95% CI 0.83-0.94) yielded higher sensitivity as compared with GMF (3 studies; range 0.21-0.46). No significant preference for NBI or MCE was found (sensitivity relative risk (RR) 0.93, 95% CI 0.79-1.09, P=0.37; specificity RR 0.98, 95% CI 0.86-1.11, P=0.74). Similarly, for the optical diagnosis of deep invasion, both NBI (13 studies; PE 0.77, 95% CI 0.68-0.84) and MCE (17 studies; PE 0.81, 95% 0.75-0.87) yielded higher sensitivity as compared with GMF (6 studies; range 0.18-0.88), and no significant preference for either NBI or MCE was found (sensitivity RR 0.92, 95% CI 0.76-1.11, P=0.36; specificity RR 1.00, 95% CI 0.96-1.04, P=0.92). This review supports the use of advanced imaging techniques in preference to GMF to reduce the risk of performing piecemeal resection for T1 CRCs or unnecessary surgical referral for lesions amendable to endoscopic resection. A preference for either NBI or MCE could not be observed.</t>
  </si>
  <si>
    <t>Predicting stillbirth in a low resource setting.</t>
  </si>
  <si>
    <t>Kayode, Gbenga A; Grobbee, Diederick E; Amoakoh-Coleman, Mary; Adeleke, Ibrahim Taiwo; Ansah, Evelyn; de Groot, Joris A H; Klipstein-Grobusch, Kerstin</t>
  </si>
  <si>
    <t>https://pubmed.ncbi.nlm.nih.gov/27649795</t>
  </si>
  <si>
    <t>Stillbirth is a major contributor to perinatal mortality and it is particularly common in low- and middle-income countries, where annually about three million stillbirths occur in the third trimester. This study aims to develop a prediction model for early detection of pregnancies at high risk of stillbirth. This retrospective cohort study examined 6,573 pregnant women who delivered at Federal Medical Centre Bida, a tertiary level of healthcare in Nigeria from January 2010 to December 2013. Descriptive statistics were performed and missing data imputed. Multivariable logistic regression was applied to examine the associations between selected candidate predictors and stillbirth. Discrimination and calibration were used to assess the model's performance. The prediction model was validated internally and over-optimism was corrected. We developed a prediction model for stillbirth that comprised maternal comorbidity, place of residence, maternal occupation, parity, bleeding in pregnancy, and fetal presentation. As a secondary analysis, we extended the model by including fetal growth rate as a predictor, to examine how beneficial ultrasound parameters would be for the predictive performance of the model. After internal validation, both calibration and discriminative performance of both the basic and extended model were excellent (i.e. C-statistic basic model = 0.80 (95 % CI 0.78-0.83) and extended model = 0.82 (95 % CI 0.80-0.83)). We developed a simple but informative prediction model for early detection of pregnancies with a high risk of stillbirth for early intervention in a low resource setting. Future research should focus on external validation of the performance of this promising model.</t>
  </si>
  <si>
    <t>The added value of C-reactive protein measurement in diagnosing pneumonia in primary care: a meta-analysis of individual patient data.</t>
  </si>
  <si>
    <t>Minnaard, Margaretha C; de Groot, Joris A H; Hopstaken, Rogier M; Schierenberg, Alwin; de Wit, Niek J; Reitsma, Johannes B; Broekhuizen, Berna D L; van Vugt, Saskia F; Neven, Arie Knuistingh; Graffelman, Aleida W; Melbye, Hasse; Rainer, Timothy H; Steurer, Johann; Holm, Anette; Gonzales, Ralph; Dinant, Geert-Jan; van de Pol, Alma C; Verheij, Theo J M</t>
  </si>
  <si>
    <t>https://pubmed.ncbi.nlm.nih.gov/27647618</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</si>
  <si>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</si>
  <si>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Antibiotic Treatment for First Episode of Acute Otitis Media Is Not Associated with Future Recurrences.</t>
  </si>
  <si>
    <t>Te Molder, Marthe; de Hoog, Marieke L A; Uiterwaal, Cuno S P M; van der Ent, Cornelis K; Smit, Henriette A; Schilder, Anne G M; Damoiseaux, Roger A M J; Venekamp, Roderick P</t>
  </si>
  <si>
    <t>https://pubmed.ncbi.nlm.nih.gov/27632355</t>
  </si>
  <si>
    <t>Antibiotic treatment of acute otitis media (AOM) has been suggested to increase the risk of future AOM episodes by causing unfavorable shifts in microbial flora. Because current evidence on this topic is inconclusive and long-term follow-up data are scarce, we wanted to estimate the effect of antibiotic treatment for a first AOM episode occurring during infancy on AOM recurrences and AOM-related health care utilization later in life. We obtained demographic information and risk factors from data of the Wheezing Illnesses Study Leidsche Rijn, a prospective birth cohort study in which all healthy newborns born in Leidsche Rijn (between 2001 and 2012), The Netherlands, were enrolled. These data were linked to children's primary care electronic health records up to the age of four. Children with at least one family physician-diagnosed AOM episode before the age of two were included in analyses. The exposure of interest was the prescription of oral antibiotics (yes vs no) for a child's first AOM episode before the age of two years. 848 children were included in analyses and 512 (60%) children were prescribed antibiotics for their first AOM episode. Antibiotic treatment was not associated with an increased risk of total AOM recurrences (adjusted rate ratio: 0.94, 95% CI: 0.78-1.13), recurrent AOM (≥3 episodes in 6 months or ≥4 in one year; adjusted risk ratio: 0.79, 95% CI: 0.57-1.11), or with increased AOM-related health care utilization during children's first four years of life. Oral antibiotic treatment of a first AOM episode occurring during infancy does not affect the number of AOM recurrences and AOM-related health care utilization later in life. This information can be used when weighing the pros and cons of various AOM treatment options.</t>
  </si>
  <si>
    <t>Renal Denervation in a Real Life Setting: A Gradual Decrease in Home Blood Pressure.</t>
  </si>
  <si>
    <t>Beeftink, Martine M A; Spiering, Wilko; Bots, Michiel L; Verloop, Willemien L; De Jager, Rosa L; Sanders, Margreet F; Vonken, Evert-Jan; Blankestijn, Peter J; Voskuil, Michiel</t>
  </si>
  <si>
    <t>https://pubmed.ncbi.nlm.nih.gov/27631608</t>
  </si>
  <si>
    <t>To investigate the blood pressure dynamics after renal denervation through monthly home blood pressure measurements throughout the first 12 months. A cohort of 70 patients performed highly standardized monthly home blood pressure monitoring during the first year after denervation according to the European Society of Hypertension guidelines. At baseline and 12 months follow-up, office and ambulatory blood pressure as well as routine physical and laboratory assessment was performed. Home blood pressure decreased with a rate of 0.53 mmHg/month (95% CI 0.20 to 0.86) systolic and 0.26 mmHg/month (95% CI 0.08 to 0.44) diastolic throughout 12 months of follow-up, while the use of antihypertensive medication remained stable (+0.03 daily defined doses/month, 95% CI -0.01 to 0.08). On average, a 12 month reduction of 8.1 mmHg (95% CI 4.2 to 12.0) was achieved in home systolic blood pressure, 9.3 mmHg (95% CI -14.2 to -4.4) as measured by 24-hour ambulatory blood pressure monitoring and 15.9 mmHg (95% CI -23.8 to -7.9) on office measurements. Blood pressure reduction after renal denervation occurs as a gradual decrease that extends to at least one-year follow-up. Home monitoring seems a suitable alternative for ambulatory blood pressure monitoring after renal denervation.</t>
  </si>
  <si>
    <t>Charged-particle distributions at low transverse momentum in [Formula: see text] TeV &lt;i&gt;pp&lt;/i&gt; interactions measured with the ATLAS detector at the LHC.</t>
  </si>
  <si>
    <t>https://pubmed.ncbi.nlm.nih.gov/28316503</t>
  </si>
  <si>
    <t>Measurements of distributions of charged particles produced in proton-proton collisions with a centre-of-mass energy of 13 TeV are presented. The data were recorded by the ATLAS detector at the LHC and correspond to an integrated luminosity of 151 [Formula: see text]. The particles are required to have a transverse momentum greater than 100 MeV and an absolute pseudorapidity less than 2.5. The charged-particle multiplicity, its dependence on transverse momentum and pseudorapidity and the dependence of the mean transverse momentum on multiplicity are measured in events containing at least two charged particles satisfying the above kinematic criteria. The results are corrected for detector effects and compared to the predictions from several Monte Carlo event generators.</t>
  </si>
  <si>
    <t>Whole-Genome Multilocus Sequence Typing of Extended-Spectrum-Beta-Lactamase-Producing Enterobacteriaceae.</t>
  </si>
  <si>
    <t>Kluytmans-van den Bergh, Marjolein F Q; Rossen, John W A; Bruijning-Verhagen, Patricia C J; Bonten, Marc J M; Friedrich, Alexander W; Vandenbroucke-Grauls, Christina M J E; Willems, Rob J L; Kluytmans, Jan A J W</t>
  </si>
  <si>
    <t>journal of clinical microbiology</t>
  </si>
  <si>
    <t>https://pubmed.ncbi.nlm.nih.gov/27629900</t>
  </si>
  <si>
    <t>Molecular typing has become indispensable in the detection of nosocomial transmission of bacterial pathogens and the identification of sources and routes of transmission in outbreak settings, but current methods are labor-intensive, are difficult to standardize, or have limited resolution. Whole-genome multilocus sequence typing (wgMLST) has emerged as a whole-genome sequencing (WGS)-based gene-by-gene typing method that may overcome these limitations and has been applied successfully for several species in outbreak settings. In this study, genus-, genetic-complex-, and species-specific wgMLST schemes were developed for Citrobacter spp., the Enterobacter cloacae complex, Escherichia coli, Klebsiella oxytoca, and Klebsiella pneumoniae and used to type a national collection of 1,798 extended-spectrum-beta-lactamase-producing Enterobacteriaceae (ESBL-E) isolates obtained from patients in Dutch hospitals. Genus-, genetic-complex-, and species-specific thresholds for genetic distance that accurately distinguish between epidemiologically related and unrelated isolates were defined for Citrobacter spp., the E. cloacae complex, E. coli, and K. pneumoniae wgMLST was shown to have higher discriminatory power and typeability than in silico MLST. In conclusion, the wgMLST schemes developed in this study facilitate high-resolution WGS-based typing of the most prevalent ESBL-producing species in clinical practice and may contribute to further elucidation of the complex epidemiology of antimicrobial-resistant Enterobacteriaceae wgMLST opens up possibilities for the creation of a Web-accessible database for the global surveillance of ESBL-producing bacterial clones.</t>
  </si>
  <si>
    <t>Personalised treatment targets in type 2 diabetes patients: The Dutch approach.</t>
  </si>
  <si>
    <t>Boels, Anne Meike; Hart, Huberta E; Rutten, Guy E; Vos, Rimke C</t>
  </si>
  <si>
    <t>https://pubmed.ncbi.nlm.nih.gov/27633894</t>
  </si>
  <si>
    <t>To compare the proportion of cardiometabolic well-controlled type 2 diabetes mellitus (T2DM) patients according to a clearly defined, simple personalised approach, versus the 'one-size-fits-all' approach. Observational study using routine data of primary care type 2 diabetes patients in the Netherlands. The proportions of patients that reach the targets for HbA1c, systolic blood pressure and low-density lipoprotein cholesterol in the two different approaches were compared. Of the 890 patients (54.7% men, mean age 62.7 years), 31.8% were well-controlled according to the individualised approach and 24.8% according to the 'one-size-fits-all' approach. For specific subgroups personalising the treatment led to a 5.2%, 27.3% and 45.6% increase of patients achieving low-density lipoprotein cholesterol, HbA1c and systolic blood pressure goals respectively. A clearly defined and relatively simple personalised approach leads to a higher proportion of T2DM patients considered as cardiometabolic well-controlled. This approach may especially be beneficial for patients aged ≥70 years on more than metformin monotherapy (HbA1c) and for patients aged ≥80 years (SBP). Precisely these patients are suggested not to benefit from stricter HbA1c or SBP targets, whereas they may experience more adverse effects (e.g. hypoglycaemia, postural hypotension) when a stricter target value is pursued.</t>
  </si>
  <si>
    <t>Does integrated training in evidence-based medicine (EBM) in the general practice (GP) specialty training improve EBM behaviour in daily clinical practice? A cluster randomised controlled trial.</t>
  </si>
  <si>
    <t>Kortekaas, M F; Bartelink, M E L; Zuithoff, N P A; van der Heijden, G J M G; de Wit, N J; Hoes, A W</t>
  </si>
  <si>
    <t>https://pubmed.ncbi.nlm.nih.gov/27625052</t>
  </si>
  <si>
    <t>Evidence-based medicine (EBM) is an important element in the general practice (GP) specialty training. Studies show that integrating EBM training into clinical practice brings larger benefits than stand-alone modules. However, these studies have neither been performed in GP nor assessed EBM behaviour of former trainees in daily clinical practice. GP specialty training in the Netherlands. All 82 third year GP trainees who started their final third year in 2011 were approached for inclusion, of whom 79 (96%) participated: 39 in the intervention group and 40 in the control group. Integrated EBM training, in which EBM is embedded closely within the clinical context by joint assignments for the trainee and supervisor in daily practice, and teaching sessions based on dilemmas from actual patient consultations. Stand-alone EBM training at the institute only. Our primary outcome was EBM behaviour, assessed by measuring guideline adherence (incorporating rational, motivated deviation) and information-seeking behaviour. Our secondary outcomes were EBM attitude and EBM knowledge. Data were acquired using logbooks and questionnaires, respectively. Analyses were performed using mixed models. Logbook data were available from 76 (96%) of the participating trainees at baseline (7614 consultations), 60 (76%) at the end of the third year (T1, 4973 consultations) and 53 (67%) 1 year after graduation (T2, 3307 consultations). We found no significant differences in outcomes between the 2 groups, with relative risks for guideline adherence varying between 0.96 and 0.99 (95% CI 0.86 to 1.11) at T1, and 0.99 and 1.10 (95% CI 0.92 to 1.25) at T2, and for information-seeking behaviour between 0.97 and 1.16 (95% CI 0.70 to 1.91) and 0.90 and 1.10 (95% CI 0.70 to 1.32), respectively. Integrated EBM training compared with stand-alone EBM training does not improve EBM behaviour, attitude or knowledge of (future) GPs.</t>
  </si>
  <si>
    <t>Search for Higgs and Z Boson Decays to ϕγ with the ATLAS Detector.</t>
  </si>
  <si>
    <t>https://pubmed.ncbi.nlm.nih.gov/27661680</t>
  </si>
  <si>
    <t>A search for the decays of the Higgs and Z bosons to a ϕ meson and a photon is performed with a pp collision data sample corresponding to an integrated luminosity of 2.7  fb^{-1} collected at sqrt[s]=13  TeV with the ATLAS detector at the LHC. No significant excess of events is observed above the background, and 95% confidence level upper limits on the branching fractions of the Higgs and Z boson decays to ϕγ of 1.4×10^{-3} and 8.3×10^{-6}, respectively, are obtained.</t>
  </si>
  <si>
    <t>Meta-analysis of Cumulative Radiation Duration and Dose During EVAR Using Mobile, Fixed, or Fixed/3D Fusion C-Arms.</t>
  </si>
  <si>
    <t>de Ruiter, Quirina M B; Reitsma, Johannes B; Moll, Frans L; van Herwaarden, Joost A</t>
  </si>
  <si>
    <t>journal of endovascular therapy an official journal of the international society of endovascular specialists</t>
  </si>
  <si>
    <t>https://pubmed.ncbi.nlm.nih.gov/27608938</t>
  </si>
  <si>
    <t>To investigate the total fluoroscopy time and radiation exposure dose during endovascular aortic repairs using mobile, fixed, or fixed C-arms with 3-dimensional image fusion (3D-IF). A systematic search was performed to identify original articles reporting fluoroscopy time (FT) and the kerma area product (KAP) during endovascular aortic repairs. Data were grouped by noncomplex or complex (fenestrated, branched, or chimney) repairs and stratified by type of C-arm. The search identified 27 articles containing 51 study groups (35 noncomplex and 16 complex) that included 3444 patients. Random-effects meta-analysis and meta-regression models were used to calculate the pooled mean estimates of KAP and FT, as well as any effect of equipment or type of intervention. Results are presented with the 95% confidence interval and the statistical heterogeneity (I&lt;sup&gt;2&lt;/sup&gt;). Within the noncomplex procedure studies, a significant (p&lt;0.001) increase was found in the pooled mean KAP estimate in the fixed C-arm group (181 Gy·cm&lt;sup&gt;2&lt;/sup&gt;, 95% CI 129 to 233; I&lt;sup&gt;2&lt;/sup&gt;=99.7) compared with the mobile C-arm (78 Gy·cm&lt;sup&gt;2&lt;/sup&gt;, 95% CI 59.6 to 97.3; I&lt;sup&gt;2&lt;/sup&gt;=99.6). For complex cases, use of 3D-IF showed a significantly (p&lt;0.001) lower mean KAP (139 Gy·cm&lt;sup&gt;2&lt;/sup&gt;, 95% CI 85 to 191; I&lt;sup&gt;2&lt;/sup&gt;=94%) compared to using fixed C-arms without 3D-IF (487 Gy·cm&lt;sup&gt;2&lt;/sup&gt;, 95% CI 331 to 643; I&lt;sup&gt;2&lt;/sup&gt;=94%). For equivalent fluoroscopy times, the use of a fixed C-arm in noncomplex procedures leads to higher patient radiation doses compared to a mobile C-arm. Complex procedures, which are predominantly performed using fixed C-arms, are associated with the highest radiation dose per intervention. Using fixed C-arms combined with 3D-IF techniques during complex cases might seem an adequate method to compensate for the higher radiation doses measured when a fixed C-arm is used.</t>
  </si>
  <si>
    <t>Premature trial discontinuation often not accurately reflected in registries: comparison of registry records with publications.</t>
  </si>
  <si>
    <t>Alturki, Reem; Schandelmaier, Stefan; Olu, Kelechi Kalu; von Niederhäusern, Belinda; Agarwal, Arnav; Frei, Roy; Bhatnagar, Neera; Hooft, Lotty; von Elm, Erik; Briel, Matthias</t>
  </si>
  <si>
    <t>https://pubmed.ncbi.nlm.nih.gov/27614277</t>
  </si>
  <si>
    <t>One quarter of randomized clinical trials (RCTs) are prematurely discontinued and frequently remain unpublished. Trial registries can document whether a trial is ongoing, suspended, discontinued, or completed and therefore represent an important source for trial status information. The accuracy of this information is unclear. To examine the accuracy of completion status and reasons for discontinuation documented in trial registries as compared to corresponding publications of discontinued RCTs and to investigate potential predictors for accurate trial status information in registries. We conducted a cross-sectional study comparing information provided in publications (reference standard) to corresponding registry entries. First, we reviewed publications of RCTs providing information on both discontinuation and registration. We identified eligible publications through systematic searches of MEDLINE and EMBASE (2010-2014) and an international cohort of 1,017 RCTs initiated between 2000 and 2003. Second, pairs of investigators independently and in duplicate extracted data from publications and corresponding registry records. Third, for each discontinued RCT, we compared publication information to registry information. We used multivariable regression to examine whether accurate labeling of trials as discontinued (vs. other status) in the registry was associated with recent initiation of RCT, industry sponsorship, multicenter design, or larger sample size. We identified 173 publications of RCTs that were discontinued due to slow recruitment (55%), harm (16%), futility (11%), benefit (5%), other reasons (3%), or multiple reasons (9%). Trials were registered with clinicaltrials.gov (77%), isrctn.com (14%), or other registries (8%). Of the 173 corresponding registry records, 77 (45%) trials were labeled as discontinued and 57 (33%) provided a reason for discontinuation (of which 53, 93%, provided the same reason as in the publication). Labeling of discontinued trials as discontinued (vs. other label) in corresponding trial registry records improved over time (adjusted odds ratio 1.16 per year, confidence interval 1.04-1.30) and was possibly associated with industry sponsorship (2.01, 0.99-4.07) but unlikely with multicenter status (0.81, 0.32-2.04) or sample size (1.07, 0.89-1.29). Less than half of published discontinued RCTs were accurately labelled as discontinued in corresponding registry records. One-third of registry records provided a reason for discontinuation. Current trial status information in registries should be viewed with caution.</t>
  </si>
  <si>
    <t>Otitis media.</t>
  </si>
  <si>
    <t>Schilder, Anne G M; Chonmaitree, Tasnee; Cripps, Allan W; Rosenfeld, Richard M; Casselbrant, Margaretha L; Haggard, Mark P; Venekamp, Roderick P</t>
  </si>
  <si>
    <t>nature reviews disease primers</t>
  </si>
  <si>
    <t>https://pubmed.ncbi.nlm.nih.gov/27604644</t>
  </si>
  <si>
    <t>Otitis media (OM) or middle ear inflammation is a spectrum of diseases, including acute otitis media (AOM), otitis media with effusion (OME; 'glue ear') and chronic suppurative otitis media (CSOM). OM is among the most common diseases in young children worldwide. Although OM may resolve spontaneously without complications, it can be associated with hearing loss and life-long sequelae. In developing countries, CSOM is a leading cause of hearing loss. OM can be of bacterial or viral origin; during 'colds', viruses can ascend through the Eustachian tube to the middle ear and pave the way for bacterial otopathogens that reside in the nasopharynx. Diagnosis depends on typical signs and symptoms, such as acute ear pain and bulging of the tympanic membrane (eardrum) for AOM and hearing loss for OME; diagnostic modalities include (pneumatic) otoscopy, tympanometry and audiometry. Symptomatic management of ear pain and fever is the mainstay of AOM treatment, reserving antibiotics for children with severe, persistent or recurrent infections. Management of OME largely consists of watchful waiting, with ventilation (tympanostomy) tubes primarily for children with chronic effusions and hearing loss, developmental delays or learning difficulties. The role of hearing aids to alleviate symptoms of hearing loss in the management of OME needs further study. Insertion of ventilation tubes and adenoidectomy are common operations for recurrent AOM to prevent recurrences, but their effectiveness is still debated. Despite reports of a decline in the incidence of OM over the past decade, attributed to the implementation of clinical guidelines that promote accurate diagnosis and judicious use of antibiotics and to pneumococcal conjugate vaccination, OM continues to be a leading cause for medical consultation, antibiotic prescription and surgery in high-income countries.</t>
  </si>
  <si>
    <t>Prospective risk of stillbirth and neonatal complications in twin pregnancies: systematic review and meta-analysis.</t>
  </si>
  <si>
    <t>Cheong-See, Fiona; Schuit, Ewoud; Arroyo-Manzano, David; Khalil, Asma; Barrett, Jon; Joseph, K S; Asztalos, Elizabeth; Hack, Karien; Lewi, Liesbeth; Lim, Arianne; Liem, Sophie; Norman, Jane E; Morrison, John; Combs, C Andrew; Garite, Thomas J; Maurel, Kimberly; Serra, Vicente; Perales, Alfredo; Rode, Line; Worda, Katharina; Nassar, Anwar; Aboulghar, Mona; Rouse, Dwight; Thom, Elizabeth; Breathnach, Fionnuala; Nakayama, Soichiro; Russo, Francesca Maria; Robinson, Julian N; Dodd, Jodie M; Newman, Roger B; Bhattacharya, Sohinee; Tang, Selphee; Mol, Ben Willem J; Zamora, Javier; Thilaganathan, Basky; Thangaratinam, Shakila; ,</t>
  </si>
  <si>
    <t>https://pubmed.ncbi.nlm.nih.gov/27599496</t>
  </si>
  <si>
    <t>To determine the risks of stillbirth and neonatal complications by gestational age in uncomplicated monochorionic and dichorionic twin pregnancies. Systematic review and meta-analysis. Medline, Embase, and Cochrane databases (until December 2015). Databases were searched without language restrictions for studies of women with uncomplicated twin pregnancies that reported rates of stillbirth and neonatal outcomes at various gestational ages. Pregnancies with unclear chorionicity, monoamnionicity, and twin to twin transfusion syndrome were excluded. Meta-analyses of observational studies and cohorts nested within randomised studies were undertaken. Prospective risk of stillbirth was computed for each study at a given week of gestation and compared with the risk of neonatal death among deliveries in the same week. Gestational age specific differences in risk were estimated for stillbirths and neonatal deaths in monochorionic and dichorionic twin pregnancies after 34 weeks' gestation. 32 studies (29 685 dichorionic, 5486 monochorionic pregnancies) were included. In dichorionic twin pregnancies beyond 34 weeks (15 studies, 17 830 pregnancies), the prospective weekly risk of stillbirths from expectant management and the risk of neonatal death from delivery were balanced at 37 weeks' gestation (risk difference 1.2/1000, 95% confidence interval -1.3 to 3.6; I(2)=0%). Delay in delivery by a week (to 38 weeks) led to an additional 8.8 perinatal deaths per 1000 pregnancies (95% confidence interval 3.6 to 14.0/1000; I(2)=0%) compared with the previous week. In monochorionic pregnancies beyond 34 weeks (13 studies, 2149 pregnancies), there was a trend towards an increase in stillbirths compared with neonatal deaths after 36 weeks, with an additional 2.5 per 1000 perinatal deaths, which was not significant (-12.4 to 17.4/1000; I(2)=0%). The rates of neonatal morbidity showed a consistent reduction with increasing gestational age in monochorionic and dichorionic pregnancies, and admission to the neonatal intensive care unit was the commonest neonatal complication. The actual risk of stillbirth near term might be higher than reported estimates because of the policy of planned delivery in twin pregnancies. To minimise perinatal deaths, in uncomplicated dichorionic twin pregnancies delivery should be considered at 37 weeks' gestation; in monochorionic pregnancies delivery should be considered at 36 weeks. PROSPERO CRD42014007538.</t>
  </si>
  <si>
    <t>Adapting clinical guidelines in low-resources countries: a study on the guideline on the management and prevention of type 2 diabetes mellitus in Indonesia.</t>
  </si>
  <si>
    <t>Widyahening, Indah S; Wangge, Grace; van der Graaf, Yolanda; van der Heijden, Geert J M G</t>
  </si>
  <si>
    <t>https://pubmed.ncbi.nlm.nih.gov/27592587</t>
  </si>
  <si>
    <t>Most of the clinical guidelines in low-resource countries are adaptations from preexisting international guidelines. This adaptation can be problematic when those international guidelines are not based on current evidence or original evidence-based international guidelines are not followed. This study aims to evaluate the quality of an Indonesian type 2 diabetes mellitus guideline adapted from selected international guidelines. The "Consensus on the Management and Prevention of type 2 Diabetes in Indonesia 2011" is a guideline by the Indonesian Society of Endocrinology (Perkeni). Four parent guidelines identified from its list of references were from the International Diabetes Federation (IDF), American Association of Clinical Endocrinologist (AACE), American Diabetes Association (ADA), and one jointly released by ADA and European Association for the Study of Diabetes (EASD). Two reviewers independently assessed its quality using the Appraisal of Guidelines, Research and Evaluation Collaboration (AGREE II) instrument. Six recommendations were compared: (1) screening for diabetes; (2) diagnosis; (3) control of hyperglycemia; (4) target blood glucose; (5) target blood pressure; and (6) treatment of dyslipidemia. Perkeni's guideline satisfied 55% of the AGREE II items, while its parent guidelines satisfied 59% to 74%. Perkeni's shows low score on "rigor of development" and "applicability" and the lowest score in the "scope and purpose" domain. Differences were found in 4 recommendations: the screening of diabetes, control of hyperglycemia, target blood glucose, and treatment of dyslipidemia. In 3 of 4, Perkeni followed the ADA's recommendation. Derivation of recommendations from parent guidelines and their adaptation to the context of Indonesian health care lacks transparency. When guidelines are either derived from other guidelines or adapted for use in different context, evidence-based practice principles should be followed and adhered to.</t>
  </si>
  <si>
    <t>Quantifying within-household transmission of extended-spectrum β-lactamase-producing bacteria.</t>
  </si>
  <si>
    <t>Haverkate, M R; Platteel, T N; Fluit, A C; Cohen Stuart, J W; Leverstein-van Hall, M A; Thijsen, S F T; Scharringa, J; Kloosterman, R C; Bonten, M J M; Bootsma, M C J</t>
  </si>
  <si>
    <t>https://pubmed.ncbi.nlm.nih.gov/27596534</t>
  </si>
  <si>
    <t>Patients can acquire extended-spectrum β-lactamase (ESBL)-producing Enterobacteriaceae during hospitalization, and colonized patients may transmit these bacteria after discharge, most likely to household contacts. In this study, ESBL transmission was quantified in households. Faecal samples were longitudinally collected from hospitalized patients colonized with ESBL-producing bacteria and from their household members during hospitalization of the index patient and at 3, 6, 12 and 18 months. A mathematical household model was developed, which allowed for person-to-person transmission, acquisition from other sources (background transmission), and losing carriage. Next, a deterministic population model with a household structure was created, informed by parameter values found in the household model. In all, 74 index patients and 84 household members were included. In more than half of the household members ESBL-producing bacteria were demonstrated at some time during follow up. Person-to-person transmission occurred at a rate of 0.0053/colonized person/day (0.0025-0.011), background transmission at 0.00015/day (95% CI 0.00002-0.00039), and decolonization at 0.0026/day (0.0016-0.0040) for index patients and 0.0090/day (0.0046-0.018) for household members. The estimated probability of transmission from an index patient to a household contact was 67% and 37% vice versa. There is frequent transmission of ESBL-producing bacteria in households, which may contribute to the observed endemicity of ESBL carriage in the Netherlands. However, the population model suggests that there is not a single dominant acquisition route in the community.</t>
  </si>
  <si>
    <t>Hospitalization costs for community-acquired pneumonia in Dutch elderly: an observational study.</t>
  </si>
  <si>
    <t>https://pubmed.ncbi.nlm.nih.gov/27589847</t>
  </si>
  <si>
    <t>Community-acquired pneumonia (CAP) is one of the most common infections, especially in the elderly (≥65 years). The aim of this study was to quantify hospitalization costs for CAP in different age groups and in patients with different CAP risk profiles. Secondary objectives were to assess disease severity differences between placebo and vaccine receiving participants and identify cost driving factors of CAP in hospitalized elderly in the Netherlands. This prospective cohort study of hospitalized CAP patients was executed in parallel to the Community Acquired Pneumonia Immunization Trial in Adults (CAPiTA). Within the CAPiTA, a cohort of 84,496 subjects aged ≥65, all suspected CAP-episodes presenting in one of the 58 participating hospitals between September 2008 and August 2013 were included. CAP was diagnosed on clinical and radiographical criteria. Invasive pneumococcal disease (IPD) and non-IPD-CAP episodes, regardless of the causing pathogen, were evaluated separately. Costs were calculated by multiplying recorded healthcare resources with Dutch unit cost prices for the year 2012. Multivariate regression analysis was performed to identify cost drivers. In the sentinel hospitals 3225 suspected CAP and IPD episodes were included, of which 1933 were radiographically confirmed by chest X-ray. Analyses were conducted on confirmed CAP episodes only. Overall mean length of hospital stay was 12.1 days, the in-hospital mortality rate was 11.26 %, and mean costs were €8301 (95 % CI: €7760-€8999). When stratified in age-categories 65-74, 75-84 and ≥85, mean hospitalization costs were €8674, €8770 and €6197, respectively (p = 0.649). IPD-CAP and non-IPD-CAP mean hospitalization costs were €13,611 and €8081, respectively. Higher CURB-65 score and individuals at medium risk for developing pneumococcal disease were significantly associated with higher costs. Being male, lower age, previous admissions, lower risk, lower urbanity and higher socio-economic status were associated with lower costs. Mean hospitalization costs of a CAP subject were €8301 and higher for IPD-CAP compared to non-IPD-CAP cases. Medium risk patients and higher CURB-65 scores were identified as cost driving factors.</t>
  </si>
  <si>
    <t>Recurrent hemorrhage risk and mortality in hereditary and sporadic cerebral amyloid angiopathy.</t>
  </si>
  <si>
    <t>van Etten, Ellis S; Gurol, M Edip; van der Grond, Jeroen; Haan, Joost; Viswanathan, Anand; Schwab, Kristin M; Ayres, Alison M; Algra, Ale; Rosand, Jonathan; van Buchem, Mark A; Terwindt, Gisela M; Greenberg, Steven M; Wermer, Marieke J H</t>
  </si>
  <si>
    <t>https://pubmed.ncbi.nlm.nih.gov/27590282</t>
  </si>
  <si>
    <t>To determine whether hereditary cerebral hemorrhage with amyloidosis-Dutch type (HCHWA-D), a monogenetic disease model for the sporadic variant of amyloid angiopathy (sCAA), has a comparable recurrent intracerebral hemorrhage (ICH) risk and mortality after a first symptomatic ICH. We included patients with HCHWA-D from the Leiden University Medical Center and patients with sCAA from the Massachusetts General Hospital in a cohort study. Baseline characteristics, hemorrhage recurrence, and short- and long-term mortality were compared. Hazard ratios (HRs) adjusted for age and sex were calculated with Cox regression analyses. We included 58 patients with HCHWA-D and 316 patients with sCAA. Patients with HCHWA-D had fewer cardiovascular risk factors (≥1 risk factor 24% vs 70% in sCAA) and were younger at the time of presenting hemorrhage (mean age 54 vs 72 years in sCAA). Eight patients (14%) with HCHWA-D and 46 patients (15%) with sCAA died before 90 days. During a mean follow-up time of 5 ± 4 years (total 1,550 person-years), the incidence rate of recurrent ICH in patients with HCHWA-D was 20.9 vs 8.9 per 100 person-years in sCAA. Patients with HCHWA-D had a long-term mortality of 8.2 vs 8.4 per 100 person-years in patients with sCAA. After adjustments, patients with HCHWA-D had a higher risk of recurrent ICH (HR 2.8; 95% confidence interval 1.6-4.9; p &lt; 0.001) and a higher long-term mortality (HR 2.8; 95% confidence interval 1.5-5.2; p = 0.001). Patients with HCHWA-D have worse long-term prognosis after a first ICH than patients with sCAA. The absence of cardiovascular risk factors in most patients with HCHWA-D suggests that vascular amyloid is responsible for the recurrent hemorrhages. HCHWA-D is therefore a pure form of cerebral amyloid angiopathy with an accelerated clinical course and provides a good model to study the pathophysiology and future therapeutic interventions of amyloid-related hemorrhages.</t>
  </si>
  <si>
    <t>Neurologic Examination at 24 to 48 Hours Predicts Functional Outcomes in Basilar Artery Occlusion Stroke.</t>
  </si>
  <si>
    <t>Rangaraju, Srikant; Jovin, Tudor G; Frankel, Michael; Schonewille, Wouter J; Algra, Ale; Kappelle, L Jaap; Nogueira, Raul G; ,</t>
  </si>
  <si>
    <t>https://pubmed.ncbi.nlm.nih.gov/27586683</t>
  </si>
  <si>
    <t>Accurate long-term outcome prognostication in basilar artery occlusion strokes may guide clinical management in the subacute stage. We determine the prognostic value of the follow-up neurological examination using the National Institutes of Health stroke scale (NIHSS) and identify 24- to 48-hour NIHSS risk categories in basilar artery occlusion patients. Participants of an observational registry of radiologically confirmed acute basilar artery occlusion (BASICS [Basilar Artery International Cooperation Study]) with prospectively collected 24- to 48-hour NIHSS and 1-month modified Rankin scale scores were included. Uni- and multivariable modeling were performed to identify independent predictors of poor outcome. Predictive powers of baseline and 24- to 48-hour NIHSS for poor outcome (modified Rankin scale, 4-6) and 1-month mortality were determined by receiver operating characteristic analyses. Classification and regression tree analysis was performed to identify risk groups. Three hundred seventy-six of 619 BASICS participants were included, of whom 65.4% had poor outcome. In multivariable analyses, 24- to 48-hour NIHSS (odds ratio=1.28 [1.21-1.35]), history of minor stroke (odds ratio=2.64 [1.04-6.74], time to treatment &gt;6 hours (odds ratio=3.07 [1.35-6.99]), and age (odds ratio=1.02 [0.99-1.04]) were retained in the final model as predictors of poor outcome. Prognostic power of 24- to 48-hour NIHSS was higher than baseline NIHSS for 1-month poor outcome (area under the curve, 0.92 versus 0.75) and mortality (area under the curve, 0.85 versus 0.72). Classification and regression tree analysis identified five 24- to 48-hour NIHSS risk categories with poor outcome rates of 9.4% (NIHSS 0-4), 36% (NIHSS 5-11), 84.3% (NIHSS 12-22), 96.1% (NIHSS 23-27), and 100% (NIHSS≥28). Twenty-four- to 48-hour NIHSS accurately predicts 1-month poor outcome and mortality and represents a clinically valuable prognostic tool for the care of basilar artery occlusion patients.</t>
  </si>
  <si>
    <t>Estimation of individual beneficial and adverse effects of intensive glucose control for patients with type 2 diabetes.</t>
  </si>
  <si>
    <t>van der Leeuw, Joep; Visseren, Frank L J; Woodward, Mark; van der Graaf, Yolanda; Grobbee, Diederick E; Harrap, Stephen; Heller, Simon; Mancia, Giuseppe; Marre, Michel; Poulter, Neil; Zoungas, Sophia; Chalmers, John</t>
  </si>
  <si>
    <t>https://pubmed.ncbi.nlm.nih.gov/27586250</t>
  </si>
  <si>
    <t>Intensive glucose control reduces the risk of vascular complications while increasing the risk of severe hypoglycaemia at a group level. We sought to estimate individual beneficial and adverse effects of intensive glucose control in patients with type 2 diabetes. We performed a post hoc analysis of the Action in Diabetes and Vascular Disease: Preterax and Diamicron MR Controlled Evaluation (ADVANCE) trial, a randomised controlled trial evaluating standard vs intensive glucose control (HbA&lt;sub&gt;1c&lt;/sub&gt; target ≤6.5% [48 mmol/mol]). In 11,140 participants, we estimated the individual 5 year absolute risk reduction (ARR) for the composite outcome of major micro- and macrovascular events and absolute risk increase (ARI) for severe hypoglycaemia for intensive vs standard glucose control. Predictions were based on competing risks models including clinical characteristics and randomised treatment. Based on these models, 76% of patients had a substantial estimated 5 year ARR for major vascular events (&gt;1%, 5 year number-needed-to-benefit [NNTB&lt;sub&gt;5&lt;/sub&gt;] &lt;100) and 1% had a small ARR (&lt;0.5%, NNTB&lt;sub&gt;5&lt;/sub&gt; &gt;200). Similarly, 36% of patients had a substantial estimated ARI for severe hypoglycaemia (5 year number-needed-to-harm [NNTH&lt;sub&gt;5&lt;/sub&gt;] &lt;100) and 29% had a small ARI (NNTH&lt;sub&gt;5&lt;/sub&gt; &gt;200). When assigning similar or half the weight to severe hypoglycaemia compared with a major vascular event, net benefit was positive in 85% or 99% of patients, respectively. Limiting intensive treatment to the 85% patient subgroup had no significant effect on the overall incidence of major vascular events and severe hypoglycaemia compared with treating all patients. Taking account of the effects of intensive glucose control on major micro- and macrovascular events and severe hypoglycaemia for individual patients, the estimated net benefit was positive in the majority of the participants in the ADVANCE trial. The estimated individual effects can inform treatment decisions once individual weights assigned to positive and adverse effects have been specified. ClinicalTrials.gov NCT00145925.</t>
  </si>
  <si>
    <t>Improving Patient Safety Culture in Primary Care: A Systematic Review.</t>
  </si>
  <si>
    <t>Verbakel, Natasha J; Langelaan, Maaike; Verheij, Theo J M; Wagner, Cordula; Zwart, Dorien L M</t>
  </si>
  <si>
    <t>https://pubmed.ncbi.nlm.nih.gov/24647271</t>
  </si>
  <si>
    <t>Patient safety culture, described as shared values, attitudes and behavior of staff in a health-care organization, gained attention as a subject of study as it is believed to be related to the impact of patient safety improvements. However, in primary care, it is yet unknown, which effect interventions have on the safety culture. To review literature on the use of interventions that effect patient safety culture in primary care. Searches were performed in PubMed, EMBASE, CINAHL, and PsychINFO on March 4, 2013. Terms defining safety culture were combined with terms identifying intervention and terms indicating primary care. Inclusion followed if the intervention effected patient safety culture, and effect measures were reported. The search yielded 214 articles from which two were eligible for inclusion. Both studies were heterogeneous in their interventions and outcome; we present a qualitative summary. One study described the implementation of an electronic medical record system in general practices as part of patient safety improvements. The other study facilitated 2 workshops for general practices, one on risk management and another on significant event audit. Results showed signs of improvement, but the level of evidence was low because of the design and methodological problems. These studies in general practice provide a first understanding of improvement strategies and their effect in primary care. As the level of evidence was low, no clear preference can be determined. Further research is needed to help practices make an informed choice for an intervention.</t>
  </si>
  <si>
    <t>Cost-Effectiveness of Dual Antimicrobial Therapy for Gonococcal Infections Among Men Who Have Sex With Men in the Netherlands.</t>
  </si>
  <si>
    <t>Xiridou, Maria; Lugnér, Anna; de Vries, Henry J C; van Bergen, Jan E A M; Götz, Hannelore M; van Benthem, Birgit H B; Wallinga, Jacco; van der Sande, Marianne A B</t>
  </si>
  <si>
    <t>https://pubmed.ncbi.nlm.nih.gov/27513379</t>
  </si>
  <si>
    <t>In response to the rising threat of resistance to first-line antibiotics for gonorrhea, international guidelines recommend dual antimicrobial therapy. However, some countries continue to recommend monotherapy. We assess the cost-effectiveness of dual therapy with ceftriaxone and azithromycin compared with monotherapy with ceftriaxone, for control of gonorrhea among men who have sex with men in the Netherlands. We developed a transmission model and calculated the numbers of new gonorrhea infections, consultations at health care specialists, tests, and antibiotic doses. With these numbers, we calculated costs and quality-adjusted life-years (QALY) with each treatment; and the incremental cost-effectiveness ratio (ICER) of dual therapy compared to monotherapy. The impact of gonorrhea on human immunodeficiency virus transmission was not included in the model. In the absence of initial resistance, dual therapy can delay the spread of ceftriaxone resistance by at least 15 years, compared to monotherapy. In the beginning, when there is no resistance, dual therapy results in high additional costs, without any QALY gains. When resistance spreads over time, the additional costs of dual therapy decline, the gained QALYs increase, the ICER drops off and, after 50 years, falls below &amp;OV0556;20,000 per QALY gained. If azithromycin resistance is initially prevalent, resistance to the first-line treatment rises almost equally fast with both treatment strategies and the ICER remains extremely high. Compared with ceftriaxone monotherapy, dual therapy with ceftriaxone and azithromycin can considerably delay the spread of ceftriaxone resistance, but may only be cost-effective in the long run and in the absence of initial resistance.</t>
  </si>
  <si>
    <t>Difference in Aortic Stiffness Between Treated Middle-Aged HIV Type 1-Infected and Uninfected Individuals Largely Explained by Traditional Cardiovascular Risk Factors, With an Additional Contribution of Prior Advanced Immunodeficiency.</t>
  </si>
  <si>
    <t>Kooij, Katherine W; Schouten, Judith; Wit, Ferdinand W N M; van der Valk, Marc; Kootstra, Neeltje A; Stolte, Ineke G; van der Meer, Jan T M; Prins, Maria; Grobbee, Diederick E; van den Born, Bert-Jan H; Reiss, Peter</t>
  </si>
  <si>
    <t>https://pubmed.ncbi.nlm.nih.gov/27513572</t>
  </si>
  <si>
    <t>Patients with HIV, even with suppressed viremia on combination antiretroviral therapy, are at increased risk for cardiovascular disease. The underlying pathophysiology remains to be clarified. Aortic stiffness, known to be associated with cardiovascular disease in the general population, was investigated in a cohort of HIV type 1 (HIV 1)-infected and similar but uninfected individuals. Aortic stiffness was assessed by measuring pulse wave velocity (PWV) with an Arteriograph. Five hundred seven HIV-uninfected and 566 HIV 1-infected individuals, predominantly with suppressed viremia on combination antiretroviral therapy, aged ≥45 years, participating in the ongoing AGEhIV Cohort Study were included in the analysis. Multivariable linear regression was used to investigate whether HIV was independently associated with aortic stiffness, adjusting for traditional cardiovascular risk factors. Study groups were comparable in demographics; smoking and hypertension were more prevalent in HIV-infected participants. PWV was higher in the HIV-infected group (7.9 vs. 7.7 m/s, P = 0.004). After adjustment for mean arterial pressure, age, gender, and smoking, HIV status was not significantly associated with aortic stiffness. In HIV-infected participants, having a nadir CD4 T-cell count ≤100 cells per cubic millimeter was independently associated with a higher PWV. The increased aortic stiffness in HIV-infected participants was largely explained by a higher prevalence of traditional cardiovascular risk factors, particularly smoking. Although HIV itself was not independently associated with higher aortic stiffness, a prior greater degree of immunodeficiency was. This suggests a detrimental effect of immunodeficiency on the aortic wall, possibly mediated by inflammation.</t>
  </si>
  <si>
    <t>Do self-management interventions in COPD patients work and which patients benefit most? An individual patient data meta-analysis.</t>
  </si>
  <si>
    <t>Jonkman, Nini H; Westland, Heleen; Trappenburg, Jaap Ca; Groenwold, Rolf Hh; Bischoff, Erik Wma; Bourbeau, Jean; Bucknall, Christine E; Coultas, David; Effing, Tanja W; Epton, Michael J; Gallefoss, Frode; Garcia-Aymerich, Judith; Lloyd, Suzanne M; Monninkhof, Evelyn M; Nguyen, Huong Q; van der Palen, Job; Rice, Kathryn L; Sedeno, Maria; Taylor, Stephanie Jc; Troosters, Thierry; Zwar, Nicholas A; Hoes, Arno W; Schuurmans, Marieke J</t>
  </si>
  <si>
    <t>https://pubmed.ncbi.nlm.nih.gov/27621612</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</si>
  <si>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</si>
  <si>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The one with the purse makes policy': Power, problem definition, framing and maternal health policies and programmes evolution in national level institutionalised policy making processes in Ghana.</t>
  </si>
  <si>
    <t>Koduah, Augustina; Agyepong, Irene Akua; van Dijk, Han</t>
  </si>
  <si>
    <t>https://pubmed.ncbi.nlm.nih.gov/27614028</t>
  </si>
  <si>
    <t>This paper seeks to advance our understanding of health policy agenda setting and formulation processes in a lower middle income country, Ghana, by exploring how and why maternal health policies and programmes appeared and evolved on the health sector programme of work agenda between 2002 and 2012. We theorized that the appearance of a policy or programme on the agenda and its fate within the programme of work is predominately influenced by how national level decision makers use their sources of power to define maternal health problems and frame their policy narratives. National level decision makers used their power sources as negotiation tools to frame maternal health issues and design maternal health policies and programmes within the framework of the national health sector programme of work. The power sources identified included legal and structural authority; access to authority by way of political influence; control over and access to resources (mainly financial); access to evidence in the form of health sector performance reviews and demographic health surveys; and knowledge of national plans such as Ghana Poverty Reduction Strategy. Understanding of power sources and their use as negotiation tools in policy development should not be ignored in the pursuit of transformative change and sustained improvement in health systems in low- and middle income countries (LMIC).</t>
  </si>
  <si>
    <t>Duration of Colonization With &lt;i&gt;Klebsiella pneumoniae&lt;/i&gt; Carbapenemase-Producing Bacteria at Long-Term Acute Care Hospitals in Chicago, Illinois.</t>
  </si>
  <si>
    <t>Haverkate, Manon R; Weiner, Shayna; Lolans, Karen; Moore, Nicholas M; Weinstein, Robert A; Bonten, Marc J M; Hayden, Mary K; Bootsma, Martin C J</t>
  </si>
  <si>
    <t>https://pubmed.ncbi.nlm.nih.gov/27747253</t>
  </si>
  <si>
    <t>&lt;b&gt;&lt;i&gt;Background.&lt;/i&gt;&lt;/b&gt;  High prevalence of &lt;i&gt;Klebsiella pneumoniae&lt;/i&gt; carbapenemase (KPC)-producing &lt;i&gt;Enterobacteriaceae&lt;/i&gt; has been reported in long-term acute care hospitals (LTACHs), in part because of frequent readmissions of colonized patients. Knowledge of the duration of colonization with KPC is essential to identify patients at risk of KPC colonization upon readmission and to make predictions on the effects of transmission control measures. &lt;b&gt;&lt;i&gt;Methods.&lt;/i&gt;&lt;/b&gt;  We analyzed data on surveillance isolates that were collected at 4 LTACHs in the Chicago region during a period of bundled interventions, to simultaneously estimate the duration of colonization during an LTACH admission and between LTACH (re)admissions. A maximum-likelihood method was used, taking interval-censoring into account. &lt;b&gt;&lt;i&gt;Results.&lt;/i&gt;&lt;/b&gt;  Eighty-three percent of patients remained colonized for at least 4 weeks, which was the median duration of LTACH stay. Between LTACH admissions, the median duration of colonization was 270 days (95% confidence interval, 91-∞). &lt;b&gt;&lt;i&gt;Conclusions.&lt;/i&gt;&lt;/b&gt;  Only 17% of LTACH patients lost colonization with KPC within 4 weeks. Approximately half of the KPC-positive patients were still carriers when readmitted after 9 months. Infection control practices should take prolonged carriage into account to limit transmission of KPCs in LTACHs.</t>
  </si>
  <si>
    <t>External validation of prognostic models to predict risk of gestational diabetes mellitus in one Dutch cohort: prospective multicentre cohort study.</t>
  </si>
  <si>
    <t>Lamain-de Ruiter, Marije; Kwee, Anneke; Naaktgeboren, Christiana A; de Groot, Inge; Evers, Inge M; Groenendaal, Floris; Hering, Yolanda R; Huisjes, Anjoke J M; Kirpestein, Cornel; Monincx, Wilma M; Siljee, Jacqueline E; Van 't Zelfde, Annewil; van Oirschot, Charlotte M; Vankan-Buitelaar, Simone A; Vonk, Mariska A A W; Wiegers, Therese A; Zwart, Joost J; Franx, Arie; Moons, Karel G M; Koster, Maria P H</t>
  </si>
  <si>
    <t>https://pubmed.ncbi.nlm.nih.gov/27576867</t>
  </si>
  <si>
    <t> To perform an external validation and direct comparison of published prognostic models for early prediction of the risk of gestational diabetes mellitus, including predictors applicable in the first trimester of pregnancy.  External validation of all published prognostic models in large scale, prospective, multicentre cohort study.  31 independent midwifery practices and six hospitals in the Netherlands.  Women recruited in their first trimester (&lt;14 weeks) of pregnancy between December 2012 and January 2014, at their initial prenatal visit. Women with pre-existing diabetes mellitus of any type were excluded.  Discrimination of the prognostic models was assessed by the C statistic, and calibration assessed by calibration plots.  3723 women were included for analysis, of whom 181 (4.9%) developed gestational diabetes mellitus in pregnancy. 12 prognostic models for the disorder could be validated in the cohort. C statistics ranged from 0.67 to 0.78. Calibration plots showed that eight of the 12 models were well calibrated. The four models with the highest C statistics included almost all of the following predictors: maternal age, maternal body mass index, history of gestational diabetes mellitus, ethnicity, and family history of diabetes. Prognostic models had a similar performance in a subgroup of nulliparous women only. Decision curve analysis showed that the use of these four models always had a positive net benefit.  In this external validation study, most of the published prognostic models for gestational diabetes mellitus show acceptable discrimination and calibration. The four models with the highest discriminative abilities in this study cohort, which also perform well in a subgroup of nulliparous women, are easy models to apply in clinical practice and therefore deserve further evaluation regarding their clinical impact.</t>
  </si>
  <si>
    <t>Cystatin C and Cardiovascular Disease: A Mendelian Randomization Study.</t>
  </si>
  <si>
    <t>van der Laan, Sander W; Fall, Tove; Soumaré, Aicha; Teumer, Alexander; Sedaghat, Sanaz; Baumert, Jens; Zabaneh, Delilah; van Setten, Jessica; Isgum, Ivana; Galesloot, Tessel E; Arpegård, Johannes; Amouyel, Philippe; Trompet, Stella; Waldenberger, Melanie; Dörr, Marcus; Magnusson, Patrik K; Giedraitis, Vilmantas; Larsson, Anders; Morris, Andrew P; Felix, Janine F; Morrison, Alanna C; Franceschini, Nora; Bis, Joshua C; Kavousi, Maryam; O'Donnell, Christopher; Drenos, Fotios; Tragante, Vinicius; Munroe, Patricia B; Malik, Rainer; Dichgans, Martin; Worrall, Bradford B; Erdmann, Jeanette; Nelson, Christopher P; Samani, Nilesh J; Schunkert, Heribert; Marchini, Jonathan; Patel, Riyaz S; Hingorani, Aroon D; Lind, Lars; Pedersen, Nancy L; de Graaf, Jacqueline; Kiemeney, Lambertus A L M; Baumeister, Sebastian E; Franco, Oscar H; Hofman, Albert; Uitterlinden, André G; Koenig, Wolfgang; Meisinger, Christa; Peters, Annette; Thorand, Barbara; Jukema, J Wouter; Eriksen, Bjørn Odvar; Toft, Ingrid; Wil</t>
  </si>
  <si>
    <t>https://pubmed.ncbi.nlm.nih.gov/27561768</t>
  </si>
  <si>
    <t>Epidemiological studies show that high circulating cystatin C is associated with risk of cardiovascular disease (CVD), independent of creatinine-based renal function measurements. It is unclear whether this relationship is causal, arises from residual confounding, and/or is a consequence of reverse causation. The aim of this study was to use Mendelian randomization to investigate whether cystatin C is causally related to CVD in the general population. We incorporated participant data from 16 prospective cohorts (n = 76,481) with 37,126 measures of cystatin C and added genetic data from 43 studies (n = 252,216) with 63,292 CVD events. We used the common variant rs911119 in CST3 as an instrumental variable to investigate the causal role of cystatin C in CVD, including coronary heart disease, ischemic stroke, and heart failure. Cystatin C concentrations were associated with CVD risk after adjusting for age, sex, and traditional risk factors (relative risk: 1.82 per doubling of cystatin C; 95% confidence interval [CI]: 1.56 to 2.13; p = 2.12 × 10(-14)). The minor allele of rs911119 was associated with decreased serum cystatin C (6.13% per allele; 95% CI: 5.75 to 6.50; p = 5.95 × 10(-211)), explaining 2.8% of the observed variation in cystatin C. Mendelian randomization analysis did not provide evidence for a causal role of cystatin C, with a causal relative risk for CVD of 1.00 per doubling cystatin C (95% CI: 0.82 to 1.22; p = 0.994), which was statistically different from the observational estimate (p = 1.6 × 10(-5)). A causal effect of cystatin C was not detected for any individual component of CVD. Mendelian randomization analyses did not support a causal role of cystatin C in the etiology of CVD. As such, therapeutics targeted at lowering circulating cystatin C are unlikely to be effective in preventing CVD.</t>
  </si>
  <si>
    <t>Vitamin K intake and all-cause and cause specific mortality.</t>
  </si>
  <si>
    <t>Zwakenberg, Sabine R; den Braver, Nicole R; Engelen, Anouk I P; Feskens, Edith J M; Vermeer, Cees; Boer, Jolanda M A; Verschuren, W M Monique; van der Schouw, Yvonne T; Beulens, Joline W J</t>
  </si>
  <si>
    <t>https://pubmed.ncbi.nlm.nih.gov/27640076</t>
  </si>
  <si>
    <t>Vitamin K has been associated with various health outcomes, including non-fatal cardiovascular diseases (CVD) and cancer. However, little is known about the association between vitamin K intake and all-cause and cause specific mortality. This study aims to investigate the association between vitamin K intake and all-cause and cause-specific mortality. This prospective cohort study included 33,289 participants from the EPIC-NL cohort, aged 20-70 years at baseline and recruited between 1993 and 1997. Dietary intake was assessed at baseline with a validated food frequency questionnaire and intakes of phylloquinone, and total, short chain and long chain menaquinones were calculated. Information on vital status and causes of death was obtained through linkage to several registries. The association between the different forms of vitamin K intake and mortality was assessed with Cox proportional hazards, adjusted for risk factors for chronic diseases and nutrient intake. During a mean follow-up of 16.8 years, 2863 deaths occurred, including 625 from CVD (256 from coronary heart disease (CHD)), 1346 from cancer and 892 from other causes. After multivariable adjustment, phylloquinone and menaquinones were not associated with all-cause mortality with hazard ratios for the upper vs. the lowest quartile of intake of 1.04 (0.92;1.17) and 0.94 (0.82;1.07) respectively. Neither phylloquinone intake nor menaquinone intake was associated with risk of CVD mortality. Higher intake of long chain menaquinones was borderline significantly associated (p&lt;sub&gt;trend&lt;/sub&gt; = 0.06) with lower CHD mortality with a HR&lt;sub&gt;10μg&lt;/sub&gt; of 0.86 (0.74;1.00). None of the forms of vitamin K intake were associated with cancer mortality or mortality from other causes. Vitamin K intake was not associated with all-cause mortality, cancer mortality and mortality from other causes.</t>
  </si>
  <si>
    <t>The Utrecht questionnaire (U-CEP) measuring knowledge on clinical epidemiology proved to be valid.</t>
  </si>
  <si>
    <t>Kortekaas, Marlous F; Bartelink, Marie-Louise E L; de Groot, Esther; Korving, Helen; de Wit, Niek J; Grobbee, Diederick E; Hoes, Arno W</t>
  </si>
  <si>
    <t>https://pubmed.ncbi.nlm.nih.gov/27575586</t>
  </si>
  <si>
    <t>Knowledge on clinical epidemiology is crucial to practice evidence-based medicine. We describe the development and validation of the Utrecht questionnaire on knowledge on Clinical epidemiology for Evidence-based Practice (U-CEP); an assessment tool to be used in the training of clinicians. The U-CEP was developed in two formats: two sets of 25 questions and a combined set of 50. The validation was performed among postgraduate general practice (GP) trainees, hospital trainees, GP supervisors, and experts. Internal consistency, internal reliability (item-total correlation), item discrimination index, item difficulty, content validity, construct validity, responsiveness, test-retest reliability, and feasibility were assessed. The questionnaire was externally validated. Internal consistency was good with a Cronbach alpha of 0.8. The median item-total correlation and mean item discrimination index were satisfactory. Both sets were perceived as relevant to clinical practice. Construct validity was good. Both sets were responsive but failed on test-retest reliability. One set took 24 minutes and the other 33 minutes to complete, on average. External GP trainees had comparable results. The U-CEP is a valid questionnaire to assess knowledge on clinical epidemiology, which is a prerequisite for practicing evidence-based medicine in daily clinical practice.</t>
  </si>
  <si>
    <t>Prospective Dutch colorectal cancer cohort: an infrastructure for long-term observational, prognostic, predictive and (randomized) intervention research.</t>
  </si>
  <si>
    <t>Burbach, J P M; Kurk, S A; Coebergh van den Braak, R R J; Dik, V K; May, A M; Meijer, G A; Punt, C J A; Vink, G R; Los, M; Hoogerbrugge, N; Huijgens, P C; Ijzermans, J N M; Kuipers, E J; de Noo, M E; Pennings, J P; van der Velden, A M T; Verhoef, C; Siersema, P D; van Oijen, M G H; Verkooijen, H M; Koopman, M</t>
  </si>
  <si>
    <t>https://pubmed.ncbi.nlm.nih.gov/27560599</t>
  </si>
  <si>
    <t>Systematic evaluation and validation of new prognostic and predictive markers, technologies and interventions for colorectal cancer (CRC) is crucial for optimizing patients' outcomes. With only 5-15% of patients participating in clinical trials, generalizability of results is poor. Moreover, current trials often lack the capacity for post-hoc subgroup analyses. For this purpose, a large observational cohort study, serving as a multiple trial and biobanking facility, was set up by the Dutch Colorectal Cancer Group (DCCG). The Prospective Dutch ColoRectal Cancer cohort is a prospective multidisciplinary nationwide observational cohort study in the Netherlands (yearly CRC incidence of 15 500). All CRC patients (stage I-IV) are eligible for inclusion, and longitudinal clinical data are registered. Patients give separate consent for the collection of blood and tumor tissue, filling out questionnaires, and broad randomization for studies according to the innovative cohort multiple randomized controlled trial design (cmRCT), serving as an alternative study design for the classic RCT. Objectives of the study include: 1) systematically collected long-term clinical data, patient-reported outcomes and biomaterials from daily CRC practice; and 2) to facilitate future basic, translational and clinical research including interventional and cost-effectiveness studies for both national and international research groups with short inclusion periods, even for studies with stringent inclusion criteria. Seven months after initiation 650 patients have been enrolled, eight centers participate, 15 centers await IRB approval and nine embedded cohort- or cmRCT-designed studies are currently recruiting patients. This cohort provides a unique multidisciplinary data, biobank, and patient-reported outcomes collection initiative, serving as an infrastructure for various kinds of research aiming to improve treatment outcomes in CRC patients. This comprehensive design may serve as an example for other tumor types.</t>
  </si>
  <si>
    <t>Comparing Three Different Techniques for Magnetic Resonance Imaging-targeted Prostate Biopsies: A Systematic Review of In-bore versus Magnetic Resonance Imaging-transrectal Ultrasound fusion versus Cognitive Registration. Is There a Preferred Technique?</t>
  </si>
  <si>
    <t>Wegelin, Olivier; van Melick, Harm H E; Hooft, Lotty; Bosch, J L H Ruud; Reitsma, Hans B; Barentsz, Jelle O; Somford, Diederik M</t>
  </si>
  <si>
    <t>https://pubmed.ncbi.nlm.nih.gov/27568655</t>
  </si>
  <si>
    <t>The introduction of magnetic resonance imaging-guided biopsies (MRI-GB) has changed the paradigm concerning prostate biopsies. Three techniques of MRI-GB are available: (1) in-bore MRI target biopsy (MRI-TB), (2) MRI-transrectal ultrasound fusion (FUS-TB), and (3) cognitive registration (COG-TB). To evaluate whether MRI-GB has increased detection rates of (clinically significant) prostate cancer (PCa) compared with transrectal ultrasound-guided biopsy (TRUS-GB) in patients at risk for PCa, and which technique of MRI-GB has the highest detection rate of (clinically significant) PCa. We performed a literature search in PubMed, Embase, and CENTRAL databases. Studies were evaluated using the Quality Assessment of Diagnostic Accuracy Studies-2 checklist and START recommendations. The initial search identified 2562 studies and 43 were included in the meta-analysis. Among the included studies 11 used MRI-TB, 17 used FUS-TB, 11 used COG-TB, and four used a combination of techniques. In 34 studies concurrent TRUS-GB was performed. There was no significant difference between MRI-GB (all techniques combined) and TRUS-GB for overall PCa detection (relative risk [RR] 0.97 [0.90-1.07]). MRI-GB had higher detection rates of clinically significant PCa (csPCa) compared with TRUS-GB (RR 1.16 [1.02-1.32]), and a lower yield of insignificant PCa (RR 0.47 [0.35-0.63]). There was a significant advantage (p = 0.02) of MRI-TB compared with COG-TB for overall PCa detection. For overall PCa detection there was no significant advantage of MRI-TB compared with FUS-TB (p=0.13), and neither for FUS-TB compared with COG-TB (p=0.11). For csPCa detection there was no significant advantage of any one technique of MRI-GB. The impact of lesion characteristics such as size and localisation could not be assessed. MRI-GB had similar overall PCa detection rates compared with TRUS-GB, increased rates of csPCa, and decreased rates of insignificant PCa. MRI-TB has a superior overall PCa detection compared with COG-TB. FUS-TB and MRI-TB appear to have similar detection rates. Head-to-head comparisons of MRI-GB techniques are limited and are needed to confirm our findings. Our review shows that magnetic resonance imaging-guided biopsy detects more clinically significant prostate cancer (PCa) and less insignificant PCa compared with systematic biopsy in men at risk for PCa.</t>
  </si>
  <si>
    <t>How do medical specialists value their own intercultural communication behaviour? A reflective practice study.</t>
  </si>
  <si>
    <t>Paternotte, E; Scheele, F; van Rossum, T R; Seeleman, M C; Scherpbier, A J J A; van Dulmen, A M</t>
  </si>
  <si>
    <t>https://pubmed.ncbi.nlm.nih.gov/27558271</t>
  </si>
  <si>
    <t>Intercultural communication behaviour of doctors with patients requires specific intercultural communication skills, which do not seem structurally implemented in medical education. It is unclear what motivates doctors to apply intercultural communication skills. We investigated how purposefully medical specialists think they practise intercultural communication and how they reflect on their own communication behaviour. Using reflective practice, 17 medical specialists independently watched two fragments of videotapes of their own outpatient consultations: one with a native patient and one with a non-native patient. They were asked to reflect on their own communication and on challenges they experience in intercultural communication. The interviews were open coded and analysed using thematic network analysis. The participants experienced only little differences in their communication with native and non-native patients. They mainly mentioned generic communication skills, such as listening and checking if the patient understood. Many participants experienced their communication with non-native patients positively. The participants mentioned critical incidences of intercultural communication: language barriers, cultural differences, the presence of an interpreter, the role of the family and the atmosphere. Despite extensive experience in intercultural communication, the participants of this study noticed hardly any differences between their own communication behaviour with native and non-native patients. This could mean that they are unaware that consultations with non-native patients might cause them to communicate differently than with native patients. The reason for this could be that medical specialists lack the skills to reflect on the process of the communication. The participants focused on their generic communication skills rather than on specific intercultural communication skills, which could either indicate their lack of awareness, or demonstrate that practicing generic communication is more important than applying specific intercultural communication. They mentioned well-known critical incidences of ICC: language barriers, cultural differences, the presence of an interpreter, the role of the family and the atmosphere. Nevertheless, they showed a remarkably enthusiastic attitude overall was noteworthy. A strategy to make doctors more aware of their intercultural communication behaviour could be a combination of experiential learning and ICC training, for example a module with reflective practice.</t>
  </si>
  <si>
    <t>Personalized absolute benefit of statin treatment for primary or secondary prevention of vascular disease in individual elderly patients.</t>
  </si>
  <si>
    <t>Stam-Slob, Manon C; Visseren, Frank L J; Wouter Jukema, J; van der Graaf, Yolanda; Poulter, Neil R; Gupta, Ajay; Sattar, Naveed; Macfarlane, Peter W; Kearney, Patricia M; de Craen, Anton J M; Trompet, Stella</t>
  </si>
  <si>
    <t>clinical research in cardiology official journal of the german cardiac society</t>
  </si>
  <si>
    <t>https://pubmed.ncbi.nlm.nih.gov/27554244</t>
  </si>
  <si>
    <t>To estimate the absolute treatment effect of statin therapy on major adverse cardiovascular events (MACE; myocardial infarction, stroke and vascular death) for the individual patient aged ≥70 years. Prediction models for MACE were derived in patients aged ≥70 years with (n = 2550) and without (n = 3253) vascular disease from the "PROspective Study of Pravastatin in Elderly at Risk" (PROSPER) trial and validated in the "Secondary Manifestations of ARTerial disease" (SMART) cohort study (n = 1442) and the "Anglo-Scandinavian Cardiac Outcomes Trial-Lipid Lowering Arm" (ASCOT-LLA) trial (n = 1893), respectively, using competing risk analysis. Prespecified predictors were various clinical characteristics including statin treatment. Individual absolute risk reductions (ARRs) for MACE in 5 and 10 years were estimated by subtracting on-treatment from off-treatment risk. Individual ARRs were higher in elderly patients with vascular disease [5-year ARRs: median 5.1 %, interquartile range (IQR) 4.0-6.2 %, 10-year ARRs: median 7.8 %, IQR 6.8-8.6 %] than in patients without vascular disease (5-year ARRs: median 1.7 %, IQR 1.3-2.1 %, 10-year ARRs: 2.9 %, IQR 2.3-3.6 %). Ninety-eight percent of patients with vascular disease had a 5-year ARR ≥2.0 %, compared to 31 % of patients without vascular disease. With a multivariable prediction model the absolute treatment effect of a statin on MACE for individual elderly patients with and without vascular disease can be quantified. Because of high ARRs, treating all patients is more beneficial than prediction-based treatment for secondary prevention of MACE. For primary prevention of MACE, the prediction model can be used to identify those patients who benefit meaningfully from statin therapy.</t>
  </si>
  <si>
    <t>Use of a Dose-Response Model to Study Temporal Trends in Spatial Exposure to Coxiella burnetii: Analysis of a Multiyear Outbreak of Q Fever.</t>
  </si>
  <si>
    <t>Brooke, R J; Teunis, P F M; Kretzschmar, M E E; Wielders, C C H; Schneeberger, P M; Waller, L A</t>
  </si>
  <si>
    <t>https://pubmed.ncbi.nlm.nih.gov/27549241</t>
  </si>
  <si>
    <t>The Netherlands underwent a large Q fever outbreak between 2007 and 2009. In this paper, we study spatial and temporal Coxiella burnetii exposure trends during this large outbreak as well as validate outcomes against other published studies and provide evidence to support hypotheses on the causes of the outbreak. To achieve this, we develop a framework using a dose-response model to translate acute Q fever case incidence into exposure estimates. More specifically, we incorporate a geostatistical model that accounts for spatial and temporal correlation of exposure estimates from a human Q fever dose-response model to quantify exposure trends during the outbreak. The 2051 cases, with the corresponding age, gender and residential addresses, reside in the region with the highest attack rates during the outbreak in the Netherlands between 2006 and 2009. We conclude that the multiyear outbreak in the Netherlands is caused by sustained release of infectious bacteria from the same sources, which suggests that earlier implementation of interventions may have prevented many of the cases. The model predicts the risk of infection and acute symptomatic Q fever from multiple exposure sources during a multiple-year outbreak providing a robust, evidence-based methodology to support decision-making and intervention design.</t>
  </si>
  <si>
    <t>Nifedipine maintenance tocolysis and perinatal outcome: an individual participant data meta-analysis.</t>
  </si>
  <si>
    <t>van Vliet, Eog; Dijkema, G H; Schuit, E; Heida, K Y; Roos, C; van der Post, Jam; Parry, E C; McCowan, L; Lyell, D J; El-Sayed, Y Y; Carr, D B; Clark, A L; Mahdy, Z A; Uma, M; Sayin, N C; Varol, G F; Mol, B W; Oudijk, M A</t>
  </si>
  <si>
    <t>https://pubmed.ncbi.nlm.nih.gov/27550838</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</si>
  <si>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</si>
  <si>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Representativeness of Participants in Heart Failure E-Health Trials: A Report From the E-Vita HF Study.</t>
  </si>
  <si>
    <t>Wagenaar, Kim P; Hakim, Niaz; Broekhuizen, Berna D L; Jaarsma, Tiny; Rutten, Frans H; Hoes, Arno W</t>
  </si>
  <si>
    <t>https://pubmed.ncbi.nlm.nih.gov/27565046</t>
  </si>
  <si>
    <t>Paving the way of systems biology and precision medicine in allergic diseases: the MeDALL success story: Mechanisms of the Development of ALLergy; EU FP7-CP-IP; Project No: 261357; 2010-2015.</t>
  </si>
  <si>
    <t>Bousquet, J; Anto, J M; Akdis, M; Auffray, C; Keil, T; Momas, I; Postma, D S; Valenta, R; Wickman, M; Cambon-Thomsen, A; Haahtela, T; Lambrecht, B N; Lodrup Carlsen, K C; Koppelman, G H; Sunyer, J; Zuberbier, T; Annesi-Maesano, I; Arno, A; Bindslev-Jensen, C; De Carlo, G; Forastiere, F; Heinrich, J; Kowalski, M L; Maier, D; Melén, E; Palkonen, S; Smit, H A; Standl, M; Wright, J; Asarnoj, A; Benet, M; Ballardini, N; Garcia-Aymerich, J; Gehring, U; Guerra, S; Hohman, C; Kull, I; Lupinek, C; Pinart, M; Skrindo, I; Westman, M; Smagghe, D; Akdis, C; Albang, R; Anastasova, V; Anderson, N; Bachert, C; Ballereau, S; Ballester, F; Basagana, X; Bedbrook, A; Bergstrom, A; von Berg, A; Brunekreef, B; Burte, E; Carlsen, K H; Chatzi, L; Coquet, J M; Curin, M; Demoly, P; Eller, E; Fantini, M P; Gerhard, B; Hammad, H; von Hertzen, L; Hovland, V; Jacquemin, B; Just, J; Keller, T; Kerkhof, M; Kiss, R; Kogevinas, M; Koletzko, S; Lau, S; Lehmann, I; Lemonnier, N; McEachan, R; Mäkelä, M; Mestres, J; Minina</t>
  </si>
  <si>
    <t>https://pubmed.ncbi.nlm.nih.gov/26970340</t>
  </si>
  <si>
    <t>MeDALL (Mechanisms of the Development of ALLergy; EU FP7-CP-IP; Project No: 261357; 2010-2015) has proposed an innovative approach to develop early indicators for the prediction, diagnosis, prevention and targets for therapy. MeDALL has linked epidemiological, clinical and basic research using a stepwise, large-scale and integrative approach: MeDALL data of precisely phenotyped children followed in 14 birth cohorts spread across Europe were combined with systems biology (omics, IgE measurement using microarrays) and environmental data. Multimorbidity in the same child is more common than expected by chance alone, suggesting that these diseases share causal mechanisms irrespective of IgE sensitization. IgE sensitization should be considered differently in monosensitized and polysensitized individuals. Allergic multimorbidities and IgE polysensitization are often associated with the persistence or severity of allergic diseases. Environmental exposures are relevant for the development of allergy-related diseases. To complement the population-based studies in children, MeDALL included mechanistic experimental animal studies and in vitro studies in humans. The integration of multimorbidities and polysensitization has resulted in a new classification framework of allergic diseases that could help to improve the understanding of genetic and epigenetic mechanisms of allergy as well as to better manage allergic diseases. Ethics and gender were considered. MeDALL has deployed translational activities within the EU agenda.</t>
  </si>
  <si>
    <t>Temporal trends in childhood mortality in Ghana: impacts and challenges of health policies and programs.</t>
  </si>
  <si>
    <t>Kayode, Gbenga A; Grobbee, Diederick E; Koduah, Augustina; Amoakoh-Coleman, Mary; Agyepong, Irene A; Ansah, Evelyn; van Dijk, Han; Klipstein-Grobusch, Kerstin</t>
  </si>
  <si>
    <t>https://pubmed.ncbi.nlm.nih.gov/27558221</t>
  </si>
  <si>
    <t>Following the adoption of the Millennium Development Goal 4 (MDG 4) in Ghana to reduce under-five mortality by two-thirds between 1990 and 2015, efforts were made towards its attainment. However, impacts and challenges of implemented intervention programs have not been examined to inform implementation of Sustainable Development Goal 3.2 (SDG 3.2) that seeks to end preventable deaths of newborns and children aged under-five. Thus, this study aimed to compare trends in neonatal, infant, and under-five mortality over two decades and to highlight the impacts and challenges of health policies and intervention programs implemented. Ghana Demographic and Health Survey data (1988-2008) were analyzed using trend analysis. Poisson regression analysis was applied to quantify the incidence rate ratio of the trends. Implemented health policies and intervention programs to reduce childhood mortality in Ghana were reviewed to identify their impact and challenges. Since 1988, the annual average rate of decline in neonatal, infant, and under-five mortality in Ghana was 0.6, 1.0, and 1.2%, respectively. From 1988 to 1989, neonatal, infant, and under-five mortality declined from 48 to 33 per 1,000, 72 to 58 per 1,000, and 108 to 83 per 1,000, respectively, whereas from 1989 to 2008, neonatal mortality increased by 2 per 1,000 while infant and under-five mortality further declined by 6 per 1,000 and 17 per 1,000, respectively. However, the observed declines were not statistically significant except for under-five mortality; thus, the proportion of infant and under-five mortality attributed to neonatal death has increased. Most intervention programs implemented to address childhood mortality seem not to have been implemented comprehensively. Progress towards attaining MDG 4 in Ghana was below the targeted rate, particularly for neonatal mortality as most health policies and programs targeted infant and under-five mortality. Implementing neonatal-specific interventions and improving existing programs will be essential to attain SDG 3.2 in Ghana and beyond.</t>
  </si>
  <si>
    <t>Stakeholders' views on the ethical challenges of pragmatic trials investigating pharmaceutical drugs.</t>
  </si>
  <si>
    <t>Kalkman, Shona; van Thiel, Ghislaine J M W; Grobbee, Diederick E; Meinecke, Anna-Katharina; Zuidgeest, Mira G P; van Delden, Johannes J M; ,</t>
  </si>
  <si>
    <t>https://pubmed.ncbi.nlm.nih.gov/27550379</t>
  </si>
  <si>
    <t>We explored the views of key stakeholders to identify the ethical challenges of pragmatic trials investigating pharmaceutical drugs. A secondary aim was to capture stakeholders' attitudes towards the implementation of pragmatic trials in the drug development process. We conducted semistructured, in-depth interviews among individuals from different key stakeholder groups (academia and independent research institutions, the pharmaceutical industry, regulators, Health Technology Assessment (HTA) agencies and patients' organizations) through telephone or face-to-face sessions. Interviews were structured around the question "what challenges were experienced or perceived during the design, conduct and/or review of pragmatic trials." Respondents were additionally asked about their views on implementation of pragmatic trials in the drug development process. Thematic analysis was used to identify the ethically relevant features across data sets. We interviewed 34 stakeholders in 25 individual sessions and four group sessions. The four perceived challenges of ethical relevance were: (1) less controlled conditions creating safety concerns, (2) comparison with usual care potentially compromising clinical equipoise, (3) tailored or waivers of informed consent affecting patient autonomy, and (4) minimal interference with "real-world" practice reducing the knowledge value of trial results. We identified stakeholder concerns regarding risk assessment, use of suboptimal usual care as a comparator, tailoring of informed consent procedures and ensuring the social value of pragmatic trials. These concerns increased when respondents were asked about pragmatic trials conducted before market authorization.</t>
  </si>
  <si>
    <t>Trends in risk factors for coronary heart disease in the Netherlands.</t>
  </si>
  <si>
    <t>Koopman, C; Vaartjes, I; Blokstra, A; Verschuren, W M M; Visser, M; Deeg, D J H; Bots, M L; van Dis, I</t>
  </si>
  <si>
    <t>https://pubmed.ncbi.nlm.nih.gov/27543113</t>
  </si>
  <si>
    <t>Favourable trends in risk factor levels in the general population may partly explain the decline in coronary heart disease (CHD) morbidity and mortality. Our aim was to present long-term national trends in established risk factors for CHD. Data were obtained from five data sources including several large scale population based surveys, cohort studies and general practitioner registers between 1988 and 2012. We applied linear regression models to age-standardized time trends to test for statistical significant trends. Analyses were stratified by sex and age (younger &lt;65 and older ≥65 years adults). The results demonstrated favourable trends in smoking (except in older women) and physical activity (except in older men). Unfavourable trends were found for body mass index (BMI) and diabetes mellitus prevalence. Although systolic blood pressure (SBP) and total cholesterol trends were favourable for older persons, SBP and total cholesterol remained stable in younger persons. Four out of six risk factors for CHD showed a favourable or stable trend. The rise in diabetes mellitus and BMI is worrying with respect to CHD morbidity and mortality.</t>
  </si>
  <si>
    <t>Pilot study on identification of incidents in healthcare transitions and concordance between medical records and patient interview data.</t>
  </si>
  <si>
    <t>van Melle, Marije A; Erkelens, Daphne C A; van Stel, Henk F; de Wit, Niek J; Zwart, Dorien L M</t>
  </si>
  <si>
    <t>https://pubmed.ncbi.nlm.nih.gov/27543588</t>
  </si>
  <si>
    <t>To investigate whether transitional incidents can be identified from the medical records of the general practitioners and the hospital and to assess the concordance of transitional incidents between medical records and patient interviews. A pilot study. The study was conducted in 2 regions in the Netherlands: a rural and an urban region. A purposeful sample of patients who experienced a transitional incident or are at high risk of experiencing transitional incidents. Transitional incidents were identified from both the interviews with patients and medical records and concordance was assessed. We also classified the transitional incidents according to type, severity, estimated cause and preventability. We identified 28 transitional incidents within 78 transitions of which 3 could not be found in the medical records and another 5 could have been missed without the patient as information source. To summarise, 8 (29%) incidents could have been missed using solely medical records, and 7 (25%) using the patients' information exclusively. Concordance in transitional incidents between patient interviews and medical records was 64% (18/28). The majority of the transitional incidents were unsafe situations; however, 43% (12/28) of the incidents reached the patient and 18% (5/28) caused temporary patient harm. Over half of the incidents were potentially preventable. This pilot study suggests that the majority of transitional incidents can be identified from medical records of the general practitioner and hospital. With this information, we aim to develop a measurement tool for transitional incidents in the medical record of general practitioner and hospital.</t>
  </si>
  <si>
    <t>Effectiveness of mHealth Interventions Targeting Health Care Workers to Improve Pregnancy Outcomes in Low- and Middle-Income Countries: A Systematic Review.</t>
  </si>
  <si>
    <t>Amoakoh-Coleman, Mary; Borgstein, Alexander Berend-Jan; Sondaal, Stephanie Fv; Grobbee, Diederick E; Miltenburg, Andrea Solnes; Verwijs, Mirjam; Ansah, Evelyn K; Browne, Joyce L; Klipstein-Grobusch, Kerstin</t>
  </si>
  <si>
    <t>https://pubmed.ncbi.nlm.nih.gov/27543152</t>
  </si>
  <si>
    <t>Low- and middle-income countries (LMICs) face the highest burden of maternal and neonatal deaths. Concurrently, they have the lowest number of physicians. Innovative methods such as the exchange of health-related information using mobile devices (mHealth) may support health care workers in the provision of antenatal, delivery, and postnatal care to improve maternal and neonatal outcomes in LMICs. We conducted a systematic review evaluating the effectiveness of mHealth interventions targeting health care workers to improve maternal and neonatal outcomes in LMIC. The Cochrane Library, PubMed, EMBASE, Global Health Library, and Popline were searched using predetermined search and indexing terms. Quality assessment was performed using an adapted Cochrane Risk of Bias Tool. A strength, weakness, opportunity, and threat analysis was performed for each included paper. A total of 19 studies were included for this systematic review, 10 intervention and 9 descriptive studies. mHealth interventions were used as communication, data collection, or educational tool by health care providers primarily at the community level in the provision of antenatal, delivery, and postnatal care. Interventions were used to track pregnant women to improve antenatal and delivery care, as well as facilitate referrals. None of the studies directly assessed the effect of mHealth on maternal and neonatal mortality. Challenges of mHealth interventions to assist health care workers consisted mainly of technical problems, such as mobile network coverage, internet access, electricity access, and maintenance of mobile phones. mHealth interventions targeting health care workers have the potential to improve maternal and neonatal health services in LMICs. However, there is a gap in the knowledge whether mHealth interventions directly affect maternal and neonatal outcomes and future research should employ experimental designs with relevant outcome measures to address this gap.</t>
  </si>
  <si>
    <t>How can we reduce costs of solid-phase multiplex-bead assays used to determine anti-HLA antibodies?</t>
  </si>
  <si>
    <t>Kamburova, E G; Wisse, B W; Joosten, I; Allebes, W A; van der Meer, A; Hilbrands, L B; Baas, M C; Spierings, E; Hack, C E; van Reekum, F E; van Zuilen, A D; Verhaar, M; Bots, M L; Drop, A C A D; Plaisier, L; Seelen, M A J; Sanders, J S F; Hepkema, B G; Lambeck, A J; Bungener, L B; Roozendaal, C; Tilanus, M G J; Vanderlocht, J; Voorter, C E; Wieten, L; van Duijnhoven, E M; Gelens, M; Christiaans, M H L; van Ittersum, F J; Nurmohamed, A; Lardy, N M; Swelsen, W; van der Pant, K A; van der Weerd, N C; Ten Berge, I J M; Bemelman, F J; Hoitsma, A; van der Boog, P J M; de Fijter, J W; Betjes, M G H; Heidt, S; Roelen, D L; Claas, F H; Otten, H G</t>
  </si>
  <si>
    <t>https://pubmed.ncbi.nlm.nih.gov/27534609</t>
  </si>
  <si>
    <t>Solid-phase multiplex-bead assays are widely used in transplantation to detect anti-human leukocyte antigen (HLA) antibodies. These assays enable high resolution detection of low levels of HLA antibodies. However, multiplex-bead assays are costly and yield variable measurements that limit the comparison of results between laboratories. In the context of a Dutch national Consortium study we aimed to determine the inter-assay and inter-machine variability of multiplex-bead assays, and we assessed how to reduce the assay reagents costs. Fifteen sera containing a variety of HLA antibodies were used yielding in total 7092 median fluorescence intensities (MFI) values. The inter-assay and inter-machine mean absolute relative differences (MARD) of the screening assay were 12% and 13%, respectively. The single antigen bead (SAB) inter-assay MARD was comparable, but showed a higher lot-to-lot variability. Reduction of screening assay reagents to 50% or 40% of manufacturers' recommendations resulted in MFI values comparable to 100% of the reagents, with an MARD of 12% or 14%, respectively. The MARD of the 50% and 40% SAB assay reagent reductions were 11% and 22%, respectively. From this study, we conclude that the reagents can be reliably reduced at least to 50% of manufacturers' recommendations with virtually no differences in HLA antibody assignments.</t>
  </si>
  <si>
    <t>Role of atherosclerosis, clot extent, and penumbra volume in headache during ischemic stroke.</t>
  </si>
  <si>
    <t>van Os, Hendrikus J A; Mulder, Inge A; van der Schaaf, Irene C; Kappelle, L Jaap; Velthuis, Birgitta K; Broersen, Alexander; Vos, Jan A; Terwindt, Gisela M; Schonewille, Wouter; Ferrari, Michel D; Algra, Ale; van Walderveen, Marianne A A; Wermer, Marieke J H</t>
  </si>
  <si>
    <t>https://pubmed.ncbi.nlm.nih.gov/27534709</t>
  </si>
  <si>
    <t>To investigate the role of large vessel atherosclerosis, blood clot extent, and penumbra volume in relation to headache in ischemic stroke patients. In this cross-sectional study, we performed noncontrast CT, CT angiography (CTA), and CT perfusion (CTP) in 284 participants from the Dutch Acute Stroke Study and Leiden Stroke Cohort within 9 hours after ischemic stroke onset. We collected headache characteristics prospectively using a semi-structured questionnaire. Atherosclerosis was assessed by evaluating presence of plaques in extracranial and intracranial vessels and by quantifying intracranial carotid artery calcifications. Clot extent was estimated by the clot burden score on CTA and penumbra volume by CTP. We calculated risk ratios (RRs) with adjustments (aRR) for possible confounders using multivariable Poisson regression. Headache during stroke was reported in 109/284 (38%) participants. Headache was less prevalent in patients with than in patients without atherosclerosis in the extracranial anterior circulation (35% vs 48%; RR 0.72; 95% confidence interval [CI] 0.54-0.97). Atherosclerosis in the intracranial arteries was also associated with less headache, but this association was not statistically significant. Penumbra volume (aRR 1.08; 95% CI 0.63-1.85) and clot extent (aRR 1.02; 95% CI 0.86-1.20) were not related with headache. Headache in the early phase of ischemic stroke tends to occur less often in patients with atherosclerosis than in patients without atherosclerosis in the large cerebral arteries. This finding lends support to the hypothesis that vessel wall elasticity is a necessary contributing factor in the occurrence of headache during acute ischemic stroke.</t>
  </si>
  <si>
    <t>Pregnancy Associated Plasma Protein-A and Placental Growth Factor in a Sub-Saharan African Population: A Nested Cross-Sectional Study.</t>
  </si>
  <si>
    <t>Browne, Joyce L; Klipstein-Grobusch, Kerstin; Koster, Maria P H; Ramamoorthy, Dhivya; Antwi, Edward; Belmouden, Idder; Franx, Arie; Grobbee, Diederick E; Schielen, Peter C J I</t>
  </si>
  <si>
    <t>https://pubmed.ncbi.nlm.nih.gov/27532602</t>
  </si>
  <si>
    <t>Baseline distributions of pregnancy disorders' biomarkers PlGF and PAPP-A levels are primarily based on Western European populations of Caucasian ethnicity. Differences in PAPP-A and PlGF concentrations by ethnicity have been observed, with increased levels in Afro-Caribbean, East Asian, and South Asian women. Baseline concentrations of sub-Saharan African women have not been evaluated. To investigate PlGF and PAPP-A in a sub-Saharan African population and assess the performance of existing reference values of PAPP-A and PlGF. A nested cross-sectional study was conducted in two public hospitals in Accra, Ghana. Out of the original 1010 women enrolled in the cohort, 398 participants were eligible for inclusion with a normotensive singleton gestation and serum samples taken between 56-97 days of pregnancy. PAPP-A and PlGF concentrations were measured with an automated immunoassay. Multiple of the median (MoM) values corrected for gestation and maternal weight for PAPP-A and PlGF were calculated using reference values of a Dutch perinatal screening laboratory based on over 10.000 samples, and PlGF manufacturer reference values, respectively. The PAPP-A median MoM was 2.34 (interquartile range (IQR) 1.24-3.97). Median PlGF MoM was 1.25 (IQR 0.95-1.80). Median MoM values for PAPP-A and PlGF tended to be slightly different for various Ghanaian ethnic subgroups. PAPP-A and PlGF MoM values appear to be substantially higher in a sub-Saharan African population compared to the Caucasian or Afro-Caribbean MoM values previously reported. The difference suggests the need for a specific correction factor for this population to avoid underestimation of risk for fetal aneuploidies or placental disorders when using PAPP-A and PlGF MoM for screening purposes.</t>
  </si>
  <si>
    <t>Author's reply to Woodward.</t>
  </si>
  <si>
    <t>Damen, Johanna A A G</t>
  </si>
  <si>
    <t>https://pubmed.ncbi.nlm.nih.gov/27530225</t>
  </si>
  <si>
    <t>Clinical practice of respiratory virus diagnostics in critically ill patients with a suspected pneumonia: A prospective observational study.</t>
  </si>
  <si>
    <t>van Someren Gréve, Frank; Ong, David S Y; Cremer, Olaf L; Bonten, Marc J M; Bos, Lieuwe D J; de Jong, Menno D; Schultz, Marcus J; Juffermans, Nicole P; ,</t>
  </si>
  <si>
    <t>https://pubmed.ncbi.nlm.nih.gov/27567093</t>
  </si>
  <si>
    <t>Clinical guidelines suggest testing for respiratory viruses during the influenza season, but are unclear which categories of patients on the intensive care unit (ICU) should be tested. We described the clinical practice of diagnostic testing for respiratory virus infections in patients presenting to ICU with suspected community-acquired pneumonia (CAP) or hospital-acquired pneumonia (HAP). Prospective observational study in consecutive CAP and HAP patients with an ICU stay of more than 24h in two tertiary care hospitals in The Netherlands, from 2011 to December 2013. The proportion of patients receiving diagnostic testing with PCR for the presence of respiratory viruses in respiratory tract specimens was determined. In total, 1452 patients were included, of which 712 patients presented with CAP and 740 with HAP. In CAP, 282 of 712 (40%) were tested for respiratory viruses (190 of 417 (46%) during the influenza season). In HAP, 95 of 740 (13%) were tested (50 of 372 (13%) during the influenza season). Regardless of the season, virus diagnostic tests were ordered significantly more often in patients with comorbidities, and in those presenting with elevated CRP and leucopenia. In patients who were tested during the influenza season, the prevalence of influenza was 14% in patients with CAP and 10% in those with HAP. Influenza was absent during the summer in both groups. Less than half of patients admitted to the ICU with suspected pneumonia were tested for the presence of viral pathogens, either in or outside the influenza season.</t>
  </si>
  <si>
    <t>Procalcitonin in cerebrospinal fluid in meningitis: a prospective diagnostic study.</t>
  </si>
  <si>
    <t>Alons, Imanda M E; Verheul, Rolf J; Kuipers, Irma; Jellema, Korné; Wermer, Marieke J H; Algra, Ale; Ponjee, Gabriëlle</t>
  </si>
  <si>
    <t>https://pubmed.ncbi.nlm.nih.gov/27843698</t>
  </si>
  <si>
    <t>Bacterial meningitis is a severe but treatable condition. Clinical symptoms may be ambiguous and current diagnostics lack sensitivity and specificity, complicating diagnosis. Procalcitonin (PCT) is a protein that is elevated in serum in bacterial infection. We aimed to assess the value of PCT in cerebrospinal fluid (CSF) in the diagnosis of bacterial meningitis. We included patients with bacterial meningitis, both community acquired and post neurosurgery. We included two comparison groups: patients with viral meningitis and patients who underwent lumbar punctures for noninfectious indications. We calculated mean differences and 95% confidence intervals of procalcitonin in CSF and plasma in patients with and without bacterial meningitis. Average PCT concentrations in CSF were 0.60 ng mL&lt;sup&gt;-1&lt;/sup&gt; (95% CI: 0.29-0.92) in the bacterial meningitis group (&lt;i&gt;n&lt;/i&gt; = 26), 0.81 (95% CI: 0.33-1.28) in community-acquired meningitis (&lt;i&gt;n&lt;/i&gt; = 16) and 0.28 (95% CI: 0.10-0.45) in postneurosurgical meningitis (&lt;i&gt;n&lt;/i&gt; = 10), 0.10 ng mL&lt;sup&gt;-1&lt;/sup&gt; (95% CI: 0.08-0.12) in the viral meningitis group (&lt;i&gt;n&lt;/i&gt; = 14) and 0.08 ng mL&lt;sup&gt;-1&lt;/sup&gt; (95% CI: 0.06-0.09) in the noninfectious group (&lt;i&gt;n&lt;/i&gt; = 14). Mean difference of PCT-CSF between patients with community-acquired bacterial meningitis and with viral meningitis was 0.71 ng mL&lt;sup&gt;-1&lt;/sup&gt; (95% CI: 0.17-1.25) and 0.73 ng mL&lt;sup&gt;-1&lt;/sup&gt; (95% CI: 0.19-1.27) for community-acquired bacterial meningitis versus the noninfectious group. The median PCT CSF: plasma ratio was 5.18 in postneurosurgical and 0.18 in community-acquired meningitis (IQR 4.69 vs. 0.28). Procalcitonin in CSF was significantly higher in patients with bacterial meningitis when compared with patients with viral or no meningitis. PCT in CSF may be a valuable marker in diagnosing bacterial meningitis, and could become especially useful in patients after neurosurgery.</t>
  </si>
  <si>
    <t>Adjuvant systemic therapy in early breast cancer: impact of guideline changes and clinicopathological factors associated with nonadherence at a nation-wide level.</t>
  </si>
  <si>
    <t>Verschoor, A M F; Kuijer, A; Verloop, J; Van Gils, C H; Sonke, G S; Jager, A; van Dalen, T; Elias, S G</t>
  </si>
  <si>
    <t>https://pubmed.ncbi.nlm.nih.gov/27514397</t>
  </si>
  <si>
    <t>Over recent years, adjuvant systemic treatment guidelines (AST) for early-stage breast cancer have changed considerably. We aimed to assess the impact of these guideline changes on the administration of AST in early-stage breast cancer patients and to what extent these guidelines are adhered to at a nation-wide level. We used Netherlands Cancer Registry data to describe trends in AST prescription, adherence to AST guidelines, and to identify clinicopathological determinants of nonadherence. Between 1990 and 2012, 231,648 Dutch patients were diagnosed with early breast cancer, of whom 124,472 received AST. Adjuvant endocrine treatment (ET) use increased from 23 % of patients (1990) to 56 % (2012), and chemotherapy from 11 to 44 %. In 2009-2012, 8 % of patients received ET and 3 % received chemotherapy without guideline indication. Conversely, 10-29 % of patients did not receive ET and chemotherapy, respectively, despite a guideline indication. Unfavorable clinicopathological characteristics generally decreased the chance of undertreatment and increased the chance for overtreatment. Remarkable was the increased chance of ET undertreatment in younger women (RR &lt; 35 vs 60-69 years 1.79; 95 % CI 1.30-2.47) and in women with HER2+ disease (RR 1.64; 95 % CI 1.46-1.85). Over the years, AST guidelines expanded resulting in much more Dutch early breast cancer patients receiving AST. In the majority of cases, AST administration was guideline concordant, but the high frequency of chemotherapy undertreatment in some subgroups suggests limited AST guideline support in these patients.</t>
  </si>
  <si>
    <t>Individualized prediction of the effect of angiotensin receptor blockade on renal and cardiovascular outcomes in patients with diabetic nephropathy.</t>
  </si>
  <si>
    <t>van der Sande, N G C; Dorresteijn, J A N; Visseren, F L J; Dwyer, J P; Blankestijn, P J; van der Graaf, Y; Heerspink, H L J</t>
  </si>
  <si>
    <t>https://pubmed.ncbi.nlm.nih.gov/27337598</t>
  </si>
  <si>
    <t>To predict individualized treatment effects of angiotensin receptor blockers (ARBs) on cardiovascular and renal complications in order to help clinicians and patients assess the benefit of treatment (or adherence) and estimate remaining disease risk. In patients with diabetic nephropathy, the 3-year treatment effect of ARBs was predicted in terms of absolute risk reduction (ARR) for end-stage renal disease (ESRD) and cardiovascular disease (CVD; i.e. myocardial infarction, stroke, hospitalization for heart failure) and all-cause mortality. Competing-risk-adjusted proportional hazard models were developed based on the Irbesartan Diabetic Nephropathy Trial (IDNT) and externally validated in the Reduction of Endpoints NIDDM with Angiotensin II Antagonist Losartan (RENAAL) trial. Predictors included in the model were age, sex, smoking sex, systolic blood pressure, urinary albumin/creatinine ratio, estimated glomerular filtration rate, albumin and phosphorus. The median predicted 3-year risk without treatment was 6.0% for ESRD and 28.0% for CVD and mortality. The median [interquartile range (IQR)] predicted 3-year ARR was 1.2 (0.4-3.1)% for ESRD and 2.2 (1.8-2.6)% for CVD and mortality, resulting in a combined ARR of 3.4 (2.4-5.5)%. The remaining disease risk was 4.7 (IQR 1.7-12.8)% for ESRD and 25.8% (IQR 20.3-31.9)% for CVD and mortality. The combined effects of ARBs on ESRD and CVD and mortality in patients with diabetic nephropathy vary considerably between patients. A substantial proportion of patients remain at high risk for both outcomes despite ARB treatment.</t>
  </si>
  <si>
    <t>An overview of methods for network meta-analysis using individual participant data: when do benefits arise?</t>
  </si>
  <si>
    <t>Debray, Thomas Pa; Schuit, Ewoud; Efthimiou, Orestis; Reitsma, Johannes B; Ioannidis, John Pa; Salanti, Georgia; Moons, Karel Gm; ,</t>
  </si>
  <si>
    <t>https://pubmed.ncbi.nlm.nih.gov/27487843</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</si>
  <si>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</si>
  <si>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Does education level affect the efficacy of a community based salt reduction program? - A post-hoc analysis of the China Rural Health Initiative Sodium Reduction Study (CRHI-SRS).</t>
  </si>
  <si>
    <t>Wang, Xin; Li, Xian; Vaartjes, Ilonca; Neal, Bruce; Bots, Michiel L; Hoes, Arno W; Wu, Yangfeng</t>
  </si>
  <si>
    <t>https://pubmed.ncbi.nlm.nih.gov/27515930</t>
  </si>
  <si>
    <t>Whether educational level influences the effects of health education is not clearly defined. This study examined whether the impact of a community-based dietary salt reduction program was affected by the level of education of participants. The China Rural Health Initiative Sodium Reduction Study (CRHI-SRS) was a cluster-randomized controlled trial conducted in 120 villages from five Northern Chinese provinces. The intervention comprised a village-wide health education program and availability of salt substitute at village shops. 24-h urine samples were collected among 1903 participants for primary evaluation of the intervention effect. A post-hoc analysis was done to explore for heterogeneity of intervention effects by education level using generalized estimating equations. All models were adjusted for age, sex, body mass index and province. Daily salt intake was lower in intervention than in control at all educational levels with no evidence of a difference in the effect of the intervention across different levels of education. P value for the interaction term between education level and the intervention was 0.35. There was likewise no evidence of an interaction for effects of the intervention on potassium intake (p = 0.71), the sodium to potassium ratio (p = 0.07), or knowledge and behaviors related to salt (all p &gt; 0.05). The study suggests that the effects of the intervention were achieved regardless of the level of education and that the intervention should therefore be broadly effective in rural Chinese populations. The trial was registered with clinicaltrial.gov ( NCT01259700 ).</t>
  </si>
  <si>
    <t>Intraprofessional collaboration and learning between specialists and general practitioners during postgraduate training: a qualitative study.</t>
  </si>
  <si>
    <t>Meijer, Loes J; de Groot, Esther; Blaauw-Westerlaken, Mirjam; Damoiseaux, Roger A M J</t>
  </si>
  <si>
    <t>https://pubmed.ncbi.nlm.nih.gov/27514868</t>
  </si>
  <si>
    <t>During postgraduate training, general practitioners and other specialists must learn how to deliver shared care to patients; however, the development of formal intraprofessional education is often hampered by curricular constraints. Delivering shared care in everyday work provides trainees with opportunities for informal learning from, about and with one another. Twelve semi-structured interviews were undertaken with trainee general practitioners and specialists (internal medicine or surgery). A thematic analysis of the input was undertaken and a qualitative description developed. Trainees from different disciplines frequently interact, often by telephone, but generally they learn in a reactive manner. All trainees are highly motivated by the desire to provide good patient care. Specialist trainees learn about the importance of understanding the background of the patient from GPs, while GP trainees gain medical knowledge from the interaction. Trainees from different disciplines are not very motivated to build relationships with each other and have fewer opportunities to do so. Supervisors can play an important role in providing intraprofessional learning opportunities for trainees. During postgraduate training, opportunities for intraprofessional learning occur, but there is much room for improvement. For example, supervisors could increase the involvement of trainees in collaborative tasks and create more awareness of informal learning opportunities. This could assist trainees to learn collaborative skills that will enhance patient care.</t>
  </si>
  <si>
    <t>Does pre-pregnancy BMI determine blood pressure during pregnancy? A prospective cohort study.</t>
  </si>
  <si>
    <t>Savitri, Ary I; Zuithoff, Peter; Browne, Joyce L; Amelia, Dwirani; Baharuddin, Mohammad; Grobbee, Diederick E; Uiterwaal, Cuno S P M</t>
  </si>
  <si>
    <t>https://pubmed.ncbi.nlm.nih.gov/27515754</t>
  </si>
  <si>
    <t>To evaluate if pre-pregnancy body mass index (BMI) determines blood pressure throughout pregnancy and to explore the role of gestational weight gain in this association. In addition, the effects of pre-pregnancy BMI and gestational weight gain on the occurrence of gestational hypertension and pre-eclampsia were investigated. Prospective cohort study. Maternal and child health primary care referral centre, Jakarta, Indonesia. 2252 pregnant women visiting Budi Kemuliaan Hospital and its branch for regular antenatal care visits from July 2012 to April 2015. Pre-pregnancy BMI (kg/m(2)) was based on self-reported pre-pregnancy weight and measured height at first visit. Gestational weight gain was calculated as weight at the day of delivery minus the pre-pregnancy weight. Systolic blood pressure (SBP) and diastolic blood pressure (DBP) were measured during pregnancy at every visit. Linear mixed models were used to analyse this relation with repeated blood pressure measures as the outcome and pre-pregnancy BMI as the predictor. When looking at gestational hypertension and pre-eclampsia as outcomes, (multiple) logistic regression was used in the analysis. Independent of pre-pregnancy BMI, SBP and DBP increased by 0.99 mm Hg/month and 0.46 mm Hg/month, respectively. Higher pre-pregnancy BMI was associated with higher pregnancy SBP (0.25 mm Hg/kg/m(2); 95% CI 0.17 to 0.34; p&lt;0.01) and DBP (0.18 mm Hg/kg/m(2); 0.13 to 0.24; p&lt;0.01) in adjusted analysis. Every 1 kg/m(2) higher pre-pregnancy BMI was associated with 6% and 9% higher odds for gestational hypertension (adjusted OR (aOR) 1.06; 95% CI 1.03 to 1.09; p&lt;0.01) and pre-eclampsia (aOR 1.09; 1.04 to 1.14; p&lt;0.01). Accounting for gestational weight gain did not attenuate these associations. Pre-pregnancy BMI determines the level, but not the change, of blood pressure in pregnancy and is linked to higher odds for gestational hypertension and pre-eclampsia, independent of gestational weight gain.</t>
  </si>
  <si>
    <t>Search for single production of vector-like quarks decaying into &lt;i&gt;Wb&lt;/i&gt; in &lt;i&gt;pp&lt;/i&gt; collisions at [Formula: see text] TeV with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</si>
  <si>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t>
  </si>
  <si>
    <t>https://pubmed.ncbi.nlm.nih.gov/28303082</t>
  </si>
  <si>
    <t>A search for singly produced vector-like &lt;i&gt;Q&lt;/i&gt; quarks, where &lt;i&gt;Q&lt;/i&gt; can be either a &lt;i&gt;T&lt;/i&gt; quark with charge [Formula: see text] or a &lt;i&gt;Y&lt;/i&gt; quark with charge [Formula: see text], is performed in proton-proton collisions recorded with the ATLAS detector at the LHC. The dataset corresponds to an integrated luminosity of 20.3 fb[Formula: see text] and was produced with a centre-of-mass energy of [Formula: see text] TeV. This analysis targets [Formula: see text] decays where the &lt;i&gt;W&lt;/i&gt; boson decays leptonically. A veto on massive large-radius jets is used to reject the dominant [Formula: see text] background. The reconstructed &lt;i&gt;Q&lt;/i&gt;-candidate mass, ranging from 0.4 to 1.2 TeV, is used in the search to discriminate signal from background processes. No significant deviation from the Standard Model expectation is observed, and limits are set on the [Formula: see text] cross-section times branching ratio. The results are also interpreted as limits on the &lt;i&gt;QWb&lt;/i&gt; coupling and the mixing with the Standard Model sector for a singlet &lt;i&gt;T&lt;/i&gt; quark or a &lt;i&gt;Y&lt;/i&gt; quark from a doublet. &lt;i&gt;T&lt;/i&gt; quarks with masses below 0.95 TeV are excluded at 95 % confidence level, assuming a unit coupling and a BR[Formula: see text], whereas the expected limit is 1.10 TeV.</t>
  </si>
  <si>
    <t>Cerebral blood flow in small vessel disease: A systematic review and meta-analysis.</t>
  </si>
  <si>
    <t>Shi, Yulu; Thrippleton, Michael J; Makin, Stephen D; Marshall, Ian; Geerlings, Mirjam I; de Craen, Anton J M; van Buchem, Mark A; Wardlaw, Joanna M</t>
  </si>
  <si>
    <t>https://pubmed.ncbi.nlm.nih.gov/27496552</t>
  </si>
  <si>
    <t>White matter hyperintensities are frequent on neuroimaging of older people and are a key feature of cerebral small vessel disease. They are commonly attributed to chronic hypoperfusion, although whether low cerebral blood flow is cause or effect is unclear. We systematically reviewed studies that assessed cerebral blood flow in small vessel disease patients, performed meta-analysis and sensitivity analysis of potential confounders. Thirty-eight studies (n = 4006) met the inclusion criteria, including four longitudinal and 34 cross-sectional studies. Most cerebral blood flow data were from grey matter. Twenty-four cross-sectional studies (n = 1161) were meta-analysed, showing that cerebral blood flow was lower in subjects with more white matter hyperintensity, globally and in most grey and white matter regions (e.g. mean global cerebral blood flow: standardised mean difference-0.71, 95% CI -1.12, -0.30). These cerebral blood flow differences were attenuated by excluding studies in dementia or that lacked age-matching. Four longitudinal studies (n = 1079) gave differing results, e.g., more baseline white matter hyperintensity predated falling cerebral blood flow (3.9 years, n = 575); cerebral blood flow was low in regions that developed white matter hyperintensity (1.5 years, n = 40). Cerebral blood flow is lower in subjects with more white matter hyperintensity cross-sectionally, but evidence for falling cerebral blood flow predating increasing white matter hyperintensity is conflicting. Future studies should be longitudinal, obtain more white matter data, use better age-correction and stratify by clinical diagnosis.</t>
  </si>
  <si>
    <t>Potential health gains and health losses in eleven EU countries attainable through feasible prevalences of the life-style related risk factors alcohol, BMI, and smoking: a quantitative health impact assessment.</t>
  </si>
  <si>
    <t>Lhachimi, Stefan K; Nusselder, Wilma J; Smit, Henriette A; Baili, Paolo; Bennett, Kathleen; Fernández, Esteve; Kulik, Margarete C; Lobstein, Tim; Pomerleau, Joceline; Boshuizen, Hendriek C; Mackenbach, Johan P</t>
  </si>
  <si>
    <t>https://pubmed.ncbi.nlm.nih.gov/27495151</t>
  </si>
  <si>
    <t>Influencing the life-style risk-factors alcohol, body mass index (BMI), and smoking is an European Union (EU) wide objective of public health policy. The population-level health effects of these risk-factors depend on population specific characteristics and are difficult to quantify without dynamic population health models. For eleven countries-approx. 80 % of the EU-27 population-we used evidence from the publicly available DYNAMO-HIA data-set. For each country the age- and sex-specific risk-factor prevalence and the incidence, prevalence, and excess mortality of nine chronic diseases are utilized; including the corresponding relative risks linking risk-factor exposure causally to disease incidence and all-cause mortality. Applying the DYNAMO-HIA tool, we dynamically project the country-wise potential health gains and losses using feasible, i.e. observed elsewhere, risk-factor prevalence rates as benchmarks. The effects of the "worst practice", "best practice", and the currently observed risk-factor prevalence on population health are quantified and expected changes in life expectancy, morbidity-free life years, disease cases, and cumulative mortality are reported. Applying the best practice smoking prevalence yields the largest gains in life expectancy with 0.4 years for males and 0.3 year for females (approx. 332,950 and 274,200 deaths postponed, respectively) while the worst practice smoking prevalence also leads to the largest losses with 0.7 years for males and 0.9 year for females (approx. 609,400 and 710,550 lives lost, respectively). Comparing morbidity-free life years, the best practice smoking prevalence shows the highest gains for males with 0.4 years (342,800 less disease cases), whereas for females the best practice BMI prevalence yields the largest gains with 0.7 years (1,075,200 less disease cases). Smoking is still the risk-factor with the largest potential health gains. BMI, however, has comparatively large effects on morbidity. Future research should aim to improve knowledge of how policies can influence and shape individual and aggregated life-style-related risk-factor behavior.</t>
  </si>
  <si>
    <t>Impact of Early-Onset Acute Otitis Media on Multiple Recurrences and Associated Health Care Use.</t>
  </si>
  <si>
    <t>de Hoog, Marieke L A; Fortanier, Alexandre C; Smit, Henriette A; Uiterwaal, CunoS P M; van der Ent, Cornelis K; Schilder, Anne; Damoiseaux, RogerA M J; Venekamp, Roderick P; Bruijning-Verhagen, Patricia</t>
  </si>
  <si>
    <t>https://pubmed.ncbi.nlm.nih.gov/27499216</t>
  </si>
  <si>
    <t>To quantify the critical age period of first episode of acute otitis media (AOM) and its consequences for AOM recurrences and AOM health care use. Children enrolled in the Wheezing-Illnesses-STudy-LEidsche-Rijn cohort with at least 1 episode of AOM documented in their primary care health record before 2 years of age were followed until 6 years of age. Data on episodes of AOM and associated primary care consultations, antibiotic prescriptions, and specialist referrals were retrieved. Regression models assessed the presence and shape of the associations between age of first AOM and subsequent episodes of AOM and health care use. A total of 796 of 2026 children (39%) experienced a first AOM before 2 years of age. Each month decrease in age at first AOM in the first 2 years of life increased the risk of developing recurrent AOM (≥3 AOM episodes in 6 months or ≥ 4 in 1 year) linearly by 6% (adjusted risk ratio: 1.06; 95% CI: 1.02-1.10). For first AOM occurring before 9 months, the cumulative 6-year primary care consultation rate increased by 8% (adjusted incidence rate ratio: 1.08; 95% CI: 1.03-1.15) and the associated specialist referral increased by 16% (adjusted risk ratio: 1.16; 95% CI: 1.07-1.27) for each month decrease in age. No associations were found between age at first AOM and total AOM episodes or antibiotic prescriptions. The association between earlier age of first AOM and recurrent AOM as well as total health care use during childhood is particularly strong before 9 months of age.</t>
  </si>
  <si>
    <t>Sensitivity analysis for the effects of multiple unmeasured confounders.</t>
  </si>
  <si>
    <t>Groenwold, Rolf H H; Sterne, Jonathan A C; Lawlor, Debbie A; Moons, Karel G M; Hoes, Arno W; Tilling, Kate</t>
  </si>
  <si>
    <t>annals of epidemiology</t>
  </si>
  <si>
    <t>https://pubmed.ncbi.nlm.nih.gov/27576907</t>
  </si>
  <si>
    <t>Observational studies are prone to (unmeasured) confounding. Sensitivity analysis of unmeasured confounding typically focuses on a single unmeasured confounder. The purpose of this study was to assess the impact of multiple (possibly weak) unmeasured confounders. Simulation studies were performed based on parameters estimated from the British Women's Heart and Health Study, including 28 measured confounders and assuming no effect of ascorbic acid intake on mortality. In addition, 25, 50, or 100 unmeasured confounders were simulated, with various mutual correlations and correlations with measured confounders. The correlated unmeasured confounders did not need to be strongly associated with exposure and outcome to substantially bias the exposure-outcome association at interest, provided that there are sufficiently many unmeasured confounders. Correlations between unmeasured confounders, in addition to the strength of their relationship with exposure and outcome, are key drivers of the magnitude of unmeasured confounding and should be considered in sensitivity analyses. However, if the unmeasured confounders are correlated with measured confounders, the bias yielded by unmeasured confounders is partly removed through adjustment for the measured confounders. Discussions of the potential impact of unmeasured confounding in observational studies, and sensitivity analyses to examine this, should focus on the potential for the joint effect of multiple unmeasured confounders to bias results.</t>
  </si>
  <si>
    <t>Analysis of recruitment in a pragmatic observational study on C-reactive protein point-of-care testing in primary care.</t>
  </si>
  <si>
    <t>Minnaard, Margaretha C; van der Zand, Janna; van de Pol, Alma C; de Wit, Niek J; Schierenberg, Alwin; Hopstaken, Rogier M; van Delft, Sanne; Verheij, Theo J M; Broekhuizen, Berna D L</t>
  </si>
  <si>
    <t>https://pubmed.ncbi.nlm.nih.gov/27485531</t>
  </si>
  <si>
    <t>Failure to recruit all eligible study patients can lead to biased results. Little is known on selective patient recruitment in studies on implementation of diagnostic devices. The aim of this observational study was to measure recruitment of patients in an implementation study in primary care on use of point-of-care (POC) C-reactive protein (CRP) and to evaluate recruitment bias and its impact on the study endpoint. In a cross-sectional observational study on POC CRP implementation and related antibiotics prescribing, we compared included patients with all eligible patients to assess the representativeness of the included subjects. Eligible patients were adults presenting with acute cough in primary care between March and September 2012. The frequency of POC CRP testing and the proportion of prescribed antibiotics were compared between recruited and non-recruited patients. As measure of bias, odds ratios (ORs) with accompanying 95% confidence intervals (CIs) for the association between CRP level (&lt;20 mg/l or not) and antibiotic prescribing were computed. Of all 1473 eligible patients 348 (24%) were recruited. In recruited patients, POC CRP tests were conducted and antibiotics prescribed more frequently as compared to non-recruited patients (81% versus 6% and 44% versus 29%, respectively). The ORs were 18.2 (95%CI: 9.6-34.3), 30.5 (95%CI: 13.2-70.3) and 3.8 (95%CI: 0.9-14.8) respectively in all eligible patients, the recruited and the non-recruited patients. Selective recruitment resulted in an overestimation of POC CRP test use and antibiotic prescribing.</t>
  </si>
  <si>
    <t>Herpes simplex virus type 1 and type 2 in the Netherlands: seroprevalence, risk factors and changes during a 12-year period.</t>
  </si>
  <si>
    <t>Woestenberg, Petra J; Tjhie, Jeroen H T; de Melker, Hester E; van der Klis, Fiona R M; van Bergen, Jan E A M; van der Sande, Marianne A B; van Benthem, Birgit H B</t>
  </si>
  <si>
    <t>https://pubmed.ncbi.nlm.nih.gov/27484304</t>
  </si>
  <si>
    <t>Genital herpes results in considerable morbidity, including risk of neonatal herpes, and is increasingly being caused by Herpes Simplex Virus (HSV) type 1. Possibly children are less often HSV-1 infected, leaving them susceptible until sexual debut. We assessed changes in the Dutch HSV-1 and HSV-2 seroprevalence over time and determinants associated with HSV seropositivity. We used data from two population-based seroepidemiological studies conducted in 1995-6 and 2006-7 with a similar study design. Serum samples of 6 months to 44-year-old participants were tested for type-specific HSV antibodies using HerpesSelect® with a cut-off level of &gt;1.10 for seropositivity. Age and sex-specific HSV-1 and HSV-2 seroprevalence was weighted for the Dutch population. Logistic regression was performed to investigate determinants associated with HSV seropositivity. Overall, weighted HSV-1 seroprevalence was significantly lower in 2006-7 [42.7 % 95 % confidence interval (CI) 39.9-45.4] than in 1995-6 (47.7 % 95 % CI 44.8-50.7), especially among 10- to 14-year-olds. Overall, weighted HSV-2 seroprevalence remained stable: 6.8 % in 1995-6 and 6.0 % in 2006-7. Adults who ever had sexual intercourse were more often seropositive for HSV-1 [adjusted Odds Ratio (aOR) 1.69 95 % CI 1.33-2.16] and HSV-2 (aOR 2.35 95 % CI 1.23-4.52). Age at sexual debut was the only sexual risk determinant associated with HSV-1 seropositivity. Because of the lower HSV-1 seroprevalence in 2006-7 compared to 1995-6, more adults are susceptible to genital HSV-1, including women of reproductive age. Given the higher risk of neonatal herpes when HSV is acquired during pregnancy, prevention and control measures during pregnancy also targeting HSV-1, are important.</t>
  </si>
  <si>
    <t>Impact of Heterogeneity in Sexual Behavior on Effectiveness in Reducing HIV Transmission with Test-and-Treat Strategy.</t>
  </si>
  <si>
    <t>Rozhnova, Ganna; van der Loeff, Maarten F Schim; Heijne, Janneke C M; Kretzschmar, Mirjam E</t>
  </si>
  <si>
    <t>https://pubmed.ncbi.nlm.nih.gov/27479074</t>
  </si>
  <si>
    <t>The WHO's early-release guideline for antiretroviral treatment (ART) of HIV infection based on a recent trial conducted in 34 countries recommends starting treatment immediately upon an HIV diagnosis. Therefore, the test-and-treat strategy may become more widely used in an effort to scale up HIV treatment and curb further transmission. Here we examine behavioural determinants of HIV transmission and how heterogeneity in sexual behaviour influences the outcomes of this strategy. Using a deterministic model, we perform a systematic investigation into the effects of various mixing patterns in a population of men who have sex with men (MSM), stratified by partner change rates, on the elimination threshold and endemic HIV prevalence. We find that both the level of overdispersion in the distribution of the number of sexual partners and mixing between population subgroups have a large influence on endemic prevalence before introduction of ART and on possible long term effectiveness of ART. Increasing heterogeneity in risk behavior may lead to lower endemic prevalence levels, but requires higher coverage levels of ART for elimination. Elimination is only feasible for populations with a rather low degree of assortativeness of mixing and requires treatment coverage of almost 80% if rates of testing and treatment uptake by all population subgroups are equal. In this case, for fully assortative mixing and 80% coverage endemic prevalence is reduced by 57%. In the presence of heterogeneity in ART uptake, elimination is easier to achieve when the subpopulation with highest risk behavior is tested and treated more often than the rest of the population, and vice versa when it is less. The developed framework can be used to extract information on behavioral heterogeneity from existing data which is otherwise hard to determine from population surveys.</t>
  </si>
  <si>
    <t>The relationship between the dietary inflammatory index and risk of total cardiovascular disease, ischemic heart disease and cerebrovascular disease: Findings from an Australian population-based prospective cohort study of women.</t>
  </si>
  <si>
    <t>Vissers, Linda E T; Waller, Michael A; van der Schouw, Yvonne T; Hebert, James R; Shivappa, Nitin; Schoenaker, Danielle A J M; Mishra, Gita D</t>
  </si>
  <si>
    <t>https://pubmed.ncbi.nlm.nih.gov/27498398</t>
  </si>
  <si>
    <t>Recently, a pro-inflammatory diet based on a dietary inflammatory index (DII) has been related to higher CVD risk in general population, but this has not been investigated among women. We investigated the relationship between DII and risk of total CVD and CVD subgroups (myocardial infarction, ischemic heart disease, stroke and cerebrovascular disease) in a prospective cohort of 6972 Australian women aged 50-55 years at baseline in 2001. We used clinical and procedure information from inpatient hospital separation registries, information on use of health care services, and from the causes-of-death registry to ascertain CVD outcomes during 11-year follow up. The association between baseline DII score and cardiovascular endpoints was analysed through cox-regression, with correction for demographic and cardiovascular risk factors. We identified 335 incident cases of CVD and 191 cases of ischaemic heart disease (including 69 myocardial infarctions) and 59 cases of cerebrovascular disease (including 40 cases of stroke). A statistically significant higher risk of myocardial infarction was observed in analyses using DII scores as a continuous variable with a hazard ratio of 1.46 (95% confidence interval 1.12-1.89), but this was attenuated by further adjustment for other known cardiovascular risk factors. No association was found for total CVD, ischaemic heart diseases, or cerebrovascular disease. There was no statistically significant association between the dietary inflammatory index and risk of total cardiovascular disease, ischemic heart disease, myocardial infarction, cerebrovascular disease or stroke in this population of mid-aged Australian women. Associations were not different for postmenopausal women.</t>
  </si>
  <si>
    <t>Scaling up strategies of the chronic respiratory disease programme of the European Innovation Partnership on Active and Healthy Ageing (Action Plan B3: Area 5).</t>
  </si>
  <si>
    <t>https://pubmed.ncbi.nlm.nih.gov/27478588</t>
  </si>
  <si>
    <t>Action Plan B3 of the European Innovation Partnership on Active and Healthy Ageing (EIP on AHA) focuses on the integrated care of chronic diseases. Area 5 (Care Pathways) was initiated using chronic respiratory diseases as a model. The chronic respiratory disease action plan includes (1) AIRWAYS integrated care pathways (ICPs), (2) the joint initiative between the Reference site MACVIA-LR (Contre les MAladies Chroniques pour un VIeillissement Actif) and ARIA (Allergic Rhinitis and its Impact on Asthma), (3) Commitments for Action to the European Innovation Partnership on Active and Healthy Ageing and the AIRWAYS ICPs network. It is deployed in collaboration with the World Health Organization Global Alliance against Chronic Respiratory Diseases (GARD). The European Innovation Partnership on Active and Healthy Ageing has proposed a 5-step framework for developing an individual scaling up strategy: (1) what to scale up: (1-a) databases of good practices, (1-b) assessment of viability of the scaling up of good practices, (1-c) classification of good practices for local replication and (2) how to scale up: (2-a) facilitating partnerships for scaling up, (2-b) implementation of key success factors and lessons learnt, including emerging technologies for individualised and predictive medicine. This strategy has already been applied to the chronic respiratory disease action plan of the European Innovation Partnership on Active and Healthy Ageing.</t>
  </si>
  <si>
    <t>Controversy and consensus on a clinical pharmacist in primary care in the Netherlands.</t>
  </si>
  <si>
    <t>Hazen, Ankie C M; Wal, Aletta W van der; Sloeserwij, Vivianne M; Zwart, Dorien L M; Gier, Johan J de; Wit, Niek J de; Leendertse, Anne J; Bouvy, Marcel L; Bont, Antoinette A de</t>
  </si>
  <si>
    <t>https://pubmed.ncbi.nlm.nih.gov/27473710</t>
  </si>
  <si>
    <t>Background Controversy about the introduction of a non-dispensing pharmacist in primary care practice hampers implementation. Objective The aim of this study is to systematically map the debate on this new role for pharmacists amongst all stakeholders to uncover and understand the controversy and consensus. Primary health care in the Netherlands. Method Q methodology. 163 participants rank-ordered statements on issues concerning the integration of a non-dispensing pharmacist in primary care practice. Stakeholder perspectives on the role of the non-dispensing pharmacist and pharmaceutical care in primary care. Results This study identified the consensus on various features of the non-dispensing pharmacist role as well as the financial, organisational and collaborative aspects of integrating a non-dispensing pharmacist in primary care practice. Q factor analysis revealed four perspectives: "the independent community pharmacist", "the independent clinical pharmacist", "the dependent clinical pharmacist" and "the medication therapy management specialist". These four perspectives show controversies to do with the level of professional independency of the non-dispensing pharmacist and the level of innovation of task performance. Conclusion Despite the fact that introducing new professional roles in healthcare can lead to controversy, the results of this Q study show the potential of a non-dispensing pharmacist as a pharmaceutical care provider and the willingness for interprofessional collaboration. The results from the POINT intervention study in the Netherlands will be an important next step in resolving current controversies.</t>
  </si>
  <si>
    <t>Technical analysis, contestation and politics in policy agenda setting and implementation: the rise and fall of primary care maternal services from Ghana's capitation policy.</t>
  </si>
  <si>
    <t>Koduah, Augustina; van Dijk, Han; Agyepong, Irene Akua</t>
  </si>
  <si>
    <t>https://pubmed.ncbi.nlm.nih.gov/27473662</t>
  </si>
  <si>
    <t>Why issues get on the policy agenda, move into policy formulation and implementation while others drop off in the process is an important field of enquiry to inform public social policy development and implementation. This paper seeks to advance our understanding of health policy agenda setting, formulation and implementation processes in Ghana, a lower middle income country by exploring how and why less than three months into the implementation of a pilot prior to national scale up; primary care maternal services that were part of the basket of services in a primary care per capita national health insurance scheme provider payment system dropped off the agenda. We used a case study design to systematically reconstruct the decisions and actions surrounding the rise and fall of primary care maternal health services from the capitation policy. Data was collected from July 2012 and August 2014 through in-depth interviews, observations and document review. The data was analysed drawing on concepts of policy resistance, power and arenas of conflict. During the agenda setting and policy formulation stages; predominantly technical policy actors within the bureaucratic arena used their expertise and authority for consensus building to get antenatal, normal delivery and postnatal services included in the primary care per capita payment system. Once policy implementation started, policy makers were faced with unanticipated resistance. Service providers, especially the private self-financing used their professional knowledge and skills, access to political and social power and street level bureaucrat power to contest and resist various aspects of the policy and its implementation arrangements - including the inclusion of primary care maternal health services. The context of intense public arena conflicts and controversy in an election year added to the high level political anxiety generated by the contestation. The President and Minister of Health responded and removed antenatal, normal delivery and postnatal care from the per capita package. The tensions and complicated relationships between technical considerations and politics and bureaucratic versus public arenas of conflict are important influences that can cause items to rise and fall on policy agendas.</t>
  </si>
  <si>
    <t>Whole-exome sequencing in pediatrics: parents' considerations toward return of unsolicited findings for their child.</t>
  </si>
  <si>
    <t>Cornelis, Candice; Tibben, Aad; Dondorp, Wybo; van Haelst, Mieke; Bredenoord, Annelien L; Knoers, Nine; Düwell, Marcus; Bolt, Ineke; van Summeren, Marieke</t>
  </si>
  <si>
    <t>https://pubmed.ncbi.nlm.nih.gov/27460421</t>
  </si>
  <si>
    <t>Parents' preferences for unsolicited findings (UFs) from diagnostic whole-exome sequencing (WES) for their children remain largely unexplored. Our aim was to gain insight into parental considerations favoring acceptance/decline of UFs pertaining to their child. We conducted 20 qualitative, semistructured interviews with parents (n=34) of children with a developmental delay, aged &lt;1 to 17 years, after consenting to WES, but before feedback of results. Key findings from our study were that all parents favored acceptance of UFs for medically actionable conditions in childhood, but that preferences and considerations diverged for UFs with no medical actionability, or only in adulthood, and regarding carrier-status. Sometimes non-medical utility considerations (considerations of usefulness of knowing UFs, not rooted in (preventive) medical treatment or controls) were given in favor of disclosure of UFs. Sometimes the child's future autonomy formed a reason to withhold UFs at present, despite an unfavorable prognosis concerning the child's cognitive capabilities. Some parents only preferred receiving UFs if these findings were directly related to their reasons for seeking a diagnosis. These findings are essential for developing morally responsible policy and for counseling. Further research should focus on whether considerations of non-medical utility alone can justify disclosure of UFs and whether reasons for seeking a diagnosis place further constraints on what UFs may be returned/withheld. How parents can be aided in contemplating different scenarios regarding their child's future development also deserves further inquiry.</t>
  </si>
  <si>
    <t>Development and validation of a new instrument measuring guideline adherence in clinical practice.</t>
  </si>
  <si>
    <t>Kortekaas, Marlous F; Bartelink, Marie-Louise E L; van der Heijden, Geert J M G; Hoes, Arno W; de Wit, Niek J</t>
  </si>
  <si>
    <t>https://pubmed.ncbi.nlm.nih.gov/27461491</t>
  </si>
  <si>
    <t>Education in evidence-based medicine (EBM) is an important part of the postgraduate training of GPs. Evaluation of its effect on EBM behaviour in daily clinical practice is difficult and instruments are scarce. Working in accordance with guidelines is considered as one of the key indicators of EBM behaviour. To develop and validate an instrument assessing guideline adherence of GP trainees in clinical practice. We developed an instrument that assesses guideline adherence, taking conscious deviation into account. The instrument assesses guideline adherence on 59 different management decisions (diagnosis N = 17, therapy N = 20, referral N = 22) for 23 conditions as described in 27 different clinical practice guidelines. We validated this instrument using performance data as collected by third-year GP trainees on three important properties: validity, reliability and feasibility. Performance data were collected by 76 GP trainees on 12106 patient consultations with 12587 different reasons for encounter. Overall, guideline adherence was 82% (95% confidence interval 77-88%). The significant correlation with the national GP knowledge test (r 0.33, P 0.004) showed the instrument to be a valid instrument. Interrater reliabilities (intraclass correlation coefficient) varied between moderate and excellent (0.64-1.00, P &lt; 0.001). The instrument proved feasible with coverage of 24% (N = 3082) of reasons for encounter presented to GP trainees and a mean and median time of 1 minute to score a patient consultation. This instrument proved valid, reliable and feasible to assess guideline adherence among trainees in the clinical primary care setting.</t>
  </si>
  <si>
    <t>The relationship between vitamin K and peripheral arterial disease.</t>
  </si>
  <si>
    <t>Vissers, Linda E T; Dalmeijer, Geertje W; Boer, Jolanda M A; Verschuren, W M Monique; van der Schouw, Yvonne T; Beulens, Joline W J</t>
  </si>
  <si>
    <t>https://pubmed.ncbi.nlm.nih.gov/27494446</t>
  </si>
  <si>
    <t>A high dietary intake of vitamin K1 (phylloquinone) and vitamin K2 (menaquinones) is thought to decrease cardiovascular disease risk by reducing vascular calcification. The objective of this study is to explore if there is a relationship between phylloquinone and menaquinones intake and risk of PAD. We investigated the association between intake of phylloquinone and menaquinones with PAD in a prospective cohort with 36,629 participants. Occurrence of PAD was obtained by linkage to national registries. Baseline intake of phylloquinone and menaquinones was estimated using a validated food-frequency questionnaire. Multivariate Cox regression was used to estimate adjusted hazard ratio's for the association. During 12.1 years (standard deviation 2.1 years) of follow-up, 489 incident cases of PAD were documented. Menaquinones intake was associated with a reduced risk of PAD with a hazard ratio (HR) of 0.71, 95% CI; 0.53-0.95 for the highest versus lowest quartile. A stronger association was observed (p interaction 0.0001) in participants with hypertension (HRQ4 versus Q1 0.59; 95% CI 0.39-0.87) or diabetes (HRQ4 versus Q1 0.56; 95% CI 0.18-1.91), though confidence intervals were wide in the small (n = 530) diabetes stratum. Phylloquinone intake was not associated with PAD risk. High intake of menaquinones was associated with a reduced risk of PAD, at least in hypertensive participants. High intake of phylloquinone was not associated with a reduced risk of PAD.</t>
  </si>
  <si>
    <t>Incentives to yield to Obstetric Referrals in deprived areas of Amansie West district in the Ashanti Region, Ghana.</t>
  </si>
  <si>
    <t>Nuamah, Gladys Buruwaa; Agyei-Baffour, Peter; Akohene, Kofi Mensah; Boateng, Daniel; Dobin, Dominic; Addai-Donkor, Kwasi</t>
  </si>
  <si>
    <t>international journal for equity in health</t>
  </si>
  <si>
    <t>https://pubmed.ncbi.nlm.nih.gov/27449497</t>
  </si>
  <si>
    <t>Obstetric referrals, otherwise known as maternal referrals constitute an eminent component of emergency care, and key to ensuring safe delivery and reducing maternal and child mortalities. The efficiency of Obstetric referral systems is however marred by the lack of accessible transportation and socio-economic disparities in access to healthcare. This study evaluated the role of socio-economic factors, perception and transport availability in honouring Obstetric referrals from remote areas to referral centres. This was a cross-sectional study, involving 720 confirmed pregnant women randomly sampled from five (5) sub-districts in the Amansie west district in Ghana, from February to May 2015. Data were collected through structured questionnaire using face-to-face interviewing and analyzed using STATA 11.0 for windows. Logistic regression models were fitted to determine the influence of socio-demographic characteristics and pregnancy history on obstetric referrals. About 21.7 % of the women studied honoured referral by a community health worker to the next level of care. Some of the pregnant women however refused referrals to the next level due to lack of money (58 %) and lack of transport (17 %). A higher household wealth quintile increased the odds of being referred and honouring referral as compared to those in the lowest wealth quintile. Women who perceived their disease conditions as emergencies and severe were also more likely to honour obstetric referrals (OR = 2.3; 95 % CI = 1.3, 3.9). Clients' perceptions about severity of health condition and low income remain barriers to seeking healthcare and disincentives to honour obstetric referrals in a setting with inequitable access to healthcare. Implementing social interventions could improve the situation and help attain maternal health targets in deprived areas.</t>
  </si>
  <si>
    <t>Determinants of leptomeningeal collateral flow in stroke patients with a middle cerebral artery occlusion.</t>
  </si>
  <si>
    <t>van Seeters, Tom; Biessels, Geert Jan; Kappelle, L Jaap; van der Graaf, Yolanda; Velthuis, Birgitta K; ,</t>
  </si>
  <si>
    <t>https://pubmed.ncbi.nlm.nih.gov/27438804</t>
  </si>
  <si>
    <t>Poor leptomeningeal collateral flow is related to worse clinical outcome in acute ischemic stroke, but the factors that determine leptomeningeal collateral patency are largely unknown. We explored the determinants of leptomeningeal collateral flow and assessed their effect on the relation between leptomeningeal collateral flow and clinical outcome. We included 484 patients from the Dutch acute stroke study (DUST) with a middle cerebral artery (MCA) occlusion. The determinants of poor leptomeningeal collateral flow (≤50 % collateral filling) were identified with logistic regression. We calculated the relative risk (RR) of poor leptomeningeal collateral flow in relation to poor clinical outcome (90-day modified Rankin Scale 3-6) using Poisson regression and assessed whether the determinants of leptomeningeal collateral flow affected this relation. Leptomeningeal collateral flow was poor in 142 patients (29 %). In multivariable analyses, higher admission glucose level (odds ratio (OR) 1.1 per mmol/L increase (95 % CI 1.0-1.2)), a proximal MCA occlusion (OR 1.9 (95 % CI 1.3-3.0)), and an incomplete posterior circle of Willis (OR 1.7 (95 % CI 1.1-2.6)) were independently related to poor leptomeningeal collateral flow. Poor leptomeningeal collateral flow was related to poor clinical outcome (unadjusted RR 1.7 (95 % CI 1.4-2.0)), and this relation was not affected by the determinants of leptomeningeal collateral flow. Our study shows that admission glucose level, a proximal MCA occlusion, and an incomplete ipsilateral posterior circle of Willis are determinants of leptomeningeal collateral flow that represent a combination of congenital, acquired, and acute factors. After adjustment for these determinants, leptomeningeal collateral flow remains related to clinical outcome.</t>
  </si>
  <si>
    <t>High Hospitalization Rates in Survivors of Childhood Cancer: A Longitudinal Follow-Up Study Using Medical Record Linkage.</t>
  </si>
  <si>
    <t>Sieswerda, Elske; Font-Gonzalez, Anna; Reitsma, Johannes B; Dijkgraaf, Marcel G W; Heinen, Richard C; Jaspers, Monique W; van der Pal, Helena J; van Leeuwen, Flora E; Caron, Huib N; Geskus, Ronald B; Kremer, Leontien C</t>
  </si>
  <si>
    <t>https://pubmed.ncbi.nlm.nih.gov/27433937</t>
  </si>
  <si>
    <t>Hospitalization rates over time of childhood cancer survivors (CCS) provide insight into the burden of unfavorable health conditions on CCS and health care resources. The objective of our study was to examine trends in hospitalizations of CCS and risk factors in comparison with the general population. We performed a medical record linkage study of a cohort of 1564 ≥five-year CCS with national registers. We obtained a random sample of the general population matched on year of birth, gender and calendar year per CCS retrieved. We quantified and compared hospitalization rates of CCS and reference persons from 1995 until 2005, and we analyzed risk factors for hospitalization within the CCS cohort with multivariable Poisson models. We retrieved hospitalization information from 1382 CCS and 25583 reference persons. The overall relative hospitalization rate (RHR) was 2.2 (95%CI:1.9-2.5) for CCS compared to reference persons. CCS with central nervous system and solid tumors had highest RHRs. Hospitalization rates in CCS were increased compared to reference persons up to at least 30 years after primary diagnosis, with highest rates 5-10 and 20-30 years after primary cancer. RHRs were highest for hospitalizations due to neoplasms (10.7; 95%CI:7.1-16.3) and endocrine/nutritional/metabolic disorders (7.3; 95%CI:4.6-11.7). Female gender (P&lt;0.001), radiotherapy to head and/or neck (P&lt;0.001) or thorax and/or abdomen (P = 0.03) and surgery (P = 0.01) were associated with higher hospitalization rates in CCS. In conclusion, CCS have increased hospitalization rates compared to the general population, up to at least 30 years after primary cancer treatment. These findings imply a high and long-term burden of unfavorable health conditions after childhood cancer on survivors and health care resources.</t>
  </si>
  <si>
    <t>The influence of baseline risk on the relation between HbA1c and risk for new cardiovascular events and mortality in patients with type 2 diabetes and symptomatic cardiovascular disease.</t>
  </si>
  <si>
    <t>Bots, Sophie H; van der Graaf, Yolanda; Nathoe, Hendrik M W; de Borst, Gert Jan; Kappelle, Jaap L; Visseren, Frank L J; Westerink, Jan; ,</t>
  </si>
  <si>
    <t>https://pubmed.ncbi.nlm.nih.gov/27431507</t>
  </si>
  <si>
    <t>Strict glycaemic control in patients with type 2 diabetes has proven to have microvascular benefits while the effects on CVD and mortality are less clear, especially in high risk patients. Whether strict glycaemic control would reduce the risk of future CVD or mortality in patients with type 2 diabetes and pre-existing CVD, is unknown. This study aims to evaluate whether the relation between baseline HbA1c and new cardiovascular events or mortality in patients with type 2 diabetes and pre-existing cardiovascular disease (CVD) is modified by baseline vascular risk. A cohort of 1096 patients with type 2 diabetes and CVD from the Second Manifestations of ARTerial Disease (SMART) study was followed. The relation between HbA1c at baseline and future vascular events (composite of myocardial infarction, stroke and vascular mortality) and all-cause mortality was evaluated with Cox proportional hazard analyses in a population that was stratified for baseline risk for vascular events as calculated with the SMART risk score. The mean follow-up duration was 6.9 years for all-cause mortality and 6.4 years for vascular events, in which period 243 and 223 cases were reported, respectively. A 1 % increase in HbA1c was associated with a higher risk for all-cause mortality (HR 1.18, 95 % CI 1.06-1.31). This association was also found in the highest SMART risk quartile (HR 1.33, 95 % CI 1.11-1.60). There was no relation between HbA1c and the occurrence of cardiovascular events during follow-up (HR 1.03, 95 % CI 0.91-1.16). The interaction term between HbA1c and SMART risk score was not significantly related to any of the outcomes. In patients with type 2 diabetes and CVD, HbA1c is related to the risk of all-cause mortality, but not to the risk of cardiovascular events. The relation between HbA1c and all-cause mortality in patients with type 2 diabetes and vascular disease is not dependent on baseline vascular risk.</t>
  </si>
  <si>
    <t>Cardiovascular risk management after reproductive and pregnancy-related disorders: A Dutch multidisciplinary evidence-based guideline.</t>
  </si>
  <si>
    <t>Heida, Karst Y; Bots, Michiel L; de Groot, Christianne Jm; van Dunné, Frederique M; Hammoud, Nurah M; Hoek, Annemiek; Laven, Joop Se; Maas, Angela Hem; Roeters van Lennep, Jeanine E; Velthuis, Birgitta K; Franx, Arie</t>
  </si>
  <si>
    <t>https://pubmed.ncbi.nlm.nih.gov/27432836</t>
  </si>
  <si>
    <t>In the past decades evidence has accumulated that women with reproductive and pregnancy-related disorders are at increased risk of developing cardiovascular disease (CVD) in the future. Up to now there is no standardised follow-up of these women becausee guidelines on cardiovascular risk management for this group are lacking. However, early identification of high-risk populations followed by prevention and treatment of CVD risk factors has the potential to reduce CVD incidence. Therefore, the Dutch Society of Obstetrics and Gynaecology initiated a multidisciplinary working group to develop a guideline for cardiovascular risk management after reproductive and pregnancy-related disorders. The guideline addresses the cardiovascular risk consequences of gestational hypertension, preeclampsia, preterm delivery, small-for-gestational-age infant, recurrent miscarriage, polycystic ovary syndrome and premature ovarian insufficiency. The best available evidence on these topics was captured by systematic review. Recommendations for clinical practice were formulated based on the evidence and consensus of expert opinion. The Dutch societies of gynaecologists, cardiologists, vascular internists, radiologists and general practitioners reviewed the guideline to ensure support for implementation in clinical practice. For all reproductive and pregnancy-related disorders a moderate increased relative risk was found for overall CVD, except for preeclampsia (relative risk 2.15, 95% confidence interval 1.76-2.61). Based on the current available evidence, follow-up is only recommended for women with a history of preeclampsia. For all reproductive and pregnancy-related disorders optimisation of modifiable cardiovascular risk factors is recommended to reduce the risk of future CVD.</t>
  </si>
  <si>
    <t>Charged-particle distributions in &lt;i&gt;pp&lt;/i&gt; interactions at [Formula: see text] measured with the ATLAS detector.</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</si>
  <si>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t>
  </si>
  <si>
    <t>https://pubmed.ncbi.nlm.nih.gov/28280450</t>
  </si>
  <si>
    <t>This paper presents measurements of distributions of charged particles which are produced in proton-proton collisions at a centre-of-mass energy of [Formula: see text] and recorded by the ATLAS detector at the LHC. A special dataset recorded in 2012 with a small number of interactions per beam crossing (below 0.004) and corresponding to an integrated luminosity of 160 [Formula: see text] was used. A minimum-bias trigger was utilised to select a data sample of more than 9 million collision events. The multiplicity, pseudorapidity, and transverse momentum distributions of charged particles are shown in different regions of kinematics and charged-particle multiplicity, including measurements of final states at high multiplicity. The results are corrected for detector effects and are compared to the predictions of various Monte Carlo event generator models which simulate the full hadronic final state.</t>
  </si>
  <si>
    <t>Dietary Saturated Fatty Acids and Coronary Heart Disease Risk in a Dutch Middle-Aged and Elderly Population.</t>
  </si>
  <si>
    <t>Praagman, Jaike; de Jonge, Ester A L; Kiefte-de Jong, Jessica C; Beulens, Joline W J; Sluijs, Ivonne; Schoufour, Josje D; Hofman, Albert; van der Schouw, Yvonne T; Franco, Oscar H</t>
  </si>
  <si>
    <t>https://pubmed.ncbi.nlm.nih.gov/27417581</t>
  </si>
  <si>
    <t>We assessed whether the association between dietary saturated fatty acids (SFA) and incident coronary heart disease (CHD) depends on the food source, the carbon chain length of SFA, and the substituting macronutrient. From the Rotterdam Study, 4722 men and women (≥55 years) were included. Baseline (1990-1993) SFA intake was assessed using a validated food frequency questionnaire. CHD (nonfatal myocardial infarction and fatal CHD) was ascertained by medical records. Using multivariable Cox regression analysis, we calculated CHD risks for higher intakes of total SFA, SFA from specific food sources, SFA differing in carbon chain length, and substituting other macronutrients instead of SFA. During a median follow-up of 16.3 years, 659 CHD events occurred. Total SFA intake was not associated with CHD risk (hazard ratio [HR] per 5 en%, 1.13; 95% confidence interval, 0.94-1.22), and neither was SFA from specific food sources. A higher CHD risk was observed for palmitic acid (16:0) intake (HRSD, 1.26; 95% confidence interval, 1.05-1.15) but not for SFA with other chain lengths. Except for a higher CHD risk for substitution of SFA with animal protein (HR5en%, 1.24; 95% confidence interval, 1.01-1.51), substitution with other macronutrients was not associated with CHD. In this Dutch population, we observed that a higher intake of palmitic acid, which accounts for ≈50% of the total SFA intake, was associated with a higher CHD risk, as was substitution of total SFA with animal protein. Nevertheless, we found no association between total SFA intake and CHD risk, which did not differ by food source.</t>
  </si>
  <si>
    <t>Consistency of breast density categories in serial screening mammograms: A comparison between automated and human assessment.</t>
  </si>
  <si>
    <t>Holland, Katharina; van Zelst, Jan; den Heeten, Gerard J; Imhof-Tas, Mechli; Mann, Ritse M; van Gils, Carla H; Karssemeijer, Nico</t>
  </si>
  <si>
    <t>https://pubmed.ncbi.nlm.nih.gov/27420382</t>
  </si>
  <si>
    <t>Reliable breast density measurement is needed to personalize screening by using density as a risk factor and offering supplemental screening to women with dense breasts. We investigated the categorization of pairs of subsequent screening mammograms into density classes by human readers and by an automated system. With software (VDG) and by four readers, including three specialized breast radiologists, 1000 mammograms belonging to 500 pairs of subsequent screening exams were categorized into either two or four density classes. We calculated percent agreement and the percentage of women that changed from dense to non-dense and vice versa. Inter-exam agreement (IEA) was calculated with kappa statistics. Results were computed for each reader individually and for the case that each mammogram was classified by one of the four readers by random assignment (group reading). Higher percent agreement was found with VDG (90.4%, CI 87.9-92.9%) than with readers (86.2-89.2%), while less plausible changes from non-dense to dense occur less often with VDG (2.8%, CI 1.4-4.2%) than with group reading (4.2%, CI 2.4-6.0%). We found an IEA of 0.68-0.77 for the readers using two classes and an IEA of 0.76-0.82 using four classes. IEA is significantly higher with VDG compared to group reading. The categorization of serial mammograms in density classes is more consistent with automated software than with a mixed group of human readers. When using breast density to personalize screening protocols, assessment with software may be preferred over assessment by radiologists.</t>
  </si>
  <si>
    <t>Diet Quality Scores and Prediction of All-Cause, Cardiovascular and Cancer Mortality in a Pan-European Cohort Study.</t>
  </si>
  <si>
    <t>Lassale, Camille; Gunter, Marc J; Romaguera, Dora; Peelen, Linda M; Van der Schouw, Yvonne T; Beulens, Joline W J; Freisling, Heinz; Muller, David C; Ferrari, Pietro; Huybrechts, Inge; Fagherazzi, Guy; Boutron-Ruault, Marie-Christine; Affret, Aurélie; Overvad, Kim; Dahm, Christina C; Olsen, Anja; Roswall, Nina; Tsilidis, Konstantinos K; Katzke, Verena A; Kühn, Tilman; Buijsse, Brian; Quirós, José-Ramón; Sánchez-Cantalejo, Emilio; Etxezarreta, Nerea; Huerta, José María; Barricarte, Aurelio; Bonet, Catalina; Khaw, Kay-Tee; Key, Timothy J; Trichopoulou, Antonia; Bamia, Christina; Lagiou, Pagona; Palli, Domenico; Agnoli, Claudia; Tumino, Rosario; Fasanelli, Francesca; Panico, Salvatore; Bueno-de-Mesquita, H Bas; Boer, Jolanda M A; Sonestedt, Emily; Nilsson, Lena Maria; Renström, Frida; Weiderpass, Elisabete; Skeie, Guri; Lund, Eiliv; Moons, Karel G M; Riboli, Elio; Tzoulaki, Ioanna</t>
  </si>
  <si>
    <t>https://pubmed.ncbi.nlm.nih.gov/27409582</t>
  </si>
  <si>
    <t>Scores of overall diet quality have received increasing attention in relation to disease aetiology; however, their value in risk prediction has been little examined. The objective was to assess and compare the association and predictive performance of 10 diet quality scores on 10-year risk of all-cause, CVD and cancer mortality in 451,256 healthy participants to the European Prospective Investigation into Cancer and Nutrition, followed-up for a median of 12.8y. All dietary scores studied showed significant inverse associations with all outcomes. The range of HRs (95% CI) in the top vs. lowest quartile of dietary scores in a composite model including non-invasive factors (age, sex, smoking, body mass index, education, physical activity and study centre) was 0.75 (0.72-0.79) to 0.88 (0.84-0.92) for all-cause, 0.76 (0.69-0.83) to 0.84 (0.76-0.92) for CVD and 0.78 (0.73-0.83) to 0.91 (0.85-0.97) for cancer mortality. Models with dietary scores alone showed low discrimination, but composite models also including age, sex and other non-invasive factors showed good discrimination and calibration, which varied little between different diet scores examined. Mean C-statistic of full models was 0.73, 0.80 and 0.71 for all-cause, CVD and cancer mortality. Dietary scores have poor predictive performance for 10-year mortality risk when used in isolation but display good predictive ability in combination with other non-invasive common risk factors.</t>
  </si>
  <si>
    <t>Best (but oft-forgotten) practices: propensity score methods in clinical nutrition research.</t>
  </si>
  <si>
    <t>Ali, M Sanni; Groenwold, Rolf Hh; Klungel, Olaf H</t>
  </si>
  <si>
    <t>https://pubmed.ncbi.nlm.nih.gov/27413128</t>
  </si>
  <si>
    <t>In observational studies, treatment assignment is a nonrandom process and treatment groups may not be comparable in their baseline characteristics, a phenomenon known as confounding. Propensity score (PS) methods can be used to achieve comparability of treated and nontreated groups in terms of their observed covariates and, as such, control for confounding in estimating treatment effects. In this article, we provide a step-by-step guidance on how to use PS methods. For illustrative purposes, we used simulated data based on an observational study of the relation between oral nutritional supplementation and hospital length of stay. We focused on the key aspects of PS analysis, including covariate selection, PS estimation, covariate balance assessment, treatment effect estimation, and reporting. PS matching, stratification, covariate adjustment, and weighting are discussed. R codes and example data are provided to show the different steps in a PS analysis.</t>
  </si>
  <si>
    <t>Effectiveness of a cervical pessary for women who did not deliver 48 h after threatened preterm labor (Assessment of perinatal outcome after specific treatment in early labor: Apostel VI trial).</t>
  </si>
  <si>
    <t>Hermans, Frederik J R; Schuit, Ewoud; Opmeer, Brent C; Oudijk, Martijn A; Bekker, Mireille; Woiski, Mallory; Bax, Caroline J; Sueters, Marieke; Scheepers, Hubertina C J; Franssen, Maureen T M; Pajkrt, Eva; Mol, Ben Willem J; Kok, Marjolein</t>
  </si>
  <si>
    <t>https://pubmed.ncbi.nlm.nih.gov/27405353</t>
  </si>
  <si>
    <t>Preterm birth is a major cause of neonatal mortality and morbidity. As preventive strategies are largely ineffective, threatened preterm labor is a frequent problem that affects approximately 10 % of pregnancies. In recent years, risk assessment in these women has incorporated cervical length measurement and fetal fibronectin testing, and this has improved the capacity to identify women at increased risk for delivery within 14 days. Despite these improvements, risk for preterm birth continues to be increased in women who did not deliver after an episode of threatened preterm labor, as indicated by a preterm birth rate between 30 to 60 % in this group of women. Currently no effective treatment is available. Studies on maintenance tocolysis and progesterone have shown ambiguous results. The pessary has not been evaluated in women with threatened preterm labor, however studies in asymptomatic women with a short cervix show reduced rates of preterm birth rates as well as perinatal complications. The APOSTEL VI trial aims to assess the effectiveness of a cervical pessary in women who did not deliver within 48 h after an episode of threatened preterm labor. This is a nationwide multicenter open-label randomized clinical trial. Women with a singleton or twin gestation with intact membranes, who were admitted for threatened preterm labor, at a gestational age between 24 and 34 weeks, a cervical length between 15 and 30 mm and a positive fibronectin test or a cervical length below 15 mm, who did not deliver after 48 h will be eligible for inclusion. Women will be allocated to a pessary or no intervention (usual care). Primary outcome is preterm delivery &lt; 37 weeks. Secondary outcomes are amongst others a composite of perinatal morbidity and mortality. Sample size is based on an expected 50 % reduction of preterm birth before 37 weeks (two-sided test, α 0.05 and β 0.2). Two hundred women with a singleton pregnancy need to be randomized. Analysis will be done by intention to treat. The APOSTEL VI trial will provide evidence whether a pessary is effective in preventing preterm birth in women who did not deliver 48 h after admission for threatened preterm labor and who remain at high risk for preterm birth. Trial is registered at the Dutch Trial Register: http://www.trialregister.nl , NTR4210, date of registration: October 16th 2013.</t>
  </si>
  <si>
    <t>Management of Community-Acquired Pneumonia.</t>
  </si>
  <si>
    <t>van Werkhoven, Cornelis H; Oosterheert, Jan Jelrik; Bonten, Marc J M</t>
  </si>
  <si>
    <t>https://pubmed.ncbi.nlm.nih.gov/27404194</t>
  </si>
  <si>
    <t>Search for squarks and gluinos in final states with jets and missing transverse momentum at [Formula: see text] =13 [Formula: see text]with the ATLAS detector.</t>
  </si>
  <si>
    <t>,; 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t>
  </si>
  <si>
    <t>https://pubmed.ncbi.nlm.nih.gov/28747849</t>
  </si>
  <si>
    <t>A search for squarks and gluinos in final states containing hadronic jets, missing transverse momentum but no electrons or muons is presented. The data were recorded in 2015 by the ATLAS experiment in [Formula: see text] proton-proton collisions at the Large Hadron Collider. No excess above the Standard Model background expectation was observed in 3.2 [Formula: see text] of analyzed data. Results are interpreted within simplified models that assume &lt;i&gt;R&lt;/i&gt;-parity is conserved and the neutralino is the lightest supersymmetric particle. An exclusion limit at the 95 % confidence level on the mass of the gluino is set at 1.51 [Formula: see text] for a simplified model incorporating only a gluino octet and the lightest neutralino, assuming the lightest neutralino is massless. For a simplified model involving the strong production of mass-degenerate first- and second-generation squarks, squark masses below 1.03 [Formula: see text] are excluded for a massless lightest neutralino. These limits substantially extend the region of supersymmetric parameter space excluded by previous measurements with the ATLAS detector.</t>
  </si>
  <si>
    <t>Long-term effects of joint bleeding before starting prophylaxis in severe haemophilia.</t>
  </si>
  <si>
    <t>Nijdam, A; Foppen, W; van der Schouw, Y T; Mauser-Bunschoten, E P; Schutgens, R E G; Fischer, K</t>
  </si>
  <si>
    <t>haemophilia the official journal of the world federation of hemophilia</t>
  </si>
  <si>
    <t>https://pubmed.ncbi.nlm.nih.gov/27396935</t>
  </si>
  <si>
    <t>Early initiation of prophylaxis in severe haemophilia is critical for effective prevention of arthropathy. However, the optimum time for starting prophylaxis has not been established yet. This study assessed long-term effects of age at starting prophylaxis and joint bleeding before prophylaxis on haemophilic arthropathy. In patients with severe haemophilia (FVIII/IX &lt;0.01 IU mL&lt;sup&gt;-1&lt;/sup&gt; ), born between 1965 and 2000, haemophilic arthropathy was evaluated on X-rays. Patient groups were compared by multivariable regression analysis, adjusted for bleeding phenotype and lifetime intensity of prophylaxis. One hundred and twenty-four patients were evaluated at a median age of 22 years. When comparing patients according to age at starting prophylaxis, starting before age 6 years was significantly better than starting later (P &lt; 0.01), but no additional benefit of starting before age 3 years was demonstrated. The number of joint bleeds before prophylaxis had a stronger association with arthropathy than age at starting prophylaxis. Starting prophylaxis before the onset of joint bleeding resulted in the best long-term outcome (P ≤ 0.02); starting after one joint bleed appeared to have acceptable long-term outcome. The difference between starting after 0-1 and 2-5 joint bleeds was notable, but statistical significance was not reached (P = 0.15). Future research with more patients on early prophylaxis will have to clarify whether starting prophylaxis before joint bleeding is superior.</t>
  </si>
  <si>
    <t>The genetic architecture of type 2 diabetes.</t>
  </si>
  <si>
    <t>Fuchsberger, Christian; Flannick, Jason; Teslovich, Tanya M; Mahajan, Anubha; Agarwala, Vineeta; Gaulton, Kyle J; Ma, Clement; Fontanillas, Pierre; Moutsianas, Loukas; McCarthy, Davis J; Rivas, Manuel A; Perry, John R B; Sim, Xueling; Blackwell, Thomas W; Robertson, Neil R; Rayner, N William; Cingolani, Pablo; Locke, Adam E; Tajes, Juan Fernandez; Highland, Heather M; Dupuis, Josee; Chines, Peter S; Lindgren, Cecilia M; Hartl, Christopher; Jackson, Anne U; Chen, Han; Huyghe, Jeroen R; van de Bunt, Martijn; Pearson, Richard D; Kumar, Ashish; Müller-Nurasyid, Martina; Grarup, Niels; Stringham, Heather M; Gamazon, Eric R; Lee, Jaehoon; Chen, Yuhui; Scott, Robert A; Below, Jennifer E; Chen, Peng; Huang, Jinyan; Go, Min Jin; Stitzel, Michael L; Pasko, Dorota; Parker, Stephen C J; Varga, Tibor V; Green, Todd; Beer, Nicola L; Day-Williams, Aaron G; Ferreira, Teresa; Fingerlin, Tasha; Horikoshi, Momoko; Hu, Cheng; Huh, Iksoo; Ikram, Mohammad Kamran; Kim, Bong-Jo; Kim, Yongkang; Kim, Young Jin;</t>
  </si>
  <si>
    <t>https://pubmed.ncbi.nlm.nih.gov/27398621</t>
  </si>
  <si>
    <t>The genetic architecture of common traits, including the number, frequency, and effect sizes of inherited variants that contribute to individual risk, has been long debated. Genome-wide association studies have identified scores of common variants associated with type 2 diabetes, but in aggregate, these explain only a fraction of the heritability of this disease. Here, to test the hypothesis that lower-frequency variants explain much of the remainder, the GoT2D and T2D-GENES consortia performed whole-genome sequencing in 2,657 European individuals with and without diabetes, and exome sequencing in 12,940 individuals from five ancestry groups. To increase statistical power, we expanded the sample size via genotyping and imputation in a further 111,548 subjects. Variants associated with type 2 diabetes after sequencing were overwhelmingly common and most fell within regions previously identified by genome-wide association studies. Comprehensive enumeration of sequence variation is necessary to identify functional alleles that provide important clues to disease pathophysiology, but large-scale sequencing does not support the idea that lower-frequency variants have a major role in predisposition to type 2 diabetes.</t>
  </si>
  <si>
    <t>Chronic healthcare expenditure in survivors of sepsis in the intensive care unit.</t>
  </si>
  <si>
    <t>Koster-Brouwer, Maria E; van de Groep, Kirsten; Pasma, Wietze; Smeets, Hugo M; Slooter, Arjen J C; de Lange, Dylan W; van Dijk, Diederik; van der Poll, Tom; Bonten, Marc J M; Cremer, Olaf L; ,</t>
  </si>
  <si>
    <t>https://pubmed.ncbi.nlm.nih.gov/27395005</t>
  </si>
  <si>
    <t>A model of care for healthy menopause and ageing: EMAS position statement.</t>
  </si>
  <si>
    <t>Stute, Petra; Ceausu, Iuliana; Depypere, Herman; Lambrinoudaki, Irene; Mueck, Alfred; Pérez-López, Faustino R; van der Schouw, Yvonne T; Senturk, Levent M; Simoncini, Tommaso; Stevenson, John C; Rees, Margaret</t>
  </si>
  <si>
    <t>https://pubmed.ncbi.nlm.nih.gov/27621230</t>
  </si>
  <si>
    <t>Worldwide, the number of menopausal women is increasing. They present with complex medical issues that lie beyond the traditional scope of gynaecologists and general practitioners (GPs). The European Menopause and Andropause Society (EMAS) therefore provides a holistic model of care for healthy menopause (HM). The HM healthcare model's core consists of a lead clinician, specialist nurse(s) and the woman herself, supported by an interdisciplinary network of medical experts and providers of alternative/complementary medicine. As HM specialist teams are scarce in Europe, they are also responsible for structuring and optimizing processes in primary care (general gynaecologists and GPs) and secondary care (HM specialists). Activities for accreditation of the subspecialty Women's Health are encouraged.</t>
  </si>
  <si>
    <t>Exome Array Analysis of Susceptibility to Pneumococcal Meningitis.</t>
  </si>
  <si>
    <t>Kloek, Anne T; van Setten, Jessica; van der Ende, Arie; Bots, Michiel L; Asselbergs, Folkert W; Valls Serón, Mercedes; Brouwer, Matthijs C; van de Beek, Diederik; Ferwerda, Bart</t>
  </si>
  <si>
    <t>https://pubmed.ncbi.nlm.nih.gov/27389768</t>
  </si>
  <si>
    <t>Host genetic variability may contribute to susceptibility of bacterial meningitis, but which genes contribute to the susceptibility to this complex disease remains undefined. We performed a genetic association study in 469 community-acquired pneumococcal meningitis cases and 2072 population-based controls from the Utrecht Health Project in order to find genetic variants associated with pneumococcal meningitis susceptibility. A HumanExome BeadChip was used to genotype 102,097 SNPs in the collected DNA samples. Associations were tested with the Fisher exact test. None of the genetic variants tested reached Bonferroni corrected significance (p-value &lt;5 × 10(-7)). Our strongest signals associated with susceptibility to pneumococcal meningitis were rs139064549 on chromosome 1 in the COL11A1 gene (p = 1.51 × 10(-6); G allele OR 3.21 [95% CI 2.05-5.02]) and rs9309464 in the EXOC6B gene on chromosome 2 (p = 6.01 × 10(-5); G allele OR 0.66 [95% CI 0.54-0.81]). The sequence kernel association test (SKAT) tests for associations between multiple variants in a gene region and pneumococcal meningitis susceptibility yielded one significant associated gene namely COL11A1 (p = 1.03 × 10(-7)). Replication studies are needed to validate these results. If replicated, the functionality of these genetic variations should be further studied to identify by which means they influence the pathophysiology of pneumococcal meningitis.</t>
  </si>
  <si>
    <t>GetReal: from efficacy in clinical trials to relative effectiveness in the real world.</t>
  </si>
  <si>
    <t>Egger, Matthias; Moons, Karel G M; Fletcher, Christine; ,</t>
  </si>
  <si>
    <t>https://pubmed.ncbi.nlm.nih.gov/27390256</t>
  </si>
  <si>
    <t>The GetReal consortium ("incorporating real-life data into drug development")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 Sons, Ltd.</t>
  </si>
  <si>
    <t>Measurement of event-shape observables in [Formula: see text] events in &lt;i&gt;pp&lt;/i&gt; collisions at [Formula: see text] [Formula: see text] with the ATLAS detector at the LHC.</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</si>
  <si>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t>
  </si>
  <si>
    <t>https://pubmed.ncbi.nlm.nih.gov/28280446</t>
  </si>
  <si>
    <t>Event-shape observables measured using charged particles in inclusive &lt;i&gt;Z&lt;/i&gt;-boson events are presented, using the electron and muon decay modes of the &lt;i&gt;Z&lt;/i&gt; bosons. The measurements are based on an integrated luminosity of [Formula: see text] of proton-proton collisions recorded by the ATLAS detector at the LHC at a centre-of-mass energy [Formula: see text] [Formula: see text]. Charged-particle distributions, excluding the lepton-antilepton pair from the &lt;i&gt;Z&lt;/i&gt;-boson decay, are measured in different ranges of transverse momentum of the &lt;i&gt;Z&lt;/i&gt; boson. Distributions include multiplicity, scalar sum of transverse momenta, beam thrust, transverse thrust, spherocity, and [Formula: see text]-parameter, which are in particular sensitive to properties of the underlying event at small values of the &lt;i&gt;Z&lt;/i&gt;-boson transverse momentum. The measured observables are compared with predictions from Pythia 8, Sherpa, and Herwig 7. Typically, all three Monte Carlo generators provide predictions that are in better agreement with the data at high &lt;i&gt;Z&lt;/i&gt;-boson transverse momenta than at low &lt;i&gt;Z&lt;/i&gt;-boson transverse momenta, and for the observables that are less sensitive to the number of charged particles in the event.</t>
  </si>
  <si>
    <t>Metabolic consequences of adipose tissue dysfunction and not adiposity per se increase the risk of cardiovascular events and mortality in patients with type 2 diabetes.</t>
  </si>
  <si>
    <t>Franssens, Bas T; Westerink, Jan; van der Graaf, Yolanda; Nathoe, Hendrik M; Visseren, Frank L J; ,</t>
  </si>
  <si>
    <t>https://pubmed.ncbi.nlm.nih.gov/27458826</t>
  </si>
  <si>
    <t>To quantify the risk of obesity and its associated metabolic dysfunction on the development of cardiovascular events and mortality in patients with type 2 diabetes. In 1827 patients with type 2 diabetes enrolled in the Secondary Manifestations of ARTerial disease (SMART) cohort study, the risk of higher BMI, waist circumference and intra-abdominal fat on the development of cardiovascular events (composite of myocardial infarction, stroke, and vascular mortality) was quantified using Cox regression. Second, risk of cardiovascular events related to obesity associated metabolic dysfunction (≥3 adapted NCEP metabolic syndrome criteria) was quantified for tertiles of intra-abdominal fat. 217 patients died from cardiovascular causes and 338 patients developed the composite endpoint of cardiovascular events during a median follow-up of 7.0years (interquartile range 3.9 to 10.5years). No increased risk for cardiovascular events and mortality was observed per SD higher BMI, waist circumference and intra-abdominal fat (HR varying from 1.00, 95% CI 0.88-1.14 to 1.13, 95% CI 0.96-1.33). Compared to the first tertile of intra-abdominal fat without metabolic dysfunction, the presence of metabolic dysfunction increased the risk of cardiovascular events in all tertiles of intra-abdominal fat with the highest risk observed for metabolic dysfunction in the first tertile of intra-abdominal fat (HR 2.47, 95% CI 1.32-4.62). Body-mass index, waist circumference and intra-abdominal fat are not related to the risk of cardiovascular events and mortality in patients with type 2 diabetes. Instead, in these patients the metabolic consequences of adipose tissue dysfunction are more important than strict measures of adiposity when estimating cardiovascular risk.</t>
  </si>
  <si>
    <t>Methodologic approaches to evaluating new highly sensitive diagnostic tests: avoiding overdiagnosis.</t>
  </si>
  <si>
    <t>de Groot, Joris A H; Naaktgeboren, Christiana A; Reitsma, Johannes B; Moons, Karel G M</t>
  </si>
  <si>
    <t>https://pubmed.ncbi.nlm.nih.gov/27378465</t>
  </si>
  <si>
    <t>Parity, breastfeeding and risk of coronary heart disease: A pan-European case-cohort study.</t>
  </si>
  <si>
    <t>Peters, Sanne Ae; van der Schouw, Yvonne T; Wood, Angela M; Sweeting, Michael J; Moons, Karel Gm; Weiderpass, Elisabete; Arriola, Larraitz; Benetou, Vassiliki; Boeing, Heiner; Bonnet, Fabrice; Butt, Salma T; Clavel-Chapelon, Françoise; Drake, Isabel; Gavrila, Diana; Key, Timothy J; Klinaki, Eleni; Krogh, Vittorio; Kühn, Tilman; Lassale, Camille; Masala, Giovanna; Matullo, Giuseppe; Merritt, Melissa; Molina-Portillo, Elena; Moreno-Iribas, Conchi; Nøst, Therese H; Olsen, Anja; Onland-Moret, N Charlotte; Overvad, Kim; Panico, Salvatore; Redondo, M Luisa; Tjønneland, Anne; Trichopoulou, Antonia; Tumino, Rosario; Turzanski-Fortner, Renée; Tzoulaki, Ioanna; Wennberg, Patrik; Winkvist, Anna; Thompson, Simon G; Di Angelantonio, Emanuele; Riboli, Elio; Wareham, Nicholas J; Danesh, John; Butterworth, Adam S</t>
  </si>
  <si>
    <t>https://pubmed.ncbi.nlm.nih.gov/27378766</t>
  </si>
  <si>
    <t>There is uncertainty about the direction and magnitude of the associations between parity, breastfeeding and the risk of coronary heart disease (CHD). We examined the separate and combined associations of parity and breastfeeding practices with the incidence of CHD later in life among women in a large, pan-European cohort study. Data were used from European Prospective Investigation into Cancer and Nutrition (EPIC)-CVD, a case-cohort study nested within the EPIC prospective study of 520,000 participants from 10 countries. Information on reproductive history was available for 14,917 women, including 5138 incident cases of CHD. Using Prentice-weighted Cox regression separately for each country followed by a random-effects meta-analysis, we calculated hazard ratios (HRs) and 95% confidence intervals (CIs) for CHD, after adjustment for age, study centre and several socioeconomic and biological risk factors. Compared with nulliparous women, the adjusted HR was 1.19 (95% CI: 1.01-1.41) among parous women; HRs were higher among women with more children (e.g., adjusted HR: 1.95 (95% CI: 1.19-3.20) for women with five or more children). Compared with women who did not breastfeed, the adjusted HR was 0.71 (95% CI: 0.52-0.98) among women who breastfed. For childbearing women who never breastfed, the adjusted HR was 1.58 (95% CI: 1.09-2.30) compared with nulliparous women, whereas for childbearing women who breastfed, the adjusted HR was 1.19 (95% CI: 0.99-1.43). Having more children was associated with a higher risk of CHD later in life, whereas breastfeeding was associated with a lower CHD risk. Women who both had children and breastfed did have a non-significantly higher risk of CHD.</t>
  </si>
  <si>
    <t>Assessment of anxiety in advanced cancer patients: a mixed methods study.</t>
  </si>
  <si>
    <t>Veldhuisen, Hanneke; Zweers, Danielle; de Graaf, Everlien; Teunissen, Saskia</t>
  </si>
  <si>
    <t>https://pubmed.ncbi.nlm.nih.gov/27444163</t>
  </si>
  <si>
    <t>Anxiety is a risk for reduced quality of life in advanced cancer patients. However, it is an overlooked symptom without routine use of instruments to assess anxiety. To gain insight into the use of instruments by nurses to assess anxiety in advanced cancer patients and the rationale behind it. Data with regard to nurses' use of instruments were collected from medical records of 154 patients in three settings. Additionally, 12 nurses were interviewed. Four instruments were used to assess anxiety. The frequency of assessed anxiety differed among settings. The application of instruments guided patient care and improved communication. Lack of knowledge was the main reason not to use instruments. Application was influenced by patient and environmental factors, knowledge, attitudes and beliefs of nurses. Multifaceted strategies, leadership and education of nurses in the assessment and analysis of anxiety are needed to improve symptom management in advanced cancer patients.</t>
  </si>
  <si>
    <t>Prediction Model For Extensive Ductal Carcinoma In Situ Around Early-Stage Invasive Breast Cancer.</t>
  </si>
  <si>
    <t>Knuttel, Floortje M; van der Velden, Bas H M; Loo, Claudette E; Elias, Sjoerd G; Wesseling, Jelle; van den Bosch, Maurice A A J; Gilhuijs, Kenneth G A</t>
  </si>
  <si>
    <t>https://pubmed.ncbi.nlm.nih.gov/26863579</t>
  </si>
  <si>
    <t>Ductal carcinoma in situ (DCIS) is a risk factor for incomplete resection of breast cancer. Especially, extensive DCIS (E-DCIS) or extensive intraductal component often results in positive resection margins. Detecting DCIS around breast cancer before treatment may therefore alter surgery. The purpose of this study was to develop a prediction model for E-DCIS around early-stage invasive breast cancer, using clinicohistopathological and dynamic contrast-enhanced magnetic resonance imaging (MRI) features. Dynamic contrast-enhanced MRI and local excision were performed in 322 patients with 326 ductal carcinomas. Tumors were segmented from dynamic contrast-enhanced MRI, followed by 3-dimensional extension of the margins with 10 mm. Amount of fibroglandular tissue (FGT) and enhancement features in these extended margins were automatically extracted from the MRI scans. Clinicohistopathological features were also obtained. Principal component analysis and multivariable logistic regression were used to develop a prediction model for E-DCIS. Discrimination and calibration were assessed, and bootstrapping was applied for internal validation. Extensive DCIS occurred in 48 (14.7%) of 326 tumors. Incomplete resection occurred in 56.3% of these E-DCIS-positive versus 9.0% of E-DCIS-negative tumors (P &lt; 0.001). Five components with eigenvalue exceeding 1 were identified; 2 were significantly associated with E-DCIS. The first, positively associated, component expressed early and overall enhancement in the 10-mm tissue margin surrounding the MRI-visible tumor. The second, positively associated, component expressed human epidermal growth factor receptor 2 and amount of FGT around the MRI-visible tumor. The area under the curve value was 0.79 (0.76 after bootstrapping). Human epidermal growth factor receptor 2 status, early and overall enhancement in the 10-mm margin around the MRI-visible tumor, and amount of FGT in the 10 mm around the MRI-visible tumor were associated with E-DCIS.</t>
  </si>
  <si>
    <t>A multivariable model to guide the decision for pessary placement to prevent preterm birth in women with a multiple pregnancy: a secondary analysis of the ProTWIN trial.</t>
  </si>
  <si>
    <t>Tajik, P; Monfrance, M; van 't Hooft, J; Liem, S M S; Schuit, E; Bloemenkamp, K W M; Duvekot, J J; Nij Bijvank, B; Franssen, M T M; Oudijk, M A; Scheepers, H C J; Sikkema, J M; Woiski, M; Mol, B W J; Bekedam, D J; Bossuyt, P M; Zafarmand, M H</t>
  </si>
  <si>
    <t>https://pubmed.ncbi.nlm.nih.gov/26748537</t>
  </si>
  <si>
    <t>The ProTWIN Trial (NTR1858) showed that, in women with a multiple pregnancy and a cervical length &lt; 25(th) percentile (38 mm), prophylactic use of a cervical pessary reduced the risk of adverse perinatal outcome. We investigated whether other maternal or pregnancy characteristics collected at baseline can improve identification of women most likely to benefit from pessary placement. ProTWIN is a multicenter randomized trial in which 808 women with a multiple pregnancy were assigned to pessary or control. Using these data we developed a multivariable logistic model comprising treatment, cervical length, chorionicity, pregnancy history and number of fetuses, and the interaction of these variables with treatment as predictors of adverse perinatal outcome. Short cervix, monochorionicity and nulliparity were predictive factors for a benefit from pessary insertion. History of previous preterm birth and triplet pregnancy were predictive factors of possible harm from pessary. The model identified 35% of women as benefiting (95% CI, 32-39%), which is 10% more than using cervical length only (25%) for pessary decisions. The model had acceptable calibration. We estimated that using the model to guide the choice of pessary placement would reduce the risk of adverse perinatal outcome significantly from 13.5% when no pessary is inserted to 8.1% (absolute risk reduction, 5.4% (95% CI, 2.1-8.6%)). We developed and internally validated a multivariable treatment selection model, with cervical length, chorionicity, pregnancy history and number of fetuses. If externally validated, it could be used to identify women with a twin pregnancy who would benefit from a pessary, and lead to a reduction in adverse perinatal outcomes in these women. Copyright © 2016 ISUOG. Published by John Wiley &amp; Sons Ltd.</t>
  </si>
  <si>
    <t>What Are Effective Program Characteristics of Self-Management Interventions in Patients With Heart Failure? An Individual Patient Data Meta-analysis.</t>
  </si>
  <si>
    <t>Jonkman, Nini H; Westland, Heleen; Groenwold, Rolf H H; Ågren, Susanna; Anguita, Manuel;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Trappenburg, Jaap C A; Schuurmans, Marieke J; Hoes, Arno W</t>
  </si>
  <si>
    <t>https://pubmed.ncbi.nlm.nih.gov/27374838</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</si>
  <si>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</si>
  <si>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Predictors of Ramadan fasting during pregnancy.</t>
  </si>
  <si>
    <t>van Bilsen, Lily A; Savitri, Ary I; Amelia, Dwirani; Baharuddin, Mohammad; Grobbee, Diederick E; Uiterwaal, Cuno S P M</t>
  </si>
  <si>
    <t>journal of epidemiology and global health</t>
  </si>
  <si>
    <t>https://pubmed.ncbi.nlm.nih.gov/28065259</t>
  </si>
  <si>
    <t>Although the health effects of Ramadan fasting during pregnancy are still unclear, it is important to identify the predictors and motivational factors involved in women's decision to observe the fast. We investigated these factors in a cross sectional study of 187 pregnant Muslim women who attended antenatal care visits in the Budi Kemuliaan Hospital, Jakarta, Indonesia. The odds of adherence to fasting were reduced by 4% for every week increase in gestational age during Ramadan [odds ratio (OR) 0.96; 95% confidence interval (CI) 0.92, 1.00; p=0.06] and increased by 10% for every one unit increase of women's prepregnancy body mass index (BMI) (OR 1.10; 95% CI 0.99, 1.23; p=0.08). Nonparticipation was associated with opposition from husbands (OR 0.34; 95% CI 0.14, 0.82; p=0.02) and with women's fear of possible adverse effects of fasting on their own or the baby's health (OR 0.47; 95% CI 0.22, 1.01; p=0.05 and OR 0.43; 95% CI 0.21, 0.89; p=0.02, respectively), although they were attenuated in multivariable analysis. Neither age, income, education, employment, parity, experience of morning sickness, nor fasting during pregnancy outside of Ramadan determined fasting during pregnancy. Linear regression analysis within women who fasted showed that the number of days fasted were inversely associated with women's gestational age, fear of possible adverse effects of fasting on their own or the fetal health, and with opposition from husbands. In conclusion, earlier gestational age during Ramadan, husband's opinion and possibly higher prepregnancy BMI, influence women's adherence to Ramadan fasting during pregnancy. Fear of adverse health effects of Ramadan fasting is common in both fasting and non-fasting pregnant women.</t>
  </si>
  <si>
    <t>Low-Density Lipoprotein Cholesterol, Non-High-Density Lipoprotein Cholesterol, Triglycerides, and Apolipoprotein B and Cardiovascular Risk in Patients With Manifest Arterial Disease.</t>
  </si>
  <si>
    <t>van den Berg, M Johanneke; van der Graaf, Yolanda; de Borst, Gert Jan; Kappelle, L Jaap; Nathoe, Hendrik M; Visseren, Frank L J; ,</t>
  </si>
  <si>
    <t>https://pubmed.ncbi.nlm.nih.gov/27471056</t>
  </si>
  <si>
    <t>Low-density lipoprotein cholesterol (LDL-C) only partly represents the atherogenic lipid burden, and a growing body of evidence suggests that non-high-density lipoprotein cholesterol (non-HDL-C), triglycerides, and apolipoprotein B (apoB) are more accurate in estimating lipid-related cardiovascular disease risk. Our objective was to compare the relation among LDL-C, non-HDL-C, triglycerides, and apoB and the occurrence of future vascular events and mortality in patients with manifest arterial disease. This is a prospective cohort study of 7,216 patients with clinically manifest arterial disease in the Secondary Manifestations of Arterial Disease Study. Cox proportional hazard models were used to quantify the risk of major cardiovascular events (MACE; i.e., stroke, myocardial infarction, and vascular mortality) and all-cause mortality. Interaction was tested for type of vascular disease at inclusion. MACE occurred in 1,185 subjects during a median follow-up of 6.5 years (interquartile range 3.4 to 9.9 years). Adjusted hazard ratios (HRs) of MACE per 1 SD higher were for LDL-C (HR 1.15, 95% confidence interval [CI] 1.09 to 1.22), for non-HDL-C (HR 1.17, 95% CI 1.11 to 1.23), for log(triglycerides) (HR 1.12, 95% CI 1.06 to 1.19), and for apoB HR (1.12, 95% CI 0.99 to 1.28). The relation among LDL-C, non-HDL-C, and cardiovascular events was comparable in patients with cerebrovascular disease, coronary artery disease, or polyvascular disease and absent in those with aneurysm of abdominal aorta or peripheral artery disease. In conclusion, in patients with a history of cerebrovascular, coronary artery, or polyvascular disease, but not aneurysm of abdominal aorta or peripheral artery disease, higher levels of LDL-C and non-HDL-C are related to increased risk of future MACE and of comparable magnitude.</t>
  </si>
  <si>
    <t>Sequential designs with small samples: Evaluation and recommendations for normal responses.</t>
  </si>
  <si>
    <t>Nikolakopoulos, Stavros; Roes, Kit Cb; van der Tweel, Ingeborg</t>
  </si>
  <si>
    <t>https://pubmed.ncbi.nlm.nih.gov/27342574</t>
  </si>
  <si>
    <t>Sequential monitoring is a well-known methodology for the design and analysis of clinical trials. Driven by the lower expected sample size, recent guidelines and published research suggest the use of sequential methods for the conduct of clinical trials in rare diseases. However, the vast majority of the developed and most commonly used sequential methods relies on asymptotic assumptions concerning the distribution of the test statistics. It is not uncommon for trials in (very) rare diseases to be conducted with only a few decades of patients and the use of sequential methods that rely on large-sample approximations could inflate the type I error probability. Additionally, the setting of a rare disease could make the traditional paradigm of designing a clinical trial (deciding on the sample size given type I and II errors and anticipated effect size) irrelevant. One could think of the situation where the number of patients available has a maximum and this should be utilized in the most efficient way. In this work, we evaluate the operational characteristics of sequential designs in the setting of very small to moderate sample sizes with normally distributed outcomes and demonstrate the necessity of simple corrections of the critical boundaries. We also suggest a method for deciding on an optimal sequential design given a maximum sample size and some (data driven or based on expert opinion) prior belief on the treatment effect.</t>
  </si>
  <si>
    <t>What's wrong with the current design of trials in infectious disease? How can it be improved?</t>
  </si>
  <si>
    <t>Bonten, M J M</t>
  </si>
  <si>
    <t>https://pubmed.ncbi.nlm.nih.gov/27345174</t>
  </si>
  <si>
    <t>External validation of clinical prediction models using big datasets from e-health records or IPD meta-analysis: opportunities and challenges.</t>
  </si>
  <si>
    <t>Riley, Richard D; Ensor, Joie; Snell, Kym I E; Debray, Thomas P A; Altman, Doug G; Moons, Karel G M; Collins, Gary S</t>
  </si>
  <si>
    <t>https://pubmed.ncbi.nlm.nih.gov/27334381</t>
  </si>
  <si>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</si>
  <si>
    <t>Accessory Left Gastric Artery from Left Hepatic Artery is a Potential Risk for Radioembolization Complications.</t>
  </si>
  <si>
    <t>Lam, Marnix G E H; Borggreve, Alicia S; Landman, Anadeijda J E M C; Vissers, Coco M J; De Jong, Charlotte D; Monninkhof, Evelyn M; Prince, Jip F</t>
  </si>
  <si>
    <t>cardiovascular and interventional radiology</t>
  </si>
  <si>
    <t>https://pubmed.ncbi.nlm.nih.gov/27324064</t>
  </si>
  <si>
    <t>Client Factors Affect Provider Adherence to Clinical Guidelines during First Antenatal Care.</t>
  </si>
  <si>
    <t>Amoakoh-Coleman, Mary; Agyepong, Irene Akua; Zuithoff, Nicolaas P A; Kayode, Gbenga A; Grobbee, Diederick E; Klipstein-Grobusch, Kerstin; Ansah, Evelyn K</t>
  </si>
  <si>
    <t>https://pubmed.ncbi.nlm.nih.gov/27322643</t>
  </si>
  <si>
    <t>The first antenatal clinic (ANC) visit helps to distinguish pregnant women who require standard care, from those with specific problems and so require special attention. There are protocols to guide care providers to provide optimal care to women during ANC. Our objectives were to determine the level of provider adherence to first antenatal visit guidelines in the Safe Motherhood Protocol (SMP), and assess patient factors that determine complete provider adherence. This cross-sectional study is part of a cohort study that recruited women who delivered in eleven health facilities and who had utilized antenatal care services during their pregnancy in the Greater Accra region of Ghana. A record review of the first antenatal visit of participants was carried out to assess the level of adherence to the SMP, using a thirteen-point checklist. Information on their socio-demographic characteristics and previous pregnancy history was collected using a questionnaire. Percentages of adherence levels and baseline characteristics were estimated and cluster-adjusted odds ratios (OR) calculated to identify determinants. A total of 948 women who had delivered in eleven public facilities were recruited with a mean age (SD) of 28.2 (5.4) years. Overall, complete adherence to guidelines pertained to only 48.1% of pregnant women. Providers were significantly more likely to completely adhere to guidelines when caring for multiparous women [OR = 5.43 (1.69-17.44), p&lt;0.01] but less likely to do so when attending to women with history of previous pregnancy complications [OR = 0.50 (0.33-0.75), p&lt;0.01]. Complete provider adherence to first antenatal visit guidelines is low across different facility types in the Greater Accra region of Ghana and is determined by parity and history of previous pregnancy complication. Providers should be trained and supported to adhere to the guidelines during provision of care to all pregnant women.</t>
  </si>
  <si>
    <t>The association of low ovarian reserve with cardiovascular disease risk: a cross-sectional population-based study.</t>
  </si>
  <si>
    <t>de Kat, A C; Verschuren, W M M; Eijkemans, M J C; van der Schouw, Y T; Broekmans, F J M</t>
  </si>
  <si>
    <t>https://pubmed.ncbi.nlm.nih.gov/27496945</t>
  </si>
  <si>
    <t>Is there a relationship between serum anti-Müllerian hormone (AMH) level and cardiovascular disease (CVD) risk in premenopausal women? There are indications that premenopausal women with very low ovarian reserve may have an unfavorable CVD risk profile. Age at menopause is frequently linked to CVD occurrence. AMH is produced by ovarian antral follicles and provides a measure of remaining ovarian reserve Literature on whether AMH is related to CVD risk is still scarce and heterogeneous. Cross-sectional study in 2338 women (age range of 20-57 years) from the general population, participating in the Doetinchem Cohort Study between 1993 and 1997. CVD risk was compared between 2338 premenopausal women in different AMH level-categories, with adjustment for confounders. CVD risk was assessed through levels of systolic and diastolic blood pressure, total cholesterol, high-density lipoprotein cholesterol and glucose, in addition to a summed score of CVD risk factors. Among other factors, analyses were corrected for smoking, oral contraceptive use and BMI. The relationship of serum AMH levels with CVD risk factor outcomes was nonlinear. Women with AMH levels &lt;0.16 µg/l had 0.11 (95% confidence intervals (CIs) 0.01; 0.21) more metabolic risk factors compared with women with AMH levels ≥0.16 µg/l. There was no association of individual risk factor levels with AMH levels, besides a tendency towards lower total cholesterol levels of 0.11 mmol/l (95% CI -0.23; 0.01) in women with AMH levels &lt;0.002 µg/l compared with women with AMH levels ≥0.16 µg/l. Although not statistically significant, these effect sizes were larger in women below 40 years of age. Causality and temporality of the studied association cannot be addressed here. Moreover, the clinical and statistical significance of the results of this exploratory study should be interpreted with caution due to the absence of adjustment for multiple statistical testing. This population-based study supports previous findings that premenopausal women with very low AMH levels may have an increased CVD risk. It lays the groundwork for future research to focus on this group of women. Longitudinal studies with more sensitive AMH assays may furthermore help better understand the implications of these results. No financial support was received for this research or manuscript. The Doetinchem Cohort Study is conducted and funded by the Dutch National Institute for Public Health and the Environment F.J.M.B. has received fees and grant support from Merck Serono, Gedeon Richter, Ferring BV and Roche. N/A.</t>
  </si>
  <si>
    <t>Transient monocular blindness and the risk of vascular complications according to subtype: a prospective cohort study.</t>
  </si>
  <si>
    <t>Volkers, Eline J; Donders, Richard C J M; Koudstaal, Peter J; van Gijn, Jan; Algra, Ale; Jaap Kappelle, L</t>
  </si>
  <si>
    <t>https://pubmed.ncbi.nlm.nih.gov/27314958</t>
  </si>
  <si>
    <t>Patients with transient monocular blindness (TMB) can present with many different symptoms, and diagnosis is usually based on the history alone. In this study, we assessed the risk of vascular complications according to different characteristics of TMB. We prospectively studied 341 consecutive patients with TMB. All patients were interviewed by a single investigator with a standardized questionnaire; reported symptoms were classified into predefined categories. We performed Cox regression analyses with adjustment for baseline vascular risk factors. During a mean follow-up of 4.0 years, the primary outcome event of vascular death, stroke, myocardial infarction, or retinal infarction occurred in 60 patients (annual incidence 4.4 %, 95 % confidence interval (CI) 3.4-5.7). An ipsilateral ischemic stroke occurred in 14 patients; an ipsilateral retinal infarct in six. Characteristics of TMB independently associated with subsequent vascular events were: involvement of only the peripheral part of the visual field (hazard ratio (HR) 6.5, 95 % CI 3.0-14.1), constricting onset of loss of vision (HR 3.5, 95 % CI 1.0-12.1), downward onset of loss of vision (HR 1.9, 95 % CI 1.0-3.5), upward resolution of loss of vision (HR 2.0, 95 % CI 1.0-4.0), and the occurrence of more than three attacks (HR 1.7, 95 % CI 1.0-2.9). We could not identify characteristics of TMB that predicted a low risk of vascular complications. In conclusion, careful recording the features of the attack in patients with TMB can provide important information about the risk of future vascular events.</t>
  </si>
  <si>
    <t>Medical consumption compared for TIMI and HEART score in chest pain patients at the emergency department: a retrospective cost analysis.</t>
  </si>
  <si>
    <t>Nieuwets, A; Poldervaart, J M; Reitsma, J B; Buitendijk, S; Six, A J; Backus, B E; Hoes, A W; Doevendans, P A</t>
  </si>
  <si>
    <t>https://pubmed.ncbi.nlm.nih.gov/27311905</t>
  </si>
  <si>
    <t>To investigate which risk score (TIMI score or HEART score) identifies the largest population of low-risk patients at the emergency department (ED). Furthermore, we retrospectively calculated the corresponding expected decrease in medical consumption if these patients would have been discharged from the ED. We performed analyses in two hospitals of the multicentre prospective validation study of the HEART score, executed in 2008 and 2009. Patients with chest pain presenting to the ED were included and information was collected on major adverse cardiac events (MACEs) and on hospital admissions and diagnostic procedures within 6 weeks. The TIMI and HEART score were calculated for each patient. We analysed 640 patients (59% male, mean age of 60, cumulative incidence of MACE 17%). An estimated total of €763 468 was spent during follow-up on hospital admission and diagnostic procedures. In total, 256 (40%) patients had a HEART score of 0-3 and were considered low risk (miss rate 1.6%), a total of €64 107 was spent on diagnostic procedures and hospital admission after initial presentation in this group. In comparison, 105 (16%) patients with TIMI score of 0 were considered low risk (miss rate 0%), with a total of €14 670 spent on diagnostic procedures and initial hospital admission costs. With different cut-offs for low risk, HEART 0-2 (miss rate 0.7%), would have resulted in a total of €25 365 in savings, compared with €71 905 when an alternative low risk cut-off for TIMI of TIMI≤1 would be used (miss rate 3.0%). The HEART score identifies more patients as low risk compared with the TIMI score, which may lead to a larger reduction in diagnostic procedures and costs in this low-risk group. Future studies should prospectively investigate whether adhering to the HEART score in clinical practice and early discharge of low-risk patients is safe and leads to a reduction in medical consumption.</t>
  </si>
  <si>
    <t>Is visual function associated with cognitive activity engagement in middle-aged and elderly individuals? A cross-sectional study.</t>
  </si>
  <si>
    <t>Mueller-Schotte, Sigrid; van der Schouw, Yvonne T; Bleijenberg, Nienke; Schuurmans, Marieke J</t>
  </si>
  <si>
    <t>https://pubmed.ncbi.nlm.nih.gov/27321646</t>
  </si>
  <si>
    <t>This study investigated whether visual function is associated with cognitive activity engagement and mild cognitive impairment in middle-aged and elderly individuals. This cross-sectional study was conducted on 120 individuals aged 50-89. The Florida Cognitive Activity Scale (FCAS) was used to assess cognitive activity engagement. Visual function was assessed by near visual acuity (nVA) and contrast sensitivity (CS), and both combined to obtain a visual function (VF) compound score. Multivariable linear regression models, adjusted for confounders, were used to assess the association between the determinants and FCAS. After confounder adjustment, nVA was not associated with overall cognitive activity engagement. CS was significantly associated with the FCAS "Higher Cognitive Abilities" subscale score (BHC=5.5 [95% CI 1.3; 9.7]). Adjustment for nVA attenuated the association between CS and engagement in tasks of Higher Cognitive Abilities (BHC=4.7 [95% CI 0.1; 9.3]). In retired individuals (N=87), the VF compound score was associated with a lower Cognitive Activity Scale score (BCA=-1.2 [95% CI -2.3; -0.1]), lower Higher Cognitive Abilities score (BHC=-0.7 [95% CI -1.3; -0.1]) and lower Frequent Cognitive Abilities score (BFA=-0.5 [95% CI -0.9; -0.1]). CS, but not nVA, plays a role in engagement in tasks associated with Higher Cognitive Abilities in middle-aged and elderly individuals. In retired individuals, the VF compound score is associated with lower Cognitive Activity score, lower Higher Cognitive Abilities score and lower Frequent Cognitive Abilities score.</t>
  </si>
  <si>
    <t>Opinions of veterinarians on antimicrobial use in farm animals in Flanders and the Netherlands.</t>
  </si>
  <si>
    <t>Postma, M; Speksnijder, D C; Jaarsma, A D C; Verheij, T J M; Wagenaar, J A; Dewulf, J</t>
  </si>
  <si>
    <t>the veterinary record</t>
  </si>
  <si>
    <t>https://pubmed.ncbi.nlm.nih.gov/27313178</t>
  </si>
  <si>
    <t>Veterinarians play an important role in the reduction of antimicrobial use in farm animals. This study aims to quantify opinions of veterinarians from the Netherlands and Flanders regarding antimicrobial use and resistance issues in farm animals. An online survey was sent out to 678 and 1100 farm animal veterinarians in Flanders and the Netherlands, of which 174 and 437 were returned respectively. Suboptimal climate conditions were regarded as the most important cause for high antimicrobial use in farm animals. Flemish veterinarians also regarded insufficient biosecurity measures and farmers' mentality as important determinants, while the Dutch respondents ranked insufficient immunity of young animals and economic considerations of farmers as major causes. The majority of Dutch respondents (63.8 per cent) supported the existing national policy, which aimed to halve veterinary antimicrobial use, while the Flemish (32.9 per cent) were less supportive of such a policy. Improvements in housing and climate conditions, biosecurity measures and strict control of specific infectious diseases were seen as important and promising measures to reduce antimicrobial use. To reduce antimicrobial use in farm animals, some shared approaches might be applicable in both countries. However, cultural, political and societal differences between Flanders and the Netherlands require differentiated approaches to reduce veterinary antimicrobial use.</t>
  </si>
  <si>
    <t>Reported estimates of diagnostic accuracy in ophthalmology conference abstracts were not associated with full-text publication.</t>
  </si>
  <si>
    <t>Korevaar, Daniël A; Cohen, Jérémie F; Spijker, René; Saldanha, Ian J; Dickersin, Kay; Virgili, Gianni; Hooft, Lotty; Bossuyt, Patrick M M</t>
  </si>
  <si>
    <t>https://pubmed.ncbi.nlm.nih.gov/27312228</t>
  </si>
  <si>
    <t>To assess whether conference abstracts that report higher estimates of diagnostic accuracy are more likely to reach full-text publication in a peer-reviewed journal. We identified abstracts describing diagnostic accuracy studies, presented between 2007 and 2010 at the Association for Research in Vision and Ophthalmology (ARVO) Annual Meeting. We extracted reported estimates of sensitivity, specificity, area under the receiver operating characteristic curve (AUC), and diagnostic odds ratio (DOR). Between May and July 2015, we searched MEDLINE and EMBASE to identify corresponding full-text publications; if needed, we contacted abstract authors. Cox regression was performed to estimate associations with full-text publication, where sensitivity, specificity, and AUC were logit transformed, and DOR was log transformed. A full-text publication was found for 226/399 (57%) included abstracts. There was no association between reported estimates of sensitivity and full-text publication (hazard ratio [HR] 1.09 [95% confidence interval {CI} 0.98, 1.22]). The same applied to specificity (HR 1.00 [95% CI 0.88, 1.14]), AUC (HR 0.91 [95% CI 0.75, 1.09]), and DOR (HR 1.01 [95% CI 0.94, 1.09]). Almost half of the ARVO conference abstracts describing diagnostic accuracy studies did not reach full-text publication. Studies in abstracts that mentioned higher accuracy estimates were not more likely to be reported in a full-text publication.</t>
  </si>
  <si>
    <t>Modifiable causes of premature death in middle-age in Western Europe: results from the EPIC cohort study.</t>
  </si>
  <si>
    <t>Muller, David C; Murphy, Neil; Johansson, Mattias; Ferrari, Pietro; Tsilidis, Konstantinos K; Boutron-Ruault, Marie-Christine; Clavel, Francoise; Dartois, Laureen; Li, Kuanrong; Kaaks, Rudolf; Weikert, Cornelia; Bergmann, Manuela; Boeing, Heiner; Tjønneland, Anne; Overvad, Kim; Redondo, M Luisa; Agudo, Antonio; Molina-Portillo, Elena; Altzibar, Jone M; Cirera, Lluís; Ardanaz, Eva; Khaw, Kay-Tee; Wareham, Nicholas J; Key, Timothy J; Travis, Ruth C; Bamia, Christina; Orfanos, Philippos; Trichopoulou, Antonia; Palli, Domenico; Pala, Valeria; Tumino, Rosario; Vineis, Paolo; Panico, Salvatore; Bueno-de-Mesquita, H Bas; Verschuren, W M Monique; Struijk, Ellen A; Peeters, Petra H; Engström, Gunnar; Melander, Olle; Sund, Malin; Weiderpass, Elisabete; Skeie, Guri; Lund, Eiliv; Norat, Teresa; Gunter, Marc; Riboli, Elio; Brennan, Paul</t>
  </si>
  <si>
    <t>https://pubmed.ncbi.nlm.nih.gov/27296932</t>
  </si>
  <si>
    <t>Life expectancy is increasing in Europe, yet a substantial proportion of adults still die prematurely before the age of 70 years. We sought to estimate the joint and relative contributions of tobacco smoking, hypertension, obesity, physical inactivity, alcohol and poor diet towards risk of premature death. We analysed data from 264,906 European adults from the EPIC prospective cohort study, aged between 40 and 70 years at the time of recruitment. Flexible parametric survival models were used to model risk of death conditional on risk factors, and survival functions and attributable fractions (AF) for deaths prior to age 70 years were calculated based on the fitted models. We identified 11,930 deaths which occurred before the age of 70. The AF for premature mortality for smoking was 31 % (95 % confidence interval (CI), 31-32 %) and 14 % (95 % CI, 12-16 %) for poor diet. Important contributions were also observed for overweight and obesity measured by waist-hip ratio (10 %; 95 % CI, 8-12 %) and high blood pressure (9 %; 95 % CI, 7-11 %). AFs for physical inactivity and excessive alcohol intake were 7 % and 4 %, respectively. Collectively, the AF for all six risk factors was 57 % (95 % CI, 55-59 %), being 35 % (95 % CI, 32-37 %) among never smokers and 74 % (95 % CI, 73-75 %) among current smokers. While smoking remains the predominant risk factor for premature death in Europe, poor diet, overweight and obesity, hypertension, physical inactivity, and excessive alcohol consumption also contribute substantially. Any attempt to minimise premature deaths will ultimately require all six factors to be addressed.</t>
  </si>
  <si>
    <t>Measurement of the charged-particle multiplicity inside jets from [Formula: see text][Formula: see text] &lt;i&gt;pp&lt;/i&gt; collisions with the ATLAS detector.</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</si>
  <si>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t>
  </si>
  <si>
    <t>https://pubmed.ncbi.nlm.nih.gov/28280438</t>
  </si>
  <si>
    <t>The number of charged particles inside jets is a widely used discriminant for identifying the quark or gluon nature of the initiating parton and is sensitive to both the perturbative and non-perturbative components of fragmentation. This paper presents a measurement of the average number of charged particles with [Formula: see text] [Formula: see text] inside high-momentum jets in dijet events using 20.3 fb[Formula: see text] of data recorded with the ATLAS detector in &lt;i&gt;pp&lt;/i&gt; collisions at [Formula: see text] [Formula: see text] collisions at the LHC. The jets considered have transverse momenta from 50 [Formula: see text] up to and beyond 1.5 [Formula: see text]. The reconstructed charged-particle track multiplicity distribution is unfolded to remove distortions from detector effects and the resulting charged-particle multiplicity is compared to several models. Furthermore, quark and gluon jet fractions are used to extract the average charged-particle multiplicity for quark and gluon jets separately.</t>
  </si>
  <si>
    <t>Organoid biobanking: identifying the ethics: Organoids revive old and raise new ethical challenges for basic research and therapeutic use.</t>
  </si>
  <si>
    <t>Boers, Sarah N; van Delden, Johannes Jm; Clevers, Hans; Bredenoord, Annelien L</t>
  </si>
  <si>
    <t>https://pubmed.ncbi.nlm.nih.gov/27296278</t>
  </si>
  <si>
    <t>Organoid technology is at the margin of basic research, precision medicine, and regenerative medicine where various research and clinical ethical issues converge. Resolving these interrelated ethical challenges requires an integrated approach rather than assessing each issue individually. [Image: see text]</t>
  </si>
  <si>
    <t>Antibiotics for otitis media with effusion in children.</t>
  </si>
  <si>
    <t>Venekamp, Roderick P; Burton, Martin J; van Dongen, Thijs M A; van der Heijden, Geert J; van Zon, Alice; Schilder, Anne G M</t>
  </si>
  <si>
    <t>https://pubmed.ncbi.nlm.nih.gov/27290722</t>
  </si>
  <si>
    <t>Otitis media with effusion (OME) is characterised by an accumulation of fluid in the middle ear behind an intact tympanic membrane, without the symptoms or signs of acute infection. Since most cases of OME will resolve spontaneously, only children with persistent middle ear effusion and associated hearing loss potentially require treatment. Previous Cochrane reviews have focused on the effectiveness of ventilation tube insertion, adenoidectomy, nasal autoinflation, antihistamines, decongestants and corticosteroids in OME. This review, focusing on the effectiveness of antibiotics in children with OME, is an update of a Cochrane review published in 2012. To assess the benefits and harms of oral antibiotics in children up to 18 years with OME. The Cochrane ENT Information Specialist searched the ENT Trials Register; Central Register of Controlled Trials (CENTRAL 2016, Issue 3); PubMed; Ovid EMBASE; CINAHL; Web of Science; ClinicalTrials.gov; ICTRP and additional sources for published and unpublished trials. The date of the search was 14 April 2016. Randomised controlled trials comparing oral antibiotics with placebo, no treatment or therapy of unproven effectiveness in children with OME. We used the standard methodological procedures expected by Cochrane. Twenty-five trials (3663 children) were eligible for inclusion. Two trials did not report on any of the outcomes of interest, leaving 23 trials (3258 children) covering a range of antibiotics, participants, outcome measures and time points for evaluation. Overall, we assessed most studies as being at low to moderate risk of bias.We found moderate quality evidence (six trials including 484 children) that children treated with oral antibiotics are more likely to have complete resolution at two to three months post-randomisation (primary outcome) than those allocated to the control treatment (risk ratio (RR) 2.00, 95% confidence interval (CI) 1.58 to 2.53; number needed to treat to benefit (NNTB) 5). However, there is evidence (albeit of low quality; five trials, 742 children) indicating that children treated with oral antibiotics are more likely to experience diarrhoea, vomiting or skin rash (primary outcome) than those allocated to control treatment (RR 2.15, 95% CI 1.29 to 3.60; number needed to treat to harm (NNTH) 20).In respect of the secondary outcome of complete resolution at any time point, we found low to moderate quality evidence from five meta-analyses, including between two and 14 trials, of a beneficial effect of antibiotics, with a NNTB ranging from 3 to 7. Time periods ranged from 10 to 14 days to six months.In terms of other secondary outcomes, only two trials (849 children) reported on hearing levels at two to four weeks and found conflicting results. None of the trials reported data on speech, language and cognitive development or quality of life. Low quality evidence did not show that oral antibiotics were associated with a decrease in the rate of ventilation tube insertion (two trials, 121 children) or in tympanic membrane sequelae (one trial, 103 children), while low quality evidence indicated that children treated with antibiotics were less likely to have acute otitis media episodes within four to eight weeks (five trials, 1086 children; NNTB 18) and within six months post-randomisation (two trials, 199 children; NNTB 5). It should, however, be noted that the beneficial effect of oral antibiotics on acute otitis media episodes within four to eight weeks was no longer significant when we excluded studies with high risk of bias. This review presents evidence of both benefits and harms associated with the use of oral antibiotics to treat children up to 16 years with OME. Although evidence indicates that oral antibiotics are associated with an increased chance of complete resolution of OME at various time points, we also found evidence that these children are more likely to experience diarrhoea, vomiting or skin rash. The impact of antibiotics on short-term hearing is uncertain and low quality evidence did not show that oral antibiotics were associated with fewer ventilation tube insertions. Furthermore, we found no data on the impact of antibiotics on other important outcomes such as speech, language and cognitive development or quality of life.Even in situations where clear and relevant benefits of oral antibiotics have been demonstrated, these must always be carefully balanced against adverse effects and the emergence of bacterial resistance. This has specifically been linked to the widespread use of antibiotics for common conditions such as otitis media.</t>
  </si>
  <si>
    <t>The role of beta-blockers in outcomes of patients hospitalized for heart failure and chronic obstructive pulmonary disease.</t>
  </si>
  <si>
    <t>Rutten, Frans H; Güder, Gülmisal</t>
  </si>
  <si>
    <t>https://pubmed.ncbi.nlm.nih.gov/27292415</t>
  </si>
  <si>
    <t>Patients' and Health Care Providers' Opinions on a Supportive Health App During Breast Cancer Treatment: A Qualitative Evaluation.</t>
  </si>
  <si>
    <t>Young-Afat, Danny A; van Gils, Carla H; Bruinvels, David J; van der Pol, Carmen C; Witkamp, Arjen J; Sijtsema, Sieta; Jonasse, Yvette; Bijlsma, Rhodé M; Ausems, Margreet G; Bos, Annelies M; van den Bongard, Desirée H; Verkooijen, Helena M</t>
  </si>
  <si>
    <t>https://pubmed.ncbi.nlm.nih.gov/28410170</t>
  </si>
  <si>
    <t>Health apps are increasingly being used in clinical care and may hold significant theoretical potential. However, they are often implemented in clinical care before any research has been done to confirm actual benefits for patients, physicians, and researchers. This study aimed to explore experiences of patients and health care providers with the use of a supportive breast cancer app during the first 6 months following diagnosis, in terms of benefits for clinical practice and research purposes. Between June 2013 and April 2014, breast cancer patients of all ages were invited shortly after diagnosis to use a supportive breast cancer app, and were followed for 6 months. Patients were asked to use the app at their own convenience. In-depth interviews were conducted regularly with patients and their medical team (ie, physicians and nurses) to evaluate their experiences. A total of 15 patients aged 30-63 years participated. The medical team consisted of 7 physicians and 3 specialized breast cancer nurses. Out of the 15 patients, 12 (80%) used the app to obtain information on breast cancer and treatment. A total of 11 out of 12 patients (92%) evaluated this information as useful. All 15 patients used the app to record consultations with practitioners, and 14 (93%) found this useful. Symptom registration was used by 8 out of 15 patients (53%), and was found useful by 4 out of these 8 patients (50%). Overall, 14 out of 15 patients (93%) would recommend the app to other patients. The app, in particular the recording function, was rated as useful by 9 out of 10 medical professionals (90%), and they reported that it did not increase consultation time. These 9 professionals would recommend the app to their patients. This evaluation of a supportive health app shows positive experiences among patients and their medical teams. Based on experiences in this study, patients may need to be actively encouraged to regularly register symptoms within health apps to generate sufficient patient-reported app data for use in clinical practice and scientific research.</t>
  </si>
  <si>
    <t>Updating standards for reporting diagnostic accuracy: the development of STARD 2015.</t>
  </si>
  <si>
    <t>Korevaar, Daniël A; Cohen, Jérémie F; Reitsma, Johannes B; Bruns, David E; Gatsonis, Constantine A; Glasziou, Paul P; Irwig, Les; Moher, David; de Vet, Henrica C W; Altman, Douglas G; Hooft, Lotty; Bossuyt, Patrick M M</t>
  </si>
  <si>
    <t>research integrity and peer review</t>
  </si>
  <si>
    <t>https://pubmed.ncbi.nlm.nih.gov/29451535</t>
  </si>
  <si>
    <t>Although the number of reporting guidelines has grown rapidly, few have gone through an updating process. The STARD statement (Standards for Reporting Diagnostic Accuracy), published in 2003 to help improve the transparency and completeness of reporting of diagnostic accuracy studies, was recently updated in a systematic way. Here, we describe the steps taken and a justification for the changes made. A 4-member Project Team coordinated the updating process; a 14-member Steering Committee was regularly solicited by the Project Team when making critical decisions. First, a review of the literature was performed to identify topics and items potentially relevant to the STARD updating process. After this, the 85 members of the STARD Group were invited to participate in two online surveys to identify items that needed to be modified, removed from, or added to the STARD checklist. Based on the results of the literature review process, 33 items were presented to the STARD Group in the online survey: 25 original items and 8 new items; 73 STARD Group members (86 %) completed the first survey, and 79 STARD Group members (93 %) completed the second survey.Then, an in-person consensus meeting was organized among the members of the Project Team and Steering Committee to develop a consensual draft version of STARD 2015. This version was piloted in three rounds among a total of 32 expert and non-expert users. Piloting mostly led to rewording of items. After this, the update was finalized. The updated STARD 2015 list now consists of 30 items. Compared to the previous version of STARD, three original items were each converted into two new items, four original items were incorporated into other items, and seven new items were added. After a systematic updating process, STARD 2015 provides an updated list of 30 essential items for reporting diagnostic accuracy studies.</t>
  </si>
  <si>
    <t>Influenza vaccination of pregnant women protects them over two consecutive influenza seasons in a randomized controlled trial.</t>
  </si>
  <si>
    <t>Mutsaerts, Eleonora; Madhi, Shabir A; Cutland, Clare L; Jones, Stephanie; Hugo, Andrea; Trenor, Siobhan; Treurnicht, Florette K; Klipstein-Grobusch, Kerstin; Weinberg, Adriana; Nunes, Marta C</t>
  </si>
  <si>
    <t>https://pubmed.ncbi.nlm.nih.gov/27212228</t>
  </si>
  <si>
    <t>We assessed the persistence of hemagglutinin inhibition (HAI) antibodies and the vaccine efficacy (VE) of trivalent inactivated influenza vaccine (IIV3) following vaccination of a cohort of pregnant South African women during a second influenza season. A cohort of women who participated in a randomized placebo-controlled trial on the safety, immunogenicity and efficacy of IIV3 in 2011 had HAI titers measured in 2012 and were monitored for influenza illness until the end of 2012. The proportion of women with HAI titers ≥1:40 was significantly greater in vaccinees (63%) compared to placebo-recipients (22%; p &lt; 0.001). VE in 2012 was 63.8% (95% confidence interval [95%CI]: -33.7%, 90.2%); combined VE for 2011 and 2012 was 58.3% (95%CI: 0.2%, 82.6%). The majority of women who received IIV3 during pregnancy had HAI titers above the putative threshold for protection against influenza illness one year after vaccination and showed a trend towards protection against influenza disease.</t>
  </si>
  <si>
    <t>A systematic review of financial incentives given in the healthcare setting; do they effectively improve physical activity levels?</t>
  </si>
  <si>
    <t>Molema, Claudia C M; Wendel-Vos, G C Wanda; Puijk, Lisanne; Jensen, Jørgen Dejgaard; Schuit, A Jantine; de Wit, G Ardine</t>
  </si>
  <si>
    <t>bmc sports science medicine rehabilitation</t>
  </si>
  <si>
    <t>https://pubmed.ncbi.nlm.nih.gov/27274847</t>
  </si>
  <si>
    <t>According to current physical activity guidelines, a substantial percentage of the population in high-income countries is inactive, and inactivity is an important risk factor for chronic conditions and mortality. Financial incentives may encourage people to become more active. The objective of this review was to provide insight in the effectiveness of financial incentives used for promoting physical activity in the healthcare setting. A systematic literature search was performed in three databases: Medline, EMBASE and SciSearch. In total, 1395 papers published up until April 2015 were identified. Eleven of them were screened on in- and exclusion criteria based on the full-text publication. Three studies were included in the review. Two studies combined a financial incentive with nutrition classes or motivational interviewing. One of these provided a free membership to a sports facility and the other one provided vouchers for one episode of aerobic activities at a local leisure center or swimming pool. The third study provided a schedule for exercise sessions. None of the studies addressed the preferences of their target population with regard to financial incentives. Despite some short-term effects, neither of the studies showed significant long-term effects of the financial incentive. Based on the limited number of studies and the diversity in findings, no solid conclusion can be drawn regarding the effectiveness of financial incentives on physical activity in the healthcare setting. Therefore, there is a need for more research on the effectiveness of financial incentives in changing physical activity behavior in this setting. There is possibly something to be gained by studying the preferred type and size of the financial incentive.</t>
  </si>
  <si>
    <t>LEADER 7: cardiovascular risk profiles of US and European participants in the LEADER diabetes trial differ.</t>
  </si>
  <si>
    <t>Rutten, Guy E H M; Tack, Cees J; Pieber, Thomas R; Comlekci, Abdurrahman; Ørsted, David Dynnes; Baeres, Florian M M; Marso, Steven P; Buse, John B; ,</t>
  </si>
  <si>
    <t>https://pubmed.ncbi.nlm.nih.gov/27274772</t>
  </si>
  <si>
    <t>To determine whether US and European participants in the Liraglutide Effect and Action in Diabetes: Evaluation of cardiovascular outcome Results (LEADER) trial differ regarding risk factors for cardiovascular mortality and morbidity. Baseline data, stratified for prior cardiovascular disease (CVD), were compared using multivariable logistic regression analysis to establish whether region is an independent determinant of achieved targets for glycated hemoglobin (HbA1c), blood pressure (BP), and low-density lipoprotein (LDL)-cholesterol. Independent of CVD history, US participants were more often of non-White origin and had a longer history of type 2 diabetes, higher body weight, and higher baseline HbA1c. They had substantially lower systolic and diastolic BP, and a marginally lower LDL-cholesterol level. Fewer US participants were diagnosed with left ventricular dysfunction. In the largest group of patients, those with prior CVD and the highest cardiovascular risk, US participants were more often female, had a higher waist circumference, and had a decreased estimated glomerular filtration rate, but less frequently prior myocardial infarction or angina pectoris. There were baseline differences between US and European participants. These differences may result from variation in regional targets for cardiovascular risk factor management, and should be considered in the analysis and reporting of the trial results. Clinical trial identifier: ClinicalTrials.gov, NCT01179048.</t>
  </si>
  <si>
    <t>BReastfeeding Attitude and Volume Optimization (BRAVO) trial: study protocol for a randomized controlled trial.</t>
  </si>
  <si>
    <t>Savitri, Ary I; Idris, Nikmah S; Indawati, Wahyuni; Saldi, Siti Rizny F; Amelia, Dwirani; Baharuddin, Mohammad; Sastroasmoro, Sudigdo; Grobbee, Diederick E; Uiterwaal, Cuno S P M</t>
  </si>
  <si>
    <t>https://pubmed.ncbi.nlm.nih.gov/27250730</t>
  </si>
  <si>
    <t>A growing body of evidence shows the short-term benefits of breastfeeding, which include protection against infections, allergies, and lung diseases. However, evidence on the long-term benefits of breastfeeding is scarce and often conflicting. The BReastfeeding Attitude and Volume Optimization (BRAVO) trial is designed to study the effect of breastfeeding on early signs of later chronic diseases, particularly cardiovascular, respiratory, and metabolic risks later in life. In addition, the effectiveness of breastfeeding empowerment in promoting breastfeeding will also be evaluated. This study is an ongoing randomized trial in Jakarta, Indonesia, that began in July 2012. Pregnant women are being screened for their breastfeeding plan in the third trimester, and those with low intention to breastfeed are randomly allocated to either receiving an add-on breastfeeding-optimization program or usual care. Primary outcomes include breastfeeding rate, lung function, and blood pressure during the first year of life and vascular/cardiac characteristics, which will be measured at the age of 4 to 5 years. Child growth and infection/illness episodes are measured, whereas cognitive testing is planned for the children at 5 years of age. To date, 784 women (80 %) have been randomized of the 1,000 planned, with satisfactory completeness of the 1-year follow up (90.1 %). Included mothers are of lower socioeconomic status and more often have blue-collar jobs, similar to what was observed in the pilot study. ClinicalTrials.gov, NCT01566812 . Registered on 27 March 2012.</t>
  </si>
  <si>
    <t>Poor Performance Among Trainees in a Dutch Postgraduate GP Training Program.</t>
  </si>
  <si>
    <t>Vermeulen, Margit I; Kuyvenhoven, Marijke M; de Groot, Esther; Zuithoff, Nicolaas Pa; Pieters, Honore M; van der Graaf, Yolanda; Damoiseaux, Roger Amj</t>
  </si>
  <si>
    <t>family medicine</t>
  </si>
  <si>
    <t>https://pubmed.ncbi.nlm.nih.gov/27272419</t>
  </si>
  <si>
    <t>Poor performance among trainees is an important issue, for patient safety and economic reasons. While early identification might enhance remediation measures, we explored the frequency, nature, and risk factors of poor performance in a Dutch postgraduate general practitioner (GP) training program. All trainees who started the GP training between 2005 and 2007 were included. Multivariate logistic regression analysis was applied to examine associations between individual characteristics; early assessments of competencies and knowledge, training process characteristics (eg, illness, maternal leave), and the outcome poor performance; sub-analyses were performed for each year. A total of 215 trainees started the 3-year GP program, and 49 (22.8%) exhibited poor performance (in one or more years). In the first and second years, problem areas among poor performers were equally distributed across the roles of "medical expert," "communicator," and "professional." In the third year, shortcomings in "professionalism" were the most common problem. Increasing age was a risk factor for poor performance as were insufficient scores in communication and knowledge. Poor performance in the previous year was a risk factor for poor performance in the second and third years; OR=4.20 (CI=1.31--13.47) and OR=5.40 (CI=1.58--18.47), respectively. Poor performance is prevalent but primarily occurring within a single training year. This finding suggests that trainees are capable of solving trainee problems. Increasing age, insufficient assessment scores early in the training, and poor performance in a previous year constitute risk factors for poor performance.</t>
  </si>
  <si>
    <t>Sex-Related Differences in Outcome in Patients with Aneurysmal Subarachnoid Hemorrhage.</t>
  </si>
  <si>
    <t>Duijghuisen, Jesse J; Greebe, Paut; Nieuwkamp, Dennis J; Algra, Ale; Rinkel, Gabriël J E</t>
  </si>
  <si>
    <t>https://pubmed.ncbi.nlm.nih.gov/27263033</t>
  </si>
  <si>
    <t>Several population-based studies found a higher case fatality after aneurysmal subarachnoid hemorrhage (ASAH) in women than in men. This may relate to differences in prognostic characteristics. We therefore assessed sex differences in prognosticators and outcome in ASAH patients. From a prospectively collected ASAH database, we retrieved data on patients admitted from 1990 to 2010. We calculated prevalence ratios (PRs) with corresponding 95% confidence intervals (CIs) for prognosticators (clinical condition on admission, site and treatment of the aneurysm, and complications during the clinical course) and risk ratios (RRs) for in-hospital death and poor outcome (death or dependence) at 3 months. RRs were adjusted for possible confounding with Poisson regression analysis. Of the 1761 included patients, 1211 (68.8%) were women, who were 1.9 (95% CI: .5↔3.3) years older than men. PRs for women for the site of the aneurysm were 1.71 (95% CI: 1.38↔2.13) for the carotid artery, .68 (95% CI: .60↔.77) for the anterior communicating artery, 1.14 (95% CI: .92↔1.41) for the middle cerebral artery, and .85 (95% CI: .63↔1.13) for posterior circulation. PRs of other prognosticators were similar between sexes. The crude RR for in-hospital death for women was .91 (95% CI: .78↔1.05) and for poor outcome at 3 months was .95 (95% CI: .85↔1.06); both remained similar after adjustment. In this study, in-hospital death and poor outcome at 3 months did not differ between men and women. Women were slightly older than men and had different distributions of aneurysm sites, but not to an extent that it explained a sex difference in outcome.</t>
  </si>
  <si>
    <t>Raising awareness of cognitive biases during diagnostic reasoning.</t>
  </si>
  <si>
    <t>van Geene, Kaylee; de Groot, Esther; Erkelens, Carmen; Zwart, Dorien</t>
  </si>
  <si>
    <t>perspectives on medical education</t>
  </si>
  <si>
    <t>https://pubmed.ncbi.nlm.nih.gov/27216170</t>
  </si>
  <si>
    <t>Bias in diagnostic reasoning can potentially lead to severe consequences. We explored how to design an experiential learning workshop in a general practice clerkship to raise awareness on bias. A group of 12 students was split into two groups. Both groups 'diagnosed' two patients in two case studies. Only one group, without them knowing, were given a case including salient distracting features. The whole group discussed the influence of these distractors. In the second round all students had salient distracting features in their case descriptions but only one group had a debiasing tool, a checklist to reconsider their first diagnosis, which they discussed in the final large group discussion. Students were misled by salient distracting features and thus experienced how one small difference in a case description may lead to a different diagnosis, due to bias. The debiasing tool was regarded with scepticism. Afterwards, students indicated that, thanks to experiencing bias themselves, they felt better equipped to recognize the risk of bias. An experiential learning approach with case studies containing salient distracting features seems to be a viable method to learn about bias in a general practice clerkship.</t>
  </si>
  <si>
    <t>Prevention of Hypertensive Disorders of Pregnancy: a Novel Application of the Polypill Concept.</t>
  </si>
  <si>
    <t>Browne, J L; Klipstein-Grobusch, K; Franx, A; Grobbee, D E</t>
  </si>
  <si>
    <t>current cardiology reports</t>
  </si>
  <si>
    <t>https://pubmed.ncbi.nlm.nih.gov/27209297</t>
  </si>
  <si>
    <t>Nearly all of the annual 287,000 global maternal deaths are preventable. Hypertensive disorders of pregnancy (HDP) are among the major causes. A novel fixed-dose combination pill or polypill to prevent cardiovascular disease is a promising strategy for prevention of HDP. The aim of this study was to identify eligible candidates for a polypill for the prevention of HDP. A comprehensive review of systematic reviews on drug and dietary interventions to prevent HDP was conducted. Interventions were evaluated based on efficacy, dose, route of administration, and side effects. Fourteen interventions were assessed. Low-dose aspirin and calcium were identified as candidates for a polypill, with risk reduction estimations for pregnancy-induced hypertension and preeclampsia ranging between 10 and 62 %, depending on patient population characteristics including a priori risk, and gestation age at start of intervention. Their effect may be augmented through the addition of vitamin D, vitamin B12, and folic acid. The effect and optimal composition needs to be evaluated in future trials. Given the persistent burden of maternal and perinatal mortality associated with HDP, prevention of these disorders is key-especially in low-resource settings. The polypill approach with a combination of aspirin, calcium, vitamin D, vitamin B12, and folic acid is a promising strategy to improve maternal and perinatal health outcomes.</t>
  </si>
  <si>
    <t>Surgical innovation: the ethical agenda: A systematic review.</t>
  </si>
  <si>
    <t>Broekman, Marike L; Carrière, Michelle E; Bredenoord, Annelien L</t>
  </si>
  <si>
    <t>medicine</t>
  </si>
  <si>
    <t>https://pubmed.ncbi.nlm.nih.gov/27336866</t>
  </si>
  <si>
    <t>The aim of the present article was to systematically review the ethics of surgical innovation and introduce the components of the learning health care system to guide future research and debate on surgical innovation.Although the call for evidence-based practice in surgery is increasingly high on the agenda, most surgeons feel that the format of the randomized controlled trial is not suitable for surgery. Innovation in surgery has aspects of, but should be distinguished from both research and clinical care and raises its own ethical challenges.To answer the question "What are the main ethical aspects of surgical innovation?", we systematically searched PubMed and Embase. Papers expressing an opinion, point of view, or position were included, that is, normative ethical papers.We included 59 studies discussing ethical aspects of surgical innovation. These studies discussed 4 major themes: oversight, informed consent, learning curve, and vulnerable patient groups. Although all papers addressed the ethical challenges raised by surgical innovation, surgeons hold no uniform view of surgical innovation, and there is no agreement on the distinction between innovation and research. Even though most agree to some sort of oversight, they offer different alternatives ranging from the formation of new surgical innovation committees to establishing national registries. Most agree that informed consent is necessary for innovative procedures and that surgeons should be adequately trained to assure their competence to tackle the learning curve problem. All papers agree that in case of vulnerable patients, alternatives must be found for the informed consent procedure.We suggest that the concept of the learning health care system might provide guidance for thinking about surgical innovation. The underlying rationale of the learning health care system is to improve the quality of health care by embedding research within clinical care. Two aspects of a learning health care system might particularly enrich the necessary future discussion on surgical innovation: integration of research and practice and a moral emphasis on "learning activities." Future research should evaluate whether the learning health care system and its adjacent moral framework provides ethical guidance for evidence-based surgery.</t>
  </si>
  <si>
    <t>Exposure to Famine at a Young Age and Unhealthy Lifestyle Behavior Later in Life.</t>
  </si>
  <si>
    <t>Fransen, Heidi P; Peeters, Petra H M; Beulens, Joline W J; Boer, Jolanda M A; de Wit, G Ardine; Onland-Moret, N Charlotte; van der Schouw, Yvonne T; Bueno-de-Mesquita, H Bas; Hoekstra, Jeljer; Elias, Sjoerd G; May, Anne M</t>
  </si>
  <si>
    <t>https://pubmed.ncbi.nlm.nih.gov/27244088</t>
  </si>
  <si>
    <t>A healthy diet is important for normal growth and development. Exposure to undernutrition during important developmental periods such as childhood and adolescence can have effects later in life. Inhabitants of the west of the Netherlands were exposed to severe undernutrition during the famine in the last winter of the second World War (1944-1945). We investigated if exposure of women to the Dutch famine during childhood and adolescence was associated with an unhealthy lifestyle later in life. We studied 7,525 women from the Prospect-EPIC cohort, recruited in 1993-97 and aged 0-18 years during the Dutch famine. An individual famine score was calculated based on self-reported information about experience of hunger and weight loss. We investigated the association between famine exposure in early life and four lifestyle factors in adulthood: smoking, alcohol consumption, physical activity level and a Mediterranean-style diet. Of the 7,525 included women, 46% were unexposed, 38% moderately exposed and 16% severely exposed to the Dutch famine. Moderately and severely exposed women were more often former or current smokers compared to women that did not suffer from the famine: adjusted prevalence ratio 1.10 (95% CI: 1.05; 1.14) and 1.18 (1.12; 1.25), respectively. They also smoked more pack years than unexposed women. Severely exposed women were more often physically inactive than unexposed women, adjusted prevalence ratio 1.32 (1.06; 1.64). Results did not differ between exposure age categories (0-9 and 10-17 years). We found no associations of famine exposure with alcohol consumption and no dose-dependent relations with diet. Exposure to famine early in female life may be associated with higher prevalence of smoking and physical inactivity later in life, but not with unhealthy diet and alcohol consumption.</t>
  </si>
  <si>
    <t>Novel Biomarkers to Improve the Prediction of Cardiovascular Event Risk in Type 2 Diabetes Mellitus.</t>
  </si>
  <si>
    <t>van der Leeuw, Joep; Beulens, Joline W J; van Dieren, Susan; Schalkwijk, Casper G; Glatz, Jan F C; Hofker, Marten H; Verschuren, W M Monique; Boer, Jolanda M A; van der Graaf, Yolanda; Visseren, Frank L J; Peelen, Linda M; van der Schouw, Yvonne T</t>
  </si>
  <si>
    <t>https://pubmed.ncbi.nlm.nih.gov/27247335</t>
  </si>
  <si>
    <t>We evaluated the ability of 23 novel biomarkers representing several pathophysiological pathways to improve the prediction of cardiovascular event (CVE) risk in patients with type 2 diabetes mellitus beyond traditional risk factors. We used data from 1002 patients with type 2 diabetes mellitus from the Second Manifestations of ARTertial disease (SMART) study and 288 patients from the European Prospective Investigation into Cancer and Nutrition-NL (EPIC-NL). The associations of 23 biomarkers (adiponectin, C-reactive protein, epidermal-type fatty acid binding protein, heart-type fatty acid binding protein, basic fibroblast growth factor, soluble FMS-like tyrosine kinase-1, soluble intercellular adhesion molecule-1 and -3, matrix metalloproteinase [MMP]-1, MMP-3, MMP-9, N-terminal prohormone of B-type natriuretic peptide, osteopontin, osteonectin, osteocalcin, placental growth factor, serum amyloid A, E-selectin, P-selectin, tissue inhibitor of MMP-1, thrombomodulin, soluble vascular cell adhesion molecule-1, and vascular endothelial growth factor) with CVE risk were evaluated by using Cox proportional hazards analysis adjusting for traditional risk factors. The incremental predictive performance was assessed with use of the c-statistic and net reclassification index (NRI; continuous and based on 10-year risk strata 0-10%, 10-20%, 20-30%, &gt;30%). A multimarker model was constructed comprising those biomarkers that improved predictive performance in both cohorts. N-terminal prohormone of B-type natriuretic peptide, osteopontin, and MMP-3 were the only biomarkers significantly associated with an increased risk of CVE and improved predictive performance in both cohorts. In SMART, the combination of these biomarkers increased the c-statistic with 0.03 (95% CI 0.01-0.05), and the continuous NRI was 0.37 (95% CI 0.21-0.52). In EPIC-NL, the multimarker model increased the c-statistic with 0.03 (95% CI 0.00-0.03), and the continuous NRI was 0.44 (95% CI 0.23-0.66). Based on risk strata, the NRI was 0.12 (95% CI 0.03-0.21) in SMART and 0.07 (95% CI -0.04-0.17) in EPIC-NL. Of the 23 evaluated biomarkers from different pathophysiological pathways, N-terminal prohormone of B-type natriuretic peptide, osteopontin, MMP-3, and their combination improved CVE risk prediction in 2 separate cohorts of patients with type 2 diabetes mellitus beyond traditional risk factors. However, the number of patients reclassified to a different risk stratum was limited.</t>
  </si>
  <si>
    <t>Family history of myocardial infarction, stroke and diabetes and cardiometabolic markers in children.</t>
  </si>
  <si>
    <t>Berentzen, Nina E; Wijga, Alet H; van Rossem, Lenie; Koppelman, Gerard H; van Nieuwenhuizen, Bo; Gehring, Ulrike; Spijkerman, Annemieke M W; Smit, Henriëtte A</t>
  </si>
  <si>
    <t>https://pubmed.ncbi.nlm.nih.gov/27239670</t>
  </si>
  <si>
    <t>Despite the overlap in occurrence of cardiovascular disease (CVD) and type 2 diabetes and their risk factors, family history of these diseases has not yet been investigated simultaneously in relation to cardiometabolic markers in offspring. We examined how a family history of CVD and/or diabetes relates to cardiometabolic markers in offspring, and to what extent these diseases independently contribute to cardiometabolic markers. We used data from 1,374 12-year-old children and their parents participating in a birth cohort study in the Netherlands. Family history of CVD (myocardial infarction [MI] and stroke) and diabetes were reported by the parents. Children were classified as 'no', 'moderate' or 'strong' family history, based on early/late onset of disease in parents and grandparents. Cardiometabolic markers were measured at 12 years of age: waist circumference, cholesterol, blood pressure and HbA1c. Compared with those with no family history, children with a strong family history of MI and/or stroke and/or diabetes (29% of the study population) had 0.13 mmol/l higher total cholesterol (TC) (95% CI 0.03, 0.23) and 0.18 higher TC/HDL-cholesterol (HDLC) ratio (95% CI 0.04, 0.32). A strong family history of MI or diabetes was independently associated with unfavourable cardiometabolic markers specific to those diseases. These associations remained after adjusting for BMI. Children with a moderate family history had no unfavourable cardiometabolic markers. One-third of the children had a strong family history of CVD and/or diabetes. These children had higher TC levels and TC/HDLC ratios than children with no family history. A strong family history of MI or diabetes was independently associated with unfavourable cardiometabolic markers specific to those diseases.</t>
  </si>
  <si>
    <t>Endoscopic mucosal resection (EMR) versus endoscopic submucosal dissection (ESD) for resection of large distal non-pedunculated colorectal adenomas (MATILDA-trial): rationale and design of a multicenter randomized clinical trial.</t>
  </si>
  <si>
    <t>Backes, Y; Moons, L M G; van Bergeijk, J D; Berk, L; Ter Borg, F; Ter Borg, P C J; Elias, S G; Geesing, J M J; Groen, J N; Hadithi, M; Hardwick, J C H; Kerkhof, M; Mangen, M J J; Straathof, J W A; Schröder, R; Schwartz, M P; Spanier, B W M; de Vos Tot Nederveen Cappel, W H; Wolfhagen, F H J; Koch, A D</t>
  </si>
  <si>
    <t>bmc gastroenterology</t>
  </si>
  <si>
    <t>https://pubmed.ncbi.nlm.nih.gov/27229709</t>
  </si>
  <si>
    <t>Endoscopic mucosal resection (EMR) is currently the most used technique for resection of large distal colorectal polyps. However, in large lesions EMR can often only be performed in a piecemeal fashion resulting in relatively low radical (R0)-resection rates and high recurrence rates. Endoscopic submucosal dissection (ESD) is a newer procedure that is more difficult resulting in a longer procedural time, but is promising due to the high en-bloc resection rates and the very low recurrence rates. We aim to evaluate the (cost-)effectiveness of ESD against EMR on both short (i.e. 6 months) and long-term (i.e. 36 months). We hypothesize that in the short-run ESD is more time consuming resulting in higher healthcare costs, but is (cost-) effective on the long-term due to lower patients burden, a higher number of R0-resections and lower recurrence rates with less need for repeated procedures. This is a multicenter randomized clinical trial in patients with a non-pedunculated polyp larger than 20 mm in the rectum, sigmoid, or descending colon suspected to be an adenoma by means of endoscopic assessment. Primary endpoint is recurrence rate at follow-up colonoscopy at 6 months. Secondary endpoints are R0-resection rate, perceived burden and quality of life, healthcare resources utilization and costs, surgical referral rate, complication rate and recurrence rate at 36 months. Quality-adjusted-life-year (QALY) will be estimated taking an area under the curve approach and using EQ-5D-indexes. Healthcare costs will be calculated by multiplying used healthcare services with unit prices. The cost-effectiveness of ESD against EMR will be expressed as incremental cost-effectiveness ratios (ICER) showing additional costs per recurrence free patient and as ICER showing additional costs per QALY. If this trial confirms ESD to be favorable on the long-term, the burden of extra colonoscopies and repeated procedures can be prevented for future patients. NCT02657044 (Clinicaltrials.gov), registered January 8, 2016.</t>
  </si>
  <si>
    <t>C-reactive protein point-of-care testing and associated antibiotic prescribing.</t>
  </si>
  <si>
    <t>Minnaard, Margaretha C; van de Pol, Alma C; Hopstaken, Rogier M; van Delft, Sanne; Broekhuizen, Berna D L; Verheij, Theo J M; de Wit, Niek J</t>
  </si>
  <si>
    <t>https://pubmed.ncbi.nlm.nih.gov/27230745</t>
  </si>
  <si>
    <t>In clinical trials, the potential of point-of-care (POC) C-reactive protein (CRP) tests was demonstrated in decreasing antibiotic prescribing in adults with acute cough in general practice, but effects of implementation are unknown. To determine the overall effect of POC CRP testing on antibiotic prescribing rate in general practice. In an observational study, GPs were instructed to use POC CRP in adults with acute cough following current guidelines. After routine history taking and physical examination, they reported whether they intended to prescribe antibiotics ('pre-test decision'). They reported their revised decision after receiving the POC CRP test result ('post-test decision'). Primary outcome was the percentage of patients in whom the GP changed his or her decision to prescribe antibiotics. Secondary outcome was the difference between 'pre-test' and 'post-test' antibiotic prescribing % at group level. A total of 40 GPs enrolled 939 patients, 78% of whom were tested for CRP. GPs changed their decision after POC CRP testing in 200 patients (27%). Antibiotic prescribing before and after CRP testing did not differ ('pre-test' 31%, 'post-test' 28%; 95% confidence interval of difference -7 to 1). In 41% of the tested patients, the indication for testing was in accordance with the guidelines. POC CRP influenced GPs to change their decision about antibiotic prescribing in patients with acute cough. POC CRP testing does not reduce overall antibiotic prescribing by GPs who already have a low antibiotic prescribing rate.</t>
  </si>
  <si>
    <t>Reconstruction of hadronic decay products of tau leptons with the ATLAS experiment.</t>
  </si>
  <si>
    <t>,; 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t>
  </si>
  <si>
    <t>https://pubmed.ncbi.nlm.nih.gov/28280437</t>
  </si>
  <si>
    <t>This paper presents a new method of reconstructing the individual charged and neutral hadrons in tau decays with the ATLAS detector. The reconstructed hadrons are used to classify the decay mode and to calculate the visible four-momentum of reconstructed tau candidates, significantly improving the resolution with respect to the calibration in the existing tau reconstruction. The performance of the reconstruction algorithm is optimised and evaluated using simulation and validated using samples of [Formula: see text] and [Formula: see text]+jets events selected from proton-proton collisions at a centre-of-mass energy [Formula: see text], corresponding to an integrated luminosity of 5 [Formula: see text].</t>
  </si>
  <si>
    <t>Occult coronary artery disease in middle-aged sportsmen with a low cardiovascular risk score: The Measuring Athlete's Risk of Cardiovascular Events (MARC) study.</t>
  </si>
  <si>
    <t>Braber, Thijs L; Mosterd, Arend; Prakken, Niek H; Rienks, Rienk; Nathoe, Hendrik M; Mali, Willem P; Doevendans, Pieter A; Backx, Frank J; Bots, Michiel L; Grobbee, Diederick E; Velthuis, Birgitta K</t>
  </si>
  <si>
    <t>https://pubmed.ncbi.nlm.nih.gov/27222386</t>
  </si>
  <si>
    <t>Most exercise-related cardiac arrests in men aged ≥45 years are due to coronary artery disease (CAD). The current sports medical evaluation (SME) of middle-aged sportsmen includes medical history, physical examination and resting and exercise electrocardiography (ECG). We investigated the added value of low-dose cardiac computed tomography (CCT) - both non-contrast CT for coronary artery calcium scoring (CACS) and contrast-enhanced coronary CT angiography (CCTA) - in order to detect occult CAD in asymptomatic recreational sportsmen aged ≥45 years without known cardiovascular disease. Following a normal SME (with resting and bicycle exercise ECG), 318 asymptomatic sportsmen underwent CCT and 300 (94%) had a low European Society of Cardiology Systematic Coronary Risk Evaluation (SCORE) risk. Occult CAD was defined as a CACS ≥100 Agatston units (AU) or obstructive (≥50%) luminal stenosis on CCTA. The number needed to screen (NNS) in order to prevent one cardiovascular event within 5 years with statin treatment was estimated. Fifty-two (16.4%, 95% confidence interval (CI): 12.7-20.8%) of 318 participants had a CACS ≥100 AU. The CCTA identified an additional eight participants with luminal narrowing ≥50% (and a CACS &lt;100 AU). Taken together, CCT identified CAD in 60 (18.9%, 95% CI: 14.9-23.5%) of 318 participants. The 5-year estimated NNS was 183 (95% CI: 144-236) for CACS and 159 (95% CI: 128-201) for CACS combined with CCTA. Coronary CT detects occult CAD in almost one in five asymptomatic sportsmen aged ≥45 years after a normal SME that included resting and bicycle exercise ECG. CACS reveals most of the relevant CAD with limited additional value of contrast-enhanced CCTA. The NNS in order to prevent one cardiovascular event compares favourably to that of other screening tests.</t>
  </si>
  <si>
    <t>The natural course of elevated levels of depressive symptoms in patients with vascular disease over eight years of follow-up. The SMART-Medea study.</t>
  </si>
  <si>
    <t>Kooistra, Minke; van der Graaf, Yolanda; Grool, Anne M; Zuithoff, Nicolaas P A; Jan Biessels, Geert; Geerlings, Mirjam I; ,</t>
  </si>
  <si>
    <t>https://pubmed.ncbi.nlm.nih.gov/27259081</t>
  </si>
  <si>
    <t>Patients with cardiovascular disease have an increased risk for depression, and depression predicts poor prognosis in these patients, but the long-term course of depression is not known. We studied the natural course of elevated levels of depressive symptoms in patients with cardiovascular disease over eight years follow-up. Within the Second Manifestations of ARTerial disease - Memory, depression and aging (SMART-Medea) study, depressive symptoms were assessed with the Patient Health Questionnaire-9 (PHQ-9) in 690 patients (62±10 years) at baseline and bi-annually during 8 years follow-up. Natural course was described for symptom severity and course type (never, single episode, intermittent, and chronic) based on the cut-off point of ≥6 on the PHQ-9. Using multinomial regression analysis (reference: never depressed) we estimated age- and sex-adjusted odds ratios (OR) for the associations of demographic factors and vascular disease categories with course type. Of the 690 patients, 60% was never depressed, 10% had a single episode, 19% had an intermittent and 11% a chronic course of depression. Increased risk for chronic course was observed for women (OR=3.42; 95% CI=1.98-5.90), those with younger age (OR=3.20; 95% CI=1.73-5.94), and for patients with cerebrovascular disease when compared to patients with coronary artery disease (OR=2.50; 95% CI=1.31-4.78). No information was available on clinical diagnosed major depressive disorder and/or clinical events during follow-up. In patients with cardiovascular disease, an intermittent or chronic course of elevated levels of depressive symptoms is very common. Patients with cardiovascular disease may require more careful clinical monitoring and management of depressive symptoms.</t>
  </si>
  <si>
    <t>HDL Cholesterol as a Residual Risk Factor for Vascular Events and All-Cause Mortality in Patients With Type 2 Diabetes.</t>
  </si>
  <si>
    <t>https://pubmed.ncbi.nlm.nih.gov/27222511</t>
  </si>
  <si>
    <t>To evaluate whether low HDL cholesterol (HDL-c) levels are a risk factor for cardiovascular disease and mortality in patients with type 2 diabetes and whether it remains a residual risk factor when attaining low LDL cholesterol (LDL-c) treatment goals or when LDL-c is treated with intensive lipid-lowering therapy. We performed a prospective cohort study of 1,829 patients with type 2 diabetes included in the Second Manifestations of ARTerial disease (SMART) cohort. Cox proportional hazard models were used to evaluate the risk of HDL-c on cardiovascular events and all-cause mortality. Analyses were performed in strata of LDL-c levels (&lt;2.0, 2.0-2.5, and &gt;2.5 mmol/L) and lipid-lowering therapy intensity and were adjusted for age, sex, BMI, smoking, alcohol, LDL-c, triglycerides, systolic blood pressure, estimated glomerular filtration rate, glucose, and HbA1c. A total of 335 new cardiovascular events and 385 deaths occurred during a median follow-up of 7.0 years (interquartile range 3.9-10.4). No relation was found between plasma HDL-c and cardiovascular events (hazard ratio [HR] 0.97, 95% CI 0.93-1.01) or all-cause mortality (HR 0.99, 95% CI 0.96-1.03). Subgroup analysis supported effect modification by plasma LDL-c levels. In patients with LDL-c levels &lt;2.0 mmol/L, higher HDL-c was related to higher risk for all-cause mortality (HR 1.14, 95% CI 1.07-1.21). Higher HDL-c was also related to higher risk for cardiovascular events in patients with LDL-c levels &lt;2.0 mmol/L (HR 1.10, 95% CI 1.07-1.21) in contrast to patients with LDL-c levels between 2.0 and 2.5 mmol/L (HR 0.85, 95% CI 0.75-0.95) and &gt;2.5 mmol/L (HR 0.96, 95% CI 0.91-1.00). In high-risk patients with type 2 diabetes with LDL-c levels &lt;2.0 mmol/L, higher HDL-c at baseline is unexpectedly related to a higher risk for cardiovascular events and all-cause mortality in contrast to high-risk patients with type 2 diabetes with LDL-c levels between 2.0 and 2.5 mmol/L.</t>
  </si>
  <si>
    <t>Muon reconstruction performance of the ATLAS detector in proton-proton collision data at [Formula: see text]=13 TeV.</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</si>
  <si>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 S; Angel</t>
  </si>
  <si>
    <t>https://pubmed.ncbi.nlm.nih.gov/28280436</t>
  </si>
  <si>
    <t>This article documents the performance of the ATLAS muon identification and reconstruction using the LHC dataset recorded at [Formula: see text] TeV in 2015. Using a large sample of [Formula: see text] and [Formula: see text] decays from 3.2 fb[Formula: see text] of &lt;i&gt;pp&lt;/i&gt; collision data, measurements of the reconstruction efficiency, as well as of the momentum scale and resolution, are presented and compared to Monte Carlo simulations. The reconstruction efficiency is measured to be close to [Formula: see text] over most of the covered phase space ([Formula: see text] and [Formula: see text] GeV). The isolation efficiency varies between 93 and [Formula: see text] depending on the selection applied and on the momentum of the muon. Both efficiencies are well reproduced in simulation. In the central region of the detector, the momentum resolution is measured to be [Formula: see text] ([Formula: see text]) for muons from [Formula: see text] ([Formula: see text]) decays, and the momentum scale is known with an uncertainty of [Formula: see text]. In the region [Formula: see text], the [Formula: see text] resolution for muons from [Formula: see text] decays is [Formula: see text] while the precision of the momentum scale for low-[Formula: see text] muons from [Formula: see text] decays is about [Formula: see text].</t>
  </si>
  <si>
    <t>Measurement of the transverse momentum and [Formula: see text] distributions of Drell-Yan lepton pairs in proton-proton collisions at [Formula: see text] TeV with the ATLAS detector.</t>
  </si>
  <si>
    <t>https://pubmed.ncbi.nlm.nih.gov/28280435</t>
  </si>
  <si>
    <t>Distributions of transverse momentum [Formula: see text] and the related angular variable [Formula: see text] of DrellΓÇôYan lepton pairs are measured in 20.3┬áfb[Formula: see text] of protonΓÇôproton collisions at [Formula: see text]┬áTeV with the ATLAS detector at the LHC. Measurements in electron-pair and muon-pair final states are corrected for detector effects and combined. Compared to previous measurements in protonΓÇôproton collisions at [Formula: see text]┬áTeV, these new measurements benefit from a larger data sample and improved control of systematic uncertainties. Measurements are performed in bins of lepton-pair mass above, around and below the &lt;i&gt;Z&lt;/i&gt;-boson mass peak. The data are compared to predictions from perturbative and resummed QCD calculations. For values of [Formula: see text] the predictions from the Monte Carlo generator ResBos are generally consistent with the data within the theoretical uncertainties. However, at larger values of [Formula: see text] this is not the case. Monte Carlo generators based on the parton-shower approach are unable to describe the data over the full range of [Formula: see text] while the fixed-order prediction of Dynnlo falls below the data at high values of [Formula: see text]. ResBos and the parton-shower Monte Carlo generators provide a much better description of the evolution of the [Formula: see text] and [Formula: see text] distributions as a function of lepton-pair mass and rapidity than the basic shape of the data.</t>
  </si>
  <si>
    <t>Measurement of the differential cross-sections of prompt and non-prompt production of [Formula: see text] and [Formula: see text] in &lt;i&gt;pp&lt;/i&gt; collisions at [Formula: see text] and 8 TeV with the ATLAS detector.</t>
  </si>
  <si>
    <t>https://pubmed.ncbi.nlm.nih.gov/28280433</t>
  </si>
  <si>
    <t>The production rates of prompt and non-prompt [Formula: see text] and [Formula: see text] mesons in their dimuon decay modes are measured using 2.1 and 11.4 fb[Formula: see text] of data collected with the ATLAS experiment at the Large Hadron Collider, in proton-proton collisions at [Formula: see text] and 8 respectively. Production cross-sections for prompt as well as non-prompt sources, ratios of [Formula: see text] to [Formula: see text] production, and the fractions of non-prompt production for [Formula: see text] and [Formula: see text] are measured as a function of meson transverse momentum and rapidity. The measurements are compared to theoretical predictions.</t>
  </si>
  <si>
    <t>Trajectories of Metabolic Risk Factors and Biochemical Markers prior to the Onset of Cardiovascular Disease - The Doetinchem Cohort Study.</t>
  </si>
  <si>
    <t>Hulsegge, Gerben; Spijkerman, Annemieke M W; van der Schouw, Yvonne T; Bakker, Stephan J L; Gansevoort, Ron T; Smit, Henriette A; Verschuren, W M Monique</t>
  </si>
  <si>
    <t>https://pubmed.ncbi.nlm.nih.gov/27203599</t>
  </si>
  <si>
    <t>Risk factors often develop at young age and are maintained over time, but it is not fully understood how risk factors develop over time preceding cardiovascular disease (CVD). Our objective was to examine how levels and trajectories of metabolic risk factors and biochemical markers prior to diagnosis differ between people with and without CVD over a period of up to 15-20 years. A total of 449 incident non-fatal and fatal CVD cases and 1,347 age- and sex-matched controls were identified in a prospective cohort between 1993 and 2011. Metabolic risk factors and biochemical markers were measured at five-year intervals prior to diagnosis. Trajectories of metabolic risk factors and biochemical markers were analysed using random coefficient analyses. Although not always statistically significant, participants with CVD had slightly more unfavourable levels for most metabolic risk factors and biochemical markers 15-20 years before diagnosis than controls. Subsequent trajectories until diagnosis were similar in participants with incident CVD and controls for body mass index, diastolic blood pressure, total cholesterol, HDL cholesterol, random glucose, triglycerides, gamma glutamyltransferase, C-reactive protein and uric acid. Trajectories were more unfavourable in participants with CVD than controls for systolic blood pressure, waist circumference and estimated glomerular filtration rate (p≤0.05). For example, among participants with CVD, systolic blood pressure increased on average by 9 mmHg over the 18-year period preceding diagnosis, whereas the increase among controls was 4 mmHg. In conclusion, unfavourable levels of metabolic risk factors and biochemical markers are present long before CVD, which indicates that the risk of CVD is already partly determined in young adulthood. This underscores the need for early prevention to reduce the burden of CVD.</t>
  </si>
  <si>
    <t>Impaired bone healing in multitrauma patients is associated with altered leukocyte kinetics after major trauma.</t>
  </si>
  <si>
    <t>Bastian, Okan W; Kuijer, Anne; Koenderman, Leo; Stellato, Rebecca K; van Solinge, Wouter W; Leenen, Luke Ph; Blokhuis, Taco J</t>
  </si>
  <si>
    <t>journal of inflammation research</t>
  </si>
  <si>
    <t>https://pubmed.ncbi.nlm.nih.gov/27274302</t>
  </si>
  <si>
    <t>Animal studies have shown that the systemic inflammatory response to major injury impairs bone regeneration. It remains unclear whether the systemic immune response contributes to impairment of fracture healing in multitrauma patients. It is well known that systemic inflammatory changes after major trauma affect leukocyte kinetics. We therefore retrospectively compared the cellular composition of peripheral blood during the first 2 weeks after injury between multitrauma patients with normal (n=48) and impaired (n=32) fracture healing of the tibia. The peripheral blood-count curves of leukocytes, neutrophils, monocytes, and thrombocytes differed significantly between patients with normal and impaired fracture healing during the first 2 weeks after trauma (P-values were 0.0122, 0.0083, 0.0204, and &lt;0.0001, respectively). Mean myeloid cell counts were above reference values during the second week after injury. Our data indicate that leukocyte kinetics differ significantly between patients with normal and impaired fracture healing during the first 2 weeks after major injury. This finding suggests that the systemic immune response to major trauma can disturb tissue regeneration.</t>
  </si>
  <si>
    <t>Effects of aspirin on risk and severity of early recurrent stroke after transient ischaemic attack and ischaemic stroke: time-course analysis of randomised trials.</t>
  </si>
  <si>
    <t>Rothwell, Peter M; Algra, Ale; Chen, Zhengming; Diener, Hans-Christoph; Norrving, Bo; Mehta, Ziyah</t>
  </si>
  <si>
    <t>https://pubmed.ncbi.nlm.nih.gov/27209146</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</si>
  <si>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p&lt;0·0001) and disabling or fatal ischaemic stroke by about 70% (36 of 8452 vs 110 of 7326; 0·29, 0·20-0·42, 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</si>
  <si>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Prediction models for cardiovascular disease risk in the general population: systematic review.</t>
  </si>
  <si>
    <t>Damen, Johanna A A G; Hooft, Lotty; Schuit, Ewoud; Debray, Thomas P A; Collins, Gary S; Tzoulaki, Ioanna; Lassale, Camille M; Siontis, George C M; Chiocchia, Virginia; Roberts, Corran; Schlüssel, Michael Maia; Gerry, Stephen; Black, James A; Heus, Pauline; van der Schouw, Yvonne T; Peelen, Linda M; Moons, Karel G M</t>
  </si>
  <si>
    <t>https://pubmed.ncbi.nlm.nih.gov/27184143</t>
  </si>
  <si>
    <t> To provide an overview of prediction models for risk of cardiovascular disease (CVD) in the general population.  Systematic review.  Medline and Embase until June 2013.  Studies describing the development or external validation of a multivariable model for predicting CVD risk in the general population.  9965 references were screened, of which 212 articles were included in the review, describing the development of 363 prediction models and 473 external validations. Most models were developed in Europe (n=167, 46%), predicted risk of fatal or non-fatal coronary heart disease (n=118, 33%) over a 10 year period (n=209, 58%). The most common predictors were smoking (n=325, 90%) and age (n=321, 88%), and most models were sex specific (n=250, 69%). Substantial heterogeneity in predictor and outcome definitions was observed between models, and important clinical and methodological information were often missing. The prediction horizon was not specified for 49 models (13%), and for 92 (25%) crucial information was missing to enable the model to be used for individual risk prediction. Only 132 developed models (36%) were externally validated and only 70 (19%) by independent investigators. Model performance was heterogeneous and measures such as discrimination and calibration were reported for only 65% and 58% of the external validations, respectively.  There is an excess of models predicting incident CVD in the general population. The usefulness of most of the models remains unclear owing to methodological shortcomings, incomplete presentation, and lack of external validation and model impact studies. Rather than developing yet another similar CVD risk prediction model, in this era of large datasets, future research should focus on externally validating and comparing head-to-head promising CVD risk models that already exist, on tailoring or even combining these models to local settings, and investigating whether these models can be extended by addition of new predictors.</t>
  </si>
  <si>
    <t>Population-Attributable Risk of Risk Factors for Recurrent Wheezing in Moderate Preterm Infants During the First Year of Life.</t>
  </si>
  <si>
    <t>Blanken, Maarten O; Korsten, Koos; Achten, Niek B; Tamminga, Saskia; Nibbelke, Elisabeth E; Sanders, Elisabeth A M; Smit, Henriette A; Groenwold, Rolf H H; Bont, Louis; ,</t>
  </si>
  <si>
    <t>https://pubmed.ncbi.nlm.nih.gov/27199198</t>
  </si>
  <si>
    <t>Recurrent wheezing in young infants has a high prevalence, influences quality of life, and generates substantial health care costs. We previously showed that respiratory syncytial virus infection is an important mechanism of recurrent wheezing in moderate preterm infants. We aimed to provide population-attributable risks (PAR) of risk factors for recurrent wheezing during the first year of life in otherwise healthy moderate preterm infants. RISK is a multicentre prospective birth cohort study of 4424 moderate preterm infants born at 32-35 weeks gestation. We estimated PAR of risk factors for recurrent wheezing, which was defined as three or more parent-reported wheezing episodes during the first year of life. We evaluated 3952 (89%) children at 1 year of age, of whom 705 infants (18%) developed recurrent wheezing. Fourteen variables were independently associated with recurrent wheezing. Hospitalisation for respiratory syncytial virus bronchiolitis had a strong relationship with recurrent wheezing (RR 2.6; 95% confidence interval, CI, 2.2, 3.1), but a relative modest PAR (8%; 95% CI 6, 11%) which can be explained by a low prevalence (13%). Day-care attendance showed a strong relationship with recurrent wheezing (RR 1.9; 95% CI 1.7, 2.2) and the highest PAR (32%; 95% CI 23, 37%) due to a high prevalence (67%). The combined adjusted PAR for the 14 risk factors associated with recurrent wheezing was 49% (95% CI 46, 52%). In moderate preterm infants, day-care attendance has the largest PAR for recurrent wheezing. Trial evidence is needed to determine the potential benefit of delayed day-care attendance in this population.</t>
  </si>
  <si>
    <t>Relation Between Adolescent Cardiovascular Risk Factors and Carotid Intima-Media Echogenicity in Healthy Young Adults: The Atherosclerosis Risk in Young Adults (ARYA) Study.</t>
  </si>
  <si>
    <t>Eikendal, Anouk L M; Groenewegen, Karlijn A; Bots, Michiel L; Peters, Sanne A E; Uiterwaal, Cuno S P M; den Ruijter, Hester M</t>
  </si>
  <si>
    <t>https://pubmed.ncbi.nlm.nih.gov/27172911</t>
  </si>
  <si>
    <t>Echogenicity is an ultrasound measure that reflects arterial wall composition. In adult populations, lower carotid intima-media echogenicity relates to an unfavorable cardiovascular risk burden yet appears to reflect a different aspect of arterial wall remodeling than carotid intima-media thickness (CIMT). Since studies on carotid intima-media echogenicity earlier in life are lacking, we investigated associations between adolescent cardiovascular risk factors and young adulthood carotid intima-media echogenicity and compared this to CIMT. In 736 participants of the Atherosclerosis Risk in Young Adults study, information on adolescent anthropometrics, puberty stage, and systolic blood pressure (SBP) was available. In young adulthood, demographics, anthropometrics, and fasting plasma samples were collected. Common CIMT and echogenicity, quantified as gray-scale median (GSM), were evaluated using B-mode ultrasonography. Lower and higher GSM values, respectively, represented lower and higher echogenicity. Associations of adolescent body mass index and SBP with young adulthood GSM and CIMT were evaluated using linear regression analysis. Mean age was 13.5 years in adolescence and 28.4 years in young adulthood (difference: 14.9 years). After full adjustment, adolescent body mass index related to GSM (β=-1.62/SD; 95% CI: -2.79, -0.46; P=0.006), independent of CIMT. Adolescent SBP did not relate to GSM. Moreover, adolescent body mass index (β=8.06 μm/SD [95% CI: 4.12, 11.99], P&lt;0.001) and SBP (β=4.69 μm/SD [95% CI: 0.84, 8.54], P=0.02) related to CIMT. Adolescent body mass index related to GSM and CIMT in young adulthood; SBP only related to CIMT. Hence, carotid intima-media echogenicity appears to be involved in arterial wall remodeling, yet may mimic a different facet of this process than CIMT.</t>
  </si>
  <si>
    <t>Discrepancies between qualitative and quantitative evaluation of randomised controlled trial results: achieving clarity through mixed methods triangulation.</t>
  </si>
  <si>
    <t>Tonkin-Crine, Sarah; Anthierens, Sibyl; Hood, Kerenza; Yardley, Lucy; Cals, Jochen W L; Francis, Nick A; Coenen, Samuel; van der Velden, Alike W; Godycki-Cwirko, Maciek; Llor, Carl; Butler, Chris C; Verheij, Theo J M; Goossens, Herman; Little, Paul; ,</t>
  </si>
  <si>
    <t>implementation science is</t>
  </si>
  <si>
    <t>https://pubmed.ncbi.nlm.nih.gov/27175799</t>
  </si>
  <si>
    <t>Mixed methods are commonly used in health services research; however, data are not often integrated to explore complementarity of findings. A triangulation protocol is one approach to integrating such data. A retrospective triangulation protocol was carried out on mixed methods data collected as part of a process evaluation of a trial. The multi-country randomised controlled trial found that a web-based training in communication skills (including use of a patient booklet) and the use of a C-reactive protein (CRP) point-of-care test decreased antibiotic prescribing by general practitioners (GPs) for acute cough. The process evaluation investigated GPs' and patients' experiences of taking part in the trial. Three analysts independently compared findings across four data sets: qualitative data collected view semi-structured interviews with (1) 62 patients and (2) 66 GPs and quantitative data collected via questionnaires with (3) 2886 patients and (4) 346 GPs. Pairwise comparisons were made between data sets and were categorised as agreement, partial agreement, dissonance or silence. Three instances of dissonance occurred in 39 independent findings. GPs and patients reported different views on the use of a CRP test. GPs felt that the test was useful in convincing patients to accept a no-antibiotic decision, but patient data suggested that this was unnecessary if a full explanation was given. Whilst qualitative data indicated all patients were generally satisfied with their consultation, quantitative data indicated highest levels of satisfaction for those receiving a detailed explanation from their GP with a booklet giving advice on self-care. Both qualitative and quantitative data sets indicated higher patient enablement for those in the communication groups who had received a booklet. Use of CRP tests does not appear to engage patients or influence illness perceptions and its effect is more centred on changing clinician behaviour. Communication skills and the patient booklet were relevant and useful for all patients and associated with increased patient satisfaction. A triangulation protocol to integrate qualitative and quantitative data can reveal findings that need further interpretation and also highlight areas of dissonance that lead to a deeper insight than separate analyses.</t>
  </si>
  <si>
    <t>Setting Global Standards for Stem Cell Research and Clinical Translation: The 2016 ISSCR Guidelines.</t>
  </si>
  <si>
    <t>Daley, George Q; Hyun, Insoo; Apperley, Jane F; Barker, Roger A; Benvenisty, Nissim; Bredenoord, Annelien L; Breuer, Christopher K; Caulfield, Timothy; Cedars, Marcelle I; Frey-Vasconcells, Joyce; Heslop, Helen E; Jin, Ying; Lee, Richard T; McCabe, Christopher; Munsie, Megan; Murry, Charles E; Piantadosi, Steven; Rao, Mahendra; Rooke, Heather M; Sipp, Douglas; Studer, Lorenz; Sugarman, Jeremy; Takahashi, Masayo; Zimmerman, Mark; Kimmelman, Jonathan</t>
  </si>
  <si>
    <t>https://pubmed.ncbi.nlm.nih.gov/27185282</t>
  </si>
  <si>
    <t>The International Society for Stem Cell Research (ISSCR) presents its 2016 Guidelines for Stem Cell Research and Clinical Translation (ISSCR, 2016). The 2016 guidelines reflect the revision and extension of two past sets of guidelines (ISSCR, 2006; ISSCR, 2008) to address new and emerging areas of stem cell discovery and application and evolving ethical, social, and policy challenges. These guidelines provide an integrated set of principles and best practices to drive progress in basic, translational, and clinical research. The guidelines demand rigor, oversight, and transparency in all aspects of practice, providing confidence to practitioners and public alike that stem cell science can proceed efficiently and remain responsive to public and patient interests. Here, we highlight key elements and recommendations in the guidelines and summarize the recommendations and deliberations behind them.</t>
  </si>
  <si>
    <t>Quality of Reporting and Study Design of CKD Cohort Studies Assessing Mortality in the Elderly Before and After STROBE: A Systematic Review.</t>
  </si>
  <si>
    <t>Rao, Anirudh; Brück, Katharina; Methven, Shona; Evans, Rebecca; Stel, Vianda S; Jager, Kitty J; Hooft, Lotty; Ben-Shlomo, Yoav; Caskey, Fergus</t>
  </si>
  <si>
    <t>https://pubmed.ncbi.nlm.nih.gov/27168187</t>
  </si>
  <si>
    <t>The STrengthening the Reporting of OBservational studies in Epidemiology (STROBE) statement was published in October 2007 to improve quality of reporting of observational studies. The aim of this review was to assess the impact of the STROBE statement on observational study reporting and study design quality in the nephrology literature. Systematic literature review. European and North American, Pre-dialysis Chronic Kidney Disease (CKD) cohort studies. Studies assessing the association between CKD and mortality in the elderly (&gt;65 years) published from 1st January 2002 to 31st December 2013 were included, following systematic searching of MEDLINE &amp; EMBASE. Time period before and after the publication of the STROBE statement. Quality of study reporting using the STROBE statement and quality of study design using the Newcastle Ottawa Scale (NOS), Scottish Intercollegiate Guidelines Network (SIGN) and Critical Appraisal Skills Programme (CASP) tools. 37 papers (11 Pre &amp; 26 Post STROBE) were identified from 3621 potential articles. Only four of the 22 STROBE items and their sub-criteria (objectives reporting, choice of quantitative groups and description of and carrying out sensitivity analysis) showed improvements, with the majority of items showing little change between the period before and after publication of the STROBE statement. Pre- and post-period analysis revealed a Manuscript STROBE score increase (median score 77.8% (Inter-quartile range [IQR], 64.7-82.0) vs 83% (IQR, 78.4-84.9, p = 0.05). There was no change in quality of study design with identical median scores in the two periods for NOS (Manuscript NOS score 88.9), SIGN (Manuscript SIGN score 83.3) and CASP (Manuscript CASP score 91.7) tools. Only 37 Studies from Europe and North America were included from one medical specialty. Assessment of study design largely reliant on good reporting. This study highlights continuing deficiencies in the reporting of STROBE items and their sub-criteria in cohort studies in nephrology. There was weak evidence of improvement in the overall reporting quality, with no improvement in methodological quality of CKD cohort studies between the period before and after publication of the STROBE statement.</t>
  </si>
  <si>
    <t>Development and Validation of a Model to Predict Absolute Vascular Risk Reduction by Moderate-Intensity Statin Therapy in Individual Patients With Type 2 Diabetes Mellitus: The Anglo Scandinavian Cardiac Outcomes Trial, Antihypertensive and Lipid-Lowering Treatment to Prevent Heart Attack Trial, and Collaborative Atorvastatin Diabetes Study.</t>
  </si>
  <si>
    <t>Kaasenbrood, Lotte; Poulter, Neil R; Sever, Peter S; Colhoun, Helen M; Livingstone, Shona J; Boekholdt, S Matthijs; Pressel, Sara L; Davis, Barry R; van der Graaf, Yolanda; Visseren, Frank L J; ,</t>
  </si>
  <si>
    <t>https://pubmed.ncbi.nlm.nih.gov/27174798</t>
  </si>
  <si>
    <t>In this study, we aimed to translate the average relative effect of statin therapy from trial data to the individual patient with type 2 diabetes mellitus by developing and validating a model to predict individualized absolute risk reductions (ARR) of cardiovascular events. Data of 2725 patients with type 2 diabetes mellitus from the Lipid Lowering Arm of the Anglo Scandinavian Cardiac Outcomes Trial (ASCOT-LLA) study (atorvastatin 10 mg versus placebo) were used for model derivation. The model was based on 8 clinical predictors including treatment allocation (statin/placebo). Ten-year individualized ARR on major cardiovascular events by statin therapy were calculated for each patient by subtracting the estimated on-treatment risk from the estimated off-treatment risk. Predicted 10-year ARR by statin therapy was &lt;2% for 13% of the patients. About 30% had an ARR of &gt;4% (median ARR, 3.2%; interquartile range, 2.5%-4.3%; 95% confidence interval for 3.2% ARR, -1.4% to 6.8%). Addition of treatment interactions did not improve model performance. Therefore, the wide distribution in ARR was a consequence of the underlying distribution in cardiovascular risk enrolled in these trials. External validation of the model was performed in data from the Antihypertensive and Lipid-Lowering Treatment to Prevent Heart Attack Trial (ALLHAT-LLT; pravastatin 40 mg versus usual care) and Collaborative Atorvastatin Diabetes Study (CARDS; atorvastatin 10 mg versus placebo) of 3878 and 2838 patients with type 2 diabetes mellitus, respectively. Model calibration was adequate in both external data sets, discrimination was moderate (ALLHAT-LLT: c-statistics, 0.64 [95% confidence interval, 0.61-0.67] and CARDS: 0.68 [95% confidence interval, 0.64-0.72]). ARRs of major cardiovascular events by statin therapy can be accurately estimated for individual patients with type 2 diabetes mellitus using a model based on routinely available patient characteristics. There is a wide distribution in ARR that may complement informed decision making. URL: http://www.clinicaltrials.gov. Unique identifier: NCT00327418 (CARDS) and NCT00000542 (ALLHAT).</t>
  </si>
  <si>
    <t>Pneumococcal conjugate vaccine herd effects on non-invasive pneumococcal pneumonia in elderly.</t>
  </si>
  <si>
    <t>van Werkhoven, Cornelis H; Hollingsworth, Rosalind C; Huijts, Susanne M; Bolkenbaas, Marieke; Webber, Chris; Patterson, Scott; Sanders, Elisabeth A M; Bonten, Marc J M</t>
  </si>
  <si>
    <t>https://pubmed.ncbi.nlm.nih.gov/27171754</t>
  </si>
  <si>
    <t>Herd protection from infant pneumococcal conjugate vaccination is well established for invasive pneumococcal disease (IPD) but not for non-IPD pneumococcal community-acquired pneumonia (PCAP). We assessed the contribution of vaccine-serotypes in non-IPD PCAP in adults 65 years and older in the period 2008-2013. This is a post hoc analysis of two prospective studies from the Netherlands. Serotype specific urinary antigen detection and routine microbiological testing were used to categorize episodes as IPD or non-IPD PCAP caused by 7-valent pneumococcal conjugate vaccine (PCV7), PCV10-7 (three additional PCV10 serotypes), PCV13-10 (three additional PCV13 serotypes), and non-PCV13 serotypes. Proportions per vaccine-serotype group were assessed per year from June 1st to May 31st. Time trends were compared to national IPD data. Of 270 non-IPD PCAP episodes with known serotype, PCV7 serotypes decreased from 28% in 2008/2009 to 7% in 2012/2013 (p-value for trend &lt;0.001). No change in PCV10-7 (19% overall) and PCV13-10 (29% overall) serotypes was observed. Non-PCV13 serotypes increased from 30% in 2008/2009 to 37% in 2012/2013 (p-value for trend 0.048). Trends corresponded with national IPD data. PCV7 serotypes declined in non-IPD PCAP among elderly between 2008 and 2013, comparable to IPD data. No reduction in the additional PCV10 serotypes could be demonstrated within the first two years after PCV10 introduction.</t>
  </si>
  <si>
    <t>Spreading depolarization-modulating drugs and delayed cerebral ischemia after subarachnoid hemorrhage: A hypothesis-generating retrospective clinical study.</t>
  </si>
  <si>
    <t>Hamming, Arend M; Mulder, Inge A; Gathier, Celine S; van den Bergh, Walter M; Dankbaar, Jan Willem; Hoff, Reinier G; Vandertop, W Peter; Verbaan, Dagmar; Ferrari, Michel D; Rinkel, Gabriel J E; Algra, Ale; Wermer, Marieke J H</t>
  </si>
  <si>
    <t>https://pubmed.ncbi.nlm.nih.gov/27288811</t>
  </si>
  <si>
    <t>Delayed cerebral ischemia (DCI) occurs in approximately one-third of patients with aneurysmal subarachnoid hemorrhage (aSAH). A proposed underlying mechanism for DCI is spreading depolarization (SD). Our aim was to, retrospectively, investigate the influence of the use of SD-modulating drugs on the occurrence of DCI. We, retrospectively, combined data from four cohorts of aSAH patients with data on the use of home medication prior to hospital admission, occurrence of DCI, and clinical outcome. Home medication was classified as "SD-inhibiting", "SD-facilitating", or "SD-neutral based" on a comprehensive literature review. We defined subgroups "likely", "possibly" and "weak" concerning the amount of evidence in literature. We performed Cox and Poisson regression analysis and calculated hazard ratios (HR) and risk ratios (RR) for the influence of "SD-modulating" drugs on primary outcome measure DCI and secondary outcome measure poor clinical outcome (modified Rankin Scale ≥3) three months after aSAH. We adjusted for age, sex and clinical condition on admission (aHR/aRR). DCI occurred in 343 (29%) of 1194 patients. Patients using SD-inhibiting home medication had an aHR for DCI of 0.66 (95% CI: 0.42-1.06) and an aRR for poor outcome of 1.13 (95% CI: 0.90-1.41). Patients using SD-facilitating drugs had an aHR for DCI of 1.24 (95% CI: 0.83-1.87) and an aRR for poor outcome of 1.19 (95% CI: 0.95-1.50). When comparing patients using SD-inhibiting drugs with patients using SD-facilitating drugs, the aHR was 0.54 (95% CI: 0.29-0.99) for DCI and the aRR 0.97 (95% CI: 0.71-1.32) for outcome. In this exploratory study chronic use of SD-inhibiting drugs tended to reduce DCI but did not result in a better clinical outcome. Additional research is needed to investigate the specific effects of SD-modulation on DCI and outcome and to further explore its effectiveness in preventing DCI after aSAH.</t>
  </si>
  <si>
    <t>Search for supersymmetry at [Formula: see text] TeV in final states with jets and two same-sign leptons or three leptons with the ATLAS detector.</t>
  </si>
  <si>
    <t>,; 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t>
  </si>
  <si>
    <t>https://pubmed.ncbi.nlm.nih.gov/28280429</t>
  </si>
  <si>
    <t>A search for strongly produced supersymmetric particles is conducted using signatures involving multiple energetic jets and either two isolated leptons (&lt;i&gt;e&lt;/i&gt; or [Formula: see text]) with the same electric charge or at least three isolated leptons. The search also utilises &lt;i&gt;b&lt;/i&gt;-tagged jets, missing transverse momentum and other observables to extend its sensitivity. The analysis uses a data sample of proton-proton collisions at [Formula: see text] TeV recorded with the ATLAS detector at the Large Hadron Collider in 2015 corresponding to a total integrated luminosity of 3.2 fb[Formula: see text]. No significant excess over the Standard Model expectation is observed. The results are interpreted in several simplified supersymmetric models and extend the exclusion limits from previous searches. In the context of exclusive production and simplified decay modes, gluino masses are excluded at [Formula: see text] confidence level up to 1.1-1.3 TeV for light neutralinos (depending on the decay channel), and bottom squark masses are also excluded up to 540 GeV. In the former scenarios, neutralino masses are also excluded up to 550-850 GeV for gluino masses around 1 TeV.</t>
  </si>
  <si>
    <t>Pragmatic trial design elements showed a different impact on trial interpretation and feasibility than explanatory elements.</t>
  </si>
  <si>
    <t>Nieuwenhuis, Joost B; Irving, Elaine; Oude Rengerink, Katrien; Lloyd, Emily; Goetz, Iris; Grobbee, Diederick E; Stolk, Pieter; Groenwold, Rolf H H; Zuidgeest, Mira G P; ,</t>
  </si>
  <si>
    <t>https://pubmed.ncbi.nlm.nih.gov/27164273</t>
  </si>
  <si>
    <t>To illustrate how pragmatic trial design elements or inserting explanatory trial elements in pragmatic trials affect validity, generalizability, precision, and operational feasibility. From illustrative examples identified through the IMI Get Real Consortium, we selected randomized drug trials with a pragmatic design feature. We searched all publications on these trials for information on how pragmatic trial design features affect validity, generalizability, precision, or feasibility. We present examples from the Salford lung study, International Suicide Prevention Trial, Sequenced Treatment Alternatives to Relieve Depression, and Cluster Randomized Usual care vs. Caduet Investigation Assessing Long-term-risk trial. These examples show that incorporating pragmatic trial design elements in trials may affect generalizability, precision and validity and may lead to operational challenges different from traditional explanatory trials. Inserting explanatory trial elements into pragmatic trials may also affect validity, generalizability, and operational feasibility, especially when these trial elements are incorporated in one arm of the trial only. Design choices that positively affect one of these domains (e.g., generalizability) may negatively affect others (e.g., feasibility). Consequences of incorporating pragmatic or explanatory trial design elements in pragmatic trials should be explicitly considered and balanced for all relevant domains, including validity, generalizability, precision, and operational feasibility. Tools are needed to make these consequences more transparent.</t>
  </si>
  <si>
    <t>A comparison of the prevalence and clustering of major cardiovascular risk factors in the Netherlands and China.</t>
  </si>
  <si>
    <t>Wang, Xin; Bots, Michiel L; Yang, Fang; Sun, Jie; He, Shumei; Hoes, Arno W; Niu, Junqi; Vaartjes, Ilonca</t>
  </si>
  <si>
    <t>https://pubmed.ncbi.nlm.nih.gov/27154590</t>
  </si>
  <si>
    <t>Cardiovascular risk factors tend to be clustered. Variations in clusters across populations have not been widely investigated. This study aims to compare the prevalence and clustering of major cardiovascular risk factors between adults in the Netherlands and China. A total of 6542 Dutch adults was recruited from 2001 to 2006 for the Utrecht Health Project, an ongoing cohort study among inhabitants of a newly developing area near Utrecht, the Netherlands. A total of 37,141 Chinese employees who received health screening in Changchun City, China was enrolled from 2003 to 2010, and 3850 residents from Dehui, another city from northeast China, were enrolled in 2007. The Dutch and Chinese populations shared similar patterns with increasing prevalence with age for most cardiovascular risk factors. Age-specific levels of body mass index, blood pressure and total cholesterol were higher in the Dutch than in the Chinese population. An exception to this was young men (18-44 years old): Chinese young men had similar body mass index levels compared to their Dutch counterparts. The age-standardised prevalence of current smoking was much higher in Chinese men compared to Dutch men (P &lt; 0.05). The clustering patterns of risk factors differed between the Dutch and Chinese with the smoking-heavy drinking cluster while smoking-hypercholesterolemia was more common in both Dutch young men and women. Cardiovascular risk profiles and clustering patterns differ between the Dutch and the Chinese and seem to differ between men and women. This calls for race and sex-specific targeted prevention programmes.</t>
  </si>
  <si>
    <t>Burden of Cancer in a Large Consortium of Prospective Cohorts in Europe.</t>
  </si>
  <si>
    <t>Tsilidis, Konstantinos K; Papadimitriou, Nikos; Capothanassi, Despoina; Bamia, Christina; Benetou, Vassiliki; Jenab, Mazda; Freisling, Heinz; Kee, Frank; Nelen, Annemarie; O'Doherty, Mark G; Scott, Angela; Soerjomataram, Isabelle; Tjønneland, Anne; May, Anne M; Ramón Quirós, J; Pettersson-Kymmer, Ulrika; Brenner, Hermann; Schöttker, Ben; Ordóñez-Mena, José M; Karina Dieffenbach, Aida; Eriksson, Sture; Bøgeberg Mathiesen, Ellisiv; Njølstad, Inger; Siganos, Galatios; Wilsgaard, Tom; Boffetta, Paolo; Trichopoulos, Dimitrios; Trichopoulou, Antonia</t>
  </si>
  <si>
    <t>https://pubmed.ncbi.nlm.nih.gov/27154917</t>
  </si>
  <si>
    <t>Disability-adjusted life-years (DALYs) are an indicator of mortality, morbidity, and disability. We calculated DALYs for cancer in middle-aged and older adults participating in the Consortium on Health and Ageing Network of Cohorts in Europe and the United States (CHANCES) consortium. A total of 90 199 participants from five European cohorts with 10 455 incident cancers and 4399 deaths were included in this study. DALYs were calculated as the sum of the years of life lost because of premature mortality (YLLs) and the years lost because of disability (YLDs). Population-attributable fractions (PAFs) were also estimated for five cancer risk factors, ie, smoking, adiposity, physical inactivity, alcohol intake, and type II diabetes. After a median follow-up of 12 years, the total number of DALYs lost from cancer was 34 474 (382 per 1000 individuals) with a similar distribution by sex. Lung cancer was responsible for the largest number of lost DALYs (22.9%), followed by colorectal (15.3%), prostate (10.2%), and breast cancer (8.7%). Mortality (81.6% of DALYs) predominated over disability. Ever cigarette smoking was the risk factor responsible for the greatest total cancer burden (24.0%, 95% confidence interval [CI] = 22.2% to 26.0%), followed by physical inactivity (4.9%, 95% CI = 0.8% to 8.1%) and adiposity (1.8%, 95% CI = 0.2% to 2.8%). DALYs lost from cancer were substantial in this large European sample of middle-aged and older adults. Even if the burden of disease because of cancer is predominantly caused by mortality, some cancers have sizeable consequences for disability. Smoking remained the predominant risk factor for total cancer burden.</t>
  </si>
  <si>
    <t>Evaluation of Underlying Causes of Death in Patients with Dementia to Support Targeted Advance Care Planning.</t>
  </si>
  <si>
    <t>van de Vorst, Irene E; Koek, Huiberdina L; Bots, Michiel L; Vaartjes, Ilonca</t>
  </si>
  <si>
    <t>https://pubmed.ncbi.nlm.nih.gov/27163802</t>
  </si>
  <si>
    <t>Insight in causes of death in demented patients may help physicians in end-of-life care. To investigate underlying causes of death (UCD) in demented patients stratified by age, sex, dementia subtype [Alzheimer's disease (AD), vascular dementia (VaD)] and to compare them with UCD in the general population (GP). A nationwide cohort of 59,201 patients with dementia (admitted to a hospital or visiting a day clinic) was constructed [38.7% men, 81.4 years (SD 7.0)] from 2000 through 2010. UCDs were reported and compared to the GP by calculating relative risks (RRs). During follow up [median follow up time 1.3 years (IQR 0.3- 3.0)], 64.2% of women and 69.3% of men died. Leading UCDs were dementia (17.5% in men and 23.7% in women) and cardiovascular disease (CVD) (18.7% and 19.2%, respectively). When compared to the GP, dementia was a more common UCD (RR in men 4.65, 95% CI 4.43-4.88), while CVD (RR in men 0.67, 95% CI 0.65-0.68) and cancer (RR 0.40, 95% CI 0.39-0.41) were less common. These differences were more pronounced in patients aged between 60-69 as compared to those aged≥90 years. Patients with AD died less often of cerebrovascular diseases as compared to VaD (RR in men 0.53, 95% CI 0.47-0.59). UCDs in patients with dementia differs from that of the GP, as dementia is more often and cancer less often an UCD. Although less frequent compared to the GP, CVD also is one of the leading UCDs in patients with dementia. This information is valuable for targeted advance care planning.</t>
  </si>
  <si>
    <t>Perivascular spaces on 7 Tesla brain MRI are related to markers of small vessel disease but not to age or cardiovascular risk factors.</t>
  </si>
  <si>
    <t>Bouvy, Willem H; Zwanenburg, Jaco J M; Reinink, Rik; Wisse, Laura E M; Luijten, Peter R; Kappelle, L Jaap; Geerlings, Mirjam I; Biessels, Geert Jan; ,</t>
  </si>
  <si>
    <t>https://pubmed.ncbi.nlm.nih.gov/27154503</t>
  </si>
  <si>
    <t>Cerebral perivascular spaces (PVS) are small physiological structures around blood vessels in the brain. MRI visible PVS are associated with ageing and cerebral small vessel disease (SVD). 7 Tesla (7T) MRI improves PVS detection. We investigated the association of age, vascular risk factors, and imaging markers of SVD with PVS counts on 7 T MRI, in 50 persons aged ≥ 40. The average PVS count ± SD in the right hemisphere was 17 ± 6 in the basal ganglia and 71 ± 28 in the semioval centre. We observed no relation between age or vascular risk factors and PVS counts. The presence of microbleeds was related to more PVS in the basal ganglia (standardized beta 0.32; p = 0.04) and semioval centre (standardized beta 0.39; p = 0.01), and white matter hyperintensity volume to more PVS in the basal ganglia (standardized beta 0.41; p = 0.02). We conclude that PVS counts on 7T MRI are high and are related SVD markers, but not to age and vascular risk factors. This latter finding may indicate that due to the high sensitivity of 7T MRI, the correlation of PVS counts with age or vascular risk factors may be attenuated by the detection of "normal", non-pathological PVS.</t>
  </si>
  <si>
    <t>Effect of training general practitioners in drug treatment of newly detected heart failure patients with reduced or preserved ejection fraction: A cluster randomized trial.</t>
  </si>
  <si>
    <t>van Riet, Evelien E S; Hoes, Arno W; Limburg, Alexander; Landman, Marcel A J; Zuithoff, Peter N A; Rutten, Frans H</t>
  </si>
  <si>
    <t>https://pubmed.ncbi.nlm.nih.gov/27183454</t>
  </si>
  <si>
    <t>To assess the effect of training general practitioners (GPs) in the optimization of drug treatment for newly detected heart failure (HF). Cluster randomized trial comparing the training programme to care as usual. Community-dwelling older persons with a new HF diagnosis after diagnostic work-up. Thirty GPs were randomized to care as usual or the training. Sixteen GPs of the latter group received a half-day training on optimizing HF medication in HF patients with a reduced (HFrEF), or with a preserved ejection fraction (HFpEF). At baseline and after six months of follow-up, the 46 HF patients in the intervention group and the 46 cases in the care as usual group were assessed on medication use, functionality, health status, and health care visits. After 6months, uptake of HF medication and health status were similar in the two groups. Interestingly, patients in the intervention group had a longer walking distance with the six-minute walk test than those in the care as usual group (mean difference in all-type HF 28.0 (95% CI 2.9 to 53.1) meters; HFpEF patients 28.2 (95% CI 8.8 to 47.5) meters and HFrEF patients 55.9 (95% CI -16.3 to 128.1) meters). They also had more HF-related GP visits (RR 1.8, 95% CI 1.3 to 2.5) and fewer visits to the cardiologist (RR 0.6, 95% CI 0.3 to 1.1). Training GPs in optimization of drug treatment of newly detected HFrEF and HFpEF did not clearly increase HF medication, but resulted in improvement in walking distance.</t>
  </si>
  <si>
    <t>Assessing the Effect of mHealth Interventions in Improving Maternal and Neonatal Care in Low- and Middle-Income Countries: A Systematic Review.</t>
  </si>
  <si>
    <t>Sondaal, Stephanie Felicie Victoria; Browne, Joyce Linda; Amoakoh-Coleman, Mary; Borgstein, Alexander; Miltenburg, Andrea Solnes; Verwijs, Mirjam; Klipstein-Grobusch, Kerstin</t>
  </si>
  <si>
    <t>https://pubmed.ncbi.nlm.nih.gov/27144393</t>
  </si>
  <si>
    <t>Maternal and neonatal mortality remains high in many low- and middle-income countries (LMIC). Availability and use of mobile phones is increasing rapidly with 90% of persons in developing countries having a mobile-cellular subscription. Mobile health (mHealth) interventions have been proposed as effective solutions to improve maternal and neonatal health. This systematic review assessed the effect of mHealth interventions that support pregnant women during the antenatal, birth and postnatal period in LMIC. The review was registered with Prospero (CRD42014010292). Six databases were searched from June 2014-April 2015, accompanied by grey literature search using pre-defined search terms linked to pregnant women in LMIC and mHealth. Quality of articles was assessed with an adapted Cochrane Risk of Bias Tool. Because of heterogeneity in outcomes, settings and study designs a narrative synthesis of quantitative results of intervention studies on maternal outcomes, neonatal outcomes, service utilization, and healthy pregnancy education was conducted. Qualitative and quantitative results were synthesized with a strengths, weaknesses, opportunities, and threats analysis. In total, 3777 articles were found, of which 27 studies were included: twelve intervention studies and fifteen descriptive studies. mHealth interventions targeted at pregnant women increased maternal and neonatal service utilization shown through increased antenatal care attendance, facility-service utilization, skilled attendance at birth, and vaccination rates. Few articles assessed the effect on maternal or neonatal health outcomes, with inconsistent results. mHealth interventions may be effective solutions to improve maternal and neonatal service utilization. Further studies assessing mHealth's impact on maternal and neonatal outcomes are recommended. The emerging trend of strong experimental research designs with randomized controlled trials, combined with feasibility research, government involvement and integration of mHealth interventions into the healthcare system is encouraging and can pave the way to improved decision making on best practice implementation of mHealth interventions.</t>
  </si>
  <si>
    <t>Obesity and Age-Related Changes in Markers of Oxidative Stress and Inflammation Across Four Generations.</t>
  </si>
  <si>
    <t>Hulsegge, Gerben; Herber-Gast, Gerrie-Cor M; Spijkerman, Annemieke M W; Susan, H; Picavet, J; van der Schouw, Yvonne T; Bakker, Stephan J L; Gansevoort, Ron T; Dollé, Martijn E T; Smit, Henriette A; Monique Verschuren, W M</t>
  </si>
  <si>
    <t>https://pubmed.ncbi.nlm.nih.gov/27145150</t>
  </si>
  <si>
    <t>The prevalence of obesity increases with age and is higher in each younger generation (unfavorable generation shift). This may influence patterns of oxidative stress and inflammation. Age-related changes and generation shifts in markers of oxidative stress and inflammation were investigated, specifically addressing the role of body mass index (BMI). Four generations (aged 26-35, 36-45, 46-55, and 56-65 at baseline) (N = 5,155) were examined every 5 years for 15 years between 1993 and 2012. Random coefficient analyses were used to study age-related changes and generation shifts in BMI, γ-glutamyltransferase (GGT), uric acid (UA), and C-reactive protein (CRP). Levels of BMI, UA, and CRP increased in all generations up to age 75, whereas GGT increased up to age 55. No consistent generation shifts were observed for GGT, UA, and CRP (P ≥ 0.05). Participants with a stable BMI (change ≤1 kg/m(2) /15 years) had either no or small increases with age in GGT, UA, and CRP, whereas participants with increasing BMI (increase &gt;1 kg/m(2) /15 years) had much larger increases (P &lt; 0.01). The unfavorable age-related changes in obesity-related biochemical markers, particularly among individuals with increasing BMI, show the importance of maintaining a healthy weight to improve population levels of oxidative stress and inflammation.</t>
  </si>
  <si>
    <t>Brief Report: Staged-informed Consent in the Cohort Multiple Randomized Controlled Trial Design.</t>
  </si>
  <si>
    <t>Young-Afat, Danny A; Verkooijen, Helena A M; van Gils, Carla H; van der Velden, Joanne M; Burbach, Johannes P; Elias, Sjoerd G; van Delden, Jonannes J; Relton, Clare; van Vulpen, Marco; van der Graaf, Rieke</t>
  </si>
  <si>
    <t>https://pubmed.ncbi.nlm.nih.gov/27035689</t>
  </si>
  <si>
    <t>The "cohort multiple randomized controlled trial," a new design for pragmatic trials, embeds multiple trials within a cohort. The cohort multiple RCT is an attractive alternative to conventional RCTs in fields where recruitment is slow, multiple new (competing) interventions for the same condition have to be tested, new interventions are highly preferred by patients and doctors, and the risk of disappointment bias, cross-over, and contamination is considerable. To prevent these unwanted effects, the cohort multiple RCT provides information on randomization to the intervention group/arm only, and only after randomization (i.e., prerandomization). To some, especially in a clinical setting, this is not ethically acceptable. In this article, we argue that prerandomization in the cohort multiple randomized controlled trial (cmRCT) can be avoided by adopting a staged-informed consent procedure. In the first stage, at entry into the cohort, all potential participants are asked for their informed consent to participate in a cohort study and broad consent to be either randomly selected to be approached for experimental interventions or to serve as control without further notice during participation in the cohort. In a second stage, at the initiation of an RCT within the cohort, informed consent to receive the intervention is then only sought in those randomly selected for the intervention arm. At the third stage, after completion of each RCT, all cohort participants receive aggregate disclosure of trial results. This staged-informed consent procedure avoids prerandomization in cmRCT and aims to keep participants actively engaged in the research process.</t>
  </si>
  <si>
    <t>First-year Daycare and Incidence of Acute Gastroenteritis.</t>
  </si>
  <si>
    <t>Hullegie, Saskia; Bruijning-Verhagen, Patricia; Uiterwaal, Cuno S P M; van der Ent, Cornelis K; Smit, Henriette A; de Hoog, Marieke L A</t>
  </si>
  <si>
    <t>https://pubmed.ncbi.nlm.nih.gov/27244798</t>
  </si>
  <si>
    <t>Daycare attendance has been associated with increased acute gastroenteritis (AGE) incidence in the first years of life. We investigated the effects of first-year daycare attendance on AGE incidence and primary care contact rate up to age 6 years. Children enrolled in the Wheezing Illnesses Study Leidsche Rijn cohort were managed until age 6 years. Data on primary care diagnosed AGE episodes and number of associated contacts per episode were collected from health records. Children were categorized according to first year daycare attendance and age-month at entry when applicable. Generalized estimating equations were used to assess associations between first-year daycare and AGE incidence or primary care contact rate. A total of 1344 out of 2220 children (83%) attended daycare before age 1 year. Overall, the 6-year primary care AGE incidence rate (IR) among first-year daycare attendees and nonattendees was comparable (IR: 12.2/100 vs 13.3/100 child-years). First-year daycare attendees had a higher AGE incidence during the first year (IRR: 1.13; 95% confidence interval: 1.06-1.21) and lower during the third to sixth year of age compared with nonattendees (P &lt; .001). The daycare-associated increase in AGE incidence was most pronounced during the first 12 months after enrollment into daycare and demonstrated clear seasonality. A similar pattern was observed for primary care contact rate per AGE episode. First-year daycare attendance advances the timing of AGE infections, resulting in increased AGE disease burden in the first year and relative protection thereafter. Protection against AGE infection persists at least up to age 6 years. Future studies should address whether this protective effect persists during later childhood.</t>
  </si>
  <si>
    <t>Ruling Out Pulmonary Embolism in Primary Care: Comparison of the Diagnostic Performance of "Gestalt" and the Wells Rule.</t>
  </si>
  <si>
    <t>Hendriksen, Janneke M T; Lucassen, Wim A M; Erkens, Petra M G; Stoffers, Henri E J H; van Weert, Henk C P M; Büller, Harry R; Hoes, Arno W; Moons, Karel G M; Geersing, Geert-Jan</t>
  </si>
  <si>
    <t>https://pubmed.ncbi.nlm.nih.gov/27184993</t>
  </si>
  <si>
    <t>Diagnostic prediction models such as the Wells rule can be used for safely ruling out pulmonary embolism (PE) when it is suspected. A physician's own probability estimate ("gestalt"), however, is commonly used instead. We evaluated the diagnostic performance of both approaches in primary care. Family physicians estimated the probability of PE on a scale of 0% to 100% (gestalt) and calculated the Wells rule score in 598 patients with suspected PE who were thereafter referred to secondary care for definitive testing. We compared the discriminative ability (c statistic) of both approaches. Next, we stratified patients into PE risk categories. For gestalt, a probability of less than 20% plus a negative point-of-care d-dimer test indicated low risk; for the Wells rule, we used a score of 4 or lower plus a negative d-dimer test. We compared sensitivity, specificity, efficiency (percentage of low-risk patients in total cohort), and failure rate (percentage of patients having PE within the low-risk category). With 3 months of follow-up, 73 patients (12%) were confirmed to have venous thromboembolism (a surrogate for PE at baseline). The c statistic was 0.77 (95% CI, 0.70-0.83) for gestalt and 0.80 (95% CI, 0.75-0.86) for the Wells rule. Gestalt missed 2 out of 152 low-risk patients (failure rate = 1.3%; 95% CI, 0.2%-4.7%) with an efficiency of 25% (95% CI, 22%-29%); the Wells rule missed 4 out of 272 low-risk patients (failure rate = 1.5%; 95% CI, 0.4%-3.7%) with an efficiency of 45% (95% CI, 41%-50%). Combined with d-dimer testing, both gestalt using a cutoff of less than 20% and the Wells rule using a score of 4 or lower are safe for ruling out PE in primary care. The Wells rule is more efficient, however, and PE can be ruled out in a larger proportion of suspected cases.</t>
  </si>
  <si>
    <t>Long-term patterns of chronic complaints of the arms, neck, and shoulders and their determinants--the Doetinchem Cohort Study.</t>
  </si>
  <si>
    <t>van Hulst, Rens; van Oostrom, Sandra H; Ostelo, Raymond W J G; Verschuren, W M Monique; Picavet, H Susan</t>
  </si>
  <si>
    <t>https://pubmed.ncbi.nlm.nih.gov/26808143</t>
  </si>
  <si>
    <t>Complaints of the arms, neck, and shoulders (CANS) represent a major public health problem but the long-term course is largely unknown. Our objective was to explore the 15-year course of chronic CANS and its determinants in a population-based cohort. During 1993 to 2012, 3050 men and women aged 26 to 65 years at baseline were measured every 5 years, up to 4 times. Complaints of the arms, neck, and shoulders and sociodemographic, lifestyle, mental health, and physical load determinants were obtained by self-reported questionnaires and physical examinations. Information on chronic CANS was used to create patterns of the 15-year course: persistence, recovery, variable, no CANS, and the development of CANS. Only 47% were free of chronic CANS throughout the total 15-year period. The prevalence of other patterns was development (18.3%), persistence (8.5%), recovery (7.5%), and variable (18.7%). In multivariable logistic regression analyses, female gender, age 46 to 55 years, being not employed, former smoking, physical inactivity, an episode of CANS during the past 12 months, and high physical load in daily life (eg, often adopting awkward postures, frequent lifting, carrying, pushing, or pulling) were associated with the development of chronic CANS. Female gender, age 36 to 45 years, being not employed, and awkward postures in daily life were associated with persistent CANS. We conclude that chronic CANS represent a dynamic condition and affect the majority of the general population at least once in 15 years. Determinants associated with chronic CANS, especially physical load in daily life, can be used to develop preventive interventions and give guidance to treatment.</t>
  </si>
  <si>
    <t>Antibiotic preferences for childhood pneumonia vary by physician type and European region.</t>
  </si>
  <si>
    <t>Bielicki, Julia A; Barker, Charlotte I S; van der Velden, Alike W; Sharland, Mike; van Esso, Diego; Hadjipanayis, Adamos; Del Torso, Stefano; Grossman, Zachi</t>
  </si>
  <si>
    <t>https://pubmed.ncbi.nlm.nih.gov/27730183</t>
  </si>
  <si>
    <t>&lt;b&gt;Survey of EAPRASnet and @PREPARE_EUROPE members reveals heterogeneity of antibiotic choice for childhood pneumonia&lt;/b&gt; http://ow.ly/4mIS2P.</t>
  </si>
  <si>
    <t>Characteristics of effective self-management interventions in patients with COPD: individual patient data meta-analysis.</t>
  </si>
  <si>
    <t>Jonkman, Nini H; Westland, Heleen; Trappenburg, Jaap C A; Groenwold, Rolf H H; Bischoff, Erik W M A; Bourbeau, Jean; Bucknall, Christine E; Coultas, David; Effing, Tanja W; Epton, Michael; Gallefoss, Frode; Garcia-Aymerich, Judith; Lloyd, Suzanne M; Monninkhof, Evelyn M; Nguyen, Huong Q; van der Palen, Job; Rice, Kathryn L; Sedeno, Maria; Taylor, Stephanie J C; Troosters, Thierry; Zwar, Nicholas A; Hoes, Arno W; Schuurmans, Marieke J</t>
  </si>
  <si>
    <t>https://pubmed.ncbi.nlm.nih.gov/27126694</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</si>
  <si>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</si>
  <si>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Linking the seroresponse to infection to within-host heterogeneity in antibody production.</t>
  </si>
  <si>
    <t>Teunis, P F M; van Eijkeren, J C H; de Graaf, W F; Marinović, A Bonačić; Kretzschmar, M E E</t>
  </si>
  <si>
    <t>https://pubmed.ncbi.nlm.nih.gov/27663789</t>
  </si>
  <si>
    <t>A recently published model for the serum antibody response to infection appeared well suited for use in statistical analyses of longitudinal serological data. The published model assumed exponential decay with fixed rates for pathogen and serum antibody kinetics, ignoring any within-host heterogeneity in the seroresponse. A bi-exponential model shows that there is rapid initial decay followed by a prolonged period of persistent low serum antibody concentrations. We propose a small modification of the decay model that greatly increases its flexibility by allowing for non-exponential antibody decay. The modified model produces power functions that may be interpreted as a mixture of exponential decay curves, with a mixing distribution representing the relative contribution of many centres of antibody production to the serum antibody concentration. Fitting the power function decay model to observed longitudinal data for pertussis shows improved goodness of fit compared to the exponential decay model, with estimates for the shape parameter (r=2.2; 95% CI (1.7-2.8)) that differ from exponential shape (r=1). The power function decay model predicts more persistent antibody concentrations in the long term (symptomatic threshold reached &gt;30 years after infection) which, when used in biomarker studies, will lead to lower estimates of seroconversion rates compared to exponential antibody decay.</t>
  </si>
  <si>
    <t>A new method to distinguish hadronically decaying boosted &lt;i&gt;Z&lt;/i&gt; bosons from &lt;i&gt;W&lt;/i&gt; bosons using the ATLAS detector.</t>
  </si>
  <si>
    <t>https://pubmed.ncbi.nlm.nih.gov/28280428</t>
  </si>
  <si>
    <t>The distribution of particles inside hadronic jets produced in the decay of boosted &lt;i&gt;W&lt;/i&gt; and &lt;i&gt;Z&lt;/i&gt; bosons can be used to discriminate such jets from the continuum background. Given that a jet has been identified as likely resulting from the hadronic decay of a boosted &lt;i&gt;W&lt;/i&gt; or &lt;i&gt;Z&lt;/i&gt; boson, this paper presents a technique for further differentiating &lt;i&gt;Z&lt;/i&gt; bosons from &lt;i&gt;W&lt;/i&gt; bosons. The variables used are jet mass, jet charge, and a &lt;i&gt;b&lt;/i&gt;-tagging discriminant. A likelihood tagger is constructed from these variables and tested in the simulation of [Formula: see text] for bosons in the transverse momentum range 200 GeV [Formula: see text] 400 GeV in [Formula: see text] TeV &lt;i&gt;pp&lt;/i&gt; collisions with the ATLAS detector at the LHC. For &lt;i&gt;Z&lt;/i&gt;-boson tagging efficiencies of [Formula: see text], 50, and [Formula: see text], one can achieve [Formula: see text]-boson tagging rejection factors ([Formula: see text]) of 1.7, 8.3 and 1000, respectively. It is not possible to measure these efficiencies in the data due to the lack of a pure sample of high [Formula: see text], hadronically decaying &lt;i&gt;Z&lt;/i&gt; bosons. However, the modelling of the tagger inputs for boosted &lt;i&gt;W&lt;/i&gt; bosons is studied in data using a [Formula: see text]-enriched sample of events in 20.3 fb[Formula: see text] of data at [Formula: see text] TeV. The inputs are well modelled within uncertainties, which builds confidence in the expected tagger performance.</t>
  </si>
  <si>
    <t>Observation of Long-Range Elliptic Azimuthal Anisotropies in sqrt[s]=13 and 2.76 TeV pp Collisions with the ATLAS Detector.</t>
  </si>
  <si>
    <t>https://pubmed.ncbi.nlm.nih.gov/27176515</t>
  </si>
  <si>
    <t>ATLAS has measured two-particle correlations as a function of the relative azimuthal angle, Δϕ, and pseudorapidity, Δη, in sqrt[s]=13 and 2.76 TeV pp collisions at the LHC using charged particles measured in the pseudorapidity interval |η|&lt;2.5. The correlation functions evaluated in different intervals of measured charged-particle multiplicity show a multiplicity-dependent enhancement at Δϕ∼0 that extends over a wide range of Δη, which has been referred to as the "ridge." Per-trigger-particle yields, Y(Δϕ), are measured over 2&lt;|Δη|&lt;5. For both collision energies, the Y(Δϕ) distribution in all multiplicity intervals is found to be consistent with a linear combination of the per-trigger-particle yields measured in collisions with less than 20 reconstructed tracks, and a constant combinatoric contribution modulated by cos(2Δϕ). The fitted Fourier coefficient, v_{2,2}, exhibits factorization, suggesting that the ridge results from per-event cos(2ϕ) modulation of the single-particle distribution with Fourier coefficients v_{2}. The v_{2} values are presented as a function of multiplicity and transverse momentum. They are found to be approximately constant as a function of multiplicity and to have a p_{T} dependence similar to that measured in p+Pb and Pb+Pb collisions. The v_{2} values in the 13 and 2.76 TeV data are consistent within uncertainties. These results suggest that the ridge in pp collisions arises from the same or similar underlying physics as observed in p+Pb collisions, and that the dynamics responsible for the ridge has no strong sqrt[s] dependence.</t>
  </si>
  <si>
    <t>DNA promoter hypermethylation in nipple fluid: a potential tool for early breast cancer detection.</t>
  </si>
  <si>
    <t>de Groot, Jolien S; Moelans, Cathy B; Elias, Sjoerd G; Jo Fackler, Mary; van Domselaar, Robert; Suijkerbuijk, Karijn P M; Witkamp, Arjen J; Sukumar, Saraswati; van Diest, Paul J; van der Wall, Elsken</t>
  </si>
  <si>
    <t>https://pubmed.ncbi.nlm.nih.gov/27028854</t>
  </si>
  <si>
    <t>Nipple fluid aspiration provides direct non-invasive sampling of fluid from the mammary ductal system, where the majority of breast cancers originate. DNA promoter hypermethylation ("methylation") occurs early and at high frequency in breast carcinogenesis, bearing the potential as a biomarker for cancer detection at its earliest stages. We assessed methylation in nipple fluid from breasts of healthy women, of women with sporadic breast cancer and of their contralateral breasts. Our goal was to investigate whether nipple fluid can be used as a reliable methylation biomarker source. Methylation levels of 13 genes were analysed by quantitative multiplex-methylation specific PCR (QM-MSP) in nipple fluid samples from breasts of healthy women, and from the affected and contralateral breasts of breast cancer patients. Methylation analysis of the low-volume nipple fluid samples was feasible. Despite the generally low methylation levels, cancerous and healthy breasts nipple fluid could be discriminated with an area under the receiver operating characteristic curve (AUC) of 0.64 (p&lt;0.01) based on a multivariate model including AKR1B1, ALX1, RASSF1A and TM6SF1. Within-patient differences between cancerous and contralateral nipple fluid samples were less prominent. Cancerous nipple fluid contains increased levels of methylation of tumor suppressor genes that potentially could serve as a biomarker for early breast cancer detection.</t>
  </si>
  <si>
    <t>Risk factors for the acquisition of OXA-48-producing Enterobacteriaceae in a hospital outbreak setting: a matched case-control study.</t>
  </si>
  <si>
    <t>Dautzenberg, M J D; Ossewaarde, J M; de Greeff, S C; Troelstra, A; Bonten, M J M</t>
  </si>
  <si>
    <t>https://pubmed.ncbi.nlm.nih.gov/27118779</t>
  </si>
  <si>
    <t>In the context of a large outbreak of OXA-48-producing Enterobacteriaceae (OXA-E) in a Dutch hospital we determined risk factors for acquisition of OXA-E. A matched case-control study was performed in which cases (culture positive for OXA-E) were matched 1:3 to controls (culture negative for OXA-E) based on hospital ward, index date (±1 week) and time exposed in the hospital (best match). Stratified analyses were performed for patients with OXA-E producing and not producing ESBL. Potential risk factors included age, gender, surgery and ICU admission within 30 days preceding the index date, presence of comorbidities and in-hospital antibiotic treatment within 30 days preceding the index date. Data analysis was performed using multivariable conditional logistic regression with Firth correction. In total, 73 cases were matched to 211 controls. In the multivariable conditional logistic regression model, male gender (OR 2.63, 95% CI 1.25-5.53), age (per year increase, OR 1.03, 95% CI 1.00-1.05) and use of fluoroquinolones within 30 days preceding the index date (OR 2.98, 95% CI 1.06-8.41) were risk factors for acquisition of OXA-E. In the stratified multivariable conditional logistic regression model, quinolone use was a risk factor for the acquisition of ESBL-producing OXA-E and surgery was a risk factor for the acquisition of non-ESBL-producing OXA-E. During a large, hospital-wide OXA-E outbreak, male gender, age and previous use of fluoroquinolones were risk factors for acquisition of OXA-E. These findings may help in optimizing screening and isolation strategies in future OXA-E outbreaks.</t>
  </si>
  <si>
    <t>The Relevance of Geriatric Impairments in Patients Starting Dialysis: A Systematic Review.</t>
  </si>
  <si>
    <t>van Loon, Ismay N; Wouters, Tom R; Boereboom, Franciscus T J; Bots, Michiel L; Verhaar, Marianne C; Hamaker, Marije E</t>
  </si>
  <si>
    <t>https://pubmed.ncbi.nlm.nih.gov/27117581</t>
  </si>
  <si>
    <t>With aging of the general population, patients who enter dialysis therapy will more frequently have geriatric impairments and a considerable comorbidity burden. The most vulnerable among these patients might benefit from conservative therapy. Whether assessment of geriatric impairments would contribute to the decision-making process of dialysis initiation is unknown. A systematic Medline and Embase search was performed on December 1, 2015 to identify studies assessing the association between risk of mortality or hospitalization and one or more geriatric impairments at the start of dialysis therapy, including impairment of cognitive function, mood, performance status or (instrumental) activities of daily living, mobility (including falls), social environment, or nutritional status. Twenty-seven studies were identified that assessed one or more geriatric impairments with respect to prognosis. The quality of most studies was moderate. Only seven studies carried out an analysis of elderly patients (≥70 years old). Malnutrition and frailty were systematically assessed, and their relation with mortality was clear. In addition, cognitive impairment and functional outcomes at the initiation of dialysis were related to an increased mortality in most studies. However, not all studies applied systematic assessment tools, thereby potentially missing relevant impairment. None of the studies applied a geriatric assessment across multiple domains. Geriatric impairment across multiple domains at dialysis initiation is related to poor outcome. However, information in the elderly is sparse, and a systematic approach of multiple domains with respect to poor outcome has not been performed. Because a geriatric assessment has proved useful in predicting outcome in other medical fields, its potential role in the ESRD population should be the subject of future research.</t>
  </si>
  <si>
    <t>Probing lepton flavour violation via neutrinoless [Formula: see text] decays with the ATLAS detector.</t>
  </si>
  <si>
    <t>https://pubmed.ncbi.nlm.nih.gov/28280425</t>
  </si>
  <si>
    <t>This article presents the sensitivity of the ATLAS experiment to the lepton-flavour-violating decays of [Formula: see text]. A method utilising the production of [Formula: see text] leptons via [Formula: see text] decays is used. This method is applied to the sample of 20.3 fb[Formula: see text] of &lt;i&gt;pp&lt;/i&gt; collision data at a centre-of-mass energy of 8 TeV collected by the ATLAS experiment at the LHC in 2012. No event is observed passing the selection criteria, and the observed (expected) upper limit on the [Formula: see text] lepton branching fraction into three muons, [Formula: see text], is [Formula: see text] ([Formula: see text]) at 90 % confidence level.</t>
  </si>
  <si>
    <t>Association between Cognition and Serum Insulin-Like Growth Factor-1 in Middle-Aged &amp; Older Men: An 8 Year Follow-Up Study.</t>
  </si>
  <si>
    <t>Tumati, Shankar; Burger, Huibert; Martens, Sander; van der Schouw, Yvonne T; Aleman, André</t>
  </si>
  <si>
    <t>https://pubmed.ncbi.nlm.nih.gov/27115487</t>
  </si>
  <si>
    <t>Low levels of insulin-like growth factor-1 (IGF-1), an essential neurotrophic factor, have been associated with worse cognitive function in older adults. However, few studies have assessed the prospective association of serum IGF-1 with cognitive function. We aimed to determine the association between serum IGF-1 on concurrent and prospective cognitive function in a population sample of men aged 40-80 years. Blood samples were assessed for IGF-1 levels at baseline and neuropsychological assessments were performed at baseline (n = 400) and at follow-up after a mean duration of 8.3 years (n = 286). Linear regression analyses were carried out to determine the associations between quintiles of IGF-1 and cognitive function at the baseline and follow-up visits. Results showed that those in the top quintile of IGF-1 had lower processing capacity and global cognition scores at follow-up after controlling for cognitive function at baseline and other confounding factors. Additional analyses exploring associations with IGF-1 separately in middle-aged and older participants, and with quartiles of IGF-1 produced similar results. In those older than 60 years, high IGF-1 levels were also associated with lower baseline processing capacity. These results suggest that high IGF-1 levels are associated with worse long-term cognition in men. Together with past studies, we suggest that both, high and low levels of IGF-1 may be associated with poor cognitive function and that optimum levels of IGF-1 (quintile 2 and 3 in current study) may be associated with better cognitive function.</t>
  </si>
  <si>
    <t>What do international ethics guidelines say in terms of the scope of medical research ethics?</t>
  </si>
  <si>
    <t>Bernabe, Rosemarie D L C; van Thiel, Ghislaine J M W; van Delden, Johannes J M</t>
  </si>
  <si>
    <t>https://pubmed.ncbi.nlm.nih.gov/27117273</t>
  </si>
  <si>
    <t>In research ethics, the most basic question would always be, "which is an ethical issue, which is not?" Interestingly, depending on which ethics guideline we consult, we may have various answers to this question. Though we already have several international ethics guidelines for biomedical research involving human participants, ironically, we do not have a harmonized document which tells us what these various guidelines say and shows us the areas of consensus (or lack thereof). In this manuscript, we attempted to do just that. We extracted the imperatives from five internationally-known ethics guidelines and took note where the imperatives came from. In doing so, we gathered data on how many guidelines support a specific imperative. We found that there is no consensus on the majority of the imperatives and that in only 8.2% of the imperatives were there at least moderate consensus (i.e., consensus of at least 3 of the 5 ethics guidelines). Of the 12 clusters (Basic Principles; Research Collaboration; Social Value; Scientific Validity; Participant Selection; Favorable Benefit/Risk Ratio; Independent Review; Informed Consent; Respect for Participants; Publication and Registration; Regulatory Sanctions; and Justified Research on the Vulnerable Population), Informed Consent has the highest level of consensus and Research Collaboration and Regulatory Sanctions have the least. There was a lack of consensus in the majority of imperatives from the five internationally-known ethics guidelines. This may be partly explained by the differences among the guidelines in terms of their levels of specification as well as conceptual/ideological differences.</t>
  </si>
  <si>
    <t>Simplifying the audit of risk factor recording and control: A report from an international study in 11 countries.</t>
  </si>
  <si>
    <t>Zhao, Min; Cooney, Marie Therese; Klipstein-Grobusch, Kerstin; Vaartjes, Ilonca; De Bacquer, Dirk; De Sutter, Johan; Reiner, Željko; Prescott, Eva; Faggiano, Pompilio; Vanuzzo, Diego; AlFaleh, Hussam; Menown, Ian Ba; Gait, Dan; Posogova, Nana; Sheu, Wayne H-H; Zhao, Dong; Zuo, Huijuan; Grobbee, Diederick E; Graham, Ian M</t>
  </si>
  <si>
    <t>https://pubmed.ncbi.nlm.nih.gov/27118362</t>
  </si>
  <si>
    <t>To simplify the assessment of the recording and control of coronary heart disease risk factors in different countries and regions. The SUrvey of Risk Factors (SURF) is an international clinical audit. Data on consecutive patients with established coronary heart disease from countries in Europe, Asia and the Middle East were collected on a one-page collection sheet or electronically during routine clinic visits. Information on demographics, diagnostic category, risk factors, physical and laboratory measurements, and medications were included and key variables summarized in a Cardiovascular Health Index Score. Coronary heart disease patients (N = 10,186; 29% women) were enrolled from 79 centres in 11 countries. Recording of risk factors varied considerably: smoking was recorded in over 98% of subjects, while about 20% lacked data on laboratory measurements relevant to cardiovascular disease risk. Sixteen per cent of participants reported smoking, 29% were obese, and 46% had abdominal obesity. Sixty per cent of participants had blood pressure &lt;140/90 mmHg (140/80 mmHg for diabetics), 48% had HbA1c&lt;7%, 30% had low-density lipoprotein &lt;1.8 mmol/l and 17% had a good cardiovascular health index score. There were substantial regional variations. Less than 3% of patients attended cardiac rehabilitation in Asia or the Middle East, compared with 45% in Europe. In Asia, 15% of patients had low-density lipoprotein cholesterol &lt;1.8 mmol/l compared with 33% in Europe and 36% in the Middle East. Variations in medications were noted, with lower use of statins in Asia. SURF proved to be practical in daily practice. Results indicated poor control of risk factors with substantial variation between countries, calling for development and implementation of clinical standards of secondary prevention of coronary heart disease.</t>
  </si>
  <si>
    <t>Non-surgical interventions for late rectal problems (proctopathy) of radiotherapy in people who have received radiotherapy to the pelvis.</t>
  </si>
  <si>
    <t>van de Wetering, Fleur T; Verleye, Leen; Andreyev, H Jervoise N; Maher, Jane; Vlayen, Joan; Pieters, Bradley R; van Tienhoven, Geertjan; Scholten, Rob J P M</t>
  </si>
  <si>
    <t>https://pubmed.ncbi.nlm.nih.gov/27111831</t>
  </si>
  <si>
    <t>This is an update of a Cochrane review first published in 2002, and previously updated in 2007. Late radiation rectal problems (proctopathy) include bleeding, pain, faecal urgency, and incontinence and may develop after pelvic radiotherapy treatment for cancer. To assess the effectiveness and safety of non-surgical interventions for managing late radiation proctopathy. We searched the Cochrane Central Register of Controlled Trials (CENTRAL) (Issue 11, 2015); MEDLINE (Ovid); EMBASE (Ovid); CANCERCD; Science Citation Index; and CINAHL from inception to November 2015. We included randomised controlled trials (RCTs) comparing non-surgical interventions for the management of late radiation proctopathy in people with cancer who have undergone pelvic radiotherapy for cancer. Primary outcomes considered were: episodes of bowel activity, bleeding, pain, tenesmus, urgency, and sphincter dysfunction. Study selection, 'Risk of bias' assessment, and data extraction were performed in duplicate, and any disagreements were resolved by involving a third review author. We identified 1221 unique references and 16 studies including 993 participants that met our inclusion criteria. One study found through the last update was moved to the 'Studies awaiting classification' section. We did not pool outcomes for a meta-analysis due to variation in study characteristics and endpoints across included studies.Since radiation proctopathy is a condition with various symptoms or combinations of symptoms, the studies were heterogeneous in their intended effect. Some studies investigated treatments targeted at bleeding only (group 1), some investigated treatments targeted at a combination of anorectal symptoms, but not a single treatment (group 2). The third group focused on the treatment of the collection of symptoms referred to as pelvic radiation disease. In order to enable some comparison of this heterogeneous collection of studies, we describe the effects in these three groups separately.Nine studies assessed treatments for rectal bleeding and were unclear or at high risk of bias. The only treatments that made a significant difference on primary outcomes were argon plasma coagulation (APC) followed by oral sucralfate versus APC with placebo (endoscopic score 6 to 9 in favour of APC with placebo, risk ratio (RR) 2.26, 95% confidence interval (CI) 1.12 to 4.55; 1 study, 122 participants, low- to moderate-quality evidence); formalin dab treatment (4%) versus sucralfate steroid retention enema (symptom score after treatment graded by the Radiation Proctopathy System Assessments Scale (RPSAS) and sigmoidoscopic score in favour of formalin (P = 0.001, effect not quantified, 1 study, 102 participants, very low- to low-quality evidence), and colonic irrigation plus ciprofloxacin and metronidazole versus formalin application (4%) (bleeding (P = 0.007, effect not quantified), urgency (P = 0.0004, effect not quantified), and diarrhoea (P = 0.007, effect not quantified) in favour of colonic irrigation (1 study, 50 participants, low-quality evidence).Three studies, of unclear and high risk of bias, assessed treatments targeted at something very localised but not a single pathology. We identified no significant differences on our primary outcomes. We graded all studies as very low-quality evidence due to unclear risk of bias and very serious imprecision.Four studies, of unclear and high risk of bias, assessed treatments targeted at more than one symptom yet confined to the anorectal region. Studies that demonstrated an effect on symptoms included: gastroenterologist-led algorithm-based treatment versus usual care (detailed self help booklet) (significant difference in favour of gastroenterologist-led algorithm-based treatment on change in Inflammatory Bowel Disease Questionnaire-Bowel (IBDQ-B) score at six months, mean difference (MD) 5.47, 95% CI 1.14 to 9.81) and nurse-led algorithm-based treatment versus usual care (significant difference in favour of the nurse-led algorithm-based treatment on change in IBDQ-B score at six months, MD 4.12, 95% CI 0.04 to 8.19) (1 study, 218 participants, low-quality evidence); hyperbaric oxygen therapy (at 2.0 atmospheres absolute) versus placebo (improvement of Subjective, Objective, Management, Analytic - Late Effects of Normal Tissue (SOMA-LENT) score in favour of hyperbaric oxygen therapy (HBOT), P = 0.0019) (1 study, 150 participants, moderate-quality evidence, retinol palmitate versus placebo (improvement in RPSAS in favour of retinol palmitate, P = 0.01) (1 study, 19 participants, low-quality evidence) and integrated Chinese traditional plus Western medicine versus Western medicine (grade 0 to 1 radio-proctopathy after treatment in favour of integrated Chinese traditional medicine, RR 2.55, 95% CI 1.30 to 5.02) (1 study, 58 participants, low-quality evidence).The level of evidence for the majority of outcomes was downgraded using GRADE to low or very low, mainly due to imprecision and study limitations.  Although some interventions for late radiation proctopathy look promising (including rectal sucralfate, metronidazole added to an anti-inflammatory regimen, and hyperbaric oxygen therapy), single small studies provide limited evidence. Furthermore, outcomes important to people with cancer, including quality of life (QoL) and long-term effects, were not well recorded. The episodic and variable nature of late radiation proctopathy requires large multi-centre placebo-controlled trials (RCTs) to establish whether treatments are effective. Future studies should address the possibility of associated injury to other gastro-intestinal, urinary, or sexual organs, known as pelvic radiation disease. The interventions, as well as the outcome parameters, should be broader and include those important to people with cancer, such as QoL evaluations.</t>
  </si>
  <si>
    <t>Renal denervation in hypertensive patients not on blood pressure lowering drugs.</t>
  </si>
  <si>
    <t>De Jager, Rosa L; Sanders, Margreet F; Bots, Michiel L; Lobo, Melvin D; Ewen, Sebastian; Beeftink, Martine M A; Böhm, Michael; Daemen, Joost; Dörr, Oliver; Hering, Dagmara; Mahfoud, Felix; Nef, Holger; Ott, Christian; Saxena, Manish; Schmieder, Roland E; Schlaich, Markus P; Spiering, Wilko; Tonino, Pim A L; Verloop, Willemien L; Vink, Eva E; Vonken, Evert-Jan; Voskuil, Michiel; Worthley, Stephen G; Blankestijn, Peter J</t>
  </si>
  <si>
    <t>https://pubmed.ncbi.nlm.nih.gov/27105858</t>
  </si>
  <si>
    <t>Studies on the blood pressure lowering effect of renal denervation (RDN) in resistant hypertensive patients have produced conflicting results. Change in medication usage during the studies may be responsible for this inconsistency. To eliminate the effect of medication usage on blood pressure we focused on unmedicated hypertensive patients who underwent RDN. Our study reports on a cohort of patients, who were not on blood pressure lowering drugs at baseline and during follow-up, from eight tertiary centers. Data of patients were used when they were treated with RDN and had a baseline office systolic blood pressure (SBP) ≥140 mmHg and/or 24-h ambulatory SBP ≥130 mmHg. Our primary outcome was defined as change in office and 24-h SBP at 12 months after RDN, compared to baseline. Fifty-three patients were included. There were three different reasons for not using blood pressure lowering drugs: (1) documented intolerance or allergic reaction (57 %); (2) temporary cessation of medication for study purposes (28 %); and (3) reluctance to take antihypertensive drugs (15 %). Mean change in 24-h SBP was -5.7 mmHg [95 % confidence interval (CI) -11.0 to -0.4; p = 0.04]. Mean change in office SBP was -13.1 mmHg (95 % CI -20.4 to -5.7; p = 0.001). No changes were observed in other variables, such as eGFR, body-mass-index and urinary sodium excretion. This explorative study in hypertensive patients, who are not on blood pressure lowering drugs, suggests that at least in some patients RDN lowers blood pressure.</t>
  </si>
  <si>
    <t>Comment on 'Cost effectiveness of collagen crosslinking for progressive keratoconus in the UK NHS'.</t>
  </si>
  <si>
    <t>Godefrooij, D A; de Wit, G A; Mangen, M J; Wisse, R P L</t>
  </si>
  <si>
    <t>eye london england</t>
  </si>
  <si>
    <t>https://pubmed.ncbi.nlm.nih.gov/27101748</t>
  </si>
  <si>
    <t>Decision aids to help older people make health decisions: a systematic review and meta-analysis.</t>
  </si>
  <si>
    <t>van Weert, Julia C M; van Munster, Barbara C; Sanders, Remco; Spijker, René; Hooft, Lotty; Jansen, Jesse</t>
  </si>
  <si>
    <t>https://pubmed.ncbi.nlm.nih.gov/27098100</t>
  </si>
  <si>
    <t>Decision aids have been overall successful in improving the quality of health decision making. However, it is unclear whether the impact of the results of using decision aids also apply to older people (aged 65+). We sought to systematically review randomized controlled trials (RCTs) and clinical controlled trials (CCTs) evaluating the efficacy of decision aids as compared to usual care or alternative intervention(s) for older adults facing treatment, screening or care decisions. A systematic search of (1) a Cochrane review of decision aids and (2) MEDLINE, Embase, PsycINFO, Cochrane library central registry of studies and Cinahl. We included published RCTs/CCTs of interventions designed to improve shared decision making (SDM) by older adults (aged 65+) and RCTs/CCTs that analysed the effect of the intervention in a subgroup with a mean age of 65+. Based on the International Patient Decision aid Standards (IPDAS), the primary outcomes were attributes of the decision and the decision process. Other behavioral, health, and health system effects were considered as secondary outcomes. If data could be pooled, a meta-analysis was conducted. Data for which meta-analysis was not possible were synthesized qualitatively. The search strategy yielded 11,034 references. After abstract and full text screening, 22 papers were included. Decision aids performed better than control resp. usual care interventions by increasing knowledge and accurate risk perception in older people (decision attributes). With regard to decision process attributes, decision aids resulted in lower decisional conflict and more patient participation. This review shows promising results on the effectiveness of decision aids for older adults. Decision aids improve older adults' knowledge, increase their risk perception, decrease decisional conflict and seem to enhance participation in SDM. It must however be noted that the body of literature on the effectiveness of decision aids for older adults is still in its infancy. Only one decision aid was specifically developed for older adults, and the mean age in most studies was between 65 and 70, indicating that the oldest-old were not included. Future research should expand on the design, application and evaluation of decision aids for older, more vulnerable adults.</t>
  </si>
  <si>
    <t>Exploring how individuals complete the choice tasks in a discrete choice experiment: an interview study.</t>
  </si>
  <si>
    <t>Veldwijk, Jorien; Determann, Domino; Lambooij, Mattijs S; van Til, Janine A; Korfage, Ida J; de Bekker-Grob, Esther W; de Wit, G Ardine</t>
  </si>
  <si>
    <t>https://pubmed.ncbi.nlm.nih.gov/27098746</t>
  </si>
  <si>
    <t>To be able to make valid inferences on stated preference data from a Discrete Choice Experiment (DCE) it is essential that researchers know if participants were actively involved, understood and interpreted the provided information correctly and whether they used complex decision strategies to make their choices and thereby acted in accordance with the continuity axiom. During structured interviews, we explored how 70 participants evaluated and completed four discrete choice tasks aloud. Hereafter, additional questions were asked to further explore if participants understood the information that was provided to them and whether they used complex decision strategies (continuity axiom) when making their choices. Two existing DCE questionnaires on rotavirus vaccination and prostate cancer-screening served as case studies. A large proportion of the participants was not able to repeat the exact definition of the risk attributes as explained to them in the introduction of the questionnaire. The majority of the participants preferred more optimal over less optimal risk attribute levels. Most participants (66%) mentioned three or more attributes when motivating their decisions, thereby acting in accordance with the continuity axiom. However, 16 out of 70 participants continuously mentioned less than three attributes when motivating their decision. Lower educated and less literate participants tended to mention less than three attributes when motivating their decision and used trading off between attributes less often as a decision-making strategy. The majority of the participants seemed to have understood the provided information about the choice tasks, the attributes, and the levels. They used complex decision strategies (continuity axiom) and are therefore capable to adequately complete a DCE. However, based on the participants' age, educational level and health literacy additional, actions should be undertaken to ensure that participants understand the choice tasks and complete the DCE as presumed.</t>
  </si>
  <si>
    <t>Maintaining postreproductive health: A care pathway from the European Menopause and Andropause Society (EMAS).</t>
  </si>
  <si>
    <t>Armeni, Eleni; Lambrinoudaki, Irene; Ceausu, Iuliana; Depypere, Herman; Mueck, Alfred; Pérez-López, Faustino R; Schouw, Yvonne T van der; Senturk, Levent M; Simoncini, Tommaso; Stevenson, John C; Stute, Petra; Rees, Margaret</t>
  </si>
  <si>
    <t>https://pubmed.ncbi.nlm.nih.gov/27180162</t>
  </si>
  <si>
    <t>This position statement from the European Menopause and Andropause Society (EMAS) provides a care pathway for the maintenance of women's health during and after the menopause. It is designed for use by all those involved in women's health. It covers assessment, screening for diseases in later life, treatment and follow-up. Strategies need to be optimised to maintain postreproductive health, in part because of increased longevity. They encompass optimising diet and lifestyle, menopausal hormone therapy and non-estrogen-based treatment options for climacteric symptoms and skeletal conservation, personalised to individual needs.</t>
  </si>
  <si>
    <t>Changes over time in the impact of gene-expression profiles on the administration of adjuvant chemotherapy in estrogen receptor positive early stage breast cancer patients: A nationwide study.</t>
  </si>
  <si>
    <t>Kuijer, A; Drukker, C A; Elias, S G; Smorenburg, C H; Th Rutgers, E J; Siesling, S; van Dalen, Th</t>
  </si>
  <si>
    <t>https://pubmed.ncbi.nlm.nih.gov/27062369</t>
  </si>
  <si>
    <t>Ten years ago gene-expression profiles were introduced to aid adjuvant chemotherapy decision making in breast cancer. Since then subsequent national guidelines gradually expanded the indication area for adjuvant chemotherapy. In this nation-wide study the evolution of the proportion of patients with estrogen-receptor positive (ER+) tumors receiving adjuvant chemotherapy in relation to gene-expression profile use in patient groups that became newly eligible for chemotherapy according to national guideline changes over time is assessed. Data on all surgically treated early breast cancer patients diagnosed between 2004-2006 and 2012-2014 were obtained from the Netherlands Cancer Registry. ER+/Her2- patients with tumor-characteristics making them eligible for gene-expression testing in both cohorts and a discordant chemotherapy recommendation over time (2004 guideline not recommending and 2012 guideline recommending chemotherapy) were identified. We identified 3,864 patients eligible for gene-expression profile use during both periods. Gene-expression profiles were deployed in 5% and 35% of the patients in the respective periods. In both periods the majority of patients was assigned to a low genomic risk-profile (67% and 69%, respectively) and high adherence rates to the test result were observed (86% and 91%, respectively). Without deploying a gene-expression profile 8% and 52% (p &lt;0.001) of the respective cohorts received chemotherapy while 21% and 28% of these patients received chemotherapy when a gene-expression profile was used (p 0.191). In conclusion, in ER+/Her2- early stage breast cancer patients gene-expression profile use was associated with a consistent proportion of patients receiving chemotherapy despite an adjusted guideline-based recommendation to administer chemotherapy.</t>
  </si>
  <si>
    <t>PHASES and the natural history of unruptured aneurysms: science or pseudoscience?</t>
  </si>
  <si>
    <t>Rinkel, G J E; Algra, A; Greving, J P; Vergouwen, M D I; Etminan, N</t>
  </si>
  <si>
    <t>https://pubmed.ncbi.nlm.nih.gov/27091751</t>
  </si>
  <si>
    <t>In 2035, will all bacteria be multidrug-resistant? No.</t>
  </si>
  <si>
    <t>Barbier, François; Lipman, Jeffrey; Bonten, Marc J M</t>
  </si>
  <si>
    <t>https://pubmed.ncbi.nlm.nih.gov/27091442</t>
  </si>
  <si>
    <t>How big a problem is heart failure with a normal ejection fraction?</t>
  </si>
  <si>
    <t>Rutten, Frans H; Clark, Andrew L; Hoes, Arno W</t>
  </si>
  <si>
    <t>https://pubmed.ncbi.nlm.nih.gov/27091176</t>
  </si>
  <si>
    <t>Methods to control for unmeasured confounding in pharmacoepidemiology: an overview.</t>
  </si>
  <si>
    <t>Uddin, Md Jamal; Groenwold, Rolf H H; Ali, Mohammed Sanni; de Boer, Anthonius; Roes, Kit C B; Chowdhury, Muhammad A B; Klungel, Olaf H</t>
  </si>
  <si>
    <t>https://pubmed.ncbi.nlm.nih.gov/27091131</t>
  </si>
  <si>
    <t>Background Unmeasured confounding is one of the principal problems in pharmacoepidemiologic studies. Several methods have been proposed to detect or control for unmeasured confounding either at the study design phase or the data analysis phase. Aim of the Review To provide an overview of commonly used methods to detect or control for unmeasured confounding and to provide recommendations for proper application in pharmacoepidemiology. Methods/Results Methods to control for unmeasured confounding in the design phase of a study are case only designs (e.g., case-crossover, case-time control, self-controlled case series) and the prior event rate ratio adjustment method. Methods that can be applied in the data analysis phase include, negative control method, perturbation variable method, instrumental variable methods, sensitivity analysis, and ecological analysis. A separate group of methods are those in which additional information on confounders is collected from a substudy. The latter group includes external adjustment, propensity score calibration, two-stage sampling, and multiple imputation. Conclusion As the performance and application of the methods to handle unmeasured confounding may differ across studies and across databases, we stress the importance of using both statistical evidence and substantial clinical knowledge for interpretation of the study results.</t>
  </si>
  <si>
    <t>Search for new phenomena in events with at least three photons collected in &lt;i&gt;pp&lt;/i&gt; collisions at [Formula: see text] = 8 TeV with the ATLAS detector.</t>
  </si>
  <si>
    <t>https://pubmed.ncbi.nlm.nih.gov/28260974</t>
  </si>
  <si>
    <t>Results of a search for new phenomena in events with at least three photons are reported. Data from proton-proton collisions at a centre-of-mass energy of 8 TeV, corresponding to an integrated luminosity of 20.3 fb[Formula: see text], were collected with the ATLAS detector at the LHC. The observed data are well described by the Standard Model. Limits at the 95 % confidence level on new phenomena are presented based on the rate of events in an inclusive signal region and a restricted signal region targeting the rare decay [Formula: see text], as well as di-photon and tri-photon resonance searches. For a Standard Model Higgs boson decaying to four photons via a pair of intermediate pseudoscalar particles (&lt;i&gt;a&lt;/i&gt;), limits are found to be [Formula: see text] for 10 GeV [Formula: see text] 62 GeV. Limits are also presented for Higgs boson-like scalars (&lt;i&gt;H&lt;/i&gt;) for [Formula: see text] 125 GeV, and for a [Formula: see text] decaying to three photons via [Formula: see text]. Additionally, the observed limit on the branching ratio of the &lt;i&gt;Z&lt;/i&gt; boson decay to three photons is found to be BR[Formula: see text], a result five times stronger than the previous result from LEP.</t>
  </si>
  <si>
    <t>3D black blood VISTA vessel wall cardiovascular magnetic resonance of the thoracic aorta wall in young, healthy adults: reproducibility and implications for efficacy trial sample sizes: a cross-sectional study.</t>
  </si>
  <si>
    <t>Eikendal, Anouk L M; Blomberg, Björn A; Haaring, Cees; Saam, Tobias; van der Geest, Rob J; Visser, Fredy; Bots, Michiel L; den Ruijter, Hester M; Hoefer, Imo E; Leiner, Tim</t>
  </si>
  <si>
    <t>https://pubmed.ncbi.nlm.nih.gov/27075677</t>
  </si>
  <si>
    <t>Pre-clinical detection of atherosclerosis enables personalized preventive strategies in asymptomatic individuals. Cardiovascular magnetic resonance (CMR) has evolved as an attractive imaging modality for studying atherosclerosis in vivo. Yet, the majority of aortic CMR studies and proposed sequences to date have been performed at 1.5 tesla using 2D BB techniques and a slice thickness of 4-5 mm. Here, we evaluate for the first time the reproducibility of an isotropic, T1-weighted, three-dimensional, black-blood, CMR VISTA sequence (3D-T1-BB-VISTA) for quantification of aortic wall characteristics in healthy, young adults. In 20 healthy, young adults (10 males, mean age 31.3 years) of the AMBITYON cohort study the descending thoracic aorta was imaged with a 3.0 T MR system using the 3D-T1-BB-VISTA sequence. The inter-scan, inter-rater and intra-rater reproducibility of aortic lumen, total vessel and wall area and mean and maximum wall thickness was evaluated using Bland-Altman analyses and Intraclass Correlation Coefficients (ICC). Based on these findings, sample sizes for detecting differences in aortic wall characteristics between groups were calculated. For each studied parameter, the inter-scan, inter-rater and intra-rater reproducibility was excellent as indicated by narrow limits of agreement and high ICCs (ranging from 0.76 to 0.99). Sample sizes required to detect a 5% difference in aortic wall characteristics between two groups were 203, 126, 136, 68 and 153 per group for lumen area, total vessel area and vessel wall area and for mean and maximum vessel wall thickness, respectively. The 3D-T1-BB-VISTA sequence provides excellent reproducibility for quantification of aortic wall characteristics and can detect small differences between groups with reasonable sample sizes. Hence, it may be a valuable tool for assessment of the subtle vascular wall changes of early atherosclerosis in asymptomatic populations.</t>
  </si>
  <si>
    <t>Unsolicited findings of next-generation sequencing for tumor analysis within a Dutch consortium: clinical daily practice reconsidered.</t>
  </si>
  <si>
    <t>Bijlsma, Rhodé M; Bredenoord, Annelien L; Gadellaa-Hooijdonk, Christa G; Lolkema, Martijn Pj; Sleijfer, Stefan; Voest, Emile E; Ausems, Margreet Gem; Steeghs, Neeltje</t>
  </si>
  <si>
    <t>https://pubmed.ncbi.nlm.nih.gov/27071717</t>
  </si>
  <si>
    <t>Cancer patients participating in studies involving experimental or diagnostic next-generation sequencing (NGS) procedures are confronted with the possibility of unsolicited findings. The Center for Personalized Cancer Treatment (CPCT), a Dutch consortium of cancer centers, is offering centralized large-scale NGS for the discovery of somatic tumor mutations with their germline DNA as reference. The CPCT aims to give all cancer patients with advanced disease stages access to tumor DNA analysis in order to improve selection for experimental therapy. In this article, our experiences at the CPCT will serve as an example to discuss the ethical and practical aspects regarding the management of unsolicited findings in personalized cancer research and treatment. Generic issues, relevant for all researchers in this field are discussed and illustrated by description of three patients faced with an unsolicited DNA finding, while they intended to be candidate for future anticancer treatment by participating in a trial that included NGS of both somatic and germline DNA. As options for DNA analysis expand and costs decrease rapidly, more and more patients are offered large-scale NGS testing. After reviewing current recommendations in literature, we conclude that classical informed consent procedures need to be adapted to become more explicit in asking patients if they want to be informed about unsolicited findings and if so, what level of detail of genetic risk information exactly they want to be returned after the analysis.</t>
  </si>
  <si>
    <t>Measurement of the centrality dependence of the charged-particle pseudorapidity distribution in proton-lead collisions at [Formula: see text] TeV with the ATLAS detector.</t>
  </si>
  <si>
    <t>Aad, G; Abajyan, T; Abbott, B; Abdallah, J; Abdel Khalek, S; Abdinov, O; Aben, R; Abi, B; Abolins, M; AbouZeid, O S; Abramowicz, H; Abreu, H; Abulaiti, Y; Acharya, B S; Adamczyk, L; Adams, D L; Addy, T N; Adelman, J; Adomeit, S; Adye, T; Agatonovic-Jovin, T; Aguilar-Saavedra, J A; Agustoni, M; Ahlen, S P; Ahmadov, F; Aielli, G; Åkesson, T P A; Akimoto, G; Akimov, A V; Albert, J; Albrand, S; Alconada Verzini, M J; Aleksa, M; Aleksandrov, I N; Alexa, C; Alexander, G; Alexandre, G; Alexopoulos, T; Alhroob, M; Alimonti, G; Alio, L; Alison, J; Allbrooke, B M M; Allison, L J; Allport, P P; Allwood-Spiers, S E; Almond, J; Aloisio, A; Alon, R; Alonso, A; Alonso, F; Alpigiani, C; Altheimer, A; Alvarez Gonzalez, B; Alviggi, M G; Amako, K; Amaral Coutinho, Y; Amelung, C; Ammosov, V V; Amor Dos Santos, S P; Amorim, A; Amoroso, S; Amram, N; Amundsen, G; Anastopoulos, C; Ancu, L S; Andari, N; Andeen, T; Anders, C F; Anders, G; Anderson, K J; Andreazza, A; Andrei, V; Anduaga, X S; Angelidakis, S; Ang</t>
  </si>
  <si>
    <t>https://pubmed.ncbi.nlm.nih.gov/28260972</t>
  </si>
  <si>
    <t>The centrality dependence of the mean charged-particle multiplicity as a function of pseudorapidity is measured in approximately 1 [Formula: see text]b[Formula: see text] of proton-lead collisions at a nucleon-nucleon centre-of-mass energy of [Formula: see text] [Formula: see text] using the ATLAS detector at the Large Hadron Collider. Charged particles with absolute pseudorapidity less than 2.7 are reconstructed using the ATLAS pixel detector. The [Formula: see text] collision centrality is characterised by the total transverse energy measured in the Pb-going direction of the forward calorimeter. The charged-particle pseudorapidity distributions are found to vary strongly with centrality, with an increasing asymmetry between the proton-going and Pb-going directions as the collisions become more central. Three different estimations of the number of nucleons participating in the [Formula: see text] collision have been carried out using the Glauber model as well as two Glauber-Gribov inspired extensions to the Glauber model. Charged-particle multiplicities per participant pair are found to vary differently for these three models, highlighting the importance of including colour fluctuations in nucleon-nucleon collisions in the modelling of the initial state of [Formula: see text] collisions.</t>
  </si>
  <si>
    <t>Genetic Diversity in the Major Capsid L1 Protein of HPV-16 and HPV-18 in the Netherlands.</t>
  </si>
  <si>
    <t>King, Audrey J; Sonsma, Jan A; Vriend, Henrike J; van der Sande, Marianne A B; Feltkamp, Mariet C; Boot, Hein J; Koopmans, Marion P G; ,</t>
  </si>
  <si>
    <t>https://pubmed.ncbi.nlm.nih.gov/27070907</t>
  </si>
  <si>
    <t>Intratypic molecular variants of human papillomavirus (HPV) type-16 and -18 exist. In the Netherlands, a bivalent vaccine, composed of recombinant L1 proteins from HPV-16 and -18, is used to prevent cervical cancer since 2009. Long-term vaccination could lead to changes in HPV-16 and -18 virus population, thereby hampering vaccination strategies. We determined the genetic diversity of the L1 gene in HPV-16 and -18 viral strains circulating in the Netherlands at the start of vaccination in order to understand the baseline genetic diversity in the Dutch population. DNA sequences of the L1 gene were determined in HPV-16 (n = 241) and HPV-18 (n = 108) positive anogenital samples collected in 2009 and 2011 among Dutch 16- to 24-year old female and male attendees of the sexually transmitted infection (STI) clinics. Phylogenetic analysis was performed and sequences were compared to reference sequences HPV-16 (AF536179) and HPV-18 (X05015) using BioNumerics 7.1. For HPV-16, ninety-five single nucleotide polymorphism (SNPs) were identified, twenty-seven (28%) were non-synonymous variations. For HPV-18, seventy-one SNPs were identified, twenty-nine (41%) were non-synonymous. The majority of the non-silent variations were located in sequences encoding alpha helix, beta sheet or surface loops, in particular in the immunodominant FG loop, and may influence the protein secondary structure and immune recognition. This study provides unique pre-vaccination/baseline data on the genetic L1 diversity of HPV-16 and -18 viruses circulating in the Netherlands among adolescents and young adults.</t>
  </si>
  <si>
    <t>E-health and health care behaviour of parents of young children: a qualitative study.</t>
  </si>
  <si>
    <t>van der Gugten, Anne C; de Leeuw, Rob J R J; Verheij, Theo J M; van der Ent, Cornelis K; Kars, Marijke C</t>
  </si>
  <si>
    <t>https://pubmed.ncbi.nlm.nih.gov/27063729</t>
  </si>
  <si>
    <t>Internet plays a huge role in providing information about health care problems. However, it is unknown how parents use and perceive the internet as a source of information and how this influences health care utilisation when it comes to common complaints in infants. The objective was to evaluate the perception parents have on the role of internet in providing health care information on common symptoms in infants and its effects on health care utilisation. A qualitative design was chosen. Parents were recruited from a population-based birth-cohort and selected purposefully. Semi-structured interviews were used to receive information of parents' ideas. Thematic coding and constant comparison were used for interview transcript analysis. Ten parents were interviewed. Parents felt anxious and responsible when their child displayed common symptoms, and appeared to be in need of information. They tried to obtain information from relatives, but more so from the internet, because of its accessibility. Nevertheless, information found on the internet had several limitations, evoked new doubts and insecurity and although parents compared information from multiple sources, only the physician was able to take away the insecurity. The internet did not interfere in the decision to consult the physician. Parents need information about their children's symptoms and the internet is a major resource. However, only physicians could take away their symptom-related doubts and insecurities and internet information did not play a role in parental decision making. Information gathered online may complement the information from physicians, rather than replace it. Key points Internet plays an increasing role in providing health care information but it is unknown how this influences health care utilisation. Our study suggests that: Parents need information about their children's symptoms and the internet is a major resource. However, only physicians could take away their symptom-related doubts and insecurities. Internet information did not play a role in parental decision making.</t>
  </si>
  <si>
    <t>A Prospective Evaluation of Early Detection Biomarkers for Ovarian Cancer in the European EPIC Cohort.</t>
  </si>
  <si>
    <t>Terry, Kathryn L; Schock, Helena; Fortner, Renée T; Hüsing, Anika; Fichorova, Raina N; Yamamoto, Hidemi S; Vitonis, Allison F; Johnson, Theron; Overvad, Kim; Tjønneland, Anne; Boutron-Ruault, Marie-Christine; Mesrine, Sylvie; Severi, Gianluca; Dossus, Laure; Rinaldi, Sabina; Boeing, Heiner; Benetou, Vassiliki; Lagiou, Pagona; Trichopoulou, Antonia; Krogh, Vittorio; Kuhn, Elisabetta; Panico, Salvatore; Bueno-de-Mesquita, H Bas; Onland-Moret, N Charlotte; Peeters, Petra H; Gram, Inger Torhild; Weiderpass, Elisabete; Duell, Eric J; Sanchez, Maria-Jose; Ardanaz, Eva; Etxezarreta, Nerea; Navarro, Carmen; Idahl, Annika; Lundin, Eva; Jirström, Karin; Manjer, Jonas; Wareham, Nicholas J; Khaw, Kay-Tee; Byrne, Karl Smith; Travis, Ruth C; Gunter, Marc J; Merritt, Melissa A; Riboli, Elio; Cramer, Daniel W; Kaaks, Rudolf</t>
  </si>
  <si>
    <t>https://pubmed.ncbi.nlm.nih.gov/27060155</t>
  </si>
  <si>
    <t>About 60% of ovarian cancers are diagnosed at late stage, when 5-year survival is less than 30% in contrast to 90% for local disease. This has prompted search for early detection biomarkers. For initial testing, specimens taken months or years before ovarian cancer diagnosis are the best source of information to evaluate early detection biomarkers. Here we evaluate the most promising ovarian cancer screening biomarkers in prospectively collected samples from the European Prospective Investigation into Cancer and Nutrition study. We measured CA125, HE4, CA72.4, and CA15.3 in 810 invasive epithelial ovarian cancer cases and 1,939 controls. We calculated the sensitivity at 95% and 98% specificity as well as area under the receiver operator curve (C-statistic) for each marker individually and in combination. In addition, we evaluated marker performance by stage at diagnosis and time between blood draw and diagnosis. We observed the best discrimination between cases and controls within 6 months of diagnosis for CA125 (C-statistic = 0.92), then HE4 (0.84), CA72.4 (0.77), and CA15.3 (0.73). Marker performance declined with longer time between blood draw and diagnosis and for earlier staged disease. However, assessment of discriminatory ability at early stage was limited by small numbers. Combinations of markers performed modestly, but significantly better than any single marker. CA125 remains the single best marker for the early detection of invasive epithelial ovarian cancer, but can be slightly improved by combining with other markers. Identifying novel markers for ovarian cancer will require studies including larger numbers of early-stage cases. Clin Cancer Res; 22(18); 4664-75. ©2016 AACRSee related commentary by Skates, p. 4542.</t>
  </si>
  <si>
    <t>Corrigendum to "Antioxidants as a treatment for acute pancreatitis: A meta-analysis" [Pancreatology (2015) 203-208].</t>
  </si>
  <si>
    <t>Jeurnink, S M; Nijs, M M; Prins, H A B; Greving, J P; Siersema, P D</t>
  </si>
  <si>
    <t>pancreatology official journal of the international association of pancreatology iap et al</t>
  </si>
  <si>
    <t>https://pubmed.ncbi.nlm.nih.gov/27131410</t>
  </si>
  <si>
    <t>Advance care planning--a multi-centre cluster randomised clinical trial: the research protocol of the ACTION study.</t>
  </si>
  <si>
    <t>Rietjens, Judith A C; Korfage, Ida J; Dunleavy, Lesley; Preston, Nancy J; Jabbarian, Lea J; Christensen, Caroline Arnfeldt; de Brito, Maja; Bulli, Francesco; Caswell, Glenys; Červ, Branka; van Delden, Johannes; Deliens, Luc; Gorini, Giuseppe; Groenvold, Mogens; Houttekier, Dirk; Ingravallo, Francesca; Kars, Marijke C; Lunder, Urška; Miccinesi, Guido; Mimić, Alenka; Paci, Eugenio; Payne, Sheila; Polinder, Suzanne; Pollock, Kristian; Seymour, Jane; Simonič, Anja; Johnsen, Anna Thit; Verkissen, Mariëtte N; de Vries, Esther; Wilcock, Andrew; Zwakman, Marieke; van der Heide Pl, Agnes</t>
  </si>
  <si>
    <t>https://pubmed.ncbi.nlm.nih.gov/27059593</t>
  </si>
  <si>
    <t>Awareness of preferences regarding medical care should be a central component of the care of patients with advanced cancer. Open communication can facilitate this but can occur in an ad hoc or variable manner. Advance care planning (ACP) is a formalized process of communication between patients, relatives and professional caregivers about patients' values and care preferences. It raises awareness of the need to anticipate possible future deterioration of health. ACP has the potential to improve current and future healthcare decision-making, provide patients with a sense of control, and improve their quality of life. We will study the effects of the ACP program Respecting Choices on the quality of life of patients with advanced lung or colorectal cancer. In a phase III multicenter cluster randomised controlled trial, 22 hospitals in 6 countries will be randomised. In the intervention sites, patients will be offered interviews with a trained facilitator. In the control sites, patients will receive care as usual. In total, 1360 patients will be included. All participating patients will be asked to complete questionnaires at inclusion, and again after 2.5 and 4.5 months. If a patient dies within a year after inclusion, a relative will be asked to complete a questionnaire on end-of-life care. Use of medical care will be assessed by checking medical files. The primary endpoint is patients' quality of life at 2.5 months post-inclusion. Secondary endpoints are the extent to which care as received is aligned with patients' preferences, patients' evaluation of decision-making processes, quality of end-of-life care and cost-effectiveness of the intervention. A complementary qualitative study will be carried out to explore the lived experience of engagement with the Respecting Choices program from the perspectives of patients, their Personal Representatives, healthcare providers and facilitators. Transferring the concept of ACP from care of the elderly to patients with advanced cancer, who on average are younger and retain their mental capacity for a larger part of their disease trajectory, is an important next step in an era of increased focus on patient centered healthcare and shared decision-making. International Standard Randomised Controlled Trial Number: ISRCTN63110516. Date of registration: 10/3/2014.</t>
  </si>
  <si>
    <t>Pregnancy loss and risk of ischaemic stroke and myocardial infarction.</t>
  </si>
  <si>
    <t>Maino, Alberto; Siegerink, Bob; Algra, Ale; Martinelli, Ida; Peyvandi, Flora; Rosendaal, Frits R</t>
  </si>
  <si>
    <t>https://pubmed.ncbi.nlm.nih.gov/27061416</t>
  </si>
  <si>
    <t>We investigated whether pregnancy loss increases the risk of arterial thrombosis in young women. Women (age 18-50 years) with ischaemic stroke (IS) or myocardial infarction (MI) and at least one pregnancy were compared for pregnancy loss in a control group. Odds ratios (OR) with 95% confidence intervals (CI), adjusted for matching variables, cardiovascular risk factors, cardiovascular family history and the presence of antiphospholipid antibodies, were calculated for the number of pregnancy losses as well as the type of unsuccessful pregnancy (early miscarriage, late miscarriage and stillbirth). 165 IS cases, 218 MI cases and 743 controls were included. Women with multiple (≥3) pregnancy loss had a doubled risk of arterial thrombosis (OR 2·37, 95%CI 0·99-5·70) compared with women without pregnancy loss, similarly to women who experienced stillbirth (OR 1·68, 95%CI 0·79-3·55). Both relative risks were higher for IS (OR 3·51, 95%CI 1·08-11·35 and 2·06, 95%CI 0·81-5·23, respectively) than for MI (OR 2·04, 95%CI 0·71-5·86 and 1·04, 95%CI 0·39-2·79). Adjustment for antiphospholipid antibodies did not affect the estimates. Multiple pregnancy loss and stillbirth increases the risk of IS and, to a lesser extent, of MI, even when other cardiovascular risk factors and antiphospholipid antibodies are accounted for.</t>
  </si>
  <si>
    <t>Erratum to: Design of the INTEGRATE study: effectiveness and cost-effectiveness of a cardiometabolic risk assessment and treatment program integrated in primary care.</t>
  </si>
  <si>
    <t>Badenbroek, Ilse F; Stol, Daphne M; Nielen, Marcus Mj; Hollander, Monika; Kraaijenhagen, Roderik A; de Wit, G Ardine; Schellevis, François G; de Wit, Niek J</t>
  </si>
  <si>
    <t>https://pubmed.ncbi.nlm.nih.gov/27052829</t>
  </si>
  <si>
    <t>Pemetrexed plus carboplatin versus pemetrexed in pretreated patients with advanced non-squamous non-small-cell lung cancer: treating the right patients based on individualized treatment effect prediction.</t>
  </si>
  <si>
    <t>van Kruijsdijk, R C M; Visseren, F L J; Boni, L; Groen, H J M; Dingemans, A M C; Aerts, J G J V; van der Graaf, Y; Ardizzoni, A; Smit, E F</t>
  </si>
  <si>
    <t>https://pubmed.ncbi.nlm.nih.gov/27052652</t>
  </si>
  <si>
    <t>Translating results from randomized clinical trials (RCTs) to individual patients in clinical practice is challenging, as treatment effects can vary substantially among individuals. Data from RCTs can be used for individualized treatment effect prediction, to identify patients who benefit from specific treatments. In this study, we developed and validated a prediction model for estimating absolute treatment effect of pemetrexed plus carboplatin versus single-agent pemetrexed in the second-line treatment of non-squamous non-small-cell lung cancer (NSCLC). Using data of relapsed patients with advanced non-squamous NSCLC from the NVALT-7 trial, a Weibull model for prediction of gain in median progression-free survival (PFS) by pemetrexed-carboplatin was derived based on patient and tumor characteristics. The model was externally validated in the GOIRC 02-2006 trial. The applicability of the model for guiding clinical decision-making was evaluated using decision curve analysis. A wide distribution of predicted gain in median PFS by pemetrexed-carboplatin over pemetrexed was found, with a median of 0.7 months (interquartile range: -0.1 to 1.5 months). Patients who benefited most included women, those with stage IV, high body mass index and/or adenocarcinoma. External validation showed satisfactory calibration and moderate discrimination (C-index: 0.61, 95% confidence interval 0.56-0.67). Decision curve analysis confirmed that the model adequately identified patients who benefit from pemetrexed-carboplatin, as prediction-based treatment led to improvement in net benefit with regard to PFS and overall survival when assuming a treatment threshold of 0-5 months gain in PFS, compared with other treatment strategies. The effects of pemetrexed-carboplatin can be predicted for individual patients based on routinely available patient and tumor characteristics. There is important heterogeneity in the effects on PFS of pemetrexed-carboplatin versus pemetrexed in pretreated patients with advanced non-squamous NSCLC. Individualized prediction of treatment effect could be used to guide shared decision-making by discriminating patients who benefit most, to improve clinical outcome. NVALT-7: ISRCTN38269072 (ISRCTN registry), GOIRC 02-2006: NCT00786331 (clinicaltrials.gov).</t>
  </si>
  <si>
    <t>Human-livestock contacts and their relationship to transmission of zoonotic pathogens, a systematic review of literature.</t>
  </si>
  <si>
    <t>Klous, Gijs; Huss, Anke; Heederik, Dick J J; Coutinho, Roel A</t>
  </si>
  <si>
    <t>https://pubmed.ncbi.nlm.nih.gov/28616478</t>
  </si>
  <si>
    <t>Micro-organisms transmitted from vertebrate animals - including livestock - to humans account for an estimated 60% of human pathogens. Micro-organisms can be transmitted through inhalation, ingestion, via conjunctiva or physical contact. Close contact with animals is crucial for transmission. The role of intensity and type of contact patterns between livestock and humans for disease transmission is poorly understood. In this systematic review we aimed to summarise current knowledge regarding patterns of human-livestock contacts and their role in micro-organism transmission. We included peer-reviewed publications published between 1996 and 2014 in our systematic review if they reported on human-livestock contacts, human cases of livestock-related zoonotic diseases or serological epidemiology of zoonotic diseases in human samples. We extracted any information pertaining the type and intensity of human-livestock contacts and associated zoonoses. 1522 papers were identified, 75 were included: 7 reported on incidental zoonoses after brief animal-human contacts (e.g. farm visits), 10 on environmental exposures and 15 on zoonoses in developing countries where backyard livestock keeping is still customary. 43 studies reported zoonotic risks in different occupations. Occupations at risk included veterinarians, culling personnel, slaughterhouse workers and farmers. For culling personnel, more hours exposed to livestock resulted in more frequent occurrence of transmission. Slaughterhouse workers in contact with live animals were more often positive for zoonotic micro-organisms compared to co-workers only exposed to carcasses. Overall, little information was available about the actual mode of micro-organism transmission. Little is known about the intensity and type of contact patterns between livestock and humans that result in micro-organism transmission. Studies performed in occupational settings provide some, but limited evidence of exposure response-like relationships for livestock-human contact and micro-organism transmission. Better understanding of contact patterns driving micro-organism transmission from animals to humans is needed to provide options for prevention and thus deserves more attention.</t>
  </si>
  <si>
    <t>A genetic risk score is associated with statin-induced low-density lipoprotein cholesterol lowering.</t>
  </si>
  <si>
    <t>Leusink, Maarten; Maitland-van der Zee, Anke H; Ding, Bo; Drenos, Fotios; van Iperen, Erik Pa; Warren, Helen R; Caulfield, Mark J; Cupples, L Adrienne; Cushman, Mary; Hingorani, Aroon D; Hoogeveen, Ron C; Hovingh, G Kees; Kumari, Meena; Lange, Leslie A; Munroe, Patricia B; Nyberg, Fredrik; Schreiner, Pamela J; Sivapalaratnam, Suthesh; de Bakker, Paul Iw; de Boer, Anthonius; Keating, Brendan J; Asselbergs, Folkert W; Onland-Moret, N Charlotte</t>
  </si>
  <si>
    <t>pharmacogenomics</t>
  </si>
  <si>
    <t>https://pubmed.ncbi.nlm.nih.gov/27045730</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</si>
  <si>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</si>
  <si>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Reply to Leenders.</t>
  </si>
  <si>
    <t>Hetem, David J; Bootsma, Martin C J; Bonten, Marc J M</t>
  </si>
  <si>
    <t>https://pubmed.ncbi.nlm.nih.gov/27048743</t>
  </si>
  <si>
    <t>On scientific authorship: Proliferation, problems and prospects.</t>
  </si>
  <si>
    <t>Grobbee, Diederick E; Allpress, Rosemary</t>
  </si>
  <si>
    <t>https://pubmed.ncbi.nlm.nih.gov/27048543</t>
  </si>
  <si>
    <t>Quality of life from a randomized trial of open and endovascular repair for abdominal aortic aneurysm.</t>
  </si>
  <si>
    <t>de Bruin, J L; Groenwold, R H H; Baas, A F; Brownrigg, J R; Prinssen, M; Grobbee, D E; Blankensteijn, J D; ,</t>
  </si>
  <si>
    <t>https://pubmed.ncbi.nlm.nih.gov/27059152</t>
  </si>
  <si>
    <t>Long-term survival is similar after open or endovascular repair of abdominal aortic aneurysm. Few data exist on the effect of either procedure on long-term health-related quality of life (HRQoL) and health status. Patients enrolled in a multicentre randomized clinical trial (DREAM trial; 2000-2003) in Europe of open repair versus endovascular repair (EVAR) of abdominal aortic aneurysm were asked to complete questionnaires on health status and HRQoL. HRQoL scores were assessed at baseline and at 13 time points thereafter, using generic tools, the Medical Outcomes Study 36-Item Short-Form Health Survey (SF-36®) and EuroQol 5D (EQ-5D™). Physical (PCS) and mental component summary scores were also calculated. Follow-up was 5 years. Some 332 of 351 patients enrolled in the trial returned questionnaires. More than 70 per cent of questionnaires were returned at each time point. Both surgical interventions had a short-term negative effect on HRQoL and health status. This was less severe in the EVAR group than in the open repair group. In the longer term the physical domains of SF-36® favoured open repair: mean difference in PCS score between open repair and EVAR -1·98 (95 per cent c.i. -3·56 to -0·41). EQ-5D™ descriptive and EQ-5D™ visual analogue scale scores for open repair were also superior to those for EVAR after the initial 6-week interval: mean difference -0·06 (-0·10 to -0·02) and -4·09 (-6·91 to -1·27) respectively. In this study EVAR appeared to be associated with less severe disruption to HRQoL and health status in the short term. However, during longer-term follow-up to 5 years, patients receiving open repair appeared to have improved quality of life and health status.</t>
  </si>
  <si>
    <t>Explicit inclusion of treatment in prognostic modeling was recommended in observational and randomized settings.</t>
  </si>
  <si>
    <t>Groenwold, Rolf H H; Moons, Karel G M; Pajouheshnia, Romin; Altman, Doug G; Collins, Gary S; Debray, Thomas P A; Reitsma, Johannes B; Riley, Richard D; Peelen, Linda M</t>
  </si>
  <si>
    <t>https://pubmed.ncbi.nlm.nih.gov/27045189</t>
  </si>
  <si>
    <t>To compare different methods to handle treatment when developing a prognostic model that aims to produce accurate probabilities of the outcome of individuals if left untreated. Simulations were performed based on two normally distributed predictors, a binary outcome, and a binary treatment, mimicking a randomized trial or an observational study. Comparison was made between simply ignoring treatment (SIT), restricting the analytical data set to untreated individuals (AUT), inverse probability weighting (IPW), and explicit modeling of treatment (MT). Methods were compared in terms of predictive performance of the model and the proportion of incorrect treatment decisions. Omitting a genuine predictor of the outcome from the prognostic model decreased model performance, in both an observational study and a randomized trial. In randomized trials, the proportion of incorrect treatment decisions was smaller when applying AUT or MT, compared to SIT and IPW. In observational studies, MT was superior to all other methods regarding the proportion of incorrect treatment decisions. If a prognostic model aims to produce correct probabilities of the outcome in the absence of treatment, ignoring treatments that affect that outcome can lead to suboptimal model performance and incorrect treatment decisions. Explicitly, modeling treatment is recommended.</t>
  </si>
  <si>
    <t>A Qualitative Study into Dependent Relationships and Voluntary Informed Consent for Research in Pediatric Oncology.</t>
  </si>
  <si>
    <t>Dekking, Sara A S; van der Graaf, Rieke; Schouten-van Meeteren, Antoinette Y N; Kars, Marijke C; van Delden, Johannes J M</t>
  </si>
  <si>
    <t>paediatric drugs</t>
  </si>
  <si>
    <t>https://pubmed.ncbi.nlm.nih.gov/26755349</t>
  </si>
  <si>
    <t>In pediatric oncology, many oncologists invite their own patients to participate in research. Inclusion within a dependent relationship is considered to potentially compromise voluntariness of consent. Currently, it is unknown to what extent those involved in pediatric oncology experience the dependent relationship as a threat to voluntary informed consent, and what they see as safeguards to protect voluntary informed consent within a dependent relationship. We performed a qualitative study among key actors in pediatric oncology to explore their experiences with the dependent relationship and voluntary informed consent. We conducted three focus groups and 25 semi-structured, in-depth interviews with pediatric oncologists, research coordinators, Research Ethics Committee members, parents of children with cancer, and adolescents with cancer. Professionals regarded the dependent relationship both as a potential threat to and as a positive influence on voluntary decision making. Parents and adolescents did not feel as though dependency upon the oncologist influenced their decisions. They valued the involvement of their own physician in the informed consent process. The professionals suggested three strategies to protect voluntariness: emphasizing voluntariness; empowering families; involvement of an independent person. Although the dependent relationship between pediatric oncologists, patients and parents may be problematic for voluntary informed consent, this is not necessarily the case. Moreover, the involvement of treating physicians may even have a positive impact on the informed consent process. Although we studied pediatric oncology, our results may also apply to many other fields of pediatric medicine where research and care are combined, for example, pediatric rheumatology, neurology and nephrology. Clinical trials in these fields are inevitably often designed, initiated and conducted by medical specialists closely involved in patient care.</t>
  </si>
  <si>
    <t>Uncovering heart failure with preserved ejection fraction in patients with type 2 diabetes in primary care: time for a change.</t>
  </si>
  <si>
    <t>Boonman-de Winter, L J M; Cramer, M J; Hoes, A W; Rutten, F H</t>
  </si>
  <si>
    <t>https://pubmed.ncbi.nlm.nih.gov/26905581</t>
  </si>
  <si>
    <t>Undetected heart failure appears to be an important health problem in patients with type 2 diabetes and aged ≥ 60 years. The prevalence of previously unknown heart failure in these patients is high, steeply rises with age, and is overall higher in women than in men. The majority of the patients with newly detected heart failure have a preserved ejection fraction. A diagnostic algorithm to detect or exclude heart failure in these patients with variables from the medical files combined with items from history taking and physical examination provides a good to excellent accuracy. Annual screening appears to be cost-effective. Both unrecognised heart failure with reduced and with preserved ejection fraction were associated with a clinically relevant lower health status in patients with type 2 diabetes. Also the prognosis of these patients was worse than of those without heart failure. Existing disease-management programs for type 2 diabetes pay insufficient attention to early detection of cardiovascular diseases, including heart failure. We conclude that more attention is needed for detection of heart failure in older patients with type 2 diabetes.</t>
  </si>
  <si>
    <t>Multifactorial Prevention of Cardiovascular Disease in Patients with Hypertension: the Cardiovascular Polypill.</t>
  </si>
  <si>
    <t>Lafeber, M; Spiering, W; Visseren, F L J; Grobbee, D E</t>
  </si>
  <si>
    <t>current hypertension reports</t>
  </si>
  <si>
    <t>https://pubmed.ncbi.nlm.nih.gov/27083928</t>
  </si>
  <si>
    <t>Hypertension is a major, if not the most important, contributor to the disease burden and premature death globally which is largely related to cardiovascular disease. In both the primary and the secondary preventions of cardiovascular disease, blood pressure (BP) targets are often not achieved which is similar to achievement of cholesterol goals. Combining aspirin, cholesterol and blood pressure-lowering agents into a fixed-dose combination pill called the cardiovascular polypill has been proposed as complementary care in the prevention of cardiovascular diseases in both the primary and secondary preventions of cardiovascular disease. This review article focuses on the potential role of fixed-dose combination therapy in the treatment of hypertension, outlines the pros and cons of combination therapy and emphasizes the rationale for trialling their use. Current and planned future cardiovascular polypill trials are summarized, and the prerequisites for implementation of the polypill strategy are described.</t>
  </si>
  <si>
    <t>Dutch Tariff for the Five-Level Version of EQ-5D.</t>
  </si>
  <si>
    <t>M Versteegh, Matthijs; M Vermeulen, Karin; M A A Evers, Silvia; de Wit, G Ardine; Prenger, Rilana; A Stolk, Elly</t>
  </si>
  <si>
    <t>https://pubmed.ncbi.nlm.nih.gov/27325326</t>
  </si>
  <si>
    <t>In 2009, a new version of the EuroQol five-dimensional questionnaire (EQ-5D) was introduced with five rather than three answer levels per dimension. This instrument is known as the EQ-5D-5L. To make the EQ-5D-5L suitable for use in economic evaluations, societal values need to be attached to all 3125 health states. To derive a Dutch tariff for the EQ-5D-5L. Health state values were elicited during face-to-face interviews in a general population sample stratified for age, sex, and education, using composite time trade-off (cTTO) and a discrete choice experiment (DCE). Data were modeled using ordinary least squares and tobit regression (for cTTO) and a multinomial conditional logit model (for DCE). Model performance was evaluated on the basis of internal consistency, parsimony, goodness of fit, handling of left-censored values, and theoretical considerations. A representative sample (N = 1003) of the Dutch population participated in the valuation study. Data of 979 and 992 respondents were included in the analysis of the cTTO and the DCE, respectively. The cTTO data were left-censored at -1. The tobit model was considered the preferred model for the tariff on the basis of its handling of the censored nature of the data, which was confirmed through comparison with the DCE data. The predicted values for the EQ-5D-5L ranged from -0.446 to 1. This study established a Dutch tariff for the EQ-5D-5L on the basis of cTTO. The values represent the preferences of the Dutch population. The tariff can be used to estimate the impact of health care interventions on quality of life, for example, in context of economic evaluations.</t>
  </si>
  <si>
    <t>Response to the commentary on "A nomogram was developed to enhance the use of multinomial logistic regression modelling in diagnostic research".</t>
  </si>
  <si>
    <t>Reitsma, Johannes B; van Smeden, Maarten; de Groot, Joris A H; Bertens, Loes C M; Moons, Karel G M</t>
  </si>
  <si>
    <t>https://pubmed.ncbi.nlm.nih.gov/27038851</t>
  </si>
  <si>
    <t>How to translate clinical trial results into gain in healthy life expectancy for individual patients.</t>
  </si>
  <si>
    <t>Dorresteijn, Jannick A N; Kaasenbrood, Lotte; Cook, Nancy R; van Kruijsdijk, Rob C M; van der Graaf, Yolanda; Visseren, Frank L J; Ridker, Paul M</t>
  </si>
  <si>
    <t>https://pubmed.ncbi.nlm.nih.gov/27029390</t>
  </si>
  <si>
    <t>Collateral flow predicts outcome after basilar artery occlusion: The posterior circulation collateral score.</t>
  </si>
  <si>
    <t>van der Hoeven, Erik Jrj; McVerry, Ferghal; Vos, Jan Albert; Algra, Ale; Puetz, Volker; Kappelle, L Jaap; Schonewille, Wouter J; ,</t>
  </si>
  <si>
    <t>https://pubmed.ncbi.nlm.nih.gov/27016515</t>
  </si>
  <si>
    <t>Our aim was to assess the prognostic value of a semiquantitative computed tomography angiography-based grading system, for the prediction of outcome in patients with acute basilar artery occlusion, based on the presence of potential collateral pathways on computed tomography angiography: the posterior circulation collateral score (PC-CS). One hundred forty-nine patients with acute basilar artery occlusion from the Basilar Artery International Cooperation Study were included. We related poor outcome at one month, defined as a modified Rankin scale score of 4 or 5, or death to collateral flow with Poisson regression. We used a 10 points grading system to quantify the potential for collateral flow in the posterior communicating arteries and the cerebellar arteries. Additionally, the relation between the presence and size of posterior communicating arteries and outcome was analyzed. Thirty-six patients had poor (PC-CS: 0-3), 59 patients intermediate (PC-CS: 4-5), and 54 patients good (PC-CS: 6-10) collaterals. Multivariable analyses showed a statistically significant lower risk of poor outcome in patients with a good PC-CS than in patients with a poor PC-CS (risk ratio (RR): 0.74, 95% confidence interval (CI): 0.58-0.96), but not for patients with an intermediate PC-CS compared with patients with a poor PC-CS (RR: 0.95, 95% CI: 0.78-1.15). Multivariable analyses showed a statistically significant lower risk of poor outcome for the presence of at least one posterior communicating artery and for larger caliber of posterior communicating arteries (RR: 0.79, 95% CI: 0.66-0.95 and 0.76, 95% CI: 0.61-0.96, respectively). The PC-CS predicted poor outcome at one month. In a separate analysis, both the absence and smaller caliber of posterior communicating arteries predicted poor outcome.</t>
  </si>
  <si>
    <t>Abdominal aortic calcification in patients with CKD.</t>
  </si>
  <si>
    <t>Peeters, Mieke J; van den Brand, Jan Ajg; van Zuilen, Arjan D; Koster, Yelka; Bots, Michiel L; Vervloet, Marc G; Blankestijn, Peter J; Wetzels, Jack Fm; ,</t>
  </si>
  <si>
    <t>https://pubmed.ncbi.nlm.nih.gov/27003153</t>
  </si>
  <si>
    <t>Abdominal aortic calcification (AAC) is independently associated with cardiovascular events in dialysis patients and in the general population. However, data in non-dialysis chronic kidney disease (CKD) patients are limited. We analyzed determinants and prognostic value of AAC in non-dialysis CKD patients. We included patients with CKD not receiving renal replacement therapy from the MASTERPLAN study, a randomized controlled trial that started in 2004. In the period 2008-2009, an X-ray to evaluate AAC was performed in a subgroup of patients. We studied AAC using a semi-quantitative scoring system by lateral lumbar X-ray. We used baseline and 2-year data to find determinants of AAC. We used a composite cardiovascular endpoint and propensity score matching to evaluate the prognostic value of AAC. In 280 patients an X-ray was performed. In 79 patients (28 %) the X-ray showed no calcification, in 62 patients (22 %) calcification was minor (&lt;4), while 139 patients (50 %) had moderate or heavy calcification (≥4). Older age, prior cardiovascular disease, higher triglyceride levels, and higher phosphate levels were independent determinants of a calcification score ≥4. AAC score ≥4 was independently associated with cardiovascular events, with a hazard ratio of 5.5 (95 % confidence interval 1.2-24.8). Assessment of AAC can identify CKD patients at higher cardiovascular risk, and may provide important information for personalized treatment. Whether this approach will ultimately translate into better outcomes remains to be answered.</t>
  </si>
  <si>
    <t>Infections in early life and premature acute coronary syndrome: A case-control study.</t>
  </si>
  <si>
    <t>Qanitha, Andriany; de Mol, Bastianus Ajm; Pabittei, Dara R; Mappangara, Idar; van der Graaf, Yolanda; Dalmeijer, Geertje W; Burgner, David P; Uiterwaal, Cuno Spm</t>
  </si>
  <si>
    <t>https://pubmed.ncbi.nlm.nih.gov/27006417</t>
  </si>
  <si>
    <t>Infections in young children may affect the vasculature and initiate early atherosclerosis. Whether infections experienced in childhood play a part in adult clinical cardiovascular disease remains unclear. We investigated the association between infections in early life and the occurrence of premature coronary heart disease. We conducted a population-based case-control study of 153 patients with a first acute coronary syndrome before the age of 56 years and 153 age- and sex-matched controls. Any history of severe infections in childhood and adolescence was obtained, together with clinical and laboratory measurements and other cardiovascular risk factors. We developed an infection score for the overall burden of early life infections. Conditional logistic regression was used to assess the associations. Infections experienced in early life increased the risk of acquiring acute coronary syndrome at a young age with an odds ratio (OR) of 2.67 (95% confidence interval (CI) 1.47-4.83, p = 0.001). After adjustments for traditional risk factors, lifestyle, dietary patterns, socio-economic status and parental history of cardiovascular events, these associations remained significant and changed only slightly. There was an indication for an interaction between infections in early life and current cardiovascular risk (Framingham Risk Score (FRS); p-interaction = 0.052). Within participants with a low FRS (&lt;10%), the OR of early life infection for acute coronary syndrome was 1.49 (95% CI 0.72-3.08, p = 0.283); within participants with an intermediate FRS (10-20%), the OR was 4.35 (95% CI 1.60-11.84, p = 0.004); and within participants with a high FRS (&gt;20%), the OR 10.00 (95% CI 1.21-82.51, p = 0.032). Infections in early life may partly explain premature coronary heart disease in adulthood and may potentiate traditional cardiovascular risk factor effects.</t>
  </si>
  <si>
    <t>Value of systematic detection of physical child abuse at emergency rooms: a cross-sectional diagnostic accuracy study.</t>
  </si>
  <si>
    <t>Sittig, Judith S; Uiterwaal, Cuno S P M; Moons, Karel G M; Russel, Ingrid M B; Nievelstein, Rutger A J; Nieuwenhuis, Edward E S; van de Putte, Elise M</t>
  </si>
  <si>
    <t>https://pubmed.ncbi.nlm.nih.gov/27006346</t>
  </si>
  <si>
    <t>The aim of our diagnostic accuracy study Child Abuse Inventory at Emergency Rooms (CHAIN-ER) was to establish whether a widely used checklist accurately detects or excludes physical abuse among children presenting to ERs with physical injury. A large multicentre study with a 6-month follow-up. 4 ERs in The Netherlands. 4290 children aged 0-7 years attending the ER because of physical injury. All children were systematically tested with an easy-to-use child abuse checklist (index test). A national expert panel (reference standard) retrospectively assessed all children with positive screens and a 15% random sample of the children with negative screens for physical abuse, using additional information, namely, an injury history taken by a paediatrician, information provided by the general practitioner, youth doctor and social services by structured questionnaires, and 6-month follow-up information. Physical child abuse. Injury due to neglect and need for help. 4253/4290 (99%) parents agreed to follow-up. At a prevalence of 0.07% (3/4253) for inflicted injury by expert panel decision, the positive predictive value of the checklist was 0.03 (95% CI 0.006 to 0.085), and the negative predictive value 1.0 (0.994 to 1.0). There was 100% (93 to 100) agreement about inflicted injury in children, with positive screens between the expert panel and child abuse experts. Rare cases of inflicted injury among preschool children presenting at ERs for injury are very likely captured by easy-to-use checklists, but at very high false-positive rates. Subsequent assessment by child abuse experts can be safely restricted to children with positive screens at very low risk of missing cases of inflicted injury. Because of the high false positive rate, we do advise careful prior consideration of cost-effectiveness and clinical and societal implications before de novo implementation.</t>
  </si>
  <si>
    <t>Cost-effectiveness of screening strategies to detect heart failure in patients with type 2 diabetes.</t>
  </si>
  <si>
    <t>van Giessen, Anoukh; Boonman-de Winter, Leandra J M; Rutten, Frans H; Cramer, Maarten J; Landman, Marcel J; Liem, Anho H; Hoes, Arno W; Koffijberg, Hendrik</t>
  </si>
  <si>
    <t>https://pubmed.ncbi.nlm.nih.gov/27001409</t>
  </si>
  <si>
    <t>Heart failure (HF), especially with preserved ejection fraction (HFpEF) is common in older patients with type 2 diabetes (T2DM), but often not recognized. Early HF detection in older T2DM patients may be worthwhile because treatment may be initiated in an early stage, with clear beneficial treatment in those with reduced ejection fraction (HFrEF), but without clear prognostic beneficial treatment in those with HFpEF. Because both types of HF may be uncovered in older T2DM, screening may improve health outcomes at acceptable costs. We assessed the cost-effectiveness of five screening strategies in patients with T2DM aged 60 years or over. We built a Markov model with a lifetime horizon based on the prognostic results from our screening study of 581 patients with T2DM, extended with evidence from literature. Cost-effectiveness was calculated from a Dutch healthcare perspective as additional costs (Euros) per additional quality-adjusted life-year (QALY) gained. We performed probabilistic sensitivity analysis to assess robustness of these outcomes. Scenario analyses were performed to assess the influence of the availability of effective treatment of heart failure with preserved ejection fraction. For willingness to pay values in the range of €6050/QALY-€31,000/QALY for men and €6300/QALY-€42,000/QALY for women, screening-based checking the electronic medical record for patient characteristics and medical history plus the assessment of symptoms had the highest probability of being cost-effective. For higher willingness-to-pay values, direct echocardiography was the preferred screening strategy. Cost-effectiveness of all screening strategies improved with the increase in effectiveness of treatment for HFpEF. Screening for HF in older community-dwelling patients with T2DM is cost-effective at the commonly used willingness-to-pay threshold of €20.000/QALY by checking the electronic medical record for patient characteristics and medical history plus the assessment of symptoms. The simplicity of such a strategy makes it feasible for implementation in existing primary care diabetes management programs.</t>
  </si>
  <si>
    <t>Diabetes-Related Distress, Depression and Distress-Depression among Adults with Type 2 Diabetes Mellitus in Malaysia.</t>
  </si>
  <si>
    <t>Chew, Boon-How; Vos, Rimke; Mohd-Sidik, Sherina; Rutten, Guy E H M</t>
  </si>
  <si>
    <t>https://pubmed.ncbi.nlm.nih.gov/27002728</t>
  </si>
  <si>
    <t>Type 2 diabetes mellitus (T2DM) brings about an increasing psychosocial problem in adult patients. Prevalence data on and associated factors of diabetes related distress (DRD) and depression have been lacking in Asia. This study aimed to examine the prevalence of DRD and depression, and their associated factors in Asian adult T2DM patients. This study was conducted in three public health clinics measuring DRD (Diabetes Distress Scale, DDS), and depression (Patient Health Questionnaire, PHQ). Patients who were at least 30 years of age, had T2DM for more than one year, with regular follow-up and recent laboratory results (&lt; 3 months) were consecutively recruited. Associations between DRD, depression and the combination DRD-depression with demographic and clinical characteristics were analysed using generalized linear models. From 752 invited people, 700 participated (mean age 56.9 years, 52.8% female, 52.9% Malay, 79.1% married). Prevalence of DRD and depression were 49.2% and 41.7%, respectively. Distress and depression were correlated, spearman's r = 0.50. Patients with higher DRD were younger (OR 0.995, 95% CI 0.996 to 0.991), Chinese (OR 1.2, 95% CI 1.04 to 1.29), attending Dengkil health clinic (OR 1.1, 95% CI 1.00 to 1.22) and had higher scores on the PHQ (OR 1.1, 95% CI 1.04 to 1.06). Depression was less likely in the unmarried compared to divorced/separately living and those attending Dengkil health clinic, but more likely in patients with microvascular complications (OR 1.4, 95% CI 1.06 to 1.73) and higher DDS (OR 1.03, 95% CI 1.02 to 1.03). For the combination of DRD and depression, unemployment (OR 4.7, 95% CI 1.02 to 21.20) had positive association, whereas those under medical care at the Salak health clinics (OR 0.28, 95% CI 0.12 to 0.63), and those with a blood pressure &gt; 130/80 mmHg (OR 0.53, 95% CI 0.32 to 0.89) were less likely to experience both DRD and depression. DRD and depression were common and correlated in Asian adults with T2DM at primary care level. Socio-demographic more than clinical characteristics were related to DRD and depression.</t>
  </si>
  <si>
    <t>Nasal balloon autoinflation can help clear middle ear effusion, improving the quality of life in school-aged children with glue ear.</t>
  </si>
  <si>
    <t>Schilder, Anne G M; Venekamp, Roderick P</t>
  </si>
  <si>
    <t>evidencebased nursing</t>
  </si>
  <si>
    <t>https://pubmed.ncbi.nlm.nih.gov/27005567</t>
  </si>
  <si>
    <t>Differences in clinical characteristics between patients with and without type 2 diabetes hospitalized with a first myocardial infarction.</t>
  </si>
  <si>
    <t>Kasteleyn, Marise J; Vos, Rimke C; Jansen, Hanneke; Rutten, Guy E H M</t>
  </si>
  <si>
    <t>https://pubmed.ncbi.nlm.nih.gov/27134032</t>
  </si>
  <si>
    <t>To explore differences in clinical characteristics of patients with and without type 2 diabetes (T2DM) hospitalized with a first myocardial infarction (MI). In this cross-sectional study we examined differences between patients with and without T2DM hospitalized with a first MI (n=563). Multiple linear regression modeling was used to examine the association between T2DM and age of occurrence of MI. We adjusted for gender, systolic blood pressure (BP), lipids and creatinine level to examine whether these variables explained the association between T2DM and age of occurrence of MI. Among 563 patients with a first MI, T2DM patients (n=77) were older than non-diabetic patients (67.8±10.9 vs. 64.4±13.4years, p&lt;0.05), had lower LDL (2.5±0.8 vs. 3.4±1.1mmol/l, p&lt;0.001) and total cholesterol levels (4.4±0.9 vs. 5.4±1.2mmol/l, p&lt;0.001), but higher systolic BP (150.3±29.9 vs. 141.7±27.5mmHg, p&lt;0.05). The association between T2DM and age of occurrence of MI was largely explained by cholesterol levels. T2DM patients were older when hospitalized with a first MI. This difference was largely explained by differences in cholesterol levels. The lower cholesterol levels in T2DM patients compared to non-diabetic patients, and maybe also the older age of occurrence of MI, might reflect the results successful primary prevention and systematic monitoring in T2DM.</t>
  </si>
  <si>
    <t>Survival and quality of life after surgical aortic valve replacement in octogenarians.</t>
  </si>
  <si>
    <t>Jansen Klomp, Wouter W; Nierich, Arno P; Peelen, Linda M; Brandon Bravo Bruinsma, George J; Dambrink, Jan-Henk E; Moons, Karel G M; Van't Hof, Arnoud W J</t>
  </si>
  <si>
    <t>https://pubmed.ncbi.nlm.nih.gov/26992390</t>
  </si>
  <si>
    <t>In patients with symptomatic severe aortic stenosis, advanced age is often a reason for a transcatheter rather than surgical aortic valve replacement. In this pre-transcatheter cohort we had the unique opportunity to study outcomes after surgical aortic valve replacement for severe aortic stenosis in patients who might currently be triaged to a percutaneous approach. In a prospective single-center cohort study we compared the incidence of peri-operative complications, mortality, and health-related quality of life in octogenarians versus patients aged &lt;80 years. The quality of life was measured using the SF-36 questionnaire and expressed as a physical and mental component score (PCS and MCS respectively); a score of 50 equals the average score in the age-matched general population. The association between age and the component scores at one-year follow-up was studied with the use of linear regression, corrected for a set of confounding variables. We included 762 patients, of whom 21.4 % was aged &gt;80 and 49.0 % underwent concomitant revascularization. In octogenarians, the incidence of post-operative delirium was 11.0 %, which was higher than in patients aged below 80 (6.2 %, p = 0.034); the operative mortality (1.9 % vs. 2.9 %; p = 0.59) and long-term survival were not different however (log-rank p = 0.75). In octogenarians, the quality of life was impaired 30-days after surgery (PCS 45.01, p &lt; 0.001; MCS 48.21, p = 0.04), which improved towards or above normal values at one-year follow-up (PCS: 49.92, p = 0.67, MCS: 52.55, p &lt; 0.001). After correction for confounding, age was not significantly associated with the one-year PCS (β 0.08 per year, p = 0.34) or MCS (β 0.08 per year, p = 0.32). This pre-transcatheter study showed that surgical aortic valve replacement in octogenarians could be performed with very low mortality, and with a relevant and significant increase of the quality of life towards normal values. Also, age was not associated with a lower PCS or MCS one-year after surgery.</t>
  </si>
  <si>
    <t>Health insurance determines antenatal, delivery and postnatal care utilisation: evidence from the Ghana Demographic and Health Surveillance data.</t>
  </si>
  <si>
    <t>Browne, Joyce L; Kayode, Gbenga A; Arhinful, Daniel; Fidder, Samuel A J; Grobbee, Diederick E; Klipstein-Grobusch, Kerstin</t>
  </si>
  <si>
    <t>https://pubmed.ncbi.nlm.nih.gov/26993621</t>
  </si>
  <si>
    <t>This study aims to evaluate the effect of maternal health insurance status on the utilisation of antenatal, skilled delivery and postnatal care. A population-based cross-sectional study. We utilised the 2008 Demographic and Health Survey data of Ghana, which included 2987 women who provided information on maternal health insurance status. Utilisation of antenatal, skilled delivery and postnatal care. Multivariable logistic regression was applied to determine the independent association between maternal health insurance and utilisation of antenatal, skilled delivery and postnatal care. After adjusting for socioeconomic, demographic and obstetric factors, we observed that among insured women the likelihood of having antenatal care increased by 96% (OR 1.96; 95% CI 1.52 to 2.52; p value&lt;0.001) and of skilled delivery by 129% (OR 2.29; 95% CI 1.92 to 2.74; p value&lt;0.001), while postnatal care among insured women increased by 61% (OR 1.61; 95% CI 1.17 to 2.21; p value&lt;0.01). This study demonstrated that maternal health insurance status plays a significant role in the uptake of the maternal, neonatal and child health continuum of care service.</t>
  </si>
  <si>
    <t>Epidemic potential of Escherichia coli ST131 and Klebsiella pneumoniae ST258: a systematic review and meta-analysis.</t>
  </si>
  <si>
    <t>Dautzenberg, M J D; Haverkate, M R; Bonten, M J M; Bootsma, M C J</t>
  </si>
  <si>
    <t>https://pubmed.ncbi.nlm.nih.gov/26988349</t>
  </si>
  <si>
    <t>Observational studies have suggested that Escherichia coli sequence type (ST) 131 and Klebsiella pneumoniae ST258 have hyperendemic properties. This would be obvious from continuously high incidence and/or prevalence of carriage or infection with these bacteria in specific patient populations. Hyperendemicity could result from increased transmissibility, longer duration of infectiousness, and/or higher pathogenic potential as compared with other lineages of the same species. The aim of our research is to quantitatively estimate these critical parameters for E. coli ST131 and K. pneumoniae ST258, in order to investigate whether E. coli ST131 and K. pneumoniae ST258 are truly hyperendemic clones. A systematic literature search was performed to assess the evidence of transmissibility, duration of infectiousness, and pathogenicity for E. coli ST131 and K. pneumoniae ST258. Meta-regression was performed to quantify these characteristics. The systematic literature search yielded 639 articles, of which 19 data sources provided information on transmissibility (E. coli ST131 n=9; K. pneumoniae ST258 n=10)), 2 on duration of infectiousness (E. coli ST131 n=2), and 324 on pathogenicity (E. coli ST131 n=285; K. pneumoniae ST258 n=39). Available data on duration of carriage and on transmissibility were insufficient for quantitative assessment. In multivariable meta-regression E. coli isolates causing infection were associated with ST131, compared to isolates only causing colonisation, suggesting that E. coli ST131 can be considered more pathogenic than non-ST131 isolates. Date of isolation, location and resistance mechanism also influenced the prevalence of ST131. E. coli ST131 was 3.2 (95% CI 2.0 to 5.0) times more pathogenic than non-ST131. For K. pneumoniae ST258 there were not enough data for meta-regression assessing the influence of colonisation versus infection on ST258 prevalence. With the currently available data, it cannot be confirmed nor rejected, that E. coli ST131 or K. pneumoniae ST258 are hyperendemic clones.</t>
  </si>
  <si>
    <t>Identification of boosted, hadronically decaying &lt;i&gt;W&lt;/i&gt; bosons and comparisons with ATLAS data taken at [Formula: see text] TeV.</t>
  </si>
  <si>
    <t>https://pubmed.ncbi.nlm.nih.gov/27471432</t>
  </si>
  <si>
    <t>This paper reports a detailed study of techniques for identifying boosted, hadronically decaying &lt;i&gt;W&lt;/i&gt; bosons using 20.3 fb[Formula: see text] of proton-proton collision data collected by the ATLAS detector at the LHC at a centre-of-mass energy [Formula: see text]. A range of techniques for optimising the signal jet mass resolution are combined with various jet substructure variables. The results of these studies in Monte Carlo simulations show that a simple pairwise combination of groomed jet mass and one substructure variable can provide a 50 % efficiency for identifying &lt;i&gt;W&lt;/i&gt; bosons with transverse momenta larger than 200 GeV while maintaining multijet background efficiencies of 2-4 % for jets with the same transverse momentum. These signal and background efficiencies are confirmed in data for a selection of tagging techniques.</t>
  </si>
  <si>
    <t>Comparative Survival among Older Adults with Advanced Kidney Disease Managed Conservatively Versus with Dialysis.</t>
  </si>
  <si>
    <t>Verberne, Wouter R; Geers, A B M Tom; Jellema, Wilbert T; Vincent, Hieronymus H; van Delden, Johannes J M; Bos, Willem Jan W</t>
  </si>
  <si>
    <t>https://pubmed.ncbi.nlm.nih.gov/26988748</t>
  </si>
  <si>
    <t>Outcomes of older patients with ESRD undergoing RRT or conservative management (CM) are uncertain. Adequate survival data, specifically of older patients, are needed for proper counseling. We compared survival of older renal patients choosing either CM or RRT. A retrospective survival analysis was performed of a single-center cohort in a nonacademic teaching hospital in The Netherlands from 2004 to 2014. Patients with ESRD ages ≥70 years old at the time that they opted for CM or RRT were included. Patients with acute on chronic renal failure needing immediate start of dialysis were excluded. In total, 107 patients chose CM, and 204 chose RRT. Patients choosing CM were older (mean±SD: 83±4.5 versus 76±4.4 years; P&lt;0.001). The Davies comorbidity scores did not differ significantly between both groups. Median survival of those choosing RRT was higher than those choosing CM from time of modality choice (median; 75th to 25th percentiles: 3.1, 1.5-6.9 versus 1.5, 0.7-3.0 years; log-rank test: P&lt;0.001) and all other starting points (P&lt;0.001 in all patients). However, the survival advantage of patients choosing RRT was no longer observed in patients ages ≥80 years old (median; 75th to 25th percentiles: 2.1, 1.5-3.4 versus 1.4, 0.7-3.0 years; log-rank test: P=0.08). The survival advantage was also substantially reduced in patients ages ≥70 years old with Davies comorbidity scores of ≥3, particularly with cardiovascular comorbidity, although the RRT group maintained its survival advantage at the 5% significance level (median; 75th to 25th percentiles: 1.8, 0.7-4.1 versus 1.0, 0.6-1.4 years; log-rank test: P=0.02). In this single-center observational study, there was no statistically significant survival advantage among patients ages ≥80 years old choosing RRT over CM. Comorbidity was associated with a lower survival advantage. This provides important information for decision making in older patients with ESRD. CM could be a reasonable alternative to RRT in selected patients.</t>
  </si>
  <si>
    <t>Measurement of the ZZ Production Cross Section in pp Collisions at sqrt[s]=13  TeV with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</si>
  <si>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t>
  </si>
  <si>
    <t>https://pubmed.ncbi.nlm.nih.gov/27015473</t>
  </si>
  <si>
    <t>The ZZ production cross section in proton-proton collisions at 13 TeV center-of-mass energy is measured using 3.2  fb^{-1} of data recorded with the ATLAS detector at the Large Hadron Collider. The considered Z boson candidates decay to an electron or muon pair of mass 66-116 GeV. The cross section is measured in a fiducial phase space reflecting the detector acceptance. It is also extrapolated to a total phase space for Z bosons in the same mass range and of all decay modes, giving 16.7_{-2.0}^{+2.2}(stat)+0.9/-0.7(syst)+1.0/-0.7(lumi)  pb. The results agree with standard model predictions.</t>
  </si>
  <si>
    <t>Effects of paediatric HIV infection on electrical conduction of the heart.</t>
  </si>
  <si>
    <t>Idris, Nikmah S; Cheung, Michael M H; Grobbee, Diederick E; Burgner, David; Kurniati, Nia; Djer, Mulyadi M; Uiterwaal, Cuno S P M</t>
  </si>
  <si>
    <t>https://pubmed.ncbi.nlm.nih.gov/27042320</t>
  </si>
  <si>
    <t>To investigate the effects of HIV infection in children on heart electrical conduction, particularly to delineate the effects of HIV infection from treatment. On a 12-lead ECG, available for 37 antiretroviral therapy (ART) naïve, 42 ART-exposed vertically-acquired HIV-infected and 50 healthy children in Jakarta, Indonesia, we measured cardiac conduction parameters: PR, QRS, and QTc (corrected using Bazett's formula) intervals. The associations between HIV infection/treatment status and ECG intervals were evaluated using general linear modelling with further adjustment for potential confounders or intermediary variables. Findings are presented as (adjusted) mean differences between each of the two HIV groups and healthy children. Although not exceeding the clinical threshold for long QT (QTc &gt;460 ms for girls and &gt;440 ms for boys) compared to healthy children, mean QTc intervals were longer in ART-naïve (difference 18.2 ms, 95% CI 7.0 to 29.3) and, to greater extent, in ART-exposed HIV-infected children (difference 28.9 ms, 19.3 to 38.5). Following adjustment for RR interval, age and height, prolongation of PR interval was seen only in ART-naïve HIV-infected children (difference 12.9 ms, 2.4 to 23.3). Cardiac mass/function, high-sensitive C reactive protein, cholesterol and glycated haemoglobin levels, systolic and diastolic blood pressures, or postnatal parental smoking exposure did not affect these associations. No difference in the QRS interval was observed between groups. Prolongation of the QTc interval occurs in ART-naïve HIV-infected children and, to a greater extent, in the ART-exposed children, whereas a longer PR interval appears to be seen only among ART-naïve HIV-infected children.</t>
  </si>
  <si>
    <t>Meta-analysis of genome-wide association studies discovers multiple loci for chronic lymphocytic leukemia.</t>
  </si>
  <si>
    <t>Berndt, Sonja I; Camp, Nicola J; Skibola, Christine F; Vijai, Joseph; Wang, Zhaoming; Gu, Jian; Nieters, Alexandra; Kelly, Rachel S; Smedby, Karin E; Monnereau, Alain; Cozen, Wendy; Cox, Angela; Wang, Sophia S; Lan, Qing; Teras, Lauren R; Machado, Moara; Yeager, Meredith; Brooks-Wilson, Angela R; Hartge, Patricia; Purdue, Mark P; Birmann, Brenda M; Vajdic, Claire M; Cocco, Pierluigi; Zhang, Yawei; Giles, Graham G; Zeleniuch-Jacquotte, Anne; Lawrence, Charles; Montalvan, Rebecca; Burdett, Laurie; Hutchinson, Amy; Ye, Yuanqing; Call, Timothy G; Shanafelt, Tait D; Novak, Anne J; Kay, Neil E; Liebow, Mark; Cunningham, Julie M; Allmer, Cristine; Hjalgrim, Henrik; Adami, Hans-Olov; Melbye, Mads; Glimelius, Bengt; Chang, Ellen T; Glenn, Martha; Curtin, Karen; Cannon-Albright, Lisa A; Diver, W Ryan; Link, Brian K; Weiner, George J; Conde, Lucia; Bracci, Paige M; Riby, Jacques; Arnett, Donna K; Zhi, Degui; Leach, Justin M; Holly, Elizabeth A; Jackson, Rebecca D; Tinker, Lesley F; Benavente, Yol</t>
  </si>
  <si>
    <t>https://pubmed.ncbi.nlm.nih.gov/26956414</t>
  </si>
  <si>
    <t>Chronic lymphocytic leukemia (CLL) is a common lymphoid malignancy with strong heritability. To further understand the genetic susceptibility for CLL and identify common loci associated with risk, we conducted a meta-analysis of four genome-wide association studies (GWAS) composed of 3,100 cases and 7,667 controls with follow-up replication in 1,958 cases and 5,530 controls. Here we report three new loci at 3p24.1 (rs9880772, EOMES, P=2.55 × 10(-11)), 6p25.2 (rs73718779, SERPINB6, P=1.97 × 10(-8)) and 3q28 (rs9815073, LPP, P=3.62 × 10(-8)), as well as a new independent SNP at the known 2q13 locus (rs9308731, BCL2L11, P=1.00 × 10(-11)) in the combined analysis. We find suggestive evidence (P&lt;5 × 10(-7)) for two additional new loci at 4q24 (rs10028805, BANK1, P=7.19 × 10(-8)) and 3p22.2 (rs1274963, CSRNP1, P=2.12 × 10(-7)). Pathway analyses of new and known CLL loci consistently show a strong role for apoptosis, providing further evidence for the importance of this biological pathway in CLL susceptibility.</t>
  </si>
  <si>
    <t>Thrombocytopenia is associated with a dysregulated host response in critically ill sepsis patients.</t>
  </si>
  <si>
    <t>Claushuis, Theodora A M; van Vught, Lonneke A; Scicluna, Brendon P; Wiewel, Maryse A; Klein Klouwenberg, Peter M C; Hoogendijk, Arie J; Ong, David S Y; Cremer, Olaf L; Horn, Janneke; Franitza, Marek; Toliat, Mohammad R; Nürnberg, Peter; Zwinderman, Aeilko H; Bonten, Marc J; Schultz, Marcus J; van der Poll, Tom; ,</t>
  </si>
  <si>
    <t>https://pubmed.ncbi.nlm.nih.gov/26956172</t>
  </si>
  <si>
    <t>Preclinical studies have suggested that platelets influence the host response during sepsis. We sought to assess the association of admission thrombocytopenia with the presentation, outcome, and host response in patients with sepsis. Nine hundred thirty-one consecutive sepsis patients were stratified according to platelet counts (very low &lt;50 × 10(9)/L, intermediate-low 50 × 10(9) to 99 × 10(9)/L, low 100 × 10(9) to 149 × 10(9)/L, or normal 150 × 10(9) to 399 × 10(9)/L) on admission to the intensive care unit. Sepsis patients with platelet counts &lt;50 × 10(9)/L and 50 × 10(9) to 99 × 10(9)/L presented with higher Acute Physiology and Chronic Health Evaluation scores and more shock. Both levels of thrombocytopenia were independently associated with increased 30-day mortality (hazard ratios with 95% confidence intervals 2.00 [1.32-3.05] and 1.72 [1.22-2.44], respectively). To account for baseline differences besides platelet counts, propensity matching was performed, after which the association between thrombocytopenia and the host response was tested, as evaluated by measuring 17 plasma biomarkers indicative of activation and/or dysregulation of pathways implicated in sepsis pathogenesis and by whole genome blood leukocyte expression profiling. In the propensity matched cohort, platelet counts &lt; 50 × 10(9)/L were associated with increased cytokine levels and enhanced endothelial cell activation. All thrombocytopenic groups showed evidence of impaired vascular integrity, whereas coagulation activation was similar between groups. Blood microarray analysis revealed a distinct gene expression pattern in sepsis patients with &lt;50 × 10(9)/L platelets, showing reduced signaling in leukocyte adhesion and diapedesis and increased complement signaling. These data show that admission thrombocytopenia is associated with enhanced mortality and a more disturbed host response during sepsis independent of disease severity, thereby providing clinical validity to animal studies on the role of platelets in severe infection.</t>
  </si>
  <si>
    <t>PRECIS-2 in perspective: what is next for pragmatic trials?</t>
  </si>
  <si>
    <t>Zuidgeest, Mira G; Goetz, Iris; Grobbee, Diederick E; ,</t>
  </si>
  <si>
    <t>https://pubmed.ncbi.nlm.nih.gov/26960164</t>
  </si>
  <si>
    <t>Predictors for failure of vacuum-assisted vaginal delivery: a case-control study.</t>
  </si>
  <si>
    <t>Verhoeven, Corine J; Nuij, Chelly; Janssen-Rolf, Christel R M; Schuit, Ewoud; Bais, Joke M J; Oei, S Guid; Mol, Ben Willem J</t>
  </si>
  <si>
    <t>https://pubmed.ncbi.nlm.nih.gov/26967343</t>
  </si>
  <si>
    <t>To identify potential predictors for failed vacuum-assisted delivery. Retrospective case-control study conducted in two perinatal centers in the Netherlands. Cases were women who underwent a failed vacuum-assisted delivery between 1997 and 2011. A failed vacuum extraction was defined as a delivery that was started as vacuum extraction but was converted to a cesarean section because of failure to progress. As controls we studied two successful vacuum extractions that were performed before the failed one. We used multivariable logistic regression to assess the risk for failed vacuum extraction. Between 1997 and 2011, 6734 trials of vacuum extraction were performed of which 309 failed (4.6%). These 309 cases were compared to the data of 618 women who underwent a successful vacuum extraction. Predictors for failed vacuum-assisted vaginal delivery were increasing gestational age (OR 1.2 per week), maternal height (OR 0.97 per cm), previous vaginal birth as compared to nulliparae (OR 0.32), estimated fetal weight ≥3750g as compared to &lt;3250g (OR 5.7), epidural analgesia (OR 3.0), augmentation (OR 1.4), failure to progress as indication for trial of vacuum delivery (OR 1.7), station of descent of the fetal head (OR 0.31 per station more descended), and occiput posterior position (OR 2.6). The area under the receiver-operating characteristic curve of a prediction model integrating these indicators was 0.83. Failed vacuum extraction can be predicted accurately using both ante- and intrapartum characteristics. There is a strong need for prospective studies on the subject.</t>
  </si>
  <si>
    <t>Radioembolization: Is Prophylactic Embolization of Hepaticoenteric Arteries Necessary? A Systematic Review.</t>
  </si>
  <si>
    <t>Borggreve, Alicia S; Landman, Anadeijda J E M C; Vissers, Coco M J; De Jong, Charlotte D; Lam, Marnix G E H; Monninkhof, Evelyn M; Prince, Jip F</t>
  </si>
  <si>
    <t>https://pubmed.ncbi.nlm.nih.gov/26935724</t>
  </si>
  <si>
    <t>To study the effectiveness of prophylactic embolization of hepaticoenteric arteries to prevent gastrointestinal complications during radioembolization. A PubMed, Embase and Cochrane literature search was performed. We included studies assessing both a group of patients with and without embolization. Our search revealed 1401 articles of which title and abstract were screened. Finally, eight studies were included investigating 1237 patients. Of these patients, 456 received embolization of one or more arteries. No difference was seen in the incidence of gastrointestinal complications in patients with prophylactic embolization of the gastroduodenal artery (GDA), right gastric artery (RGA), cystic artery (CA) or hepatic falciform artery (HFA) compared to patients without embolization. Few complications were reported when microspheres were injected distal to the origin of these arteries or when reversed flow of the GDA was present. A high risk of confounding by indication was present because of the non-randomized nature of the included studies. It is advisable to restrict embolization to those hepaticoenteric arteries that originate distally or close to the injection site of microspheres. There is no conclusive evidence that embolization of hepaticoenteric arteries influences the risk of complications.</t>
  </si>
  <si>
    <t>Nifedipine versus atosiban for threatened preterm birth (APOSTEL III): a multicentre, randomised controlled trial.</t>
  </si>
  <si>
    <t>van Vliet, Elvira O G; Nijman, Tobias A J; Schuit, Ewoud; Heida, Karst Y; Opmeer, Brent C; Kok, Marjolein; Gyselaers, Wilfried; Porath, Martina M; Woiski, Mallory; Bax, Caroline J; Bloemenkamp, Kitty W M; Scheepers, Hubertina C J; Jacquemyn, Yves; Beek, Erik van; Duvekot, Johannes J; Franssen, Maureen T M; Papatsonis, Dimitri N; Kok, Joke H; van der Post, Joris A M; Franx, Arie; Mol, Ben W; Oudijk, Martijn A</t>
  </si>
  <si>
    <t>https://pubmed.ncbi.nlm.nih.gov/26944026</t>
  </si>
  <si>
    <t>In women with threatened preterm birth, delay of delivery by 48 h allows antenatal corticosteroids to improve neonatal outcomes. For this reason, tocolytics are often administered for 48 h; however, there is no consensus about which drug results in the best maternal and neonatal outcomes. In the APOSTEL III trial we aimed to compare the effectiveness and safety of the calcium-channel blocker nifedipine and the oxytocin inhibitor atosiban in women with threatened preterm birth. We did this multicentre, randomised controlled trial in ten tertiary and nine teaching hospitals in the Netherlands and Belgium. Women with threatened preterm birth (gestational age 25-34 weeks) were randomly assigned (1:1) to either oral nifedipine or intravenous atosiban for 48 h. An independent data manager used a web-based computerised programme to randomly assign women in permuted block sizes of four, with groups stratified by centre. Clinicians, outcome assessors, and women were not masked to treatment group. The primary outcome was a composite of adverse perinatal outcomes, which included perinatal mortality, bronchopulmonary dysplasia, sepsis, intraventricular haemorrhage, periventricular leukomalacia, and necrotising enterocolitis. Analysis was done in all women and babies with follow-up data. The study is registered at the Dutch Clinical Trial Registry, number NTR2947. Between July 6, 2011, and July 7, 2014, we randomly assigned 254 women to nifedipine and 256 to atosiban. Primary outcome data were available for 248 women and 297 babies in the nifedipine group and 255 women and 294 babies in the atosiban group. The primary outcome occurred in 42 babies (14%) in the nifedipine group and in 45 (15%) in the atosiban group (relative risk [RR] 0·91, 95% CI 0·61-1·37). 16 (5%) babies died in the nifedipine group and seven (2%) died in the atosiban group (RR 2·20, 95% CI 0·91-5·33); all deaths were deemed unlikely to be related to the study drug. Maternal adverse events did not differ between groups. In women with threatened preterm birth, 48 h of tocolysis with nifedipine or atosiban results in similar perinatal outcomes. Future clinical research should focus on large placebo-controlled trials, powered for perinatal outcomes. ZonMw (the Netherlands Organisation for Health Research and Development).</t>
  </si>
  <si>
    <t>Health status of older patients with type 2 diabetes and screen-detected heart failure is significantly lower than those without.</t>
  </si>
  <si>
    <t>Boonman-de Winter, Leandra J M; van Stel, Henk F; Hoes, Arno W; Landman, Marcel J; Liem, Anho H; Rutten, Guy E H M; Cramer, Maarten J; Rutten, Frans H</t>
  </si>
  <si>
    <t>https://pubmed.ncbi.nlm.nih.gov/26977584</t>
  </si>
  <si>
    <t>Survival after Perioperative Cardiopulmonary Resuscitation: Providing an Evidence Base for Ethical Management of Do-not-resuscitate Orders.</t>
  </si>
  <si>
    <t>Kalkman, Shona; Hooft, Lotty; Meijerman, Johanne M; Knape, Johannes T A; van Delden, Johannes J M</t>
  </si>
  <si>
    <t>anesthesiology</t>
  </si>
  <si>
    <t>https://pubmed.ncbi.nlm.nih.gov/26418698</t>
  </si>
  <si>
    <t>Automatic suspension of do-not-resuscitate (DNR) orders during general anesthesia does not sufficiently address a patient's right to self-determination and is a practice still observed among anesthesiologists today. To provide an evidence base for ethical management of DNR orders during anesthesia and surgery, the authors performed a systematic review of the literature to quantify the survival after perioperative cardiopulmonary resuscitation (CPR). Results show that the probability of surviving perioperative CPR ranged from 32.0 to 55.7% when measured within the first 24 h after arrest with a neurologically favorable outcome expectancy between 45.3 and 66.8% at follow-up, which suggests a viable survival of approximately 25%. Because CPR generally proves successful in less than 15% of out-of-hospital cardiac arrests, the altered outcome probabilities that the conditions in the operating room bring on warrant reevaluation of DNR orders during the perioperative period. By preoperatively communicating the evidence to patients, they can make better informed decisions while reducing the level of moral distress that anesthesiologists may experience when certain patients decide to retain their DNR orders.</t>
  </si>
  <si>
    <t>Case-only designs for studying the association of antidepressants and hip or femur fracture.</t>
  </si>
  <si>
    <t>de Groot, Mark C H; Candore, Gianmario; Uddin, Md Jamal; Souverein, Patrick C; Ali, M Sanni; Belitser, Svetlana V; Huerta, Consuelo; Groenwold, Rolf H H; Alvarez, Yolanda; Slattery, Jim; Korevaar, Joke; Hoes, Arno W; Roes, Kit C B; de Boer, Anthonius; Douglas, Ian J; Schlienger, Raymond G; Reynolds, Robert; Klungel, Olaf H; Gardarsdottir, Helga</t>
  </si>
  <si>
    <t>https://pubmed.ncbi.nlm.nih.gov/27038356</t>
  </si>
  <si>
    <t>The purpose of this study is to evaluate the performance and validity of the case-crossover (CCO) and self-controlled case-series (SCCS) designs when studying the association between hip/femur fracture (HF) and antidepressant (AD) use in general practitioner databases. In addition, comparability with cohort and case-control designs is discussed. Adult patients with HF and who received an AD prescription during 2001-2009 were identified from UK's The Health Improvement Network (THIN) and the Dutch Mondriaan databases. AD exposure was classified into current, recent and past/non-use (reference). In the CCO, for each patient, a case moment (date of HF) and four prior control moments at -91, -182, -273 and -365 days were defined. In SCCS, incidence of HF was compared between exposure states. Conditional logistic regression was used in the CCO and Poisson regression in the SCCS to compute odds ratios and incidence rate ratios, respectively. In CCO, we adjusted for time-varying co-medication and in SCCS for age. Adjusted estimates for the effect of current AD exposure on HF were higher in the CCO (co-medication-adjusted odds ratio, THIN: 2.24, 95% confidence interval [CI]: 2.04-2.47; Mondriaan: 2.57, 95%CI [1.50, 4.43]) than in the SCCS (age-adjusted incidence rate ratio, THIN: 1.41, 95%CI [1.32, 1.49]; Mondriaan: 2.14, 95%CI [1.51, 3.03]). The latter were comparable with the traditional designs. Case-only designs confirmed the association between AD and HF. The CCO design violated assumptions in this study with regard to exchangeability and length of exposure, and transient effects on outcome. The SCCS seems to be an appropriate design for assessing AD-HF association.</t>
  </si>
  <si>
    <t>Evaluating different physician's prescribing preference based instrumental variables in two primary care databases: a study of inhaled long-acting beta2-agonist use and the risk of myocardial infarction.</t>
  </si>
  <si>
    <t>Uddin, Md Jamal; Groenwold, Rolf H H; de Boer, Anthonius; Afonso, Ana S M; Primatesta, Paola; Becker, Claudia; Belitser, Svetlana V; Hoes, Arno W; Roes, Kit C B; Klungel, Olaf H</t>
  </si>
  <si>
    <t>https://pubmed.ncbi.nlm.nih.gov/27038359</t>
  </si>
  <si>
    <t>Instrumental variable (IV) analysis with physician's prescribing preference (PPP) as IV is increasingly used in pharmacoepidemiology. However, it is unclear whether this IV performs consistently across databases. We aimed to evaluate the validity of different PPPs in a study of inhaled long-acting beta2-agonist (LABA) use and myocardial infarction (MI). Information on adults with asthma and/or COPD and at least one prescription of beta2-agonist, or muscarinic antagonist was extracted from the CPRD (UK) and the Mondriaan (Netherlands) databases. LABA exposure was considered time-fixed or time-varying. We measured PPPs using previous LABA prescriptions of physicians or proportion of LABA prescriptions per practice. Correlation (r) and standardized difference (SDif) were used to assess assumption of IV analysis. For time-fixed LABA, the IV based on 10 previous prescriptions outperformed the other IVs regarding strength of the IV (r ≥ 0.15) and balance of confounders between IV categories (SDif &lt; 0.10). None of the IVs we considered appeared to be valid for time-varying LABA. In CPRD (n = 490,499), which included approximately 18 times more subjects than Mondriaan (n = 27,459), IVs appeared more valid. LABA was not associated with MI; hazard ratios ranged from 0.86 to 1.18 for conventional analysis, and from 0.61 to 1.24 for the IV analyses with apparent valid IVs. The validity of physician's prescribing preference as IV strongly depends on how this IV is defined and in which database it is applied. Hence, general recommendations cannot be made, other than to generate several plausible IVs, assess their validity, and report the estimate(s) from apparently valid IVs.</t>
  </si>
  <si>
    <t>Instrumental variables analysis using multiple databases: an example of antidepressant use and risk of hip fracture.</t>
  </si>
  <si>
    <t>Uddin, Md Jamal; Groenwold, Rolf H H; de Boer, Anthonius; Gardarsdottir, Helga; Martin, Elisa; Candore, Gianmario; Belitser, Svetlana V; Hoes, Arno W; Roes, Kit C B; Klungel, Olaf H</t>
  </si>
  <si>
    <t>https://pubmed.ncbi.nlm.nih.gov/27038358</t>
  </si>
  <si>
    <t>Instrumental variable (IV) analysis can control for unmeasured confounding, yet it has not been widely used in pharmacoepidemiology. We aimed to assess the performance of IV analysis using different IVs in multiple databases in a study of antidepressant use and hip fracture. Information on adults with at least one prescription of a selective serotonin reuptake inhibitor (SSRI) or tricyclic antidepressant (TCA) during 2001-2009 was extracted from the THIN (UK), BIFAP (Spain), and Mondriaan (Netherlands) databases. IVs were created using the proportion of SSRI prescriptions per practice or using the one, five, or ten previous prescriptions by a physician. Data were analysed using conventional Cox regression and two-stage IV models. In the conventional analysis, SSRI (vs. TCA) was associated with an increased risk of hip fracture, which was consistently found across databases: the adjusted hazard ratio (HR) was approximately 1.35 for time-fixed and 1.50 to 2.49 for time-varying SSRI use, while the IV analysis based on the IVs that appeared to satisfy the IV assumptions showed conflicting results, e.g. the adjusted HRs ranged from 0.55 to 2.75 for time-fixed exposure. IVs for time-varying exposure violated at least one IV assumption and were therefore invalid. This multiple database study shows that the performance of IV analysis varied across the databases for time-fixed and time-varying exposures and strongly depends on the definition of IVs. It remains challenging to obtain valid IVs in pharmacoepidemiological studies, particularly for time-varying exposure, and IV analysis should therefore be interpreted cautiously.</t>
  </si>
  <si>
    <t>Methodological comparison of marginal structural model, time-varying Cox regression, and propensity score methods: the example of antidepressant use and the risk of hip fracture.</t>
  </si>
  <si>
    <t>Ali, M Sanni; Groenwold, Rolf H H; Belitser, Svetlana V; Souverein, Patrick C; Martín, Elisa; Gatto, Nicolle M; Huerta, Consuelo; Gardarsdottir, Helga; Roes, Kit C B; Hoes, Arno W; de Boer, Antonius; Klungel, Olaf H</t>
  </si>
  <si>
    <t>https://pubmed.ncbi.nlm.nih.gov/27038357</t>
  </si>
  <si>
    <t>Observational studies including time-varying treatments are prone to confounding. We compared time-varying Cox regression analysis, propensity score (PS) methods, and marginal structural models (MSMs) in a study of antidepressant [selective serotonin reuptake inhibitors (SSRIs)] use and the risk of hip fracture. A cohort of patients with a first prescription for antidepressants (SSRI or tricyclic antidepressants) was extracted from the Dutch Mondriaan and Spanish Base de datos para la Investigación Farmacoepidemiológica en Atención Primaria (BIFAP) general practice databases for the period 2001-2009. The net (total) effect of SSRI versus no SSRI on the risk of hip fracture was estimated using time-varying Cox regression, stratification and covariate adjustment using the PS, and MSM. In MSM, censoring was accounted for by inverse probability of censoring weights. The crude hazard ratio (HR) of SSRI use versus no SSRI use on hip fracture was 1.75 (95%CI: 1.12, 2.72) in Mondriaan and 2.09 (1.89, 2.32) in BIFAP. After confounding adjustment using time-varying Cox regression, stratification, and covariate adjustment using the PS, HRs increased in Mondriaan [2.59 (1.63, 4.12), 2.64 (1.63, 4.25), and 2.82 (1.63, 4.25), respectively] and decreased in BIFAP [1.56 (1.40, 1.73), 1.54 (1.39, 1.71), and 1.61 (1.45, 1.78), respectively]. MSMs with stabilized weights yielded HR 2.15 (1.30, 3.55) in Mondriaan and 1.63 (1.28, 2.07) in BIFAP when accounting for censoring and 2.13 (1.32, 3.45) in Mondriaan and 1.66 (1.30, 2.12) in BIFAP without accounting for censoring. In this empirical study, differences between the different methods to control for time-dependent confounding were small. The observed differences in treatment effect estimates between the databases are likely attributable to different confounding information in the datasets, illustrating that adequate information on (time-varying) confounding is crucial to prevent bias.</t>
  </si>
  <si>
    <t>Multi-centre, multi-database studies with common protocols: lessons learnt from the IMI PROTECT project.</t>
  </si>
  <si>
    <t>Klungel, Olaf H; Kurz, Xavier; de Groot, Mark C H; Schlienger, Raymond G; Tcherny-Lessenot, Stephanie; Grimaldi, Lamiae; Ibáñez, Luisa; Groenwold, Rolf H H; Reynolds, Robert F</t>
  </si>
  <si>
    <t>https://pubmed.ncbi.nlm.nih.gov/27038361</t>
  </si>
  <si>
    <t>To assess the impact of a variety of methodological parameters on the association between six drug classes and five key adverse events in multiple databases. The selection of Drug-Adverse Event pairs was based on public health impact, regulatory relevance, and the possibility to study a broad range of methodological issues. Common protocols and data analytical specifications were jointly developed and independently and blindly executed in different databases in Europe with replications in the same and different databases. The association between antibiotics and acute liver injury, benzodiazepines and hip fracture, antidepressants and hip fracture, inhaled long-acting beta2-agonists and acute myocardial infarction was consistent in direction across multiple designs, databases and methods to control for confounding. Some variation in magnitude of the associations was observed depending on design, exposure and outcome definitions, but none of the differences were statistically significant. The association between anti-epileptics and suicidality was inconsistent across the UK CPRD, Danish National registries and the French PGRx system. Calcium channel blockers were not associated with the risk of cancer in the UK CPRD, and this was consistent across different classes of calcium channel blockers, cumulative durations of use up to &gt;10 years and different types of cancer. A network for observational drug effect studies allowing the execution of common protocols in multiple databases was created. Increased consistency of findings across multiple designs and databases in different countries will increase confidence in findings from observational drug research and benefit/risk assessment of medicines.</t>
  </si>
  <si>
    <t>The IMI PROTECT project: purpose, organizational structure, and procedures.</t>
  </si>
  <si>
    <t>Reynolds, Robert F; Kurz, Xavier; de Groot, Mark C H; Schlienger, Raymond G; Grimaldi-Bensouda, Lamiae; Tcherny-Lessenot, Stephanie; Klungel, Olaf H</t>
  </si>
  <si>
    <t>https://pubmed.ncbi.nlm.nih.gov/27038353</t>
  </si>
  <si>
    <t>The Pharmacoepidemiological Research on Outcomes of Therapeutics by a European ConsorTium (PROTECT) initiative was a collaborative European project that sought to address limitations of current methods in the field of pharmacoepidemiology and pharmacovigilance. Initiated in 2009 and ending in 2015, PROTECT was part of the Innovative Medicines Initiative, a joint undertaking by the European Union and pharmaceutical industry. Thirty-five partners including academics, regulators, small and medium enterprises, and European Federation of Pharmaceuticals Industries and Associations companies contributed to PROTECT. Two work packages within PROTECT implemented research examining the extent to which differences in the study design, methodology, and choice of data source can contribute to producing discrepant results from observational studies on drug safety. To evaluate the effect of these differences, the project applied different designs and analytic methodology for six drug-adverse event pairs across several electronic healthcare databases and registries. This papers introduces the organizational structure and procedures of PROTECT, including how drug-adverse event and data sources were selected, study design and analyses documents were developed, and results managed centrally.</t>
  </si>
  <si>
    <t>Understanding inconsistency in the results from observational pharmacoepidemiological studies: the case of antidepressant use and risk of hip/femur fractures.</t>
  </si>
  <si>
    <t>Souverein, Patrick C; Abbing-Karahagopian, Victoria; Martin, Elisa; Huerta, Consuelo; de Abajo, Francisco; Leufkens, Hubert G M; Candore, Gianmario; Alvarez, Yolanda; Slattery, Jim; Miret, Montserrat; Requena, Gema; Gil, Miguel J; Groenwold, Rolf H H; Reynolds, Robert; Schlienger, Raymond G; Logie, John W; de Groot, Mark C H; Klungel, Olaf H; van Staa, Tjeerd P; Egberts, Toine C G; De Bruin, Marie L; Gardarsdottir, Helga</t>
  </si>
  <si>
    <t>https://pubmed.ncbi.nlm.nih.gov/27038355</t>
  </si>
  <si>
    <t>Results from observational studies on the same exposure-outcome association may be inconsistent because of variations in methodological factors, clinical factors or health care systems. We evaluated the consistency of results assessing the association between antidepressant use and the risk of hip/femur fractures in three European primary care databases using two different study designs. Cohort and nested case control studies were conducted in three European primary care databases (Spanish BIFAP, Dutch Mondriaan and UK THIN) to assess the association between use of antidepressants and hip/femur fracture. A common protocol and statistical analysis plan was applied to harmonize study design and conduct between data sources. Current use of antidepressants was consistently associated with a 1.5 to 2.5-fold increased risk of hip/femur fractures in all data sources with both designs, with estimates for SSRIs generally higher than those for TCAs. In general, risk estimates in Mondriaan, the smallest data source, were higher compared to the other data sources. This difference may be partially explained by an interaction between SSRI and age in Mondriaan. Adjustment for GP-recorded lifestyle factors and matching on general practice had negligible impact on adjusted relative risk estimates. We found a consistent increased risk of hip/femur fracture with current use of antidepressants across different databases and different designs. Applying similar pharmacoepidemiological study methods resulted in similar risks for TCA use and some variation for SSRI use. Some of these differences may express real (or natural) variance in the exposure-outcome co-occurrences.</t>
  </si>
  <si>
    <t>Prediction model of RSV-hospitalization in late preterm infants: An update and validation study.</t>
  </si>
  <si>
    <t>Korsten, Koos; Blanken, Maarten O; Nibbelke, Elisabeth E; Moons, Karel G M; Bont, Louis; ,</t>
  </si>
  <si>
    <t>early human development</t>
  </si>
  <si>
    <t>https://pubmed.ncbi.nlm.nih.gov/26930376</t>
  </si>
  <si>
    <t>New vaccines and RSV therapeutics have been developed in the past decade. With approval of these new pharmaceuticals on the horizon, new challenges lie ahead in selecting the appropriate target population. We aimed to improve a previously published prediction model for prediction of RSV-hospitalization within the first year of life. Two consecutive prospective multicenter birth cohort studies were performed from June 2008 until February 2015. The first cohort (RISK-I, n=2524, 2008-2011) was used to update the existing model. The updated model was subsequently validated in the RISK-II cohort (n=1564, 2011-2015). We used the TRIPOD criteria for transparent reporting. 181 infants (n=127 in RISK-I, n=54 in RISK-II) were hospitalized for RSV within their first year of life. The updated model included the following predictors; day care attendance and/or siblings (OR: 5.3; 95% CI 2.8-10.1), birth between Aug. 14th and Dec. 1st (OR: 2.4; 1.8-3.2), neonatal respiratory support (OR 2.2; 1.6-3.0), breastfeeding ≤4 months (OR 1.6; 1.2-2.2) and maternal atopic constitution (OR 1.5; 1.1-2.1). The updated models' discrimination was superior to the original model in the RISK-II cohort (AUROC 0.72 95% CI 0.65-0.78 versus AUROC 0.66, 95% CI 0.60-0.73, respectively). The updated model was translated into a simple nomogram to be able to distinguish infants with high versus low risk of RSV-hospitalization. We developed and validated a clinical prediction model to be able to predict RSV-hospitalization in preterm infants born within 32-35 weeks gestational age. A simple nomogram was developed to target RSV therapeutics to those children who will benefit the most.</t>
  </si>
  <si>
    <t>External Validation of Prediction Models for Pneumonia in Primary Care Patients with Lower Respiratory Tract Infection: An Individual Patient Data Meta-Analysis.</t>
  </si>
  <si>
    <t>Schierenberg, Alwin; Minnaard, Margaretha C; Hopstaken, Rogier M; van de Pol, Alma C; Broekhuizen, Berna D L; de Wit, Niek J; Reitsma, Johannes B; van Vugt, Saskia F; Graffelman, Aleida W; Melbye, Hasse; Rainer, Timothy H; Steurer, Johann; Holm, Anette; Gonzales, Ralph; Dinant, Geert-Jan; de Groot, Joris A H; Verheij, Theo J M</t>
  </si>
  <si>
    <t>https://pubmed.ncbi.nlm.nih.gov/26918859</t>
  </si>
  <si>
    <t>Pneumonia remains difficult to diagnose in primary care. Prediction models based on signs and symptoms (S&amp;S) serve to minimize the diagnostic uncertainty. External validation of these models is essential before implementation into routine practice. In this study all published S&amp;S models for prediction of pneumonia in primary care were externally validated in the individual patient data (IPD) of previously performed diagnostic studies. S&amp;S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</si>
  <si>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Insights into the Dose-Response Relationship of Radioembolization with Resin 90Y-Microspheres: A Prospective Cohort Study in Patients with Colorectal Cancer Liver Metastases.</t>
  </si>
  <si>
    <t>van den Hoven, Andor F; Rosenbaum, Charlotte E N M; Elias, Sjoerd G; de Jong, Hugo W A M; Koopman, Miriam; Verkooijen, Helena M; Alavi, Abass; van den Bosch, Maurice A A J; Lam, Marnix G E H</t>
  </si>
  <si>
    <t>https://pubmed.ncbi.nlm.nih.gov/26912436</t>
  </si>
  <si>
    <t>Randomized controlled trials are investigating the benefit of hepatic radioembolization added to systemic therapy in the first- and second-line treatment of patients with colorectal liver metastases (CRLM). Remarkably, administered activity may still be suboptimal, because a dose-response relationship has not been defined. The purpose of this study was to characterize the relationship between tumor-absorbed dose and response after (90)Y radioembolization treatment for CRLM. Thirty patients with unresectable chemorefractory CRLM were treated with resin (90)Y-microspheres in a prospective phase II clinical trial. Tumor-absorbed dose was quantified on (90)Y PET. Metabolic tumor activity, defined as tumor lesion glycolysis (TLG*) on (18)F-FDG PET, was measured at baseline and 1 mo after treatment. The relationship between tumor-absorbed dose and posttreatment metabolic activity was assessed per metastasis with a linear mixed-effects regression model. Treated metastases (n = 133) were identified. The mean tumor-absorbed dose was 51 ± 28 Gy (range, 7-174 Gy). A 50% reduction in TLG* was achieved in 46% of metastases and in 11 of 30 (37%) patients for the sum of metastases. The latter was associated with a prolonged median overall survival (11.6 vs. 6.6 mo, P = 0.02). A strong and statistically significant dose-response relationship was found (P &lt; 0.001). The dose effect depended on baseline TLG* (P &lt; 0.01). The effective tumor-absorbed dose was conservatively estimated at a minimum of 40-60 Gy. A strong dose-response relationship exists for the treatment of CRLM with resin microsphere (90)Y radioembolization. Treatment efficacy is, however, still limited, because the currently used pretreatment activity calculation methods curb potentially achievable tumor-absorbed dose values. A more personalized approach to radioembolization is required before concluding on its clinical potential.</t>
  </si>
  <si>
    <t>Patient- and Aneurysm-Specific Risk Factors for Intracranial Aneurysm Growth: A Systematic Review and Meta-Analysis.</t>
  </si>
  <si>
    <t>Backes, Daan; Rinkel, Gabriel J E; Laban, Kamil G; Algra, Ale; Vergouwen, Mervyn D I</t>
  </si>
  <si>
    <t>https://pubmed.ncbi.nlm.nih.gov/26906920</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</si>
  <si>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</si>
  <si>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Cervical pessaries to prevent preterm birth in women with a multiple pregnancy: a per-protocol analysis of a randomized clinical trial.</t>
  </si>
  <si>
    <t>Liem, Sophie M S; Schuit, Ewoud; van Pampus, Mariëlle G; van Melick, Marjo; Monfrance, Maurice; Langenveld, Josje; Mol, Ben W J; Bekedam, Dick</t>
  </si>
  <si>
    <t>https://pubmed.ncbi.nlm.nih.gov/26763343</t>
  </si>
  <si>
    <t>We recently showed that a cervical pessary prevents preterm birth and reduces poor neonatal outcomes in women with a twin pregnancy and a short cervix (&lt;38 mm). The objective of this study was to evaluate the full potential treatment effect of the pessary in the whole group and in women with a short cervix. We performed a per-protocol analysis of a multicenter randomized controlled trial (ProTWIN trial, NTR1858) where we excluded women who were allocated to the pessary but never had it placed. Women who had the pessary removed before 36 gestational weeks and did not deliver within 7 days after removal, were excluded. Analyses were performed on all women and in those with a cervical length &lt;38 mm. In 23 (6%) women the pessary was not placed. In women with a cervical length &lt;38 mm (25th percentile) the pessary reduced poor perinatal outcome (relative risk 0.32, 95% confidence interval 0.13-0.78) and birth at &lt;32 weeks (relative risk 0.41, 95% confidence interval 0.20-0.87). After excluding 47 (12%) women, the time to delivery was longer in the pessary group than in the control group (whole group: hazard ratio 0.68, 95% confidence interval 0.55-0.82, cervical length &lt;38 mm: hazard ratio 0.35, 95% confidence interval 0.22-0.57). The analysis confirms the principal findings of the intention-to-treat analysis. Time to delivery was longer in the pessary group than in the control group when censored data were used. This implies the pessary should not be removed until labor is evident.</t>
  </si>
  <si>
    <t>Reply to Deeny et al.</t>
  </si>
  <si>
    <t>https://pubmed.ncbi.nlm.nih.gov/26908797</t>
  </si>
  <si>
    <t>Doublesex and mab-3 related transcription factor 1 (DMRT1) is a sex-specific genetic determinant of childhood-onset asthma and is expressed in testis and macrophages.</t>
  </si>
  <si>
    <t>Schieck, Maximilian; Schouten, Jan P; Michel, Sven; Suttner, Kathrin; Toncheva, Antoaneta A; Gaertner, Vincent D; Illig, Thomas; Lipinski, Simone; Franke, Andre; Klintschar, Michael; Kalayci, Omer; Sahiner, Umit M; Birben, Esra; Melén, Erik; Pershagen, Göran; Freidin, Maxim B; Ogorodova, Ludmila M; Granell, Raquel; Henderson, John; Brunekreef, Bert; Smit, Henriëtte A; Vogelberg, Christian; von Berg, Andrea; Bufe, Albrecht; Heinzmann, Andrea; Laub, Otto; Rietschel, Ernst; Simma, Burkhard; Genuneit, Jon; Jonigk, Danny; Postma, Dirkje S; Koppelman, Gerard H; Vonk, Judith M; Timens, Wim; Boezen, H Marike; Kabesch, Michael</t>
  </si>
  <si>
    <t>https://pubmed.ncbi.nlm.nih.gov/26906082</t>
  </si>
  <si>
    <t>Asthma is a disease affecting more boys than girls in childhood and more women than men in adulthood. The mechanisms behind these sex-specific differences are not yet understood. We analyzed whether and how genetic factors contribute to sex-specific predisposition to childhood-onset asthma. Interactions between sex and polymorphisms on childhood asthma risk were evaluated in the Multicentre Asthma Genetics in Childhood Study (MAGICS)/Phase II International Study of Asthma and Allergies in Childhood (ISAAC II) population on a genome-wide level, and findings were validated in independent populations. Genetic fine mapping of sex-specific asthma association signals was performed, and putatively causal polymorphisms were characterized in vitro by using electrophoretic mobility shift and luciferase activity assays. Gene and protein expression of the identified gene doublesex and mab-3 related transcription factor 1 (DMRT1) were measured in different human tissues by using quantitative real-time PCR and immunohistochemistry. Polymorphisms in the testis-associated gene DMRT1 displayed interactions with sex on asthma status in a population of primarily clinically defined asthmatic children and nonasthmatic control subjects (lowest P = 5.21 × 10(-6)). Replication of this interaction was successful in 2 childhood populations clinically assessed for asthma but showed heterogeneous results in other population-based samples. Polymorphism rs3812523 located in the putative DMRT1 promoter was associated with allele-specific changes in transcription factor binding and promoter activity in vitro. DMRT1 expression was observed not only in the testis but also in lung macrophages. DMRT1 might influence sex-specific patterns of childhood asthma, and its expression in testis tissue and lung macrophages suggests a potential involvement in hormone or immune cell regulation.</t>
  </si>
  <si>
    <t>Measurement of the charge asymmetry in top-quark pair production in the lepton-plus-jets final state in &lt;i&gt;pp&lt;/i&gt; collision data at [Formula: see text] with the ATLAS detector.</t>
  </si>
  <si>
    <t>https://pubmed.ncbi.nlm.nih.gov/27069416</t>
  </si>
  <si>
    <t>This paper reports inclusive and differential measurements of the [Formula: see text] charge asymmetry [Formula: see text] in [Formula: see text] of [Formula: see text][Formula: see text] collisions recorded by the ATLAS experiment at the Large Hadron Collider at CERN. Three differential measurements are performed as a function of the invariant mass, transverse momentum and longitudinal boost of the [Formula: see text] system. The [Formula: see text] pairs are selected in the single-lepton channels (&lt;i&gt;e&lt;/i&gt; or [Formula: see text]) with at least four jets, and a likelihood fit is used to reconstruct the [Formula: see text] event kinematics. A Bayesian unfolding procedure is performed to infer the asymmetry at parton level from the observed data distribution. The inclusive [Formula: see text] charge asymmetry is measured to be [Formula: see text] (stat. [Formula: see text] syst.). The inclusive and differential measurements are compatible with the values predicted by the Standard Model.</t>
  </si>
  <si>
    <t>Ethnomedical and ethnobotanical investigations on the response capacities of Guinean traditional health practioners in the management of outbreaks of infectious diseases: The case of the Ebola virus epidemic.</t>
  </si>
  <si>
    <t>Baldé, A M; Traoré, M S; Baldé, M A; Barry, M S; Diallo, A; Camara, M; Traoré, S; Kouyaté, M; Traoré, S; Ouo-Ouo, S; Myanthé, A L; Keita, N; Haba, N L; Goumou, K; Bah, F; Camara, A; Diallo, M S T; Sylla, M; Baldé, E S; Diané, S; Pieters, L; Oularé, K</t>
  </si>
  <si>
    <t>journal of ethnopharmacology</t>
  </si>
  <si>
    <t>https://pubmed.ncbi.nlm.nih.gov/26900129</t>
  </si>
  <si>
    <t>The recent outbreak of Ebola virus infections has mostly remained confined to the West African countries Guinea-Conakry, Sierra-Leone and Liberia. Due to intense national and international mobilizations, a significant reduction in Ebola virus transmission has been recorded. While international efforts focus on new vaccines, medicines and diagnostics, no coherent national or international approach exists to integrate the potential of the traditional health practitioners (THPs) in the management of infectious diseases epidemics. Nevertheless, the first contact of most of the Ebola infected patients is with the THPs since the symptoms are similar to those of common traditionally treated diseases or symptoms such as malaria, hemorrhagic syndrome, typhoid or other gastrointestinal diseases, fever and vomiting. In an ethnomedical survey conducted in the 4 main Guinean regions contacts were established with a total of 113 THPs. The socio-demographic characteristics, the professional status and the traditional perception of Ebola Virus Disease (EVD) were recorded. The traditional treatment of the main symptoms was based on 47 vegetal recipes which were focused on the treatment of diarrhea (22 recipes), fever (22 recipes), vomiting (2 recipes), external antiseptic (2 recipes), hemorrhagic syndrome (2 recipes), convulsion and dysentery (one recipe each). An ethnobotanical survey led to the collection of 54 plant species from which 44 identified belonging to 26 families. The most represented families were Euphorbiaceae, Caesalpiniaceae and Rubiaceae. Literature data on the twelve most cited plant species tends to corroborate their traditional use and to highlight their pharmacological potential. It is worth to document all available knowledge on the traditional management of EVD-like symptoms in order to evaluate systematically the anti-Ebola potential of Guinean plant species.</t>
  </si>
  <si>
    <t>Common trajectories of physical functioning in the Doetinchem Cohort Study.</t>
  </si>
  <si>
    <t>Rooth, Vera; van Oostrom, Sandra H; Deeg, Dorly J H; Verschuren, W M Monique; Picavet, H Susan J</t>
  </si>
  <si>
    <t>https://pubmed.ncbi.nlm.nih.gov/26892339</t>
  </si>
  <si>
    <t>to describe common trajectories of physical functioning and their determinants among an adult cohort, followed over a period of 15 years. the study sample consisted of 4,123 participants (initial ages 26-70 years) from the Doetinchem Cohort Study, who participated in three or four measurement cycles. Physical functioning was measured with the Dutch version of the SF-36. Using a group-based modelling strategy, trajectories of physical functioning were determined. Weighted multinomial logistic regression analyses were performed to identify socio-demographic, lifestyle and health characteristics that differentiate between the trajectories at baseline. five common physical functioning trajectories were distinguished, labelled as 'stable not limited' (27% of the population), 'stable slightly limited' (54%), 'slightly limited substantial deterioration' (7%), 'moderately limited gradual improvement' (9%) and 'stable severely limited' (3%). The characteristics that differentiate between the trajectories with limitations and the trajectory 'stable not limited' were being female, older, physically inactive, overweight or obese, having one or more chronic conditions, poor mental health and poor self-perceived health at baseline. Being younger, physically active, less obese, living with a partner and a good perceived health were characteristics of the trajectory 'moderately limited gradual improvement' compared with 'stable severely limited'. five common trajectories of physical functioning were distinguished in an adult cohort, with most individuals following a stable but slightly limited course of physical functioning. Some early risk indicators were found that in the future might be used to early identify those with limitations in physical functioning.</t>
  </si>
  <si>
    <t>Effect of Weight Loss with or without Exercise on Inflammatory Markers and Adipokines in Postmenopausal Women: The SHAPE-2 Trial, A Randomized Controlled Trial.</t>
  </si>
  <si>
    <t>van Gemert, Willemijn A; May, Anne M; Schuit, Albertine J; Oosterhof, Blanche Y M; Peeters, Petra H; Monninkhof, Evelyn M</t>
  </si>
  <si>
    <t>https://pubmed.ncbi.nlm.nih.gov/26908432</t>
  </si>
  <si>
    <t>We investigated the effect of equivalent weight loss, by a hypocaloric diet or mainly exercise, on inflammatory markers and adipokines in overweight postmenopausal women. Women were randomized to a diet (n = 97), mainly exercise (n = 98), or control group (n = 48). Goal of both interventions was to lose 5 to 6 kg bodyweight by a hypocaloric diet or an exercise program (4 hours/week) combined with a small caloric intake restriction. Outcomes after 16 weeks included serum high-sensitive C-reactive protein (hsCRP), IL6, adiponectin, and leptin. Both intervention groups achieved the target weight loss. Controls remained weight stable. Compared with control, hsCRP decreased with mainly exercise [treatment effect ratio (TER) = 0.64] and borderline statistically significant with diet (TER = 0.77). There was a suggestively larger effect of exercise, directly compared with diet (TER = 0.83). Leptin decreased with both interventions: mainly exercise (TER = 0.55) and diet (TER = 0.59), versus control. Effects attenuated and lost significance after adjusting for change in body fat percentage, and to a lesser extent when adjusting for fitness. No effects were seen on IL6 and adiponectin. A 16-week randomized intervention inducing comparable weight loss by a hypocaloric diet or mainly exercise, resulted in favorable effects on serum hsCRP and leptin. We found a possible more beneficial effect on hsCRP with mainly exercise versus diet. These effects of exercise were established by changes in body fat percentage and physical fitness. A modest amount of weight loss in postmenopausal women reduces hsCRP and leptin levels which might be associated with a lower breast cancer risk. Cancer Epidemiol Biomarkers Prev; 25(5); 799-806. ©2016 AACR.</t>
  </si>
  <si>
    <t>Search for direct top squark pair production in final states with two tau leptons in &lt;i&gt;pp&lt;/i&gt; collisions at [Formula: see text] TeV with the ATLAS detector.</t>
  </si>
  <si>
    <t>https://pubmed.ncbi.nlm.nih.gov/27069414</t>
  </si>
  <si>
    <t>A search for direct pair production of the supersymmetric partner of the top quark, decaying via a scalar tau to a nearly massless gravitino, has been performed using 20 fb[Formula: see text] of proton-proton collision data at [Formula: see text]. The data were collected by the ATLAS experiment at the LHC in 2012. Top squark candidates are searched for in events with either two hadronically decaying tau leptons, one hadronically decaying tau and one light lepton, or two light leptons. No significant excess over the Standard Model expectation is found. Exclusion limits at [Formula: see text] confidence level are set as a function of the top squark and scalar tau masses. Depending on the scalar tau mass, ranging from the [Formula: see text] LEP limit to the top squark mass, lower limits between 490 and [Formula: see text] are placed on the top squark mass within the model considered.</t>
  </si>
  <si>
    <t>When Children Become Adults: Should Biobanks Re-Contact?</t>
  </si>
  <si>
    <t>Giesbertz, Noor A A; Bredenoord, Annelien L; van Delden, Johannes J M</t>
  </si>
  <si>
    <t>https://pubmed.ncbi.nlm.nih.gov/26881426</t>
  </si>
  <si>
    <t>Noor Giesbertz and colleagues consider different re-contact policy designs that could be used by biobanks to obtain permission for the continued use of samples collected from children.</t>
  </si>
  <si>
    <t>Extended prediction rule to optimise early detection of heart failure in older persons with non-acute shortness of breath: a cross-sectional study.</t>
  </si>
  <si>
    <t>van Riet, Evelien E S; Hoes, Arno W; Limburg, Alexander; Landman, Marcel A J; Kemperman, Hans; Rutten, Frans H</t>
  </si>
  <si>
    <t>https://pubmed.ncbi.nlm.nih.gov/26880668</t>
  </si>
  <si>
    <t>There is a need for a practical tool to aid general practitioners in early detection of heart failure in the elderly with shortness of breath. In this study, such a screening rule was developed based on an existing rule for detecting heart failure in older persons with a diagnosis of chronic obstructive pulmonary disease. The original rule included a history of ischaemic heart disease, body mass index, laterally displaced apex beat, heart rate, elevated N-terminal pro B-type natriuretic peptide and an abnormal ECG. Cross-sectional data were used to validate, update and extend the original prediction rule according to a standardised state-of-the-art stepwise approach. Primary care with 30 participating general practices. Community-dwelling people aged ≥ 65 years with shortness of breath on exertion. Validation of the existing screening rule in our population showed satisfying discrimination with a concordance statistic of 0.84 (range 0.80-0.85), but poor calibration. Performance measures were most improved by adding the predictors age &gt;75 years, peripheral oedema and systolic murmur, resulting in a concordance statistic of 0.88 (range 0.85-0.90) and a net reclassification improvement of 31%. A risk score was computed, which showed high accuracy with a negative predictive value of 87% and a positive predictive value of 73%. Evaluating the improved rule in the derivation set and an independent set of patients with type 2 diabetes aged 60 years or older showed satisfying generalisability of the rule. Our rule resulted in excellent prediction of heart failure in the large domain of the elderly with shortness of breath, and would help general practitioners to select those needing echocardiography. NCT01202006.</t>
  </si>
  <si>
    <t>Tailoring treatments using treatment effect modification.</t>
  </si>
  <si>
    <t>Schmidt, A F; Klungel, O H; Nielen, M; de Boer, A; Groenwold, R H H; Hoes, A W</t>
  </si>
  <si>
    <t>https://pubmed.ncbi.nlm.nih.gov/26877168</t>
  </si>
  <si>
    <t>Applying results from clinical studies to individual patients can be a difficult process. Using the concept of treatment effect modification (also referred to as interaction), defined as a difference in treatment response between patient groups, we discuss whether and how treatment effects can be tailored to better meet patients' needs. First we argue that contrary to how most studies are designed, treatment effect modification should be expected. Second, given this expected heterogeneity, a small number of clinically relevant subgroups should be a priori selected, depending on the expected magnitude of effect modification, and prevalence of the patient type. Third, by defining generalizability as the absence of treatment effect modification we show that generalizability can be evaluated within the usual statistical framework of equivalence testing. Fourth, when equivalence cannot be confirmed, we address the need for further analyses and studies tailoring treatment towards groups of patients with similar response to treatment. Fifth, we argue that to properly frame, the entire body of evidence on effect modification should be quantified in a prior probability.</t>
  </si>
  <si>
    <t>Association between age and risk of stroke or death from carotid endarterectomy and carotid stenting: a meta-analysis of pooled patient data from four randomised trials.</t>
  </si>
  <si>
    <t>Howard, George; Roubin, Gary S; Jansen, Olav; Hendrikse, Jeroen; Halliday, Alison; Fraedrich, Gustav; Eckstein, Hans-Henning; Calvet, David; Bulbulia, Richard; Bonati, Leo H; Becquemin, Jean-Pierre; Algra, Ale; Brown, Martin M; Ringleb, Peter A; Brott, Thomas G; Mas, Jean-Louis; ,</t>
  </si>
  <si>
    <t>https://pubmed.ncbi.nlm.nih.gov/26880122</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</si>
  <si>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</si>
  <si>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The Impact of HIV Co-Infection on the Genomic Response to Sepsis.</t>
  </si>
  <si>
    <t>Huson, Michaëla A M; Scicluna, Brendon P; van Vught, Lonneke A; Wiewel, Maryse A; Hoogendijk, Arie J; Cremer, Olaf L; Bonten, Marc J M; Schultz, Marcus J; Franitza, Marek; Toliat, Mohammad R; Nürnberg, Peter; Grobusch, Martin P; van der Poll, Tom</t>
  </si>
  <si>
    <t>https://pubmed.ncbi.nlm.nih.gov/26871709</t>
  </si>
  <si>
    <t>HIV patients have an increased risk to develop sepsis and HIV infection affects several components of the immune system involved in sepsis pathogenesis. We hypothesized that HIV infection might aggrevate the aberrant immune response during sepsis, so we aimed to determine the impact of HIV infection on the genomic host response to sepsis. We compared whole blood leukocyte gene expression profiles among sepsis patients with or without HIV co-infection in the intensive care unit (ICU) and validated our findings in a cohort of patients admitted to the same ICUs in a different time frame. To examine the influence of HIV infection per se, we also determined the expression of genes of interest in a cohort of asymptomatic HIV patients. We identified a predominantly common host response in sepsis patients with or without HIV co-infection. HIV positive sepsis patients in both ICU cohorts showed overexpression of genes involved in granzyme signaling (GZMA, GZMB), cytotoxic T-cell signaling (CD8A, CD8B) and T-cell inhibitory signaling (LAG3), compared to HIV negative patients. Enhanced expression of CD8A, CD8B and LAG3 was also unmasked in asymptomatic HIV patients. Plasma levels of granzymes in sepsis patients were largely below detection limit, without differences according to HIV status. These results demonstrate that sepsis is characterized by a massive common response with few differences between HIV positive and HIV negative sepsis patients. Observed differences in granzyme signaling, cytotoxic T-cell signaling and T-cell inhibitory signaling appear to be changes commonly observed in asymptomatic HIV patients which persist during sepsis.</t>
  </si>
  <si>
    <t>Do Self-Management Interventions Work in Patients With Heart Failure? An Individual Patient Data Meta-Analysis.</t>
  </si>
  <si>
    <t>Jonkman, Nini H; Westland, Heleen; Groenwold, Rolf H H; Ågren, Susanna; Atienza, Felipe;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van Veldhuisen, Dirk J; Trappenburg, Jaap C A; Schuurmans, Marieke J; Hoes, Arno W</t>
  </si>
  <si>
    <t>https://pubmed.ncbi.nlm.nih.gov/26873943</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</si>
  <si>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</si>
  <si>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Anticipating missing reference standard data when planning diagnostic accuracy studies.</t>
  </si>
  <si>
    <t>Naaktgeboren, Christiana A; de Groot, Joris A H; Rutjes, Anne W S; Bossuyt, Patrick M M; Reitsma, Johannes B; Moons, Karel G M</t>
  </si>
  <si>
    <t>https://pubmed.ncbi.nlm.nih.gov/26861453</t>
  </si>
  <si>
    <t>Results obtained using a reference standard may be missing for some participants in diagnostic accuracy studies. This paper looks at methods for dealing with such missing data when designing or conducting a prospective diagnostic accuracy study</t>
  </si>
  <si>
    <t>Association of Multiple Biomarkers of Iron Metabolism and Type 2 Diabetes: The EPIC-InterAct Study.</t>
  </si>
  <si>
    <t>Podmore, Clara; Meidtner, Karina; Schulze, Matthias B; Scott, Robert A; Ramond, Anna; Butterworth, Adam S; Di Angelantonio, Emanuele; Danesh, John; Arriola, Larraitz; Barricarte, Aurelio; Boeing, Heiner; Clavel-Chapelon, Françoise; Cross, Amanda J; Dahm, Christina C; Fagherazzi, Guy; Franks, Paul W; Gavrila, Diana; Grioni, Sara; Gunter, Marc J; Gusto, Gaelle; Jakszyn, Paula; Katzke, Verena; Key, Timothy J; Kühn, Tilman; Mattiello, Amalia; Nilsson, Peter M; Olsen, Anja; Overvad, Kim; Palli, Domenico; Quirós, J Ramón; Rolandsson, Olov; Sacerdote, Carlotta; Sánchez-Cantalejo, Emilio; Slimani, Nadia; Sluijs, Ivonne; Spijkerman, Annemieke M W; Tjonneland, Anne; Tumino, Rosario; van der A, Daphne L; van der Schouw, Yvonne T; Feskens, Edith J M; Forouhi, Nita G; Sharp, Stephen J; Riboli, Elio; Langenberg, Claudia; Wareham, Nicholas J</t>
  </si>
  <si>
    <t>https://pubmed.ncbi.nlm.nih.gov/26861925</t>
  </si>
  <si>
    <t>Observational studies show an association between ferritin and type 2 diabetes (T2D), suggesting a role of high iron stores in T2D development. However, ferritin is influenced by factors other than iron stores, which is less the case for other biomarkers of iron metabolism. We investigated associations of ferritin, transferrin saturation (TSAT), serum iron, and transferrin with T2D incidence to clarify the role of iron in the pathogenesis of T2D. The European Prospective Investigation into Cancer and Nutrition-InterAct study includes 12,403 incident T2D cases and a representative subcohort of 16,154 individuals from a European cohort with 3.99 million person-years of follow-up. We studied the prospective association of ferritin, TSAT, serum iron, and transferrin with incident T2D in 11,052 cases and a random subcohort of 15,182 individuals and assessed whether these associations differed by subgroups of the population. Higher levels of ferritin and transferrin were associated with a higher risk of T2D (hazard ratio [HR] [95% CI] in men and women, respectively: 1.07 [1.01-1.12] and 1.12 [1.05-1.19] per 100 μg/L higher ferritin level; 1.11 [1.00-1.24] and 1.22 [1.12-1.33] per 0.5 g/L higher transferrin level) after adjustment for age, center, BMI, physical activity, smoking status, education, hs-CRP, alanine aminotransferase, and γ-glutamyl transferase. Elevated TSAT (≥45% vs. &lt;45%) was associated with a lower risk of T2D in women (0.68 [0.54-0.86]) but was not statistically significantly associated in men (0.90 [0.75-1.08]). Serum iron was not associated with T2D. The association of ferritin with T2D was stronger among leaner individuals (Pinteraction &lt; 0.01). The pattern of association of TSAT and transferrin with T2D suggests that the underlying relationship between iron stores and T2D is more complex than the simple link suggested by the association of ferritin with T2D.</t>
  </si>
  <si>
    <t>Genetically predicted longer telomere length is associated with increased risk of B-cell lymphoma subtypes.</t>
  </si>
  <si>
    <t>Machiela, Mitchell J; Lan, Qing; Slager, Susan L; Vermeulen, Roel C H; Teras, Lauren R; Camp, Nicola J; Cerhan, James R; Spinelli, John J; Wang, Sophia S; Nieters, Alexandra; Vijai, Joseph; Yeager, Meredith; Wang, Zhaoming; Ghesquières, Hervé; McKay, James; Conde, Lucia; de Bakker, Paul I W; Cox, David G; Burdett, Laurie; Monnereau, Alain; Flowers, Christopher R; De Roos, Anneclaire J; Brooks-Wilson, Angela R; Giles, Graham G; Melbye, Mads; Gu, Jian; Jackson, Rebecca D; Kane, Eleanor; Purdue, Mark P; Vajdic, Claire M; Albanes, Demetrius; Kelly, Rachel S; Zucca, Mariagrazia; Bertrand, Kimberly A; Zeleniuch-Jacquotte, Anne; Lawrence, Charles; Hutchinson, Amy; Zhi, Degui; Habermann, Thomas M; Link, Brian K; Novak, Anne J; Dogan, Ahmet; Asmann, Yan W; Liebow, Mark; Thompson, Carrie A; Ansell, Stephen M; Witzig, Thomas E; Tilly, Hervé; Haioun, Corinne; Molina, Thierry J; Hjalgrim, Henrik; Glimelius, Bengt; Adami, Hans-Olov; Roos, Göran; Bracci, Paige M; Riby, Jacques; Smith, Martyn T; Holly</t>
  </si>
  <si>
    <t>https://pubmed.ncbi.nlm.nih.gov/27008888</t>
  </si>
  <si>
    <t>Evidence from a small number of studies suggests that longer telomere length measured in peripheral leukocytes is associated with an increased risk of non-Hodgkin lymphoma (NHL). However, these studies may be biased by reverse causation, confounded by unmeasured environmental exposures and might miss time points for which prospective telomere measurement would best reveal a relationship between telomere length and NHL risk. We performed an analysis of genetically inferred telomere length and NHL risk in a study of 10 102 NHL cases of the four most common B-cell histologic types and 9562 controls using a genetic risk score (GRS) comprising nine telomere length-associated single-nucleotide polymorphisms. This approach uses existing genotype data and estimates telomere length by weighing the number of telomere length-associated variant alleles an individual carries with the published change in kb of telomere length. The analysis of the telomere length GRS resulted in an association between longer telomere length and increased NHL risk [four B-cell histologic types combined; odds ratio (OR) = 1.49, 95% CI 1.22-1.82,P-value = 8.5 × 10(-5)]. Subtype-specific analyses indicated that chronic lymphocytic leukemia or small lymphocytic lymphoma (CLL/SLL) was the principal NHL subtype contributing to this association (OR = 2.60, 95% CI 1.93-3.51,P-value = 4.0 × 10(-10)). Significant interactions were observed across strata of sex for CLL/SLL and marginal zone lymphoma subtypes as well as age for the follicular lymphoma subtype. Our results indicate that a genetic background that favors longer telomere length may increase NHL risk, particularly risk of CLL/SLL, and are consistent with earlier studies relating longer telomere length with increased NHL risk.</t>
  </si>
  <si>
    <t>Validation of the prediction model for inhibitor development in PUPs with severe haemophilia A.</t>
  </si>
  <si>
    <t>Hashemi, S M; Fischer, K; Moons, K G M; van den Berg, H M; ,</t>
  </si>
  <si>
    <t>https://pubmed.ncbi.nlm.nih.gov/26856685</t>
  </si>
  <si>
    <t>Expected number of asbestos-related lung cancers in the Netherlands in the next two decades: a comparison of methods.</t>
  </si>
  <si>
    <t>Van der Bij, Sjoukje; Vermeulen, Roel C H; Portengen, Lützen; Moons, Karel G M; Koffijberg, Hendrik</t>
  </si>
  <si>
    <t>https://pubmed.ncbi.nlm.nih.gov/26858099</t>
  </si>
  <si>
    <t>Exposure to asbestos fibres increases the risk of mesothelioma and lung cancer. Although the vast majority of mesothelioma cases are caused by asbestos exposure, the number of asbestos-related lung cancers is less clear. This number cannot be determined directly as lung cancer causes are not clinically distinguishable but may be estimated using varying modelling methods. We applied three different modelling methods to the Dutch population supplemented with uncertainty ranges (UR) due to uncertainty in model input values. The first method estimated asbestos-related lung cancer cases directly from observed and predicted mesothelioma cases in an age-period-cohort analysis. The second method used evidence on the fraction of lung cancer cases attributable (population attributable risk (PAR)) to asbestos exposure. The third method incorporated risk estimates and population exposure estimates to perform a life table analysis. The three methods varied substantially in incorporated evidence. Moreover, the estimated number of asbestos-related lung cancer cases in the Netherlands between 2011 and 2030 depended crucially on the actual method applied, as the mesothelioma method predicts 17 500 expected cases (UR 7000-57 000), the PAR method predicts 12 150 cases (UR 6700-19 000), and the life table analysis predicts 6800 cases (UR 6800-33 850). The three different methods described resulted in absolute estimates varying by a factor of ∼2.5. These results show that accurate estimation of the impact of asbestos exposure on the lung cancer burden remains a challenge.</t>
  </si>
  <si>
    <t>Evaluating outcome of prophylaxis in haemophilia: objective and self-reported instruments should be combined.</t>
  </si>
  <si>
    <t>Fischer, K; Nijdam, A; Holmström, M; Petrini, P; Ljung, R; van der Schouw, Y T; Berntorp, E</t>
  </si>
  <si>
    <t>https://pubmed.ncbi.nlm.nih.gov/26856807</t>
  </si>
  <si>
    <t>Routine outcome assessment of prophylaxis should use validated tools, while balancing comprehensiveness and burden. Collecting overlapping information should be avoided. To assess correlations between different outcome assessment tools in haemophilia. From an international cross-sectional study, data on objective outcome (Haemophilia Joint Health Score (HJHS 2.1, range 0-124), radiological Pettersson score) and self-reported joint bleeding, Haemophilia Activities List (HAL, range 100-0), health-related quality of life (SF-36, including five physical and five mental domain scores, range 100-0), and Utility (SF6D and EQ-5D, range 1.0-0) were extracted. Spearman's correlations were calculated: ≥0.8 very strong, 0.60-0.79 strong, 0.40-0.59 moderate. Ninety patients with severe haemophilia, on prophylaxis since median age 3.4 years, were evaluated at median 25.5 years (range 16.0-37.6). Objective outcome was favourable (median HJHS 2.1 6 points, Pettersson score 9 points). Self-reported outcome showed a median of 7 joint bleeds in 5 years, median HAL sum 96 points, high scores for physical domains of SF-36 (median 80-95) and high Utility values (median SF6D 0.87; EQ-5D 0.84). Physical examination (HJHS 2.1) showed strong correlation with radiological scores, moderate correlation with physical domains of the SF-36 and Utility, but no correlation with self-reported bleeding or limitations in activities (HAL). Bleeding was not associated with any other outcome parameter. The HAL was only correlated with the SF36 'Physical functioning' domain. For the evaluation of patients on early prophylaxis, information on bleeding should be complemented by objective joint assessment as well as self-reported limitations in activities and quality of life.</t>
  </si>
  <si>
    <t>Yield of screening for atrial fibrillation in primary care with a hand-held, single-lead electrocardiogram device during influenza vaccination.</t>
  </si>
  <si>
    <t>Kaasenbrood, Femke; Hollander, Monika; Rutten, Frans H; Gerhards, Leo J; Hoes, Arno W; Tieleman, Robert G</t>
  </si>
  <si>
    <t>https://pubmed.ncbi.nlm.nih.gov/26851813</t>
  </si>
  <si>
    <t>To assess the yield of screening for atrial fibrillation (AF) with a hand-held single-lead electrocardiogram (ECG) device during influenza vaccination in primary care in the Netherlands. We used the MyDiagnostick to screen for AF in persons who participated in influenza vaccination sessions of ten Dutch primary care practices. In case of suspected AF detection by the stick, the recorded 1-min ECG registrations were analysed by a cardiologist. We scrutinized electronic medical files of the general practitioners to obtain information about the cases screened. Multivariable logistic regression analysis was performed to predict the relation between patient characteristics and a new screen-detected diagnosis of AF. In total, 3269 persons were screened for AF during the influenza vaccination sessions of 10 general practitioner practices. As a result, 37 (1.1%) new cases of AF were detected. Prior transient ischeamic attack or stroke (OR 6.05; 95%CI 1.93-19.0), and age (OR 1.09 per year; 95% CI 1.05-1.14) were independent predictors for such newly screen-detected AF. Of the 37 screen-detected AF cases, 2.7% had a CHA&lt;sub&gt;2&lt;/sub&gt;DS&lt;sub&gt;2&lt;/sub&gt;-VASc of 0, 18.9% a score of 1, and 78.4% a score of 2 or more. The majority needed oral anticoagulant therapy. Screening seems feasible with an easy to use single-lead, hand-held ECG device with automatic AF detection during influenza vaccination in primary care and results in a '1-day' yield of 1.1% new cases of AF. NCT02006524.</t>
  </si>
  <si>
    <t>Oral mucosal adverse events with chlorhexidine 2% mouthwash in ICU.</t>
  </si>
  <si>
    <t>Plantinga, Nienke L; Wittekamp, Bastiaan H J; Leleu, Kris; Depuydt, Pieter; Van den Abeele, Anne-Marie; Brun-Buisson, Christian; Bonten, Marc J M</t>
  </si>
  <si>
    <t>https://pubmed.ncbi.nlm.nih.gov/26850333</t>
  </si>
  <si>
    <t>The Use of Innovative Two-Component Cluster Analysis and Serodiagnostic Cut-Off Methods to Estimate Prevalence of Pertussis Reinfections.</t>
  </si>
  <si>
    <t>van Twillert, Inonge; Bonačić Marinović, Axel A; van Gaans-van den Brink, Jacqueline A M; Kuipers, Betsy; Berbers, Guy A M; van der Maas, Nicoline A T; Verheij, Theo J M; Versteegh, Florens G A; Teunis, Peter F M; van Els, Cécile A C M</t>
  </si>
  <si>
    <t>https://pubmed.ncbi.nlm.nih.gov/26848833</t>
  </si>
  <si>
    <t>Bordetella pertussis circulates even in highly vaccinated countries affecting all age groups. Insight into the scale of concealed reinfections is important as they may contribute to transmission. We therefore investigated whether current single-point serodiagnostic methods are suitable to estimate the prevalence of pertussis reinfection. Two methods based on IgG-Ptx plasma levels alone were used to evaluate the proportion of renewed seroconversions in the past year in a cohort of retrospective pertussis cases ≥ 24 months after a proven earlier symptomatic infection. A Dutch population database was used as a baseline. Applying a classical 62.5 IU/ml IgG-Ptx cut-off, we calculated a seroprevalence of 15% in retrospective cases, higher than the 10% observed in the population baseline. However, this method could not discriminate between renewed seroconversion and waning of previously infection-enhanced IgG-Ptx levels. Two-component cluster analysis of the IgG-Ptx datasets of both pertussis cases and the general population revealed a continuum of intermediate IgG-Ptx levels, preventing the establishment of a positive population and the comparison of prevalence by this alternative method. Next, we investigated the complementary serodiagnostic value of IgA-Ptx levels. When modelling datasets including both convalescent and retrospective cases we obtained new cut-offs for both IgG-Ptx and IgA-Ptx that were optimized to evaluate renewed seroconversions in the ex-cases target population. Combining these cut-offs two-dimensionally, we calculated 8.0% reinfections in retrospective cases, being below the baseline seroprevalence. Our study for the first time revealed the shortcomings of using only IgG-Ptx data in conventional serodiagnostic methods to determine pertussis reinfections. Improved results can be obtained with two-dimensional serodiagnostic profiling. The proportion of reinfections thus established suggests a relatively increased period of protection to renewed infection after clinical pertussis.</t>
  </si>
  <si>
    <t>Automated Hippocampal Subfield Segmentation at 7T MRI.</t>
  </si>
  <si>
    <t>Wisse, L E M; Kuijf, H J; Honingh, A M; Wang, H; Pluta, J B; Das, S R; Wolk, D A; Zwanenburg, J J M; Yushkevich, P A; Geerlings, M I</t>
  </si>
  <si>
    <t>https://pubmed.ncbi.nlm.nih.gov/26846925</t>
  </si>
  <si>
    <t>High resolution 7T MRI is increasingly used to investigate hippocampal subfields in vivo, but most studies rely on manual segmentation which is labor intensive. We aimed to evaluate an automated technique to segment hippocampal subfields and the entorhinal cortex at 7T MRI. The cornu ammonis (CA)1, CA2, CA3, dentate gyrus, subiculum, and entorhinal cortex were manually segmented, covering most of the long axis of the hippocampus on 0.70-mm(3) T2-weighted 7T images of 26 participants (59 ± 9 years, 46% men). The automated segmentation of hippocampal subfields approach was applied and evaluated by using leave-one-out cross-validation. Comparison of automated segmentations with corresponding manual segmentations yielded a Dice similarity coefficient of &gt;0.75 for CA1, the dentate gyrus, subiculum, and entorhinal cortex and &gt;0.54 for CA2 and CA3. Intraclass correlation coefficients were &gt;0.74 for CA1, the dentate gyrus, and subiculum; and &gt;0.43 for CA2, CA3, and the entorhinal cortex. Restricting the comparison of the entorhinal cortex segmentation to a smaller range along the anteroposterior axis improved both intraclass correlation coefficients (left: 0.71; right: 0.82) and Dice similarity coefficients (left: 0.78; right: 0.77). The accuracy of the automated segmentation versus a manual rater was lower, though only slightly for most subfields, than the intrarater reliability of an expert manual rater, but it was similar to or slightly higher than the accuracy of an expert-versus-manual rater with ∼170 hours of training for almost all subfields. This work demonstrates the feasibility of using a computational technique to automatically label hippocampal subfields and the entorhinal cortex at 7T MRI, with a high accuracy for most subfields that is competitive with the labor-intensive manual segmentation. The software and atlas are publicly available: http://www.nitrc.org/projects/ashs/.</t>
  </si>
  <si>
    <t>Are topical antibiotics an alternative to oral antibiotics for children with acute otitis media and ear discharge?</t>
  </si>
  <si>
    <t>Venekamp, Roderick P; Prasad, Vibhore; Hay, Alastair D</t>
  </si>
  <si>
    <t>https://pubmed.ncbi.nlm.nih.gov/26848130</t>
  </si>
  <si>
    <t>Residential exposure to RF-EMF from mobile phone base stations: Model predictions versus personal and home measurements.</t>
  </si>
  <si>
    <t>Martens, Astrid L; Slottje, Pauline; Meima, Marie Y; Beekhuizen, Johan; Timmermans, Danielle; Kromhout, Hans; Smid, Tjabe; Vermeulen, Roel C H</t>
  </si>
  <si>
    <t>https://pubmed.ncbi.nlm.nih.gov/26851884</t>
  </si>
  <si>
    <t>Geospatial models have been demonstrated to reliably and efficiently estimate RF-EMF exposure from mobile phone base stations (downlink) at stationary locations with the implicit assumption that this reflects personal exposure. In this study we evaluated whether RF-EMF model predictions at the home address are a good proxy of personal 48h exposure. We furthermore studied potential modification of this association by degree of urbanisation. We first used an initial NISMap estimation (at an assumed height of 4.5m) for 9563 randomly selected addresses in order to oversample addresses with higher exposure levels and achieve exposure contrast. We included 47 individuals across the range of potential RF-EMF exposure and used NISMap to re-assess downlink exposure at the home address (at bedroom height). We computed several indicators to determine the accuracy of the NISMap model predictions. We compared residential RF-EMF model predictions with personal 48h, at home, and night-time (0:00-8:00AM) ExpoM3 measurements, and with EME-SPY 140 spot measurements in the bedroom. We obtained information about urbanisation degree and compared the accuracy of model predictions in high and low urbanised areas. We found a moderate Spearman correlation between model predictions and personal 48h (rSp=0.47), at home (rSp=0.49), at night (rSp=0.51) and spot measurements (rSp=0.54). We found no clear differences between high and low urbanised areas (48h: high rSp=0.38, low rSp=0.55, bedroom spot measurements: high rSp=0.55, low rSp=0.50). We achieved a meaningful ranking of personal downlink exposure irrespective of degree of urbanisation, indicating that these models can provide a good proxy of personal exposure in areas with varying build-up.</t>
  </si>
  <si>
    <t>Young male sex workers are at high risk for sexually transmitted infections, a cross-sectional study from Dutch STI clinics, the Netherlands, 2006-2012.</t>
  </si>
  <si>
    <t>Fournet, N; Koedijk, F D H; van Leeuwen, A P; van Rooijen, M S; van der Sande, M A B; van Veen, M G</t>
  </si>
  <si>
    <t>https://pubmed.ncbi.nlm.nih.gov/26847196</t>
  </si>
  <si>
    <t>Male sex workers (MSW) are particularly exposed to sexually transmitted infections (STI) including HIV. In the Netherlands, data about STI among MSW are scarce. We estimated chlamydia, gonorrhoea, syphilis and HIV diagnoses among MSW attending STI clinics and determined associated factors to guide prevention policies. Using 2006-2012 cross-sectional national surveillance data from Dutch STI clinics, we calculated the proportion of consultations with a positive test for any of three bacterial STI or HIV among MSW. Associated factors were determined by using Poisson logistic regression with robust variance. We identified 3,053 consultations involving MSW, of which 18.1 % included at least one positive bacterial STI test and 2.5 % a positive HIV test. Factors associated with bacterial STI and/or HIV diagnoses were respectively age groups &lt; 35 y.o. and self-reporting homo- or bisexual preferences (aRR = 1.6; 95 % CI: 1.3-2.1), and age group 25-34 y.o. (aRR = 2.7; 95 % CI: 1.2-6.5) and self-reporting homo- or bisexual preferences (aRR = 24.4; 95 % CI: 3.4-176.9). Newly diagnosed and pre-existing HIV infection were associated with an increased risk for bacterial STI (aRR = 2.7, 95 % CI: 1.7-2.6 and aRR = 2.1, 95 % CI: 2.2-3.4 respectively). MSW with no history of HIV screening were more likely to be tested positive for HIV compared to those with a previous HIV-negative test (aRR = 2.6, 95 % CI: 1.6-4.3). Health promotion activities should target MSW who are young, homo- or bisexual, those who are HIV-infected or who have never been tested for HIV, to increase early diagnosis, prevention and treatment.</t>
  </si>
  <si>
    <t>Five-year efficacy of pulmonary vein antrum isolation as a primary ablation strategy for atrial fibrillation: a single-centre cohort study.</t>
  </si>
  <si>
    <t>Teunissen, Cas; Kassenberg, Wil; van der Heijden, Jeroen F; Hassink, Rutger J; van Driel, Vincent J H M; Zuithoff, Nicolaas P A; Doevendans, Pieter A; Loh, Peter</t>
  </si>
  <si>
    <t>https://pubmed.ncbi.nlm.nih.gov/26838694</t>
  </si>
  <si>
    <t>Pulmonary vein antrum isolation (PVAI) is the cornerstone of atrial fibrillation (AF) ablation. There is an ongoing discussion on whether and when to add substrate modification to PVAI. This study evaluates (1) long-term efficacy of PVAI as a primary ablation strategy in all patients independently from AF type and (2) predictors of arrhythmia recurrence. A total of 509 consecutive patients (mean age 57 years, 38.9% non-paroxysmal AF) with AF underwent PVAI. In redo procedures, ablation was restricted to re-pulmonary vein (PV) isolation in case of PV reconnection. If the PVs were found to be isolated, substrate modification was performed. In total, 774 procedures were performed. Mean follow-up duration after the first and last ablation was, respectively, 66 ± 23 and 55 ± 25 months. A single PVAI was sufficient in restoring and maintaining long-term sinus rhythm in 41.3% (n = 210) of patients. Multiple procedures (mean 1.5) with re-PV isolation increased long-term success to 58.3% (n = 297). Additional substrate modification (n = 70) increased success to 62.5% (n = 318). After the last ablation, 87.5% of patients experienced success or significant clinical improvement on or off antiarrhythmic drugs. The incidence of left-sided atrial flutter or atrial tachycardia was 5% after PVAI and increased to 32% after additional substrate modification. Independent predictors for arrhythmia recurrence after the last ablation were non-paroxysmal AF, female sex, body mass index, hypertension, and AF duration. Five-year freedom of atrial tachyarrhythmia could be achieved by PVAI as primary ablation strategy in 58.3% of patients. Additional substrate modification only moderately increased overall success.</t>
  </si>
  <si>
    <t>Preventive Antibiotics and Delayed Cerebral Ischaemia in Patients with Aneurysmal Subarachnoid Haemorrhage Admitted to the Intensive Care Unit.</t>
  </si>
  <si>
    <t>Gathier, Celine S; Oostdijk, Evelien A; Rinkel, Gabriel J E; Dorhout Mees, Sanne M; Vergouwen, Mervyn D I; de Smet, Anne Marie G A; van de Beek, Diederik; Vandertop, W Peter; Verbaan, Dagmar; Algra, Ale; Bonten, Marc J M; van den Bergh, Walter M</t>
  </si>
  <si>
    <t>https://pubmed.ncbi.nlm.nih.gov/26450848</t>
  </si>
  <si>
    <t>Delayed cerebral ischemia (DCI) is an important contributor to poor outcome after aneurysmal subarachnoid haemorrhage (aSAH). Development of DCI is multifactorial, and inflammation, with or without infection, is one of the factors independently associated with development of DCI and poor outcome. We thus postulated that preventive antibiotics might be associated with a reduced risk of DCI and subsequent poor outcome in aSAH patients. We performed a retrospective cohort-study in intensive care units (ICU) of three university hospitals in The Netherlands. We included consecutive aSAH patients with minimal ICU stay of 72 h who received either preventive antibiotics (SDD: selective digestive tract decontamination including systemic cefotaxime or SOD: selective oropharyngeal decontamination) or no preventive antibiotics. DCI was defined as a new hypodensity on CT with no other explanation than DCI. Hazard ratio's (HR) for DCI and risk ratio's (RR) for 28-day case-fatality and poor outcome at 3 months were calculated, with adjustment (aHR/aRR) for clinical condition on admission, recurrent bleeding, aneurysm treatment modality and treatment site. Of 459 included patients, 274 received preventive antibiotics (SOD or SDD) and 185 did not. With preventive antibiotics, the aHR for DCI was 1.0 (95% CI 0.6-1.8), the aRR for 28-day case-fatality was 1.1 (95% CI 0.7-1.9) and the aRR for poor functional outcome 1.2 (95% CI 1.0-1.4). Preventive antibiotics were not associated with reduced risk of DCI or poor outcome in aSAH patients in the ICU.</t>
  </si>
  <si>
    <t>Translation of New Molecular Imaging Approaches to the Clinical Setting: Bridging the Gap to Implementation.</t>
  </si>
  <si>
    <t>van Es, Suzanne C; Venema, Clasina M; Glaudemans, Andor W J M; Lub-de Hooge, Marjolijn N; Elias, Sjoerd G; Boellaard, Ronald; Hospers, Geke A P; Schröder, Carolina P; de Vries, Elisabeth G E</t>
  </si>
  <si>
    <t>https://pubmed.ncbi.nlm.nih.gov/26834109</t>
  </si>
  <si>
    <t>Molecular imaging with PET is a rapidly emerging technique. In breast cancer patients, more than 45 different PET tracers have been or are presently being tested. With a good rationale, after development of the tracer and proven feasibility, it is of interest to evaluate whether there is a potential meaningful role for the tracer in the clinical setting-such as in staging, in the (early) prediction of a treatment response, or in supporting drug choices. So far, only (18)F-FDG PET has been incorporated into breast cancer guidelines. For proof of the clinical relevance of tracers, especially for analysis in a multicenter setting, standardization of the technology and access to the novel PET tracer are required. However, resources for PET implementation research are limited. Therefore, next to randomized studies, novel approaches are required for proving the clinical value of PET tracers with the smallest possible number of patients. The aim of this review is to describe the process of the development of PET tracers and the level of evidence needed for the use of these tracers in breast cancer. Several breast cancer trials have been performed with the PET tracers (18)F-FDG, 3'-deoxy-3'-(18)F-fluorothymidine ((18)F-FLT), and (18)F-fluoroestradiol ((18)F-FES). We studied them to learn lessons for the implementation of novel tracers. After defining the gap between a good rationale for a tracer and implementation in the clinical setting, we propose solutions to fill the gap to try to bring more PET tracers to daily clinical practice.</t>
  </si>
  <si>
    <t>Treatment Fidelity of an Evidence-Based Nurse-Led Intervention in a Proactive Primary Care Program for Older People.</t>
  </si>
  <si>
    <t>Bleijenberg, Nienke; Ten Dam, Valerie H; Drubbel, Irene; Numans, Mattijs E; de Wit, Niek J; Schuurmans, Marieke J</t>
  </si>
  <si>
    <t>https://pubmed.ncbi.nlm.nih.gov/26873373</t>
  </si>
  <si>
    <t>In a large randomized trial, Utrecht PROactive Frailty Intervention Trial (U-PROFIT), we evaluated the effectiveness of an integrated program on the preservation of daily functioning in older people in primary care that consisted of a frailty identification tool and a multicomponent nurse-led care program. Examination of treatment fidelity is critical to successful translation of evidence-based interventions into practice. To assess treatment delivery, dose and content of nursing care delivered within the nurse-led care program, and to explore if the delivery may have influenced the trial results. A mixed-methods study was conducted. Type and dose of nursing care were collected during the trial. Shortly after the trial, a focus group with nurses was conducted to explore reasons for the observed differences between the type and dose of nursing care delivered. A total of 835 older persons were included in the nurse-led care program. The mean age was 75 years, 64% were female and 53.5% were living alone. The most frequent self-reported conditions were loneliness (60.8%) and cognitive problems (59.4%). One-third of the patients with a geriatric condition received an additional assessment (e.g., Mini-Mental State Examination), and the majority of these patients received at least one nurse intervention (&gt;85%). Most nursing care was delivered to patients at risk of falling and to those with urinary incontinence. Patients with nutrition problems seldom received nursing interventions. The nurses explained that differences in type and dose were influenced by the preference of the patient, the type of geriatric problem, and the time required to apply a nurse intervention. All intervention components were delivered; however, differences were observed in the type and dose of nursing care delivered across geriatric conditions. The findings better explain the treatment fidelity and suggest that there is room for improvement that may result in more beneficial patient outcomes.</t>
  </si>
  <si>
    <t>Design of the PROUD study: PCR faeces testing in outpatients with diarrhoea.</t>
  </si>
  <si>
    <t>Schierenberg, Alwin; Nipshagen, Martine D; Broekhuizen, Berna D L; van de Pol, Alma C; Bruijning-Verhagen, Patricia C J; Kusters, Johannes G; Schuurman, Rob; van Delft, Sanne; Mangen, Marie-Josée J; de Wit, Niek J; Bonten, Marc J M</t>
  </si>
  <si>
    <t>https://pubmed.ncbi.nlm.nih.gov/26830915</t>
  </si>
  <si>
    <t>Infectious intestinal disease (IID) is an important cause of morbidity in developed countries and a frequent reason for general practitioner (GP) consultation. In recent years polymerase chain reaction (PCR) based techniques have gradually replaced conventional enteropathogen detection techniques like microscopy and culture in primary care patients suspected of IID. PCR features testing of multiple enteropathogens in a single faecal sample with shorter turnaround times and greater sensitivity compared to conventional techniques. However, the associated costs and benefits have not been quantified. Furthermore, primary care incidence and prevalence estimates of enteropathogens associated with IID are sparsely available and predominantly based on conventional techniques. The PROUD-study (PCR diagnostics in Outpatients with Diarrhoea) determines: 1) health (care) effects and 2) cost-effectiveness of PCR introduction in primary care patients suspected of IID; 3) occurrence of major enteropathogens in primary care patients suspected of IID. A before-after cohort study will be performed of patients with suspected IID consulting a GP in the Utrecht General Practitioner Network (UGPN), covering the before period (2010-2011) with conventional testing and the after period (2013-2014) with PCR testing. Prospective study data on patient characteristics and primary outcome measures (i.e. healthcare use and disease outcome) will be collected from electronic patient and laboratory records in 2015 and 2016. The effect of PCR introduction is investigated by comparing the primary outcome measures and their associated healthcare costs between the conventional period and the PCR period, and is followed by a cost-effectiveness analysis. To determine the occurrence of enteropathogens associated with IID in primary care, routine care faeces samples from the year 2014 will be screened using PCR. The PROUD-study will quantify the costs and effects of the introduction of PCR techniques for enteropathogens in primary care patients suspected of IID and generate up-to-date and sensitive estimates of enteropathogen occurrence among primary care patients.</t>
  </si>
  <si>
    <t>Ultra low-dose chest ct with iterative reconstructions as an alternative to conventional chest x-ray prior to heart surgery (CRICKET study): Rationale and design of a multicenter randomized trial.</t>
  </si>
  <si>
    <t>den Harder, Annemarie M; de Heer, Linda M; Maurovich-Horvat, Pal; Merkely, Bela; de Jong, Pim A; Das, Marco; de Wit, G Ardine; Leiner, Tim; Budde, Ricardo P J; ,</t>
  </si>
  <si>
    <t>journal of cardiovascular computed tomography</t>
  </si>
  <si>
    <t>https://pubmed.ncbi.nlm.nih.gov/26857421</t>
  </si>
  <si>
    <t>Stroke after cardiac surgery is a severe complication with a persistently high incidence of 1.4 - 9.7%. Postoperative strokes are mainly embolic and can be provoked by manipulation and clamping of the aorta during cardiac surgery, resulting in the mobilization of atherothrombotic material and calcifications from the aortic wall. Computed tomography (CT) can offer preoperative visualization of aortic calcifications with low radiation exposure. We hypothesize that preoperative knowledge regarding the location and extent of aortic calcifications can be used to optimize surgical strategy and decrease postoperative stroke rate. The CRICKET study (ultra low-dose chest CT with iterative reconstructions as an alternative to conventional chest x-ray prior to heart surgery) is a prospective multicenter randomized clinical trial to evaluate whether non-contrast chest CT before cardiac surgery can decrease postoperative stroke rate by optimizing surgical strategy. Patients scheduled to undergo cardiac surgery aged 18 years and older are eligible for inclusion. Exclusion criteria are pregnancy, a chest/cardiac CT in the past three months, emergency surgery, concomitant or prior participation in a study with ionizing radiation and unwillingness to be informed about incidental findings. Subjects (n = 1.724) are randomized between routine care, including a chest x-ray, or routine care with an additional low dose chest CT. The primary objective is to investigate whether the postoperative in-hospital stroke rate is reduced in the CT arm compared to the routine care arm of the randomized trial. The secondary outcome measures are altered surgical approach based on CT findings and cost-effectiveness.</t>
  </si>
  <si>
    <t>Increased incidence of subarachnoid hemorrhage during cold temperatures and influenza epidemics.</t>
  </si>
  <si>
    <t>Backes, Daan; Rinkel, Gabriel J E; Algra, Ale; Vaartjes, Ilonca; Donker, Gé A; Vergouwen, Mervyn D I</t>
  </si>
  <si>
    <t>journal of neurosurgery</t>
  </si>
  <si>
    <t>https://pubmed.ncbi.nlm.nih.gov/26824376</t>
  </si>
  <si>
    <t>OBJECTIVE This study investigated whether the increased incidence of aneurysmal subarachnoid hemorrhage (SAH) in winter is related to temperature or increased incidence of influenza. Such relationships may elucidate the pathogenesis of intracranial aneurysm rupture. METHODS A nationwide sample of 18,714 patients with SAH was linked with weekly temperature and influenza-like illness consultation data. Poisson regression analyses were used to calculate incidence density ratios (IDRs) with corresponding 95% CIs for the association of SAH incidence with temperature and influenza epidemics; IDRs were adjusted for study year (aIDR). In addition, SAH incidence data from 30 European population-based studies were linked with daily temperature data from the European Climate Assessment. RESULTS The aIDR for SAH during influenza epidemics was 1.061 (95% CI 1.022-1.101) in the univariable and 1.030 (95% CI 0.989-1.074) in the multivariable analysis. This association declined gradually during the weeks after epidemics. Per 1°C temperature drop, the aIDR was 1.005 (95% CI 1.003-1.008) in the univariable and 1.004 (95% CI 1.002-1.007) in the multivariable analysis. In the European population-based studies, the IDR was 1.143 (95% CI 1.129-1.157) per 1°C temperature drop. CONCLUSIONS The incidence of SAH is increased during cold temperatures and epidemic influenza. Future studies with individual patient data are needed to investigate causality between temperature or influenza and SAH.</t>
  </si>
  <si>
    <t>Search for single top-quark production via flavour-changing neutral currents at 8 TeV with the ATLAS detector.</t>
  </si>
  <si>
    <t>https://pubmed.ncbi.nlm.nih.gov/26900343</t>
  </si>
  <si>
    <t>A search for single top-quark production via flavour-changing neutral current processes from gluon plus up- or charm-quark initial states in proton-proton collisions at the LHC is presented. Data collected with the ATLAS detector in 2012 at a centre-of-mass energy of 8 TeV and corresponding to an integrated luminosity of 20.3 fb[Formula: see text] are used. Candidate events for a top quark decaying into a lepton, a neutrino and a jet are selected and classified into signal- and background-like candidates using a neural network. No signal is observed and an upper limit on the production cross-section multiplied by the [Formula: see text] branching fraction is set. The observed 95 % CL limit is [Formula: see text] and the expected 95 % CL limit is [Formula: see text]. The observed limit can be interpreted as upper limits on the coupling constants of the flavour-changing neutral current interactions divided by the scale of new physics [Formula: see text] and [Formula: see text] and on the branching fractions [Formula: see text] and [Formula: see text].</t>
  </si>
  <si>
    <t>Hospice assist at home: does the integration of hospice care in primary healthcare support patients to die in their preferred location - A retrospective cross-sectional evaluation study.</t>
  </si>
  <si>
    <t>de Graaf, Everlien; Zweers, Daniëlle; Valkenburg, Anna Ch; Uyttewaal, Allegonda; Teunissen, Saskia Ccm</t>
  </si>
  <si>
    <t>https://pubmed.ncbi.nlm.nih.gov/26814216</t>
  </si>
  <si>
    <t>A majority of patients prefer to die at home. Specialist palliative care aims to improve quality of life. Hospice assist at home is a Dutch model of general/specialised palliative care within primary care, collaboratively built by general practitioners and a hospice. The aims of this study are to explore whether hospice assist at home service enables patients at hometo express end-of-life preferences and die in their preferred location. In addition, this study provides insight into symptomburden, stability and early referral. A retrospective cross-sectional evaluation study was performed (December 2014-March 2015), using hospice assist at home patient records and documentation. Primary outcome includes congruence between preferred and actual place of death. Secondary outcomes include symptom burden, (in)stability and early identification. Between June 2012 and December 2014, 130 hospice assist at home patients, living at home with a life expectancy &lt;1 year, were enrolled. Hospice assist at home, a collaboration between general practitioners, district nurses, trained volunteers and a hospice team, facilitates (1) general practitioner-initiated consultation by Nurse Consultant Hospice, (2) fortnightly interdisciplinary consultations and (3) 24/7 hospice backup for patients, caregivers and professionals. A total of 130 patients (62 (48%) men; mean age, 72 years) were enrolled, of whom 107/130 (82%) died and 5 dropped out. Preferred place of death was known for 101/107 (94%) patients of whom 91% patients died at their preferred place of death. Hospice assist at home service supports patients to die in their preferred place of death. Shared responsibility of proactive care in primary care collaboration enabled patients to express preferences. Hospice care should focus on local teamwork, to contribute to shared responsibilities in providing optimal palliative care.</t>
  </si>
  <si>
    <t>Prediction models in obstetrics: understanding the treatment paradox and potential solutions to the threat it poses.</t>
  </si>
  <si>
    <t>Cheong-See, F; Allotey, J; Marlin, N; Mol, B W; Schuit, E; Ter Riet, G; Riley, R D; Moons, Kgm; Khan, K S; Thangaratinam, S</t>
  </si>
  <si>
    <t>https://pubmed.ncbi.nlm.nih.gov/26806638</t>
  </si>
  <si>
    <t>Pro-Inflammatory Markers in Relation to Cardiovascular Disease in HIV Infection. A Systematic Review.</t>
  </si>
  <si>
    <t>Vos, Alinda G; Idris, Nikmah S; Barth, Roos E; Klipstein-Grobusch, Kerstin; Grobbee, Diederick E</t>
  </si>
  <si>
    <t>https://pubmed.ncbi.nlm.nih.gov/26808540</t>
  </si>
  <si>
    <t>In the past years many inflammatory markers have been studied in association with clinically manifest cardiovascular disease (CVD) and carotid intima-media thickness (CIMT) in HIV-infected patients, to obtain insights in the increased cardiovascular risk observed in HIV infection. This systematic review provides an oversight of the current knowledge. A search was performed in PubMed, Embase and Cochrane in July 2014, identifying all articles from 1996 onwards addressing the relation between inflammatory markers and CVD or CIMT in HIV-positive adults. Two authors, using predefined criteria, independently conducted the selection of articles, critical appraisal and extraction of the data. Analysis was focused on the immune markers that were most frequently assessed. The review protocol was registered in the PROSPERO database at 11 July 2014 (registration number CRD42014010516). This review was performed according to the PRISMA guideline. Forty articles were selected; eight addressing cardiovascular disease (CVD) and thirty-two addressing CIMT. C-reactive protein (CRP), interleukin-6 (IL-6) and d-dimer were assessed most frequently in relation to the occurrence of CVD; in four out of eight studies. All three markers were positively related to CVD in three out of four studies. Studies addressing CIMT were too heterogeneous with respect to patient populations, inflammatory markers, CIMT measurement protocols and statistical methods to allow for a formal meta-analysis to obtain summary statistics. CRP, IL-6 and soluble vascular cell adhesion molecule (sVCAM-1) were the most studied markers in relation to CIMT. None of the inflammatory markers showed an association with CIMT. This review showed a relation between some inflammatory markers and CVD, however, no consistent relation is observed for CIMT. Statistical approaches that yields effect estimates and standardized CIMT protocols should be chosen. Further research should focus on prospective studies and a selected set of inflammatory markers.</t>
  </si>
  <si>
    <t>Imaging Findings Associated with Space-Occupying Edema in Patients with Large Middle Cerebral Artery Infarcts.</t>
  </si>
  <si>
    <t>Horsch, A D; Dankbaar, J W; Stemerdink, T A; Bennink, E; van Seeters, T; Kappelle, L J; Hofmeijer, J; de Jong, H W; van der Graaf, Y; Velthuis, B K; ,</t>
  </si>
  <si>
    <t>https://pubmed.ncbi.nlm.nih.gov/26797136</t>
  </si>
  <si>
    <t>Prominent space-occupying cerebral edema is a devastating complication occurring in some but not all patients with large MCA infarcts. It is unclear why differences in the extent of edema exist. Better knowledge of factors related to prominent edema formation could aid treatment strategies. This study aimed to identify variables associated with the development of prominent edema in patients with large MCA infarcts. From the Dutch Acute Stroke Study (DUST), 137 patients were selected with large MCA infarcts on follow-up NCCT (3 ± 2 days after stroke onset), defined as ASPECTS ≤4. Prominent edema was defined as a midline shift of ≥5 mm on follow-up. Admission patient and treatment characteristics were collected. Admission CT parameters used were ASPECTS on NCCT and CBV and MTT maps, and occlusion site, clot burden, and collaterals on CTA. Permeability on admission CTP, and day 3 recanalization and reperfusion statuses were obtained if available. Unadjusted and adjusted (age and NIHSS) odds ratios were calculated for all variables in relation to prominent edema. Prominent edema developed in 51 patients (37%). Adjusted odds ratios for prominent edema were higher with lower ASPECTS on NCCT (adjusted odds ratio, 1.32; 95% CI, 1.13-1.55) and CBV (adjusted odds ratio, 1.26; 95% CI, 1.07-1.49), higher permeability (adjusted odds ratio, 2.35; 95% CI, 1.30-4.24), more proximal thrombus location (adjusted odds ratio, 3.40; 95% CI, 1.57-7.37), higher clot burden (adjusted odds ratio, 2.88; 95% CI, 1.11-7.45), and poor collaterals (adjusted odds ratio, 3.93; 95% CI, 1.78-8.69). Extensive proximal occlusion, poor collaterals, and larger ischemic deficits with higher permeability play a role in the development of prominent edema in large MCA infarcts.</t>
  </si>
  <si>
    <t>Preventing ventriculostomy-related infections with antibiotic-impregnated drains in hospitals: a two-centre Dutch study.</t>
  </si>
  <si>
    <t>Verberk, J D M; Berkelbach van der Sprenkel, J W; Arts, M P; Dennesen, P J W; Bonten, M J M; van Mourik, M S M</t>
  </si>
  <si>
    <t>https://pubmed.ncbi.nlm.nih.gov/26895616</t>
  </si>
  <si>
    <t>This observational cohort study assessed the effect of the introduction of antibiotic-impregnated external ventricular drains (AI-EVDs), as opposed to plain silicone EVDs, on the occurrence of ventriculostomy-related infections (VRIs) in two Dutch hospitals, with no other changes to their clinical practice. VRI was defined using the criteria of the Centers for Disease Control and Prevention, and with a culture-based definition. A propensity-score-adjusted competing risks survival analysis showed that introduction of AI-EVDs did not significantly decrease the risk of VRIs in routine care, nor affect the bacterial aetiology, even after adjustment for confounding and competing events.</t>
  </si>
  <si>
    <t>Carotid Intima-media Thickness Measurements: Relations with Atherosclerosis, Risk of Cardiovascular Disease and Application in Randomized Controlled Trials.</t>
  </si>
  <si>
    <t>Bots, Michiel L; Evans, Gregory W; Tegeler, Charles H; Meijer, Rudy</t>
  </si>
  <si>
    <t>chinese medical journal</t>
  </si>
  <si>
    <t>https://pubmed.ncbi.nlm.nih.gov/26830994</t>
  </si>
  <si>
    <t>Advances in the field of carotid ultrasound have been incremental, resulting in a steady decrease in measurement variability. Improvements in edge detection algorithms point toward increasing automation of CIMT measurements. The major advantage of CIMT is that it is completely noninvasive and can be repeated as often as required. It provides a continuous measure since all subjects have a measurable carotid wall. It is also relatively inexpensive to perform, and the technology is widely available. A graded relation between raising LDL cholesterol and increased CIMT is apparent. Increased CIMT has been shown consistently to relate the atherosclerotic abnormalities elsewhere in the arterial system. Moreover, increased CIMT predicts future vascular events in both populations from Caucasian ancestry and those from Asian ancestry. Furthermore, lipid‑lowering therapy has been shown to affect CIMT progression within 12–18 months in properly designed trials with results congruent with clinical events trials. In conclusion, when one wants to evaluate the effect of a pharmaceutical intervention that is to be expected to beneficially affect atherosclerosis progression and to reduce CV event risk, the use of CIMT measurements over time is a valid, suitable, and evidence‑based choice.</t>
  </si>
  <si>
    <t>Plasma carotenoids, vitamin C, tocopherols, and retinol and the risk of breast cancer in the European Prospective Investigation into Cancer and Nutrition cohort.</t>
  </si>
  <si>
    <t>Bakker, Marije F; Peeters, Petra Hm; Klaasen, Veronique M; Bueno-de-Mesquita, H Bas; Jansen, Eugene Hjm; Ros, Martine M; Travier, Noémie; Olsen, Anja; Tjønneland, Anne; Overvad, Kim; Rinaldi, Sabina; Romieu, Isabelle; Brennan, Paul; Boutron-Ruault, Marie-Christine; Perquier, Florence; Cadeau, Claire; Boeing, Heiner; Aleksandrova, Krasimira; Kaaks, Rudolf; Kühn, Tilman; Trichopoulou, Antonia; Lagiou, Pagona; Trichopoulos, Dimitrios; Vineis, Paolo; Krogh, Vittorio; Panico, Salvatore; Masala, Giovanna; Tumino, Rosario; Weiderpass, Elisabete; Skeie, Guri; Lund, Eiliv; Quirós, J Ramón; Ardanaz, Eva; Navarro, Carmen; Amiano, Pilar; Sánchez, María-José; Buckland, Genevieve; Ericson, Ulrika; Sonestedt, Emily; Johansson, Matthias; Sund, Malin; Travis, Ruth C; Key, Timothy J; Khaw, Kay-Tee; Wareham, Nick; Riboli, Elio; van Gils, Carla H</t>
  </si>
  <si>
    <t>https://pubmed.ncbi.nlm.nih.gov/26791185</t>
  </si>
  <si>
    <t>Carotenoids and vitamin C are thought to be associated with reduced cancer risk because of their antioxidative capacity. This study evaluated the associations of plasma carotenoid, retinol, tocopherol, and vitamin C concentrations and risk of breast cancer. In a nested case-control study within the European Prospective Investigation into Cancer and Nutrition cohort, 1502 female incident breast cancer cases were included, with an oversampling of premenopausal (n = 582) and estrogen receptor-negative (ER-) cases (n = 462). Controls (n = 1502) were individually matched to cases by using incidence density sampling. Prediagnostic samples were analyzed for α-carotene, β-carotene, lycopene, lutein, zeaxanthin, β-cryptoxanthin, retinol, α-tocopherol, γ-tocopherol, and vitamin C. Breast cancer risk was computed according to hormone receptor status and age at diagnosis (proxy for menopausal status) by using conditional logistic regression and was further stratified by smoking status, alcohol consumption, and body mass index (BMI). All statistical tests were 2-sided. In quintile 5 compared with quintile 1, α-carotene (OR: 0.61; 95% CI: 0.39, 0.98) and β-carotene (OR: 0.41; 95% CI: 0.26, 0.65) were inversely associated with risk of ER- breast tumors. The other analytes were not statistically associated with ER- breast cancer. For estrogen receptor-positive (ER+) tumors, no statistically significant associations were found. The test for heterogeneity between ER- and ER+ tumors was statistically significant only for β-carotene (P-heterogeneity = 0.03). A higher risk of breast cancer was found for retinol in relation to ER-/progesterone receptor-negative tumors (OR: 2.37; 95% CI: 1.20, 4.67; P-heterogeneity with ER+/progesterone receptor positive = 0.06). We observed no statistically significant interaction between smoking, alcohol, or BMI and all investigated plasma analytes (based on tertile distribution). Our results indicate that higher concentrations of plasma β-carotene and α-carotene are associated with lower breast cancer risk of ER- tumors.</t>
  </si>
  <si>
    <t>The association between dietary saturated fatty acids and ischemic heart disease depends on the type and source of fatty acid in the European Prospective Investigation into Cancer and Nutrition-Netherlands cohort.</t>
  </si>
  <si>
    <t>Praagman, Jaike; Beulens, Joline Wj; Alssema, Marjan; Zock, Peter L; Wanders, Anne J; Sluijs, Ivonne; van der Schouw, Yvonne T</t>
  </si>
  <si>
    <t>https://pubmed.ncbi.nlm.nih.gov/26791181</t>
  </si>
  <si>
    <t>The association between saturated fatty acid (SFA) intake and ischemic heart disease (IHD) risk is debated. We sought to investigate whether dietary SFAs were associated with IHD risk and whether associations depended on 1) the substituting macronutrient, 2) the carbon chain length of SFAs, and 3) the SFA food source. Baseline (1993-1997) SFA intake was measured with a food-frequency questionnaire among 35,597 participants from the European Prospective Investigation into Cancer and Nutrition-Netherlands cohort. IHD risks were estimated with multivariable Cox regression for the substitution of SFAs with other macronutrients and for higher intakes of total SFAs, individual SFAs, and SFAs from different food sources. During 12 y of follow-up, 1807 IHD events occurred. Total SFA intake was associated with a lower IHD risk (HR per 5% of energy: 0.83; 95% CI: 0.74, 0.93). Substituting SFAs with animal protein, cis monounsaturated fatty acids, polyunsaturated fatty acids (PUFAs), or carbohydrates was significantly associated with higher IHD risks (HR per 5% of energy: 1.27-1.37). Slightly lower IHD risks were observed for higher intakes of the sum of butyric (4:0) through capric (10:0) acid (HRSD: 0.93; 95% CI: 0.89, 0.99), myristic acid (14:0) (HRSD: 0.90; 95% CI: 0.83, 0.97), the sum of pentadecylic (15:0) and margaric (17:0) acid (HRSD: 0.91: 95% CI: 0.83, 0.99), and for SFAs from dairy sources, including butter (HRSD: 0.94; 95% CI: 0.90, 0.99), cheese (HRSD: 0.91; 95% CI: 0.86, 0.97), and milk and milk products (HRSD: 0.92; 95% CI: 0.86, 0.97). In this Dutch population, higher SFA intake was not associated with higher IHD risks. The lower IHD risk observed did not depend on the substituting macronutrient but appeared to be driven mainly by the sums of butyric through capric acid, the sum of pentadecylic and margaric acid, myristic acid, and SFAs from dairy sources. Residual confounding by cholesterol-lowering therapy and trans fat or limited variation in SFA and PUFA intake may explain our findings. Analyses need to be repeated in populations with larger differences in SFA intake and different SFA food sources.</t>
  </si>
  <si>
    <t>Cardiac Effects of Antiretroviral-Naïve versus Antiretroviral-Exposed HIV Infection in Children.</t>
  </si>
  <si>
    <t>Idris, Nikmah S; Cheung, Michael M H; Grobbee, Diederick E; Burgner, David; Kurniati, Nia; Uiterwaal, Cuno S P M</t>
  </si>
  <si>
    <t>https://pubmed.ncbi.nlm.nih.gov/26789522</t>
  </si>
  <si>
    <t>Cardiac involvement in HIV infected children has been frequently reported, but whether this is due to HIV infection itself or to antiretroviral treatment (ART) is unknown. This cross sectional study involved 114 vertically-acquired HIV-infected (56 ART-naive, 58 ART-exposed) and 51 healthy children in Jakarta, Indonesia. Echocardiography was performed to measure dimensions of the left ventricle (LV) and systolic functions. We applied general linear modeling to evaluate the associations between HIV infection/treatment status and cardiac parameters with further adjustment for potential confounders or explanatory variables. Findings are presented as (adjusted) mean differences between each of the two HIV groups and healthy children, with 95% confidence intervals and p values. Compared to healthy children, ART-naïve HIV-infected children did not show significant differences in age-and-height adjusted cardiac dimensions apart from larger LV internal diameter (difference 2.0 mm, 95%CI 0.2 to 3.7), whereas ART exposed HIV infection showed thicker LV posterior walls (difference = 1.1 mm, 95%CI 0.5 to 1.6), larger LV internal diameter (difference = 1.7 mm, 95%CI 0.2 to 3.2) and higher LV mass (difference = 14.0 g, 7.4 to 20.5). With respect to systolic function, reduced LV ejection fraction was seen in both ART-naïve HIV infected (adjusted difference = -6.7%, -11.4 to -2.0) and, to a lesser extent, in ART-exposed HIV infected children (difference = -4.5%, -8.5 to -0.4). Inflammation level seemed to be involved in most associations in ART-exposed HIV-infected, but few, if any, for decreased function in the ART-naive ones, whereas lower hemoglobin appeared to partially mediate chamber dilation in both groups and reduced function, mainly in ART-exposed children. ART-naive HIV infected children have a substantial decrease in cardiac systolic function, whereas the ART-exposed have thicker ventricular walls with larger internal diameter and higher mass, but less functional impairment.</t>
  </si>
  <si>
    <t>American Joint Committee on Cancer acceptance criteria for inclusion of risk models for individualized prognosis in the practice of precision medicine.</t>
  </si>
  <si>
    <t>Kattan, Michael W; Hess, Kenneth R; Amin, Mahul B; Lu, Ying; Moons, Karl G M; Gershenwald, Jeffrey E; Gimotty, Phyllis A; Guinney, Justin H; Halabi, Susan; Lazar, Alexander J; Mahar, Alyson L; Patel, Tushar; Sargent, Daniel J; Weiser, Martin R; Compton, Carolyn; ,</t>
  </si>
  <si>
    <t>ca a cancer journal for clinicians</t>
  </si>
  <si>
    <t>https://pubmed.ncbi.nlm.nih.gov/26784705</t>
  </si>
  <si>
    <t>The American Joint Committee on Cancer (AJCC) has increasingly recognized the need for more personalized probabilistic predictions than those delivered by ordinal staging systems, particularly through the use of accurate risk models or calculators. However, judging the quality and acceptability of a risk model is complex. The AJCC Precision Medicine Core conducted a 2-day meeting to discuss characteristics necessary for a quality risk model in cancer patients. More specifically, the committee established inclusion and exclusion criteria necessary for a risk model to potentially be endorsed by the AJCC. This committee reviewed and discussed relevant literature before creating a checklist unique to this need of AJCC risk model endorsement. The committee identified 13 inclusion and 3 exclusion criteria for AJCC risk model endorsement in cancer. The emphasis centered on performance metrics, implementation clarity, and clinical relevance. The facilitation of personalized probabilistic predictions for cancer patients holds tremendous promise, and these criteria will hopefully greatly accelerate this process. Moreover, these criteria might be useful for a general audience when trying to judge the potential applicability of a published risk model in any clinical domain. CA Cancer J Clin 2016;66:370-374. © 2016 American Cancer Society.</t>
  </si>
  <si>
    <t>Assessing variability in results in systematic reviews of diagnostic studies.</t>
  </si>
  <si>
    <t>Naaktgeboren, Christiana A; Ochodo, Eleanor A; Van Enst, Wynanda A; de Groot, Joris A H; Hooft, Lotty; Leeflang, Mariska M G; Bossuyt, Patrick M; Moons, Karel G M; Reitsma, Johannes B</t>
  </si>
  <si>
    <t>https://pubmed.ncbi.nlm.nih.gov/26772804</t>
  </si>
  <si>
    <t>To describe approaches used in systematic reviews of diagnostic test accuracy studies for assessing variability in estimates of accuracy between studies and to provide guidance in this area. Meta-analyses of diagnostic test accuracy studies published between May and September 2012 were systematically identified. Information on how the variability in results was investigated was extracted. Of the 53 meta-analyses included in the review, most (n=48; 91%) presented variability in diagnostic accuracy estimates visually either through forest plots or ROC plots and the majority (n=40; 75%) presented a test or statistical measure for the variability. Twenty-eight reviews (53%) tested for variability beyond chance using Cochran's Q test and 31 (58%) reviews quantified it with I(2). 7 reviews (13%) presented between-study variance estimates (τ(2)) from random effects models and 3 of these presented a prediction interval or ellipse to facilitate interpretation. Half of all the meta-analyses specified what was considered a significant amount of variability (n=24; 49%). Approaches to assessing variability in estimates of accuracy varied widely between diagnostic test accuracy reviews and there is room for improvement. We provide initial guidance, complemented by an overview of the currently available approaches.</t>
  </si>
  <si>
    <t>CT angiography and CT perfusion improve prediction of infarct volume in patients with anterior circulation stroke.</t>
  </si>
  <si>
    <t>van Seeters, Tom; Biessels, Geert Jan; Kappelle, L Jaap; van der Schaaf, Irene C; Dankbaar, Jan Willem; Horsch, Alexander D; Niesten, Joris M; Luitse, Merel J A; Majoie, Charles B L M; Vos, Jan Albert; Schonewille, Wouter J; van Walderveen, Marianne A A; Wermer, Marieke J H; Duijm, Lucien E M; Keizer, Koos; Bot, Joseph C J; Visser, Marieke C; van der Lugt, Aad; Dippel, Diederik W J; Kesselring, F Oskar H W; Hofmeijer, Jeannette; Lycklama À Nijeholt, Geert J; Boiten, Jelis; van Rooij, Willem Jan; de Kort, Paul L M; Roos, Yvo B W E M; Meijer, Frederick J A; Pleiter, C Constantijn; Mali, Willem P T M; van der Graaf, Yolanda; Velthuis, Birgitta K; ,</t>
  </si>
  <si>
    <t>https://pubmed.ncbi.nlm.nih.gov/26767380</t>
  </si>
  <si>
    <t>We investigated whether baseline CT angiography (CTA) and CT perfusion (CTP) in acute ischemic stroke could improve prediction of infarct presence and infarct volume on follow-up imaging. We analyzed 906 patients with suspected anterior circulation stroke from the prospective multicenter Dutch acute stroke study (DUST). All patients underwent baseline non-contrast CT, CTA, and CTP and follow-up non-contrast CT/MRI after 3 days. Multivariable regression models were developed including patient characteristics and non-contrast CT, and subsequently, CTA and CTP measures were added. The increase in area under the curve (AUC) and R (2) was assessed to determine the additional value of CTA and CTP. At follow-up, 612 patients (67.5%) had a detectable infarct on CT/MRI; median infarct volume was 14.8 mL (interquartile range (IQR) 2.8-69.6). Regarding infarct presence, the AUC of 0.82 (95% confidence interval (CI) 0.79-0.85) for patient characteristics and non-contrast CT was improved with addition of CTA measures (AUC 0.85 (95% CI 0.82-0.87); p &lt; 0.001) and was even higher after addition of CTP measures (AUC 0.89 (95% CI 0.87-0.91); p &lt; 0.001) and combined CTA/CTP measures (AUC 0.89 (95% CI 0.87-0.91); p &lt; 0.001). For infarct volume, adding combined CTA/CTP measures (R (2) = 0.58) was superior to patient characteristics and non-contrast CT alone (R (2) = 0.44) and to addition of CTA alone (R (2) = 0.55) or CTP alone (R (2) = 0.54; all p &lt; 0.001). In the acute stage, CTA and CTP have additional value over patient characteristics and non-contrast CT for predicting infarct presence and infarct volume on follow-up imaging. These findings could be applied for patient selection in future trials on ischemic stroke treatment.</t>
  </si>
  <si>
    <t>Estimating the risk of dengue transmission from Dutch blood donors travelling to Suriname and the Dutch Caribbean.</t>
  </si>
  <si>
    <t>Oei, W; Lieshout-Krikke, R W; Kretzschmar, M E; Zaaijer, H L; Coutinho, R A; Eersel, M; Jubithana, B; Halabi, Y; Gerstenbluth, I; Maduro, E; Tromp, M; Janssen, M P</t>
  </si>
  <si>
    <t>vox sanguinis</t>
  </si>
  <si>
    <t>https://pubmed.ncbi.nlm.nih.gov/26765798</t>
  </si>
  <si>
    <t>The risk of dengue transmitted by travellers is known. Methods to estimate the transmission by transfusion (TT) risk from blood donors travelling to risk areas are available, for instance, the European Up-Front Risk Assessment Tool (EUFRAT). This study aimed to validate the estimated risk from travelling donors obtained from EUFRAT. Surveillance data on notified dengue cases in Suriname and the Dutch Caribbean islands (Aruba, Curaçao, St. Maarten, Bonaire, St. Eustatius and Saba) in 2001-2011 was used to calculate local incidence rates. Information on travel and donation behaviour of Dutch donors was collected. With the EUFRAT model, the TT risks from Dutch travelling donors were calculated. Model estimates were compared with the number of infections in Dutch travellers found by laboratory tests in the Netherlands. The expected cumulative number of donors becoming infected during travels to Suriname and the Dutch Caribbean from 2001 to 2011 was estimated at 5 (95% CI, 2-11) and 86 (45-179), respectively. The infection risk inferred from the laboratory-based study was 19 (9-61) and 28 (14-92). Given the independence of the data sources, these estimates are remarkably close. The model estimated that 0·02 (0·001-0·06) and 0·40 (0·01-1·4) recipients would have been infected by these travelling donors. The EUFRAT model provided an estimate close to actual observed number of dengue infections. The dengue TT risk among Dutch travelling donors can be estimated using basic transmission, travel and donation information. The TT risk from Dutch donors travelling to Suriname and the Dutch Caribbean is small.</t>
  </si>
  <si>
    <t>Lifestyle Changes in Young Adulthood and Middle Age and Risk of Cardiovascular Disease and All-Cause Mortality: The Doetinchem Cohort Study.</t>
  </si>
  <si>
    <t>Hulsegge, Gerben; Looman, Moniek; Smit, Henriëtte A; Daviglus, Martha L; van der Schouw, Yvonne T; Verschuren, W M Monique</t>
  </si>
  <si>
    <t>https://pubmed.ncbi.nlm.nih.gov/26764411</t>
  </si>
  <si>
    <t>The associations between overall lifestyle profile and cardiovascular disease (CVD) and death have been mainly investigated in cross-sectional studies. The full benefits of a healthy lifestyle may therefore be underestimated, and the magnitude of benefits associated with changes in lifestyle remains unclear. We quantified the association of changes in lifestyle profiles over 5 years with risk of CVD and all-cause mortality. Lifestyle factors (ie, diet, physical activity, smoking, alcohol consumption) and body mass index were assessed and dichotomized as healthy/unhealthy among 5263 adults ages 26 to 66 in 1993-1997 and 5 years later (1998-2002). Multivariable-adjusted hazard ratios (HRs) and corresponding 95% confidence intervals (CIs) were estimated to quantify associations of change in lifestyle with fatal/nonfatal CVD and all-cause mortality that occurred 8 to 15 years after 1998-2002. Independent of baseline lifestyles, each decrement in number of healthy lifestyle factors was, on average, associated with 35% higher risk of CVD (HR, 1.35; 95% CI, 1.12-1.63) and 37% higher risk of all-cause mortality (HR, 1.37; 95% CI, 1.10-1.70); no association was noted with increase in the number of healthy lifestyle factors (P&gt;0.5). Individuals who maintained 4 to 5 healthy lifestyle factors had 2.5 times lower risk of CVD (HR, 0.43; 95% CI, 0.25-0.63) and all-cause mortality (HR, 0.40; 95% CI, 0.22-0.73) than those who maintained only 0 to 1 healthy lifestyle factor. Our findings suggest that the benefits of healthy lifestyles may be easier lost than gained over a 5-year period. This underscores the need for efforts to promote maintenance of healthy lifestyles throughout the life course.</t>
  </si>
  <si>
    <t>Improving GRADE evidence tables part 3: detailed guidance for explanatory footnotes supports creating and understanding GRADE certainty in the evidence judgments.</t>
  </si>
  <si>
    <t>Santesso, Nancy; Carrasco-Labra, Alonso; Langendam, Miranda; Brignardello-Petersen, Romina; Mustafa, Reem A; Heus, Pauline; Lasserson, Toby; Opiyo, Newton; Kunnamo, Ilkka; Sinclair, David; Garner, Paul; Treweek, Shaun; Tovey, David; Akl, Elie A; Tugwell, Peter; Brozek, Jan L; Guyatt, Gordon; Schünemann, Holger J</t>
  </si>
  <si>
    <t>https://pubmed.ncbi.nlm.nih.gov/26796947</t>
  </si>
  <si>
    <t>The Grading of Recommendations Assessment, Development and Evaluation (GRADE) is widely used and reliable and accurate for assessing the certainty in the body of health evidence. The GRADE working group has provided detailed guidance for assessing the certainty in the body of evidence in systematic reviews and health technology assessments (HTAs) and how to grade the strength of health recommendations. However, there is limited advice regarding how to maximize transparency of these judgments, in particular through explanatory footnotes or explanations in Summary of Findings tables and Evidence Profiles (GRADE evidence tables). We conducted this study to define the essential attributes of useful explanations and to develop specific guidance for explanations associated with GRADE evidence tables. We used a sample of explanations according to their complexity, type of judgment involved, and appropriateness from a database of published GRADE evidence tables in Cochrane reviews and World Health Organization guidelines. We used an iterative process and group consensus to determine the attributes and develop guidance. Explanations in GRADE evidence tables should be concise, informative, relevant, easy to understand, and accurate. We provide general and domain-specific guidance to assist authors with achieving these desirable attributes in their explanations associated with GRADE evidence tables. Adhering to the general and GRADE domain-specific guidance should improve the quality of explanations associated with GRADE evidence tables, assist authors of systematic reviews, HTA reports, or guidelines with information that they can use in other parts of their evidence synthesis. This guidance will also support editorial evaluation of evidence syntheses using GRADE and provide a minimum quality standard of judgments across tables.</t>
  </si>
  <si>
    <t>GetReal in network meta-analysis: a review of the methodology.</t>
  </si>
  <si>
    <t>Efthimiou, Orestis; Debray, Thomas P A; van Valkenhoef, Gert; Trelle, Sven; Panayidou, Klea; Moons, Karel G M; Reitsma, Johannes B; Shang, Aijing; Salanti, Georgia; ,</t>
  </si>
  <si>
    <t>https://pubmed.ncbi.nlm.nih.gov/26754852</t>
  </si>
  <si>
    <t>Pairwise meta-analysis is an established statistical tool for synthesizing evidence from multiple trials, but it is informative only about the relative efficacy of two specific interventions. The usefulness of pairwise meta-analysis is thus limited in real-life medical practice, where many competing interventions may be available for a certain condition and studies informing some of the pairwise comparisons may be lacking. This commonly encountered scenario has led to the development of network meta-analysis (NMA). In the last decade, several applications, methodological developments, and empirical studies in NMA have been published, and the area is thriving as its relevance to public health is increasingly recognized. This article presents a review of the relevant literature on NMA methodology aiming to pinpoint the developments that have appeared in the field. Copyright © 2016 John Wiley &amp; Sons, Ltd.</t>
  </si>
  <si>
    <t>Improving GRADE evidence tables part 2: a systematic survey of explanatory notes shows more guidance is needed.</t>
  </si>
  <si>
    <t>Langendam, Miranda; Carrasco-Labra, Alonso; Santesso, Nancy; Mustafa, Reem A; Brignardello-Petersen, Romina; Ventresca, Matthew; Heus, Pauline; Lasserson, Toby; Moustgaard, Rasmus; Brozek, Jan; Schünemann, Holger J</t>
  </si>
  <si>
    <t>https://pubmed.ncbi.nlm.nih.gov/26791431</t>
  </si>
  <si>
    <t>The Grading of Recommendations Assessment, Development, and Evaluation (GRADE) working group has developed GRADE evidence profiles (EP) and summary of findings (SoF) tables to present evidence summaries in systematic reviews, clinical guidelines, and health technology assessments. Explanatory notes are used to explain choices and judgments in these summaries, for example, on rating of the quality of evidence. A systematic survey of the explanations in SoF tables in 132 randomly selected Cochrane Intervention reviews and in EPs of 10 guidelines. We analyzed the content of 1,291 explanations using a predefined list of criteria. Most explanations were used to describe or communicate results and to explain downgrading of the quality of evidence, in particular for risk of bias and imprecision. Addressing the source of baseline risk (observational data or control group risk) was often missing. For judgments about downgrading the quality of evidence, the percentage of informative explanations ranged between 41% (imprecision) and 79% (indirectness). We found that by and large explanations were informative but detected several areas for improvement (e.g., source of baseline risk and judgments on imprecision). Guidance about explanatory footnotes and comments will be provided in the last article in this series.</t>
  </si>
  <si>
    <t>The relation between apolipoprotein E (APOE) genotype and peripheral artery disease in patients at high risk for cardiovascular disease.</t>
  </si>
  <si>
    <t>Koopal, Charlotte; Geerlings, Mirjam I; Muller, Majon; de Borst, G J; Algra, Ale; van der Graaf, Yolanda; Visseren, Frank L J; ,</t>
  </si>
  <si>
    <t>https://pubmed.ncbi.nlm.nih.gov/26800308</t>
  </si>
  <si>
    <t>The apolipoprotein E gene (APOE) is associated with coronary heart disease and stroke, but the relation with peripheral artery disease (PAD) is unknown. We investigated the relation of APOE genotype with PAD and other types of vascular disease. The cross-sectional association between APOE genotype and ankle-brachial index (ABI) and vascular disease prevalence; and the prospective relation with incident PAD and other types of vascular disease (coronary artery disease, stroke and vascular mortality) were evaluated in 7418 patients from the Secondary Manifestations of ARTerial disease (SMART) study. This is a prospective cohort study in patients with cardiovascular disease or a cardiovascular risk factor. Analyses were adjusted for age and sex. Mean age was 56.7 ± 12.4 years and 68% of the patients was male. APOE genotype frequencies were ε2ε2 1.3%; ε2ε3 9.9%; ε2ε4 2.4%; ε3ε3 56.9%; ε3ε4 26.7% and ε4ε4 2.8%. Median follow-up time was 8.1 years (IQR 5.4-11.4) in which 452 new PAD events occurred. The ε2ε2 genotype was significantly associated with a lower ABI (regression coefficient -0.04, 95%CI -0.07 to -0.01), increased PAD prevalence (prevalence ratio 1.54, 95%CI 1.01-2.17) and a higher risk of incident PAD (HR 2.31, 95%CI 1.29-4.12) compared with ε3ε3. No relations between APOE genotypes and other vascular disease were observed. Of the six APOE genotypes, the ε2ε2 variant is associated with an increased risk for PAD in patients at high risk for cardiovascular disease. No association was observed between APOE genotype and coronary artery disease, stroke or vascular mortality in this population.</t>
  </si>
  <si>
    <t>The association of dairy intake of children and adolescents with different food and nutrient intakes in the Netherlands.</t>
  </si>
  <si>
    <t>Campmans-Kuijpers, Marjo J E; Singh-Povel, Cecile; Steijns, Jan; Beulens, Joline W J</t>
  </si>
  <si>
    <t>https://pubmed.ncbi.nlm.nih.gov/26749195</t>
  </si>
  <si>
    <t>Dairy products are nutrient-rich foods that may contribute to adequate nutrient intakes. However, dairy intake might also be associated with other food sources that influence nutrient intakes. Therefore, we studied the association of dairy, milk and cheese intake with intake of foods and nutrients from (non)dairy sources. Dietary intake was assessed from 2007 to 2010 through two non-consecutive 24-h dietary recalls in 1007 children (7-13 years) and 706 adolescents (14-18 years). Participants were divided into non-consumers of a particular dairy product and tertiles according to their dairy intake (lowest, medium and highest intake). P for trend was calculated by linear regression over the median intakes of non-consumers and the tertiles for dairy, milk and cheese. In children, higher dairy consumption was associated with higher intakes of fruits (54.8 g ± 22.3; p &lt; 0.0001), vegetables (25.0 g ± 14.6; p = 0.001) and cereals (18.5 g ± 20.7; p = 0.01) and with lower consumption of non-alcoholic beverages (-281 g ± 101; p = 0.01): soft drinks (-159 g ± 28.2; p &lt; 0.0001) and fruit juices (-40.5 ± 14.8; p = 0.01). Results were comparable for milk consumption. In adolescents, similar results were found for milk and dairy consumption, except for the associations with higher fruits and vegetable intake. In children and adolescents, higher cheese consumption was associated with higher vegetable and non-alcoholic beverages consumption; and lower meat consumption (-7.8 g ± 4.8; p = 0.05) in children. Higher cheese consumption was also associated with higher intakes of saturated fat (8.5 g ± 0.9), trans-fatty acids (0.48 g ± 0.06), sodium (614 mg ± 59.3) and several vitamins and minerals . Higher milk and dairy consumption were associated with lower non-alcoholic beverages consumption, and higher cereal, fruit and vegetable consumption in children, which was also reflected in the nutrient intakes. These findings confirm that the consumption of milk and dairy products might be a marker for healthier eating habits.</t>
  </si>
  <si>
    <t>Search for flavour-changing neutral current top-quark decays to [Formula: see text] in [Formula: see text] collision data collected with the ATLAS detector at [Formula: see text] TeV.</t>
  </si>
  <si>
    <t>https://pubmed.ncbi.nlm.nih.gov/26855606</t>
  </si>
  <si>
    <t>A search for the flavour-changing neutral-current decay [Formula: see text] is presented. Data collected by the ATLAS detector during 2012 from proton-proton collisions at the Large Hadron Collider at a centre-of-mass energy of [Formula: see text] TeV, corresponding to an integrated luminosity of 20.3 fb[Formula: see text], are analysed. Top-quark pair-production events with one top quark decaying through the [Formula: see text] ([Formula: see text]) channel and the other through the dominant Standard Model mode [Formula: see text] are considered as signal. Only the decays of the &lt;i&gt;Z&lt;/i&gt; boson to charged leptons and leptonic &lt;i&gt;W&lt;/i&gt; boson decays are used. No evidence for a signal is found and an observed (expected) upper limit on the [Formula: see text] branching ratio of [Formula: see text] ([Formula: see text]) is set at the 95 % confidence level.</t>
  </si>
  <si>
    <t>Estimated cardiovascular relative risk reduction from fixed-dose combination pill (polypill) treatment in a wide range of patients with a moderate risk of cardiovascular disease.</t>
  </si>
  <si>
    <t>Lafeber, Melvin; Webster, Ruth; Visseren, Frank Lj; Bots, Michiel L; Grobbee, Diederick E; Spiering, W; Rodgers, Anthony; ,</t>
  </si>
  <si>
    <t>https://pubmed.ncbi.nlm.nih.gov/26743587</t>
  </si>
  <si>
    <t>Recent data indicate that fixed-dose combination (FDC) pills, polypills, can produce sizeable risk factor reductions. There are very few published data on the consistency of the effects of a polypill in different patient populations. It is unclear for example whether the effects of the polypill are mainly driven by the individuals with high individual risk factor levels. The aim of the present study is to examine whether baseline risk factor levels modify the effect of polypill treatment on low-density lipoprotein (LDL)-cholesterol, blood pressure (BP), calculated cardiovascular relative risk reduction and adverse events. This paper describes a post-hoc analysis of a randomised, placebo-controlled trial of a polypill (containing aspirin 75 mg, simvastatin 20 mg, lisinopril 10 mg and hydrochlorothiazide 12.5 mg) in 378 individuals without an indication for any component of the polypill, but who had an estimated five-year risk for cardiovascular disease ≥7.5%. The outcomes considered were effect modification by baseline risk factor levels on change in LDL-cholesterol, systolic BP, calculated cardiovascular relative risk reduction and adverse events. The mean LDL-cholesterol in the polypill group was 0.9 mmol/l (95% confidence interval (CI): 0.8-1.0) lower compared with the placebo group during follow-up. Those with a baseline LDL-cholesterol &gt;3.6 mmol/l achieved a greater absolute LDL-cholesterol reduction with the polypill compared with placebo, than patients with an LDL-cholesterol ≤3.6 mmol/l (-1.1 versus -0.6 mmol/l, respectively). The mean systolic BP was 10 mm Hg (95% CI: 8-12) lower in the polypill group. In participants with a baseline systolic BP &gt;135 mm Hg the polypill resulted in a greater absolute systolic BP reduction with the polypill compared with placebo, than participants with a systolic BP ≤ 135 mm Hg (-12 versus -7 mm Hg, respectively). Calculated from individual risk factor reductions, the mean cardiovascular relative risk reduction was 48% (95% CI: 43-52) in the polypill group. Both baseline LDL-cholesterol and estimated cardiovascular risk were significant modifiers of the estimated cardiovascular relative risk reduction caused by the polypill. Adverse events did not appear to be related to baseline risk factor levels or the estimated cardiovascular risk. This study demonstrated that the effect of a cardiovascular polypill on risk factor levels is modified by the level of these risk factors. Groups defined by baseline LDL-cholesterol or systolic BP had large differences in risk factor reductions but only moderate differences in estimated cardiovascular relative risk reduction, suggesting also that patients with mildly increased risk factor levels but an overall raised cardiovascular risk benefit from being treated with a polypill.</t>
  </si>
  <si>
    <t>Survival or Mortality: Does Risk Attribute Framing Influence Decision-Making Behavior in a Discrete Choice Experiment?</t>
  </si>
  <si>
    <t>Veldwijk, Jorien; Essers, Brigitte A B; Lambooij, Mattijs S; Dirksen, Carmen D; Smit, Henriette A; de Wit, G Ardine</t>
  </si>
  <si>
    <t>https://pubmed.ncbi.nlm.nih.gov/27021754</t>
  </si>
  <si>
    <t>To test how attribute framing in a discrete choice experiment (DCE) affects respondents' decision-making behavior and their preferences. Two versions of a DCE questionnaire containing nine choice tasks were distributed among a representative sample of the Dutch population aged 55 to 65 years. The DCE consisted of four attributes related to the decision regarding participation in genetic screening for colorectal cancer (CRC). The risk attribute included was framed positively as the probability of surviving CRC and negatively as the probability of dying from CRC. Panel mixed-logit models were used to estimate the relative importance of the attributes. The data of the positively and negatively framed DCE were compared on the basis of direct attribute ranking, dominant decision-making behavior, preferences, and importance scores. The majority (56%) of the respondents ranked survival as the most important attribute in the positively framed DCE, whereas only a minority (8%) of the respondents ranked mortality as the most important attribute in the negatively framed DCE. Respondents made dominant choices based on survival significantly more often than based on mortality. The framing of the risk attribute significantly influenced all attribute-level estimates and resulted in different preference structures among respondents in the positively and negatively framed data set. Risk framing affects how respondents value the presented risk. Positive risk framing led to increased dominant decision-making behavior, whereas negative risk framing led to risk-seeking behavior. Attribute framing should have a prominent part in the expert and focus group interviews, and different types of framing should be used in the pilot version of DCEs as well as in actual DCEs to estimate the magnitude of the effect of choosing different types of framing.</t>
  </si>
  <si>
    <t>Measurements of fiducial cross-sections for [Formula: see text] production with one or two additional &lt;i&gt;b&lt;/i&gt;-jets in &lt;i&gt;pp&lt;/i&gt; collisions at [Formula: see text]=8 TeV using the ATLAS detector.</t>
  </si>
  <si>
    <t>https://pubmed.ncbi.nlm.nih.gov/26770069</t>
  </si>
  <si>
    <t>Fiducial cross-sections for [Formula: see text] production with one or two additional &lt;i&gt;b&lt;/i&gt;-jets are reported, using an integrated luminosity of 20.3 fb[Formula: see text] of proton-proton collisions at a centre-of-mass energy of 8 TeV at the Large Hadron Collider, collected with the ATLAS detector. The cross-section times branching ratio for [Formula: see text] events with at least one additional &lt;i&gt;b&lt;/i&gt;-jet is measured to be 950 [Formula: see text] 70 (stat.) [Formula: see text] (syst.) fb in the lepton-plus-jets channel and 50 [Formula: see text] 10 (stat.) [Formula: see text] (syst.) fb in the [Formula: see text] channel. The cross-section times branching ratio for events with at least two additional &lt;i&gt;b&lt;/i&gt;-jets is measured to be 19.3 [Formula: see text] 3.5 (stat.) [Formula: see text] 5.7 (syst.) fb in the dilepton channel ([Formula: see text], [Formula: see text], and  &lt;i&gt;ee&lt;/i&gt;) using a method based on tight selection criteria, and 13.5 [Formula: see text] 3.3 (stat.) [Formula: see text] 3.6 (syst.) fb using a looser selection that allows the background normalisation to be extracted from data. The latter method also measures a value of 1.30 [Formula: see text] 0.33 (stat.) [Formula: see text] 0.28 (syst.)% for the ratio of [Formula: see text] production with two additional &lt;i&gt;b&lt;/i&gt;-jets to [Formula: see text] production with any two additional jets. All measurements are in good agreement with recent theory predictions.</t>
  </si>
  <si>
    <t>Chemotherapy effectiveness and mortality prediction in surgically treated osteosarcoma dogs: A validation study.</t>
  </si>
  <si>
    <t>Schmidt, A F; Nielen, M; Withrow, S J; Selmic, L E; Burton, J H; Klungel, O H; Groenwold, R H H; Kirpensteijn, J</t>
  </si>
  <si>
    <t>preventive veterinary medicine</t>
  </si>
  <si>
    <t>https://pubmed.ncbi.nlm.nih.gov/26827107</t>
  </si>
  <si>
    <t>Canine osteosarcoma is the most common bone cancer, and an important cause of mortality and morbidity, in large purebred dogs. Previously we constructed two multivariable models to predict a dog's 5-month or 1-year mortality risk after surgical treatment for osteosarcoma. According to the 5-month model, dogs with a relatively low risk of 5-month mortality benefited most from additional chemotherapy treatment. In the present study, we externally validated these results using an independent cohort study of 794 dogs. External performance of our prediction models showed some disagreement between observed and predicted risk, mean difference: -0.11 (95% confidence interval [95% CI]-0.29; 0.08) for 5-month risk and 0.25 (95%CI 0.10; 0.40) for 1-year mortality risk. After updating the intercept, agreement improved: -0.0004 (95%CI-0.16; 0.16) and -0.002 (95%CI-0.15; 0.15). The chemotherapy by predicted mortality risk interaction (P-value=0.01) showed that the chemotherapy compared to no chemotherapy effectiveness was modified by 5-month mortality risk: dogs with a relatively lower risk of mortality benefited most from additional chemotherapy. Chemotherapy effectiveness on 1-year mortality was not significantly modified by predicted risk (P-value=0.28). In conclusion, this external validation study confirmed that our multivariable risk prediction models can predict a patient's mortality risk and that dogs with a relatively lower risk of 5-month mortality seem to benefit most from chemotherapy.</t>
  </si>
  <si>
    <t>Effects of paediatric HIV infection on childhood vasculature.</t>
  </si>
  <si>
    <t>Idris, Nikmah S; Grobbee, Diederick E; Burgner, David; Cheung, Michael M H; Kurniati, Nia; Uiterwaal, Cuno S P M</t>
  </si>
  <si>
    <t>https://pubmed.ncbi.nlm.nih.gov/26746627</t>
  </si>
  <si>
    <t>Human immunodeficiency virus (HIV) infection may alter childhood vascular properties and influence future cardiovascular risk. Whether vascular changes are associated with HIV infection per se or antiretroviral therapy (ART) is unknown. We investigated the effects of ART-naive or ART-exposed HIV infection in children on childhood vascular characteristics. We performed vascular ultrasound to measure carotid intima media thickness (cIMT), distensibility, and elastic modulus on 114 children with vertically acquired HIV infection (56 ART-naive, 58 ART treated) and 51 healthy children in Jakarta, Indonesia. Children also underwent clinical and blood examinations. We used general linear modelling to estimate associations between HIV infection/treatment status and vascular characteristics with adjustment for confounders or possible mediators. Vascular measurements were successful in 42 ART-naive HIV-infected [median age 4.0 years (min 0.4-max 11.5)]; 53 ART-treated HIV infected [5.7 years (0.6-12.2), median ART duration 2.4 years (0.1-9.9)]; and 48 healthy children, 6.5 years (2.4-14.0). The ART-naive HIV infected had thicker cIMT (difference 70.4 µm, 95% CI 32.1-108.7, P &lt; 0.001), adjusted for age, sex, socioeconomic status, parental smoking, body mass index, systolic and diastolic blood pressure, LDL cholesterol, and HbA1c. Addition of high-sensitivity C-reactive protein (hs-CRP) level to the model did not affect the results (71.6 µm, 31.9-111.2, P = 0.001). The ART-exposed children had similar cIMT dimensions to healthy children. Distensibility was not significantly different between HIV infected, either ART-naive or -exposed, and healthy children, but adjusted analysis including only ART-exposed children with controlled HIV (CD4+ ≥200/mm&lt;sup&gt;3&lt;/sup&gt; or CD4+ ≥15%) showed that the ART-exposed had an increased elastic modulus (difference 37.9 kPa, 95% CI 6.5-69.3, P = 0.02), and following adjustment for hs-CRP (35.5 kPa, 95% CI 4.2-66.8, P = 0.03). ART-naive HIV infection in children is associated with increased cIMT. Children with ART-controlled HIV may have increased arterial stiffness, although further confirmation is required.</t>
  </si>
  <si>
    <t>Metabolomic biomarkers for personalised glucose lowering drugs treatment in type 2 diabetes.</t>
  </si>
  <si>
    <t>den Ouden, Henk; Pellis, Linette; Rutten, Guy E H M; Geerars-van Vonderen, Ilse K; Rubingh, Carina M; van Ommen, Ben; van Erk, Marjan J; Beulens, Joline W J</t>
  </si>
  <si>
    <t>metabolomics official journal of the metabolomic society</t>
  </si>
  <si>
    <t>https://pubmed.ncbi.nlm.nih.gov/26770180</t>
  </si>
  <si>
    <t>We aimed to identify metabolites to predict patients' response to glucose lowering treatment during the first 5 years after detection of type 2 diabetes. Metabolites were measured by GC-MS in baseline samples from 346 screen-detected type 2 diabetes patients in the ADDITION-NL study. The response to treatment with metformin and/or sulphonylurea (SU) was analysed to identify metabolites predictive of 5 year HbA1c change by multiple regression analysis. Baseline glucose and 1,5 anhydro-glucitol were associated with HbA&lt;sub&gt;1c&lt;/sub&gt; decrease in all medication groups. In patients on SU no other metabolite was associated with HbA1c decrease. A larger set of metabolites was associated with HbA1c change in the metformin and the combination therapy (metformin + SU) groups. These metabolites included metabolites related to liver metabolism, such as 2-hydroxybutanoic acid, 3-hydroxybutanoic acid, 2-hydroxypiperidine and 4-oxoproline). Metabolites involved in oxidative stress and insulin resistance were higher when the HbA1c decrease was larger in the metformin/sulphonylurea group. The associations between baseline metabolites and responsiveness to medication are in line with its mode of action. If these results could be replicated in other populations, the most promising predictive candidates might be tested to assess whether they could enhance personalised treatment.</t>
  </si>
  <si>
    <t>Measurements of the Higgs boson production and decay rates and coupling strengths using &lt;i&gt;pp&lt;/i&gt; collision data at [Formula: see text] and 8 TeV in the ATLAS experiment.</t>
  </si>
  <si>
    <t>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</si>
  <si>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https://pubmed.ncbi.nlm.nih.gov/26770068</t>
  </si>
  <si>
    <t>Combined analyses of the Higgs boson production and decay rates as well as its coupling strengths to vector bosons and fermions are presented. The combinations include the results of the analyses of the [Formula: see text] and [Formula: see text] decay modes, and the constraints on the associated production with a pair of top quarks and on the off-shell coupling strengths of the Higgs boson. The results are based on the LHC proton-proton collision datasets, with integrated luminosities of up to 4.7 [Formula: see text] at [Formula: see text] TeV and 20.3 [Formula: see text] at [Formula: see text] TeV, recorded by the ATLAS detector in 2011 and 2012. Combining all production modes and decay channels, the measured signal yield, normalised to the Standard Model expectation, is [Formula: see text]. The observed Higgs boson production and decay rates are interpreted in a leading-order coupling framework, exploring a wide range of benchmark coupling models both with and without assumptions on the Higgs boson width and on the Standard Model particle content in loop processes. The data are found to be compatible with the Standard Model expectations for a Higgs boson at a mass of 125.36 GeV for all models considered.</t>
  </si>
  <si>
    <t>Searches for scalar leptoquarks in &lt;i&gt;pp&lt;/i&gt; collisions at [Formula: see text] = 8 TeV with the ATLAS detector.</t>
  </si>
  <si>
    <t>https://pubmed.ncbi.nlm.nih.gov/26770067</t>
  </si>
  <si>
    <t>Searches for pair-produced scalar leptoquarks are performed using 20 fb[Formula: see text] of proton-proton collision data provided by the LHC and recorded by the ATLAS detector at [Formula: see text] TeV. Events with two electrons (muons) and two or more jets in the final state are used to search for first (second)-generation leptoquarks. The results from two previously published ATLAS analyses are interpreted in terms of third-generation leptoquarks decaying to [Formula: see text] and [Formula: see text] final states. No statistically significant excess above the Standard Model expectation is observed in any channel and scalar leptoquarks are excluded at 95 % CL with masses up to [Formula: see text] 1050 GeV for first-generation leptoquarks, [Formula: see text] 1000 GeV for second-generation leptoquarks, [Formula: see text] 625 GeV for third-generation leptoquarks in the [Formula: see text] channel, and 200 [Formula: see text] 640 GeV in the [Formula: see text] channel.</t>
  </si>
  <si>
    <t>Study of the [Formula: see text] and [Formula: see text] decays with the ATLAS detector.</t>
  </si>
  <si>
    <t>https://pubmed.ncbi.nlm.nih.gov/26770066</t>
  </si>
  <si>
    <t>The decays [Formula: see text] and [Formula: see text] are studied with the ATLAS detector at the LHC using a dataset corresponding to integrated luminosities of 4.9 and 20.6 fb[Formula: see text] of &lt;i&gt;pp&lt;/i&gt; collisions collected at centre-of-mass energies [Formula: see text] TeV and 8 TeV, respectively. Signal candidates are identified through [Formula: see text] and [Formula: see text] decays. With a two-dimensional likelihood fit involving the [Formula: see text] reconstructed invariant mass and an angle between the [Formula: see text] and [Formula: see text] candidate momenta in the muon pair rest frame, the yields of [Formula: see text] and [Formula: see text], and the transverse polarisation fraction in [Formula: see text] decay are measured. The transverse polarisation fraction is determined to be [Formula: see text], and the derived ratio of the branching fractions of the two modes is [Formula: see text], where the first error is statistical and the second is systematic. Finally, a sample of [Formula: see text] decays is used to derive the ratios of branching fractions [Formula: see text] and [Formula: see text], where the third error corresponds to the uncertainty of the branching fraction of [Formula: see text] decay. The available theoretical predictions are generally consistent with the measurement.</t>
  </si>
  <si>
    <t>Higher convection volume exchange with online hemodiafiltration is associated with survival advantage for dialysis patients: the effect of adjustment for body size.</t>
  </si>
  <si>
    <t>Davenport, Andrew; Peters, Sanne A E; Bots, Michiel L; Canaud, Bernard; Grooteman, Muriel P C; Asci, Gulay; Locatelli, Francesco; Maduell, Francisco; Morena, Marion; Nubé, Menso J; Ok, Ercan; Torres, Ferran; Woodward, Mark; Blankestijn, Peter J; ,</t>
  </si>
  <si>
    <t>kidney international</t>
  </si>
  <si>
    <t>https://pubmed.ncbi.nlm.nih.gov/26352299</t>
  </si>
  <si>
    <t>Mortality remains high for hemodialysis patients. Online hemodiafiltration (OL-HDF) removes more middle-sized uremic toxins but outcomes of individual trials comparing OL-HDF with hemodialysis have been discrepant. Secondary analyses reported higher convective volumes, easier to achieve in larger patients, and improved survival. Here we tested different methods to standardize OL-HDF convection volume on all-cause and cardiovascular mortality compared with hemodialysis. Pooled individual patient analysis of four prospective trials compared thirds of delivered convection volume with hemodialysis. Convection volumes were either not standardized or standardized to weight, body mass index, body surface area, and total body water. Data were analyzed by multivariable Cox proportional hazards modeling from 2793 patients. All-cause mortality was reduced when the convective dose was unstandardized or standardized to body surface area and total body water; hazard ratio (95% confidence intervals) of 0.65 (0.51-0.82), 0.74 (0.58-0.93), and 0.71 (0.56-0.93) for those receiving higher convective doses. Standardization by body weight or body mass index gave no significant survival advantage. Higher convection volumes were generally associated with greater survival benefit with OL-HDF, but results varied across different ways of standardization for body size. Thus, further studies should take body size into account when evaluating the impact of delivered convection volume on mortality end points.</t>
  </si>
  <si>
    <t>Obesity and risk of bleeding: the SMART study.</t>
  </si>
  <si>
    <t>Braekkan, S K; van der Graaf, Y; Visseren, F L J; Algra, A</t>
  </si>
  <si>
    <t>https://pubmed.ncbi.nlm.nih.gov/26514237</t>
  </si>
  <si>
    <t>Essentials Whether obesity protects against clinically relevant bleeding is unclear. We investigated the risk of bleeding according to various measures of obesity in a cohort of 9736 patients. Obesity was not associated with a lower risk of bleeding. The procoagulant profile in obese subjects may not be enough to protect against clinically relevant bleeding. Background Obesity is associated with increased levels of procoagulant factors and decreased fibrinolytic activity. Whether this hemostatic profile protects against clinically relevant bleeding has been scarcely investigated. Objectives To assess the impact of measures of obesity on the risk of bleeding in a large cohort of patients at increased atherothrombotic risk. Methods The Second Manifestation of ARTerial disease (SMART) study included 9736 patients aged 18-79 years, followed for a median of 5.9 years. Body mass index (BMI), waist circumference and hip circumference were measured at inclusion. All incident fatal or non-fatal hemorrhagic events were recorded. Results During follow-up, 359 first bleeding events occurred. In quintile-based analyses, the risk of bleeding was highest in the lowest quintile (Q) of BMI (age and sex-adjusted HR Q2 vs. Q1, 0.68; 95% CI, 0.50-0.94), but there was a threshold effect at low BMI levels (men, &lt; 23.84 kg m(-2) ; women, &lt; 22.49 kg m(-2) ), and the risk estimates for bleeding did not further change across the remaining quintiles (HR Q3 0.81 and Q5 0.75). For waist circumference the relationship appeared to be U-shaped, with the lowest risk of bleeding in quintile 3 (HR Q3 vs. Q1, 0.69; 95% CI, 0.46-1.04). Adjustments for hypertension, hemoglobin level, renal failure, diabetes and use of oral anticoagulants or platelet inhibitors did not affect the results. Conclusion Obesity was not associated with lower risk of bleeding. Our findings suggest that presumed protection against bleeding due to an apparently efficient hemostatic system may be counterbalanced by other factors in obese subjects.</t>
  </si>
  <si>
    <t>Prediction models for intracranial hemorrhage or major bleeding in patients on antiplatelet therapy: a systematic review and external validation study.</t>
  </si>
  <si>
    <t>Hilkens, N A; Algra, A; Greving, J P</t>
  </si>
  <si>
    <t>https://pubmed.ncbi.nlm.nih.gov/26563743</t>
  </si>
  <si>
    <t>ESSENTIALS: Prediction models may help to identify patients at high risk of bleeding on antiplatelet therapy. We identified existing prediction models for bleeding and validated them in patients with cerebral ischemia. Five prediction models were identified, all of which had some methodological shortcomings. Performance in patients with cerebral ischemia was poor. Background Antiplatelet therapy is widely used in secondary prevention after a transient ischemic attack (TIA) or ischemic stroke. Bleeding is the main adverse effect of antiplatelet therapy and is potentially life threatening. Identification of patients at increased risk of bleeding may help target antiplatelet therapy. This study sought to identify existing prediction models for intracranial hemorrhage or major bleeding in patients on antiplatelet therapy and evaluate their performance in patients with cerebral ischemia. We systematically searched PubMed and Embase for existing prediction models up to December 2014. The methodological quality of the included studies was assessed with the CHARMS checklist. Prediction models were externally validated in the European Stroke Prevention Study 2, comprising 6602 patients with a TIA or ischemic stroke. We assessed discrimination and calibration of included prediction models. Five prediction models were identified, of which two were developed in patients with previous cerebral ischemia. Three studies assessed major bleeding, one studied intracerebral hemorrhage and one gastrointestinal bleeding. None of the studies met all criteria of good quality. External validation showed poor discriminative performance, with c-statistics ranging from 0.53 to 0.64 and poor calibration. A limited number of prediction models is available that predict intracranial hemorrhage or major bleeding in patients on antiplatelet therapy. The methodological quality of the models varied, but was generally low. Predictive performance in patients with cerebral ischemia was poor. In order to reliably predict the risk of bleeding in patients with cerebral ischemia, development of a prediction model according to current methodological standards is needed.</t>
  </si>
  <si>
    <t>Epidemiology of heart failure: the prevalence of heart failure and ventricular dysfunction in older adults over time. A systematic review.</t>
  </si>
  <si>
    <t>van Riet, Evelien E S; Hoes, Arno W; Wagenaar, Kim P; Limburg, Alexander; Landman, Marcel A J; Rutten, Frans H</t>
  </si>
  <si>
    <t>https://pubmed.ncbi.nlm.nih.gov/26727047</t>
  </si>
  <si>
    <t>The 'epidemic' of heart failure seems to be changing, but precise prevalence estimates of heart failure and left ventricular dysfunction (LVD) in older adults, based on adequate echocardiographic assessment, are scarce. Systematic reviews including recent studies on the prevalence of heart failure and LVD are lacking. We aimed to assess the trends in the prevalence of LVD, and heart failure with reduced (HFrEF) and preserved ejection fraction (HFpEF) in the older population at large. A systematic electronic search of the databases Medline and Embase was performed. Studies that reported prevalence estimates in community-dwelling people ≥60 years old were included if echocardiography was used to establish the diagnosis. In total, 28 articles from 25 different study populations were included. The median prevalence of systolic and 'isolated' diastolic LVD was 5.5% (range 3.3-9.2%) and 36.0% (range 15.8-52.8%), respectively. A peak in systolic dysfunction prevalence seems to have occurred between 1995 and 2000. 'All type' heart failure had a median prevalence rate of 11.8% (range 4.7-13.3%), with fairly stable rates in the last decade and with HFpEF being more common than HFrEF [median prevalence 4.9% (range 3.8-7.4%) and 3.3% (range 2.4-5.8%), respectively]. Both LVD and heart failure remain common in the older population at large. The prevalence of diastolic dysfunction is on the rise and currently higher than that of systolic dysfunction. The prevalence of the latter seems to have decreased in the 21st century.</t>
  </si>
  <si>
    <t>Burden of four vaccine preventable diseases in older adults.</t>
  </si>
  <si>
    <t>Kristensen, Maartje; van Lier, Alies; Eilers, Renske; McDonald, Scott A; Opstelten, Wim; van der Maas, Nicoline; van der Hoek, Wim; Kretzschmar, Mirjam E; Nielen, Mark M; de Melker, Hester E</t>
  </si>
  <si>
    <t>https://pubmed.ncbi.nlm.nih.gov/26752065</t>
  </si>
  <si>
    <t>Implementation of additional targeted vaccinations to prevent infectious diseases in the older adults is under discussion in different countries. When considering the added value of such preventive measures, insight into the current disease burden will assist in prioritization. The aim of this study was derive the first estimates of the disease burden in adults aged 50 years or over in the Netherlands for influenza, pertussis, pneumococcal disease and herpes zoster. The average annual disease burden for these four diseases in the Netherlands was calculated for the period 2010-2013 using the disability-adjusted life years (DALY) measure. Disease models and parameters were obtained from previous research. Where possible we adapted these models specifically for older adults and applied age-specific parameters derived from literature. The disease burden based on these adapted models and parameters was compared with the disease burden based on the general population models. The estimated average annual disease burden was from high to low: pneumococcal disease (37,223 DALYs/year), influenza (7941 DALYs/year), herpes zoster (942 DALYs/year), and pertussis (812 DALYs/year). The adaptation of models and parameters specifically for the elderly resulted in a higher disease burden compared to the use of general population models. Among older adults, the disease burden in the period 2010-2013 was highest for pneumococcal disease, mostly because of high mortality, followed by influenza. Disease burden of herpes zoster and pertussis was relatively low and consisted mostly of years lived with disability. Better information on the course of infectious diseases and long-term consequences would enable more accurate estimation of disease burden in older adults.</t>
  </si>
  <si>
    <t>Lack of Impact of Body Mass Index at Young Age on Otitis Media Occurrence During Preschool Years: Wheezing Illnesses Study Leidsche Rijn Cohort Study.</t>
  </si>
  <si>
    <t>Venekamp, Roderick P; Menger, Jan-Thijs; Uiterwaal, Cuno S P M; van der Ent, Cornelis K; Smit, Henriette A; Schilder, Anne G M; de Hoog, Marieke L A</t>
  </si>
  <si>
    <t>https://pubmed.ncbi.nlm.nih.gov/26421803</t>
  </si>
  <si>
    <t>Using data on weight and height at 6 and 11 months of age and primary care electronic health records data from 1960 children participating in the Wheezing Illnesses Study Leidsche Rijn birth cohort study, we found that body mass index at 6 and 11 months of age was not associated with otitis media occurrence during the first 4 years of life.</t>
  </si>
  <si>
    <t>Relation between cardiovascular disease risk factors and epicardial adipose tissue density on cardiac computed tomography in patients at high risk of cardiovascular events.</t>
  </si>
  <si>
    <t>Franssens, Bas T; Nathoe, Hendrik M; Leiner, Tim; van der Graaf, Yolanda; Visseren, Frank Lj; ,</t>
  </si>
  <si>
    <t>https://pubmed.ncbi.nlm.nih.gov/27872327</t>
  </si>
  <si>
    <t>Background The radiodensity of epicardial adipose tissue may provide information on cardiovascular risk in addition to epicardial adipose tissue volume. The aim of this study was to quantify the relation between cardiovascular risk factors and the radiodensity of epicardial adipose tissue in patients at high risk of cardiovascular disease. Design This was a cross-sectional study in 140 patients at high risk of cardiovascular disease. Methods Patients from the Secondary Manifestations of ARTerial disease (SMART) cohort study were invited to undergo cardiac computed tomography angiography. The radiodensity (in Hounsfield units; HU) and volume (in cm&lt;sup&gt;3&lt;/sup&gt;) of epicardial adipose tissue were quantified semi-automatically. Multivariable linear regression was used to quantify the relation between cardiovascular risk factors and the radiodensity of epicardial adipose tissue. Results The cardiovascular risk factors most strongly associated with epicardial adipose tissue density were sex, body mass index and visceral fat, with a lower adipose tissue attenuation of 3.5 HU (95% confidence interval (CI) 2.0-5.0 HU) for female sex, 1.6 HU (95%CI 0.2-2.9 HU) for body mass index &gt;25 kg/m&lt;sup&gt;2&lt;/sup&gt; and 1.3 HU (95% CI 0.6-2.0 HU) for a one standard deviation higher quantity of visceral fat, adjusted for age, sex, coronary artery bypass graft history and epicardial adipose tissue volume. Conclusion Low epicardial adipose tissue computed tomography attenuation is associated with an adverse cardiovascular risk factor profile in patients at high risk of cardiovascular disease, independent of the volume of epicardial adipose tissue and waist circumference. These findings support the potential role for epicardial adipose tissue radiodensity as a valid biomarker of cardiovascular risk. Adipose tissue radiodensity may be a more sensitive marker than epicardial adipose tissue volume with which to study the contribution of epicardial adipose tissue to the coronary atheromatous disease process.</t>
  </si>
  <si>
    <t>[The threat of antibiotic resistance to nursing homes].</t>
  </si>
  <si>
    <t>https://pubmed.ncbi.nlm.nih.gov/27650029</t>
  </si>
  <si>
    <t>Antibiotic resistance is considered a major threat to healthcare. The Dutch government recently announced additional measures to contain this threat, one of these being the creation of regional care networks dedicated to control antibiotic resistance. Among the anticipated activities of these networks is quantifying the prevalence of antibiotic resistance in nursing homes, through regular point-prevalence surveillance studies. There is a broadly felt belief that nursing homes might be a 'mer à boire' of antibiotic resistance. Although scientific data do not support that claim, it is nevertheless likely that the planned investigations will identify yet unknown clusters of ESBL-carriers, necessitating infection control measures. Given the absence of an acute problem and the consequences for nursing home management, staff and clients of point-prevalence surveillance studies, a staged approach for investigating antibiotic resistance in nursing homes should be considered.</t>
  </si>
  <si>
    <t>"The AYA Director": A Synthesizing Concept to Understand Psychosocial Experiences of Adolescents and Young Adults With Cancer.</t>
  </si>
  <si>
    <t>https://pubmed.ncbi.nlm.nih.gov/26496517</t>
  </si>
  <si>
    <t>Adolescents and young adults with cancer face distinct psychosocial challenges because of the multiple developmental tasks associated with their age. Research on psychosocial care, directed to the unique needs and demands of this population, is limited. The aim of this study was to describe the psychosocial experiences of adolescents and young adults with cancer to further the understanding of the meanings they attribute to their experiences. This study used a qualitative design in which individual semistructured interviews were conducted with 23 participants aged 15 to 25 years. Physical consequences of the disease and its treatment, loss of independence, and being alone were significant challenges. Major coping strategies of the participants were to avoid the possible threats to life and maintain a positive attitude and normal life. Participants were "directors" who took control in order to manage their illness, maintain a sense of control, and master their lives to the fullest extent possible. The concept of the "AYA (adolescent and young adult) director" provides insight for healthcare professionals to understand how adolescents and young adults experience cancer. Throughout the cancer experience, participants wanted to be treated as individuals with specific needs and preferences. They preferred circumstances they are accustomed to; some found it difficult to accept restrictions imposed by the hospital. Adolescents and young adults with cancer want to be involved in the way healthcare professionals communicate with them and the information they are provided.</t>
  </si>
  <si>
    <t>[Prevention of severe infections in asplenic patients].</t>
  </si>
  <si>
    <t>Verheij, Th J M</t>
  </si>
  <si>
    <t>https://pubmed.ncbi.nlm.nih.gov/27650028</t>
  </si>
  <si>
    <t>The lifetime risk of dying from sepsis is approximately 2-3% in persons with (functional) asplenia. Both patients and their physicians are not always fully aware of these risks and the implementation of preventive measures is insufficient. Physicians should inform both patients and colleagues on the consequences of lost splenic function. Primary care physicians should screen their lists for patients with (functional) asplenia and offer these patient adequate preventive measures when needed.</t>
  </si>
  <si>
    <t>[From annual check-up to annual appraisal: personalised diabetes care].</t>
  </si>
  <si>
    <t>Rutten, G E H M; van Vugt, H A; de Weerdt, I; Lamberts, S W J; de Koning, E J P</t>
  </si>
  <si>
    <t>https://pubmed.ncbi.nlm.nih.gov/27405571</t>
  </si>
  <si>
    <t>Diabetes care is shifting from disease management to personalised care. Internationally, diabetes care providers are advised to integrate the patient's preferences, wishes and possibilities into diabetes care in order to improve its efficiency. The Dutch Diabetes Federation has developed a specifically patient-centred conversation model that can be systematically applied. At an annual appraisal, the physician and the patient make decisions on the treatment goals to set, and on the treatment and professional support needed to achieve these goals. In this way person-centred and efficient care may become reality. The first results of a pilot study are promising. Currently the applicability and added value of the model are being tested on a large scale. The model is more broadly applicable, which means this could be a new perspective for everyone with a chronic disease.</t>
  </si>
  <si>
    <t>[Diversity and quality in medical training].</t>
  </si>
  <si>
    <t>Damoiseaux, R A M J; Blankenstein, A H; Vermeulen, M I</t>
  </si>
  <si>
    <t>https://pubmed.ncbi.nlm.nih.gov/27650027</t>
  </si>
  <si>
    <t>Ethnocultural diversity among medical students is important in order to guarantee a true reflection of society in the medical profession. It is known that students from ethnic minority groups perform less well in assessments during medical training. This is partly due to language problems but also to differences in culture. In order to keep these students in medical training, assessments should ideally be free of ethnocultural prejudice. Furthermore, it is important to ensure that there is no discrimination. To get a valid impression of these students it is important that multiple assessments be performed by several assessors. Then the real problems can be exposed and students from ethnic minority groups can get the support they need to become good physicians.</t>
  </si>
  <si>
    <t>[Being a supervisor demands other skills than being a doctor].</t>
  </si>
  <si>
    <t>Damoiseaux, R A M J; Vermeulen, M I</t>
  </si>
  <si>
    <t>https://pubmed.ncbi.nlm.nih.gov/27581870</t>
  </si>
  <si>
    <t>Engagement with being a doctor is not an automatic qualification for being a good supervisor. But engagement with being a teacher is linked to a better evaluation as supervisor by trainees. Different personality traits are related to these different roles. Engagement is not only influenced by personality traits, however. The work environment can have a positive effect on engagement as well. If there are proper job resources that support the teacher's role, engagement with being a teacher will increase. In addition to proper teaching resources, supervisors also need training. It is important that supervisors get used to lifelong learning, just as doctors have to. Teaching competencies should be part of medical training. This might help to shape a working environment that is well equipped for teaching.</t>
  </si>
  <si>
    <t>[Peer feedback for trainers in general practice].</t>
  </si>
  <si>
    <t>Damoiseaux, R A M J; Truijens, L</t>
  </si>
  <si>
    <t>https://pubmed.ncbi.nlm.nih.gov/27334086</t>
  </si>
  <si>
    <t>In medical specialist training programmes it is common practice for residents to provide feedback to their medical trainers. The problem is that due to its anonymous nature, the feedback often lacks the specificity necessary to improve the performance of trainers. If anonymity is to be abolished, there is a need for residents to feel safe in giving their feedback. Another way to improve the performance of trainers might be peer feedback. For peer feedback it is necessary that trainers observe each other during their training sessions with the residents. In speciality training in general practice peer feedback is done in group sessions of 12 trainers. They show videos of their training sessions and get feedback from their fellow trainers. Trainers also visit each other in their practices to observe training sessions and provide feedback. In order to improve trainer performance there is a need for more focus on peer feedback in medical specialist training programmes.</t>
  </si>
  <si>
    <t>[Triage in primary care: overkill?].</t>
  </si>
  <si>
    <t>Rutten, F H; Zwart, D L</t>
  </si>
  <si>
    <t>https://pubmed.ncbi.nlm.nih.gov/27484430</t>
  </si>
  <si>
    <t>Based on triage during out-of-hours emergency services with physical contact with patients, the Dutch Triage Standard - a telephone triage algorithm - has been developed for use in primary care out-of-hours services. However, it is also used in the daytime setting. We argue that this tool should be evaluated by actually evaluating the telephone contacts that are backed up during triage and using the final diagnoses of these contacts as the reference standard. We have serious doubts whether the Dutch Triage Standard is an effective tool in the primary care daytime setting with its very low prevalence of high urgency. Adequate triage is time consuming, and may result in reduced accessibility thus creating critical situations. Well-evaluated pilots should precede large-scale implementation of decision support systems.</t>
  </si>
  <si>
    <t>Efficient Source Data Verification Using Statistical Acceptance Sampling: A Simulation Study.</t>
  </si>
  <si>
    <t>van den Bor, Rutger M; Oosterman, Bas J; Oostendorp, Martinus B; Grobbee, Diederick E; Roes, Kit C B</t>
  </si>
  <si>
    <t>therapeutic innovation regulatory science</t>
  </si>
  <si>
    <t>https://pubmed.ncbi.nlm.nih.gov/30236013</t>
  </si>
  <si>
    <t>One approach to increase the efficiency of clinical trial monitoring is to replace 100% source data verification (SDV) by verification of samples of source data. An intuitive strategy for determining appropriate sampling plans (ie, sample sizes and the maximum tolerable number of transcription errors in the samples) is to use acceptance sampling methodology. Expanding upon earlier work in which the use of acceptance sampling strategies for sampling-based SDV was proposed, we describe an alternative acceptance sampling strategy that, instead of relying on sampling standards, evaluates all possible sampling plans algorithmically, thereby ensuring that selected sampling plans conform to prespecified criteria. Empirical trial data guided the design of the proposed strategy. In addition, extensive simulations, also based on the empirical data, were performed to assess the performance in terms of workload reductions and the post-SDV error proportion of applying the proposed strategy. 13 different scenarios were simulated, but results of the default scenario show that the average pre-SDV error proportion per trial of .056 was reduced to .023 by inspecting only 40.5% of the case report form entries. Of the inspected data entries, almost half (18.0/40.5) was, on average, SDV-ed as part of the sampling process; remaining entries were inspected during full inspections after too many errors were observed in the samples. Our results suggest that major reductions in workload can be achieved, while maintaining acceptable data quality levels. However, the results also indicate that the proposed strategy is conservative and further improvement is possible.</t>
  </si>
  <si>
    <t>[Free choice of doctor: patient's right or doctor's power?].</t>
  </si>
  <si>
    <t>Bertens, R M; Huisman, F G</t>
  </si>
  <si>
    <t>https://pubmed.ncbi.nlm.nih.gov/27353160</t>
  </si>
  <si>
    <t>This article outlines the historical development of the principle of patients' free choice of doctor in the Netherlands. Far from being the result of debates on patients' rights, this principle was used instead as an instrument by the medical profession to gain a foothold in the power relations between doctors and sickness funds back in the early 20th-century. This development created a medical power bloc that lasted for most of that century and forced sickness funds and private insurers to start organizing in this fashion too. Therefore, when the new market ideology of introducing competition in health care was introduced in 1987, the fields of health provision and insurance were already defined by a high degree of cartelization. These relations lingered even after the introduction of regulated competition in 2006. Knowledge of this history therefore leads to a better understanding of current debates and problems in the organization of Dutch health care.</t>
  </si>
  <si>
    <t>Participatory methods in pediatric participatory research: a systematic review.</t>
  </si>
  <si>
    <t>Haijes, Hanneke A; van Thiel, Ghislaine J M W</t>
  </si>
  <si>
    <t>https://pubmed.ncbi.nlm.nih.gov/26720607</t>
  </si>
  <si>
    <t>Meaningful child participation in medical research is seen as important. In order to facilitate further development of participatory research, we performed a systematic literature study to describe and assess the available knowledge on participatory methods in pediatric research. A search was executed in five databases: PubMed, CINAHL, PsycINFO, Scopus, and Cochrane. After careful screening of relevant papers, finally 24 documents were included in our analysis. Literature on participatory methods in pediatric research appears generally to be descriptive, whereby high-quality evidence is lacking. Overall, five groups of participatory methods for children could be distinguished: observational, verbal, written, visual, and active methods. The choice for one of these methods should be based on the child's age, on social and demographic characteristics, and on the research objectives. To date, these methods are still solely used for obtaining data, yet they are suitable for conducting meaningful participation. This may result in a successful partnership between children and researchers. Researchers conducting participatory research with children can use this systematic review in order to weigh the current knowledge about the participatory methods presented.</t>
  </si>
  <si>
    <t>Determination of the Ratio of b-Quark Fragmentation Fractions f(s)/f(d) in pp Collisions at √s=7  TeV with the ATLAS Detector.</t>
  </si>
  <si>
    <t>https://pubmed.ncbi.nlm.nih.gov/26764987</t>
  </si>
  <si>
    <t>With an integrated luminosity of 2.47  fb(-1) recorded by the ATLAS experiment at the LHC, the exclusive decays B(s)(0)→J/ψϕ and B(d)(0)→J/ψK(*0) of B mesons produced in pp collisions at √s=7  TeV are used to determine the ratio of fragmentation fractions f(s)/f(d). From the observed B(s)(0)→J/ψϕ and B(d)(0)→J/ψK(*0) yields, the quantity (f(s)/f(d))[B(B(s)(0)→J/ψϕ)/B(B(d)(0)→J/ψK(*0))] is measured to be 0.199±0.004(stat)±0.008(syst). Using a recent theory prediction for [B(B(s)(0)→J/ψϕ)/B(B(d)(0)→J/ψK(*0))] yields (f(s)/f(d))=0.240±0.004(stat)±0.010(syst)±0.017(th). This result is based on a new approach that provides a significant improvement of the world average.</t>
  </si>
  <si>
    <t>Association of High Ankle Brachial Index With Incident Cardiovascular Disease and Mortality in a High-Risk Population.</t>
  </si>
  <si>
    <t>Hendriks, Eva J E; Westerink, Jan; de Jong, Pim A; de Borst, Gert J; Nathoe, Hendrik M; Mali, Willem P Th M; van der Graaf, Yolanda; van der Schouw, Yvonne T; Beulens, Joline W; ,</t>
  </si>
  <si>
    <t>https://pubmed.ncbi.nlm.nih.gov/26715681</t>
  </si>
  <si>
    <t>The objective of this present study is to determine whether high ankle brachial index (ABI) as compared with ABIs within reference limits is associated with an increased incidence of cardiovascular disease (CVD) events and all-cause mortality in a high-risk population and whether this association is the same for patients with and without diabetes mellitus or prevalent CVD. Seven thousand five hundred and thirty-eight patients with ABI&gt;0.9 and either prevalent CVD or a high risk for CVD were selected from the Second Manifestations of Arterial Disease (SMART) study. Three hundred and thirty-six participants (4.5%) had high ABI (≥1.4 or incompressible). Higher age, male sex, higher body mass index, and diabetes mellitus were associated with higher prevalences of high ABI; smoking and higher non-high-density lipoprotein levels were associated with lower prevalences of high ABI. Cox proportional hazards models were fitted assessing the association of high ABI (as compared with ABI 0.9-1.4) with the risk of myocardial infarction, stroke, cardiovascular death, the combined outcome of these 3, and total mortality (median follow-up 6.9 years). After multivariable adjustment, high ABI was associated with an increased risk of myocardial infarction (hazard ratio 1.83 [95% confidence interval 1.22-2.76]), but not with stroke (hazard ratio 0.86 [95% confidence interval 0.44-1.69]), cardiovascular (hazard ratio 1.14 [95% confidence interval 0.70-1.84]), or all-cause mortality (hazard ratio 0.95 [95% confidence interval 0.67-1.34]). Associations of high ABI with CVD outcomes tended to be stronger in patients with diabetes mellitus but without statistically significant interactions. In a high-risk population, the presence of an ABI≥1.4 was associated with an increased risk for myocardial infarction, but not with stroke, all-cause, or vascular mortality.</t>
  </si>
  <si>
    <t>Effects of physical exercise during adjuvant breast cancer treatment on physical and psychosocial dimensions of cancer-related fatigue: A meta-analysis.</t>
  </si>
  <si>
    <t>van Vulpen, Jonna K; Peeters, Petra H M; Velthuis, Miranda J; van der Wall, Elsken; May, Anne M</t>
  </si>
  <si>
    <t>https://pubmed.ncbi.nlm.nih.gov/26857888</t>
  </si>
  <si>
    <t>Cancer-related fatigue has a multidimensional nature and complaints typically increase during adjuvant treatment for breast cancer. Physical exercise might prevent or reduce cancer-related fatigue. So far, no meta-analysis has investigated the effects of physical exercise on different dimensions of fatigue. The aim of the present meta-analysis was to investigate the effects of physical exercise during adjuvant breast cancer treatment on physical and psychosocial dimensions of fatigue. We performed a systematic literature search in PubMed, Embase and the Cochrane Library in June 2015. Randomised controlled trials reporting the effects of physical exercise during adjuvant breast cancer treatment on different dimensions of fatigue were included. Pooled effects of 6 exercise programmes (including 784 patients) showed significant beneficial exercise effects on general fatigue (ES: -0.22, 95% CI -0.38; -0.05) and physical fatigue (ES: -0.35, 95% CI -0.49; -0.21). Effects on fatigue subscales 'reduced activity' (ES: -0.22, 95% CI -0.38; -0.05) and 'reduced motivation' (ES: -0.18, 95% CI -0.35; -0.01) were also in favour of physical exercise. No effects were found on cognitive and affective fatigue. Including only the supervised exercise programmes (n=4 studies), slightly larger pooled effect estimates were found on general fatigue (ES: -0.25, 95% CI -0.47; -0.04) and physical fatigue (-0.39, 95% CI -0.56; -0.23). In conclusion, physical exercise during adjuvant breast cancer treatment has beneficial effects on general fatigue, physical fatigue, 'reduced activity' and 'reduced motivation', but did not show effects on cognitive and affective fatigue. Largest effect sizes are found for physical fatigue, suggesting that this is the fatigue dimension most sensitive to physical exercise.</t>
  </si>
  <si>
    <t>International Consortium on Mammographic Density: Methodology and population diversity captured across 22 countries.</t>
  </si>
  <si>
    <t>McCormack, Valerie A; Burton, Anya; dos-Santos-Silva, Isabel; Hipwell, John H; Dickens, Caroline; Salem, Dorria; Kamal, Rasha; Hartman, Mikael; Lee, Charmaine Pei Ling; Chia, Kee-Seng; Ozmen, Vahit; Aribal, Mustafa Erkin; Flugelman, Anath Arzee; Lajous, Martín; Lopez-Riduara, Ruy; Rice, Megan; Romieu, Isabelle; Ursin, Giske; Qureshi, Samera; Ma, Huiyan; Lee, Eunjung; van Gils, Carla H; Wanders, Johanna O P; Vinayak, Sudhir; Ndumia, Rose; Allen, Steve; Vinnicombe, Sarah; Moss, Sue; Won Lee, Jong; Kim, Jisun; Pereira, Ana; Garmendia, Maria Luisa; Sirous, Reza; Sirous, Mehri; Peplonska, Beata; Bukowska, Agnieszka; Tamimi, Rulla M; Bertrand, Kimberly; Nagata, Chisato; Kwong, Ava; Vachon, Celine; Scott, Christopher; Perez-Gomez, Beatriz; Pollan, Marina; Maskarinec, Gertraud; Giles, Graham; Hopper, John; Stone, Jennifer; Rajaram, Nadia; Teo, Soo-Hwang; Mariapun, Shivaani; Yaffe, Martin J; Schüz, Joachim; Chiarelli, Anna M; Linton, Linda; Boyd, Norman F</t>
  </si>
  <si>
    <t>https://pubmed.ncbi.nlm.nih.gov/26724463</t>
  </si>
  <si>
    <t>Mammographic density (MD) is a quantitative trait, measurable in all women, and is among the strongest markers of breast cancer risk. The population-based epidemiology of MD has revealed genetic, lifestyle and societal/environmental determinants, but studies have largely been conducted in women with similar westernized lifestyles living in countries with high breast cancer incidence rates. To benefit from the heterogeneity in risk factors and their combinations worldwide, we created an International Consortium on Mammographic Density (ICMD) to pool individual-level epidemiological and MD data from general population studies worldwide. ICMD aims to characterize determinants of MD more precisely, and to evaluate whether they are consistent across populations worldwide. We included 11755 women, from 27 studies in 22 countries, on whom individual-level risk factor data were pooled and original mammographic images were re-read for ICMD to obtain standardized comparable MD data. In the present article, we present (i) the rationale for this consortium; (ii) characteristics of the studies and women included; and (iii) study methodology to obtain comparable MD data from original re-read films. We also highlight the risk factor heterogeneity captured by such an effort and, thus, the unique insight the pooled study promises to offer through wider exposure ranges, different confounding structures and enhanced power for sub-group analyses.</t>
  </si>
  <si>
    <t>Gene-specific DNA methylation profiles and LINE-1 hypomethylation are associated with myocardial infarction risk.</t>
  </si>
  <si>
    <t>Guarrera, Simonetta; Fiorito, Giovanni; Onland-Moret, N Charlotte; Russo, Alessia; Agnoli, Claudia; Allione, Alessandra; Di Gaetano, Cornelia; Mattiello, Amalia; Ricceri, Fulvio; Chiodini, Paolo; Polidoro, Silvia; Frasca, Graziella; Verschuren, Monique W M; Boer, Jolanda M A; Iacoviello, Licia; van der Schouw, Yvonne T; Tumino, Rosario; Vineis, Paolo; Krogh, Vittorio; Panico, Salvatore; Sacerdote, Carlotta; Matullo, Giuseppe</t>
  </si>
  <si>
    <t>clinical epigenetics</t>
  </si>
  <si>
    <t>https://pubmed.ncbi.nlm.nih.gov/26705428</t>
  </si>
  <si>
    <t>DNA methylation profiles are responsive to environmental stimuli and metabolic shifts. This makes DNA methylation a potential biomarker of environmental-related and lifestyle-driven diseases of adulthood. Therefore, we investigated if white blood cells' (WBCs) DNA methylation profiles are associated with myocardial infarction (MI) occurrence. Whole-genome DNA methylation was investigated by microarray analysis in 292 MI cases and 292 matched controls from the large prospective Italian European Prospective Investigation into Cancer and Nutrition (EPIC) cohort (EPICOR study). Significant signals (false discovery rate (FDR) adjusted P &lt; 0.05) were replicated by mass spectrometry in 317 MI cases and 262 controls from the Dutch EPIC cohort (EPIC-NL). Long interspersed nuclear element-1 (LINE-1) methylation profiles were also evaluated in both groups. A differentially methylated region (DMR) within the zinc finger and BTB domain-containing protein 12 (ZBTB12) gene body and LINE-1 hypomethylation were identified in EPICOR MI cases and replicated in the EPIC-NL sample (ZBTB12-DMR meta-analysis: effect size ± se = -0.016 ± 0.003, 95 % CI = -0.021;-0.011, P = 7.54 × 10(-10); LINE-1 methylation meta-analysis: effect size ± se = -0.161 ± 0.040, 95 % CI = -0.239;-0.082, P = 6.01 × 10(-5)). Moreover, cases with shorter time to disease had more pronounced ZBTB12-DMR hypomethylation (meta-analysis, men: effect size ± se = -0.0059 ± 0.0017, P TREND = 5.0 × 10(-4); women: effect size ± se = -0.0053 ± 0.0019, P TREND = 6.5 × 10(-3)) and LINE-1 hypomethylation (meta-analysis, men: effect size ± se = -0.0010 ± 0.0003, P TREND = 1.6 × 10(-3); women: effect size ± se = -0.0008 ± 0.0004, P TREND = 0.026) than MI cases with longer time to disease. In the EPIC-NL replication panel, DNA methylation profiles improved case-control discrimination and reclassification when compared with traditional MI risk factors only (net reclassification improvement (95 % CI) between 0.23 (0.02-0.43), P = 0.034, and 0.89 (0.64-1.14), P &lt; 1 × 10(-5)). Our data suggest that specific methylation profiles can be detected in WBCs, in a preclinical condition, several years before the occurrence of MI, providing an independent signature of cardiovascular risk. We showed that prediction accuracy can be improved when DNA methylation is taken into account together with traditional MI risk factors, although further confirmation on a larger sample is warranted. Our findings support the potential use of DNA methylation patterns in peripheral blood white cells as promising early biomarkers of MI.</t>
  </si>
  <si>
    <t>Population differences and the effect of vaginal progesterone on preterm birth in women with threatened preterm labor (.).</t>
  </si>
  <si>
    <t>Hermans, Frederik Jan Robin; Karolinski, Ariel; Othenin-Girard, Véronique; Bertolino, María Victoria; Schuit, Ewoud; Salgado, Pablo; Hösli, Irene; Irion, Olivier; Laterra, Cristina; Mol, Ben Willem J; Martinez de Tejada, Begoña</t>
  </si>
  <si>
    <t>the journal of maternalfetal neonatal medicine the official journal of the european association of perinatal medicine the federation of asia and oceania perinatal societies the international society of perinatal obstetricians</t>
  </si>
  <si>
    <t>https://pubmed.ncbi.nlm.nih.gov/26586448</t>
  </si>
  <si>
    <t>Threatened preterm labor (tPTL) is a complication of pregnancy. Identification of women and clinical definition differs between countries. This study investigated differences in tPTL and effectiveness of vaginal progesterone to prevent preterm birth (PTB) between two countries. Secondary analysis of a randomized controlled trial (RCT) from Argentina and Switzerland comparing vaginal progesterone to placebo in women with tPTL (n = 379). Cox proportional hazards analysis was performed to compare placebo groups of both countries and to compare progesterone to placebo within each country. We adjusted for baseline differences. Iatrogenic onset of labor or pregnancy beyond gestational age of interest was censored. Swiss and Argentinian women were different on baseline. Risks for delivery &lt;14 days and PTB &lt; 34 and &lt; 37 weeks were increased in Argentina compared to Switzerland, HR 3.3 (95% CI 0.62-18), 54 (95% CI 5.1-569) and 3.1 (95% CI 1.1-8.4). In Switzerland, progesterone increased the risk for delivery &lt;14 days [HR 4.4 (95% CI 1.3-15.7)] and PTB &lt;37 weeks [HR 2.5 (95% CI 1.4-4.8)], in Argentina there was no such effect. In women with tPTL, the effect of progesterone may vary due to population differences. Differences in populations should be considered in multicenter RCTs.</t>
  </si>
  <si>
    <t>Risk indicators for referral during labor from community midwife to gynecologist: a prospective cohort study.</t>
  </si>
  <si>
    <t>Schuit, Ewoud; Hukkelhoven, Chantal W P M; van der Goes, Birgit Y; Overbeeke, Ilanit; Moons, Karel G M; Mol, Ben W J; Groenwold, Rolf H H; Kwee, Anneke</t>
  </si>
  <si>
    <t>https://pubmed.ncbi.nlm.nih.gov/26600182</t>
  </si>
  <si>
    <t>To identify risk indicators for referral during labor from community midwife to a gynecologist in a prospective cohort of women with a singleton term pregnancy, starting labor with a community midwife between 2000 and 2007, registered in the Dutch national perinatal registry. Referral from community midwife to a gynecologist during labor, because of fetal distress, failure to progress in second stage of labor, meconium stained amniotic fluid, failure to progress in first stage of labor, wish for pain relief, a combination of other less urgent reasons or no referral (reference). A total of 241 595 (32%) were referred from community midwife to a gynecologist during labor, because of fetal distress (FD;5%), failure to progress in second stage of labor (FTP2;14%), meconium stained amniotic fluid (MSAF;24%), failure to progress in first stage of labor (FTP1;17%), wish for pain relief (WFPR;7%) or a combination of other less urgent reasons, for example, malpresentation (e.g. breech) or other nonspecified problems (OTHER;33%). The strongest overall risk indicators were gestational age (lower risk of referral because of FD, FTP2, MSAF, FTP1 and WFPR and a higher risk of referral because of OTHER at a gestational age between 37(+0) and 37(+)(6) weeks, and higher risks of referral for all reasons at a gestational age ≥41(+)(0) when compared to a gestational age between 38 (+)(0) and 40 (+)(6) weeks and no referral), the intended place of delivery (higher risk of all types of referral compared to no referral when the intended place of delivery was either at a midwife-led birth center or a hospital instead of at home) and birth history (higher risk of all types of referral compared to no referral when women had a history of instrumental vaginal delivery or when they were nulliparous instead of being multiparous without a history of an instrument vaginal delivery). Risk indicators associated with specific reasons of referral were maternal age, ethnicity, degree of urbanization, social economic status, neonatal gender and birth weight. Among low-risk pregnant women, a referral during labor is associated with readily available risk indicators. These risk indicators may be used to increase referral risk awareness and to counsel women for the intended place to start labor.</t>
  </si>
  <si>
    <t>Effect of Vascular Risk Factors and Diseases on Mortality in Individuals with Dementia: A Systematic Review and Meta-Analysis.</t>
  </si>
  <si>
    <t>van de Vorst, Irene E; Koek, Huiberdina L; de Vries, Rehana; Bots, Michiel L; Reitsma, Johannes B; Vaartjes, Ilonca</t>
  </si>
  <si>
    <t>https://pubmed.ncbi.nlm.nih.gov/26782850</t>
  </si>
  <si>
    <t>To assess the effect of cardiovascular diseases and risk factors on mortality in individuals with dementia. Systematic review and meta-analysis. English- and Dutch-language studies in PubMed, EMBASE, and PsycINFO databases were searched in April 2014 with hand-searching of in-text citations and no publication limitations. Inclusion criteria were original studies reporting on cardiovascular risk factors or diseases and their relationship with survival in individuals with dementia. The Quality In Prognosis Studies tool was used to appraise all included articles. Population-, hospital-, and nursing home-based. Community-dwelling, hospitalized individuals and nursing home residents with dementia. A random-effects meta-analysis was performed to investigate the effect of several cardiovascular diseases and risk factors on overall mortality. Twelve studies with 235,865 participants were included. In pooled analyses, male sex (hazard ratio (HR)=1.67, 95% confidence interval (CI)=1.56-1.78), diabetes mellitus (DM) (HR=1.49, 95% CI=1.33-1.68), smoking (ever vs never) (HR=1.37, 95% CI=1.17-1.61), coronary heart disease (CHD) (HR=1.21, 95% CI=1.02-1.44) and congestive heart failure (CHF) (HR=1.37, 95% CI=1.18-1.59) were associated with mortality. Stroke, high blood pressure, being overweight, and hypercholesterolemia were not statistically significantly related to mortality. Individuals with dementia and DM, smoking, CHD, and CHF have a greater risk of death than individuals with dementia without these risk factors or diseases.</t>
  </si>
  <si>
    <t>Studying the lay of the land: views and experiences of professionals in the translational pluripotent stem cell field.</t>
  </si>
  <si>
    <t>https://pubmed.ncbi.nlm.nih.gov/26679636</t>
  </si>
  <si>
    <t>The inherent uncertainty of first-in-human trials, combined with the technical complexity of pluripotent stem cells (PSCs), makes early phase PSC studies ethically challenging. Conducting parallel bioethics research based on experiences and views of professionals in the stem cell field is therefore important. We conducted semistructured interviews with various stakeholders to get a lay of the land of ethical issues professionals find relevant to the translation of PSCs. We identified four themes in the interviews: the uniqueness of PSCs, the suitability of the current research paradigm, the justification for early phase PSC studies and the involvement of patients and research participants. We conclude that a debate should take place discussing the suitability of the current research paradigm for translational PSC studies.</t>
  </si>
  <si>
    <t>Uterine Tonus Assessment by Midwives versus Patient self-assessment in the active management of the third stage of labor (UTAMP): study protocol for a randomized controlled trial.</t>
  </si>
  <si>
    <t>Browne, Joyce L; Damale, Nelson K R; Raams, Tessa M; Van der Linden, Eva L; Maya, Ernest T; Doe, Roseline; Rijken, Marcus J; Adanu, Richard; Grobbee, Diederick E; Franx, Arie; Klipstein-Grobusch, Kerstin</t>
  </si>
  <si>
    <t>https://pubmed.ncbi.nlm.nih.gov/26683621</t>
  </si>
  <si>
    <t>Postpartum hemorrhage (PPH) is the leading cause of maternal mortality worldwide and accounts for one third of maternal deaths in low-income and middle-income countries. PPH can be prevented by active management of the third stage of labor (AMTSL), a series of steps recommended by the World Health Organization to be performed by skilled birth attendants (SBAs). Task shifting in the AMTSL step of uterotonic drugs administration to community health workers, traditional birth attendants and self-administration has been investigated as a strategy to increase access to quality obstetric care considering persistent SBA and facility-based delivery shortages. The aim of this study is to assess task shifting in the final step of AMTSL and compare uterine tonus assessment by a SBA to self-assessment. The study is an individual-level two-arm non-inferiority randomized controlled trial (RCT). A total of 800 women will be recruited in Korle Bu Teaching Hospital in Accra, Ghana. Adult women in labor at term with an expected vaginal delivery who received antenatal instructions for self-assessment of uterine tonus will be eligible for inclusion. Women with an increased risk for PPH will be excluded. Women will be randomized to uterine tone assessment by a skilled birth attendant (midwife) or uterine tone self-assessment (with the safety back-up of a midwife present in case of PPH or uterine atony). Postpartum blood loss will be measured through weighing of disposable mats. The main study endpoints are PPH (≥500 ml blood loss), severe PPH (≥1000 ml blood loss), mean blood loss, and routine maternal and neonatal outcomes. Participants and caregivers will not be blinded given the nature of the intervention. A reduction of PPH-related maternal mortality requires full implementation of AMTSL. Task shifting of uterine tone assessment may contribute to increased AMTSL implementation in (clinical) settings where SBAs capacity is constrained. Clinicaltrials.gov: NCT02223806 , registration August 2014. PACTR201402000736158 , registration July 2014. University of Ghana, Medical School Ethical and Protocol Review Committee: MS-Et/M.8-P4.1/2014-2015.</t>
  </si>
  <si>
    <t>Noninvasive Tests for Inflammatory Bowel Disease: A Meta-analysis.</t>
  </si>
  <si>
    <t>Holtman, Gea A; Lisman-van Leeuwen, Yvonne; Reitsma, Johannes B; Berger, Marjolein Y</t>
  </si>
  <si>
    <t>https://pubmed.ncbi.nlm.nih.gov/26681783</t>
  </si>
  <si>
    <t>The clinical presentation of pediatric inflammatory bowel disease (IBD) is often nonspecific and overlaps with functional gastrointestinal disorders. To determine the diagnostic accuracy of symptoms, signs, noninvasive tests, and test combinations that can assist the clinician with the diagnosis of IBD in symptomatic children. A literature search was conducted of Medline and Embase. Two reviewers independently selected studies reporting on the diagnostic accuracy of tests for IBD, with confirmation by endoscopy and histopathology or clinical follow-up, in children with chronic gastrointestinal symptoms. Two reviewers independently extracted data and assessed study quality with the QUADAS-2, an evidence-based quality assessment tool for diagnostic accuracy studies. Nineteen studies were included (N = 2806). Symptoms (abdominal pain, diarrhea, rectal bleeding, and weight loss) had pooled sensitivities ranging from 0.48 to 0.82 and specificities ranging from 0.17 to 0.78. Of all the blood markers, C-reactive protein (CRP) (9 studies) and albumin (6 studies) had the best performance, with pooled sensitivities of 0.63 (0.51-0.73) and 0.48 (0.31-0.66), respectively, and specificities of 0.88 (0.80-0.93) and 0.94 (0.86-0.98). Assessment of fecal calprotectin (FCal) (10 studies) had a pooled sensitivity of 0.99 (0.92-1.00) and a specificity of 0.65 (0.54-0.74). One limitation was that none of the studies was conducted in nonreferred children. In children whose pediatrician is considering an endoscopy, symptoms are not accurate enough to identify low-risk patients in whom an endoscopy can be avoided. FCal, CRP, and albumin findings are potentially of clinical value, given their ability to select children at low risk (negative FCal test result) or high risk (positive CRP or albumin test result) for IBD.</t>
  </si>
  <si>
    <t>Which dogs with appendicular osteosarcoma benefit most from chemotherapy after surgery? Results from an individual patient data meta-analysis.</t>
  </si>
  <si>
    <t>Schmidt, A F; Groenwold, R H H; Amsellem, P; Bacon, N; Klungel, O H; Hoes, A W; de Boer, A; Kow, K; Maritato, K; Kirpensteijn, J; Nielen, M</t>
  </si>
  <si>
    <t>https://pubmed.ncbi.nlm.nih.gov/26796424</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</si>
  <si>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</si>
  <si>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Relation Between Circulating Inflammatory Chemokines and Vascular Characteristics in Healthy, Young Children.</t>
  </si>
  <si>
    <t>Eikendal, Anouk L M; Evelein, Annemieke M V; Uiterwaal, Cuno S P M; van der Ent, Cornelis K; Visseren, Frank L J; Bots, Michiel L; Hoefer, Imo E; den Ruijter, Hester M; Dalmeijer, Geertje W</t>
  </si>
  <si>
    <t>https://pubmed.ncbi.nlm.nih.gov/26675251</t>
  </si>
  <si>
    <t>Atherosclerosis begins in childhood with the occurrence of inflammatory vascular wall alterations that are detectable with B-mode ultrasound. Chemokines appear to be involved in the development of these alterations given that they occur early in the atherosclerotic pathway as mediators of vascular inflammation. However, this has not extensively been investigated. Therefore, we studied in healthy young children whether chemokines monocyte chemotactic protein 1 (MCP-1), regulated on activation normal T-cell expressed and secreted (RANTES), and vascular and intercellular adhesion molecules (VCAM and ICAM) related to vascular characteristics of the carotid artery. We obtained demography, anthropometry, and overnight fasting plasma of 139 eight-year-old children of the Wheezing Illnesses Study Leidsche Rijn birth cohort. Carotid intima-media thickness (CIMT), distensibility, and Young's Elastic Modulus (YEM) of the common carotid artery were measured sonographically. Chemokine plasma levels were assessed using a multiplex assay. We studied the relation between the chemokines and vascular characteristics using multivariable linear regression analyses with adjustments for sex, systolic blood pressure, homeostasis model assessment of insulin resistance, triglycerides, low-density lipoprotein- and high-density lipoprotein-cholesterol. Of the studied chemokines, RANTES related to common carotid distensibility and YEM. One standard deviation increase in RANTES level related to a 5.45-MPA(-1) (95% confidence interval [CI], -9.43, -1.39; P=0.01) decrease in distensibility and to a 5.55-kPa increase in YEM (95% CI, 0.40, 10.85; P=0.03). RANTES did not relate to CIMT. MCP-1, VCAM, and ICAM did not relate to any of the studied vascular characteristics. RANTES appears to be involved in the development of preatherosclerotic inflammatory vascular alterations already in healthy, young children. This may provide further insight into the early-life origins of atherosclerosis.</t>
  </si>
  <si>
    <t>Seventeen years of statin pharmacogenetics: a systematic review.</t>
  </si>
  <si>
    <t>Leusink, Maarten; Onland-Moret, N Charlotte; de Bakker, Paul I W; de Boer, Anthonius; Maitland-van der Zee, Anke H</t>
  </si>
  <si>
    <t>https://pubmed.ncbi.nlm.nih.gov/26670324</t>
  </si>
  <si>
    <t>We evaluated the evidence of pharmacogenetic associations with statins in a systematic review. Two separate outcomes were considered of interest: modification of low-density lipoprotein cholesterol (LDL-C) response and modification of risk for cardiovascular events. In candidate gene studies, 141 loci were claimed to be associated with LDL-C response. Only 5% of these associations were positively replicated. In addition, six genome-wide association studies of LDL-C response identified common SNPs in APOE, LPA, SLCO1B1, SORT1 and ABCG2 at genome-wide significance. None of the investigated SNPs consistently affected the risk reduction for cardiovascular events. Only five genetic loci were consistently associated with LDL-C response. However, as effect sizes are modest, there is no evidence for the value of genetic testing in clinical practice.</t>
  </si>
  <si>
    <t>EMAS recommendations for conditions in the workplace for menopausal women.</t>
  </si>
  <si>
    <t>Griffiths, Amanda; Ceausu, Iuliana; Depypere, Herman; Lambrinoudaki, Irene; Mueck, Alfred; Pérez-López, Faustino R; van der Schouw, Yvonne T; Senturk, Levent M; Simoncini, Tommaso; Stevenson, John C; Stute, Petra; Rees, Margaret</t>
  </si>
  <si>
    <t>https://pubmed.ncbi.nlm.nih.gov/26857884</t>
  </si>
  <si>
    <t>Women form a large part of many workforces throughout Europe. Many will be working throughout their menopausal years. Whilst the menopause may cause no significant problems for some, for others it is known to present considerable difficulties in both their personal and working lives. During the menopausal transition women report that fatigue and difficulties with memory and concentration can have a negative impact on their working lives. Furthermore, hot flushes can be a source of embarrassment and distress. Some consider that these symptoms can impact on their performance. Greater awareness among employers, together with sensitive and flexible management can be helpful for women at this time. Particular strategies might include: fostering a culture whereby employees feel comfortable disclosing health problems, allowing flexible working, reducing sources of work-related stress, providing easy access to cold drinking water and toilets, and reviewing workplace temperature and ventilation.</t>
  </si>
  <si>
    <t>Effectiveness of fixed dose combination medication ('polypills') compared with usual care in patients with cardiovascular disease or at high risk: A prospective, individual patient data meta-analysis of 3140 patients in six countries.</t>
  </si>
  <si>
    <t>Webster, Ruth; Patel, Anushka; Selak, Vanessa; Billot, Laurent; Bots, Michiel L; Brown, Alex; Bullen, Chris; Cass, Alan; Crengle, Sue; Raina Elley, C; Grobbee, Diederick E; Neal, Bruce; Peiris, David; Poulter, Neil; Prabhakaran, Dorairaj; Rafter, Natasha; Stanton, Alice; Stepien, Sandrine; Thom, Simon; Usherwood, Tim; Wadham, Angela; Rodgers, Anthony; ,</t>
  </si>
  <si>
    <t>https://pubmed.ncbi.nlm.nih.gov/26736090</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</si>
  <si>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&lt; 0.001), lower SBP (-2.5 mmHg; 95% CI, -4.5 to -0.4; p = 0.02) and lower LDL-cholesterol (-0.1 mmol/L; 95% CI, -0.2 to 0.0; p = 0.04). Baseline treatment levels were a major effect modifier for adherence and SBP (p-homog &lt;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</si>
  <si>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Gram-positive cocci in Dutch ICUs with and without selective decontamination of the oropharyngeal and digestive tract: a retrospective database analysis.</t>
  </si>
  <si>
    <t>van der Bij, A K; Frentz, D; Bonten, M J M; ,</t>
  </si>
  <si>
    <t>https://pubmed.ncbi.nlm.nih.gov/26661393</t>
  </si>
  <si>
    <t>The objective of this study was to determine time trends in the rate of Gram-positive cocci in 42 Dutch ICUs that continuously used or did not use selective oropharyngeal decontamination (SOD) or selective decontamination of the digestive tract (SDD) and ICUs that introduced SOD/SDD. The Dutch Surveillance System on Antibiotic Resistance was used to determine monthly rates of Staphylococcus aureus, Enterococcus faecalis and Enterococcus faecium isolates, including resistant phenotypes, in blood and respiratory tract specimens from 2008 to 2013. Per patient, the last isolate per species per month was selected, and cumulative rates per 100 beds per month were determined. Time trends were analysed by multilevel Poisson regression. Eighteen ICUs used SOD/SDD (1296 months), 13 did not use SOD/SDD (936 months) and 11 introduced SOD/SDD (373 months before and 419 months after introduction). There was no significant increase in the rate of Gram-positive cocci in ICUs that used SOD/SDD. Introduction of SOD/SDD was associated with increased rates of S. aureus (β = 0.018, 95% CI 0.006-0.030) and E. faecalis isolates (β = 0.028, 95% CI 0.006-0.051) in respiratory tract specimens. Numbers of resistant phenotypes remained low, and an observed increase in E. faecium isolates (β = 0.033, 95% CI 0.012-0.054), 97% of which were resistant to ampicillin, in the absence of SOD/SDD disappeared after the introduction of SOD/SDD. In ICUs with a low endemicity of resistance, introduction of SOD/SDD was associated with increased rates of S. aureus and E. faecalis isolates, but not with resistant phenotypes. Continuous 5 year use of SOD/SDD was not associated with increased isolation of Gram-positive cocci.</t>
  </si>
  <si>
    <t>17-Hydroxyprogesterone caproate in triplet pregnancy: an individual patient data meta-analysis.</t>
  </si>
  <si>
    <t>Combs, C A; Schuit, E; Caritis, S N; Lim, A C; Garite, T J; Maurel, K; Rouse, D; Thom, E; Tita, A T; Mol, Bwj; ,</t>
  </si>
  <si>
    <t>https://pubmed.ncbi.nlm.nih.gov/26663620</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</si>
  <si>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&lt;24, &lt;28 and &lt;34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</si>
  <si>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Prevention of Surgical Site Infections: Decontamination With Mupirocin Based on Preoperative Screening for Staphylococcus aureus Carriers or Universal Decontamination?</t>
  </si>
  <si>
    <t>https://pubmed.ncbi.nlm.nih.gov/26658054</t>
  </si>
  <si>
    <t>Perioperative decolonization of Staphylococcus aureus nasal carriers with mupirocin together with chlorhexidine body washing reduces the incidence of S. aureus surgical site infection. A targeted strategy, applied in S. aureus carriers only, is costly, and implementation may reduce effectiveness. Universal decolonization is more cost-effective but increases exposure of noncarriers to mupirocin and the risk of resistance to mupirocin in staphylococci. High-level mupirocin resistance in S. aureus can emerge through horizontal gene transfer originating from coagulase-negative staphylococci (CoNS) and through clonal transmission. The current evidence on the occurrence of high-level mupirocin resistance in S. aureus and CoNS, in combination with the results of mathematical modeling, strongly suggests that the increased selection of high-level mupirocin resistance in CoNS does not constitute an important risk for high-level mupirocin resistance in S. aureus. Compared with a targeted strategy, universal decolonization seems associated with an equally low risk of mupirocin resistance in S. aureus.</t>
  </si>
  <si>
    <t>Acetaminophen for self-reported sleep problems in an elderly population (ASLEEP): a randomized double-blind placebo-controlled trial.</t>
  </si>
  <si>
    <t>van de Glind, Esther M M; Hooft, Lotty; Tulner, Linda R; Tulen, Joke H M; Te Water, Wilma; Kuper, Ingeborg M J A; Hamburger, Hans L; de Rooij, Sophia E; van Munster, Barbara C</t>
  </si>
  <si>
    <t>https://pubmed.ncbi.nlm.nih.gov/26644395</t>
  </si>
  <si>
    <t>Comparison of perceptions of obesity among adults with central obesity with and without additional cardiometabolic risk factors and among those who were formally obese, 3 years after screening for central obesity.</t>
  </si>
  <si>
    <t>den Engelsen, Corine; Vos, Rimke C; Rijken, Mieke; Rutten, Guy E H M</t>
  </si>
  <si>
    <t>https://pubmed.ncbi.nlm.nih.gov/26644013</t>
  </si>
  <si>
    <t>Perceptions of illness are important determinants of health behaviour. A better understanding of perceptions of obesity might allow more effective interventions that challenge these perceptions through lifestyle modification programs. Although several studies have evaluated causal attributions with regard to obesity, other domains of illness perception, such as the perceived consequences of obesity and perceived controllability, have not yet been studied. The aim of the current study was to explore perceptions regarding causes, consequences, control, concerns and time course of obesity of centrally obese adults, with and without an elevated cardiometabolic risk and with or without weight loss, 3 years after screening for metabolic syndrome, and to compare these perceptions. Three groups were selected from a longitudinal study dependent on the baseline and 3-year follow-up profiles: individuals with central obesity and metabolic syndrome at both time points ('persistent cardiometabolic-risk group', n = 80), those with central obesity but without metabolic syndrome on either occasion ('persistent obese group', n = 63), and formerly obese individuals ('improved cardiometabolic-risk group', n = 49). Perceptions of obesity were assessed using an adapted version of the Brief Illness Perception Questionnaire (BIPQ, range 0-10). Chi-square and Kruskal-Wallis tests were performed to compare the 'persistent cardiometabolic risk' group with the other two groups with regard to patient characteristics and BIPQ scores. Both males and females who improved their cardiometabolic risk perceived their obesity as shorter (median (IQR): 3.0 (4.0) vs. 6.0 (3.0), p &lt; 0.001) and experienced greater personal control over their weight (7.0 (3.0) vs. 5.0 (3.0), p = 0.002) compared to those who did not improve. Females who improved their cardiometabolic risk experienced fewer identity and illness concerns, this was not found for males. Other scores did not differ between groups. Obese adults with an improved cardiometabolic risk profile felt greater personal control and considered their obesity to be of shorter duration. Persistence of central obesity with additional cardiometabolic risk factors had a larger impact on female than male participants with respect to identity and illness concerns. Whether discussing 'personal control' is a favourable element in lifestyle intervention should now be assessed in the setting of a controlled trial.</t>
  </si>
  <si>
    <t>Clinical Manifestation of Depression after Stroke: Is It Different from Depression in Other Patient Populations?</t>
  </si>
  <si>
    <t>de Man-van Ginkel, Janneke M; Hafsteinsdóttir, Thóra B; Lindeman, Eline; Geerlings, Mirjam I; Grobbee, Diederick E; Schuurmans, Marieke J</t>
  </si>
  <si>
    <t>https://pubmed.ncbi.nlm.nih.gov/26637178</t>
  </si>
  <si>
    <t>Despite ample research on depression after stroke, the debate continues regarding whether symptoms such as sleep disturbances, loss of energy, changes in appetite and diminished concentration should be considered to be consequences of stroke or general symptoms of depression. By comparing symptoms in depressed and non-depressed stroke patients with patients in general practice and patients with symptomatic atherosclerotic diseases, we aim to further clarify similarities and distinctions of depression after stroke and depression in other patient populations. Based on this, it is possible to determine if somatic symptoms should be evaluated in stroke patients in diagnosing depression after stroke. An observational multicenter study is conducted in three hospitals and seven general practices including 382 stroke patients admitted to hospital with a clinical diagnosis of intracerebral hemorrhage or ischemic infarction, 1160 patients in general practice (PREDICT-NL), and 530 patients with symptomatic atherosclerotic diseases (SMART-Medea). The prevalence of major depressive disorder according to DSM-IV criteria was 14.1% (95% CI 11.0%-18.0%) in the stroke cohort, 5.4% (95% CI 3.8%-7.9%) in the symptomatic atherosclerotic diseases cohort and 12.9% (95% CI 11.1%-15.0%) in the general practice cohorts. Comparing depressed patients of the three cohorts demonstrated broadly similar symptom profiles, as well as comparable levels of individual symptom prevalence. However, the stroke patients suffered more severely from these symptoms than patients in the other populations. The findings suggest that depression after stroke is not a different type of depression. This finding indicates that all depressive symptoms should be evaluated in stroke patients, including somatic symptoms.</t>
  </si>
  <si>
    <t>Prognosis of cerebral cavernomas: on to treatment decisions.</t>
  </si>
  <si>
    <t>Algra, Ale; Rinkel, Gabriël J E</t>
  </si>
  <si>
    <t>https://pubmed.ncbi.nlm.nih.gov/26654286</t>
  </si>
  <si>
    <t>Cost-Effectiveness Analysis of High-Efficiency Hemodiafiltration Versus Low-Flux Hemodialysis Based on the Canadian Arm of the CONTRAST Study.</t>
  </si>
  <si>
    <t>Lévesque, Renee; Marcelli, Daniele; Cardinal, Héloïse; Caron, Marie-Line; Grooteman, Muriel P C; Bots, Michiel L; Blankestijn, Peter J; Nubé, Menso J; Grassmann, Aileen; Canaud, Bernard; Gandjour, Afschin</t>
  </si>
  <si>
    <t>applied health economics and health policy</t>
  </si>
  <si>
    <t>https://pubmed.ncbi.nlm.nih.gov/26071951</t>
  </si>
  <si>
    <t>The aim of this study was to assess the cost effectiveness of high-efficiency on-line hemodiafiltration (OL-HDF) compared with low-flux hemodialysis (LF-HD) for patients with end-stage renal disease (ESRD) based on the Canadian (Centre Hospitalier de l'Université de Montréal) arm of a parallel-group randomized controlled trial (RCT), the CONvective TRAnsport STudy. An economic evaluation was conducted for the period of the RCT (74 months). In addition, a Markov state transition model was constructed to simulate costs and health benefits over lifetime. The primary outcome was costs per quality-adjusted life-year (QALY) gained. The analysis had the perspective of the Quebec public healthcare system. A total of 130 patients were randomly allocated to OL-HDF (n = 67) and LF-HD (n = 63). The cost-utility ratio of OL-HDF versus LF-HD was Can$53,270 per QALY gained over lifetime. This ratio was fairly robust in the sensitivity analysis. The cost-utility ratio was lower than that of LF-HD compared with no treatment (immediate death), which was Can$93,008 per QALY gained. High-efficiency OL-HDF can be considered a cost-effective treatment for ESRD in a Canadian setting. Further research is needed to assess cost effectiveness in other settings and healthcare systems.</t>
  </si>
  <si>
    <t>Nystatin versus amphotericin B to prevent and eradicate Candida colonization during selective digestive tract decontamination in critically ill patients.</t>
  </si>
  <si>
    <t>Wittekamp, Bastiaan H; Ong, David S Y; Cremer, Olaf L; Bonten, Marc J M</t>
  </si>
  <si>
    <t>https://pubmed.ncbi.nlm.nih.gov/26459880</t>
  </si>
  <si>
    <t>Reliability and agreement of adipose tissue fat fraction measurements with water-fat MRI in patients with manifest cardiovascular disease.</t>
  </si>
  <si>
    <t>Franssens, Bas T; Eikendal, Anouk L; Leiner, Tim; van der Graaf, Yolanda; Visseren, Frank L J; Hoogduin, J M</t>
  </si>
  <si>
    <t>nmr in biomedicine</t>
  </si>
  <si>
    <t>https://pubmed.ncbi.nlm.nih.gov/26620447</t>
  </si>
  <si>
    <t>The supraclavicular fat depot is known for brown adipose tissue presence. To unravel adipose tissue physiology and metabolism, high quality and reproducible imaging is required. In this study we quantified the reliability and agreement of MRI fat fraction measurements in supraclavicular and subcutaneous adipose tissue of 25 adult patients with clinically manifest cardiovascular disease. MRI fat fraction measurements were made under ambient temperature conditions using a vendor supplied mDixon chemical-shift water-fat multi-echo pulse sequence at 1.5 T field strength. Supraclavicular fat fraction reliability (intraclass correlation coefficientagreement , ICCagreement ) was 0.97 for test-retest, 0.95 for intra-observer and 0.56 for inter-observer measurements, which increased to 0.88 when ICCconsistency was estimated. Supraclavicular fat fraction agreement displayed mean differences of 0.5% (limit of agreement (LoA) -1.7 to 2.6) for test-retest, -0.5% (LoA -2.9 to 2.0) for intra-observer and 5.6% (LoA 0.4 to 10.8) for inter-observer measurements. Median fat fraction in supraclavicular adipose tissue was 82.5% (interquartile range (IQR) 78.6-84.0) and 89.7% (IQR 87.2-91.5) in subcutaneous adipose tissue (p &lt; 0.0001). In conclusion, water-fat MRI has good reliability and agreement to measure adipose tissue fat fraction in patients with manifest cardiovascular disease. These findings enable research on determinants of fat fraction and enable longitudinal monitoring of fat fraction within adipose tissue depots. Interestingly, even in adult patients with manifest cardiovascular disease, supraclavicular adipose tissue has a lower fat fraction compared with subcutaneous adipose tissue, suggestive of distinct morphologic characteristics, such as brown adipose tissue.</t>
  </si>
  <si>
    <t>Improving patient safety culture in general practice: an interview study.</t>
  </si>
  <si>
    <t>Verbakel, Natasha J; de Bont, Antoinette A; Verheij, Theo J M; Wagner, Cordula; Zwart, Dorien L M</t>
  </si>
  <si>
    <t>https://pubmed.ncbi.nlm.nih.gov/26622035</t>
  </si>
  <si>
    <t>When improving patient safety a positive safety culture is key. As little is known about improving patient safety culture in primary care, this study examined whether administering a culture questionnaire with or without a complementary workshop could be used as an intervention for improving safety culture. To gain insight into how two interventions affected patient safety culture in everyday practice. After conducting a randomised control trial of two interventions, this was a qualitative study conducted in 30 general practices to aid interpretation of the previous quantitative findings. Interviews were conducted at practice locations (n = 27) with 24 GPs and 24 practice nurses. The theory of communities of practice--in particular, its concepts of a domain, a community, and a practice--was used to interpret the findings by examining which elements were or were not present in the participating practices. Communal awareness of the problem was only raised after getting together and discussing patient safety. The combination of a questionnaire and workshop enhanced the interaction of team members and nourished team feelings. This shared experience also helped them to understand and develop tools and language for daily practice. In order for patient safety culture to improve, the safety culture questionnaire was more successful when accompanied by a practice workshop. Initial discussion and negotiation of shared goals during the workshop fuelled feelings of coherence and belonging to a community wishing to learn about enhancing patient safety. Team meetings and day-to-day interactions enhanced further liaison and sharing, making patient safety a common and conscious goal.</t>
  </si>
  <si>
    <t>Yearly hypertension screening in women with a history of pre-eclampsia: a cost-effectiveness analysis.</t>
  </si>
  <si>
    <t>Drost, J T; Grutters, J P C; van der Wilt, G-J; van der Schouw, Y T; Maas, A H E M</t>
  </si>
  <si>
    <t>https://pubmed.ncbi.nlm.nih.gov/26449244</t>
  </si>
  <si>
    <t>Women with a history of preeclampsia are at increased risk for future hypertension and cardiovascular disease (CVD); until now it is not clear whether preventive measures are needed. A decision-analytic Markov model was constructed to evaluate healthcare costs and effects of screening and treatment (100 % compliance) for hypertension post preeclampsia based on the available literature. Cardiovascular events and CVD mortality were defined as health states. Outcomes were measured in absolute costs, events, life-years and quality-adjusted life-years (QALYs). Sensitivity and threshold analyses were performed to address uncertainty. Over a 20-year time horizon, events occurred in 7.2 % of the population after screening, and in 8.5 % of the population without screening. QALYs increased from 16.37 (no screening strategy) to 16.40 (screening strategy), an increment of 0.03 (95 % CI 0.01;0.05) QALYs. Total expected costs were € 8016 in the screening strategy, and € 9087 in the none screening strategy (expected saving of € 1071 (95 % CI - 3146;-87) per person). Annual hypertension screening and treatment in women with a history of preeclampsia may save costs, for at least a similar quality of life and survival due to prevented CVD compared with standard care.</t>
  </si>
  <si>
    <t>Pessary placement in the prevention of preterm birth in multiple pregnancies: a propensity score analysis.</t>
  </si>
  <si>
    <t>Monfrance, Maurice J M; Schuit, Ewoud; Groenwold, Rolf H; Oudijk, Martijn A; de Graaf, Irene M; Bax, Caroline J; Bekedam, Dick J; Mol, Ben Willem; Langenveld, Josje</t>
  </si>
  <si>
    <t>https://pubmed.ncbi.nlm.nih.gov/26706925</t>
  </si>
  <si>
    <t>In asymptomatic women with a multiple pregnancy and short cervix prophylactic use of a cervical pessary might reduce preterm birth. We assessed the possible treatment effects of pessary use in pregnancy duration and for poor perinatal outcome. This cohort study was performed between December 2012 and September 2014 in 44 hospitals in the Netherlands. Women with multiple pregnancy had a cervical length measurement between 16 and 22 weeks of gestation. When cervical length was below 38 mm, women were offered a cervical pessary. The course of pregnancy, including perinatal outcome in these women was compared to the outcome of women from the placebo group of the AMPHIA trial (ISRCTN40512715) (historical cohort). Propensity-score matching with replacement was used to create comparable baseline characteristics between both populations. We studied 63 women in the pessary group and 56 women as controls. Propensity-score matching generated 57 women in the intervention group matched to 57 women (31 unique) in the control group. Gestational age at delivery was comparable between both groups (HR 0.96, 95%-CI 0.46-1.46) as well as their delivery rates before 28, 32 and 37 weeks, RR 0.68 (95%-CI 0.21-2.18), RR 0.54 (95%-CI 0.21-1.41), and RR 1.22 (95%-CI 0.47-3.15), respectively. There was no difference in composite perinatal outcome (RR 1.36, 95%-CI 0.53-3.51) and perinatal mortality (RR 0.89, 95%-CI 0.24-3.38) either. In this cohort study with propensity score analysis, pessary use did not prevent preterm birth in asymptomatic women with a multiple pregnancy and short cervix.</t>
  </si>
  <si>
    <t>Endoscopic biopsy and EUS for the detection of pathologic complete response after neoadjuvant chemoradiotherapy in esophageal cancer: a systematic review and meta-analysis.</t>
  </si>
  <si>
    <t>van Rossum, Peter S N; Goense, Lucas; Meziani, Jihane; Reitsma, Johannes B; Siersema, Peter D; Vleggaar, Frank P; van Vulpen, Marco; Meijer, Gert J; Ruurda, Jelle P; van Hillegersberg, Richard</t>
  </si>
  <si>
    <t>gastrointestinal endoscopy</t>
  </si>
  <si>
    <t>https://pubmed.ncbi.nlm.nih.gov/26632523</t>
  </si>
  <si>
    <t>Accurate determination of residual cancer status after neoadjuvant chemoradiotherapy (nCRT) for esophageal cancer could assist in selecting the optimal treatment strategy. The aim of this study was to review the evidence on the diagnostic accuracy of endoscopic biopsy and EUS after nCRT for detecting residual cancer at the primary tumor site (ypT+) and regional lymph nodes (ypN+) as opposed to a pathologic complete response (ypT0 and ypN0). PubMed/Medline, Embase, and the Cochrane library were systematically searched. The analysis included diagnostic studies reporting on the accuracy of endoscopic biopsy or EUS in detecting residual cancer versus complete response after nCRT for esophageal cancer with histopathology as the reference standard. Bivariate random-effects models were used to estimate pooled sensitivities and specificities and examine sources of heterogeneity. Twenty-three studies comprising 12 endoscopic biopsy studies (1281 patients), 11 EUS studies reporting on ypT status (593 patients), and 10 EUS studies reporting on ypN status (602 patients), were included. Pooled estimates for sensitivity of endoscopic biopsy after nCRT for predicting ypT+ were 34.5% (95% confidence interval [CI], 26.0%-44.1%) and for specificity 91.0% (95% CI, 85.6%-94.5%). Pooled estimates for sensitivity of EUS after nCRT were 96.4% (95% CI, 91.7%-98.5%) and for specificity were 10.9% (95% CI, 3.5%-29.0%) for detecting ypT+, and 62.0% (95% CI, 46.0%-75.7%) and 56.7% (95% CI, 41.8%-70.5%) for detecting ypN+, respectively. Endoscopic biopsy after nCRT is a specific but not sensitive method for detecting residual esophageal cancer. Although EUS after nCRT yields a high sensitivity, only a limited number of patients will have negative findings at EUS with still a substantial false-negative rate. Furthermore, EUS provides only moderate accuracy for detecting residual lymph node involvement. Based on these findings, these endoscopic modalities cannot be used to withhold surgical treatment in test-negative patients after nCRT. ( CRD42015016527.).</t>
  </si>
  <si>
    <t>Nutrient-wide association study of 57 foods/nutrients and epithelial ovarian cancer in the European Prospective Investigation into Cancer and Nutrition study and the Netherlands Cohort Study.</t>
  </si>
  <si>
    <t>Merritt, Melissa A; Tzoulaki, Ioanna; van den Brandt, Piet A; Schouten, Leo J; Tsilidis, Konstantinos K; Weiderpass, Elisabete; Patel, Chirag J; Tjønneland, Anne; Hansen, Louise; Overvad, Kim; His, Mathilde; Dartois, Laureen; Boutron-Ruault, Marie-Christine; Fortner, Renée T; Kaaks, Rudolf; Aleksandrova, Krasimira; Boeing, Heiner; Trichopoulou, Antonia; Lagiou, Pagona; Bamia, Christina; Palli, Domenico; Krogh, Vittorio; Tumino, Rosario; Ricceri, Fulvio; Mattiello, Amalia; Bueno-de-Mesquita, H Bas; Onland-Moret, N Charlotte; Peeters, Petra H; Skeie, Guri; Jareid, Mie; Quirós, J Ramón; Obón-Santacana, Mireia; Sánchez, María-José; Chamosa, Saioa; Huerta, José M; Barricarte, Aurelio; Dias, Joana A; Sonestedt, Emily; Idahl, Annika; Lundin, Eva; Wareham, Nicholas J; Khaw, Kay-Tee; Travis, Ruth C; Ferrari, Pietro; Riboli, Elio; Gunter, Marc J</t>
  </si>
  <si>
    <t>https://pubmed.ncbi.nlm.nih.gov/26607939</t>
  </si>
  <si>
    <t>Studies of the role of dietary factors in epithelial ovarian cancer (EOC) development have been limited, and no specific dietary factors have been consistently associated with EOC risk. We used a nutrient-wide association study approach to systematically test the association between dietary factors and invasive EOC risk while accounting for multiple hypothesis testing by using the false discovery rate and evaluated the findings in an independent cohort. We assessed dietary intake amounts of 28 foods/food groups and 29 nutrients estimated by using dietary questionnaires in the EPIC (European Prospective Investigation into Cancer and Nutrition) study (n = 1095 cases). We selected 4 foods/nutrients that were statistically significantly associated with EOC risk when comparing the extreme quartiles of intake in the EPIC study (false discovery rate = 0.43) and evaluated these factors in the NLCS (Netherlands Cohort Study; n = 383 cases). Cox regression models were used to estimate HRs and 95% CIs. None of the 4 dietary factors that were associated with EOC risk in the EPIC study (cholesterol, polyunsaturated and saturated fat, and bananas) were statistically significantly associated with EOC risk in the NLCS; however, in meta-analysis of the EPIC study and the NLCS, we observed a higher risk of EOC with a high than with a low intake of saturated fat (quartile 4 compared with quartile 1; overall HR: 1.21; 95% CI: 1.04, 1.41). In the meta-analysis of both studies, there was a higher risk of EOC with a high than with a low intake of saturated fat.</t>
  </si>
  <si>
    <t>Problems in detecting misfit of latent class models in diagnostic research without a gold standard were shown.</t>
  </si>
  <si>
    <t>van Smeden, Maarten; Oberski, Daniel L; Reitsma, Johannes B; Vermunt, Jeroen K; Moons, Karel G M; de Groot, Joris A H</t>
  </si>
  <si>
    <t>https://pubmed.ncbi.nlm.nih.gov/26628335</t>
  </si>
  <si>
    <t>The objective of this study was to evaluate the performance of goodness-of-fit testing to detect relevant violations of the assumptions underlying the criticized "standard" two-class latent class model. Often used to obtain sensitivity and specificity estimates for diagnostic tests in the absence of a gold reference standard, this model relies on assuming that diagnostic test errors are independent. When this assumption is violated, accuracy estimates may be biased: goodness-of-fit testing is often used to evaluate the assumption and prevent bias. We investigate the performance of goodness-of-fit testing by Monte Carlo simulation. The simulation scenarios are based on three empirical examples. Goodness-of-fit tests lack power to detect relevant misfit of the standard two-class latent class model at sample sizes that are typically found in empirical diagnostic studies. The goodness-of-fit tests that are based on asymptotic theory are not robust to the sparseness of data. A parametric bootstrap procedure improves the evaluation of goodness of fit in the case of sparse data. Our simulation study suggests that relevant violation of the local independence assumption underlying the standard two-class latent class model may remain undetected in empirical diagnostic studies, potentially leading to biased estimates of sensitivity and specificity.</t>
  </si>
  <si>
    <t>Vegetable and fruit consumption and the risk of hormone receptor-defined breast cancer in the EPIC cohort.</t>
  </si>
  <si>
    <t>Emaus, Marleen J; Peeters, Petra H M; Bakker, Marije F; Overvad, Kim; Tjønneland, Anne; Olsen, Anja; Romieu, Isabelle; Ferrari, Pietro; Dossus, Laure; Boutron-Ruault, Marie Christine; Baglietto, Laura; Fortner, Renée T; Kaaks, Rudolf; Boeing, Heiner; Trichopoulou, Antonia; Lagiou, Pagona; Trichopoulos, Dimitrios; Masala, Giovanna; Pala, Valeria; Panico, Salvatore; Tumino, Rosario; Polidoro, Silvia; Skeie, Guri; Lund, Eiliv; Weiderpass, Elisabete; Quirós, J Ramón; Travier, Noémie; Sánchez, María-José; Chirlaque, Maria-Dolores; Ardanaz, Eva; Dorronsoro, Miren; Winkvist, Anna; Wennberg, Maria; Bueno-de-Mesquita, H Bas; Khaw, Kay-Tee; Travis, Ruth C; Key, Timothy J; Aune, Dagfinn; Gunter, Marc; Riboli, Elio; van Gils, Carla H</t>
  </si>
  <si>
    <t>https://pubmed.ncbi.nlm.nih.gov/26607934</t>
  </si>
  <si>
    <t>The recent literature indicates that a high vegetable intake and not a high fruit intake could be associated with decreased steroid hormone receptor-negative breast cancer risk. This study aimed to investigate the association between vegetable and fruit intake and steroid hormone receptor-defined breast cancer risk. A total of 335,054 female participants in the European Prospective Investigation into Cancer and Nutrition (EPIC) cohort were included in this study (mean ± SD age: 50.8 ± 9.8 y). Vegetable and fruit intake was measured by country-specific questionnaires filled out at recruitment between 1992 and 2000 with the use of standardized procedures. Cox proportional hazards models were stratified by age at recruitment and study center and were adjusted for breast cancer risk factors. After a median follow-up of 11.5 y (IQR: 10.1-12.3 y), 10,197 incident invasive breast cancers were diagnosed [3479 estrogen and progesterone receptor positive (ER+PR+); 1021 ER and PR negative (ER-PR-)]. Compared with the lowest quintile, the highest quintile of vegetable intake was associated with a lower risk of overall breast cancer (HRquintile 5-quintile 1: 0.87; 95% CI: 0.80, 0.94). Although the inverse association was most apparent for ER-PR- breast cancer (ER-PR-: HRquintile 5-quintile 1: 0.74; 95% CI: 0.57, 0.96; P-trend = 0.03; ER+PR+: HRquintile 5-quintile 1: 0.91; 95% CI: 0.79, 1.05; P-trend = 0.14), the test for heterogeneity by hormone receptor status was not significant (P-heterogeneity = 0.09). Fruit intake was not significantly associated with total and hormone receptor-defined breast cancer risk. This study supports evidence that a high vegetable intake is associated with lower (mainly hormone receptor-negative) breast cancer risk.</t>
  </si>
  <si>
    <t>Making sense of universal screening for MRSA.</t>
  </si>
  <si>
    <t>Bonten, Marc J M; Weinstein, Robert A</t>
  </si>
  <si>
    <t>https://pubmed.ncbi.nlm.nih.gov/26616207</t>
  </si>
  <si>
    <t>Predictors of Bacteraemia in Patients with Suspected Community-Acquired Pneumonia.</t>
  </si>
  <si>
    <t>van Werkhoven, Cornelis H; Huijts, Susanne M; Postma, Douwe F; Oosterheert, Jan Jelrik; Bonten, Marc J M</t>
  </si>
  <si>
    <t>https://pubmed.ncbi.nlm.nih.gov/26599636</t>
  </si>
  <si>
    <t>The diagnostic yield of blood cultures is limited in patients with community-acquired pneumonia (CAP). Yet, positive blood culture results provide important information for antibiotic treatment and for monitoring epidemiologic trends. We investigated the potential of clinical predictors to improve the cost-benefit ratio of obtaining blood cultures. Data from two prospective cohort studies of adults with suspected CAP, admitted to non-ICU wards, were combined. Two models were created, one using readily available parameters and one additionally including laboratory parameters. 3,786 patients were included (2,626 (69%) with X-ray confirmed CAP). Blood cultures were obtained from 2,977 (79%) patients (and from 2,107 (80%) with X-ray confirmed CAP). 266 (8.9%) of the patients with a blood culture had bacteraemia. Clinical predictors of bacteraemia were absence of pre-admission antibiotic treatment, pleuritic pain, gastro-intestinal symptoms, tachycardia, tachypnea, hypotension and absence of hypoxia. After including laboratory results in the model, younger age, C-reactive protein, leukocytosis or leukopenia, low thrombocyte count, low sodium level, elevated urea and elevated arterial pH were added, while gastro-intestinal symptoms and hypotension were no longer significant. The area under the receiver operating characteristics curve was 0.66 (95% confidence interval 0.63-0.70) for the first model and 0.76 (95% confidence interval 0.73-0.79) for the second model. In conclusion, in patients hospitalized with CAP, bacteraemia was moderately predictable using clinical parameters only. We recommend against the use of a risk prediction model for the decision to obtain blood cultures.</t>
  </si>
  <si>
    <t>Acrylamide and Glycidamide Hemoglobin Adducts and Epithelial Ovarian Cancer: A Nested Case-Control Study in Nonsmoking Postmenopausal Women from the EPIC Cohort.</t>
  </si>
  <si>
    <t>Obón-Santacana, Mireia; Lujan-Barroso, Leila; Travis, Ruth C; Freisling, Heinz; Ferrari, Pietro; Severi, Gianluca; Baglietto, Laura; Boutron-Ruault, Marie-Christine; Fortner, Renée T; Ose, Jennifer; Boeing, Heiner; Menéndez, Virginia; Sánchez-Cantalejo, Emilio; Chamosa, Saioa; Castaño, José María Huerta; Ardanaz, Eva; Khaw, Kay-Tee; Wareham, Nick; Merritt, Melissa A; Gunter, Marc J; Trichopoulou, Antonia; Papatesta, Eleni-Maria; Klinaki, Eleni; Saieva, Calogero; Tagliabue, Giovanna; Tumino, Rosario; Sacerdote, Carlotta; Mattiello, Amalia; Bueno-de-Mesquita, H B; Peeters, Petra H; Onland-Moret, N Charlotte; Idahl, Annika; Lundin, Eva; Weiderpass, Elisabete; Vesper, Hubert W; Riboli, Elio; Duell, Eric J</t>
  </si>
  <si>
    <t>https://pubmed.ncbi.nlm.nih.gov/26598536</t>
  </si>
  <si>
    <t>Acrylamide was classified as "probably carcinogenic to humans (group 2A)" by the International Agency for Research on Cancer. Epithelial ovarian cancer (EOC) is the fourth cause of cancer mortality in women. Five epidemiological studies have evaluated the association between EOC risk and dietary acrylamide intake assessed using food frequency questionnaires, and one nested case-control study evaluated hemoglobin adducts of acrylamide (HbAA) and its metabolite glycidamide (HbGA) and EOC risk; the results of these studies were inconsistent. A nested case-control study in nonsmoking postmenopausal women (334 cases, 417 controls) was conducted within the European Prospective Investigation into Cancer and Nutrition (EPIC) cohort. Unconditional logistic regression models were used to estimate ORs and 95% confidence intervals (CI) for the association between HbAA, HbGA, HbAA+HbGA, and HbGA/HbAA and EOC and invasive serous EOC risk. No overall associations were observed between biomarkers of acrylamide exposure analyzed in quintiles and EOC risk; however, positive associations were observed between some middle quintiles of HbGA and HbAA+HbGA. Elevated but nonstatistically significant ORs for serous EOC were observed for HbGA and HbAA+HbGA (ORQ5vsQ1, 1.91; 95% CI, 0.96-3.81 and ORQ5vsQ1, 1.90; 95% CI, 0.94-3.83, respectively); however, no linear dose-response trends were observed. This EPIC nested case-control study failed to observe a clear association between biomarkers of acrylamide exposure and the risk of EOC or invasive serous EOC. It is unlikely that dietary acrylamide exposure increases ovarian cancer risk; however, additional studies with larger sample size should be performed to exclude any possible association with EOC risk.</t>
  </si>
  <si>
    <t>Serum Magnesium and Sudden Death in European Hemodialysis Patients.</t>
  </si>
  <si>
    <t>de Roij van Zuijdewijn, Camiel L M; Grooteman, Muriel P C; Bots, Michiel L; Blankestijn, Peter J; Steppan, Sonja; Büchel, Janine; Groenwold, Rolf H H; Brandenburg, Vincent; van den Dorpel, Marinus A; Ter Wee, Piet M; Nubé, Menso J; Vervloet, Marc G</t>
  </si>
  <si>
    <t>https://pubmed.ncbi.nlm.nih.gov/26600017</t>
  </si>
  <si>
    <t>Despite suggestions that higher serum magnesium (Mg) levels are associated with improved outcome, the association with mortality in European hemodialysis (HD) patients has only scarcely been investigated. Furthermore, data on the association between serum Mg and sudden death in this patient group is limited. Therefore, we evaluated Mg in a post-hoc analysis using pooled data from the CONvective TRAnsport STudy (CONTRAST, NCT00205556), a randomized controlled trial (RCT) evaluating the survival risk in dialysis patients on hemodiafiltration (HDF) compared to HD with a mean follow-up of 3.1 years. Serum Mg was measured at baseline and 6, 12, 24 and 36 months thereafter. Cox proportional hazards models, adjusted for confounders using inverse probability weighting, were used to estimate hazard ratios (HRs) of baseline serum Mg on all-cause mortality, cardiovascular mortality, non-cardiovascular mortality and sudden death. A generalized linear mixed model was used to investigate Mg levels over time. Out of 714 randomized patients, a representative subset of 365 (51%) were analyzed in the present study. For every increase in baseline serum Mg of 0.1 mmol/L, the HR for all-cause mortality was 0.85 (95% CI 0.77-94), the HR for cardiovascular mortality 0.73 (95% CI 0.62-0.85) and for sudden death 0.76 (95% CI 0.62-0.93). These findings did not alter after extensive correction for potential confounders, including treatment modality. Importantly, no interaction was found between serum phosphate and serum Mg. Baseline serum Mg was not related to non-cardiovascular mortality. Mg decreased slightly but statistically significant over time (Δ -0.011 mmol/L/year, 95% CI -0.017 to -0.009, p = 0.03). In short, serum Mg has a strong, independent association with all-cause mortality, cardiovascular mortality and sudden death in European HD patients. Serum Mg levels decrease slightly over time.</t>
  </si>
  <si>
    <t>The ThRombolysis in UnconTrolled Hypertension (TRUTH) protocol: an observational study on treatment strategy of elevated blood pressure in stroke patients eligible for IVT.</t>
  </si>
  <si>
    <t>Zonneveld, T P; Algra, A; Dippel, D W J; Kappelle, L J; van Oostenbrugge, R J; Roos, Y B W E M; Wermer, M J; van der Worp, H B; Nederkoorn, P J; Kruyt, N D; ,</t>
  </si>
  <si>
    <t>https://pubmed.ncbi.nlm.nih.gov/26596237</t>
  </si>
  <si>
    <t>Intravenous thrombolysis (IVT) with (recombinant) tissue plasminogen activator is an effective treatment in acute ischemic stroke. However, IVT is contraindicated when blood pressure is above 185/110 mmHg, because of an increased risk on symptomatic intracranial hemorrhage. In current Dutch clinical practice, two distinct strategies are used in this situation. The active strategy comprises lowering blood pressure with antihypertensive agents below these thresholds to allow start of IVT. In the conservative strategy, IVT is administered only when blood pressure drops spontaneously below protocolled thresholds. A retrospective analysis in two recent stroke trials showed a non-significant signal towards better functional outcome in the active group; robust evidence for either strategy, however, is lacking. We hypothesize that (I) the active strategy leads to a better functional outcome three months after acute ischemic stroke. Secondary hypotheses are that this effect occurs despite (II) increasing the number of symptomatic intracranial hemorrhages, and could be attributable to (III) a higher rate of IVT treatments and (IV) a shorter door-to-needle time. The TRUTH is a prospective, observational, cluster-based, parallel group follow-up study; in which participating centers continue their current local treatment guidelines. Outcomes of patients admitted to centers with an active will be compared to those admitted to centers with a conservative strategy. The primary outcome is functional outcome on the modified Rankin Scale at three months. Secondary outcomes are symptomatic intracranial hemorrhage, IVT treatment and door-to-needle time. We based our sample size estimate on an ordinal analysis of the mRS with the "proportional odds" model. With the aforementioned signal observed in a recent retrospective study in these patients as an estimate of the effect size and with alpha 0 · 05, this analysis would have an 80 % power with a total number of 600 patients. Corrections for expected imbalance in group size and clustering effects resulted in a sample size of 1235 patients. The TRUTH is the first large prospective study specifically studying IVT-candidates with elevated blood pressure, and has the potential to change clinical practice and optimize acute stroke care in these patients.</t>
  </si>
  <si>
    <t>Drug regulators and ethics: which GCP issues are also ethical issues?</t>
  </si>
  <si>
    <t>Bernabe, Rosemarie D L C; van Thiel, Ghislaine J M W; Breekveldt, Nancy S; van Delden, Johannes J M</t>
  </si>
  <si>
    <t>https://pubmed.ncbi.nlm.nih.gov/26610417</t>
  </si>
  <si>
    <t>Within the European Union (EU), good clinical practice (GCP) provides an ethical mandate to regulators; however, it is unclear what the content of that mandate is. By looking at the correspondence between GCP and ethical imperatives, we identify that the mandate is within the following: principles; benefit-risk ratio; scientific validity; results publication; informed consent; respect for participants; and special populations. There are also cases when regulations were ethical but were not pairable to an imperative, and when the former were stricter than the latter. Hence, we suggest closer cooperation between ethics committees and regulators to ensure that future versions of ethics guidelines cover the ethically relevant regulations that were not directly pairable to any imperative, and cooperation between GCP legislative bodies and ethics guideline-making bodies to resolve the discordant areas.</t>
  </si>
  <si>
    <t>Time trends in causes of death after aneurysmal subarachnoid hemorrhage: A hospital-based study.</t>
  </si>
  <si>
    <t>Vergouwen, Mervyn D I; Jong-Tjien-Fa, Amy V; Algra, Ale; Rinkel, Gabriel J E</t>
  </si>
  <si>
    <t>https://pubmed.ncbi.nlm.nih.gov/26590269</t>
  </si>
  <si>
    <t>To compare causes of in-hospital death after aneurysmal subarachnoid hemorrhage (aSAH) in 2 time periods within the same institution. From a prospectively collected institutional database, we retrieved data on 844 consecutive patients with aSAH admitted ≤3 days after ictus in 1999-2002 and 2009-2012. We assessed case-fatality &lt;90 days and causes of in-hospital death and used Poisson regression analyses to calculate adjusted risk ratios (aRR) with corresponding 95% confidence intervals (CI) for change in individual causes of death, with the first time period as the reference group. Ninety-day case-fatality declined from 150/381 patients (39%) in 1999-2002 to 140/463 (30%) in 2009-2012 (aRR 0.74 [95% CI 0.62-0.88]). Compared with 1999-2002, the aRR for specific cause of in-hospital death in 2009-2012 was 1.06 (95% CI 0.72-1.56) for death from the initial bleeding, 0.47 (95% CI 0.31-0.71) for death from rebleeding, and 0.91 (95% CI 0.50-1.65) for death from delayed cerebral ischemia. Over time, the proportion of patients with in-hospital rebleeding declined from 90/381 (24%) to 78/463 (17%) (aRR 0.68 [95% CI 0.52-0.90]), median day of rebleeding from day 5 (IQR 1-10) to day 0 (IQR 0-1), and median day of aneurysm treatment from day 4 (IQR 2-13) to day 1 (IQR 1-2). An important contributor to the reduction in in-hospital death is the reduction in death from rebleeding, which probably results from earlier aneurysm treatment. Our results stress the need for early occlusion of the aneurysm and the need for other strategies that improve outcome by reducing the risk of rebleeding.</t>
  </si>
  <si>
    <t>Using a gene expression signature when controversy exists regarding the indication for adjuvant systemic treatment reduces the proportion of patients receiving adjuvant chemotherapy: a nationwide study.</t>
  </si>
  <si>
    <t>Kuijer, A; van Bommel, A C M; Drukker, C A; van der Heiden-van der Loo, M; Smorenburg, C H; Westenend, P J; Linn, S C; Rutgers, E J Th; Elias, S G; van Dalen, Th</t>
  </si>
  <si>
    <t>genetics in medicine official journal of the american college of medical genetics</t>
  </si>
  <si>
    <t>https://pubmed.ncbi.nlm.nih.gov/26583684</t>
  </si>
  <si>
    <t>The Dutch national guideline advises use of gene-expression signatures, such as the 70-gene signature (70-GS), in case of ambivalence regarding the benefit of adjuvant chemotherapy (CT). In this nationwide study, the impact of 70-GS use on the administration of CT in early breast cancer patients with a dubious indication for CT is assessed. Patients within a national guideline directed indication area for 70-GS use who were surgically treated between November 2011 and April 2013 were selected from the Netherlands Cancer Registry database. The effect of 70-GS use on the administration of CT was evaluated in guideline- and age-delineated subgroups addressing potential effect of bias by linear mixed-effect modeling and instrumental variable (IV) analyses. A total of 2,043 patients within the indicated area for 70-GS use were included, of whom 298 received a 70-GS. Without use of the 70-GS, 45% of patients received CT. The 70-GS use was associated with a 9.5% decrease in CT administration (95% confidence interval (CI): -15.7 to -3.3%) in linear mixed-effect model analyses and IV analyses showed similar results (-9.9%; 95% CI: -19.3 to -0.4). In patients in whom the Dutch national guidelines suggest the use of a gene-expression profile, 70-GS use is associated with a 10% decrease in the administration of adjuvant CT.Genet Med 18 7, 720-726.Genetics in Medicine (2016); 18 7, 720-726. doi:10.1038/gim.2015.152.</t>
  </si>
  <si>
    <t>Nosocomial transmission of avian influenza virus A (H7N9).</t>
  </si>
  <si>
    <t>van der Sande, Marianne A B; van der Hoek, Wim</t>
  </si>
  <si>
    <t>https://pubmed.ncbi.nlm.nih.gov/26586650</t>
  </si>
  <si>
    <t>Childhood asthma prediction models: a systematic review.</t>
  </si>
  <si>
    <t>Smit, Henriette A; Pinart, Mariona; Antó, Josep M; Keil, Thomas; Bousquet, Jean; Carlsen, Kai H; Moons, Karel G M; Hooft, Lotty; Carlsen, Karin C Lødrup</t>
  </si>
  <si>
    <t>https://pubmed.ncbi.nlm.nih.gov/26597131</t>
  </si>
  <si>
    <t>Early identification of children at risk of developing asthma at school age is crucial, but the usefulness of childhood asthma prediction models in clinical practice is still unclear. We systematically reviewed all existing prediction models to identify preschool children with asthma-like symptoms at risk of developing asthma at school age. Studies were included if they developed a new prediction model or updated an existing model in children aged 4 years or younger with asthma-like symptoms, with assessment of asthma done between 6 and 12 years of age. 12 prediction models were identified in four types of cohorts of preschool children: those with health-care visits, those with parent-reported symptoms, those at high risk of asthma, or children in the general population. Four basic models included non-invasive, easy-to-obtain predictors only, notably family history, allergic disease comorbidities or precursors of asthma, and severity of early symptoms. Eight extended models included additional clinical tests, mostly specific IgE determination. Some models could better predict asthma development and other models could better rule out asthma development, but the predictive performance of no single model stood out in both aspects simultaneously. This finding suggests that there is a large proportion of preschool children with wheeze for which prediction of asthma development is difficult.</t>
  </si>
  <si>
    <t>A systematic review of reasons for gatekeeping in palliative care research.</t>
  </si>
  <si>
    <t>Kars, Marijke C; van Thiel, Ghislaine Jmw; van der Graaf, Rieke; Moors, Marleen; de Graeff, Alexander; van Delden, Johannes Jm</t>
  </si>
  <si>
    <t>https://pubmed.ncbi.nlm.nih.gov/26577927</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</si>
  <si>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</si>
  <si>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Rasch analysis reveals comparative analyses of activities of daily living/instrumental activities of daily living summary scores from different residential settings is inappropriate.</t>
  </si>
  <si>
    <t>Lutomski, Jennifer E; Krabbe, Paul F M; den Elzen, Wendy P J; Olde-Rikkert, Marcel G M; Steyerberg, Ewout W; Muntinga, Maaike E; Bleijenberg, Nienke; Kempen, Gertrudis I J M; Melis, René J F; ,</t>
  </si>
  <si>
    <t>https://pubmed.ncbi.nlm.nih.gov/26597973</t>
  </si>
  <si>
    <t>To internally validate a 15-item dichotomous activities of daily living (ADL) and instrumental activities of daily living (IADL) index. Data were extracted from The Older Persons and Informal Caregivers Survey Minimum DataSet (TOPICS-MDS). Using Rasch modeling, six aspects of the ADL/IADL scale were assessed: (1) overall fit, (2) internal consistency, (3) individual item and person fit, (4) local dependency, (5) targeting, and (6) differential item functioning (DIF) (RUMM 2030). All analyses were stratified by living situation [community-dwelling (n = 21,926) or residential care facility (n = 2,458)]. In both settings, "eating" was the easiest activity on the scale and "performing household tasks" was the most difficult activity. However, based on the location on the logit scale, the level of difficulty for certain items varied between residential settings, suggesting summary scores are not equivalent between these settings. DIF by gender and age group was observed for several items, indicating potential measurement bias in the scale. Unless adjustments are undertaken, ADL/IADL summary scores retrieved from older persons residing in the community or residential care facilities should not be directly compared. This 15-item scale is poorly targeted for a community-dwelling older population, underscoring the need for items with improved discriminative ability.</t>
  </si>
  <si>
    <t>Maternal body mass index and adverse pregnancy outcomes: A ghanaian cohort study.</t>
  </si>
  <si>
    <t>Van Der Linden, Eva L; Browne, Joyce L; Vissers, Karin M; Antwi, Edward; Agyepong, Irene A; Grobbee, Diederick E; Klipstein-Grobusch, Kerstin</t>
  </si>
  <si>
    <t>https://pubmed.ncbi.nlm.nih.gov/26574712</t>
  </si>
  <si>
    <t>To examine the association between maternal weight at &lt;17 weeks gestation and maternal and infant outcomes of pregnancy, delivery, and the postpartum period in pregnant Ghanaian women. A prospective cohort study of 1,000 women in Accra, Ghana (2012-2014), was conducted. Women were classified as having overweight (BMI 25-30) and obesity (BMI ≥ 30), and their obstetric and infant outcomes were analyzed using multivariate logistic regression. The analysis included 824 women, average 28 years (SD 5.1); 313 (31.3%) had overweight and 169 (16.9%) obesity. Women with obesity had a two-fold increased risk for cesarean sections (RR 2.20, 95% CI 1.21-4.02) and more than a six-fold higher risk for pregnancy-induced hypertension (RR 6.17, 95% CI 2.90-13.13) and chronic hypertension (RR 6.00, 95% CI 1.40-25.76). Infants of women with overweight or obesity were more likely to be macrosomic (RR 2.37, 95% CI 1.13-4.97). The global obesity epidemic has reached women in low- and middle-income countries (LMIC) with important adverse consequences for maternal and infant health. Antenatal care in LMIC will need to anticipate this potential expansion of complications, including the development of guidelines for optimal maternity care for pregnant women with overweight and obesity.</t>
  </si>
  <si>
    <t>Measuring regional and district variations in the incidence of pregnancy-induced hypertension in Ghana: challenges, opportunities and implications for maternal and newborn health policy and programmes.</t>
  </si>
  <si>
    <t>Antwi, Edward; Klipstein-Grobusch, Kerstin; Quansah Asare, Gloria; Koram, Kwadwo A; Grobbee, Diederick; Agyepong, Irene A</t>
  </si>
  <si>
    <t>https://pubmed.ncbi.nlm.nih.gov/26503403</t>
  </si>
  <si>
    <t>The objectives were to assess the quality of health management information system (HMIS) data needed for assessment of local area variation in pregnancy-induced hypertension (PIH) incidence and to describe district and regional variations in PIH incidence. A retrospective review of antenatal and delivery records of 2682 pregnant women in 10 district hospitals in the Greater Accra and Upper West regions of Ghana was conducted in 2013. Quality of HMIS data was assessed by completeness of reporting. The incidence of PIH was estimated for each district. Key variables for routine assessment of PIH such as blood pressure (BP) at antenatal visits, weight and height were 95-100% complete. Fundal height, gestational age and BP at delivery were not consistently reported. The incidence of PIH differed significantly between Greater Accra region (6.1%) and Upper West region (3.2%). Prevalence of obesity among pregnant women in Greater Accra region (13.9%) was significantly higher than that of women in Upper West region (2.2%). More attention needs to be given to understanding local area variations in PIH and possible relationships with urbanisation and lifestyle changes that promote obesity, to inform maternal and newborn health policy. This can be done with good quality routine HMIS data.</t>
  </si>
  <si>
    <t>The Innovative Medicines Initiative's New Drugs for Bad Bugs programme: European public-private partnerships for the development of new strategies to tackle antibiotic resistance.</t>
  </si>
  <si>
    <t>Kostyanev, T; Bonten, M J M; O'Brien, S; Steel, H; Ross, S; François, B; Tacconelli, E; Winterhalter, M; Stavenger, R A; Karlén, A; Harbarth, S; Hackett, J; Jafri, H S; Vuong, C; MacGowan, A; Witschi, A; Angyalosi, G; Elborn, J S; deWinter, R; Goossens, H</t>
  </si>
  <si>
    <t>https://pubmed.ncbi.nlm.nih.gov/26568581</t>
  </si>
  <si>
    <t>Antibiotic resistance (ABR) is a global public health threat. Despite the emergence of highly resistant organisms and the huge medical need for new drugs, the development of antibacterials has slowed to an unacceptable level worldwide. Numerous government and non-government agencies have called for public-private partnerships and innovative funding mechanisms to address this problem. To respond to this public health crisis, the Innovative Medicines Initiative Joint Undertaking programme has invested more than €660 million, with a goal of matched contributions from the European Commission and the European Federation of Pharmaceutical Industries and Associations, in the development of new antibacterial strategies. The New Drugs for Bad Bugs (ND4BB) programme, an Innovative Medicines Initiative, has the ultimate goal to boost the fight against ABR at every level from basic science and drug discovery, through clinical development to new business models and responsible use of antibiotics. Seven projects have been launched within the ND4BB programme to achieve this goal. Four of them will include clinical trials of new anti-infective compounds, as well as epidemiological studies on an unprecedented scale, which will increase our knowledge of ABR and specific pathogens, and improve the designs of the clinical trials with new investigational drugs. The need for rapid concerted action has driven the funding of seven topics, each of which should add significantly to progress in the fight against ABR. ND4BB unites expertise and provides a platform where the commitment and resources required by all parties are streamlined into a joint public-private partnership initiative of unprecedented scale.</t>
  </si>
  <si>
    <t>Tracking social contact networks with online respondent-driven detection: who recruits whom?</t>
  </si>
  <si>
    <t>Stein, Mart L; van der Heijden, Peter G M; Buskens, Vincent; van Steenbergen, Jim E; Bengtsson, Linus; Koppeschaar, Carl E; Thorson, Anna; Kretzschmar, Mirjam E E</t>
  </si>
  <si>
    <t>https://pubmed.ncbi.nlm.nih.gov/26573658</t>
  </si>
  <si>
    <t>Transmission of respiratory pathogens in a population depends on the contact network patterns of individuals. To accurately understand and explain epidemic behaviour information on contact networks is required, but only limited empirical data is available. Online respondent-driven detection can provide relevant epidemiological data on numbers of contact persons and dynamics of contacts between pairs of individuals. We aimed to analyse contact networks with respect to sociodemographic and geographical characteristics, vaccine-induced immunity and self-reported symptoms. In 2014, volunteers from two large participatory surveillance panels in the Netherlands and Belgium were invited for a survey. Participants were asked to record numbers of contacts at different locations and self-reported influenza-like-illness symptoms, and to invite 4 individuals they had met face to face in the preceding 2 weeks. We calculated correlations between linked individuals to investigate mixing patterns. In total 1560 individuals completed the survey who reported in total 30591 contact persons; 488 recruiter-recruit pairs were analysed. Recruitment was assortative by age, education, household size, influenza vaccination status and sentiments, indicating that participants tended to recruit contact persons similar to themselves. We also found assortative recruitment by symptoms, reaffirming our objective of sampling contact persons whom a participant may infect or by whom a participant may get infected in case of an outbreak. Recruitment was random by sex and numbers of contact persons. Relationships between pairs were influenced by the spatial distribution of peer recruitment. Although complex mechanisms influence online peer recruitment, the observed statistical relationships reflected the observed contact network patterns in the general population relevant for the transmission of respiratory pathogens. This provides useful and innovative input for predictive epidemic models relying on network information.</t>
  </si>
  <si>
    <t>The health status of a village population, 7 years after a major Q fever outbreak.</t>
  </si>
  <si>
    <t>Morroy, G; Van Der Hoek, W; Nanver, Z D; Schneeberger, P M; Bleeker-Rovers, C P; Van Der Velden, J; Coutinho, R A</t>
  </si>
  <si>
    <t>https://pubmed.ncbi.nlm.nih.gov/26560803</t>
  </si>
  <si>
    <t>From 2007 to 2010, The Netherlands experienced a major Q fever outbreak with more than 4000 notifications. Previous studies suggested that Q fever patients could suffer long-term post-infection health impairments, especially fatigue. Our objective was to assess the Coxiella burnetii antibody prevalence and health status including fatigue, and assess their interrelationship in Herpen, a high-incidence village, 7 years after the outbreak began. In 2014, we invited all 2161 adult inhabitants for a questionnaire and a C. burnetii indirect fluorescence antibody assay (IFA). The health status was measured with the Nijmegen Clinical Screening Instrument (NCSI), consisting of eight subdomains including fatigue. Of the 70·1% (1517/2161) participants, 33·8% (513/1517) were IFA positive. Of 147 participants who were IFA positive in 2007, 25 (17%) seroreverted and were now IFA negative. Not positive IFA status, but age &lt;50 years, smoking and co-morbidity, were independent risk factors for fatigue. Notified participants reported significantly more often fatigue (31/49, 63%) than non-notified IFA-positive participants (150/451, 33%). Although fatigue is a common sequel after acute Q fever, in this community-based survey we found no difference in fatigue levels between participants with and without C. burnetii antibodies.</t>
  </si>
  <si>
    <t>A nomogram was developed to enhance the use of multinomial logistic regression modeling in diagnostic research.</t>
  </si>
  <si>
    <t>Bertens, Loes C M; Moons, Karel G M; Rutten, Frans H; van Mourik, Yvonne; Hoes, Arno W; Reitsma, Johannes B</t>
  </si>
  <si>
    <t>https://pubmed.ncbi.nlm.nih.gov/26577433</t>
  </si>
  <si>
    <t>We developed a nomogram to facilitate the interpretation and presentation of results from multinomial logistic regression models. We analyzed data from 376 frail elderly with complaints of dyspnea. Potential underlying disease categories were heart failure (HF), chronic obstructive pulmonary disease (COPD), the combination of both (HF and COPD), and any other outcome (other). A nomogram for multinomial model was developed to depict the relative importance of each predictor and to calculate the probability for each disease category for a given patient. Additionally, model performance of the multinomial regression model was assessed. Prevalence of HF and COPD was 14% (n = 54), HF 24% (n = 90), COPD 20% (n = 75), and Other 42% (n = 157). The relative importance of the individual predictors varied across these disease categories or was even reversed. The pairwise C statistics ranged from 0.75 (between HF and Other) to 0.96 (between HF and COPD and Other). The nomogram can be used to rank the disease categories from most to least likely within each patient or to calculate the predicted probabilities. Our new nomogram is a useful tool to present and understand the results of a multinomial regression model and could enhance the applicability of such models in daily practice.</t>
  </si>
  <si>
    <t>Big Data in medical research and EU data protection law: challenges to the consent or anonymise approach.</t>
  </si>
  <si>
    <t>Mostert, Menno; Bredenoord, Annelien L; Biesaart, Monique C I H; van Delden, Johannes J M</t>
  </si>
  <si>
    <t>https://pubmed.ncbi.nlm.nih.gov/26554881</t>
  </si>
  <si>
    <t>Medical research is increasingly becoming data-intensive; sensitive data are being re-used, linked and analysed on an unprecedented scale. The current EU data protection law reform has led to an intense debate about its potential effect on this processing of data in medical research. To contribute to this evolving debate, this paper reviews how the dominant 'consent or anonymise approach' is challenged in a data-intensive medical research context, and discusses possible ways forwards within the EU legal framework on data protection. A large part of the debate in literature focuses on the acceptability of adapting consent or anonymisation mechanisms to overcome the challenges within these approaches. We however believe that the search for ways forward within the consent or anonymise paradigm will become increasingly difficult. Therefore, we underline the necessity of an appropriate research exemption from consent for the use of sensitive personal data in medical research to take account of all legitimate interests. The appropriate conditions of such a research exemption are however subject to debate, and we expect that there will be minimal harmonisation of these conditions in the forthcoming EU Data Protection Regulation. Further deliberation is required to determine when a shift away from consent as a legal basis is necessary and proportional in a data-intensive medical research context, and what safeguards should be put in place when such a research exemption from consent is provided.</t>
  </si>
  <si>
    <t>Reproductive factors and epithelial ovarian cancer survival in the EPIC cohort study.</t>
  </si>
  <si>
    <t>Bešević, Jelena; Gunter, Marc J; Fortner, Renée T; Tsilidis, Konstantinos K; Weiderpass, Elisabete; Onland-Moret, N Charlotte; Dossus, Laure; Tjønneland, Anne; Hansen, Louise; Overvad, Kim; Mesrine, Sylvie; Baglietto, Laura; Clavel-Chapelon, Françoise; Kaaks, Rudolf; Aleksandrova, Krasimira; Boeing, Heiner; Trichopoulou, Antonia; Lagiou, Pagona; Bamia, Christina; Masala, Giovanna; Agnoli, Claudia; Tumino, Rosario; Ricceri, Fulvio; Panico, Salvatore; Bueno-de-Mesquita, H Bas; Peeters, Petra H; Jareid, Mie; Quirós, J Ramón; Duell, Eric J; Sánchez, María-José; Larrañaga, Nerea; Chirlaque, María-Dolores; Barricarte, Aurelio; Dias, Joana A; Sonestedt, Emily; Idahl, Annika; Lundin, Eva; Wareham, Nicholas J; Khaw, Kay-Tee; Travis, Ruth C; Rinaldi, Sabina; Romieu, Isabelle; Riboli, Elio; Merritt, Melissa A</t>
  </si>
  <si>
    <t>https://pubmed.ncbi.nlm.nih.gov/26554655</t>
  </si>
  <si>
    <t>Reproductive factors influence the risk of developing epithelial ovarian cancer (EOC), but little is known about their association with survival. We tested whether prediagnostic reproductive factors influenced EOC-specific survival among 1025 invasive EOC cases identified in the European Prospective Investigation into Cancer and Nutrition (EPIC) study, which included 521,330 total participants (approximately 370,000 women) aged 25-70 years at recruitment from 1992 to 2000. Information on reproductive characteristics was collected at recruitment. Cox proportional hazards regression models were used to estimate hazard ratios (HRs) and 95% confidence intervals (CIs), and multivariable models were adjusted for age and year of diagnosis, body mass index, tumour stage, smoking status and stratified by study centre. After a mean follow-up of 3.6 years (±3.2 s.d.) following EOC diagnosis, 511 (49.9%) of the 1025 women died from EOC. We observed a suggestive survival advantage in menopausal hormone therapy (MHT) users (ever vs never use, HR=0.80, 95% CI=0.62-1.03) and a significant survival benefit in long-term MHT users (⩾5 years use vs never use, HR=0.70, 95% CI=0.50-0.99, P(trend)=0.04). We observed similar results for MHT use when restricting to serous cases. Other reproductive factors, including parity, breastfeeding, oral contraceptive use and age at menarche or menopause, were not associated with EOC-specific mortality risk. Further studies are warranted to investigate the possible improvement in EOC survival in MHT users.</t>
  </si>
  <si>
    <t>Bias due to composite reference standards in diagnostic accuracy studies.</t>
  </si>
  <si>
    <t>Schiller, Ian; van Smeden, Maarten; Hadgu, Alula; Libman, Michael; Reitsma, Johannes B; Dendukuri, Nandini</t>
  </si>
  <si>
    <t>https://pubmed.ncbi.nlm.nih.gov/26555849</t>
  </si>
  <si>
    <t>Composite reference standards (CRSs) have been advocated in diagnostic accuracy studies in the absence of a perfect reference standard. The rationale is that combining results of multiple imperfect tests leads to a more accurate reference than any one test in isolation. Focusing on a CRS that classifies subjects as disease positive if at least one component test is positive, we derive algebraic expressions for sensitivity and specificity of this CRS, sensitivity and specificity of a new (index) test compared with this CRS, as well as the CRS-based prevalence. We use as a motivating example the problem of evaluating a new test for Chlamydia trachomatis, an asymptomatic disease for which no gold-standard test exists. As the number of component tests increases, sensitivity of this CRS increases at the expense specificity, unless all tests have perfect specificity. Therefore, such a CRS can lead to significantly biased accuracy estimates of the index test. The bias depends on disease prevalence and accuracy of the CRS. Further, conditional dependence between the CRS and index test can lead to over-estimation of index test accuracy estimates. This commonly-used CRS combines results from multiple imperfect tests in a way that ignores information and therefore is not guaranteed to improve over a single imperfect reference unless each component test has perfect specificity, and the CRS is conditionally independent of the index test. When these conditions are not met, as in the case of C. trachomatis testing, more realistic statistical models should be researched instead of relying on such CRSs.</t>
  </si>
  <si>
    <t>Non-pharmacological nurse-led interventions to manage anxiety in patients with advanced cancer: A systematic literature review.</t>
  </si>
  <si>
    <t>Zweers, Danielle; de Graaf, Everlien; Teunissen, Saskia C C M</t>
  </si>
  <si>
    <t>https://pubmed.ncbi.nlm.nih.gov/26607059</t>
  </si>
  <si>
    <t>Anxiety is a common symptom in patients with advanced cancer. Although pharmacological and psychosocial interventions are recommended, it remains unclear which role nurses can play in supporting patients with anxiety. The objective was to provide an inventory of non-pharmacological nurse-led interventions and evaluate the effectiveness in managing anxiety in advanced cancer patients. A systematic literature review was performed from xx-xx-xxxx until March 2013. Four databases (MEDLINE, CINAHL, PsycINFO and Cochrane) were searched using predefined search terms without date limits. Randomized controlled trials, focusing on non-pharmacological nurse-led interventions in the management of anxiety in patients with advanced cancer were identified. Due to the heterogeneity of the included studies, results are presented in a descriptive way. A total of seven studies were included. The interventions were categorized into patient education, telemonitoring, psychotherapy, complementary care or a combination of these. Two studies showed significant improvements in anxiety levels in patients who received a psychoeducational intervention and in those who participated in a telemonitoring program. However, both studies were judged with a high risk of bias due to attrition, the randomization process and the lack of blinding which was not described. A complementary care intervention, a focused narrative interview and a telemonitoring program identified improvement in anxiety after each time the intervention was provided. However, no significant differences between intervention and control group were found. Although there is no firm evidence due to the high risk of bias, two studies showed that nurses could play a meaningful role in the management of anxiety with regard to early recognition and even in a specific set of psychotherapeutic interventions. Obviously, interventions should be adapted to the underlying cause of anxiety. However, the results of this systematic literature review show a limited degree of evidence to realize this goal. Future research should focus on the interpretation of the findings in order to understand why certain interventions are effective. Furthermore, clarification of which nurse competencies are needed to perform these interventions successfully must be defined. Nevertheless, this systematic literature review encourages nurses to take a key role in the management of anxiety and shows that it is worthwhile to investigate the difference that can be made by nurses in supporting advanced cancer patients with anxiety.</t>
  </si>
  <si>
    <t>EMAS position statement: Testosterone replacement therapy in the aging male‏.</t>
  </si>
  <si>
    <t>Dimopoulou, Christina; Ceausu, Iuliana; Depypere, Herman; Lambrinoudaki, Irene; Mueck, Alfred; Pérez-López, Faustino R; Rees, Margaret; van der Schouw, Yvonne T; Senturk, Levent M; Simonsini, Tommaso; Stevenson, John C; Stute, Petra; Goulis, Dimitrios G</t>
  </si>
  <si>
    <t>https://pubmed.ncbi.nlm.nih.gov/26614257</t>
  </si>
  <si>
    <t>Late-onset hypogonadism (LOH) represents a common clinical entity in aging males, characterized by the presence of symptoms (most usually of a sexual nature, such as decreased libido, decreased spontaneous erections and erectile dysfunction) and signs, in combination with low serum testosterone concentrations. Whether testosterone replacement therapy (TRT) should be offered to those individuals is still under extensive debate. The aim of this position statement is to provide and critically appraise evidence on TRT in the aging male, focusing on pathophysiology and characteristics of LOH, indications for TRT, available therapeutic agents, monitoring and treatment-associated risks. Literature review and consensus of expert opinion. Diagnosis and treatment of LOH is justified, if a combination of symptoms of testosterone deficiency and low testosterone is present. Patients receiving TRT could profit with regard to obesity, metabolic syndrome, type 2 diabetes mellitus, sexual function and osteoporosis and should undergo scheduled testing for adverse events regularly. Potential adverse effects of TRT on cardiovascular disease, prostate cancer and sleep apnea are as yet unclear and remain to be investigated in large-scale prospective studies. Management of aging men with LOH should include individual evaluation of co-morbidities and careful risk versus benefit assessment.</t>
  </si>
  <si>
    <t>Diagnostic yield and accuracy of CT angiography, MR angiography, and digital subtraction angiography for detection of macrovascular causes of intracerebral haemorrhage: prospective, multicentre cohort study.</t>
  </si>
  <si>
    <t>van Asch, Charlotte J J; Velthuis, Birgitta K; Rinkel, Gabriël J E; Algra, Ale; de Kort, Gérard A P; Witkamp, Theo D; de Ridder, Johanna C M; van Nieuwenhuizen, Koen M; de Leeuw, Frank-Erik; Schonewille, Wouter J; de Kort, Paul L M; Dippel, Diederik W; Raaymakers, Theodora W M; Hofmeijer, Jeannette; Wermer, Marieke J H; Kerkhoff, Henk; Jellema, Korné; Bronner, Irene M; Remmers, Michel J M; Bienfait, Henri Paul; Witjes, Ron J G M; Greving, Jacoba P; Klijn, Catharina J M; ,</t>
  </si>
  <si>
    <t>https://pubmed.ncbi.nlm.nih.gov/26553142</t>
  </si>
  <si>
    <t>What are the diagnostic yield and accuracy of early computed tomography (CT) angiography followed by magnetic resonance imaging/angiography (MRI/MRA) and digital subtraction angiography (DSA) in patients with non-traumatic intracerebral haemorrhage? This prospective diagnostic study enrolled 298 adults (18-70 years) treated in 22 hospitals in the Netherlands over six years. CT angiography was performed within seven days of haemorrhage. If the result was negative, MRI/MRA was performed four to eight weeks later. DSA was performed when the CT angiography or MRI/MRA results were inconclusive or negative. The main outcome was a macrovascular cause, including arteriovenous malformation, aneurysm, dural arteriovenous fistula, and cavernoma. Three blinded neuroradiologists independently evaluated the images for macrovascular causes of haemorrhage. The reference standard was the best available evidence from all findings during one year's follow-up. A macrovascular cause was identified in 69 patients (23%). 291 patients (98%) underwent CT angiography; 214 with a negative result underwent additional MRI/MRA and 97 with a negative result for both CT angiography and MRI/MRA underwent DSA. Early CT angiography detected 51 macrovascular causes (yield 17%, 95% confidence interval 13% to 22%). CT angiography with MRI/MRA identified two additional macrovascular causes (18%, 14% to 23%) and these modalities combined with DSA another 15 (23%, 18% to 28%). This last extensive strategy failed to detect a cavernoma, which was identified on MRI during follow-up (reference strategy). The positive predictive value of CT angiography was 72% (60% to 82%), of additional MRI/MRA was 35% (14% to 62%), and of additional DSA was 100% (75% to 100%). None of the patients experienced complications with CT angiography or MRI/MRA; 0.6% of patients who underwent DSA experienced permanent sequelae. Not all patients with negative CT angiography and MRI/MRA results underwent DSA. Although the previous probability of finding a macrovascular cause was lower in patients who did not undergo DSA, some small arteriovenous malformations or dural arteriovenous fistulas may have been missed. CT angiography is an appropriate initial investigation to detect macrovascular causes of non-traumatic intracerebral haemorrhage, but accuracy is modest. Additional MRI/MRA may find cavernomas or alternative diagnoses, but DSA is needed to diagnose macrovascular causes undetected by CT angiography or MRI/MRA. Dutch Heart Foundation and The Netherlands Organisation for Health Research and Development, ZonMw. The authors have no competing interests. Direct requests for additional data to the corresponding author.</t>
  </si>
  <si>
    <t>Isoniazid Prophylactic Therapy for the Prevention of Tuberculosis in HIV Infected Adults: A Systematic Review and Meta-Analysis of Randomized Trials.</t>
  </si>
  <si>
    <t>Ayele, Henok Tadesse; Mourik, Maaike S M van; Debray, Thomas P A; Bonten, Marc J M</t>
  </si>
  <si>
    <t>https://pubmed.ncbi.nlm.nih.gov/26551023</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</si>
  <si>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</si>
  <si>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Unmeasured confounding in pharmacoepidemiology.</t>
  </si>
  <si>
    <t>Groenwold, Rolf H H; de Groot, Mark C H; Ramamoorthy, Dhivya; Souverein, Patrick C; Klungel, Olaf H</t>
  </si>
  <si>
    <t>https://pubmed.ncbi.nlm.nih.gov/26559329</t>
  </si>
  <si>
    <t>Erratum to "Subfields of the hippocampal formation at 7T MRI: In vivo volumetric assessment" [NeuroImage 61 (2012) 1043-1049].</t>
  </si>
  <si>
    <t>Wisse, L E M; Gerritsen, L; Zwanenburg, J J M; Kuijf, H J; Luijten, P R; Biessels, G J; Geerlings, M I</t>
  </si>
  <si>
    <t>https://pubmed.ncbi.nlm.nih.gov/28800683</t>
  </si>
  <si>
    <t>Patient selection for cardiac surgery: Time to consider subgroups within risk categories?</t>
  </si>
  <si>
    <t>van Giessen, A; de Wit, G A; Smit, H A; den Ruijter, H M; Nierich, A P; Jansen Klomp, W W; Moons, K G M; Koffijberg, H</t>
  </si>
  <si>
    <t>https://pubmed.ncbi.nlm.nih.gov/26642373</t>
  </si>
  <si>
    <t>Medical guidelines increasingly use risk stratification and implicitly assume that individuals classified in the same risk category form a homogeneous group, while individuals with similar, or even identical, predicted risks can still be very different. We evaluate a strategy to identify homogeneous subgroups typically comprising predicted risk categories to allow further tailoring of treatment allocation and illustrate this strategy empirically for cardiac surgery patients with high postoperative mortality risk. Using a dataset of cardiac surgery patients (n=6517) we applied cluster analysis to identify homogenous subgroups of patients comprising the high postoperative mortality risk group (EuroSCORE ≥ 15%). Cluster analyses were performed separately within younger (&lt;75 years) and older (≥ 75 years) patients. Validity measures were calculated to evaluate quality and robustness of the identified subgroups. Within younger patients two distinct and robust subgroups were identified, differing mainly in preoperative state and indication of recent myocardial infarction or unstable angina. In older patients, two distinct and robust subgroups were identified as well, differing mainly in preoperative state, presence of chronic pulmonary disease, previous cardiac surgery, neurological dysfunction disease and pulmonary hypertension. We illustrated a feasible method to identify homogeneous subgroups of individuals typically comprising risk categories. This allows a single treatment strategy--optimal only on average, across all individuals in a risk category--to be replaced by subgroup-specific treatment strategies, bringing us another step closer to individualized care. Discussions on allocation of cardiac surgery patients to different interventions may benefit from focusing on such specific subgroups.</t>
  </si>
  <si>
    <t>Risk Factors for Lobar and Non-Lobar Intracerebral Hemorrhage in Patients with Vascular Disease.</t>
  </si>
  <si>
    <t>Kremer, Philip H C; Jolink, Wilmar M T; Kappelle, L Jaap; Algra, Ale; Klijn, Catharina J M; ,</t>
  </si>
  <si>
    <t>https://pubmed.ncbi.nlm.nih.gov/26540190</t>
  </si>
  <si>
    <t>Lobar and non-lobar non-traumatic intracerebral hemorrhage (ICH) are presumably caused by different types of small vessel diseases. The aim of this study was to assess risk factors for ICH according to location. In two large prospective studies, SMART (n = 9088) and ESPRIT (n = 2625), including patients with manifest cardiovascular, cerebrovascular or peripheral artery disease or with vascular risk factors, we investigated potential risk factors for ICH during follow-up according to lobar or non-lobar location by Cox proportional hazards analyses. During 65,156 patient years of follow up 19 patients had lobar ICH (incidence rate 29, 95% CI 19-42 per 100,000 person-years) and 24 non-lobar ICH (incidence rate 37, 95% CI 26-51 per 100,000 person-years). Age significantly increased the risk of lobar ICH (HR per 10 years increase 1.90; 95% CI 1.17-3.10) in the multivariable analysis, but not of non-lobar hemorrhage. Anticoagulant medication (HR 3.49; 95% CI 1.20-10.2) and male sex (HR 3.79; 95% CI 1.13-12.8) increased the risk of non-lobar but not lobar ICH. This study shows an elevated risk of future ICH in patients with manifestations of, or risk factors for, cardiovascular, cerebrovascular or peripheral artery disease. Our data suggest that risk factors for ICH vary according to location, supporting the hypothesis of a differential pathophysiology of lobar and non-lobar ICH.</t>
  </si>
  <si>
    <t>Amoxicillin for clinically unsuspected pneumonia in primary care: subgroup analysis.</t>
  </si>
  <si>
    <t>Teepe, Jolien; Little, Paul; Elshof, Nori; Broekhuizen, Berna D L; Moore, Michael; Stuart, Beth; Butler, Chris C; Hood, Kerenza; Ieven, Margareta; Coenen, Samuel; Goossens, Herman; Verheij, Theo J M; ,</t>
  </si>
  <si>
    <t>https://pubmed.ncbi.nlm.nih.gov/26541522</t>
  </si>
  <si>
    <t>Survey Mode Biases Reporting of Activities of Daily Living and Instrumental Activities of Daily Living.</t>
  </si>
  <si>
    <t>Lutomski, Jennifer E; Krabbe, Paul F M; Bleijenberg, Nienke; Blom, Jeanet W; Buurman, Bianca M; Kempen, Gertrudis I J M; Muntinga, Maaike E; Steyerberg, Ewout W; Olde Rikkert, Marcel G M; Melis, René J F</t>
  </si>
  <si>
    <t>https://pubmed.ncbi.nlm.nih.gov/26603070</t>
  </si>
  <si>
    <t>The need to balance merits and limitations from different disciplines when considering the stepped wedge cluster randomized trial design.</t>
  </si>
  <si>
    <t>de Hoop, Esther; van der Tweel, Ingeborg; van der Graaf, Rieke; Moons, Karel G M; van Delden, Johannes J M; Reitsma, Johannes B; Koffijberg, Hendrik</t>
  </si>
  <si>
    <t>https://pubmed.ncbi.nlm.nih.gov/26514920</t>
  </si>
  <si>
    <t>Various papers have addressed pros and cons of the stepped wedge cluster randomized trial design (SWD). However, some issues have not or only limitedly been addressed. Our aim was to provide a comprehensive overview of all merits and limitations of the SWD to assist researchers, reviewers and medical ethics committees when deciding on the appropriateness of the SWD for a particular study. We performed an initial search to identify articles with a methodological focus on the SWD, and categorized and discussed all reported advantages and disadvantages of the SWD. Additional aspects were identified during multidisciplinary meetings in which ethicists, biostatisticians, clinical epidemiologists and health economists participated. All aspects of the SWD were compared to the parallel group cluster randomized design. We categorized the merits and limitations of the SWD to distinct phases in the design and conduct of such studies, highlighting that their impact may vary depending on the context of the study or that benefits may be offset by drawbacks across study phases. Furthermore, a real-life illustration is provided. New aspects are identified within all disciplines. Examples of newly identified aspects of an SWD are: the possibility to measure a treatment effect in each cluster to examine the (in)consistency in effects across clusters, the detrimental effect of lower than expected inclusion rates, deviation from the ordinary informed consent process and the question whether studies using the SWD are likely to have sufficient social value. Discussions are provided on e.g. clinical equipoise, social value, health economical decision making, number of study arms, and interim analyses. Deciding on the use of the SWD involves aspects and considerations from different disciplines not all of which have been discussed before. Pros and cons of this design should be balanced in comparison to other feasible design options as to choose the optimal design for a particular intervention study.</t>
  </si>
  <si>
    <t>Prognosis of patients with dementia: results from a prospective nationwide registry linkage study in the Netherlands.</t>
  </si>
  <si>
    <t>van de Vorst, Irene E; Vaartjes, Ilonca; Geerlings, Mirjam I; Bots, Michael L; Koek, Huiberdina L</t>
  </si>
  <si>
    <t>https://pubmed.ncbi.nlm.nih.gov/26510729</t>
  </si>
  <si>
    <t>To report mortality risks of dementia based on national hospital registry data, and to put these risks into perspective by comparing them with those in the general population and following cardiovascular diseases. Prospective cohort study from 1 January 2000 through 31 December 2010. Hospital-based cohort. A nationwide hospital-based cohort of 59,201 patients with clinical diagnosis of dementia (admitted to a hospital or visiting a day clinic) was constructed (38.7% men, 81.4 years (SD 7.0)). 1-year and 5-year age-specific and sex-specific mortality risks were reported for patients with dementia visiting a day clinic compared with the general population; for patients hospitalised with dementia compared with patients hospitalised for acute myocardial infarction (AMI), heart failure or stroke, these were presented as absolute and relative risks (RRs). 1-year mortality was 38.3% in men and 30.5% in women. 5-year risk was 65.4% and 58.5%, respectively. Mortality risks were significantly higher in patients with dementia admitted to the hospital than in those visiting a day clinic (1-year RR 3.29, 95% CI 3.16 to 3.42; and 5-year RR 1.79, 95% CI 1.76 to 1.83). Compared with the general population, mortality risks were significantly higher among patients visiting a day clinic (1-year RR for women 2.99, 95% CI 2.84 to 3.14; and for men 3.94, 95% CI 3.74 to 4.16). 5-year RRs were somewhat lower, but still significant. Results were more pronounced at younger ages. Mortality risks among admitted patients were comparable or even exceeded those of cardiovascular diseases (1-year RR for women with dementia vs AMI 1.24, 95% CI 1.19 to 1.29; vs heart failure 1.05, 95% CI 1.02 to 1.08; vs stroke 1.07, 95% CI 1.04 to 1.10). 5-year RRs were comparable. For men, RRs were slightly higher. Dementia has a poor prognosis as compared with other diseases and the general population. The risks among admitted patients even exceeded those following cardiovascular diseases.</t>
  </si>
  <si>
    <t>STARD 2015: an updated list of essential items for reporting diagnostic accuracy studies.</t>
  </si>
  <si>
    <t>Bossuyt, Patrick M; Reitsma, Johannes B; Bruns, David E; Gatsonis, Constantine A; Glasziou, Paul P; Irwig, Les; Lijmer, Jeroen G; Moher, David; Rennie, Drummond; de Vet, Henrica C W; Kressel, Herbert Y; Rifai, Nader; Golub, Robert M; Altman, Douglas G; Hooft, Lotty; Korevaar, Daniël A; Cohen, Jérémie F; ,</t>
  </si>
  <si>
    <t>https://pubmed.ncbi.nlm.nih.gov/26511519</t>
  </si>
  <si>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</si>
  <si>
    <t>STARD 2015: An Updated List of Essential Items for Reporting Diagnostic Accuracy Studies.</t>
  </si>
  <si>
    <t>https://pubmed.ncbi.nlm.nih.gov/26510957</t>
  </si>
  <si>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of Diagnostic Accuracy Studies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</si>
  <si>
    <t>Data sharing in stem cell translational science: policy statement by the International Stem Cell Forum Ethics Working Party.</t>
  </si>
  <si>
    <t>Bredenoord, Annelien L; Mostert, Menno; Isasi, Rosario; Knoppers, Bartha M</t>
  </si>
  <si>
    <t>https://pubmed.ncbi.nlm.nih.gov/26506014</t>
  </si>
  <si>
    <t>Data and sample sharing constitute a scientific and ethical imperative but need to be conducted in a responsible manner in order to protect individual interests as well as maintain public trust. In 2014, the Global Alliance for Genomics and Health (GA4GH) adopted a common Framework for Responsible Sharing of Genomic and Health-Related Data. The GA4GH Framework is applicable to data sharing in the stem cell field, however, interpretation is required so as to provide guidance for this specific context. In this paper, the International Stem Cell Forum Ethics Working Party discusses those principles that are specific to translational stem cell science, including engagement, data quality and safety, privacy, security and confidentiality, risk-benefit analysis and sustainability.</t>
  </si>
  <si>
    <t>Hypertensive Target Organ Damage and Longitudinal Changes in Brain Structure and Function: The Second Manifestations of Arterial Disease-Magnetic Resonance Study.</t>
  </si>
  <si>
    <t>van der Veen, Pieternella H; Geerlings, Mirjam I; Visseren, Frank L J; Nathoe, Hendrik M; Mali, Willem P T M; van der Graaf, Yolanda; Muller, Majon; ,</t>
  </si>
  <si>
    <t>https://pubmed.ncbi.nlm.nih.gov/26503971</t>
  </si>
  <si>
    <t>Hypertension has been related to structural and functional brain changes. In high-risk populations, hypertensive target organ damage might better represent exposure to high blood pressure than the blood pressure measurement itself. We examined the association of hypertensive target organ damage with longitudinal changes in brain structure and function within the Second Manifestations of Arterial Disease-Magnetic Resonance (SMART-MR) study. Renal function, albuminuria, and left ventricular hypertrophy on electrocardiography were measured in 663 patients with manifest arterial disease (mean age, 57±9 years; 81% men). Automated brain segmentation was used to quantify progression of global brain atrophy (change in brain parenchymal fraction) and progression of cerebral small vessel disease on 1.5T magnetic resonance imaging, and memory and executive functioning were assessed at baseline and after on average 3.9 years of follow-up. Regression analyses showed that an increasing number of signs of target organ damage was associated with more progression of global brain atrophy and more rapid decline in memory performance. Compared with no target organ damage, mean differences in change in brain parenchymal fraction (95% confidence interval) for 1 and ≥2 signs of organ damage were -0.12 (-0.30; 0.06) and -0.41 (-0.77; -0.05) % intracranial volume, and mean (95% confidence interval) differences in change in memory performance (z score) were -0.15 (-0.29; -0.00) and -0.27 (-0.54; -0.01). Results were independent of blood pressure, antihypertensive treatment, and other confounders. Hypertension target organ damage was not associated with progression of cerebral small vessel disease or change in executive functioning. Routinely assessed signs of hypertensive target organ damage, and in particular impaired renal function, could be used to identify patients at the highest risk of cognitive decline.</t>
  </si>
  <si>
    <t>Impact of provision of cardiovascular disease risk estimates to healthcare professionals and patients: a systematic review.</t>
  </si>
  <si>
    <t>Usher-Smith, Juliet A; Silarova, Barbora; Schuit, Ewoud; Moons, Karel G M; Griffin, Simon J</t>
  </si>
  <si>
    <t>https://pubmed.ncbi.nlm.nih.gov/26503388</t>
  </si>
  <si>
    <t>To systematically review whether the provision of information on cardiovascular disease (CVD) risk to healthcare professionals and patients impacts their decision-making, behaviour and ultimately patient health. A systematic review. An electronic literature search of MEDLINE and PubMed from 01/01/2004 to 01/06/2013 with no language restriction and manual screening of reference lists of systematic reviews on similar topics and all included papers. (1) Primary research published in a peer-reviewed journal; (2) inclusion of participants with no history of CVD; (3) intervention strategy consisted of provision of a CVD risk model estimate to either professionals or patients; and (4) the only difference between the intervention group and control group (or the only intervention in the case of before-after studies) was the provision of a CVD risk model estimate. After duplicates were removed, the initial electronic search identified 9671 papers. We screened 196 papers at title and abstract level and included 17 studies. The heterogeneity of the studies limited the analysis, but together they showed that provision of risk information to patients improved the accuracy of risk perception without decreasing quality of life or increasing anxiety, but had little effect on lifestyle. Providing risk information to physicians increased prescribing of lipid-lowering and blood pressure medication, with greatest effects in those with CVD risk &gt;20% (relative risk for change in prescribing 2.13 (1.02 to 4.63) and 2.38 (1.11 to 5.10) respectively). Overall, there was a trend towards reductions in cholesterol and blood pressure and a statistically significant reduction in modelled CVD risk (-0.39% (-0.71 to -0.07)) after, on average, 12 months. There seems evidence that providing CVD risk model estimates to professionals and patients improves perceived CVD risk and medical prescribing, with little evidence of harm on psychological well-being.</t>
  </si>
  <si>
    <t>Comparing Tests Assessing Protein-Energy Wasting: Relation With Quality of Life.</t>
  </si>
  <si>
    <t>de Roij van Zuijdewijn, Camiel L M; Grooteman, Muriel P C; Bots, Michiel L; Blankestijn, Peter J; van den Dorpel, Marinus A; Nubé, Menso J; ter Wee, Piet M</t>
  </si>
  <si>
    <t>journal of renal nutrition the official journal of the council on renal nutrition of the national kidney foundation</t>
  </si>
  <si>
    <t>https://pubmed.ncbi.nlm.nih.gov/26584787</t>
  </si>
  <si>
    <t>Protein-energy wasting (PEW), a state of decreased bodily protein and energy fuels, is highly prevalent among hemodialysis patients. The best method to determine PEW, however, remains debated. As an independent, negative association between PEW and quality of life (QOL) has been demonstrated, establishing which nutrition-related test correlates best with QOL may help to identify how PEW should preferably be assessed. Data were used from CONTRAST, a cohort of end-stage kidney disease patients. At baseline, Subjective Global Assessment (SGA), Malnutrition Inflammation Score (MIS), Geriatric Nutritional Risk Index, composite score on protein-energy nutritional status, normalized protein nitrogen appearance, body mass index, serum albumin, and serum creatinine were determined. QOL was assessed by the Kidney Disease Quality of Life Short Form 1.3. The present study reports on 2 general and 11 kidney disease-specific QOL scores. Spearman's rho (ρ) was calculated to determine correlations between nutrition-related tests and QOL domains. Twelve months after randomization, a sensitivity analysis was performed to test the robustness of the results. Of 714 patients, 489 representative subjects were available for analysis. All tests correlated with the Physical Component Score, except body mass index. Only SGA and MIS correlated significantly with the Mental Component Score. SGA correlated significantly with 10 of 11 kidney disease-specific QOL domains. The MIS not only correlated significantly with all (11) kidney disease-specific QOL domains but also with higher correlation coefficients. Of the 8 investigated nutrition-related tests, only MIS correlates with all QOL domains (13 of 13) with the strongest associations.</t>
  </si>
  <si>
    <t>Haemodiafiltration and mortality in end-stage kidney disease patients: a pooled individual participant data analysis from four randomized controlled trials.</t>
  </si>
  <si>
    <t>Peters, Sanne A E; Bots, Michiel L; Canaud, Bernard; Davenport, Andrew; Grooteman, Muriel P C; Kircelli, Fatih; Locatelli, Francesco; Maduell, Francisco; Morena, Marion; Nubé, Menso J; Ok, Ercan; Torres, Ferran; Woodward, Mark; Blankestijn, Peter J; ,</t>
  </si>
  <si>
    <t>https://pubmed.ncbi.nlm.nih.gov/26492924</t>
  </si>
  <si>
    <t>Mortality rates remain high for haemodialysis (HD) patients and simply increasing the HD dose to remove more small solutes does not improve survival. Online haemodiafiltration (HDF) provides additional clearance of larger toxins compared with standard HD. Randomized controlled trials (RCTs) comparing HDF with conventional HD on all-cause and cause-specific mortality in end-stage kidney disease (ESKD) patients reported inconsistent results and were at high risk of bias. We conducted a pooled individual participant data analysis of RCTs to provide the most reliable evidence to date on the effects of HDF on mortality outcomes in ESKD patients. Individual participant data were used from four trials that compared online HDF with HD and were designed to examine the effects of HDF on mortality endpoints. Bias by informative censoring of patients was resolved. Hazard ratios (HRs) and 95% confidence intervals (95% CI) comparing the effect of online HDF versus HD on all-cause and cause-specific mortality were calculated using the Cox proportional hazard regression models. The relationship between convection volume and the study outcomes was examined by delivered convection volume standardized to body surface area. After a median follow-up of 2.5 years (Q1-Q3: 1.9-3.0), 769 of the 2793 participants had died (292 cardiovascular deaths). Online HDF reduced the risk of all-cause mortality by 14% (95% CI: 1%; 25%) and cardiovascular mortality by 23% (95% CI: 3%; 39%). There was no evidence for a differential effect in subgroups. The largest survival benefit was for patients receiving the highest delivered convection volume [&gt;23 L per 1.73 m(2) body surface area (BSA) per session], with a multivariable-adjusted HR of 0.78 (95% CI: 0.62; 0.98) for all-cause mortality and 0.69 (95% CI: 0.47; 1.00) for cardiovascular disease mortality. This pooled individual participant analysis on the effects of online HDF compared with conventional HD indicates that online HDF reduces the risk of mortality in ESKD patients. This effect holds across a variety of important clinical subgroups of patients and is most pronounced for those receiving a higher convection volume normalized to BSA.</t>
  </si>
  <si>
    <t>Improving antibiotic prescribing quality by an intervention embedded in the primary care practice accreditation: the ARTI4 randomized trial.</t>
  </si>
  <si>
    <t>van der Velden, Alike W; Kuyvenhoven, Marijke M; Verheij, Theo J M</t>
  </si>
  <si>
    <t>https://pubmed.ncbi.nlm.nih.gov/26490015</t>
  </si>
  <si>
    <t>Antibiotic overprescribing is a significant problem. Multifaceted interventions improved antibiotic prescribing quality; their implementation and sustainability, however, have proved difficult. We analysed the effectiveness of an intervention embedded in the quality cycle of primary care practice accreditation on quantity and quality of antibiotic prescribing for respiratory tract and ear infections (RTIs). This was a pragmatic, cluster-randomized intervention trial in 88 Dutch primary care practices. The intervention (physician education and audit/feedback on antibiotic prescribing quantity and quality) was integrated in practice accreditation by defining an improvement plan with respect to antibiotic prescribing for RTIs. Numbers and types of dispensed antibiotics were analysed from 1 year prior to the intervention to 2 years after the intervention (pharmacy data). Overprescribing, underprescribing and non-first-choice prescribing for RTIs were analysed at baseline and 1 year later (self-registration). There were significant differences between intervention and control practices in the changes in dispensed antibiotics/1000 registered patients (first year: -7.6% versus -0.4%, P = 0.002; second year: -4.3% versus +2%, P = 0.015), which was more pronounced for macrolides and amoxicillin/clavulanate (first year: -12.7% versus +2.9%, P = 0.001; second year: -7.8% versus +6.7%, P = 0.005). Overprescribing for RTIs decreased from 44% of prescriptions to 28% (P &lt; 0.001). Most general practitioners (GPs) envisaged practice accreditation as a tool for guideline implementation. GP education and an audited improvement plan around antibiotics for RTIs as part of primary care practice accreditation sustainably improved antibiotic prescribing. Tools should be sought to further integrate and facilitate education and audit/feedback in practice accreditation.</t>
  </si>
  <si>
    <t>Within-Host and Population Transmission of blaOXA-48 in K. pneumoniae and E. coli.</t>
  </si>
  <si>
    <t>Haverkate, Manon R; Dautzenberg, Mirjam J D; Ossewaarde, Tjaco J M; van der Zee, Anneke; den Hollander, Jan G; Troelstra, Annet; Bonten, Marc J M; Bootsma, Martin C J</t>
  </si>
  <si>
    <t>https://pubmed.ncbi.nlm.nih.gov/26485437</t>
  </si>
  <si>
    <t>During a large hospital outbreak of OXA-48 producing bacteria, most K. pneumoniaeOXA-48 isolates were phenotypically resistant to meropenem or imipenem, whereas most E. coliOXA-48 isolates were phenotypically susceptible to these antibiotics. In the absence of molecular gene-detection E. coliOXA-48 could remain undetected, facilitating cross-transmission and horizontal gene transfer of blaOXA-48. Based on 868 longitudinal molecular microbiological screening results from patients carrying K. pneumoniaeOXA-48 (n = 24), E. coliOXA-48 (n = 17), or both (n = 40) and mathematical modelling we determined mean durations of colonisation (278 and 225 days for K. pneumoniaeOXA-48 and E. coliOXA-48, respectively), and horizontal gene transfer rates (0.0091/day from K. pneumoniae to E. coli and 0.0015/day vice versa). Based on these findings the maximum effect of horizontal gene transfer of blaOXA-48 originating from E. coliOXA-48 on the basic reproduction number (R0) is 1.9%, and it is, therefore, unlikely that phenotypically susceptible E. coliOXA-48 will contribute significantly to the spread of blaOXA-48.</t>
  </si>
  <si>
    <t>Perinatal outcomes after hypertensive disorders in pregnancy in a low resource setting.</t>
  </si>
  <si>
    <t>Browne, J L; Vissers, K M; Antwi, E; Srofenyoh, E K; Van der Linden, E L; Agyepong, I A; Grobbee, D E; Klipstein-Grobusch, K</t>
  </si>
  <si>
    <t>https://pubmed.ncbi.nlm.nih.gov/26426071</t>
  </si>
  <si>
    <t>The objective of this study was to evaluate perinatal outcomes of pregnancies complicated by hypertensive disorders in pregnancy in an urban sub-Saharan African setting.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 Comparable to high-income countries, in Accra hypertensive disorders during pregnancy were associated with increased risk of adverse perinatal outcomes necessitating maternal and newborn care.</t>
  </si>
  <si>
    <t>Maternal Gestational and Postdelivery Weight Gain and Child Weight.</t>
  </si>
  <si>
    <t>van Rossem, Lenie; Wijga, Alet H; Gehring, Ulrike; Koppelman, Gerard H; Smit, Henriette A</t>
  </si>
  <si>
    <t>https://pubmed.ncbi.nlm.nih.gov/26482665</t>
  </si>
  <si>
    <t>Maternal gestational weight gain (GWG) is a risk factor for the development of overweight in her child. It is unknown whether GWG programs the child's health or whether GWG indicates a shared familial lifestyle during childhood. To disentangle these influences, we studied the association of GWG and postdelivery maternal weight change simultaneously with child's weight development. We used data from 3367 children participating in a birth cohort that started in 1996 in the Netherlands. Weight and height were self-reported. GWG was categorized as "inadequate," "adequate," and "excessive." Multivariable regression and mixed models were used to study maternal and child weight changes. Children of mothers with excessive GWG had a higher BMI z score and overweight prevalence (odds ratio [OR] 1.20; 95% confidence interval [CI], 0.99 to 1.46) throughout childhood. Children of mothers with a high (≥1 kg/year) postdelivery weight gain had a 0.14 (95% CI, -0.08 to 0.36) higher change in BMI z score between age 1 and 14 years than children of mothers with a low (&lt;0.5 kg/year) postdelivery weight gain. Children of mothers with excessive GWG in combination with a high postdelivery weight gain had the highest BMI z score and overweight risk at age 14 years (OR 3.53; 95% CI, 1.70 to 7.33). Maternal GWG and postdelivery weight gain contribute to child's weight development up to adolescence independently.</t>
  </si>
  <si>
    <t>Factors Associated with Retention to Care in an HIV Clinic in Gabon, Central Africa.</t>
  </si>
  <si>
    <t>Janssen, Saskia; Wieten, Rosanne Willemijn; Stolp, Sebastiaan; Cremers, Anne Lia; Rossatanga, Elie Gide; Klipstein-Grobusch, Kerstin; Belard, Sabine; Grobusch, Martin Peter</t>
  </si>
  <si>
    <t>https://pubmed.ncbi.nlm.nih.gov/26473965</t>
  </si>
  <si>
    <t>Retention to HIV care is vital for patients' survival, to prevent onward transmission and emergence of drug resistance. Travelling to receive care might influence adherence. Data on the functioning of and retention to HIV care in the Central African region are limited. This retrospective study reports outcomes and factors associated with retention to HIV care at a primary HIV clinic in Lambaréné, Gabon. Adult patients who presented to this clinic between January 2010 and January 2012 were included. Outcomes were retention in care (defined as documented show-up for clinical visits, regardless of delay) or LTFU (defined as a patient not retained in care; on ART or ART naïve, not returning to care during the study period with a patient delay for scheduled visits of more than 6 months), and mortality. Cox regression analysis was used to assess factors associated with respective outcomes. Qualitative data on reasons for LTFU were obtained from focus-group discussions. Of 223 patients included, 67.3% were female. The mean age was 40.5 (standard deviation 11.4) years and the median CD4 count 275 (interquartile range 100.5-449.5) cells/μL. In total, 34.1% were lost to follow up and 8.1% died. Documented tuberculosis was associated with increased risk of being LTFU (adjusted hazard ratio (aHR) 1.80, 95% confidence interval (95% CI) 1.05-3.11, P = 0.03), whereas early starting anti-retroviral therapy (ART) was associated with a decreased risk of LTFU (aHR 0.43, 95%CI 0.24-0.76, P = 0.004), as was confirmed by qualitative data. Retention to HIV care in a primary clinic in Gabon is relatively poor and interventions to address this should be prioritized in the HIV program. Early initiation of ART might improve retention in care.</t>
  </si>
  <si>
    <t>Tonsillectomy or adenotonsillectomy versus non-surgical management for obstructive sleep-disordered breathing in children.</t>
  </si>
  <si>
    <t>Venekamp, Roderick P; Hearne, Benjamin J; Chandrasekharan, Deepak; Blackshaw, Helen; Lim, Jerome; Schilder, Anne G M</t>
  </si>
  <si>
    <t>https://pubmed.ncbi.nlm.nih.gov/26465274</t>
  </si>
  <si>
    <t>Obstructive sleep-disordered breathing (oSDB) is a condition that encompasses breathing problems when asleep, due to an obstruction of the upper airways, ranging in severity from simple snoring to obstructive sleep apnoea syndrome (OSAS). It affects both children and adults. In children, hypertrophy of the tonsils and adenoid tissue is thought to be the commonest cause of oSDB. As such, tonsillectomy - with or without adenoidectomy - is considered an appropriate first-line treatment for most cases of paediatric oSDB. To assess the benefits and harms of tonsillectomy with or without adenoidectomy compared with non-surgical management of children with oSDB. We searched the Cochrane Register of Studies Online, PubMed, EMBASE, CINAHL, Web of Science, Clinicaltrials.gov, ICTRP and additional sources for published and unpublished trials. The date of the search was 5 March 2015. Randomised controlled trials comparing the effectiveness and safety of (adeno)tonsillectomy with non-surgical management in children with oSDB aged 2 to 16 years. We used the standard methodological procedures expected by The Cochrane Collaboration. Three trials (562 children) met our inclusion criteria. Two were at moderate to high risk of bias and one at low risk of bias. We did not pool the results because of substantial clinical heterogeneity. They evaluated three different groups of children: those diagnosed with mild to moderate OSAS by polysomnography (PSG) (453 children aged five to nine years; low risk of bias; CHAT trial), those with a clinical diagnosis of oSDB but with negative PSG recordings (29 children aged two to 14 years; moderate to high risk of bias; Goldstein) and children with Down syndrome or mucopolysaccharidosis (MPS) diagnosed with mild to moderate OSAS by PSG (80 children aged six to 12 years; moderate to high risk of bias; Sudarsan). Moreover, the trials included two different comparisons: adenotonsillectomy versus no surgery (CHAT trial and Goldstein) or versus continuous positive airway pressure (CPAP) (Sudarsan). Disease-specific quality of life and/or symptom score (using a validated instrument): first primary outcomeIn the largest trial with lowest risk of bias (CHAT trial), at seven months, mean scores for those instruments measuring disease-specific quality of life and/or symptoms were lower (that is, better quality of life or fewer symptoms) in children receiving adenotonsillectomy than in those managed by watchful waiting:- OSA-18 questionnaire (scale 18 to 126): 31.8 versus 49.5 (mean difference (MD) -17.7, 95% confidence interval (CI) -21.2 to -14.2);- PSQ-SRBD questionnaire (scale 0 to 1): 0.2 versus 0.5 (MD -0.3, 95% CI -0.31 to -0.26);- Modified Epworth Sleepiness Scale (scale 0 to 24): 5.1 versus 7.1 (MD -2.0, 95% CI -2.9 to -1.1).No data on this primary outcome were reported in the Goldstein trial.In the Sudarsan trial, the mean OSA-18 score at 12 months did not significantly differ between the adenotonsillectomy and CPAP groups. The mean modified Epworth Sleepiness Scale scores did not differ at six months, but were lower in the surgery group at 12 months: 5.5 versus 7.9 (MD -2.4, 95% CI -3.1 to -1.7). Adverse events: second primary outcomeIn the CHAT trial, 15 children experienced a serious adverse event: 6/194 (3%) in the adenotonsillectomy group and 9/203 (4%) in the control group (RD -1%, 95% CI -5% to 2%).No major complications were reported in the Goldstein trial.In the Sudarsan trial, 2/37 (5%) developed a secondary haemorrhage after adenotonsillectomy, while 1/36 (3%) developed a rash on the nasal dorsum secondary to the CPAP mask (RD -3%, 95% CI -6% to 12%). Secondary outcomesIn the CHAT trial, at seven months, mean scores for generic caregiver-rated quality of life were higher in children receiving adenotonsillectomy than in those managed by watchful waiting. No data on this outcome were reported by Sudarsan and Goldstein.In the CHAT trial, at seven months, more children in the surgery group had normalisation of respiratory events during sleep as measured by PSG than those allocated to watchful waiting: 153/194 (79%) versus 93/203 (46%) (RD 33%, 95% CI 24% to 42%). In the Goldstein trial, at six months, PSG recordings were similar between groups and in the Sudarsan trial resolution of OSAS (Apnoea/Hypopnoea Index score below 1) did not significantly differ between the adenotonsillectomy and CPAP groups.In the CHAT trial, at seven months, neurocognitive performance and attention and executive function had not improved with surgery: scores were similar in both groups. In the CHAT trial, at seven months, mean scores for caregiver-reported ratings of behaviour were lower (that is, better behaviour) in children receiving adenotonsillectomy than in those managed by watchful waiting, however, teacher-reported ratings of behaviour did not significantly differ.No data on these outcomes were reported by Goldstein and Sudarsan. In otherwise healthy children, without a syndrome, of older age (five to nine years), and diagnosed with mild to moderate OSAS by PSG, there is moderate quality evidence that adenotonsillectomy provides benefit in terms of quality of life, symptoms and behaviour as rated by caregivers and high quality evidence that this procedure is beneficial in terms of PSG parameters. At the same time, high quality evidence indicates no benefit in terms of objective measures of attention and neurocognitive performance compared with watchful waiting. Furthermore, PSG recordings of almost half of the children managed non-surgically had normalised by seven months, indicating that physicians and parents should carefully weigh the benefits and risks of adenotonsillectomy against watchful waiting in these children. This is a condition that may recover spontaneously over time.For non-syndromic children classified as having oSDB on purely clinical grounds but with negative PSG recordings, the evidence on the effects of adenotonsillectomy is of very low quality and is inconclusive.Low-quality evidence suggests that adenotonsillectomy and CPAP may be equally effective in children with Down syndrome or MPS diagnosed with mild to moderate OSAS by PSG.We are unable to present data on the benefits of adenotonsillectomy in children with oSDB aged under five, despite this being a population in whom this procedure is often performed for this purpose.</t>
  </si>
  <si>
    <t>Physical Activity Is not Associated with Estimated Glomerular Filtration Rate among Young and Middle-Aged Adults: Results from the Population-Based Longitudinal Doetinchem Study.</t>
  </si>
  <si>
    <t>Herber-Gast, Gerrie-Cor M; Hulsegge, Gerben; Hartman, Linda; Verschuren, W M Monique; Stehouwer, Coen D A; Gansevoort, Ron T; Bakker, Stephan J L; Spijkerman, Annemieke M W</t>
  </si>
  <si>
    <t>https://pubmed.ncbi.nlm.nih.gov/26465150</t>
  </si>
  <si>
    <t>There is debate as to whether physical inactivity is associated with reduced kidney function. We studied the prospective association of (changes in) physical activity with estimated glomerular filtration rate (eGFR) in adult men and women. We included 3,935 participants aged 26 to 65 years from the Doetinchem Cohort study, examined every 5 years for 15 years. Physical activity was assessed at each round using the Cambridge Physical Activity Index. Using the CKD-EPI (Chronic Kidney Disease Epidemiology Collaboration) equation, GFR was estimated from routinely measured cystatin C concentrations, examining all available samples per participant in one assay run. We determined the association between 1) physical activity and eGFR and 2) 5-year changes in physical activity (becoming inactive, staying inactive, staying active, becoming active) and eGFR, using time-lagged generalized estimating equation analyses. At baseline, 3.6% of the participants were inactive, 18.5% moderately inactive, 26.0% moderately active, and 51.9% active. The mean (± SD) eGFR was 107.9 (± 14.5) mL/min per 1.73 m2. Neither physical activity nor 5-year changes in physical activity were associated with eGFR at the subsequent round. The multivariate adjusted βeGFR was 0.57 mL/min per 1.73 m2 (95% Confidence Interval (CI) -1.70, 0.56) for inactive compared to active participants. Studying changes in physical activity between rounds, the adjusted βeGFR was -1.10 mL/min per 1.73 m2 (95% CI -4.50, 2.30) for those who stayed inactive compared with participants who became active. Physical activity was not associated with eGFR in this population-based study of adults.</t>
  </si>
  <si>
    <t>Early Magnesium Treatment After Aneurysmal Subarachnoid Hemorrhage: Individual Patient Data Meta-Analysis.</t>
  </si>
  <si>
    <t>Dorhout Mees, Sanne M; Algra, Ale; Wong, George K C; Poon, Wai S; Bradford, Celia M; Saver, Jeffrey L; Starkman, Sidney; Rinkel, Gabriel J E; van den Bergh, Walter M; ,; van Kooten, F; Dirven, C M; van Gijn, J; Vermeulen, M; Rinkel, G J E; Boet, R; Chan, M T V; Gin, T; Ng, S C P; Zee, B C Y; Al-Shahi Salman, R; Boiten, J; Kuijsten, H; Lavados, P M; van Oostenbrugge, R J; Vandertop, W P; Finfer, S; O'Connor, A; Yarad, E; Firth, R; McCallister, R; Harrington, T; Steinfort, B; Faulder, K; Assaad, N; Morgan, M; Starkman, S; Eckstein, M; Stratton, S J; Pratt, F D; Hamilton, S; Conwit, R; Liebeskind, D S; Sung, G; Kramer, I; Moreau, G; Goldweber, R; Sanossian, N</t>
  </si>
  <si>
    <t>https://pubmed.ncbi.nlm.nih.gov/26463689</t>
  </si>
  <si>
    <t>Delayed cerebral ischemia (DCI) is an important cause of poor outcome after aneurysmal subarachnoid hemorrhage (SAH). Trials of magnesium treatment starting &lt;4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&lt;6, 6 to 12, 12 to 24, and &gt;24 hours. We calculated adjusted risk ratios with corresponding 95% confidence intervals for magnesium versus placebo treatment for poor outcome and DCI. We included 5 trials totaling 1981 patients; 83 patients started treatment&lt;6 hours. For poor outcome, the adjusted risk ratios of magnesium treatment for start &lt;6 hours were 1.44 (95% confidence interval, 0.83-2.51); for 6 to 12 hours 1.03 (0.65-1.63), for 12 to 24 hours 0.84 (0.65-1.09), and for &gt;24 hours 1.06 (0.87-1.31), and for DCI, &lt;6 hours 1.76 (0.68-4.58), for 6 to 12 hours 2.09 (0.99-4.39), for 12 to 24 hours 0.80 (0.56-1.16), and for &gt;24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</si>
  <si>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Individual participant data (IPD) meta-analyses of diagnostic and prognostic modeling studies: guidance on their use.</t>
  </si>
  <si>
    <t>Debray, Thomas P A; Riley, Richard D; Rovers, Maroeska M; Reitsma, Johannes B; Moons, Karel G M; ,</t>
  </si>
  <si>
    <t>https://pubmed.ncbi.nlm.nih.gov/26461078</t>
  </si>
  <si>
    <t>Earlier Age of Onset of Chronic Hypertension and Type 2 Diabetes Mellitus After a Hypertensive Disorder of Pregnancy or Gestational Diabetes Mellitus.</t>
  </si>
  <si>
    <t>Heida, Karst Y; Franx, Arie; van Rijn, Bas B; Eijkemans, Marinus J C; Boer, Jolanda M A; Verschuren, Monique W M; Oudijk, Martijn A; Bots, Michiel L; van der Schouw, Yvonne T</t>
  </si>
  <si>
    <t>https://pubmed.ncbi.nlm.nih.gov/26459420</t>
  </si>
  <si>
    <t>A prospective cohort study was conducted to assess the impact of a history of hypertensive disorder of pregnancy (HDP) or gestational diabetes mellitus (GDM) on the risk and age of onset of hypertension, type 2 diabetes mellitus (T2D), and cardiovascular disease (CVD) later in life, independent of hypertension and T2D. Between 1993 and 1997, 22 265 ever-pregnant women were included from the European Prospective Investigation into Cancer and Nutrition-NL study, aged 20 to 70 years at baseline. Details on complications of pregnancy and known hypertension were obtained by questionnaire. Blood pressure was measured at enrollment. Participants were followed for the occurrence of CVD events. Data were analyzed using ANCOVA, multivariable logistic regression, and Cox proportional hazard (with HDP and GDM as time-dependent variables for T2D and CVD) models. At enrollment, women with a HDP reported diagnosis of hypertension 7.7 years earlier (95% confidence interval [CI] 6.9-8.5) and women with GDM reported diagnosis of T2D 7.7 years earlier (95% CI 5.8-9.6) than women without pregnancy complications. After adjustment for potential confounders, HDP was associated with presence of hypertension at enrollment (odds ratio 2.12, 95% CI 1.98-2.28) and onset of CVD later in life (hazard ratio 1.21, 95% CI 1.10-1.32). After including the intermediates hypertension and T2D in the model, the risk of CVD later in life decreased (hazard ratio 1.09, 95% CI 1.00-1.20). GDM was associated with an increased risk of developing T2D later in life (hazard ratio 3.68, 95% CI 2.77-4.90), but not with risk of CVD. HDP and GDM have a substantial impact on the risk of CVD and are potentially important indicators for preventive cardiovascular risk management.</t>
  </si>
  <si>
    <t>Communication Between Breast Cancer Patients Who Received Inconclusive Genetic Test Results and Their Daughters and Sisters Years After Testing.</t>
  </si>
  <si>
    <t>Baars, Jessica E; Ausems, Margreet G E M; van Riel, Els; Kars, Marijke C; Bleiker, Eveline M A</t>
  </si>
  <si>
    <t>journal of genetic counseling</t>
  </si>
  <si>
    <t>https://pubmed.ncbi.nlm.nih.gov/26446011</t>
  </si>
  <si>
    <t>Inconclusive genetic test results including screening recommendations for the breast cancer patients and their first-degree relatives are the most common outcomes of BRCA 1/2 testing. Patients themselves should communicate these results to their relatives. Our aim was to explore communication of breast cancer genetic counseling results with daughters and sisters over a long period of time. Breast cancer patients, who had received an inconclusive DNA test result 7-14 years earlier, completed a self-report questionnaire. Additionally, in-depth interviews were conducted and analysed thematically. Of the 93 respondents, 85 (91 %) considered themselves responsible for communicating genetic test results to relatives. In-depth interviews (n = 14) showed, that counselees wanted 'to hand over' their responsibilities to communicate the test results and screening recommendations to their sisters. Although most patients had informed their daughters and sisters about the genetic test results, usually little is spoken about genetic test results and screening recommendations once the duty of informing is completed. We recommend that, similar to the procedure for BRCA1/2-mutation carriers, a separate letter for first-degree relatives of patients with an inconclusive test result should be provided. In this way information about risks and screening recommendations can be verified by family members years after genetic testing has been completed.</t>
  </si>
  <si>
    <t>Rationale, design and baseline results of the Treatment Optimisation in Primary care of Heart failure in the Utrecht region (TOPHU) study: a cluster randomised controlled trial.</t>
  </si>
  <si>
    <t>Valk, Mark J; Hoes, Arno W; Mosterd, Arend; Landman, Marcel A; Broekhuizen, Berna D L; Rutten, Frans H</t>
  </si>
  <si>
    <t>https://pubmed.ncbi.nlm.nih.gov/26446696</t>
  </si>
  <si>
    <t>Heart failure (HF) is mainly detected and managed in primary care, but the care is considered suboptimal. We present the rationale, design and baseline results of the Treatment Optimisation in Primary care of Heart failure in the Utrecht region (TOPHU) study. In this study we assess the effect of a single training of GPs in the pharmacological management of patients with HF. A cluster randomised controlled trial. Thirty primary care practices are randomly assigned to care as usual or intervention defined as a single training in the up-titration and management of HF drug therapy according to the heart failure guidelines of the European Society of Cardiology (ESC). Patients with a GP's diagnosis of HF will be re-evaluated by an expert panel of two cardiologists and a GP with expertise in HF to come to a definite diagnosis of HF according to the ESC heart failure guidelines. Those with definite HF will be analysed in this study. Drug use will be measured after six months, health status after twelve months, and heart-related hospital admissions and all-cause mortality after two years. Our cluster randomised trial will show whether a single training of GPs improves the pharmacological management of patients with HF and confers beneficial effects on health status after one year, and cardiac hospital admissions and all-cause mortality after two years of follow-up. ClinicalTrials.gov Identifier NCT01662323.</t>
  </si>
  <si>
    <t>Prognostic significance of the EGFR pathway in nasopharyngeal carcinoma: a systematic review and meta-analysis.</t>
  </si>
  <si>
    <t>Ooft, Marc L; Braunius, Weibel W; Heus, Paulien; Stegeman, Inge; van Diest, Paul J; Grolman, Wilko; Zuur, Charlotte I; Willems, Stefan M</t>
  </si>
  <si>
    <t>biomarkers in medicine</t>
  </si>
  <si>
    <t>https://pubmed.ncbi.nlm.nih.gov/26441207</t>
  </si>
  <si>
    <t>To evaluate the prognostic impact of the EGF receptor (EGFR) pathway molecules and assess their clinical usefulness. We conducted a systematic review. Pubmed and EMBASE were searched January 2014. The prognostic relevance of EGFR, JAK, PI3K, PIK3CA, STAT3, STAT5, PTEN, AKT, mTOR, GRB2, SOS, RAF, RAS, MAPK, ERK, MEK and CCND1 in nasopharyngeal carcinoma was assessed. The outcomes considered were overall survival, disease-free survival and tumor-node-metastasis stage. Twenty-two studies were included. Risk of bias was evaluated. Meta-analysis for which pooled hazard ratios and 95% CIs were calculated. EGFR overexpression predicts a worse overall survival and disease-free survival in nasopharyngeal carcinoma, but no specific causal pathway molecule could be identified.</t>
  </si>
  <si>
    <t>Acrylamide and glycidamide hemoglobin adduct levels and endometrial cancer risk: A nested case-control study in nonsmoking postmenopausal women from the EPIC cohort.</t>
  </si>
  <si>
    <t>Obón-Santacana, Mireia; Freisling, Heinz; Peeters, Petra H; Lujan-Barroso, Leila; Ferrari, Pietro; Boutron-Ruault, Marie-Christine; Mesrine, Sylvie; Baglietto, Laura; Turzanski-Fortner, Renee; Katzke, Verena A; Boeing, Heiner; Quirós, J Ramón; Molina-Portillo, Elena; Larrañaga, Nerea; Chirlaque, María-Dolores; Barricarte, Aurelio; Khaw, Kay-Tee; Wareham, Nick; Travis, Ruth C; Merritt, Melissa A; Gunter, Marc J; Trichopoulou, Antonia; Lagiou, Pagona; Naska, Androniki; Palli, Domenico; Sieri, Sabina; Tumino, Rosario; Fiano, Valentina; Galassom, Rocco; Bueno-de-Mesquita, H B As; Onland-Moret, N Charlotte; Idahl, Annika; Lundin, Eva; Weiderpass, Elisabete; Vesper, Hubert; Riboli, Elio; Duell, Eric J</t>
  </si>
  <si>
    <t>https://pubmed.ncbi.nlm.nih.gov/26376083</t>
  </si>
  <si>
    <t>Acrylamide, classified in 1994 by IARC as "probably carcinogenic to humans," was discovered in 2002 in some heat-treated, carbohydrate-rich foods. Four prospective studies have evaluated the association between dietary acrylamide intake and endometrial cancer (EC) risk with inconsistent results. The purpose of this nested case-control study, based on the European Prospective Investigation into Cancer and Nutrition (EPIC) cohort, was to evaluate, for the first time, the association between hemoglobin adducts of acrylamide (HbAA) and glycidamide (HbGA) and the risk of developing EC in non-smoking postmenopausal women. Hemoglobin adducts were measured in red blood cells by HPLC/MS/MS. Four exposure variables were evaluated: HbAA, HbGA, their sum (HbAA+HbGA), and their ratio (HbGA/HbAA). The association between hemoglobin adducts and EC was evaluated using unconditional multivariable logistic regression models, and included 383 EC cases (171 were type-I EC), and 385 controls. Exposure variables were analyzed in quintiles based on control distributions. None of the biomarker variables had an effect on overall EC (HRHbAA;Q5vsQ1 : 0.84, 95%CI: 0.49-1.48; HRHbGA;Q5vsQ1 : 0.94, 95%CI: 0.54-1.63) or type-I EC risk. Additionally, none of the subgroups investigated (BMI &lt; 25 vs. ≥25 kg m(-2) , alcohol drinkers vs. never drinkers, oral contraceptive users vs. non-users) demonstrated effect measure modification. Hemoglobin adducts of acrylamide or glycidamide were not associated with EC or type-I EC risk in 768 nonsmoking postmenopausal women from the EPIC cohort.</t>
  </si>
  <si>
    <t>The impending epidemic of chronic cardiopulmonary disease and multimorbidity: the need for new research approaches to guide daily practice.</t>
  </si>
  <si>
    <t>Geersing, Geert-Jan; de Groot, Joris A; Reitsma, Johannes B; Hoes, Arno W; Rutten, Frans H</t>
  </si>
  <si>
    <t>https://pubmed.ncbi.nlm.nih.gov/25856418</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</si>
  <si>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"engine running out of fuel."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"friend" and not as a "foe" in clinical research addressing the current clinical problems in daily practice.</t>
  </si>
  <si>
    <t>Two-particle Bose-Einstein correlations in &lt;i&gt;pp&lt;/i&gt; collisions at [Formula: see text] 0.9 and 7 TeV measured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</si>
  <si>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t>
  </si>
  <si>
    <t>https://pubmed.ncbi.nlm.nih.gov/26457062</t>
  </si>
  <si>
    <t>The paper presents studies of Bose-Einstein Correlations (BEC) for pairs of like-sign charged particles measured in the kinematic range [Formula: see text] 100 MeV and [Formula: see text] 2.5 in proton collisions at centre-of-mass energies of 0.9 and 7 TeV with the ATLAS detector at the CERN Large Hadron Collider. The integrated luminosities are approximately 7 [Formula: see text]b[Formula: see text], 190 [Formula: see text]b[Formula: see text] and 12.4 nb[Formula: see text] for 0.9 TeV, 7 TeV minimum-bias and 7 TeV high-multiplicity data samples, respectively. The multiplicity dependence of the BEC parameters characterizing the correlation strength and the correlation source size are investigated for charged-particle multiplicities of up to 240. A saturation effect in the multiplicity dependence of the correlation source size parameter is observed using the high-multiplicity 7 TeV data sample. The dependence of the BEC parameters on the average transverse momentum of the particle pair is also investigated.</t>
  </si>
  <si>
    <t>Clinical Outcomes in Early-stage NSCLC Treated with Stereotactic Body Radiotherapy Versus Surgical Resection.</t>
  </si>
  <si>
    <t>Kastelijn, Elisabeth A; El Sharouni, Sherif Y; Hofman, Frederik N; Van Putte, Bart P; Monninkhof, Evelyn M; Van Vulpen, Marco; Schramel, Franz M N H</t>
  </si>
  <si>
    <t>https://pubmed.ncbi.nlm.nih.gov/26408733</t>
  </si>
  <si>
    <t>Surgical resection is the treatment of first choice for patients with stage I-II non-small cell lung cancer (NSCLC). However, stereotactic body radiotherapy (SBRT) has been shown to be a good alternative treatment. Overall survival (OS), progression-free survival (PFS) and recurrence rates were compared between patients with stage I-II NSCLC treated with SBRT (n=53) and those treated with surgical resection (n=175). The propensity score method was used to correct for confounding by indication. Before correction, the OS and PFS rates at 1 and 3 years were significantly different between SBRT and surgery, in favor of surgery. After correction, the OS and PFS after SBRT were not significantly different compared to surgery. The recurrence rates for the two treatments were also similar both before and after correction. This retrospective study showed that clinical outcomes after SBRT are equal to those after surgery in patients with stage I-II NSCLC.</t>
  </si>
  <si>
    <t>Effect of magnesium treatment and glucose levels on delayed cerebral ischemia in patients with subarachnoid hemorrhage: a substudy of the Magnesium in Aneurysmal Subarachnoid Haemorrhage trial (MASH-II).</t>
  </si>
  <si>
    <t>Leijenaar, Jolien F; Dorhout Mees, Sanne M; Algra, Ale; van den Bergh, Walter M; Rinkel, Gabriel J E; ,</t>
  </si>
  <si>
    <t>https://pubmed.ncbi.nlm.nih.gov/26502971</t>
  </si>
  <si>
    <t>Magnesium treatment did not improve outcome in patients with aneurysmal subarachnoid haemorrhage in the Magnesium in Aneurysmal Subarachnoid Haemorrhage II trial. We hypothesized that high glucose levels may have offset a potential beneficial effect to prevent delayed cerebral ischemia. We investigated if magnesium treatment led to less delayed cerebral ischemia and if glucose levels interacted with magnesium treatment in the Magnesium in Aneurysmal Subarachnoid Haemorrhage II trial. To investigate the effect of magnesium treatment on occurrence of delayed cerebral ischemia and the interaction between glucose levels and magnesium treatment in subarachnoid hemorrhage patients. The Magnesium in Aneurysmal Subarachnoid Haemorrhage was a phase III randomized placebo-controlled trial assessing the effect of magnesium sulphate on clinical outcome in aneurysmal subarachnoid hemorrhage patients. For the current study, we included only the patients admitted to the University Medical Centre-Utrecht. We calculated hazard ratios for occurrence of delayed cerebral ischemia in patients treated with magnesium vs. placebo for the entire study population, and separately in the subgroups of patients with high and low mean fasting and mean daily glucose levels until onset of delayed cerebral ischemia. We used the cross-product of magnesium and glucose in the regression analysis to evaluate whether an interaction between magnesium and glucose existed. We included 616 patients: 307 received magnesium and 309 placebo; 156 patients had delayed cerebral ischemia. Hazard ratio for magnesium on occurrence of delayed cerebral ischemia was 1·0 (95% confidence interval: 0·7-1·4). Results were similar in patients with low or high fasting or daily glucose levels. We found no interactions between magnesium treatment and high fasting (P = 0·54) and daily glucose (P = 0·60). Magnesium treatment did not reduce the risk of delayed cerebral ischemia in patients with aneurysmal subarachnoid hemorrhage, nor was there an interaction with glucose levels. It is therefore unlikely that glucose levels explain the failure of magnesium to prevent delayed cerebral ischemia and poor outcome after aneurysmal subarachnoid hemorrhage.</t>
  </si>
  <si>
    <t>Effectiveness of an interactive platform, and the ESC/HFA heartfailurematters.org website in patients with heart failure: design of the multicentre randomized e-Vita heart failure trial.</t>
  </si>
  <si>
    <t>Wagenaar, Kim P; Broekhuizen, Berna D L; Dickstein, Kenneth; Jaarsma, Tiny; Hoes, Arno W; Rutten, Frans H</t>
  </si>
  <si>
    <t>https://pubmed.ncbi.nlm.nih.gov/26424105</t>
  </si>
  <si>
    <t>Electronic health support (e-health) may improve self-care of patients with heart failure (HF). We aim to assess whether an adjusted care pathway with replacement of routine consultations by e-health improves self-care as compared with usual care. In addition, we will determine whether the ESC/HFA (European Society of Cardiology/Heart Failure Association) website heartfailurematters.org (HFM website) improves self-care when added to usual care. Finally, we aim to evaluate the cost-effectiveness of these interventions. A three-arm parallel randomized trial will be conducted. Arm 1 consists of usual care; arm 2 consists of usual care plus the HFM website; and arm 3 is the adjusted care pathway with an interactive platform for disease management (e-Vita platform), with a link to the HFM website, which replaces routine consultations with HF nurses at the outpatient clinic. In total, 414 patients managed in 10 Dutch HF outpatient clinics or in general practice will be included and followed for 12 months. Participants are included if they have had an established diagnosis of HF for at least 3 months. The primary outcome is self-care as measured by the European Heart Failure Self-care Behaviour scale (EHFScB scale). Secondary outcomes are quality of life, cardiovascular- and HF-related mortality, hospitalization, and its duration as captured by hospital and general practitioner registries, use of and user satisfaction with the HFM website, and cost-effectiveness. This study will provide important prospective data on the impact and cost-effectiveness of an interactive platform for disease management and the HFM website. unique identifier: NCT01755988.</t>
  </si>
  <si>
    <t>Prevalence, diagnosis, and disease course of pertussis in adults with acute cough: a prospective, observational study in primary care.</t>
  </si>
  <si>
    <t>Teepe, Jolien; Broekhuizen, Berna D L; Ieven, Margareta; Loens, Katherine; Huygen, Kris; Kretzschmar, Mirjam; de Melker, Hester; Butler, Chris C; Little, Paul; Stuart, Beth; Coenen, Samuel; Goossens, Herman; Verheij, Theo J M; ,</t>
  </si>
  <si>
    <t>https://pubmed.ncbi.nlm.nih.gov/26412843</t>
  </si>
  <si>
    <t>Most cases of adult pertussis probably remain undiagnosed. To explore the prevalence, diagnosis, and disease course of acute pertussis infection in adult patients presenting with acute cough. Prospective observational study between 2007 and 2010 in primary care in 12 European countries. Adults presenting with acute cough (duration of ≤28 days) were included. Bordetella pertussis infection was determined by polymerase chain reaction (from nasopharyngeal flocked swabs and sputa) and by measurement of immunoglobulin G antibodies to pertussis toxin (PT) in venous blood at day 28. An antibody titre to PT of ≥125 IU/ml or PCR positive result in a respiratory sample defined recent infection. Patients completed a symptom diary for 28 days. Serum and/or respiratory samples were obtained in 3074 patients. Three per cent (93/3074) had recent B. pertussis infection. Prior cough duration &gt;2 weeks discriminated to some extent between those with and without pertussis (adjusted odds ratio 1.89, 95% confidence interval = 1.17 to 3.07; P = 0.010). Median cough duration after presentation was 17 and 12 days in patients with and without pertussis, respectively (P = 0.008). Patients with pertussis had longer duration of phlegm production (P = 0.010), shortness of breath (P = 0.037), disturbed sleep (P = 0.013) and interference with normal activities or work (P = 0.033) after presentation. Pertussis infection plays a limited role among adults presenting with acute cough in primary care, but GPs should acknowledge the possibility of pertussis in uncomplicated lower respiratory tract infection. As in children, pertussis also causes prolonged symptoms in adults. However, pertussis is difficult to discern from other acute cough syndromes in adults at first presentation.</t>
  </si>
  <si>
    <t>A molecular biomarker to diagnose community-acquired pneumonia on intensive care unit admission.</t>
  </si>
  <si>
    <t>Scicluna, Brendon P; Klein Klouwenberg, Peter M C; van Vught, Lonneke A; Wiewel, Maryse A; Ong, David S Y; Zwinderman, Aeilko H; Franitza, Marek; Toliat, Mohammad R; Nürnberg, Peter; Hoogendijk, Arie J; Horn, Janneke; Cremer, Olaf L; Schultz, Marcus J; Bonten, Marc J; van der Poll, Tom</t>
  </si>
  <si>
    <t>https://pubmed.ncbi.nlm.nih.gov/26121490</t>
  </si>
  <si>
    <t>Community-acquired pneumonia (CAP) accounts for a major proportion of intensive care unit (ICU) admissions for respiratory failure and sepsis. Diagnostic uncertainty complicates case management, which may delay appropriate cause-specific treatment. To characterize the blood genomic response in patients with suspected CAP and identify a candidate biomarker for the rapid diagnosis of CAP on ICU admission. The study comprised two cohorts of consecutively enrolled patients treated for suspected CAP on ICU admission. Patients were designated CAP (cases) and no-CAP patients (control subjects) by post hoc assessment. The first (discovery) cohort (101 CAP and 33 no-CAP patients) was enrolled between January 2011 and July 2012; the second (validation) cohort (70 CAP and 30 no-CAP patients) between July 2012 and June 2013. Blood was collected within 24 hours of ICU admission. Blood microarray analysis of CAP and no-CAP patients revealed shared and distinct gene expression patterns. A 78-gene signature was defined for CAP, from which a FAIM3:PLAC8 gene expression ratio was derived with area under curve of 0.845 (95% confidence interval, 0.764-0.917) and positive and negative predictive values of 83% and 81%, respectively. Robustness of the FAIM3:PLAC8 ratio was ascertained by quantitative polymerase chain reaction in the validation cohort. The FAIM3:PLAC8 ratio outperformed plasma procalcitonin and IL-8 and IL-6 in discriminating between CAP and no-CAP patients. CAP and no-CAP patients presented shared and distinct blood genomic responses. We propose the FAIM3:PLAC8 ratio as a candidate biomarker to assist in the rapid diagnosis of CAP on ICU admission. Clinical trial registered with www.clinicaltrials.gov (NCT 01905033).</t>
  </si>
  <si>
    <t>Molecular epidemiology of MRSA in 13 ICUs from eight European countries.</t>
  </si>
  <si>
    <t>Hetem, D J; Derde, L P G; Empel, J; Mroczkowska, A; Orczykowska-Kotyna, M; Kozińska, A; Hryniewicz, W; Goossens, H; Bonten, M J M; ,</t>
  </si>
  <si>
    <t>https://pubmed.ncbi.nlm.nih.gov/26424737</t>
  </si>
  <si>
    <t>The European epidemiology of MRSA is changing with the emergence of community-associated MRSA (CA-MRSA) and livestock-associated MRSA (LA-MRSA). In this study, we investigated the molecular epidemiology of MRSA during 2 years in 13 ICUs in France, Greece, Italy, Latvia, Luxemburg, Portugal, Slovenia and Spain. Surveillance cultures for MRSA from nose and wounds were obtained on admission and twice weekly from all patients admitted to an ICU for ≥3 days. The first MRSA isolate per patient was genotyped in a central laboratory by MLST, spa typing, agr typing and SCCmec (sub)typing. Risk factors for patients with an unknown history of MRSA colonization were identified. Overall, 14 390 ICU patients were screened, of whom 8519 stayed in an ICU for ≥3 days. Overall MRSA admission prevalence was 3.9% and ranged from 1.0% to 7.0% for individual ICUs. Overall MRSA acquisition rate was 2.5/1000 patient days at risk and ranged from 0.2 to 8/1000 patient days at risk per ICU. In total, 557 putative MRSA isolates were submitted to the central laboratory for typing, of which 511 (92%) were confirmed as MRSA. Each country had a distinct epidemiology, with ST8-IVc (UK-EMRSA-2/-6, USA500) being most prevalent, especially in France and Spain, and detected in ICUs in five of eight countries. Seventeen (3%) and three (&lt;1%) isolates were categorized as CA-MRSA and LA-MRSA, respectively. Risk factors for MRSA carriage on ICU admission were age &gt;70 years and hospitalization within 1 year prior to ICU admission. The molecular epidemiology of MRSA in 13 European ICUs in eight countries was homogeneous within, but heterogeneous between, countries. CA-MRSA and LA-MRSA genotypes and Panton-Valentine leucocidin-producing isolates were detected sporadically.</t>
  </si>
  <si>
    <t>PREDICT: model for prediction of survival in localized prostate cancer.</t>
  </si>
  <si>
    <t>Kerkmeijer, Linda G W; Monninkhof, Evelyn M; van Oort, Inge M; van der Poel, Henk G; de Meerleer, Gert; van Vulpen, Marco</t>
  </si>
  <si>
    <t>world journal of urology</t>
  </si>
  <si>
    <t>https://pubmed.ncbi.nlm.nih.gov/26420595</t>
  </si>
  <si>
    <t>Current models for prediction of prostate cancer-specific survival do not incorporate all present-day interventions. In the present study, a pre-treatment prediction model for patients with localized prostate cancer was developed. From 1989 to 2008, 3383 patients were treated with I-125 brachytherapy (n = 1694), external beam radiotherapy (≥74 Gy, n = 336) or radical prostatectomy (n = 1353). Pre-treatment parameters (clinical T-stage, biopsy grade, PSA and age) were related to the hazard of mortality by multivariate Cox proportional hazard analysis. The PRetreatment Estimation of the risk of Death In Cancer of the prosTate (PREDICT) model was developed. The predictive accuracy of the model was assessed by calibration and discrimination and compared to the Ash risk classification system. Of the 3383 patients analyzed, 2755 patients (81 %) were alive at the end of follow-up, 149 patients (4 %) died of prostate cancer and 365 patients (11 %) died of other causes, and for 114 patients (3 %) cause of death was unknown. Median follow-up time was 7.6 years. After correction for overoptimism, the c-statistic of the prediction model for prostate cancer-specific mortality was 0.78 (95 % CI 0.74-0.82), compared to 0.78 (95 % CI 0.75-0.81) for the risk classification system by Ash et al. The PREDICT model showed better calibration than the Ash risk classification system. The PREDICT model showed a good predictive accuracy and reliability. The PREDICT model might be a promising tool for physicians to predict disease-specific survival prior to any generally accepted intervention in patients with localized prostate cancer.</t>
  </si>
  <si>
    <t>Osteocalcin Is Not Associated with the Risk of Type 2 Diabetes: Findings from the EPIC-NL Study.</t>
  </si>
  <si>
    <t>Zwakenberg, Sabine R; Gundberg, Caren M; Spijkerman, Annemieke M W; van der A, Daphne L; van der Schouw, Yvonne T; Beulens, Joline W J</t>
  </si>
  <si>
    <t>https://pubmed.ncbi.nlm.nih.gov/26418005</t>
  </si>
  <si>
    <t>To investigate whether total osteocalcin (tOC), uncarboxylated osteocalcin (ucOC) and percentage of uncarboxylated osteocalcin (%ucOC) are associated with the risk of type 2 diabetes. This nested case control study included 1,635 participants, 833 incident diabetes cases and 802 non-diabetic control participants, aged 21-70 years from the EPIC-NL cohort. Baseline concentrations of tOC, ucOC and %ucOC were assessed. During 10 years of follow-up, diabetes cases were self-reported and verified against information from general practitioners or pharmacists. The association between the different forms of osteocalcin and diabetes risk was assessed with logistic regression adjusted for diabetes risk factors (waist circumference, age, sex, cohort, smoking status, family history of diabetes, hypertension, alcohol intake, physical activity and education) and dietary factors (total energy intake and energy adjusted intake of fat, fiber, protein and calcium). TOC concentration was not associated with diabetes risk, with an odds ratio (OR) of 0.97 (0.91-1.03) for each ng/ml increment after adjustment for diabetes risk factors and dietary factors. No association between ucOC and %ucOC and the risk of diabetes was observed either. In sex stratified analyses (P interaction = 0.07), higher %ucOC tended to be associated with an increased risk of type 2 diabetes in a multivariable model in women (OR 1.05 for each increment of 5% ucOC (1.00-1.11), Ptrend = 0.08), but not in men (OR 0.96 for each increment of 5% ucOC (0.88-1.04)). When waist circumference was replaced by body mass index, none of the osteocalcin forms were associated with the risk of type 2 diabetes in the final model among both women and men. Available evidence suggests that tOC, ucOC and %ucOC are each not associated with the risk of type 2 diabetes. However, more large-scale cohort studies are needed to clarify the presence of any association between the different forms of osteocalcin and the risk of type 2 diabetes.</t>
  </si>
  <si>
    <t>Cytomegalovirus reactivation and mortality in patients with acute respiratory distress syndrome.</t>
  </si>
  <si>
    <t>Ong, David S Y; Spitoni, Cristian; Klein Klouwenberg, Peter M C; Verduyn Lunel, Frans M; Frencken, Jos F; Schultz, Marcus J; van der Poll, Tom; Kesecioglu, Jozef; Bonten, Marc J M; Cremer, Olaf L</t>
  </si>
  <si>
    <t>https://pubmed.ncbi.nlm.nih.gov/26415682</t>
  </si>
  <si>
    <t>Cytomegalovirus (CMV) reactivation occurs frequently in patients with the acute respiratory distress syndrome (ARDS) and has been associated with increased mortality. However, it remains unknown whether this association represents an independent risk for poor outcome. We aimed to estimate the attributable effect of CMV reactivation on mortality in immunocompetent ARDS patients. We prospectively studied immunocompetent ARDS patients who tested seropositive for CMV and remained mechanically ventilated beyond day 4 in two tertiary intensive care units in the Netherlands from 2011 to 2013. CMV loads were determined in plasma weekly. Competing risks Cox regression was used with CMV reactivation status as a time-dependent exposure variable. Subsequently, in sensitivity analyses we adjusted for the evolution of disease severity until onset of reactivation using marginal structural modeling. Of 399 ARDS patients, 271 (68%) were CMV seropositive and reactivation occurred in 74 (27%) of them. After adjustment for confounding and competing risks, CMV reactivation was associated with overall increased ICU mortality (adjusted subdistribution hazard ratio (SHR) 2.74, 95% CI 1.51-4.97), which resulted from the joint action of trends toward an increased mortality rate (direct effect; cause specific hazard ratio (HR) 1.58, 95% CI 0.86-2.90) and a reduced successful weaning rate (indirect effect; cause specific HR 0.83, 95% CI 0.58-1.18). These associations remained in sensitivity analyses. The population-attributable fraction of ICU mortality was 23% (95% CI 6-41) by day 30 (risk difference 4.4, 95% CI 1.1-7.9). CMV reactivation is independently associated with increased case fatality in immunocompetent ARDS patients who are CMV seropositive.</t>
  </si>
  <si>
    <t>Outcome after intracranial haemorrhage from dural arteriovenous fistulae; a systematic review and case-series.</t>
  </si>
  <si>
    <t>Jolink, W M T; van Dijk, J M C; van Asch, C J J; de Kort, G A P; Algra, A; Groen, R J M; Rinkel, G J E; Klijn, C J M</t>
  </si>
  <si>
    <t>https://pubmed.ncbi.nlm.nih.gov/26410748</t>
  </si>
  <si>
    <t>Dural arteriovenous fistulae (DAVFs) are a rare cause of intracranial haemorrhage. We aimed to investigate outcome of patients with intracranial haemorrhage from a DAVF. We performed a systematic literature search for studies reporting outcome after intracranial haemorrhage caused by a DAVF. We used predefined selection criteria and assessed the quality of the studies. In addition, we studied outcome in all patients with DAVF who had presented with intracranial haemorrhage at two university centers in the Netherlands, between January 2007 and April 2012. We calculated case fatality and proportions of patients with poor outcome (defined as modified Rankin Scale ≥ 3 or Glasgow Outcome Scale ≤ 3) during follow-up. We investigated mean age, sex, mid-year of study and percentage of patients with parenchymal haemorrhage as determinants of case fatality and poor outcome. The literature search yielded 16 studies, all but two retrospective and all hospital-based. Combined with our cohort of 29 patients the total number of patients with DAVF-related intracranial haemorrhage was 326 (58% intracerebral haemorrhage). At a median follow-up of 12 months case fatality was 4.7% (95% CI 2.5-7.5; 17 cohorts) and the proportion of patients with poor outcome 8.3% (95% CI 3.1-15.7; nine cohorts). We found no effect of mean age, sex, mid-year of the cohorts and percentage of patients with parenchymal haemorrhage on either outcome. Hospital based case-series suggest a relatively low risk of death and poor outcome in patients with intracranial haemorrhage due to rupture of a DAVF. These risks may be underestimated because of bias.</t>
  </si>
  <si>
    <t>Benzodiazepine-associated delirium in critically ill adults.</t>
  </si>
  <si>
    <t>Zaal, Irene J; Devlin, John W; Hazelbag, Marijn; Klein Klouwenberg, Peter M C; van der Kooi, Arendina W; Ong, David S Y; Cremer, Olaf L; Groenwold, Rolf H; Slooter, Arjen J C</t>
  </si>
  <si>
    <t>https://pubmed.ncbi.nlm.nih.gov/26404392</t>
  </si>
  <si>
    <t>The association between benzodiazepine use and delirium risk in the ICU remains unclear. Prior investigations have failed to account for disease severity prior to delirium onset, competing events that may preclude delirium detection, other important delirium risk factors, and an adequate number of patients receiving continuous midazolam. The aim of this study was to address these limitations and evaluate the association between benzodiazepine exposure and ICU delirium occurrence. In a cohort of consecutive critically ill adults, daily mental status was classified as either awake without delirium, delirium, or coma. In a first-order Markov model, multinomial logistic regression analysis was used, which considered five possible outcomes the next day (i.e., awake without delirium, delirium, coma, ICU discharge, and death) and 16 delirium-related covariables, to quantify the association between benzodiazepine use and delirium occurrence the following day. Among 1112 patients, 9867 daily transitions occurred. Benzodiazepine administration in an awake patient without delirium was associated with increased risk of delirium the next day [OR 1.04 (per 5 mg of midazolam equivalent administered) 95 % CI 1.02-1.05). When the method of benzodiazepine administration was incorporated in the model, the odds of transitioning to delirium was higher with benzodiazepines given continuously (OR 1.04, 95 % CI 1.03-1.06) compared to benzodiazepines given intermittently (OR 0.97, 95 % CI 0.88-1.05). After addressing potential methodological limitations of prior studies, we confirm that benzodiazepine administration increases the risk for delirium in critically ill adults but this association seems to be limited to continuous infusion use only.</t>
  </si>
  <si>
    <t>Overweight patterns throughout childhood and cardiometabolic markers in early adolescence.</t>
  </si>
  <si>
    <t>Berentzen, N E; van Rossem, L; Gehring, U; Koppelman, G H; Postma, D S; de Jongste, J C; Smit, H A; Wijga, A H</t>
  </si>
  <si>
    <t>https://pubmed.ncbi.nlm.nih.gov/26395749</t>
  </si>
  <si>
    <t>Risk of cardiovascular and metabolic disease is higher in adults who were relatively thin at birth and had subsequent accelerated weight gain. This specific pattern of weight gain may relate to unfavorable cardiometabolic markers already in childhood. We prospectively assessed whether children with different patterns of overweight development from age 3 months to 11 years had distinct levels of cardiometabolic markers at age 12 years. We used data of 1500 children participating in the PIAMA birth cohort that started in 1996/1997. Parents reported height and weight during 10 waves of follow-up from age 3 months to 11 years. Four distinct overweight development patterns were derived using longitudinal latent class analysis; 'never'; 'early transient'; 'gradually developing' and 'persistent' overweight. Cardiometabolic markers (total-to-high-density lipoprotein cholesterol (TC/HDLC) ratio, blood pressure (BP), glycated hemoglobin (HbA1c)) were assessed at age 12 years in 1500 children. Children who developed overweight gradually and children with persistent overweight throughout childhood, at age 12 years had a 2-3-fold higher risk of having high (&gt;90th centile) TC/HDLC ratio, systolic and diastolic BP, compared with children who were never overweight. In children who gradually developed overweight, TC/HDLC ratio was 0.75 higher (95% confidence interval (CI) 0.54-0.96); systolic BP 4.90 mmHg higher (95% CI 2.45-7.36) and diastolic BP 1.78 mmHg higher (95% CI 0.07-3.49) than in children who never had overweight. Estimates for children with persistent overweight were similar. Children with gradually developing overweight, and those with persistent overweight had unfavorable cholesterol and blood pressure levels already at age 12 years, whereas children with early transient overweight avoided these unfavorable outcomes. Our results support the hypothesis that specific overweight patterns predispose to an adverse cardiometabolic profile, which is already apparent in early adolescence before progressing to adult cardiometabolic disease.</t>
  </si>
  <si>
    <t>Search for Dark Matter in Events with Missing Transverse Momentum and a Higgs Boson Decaying to Two Photons in pp Collisions at sqrt[s]=8 TeV with the ATLAS Detector.</t>
  </si>
  <si>
    <t>https://pubmed.ncbi.nlm.nih.gov/26451544</t>
  </si>
  <si>
    <t>Results of a search for new phenomena in events with large missing transverse momentum and a Higgs boson decaying to two photons are reported. Data from proton-proton collisions at a center-of-mass energy of 8 TeV and corresponding to an integrated luminosity of 20.3 fb^{-1} have been collected with the ATLAS detector at the LHC. The observed data are well described by the expected standard model backgrounds. Upper limits on the cross section of events with large missing transverse momentum and a Higgs boson candidate are also placed. Exclusion limits are presented for models of physics beyond the standard model featuring dark-matter candidates.</t>
  </si>
  <si>
    <t>Barriers and facilitators perceived by physicians when using prediction models in practice.</t>
  </si>
  <si>
    <t>Kappen, Teus H; van Loon, Kim; Kappen, Martinus A M; van Wolfswinkel, Leo; Vergouwe, Yvonne; van Klei, Wilton A; Moons, Karel G M; Kalkman, Cor J</t>
  </si>
  <si>
    <t>https://pubmed.ncbi.nlm.nih.gov/26399905</t>
  </si>
  <si>
    <t>Prediction models may facilitate risk-based management of health care conditions. In a large cluster-randomized trial, presenting calculated risks of postoperative nausea and vomiting (PONV) to physicians (assistive approach) increased risk-based management of PONV. This increase did not improve patient outcome-that is, PONV incidence. This prompted us to explore how prediction tools guide the decision-making process of physicians. Using mixed methods, we interviewed eight physicians to understand how predicted risks were perceived by the physicians and how they influenced decision making. Subsequently, all 57 physicians of the trial were surveyed for how the presented risks influenced their perceptions. Although the prediction tool made physicians more aware of PONV prevention, the physicians reported three barriers to use predicted risks in their decision making. PONV was not considered an outcome of utmost importance; decision making on PONV prophylaxis was mostly intuitive rather than risk based; prediction models do not weigh benefits and risks of prophylactic drugs. Combining probabilistic output of the model with their clinical experience may be difficult for physicians, especially when their decision-making process is mostly intuitive. Adding recommendations to predicted risks (directive approach) was considered an important step to facilitate the uptake of a prediction tool.</t>
  </si>
  <si>
    <t>Radiopharmaceuticals for Palliation of Bone Pain in Patients with Castration-resistant Prostate Cancer Metastatic to Bone: A Systematic Review.</t>
  </si>
  <si>
    <t>Jong, Joyce M van Dodewaard-de; Oprea-Lager, Daniela E; Hooft, Lotty; de Klerk, John M H; Bloemendal, Haiko J; Verheul, Henk M W; Hoekstra, Otto S; van den Eertwegh, Alfons J M</t>
  </si>
  <si>
    <t>https://pubmed.ncbi.nlm.nih.gov/26391636</t>
  </si>
  <si>
    <t>The majority of patients with castration-resistant prostate cancer develop bone metastatic disease. It is often challenging to optimally palliate malignant bone pain. In case of multifocal pain due to diffuse osteoblastic metastases, treatment with bone-seeking radiopharmaceuticals can be considered. This systematic review evaluates the efficacy of different bone-seeking radiopharmaceuticals for palliation of malignant bone pain from prostate cancer. The PubMed (Medline) and Embase databases were searched for publications on 89-strontium-chloride ((89)Sr), 153-samarium-EDTMP ((153)Sm), 186-rhenium-HEDP ((186)Re), 188-rhenium-HEDP ((188)Re), and 223-radium-chloride ((223)Ra). Randomised controlled trials and prospective cohort studies were included. Metastatic bone pain had to be registered as outcome measure for prostate cancer patients separately. This review included 36 articles of which 13 randomised trials and 23 prospective studies. Of all trials, 10 studies used (89)Sr, 7 (153)Sm, 12 (186)Re, 2 (188)Re, and 2 (223)Ra; three reported on a combination of different radionuclides. Only a few trials contained a blinding procedure and several studies contained incomplete follow-up or lack of intention-to-treat analysis. It was not possible to calculate a pooled estimate of pain response to treatment with any of the radionuclides because different definitions of pain response were used. Overall, pain response percentages greater than 50-60% were seen with each radionuclide. Haematological toxicity was reported in 26 of the 36 studies and more than half of these trials stated no grade 3/4 leukopenia or thrombocytopenia occurred. In this report we reviewed the efficacy of bone-seeking radionuclides for treating bone pain from metastatic prostate cancer. Overall, treatment with bone-seeking radionuclides resulted in pain responses greater than 50-60%.</t>
  </si>
  <si>
    <t>Cerebellar Cortical Infarct Cavities: Correlation With Risk Factors and MRI Markers of Cerebrovascular Disease.</t>
  </si>
  <si>
    <t>De Cocker, Laurens J L; Kloppenborg, Raoul P; van der Graaf, Yolanda; Luijten, Peter R; Hendrikse, Jeroen; Geerlings, Mirjam I; ,</t>
  </si>
  <si>
    <t>https://pubmed.ncbi.nlm.nih.gov/26382175</t>
  </si>
  <si>
    <t>Small cerebellar infarct cavities have been recently found on magnetic resonance imaging (MRI) to preferentially involve the cerebellar cortex, but epidemiological studies are lacking. We aimed to determine the prevalence and risk factor profiles of cerebellar cortical infarct cavities (≤1.5 cm) as well as their association with MRI markers of cerebrovascular disease and functioning. We analyzed the 1.5 Tesla MRI of 636 patients (mean age, 62±9 years; 81% men) from the Second Manifestations of Arterial Disease-Memory, Depression and Aging (SMART-Medea) study. Logistic regression analyses were performed to estimate the associations of age, sex, vascular risk factors, MRI markers of cerebrovascular disease, and functioning with cerebellar cortical cavities, adjusted for age and sex. Cerebellar cortical infarct cavities occurred on MRI in 10% of patients and were significantly associated with age, intima-media thickness (odds ratio [OR], 2.0; 95% confidence interval [CI], 1.1-3.7), high levels of homocysteinemia (OR, 1.8; 95% CI, 1.0-3.3), cortical infarcts (OR, 2.9; 95% CI, 1.6-5.4), gray matter lacunes of presumed vascular origin (OR, 3.0; 95% CI, 1.6-5.8), brain stem infarcts (OR, 5.1; 95% CI, 1.9-13.6), and decreased brain parenchymal fraction (OR, 0.84; 95% CI, 0.74-0.94), but not with white matter hyperintensities (OR, 1.2; 95% CI, 0.8-1.8) or white matter lacunes of presumed vascular origin (OR, 1.1; 95% CI, 0.5-2.5). They were also associated with worse physical functioning (OR, 0.96; 95% CI, 0.94 to -0.99) [corrected] but not with mental functioning. Cerebellar cortical infarct cavities are far more common than previously assumed based on symptomatic case series and are associated with markers of atherothromboembolic cerebrovascular disease.</t>
  </si>
  <si>
    <t>Are There Ethnic Inequalities in Revascularisation Procedure Rate after an ST-Elevation Myocardial Infarction?</t>
  </si>
  <si>
    <t>van Oeffelen, Aloysia A M; Rittersma, Saskia; Vaartjes, Ilonca; Stronks, Karien; Bots, Michiel L; Agyemang, Charles</t>
  </si>
  <si>
    <t>https://pubmed.ncbi.nlm.nih.gov/26368504</t>
  </si>
  <si>
    <t>Previously, ethnic inequalities in prognosis after a first acute myocardial infarction were observed in the Netherlands. This might be due to differences in revascularisation rate between ethnic minority groups and ethnic Dutch. Therefore, we investigated inequalities in revascularisation rate after occurrence of an ST-elevation myocardial infarction (STEMI) between first generation ethnic minority groups (henceforth, migrants) and ethnic Dutch. All STEMI events between 2006 and 2011 were identified in a subset of the Achmea Health Database, which records medical care to persons insured at the Achmea health insurance company, a major health insurance company in the central part of the Netherlands. Ethnic Dutch and migrants from Suriname (Hindustani Surinamese and non-Hindustani Surinamese), Morocco, and Turkey were included (n = 1,765). Multivariable Cox proportional hazards regression analyses were used to identify ethnic inequalities in revascularisation rate (percutaneous coronary intervention (PCI) and coronary artery bypass grafting (CABG)) after a STEMI event. On average, 73.2% of STEMI events were followed by a revascularisation procedure. After adjustment for confounders (age, sex, degree of urbanization) no significant differences in revascularisation rate were found between the ethnic Dutch population and Hindustani Surinamese (HR: 1.04; 0.85-1.27), non-Hindustani Surinamese (HR: 0.98; 0.63-1.51), Moroccan (HR: 0.94; 0.77-1.14), and Turkish migrants (HR: 1.04; 0.88-1.24). Additional adjustment for comorbidity and neighborhood income did not change our findings. Our study suggests no ethnic inequalities in revascularisation rate after a STEMI event. This finding is in agreement with the universally accessible health care system in the Netherlands.</t>
  </si>
  <si>
    <t>MACVIA-ARIA Sentinel NetworK for allergic rhinitis (MASK-rhinitis): the new generation guideline implementation.</t>
  </si>
  <si>
    <t>Bousquet, J; Schunemann, H J; Fonseca, J; Samolinski, B; Bachert, C; Canonica, G W; Casale, T; Cruz, A A; Demoly, P; Hellings, P; Valiulis, A; Wickman, M; Zuberbier, T; Bosnic-Anticevitch, S; Bedbrook, A; Bergmann, K C; Caimmi, D; Dahl, R; Fokkens, W J; Grisle, I; Lodrup Carlsen, K; Mullol, J; Muraro, A; Palkonen, S; Papadopoulos, N; Passalacqua, G; Ryan, D; Valovirta, E; Yorgancioglu, A; Aberer, W; Agache, I; Adachi, M; Akdis, C A; Akdis, M; Annesi-Maesano, I; Ansotegui, I J; Anto, J M; Arnavielhe, S; Arshad, H; Baiardini, I; Baigenzhin, A K; Barbara, C; Bateman, E D; Beghé, B; Bel, E H; Ben Kheder, A; Bennoor, K S; Benson, M; Bewick, M; Bieber, T; Bindslev-Jensen, C; Bjermer, L; Blain, H; Boner, A L; Boulet, L P; Bonini, M; Bonini, S; Bosse, I; Bourret, R; Bousquet, P J; Braido, F; Briggs, A H; Brightling, C E; Brozek, J; Buhl, R; Burney, P G; Bush, A; Caballero-Fonseca, F; Calderon, M A; Camargos, P A M; Camuzat, T; Carlsen, K H; Carr, W; Cepeda Sarabia, A M; Chavannes, N H; Chatzi,</t>
  </si>
  <si>
    <t>https://pubmed.ncbi.nlm.nih.gov/26148220</t>
  </si>
  <si>
    <t>Several unmet needs have been identified in allergic rhinitis: identification of the time of onset of the pollen season, optimal control of rhinitis and comorbidities, patient stratification, multidisciplinary team for integrated care pathways, innovation in clinical trials and, above all, patient empowerment. MASK-rhinitis (MACVIA-ARIA Sentinel NetworK for allergic rhinitis) is a simple system centred around the patient which was devised to fill many of these gaps using Information and Communications Technology (ICT) tools and a clinical decision support system (CDSS) based on the most widely used guideline in allergic rhinitis and its asthma comorbidity (ARIA 2015 revision). It is one of the implementation systems of Action Plan B3 of the European Innovation Partnership on Active and Healthy Ageing (EIP on AHA). Three tools are used for the electronic monitoring of allergic diseases: a cell phone-based daily visual analogue scale (VAS) assessment of disease control, CARAT (Control of Allergic Rhinitis and Asthma Test) and e-Allergy screening (premedical system of early diagnosis of allergy and asthma based on online tools). These tools are combined with a clinical decision support system (CDSS) and are available in many languages. An e-CRF and an e-learning tool complete MASK. MASK is flexible and other tools can be added. It appears to be an advanced, global and integrated ICT answer for many unmet needs in allergic diseases which will improve policies and standards.</t>
  </si>
  <si>
    <t>Data Science and Biostatistics; Data Science and Biostatistics; Epidemiology and Health Economics; Data Science and Biostatistics; Data Science and Biostatistics; Data Science and Biostatistics</t>
  </si>
  <si>
    <t>Completeness of the circle of Willis and risk of ischemic stroke in patients without cerebrovascular disease.</t>
  </si>
  <si>
    <t>van Seeters, Tom; Hendrikse, Jeroen; Biessels, Geert Jan; Velthuis, Birgitta K; Mali, Willem P T M; Kappelle, L Jaap; van der Graaf, Yolanda; ,</t>
  </si>
  <si>
    <t>https://pubmed.ncbi.nlm.nih.gov/26358136</t>
  </si>
  <si>
    <t>We investigated circle of Willis (CoW) completeness in relation to the risk of future ischemic stroke in patients without prior cerebrovascular disease. We included 976 patients with atherosclerotic disease, but no previous TIA/stroke, from the Second Manifestations of ARTerial disease (SMART) study. All patients underwent MR angiography of the CoW. Cox regression was used to determine whether anterior CoW completeness (anterior communicating artery or A1 segments) and posterior CoW completeness (posterior communicating arteries or P1 segments) were related to future stroke, and whether CoW completeness influenced the relation between internal carotid artery (ICA) stenosis/occlusion and future stroke. Thirty patients (3.1 %) had ischemic stroke after 9.2 ± 3.0 years of follow-up. Twenty-four patients (80 %) had anterior circulation stroke. An incomplete anterior CoW was related to future anterior circulation stroke (HR 2.8 (95 % CI 1.3-6.3); p = 0.01), whereas a one-sided and two-sided incomplete posterior CoW were not (HR 2.2 (95 % CI 0.7-7.1; p = 0.19) and 1.9 (95 % CI 0.6-5.9; p = 0.29), respectively). In stratified analyses, patients with an incomplete anterior CoW had the highest risk of future anterior circulation stroke when they also had a one-sided (HR 7.0 (95 % CI 1.3-38.2; p = 0.02)) or two-sided incomplete posterior CoW (HR 5.4 (95 % CI 1.0-27.8; p = 0.04). CoW completeness did not change the relation between asymptomatic ICA stenosis/occlusion and future ischemic stroke (p = 0.68). An incomplete anterior CoW combined with an incomplete posterior CoW is related to future anterior circulation stroke. CoW completeness has no large effect on the relation between asymptomatic ICA stenosis/occlusion and future stroke.</t>
  </si>
  <si>
    <t>Search for Higgs boson pair production in the [Formula: see text] final state from &lt;i&gt;pp&lt;/i&gt; collisions at [Formula: see text] TeVwith the ATLAS detector.</t>
  </si>
  <si>
    <t>https://pubmed.ncbi.nlm.nih.gov/26380565</t>
  </si>
  <si>
    <t>A search for Higgs boson pair production [Formula: see text] is performed with 19.5 fb[Formula: see text] of proton-proton collision data at [Formula: see text] TeV, which were recorded by the ATLAS detector at the Large Hadron Collider in 2012. The decay products of each Higgs boson are reconstructed as a high-momentum [Formula: see text] system with either a pair of small-radius jets or a single large-radius jet, the latter exploiting jet substructure techniques and associated &lt;i&gt;b&lt;/i&gt;-tagged track-jets. No evidence for resonant or non-resonant Higgs boson pair production is observed. The data are interpreted in the context of the Randall-Sundrum model with a warped extra dimension as well as the two-Higgs-doublet model. An upper limit on the cross-section for [Formula: see text] of 3.2 (2.3) fb is set for a Kaluza-Klein graviton [Formula: see text] mass of 1.0 (1.5) TeV, at the 95 % confidence level. The search for non-resonant Standard Model &lt;i&gt;hh&lt;/i&gt; production sets an observed 95 % confidence level upper limit on the production cross-section [Formula: see text] of 202 fb, compared to a Standard Model prediction of [Formula: see text] fb.</t>
  </si>
  <si>
    <t>Diagnostic prediction models for suspected pulmonary embolism: systematic review and independent external validation in primary care.</t>
  </si>
  <si>
    <t>Hendriksen, Janneke M T; Geersing, Geert-Jan; Lucassen, Wim A M; Erkens, Petra M G; Stoffers, Henri E J H; van Weert, Henk C P M; Büller, Harry R; Hoes, Arno W; Moons, Karel G M</t>
  </si>
  <si>
    <t>https://pubmed.ncbi.nlm.nih.gov/26349907</t>
  </si>
  <si>
    <t>To validate all diagnostic prediction models for ruling out pulmonary embolism that are easily applicable in primary care. Systematic review followed by independent external validation study to assess transportability of retrieved models to primary care medicine. 300 general practices in the Netherlands. Individual patient dataset of 598 patients with suspected acute pulmonary embolism in primary care. Discriminative ability of all models retrieved by systematic literature search, assessed by calculation and comparison of C statistics. After stratification into groups with high and low probability of pulmonary embolism according to pre-specified model cut-offs combined with qualitative D-dimer test, sensitivity, specificity, efficiency (overall proportion of patients with low probability of pulmonary embolism), and failure rate (proportion of pulmonary embolism cases in group of patients with low probability) were calculated for all models. Ten published prediction models for the diagnosis of pulmonary embolism were found. Five of these models could be validated in the primary care dataset: the original Wells, modified Wells, simplified Wells, revised Geneva, and simplified revised Geneva models. Discriminative ability was comparable for all models (range of C statistic 0.75-0.80). Sensitivity ranged from 88% (simplified revised Geneva) to 96% (simplified Wells) and specificity from 48% (revised Geneva) to 53% (simplified revised Geneva). Efficiency of all models was between 43% and 48%. Differences were observed between failure rates, especially between the simplified Wells and the simplified revised Geneva models (failure rates 1.2% (95% confidence interval 0.2% to 3.3%) and 3.1% (1.4% to 5.9%), respectively; absolute difference -1.98% (-3.33% to -0.74%)). Irrespective of the diagnostic prediction model used, three patients were incorrectly classified as having low probability of pulmonary embolism; pulmonary embolism was diagnosed only after referral to secondary care. Five diagnostic pulmonary embolism prediction models that are easily applicable in primary care were validated in this setting. Whereas efficiency was comparable for all rules, the Wells rules gave the best performance in terms of lower failure rates.</t>
  </si>
  <si>
    <t>Prevalence of Apparent Therapy-Resistant Hypertension and Its Effect on Outcome in Patients With Chronic Kidney Disease.</t>
  </si>
  <si>
    <t>de Beus, Esther; Bots, Michiel L; van Zuilen, Arjan D; Wetzels, Jack F M; Blankestijn, Peter J; ,</t>
  </si>
  <si>
    <t>https://pubmed.ncbi.nlm.nih.gov/26351024</t>
  </si>
  <si>
    <t>New options recently became available for treatment of uncontrolled blood pressure. Information on the prevalence of therapy-resistant hypertension (TRH) in patients with chronic kidney disease and its consequences is relevant to balance risks and benefits of potential new therapies. Data of 788 patients with chronic kidney disease came from a multicenter study investigating the effect on outcome of an integrated multifactorial approach delivered by nurse practitioners added to usual care versus usual care alone. Blood pressure was measured at the office and during 30 minutes using an automated oscillometric device. Apparent TRH (aTRH) was defined as a blood pressure ≥130/80 mm Hg despite treatment with ≥3 antihypertensive drugs, including a diuretic or treatment with ≥4 antihypertensive drugs. Participants were followed up for the occurrence of myocardial infarction, stroke or cardiovascular mortality (composite cardiovascular end point) and end-stage renal disease. aTRH was present in 34% (office blood pressure) and in 32% (automated measurements). During 5.3 years of follow-up, 17% of patients with aTRH reached a cardiovascular end point and 27% reached end-stage renal disease. aTRH lead to a 1.5-fold higher risk (95% confidence interval, 0.8-3.0) of a cardiovascular end point compared with controlled hypertensives in multivariable-adjusted analysis. aTRH increased end-stage renal disease risk 2.3-fold (95% confidence interval, 1.4-3.7). During 4 years of follow-up, the prevalence of aTRH did not decline in either treatment group. The prevalence of aTRH is high in patients with chronic kidney disease even after optimization of nephrologist care. The presence of TRH is related to a substantially increased risk of renal and cardiovascular outcomes.</t>
  </si>
  <si>
    <t>The Community-Acquired Pneumonia immunization Trial in Adults (CAPiTA): what is the future of pneumococcal conjugate vaccination in elderly?</t>
  </si>
  <si>
    <t>van Werkhoven, Cornelis H; Bonten, Marc J M</t>
  </si>
  <si>
    <t>future microbiology</t>
  </si>
  <si>
    <t>https://pubmed.ncbi.nlm.nih.gov/26347153</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</si>
  <si>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</si>
  <si>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Case-finding for cognitive impairment among people with Type 2 diabetes in primary care using the Test Your Memory and Self-Administered Gerocognitive Examination questionnaires: the Cog-ID study.</t>
  </si>
  <si>
    <t>Koekkoek, P S; Janssen, J; Kooistra, M; Biesbroek, J M; Groeneveld, O; van den Berg, E; Kappelle, L J; Biessels, G J; Rutten, G E H M</t>
  </si>
  <si>
    <t>https://pubmed.ncbi.nlm.nih.gov/26234771</t>
  </si>
  <si>
    <t>To evaluate two cognitive tests for case-finding for cognitive impairment in older patients with Type 2 diabetes. Of 1243 invited patients with Type 2 diabetes, aged ≥70 years, 228 participated in a prospective cohort study. Exclusion criteria were: diagnosis of dementia; previous investigation at a memory clinic; and inability to write or read. Patients first filled out two self-administered cognitive tests (Test Your Memory and Self-Administered Gerocognitive Examination). Secondly, a general practitioner, blinded to Test Your Memory and Self-Administered Gerocognitive Examination scores, performed a structured evaluation using the Mini-Mental State Examination. Subsequently, patients suspected of cognitive impairment (on either the cognitive tests or general practitioner evaluation) and a random sample of 30% of patients not suspected of cognitive impairment were evaluated at a memory clinic. Diagnostic accuracy and area under the curve were determined for the Test Your Memory, Self-Administered Gerocognitive Examination and general practitioner evaluation compared with a memory clinic evaluation to detect cognitive impairment (mild cognitive impairment or dementia). A total of 44 participants were diagnosed with cognitive impairment. The Test Your Memory and Self-Administered Gerocognitive Examination questionnaires had negative predictive values of 81 and 85%, respectively. Positive predictive values were 39 and 40%, respectively. The general practitioner evaluation had a negative predictive value of 83% and positive predictive value of 64%. The area under the curve was ~0.70 for all tests. Both the tests evaluated in the present study can easily be used in case-finding strategies for cognitive impairment in patients with Type 2 diabetes in primary care. The Self-Administered Gerocognitive Examination had the best diagnostic accuracy and therefore we would have a slight preference for this test. Applying the Self-Administered Gerocognitive Examination would considerably reduce the number of patients in whom the general practitioner needs to evaluate cognitive functioning to tailor diabetes treatment.</t>
  </si>
  <si>
    <t>Fatty acid composition in breastfeeding and school performance in children aged 12 years.</t>
  </si>
  <si>
    <t>Dalmeijer, Geertje W; Wijga, Alet H; Gehring, Ulrike; Renders, Carry M; Koppelman, Gerard H; Smit, Henriette A; van Rossem, Lenie</t>
  </si>
  <si>
    <t>https://pubmed.ncbi.nlm.nih.gov/26347247</t>
  </si>
  <si>
    <t>Breastfeeding has been associated with improved cognition. It remains unclear whether long-chain polyunsaturated fatty acids (LC-PUFAs) play a role in this association. We assessed the association between LC-PUFA concentrations in infant feeding and school performance at age 12. Within a population-based birth cohort, we compared school performance of 277 non-breastfed children and 157 children who had fatty acid composition of their mothers' breast milk measured. Two indicators of school performance were: (1) the score on a standardized achievement test and (2) the teacher's advice regarding a child's potential performance level in secondary education. Linear regression and multinomial logistic regression analyses were performed to assess the independent association between LC-PUFA content of breast milk and school performance. Girls, who received breast milk with a relative high content (above the median) of docosahexaenoic acid (DHA), had a higher Cito-test score (β = 2.96 points, 95 % CI 0.24; 5.69) than non-breastfed girls. Among the breastfed girls, each percentage point of higher content of total n-3 LC-PUFA (β = 4.55, 95 % CI 0.43; 8.66) and DHA (β = 7.09, 95 % CI 0.9; 13.3) was associated with a higher Cito-test score. The association between LC-PUFA content and teacher school advice showed a similar pattern. There was no association between LC-PUFA content and school performance in boys. Although a large part of the association between infant milk feeding and cognition seems to be explained by sociodemographic and lifestyle-related factors, a relative high content of n-3 PUFAs, especially DHA, in breast milk is associated with better school performance in 12-year-old girls but not in boys.</t>
  </si>
  <si>
    <t>Likelihood of infection in patients with presumed sepsis at the time of intensive care unit admission: a cohort study.</t>
  </si>
  <si>
    <t>Klein Klouwenberg, Peter M C; Cremer, Olaf L; van Vught, Lonneke A; Ong, David S Y; Frencken, Jos F; Schultz, Marcus J; Bonten, Marc J; van der Poll, Tom</t>
  </si>
  <si>
    <t>https://pubmed.ncbi.nlm.nih.gov/26346055</t>
  </si>
  <si>
    <t>A clinical suspicion of infection is mandatory for diagnosing sepsis in patients with a systemic inflammatory response syndrome. Yet, the accuracy of categorizing critically ill patients presenting to the intensive care unit (ICU) as being infected or not is unknown. We therefore assessed the likelihood of infection in patients who were treated for sepsis upon admission to the ICU, and quantified the association between plausibility of infection and mortality. We studied a cohort of critically ill patients admitted with clinically suspected sepsis to two tertiary ICUs in the Netherlands between January 2011 and December 2013. The likelihood of infection was categorized as none, possible, probable or definite by post-hoc assessment. We used multivariable competing risks survival analyses to determine the association of the plausibility of infection with mortality. Among 2579 patients treated for sepsis, 13% had a post-hoc infection likelihood of "none", and an additional 30% of only "possible". These percentages were largely similar for different suspected sites of infection. In crude analyses, the likelihood of infection was associated with increased length of stay and complications. In multivariable analysis, patients with an unlikely infection had a higher mortality rate compared to patients with a definite infection (subdistribution hazard ratio 1.23; 95% confidence interval 1.03-1.49). This study is the first prospective analysis to show that the clinical diagnosis of sepsis upon ICU admission corresponds poorly with the presence of infection on post-hoc assessment. A higher likelihood of infection does not adversely influence outcome in this population. ClinicalTrials.gov NCT01905033. Registered 11 July 2013.</t>
  </si>
  <si>
    <t>Apixaban versus Antiplatelet drugs or no antithrombotic drugs after anticoagulation-associated intraCerebral HaEmorrhage in patients with Atrial Fibrillation (APACHE-AF): study protocol for a randomised controlled trial.</t>
  </si>
  <si>
    <t>van Nieuwenhuizen, Koen M; van der Worp, H Bart; Algra, Ale; Kappelle, L Jaap; Rinkel, Gabriel J E; van Gelder, Isabelle C; Schutgens, Roger E G; Klijn, Catharina J M; ,</t>
  </si>
  <si>
    <t>https://pubmed.ncbi.nlm.nih.gov/26340977</t>
  </si>
  <si>
    <t>There is a marked lack of evidence on the optimal prevention of ischaemic stroke and other thromboembolic events in patients with non-valvular atrial fibrillation and a recent intracerebral haemorrhage during treatment with oral anticoagulation. These patients are currently treated with oral anticoagulants, antiplatelet drugs, or no antithrombotic treatment, depending on personal and institutional preferences. Compared with warfarin, the direct oral anticoagulant apixaban reduces the risk of stroke or systemic embolism, intracranial haemorrhage, and case fatality in patients with atrial fibrillation. Compared with aspirin, apixaban reduces the risk of stroke or systemic embolism in patients with atrial fibrillation, and has a similar risk of intracerebral haemorrhage. Novel oral anticoagulants have not been evaluated in patients with atrial fibrillation and a recent intracerebral haemorrhage. To inform a phase III trial, the phase II Apixaban versus Antiplatelet drugs or no antithrombotic drugs after anticoagulation-associated intraCerebral HaEmorrhage in patients with Atrial Fibrillation (APACHE-AF) trial aims to obtain estimates of the rates of vascular death or non-fatal stroke in patients with atrial fibrillation and a recent anticoagulation-associated intracerebral haemorrhage treated with apixaban and in those in whom oral anticoagulation is avoided. APACHE-AF is a phase II, multicentre, open-label, parallel-group, randomised clinical trial with masked outcome assessment. One hundred adults with a history of atrial fibrillation and a recent intracerebral haemorrhage during treatment with anticoagulation in whom clinical equipoise exists on the optimal stroke prevention strategy will be enrolled in 14 hospitals in The Netherlands. These patients will be randomly assigned in a 1:1 ratio to either apixaban or to avoiding oral anticoagulation. Patients in the control group may be treated with antiplatelet drugs at the discretion of the treating physician. The primary outcome is the composite of vascular death or non-fatal stroke during follow-up. We aim to include 100 patients in 2.5 years. All patients will be followed-up for the duration of the study, but at least for 1 year. Recruitment commenced in September 2014 and is ongoing. This trial is funded by the Dutch Heart Foundation (2012 T077) and ZonMW (015008048). NTR4526 (16 April 2014).</t>
  </si>
  <si>
    <t>Relation between reperfusion and hemorrhagic transformation in acute ischemic stroke.</t>
  </si>
  <si>
    <t>Horsch, Alexander D; Dankbaar, Jan Willem; van der Graaf, Yolanda; Niesten, Joris M; van Seeters, Tom; van der Schaaf, Irene C; Kappelle, L Jaap; Velthuis, Birgitta K; ,</t>
  </si>
  <si>
    <t>https://pubmed.ncbi.nlm.nih.gov/26337766</t>
  </si>
  <si>
    <t>Intravenous recombinant tissue plasminogen activator (IV-rtPA) is given in acute ischemic stroke patients to achieve reperfusion. Hemorrhagic transformation (HT) is a serious complication of IV-rtPA treatment and related to blood-brain barrier (BBB) injury. It is unclear whether HT occurs secondary to reperfusion in combination with ischemic BBB injury or is caused by the negative effect of IV-rtPA on BBB integrity. The aim of this study was to establish the association between reperfusion and the occurrence of HT. From the DUST study, patients were selected with admission and follow-up non-contrast CT (NCCT) and CT perfusion (CTP) imaging, and a perfusion deficit in the middle cerebral artery territory on admission. Reperfusion was categorized qualitatively as reperfusion or no-reperfusion by visual comparison of admission and follow-up CTP. Occurrence of HT was assessed on follow-up NCCT. The association between reperfusion and occurrence of HT on follow-up was estimated by calculating odds ratios (ORs) and 95 % confidence intervals (CIs) with additional stratification for IV-rtPA treatment. Inclusion criteria were met in 299 patients. There was no significant association between reperfusion and HT (OR 1.2 95%CI 0.5-3.1). In patients treated with IV-rtPA (n = 203), the OR was 1.3 (95%CI 0.4-4.0), and in patients not treated with IV-rtPA (n = 96), the OR was 0.8 (95%CI 0.1-4.5). HT occurred in 14 % of the IV-rtPA patients and in 7 % of patients without IV-rtPA (95%CI of difference -1 to 14 %). Our results suggest that the increased risk of HT after acute ischemic stroke treatment is not dependent on the reperfusion status.</t>
  </si>
  <si>
    <t>Participant selection for preventive Regenerative Medicine trials: ethical challenges of selecting individuals at risk.</t>
  </si>
  <si>
    <t>Niemansburg, Sophie L; Habets, Michelle G J L; Dhert, Wouter J A; van Delden, Johannes J M; Bredenoord, Annelien L</t>
  </si>
  <si>
    <t>https://pubmed.ncbi.nlm.nih.gov/26340912</t>
  </si>
  <si>
    <t>The innovative field of Regenerative Medicine (RM) is expected to extend the possibilities of prevention or early treatment in healthcare. Increasingly, clinical trials will be developed for people at risk of disease to investigate these RM interventions. These individuals at risk are characterised by their susceptibility for developing clinically manifest disease in future due to the existence of degenerative abnormalities. So far, there has been little debate about the ethical appropriateness of including such individuals at risk in clinical trials. We discuss three main challenges of selecting this participant model for testing RM interventions: the challenge of achieving a proportional risk-benefit balance; complexities in the trial design in terms of follow-up and sample size; and the difficulty of obtaining informed consent due to the many uncertainties. We conclude that selecting the model is not ethically justifiable for first-in-man trials with RM interventions due to the high risks and uncertainties. However, the model can be ethically appropriate for testing the efficacy of RM interventions under the following conditions: interventions should be low risk; the degenerative abnormalities (and other risk factors) should be strongly related with disease within a short time frame; robust preclinical evidence of efficacy needs to be present; and the informed consent procedure should contain extra safeguards with regard to communication on uncertainties.</t>
  </si>
  <si>
    <t>The impact of chronic fatigue syndrome on cognitive functioning in adolescents.</t>
  </si>
  <si>
    <t>Nijhof, Linde N; Nijhof, Sanne L; Bleijenberg, Gijs; Stellato, Rebecca K; Kimpen, Jan L L; Hulshoff Pol, Hilleke E; van de Putte, Elise M</t>
  </si>
  <si>
    <t>https://pubmed.ncbi.nlm.nih.gov/26334394</t>
  </si>
  <si>
    <t>Chronic fatigue syndrome (CFS) is characterized by persistent fatigue and severe disability. Most adolescent patients report attention and concentration problems, with subsequent poor performance at school. This study investigated the impact of CFS on intellectual capacity by (1) assessing discrepancies between current intelligence quotient (IQ) and school level and (2) exploring differences in current IQ and pre-CFS school performance, compared with healthy individuals. Current data was cross-sectionally gathered and compared with retrospective pre-CFS school performance data. Fifty-nine CFS adolescents and 40 controls were evaluated on performance on age-appropriate intelligence tests and school level. Current IQ scores of CFS adolescents were lower than expected on the basis of their school level. Furthermore, there was a difference in intelligence performance across time when current IQ scores were compared with pre-CFS cognitive achievement. Healthy controls did not show any discrepancies. According to their pre-CFS intelligence assessments, CFS patients started with appropriate secondary school levels at the age of 12. Our data suggest that CFS may be accompanied by a decline in general cognitive functioning. Given the critical age for intellectual development, we recommend a timely diagnosis followed by appropriate treatment of CFS in adolescents. Adolescent chronic fatigue syndrome (CFS) is a debilitating condition with major impact on social and intellectual development. Most patients report concentration problems, with subsequent poor performance at school. Little is known about the influence of CFS on intellectual performances. IQ scores of CFS adolescents are lower than the IQ scores of healthy peers with an equivalent school level. There is a decrease in intelligence performance across time when current IQ scores are compared with pre-CFS cognitive achievement. Healthy controls do not show any discrepancies between their current IQ, school level and previous cognitive functioning. This suggest that adolescent CFS may be accompanied by a decline in general cognitive functioning.</t>
  </si>
  <si>
    <t>Preferences for Vaccination: Does Health Literacy Make a Difference?</t>
  </si>
  <si>
    <t>Veldwijk, Jorien; van der Heide, Iris; Rademakers, Jany; Schuit, A Jantine; de Wit, G Ardine; Uiters, Ellen; Lambooij, Mattijs S</t>
  </si>
  <si>
    <t>https://pubmed.ncbi.nlm.nih.gov/26338176</t>
  </si>
  <si>
    <t>The purpose of this study is to examine to what extent health literacy is associated with parental preferences concerning childhood vaccination. A cross-sectional study was conducted among 467 Dutch parents of newborns aged 6 weeks (response rate of 37%). A self-reported questionnaire was used to measure health literacy by means of Chew's Set of Brief Screening Questions, as well as parental preferences for rotavirus vaccination by means of a discrete choice experiment. Five rotavirus-related characteristics were included (i.e., vaccine effectiveness, frequency of severe side effects, location of vaccination, protection duration, and out-of-pocket costs). Panel latent class models were conducted, and health literacy and educational level were added to the class probability model to determine the association between health literacy and study outcomes. Lower educated and lower health literate respondents considered protection duration to be more important and vaccine effectiveness and frequency of severe side effects to be less important compared with higher educated and higher health literate respondents. While all respondents were willing to vaccinate against rotavirus when the vaccine was offered as part of the National Immunization Program, only lower educated and lower health literate parents were willing to vaccinate when the vaccine was offered on the free market. Health literacy is associated with parents' preferences for rotavirus vaccination. Whether differences in vaccination decisions are actually due to varying preferences or might be better explained by varying levels of understanding should be further investigated. To contribute to more accurate interpretation of study results, it may be advisable that researchers measure and report health literacy when they study vaccination decision behavior.</t>
  </si>
  <si>
    <t>Search for metastable heavy charged particles with large ionisation energy loss in &lt;i&gt;pp&lt;/i&gt; collisions at [Formula: see text] TeV using the ATLAS experiment.</t>
  </si>
  <si>
    <t>https://pubmed.ncbi.nlm.nih.gov/26543401</t>
  </si>
  <si>
    <t>Many extensions of the Standard Model predict the existence of charged heavy long-lived particles, such as &lt;i&gt;R&lt;/i&gt;-hadrons or charginos. These particles, if produced at the Large Hadron Collider, should be moving non-relativistically and are therefore identifiable through the measurement of an anomalously large specific energy loss in the ATLAS pixel detector. Measuring heavy long-lived particles through their track parameters in the vicinity of the interaction vertex provides sensitivity to metastable particles with lifetimes from 0.6 ns to 30 ns. A search for such particles with the ATLAS detector at the Large Hadron Collider is presented, based on a data sample corresponding to an integrated luminosity of [Formula: see text] fb[Formula: see text] of &lt;i&gt;pp&lt;/i&gt; collisions at [Formula: see text] TeV. No significant deviation from the Standard Model background expectation is observed, and lifetime-dependent upper limits on &lt;i&gt;R&lt;/i&gt;-hadrons and chargino production are set. Gluino &lt;i&gt;R&lt;/i&gt;-hadrons with 10 ns lifetime and masses up to 1185 GeV are excluded at 95 [Formula: see text] confidence level, and so are charginos with 15 ns lifetime and masses up to 482 GeV.</t>
  </si>
  <si>
    <t>Efficacy and Safety Assessment of the Addition of Bevacizumab to Adjuvant Therapy Agents in Cancer Patients: A Systematic Review and Meta-Analysis of Randomized Controlled Trials.</t>
  </si>
  <si>
    <t>Ahmadizar, Fariba; Onland-Moret, N Charlotte; de Boer, Anthonius; Liu, Geoffrey; Maitland-van der Zee, Anke H</t>
  </si>
  <si>
    <t>https://pubmed.ncbi.nlm.nih.gov/26331473</t>
  </si>
  <si>
    <t>To evaluate the efficacy and safety of bevacizumab in the adjuvant cancer therapy setting within different subset of patients. PubMed, EMBASE, Cochrane and Clinical trials.gov databases were searched for English language studies of randomized controlled trials comparing bevacizumab and adjuvant therapy with adjuvant therapy alone published from January 1966 to 7th of May 2014. Progression free survival, overall survival, overall response rate, safety and quality of life were analyzed using random- or fixed-effects models according to the PRISMA guidelines. We obtained data from 44 randomized controlled trials (30,828 patients). Combining bevacizumab with different adjuvant therapies resulted in significant improvement of progression free survival (log hazard ratio, 0.87; 95% confidence interval (CI), 0.84-0.89), overall survival (log hazard ratio, 0.96; 95% CI, 0.94-0.98) and overall response rate (relative risk, 1.46; 95% CI: 1.33-1.59) compared to adjuvant therapy alone in all studied tumor types. In subgroup analyses, there were no interactions of bevacizumab with baseline characteristics on progression free survival and overall survival, while overall response rate was influenced by tumor type and bevacizumab dose (p-value: 0.02). Although bevacizumab use resulted in additional expected adverse drug reactions except anemia and fatigue, it was not associated with a significant decline in quality of life. There was a trend towards a higher risk of several side effects in patients treated by high-dose bevacizumab compared to the low-dose e.g. all grade proteinuria (9.24; 95% CI: 6.60-12.94 vs. 2.64; 95% CI: 1.29-5.40). Combining bevacizumab with different adjuvant therapies provides a survival benefit across all major subsets of patients, including by tumor type, type of adjuvant therapy, and duration and dose of bevacizumab therapy. Though bevacizumab was associated with increased risks of some adverse drug reactions such as hypertension and bleeding, anemia and fatigue were improved by the addition of bevacizumab.</t>
  </si>
  <si>
    <t>Effect of weight loss, with or without exercise, on body composition and sex hormones in postmenopausal women: the SHAPE-2 trial.</t>
  </si>
  <si>
    <t>van Gemert, Willemijn A M; Schuit, Albertine J; van der Palen, Job; May, Anne M; Iestra, Jolein A; Wittink, Harriet; Peeters, Petra H; Monninkhof, Evelyn M</t>
  </si>
  <si>
    <t>https://pubmed.ncbi.nlm.nih.gov/26330303</t>
  </si>
  <si>
    <t>Physical inactivity and overweight are risk factors for postmenopausal breast cancer. The effect of physical activity may be partially mediated by concordant weight loss. We studied the effect on serum sex hormones, which are known to be associated with postmenopausal breast cancer risk, that is attributable to exercise by comparing randomly obtained equivalent weight loss by following a hypocaloric diet only or mainly by exercise. Overweight, insufficiently active women were randomised to a diet (N = 97), mainly exercise (N = 98) or control group (N = 48). The goal of both interventions was to achieve 5-6 kg of weight loss by following a calorie-restricted diet or an intensive exercise programme combined with only a small caloric restriction. Primary outcomes after 16 weeks were serum sex hormones and sex hormone-binding globulin (SHBG). Body fat and lean mass were measured by dual-energy X-ray absorptiometry. Both the diet (-4.9 kg) and mainly exercise (-5.5 kg) groups achieved the target weight loss. Loss of body fat was significantly greater with exercise versus diet (difference -1.4 kg, P &lt; 0.001). In the mainly exercise arm, the reduction in free testosterone was statistically significantly greater than that of the diet arm (treatment effect ratio [TER] 0.92, P = 0.043), and the results were suggestive of a difference for androstenedione (TER 0.90, P = 0.064) and SHBG (TER 1.05, P = 0.070). Compared with the control arm, beneficial effects were seen with both interventions, diet and mainly exercise, respectively, on oestradiol (TER 0.86, P = 0.025; TER 0.83, P = 0.007), free oestradiol (TER 0.80, P = 0.002; TER 0.77, P &lt; 0.001), SHBG (TER 1.14; TER 1.21, both P &lt; 0.001) and free testosterone (TER 0.91, P = 0.069; TER = 0.84, P = 0.001). After adjustment for changes in body fat, intervention effects attenuated or disappeared. Weight loss with both interventions resulted in favourable effects on serum sex hormones, which have been shown to be associated with a decrease in postmenopausal breast cancer risk. Weight loss induced mainly by exercise additionally resulted in maintenance of lean mass, greater fitness, greater fat loss and a larger effect on (some) sex hormones. The greater fat loss likely explains the observed larger effects on sex hormones. ClinicalTrials.gov identifier: NCT01511276 . Registered on 12 January 2012.</t>
  </si>
  <si>
    <t>New Guideline for the Reporting of Studies Developing, Validating, or Updating a Multivariable Clinical Prediction Model: The TRIPOD Statement.</t>
  </si>
  <si>
    <t>Moons, Karel G M; Altman, Douglas G; Reitsma, Johannes B; Collins, Gary S; ,</t>
  </si>
  <si>
    <t>advances in anatomic pathology</t>
  </si>
  <si>
    <t>https://pubmed.ncbi.nlm.nih.gov/26262512</t>
  </si>
  <si>
    <t>Prediction models are developed to aid health care providers in estimating the probability that a specific outcome or disease is present (diagnostic prediction models) or will occur in the future (prognostic prediction models), to inform their decision making. Prognostic models here also include models to predict treatment outcomes or responses; in the cancer literature often referred to as predictive models. Clinical prediction models have become abundant. Pathology measurement or results are frequently included as predictors in such prediction models, certainly in the cancer domain. Only when full information on all aspects of a prediction modeling study are clearly reported, risk of bias and potential usefulness of the prediction model can be adequately assessed. Many reviews have illustrated that the quality of reports on the development, validation, and/or adjusting (updating) of prediction models, is very poor. Hence, the Transparent Reporting of a multivariable prediction model for Individual Prognosis Or Diagnosis (TRIPOD) initiative has developed a comprehensive and user-friendly checklist for the reporting of studies on, both diagnostic and prognostic, prediction models. The TRIPOD Statement intends to improve the transparency and completeness of reporting of studies that report solely on development, both development and validation, and solely on the validation (with or without updating) of diagnostic or prognostic, including predictive, models.</t>
  </si>
  <si>
    <t>Risks of stenting in patients with extracranial and intracranial vertebral artery stenosis.</t>
  </si>
  <si>
    <t>Compter, Annette; van der Worp, H Bart; Algra, Ale; Kappelle, L Jaap; ,</t>
  </si>
  <si>
    <t>https://pubmed.ncbi.nlm.nih.gov/26293559</t>
  </si>
  <si>
    <t>HIV, Antiretroviral Therapy, and Hypertensive Disorders in Pregnancy: A Systematic Review and Meta-analysis.</t>
  </si>
  <si>
    <t>Browne, Joyce L; Schrier, Verena J M M; Grobbee, Diederick E; Peters, Sanne A E; Klipstein-Grobusch, Kerstin</t>
  </si>
  <si>
    <t>https://pubmed.ncbi.nlm.nih.gov/26322669</t>
  </si>
  <si>
    <t>There are data to suggest that infection with HIV or use of highly active antiretroviral therapy increases the risk of hypertensive disorders in pregnancy. This systematic review and meta-analysis aims to provide an overview of the research hitherto. A systematic review of EMBASE, PubMed, and The Cochrane Library databases was conducted to obtain articles about the association between HIV in pregnancy and/or HIV therapy and the risk of developing pregnancy-induced hypertension (PIH), pre-eclampsia, eclampsia, or Hemolysis Elevated Liver enzymes Low Platelet count syndrome. Quality of articles was evaluated with an adapted Cochrane Collaboration bias assessment tool. Relative risks (RRs) were pooled with a random-effects meta-analysis weighted by the inverse of their variance. Of the 2136 articles screened, 28 studies were eligible for inclusion; 15 studies reported on the association with PIH, 16 on pre-eclampsia, 5 on eclampsia, and 3 articles on HIV therapy regimens. All articles had a high risk of bias, and between-study heterogeneity was considerable. Based on the meta-analysis, there does not seem to be an association between HIV and PIH [RR 1.26, 95% confidence interval (CI): 0.87 to 1.83, I = 78.6%], pre-eclampsia (RR 1.01, 95% CI: 0.87 to 1.18, I = 63.9%), or eclampsia (RR 1.61, 95% CI: 0.14 to 18.68, I = 97.0%). A meta-analysis of the association with HIV therapy and risk of hypertensive disorders in pregnancy could not be performed. This meta-analysis shows no significant association between HIV positivity and PIH, pre-eclampsia, or eclampsia. However, the high risk of bias within most studies limits the strength of conclusions and well-designed studies are necessary to confirm or refute these findings.</t>
  </si>
  <si>
    <t>Health Policy, Health Systems Research and Analysis Capacity Assessment of the School of Public Health, University of Ghana.</t>
  </si>
  <si>
    <t>Agyepong, I A; Anniah, K; Aikins, M; Akweongo, P; Esena, R; Mirzoev, T</t>
  </si>
  <si>
    <t>https://pubmed.ncbi.nlm.nih.gov/26693197</t>
  </si>
  <si>
    <t>Health Policy and Systems Research and Analysis (HPSR&amp;A) is an applied science that deals with complexity as it tries to provide lessons, tools and methods to understand and improve health systems and health policy. It is defined by the kinds of questions asked rather than a particular methodology. Our objective was to assess capacity and capacity strengthening needs for HPSR&amp;A conduct and teaching in the University of Ghana School of Public Health (UG-SPH). We conceptualized dynamically inter-related levels of capacity as contextual, institutional and individual. The study had a cross sectional, mixed methods design. Data collection involved desk review, ,an in-depth interview, focus group discussions (FGD) and an interviewer administered questionnaire with closed and open ended items. Netmap was used as a tool in the FGD. At all levels, HPSR&amp;A capacity exists in Ghana but is somewhat fragile. The fragility reflects in part contextual challenges related to national income and priorities as well as the fact that globally HPSR&amp;A remains an emerging field. At the contextual level, Institutions involved in some way or other in HPSR&amp;A were part of larger organizations with broader mandates. Only a handful of SPH staff indicated that they specifically do teaching and /or research related to HPSR&amp;A. There is a need to raise awareness of the field of HPSR&amp;A and its potential contributions to health sector development; build upon already existing contextual, institutional and individual capacity; and also attract and develop the next generation of researchers and teachers.</t>
  </si>
  <si>
    <t>Reporting Quality of Systematic Reviews and Meta-Analyses of Otorhinolaryngologic Articles Based on the PRISMA Statement.</t>
  </si>
  <si>
    <t>Peters, Jeroen P M; Hooft, Lotty; Grolman, Wilko; Stegeman, Inge</t>
  </si>
  <si>
    <t>https://pubmed.ncbi.nlm.nih.gov/26317406</t>
  </si>
  <si>
    <t>Systematic reviews (SRs) and meta-analyses (MAs) provide the highest possible level of evidence. However, poor conduct or reporting of SRs and MAs may reduce their utility. The PRISMA Statement (Preferred Reporting Items for Systematic reviews and Meta-Analyses) was developed to help authors report their SRs and MAs adequately. Our objectives were to (1) evaluate the quality of reporting of SRs and MAs and their abstracts in otorhinolaryngologic literature using the PRISMA and PRISMA for Abstracts checklists, respectively, (2) compare the quality of reporting of SRs and MAs published in Ear Nose Throat (ENT) journals to the quality of SRs and MAs published in the 'gold standard' Cochrane Database of Systematic Reviews (CDSR), and (3) formulate recommendations to improve reporting of SRs and MAs in ENT journals. On September 3, 2014, we searched the Pubmed database using a combination of filters to retrieve SRs and MAs on otorhinolaryngologic topics published in 2012 and 2013 in the top 5 ENT journals (ISI Web of Knowledge 2013) or CDSR and relevant articles were selected. We assessed how many, and which, PRISMA (for Abstracts) items were reported adequately per journal type. We identified large differences in the reporting of individual items between the two journal types with room for improvement. In general, SRs and MAs published in ENT journals (n = 31) reported a median of 54.4% of the PRISMA items adequately, whereas the 49 articles published in the CDSR reported a median of 100.0 adequately (difference statistically significant, p &lt; 0.001). For abstracts, medians of 41.7% for ENT journals and 75.0% for the CDSR were found (p &lt; 0.001). The reporting of SRs and MAs in ENT journals leaves room for improvement and would benefit if the PRISMA Statement were endorsed by these journals.</t>
  </si>
  <si>
    <t>The association of substituting carbohydrates with total fat and different types of fatty acids with mortality and weight change among diabetes patients.</t>
  </si>
  <si>
    <t>Campmans-Kuijpers, Marjo J; Sluijs, Ivonne; Nöthlings, Ute; Freisling, Heinz; Overvad, Kim; Boeing, Heiner; Masala, Giovanna; Panico, Salvatore; Tumino, Rosario; Sieri, Sabina; Johansson, Ingegerd; Winkvist, Anna; Katzke, Verena A; Kuehn, Tilman; Nilsson, Peter M; Halkjær, Jytte; Tjønneland, Anne; Spijkerman, Annemieke M; Arriola, Larraitz; Sacerdote, Carlotta; Barricarte, Aurelio; May, Anne M; Beulens, Joline W</t>
  </si>
  <si>
    <t>https://pubmed.ncbi.nlm.nih.gov/26342536</t>
  </si>
  <si>
    <t>Substitution of carbohydrates with fat in a diet for type 2 diabetes patients is still debated. This study aimed to investigate the association between dietary carbohydrate intake and isocaloric substitution with (i) total fat, (ii) saturated fatty acids (SFA), (iii) mono-unsaturated fatty acids (MUFA) and (iv) poly-unsaturated fatty acids (PUFA) with all-cause and cardiovascular (CVD) mortality risk and 5-year weight change in patients with type 2 diabetes. The study included 6192 patients with type 2 diabetes from 15 cohorts of the European Prospective Investigation into Cancer and Nutrition (EPIC). Dietary intake was assessed at recruitment with country-specific food-frequency questionnaires. Cox and linear regression were used to estimate the associations with (CVD) mortality and weight change, adjusting for confounders and using different methods to adjust for energy intake. After a mean follow-up of 9.2 y ± SD 2.3 y, 791 (13%) participants had died, of which 268 (4%) due to CVD. Substituting 10 g or 5 energy% of carbohydrates by total fat was associated with a higher all-cause mortality risk (HR 1.07 [1.02-1.13]), or SFAs (HR 1.25 [1.11-1.40]) and a lower risk when replaced by MUFAs (HR 0.89 [0.77-1.02]). When carbohydrates were substituted with SFAs (HR 1.22 [1.00-1.49]) or PUFAs (HR 1.29 [1.02-1.63]) CVD mortality risk increased. The 5-year weight was lower when carbohydrates were substituted with total fat or MUFAs. These results were consistent over different energy adjustment methods. In diabetes patients, substitution of carbohydrates with SFAs was associated with a higher (CVD) mortality risk and substitution by total fat was associated with a higher all-cause mortality risk. Substitution of carbohydrates with MUFAs may be associated with lower mortality risk and weight reduction. Instead of promoting replacement of carbohydrates by total fat, dietary guideline should continue focusing on replacement by fat-subtypes; especially SFAs by MUFAs.</t>
  </si>
  <si>
    <t>The path dependence of district manager decision-space in Ghana.</t>
  </si>
  <si>
    <t>Kwamie, Aku; van Dijk, Han; Ansah, Evelyn K; Agyepong, Irene Akua</t>
  </si>
  <si>
    <t>https://pubmed.ncbi.nlm.nih.gov/26318537</t>
  </si>
  <si>
    <t>The district health system in Ghana today is characterized by high resource-uncertainty and narrow decision-space. This article builds a theory-driven historical case study to describe the influence of path-dependent administrative, fiscal and political decentralization processes on development of the district health system and district manager decision-space. Methods included a non-exhaustive literature review of democratic governance in Ghana, and key informant interviews with high-level health system officials integral to the development of the district health system. Through our analysis we identified four periods of district health system progression: (1) development of the district health system (1970-85); (2) Strengthening District Health Systems Initiative (1986-93); (3) health sector reform planning and creation of the Ghana Health Service (1994-96) and (4) health sector reform implementation (1997-2007). It was observed that district manager decision-space steadily widened during periods (1) and (2), due to increases in managerial profile, and concerted efforts at managerial capacity strengthening. Periods (3) and (4) saw initial augmentation of district health system financing, further widening managerial decision-space. However, the latter half of period 4 witnessed district manager decision-space contraction. Formalization of Ghana Health Service structures influenced by self-reinforcing tendencies towards centralized decision-making, national and donor shifts in health sector financing, and changes in key policy actors all worked to the detriment of the district health system, reversing early gains from bottom-up development of the district health system. Policy feedback mechanisms have been influenced by historical and contemporary sequencing of local government and health sector decentralization. An initial act of administrative decentralization, followed by incomplete political and fiscal decentralization has ensured that the balance of power has remained at national level, with strong vertical accountabilities and dependence of the district on national level. This study demonstrates that the rhetoric of decentralization does not always mirror actual implementation, nor always result in empowered local actors.</t>
  </si>
  <si>
    <t>Accuracy of administrative data for surveillance of healthcare-associated infections: a systematic review.</t>
  </si>
  <si>
    <t>van Mourik, Maaike S M; van Duijn, Pleun Joppe; Moons, Karel G M; Bonten, Marc J M; Lee, Grace M</t>
  </si>
  <si>
    <t>https://pubmed.ncbi.nlm.nih.gov/26316651</t>
  </si>
  <si>
    <t>Measuring the incidence of healthcare-associated infections (HAI) is of increasing importance in current healthcare delivery systems. Administrative data algorithms, including (combinations of) diagnosis codes, are commonly used to determine the occurrence of HAI, either to support within-hospital surveillance programmes or as free-standing quality indicators. We conducted a systematic review evaluating the diagnostic accuracy of administrative data for the detection of HAI. Systematic search of Medline, Embase, CINAHL and Cochrane for relevant studies (1995-2013). Methodological quality assessment was performed using QUADAS-2 criteria; diagnostic accuracy estimates were stratified by HAI type and key study characteristics. 57 studies were included, the majority aiming to detect surgical site or bloodstream infections. Study designs were very diverse regarding the specification of their administrative data algorithm (code selections, follow-up) and definitions of HAI presence. One-third of studies had important methodological limitations including differential or incomplete HAI ascertainment or lack of blinding of assessors. Observed sensitivity and positive predictive values of administrative data algorithms for HAI detection were very heterogeneous and generally modest at best, both for within-hospital algorithms and for formal quality indicators; accuracy was particularly poor for the identification of device-associated HAI such as central line associated bloodstream infections. The large heterogeneity in study designs across the included studies precluded formal calculation of summary diagnostic accuracy estimates in most instances. Administrative data had limited and highly variable accuracy for the detection of HAI, and their judicious use for internal surveillance efforts and external quality assessment is recommended. If hospitals and policymakers choose to rely on administrative data for HAI surveillance, continued improvements to existing algorithms and their robust validation are imperative.</t>
  </si>
  <si>
    <t>Does disease activity add to functional disability in estimation of utility for rheumatoid arthritis patients on biologic treatment?</t>
  </si>
  <si>
    <t>Nair, Sandhya C; Welsing, Paco M J; Marijnissen, Anne Karien C A; Sijtsma, Paulina; Bijlsma, Johannes W J; van Laar, Jacob M; Lafeber, Floris P J G; de Wit, G Ardine</t>
  </si>
  <si>
    <t>https://pubmed.ncbi.nlm.nih.gov/26316579</t>
  </si>
  <si>
    <t>Treatment in general is mostly directly aimed at disease activity, and measures such as the DAS28 might therefore present important additional information. Our aim was to develop and validate a model that uses a combination of disease activity (DAS28) and HAQs to estimate EuroQoL 5-dimension scale (EQ5D) utilities. Longitudinal data from a cohort study in RA patients from the Utrecht Rheumatoid Arthritis Cohort study Group (Stichting Reumaonderzoek Utrecht) who started treatment with a biologic drug were used for mapping and validation. All 702 observations, including DAS28, HAQ and EQ5D assessed at the same time points, were used. The observations were randomly divided into a subset for development of the model (n = 428 observations) and a subset for validation (n = 274). A stepwise multivariable regression analysis was used to test the association of DAS28 (components) and HAQ (domains) with EQ5D. Model performance was assessed using the explained variance (R(2)) and root mean square errors. Observed and predicted utility scores were compared to check for under- or overestimation of the scores. Finally, the performance of the model was compared with published mapping models. Lower DAS28 score and HAQ items dressing and grooming, arising, eating, walking and activities were associated with higher EQ5D scores. The final model had an explained variance of 0.35 and a lower root mean square error as compared with other models tested. The agreement between predicted and observed scores was fair. HAQ components estimate EQ5D better than total HAQ. Adding DAS28 to HAQ components does not result in better utility estimations.</t>
  </si>
  <si>
    <t>Phylogenetic lineages, clones and β-lactamases in an international collection of Klebsiella oxytoca isolates non-susceptible to expanded-spectrum cephalosporins.</t>
  </si>
  <si>
    <t>Izdebski, R; Fiett, J; Urbanowicz, P; Baraniak, A; Derde, L P G; Bonten, M J M; Carmeli, Y; Goossens, H; Hryniewicz, W; Brun-Buisson, C; Brisse, S; Gniadkowski, M; ,; ,</t>
  </si>
  <si>
    <t>https://pubmed.ncbi.nlm.nih.gov/26318191</t>
  </si>
  <si>
    <t>The objective of this study was to examine Klebsiella oxytoca clonal and phylogenetic diversity, based on an international collection of carriage isolates non-susceptible to expanded-spectrum cephalosporins (ESCs). The study material comprised 68 rectal carriage K. oxytoca isolates non-susceptible to ESCs recovered in 2008-11 from patients in 14 hospitals across Europe and Israel. ESC resistance was tested phenotypically; genes encoding ESBLs, AmpC cephalosporinases and carbapenemases were amplified and sequenced. The isolates were typed by PFGE and MLST, followed by sequencing of blaOXY genes. MLST and PFGE distinguished 34 STs and 47 pulsotypes among the isolates, respectively. Six STs were split into several pulsotypes each. Five STs were more prevalent (n = 2-9) and occurred in several countries each, including ST2, ST9 and ST141, which belong to a growing international clonal complex (CC), CC2. Four phylogenetic lineages were distinguished, each with another type of chromosomal OXY-type β-lactamase. Three of these, with OXY-1/-5, OXY-2 types and OXY-4, corresponded to previously described phylogroups KoI, KoII and KoIV, respectively. A single isolate from Israel represented a distinct lineage with a newly defined OXY-7 type. The phylogroups showed interesting differences in mechanisms of ESC resistance; KoI strains rarely overexpressed the OXY enzymes but commonly produced ESBLs, whereas KoII strains often were OXY hyperproducers and carried ESBLs much less frequently. AmpCs (DHA-1) and carbapenemases (VIM-1) occurred sporadically. The study confirmed the high genetic diversity of the collection of K. oxytoca ESC-non-susceptible isolates, composed of phylogroups with distinct types of OXY-type β-lactamases, and revealed some STs of broad geographical distribution.</t>
  </si>
  <si>
    <t>Measurements of the Total and Differential Higgs Boson Production Cross Sections Combining the H→γγ and H→ZZ^{*}→4ℓ Decay Channels at sqrt[s]=8  TeV with the ATLAS Detector.</t>
  </si>
  <si>
    <t xml:space="preserve">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Amako, K; Amaral Coutinho, Y; Amelung, C; Amidei, D; Amor Dos Santos, S P; Amorim, A; Amoroso, S; Amram, N; Amundsen, G; Anastopoulos, C; Ancu, L S; Andari, N; Andeen, T; Anders, C F; Anders, G; Anderson, K J; Andreazza, A; Andrei, V; Angelidakis, S; Angelozzi, I; Anger, P; Angerami, A; Anghinolfi, </t>
  </si>
  <si>
    <t>https://pubmed.ncbi.nlm.nih.gov/26371640</t>
  </si>
  <si>
    <t>Measurements of the total and differential cross sections of Higgs boson production are performed using 20.3  fb^{-1} of pp collisions produced by the Large Hadron Collider at a center-of-mass energy of sqrt[s]=8  TeV and recorded by the ATLAS detector. Cross sections are obtained from measured H→γγ and H→ZZ^{*}→4ℓ event yields, which are combined accounting for detector efficiencies, fiducial acceptances, and branching fractions. Differential cross sections are reported as a function of Higgs boson transverse momentum, Higgs boson rapidity, number of jets in the event, and transverse momentum of the leading jet. The total production cross section is determined to be σ_{pp→H}=33.0±5.3 (stat)±1.6 (syst)  pb. The measurements are compared to state-of-the-art predictions.</t>
  </si>
  <si>
    <t>Maintenance tocolysis with nifedipine in threatened preterm labour: 2-year follow up of the offspring in the APOSTEL II trial.</t>
  </si>
  <si>
    <t>van Vliet, Eog; Seinen, L; Roos, C; Schuit, E; Scheepers, Hcj; Bloemenkamp, Kwm; Duvekot, J J; van Eyck, J; Kok, J H; Lotgering, F K; van Baar, A; van Wassenaer-Leemhuis, A G; Franssen, M T; Porath, M M; van der Post, Jam; Franx, A; Mol, Bwj; Oudijk, M A</t>
  </si>
  <si>
    <t>https://pubmed.ncbi.nlm.nih.gov/26330379</t>
  </si>
  <si>
    <t>To evaluate long-term effects of maintenance tocolysis with nifedipine on neurodevelopmental outcome of the infant. Follow up of infants of women who participated in a multicentre randomised controlled trial on maintenance tocolysis with nifedipine versus placebo. Two years after the APOSTEL II trial on maintenance tocolysis with nifedipine versus placebo, we asked participants to complete the Ages and Stages Questionnaire. Infant development was measured in five domains. Developmental delay was defined as a score of ≤1 SD in one or more developmental domains. We performed exploratory subgroup analysis in women with preterm prolonged rupture of the membranes, and in women with a cervical length &lt;10 mm at study entry. Of the 276 women eligible for follow up, 135 (52.5%) returned the questionnaire, encompassing data of 170 infants. At 2 years of age, infants of women with nifedipine maintenance tocolysis compared with placebo had a higher overall incidence of fine motor problems (22.2 versus 7.6%, OR 3.43, 95% CI 1.29-9.14, P = 0.01), and a lower incidence of poor problem-solving (21.1 versus 29.1%, OR 0.27, 95% CI 0.08-0.95, P = 0.04). This follow-up study revealed no clear benefit of nifedipine maintenance tocolysis at 2 years of age. As short-term adverse perinatal outcome was not reduced in the original APOSTEL II trial, we conclude that maintenance tocolysis does not appear to be beneficial at this time. No clear benefit of nifedipine maintenance tocolysis in preterm labour on 2-year infant outcome.</t>
  </si>
  <si>
    <t>Rhinovirus wheezing illness in infancy is associated with medically attended third year wheezing in low risk infants: results of a healthy birth cohort study.</t>
  </si>
  <si>
    <t>de Winter, Janneke J H; Bont, Louis; Wilbrink, Berry; van der Ent, Cornelis K; Smit, Henriette A; Houben, Michiel L</t>
  </si>
  <si>
    <t>immunity inflammation and disease</t>
  </si>
  <si>
    <t>https://pubmed.ncbi.nlm.nih.gov/26734461</t>
  </si>
  <si>
    <t>Rhinoviruses may be pathogens contributing to the development of childhood wheezing. However, their role in low risk infants without an asthmatic predisposition is unknown. Knowing which healthy, low risk children are at increased risk for childhood wheezing after rhinovirus wheezing illness (RV-WI) in infancy, might help in developing prevention and treatment strategies for childhood wheezing. The aim of this study was to determine the association of medically attended wheezing at the age of three with RV-WI in the first year of life in low risk children without parental asthma. In a low risk, prospective birth cohort study, we followed 181 healthy born children from birth through the third year of life. We considered children 'low risk' if neither parent had a doctor's diagnosis of asthma. We determined infant RV-WI by parent-reported wheezing (based on daily logs) and simultaneous molecular rhinovirus detection in the first year of life. Respiratory function and blood eosinophil count were both measured in the first month of life. The primary outcome, third year wheezing, was defined as the use of prescribed inhaled asthma medications together with a doctor's visit for respiratory symptoms in the third year of life. We calculated the association of RV-WI with medically attended third year wheezing and other known possible risk factors for wheezing at the age of three. Among low risk children, third year wheezing was observed in 7 out of 18 (39%) children with versus 10 out of 163 (6%) children without infant RV-WI (OR 9.7, 95% CI 3.1-33.5, P &lt; 0.0001). The association between RV-WI and third year wheezing was unchanged after adjustment for potential confounders such as eosinophilia and atopic eczema. RV-WI is a robust and independent risk factor for third year wheezing in low risk children without parental asthma. Future research will identify and protect those children at increased risk for RV-WI.</t>
  </si>
  <si>
    <t>Breast milk fatty acid composition has a long-term effect on the risk of asthma, eczema, and sensitization.</t>
  </si>
  <si>
    <t>van Elten, T M; van Rossem, L; Wijga, A H; Brunekreef, B; de Jongste, J C; Koppelman, G H; Smit, H A</t>
  </si>
  <si>
    <t>https://pubmed.ncbi.nlm.nih.gov/26214160</t>
  </si>
  <si>
    <t>Levels of n-3 polyunsaturated fatty acids (PUFAs) and n-6 PUFAs in breast milk are associated with the development of allergic diseases up to school age. However, it is unknown whether this relationship persists when the child becomes older. We therefore studied the association between levels of n-3 PUFAs and n-6 PUFAs in breast milk of allergic- and nonallergic mothers and asthma, eczema and sensitization up to the age of 14 years. The study was nested in the ongoing PIAMA birth cohort. At the child's age of 3 months, 276 mothers provided a breast milk sample. Asthma (N total = 269) and eczema (N total = 274) were self-reported up to the child's age of 14 years. Specific serum IgE levels were measured at the ages of 4, 8 and 12 years (N total = 216). Generalized estimating equations analyses were used to take account of repeated observations. Asthma up to the age of 14 years is less prevalent in children of allergic mothers receiving breast milk with higher levels of n-3 long chain polyunsaturated (LCP) fatty acids (OR 0.50; 95% CI 0.31-0.79), and more prevalent in children of nonallergic mothers receiving breast milk with higher levels of n-6LCP (OR 1.86; 95% CI 1.14-3.03). Weaker associations in similar direction were observed for eczema and sensitization. Direction of associations were consistent and of similar magnitude throughout childhood. The association between breast milk fatty acid composition and asthma, eczema and sensitization persists up to the age of 14 years in children of both allergic and nonallergic mothers.</t>
  </si>
  <si>
    <t>Body weight, metabolic dysfunction, and risk of type 2 diabetes in patients at high risk for cardiovascular events or with manifest cardiovascular disease: a cohort study.</t>
  </si>
  <si>
    <t>Franssens, Bas T; van der Graaf, Yolanda; Kappelle, L Jaap; Westerink, Jan; de Borst, Gert J; Cramer, Maarten J; Visseren, Frank L J; ,</t>
  </si>
  <si>
    <t>https://pubmed.ncbi.nlm.nih.gov/26307608</t>
  </si>
  <si>
    <t>To quantify the role of BMI and metabolic dysfunction in the risk of development of type 2 diabetes in patients at high risk or with manifest vascular disease. A total of 6,997 patients participating in the prospective Secondary Manifestations of ARTerial disease (SMART) cohort study were classified according to BMI and metabolic dysfunction, defined as three or more of the modified National Cholesterol Education Program (NCEP) metabolic syndrome criteria (waist circumference replaced by hs-CRP ≥2 mg/L). Risk of type 2 diabetes (assessed with biannually questionnaires) was estimated with Cox proportional hazards analysis. During a median follow-up of 6.0 years (interquartile range 3.1-9.1 years), 519 patients developed type 2 diabetes (incidence rate 12/1,000 person-years). In the absence of metabolic dysfunction (≤2 NCEP criteria), adiposity increased the risk of type 2 diabetes compared with normal-weight patients (HR 2.5 [95% CI 1.5-4.2] for overweight and HR 4.3 [95% CI 2.2-8.6] for obese patients). In the presence of metabolic dysfunction (≥3 NCEP criteria), an increased risk of type 2 diabetes was observed in patients with normal weight (HR 4.7 [95% CI 2.8-7.8]), overweight (HR 8.5 [95% CI 5.5-13.4]), and obesity (HR 16.3 [95% CI 10.4-25.6]) compared with normal-weight patients without metabolic dysfunction. Adiposity, even in the absence of metabolic dysfunction, is a risk factor for type 2 diabetes. Moreover, presence of metabolic dysfunction increases the risk of type 2 diabetes in all BMI categories. This supports the assessment of adiposity and metabolic dysfunction in patients with vascular disease or at high risk for cardiovascular events.</t>
  </si>
  <si>
    <t>The relation between HbA1c and cardiovascular events in patients with type 2 diabetes with and without vascular disease.</t>
  </si>
  <si>
    <t>Kranenburg, Guido; van der Graaf, Yolanda; van der Leeuw, Joep; Nathoe, Hendrik M W; de Borst, Gert Jan; Kappelle, L Jaap; Visseren, Frank L J; Westerink, Jan; ,</t>
  </si>
  <si>
    <t>https://pubmed.ncbi.nlm.nih.gov/26307606</t>
  </si>
  <si>
    <t>Poor glycemic control is related to vascular events in patients with type 2 diabetes, but the presence of vascular disease might influence this relation. We evaluated the relation between glycemic control (HbA1c level) and new cardiovascular events and mortality in patients with type 2 diabetes, with and without vascular disease. In a cohort of 1,687 patients with type 2 diabetes enrolled in the Second Manifestations of Arterial Disease (SMART) study, the continuous relation between HbA1c and cardiovascular events (composite of myocardial infarction, stroke, and vascular mortality) and all-cause mortality was evaluated with Cox proportional hazard analyses stratified for the presence of vascular disease. During a median follow-up time of 6.1 years (interquartile range 3.1-9.5 years), a new cardiovascular event developed in 293 patients and 340 patients died. In all patients, the hazard ratio (HR) of the relation between HbA1c level and cardiovascular events was 1.06 (95% CI 0.97-1.17). A 1 percentage point higher HbA1c level was related to a 27% higher risk of a cardiovascular event in patients with type 2 diabetes without vascular disease (HR 1.27 [95% CI 1.06-1.51]), but not in patients with vascular disease (HR 1.03 [95% CI 0.93-1.15], P for interaction = 0.195). A 1 percentage point higher HbA1c level was related to a 16% higher risk of death (HR 1.16 [95% CI 1.06-1.28]) in patients with vascular disease and a nonsignificant 13% higher risk of all-cause mortality (HR 1.13 [95% CI 0.97-1.31]) in patients without vascular disease. In patients with type 2 diabetes, there is a modest, but not statistically significant, relation between HbA1c level and cardiovascular events, and, as there was no statistically significant interaction, this relation was not different for patients with or without clinical manifestation of vascular disease.</t>
  </si>
  <si>
    <t>Attitudes and perceptions of Dutch veterinarians on their role in the reduction of antimicrobial use in farm animals.</t>
  </si>
  <si>
    <t>Speksnijder, David C; Jaarsma, Debbie A C; Verheij, Theo J M; Wagenaar, Jaap A</t>
  </si>
  <si>
    <t>https://pubmed.ncbi.nlm.nih.gov/26341466</t>
  </si>
  <si>
    <t>Little is known about attitudes of veterinarians towards antibiotic use and reduction opportunities, and their interaction with farmers herein. Therefore, a questionnaire was developed and sent out to Dutch farm animal veterinarians. The response rate was 40%. Categorical Principal Component Analysis (CATPCA) was conducted on statements measuring attitudes towards the use of antibiotics and reduction opportunities in farm animals, the veterinary pharmacy and the interaction of veterinarians with farmers in improving animal health. This resulted in 3 underlying dimensions. Additionally, possible explanatory variables (main farm animal species working with, years of experience in practice) were added to the CATPCA to identify differences between veterinarians. Veterinarians working with different animal species were comparable in their opinions towards the necessity to reduce veterinary antibiotic use and the current policy to halve veterinary antibiotic consumption. Veterinarians working with ruminants - "ruminant specialists" - and veterinarians working with several different animal species - "generalists" - reported to feel more uncertainty in acting independently from farmers' and significant others' (other advisors, colleagues) demands for antibiotics or opinions than veterinarians mainly working with intensively raised animals (pigs, poultry, veal calves) - "intensive specialists". Years of experience in practice was negatively related to feelings of uncertainty in acting independently. At the other hand, years of experience was associated with being less concerned about the possible contribution of veterinary antibiotic use to antimicrobial resistance, considering it more important to keep the right to prescribe and sell antibiotics, and being less hesitant to apply antibiotics to prevent (further dissemination of) animal diseases. Intensive specialists expected most from improving feed quality and benchmarking of antibiotic prescribing and use in reducing veterinary antibiotic use; ruminant specialists and generalists preferred improving housing and climate conditions and benchmarking. The by veterinarians perceived main reasons for farmers not to comply to veterinary advices to improve animal health were related to financial and time restrictions, although intensive specialists stressed the importance of conflicting advices from other advisors as a cause for non-compliance. The results showed that younger veterinarians might require additional support to act independently from farmers' and significant others'. Additionally, experienced veterinarians could be educated about possible risks related to veterinary overuse of antibiotics. Alternative approaches should be identified for veterinarians to preserve a decent income without pharmacy incomes. Especially in intensive farming, ways should be found to prevent contradictory advices as a barrier not to implement veterinary advices to improve animal health.</t>
  </si>
  <si>
    <t>Hypercoagulability and the risk of myocardial infarction and ischemic stroke in young women.</t>
  </si>
  <si>
    <t>Siegerink, B; Maino, A; Algra, A; Rosendaal, F R</t>
  </si>
  <si>
    <t>https://pubmed.ncbi.nlm.nih.gov/26178535</t>
  </si>
  <si>
    <t>Myocardial infarction (MI) and ischemic stroke (IS) are acute forms of arterial thrombosis and share some, but not all, risk factors, indicating different pathophysiological mechanisms. This study aims to determine if hypercoagulability has a differential effect on the risk of MI and IS. We reviewed the results from the Risk of Arterial Thrombosis in Relation to Oral Contraceptives study, a population-based case-control study involving young women (&lt; 50 years) with MI, non-cardioembolic IS and healthy controls. From these data, relative odds ratios (ORIS /ORMI ) and their corresponding confidence intervals for all prothrombotic factors that were studied in both subgroups were calculated. Twenty-nine prothrombotic risk factors were identified as measures of hypercoagulability. Twenty-two of these risk factors (21/29, 72%) had a relative odds ratios &gt; 1; for 12 (41%), it was &gt; 2; and for 5 (17%), it was &gt; 2.75. The five risk factors with the largest differences in associations were high levels of activated factor XI (FXI) and FXII, kallikrein, the presence of lupus anticoagulans, and a genetic variation in the FXIII gene. In young women, prothrombotic factors are associated more with the risk of IS than with MI risk, suggesting a different role of hypercoagulability in the mechanism leading to these two diseases.</t>
  </si>
  <si>
    <t>Get real in individual participant data (IPD) meta-analysis: a review of the methodology.</t>
  </si>
  <si>
    <t>Debray, Thomas P A; Moons, Karel G M; van Valkenhoef, Gert; Efthimiou, Orestis; Hummel, Noemi; Groenwold, Rolf H H; Reitsma, Johannes B; ,</t>
  </si>
  <si>
    <t>https://pubmed.ncbi.nlm.nih.gov/26287812</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</si>
  <si>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</si>
  <si>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Salivary cortisol, brain volumes, and cognition in community-dwelling elderly without dementia.</t>
  </si>
  <si>
    <t>Geerlings, Mirjam I; Sigurdsson, Sigurdur; Eiriksdottir, Gudny; Garcia, Melissa E; Harris, Tamara B; Gudnason, Vilmundur; Launer, Lenore J</t>
  </si>
  <si>
    <t>https://pubmed.ncbi.nlm.nih.gov/26291281</t>
  </si>
  <si>
    <t>We investigated the associations of morning and evening salivary cortisol levels with regional brain volumes and cognitive functioning in community-dwelling older persons without dementia. From the Age, Gene/Environment Susceptibility (AGES)-Reykjavik Study, we included 4,244 persons without dementia (age 76 ± 5 years, 58% women) who had 1.5T brain MRI, assessment of cognitive functioning, and saliva collected at home 45 minutes after awakening and at night. Linear regression analysis was used to estimate the cross-sectional relationship among cortisol levels, brain volumes, and cognitive functioning, adjusting for covariates. Higher evening cortisol was associated with smaller total brain volume (highest vs lowest tertile -16.0 mL; 95% confidence interval -19.7 to -12.2 mL, adjusted for age, sex, education, intracranial volume, smoking, steroid use, white matter lesions, and brain infarcts on MRI). The smaller volumes were observed in all brain regions, but were significantly smaller in gray matter than in white matter regions. Poorer cognitive functioning across all domains was also associated with higher evening cortisol. Higher levels of morning cortisol were associated with slightly greater normal white matter volume and better processing speed and executive functioning, but not with gray matter volume or with memory performance. In older persons, evening and morning cortisol levels may be differentially associated with tissue volume in gray and white matter structures and cognitive function. Understanding these differential associations may aid in developing strategies to reduce the effects of hypothalamic-pituitary-adrenal axis dysfunction on late-life cognitive impairment.</t>
  </si>
  <si>
    <t>The Effect of Online Hemodiafiltration on Infections: Results from the CONvective TRAnsport STudy.</t>
  </si>
  <si>
    <t>den Hoedt, Claire H; Grooteman, Muriel P C; Bots, Michiel L; Blankestijn, Peter J; van der Tweel, Ingeborg; van der Weerd, Neelke C; Penne, E Lars; Mazairac, Albert H A; Levesque, Renée; ter Wee, Piet M; Nubé, Menso J; van den Dorpel, Marinus A; ,</t>
  </si>
  <si>
    <t>https://pubmed.ncbi.nlm.nih.gov/26288091</t>
  </si>
  <si>
    <t>Hemodialysis (HD) patients have a high risk of infections. The uremic milieu has a negative impact on several immune responses. Online hemodiafiltration (HDF) may reduce the risk of infections by ameliorating the uremic milieu through enhanced clearance of middle molecules. Since there are few data on infectious outcomes in HDF, we compared the effects of HDF with low-flux HD on the incidence and type of infections. We used data of the 714 HD patients (age 64 ±14, 62% men, 25% Diabetes Mellitus, 7% catheters) participating in the CONvective TRAnsport STudy (CONTRAST), a randomized controlled trial evaluating the effect of HDF as compared to low-flux HD. The events were adjudicated by an independent event committee. The risk of infectious events was compared with Cox regression for repeated events and Cox proportional hazard models. The distributions of types of infection were compared between the groups. Thirty one percent of the patients suffered from one or more infections leading to hospitalization during the study (median follow-up 1.96 years). The risk for infections during the entire follow-up did not differ significantly between treatment arms (HDF 198 and HD 169 infections in 800 and 798 person-years respectively, hazard ratio HDF vs. HD 1.09 (0.88-1.34), P = 0.42. No difference was found in the occurrence of the first infectious event (either fatal, non-fatal or type specific). Of all infections, respiratory infections (25% in HDF, 28% in HD) were most common, followed by skin/musculoskeletal infections (21% in HDF, 13% in HD). HDF as compared to HD did not result in a reduced risk of infections, larger studies are needed to confirm our findings. ClinicalTrials.gov NCT00205556.</t>
  </si>
  <si>
    <t>Individual patient data meta-analysis of antiplatelet regimens after noncardioembolic stroke or TIA: rationale and design.</t>
  </si>
  <si>
    <t>Greving, Jacoba P; Diener, Hans-Christoph; Csiba, László; Hacke, Werner; Kappelle, L Jaap; Koudstaal, Peter J; Leys, Didier; Mas, Jean-Louis; Sacco, Ralph L; Sivenius, Juhani; Algra, Ale; ,</t>
  </si>
  <si>
    <t>https://pubmed.ncbi.nlm.nih.gov/26282569</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</si>
  <si>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</si>
  <si>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Second-trimester cervical length as risk indicator for Cesarean delivery in women with twin pregnancy.</t>
  </si>
  <si>
    <t>van de Mheen, L; Schuit, E; Liem, S M S; Lim, A C; Bekedam, D J; Goossens, S M T A; Franssen, M T M; Porath, M M; Oudijk, M A; Bloemenkamp, K W M; Duvekot, J J; Woiski, M D; de Graaf, I; Sikkema, J M; Scheepers, H C J; van Eijk, J; de Groot, C J M; van Pampus, M G; Mol, B W J</t>
  </si>
  <si>
    <t>https://pubmed.ncbi.nlm.nih.gov/25402630</t>
  </si>
  <si>
    <t>To determine whether second-trimester cervical length (CL) in women with a twin pregnancy is associated with the risk of emergency Cesarean section. This was a secondary analysis of two randomized trials conducted in 57 hospitals in The Netherlands. We assessed the univariable association between risk indicators, including second-trimester CL in quartiles, and emergency Cesarean delivery using a logistic regression model. For multivariable analysis, we assessed whether adjustment for other risk indicators altered the associations found in univariable (unadjusted) analysis. Separate analyses were performed for suspected fetal distress and failure to progress in labor as indications for Cesarean section. In total, 311 women with a twin pregnancy attempted vaginal delivery after 34 weeks' gestation. Emergency Cesarean delivery was performed in 111 (36%) women, of which 67 (60%) were performed owing to arrest of labor. There was no relationship between second-trimester CL and Cesarean delivery (adjusted odds ratio (aOR): 0.97 for CL 26(th) -50(th) percentiles; 0.71 for CL 51(st)  - 75(th) percentiles; and 0.92 for CL &gt; 75(th) percentile, using CL ≤ 25(th) percentile as reference). In multivariable analysis, the only variables associated with emergency Cesarean delivery were maternal age (aOR, 1.07 (95% CI, 1.00-1.13)), body mass index (BMI) (aOR, 3.99 (95% CI, 1.07-14.9) for BMI 20-23 kg/m(2) ; 5.04 (95% CI, 1.34-19.03) for BMI 24-28 kg/m(2) ; and 3.1 (95% CI, 0.65-14.78) for BMI &gt; 28 kg/m(2) ) and induction of labor (aOR, 1.92 (95% CI, 1.05-3.5)). In nulliparous women with a twin pregnancy, second-trimester CL is not associated with risk of emergency Cesarean delivery.</t>
  </si>
  <si>
    <t>Is a New Protocol for Acute Lymphoblastic Leukemia Research or Standard Therapy?</t>
  </si>
  <si>
    <t>Dekking, Sara A S; van der Graaf, Rieke; de Vries, Martine C; Bierings, Marc B; van Delden, Johannes J M; Kodish, Eric; Lantos, John D</t>
  </si>
  <si>
    <t>https://pubmed.ncbi.nlm.nih.gov/26283776</t>
  </si>
  <si>
    <t>In the United States, doctors generally develop new cancer chemotherapy for children by testing innovative chemotherapy protocols against existing protocols in prospective randomized trials. In the Netherlands, children with leukemia are treated by protocols that are agreed upon by the Dutch Childhood Oncology Group. Periodically, the Dutch Childhood Oncology Group revises its protocols. Sometimes, these revisions are categorized as research, sometimes as treatment. In this Ethics Rounds, we analyze whether enrollment in a new protocol ought to be considered research and, if so, we discuss the implications of that designation. Our discussion highlights the different ways different countries approach complex issues of research ethics.</t>
  </si>
  <si>
    <t>Reliability of Serum Metabolites over a Two-Year Period: A Targeted Metabolomic Approach in Fasting and Non-Fasting Samples from EPIC.</t>
  </si>
  <si>
    <t>Carayol, Marion; Licaj, Idlir; Achaintre, David; Sacerdote, Carlotta; Vineis, Paolo; Key, Timothy J; Onland Moret, N Charlotte; Scalbert, Augustin; Rinaldi, Sabina; Ferrari, Pietro</t>
  </si>
  <si>
    <t>https://pubmed.ncbi.nlm.nih.gov/26274920</t>
  </si>
  <si>
    <t>Although metabolic profiles have been associated with chronic disease risk, lack of temporal stability of metabolite levels could limit their use in epidemiological investigations. The present study aims to evaluate the reliability over a two-year period of 158 metabolites and compare reliability over time in fasting and non-fasting serum samples. Metabolites were measured with the AbsolueIDQp180 kit (Biocrates, Innsbruck, Austria) by mass spectrometry and included acylcarnitines, amino acids, biogenic amines, hexoses, phosphatidylcholines and sphingomyelins. Measurements were performed on repeat serum samples collected two years apart in 27 fasting men from Turin, Italy, and 39 non-fasting women from Utrecht, The Netherlands, all participating in the European Prospective Investigation into Cancer and Nutrition (EPIC) study. Reproducibility was assessed by estimating intraclass correlation coefficients (ICCs) in multivariable mixed models. In fasting samples, a median ICC of 0.70 was observed. ICC values were &lt;0.50 for 48% of amino acids, 27% of acylcarnitines, 18% of lysophosphatidylcholines and 4% of phosphatidylcholines. In non-fasting samples, the median ICC was 0.54. ICC values were &lt;0.50 for 71% of acylcarnitines, 48% of amino acids, 44% of biogenic amines, 36% of sphingomyelins, 34% of phosphatidylcholines and 33% of lysophosphatidylcholines. Overall, reproducibility was lower in non-fasting as compared to fasting samples, with a statistically significant difference for 19-36% of acylcarnitines, phosphatidylcholines and sphingomyelins. A single measurement per individual may be sufficient for the study of 73% and 52% of the metabolites showing ICCs &gt;0.50 in fasting and non-fasting samples, respectively. ICCs were higher in fasting samples that are preferable to non-fasting.</t>
  </si>
  <si>
    <t>Association between CETP gene polymorphism, insulin resistance and risk of diabetes mellitus in patients with vascular disease.</t>
  </si>
  <si>
    <t>Koopal, Charlotte; van der Graaf, Yolanda; Asselbergs, Folkert W; Westerink, Jan; Visseren, Frank L J; ,</t>
  </si>
  <si>
    <t>https://pubmed.ncbi.nlm.nih.gov/26318399</t>
  </si>
  <si>
    <t>Genetic inhibition of Cholesteryl Ester Transfer Protein (CETP) might be associated with insulin resistance and incident type 2 diabetes mellitus (T2DM). This study investigated the relation between a genetic variant in the CETP gene and measures of insulin resistance and incident T2DM in patients with manifest cardiovascular disease (CVD). Furthermore the effect on risk of recurrent cardiovascular events was investigated. SMART is a prospective cohort study performed in 5601 patients with clinically manifest CVD. We selected a variant (rs3764261) associated with reduced CETP activity and increased levels of HDL cholesterol (HDL-C). Patients were divided in three groups: 2640 wild type patients (GG), 2420 heterozygotes for rs3764261 (GT) and 541 homozygotes for rs3764261 (TT). Regression analyses were performed using an additive model. The study population consisted of 4656 patients without T2DM and 945 patients with T2DM at baseline. Presence of rs3764261 was associated with increased HDL-C in patients without T2DM (β 0.106, 95%CI 0.083-0.128) and with T2DM (β 0.043, 95%CI 0.007-0.078). During a median follow up of 7.2 years (IQR 4.7-10.2) 427 incident T2DM occurred. Presence of rs3764261 was not related to incident T2DM (HR 0.96, 95%CI 0.83-1.11) in patients without T2DM at baseline. Furthermore, presence of rs3764261 was not related to insulin resistance (glucose, insulin, HOMA-IR, HbA1c) or recurrent CVD (HR 0.92, 95%CI 0.84-1.02). Presence of CETP SNP rs3764261 is not associated with insulin resistance and incident T2DM in patients with clinically manifest vascular disease. Furthermore, no effect of rs3764261 on the risk of recurrent CVD was observed.</t>
  </si>
  <si>
    <t>Effect of isoniazid preventive therapy on tuberculosis or death in persons with HIV: a retrospective cohort study.</t>
  </si>
  <si>
    <t>Ayele, Henok Tadesse; van Mourik, Maaike S M; Bonten, Marc J M</t>
  </si>
  <si>
    <t>https://pubmed.ncbi.nlm.nih.gov/26269094</t>
  </si>
  <si>
    <t>Isoniazid preventive therapy (IPT) is a recommended strategy for prevention of tuberculosis (TB) in persons with Human Immunodeficiency Virus (HIV) although the benefits have not been unequivocally demonstrated in routine clinical practice with widespread ART adoption. Therefore, we assessed the effectiveness of IPT in prevention of TB or death in patients treated with antiretroviral therapy (ART) in a chronic care setting. Retrospective cohort study of HIV patients enrolled in chronic care from 2007 to 2013. Eligible participants were HIV infected subjects (age &gt; 15 years) with no (history of) TB. The combined effect of IPT and ART on the composite outcome (TB or death) was estimated using time-dependent Cox regression with adjustment for baseline covariates. 1,922 patients were included, 374 (19.4 %) received IPT and 258 (13.4 %) developed TB or deceased. The median follow-up duration of the cohort was 839 days, with a total of 5491 person years. In unadjusted analysis, the combination of IPT and ART lowered the hazard of TB or death by 65 % [HR = 0.35; 95 % CI (0.16, 0.77)] compared to ART alone. Even after adjustment for confounders, the combined effect of ART and IPT resulted in a 60 % hazard reduction of TB or death in comparison to participants who received ART without IPT [HR = 0.40; 95 % CI (0.18, 0.87)]. The IPT-specific benefit in patients not receiving ART could not be reliably estimated due to high rates of ART adoption. The combined effect of IPT and ART to prevent TB or death in HIV patients in a non-experimental setting in comparison to ART alone was estimated to be 60 %.</t>
  </si>
  <si>
    <t>Let's Talk about Sex, Maybe: Interviewers, Respondents, and Sexual Behavior Reporting in Rural South Africa.</t>
  </si>
  <si>
    <t>Houle, Brian; Angotti, Nicole; Clark, Samuel J; Williams, Jill; Gómez-Olivé, F Xavier; Menken, Jane; Kabudula, Chodziwadziwa; Klipstein-Grobusch, Kerstin; Tollman, Stephen M</t>
  </si>
  <si>
    <t>field methods</t>
  </si>
  <si>
    <t>https://pubmed.ncbi.nlm.nih.gov/28190977</t>
  </si>
  <si>
    <t>Researchers are often skeptical of sexual behavior surveys: respondents may lie or forget details of their intimate lives, and interviewers may exercise authority in how they capture responses. We use data from a 2010-2011 cross-sectional sexual behavior survey in rural South Africa to explore &lt;i&gt;who says what to whom&lt;/i&gt; about their sexual lives. Results show an effect of fieldworker age across outcomes -- respondents report "safer", more "responsible" sexual behavior to older fieldworkers; and an effect of fieldworker sex -- men report more sexual partners to female fieldworkers. Understanding fieldworker effects on the production of sexual behavior survey data serves methodological and analytical goals.</t>
  </si>
  <si>
    <t>The Impact of Age on the Efficacy of 13-valent Pneumococcal Conjugate Vaccine in Elderly.</t>
  </si>
  <si>
    <t>van Werkhoven, Cornelis H; Huijts, Susanne M; Bolkenbaas, Marieke; Grobbee, Diederick E; Bonten, Marc J M</t>
  </si>
  <si>
    <t>https://pubmed.ncbi.nlm.nih.gov/26265498</t>
  </si>
  <si>
    <t>In a post hoc analysis of the Community-Acquired Pneumonia (CAP) immunization Trial in Adults the model-predicted 13-valent pneumococcal conjugate vaccine efficacy for preventing vaccine-type specific CAP and Invasive Pneumococcal Disease declined from 65% to 40% for subjects being 65 and 75 year olds at the time of vaccination, respectively.</t>
  </si>
  <si>
    <t>Search for heavy long-lived multi-charged particles in &lt;i&gt;pp&lt;/i&gt; collisions at [Formula: see text] TeV using the ATLAS detector.</t>
  </si>
  <si>
    <t xml:space="preserve">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Amako, K; Amaral Coutinho, Y; Amelung, C; Amidei, D; Amor Dos Santos, S P; Amorim, A; Amoroso, S; Amram, N; Amundsen, G; Anastopoulos, C; Ancu, L S; Andari, N; Andeen, T; Anders, C F; Anders, G; Anders, J K; Anderson, K J; Andreazza, A; Andrei, V; Angelidakis, S; Angelozzi, I; Anger, P; Angerami, A; Anghinolfi, </t>
  </si>
  <si>
    <t>https://pubmed.ncbi.nlm.nih.gov/26300688</t>
  </si>
  <si>
    <t>A search for heavy long-lived multi-charged particles is performed using the ATLAS detector at the LHC. Data collected in 2012 at [Formula: see text] TeV from &lt;i&gt;pp&lt;/i&gt; collisions corresponding to an integrated luminosity of 20.3 fb[Formula: see text]are examined. Particles producing anomalously high ionisation, consistent with long-lived massive particles with electric charges from [Formula: see text] to [Formula: see text] are searched for. No signal candidate events are observed, and 95 % confidence level cross-section upper limits are interpreted as lower mass limits for a Drell-Yan production model. The mass limits range between 660 and 785 GeV.</t>
  </si>
  <si>
    <t>Distribution of Health Effects and Cost-effectiveness of Varicella Vaccination are Shaped by the Impact on Herpes Zoster.</t>
  </si>
  <si>
    <t>van Lier, Alies; Lugnér, Anna; Opstelten, Wim; Jochemsen, Petra; Wallinga, Jacco; Schellevis, François; Sanders, Elisabeth; de Melker, Hester; van Boven, Michiel</t>
  </si>
  <si>
    <t>https://pubmed.ncbi.nlm.nih.gov/26629544</t>
  </si>
  <si>
    <t>Varicella zoster virus (VZV) is the etiological agent of varicella and herpes zoster (HZ). It has been hypothesised that immune boosting of latently infected persons by contact with varicella reduces the probability of HZ. If true, universal varicella vaccination may increase HZ incidence due to reduced VZV circulation. To inform decision-making, we conduct cost-effectiveness analyses of varicella vaccination, including effects on HZ. Effects of varicella vaccination are simulated with a dynamic transmission model, parameterised with Dutch VZV seroprevalence and HZ incidence data, and linked to an economic model. We consider vaccination scenarios that differ by whether or not they include immune boosting, and reactivation of vaccine virus. Varicella incidence decreases after introduction of vaccination, while HZ incidence may increase or decrease depending on whether or not immune boosting is present. Without immune boosting, vaccination is expected to be cost-effective or even cost-saving. With immune boosting, vaccination at 95% coverage is not expected to be cost-effective, and may even cause net health losses. Cost-effectiveness of varicella vaccination depends strongly on the impact on HZ and the economic time horizon. Our findings reveal ethical dilemmas as varicella vaccination may result in unequal distribution of health effects between generations.</t>
  </si>
  <si>
    <t>Hypercoagulability Is a Stronger Risk Factor for Ischaemic Stroke than for Myocardial Infarction: A Systematic Review.</t>
  </si>
  <si>
    <t>Maino, Alberto; Rosendaal, Frits R; Algra, Ale; Peyvandi, Flora; Siegerink, Bob</t>
  </si>
  <si>
    <t>https://pubmed.ncbi.nlm.nih.gov/26252207</t>
  </si>
  <si>
    <t>Hypercoagulability increases the risk of arterial thrombosis; however, this effect may differ between various manifestations of arterial disease. In this study, we compared the effect of coagulation factors as measures of hypercoagulability on the risk of ischaemic stroke (IS) and myocardial infarction (MI) by performing a systematic review of the literature. The effect of a risk factor on IS (relative risk for IS, RRIS) was compared with the effect on MI (RRMI) by calculating their ratio (RRR = RRIS/RRMI). A relevant differential effect was considered when RRR was &gt;1+ its own standard error (SE) or &lt;1-SE. We identified 70 publications, describing results from 31 study populations, accounting for 351 markers of hypercoagulability. The majority (203/351, 58%) had an RRR greater than 1. A larger effect on IS risk than MI risk (RRE&gt;1+1SE) was found in 49/343 (14%) markers. Of these, 18/49 (37%) had an RRR greater than 1+2SE. On the opposite side, a larger effect on MI risk (RRR&lt;1-1SE) was found in only 17/343 (5%) markers. These results suggest that hypercoagulability has a more pronounced effect on the risk of IS than that of MI.</t>
  </si>
  <si>
    <t>The Association between eHealth Capabilities and the Quality and Safety of Health Care in the Netherlands: Comparison of HIMSS Analytics EMRAM data with Elsevier's 'The Best Hospitals' data.</t>
  </si>
  <si>
    <t>van Poelgeest, Rube; Heida, Jan-Peter; Pettit, Lorren; de Leeuw, Rob J; Schrijvers, Guus</t>
  </si>
  <si>
    <t>https://pubmed.ncbi.nlm.nih.gov/26242750</t>
  </si>
  <si>
    <t>To test the hypothesis that advanced electronic medical record (EMR) capabilities are associated with better quality and safety of hospital care. We used data from the HIMSS Analytics EMR Adoption Model (EMRAM(SM)) to measure the adoption and use of information technology in Dutch hospitals. To measure the quality and safety of healthcare in Dutch Hospitals we used select data from the publicly available basic set and the safety set of the Health Care Inspectorate (IGZ) and the Dutch Health Care Transparency Program 'Zichtbare Zorg' (ZIZO) program. The quality and safety measures selected reflect the measures used to score Dutch hospitals as presented in Elsevier's annual 'The Best Hospitals' publication. The scores of this publication are based upon 542 of the 1516 available indicators from this basic set and safety set. Almost all indicators from the hospital-wide indicator sets are included in the selection, as are a large portion of indicators for acute care delivered by all hospitals. Of the 84 non-academic hospitals in the Netherlands, 67 (80 %) were included in this study. There is no statistically significant association found between a hospital's EMRAM score and their overall quality/safety performance in the Elsevier hospital scoring model. There is no evidence found to support the research hypothesis at this point in time. This outcome maybe the result of a multiplicity of factors to include the (limited) use of the methodologies used in this study, the fact that no fully digitalized hospital (EMRAM stage 7) is yet present in the NL, and/or the organizational competency of the NL hospitals in fully leveraging the EMR to facilitate patient care. Further research is needed to explore these findings.</t>
  </si>
  <si>
    <t>Prevalence of the Metabolic Syndrome Among Employees in Northeast China.</t>
  </si>
  <si>
    <t>Wang, Xin; Yang, Fang; Bots, Michiel L; Guo, Wei-Ying; Zhao, Bing; Hoes, Arno W; Vaartjes, Ilonca</t>
  </si>
  <si>
    <t>https://pubmed.ncbi.nlm.nih.gov/26228207</t>
  </si>
  <si>
    <t>The metabolic syndrome is a clustering of metabolic abnormalities and has been associated with increased risk of type 2 diabetes mellitus and cardiovascular disease. This study aimed to estimate the prevalence of the metabolic syndrome among employees in Northeast China. Totally, 33,149 employees who received health screening in the International Health Promotion Center in the First Hospital of Jilin University were enrolled. Height, weight, waist circumference, blood pressure, fasting plasma glucose, triglyceride, high-density lipoprotein, and low-density lipoprotein were recorded. Three definitions for the metabolic syndrome were applied, revised National Cholesterol Education Program's Adult Treatment Panel III (NCEP ATP III) criteria, the International Diabetes Federation (IDF) criteria, and the Chinese Diabetes Society (CDS) criteria. Overall, the age-standardized prevalence of the metabolic syndrome was 22.9%, 20.6%, and 15.3% based on definitions of revised NCEP ATP III criteria, the IDF criteria, and the CDS criteria, respectively. Men had higher age-standardized prevalence than women in all three definitions (P &lt; 0.05). The prevalence was 27.1%, 24.5%, and 20.4% for men; 17.1%, 15.4%, and 8.3% for women, respectively. The most common metabolic component with the metabolic syndrome was overweight (54.7% of men had an elevated body mass index, and 35.9% of women had central obesity). A large proportion of employees among Northeast China have the metabolic syndrome. These findings place emphasis on the need to develop aggressive lifestyle modification for patients with the metabolic syndrome and population level strategies for the prevention, detection, and treatment of cardiovascular risk.</t>
  </si>
  <si>
    <t>Diagnostic and prognostic utility of mid-expiratory flow rate in older community-dwelling persons with respiratory symptoms, but without chronic obstructive pulmonary disease.</t>
  </si>
  <si>
    <t>Güder, Gülmisal; Brenner, Susanne; Störk, Stefan; Held, Matthias; Broekhuizen, Berna D L; Lammers, Jan-Willem J; Hoes, Arno W; Rutten, Frans H</t>
  </si>
  <si>
    <t>bmc pulmonary medicine</t>
  </si>
  <si>
    <t>https://pubmed.ncbi.nlm.nih.gov/26228243</t>
  </si>
  <si>
    <t>The maximal expiratory flow at 50 % of the forced vital capacity (MEF50) is the flow where half of forced vital capacity (FVC) remains to be exhaled. A reduced MEF50 has been suggested as a surrogate marker of small airways disease. The diagnostic and prognostic utility of this easy to assess spirometric variable in persons with respiratory symptoms, but without COPD is unclear. We used data from the UHFO-COPD cohort in which 405 community-dwelling persons aged 65 years or over, and a general practitioner's diagnosis of chronic obstructive pulmonary disease (COPD) underwent pulmonary function testing and echocardiography. In total 161 patients had no COPD according to the spirometric GOLD criteria. We considered MEF50 as reduced if &lt; 60 % of predicted. Of the 161 patients without COPD (mean age 72 ± 5.7 years; 35 % male; follow-up 4.5 ± 1.1 years), 61 (37.9 %) had a reduced MEF50. They were older, had more pack-years of smoking, more respiratory symptoms, and used more frequently inhaled medication than the remaining 100 subjects. A reduced MEF50 was nearly twice as often associated with newly detected heart failure (HF) at assessment (29.5 % vs. 15.6 %, p = 0.045). In age-and sex-adjusted Cox regression analysis, a reduced MEF50 was significantly associated with episodes of acute bronchitis (hazard ratio 2.54 95 % confidence interval (1.26; 5.13) P = 0.009), and in trend with pneumonia (2.14 (0.98; 4.69) P = 0.06) and hospitalizations for pulmonary reasons (2.28 (0.93; 5.62) P = 0.07). In older community-dwelling persons with pulmonary symptoms but without COPD, a reduced MEF50 may help to uncover unrecognized HF, and identify those at a higher risk for episodes of acute bronchitis, pneumonia and hospitalizations for pulmonary reasons. Echocardiography and close follow-up should be considered in these patients.</t>
  </si>
  <si>
    <t>In Vivo Bioluminescence Imaging - A Suitable Method to Track Mesenchymal Stromal Cells in a Skeletal Muscle Trauma.</t>
  </si>
  <si>
    <t>K, Strohschein; P, Radojewski; T, Winkler; G N, Duda; C, Perka; P, von Roth</t>
  </si>
  <si>
    <t>the open orthopaedics journal</t>
  </si>
  <si>
    <t>https://pubmed.ncbi.nlm.nih.gov/26312108</t>
  </si>
  <si>
    <t>Cell-based therapies have emerged during the last decade in various clinical fields. Especially mesenchymal stromal cells (MSCs) have been used in pre-clinical and clinical applications in cardiovascular, neurodegenerative and musculoskeletal disorders. In order to validate survival and viability as well as possible engraftment of MSCs into the host tissue a live cell imaging technique is needed that allows non-invasive, temporal imaging of cellular kinetics as well as evaluation of cell viability after transplantation. In this study we used luciferase-based bioluminescence imaging (BLI) to investigate the survival of autologous MSCs transplanted into a severely crushed soleus muscle of the rats. Furthermore we compared local as well as intra-arterial (i.a.) administration of cells and analyzed if luciferase transduced MSCs depict the same characteristics in vitro as non-transduced MSCs. We could show that transduction of MSCs does not alter their in vitro characteristics, thus, transduced MSCs display the same differentiation, proliferation and migration capacity as non-transduced cells. Using BLI we could track MSCs transplanted into a crushed soleus muscle until day 7 irrespective of local or i.a. Hence, our study proves that luciferase-based BLI is a suitable method for in vivo tracking of MSCs in skeletal muscle trauma in rats.</t>
  </si>
  <si>
    <t>Effect of six years intensified multifactorial treatment on levels of hs-CRP and adiponectin in patients with screen detected type 2 diabetes: the ADDITION-Netherlands randomized trial.</t>
  </si>
  <si>
    <t>den Ouden, Henk; Berends, Jacqueline; Stellato, Rebecca K; Beulens, Joline W; Rutten, Guy E H M</t>
  </si>
  <si>
    <t>https://pubmed.ncbi.nlm.nih.gov/26109470</t>
  </si>
  <si>
    <t>Levels of high-sensitivity C-reactive protein (hs-CRP) and adiponectin, reflecting chronic inflammation, are associated with cardiovascular disease in type 2 diabetes. The long-term effects of multifactorial therapy in type 2 diabetes patients on CRP and adiponectin are unknown. The ADDITION-NL study is a randomized clinical trial among screen-detected type 2 diabetes patients, randomized to intensive treatment (HbA1c &lt;7.0% (53 mmol/mol), blood pressure ≤135/85 mmHg, total cholesterol ≤3.5 mmol/L) or routine care. Hs-CRP and adiponectin were measured before and 1, 2 and 6 years after inclusion. We analysed the effectiveness of the intervention on hs-CRP and adiponectin levels using a mixed effects model, taking into account practice, baseline levels and different medications. A total of 424 patients were included (intensive care n = 235; routine care n = 189). Both groups were well matched. Body mass index, systolic blood pressure, total cholesterol and HbA1c improved significantly more in the intensive care group compared to routine care group. Levels of hs-CRP decreased significantly in both treatment groups over time. Mean hs-CRP in the routine care group was 24% higher (p = 0.0027) than in the intensive treatment group during follow-up. After an initial increase the adiponectin values levelled off to nearly baseline values in both groups. The difference between the two groups after 6 years was 0.44 µg/mL (p = 0.27). Intensified multifactorial treatment in type 2 diabetes results in an enhanced decrease in hs-CRP. Whether this is clinically meaningful remains uncertain. The link to adiponectin seems to be more complex.</t>
  </si>
  <si>
    <t>Search for the Standard Model Higgs boson produced in association with top quarks and decaying into [Formula: see text] in [Formula: see text] collisions at [Formula: see text] with the ATLAS detector.</t>
  </si>
  <si>
    <t xml:space="preserve">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Amako, K; Amaral Coutinho, Y; Amelung, C; Amidei, D; Amor Dos Santos, S P; Amorim, A; Amoroso, S; Amram, N; Amundsen, G; Anastopoulos, C; Ancu, L S; Andari, N; Andeen, T; Anders, C F; Anders, G; Anderson, K J; Andreazza, A; Andrei, V; Angelidakis, S; Angelozzi, I; Anger, P; Angerami, A; Anghinolfi, </t>
  </si>
  <si>
    <t>https://pubmed.ncbi.nlm.nih.gov/26269691</t>
  </si>
  <si>
    <t>A search for the Standard Model Higgs boson produced in association with a top-quark pair, [Formula: see text], is presented. The analysis uses 20.3 fb&lt;sup&gt;-1&lt;/sup&gt; of &lt;i&gt;pp&lt;/i&gt; collision data at [Formula: see text], collected with the ATLAS detector at the Large Hadron Collider during 2012. The search is designed for the [Formula: see text] decay mode and uses events containing one or two electrons or muons. In order to improve the sensitivity of the search, events are categorised according to their jet and &lt;i&gt;b&lt;/i&gt;-tagged jet multiplicities. A neural network is used to discriminate between signal and background events, the latter being dominated by [Formula: see text]+jets production. In the single-lepton channel, variables calculated using a matrix element method are included as inputs to the neural network to improve discrimination of the irreducible [Formula: see text] background. No significant excess of events above the background expectation is found and an observed (expected) limit of 3.4 (2.2) times the Standard Model cross section is obtained at 95 % confidence level. The ratio of the measured [Formula: see text] signal cross section to the Standard Model expectation is found to be [Formula: see text] assuming a Higgs boson mass of 125[Formula: see text].</t>
  </si>
  <si>
    <t>D-dimer for the exclusion of cerebral venous thrombosis: a meta-analysis of low risk patients with isolated headache.</t>
  </si>
  <si>
    <t>Alons, Imanda M E; Jellema, Korné; Wermer, Marieke J H; Algra, Ale</t>
  </si>
  <si>
    <t>https://pubmed.ncbi.nlm.nih.gov/26215857</t>
  </si>
  <si>
    <t>Patients with isolated headache may have cerebral venous thrombosis (CVT). D-dimers are proven sensitive in excluding deep venous thrombosis (DVT) and pulmonary embolism (PE) in low risk patients. We aimed to determine whether D-dimer may play the same role in low risk CVT patients with isolated headache. We included consecutive patients suspected of CVT from our teaching hospital with isolated headache, a normal neurological examination and normal standard head CT in whom D-dimer was determined. Additionally we did a systematic review on articles describing consecutive patients suspected of CVT with isolated headache and their D-dimer values. CVT was investigated with CT or MR venography in all patients. A total of 636 consecutive patients were collected from our own data and the literature search. Of 45 CVT patients one had a negative D-dimer (7.5 %). Sensitivity of D-dimer for diagnosing CVT was 97.8 % (95 % CI: 88.2-99.6 %), specificity was 84.9 % (95 % CI: 81.8-87.7 %), positive predictive value was 33.1 % (95 % CI: 25.2-41.7 %), negative predictive value was 99.8 % (95 % CI: 98.9-100 %). Another 56 isolated headache CVT patients were identified in literature, lacking consecutive isolated headache controls. Sensitivity of D-dimer for diagnosing CVT including these patients was 87.1 % (95 % CI: 79.0-93.0 %). D-dimers have a high negative predictive value in patients with isolated headache for excluding CVT. Sensitivity is lower but comparable to the values accepted in PE and DVT. Low risk patients were defined as headache patients with a normal neurological examination, normal standard head CT and absence of risk factors such as pregnancy or puerperium. Normal D-dimers in these patients may reduce unnecessary imaging, making it a potential valuable marker.</t>
  </si>
  <si>
    <t>Serum biomarkers for the early diagnosis of TIA: The MIND-TIA study protocol.</t>
  </si>
  <si>
    <t>Dolmans, L Servaas; Rutten, Frans H; El Bartelink, Marie-Louise; Seppenwoolde, Gerdien; van Delft, Sanne; Kappelle, L Jaap; Hoes, Arno W</t>
  </si>
  <si>
    <t>https://pubmed.ncbi.nlm.nih.gov/26215720</t>
  </si>
  <si>
    <t>A Transient Ischaemic Attack (TIA) bears a high risk of a subsequent ischaemic stroke. Adequate diagnosis of a TIA should be followed immediately by the start of appropriate preventive therapy, including antiplatelets. The diagnosis of a TIA based on symptoms and signs only is notoriously difficult and biomarkers of brain ischaemia might improve the recognition, and target management and prognosis of TIA patients. Our aim is to quantify the added diagnostic value of serum biomarkers of brain ischaemia in patients suspected of TIA. a cross-sectional diagnostic accuracy study with an additional six month follow-up period. 350 patients suspected of TIA in the primary care setting. Patients suspected of a TIA will be recruited by at least 200 general practitioners (GPs) in the catchment area of seven TIA outpatient clinics willing to participate in the study. In all patients a blood sample will be drawn as soon as possible after the patient has contacted the GP, but at least within 72 h after onset of symptoms. Participants will be referred by the GP to the regional TIA outpatient clinic for additional investigations, including brain imaging. The 'definite' diagnosis (reference standard) will be made by a panel consisting of three experienced neurologists who will use all available diagnostic information and the clinical information obtained during the outpatient clinic assessment, and a six month follow-up period. The diagnostic accuracy, and value in addition to signs and symptoms of candidate serum biomarkers will be assessed in terms of discrimination with C statistics, and calibration with plots. We aim to include 350 suspected cases, with 250 patients with indeed definite TIA (or minor stroke) according to the panel. We hope to find novel biomarkers that will enable a rapid and accurate diagnosis of TIA. This would largely improve the management and prognosis of such patients. ClinicalTrials.gov Identifier NCT01954329.</t>
  </si>
  <si>
    <t>Childhood maltreatment modifies the relationship of depression with hippocampal volume.</t>
  </si>
  <si>
    <t>Gerritsen, L; van Velzen, L; Schmaal, L; van der Graaf, Y; van der Wee, N; van Tol, M-J; Penninx, B; Geerlings, M</t>
  </si>
  <si>
    <t>https://pubmed.ncbi.nlm.nih.gov/26204801</t>
  </si>
  <si>
    <t>Childhood maltreatment (CM) may modify the relationship between major depressive disorder (MDD) and hippocampal volume reduction. To disentangle the impact of MDD and CM on hippocampal volume we investigated the association between MDD and hippocampal volume in persons with and without a history of CM in two independent cohorts. We used data of 262 participants from the Netherlands Study of Depression and Anxiety (NESDA) (mean age 37 years, 32% male) and 636 participants from the SMART-Medea study (mean age 61 years, 81% male). In both studies a 12-month diagnosis of MDD and CM were assessed using a diagnostic interview. Hippocampal volume was measured in NESDA using FreeSurfer software on 3-T magnetic resonance (MR) images and in SMART it was manually outlined on 1.5-T MR images. With analysis of covariance adjusted for intracranial volume, age, gender and lifestyle factors we estimated the effects of MDD and CM on hippocampal volume. In both cohorts CM was not significantly associated with hippocampal volume. After pooling the data MDD was associated with smaller hippocampal volume (B = -138.90 mm(3), p = 0.05) and the interaction between MDD and CM reached significance (p = 0.04); in participants with CM, MDD was related to smaller hippocampal volume (NESDA: B = -316.8 mm(3), p = 0.02; SMART: B = -407.6, p = 0.046), but not in participants without CM (p &gt; 0.05). Our study shows that in two independent cohorts, particularly in individuals with CM, a diagnosis of MDD is related to smaller hippocampal volume. Prospective studies are needed to further determine through which mechanism CM may amplify the relationship between MDD and hippocampal volume.</t>
  </si>
  <si>
    <t>Incidence and persistence of carcinogenic genital human papillomavirus infections in young women with or without Chlamydia trachomatis co-infection.</t>
  </si>
  <si>
    <t>Vriend, Henrike J; Bogaards, Johannes A; van Bergen, Jan E A M; Brink, Antoinette A T P; van den Broek, Ingrid V F; Hoebe, Christian J P A; King, Audrey J; van der Sande, Marianne A B; Wolffs, Petra F G; de Melker, Hester E; ,</t>
  </si>
  <si>
    <t>https://pubmed.ncbi.nlm.nih.gov/26194784</t>
  </si>
  <si>
    <t>We assessed whether infection with chlamydia increases the incidence of carcinogenic human papillomavirus (HPV) infections and if HPV persistence is affected by chlamydia co-infection. For 1982 women (16-29 years-old) participating in two consecutive rounds of a chlamydia screening implementation trial, swabs were polymerase chain reaction tested to detect chlamydia and 14 carcinogenic HPV genotypes. HPV type-specific incidence and persistence rates were stratified for chlamydia positivity at follow-up. Associations were assessed by multilevel logistic regression analyses with correction for sexual risk factors. HPV type-specific incidence ranged from 1.4% to 8.9% and persistence from 22.7% to 59.4% after a median follow-up of 11 months (interquartile range: 11-12). Differences in 1-year HPV persistence rates between chlamydia -infected and noninfected women were less distinct than differences in HPV incidence rates (pooled adjusted odds ratios of 1.17 [95% CI: 0.69-1.96] and 1.84 [95% CI: 1.36-2.47], respectively). The effect of chlamydia co-infection on HPV-infection risk did not significantly differ by HPV genotype. In conclusion, infection with chlamydia increases the risk of infection by carcinogenic HPV types and may enhance persistence of some HPV types. Although these findings could reflect residual confounding through unobserved risk factors, our results do give reason to explore more fully the association between chlamydia and HPV type-specific acquisition and persistence.</t>
  </si>
  <si>
    <t>The scrutiny of identifying community-acquired pneumonia episodes quantified bias in absolute effect estimation in a population-based pneumococcal vaccination trial.</t>
  </si>
  <si>
    <t>van Werkhoven, Cornelis H; Huijts, Susanne M; Paling, Fleur P; Bonten, Marc J M</t>
  </si>
  <si>
    <t>https://pubmed.ncbi.nlm.nih.gov/26197241</t>
  </si>
  <si>
    <t>To determine the accurateness of detecting community-acquired pneumonia (CAP) in the Community-Acquired Pneumonia immunization Trial in Adults (CAPiTA), a community-based, double-blind, randomized placebo-controlled trial in which the needed to treat (NNT) for prevention of vaccine-type pneumococcal CAP was 1,007 [95% confidence interval (CI): 613, 2,646]. Study participants developing pneumonia were identified in 58 participating hospitals by research nurses (RNs) using local-adapted protocols. In addition, general practitioner (GP) records were screened for hospital referrals for suspected pneumonia. Two independent reviewers determined reasons for not identifying pneumonia episodes, and the NNT adjusted for missed episodes was estimated. Of 2,183 hospital referrals with suspected pneumonia detected in GP records, 232 (11%) were admitted outside established screening routes and 102 (5%) were not suspected of pneumonia on admission. Of the remaining 1,849 episodes, 1,374 (63% of all episodes and 74% of identifiable episodes) were identified by RNs. Several causes of missing episodes were identified. After adjustment for missed episodes, the NNT reduced to 634 (95% CI: 386, 1,675). With the screening procedure, 63% of suspected pneumonia episodes were identified, and the estimated NNT reduced from 1,007 to 634. Root cause analysis of unidentified episodes provides guidance for improving pneumonia detection in future trials.</t>
  </si>
  <si>
    <t>Search for invisible decays of the Higgs boson produced in association with a hadronically decaying vector boson in &lt;i&gt;pp&lt;/i&gt; collisions at [Formula: see text] TeV with the ATLAS detector.</t>
  </si>
  <si>
    <t>https://pubmed.ncbi.nlm.nih.gov/26213489</t>
  </si>
  <si>
    <t>A search for Higgs boson decays to invisible particles is performed using 20.3 [Formula: see text] of &lt;i&gt;pp&lt;/i&gt; collision data at a centre-of-mass energy of 8 TeV recorded by the ATLAS detector at the Large Hadron Collider. The process considered is Higgs boson production in association with a vector boson ([Formula: see text] or &lt;i&gt;Z&lt;/i&gt;) that decays hadronically, resulting in events with two or more jets and large missing transverse momentum. No excess of candidates is observed in the data over the background expectation. The results are used to constrain &lt;i&gt;VH&lt;/i&gt; production followed by &lt;i&gt;H&lt;/i&gt; decaying to invisible particles for the Higgs boson mass range [Formula: see text] GeV. The 95 % confidence-level observed upper limit on [Formula: see text] varies from 1.6 pb at 115 GeV to 0.13 pb at 300 GeV. Assuming Standard Model production and including the [Formula: see text] contribution as signal, the results also lead to an observed upper limit of 78 % at 95 % confidence level on the branching ratio of Higgs bosons decays to invisible particles at a mass of 125 GeV.</t>
  </si>
  <si>
    <t>Constraints on the off-shell Higgs boson signal strength in the high-mass &lt;i&gt;ZZ&lt;/i&gt; and &lt;i&gt;WW&lt;/i&gt; final states with the ATLAS detector.</t>
  </si>
  <si>
    <t>,; 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Amako, K; Amaral Coutinho, Y; Amelung, C; Amidei, D; Amor Dos Santos, S P; Amorim, A; Amoroso, S; Amram, N; Amundsen, G; Anastopoulos, C; Ancu, L S; Andari, N; Andeen, T; Anders, C F; Anders, G; Anderson, K J; Andreazza, A; Andrei, V; Angelidakis, S; Angelozzi, I; Anger, P; Angerami, A; Anghinolf</t>
  </si>
  <si>
    <t>https://pubmed.ncbi.nlm.nih.gov/26213488</t>
  </si>
  <si>
    <t>Measurements of the &lt;i&gt;ZZ&lt;/i&gt; and &lt;i&gt;WW&lt;/i&gt; final states in the mass range above the [Formula: see text] and [Formula: see text] thresholds provide a unique opportunity to measure the off-shell coupling strength of the Higgs boson. This paper presents constraints on the off-shell Higgs boson event yields normalised to the Standard Model prediction (signal strength) in the [Formula: see text], [Formula: see text] and [Formula: see text] final states. The result is based on &lt;i&gt;pp&lt;/i&gt; collision data collected by the ATLAS experiment at the LHC, corresponding to an integrated luminosity of 20.3 fb[Formula: see text] at a collision energy of [Formula: see text] TeV. Using the [Formula: see text] method, the observed 95 [Formula: see text] confidence level (CL) upper limit on the off-shell signal strength is in the range 5.1-8.6, with an expected range of 6.7-11.0. In each case the range is determined by varying the unknown [Formula: see text] and [Formula: see text] background K-factor from higher-order quantum chromodynamics corrections between half and twice the value of the known signal K-factor. Assuming the relevant Higgs boson couplings are independent of the energy scale of the Higgs boson production, a combination with the on-shell measurements yields an observed (expected) 95 [Formula: see text] CL upper limit on [Formula: see text] in the range 4.5-7.5 (6.5-11.2) using the same variations of the background K-factor. Assuming that the unknown [Formula: see text] background K-factor is equal to the signal K-factor, this translates into an observed (expected) 95 [Formula: see text] CL upper limit on the Higgs boson total width of 22.7 (33.0) MeV.</t>
  </si>
  <si>
    <t>Measurement of the top quark mass in the [Formula: see text] and [Formula: see text] channels using [Formula: see text] [Formula: see text] ATLAS data.</t>
  </si>
  <si>
    <t>,; 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t>
  </si>
  <si>
    <t>https://pubmed.ncbi.nlm.nih.gov/26213487</t>
  </si>
  <si>
    <t>Two decades of do-not-resuscitate decisions in the Netherlands.</t>
  </si>
  <si>
    <t>Geijteman, Eric C T; Brinkman-Stoppelenburg, Arianne; Onwuteaka-Philipsen, Bregje D; van der Heide, Agnes; van Delden, Johannes J M</t>
  </si>
  <si>
    <t>resuscitation</t>
  </si>
  <si>
    <t>https://pubmed.ncbi.nlm.nih.gov/26193377</t>
  </si>
  <si>
    <t>Evidence of Wγγ Production in pp Collisions at sqrt[s]=8  TeV and Limits on Anomalous Quartic Gauge Couplings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</si>
  <si>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t>
  </si>
  <si>
    <t>https://pubmed.ncbi.nlm.nih.gov/26230784</t>
  </si>
  <si>
    <t>This Letter reports evidence of triple gauge boson production pp→W(ℓν)γγ+X, which is accessible for the first time with the 8 TeV LHC data set. The fiducial cross section for this process is measured in a data sample corresponding to an integrated luminosity of 20.3  fb^{-1}, collected by the ATLAS detector in 2012. Events are selected using the W boson decay to eν or μν as well as requiring two isolated photons. The measured cross section is used to set limits on anomalous quartic gauge couplings in the high diphoton mass region.</t>
  </si>
  <si>
    <t>No Added Value of Novel Biomarkers in the Diagnostic Assessment of Patients Suspected of Acute Coronary Syndrome.</t>
  </si>
  <si>
    <t>Poldervaart, Judith M; Röttger, Emma; Dekker, Marieke S; Zuithoff, Nicolaas P A; Verheggen, Peter W H M; de Vrey, Evelyn A; Wildbergh, Thierry X; van 't Hof, Arnoud W J; Mosterd, Arend; Hoes, Arno W</t>
  </si>
  <si>
    <t>https://pubmed.ncbi.nlm.nih.gov/26177390</t>
  </si>
  <si>
    <t>Despite the availability of high-sensitive troponin (hs-cTnT), there is still room for improvement in the diagnostic assessment of patients suspected of acute coronary syndrome (ACS). Apart from serial biomarker testing, which is time-consuming, novel biomarkers like copeptin have been proposed to expedite the early diagnosis of suspected ACS in addition to hs-cTnT. We determined whether placenta derived growth factor (PlGF), soluble Fms-like tyrosine kinase 1 (sFlt-1), myoglobin, N-terminal prohormone B-type Natriuretic Peptide (NT-proBNP), growth-differentiation factor 15 (GDF-15) and copeptin improved early assessment of chest pain patients. This prospective, single centre diagnostic FAME-ER study included patients presenting to the ED with symptoms suggestive of ACS. Blood was collected to measure biomarkers, notably, hs-cTnT was retrospectively assessed. Added value of markers was judged by increase in AUC using multivariable logistic regression. Of 453 patients enrolled, 149 (33%) received a final diagnosis of ACS. Hs-cTnT had the highest diagnostic value in both univariable and multivariable analysis. PPVs of the biomarkers ranged from 23.5% (PlGF) to 77.9% (hs-cTnT), NPVs from 67.0% (PlGF) to 86.4% (hs-cTnT). Only myoglobin yielded diagnostic value in addition to clinical symptoms and electrocardiography (ECG) (AUC of clinical model 0.80) with AUC of 0.84 (p&lt;0.001). However, addition of hs-cTnT was superior (AUC 0.89, p&lt;0.001). Addition of the biomarkers to our clinical model and hs-cTnT did not or only marginally (GDF-15) improved diagnostic performance. When assessing patients suspected of ACS, only myoglobin had added diagnostic value beyond clinical symptoms and ECG. However, when combined with hs-cTnT, it yields no additional diagnostic value. PlGF, sFlt-1, NT-proBNP, GDF-15 and copeptin had no added value to the clinical model or hs-cTnT.</t>
  </si>
  <si>
    <t>Carotid intima-media thickness progression and risk of vascular events in people with diabetes: results from the PROG-IMT collaboration.</t>
  </si>
  <si>
    <t>Lorenz, Matthias W; Price, Jackie F; Robertson, Christine; Bots, Michiel L; Polak, Joseph F; Poppert, Holger; Kavousi, Maryam; Dörr, Marcus; Stensland, Eva; Ducimetiere, Pierre; Ronkainen, Kimmo; Kiechl, Stefan; Sitzer, Matthias; Rundek, Tatjana; Lind, Lars; Liu, Jing; Bergström, Göran; Grigore, Liliana; Bokemark, Lena; Friera, Alfonsa; Yanez, David; Bickel, Horst; Ikram, M Arfan; Völzke, Henry; Johnsen, Stein Harald; Empana, Jean Philippe; Tuomainen, Tomi-Pekka; Willeit, Peter; Steinmetz, Helmuth; Desvarieux, Moise; Xie, Wuxiang; Schmidt, Caroline; Norata, Giuseppe D; Suarez, Carmen; Sander, Dirk; Hofman, Albert; Schminke, Ulf; Mathiesen, Ellisiv; Plichart, Matthieu; Kauhanen, Jussi; Willeit, Johann; Sacco, Ralph L; McLachlan, Stela; Zhao, Dong; Fagerberg, Björn; Catapano, Alberico L; Gabriel, Rafael; Franco, Oscar H; Bülbül, Alpaslan; Scheckenbach, Frank; Pflug, Anja; Gao, Lu; Thompson, Simon G</t>
  </si>
  <si>
    <t>https://pubmed.ncbi.nlm.nih.gov/26180107</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</si>
  <si>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</si>
  <si>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Epidemiology, Management, and Risk-Adjusted Mortality of ICU-Acquired Enterococcal Bacteremia.</t>
  </si>
  <si>
    <t>Ong, David S Y; Bonten, Marc J M; Safdari, Khatera; Spitoni, Cristian; Frencken, Jos F; Witteveen, Esther; Horn, Janneke; Klein Klouwenberg, Peter M C; Cremer, Olaf L; ,</t>
  </si>
  <si>
    <t>https://pubmed.ncbi.nlm.nih.gov/26179013</t>
  </si>
  <si>
    <t>Enterococcal bacteremia has been associated with high case fatality, but it remains unknown to what extent death is caused by these infections. We therefore quantified attributable mortality of intensive care unit (ICU)-acquired bacteremia caused by enterococci. From 2011 to 2013 we studied consecutive patients who stayed &gt;48 hours in 2 tertiary ICUs in the Netherlands, using competing risk survival regression and marginal structural modeling to estimate ICU mortality caused by enterococcal bacteremia. Among 3080 admissions, 266 events of ICU-acquired bacteremia occurred in 218 (7.1%) patients, of which 76 were caused by enterococci (incidence rate, 3.0 per 1000 patient-days at risk; 95% confidence interval [CI], 2.3-3.7). A catheter-related bloodstream infection (CRBSI) was suspected in 44 (58%) of these, prompting removal of 68% of indwelling catheters and initiation of antibiotic treatment for a median duration of 3 (interquartile range 1-7) days. Enterococcal bacteremia was independently associated with an increased case fatality rate (adjusted subdistribution hazard ratio [SHR], 2.68; 95% CI, 1.44-4.98). However, for patients with CRBSI, case fatality was similar for infections caused by enterococci and coagulase-negative staphylococci (CoNS; adjusted SHR, 0.91; 95% CI, .50-1.67). Population-attributable fraction of mortality was 4.9% (95% CI, 2.9%-6.9%) by day 90, reflecting a population-attributable risk of 0.8% (95% CI, .4%-1.1%). ICU-acquired enterococcal bacteremia is associated with increased case fatality; however, the mortality attributable to these infections is low from a population perspective. The virulence of enterococci and CoNS in a setting of CRBSI seems comparable.</t>
  </si>
  <si>
    <t>Undiagnosed cognitive impairment, health status and depressive symptoms in patients with type 2 diabetes.</t>
  </si>
  <si>
    <t>Koekkoek, Paula S; Biessels, Geert Jan; Kooistra, Minke; Janssen, Jolien; Kappelle, L Jaap; Rutten, Guy E H M; ,</t>
  </si>
  <si>
    <t>https://pubmed.ncbi.nlm.nih.gov/26281970</t>
  </si>
  <si>
    <t>Type 2 diabetes (T2DM) is associated with cognitive impairment. We examined whether undiagnosed cognitive impairment in T2DM-patients is associated with a reduced health status and depressive symptoms. In an observational study, 225 T2DM-patients aged ≥70years were examined at their homes and (some of them) at a memory clinic for undiagnosed cognitive impairment (dementia or mild cognitive impairment [MCI], defined according to internationally accepted criteria). Questionnaires assessing health status (SF-36, EQ-5D, EQ-VAS) and depressive symptoms (CES-D) were filled out. Health status and depressive symptoms were compared between patients with and without cognitive impairment. Patients with cognitive impairment (n=57) showed significantly lower scores on the physical and mental summary scores of the SF-36 than patients with normal cognition (difference: 3.5 (95%-CI 0.7-6.3, p=0.02, effect size 0.41) and 2.9 (95%-CI 0.3-5.6; p=0.03, effect size 0.37). EQ-5D index and EQ-VAS scores were significantly lower in patients with cognitive impairment. Depression (CES-D≥16) occurred almost twice as often in patients with cognitive impairment (RR 1.8; 95%-CI: 1.1-3.0). Undiagnosed cognitive impairment in T2DM-patients is associated with a reduced health status and more depressive symptoms. Detection of cognitive impairment in T2DM-patients identifies a vulnerable patient group that could benefit from tailored treatment and care.</t>
  </si>
  <si>
    <t>Smoking and All-cause Mortality in Older Adults: Results From the CHANCES Consortium.</t>
  </si>
  <si>
    <t>Müezzinler, Aysel; Mons, Ute; Gellert, Carolin; Schöttker, Ben; Jansen, Eugène; Kee, Frank; O'Doherty, Mark G; Kuulasmaa, Kari; Freedman, Neal D; Abnet, Christian C; Wolk, Alicja; Håkansson, Niclas; Orsini, Nicola; Wilsgaard, Tom; Bueno-de-Mesquita, Bas; van der Schouw, Yvonne T; Peeters, Petra H M; de Groot, Lisette C P G M; Peters, Annette; Orfanos, Philippos; Linneberg, Allan; Pisinger, Charlotta; Tamosiunas, Abdonas; Baceviciene, Migle; Luksiene, Dalia; Bernotiene, Gailute; Jousilahti, Pekka; Petterson-Kymmer, Ulrika; Jansson, Jan Håkan; Söderberg, Stefan; Eriksson, Sture; Jankovic, Nicole; Sánchez, María-José; Veronesi, Giovanni; Sans, Susana; Drygas, Wojciech; Trichopoulou, Antonia; Boffetta, Paolo; Brenner, Hermann</t>
  </si>
  <si>
    <t>american journal of preventive medicine</t>
  </si>
  <si>
    <t>https://pubmed.ncbi.nlm.nih.gov/26188685</t>
  </si>
  <si>
    <t>Smoking is known to be a major cause of death among middle-aged adults, but evidence on its impact and the benefits of smoking cessation among older adults has remained limited. Therefore, we aimed to estimate the influence of smoking and smoking cessation on all-cause mortality in people aged ≥60 years. Relative mortality and mortality rate advancement periods (RAPs) were estimated by Cox proportional hazards models for the population-based prospective cohort studies from Europe and the U.S. (CHANCES [Consortium on Health and Ageing: Network of Cohorts in Europe and the U.S.]), and subsequently pooled by individual participant meta-analysis. Statistical analyses were performed from June 2013 to March 2014. A total of 489,056 participants aged ≥60 years at baseline from 22 population-based cohort studies were included. Overall, 99,298 deaths were recorded. Current smokers had 2-fold and former smokers had 1.3-fold increased mortality compared with never smokers. These increases in mortality translated to RAPs of 6.4 (95% CI=4.8, 7.9) and 2.4 (95% CI=1.5, 3.4) years, respectively. A clear positive dose-response relationship was observed between number of currently smoked cigarettes and mortality. For former smokers, excess mortality and RAPs decreased with time since cessation, with RAPs of 3.9 (95% CI=3.0, 4.7), 2.7 (95% CI=1.8, 3.6), and 0.7 (95% CI=0.2, 1.1) for those who had quit &lt;10, 10 to 19, and ≥20 years ago, respectively. Smoking remains as a strong risk factor for premature mortality in older individuals and cessation remains beneficial even at advanced ages. Efforts to support smoking abstinence at all ages should be a public health priority.</t>
  </si>
  <si>
    <t>Alcohol intake and breast cancer in the European prospective investigation into cancer and nutrition.</t>
  </si>
  <si>
    <t>Romieu, Isabelle; Scoccianti, Chiara; Chajès, Véronique; de Batlle, Jordi; Biessy, Carine; Dossus, Laure; Baglietto, Laura; Clavel-Chapelon, Françoise; Overvad, Kim; Olsen, Anja; Tjønneland, Anne; Kaaks, Rudolf; Lukanova, Annekatrin; Boeing, Heiner; Trichopoulou, Antonia; Lagiou, Pagona; Trichopoulos, Dimitrios; Palli, Domenico; Sieri, Sabina; Tumino, Rosario; Vineis, Paolo; Panico, Salvatore; Bueno-de-Mesquita, H B As; van Gils, Carla H; Peeters, Petra H; Lund, Eiliv; Skeie, Guri; Weiderpass, Elisabete; Quirós García, José Ramón; Chirlaque, María-Dolores; Ardanaz, Eva; Sánchez, María-José; Duell, Eric J; Amiano, Pilar; Borgquist, Signe; Wirfält, Elisabet; Hallmans, Göran; Johansson, Ingegerd; Nilsson, Lena Maria; Khaw, Kay-Tee; Wareham, Nick; Key, Timothy J; Travis, Ruth C; Murphy, Neil; Wark, Petra A; Ferrari, Pietro; Riboli, Elio</t>
  </si>
  <si>
    <t>https://pubmed.ncbi.nlm.nih.gov/25677034</t>
  </si>
  <si>
    <t>Alcohol intake has been associated to breast cancer in pre and postmenopausal women; however results are inconclusive regarding tumor hormonal receptor status, and potential modifying factors like age at start drinking. Therefore, we investigated the relation between alcohol intake and the risk of breast cancer using prospective observational data from the European Prospective Investigation into Cancer and Nutrition (EPIC). Up to 334,850 women, aged 35-70 years at baseline, were recruited in ten European countries and followed up an average of 11 years. Alcohol intake at baseline and average lifetime alcohol intake were calculated from country-specific dietary and lifestyle questionnaires. The study outcomes were the Hazard ratios (HR) of developing breast cancer according to hormonal receptor status. During 3,670,439 person-years, 11,576 incident breast cancer cases were diagnosed. Alcohol intake was significantly related to breast cancer risk, for each 10 g/day increase in alcohol intake the HR increased by 4.2% (95% CI: 2.7-5.8%). Taking 0 to 5 g/day as reference, alcohol intake of &gt;5 to 15 g/day was related to a 5.9% increase in breast cancer risk (95% CI: 1-11%). Significant increasing trends were observed between alcohol intake and ER+/PR+, ER-/PR-, HER2- and ER-/PR-HER2- tumors. Breast cancer risk was stronger among women who started drinking prior to first full-time pregnancy. Overall, our results confirm the association between alcohol intake and both hormone receptor positive and hormone receptor negative breast tumors, suggesting that timing of exposure to alcohol drinking may affect the risk. Therefore, women should be advised to control their alcohol consumption.</t>
  </si>
  <si>
    <t>Dangers and opportunities of guidelines in the data-free zone.</t>
  </si>
  <si>
    <t>Bonten, Marc J M</t>
  </si>
  <si>
    <t>https://pubmed.ncbi.nlm.nih.gov/26187264</t>
  </si>
  <si>
    <t>Exploring Outcomes to Consider in Economic Evaluations of Health Promotion Programs: What Broader Non-Health Outcomes Matter Most?</t>
  </si>
  <si>
    <t>Benning, Tim M; Alayli-Goebbels, Adrienne F G; Aarts, Marie-Jeanne; Stolk, Elly; de Wit, G Ardine; Prenger, Rilana; Braakman-Jansen, Louise M A; Evers, Silvia M A A</t>
  </si>
  <si>
    <t>https://pubmed.ncbi.nlm.nih.gov/26169779</t>
  </si>
  <si>
    <t>Attention is increasing on the consideration of broader non-health outcomes in economic evaluations. It is unknown which non-health outcomes are valued as most relevant in the context of health promotion. The present study fills this gap by investigating the relative importance of non-health outcomes in a health promotion context. We investigated the relative importance of ten non-health outcomes of health promotion programs not commonly captured in QALYs. Preferences were elicited from a sample of the Dutch general public (N = 549) by means of a ranking task. These preferences were analyzed using Borda scores and rank-ordered logit models. The relative order of preference (from most to least important) was: self-confidence, insights into own (un)healthy behavior, perceived life control, knowledge about a certain health problem, social support, relaxation, better educational achievements, increased labor participation and work productivity, social participation, and a reduction in criminal behavior. The weight given to a particular non-health outcome was affected by the demographic variables age, gender, income, and education. Furthermore, in an open question, respondents mentioned a number of other relevant non-health outcomes, which we classified into outcomes relevant for the individual, the direct social environment, and for society as a whole. The study provides valuable insights in the non-health outcomes that are considered as most important by the Dutch general population. Ideally, researchers should include the most important non-health outcomes in economic evaluations of health promotion.</t>
  </si>
  <si>
    <t>Search for a Heavy Neutral Particle Decaying to eμ, eτ, or μτ in pp Collisions at sqrt[s]=8  TeV with the ATLAS Detector.</t>
  </si>
  <si>
    <t>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Angelidakis, S; Angelozzi, I; Anger, P; Angerami, A; Anghinolfi, F; Anisenkov, A V; An</t>
  </si>
  <si>
    <t>https://pubmed.ncbi.nlm.nih.gov/26230783</t>
  </si>
  <si>
    <t>This Letter presents a search for a heavy neutral particle decaying into an opposite-sign different-flavor dilepton pair, e^{±}μ^{∓}, e^{±}τ^{∓}, or μ^{±}τ^{∓} using 20.3  fb^{-1} of pp collision data at sqrt[s]=8  TeV collected by the ATLAS detector at the LHC. The numbers of observed candidate events are compatible with the standard model expectations. Limits are set on the cross section of new phenomena in two scenarios: the production of ν[over ˜]_{τ} in R-parity-violating supersymmetric models and the production of a lepton-flavor-violating Z^{'} vector boson.</t>
  </si>
  <si>
    <t>Are allergic multimorbidities and IgE polysensitization associated with the persistence or re-occurrence of foetal type 2 signalling? The MeDALL hypothesis.</t>
  </si>
  <si>
    <t>Bousquet, J; Anto, J M; Wickman, M; Keil, T; Valenta, R; Haahtela, T; Lodrup Carlsen, K; van Hage, M; Akdis, C; Bachert, C; Akdis, M; Auffray, C; Annesi-Maesano, I; Bindslev-Jensen, C; Cambon-Thomsen, A; Carlsen, K H; Chatzi, L; Forastiere, F; Garcia-Aymerich, J; Gehrig, U; Guerra, S; Heinrich, J; Koppelman, G H; Kowalski, M L; Lambrecht, B; Lupinek, C; Maier, D; Melén, E; Momas, I; Palkonen, S; Pinart, M; Postma, D; Siroux, V; Smit, H A; Sunyer, J; Wright, J; Zuberbier, T; Arshad, S H; Nadif, R; Thijs, C; Andersson, N; Asarnoj, A; Ballardini, N; Ballereau, S; Bedbrook, A; Benet, M; Bergstrom, A; Brunekreef, B; Burte, E; Calderon, M; De Carlo, G; Demoly, P; Eller, E; Fantini, M P; Hammad, H; Hohman, C; Just, J; Kerkhof, M; Kogevinas, M; Kull, I; Lau, S; Lemonnier, N; Mommers, M; Nawijn, M; Neubauer, A; Oddie, S; Pellet, J; Pin, I; Porta, D; Saes, Y; Skrindo, I; Tischer, C G; Torrent, M; von Hertzen, L</t>
  </si>
  <si>
    <t>https://pubmed.ncbi.nlm.nih.gov/25913421</t>
  </si>
  <si>
    <t>Allergic diseases [asthma, rhinitis and atopic dermatitis (AD)] are complex. They are associated with allergen-specific IgE and nonallergic mechanisms that may coexist in the same patient. In addition, these diseases tend to cluster and patients present concomitant or consecutive diseases (multimorbidity). IgE sensitization should be considered as a quantitative trait. Important clinical and immunological differences exist between mono- and polysensitized subjects. Multimorbidities of allergic diseases share common causal mechanisms that are only partly IgE-mediated. Persistence of allergic diseases over time is associated with multimorbidity and/or IgE polysensitization. The importance of the family history of allergy may decrease with age. This review puts forward the hypothesis that allergic multimorbidities and IgE polysensitization are associated and related to the persistence or re-occurrence of foetal type 2 signalling. Asthma, rhinitis and AD are manifestations of a common systemic immune imbalance (mesodermal origin) with specific patterns of remodelling (ectodermal or endodermal origin). This study proposes a new classification of IgE-mediated allergic diseases that allows the definition of novel phenotypes to (i) better understand genetic and epigenetic mechanisms, (ii) better stratify allergic preschool children for prognosis and (iii) propose novel strategies of treatment and prevention.</t>
  </si>
  <si>
    <t>Validity of at home model predictions as a proxy for personal exposure to radiofrequency electromagnetic fields from mobile phone base stations.</t>
  </si>
  <si>
    <t>Martens, Astrid L; Bolte, John F B; Beekhuizen, Johan; Kromhout, Hans; Smid, Tjabe; Vermeulen, Roel C H</t>
  </si>
  <si>
    <t>https://pubmed.ncbi.nlm.nih.gov/26176419</t>
  </si>
  <si>
    <t>Epidemiological studies on the potential health effects of RF-EMF from mobile phone base stations require efficient and accurate exposure assessment methods. Previous studies have demonstrated that the 3D geospatial model NISMap is able to rank locations by indoor and outdoor RF-EMF exposure levels. This study extends on previous work by evaluating the suitability of using NISMap to estimate indoor RF-EMF exposure levels at home as a proxy for personal exposure to RF-EMF from mobile phone base stations. For 93 individuals in the Netherlands we measured personal exposure to RF-EMF from mobile phone base stations during a 24h period using an EME-SPY 121 exposimeter. Each individual kept a diary from which we extracted the time spent at home and in the bedroom. We used NISMap to model exposure at the home address of the participant (at bedroom height). We then compared model predictions with measurements for the 24h period, when at home, and in the bedroom by the Spearman correlation coefficient (rsp) and by calculating specificity and sensitivity using the 90th percentile of the exposure distribution as a cutpoint for high exposure. We found a low to moderate rsp of 0.36 for the 24h period, 0.51 for measurements at home, and 0.41 for measurements in the bedroom. The specificity was high (0.9) but with a low sensitivity (0.3). These results indicate that a meaningful ranking of personal RF-EMF can be achieved, even though the correlation between model predictions and 24h personal RF-EMF measurements is lower than with at home measurements. However, the use of at home RF-EMF field predictions from mobile phone base stations in epidemiological studies leads to significant exposure misclassification that will result in a loss of statistical power to detect health effects.</t>
  </si>
  <si>
    <t>Cost-effectiveness of adult pneumococcal conjugate vaccination in the Netherlands.</t>
  </si>
  <si>
    <t>Mangen, Marie-Josée J; Rozenbaum, Mark H; Huijts, Susanne M; van Werkhoven, Cornelis H; Postma, Douwe F; Atwood, Mark; van Deursen, Anna M M; van der Ende, Arie; Grobbee, Diederick E; Sanders, Elisabeth A M; Sato, Reiko; Verheij, Theo J M; Vissink, Conrad E; Bonten, Marc J M; de Wit, G Ardine</t>
  </si>
  <si>
    <t>https://pubmed.ncbi.nlm.nih.gov/26160871</t>
  </si>
  <si>
    <t>The Community-Acquired Pneumonia Immunization Trial in Adults (CAPiTA) demonstrated the efficacy of 13-valent pneumococcal conjugate vaccine (PCV13) in preventing vaccine-type community-acquired pneumonia and vaccine-type invasive pneumococcal disease in elderly subjects. We examined the cost-effectiveness of PCV13 vaccination in the Netherlands. Using a Markov-type model, incremental cost-effectiveness ratios (ICER) of PCV13 vaccination in different age- and risk-groups for pneumococcal disease were evaluated using a societal perspective. Estimates of quality-adjusted life-years (QALYs), costs, vaccine efficacy and epidemiological data were based on the CAPiTA study and other prospective studies. The base-case was PCV13 vaccination of adults aged 65-74 years compared to no vaccination, assuming no net indirect effects in base-case due to paediatric 10-valent pneumococcal conjugate vaccine use. Analyses for age- and risk-group specific vaccination strategies and for different levels of hypothetical herd effects from a paediatric PCV programme were also conducted. The ICER for base-case was €8650 per QALY (95% CI 5750-17,100). Vaccination of high-risk individuals aged 65-74 years was cost-saving and extension to medium-risk individuals aged 65-74 years yielded an ICER of €2900. Further extension to include medium- and high-risk individuals aged ≥18 years yielded an ICER of €3100.PCV13 vaccination is highly cost-effective in the Netherlands. The transferability of our results to other countries depends upon vaccination strategies already implemented in those countries.</t>
  </si>
  <si>
    <t>Differential FDG-PET Uptake Patterns in Uninfected and Infected Central Prosthetic Vascular Grafts.</t>
  </si>
  <si>
    <t>Berger, P; Vaartjes, I; Scholtens, A; Moll, F L; De Borst, G J; De Keizer, B; Bots, M L; Blankensteijn, J D</t>
  </si>
  <si>
    <t>https://pubmed.ncbi.nlm.nih.gov/26164091</t>
  </si>
  <si>
    <t>(18)F-fluorodeoxyglucose (FDG) positron emission tomography (PET) scanning has been suggested as a means to detect vascular graft infections. However, little is known about the typical FDG uptake patterns associated with synthetic vascular graft implantation. The aim of the present study was to compare uninfected and infected central vascular grafts in terms of various parameters used to interpret PET images. From 2007 through 2013, patients in whom a FDG-PET scan was performed for any indication after open or endovascular central arterial prosthetic reconstruction were identified. Graft infection was defined as the presence of clinical or biochemical signs of graft infection with positive cultures or based on a combination of clinical, biochemical, and imaging parameters (other than PET scan data). All other grafts were deemed uninfected. PET images were analyzed using maximum systemic uptake value (SUVmax), tissue to background ratio (TBR), visual grading scale (VGS), and focality of FDG uptake (focal or homogenous). Twenty-seven uninfected and 32 infected grafts were identified. Median SUVmax was 3.3 (interquartile range [IQR] 2.0-4.2) for the uninfected grafts and 5.7 for the infected grafts (IQR 2.2-7.8). Mean TBR was 2.0 (IQR 1.4-2.5) and 3.2 (IQR 1.5-3.5), respectively. On VGS, 44% of the uninfected and 72% of the infected grafts were judged as a high probability for infection. Homogenous FDG uptake was noted in 74% of the uninfected and 31% of the infected grafts. Uptake patterns of uninfected and infected grafts showed a large overlap for all parameters. The patterns of FDG uptake for uninfected vascular grafts largely overlap with those of infected vascular grafts. This questions the value of these individual FDG-PET-CT parameters in identifying infected grafts.</t>
  </si>
  <si>
    <t>Search for supersymmetry in events containing a same-flavour opposite-sign dilepton pair, jets, and large missing transverse momentum in [Formula: see text] TeV &lt;i&gt;pp&lt;/i&gt; collisions with the ATLAS detector.</t>
  </si>
  <si>
    <t>https://pubmed.ncbi.nlm.nih.gov/26190940</t>
  </si>
  <si>
    <t>Two searches for supersymmetric particles in final states containing a same-flavour opposite-sign lepton pair, jets and large missing transverse momentum are presented. The proton-proton collision data used in these searches were collected at a centre-of-mass energy [Formula: see text] TeV by the ATLAS detector at the Large Hadron Collider and corresponds to an integrated luminosity of 20.3 fb[Formula: see text]. Two leptonic production mechanisms are considered: decays of squarks and gluinos with &lt;i&gt;Z&lt;/i&gt; bosons in the final state, resulting in a peak in the dilepton invariant mass distribution around the &lt;i&gt;Z&lt;/i&gt;-boson mass; and decays of neutralinos (e.g. [Formula: see text]), resulting in a kinematic endpoint in the dilepton invariant mass distribution. For the former, an excess of events above the expected Standard Model background is observed, with a significance of three standard deviations. In the latter case, the data are well-described by the expected Standard Model background. The results from each channel are interpreted in the context of several supersymmetric models involving the production of squarks and gluinos.</t>
  </si>
  <si>
    <t>Exposure to benzodiazepines (anxiolytics, hypnotics and related drugs) in seven European electronic healthcare databases: a cross-national descriptive study from the PROTECT-EU Project.</t>
  </si>
  <si>
    <t>Huerta, Consuelo; Abbing-Karahagopian, Victoria; Requena, Gema; Oliva, Belén; Alvarez, Yolanda; Gardarsdottir, Helga; Miret, Montserrat; Schneider, Cornelia; Gil, Miguel; Souverein, Patrick C; De Bruin, Marie L; Slattery, Jim; De Groot, Mark C H; Hesse, Ulrik; Rottenkolber, Marietta; Schmiedl, Sven; Montero, Dolores; Bate, Andrew; Ruigomez, Ana; García-Rodríguez, Luis Alberto; Johansson, Saga; de Vries, Frank; Schlienger, Raymond G; Reynolds, Robert F; Klungel, Olaf H; de Abajo, Francisco José</t>
  </si>
  <si>
    <t>https://pubmed.ncbi.nlm.nih.gov/26149383</t>
  </si>
  <si>
    <t>Studies on drug utilization usually do not allow direct cross-national comparisons because of differences in the respective applied methods. This study aimed to compare time trends in BZDs prescribing by applying a common protocol and analyses plan in seven European electronic healthcare databases. Crude and standardized prevalence rates of drug prescribing from 2001-2009 were calculated in databases from Spain, United Kingdon (UK), The Netherlands, Germany and Denmark. Prevalence was stratified by age, sex, BZD type [(using ATC codes), i.e. BZD-anxiolytics BZD-hypnotics, BZD-related drugs and clomethiazole], indication and number of prescription. Crude prevalence rates of BZDs prescribing ranged from 570 to 1700 per 10,000 person-years over the study period. Standardization by age and sex did not substantially change the differences. Standardized prevalence rates increased in the Spanish (+13%) and UK databases (+2% and +8%) over the study period, while they decreased in the Dutch databases (-4% and -22%), the German (-12%) and Danish (-26%) database. Prevalence of anxiolytics outweighed that of hypnotics in the Spanish, Dutch and Bavarian databases, but the reverse was shown in the UK and Danish databases. Prevalence rates consistently increased with age and were two-fold higher in women than in men in all databases. A median of 18% of users received 10 or more prescriptions in 2008. Although similar methods were applied, the prevalence of BZD prescribing varied considerably across different populations. Clinical factors related to BZDs and characteristics of the databases may explain these differences.</t>
  </si>
  <si>
    <t>Identifying Coronary Artery Disease in Asymptomatic Middle-Aged Sportsmen: The Additional Value of Pulse Wave Velocity.</t>
  </si>
  <si>
    <t>Braber, Thijs L; Prakken, Niek H J; Mosterd, Arend; Mali, Willem P Th M; Doevendans, Pieter A F M; Bots, Michiel L; Velthuis, Birgitta K</t>
  </si>
  <si>
    <t>https://pubmed.ncbi.nlm.nih.gov/26147752</t>
  </si>
  <si>
    <t>Cardiovascular screening may benefit middle-aged sportsmen, as coronary artery disease (CAD) is the main cause of exercise-related sudden cardiac death. Arterial stiffness, as measured by pulse wave velocity (PWV), may help identify sportsmen with subclinical CAD. We examined the additional value of PWV measurements to traditional CAD risk factors for identifying CAD. From the Measuring Athlete's Risk of Cardiovascular events (MARC) cohort of asymptomatic, middle-aged sportsmen who underwent low-dose Cardiac CT (CCT) after routine sports medical examination (SME), 193 consecutive sportsmen (aged 55 ± 6.6 years) were included with additional PWV measurements before CCT. Sensitivity, specificity and predictive values of PWV values (&gt;8.3 and &gt;7.5 m/s) assessed by Arteriograph were used to identify CAD (coronary artery calcium scoring ≥ 100 Agatston Units or coronary CT angiography luminal stenosis ≥ 50%) and to assess the additional diagnostic value of PWV to established cardiovascular risk factors. Forty-seven sportsmen (24%) had CAD on CCT. They were older (58.9 vs. 53.8 years, p&lt;0.001), had more hypertension (17 vs. 4%, p=0.003), higher cholesterol levels (5.7 vs. 5.4 mmol/l) p=0.048), and more often were (ever) smokers (55 vs. 34%, p=0.008). Mean PWV was higher in those with CAD (8.9 vs. 8.0 m/s, p=0.017). For PWV &gt;8.3m/s respectively &gt;7.5 m/s sensitivity to detect CAD on CT was 43% and 74%, specificity 69% and 45%, positive predictive value 31% and 30%, and negative predictive value 79% and 84%. Adding PWV to traditional risk factor models did not change the area under the curve (from 0.78 (95% CI = 0.709-0.848)) to AUC 0.78 (95% CI 0.710-0.848, p = 0.99)) for prediction of CAD on CCT. Limited additional value was found for PWV on top of established risk factors to identify CAD. PWV might still have a role to identify CAD in middle-aged sportsmen if risk factors such as cholesterol are unknown.</t>
  </si>
  <si>
    <t>Studying Hospitalizations and Mortality in the Netherlands: Feasible and Valid Using Two-Step Medical Record Linkage with Nationwide Registers.</t>
  </si>
  <si>
    <t>Sieswerda, Elske; Font-Gonzalez, Anna; Dijkgraaf, Marcel G W; Geskus, Ronald B; Heinen, Richard C; van der Pal, Helena J; van Leeuwen, Flora E; Caron, Huib N; Kremer, Leontien C; Reitsma, Johannes B</t>
  </si>
  <si>
    <t>https://pubmed.ncbi.nlm.nih.gov/26147988</t>
  </si>
  <si>
    <t>In the Netherlands, the postal code is needed to study hospitalizations of individuals in the nationwide hospitalization register. Studying hospitalizations longitudinally becomes troublesome if individuals change address. We aimed to report on the feasibility and validity of a two-step medical record linkage approach to examine longitudinal trends in hospitalizations and mortality in a study cohort. First, we linked a study cohort of 1564 survivors of childhood cancer with the Municipal Personal Records Database (GBA) which has postal code history and mortality data available. Within GBA, we sampled a reference population matched on year of birth, gender and calendar year. Second, we extracted hospitalizations from the Hospital Discharge Register (LMR) with a date of discharge during unique follow-up (based on date of birth, gender and postal code in GBA). We calculated the agreement of death and being hospitalized in survivors according to the registers and to available cohort data. We retrieved 1477 (94%) survivors from GBA. Median percentages of unique/potential follow-up were 87% (survivors) and 83% (reference persons). Characteristics of survivors and reference persons contributing to unique follow-up were comparable. Agreement of hospitalization during unique follow-up was 94% and agreement of death was 98%. In absence of unique identifiers in the Dutch hospitalization register, it is feasible and valid to study hospitalizations and mortality of individuals longitudinally using a two-step medical record linkage approach. Cohort studies in the Netherlands have the opportunity to study mortality and hospitalization rates over time. These outcomes provide insight into the burden of clinical events and healthcare use in studies on patients at risk of long-term morbidities.</t>
  </si>
  <si>
    <t>Prodromal Transient Ischemic Attack or Minor Stroke and Outcome in Basilar Artery Occlusion.</t>
  </si>
  <si>
    <t>Conforto, Adriana B; de Freitas, Gabriel R; Schonewille, Wouter J; Kappelle, L Jaap; Algra, Ale; ,</t>
  </si>
  <si>
    <t>https://pubmed.ncbi.nlm.nih.gov/26153508</t>
  </si>
  <si>
    <t>The presence of prodromal transient ischemic attacks (TIAs) has been associated with a favorable outcome in anterior circulation stroke. We aimed to determine the association between prodromal TIAs or minor stroke and outcomes at 1 month, in the Basilar Artery International Cooperation Study, a registry of patients presenting with an acute symptomatic and radiologically confirmed basilar artery occlusion. A total of 619 patients were enrolled in the registry. Information on prodromal TIAs was available for 517 patients and on prodromal stroke for 487 patients. We calculated risk ratios and corresponding 95% confidence intervals (CIs) for poor clinical outcome (modified Rankin Scale score ≥4) according to the variables of interest. Prodromal minor stroke was associated with poor outcome (crude risk ratio [cRR], 1.26; 95% CI, 1.12-1.42), but TIAs were not (cRR, .93; 95% CI, .79-1.09). These associations remained essentially the same after adjustment for confounding variables. Prodromal minor stroke was associated with an unfavorable outcome in patients with basilar artery occlusion, whereas prodromal TIA was not.</t>
  </si>
  <si>
    <t>Geographic variation in volumetric breast density between screening regions in the Netherlands.</t>
  </si>
  <si>
    <t>van der Waal, Daniëlle; Emaus, Marleen J; Bakker, Marije F; den Heeten, Gerard J; Karssemeijer, Nico; Pijnappel, Ruud M; Veldhuis, Wouter B; Verbeek, André L M; van Gils, Carla H; Broeders, Mireille J M</t>
  </si>
  <si>
    <t>https://pubmed.ncbi.nlm.nih.gov/26134996</t>
  </si>
  <si>
    <t>Differences in breast density between populations may explain part of the variation in regional breast cancer screening performance. This study aimed to determine whether regional differences in breast density distribution are present in the Dutch screening population. As part of the DENSE trial, mammographic density was measured using a fully-automated volumetric method. The regions in our study were based on the geographic coverage of 14 reading units representing a large part of the Netherlands. General linear models were used. Four hundred eighty-five thousand and twenty-one screening participants with a median age of 60 years were included (2013-2014). The proportion of women with heterogeneously or extremely dense breasts ranged from 32.5% to 45.7% between regions. Mean percent dense volume varied between 6.51% (95% confidence interval [CI]: 6.46-6.55) and 7.68% (95% CI: 7.66-7.71). Age differences could not explain the variation. Socio-economic status (SES) was positively associated with volumetric density in all analyses (low SES: 6.95% vs. high SES: 7.63%; p trend  &lt; 0.0001), whereas a potential association between urbanisation and breast density only became apparent after SES adjustment. There appears to be geographic variation in mammographic density in the Netherlands, emphasizing the importance of including breast density as parameter in the evaluation of screening performance. • Mammographic density may affect regional breast cancer screening performance. • Volumetric breast density varies across screening areas. • SES is positively associated with breast density. • Implications of volumetric breast density differences need to be studied further.</t>
  </si>
  <si>
    <t>The relation between the presence of cardiovascular disease and vascular risk factors in offspring and the occurrence of new vascular events in their parents already at high vascular risk.</t>
  </si>
  <si>
    <t>Weijmans, Maaike; van der Graaf, Yolanda; de Borst, Gert Jan; Asselbergs, Folkert W; Cramer, Maarten J; Algra, Ale; Visseren, Frank L J; ,</t>
  </si>
  <si>
    <t>https://pubmed.ncbi.nlm.nih.gov/26386798</t>
  </si>
  <si>
    <t>For parents at high risk for cardiovascular events, presence of cardiovascular disease or risk factors in their offspring may be an indicator of their genetic load or exposure to (unknown) risk factors and might be related to the development of new or recurrent vascular events. In 4,267 patients with vascular disease, hypertension, diabetes, or hypercholesterolemia enrolled in the SMART cohort, the presence of cardiovascular risk factors (hypertension, diabetes, hypercholesterolemia, smoking, or overweight) and cardiovascular disease (coronary artery disease, cerebrovascular disease, peripheral artery disease, or abdominal aortic aneurysm) was assessed in their 10,564 children. The relation between presence of cardiovascular disease or cardiovascular risk factors in their offspring and new or recurrent vascular events was determined by Cox proportional hazard analyses. Of the patients, 506 (12%) had offspring with cardiovascular disease, hypertension, hypercholesterolemia, or diabetes. Smoking in offspring was present in 1,972 patients (46%), and overweight in 845 patients (20%). During a median follow-up of 7.0 years (interquartile range 3.7-10.4), the composite outcome of myocardial infarction (MI), stroke, or vascular mortality occurred in 251 patients. Patients with offspring with cardiovascular disease, hypertension, hypercholesterolemia, or diabetes had an increased risk of vascular mortality (hazard ratio [HR] 2.9, 95% CI 1.2-7.1), MI (HR 1.6, 95% CI 1.1-2.5), and the composite outcome (HR 1.5, 95% CI 1.1-2.2). Diabetes in offspring was related to an increased risk of the composite outcome (HR 2.7, 95% CI 1.5-5.0), MI (HR 3.3, 95% CI 1.7-6.6), and vascular mortality (HR 3.4, 95% CI 0.8-14.8). Smoking and overweight in offspring were not related to increased vascular risk in parents. Presence of cardiovascular disease, hypertension, hypercholesterolemia, and diabetes in offspring, with diabetes mellitus being the most contributing cardiovascular risk factor, is related to an increased risk of developing new or subsequent vascular events in patients already at high vascular risk.</t>
  </si>
  <si>
    <t>Race/Ethnic Differences in the Associations of the Framingham Risk Factors with Carotid IMT and Cardiovascular Events.</t>
  </si>
  <si>
    <t>Gijsberts, Crystel M; Groenewegen, Karlijn A; Hoefer, Imo E; Eijkemans, Marinus J C; Asselbergs, Folkert W; Anderson, Todd J; Britton, Annie R; Dekker, Jacqueline M; Engström, Gunnar; Evans, Greg W; de Graaf, Jacqueline; Grobbee, Diederick E; Hedblad, Bo; Holewijn, Suzanne; Ikeda, Ai; Kitagawa, Kazuo; Kitamura, Akihiko; de Kleijn, Dominique P V; Lonn, Eva M; Lorenz, Matthias W; Mathiesen, Ellisiv B; Nijpels, Giel; Okazaki, Shuhei; O'Leary, Daniel H; Pasterkamp, Gerard; Peters, Sanne A E; Polak, Joseph F; Price, Jacqueline F; Robertson, Christine; Rembold, Christopher M; Rosvall, Maria; Rundek, Tatjana; Salonen, Jukka T; Sitzer, Matthias; Stehouwer, Coen D A; Bots, Michiel L; den Ruijter, Hester M</t>
  </si>
  <si>
    <t>https://pubmed.ncbi.nlm.nih.gov/26134404</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</si>
  <si>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</si>
  <si>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Identification and energy calibration of hadronically decaying tau leptons with the ATLAS experiment in &lt;i&gt;pp&lt;/i&gt; collisions at [Formula: see text][Formula: see text].</t>
  </si>
  <si>
    <t>https://pubmed.ncbi.nlm.nih.gov/26190938</t>
  </si>
  <si>
    <t>This paper describes the trigger and offline reconstruction, identification and energy calibration algorithms for hadronic decays of tau leptons employed for the data collected from &lt;i&gt;pp&lt;/i&gt; collisions in 2012 with the ATLAS detector at the LHC center-of-mass energy [Formula: see text] [Formula: see text]. The performance of these algorithms is measured in most cases with [Formula: see text] decays to tau leptons using the full 2012 dataset, corresponding to an integrated luminosity of 20.3 fb[Formula: see text]. An uncertainty on the offline reconstructed tau energy scale of 2-4 %, depending on transverse energy and pseudorapidity, is achieved using two independent methods. The offline tau identification efficiency is measured with a precision of 2.5 % for hadronically decaying tau leptons with one associated track, and of 4 % for the case of three associated tracks, inclusive in pseudorapidity and for a visible transverse energy greater than 20 [Formula: see text]. For hadronic tau lepton decays selected by offline algorithms, the tau trigger identification efficiency is measured with a precision of 2-8 %, depending on the transverse energy. The performance of the tau algorithms, both offline and at the trigger level, is found to be stable with respect to the number of concurrent proton-proton interactions and has supported a variety of physics results using hadronically decaying tau leptons at ATLAS.</t>
  </si>
  <si>
    <t>Design of the POINT study: Pharmacotherapy Optimisation through Integration of a Non-dispensing pharmacist in a primary care Team (POINT).</t>
  </si>
  <si>
    <t>Hazen, Ankie C M; Sloeserwij, Vivianne M; Zwart, Dorien L M; de Bont, Antoinette A; Bouvy, Marcel L; de Gier, Johan J; de Wit, Niek J; Leendertse, Anne J</t>
  </si>
  <si>
    <t>https://pubmed.ncbi.nlm.nih.gov/26135582</t>
  </si>
  <si>
    <t>In the Netherlands, 5.6 % of acute hospital admissions are medication-related. Almost half of these admissions are potentially preventable. Reviewing medication in patients at risk in primary care might prevent these hospital admissions. At present, implementation of medication reviews in primary care is suboptimal: pharmacists lack access to patient information, pharmacists are short of clinical knowledge and skills, and working processes of pharmacists (focus on dispensing) and general practitioners (focus on clinical practice) match poorly. Integration of the pharmacist in the primary health care team might improve pharmaceutical care outcomes. The aim of this study is to evaluate the effect of integration of a non-dispensing pharmacist in general practice on the safety of pharmacotherapy in the Netherlands. The POINT study is a non-randomised controlled intervention study with pre-post comparison in an integrated primary care setting. We compare three different models of pharmaceutical care provision in primary care: 1) a non-dispensing pharmacist as an integral member of a primary care team, 2) a pharmacist in a community pharmacy with a predefined training in performing medication reviews and 3) a pharmacist in a community pharmacy (care as usual). In all models, GPs remain accountable for individual medication prescription. In the first model, ten non-dispensing clinical pharmacists are posted in ten primary care practices (including 5 - 10 000 patients each) for a period of 15 months. These non-dispensing pharmacists perform patient consultations, including medication reviews, and share responsibility for the pharmaceutical care provided in the practice. The two other groups consist of ten primary care practices with collaborating pharmacists. The main outcome measurement is the number of medication-related hospital admissions during follow-up. Secondary outcome measurements are potential medication errors, drug burden index and costs. Parallel to this study, a qualitative study is conducted to evaluate the feasibility of introducing a NDP in general practice. As the POINT study is a large-scale intervention study, it should provide evidence as to whether integration of a non-dispensing clinical pharmacist in primary care will result in safer pharmacotherapy. The qualitative study also generates knowledge on the optimal implementation of this model in primary care. Results are expected in 2016. NTR4389 , The Netherlands National Trial Register, 07-01-2014.</t>
  </si>
  <si>
    <t>Search for new phenomena in final states with an energetic jet and large missing transverse momentum in &lt;i&gt;pp&lt;/i&gt; collisions at [Formula: see text]TeV with the ATLAS detector.</t>
  </si>
  <si>
    <t>https://pubmed.ncbi.nlm.nih.gov/26190936</t>
  </si>
  <si>
    <t>Results of a search for new phenomena in final states with an energetic jet and large missing transverse momentum are reported. The search uses 20.3 fb[Formula: see text] of [Formula: see text] TeV data collected in 2012 with the ATLAS detector at the LHC. Events are required to have at least one jet with [Formula: see text] GeV and no leptons. Nine signal regions are considered with increasing missing transverse momentum requirements between [Formula: see text] GeV and [Formula: see text] GeV. Good agreement is observed between the number of events in data and Standard Model expectations. The results are translated into exclusion limits on models with either large extra spatial dimensions, pair production of weakly interacting dark matter candidates, or production of very light gravitinos in a gauge-mediated supersymmetric model. In addition, limits on the production of an invisibly decaying Higgs-like boson leading to similar topologies in the final state are presented.</t>
  </si>
  <si>
    <t>Population Screening for Chronic Q-Fever Seven Years after a Major Outbreak.</t>
  </si>
  <si>
    <t>Morroy, Gabriëlla; van der Hoek, Wim; Albers, Jelle; Coutinho, Roel A; Bleeker-Rovers, Chantal P; Schneeberger, Peter M</t>
  </si>
  <si>
    <t>https://pubmed.ncbi.nlm.nih.gov/26132155</t>
  </si>
  <si>
    <t>From 2007 through 2010, the Netherlands experienced a large Q-fever epidemic, with 4,107 notifications. The most serious complication of Q-fever is chronic Q-fever. In 2014, we contacted all 2,161 adult inhabitants of the first village in the Netherlands affected by the Q-fever epidemic and offered to test for antibodies against Coxiella burnetii using immunofluorescence assay (IFA) to screen for chronic infections and assess whether large-scale population screening elsewhere is warranted. Of the 1,517 participants, 33.8% were IFA-positive. Six IFA-positive participants had an IgG phase I titer ≥1:512. Two of these six participants were previously diagnosed with chronic Q-fever. Chronic infection was diagnosed in one of the other four participants after clinical examination. Seven years after the initial outbreak, seroprevalence remains high, but the yield of screening the general population for chronic Q-fever is low. A policy of screening known high-risk groups for chronic Q-fever in outbreak areas directly following an outbreak might be more efficient than population screening. A cost-effectiveness analysis should also be performed before initiating a population screening program for chronic Q-fever.</t>
  </si>
  <si>
    <t>Relationship between recurrent miscarriage and early preterm delivery and recurrent events in patients with manifest vascular disease: The SMART study.</t>
  </si>
  <si>
    <t>Heida, Karst Y; Koster, Maria Ph; Franx, Arie; Veerbeek, Jan Hw; Westerink, Jan; Bots, Michiel L; Spiering, Wilko; ,</t>
  </si>
  <si>
    <t>https://pubmed.ncbi.nlm.nih.gov/26130496</t>
  </si>
  <si>
    <t>Women with a complication of pregnancy are at increased risk of cardiovascular morbidity and mortality later in life. Yet, information on risk of recurrent events in women with a previous cardiovascular event is lacking. We aimed to assess the relationship between early preterm delivery, (recurrent) miscarriage and the risk for recurrent cardiovascular events in women with manifest vascular disease. We included 1014 women with a mean age of 60 years from the SMART study, a prospective ongoing cohort study among subjects with clinically manifest vascular disease. The included women had a history of ≥1 pregnancy and were followed for the occurrence of subsequent vascular events. The relationship between the pregnancy complications ((miscarriage (gestational age &lt;14 weeks), recurrent miscarriage (≥3 miscarriages) and early preterm delivery (gestational age 14-32 weeks)) and cardiovascular morbidity and mortality were estimated using multivariable adjusted hazard ratios. During a mean follow-up of 5.0 years, 80 women had a recurrent cardiovascular event, of which 28 were fatal. A history of recurrent miscarriage was associated with an increased risk for a recurrent cardiovascular event (hazard ratio 4.3 95% confidence interval 1.7--10.9). In addition, early preterm delivery was related to a 4.1 (95% confidence interval 1.5--11.3) fold increased risk of cardiovascular death in women with previous cardiovascular disease. No statistically significant relationships were found for less than three miscarriages. In women with previous cardiovascular disease, an obstetric history of recurrent miscarriage is associated with an increased risk of recurrent cardiovascular morbidity and early preterm delivery with cardiovascular mortality.</t>
  </si>
  <si>
    <t>Risk patterns in drug safety study using relative times by accelerated failure time models when proportional hazards assumption is questionable: an illustrative case study of cancer risk of patients on glucose-lowering therapies.</t>
  </si>
  <si>
    <t>Ng, Edmond S-W; Klungel, Olaf H; Groenwold, Rolf H H; van Staa, Tjeerd-Pieter</t>
  </si>
  <si>
    <t>https://pubmed.ncbi.nlm.nih.gov/26123413</t>
  </si>
  <si>
    <t>Observational drug safety studies may be susceptible to confounding or protopathic bias. This bias may cause a spurious relationship between drug exposure and adverse side effect when none exists and may lead to unwarranted safety alerts. The spurious relationship may manifest itself through substantially different risk levels between exposure groups at the start of follow-up when exposure is deemed too short to have any plausible biological effect of the drug. The restrictive proportional hazards assumption with its arbitrary choice of baseline hazard function renders the commonly used Cox proportional hazards model of limited use for revealing such potential bias. We demonstrate a fully parametric approach using accelerated failure time models with an illustrative safety study of glucose-lowering therapies and show that its results are comparable against other methods that allow time-varying exposure effects. Our approach includes a wide variety of models that are based on the flexible generalized gamma distribution and allows direct comparisons of estimated hazard functions following different exposure-specific distributions of survival times. This approach lends itself to two alternative metrics, namely relative times and difference in times to event, allowing physicians more ways to communicate patient's prognosis without invoking the concept of risks, which some may find hard to grasp. In our illustrative case study, substantial differences in cancer risks at drug initiation followed by a gradual reduction towards null were found. This evidence is compatible with the presence of protopathic bias, in which undiagnosed symptoms of cancer lead to switches in diabetes medication.</t>
  </si>
  <si>
    <t>Determinants of attaining and maintaining a low cardiovascular risk profile--the Doetinchem Cohort Study.</t>
  </si>
  <si>
    <t>Hulsegge, Gerben; van der Schouw, Yvonne T; Daviglus, Martha L; Smit, Henriëtte A; Verschuren, W M Monique</t>
  </si>
  <si>
    <t>https://pubmed.ncbi.nlm.nih.gov/26130798</t>
  </si>
  <si>
    <t>While maintenance of a low cardiovascular risk profile is essential for cardiovascular disease (CVD) prevention, few people maintain a low CVD risk profile throughout their life. We studied the association of demographic, lifestyle, psychological factors and family history of CVD with attainment and maintenance of a low risk profile over three subsequent 5-year periods. Measurements of 6390 adults aged 26-65 years at baseline were completed from 1993 to 97 and subsequently at 5-year intervals until 2013. At each wave, participants were categorized into low risk profile (ideal levels of blood pressure, cholesterol and body mass index, non-smoking and no diabetes) and medium/high risk profile (all others). Multivariable-adjusted modified Poisson regression analyses were used to examine determinants of attainment and maintenance of low risk; risk ratios (RR) and 95% confidence intervals (95% CI) were obtained. Generalized estimating equations were used to combine multiple 5-year comparisons. Younger age, female gender and high educational level were associated with higher likelihood of both maintaining and attaining low risk profile (P &lt; 0.05). In addition, likelihood of attaining low risk was 9% higher with each 1-unit increment in Mediterranean diet score (RR: 1.09, 95% CI: 1.02-1.16), twice as high with any physical activity versus none (RR: 2.17, 95% CI: 1.16-4.04) and 35% higher with moderate alcohol consumption versus heavy consumption (RR: 1.35, 95% CI: 1.06-1.73). Healthy lifestyle factors such as adherence to a Mediterranean diet, physical activity and moderate as opposed to heavy alcohol consumption were associated with a higher likelihood of attaining a low risk profile.</t>
  </si>
  <si>
    <t>COPD in patients with stable heart failure in the primary care setting.</t>
  </si>
  <si>
    <t>Valk, Mark J; Broekhuizen, Berna D; Mosterd, Arend; Zuithoff, Nicolaas P; Hoes, Arno W; Rutten, Frans H</t>
  </si>
  <si>
    <t>https://pubmed.ncbi.nlm.nih.gov/26170650</t>
  </si>
  <si>
    <t>Presence of chronic obstructive pulmonary disease (COPD) in heart failure (HF) has prognostic and therapeutic implications. Exact prevalence estimates are lacking because most previous studies estimated the prevalence of COPD among HF patients while unstable and in the presence of pulmonary congestion. Community-dwelling patients with an established diagnosis of HF and in a stable phase of their disease were invited for spirometry. COPD was defined according to the Global initiative for chronic Obstructive Lung Disease (GOLD) classification and considered present if the ratio of the post-bronchodilator forced expiratory volume in 1 second and forced vital capacity was below 0.7. Thirty of the 106 patients with HF (mean age 76 [standard deviation] 11.9 years, 57% male) had COPD (prevalence 28.3% [95% confidence interval (CI) 19.7%-36.9%]), with similar rates among those with HF and a reduced ejection fraction (18 individuals; prevalence 28.6% [95% CI 20.0%-37.2%]) and HF with preserved ejection fraction (12 individuals; prevalence 27.9% [95% CI 19.4-36.4]). Twenty-one (70%) of the 30 participants were newly detected cases of COPD. More than a quarter of the patients with HF concomitantly have COPD, with the large majority being previously unrecognized. Coexistence of COPD should be considered more often in these patients.</t>
  </si>
  <si>
    <t>Carotid arterial stiffness and risk of incident cerebral microbleeds in older people: the Age, Gene/Environment Susceptibility (AGES)-Reykjavik study.</t>
  </si>
  <si>
    <t>Ding, Jie; Mitchell, Gary F; Bots, Michiel L; Sigurdsson, Sigurdur; Harris, Tamara B; Garcia, Melissa; Eiriksdottir, Gudny; van Buchem, Mark A; Gudnason, Vilmundur; Launer, Lenore J</t>
  </si>
  <si>
    <t>https://pubmed.ncbi.nlm.nih.gov/26112009</t>
  </si>
  <si>
    <t>Age and high blood pressure are major risk factors for cerebral microbleeds (CMBs). However, the underlying mechanisms remain unclear and arterial stiffness may be important. We investigated whether carotid arterial stiffness is associated with incidence and location of CMBs. In the prospective, population-based Age, Gene/Environment Susceptibility (AGES)-Reykjavik study, 2512 participants aged 66 to 93 years underwent a baseline brain MRI examination and carotid ultrasound in 2002 to 2006 and returned for a repeat brain MRI in 2007 to 2011. Common carotid arterial stiffness was assessed using a standardized protocol and expressed as carotid arterial strain, distensibility coefficient, and Young elastic modulus. Modified Poisson regression was applied to relate carotid arterial stiffness parameters to CMB incidence. During a mean follow-up of 5.2 years, 463 people (18.4%) developed new CMBs, of whom 292 had CMBs restricted to lobar regions and 171 had CMBs in a deep or infratentorial region. After adjusting for age, sex, and follow-up interval, arterial stiffness measures were associated with incident CMBs (risk ratio per SD decrease in carotid arterial strain, 1.11 [95% confidence interval, 1.01-1.21]; per SD decrease in natural log-transformed distensibility coefficient, 1.14 [1.05-1.24]; and per SD increase in natural log-transformed Young elastic modulus, 1.13 [1.04-1.23]). These measures were also significantly associated with incident deep CMBs (1.18 [1.02-1.37]; 1.24 [1.08-1.42]; and 1.23 [1.07-1.42]) but not with lobar CMBs. When further adjusted for blood pressure and other baseline vascular risk factors, carotid plaque, prevalent CMBs, subcortical infarcts, and white matter hyperintensities, the associations persisted. Our findings support the hypothesis that localized increases in carotid arterial stiffness may contribute to the development of CMBs, especially in a deep location attributable to hypertension.</t>
  </si>
  <si>
    <t>Comorbidity and favorable neurologic outcome after out-of-hospital cardiac arrest in patients of 70 years and older.</t>
  </si>
  <si>
    <t>Beesems, Stefanie G; Blom, Marieke T; van der Pas, Martine H A; Hulleman, Michiel; van de Glind, Esther M M; van Munster, Barbara C; Tijssen, Jan G P; Tan, Hanno L; van Delden, Johannes J M; Koster, Rudolph W</t>
  </si>
  <si>
    <t>https://pubmed.ncbi.nlm.nih.gov/26116780</t>
  </si>
  <si>
    <t>Advanced age is reported to be associated with lower survival after out-of-hospital cardiac arrest (OHCA). We aimed to establish survival rate and neurological outcome at hospital discharge after OHCA in older patients and evaluated whether pre-OHCA comorbidity was associated with favorable neurologic outcome. From a prospective registry of all cardiopulmonary resuscitation (CPR) attempts after OHCA, we established survival in 1332 patients aged ≥ 70 years in whom resuscitation with non-traumatic etiology was attempted in 2009-2011. Pre-OHCA factors (age, gender, residing in long-term care institution, Charlson Comorbidity Index [CCI] score) and resuscitation parameters (initial rhythm, bystander witnessed, bystander CPR and time to defibrillator connection) with survival at hospital discharge with favorable neurologic outcome were regressed in the 851 patients of whom CCI was known. We found a 12% survival to discharge rate in patients aged ≥ 70 years (70-79 years: 16%; ≥ 80 years: 8%, p=0.001). Among surviving patients, 90% survived with favorable neurologic outcome. In a model with only pre-OHCA factors age was significantly associated with outcome (age OR 0.94, 95%CI 0.91-0.98), p = 0.003). High CCI score (≥ 4) was not statistically significant when associated with survival (7% vs. 12%, OR 0.53, 95%CI (0.25-1.13), p = 0.10). When adjusted for resuscitation parameters, OR for high CCI was 0.71 (95% CI 0.28-1.80, p = 0.47), also none of the other pre-OHCA factors remained statistically significant. In the Netherlands, the survival rate in older patients was 12%; the great majority survived with favorable neurologic outcome. Resuscitation-related factors and not comorbidity determine outcome after OHCA in older patients.</t>
  </si>
  <si>
    <t>Management of extracranial carotid artery aneurysm.</t>
  </si>
  <si>
    <t>Welleweerd, J C; den Ruijter, H M; Nelissen, B G L; Bots, M L; Kappelle, L J; Rinkel, G J E; Moll, F L; de Borst, G J</t>
  </si>
  <si>
    <t>https://pubmed.ncbi.nlm.nih.gov/26116488</t>
  </si>
  <si>
    <t>Aneurysms of the extracranial carotid artery (ECAA) are rare. Several treatments have been developed over the last 20 years, yet the preferred method to treat ECAA remains unknown. This paper is a review of all available literature on the risk of complications and long-term outcome after conservative or invasive treatment of patients with ECAA. Reports on ECAA treatment until July 2014 were searched in PubMed and Embase using the key words aneurysm, carotid, extracranial, and therapy. A total of 281 articles were identified. Selected articles were case reports (n = 179) or case series (n = 102). Papers with fewer than 10 patients were excluded, resulting in the final selection of 39 articles covering a total of 1,239 patients. Treatment consisted of either conservative treatment in 11% of the cases or invasive treatment in 89% of the cases. Invasive treatment comprised surgery in 94%, endovascular approach in 5%, and a hybrid approach in 1% of the patients. The most common complication described after invasive therapy was cranial nerve damage, which occurred in 11.8% of patients after surgery. The 30 day mortality rate and stroke rate in conservatively treated patients was 4.67% and 6.67%, after surgery 1.91% and 5.16%. Information on confounders in the present study was incomplete. Therefore, adjustments to correct for confounding by indication could not be done. This review summarizes the largest available series in the literature on ECAA management. The number of ECAAs reported in current literature is scarce. The early and long-term outcome of invasive treatment in ECAA is favorable; however, cranial nerve damage after surgery occurs frequently. Unfortunately, due to limitations in reporting of results and confounding by indication in the available literature, it was not possible to determine the optimal treatment strategy. There is a need for a multicenter international registry to reveal the optimal treatment for ECAA.</t>
  </si>
  <si>
    <t>MR Imaging as an Additional Screening Modality for the Detection of Breast Cancer in Women Aged 50-75 Years with Extremely Dense Breasts: The DENSE Trial Study Design.</t>
  </si>
  <si>
    <t>Emaus, Marleen J; Bakker, Marije F; Peeters, Petra H M; Loo, Claudette E; Mann, Ritse M; de Jong, Mathijn D F; Bisschops, Robertus H C; Veltman, Jeroen; Duvivier, Katya M; Lobbes, Marc B I; Pijnappel, Ruud M; Karssemeijer, Nico; de Koning, Harry J; van den Bosch, Maurice A A J; Monninkhof, Evelyn M; Mali, Willem P Th M; Veldhuis, Wouter B; van Gils, Carla H</t>
  </si>
  <si>
    <t>https://pubmed.ncbi.nlm.nih.gov/26110667</t>
  </si>
  <si>
    <t>Women with extremely dense breasts have an increased risk of breast cancer and lower mammographic tumor detectability. Nevertheless, in most countries, these women are currently screened with mammography only. Magnetic resonance (MR) imaging has the potential to improve breast cancer detection at an early stage because of its higher sensitivity. However, MR imaging is more expensive and is expected to be accompanied by an increase in the number of false-positive results and, possibly, an increase in overdiagnosis. To study the additional value of MR imaging, a randomized controlled trial (RCT) design is needed in which one group undergoes mammography and the other group undergoes mammography and MR imaging. With this design, it is possible to determine the proportion of interval cancers within each study arm. For this to be an effective screening strategy, the additional cancers detected at MR imaging screening must be accompanied by a subsequent reduction in interval cancers. The Dense Tissue and Early Breast Neoplasm Screening, or DENSE, trial is a multicenter RCT performed in the Dutch biennial population-based screening program (subject age range, 50-75 years). The study was approved by the Dutch Minister of Health, Welfare and Sport. In this study, mammographic density is measured by using a fully automated volumetric method. Participants with extremely dense breasts (American College of Radiology breast density category 4) and a negative result at mammography (Breast Imaging Recording and Data System category 1 or 2) are randomly assigned to undergo additional MR imaging (n = 7237) or to be treated according to current practice (n = 28 948). Participants provide written informed consent before the MR imaging examination, which consists of dynamic breast MR imaging with gadolinium-based contrast medium and is intended to be performed for three consecutive screening rounds. The primary outcome is the difference in the proportions of interval cancers between the study arms. Secondary outcomes are the number of MR imaging screening-detected cancers, proportions of false-positive results, diagnostic yield of MR imaging, tumor characteristics, quality of life, and cost effectiveness.</t>
  </si>
  <si>
    <t>Hip/femur fractures associated with the use of benzodiazepines (anxiolytics, hypnotics and related drugs): a methodological approach to assess consistencies across databases from the PROTECT-EU project.</t>
  </si>
  <si>
    <t>Requena, Gema; Huerta, Consuelo; Gardarsdottir, Helga; Logie, John; González-González, Rocío; Abbing-Karahagopian, Victoria; Miret, Montserrat; Schneider, Cornelia; Souverein, Patrick C; Webb, Dave; Afonso, Ana; Boudiaf, Nada; Martin, Elisa; Oliva, Belén; Alvarez, Arturo; De Groot, Mark C H; Bate, Andrew; Johansson, Saga; Schlienger, Raymond; Reynolds, Robert; Klungel, Olaf H; de Abajo, Francisco J</t>
  </si>
  <si>
    <t>https://pubmed.ncbi.nlm.nih.gov/26100105</t>
  </si>
  <si>
    <t>Results from observational studies may be inconsistent because of variations in methodological and clinical factors that may be intrinsically related to the database (DB) where the study is performed. The objectives of this paper were to evaluate the impact of applying a common study protocol to study benzodiazepines (BZDs) (anxiolytics, hypnotics, and related drugs) and the risk of hip/femur fracture (HFF) across three European primary care DBs and to investigate any resulting discrepancies. To measure the risk of HFF among adult users of BZDs during 2001-2009, three cohort and nested case control (NCC) studies were performed in Base de datos para la Investigación Farmacoepidemiológica en Atención Primaria (BIFAP) (Spain), Clinical Practice Research Datalink (CPRD) (UK), and Mondriaan (The Netherlands). Four different models (A-D) with increasing levels of adjustment were analyzed. The risk according to duration and type of BZD was also explored. Adjusted hazard ratios (cohort), odds ratios (NCC), and their 95% confidence intervals were estimated. Adjusted hazard ratios (Model C) were 1.34 (1.23-1.47) in BIFAP, 1.66 (1.54-1.78) in CPRD, and 2.22 (1.55-3.29) in Mondriaan in cohort studies. Adjusted odds ratios (Model C) were 1.28 (1.16-1.42) in BIFAP, 1.60 (1.49-1.72) in CPRD, and 1.48 (0.89-2.48) in Mondriaan in NCC studies. A short-term effect was suggested in Mondriaan, but not in CPRD or BIFAP. All DBs showed an increased risk with the concomitant use of anxiolytic and hypnotic drugs. Applying similar study methods to different populations and DBs showed an increased risk of HFF in BZDs users but differed in the magnitude of the risk, which may be because of inherent differences between DBs.</t>
  </si>
  <si>
    <t>Effectiveness of tailored support for people with Type 2 diabetes after a first acute coronary event: a multicentre randomized controlled trial (the Diacourse-ACE study).</t>
  </si>
  <si>
    <t>Kasteleyn, M J; Vos, R C; Rijken, M; Schellevis, F G; Rutten, G E H M</t>
  </si>
  <si>
    <t>https://pubmed.ncbi.nlm.nih.gov/26031804</t>
  </si>
  <si>
    <t>To evaluate the effectiveness of a tailored, supportive intervention strategy in influencing diabetes-related distress, health status, well-being and clinical outcomes in people with Type 2 diabetes shortly after a first acute coronary event. People with Type 2 diabetes and a recent first acute coronary event (n = 201) were randomized to the intervention group (three home visits by a diabetes nurse) or the attention control group (one telephone consultation). Outcomes were measured after discharge (baseline) and at 5 months (follow-up) using validated questionnaires for diabetes-related distress (Problem Areas in Diabetes), well-being (WHO Well-Being Index) and health status (Euroqol 5 Dimensions; Euroqol Visual Analogue Scale). ancova was used to analyse change-over-time differences between groups. Follow-up data were available for 81 participants in the intervention group (66.0 ± 9.3 years, 76% male) and 80 in the control group (65.6 ± 9.4 years, 75% male) participants. Mean diabetes-related distress was low after hospital discharge (intervention group: 8.2 ± 10.1; control group: 9.2 ± 12.4) and did not change after 5 months (intervention group: 9.2 ± 12.4; control group: 9.0 ± 11.2). Baseline well-being was less favourable but improved significantly in the intervention group (baseline: 58.5 ± 28.0; follow-up: 65.5 ± 23.7; P = 0.005), but not in the control group (baseline: 57.5 ± 25.2; follow-up: 59.6 ± 24.4; P = 0.481). Health status also improved in the intervention group (baseline: 69.9 ± 17.3; follow-up: 76.8 ± 15.6; P &lt; 0.001) but not in the control group (baseline: 68.6 ± 15.9; follow-up: 69.9 ± 16.7; P = 0.470). A significant group effect was found for health status (F = 7.9; P = 0.006). Although the intervention had no effect on diabetes-related distress, this might be at least partially attributable to very low levels of diabetes-related distress at baseline. Interestingly, health status scores and well-being, which were less favourable at baseline, both improved after the tailored support intervention.</t>
  </si>
  <si>
    <t>Quality of Life in Relation to Pain Response to Radiation Therapy for Painful Bone Metastases.</t>
  </si>
  <si>
    <t>Westhoff, Paulien G; de Graeff, Alexander; Monninkhof, Evelyn M; Pomp, Jacqueline; van Vulpen, Marco; Leer, Jan Willem H; Marijnen, Corrie A M; van der Linden, Yvette M; ,</t>
  </si>
  <si>
    <t>https://pubmed.ncbi.nlm.nih.gov/26281825</t>
  </si>
  <si>
    <t>To study quality of life (QoL) in responders and nonresponders after radiation therapy for painful bone metastases; and to identify factors predictive for a pain response. The prospectively collected data of 956 patients with breast, prostate, and lung cancer within the Dutch Bone Metastasis Study were used. These patients, irradiated for painful bone metastases, rated pain, QoL, and overall health at baseline and weekly afterward for 12 weeks. Using generalized estimating equations analysis, the course of QoL was studied, adjusted for primary tumor. To identify predictive variables, proportional hazard analyses were performed, taking into account death as a competing risk, and C-statistics were calculated for discriminative value. In total, 722 patients (76%) responded to radiation therapy. During follow-up, responders had a better QoL in all domains compared with nonresponders. Patients with breast or prostate cancer had a better QoL than patients with lung cancer. In multivariate analysis, baseline predictors for a pain response were breast or prostate cancer as primary tumor, younger age, good performance status, absence of visceral metastases, and using opioids. The discriminative ability of the model was low (C-statistic: 0.56). Responding patients show a better QoL after radiation therapy for painful bone metastases than nonresponders. Our model did not have enough discriminative power to predict which patients are likely to respond to radiation therapy. Therefore, radiation therapy should be offered to all patients with painful bone metastases, aiming to decrease pain and improve QoL.</t>
  </si>
  <si>
    <t>General practice trainees' information searching strategies for clinical queries encountered in daily practice.</t>
  </si>
  <si>
    <t>Kortekaas, Marlous F; Bartelink, Marie-Louise E L; Boelman, Lia; Hoes, Arno W; de Wit, Niek J</t>
  </si>
  <si>
    <t>https://pubmed.ncbi.nlm.nih.gov/26089299</t>
  </si>
  <si>
    <t>Earlier studies have shown that clinical queries are common among doctors. Data on the information-seeking behaviour of general practice (GP) trainees are scarce though, and numbers studied are small. The objective of this study was to determine how often and how GP trainees search for answers to clinical queries encountered in daily clinical practice. Third-year GP trainees kept logs on all patient contacts for eight consecutive practice days. Information was obtained on patient contacts (description), clinical queries (frequency, type), seeking behaviour (frequency, moment, reason not to search, resources used, duration of search) and answers (frequency, impact). Descriptive analyses were performed; frequencies and percentages were computed. We calculated the number of clinical queries per patient, the number of searches per query and the number of answers per search. Seventy-six trainees reported 1533 clinical queries about 7300 patients presenting 7619 complaints [mean of 0.2 queries per patient, standard deviation (SD) 0.1]. For most of the queries trainees pursued an answer (mean of 0.8 per query, SD 0.2), mostly during consultation (61% of searches), and frequently retrieved answers (mean of 0.8 per search, SD 0.17) they reported to improve clinical decision making in 26%. Most common resources were colleagues or supervisors (28%), and national GP guidelines (26%). The median duration of a search was 4 minutes (interquartile range 3). GP trainees have one clinical query per five patients. They often attempted to find answers and reported to succeed in most of the searches, primarily by consulting supervisors or colleagues and national GP guidelines.</t>
  </si>
  <si>
    <t>Patients' Experiences with and Attitudes towards a Diabetes Patient Web Portal.</t>
  </si>
  <si>
    <t>Ronda, Maaike C M; Dijkhorst-Oei, Lioe-Ting; Rutten, Guy E H M</t>
  </si>
  <si>
    <t>https://pubmed.ncbi.nlm.nih.gov/26086272</t>
  </si>
  <si>
    <t>A diabetes patient web portal allows patients to access their personal health record and may improve diabetes outcomes; however, patients' adoption is slow. We aimed to get insight into patients' experiences with a web portal to understand how the portal is being used, how patients perceive the content of the portal and to assess whether redesign of the portal might be needed. A survey among 1500 patients with type 1 and type 2 diabetes with a login to a patient portal. 62 primary care practices and one outpatient hospital clinic, using a combined patient portal. We compared patients who requested a login but never used it or once ('early quitters') with patients who used it at least two times ('persistent users'). 632 patients (42.1%) returned the questionnaire. Their mean age was 59.7 years, 63.1% was male and 81.8% had type 2 diabetes. 413 (65.3%) people were persistent users and 34.7% early quitters. In the multivariable analysis, insulin use (OR2.07; 95%CI[1.18-3.62]), experiencing more frequently hyperglycemic episodes (OR1.30;95%CI[1.14-1.49]) and better diabetes knowledge (OR1.02, 95%CI[1.01-1.03]) do increase the odds of being a persistent user. Persistent users perceived the usefulness of the patient portal significantly more favorable. However, they also more decisively declared that the patient portal is not helpful in supporting life style changes. Early quitters felt significantly more items not applicable in their situation compared to persistent users. Both persistent users (69.8%) and early quitters (58.8%) would prefer a reminder function for scheduled visits. About 60% of both groups wanted information about medication and side-effects in their portal. The diabetes patient web portal might be improved significantly by taking into account the patients' experiences and attitudes. We propose creating separate portals for patients on insulin or not.</t>
  </si>
  <si>
    <t>Words or graphics to present a Discrete Choice Experiment: Does it matter?</t>
  </si>
  <si>
    <t>Veldwijk, Jorien; Lambooij, Mattijs S; van Til, Janine A; Groothuis-Oudshoorn, Catharina G M; Smit, Henriëtte A; de Wit, G Ardine</t>
  </si>
  <si>
    <t>https://pubmed.ncbi.nlm.nih.gov/26117796</t>
  </si>
  <si>
    <t>To test whether presenting attribute levels in words or graphics generates different results with respect to attribute level interpretation, relative importance and participation probabilities. Parents of 959 newborns completed a DCE questionnaire that contained two versions of the same nine choice tasks in which the attribute levels were presented in words or graphics. Five attributes related to the decision of parents to vaccinate their newborn against rotavirus were included. Mixed-logit models were conducted to estimate the relative importance of the attribute levels. Respondents who started with the choice tasks in words produced the most consistent answer patterns. All respondents significantly preferred words to graphics. Part-worth utilities and the relative importance of the attribute levels differed based on the words and graphics data, resulting in different probabilities to participate in vaccination. Words were preferred over graphics, resulted in higher choice consistency, and showed more valid attribute level estimates. Graphics did not improve respondents' understanding of the attribute levels. Future research on the use of either words or graphics is recommended in order to establish guidelines on how to develop a valid presentation method for attribute levels in the choice tasks of a DCE.</t>
  </si>
  <si>
    <t>Search for a new resonance decaying to a &lt;i&gt;W&lt;/i&gt; or &lt;i&gt;Z&lt;/i&gt; boson and a Higgs boson in the [Formula: see text] final states with the ATLAS detector.</t>
  </si>
  <si>
    <t>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</si>
  <si>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https://pubmed.ncbi.nlm.nih.gov/26097411</t>
  </si>
  <si>
    <t>A search for a new resonance decaying to a &lt;i&gt;W&lt;/i&gt; or &lt;i&gt;Z&lt;/i&gt; boson and a Higgs boson in the [Formula: see text] final states is performed using 20.3 fb[Formula: see text] of &lt;i&gt;pp&lt;/i&gt; collision data recorded at [Formula: see text] 8 TeV with the ATLAS detector at the Large Hadron Collider. The search is conducted by examining the &lt;i&gt;WH&lt;/i&gt; / &lt;i&gt;ZH&lt;/i&gt; invariant mass distribution for a localized excess. No significant deviation from the Standard Model background prediction is observed. The results are interpreted in terms of constraints on the Minimal Walking Technicolor model and on a simplified approach based on a phenomenological Lagrangian of Heavy Vector Triplets.</t>
  </si>
  <si>
    <t>The burden of Lyme borreliosis expressed in disability-adjusted life years.</t>
  </si>
  <si>
    <t>van den Wijngaard, Cees C; Hofhuis, Agnetha; Harms, Margriet G; Haagsma, Juanita A; Wong, Albert; de Wit, G A; Havelaar, Arie H; Lugnér, Anna K; Suijkerbuijk, Anita W M; van Pelt, Wilfrid</t>
  </si>
  <si>
    <t>https://pubmed.ncbi.nlm.nih.gov/26082446</t>
  </si>
  <si>
    <t>Lyme borreliosis (LB) is the most commonly reported tick-borne infection in Europe and North America. In the last 15 years a 3-fold increase was observed in general practitioner consultations for LB in the Netherlands. To support prioritization of prevention and control efforts for LB, we estimated its burden expressed in Disability-Adjusted Life Years (DALYs). We used available incidence estimates for three LB outcomes: (i) erythema migrans (EM), (ii) disseminated LB and (iii) Lyme-related persisting symptoms. To generate DALYs, disability weights and duration per outcome were derived using a patient questionnaire including health-related quality of life as measured by the EQ-5D. We estimated the total LB burden for the Netherlands in 2010 at 10.55 DALYs per 100,000 population (95% CI: 8.80-12.43); i.e. 0.60 DALYs for EM, 0.86 DALYs for disseminated LB and 9.09 DALYs for Lyme-related persisting symptoms. Per patient this was 0.005 DALYs for EM, 0.113 for disseminated LB and 1.661 DALYs for a patient with Lyme-related persisting symptoms. In a sensitivity analysis the total LB burden ranged from 7.58 to 16.93 DALYs per 100,000 population. LB causes a substantial disease burden in the Netherlands. The vast majority of this burden is caused by patients with Lyme-related persisting symptoms. EM and disseminated Lyme have a more modest impact. Further research should focus on the mechanisms that trigger development of these persisting symptoms that patients and their physicians attribute to LB.</t>
  </si>
  <si>
    <t>Added value of anti-Müllerian hormone in prediction of menopause: results from a large prospective cohort study.</t>
  </si>
  <si>
    <t>Dólleman, Madeleine; Verschuren, W M Monique; Eijkemans, Marinus J C; Broekmans, Frank J M; van der Schouw, Yvonne T</t>
  </si>
  <si>
    <t>https://pubmed.ncbi.nlm.nih.gov/26082477</t>
  </si>
  <si>
    <t>What is the added value of anti-Müllerian hormone (AMH) on top of patient characteristics for predicting the risk to enter menopause within 10 years? For women who did enter menopause, the risk of entering menopause within 10 years assigned by the model with AMH was on average 3% higher than that assigned by the model without AMH, and in the subgroup of young women with regular cycles, this increase was 14%. Prediction of age at menopause may be useful in predicting the end of female fertility. AMH may be useful for this, but the current evidence is based on small studies or specific subgroups, and does not take into account predictors other than age. This was a retrospective cohort study among 1163 premenopausal women participating in the second follow-up round of the Doetinchem Cohort Study with follow-up assessments of menopausal status and age after 5 and 10 years of follow-up. This study included premenopausal women from the general population with a mean age of 41 (SD 7) years. A Cox proportional hazards' model without AMH was fitted using variables selected based on Akaike's information criterion. Performance of the prediction rule was assessed with C-statistics and compared with a model additionally including AMH and to a model with age only. The added value of AMH was assessed with Net Reclassification Index and change in absolute predicted risk. Performance of these three models was compared in subgroups based on age and reproductive characteristics. The final model included age, BMI, packyears of smoking and menstrual cycle status (regular, irregular, pregnant or taking oral contraceptives). This model had a C-statistic of 0.89 (0.01 SD), compared with 0.88 (0.01 SD) for the model including age only. Addition of AMH increased it to 0.91 (0.03 SD). In a subgroup of 25-43 year olds with regular menstrual cycles, the model with age only had a C-statistic of 0.79 (0.04 SD) and for the models without and with AMH the C-stastic was 0.79 (0.04 SD) and 0.87 (0.03 SD), respectively. The risk of entering menopause within 10 years assigned by the model with AMH was on average 3% higher than that assigned by the model without AMH, for women who did enter menopause. In the subgroup of young women with regular cycles, this increase was 14%. Longer follow-up would have resulted in more of the young women becoming menopausal, improving the precision of the predictions for these women. This study clearly shows the added value of AMH in predicting time to menopause on top of clinical predictors, in particular for younger women. New studies in specific target populations in clinical practice are needed to develop a prediction model for use in that target population. The Doetinchem Cohort Study is carried out by the National Institute for Public Health and the Environment which works under the authority of the Ministry of Health, Welfare and Sport of The Netherlands. F.J.M.B. declares to have received fees and grant support from the following companies (in alphabetical order); Ferring, Gedeon Richter, Merck Serono, MSD and Roche. The remaining authors declare no conflict of interest.</t>
  </si>
  <si>
    <t>The "evidence-based practice inventory": reliability and validity was demonstrated for a novel instrument to identify barriers and facilitators for Evidence Based Practice in health care.</t>
  </si>
  <si>
    <t>Kaper, Nina M; Swennen, Maartje H J; van Wijk, Arjen J; Kalkman, Cor J; van Rheenen, Nanda; van der Graaf, Yolanda; van der Heijden, Geert J M G</t>
  </si>
  <si>
    <t>https://pubmed.ncbi.nlm.nih.gov/26086726</t>
  </si>
  <si>
    <t>To design and validate a practical questionnaire for clinicians, to identify barriers and facilitators for evidence-based practice (EBP), that is, the use of research evidence in patient care. The inventory is ultimately intended for departments to assess local conditions for EBP, to aim and evaluate efforts at improving or maximizing EBP. We derived candidate items from existing EBP scales, psychology, and behavioral economics. In an online Delphi study, 537 international expert clinicians, researchers, teachers, and policymakers interested in EBP identified items with sufficient face and content validity. We piloted and validated the resulting draft inventory among 127 clinicians from various specialties and career stages. The Delphi study started with 114 items and resulted in a draft inventory with 29 items in five dimensions. During the pilot, the inventory was easy to complete within 15 minutes and the items showed sufficient response variation. In four of five dimensions, test-retest reliability was substantial to almost perfect and the power to discriminate between groups with different expertise was adequate, whereas internal consistency showed that the items generally measured the same construct. On the basis of internal consistency and factor analysis, we excluded three items. The final EBP inventory consists of 26 items in five dimensions: decision making, subjective norm, attitude, perceived behavior control, and intention and behavior. The EBP inventory was developed with support of EBP experts and validated among various academic clinicians. It shows adequate face and content validity, internal consistency, test-retest reliability, discriminative power, and completion will take &lt;15 minutes. We recommend further evaluation of its value in field trials.</t>
  </si>
  <si>
    <t>Enhancing Syndromic Surveillance With Online Respondent-Driven Detection.</t>
  </si>
  <si>
    <t>Stein, Mart L; van Steenbergen, Jim E; Buskens, Vincent; van der Heijden, Peter G M; Koppeschaar, Carl E; Bengtsson, Linus; Thorson, Anna; Kretzschmar, Mirjam E E</t>
  </si>
  <si>
    <t>american journal of public health</t>
  </si>
  <si>
    <t>https://pubmed.ncbi.nlm.nih.gov/26066940</t>
  </si>
  <si>
    <t>We investigated the feasibility of combining an online chain recruitment method (respondent-driven detection) and participatory surveillance panels to collect previously undetected information on infectious diseases via social networks of participants. In 2014, volunteers from 2 large panels in the Netherlands were invited to complete a survey focusing on symptoms of upper respiratory tract infections and to invite 4 individuals they had met in the preceding 2 weeks to take part in the study. We compared sociodemographic characteristics among panel participants, individuals who volunteered for our survey, and individuals recruited via respondent-driven detection. Starting from 1015 panel members, the survey spread through all provinces of the Netherlands and all age groups in 83 days. A total of 433 individuals completed the survey via peer recruitment. Participants who reported symptoms were 6.1% (95% confidence interval = 5.4, 6.9) more likely to invite contact persons than were participants who did not report symptoms. Participants with symptoms invited more symptomatic recruits to take part than did participants without symptoms. Our findings suggest that online respondent-driven detection can enhance identification of symptomatic patients by making use of individuals' local social networks.</t>
  </si>
  <si>
    <t>Prognostic models in obstetrics: available, but far from applicable.</t>
  </si>
  <si>
    <t>Kleinrouweler, C Emily; Cheong-See, Fiona M; Collins, Gary S; Kwee, Anneke; Thangaratinam, Shakila; Khan, Khalid S; Mol, Ben Willem J; Pajkrt, Eva; Moons, Karel G M; Schuit, Ewoud</t>
  </si>
  <si>
    <t>https://pubmed.ncbi.nlm.nih.gov/26070707</t>
  </si>
  <si>
    <t>Health care provision is increasingly focused on the prediction of patients' individual risk for developing a particular health outcome in planning further tests and treatments. There has been a steady increase in the development and publication of prognostic models for various maternal and fetal outcomes in obstetrics. We undertook a systematic review to give an overview of the current status of available prognostic models in obstetrics in the context of their potential advantages and the process of developing and validating models. Important aspects to consider when assessing a prognostic model are discussed and recommendations on how to proceed on this within the obstetric domain are given. We searched MEDLINE (up to July 2012) for articles developing prognostic models in obstetrics. We identified 177 papers that reported the development of 263 prognostic models for 40 different outcomes. The most frequently predicted outcomes were preeclampsia (n = 69), preterm delivery (n = 63), mode of delivery (n = 22), gestational hypertension (n = 11), and small-for-gestational-age infants (n = 10). The performance of newer models was generally not better than that of older models predicting the same outcome. The most important measures of predictive accuracy (ie, a model's discrimination and calibration) were often (82.9%, 218/263) not both assessed. Very few developed models were validated in data other than the development data (8.7%, 23/263). Only two-thirds of the papers (62.4%, 164/263) presented the model such that validation in other populations was possible, and the clinical applicability was discussed in only 11.0% (29/263). The impact of developed models on clinical practice was unknown. We identified a large number of prognostic models in obstetrics, but there is relatively little evidence about their performance, impact, and usefulness in clinical practice so that at this point, clinical implementation cannot be recommended. New efforts should be directed toward evaluating the performance and impact of the existing models.</t>
  </si>
  <si>
    <t>Search for a Charged Higgs Boson Produced in the Vector-Boson Fusion Mode with Decay H(±)→W(±)Z using pp Collisions at √s=8  TeV with the ATLAS Experiment.</t>
  </si>
  <si>
    <t>https://pubmed.ncbi.nlm.nih.gov/26196792</t>
  </si>
  <si>
    <t>A search for a charged Higgs boson, H(±), decaying to a W(±) boson and a Z boson is presented. The search is based on 20.3  fb(-1) of proton-proton collision data at a center-of-mass energy of 8 TeV recorded with the ATLAS detector at the LHC. The H(±) boson is assumed to be produced via vector-boson fusion and the decays W(±)→qq' and Z→e(+)e(-)/μ(+)μ(-) are considered. The search is performed in a range of charged Higgs boson masses from 200 to 1000 GeV. No evidence for the production of an H(±) boson is observed. Upper limits of 31-1020 fb at 95% C.L. are placed on the cross section for vector-boson fusion production of an H(±) boson times its branching fraction to W(±)Z. The limits are compared with predictions from the Georgi-Machacek Higgs triplet model.</t>
  </si>
  <si>
    <t>Effects of an 18-week exercise programme started early during breast cancer treatment: a randomised controlled trial.</t>
  </si>
  <si>
    <t>Travier, Noémie; Velthuis, Miranda J; Steins Bisschop, Charlotte N; van den Buijs, Bram; Monninkhof, Evelyn M; Backx, Frank; Los, Maartje; Erdkamp, Frans; Bloemendal, Haiko J; Rodenhuis, Carla; de Roos, Marnix A J; Verhaar, Marlies; ten Bokkel Huinink, Daan; van der Wall, Elsken; Peeters, Petra H M; May, Anne M</t>
  </si>
  <si>
    <t>https://pubmed.ncbi.nlm.nih.gov/26050790</t>
  </si>
  <si>
    <t>Exercise started shortly after breast cancer diagnosis might prevent or diminish fatigue complaints. The Physical Activity during Cancer Treatment (PACT) study was designed to primarily examine the effects of an 18-week exercise intervention, offered in the daily clinical practice setting and starting within 6 weeks after diagnosis, on preventing an increase in fatigue. This multi-centre controlled trial randomly assigned 204 breast cancer patients to usual care (n = 102) or supervised aerobic and resistance exercise (n = 102). By design, all patients received chemotherapy between baseline and 18 weeks. Fatigue (i.e., primary outcome at 18 weeks), quality of life, anxiety, depression, and physical fitness were measured at 18 and 36 weeks. Intention-to-treat mixed linear model analyses showed that physical fatigue increased significantly less during cancer treatment in the intervention group compared to control (mean between-group differences at 18 weeks: -1.3; 95 % CI -2.5 to -0.1; effect size -0.30). Results for general fatigue were comparable but did not reach statistical significance (-1.0, 95%CI -2.1; 0.1; effect size -0.23). At 18 weeks, submaximal cardiorespiratory fitness and several muscle strength tests (leg extension and flexion) were significantly higher in the intervention group compared to control, whereas peak oxygen uptake did not differ between groups. At 36 weeks these differences were no longer statistically significant. Quality of life outcomes favoured the exercise group but were not significantly different between groups. A supervised 18-week exercise programme offered early in routine care during adjuvant breast cancer treatment showed positive effects on physical fatigue, submaximal cardiorespiratory fitness, and muscle strength. Exercise early during treatment of breast cancer can be recommended. At 36 weeks, these effects were no longer statistically significant. This might have been caused by the control participants' high physical activity levels during follow-up. Current Controlled Trials ISRCTN43801571, Dutch Trial Register NTR2138. Trial registered on December 9th, 2009.</t>
  </si>
  <si>
    <t>The proportion of postmenopausal breast cancer cases in the Netherlands attributable to lifestyle-related risk factors.</t>
  </si>
  <si>
    <t>van Gemert, W A; Lanting, C I; Goldbohm, R A; van den Brandt, P A; Grooters, H G; Kampman, E; Kiemeney, L A L M; van Leeuwen, F E; Monninkhof, E M; de Vries, E; Peeters, P H; Elias, S G</t>
  </si>
  <si>
    <t>https://pubmed.ncbi.nlm.nih.gov/26044369</t>
  </si>
  <si>
    <t>We aimed to estimate the proportion of Dutch postmenopausal breast cancer cases in 2010 that is attributable to lifestyle-related risk factors. We calculated population attributable fractions (PAFs) of potentially modifiable risk factors for postmenopausal breast cancer in Dutch women aged &gt;50 in 2010. First, age-specific PAFs were calculated for each risk factor, based on their relative risks for postmenopausal breast cancer (from meta-analyses) and age-specific prevalence in the population (from national surveys) around the year 2000, assuming a latency period of 10 years. To obtain the overall PAF, age-specific PAFs were summed in a weighted manner, using the age-specific breast cancer incidence rates (2010) as weights. 95 % confidence intervals for PAF estimates were derived by Monte Carlo simulations. Of Dutch women &gt;40 years, in 2000, 51 % were overweight/obese, 55 % physically inactive (&lt;5 days/week 30 min activity), 75 % regularly consumed alcohol, 42 % ever smoked cigarettes and 79 % had a low-fibre intake (&lt;3.4 g/1000 kJ/day). These factors combined had a PAF of 25.7 % (95 % CI 24.2-27.2), corresponding to 2,665 Dutch postmenopausal breast cancer cases in 2010. PAFs were 8.8 % (95 % CI 6.3-11.3) for overweight/obesity, 6.6 % (95 % CI 5.2-8.0) for alcohol consumption, 5.5 % (95 % CI 4.0-7.0) for physical inactivity, 4.6 % (95 % CI 3.3-6.0) for smoking and 3.2 % (95 % CI 1.6-4.8) for low-fibre intake. Our findings imply that modifiable risk factors are jointly responsible for approximately one out of four Dutch postmenopausal breast cancer cases. This suggests that incidence rates can be lowered substantially by living a more healthy lifestyle.</t>
  </si>
  <si>
    <t>Search for New Phenomena in Dijet Angular Distributions in Proton-Proton Collisions at sqrt[s]=8 TeV Measured with the ATLAS Detector.</t>
  </si>
  <si>
    <t>https://pubmed.ncbi.nlm.nih.gov/26196615</t>
  </si>
  <si>
    <t>A search for new phenomena in LHC proton-proton collisions at a center-of-mass energy of sqrt[s]=8 TeV was performed with the ATLAS detector using an integrated luminosity of 17.3 fb^{-1}. The angular distributions are studied in events with at least two jets; the highest dijet mass observed is 5.5 TeV. All angular distributions are consistent with the predictions of the standard model. In a benchmark model of quark contact interactions, a compositeness scale below 8.1 TeV in a destructive interference scenario and 12.0 TeV in a constructive interference scenario is excluded at 95% C.L.; median expected limits are 8.9 TeV for the destructive interference scenario and 14.1 TeV for the constructive interference scenario.</t>
  </si>
  <si>
    <t>Potential conflicts of interest of editorial board members from five leading spine journals.</t>
  </si>
  <si>
    <t>Janssen, Stein J; Bredenoord, Annelien L; Dhert, Wouter; de Kleuver, Marinus; Oner, F Cumhur; Verlaan, Jorrit-Jan</t>
  </si>
  <si>
    <t>https://pubmed.ncbi.nlm.nih.gov/26042410</t>
  </si>
  <si>
    <t>Conflicts of interest arising from ties between pharmaceutical industry and physicians are common and may bias research. The extent to which these ties exist among editorial board members of medical journals is not known. This study aims to determine the prevalence and financial magnitude of potential conflicts of interest among editorial board members of five leading spine journals. The editorial boards of: The Spine Journal; Spine; European Spine Journal; Journal of Neurosurgery: Spine; and Journal of Spinal Disorders &amp; Techniques were extracted on January 2013 from the journals' websites. Disclosure statements were retrieved from the 2013 disclosure index of the North American Spine Society; the program of the 20th International Meeting on Advanced Spine Techniques; the program of the 48th Annual Meeting of the Scoliosis Research Society; the program of the AOSpine global spine congress; the presentations of the 2013 Annual Eurospine meeting; and the disclosure index of the American Academy of Orthopaedic Surgeons. Names of the editorial board members were compared with the individuals who completed a disclosure for one of these indexes. Disclosures were extracted when full names matched. Two hundred and ten (29%) of the 716 identified editorial board members reported a potential conflict of interest and 154 (22%) reported nothing to disclose. The remaining 352 (49%) editorial board members had no disclosure statement listed for one of the indexes. Eighty-nine (42%) of the 210 editorial board members with a potential conflict of interest reported a financial relationship of more than $10,000 during the prior year. This finding confirms that potential conflicts of interest exist in editorial boards which might influence the peer review process and can result in bias. Academia and medical journals in particular should be aware of this and strive to improve transparency of the review process. We emphasize recommendations that contribute to achieving this goal.</t>
  </si>
  <si>
    <t>Predictive Factors for Delivery within 7 Days after Successful 48-Hour Treatment of Threatened Preterm Labor.</t>
  </si>
  <si>
    <t>Roos, Carolien; Schuit, Ewoud; Scheepers, Hubertina C J; Bloemenkamp, Kitty W M; Bolte, Antoinette C; Duvekot, Hans J J; van Eyck, Jim; Kok, Joke H; Kwee, Anneke; Merién, Ashley E R; Opmeer, Brent C; Oudijk, Martijn A; van Pampus, Mariëlle G; Papatsonis, Dimitri N M; Porath, Martina M; Sollie, Krystyna M; Spaanderman, Marc E A; Vijgen, Sylvia M C; Willekes, Christine; Lotgering, Fred K; van der Post, Joris A M; Mol, Ben Willem J; ,</t>
  </si>
  <si>
    <t>ajp reports</t>
  </si>
  <si>
    <t>https://pubmed.ncbi.nlm.nih.gov/26495173</t>
  </si>
  <si>
    <t>Objective The aim of this study was to assess which characteristics and results of vaginal examination are predictive for delivery within 7 days, in women with threatened preterm labor after initial treatment. Study Design A secondary analysis of a randomized controlled trial on maintenance nifedipine includes women who remained undelivered after threatened preterm labor for 48 hours. We developed one model for women with premature prelabor rupture of membranes (PPROM) and one without PPROM. The predictors were identified by backward selection. We assessed calibration and discrimination and used bootstrapping techniques to correct for potential overfitting. Results For women with PPROM (model 1), nulliparity, history of preterm birth, and vaginal bleeding were included in the multivariable analysis. For women without PPROM (model 2), maternal age, vaginal bleeding, cervical length, and fetal fibronectin (fFN) status were in the multivariable analysis. Discriminative capability was moderate to good (c-statistic 0.68; 95% confidence interval [CI] 0.60-0.77 for model 1 and 0.89; 95% CI, 0.84-0.93 for model 2). Conclusion PPROM and vaginal bleeding in the current pregnancy are relevant predictive factors in all women, as are maternal age, cervical length, and fFN in women without PPROM and nulliparity, history of preterm birth in women with PPROM.</t>
  </si>
  <si>
    <t>Preferences for genetic testing for colorectal cancer within a population-based screening program: a discrete choice experiment.</t>
  </si>
  <si>
    <t>Veldwijk, Jorien; Lambooij, Mattijs S; Kallenberg, Frank G J; van Kranen, Henk J; Bredenoord, Annelien L; Dekker, Evelien; Smit, Henriëtte A; de Wit, G Ardine</t>
  </si>
  <si>
    <t>https://pubmed.ncbi.nlm.nih.gov/26036860</t>
  </si>
  <si>
    <t>This study explored individuals' preferences for genetic testing for colorectal cancer (CRC) in a screening situation and their willingness to participate in genetic testing for Lynch syndrome, familial adenomatous polyposis (FAP), and familial colorectal cancer (FCC). For that purpose, 532 respondents aged 55-65 years completed a Discrete Choice Experiment. Using panel latent class models, the preferences for two screening situation characteristics (the probability of being genetically predisposed and the probability of developing CRC) and screening test characteristics (the frequency of preventive colonoscopies and CRC survival) were estimated. Based on these preferences, respondents' willingness to participate in the three screening initiatives was estimated. Lower-educated respondents and respondents who express serious anxiety and worries found colonoscopy frequency and the probability of developing CRC relatively more important and survival relatively less important compared with higher-educated respondents and respondents who express no anxiety and worries. These differences in preferences resulted in opposite preferences for participation in FCC and FAP screening. In conclusion, the general population is willing to participate in genetic screening for CRC. If individuals are suspected of genetic or familial CRC, they should at least be informed about their increased risk of being genetically predisposed and about the importance of participating in all preventive follow-up colonoscopies in order to maximize survival.</t>
  </si>
  <si>
    <t>Effect of Type 2 Diabetes on Recurrent Major Cardiovascular Events for Patients With Symptomatic Vascular Disease at Different Locations.</t>
  </si>
  <si>
    <t>Stam-Slob, Manon C; van der Graaf, Yolanda; de Borst, Gert Jan; Cramer, Maarten J; Kappelle, L J; Westerink, Jan; Visseren, Frank L; ,</t>
  </si>
  <si>
    <t>https://pubmed.ncbi.nlm.nih.gov/26038582</t>
  </si>
  <si>
    <t>Our aim is to compare the effect of type 2 diabetes on recurrent major cardiovascular events (MCVE) for patients with symptomatic vascular disease at different locations. A total of 6,841 patients from the single-center, prospective Second Manifestations of ARTerial disease (SMART) cohort study from Utrecht, the Netherlands, with clinically manifest vascular disease with (n = 1,155) and without (n = 5,686) type 2 diabetes were monitored between 1996 and 2013. The effect of type 2 diabetes on recurrent MCVE was analyzed with Cox proportional hazards models, stratified for disease location (cerebrovascular disease, peripheral artery disease, abdominal aortic aneurysm, coronary artery disease, or polyvascular disease, defined as ≥2 vascular locations). Five-year risks for recurrent MCVE were 9% in cerebrovascular disease, 9% in peripheral artery disease, 20% in those with an abdominal aortic aneurysm, 7% in coronary artery disease, and 21% in polyvascular disease. Type 2 diabetes increased the risk of recurrent MCVE in coronary artery disease (hazard ratio [HR] 1.67; 95% CI 1.25-2.21) and seemed to increase the risk in cerebrovascular disease (HR 1.36; 95% CI 0.90-2.07), while being no risk factor in polyvascular disease (HR 1.12; 95% CI 0.83-1.50). Results for patients with peripheral artery disease (HR 1.42; 95% CI 0.79-2.56) or an abdominal aortic aneurysm (HR 0.93; 95% CI 0.23-3.68) were inconclusive. Type 2 diabetes increased the risk of recurrent MCVE in patients with coronary artery disease, but there is no convincing evidence that it is a major risk factor for subsequent MCVE in all patients with symptomatic vascular disease.</t>
  </si>
  <si>
    <t>Quality of Life after Diet or Exercise-Induced Weight Loss in Overweight to Obese Postmenopausal Women: The SHAPE-2 Randomised Controlled Trial.</t>
  </si>
  <si>
    <t>van Gemert, Willemijn A M; van der Palen, Job; Monninkhof, Evelyn M; Rozeboom, Anouk; Peters, Roelof; Wittink, Harriet; Schuit, Albertine J; Peeters, Petra H</t>
  </si>
  <si>
    <t>https://pubmed.ncbi.nlm.nih.gov/26029921</t>
  </si>
  <si>
    <t>This study investigates the effect of a modest weight loss either by a calorie restricted diet or mainly by increased physical exercise on health related quality of life (HRQoL) in overweight-to-obese and inactive postmenopausal women. We hypothesize that HRQoL improves with weight loss, and that exercise-induced weight loss is more effective for this than diet-induced weight loss. The SHAPE-2 trial was primarily designed to evaluate any additional effect of weight loss by exercise compared with a comparable amount of weight loss by diet on biomarkers relevant for breast cancer risk. In the present analysis we focus on HRQoL. We randomly assigned 243 eligible women to a diet (n = 97), exercise (n = 98), or control group (n = 48). Both interventions aimed for 5-6 kg weight loss. HRQoL was measured at baseline and after 16 weeks by the SF-36 questionnaire. Data of 214 women were available for analysis. Weight loss was 4.9 kg (6.1%) and 5.5 kg (6.9%) with diet and exercise, respectively. Scores of the SF-36 domain 'health change' increased significantly by 8.8 points (95% CI 1.6;16.1) with diet, and by 20.5 points (95% CI 13.2;27.7) with exercise when compared with control. Direct comparison of diet and exercise showed a statistically significantly stronger improvement with exercise. Both intervention groups showed a tendency towards improvements in most other domains, which were more pronounced in the exercise group, but not statistically different from control or each other. In a randomized trial in overweight-to-obese and inactive postmenopausal women a comparable 6%-7% weight loss was achieved by diet-only or mainly by exercise and showed improvements in physical and mental HRQoL domains, but results were not statistically significant in either the diet or exercise group. However, a modest weight loss does lead to a positive change in self-perceived health status. This effect was significantly larger with exercise-induced weight loss than with comparable diet-induced weight loss. ClinicalTrials.gov NCT01511276.</t>
  </si>
  <si>
    <t>Time course and risk factors for myocardial dysfunction after aneurysmal subarachnoid hemorrhage.</t>
  </si>
  <si>
    <t>van der Bilt, Ivo A; Hasan, Djo; van den Brink, Renee B; Cramer, Maarten J; van der Jagt, Mathieu; van Kooten, Fop; Regtien, Joost G; van den Berg, Maarten P; Groen, Rob J; Cate, Folkert J Ten; Kamp, Otto; Götte, Marco J; Horn, Janneke; Girbes, Armand R; Vandertop, W Peter; Algra, Ale; Rinkel, Gabriel J; Wilde, Arthur A; ,</t>
  </si>
  <si>
    <t>https://pubmed.ncbi.nlm.nih.gov/25714519</t>
  </si>
  <si>
    <t>Myocardial wall motion abnormalities (WMAs) are independent risk factors for a poor outcome in patients with aneurysmal subarachnoid hemorrhage (aSAH). To study the time course of WMAs during the initial phase after aSAH and to investigate which clinical, electrocardiographic, or myocardial serum markers are predictors of early or late development of WMAs. In a prospective, multicenter cohort study in patients with aSAH, we performed serial electrocardiography and echocardiography and measured troponin T and N-terminal pro-B-type natriuretic peptide. WMAs present on admission were considered early WMAs; those that developed during the clinical course were considered late WMAs. Using multivariable regression analysis, we calculated odds ratios with corresponding 95% confidence intervals for clinical parameters, electrocardiography, and myocardial serum makers with early or late occurrence of WMAs. We included 301 patients (mean age ± SD, 57 ± 13) years. Multivariable odds ratios for early WMAs were poor clinical condition, 2.7 (95% confidence interval: 1.1-6.8); sinus tachycardia, 5.0 (1.3-19.9); ST-segment depression, 3.7 (1.02-13.1); ST-segment elevation, 16.6 (1.5-178.9); and increased troponin T, 2.8 (1.1-7.3). Multivariable odds ratios (95% confidence intervals) for late development of WMAs were 6.8 (1.6-30) for a myocardial infarct pattern on admission electrocardiography and 3.4 (1.4-8.5) for increased troponin T on admission. WMAs may be present on admission or develop during the course of aSAH. Poor neurological condition on admission, sinus tachycardia, ST-segment depression, and ST-segment elevation on admission electrocardiography and increased troponin T are independent predictors of early WMAs; a myocardial infarct pattern on admission ECG and increased troponin T independently predict late WMAs. NCT00123695.</t>
  </si>
  <si>
    <t>Illness perceptions and self-care behaviours in the first years of living with type 2 diabetes; does the presence of complications matter?</t>
  </si>
  <si>
    <t>van Puffelen, Anne L; Heijmans, Monique J W M; Rijken, Mieke; Rutten, Guy E H M; Nijpels, Giel; Schellevis, François G; ,</t>
  </si>
  <si>
    <t>psychology health</t>
  </si>
  <si>
    <t>https://pubmed.ncbi.nlm.nih.gov/25925788</t>
  </si>
  <si>
    <t>To assess illness perceptions, self-care behaviours and their relationship in recently diagnosed type 2 diabetes mellitus (T2DM) patients with and without diabetes-related complications. Cross-sectional survey among 192 recently diagnosed T2DM patients of whom 23% reported the presence of diabetes-related complications. Illness perceptions and self-care were assessed by the Revised Illness Perception Questionnaire (IPQ-R) and the revised Summary of Diabetes Self-Care Activities (SDSCA) measure. Generally, participating patients perceived T2DM as a chronic, but relatively controllable condition with minor consequences. In the presence of complications, however, T2DM was perceived as more unpredictable with more (serious) consequences and less controllable by self-care or medical treatment. Furthermore, engagement in exercise and foot care was reported more often by patients with complications. Self-care was related to certain illness perception dimensions, and interactions between perceptions and complications were found. T2DM patients in the first years of their illness are often recommended to make lifestyle changes in the absence of noticeable diabetes-related symptoms or complaints. As many T2DM patients do not seem to perceive their condition to be serious and postpone lifestyle changes until diabetes-related complications appear, a major challenge for professionals is to convince asymptomatic patients of the importance of self-care.</t>
  </si>
  <si>
    <t>Association of HIV Infection With Anal and Penile Low-Risk Human Papillomavirus Infections Among Men Who Have Sex With Men in Amsterdam: The HIV &amp; HPV in MSM Study.</t>
  </si>
  <si>
    <t>Welling, Camiel A H; Mooij, Sofie H; van der Sande, Marianne A B; van Rooijen, Martijn S; Vermeulen-Oost, Wilma F; King, Audrey J; van Eeden, Arne; Heideman, Daniëlle A M; Stolte, Ineke G; Schim van der Loeff, Maarten F</t>
  </si>
  <si>
    <t>https://pubmed.ncbi.nlm.nih.gov/25970305</t>
  </si>
  <si>
    <t>This study among men who have sex with men (MSM) aimed to (1) assess prevalence of anogenital low-risk human papillomavirus (lrHPV) infections, (2) evaluate associations with HIV infection, and (3) investigate lrHPV concordance. In 2010 to 2011, MSM 18 years or older were recruited in Amsterdam, the Netherlands, and provided anal and penile self-swabs (HIV &amp; HPV in MSM study). Using the HPV SPF10-PCR/DEIA/LiPA25 system, the presence of lrHPV types 6, 11, 34, 40, 42, 43, 44, 53, 54, 66, 68/73, 70, and 74 could be detected. Logistic regression with generalized estimating equations was used to assess the independent effect of HIV on lrHPV infections. The model was repeated for lrHPV subcategories (nononcogenic and weakly oncogenic infections separately). Concordance was defined as detection of the same lrHPV type in both self-swabs of one individual. A total of 778 MSM were included, of whom 317 (41%) were HIV positive (median CD4 count at enrollment, 530 cells/mm). Prevalence of anal lrHPV was 45% (95% confidence interval [CI], 41%-50%) in HIV-negative MSM and 69% (95% CI, 64%-74%) in HIV-positive MSM. Prevalence of penile lrHPV was 20% (95% CI, 16%-24%) and 37% (95% CI, 31%-42%), respectively. In multivariable analysis, HIV infection was independently associated with anal (adjusted odds ratio [aOR], 1.9; 95% CI, 1.5-2.3) and penile lrHPV (aOR, 2.0; 95% CI, 1.4-2.7). Nononcogenic and weakly oncogenic lrHPV subcategories showed a similar pattern of association. Anal lrHPV infections were strongly associated with the presence of a type-concordant penile infection (aOR, 5.8; 95% CI, 4.4-7.5) and vice versa (aOR, 5.7; 95% CI, 4.4-7.5). Anal and penile infections with lrHPV are common in MSM. HIV infection was an independent determinant for lrHPV infections.</t>
  </si>
  <si>
    <t>The road to mitochondrial gene transfer: follow the middle lane.</t>
  </si>
  <si>
    <t>Bredenoord, A L; Hyun, I</t>
  </si>
  <si>
    <t>molecular therapy the journal of the american society of gene therapy</t>
  </si>
  <si>
    <t>https://pubmed.ncbi.nlm.nih.gov/26022622</t>
  </si>
  <si>
    <t>The effect of weight change on changes in breast density measures over menopause in a breast cancer screening cohort.</t>
  </si>
  <si>
    <t>Wanders, Johanna Olga Pauline; Bakker, Marije Fokje; Veldhuis, Wouter Bernard; Peeters, Petra Huberdina Maria; van Gils, Carla Henrica</t>
  </si>
  <si>
    <t>https://pubmed.ncbi.nlm.nih.gov/26025139</t>
  </si>
  <si>
    <t>High weight and high percentage mammographic breast density are both breast cancer risk factors but are negatively correlated. Therefore, we wanted to obtain more insight into this apparent paradox. We investigated in a longitudinal study how weight change over menopause is related to changes in mammographic breast features. Five hundred ninety-one participants of the EPIC-NL cohort were divided into three groups according to their prospectively measured weight change over menopause: (1) weight loss (more than -3.0 %), (2) stable weight (between -3.0 % and +3.0 %), and (3) weight gain (more than 3.0 %). SPSS GLM univariate analysis was used to determine both the mean breast measure changes in, and the trend over, the weight change groups. Over a median period of 5 years, the mean changes in percent density in these groups were -5.0 % (95 % confidence interval (CI) -8.0; -2.1), -6.8 % (95 % CI -9.0; -4.5), and -10.2 % (95 % CI -12.5; -7.9), respectively (P-trend = 0.001). The mean changes in dense area were -16.7 cm(2) (95 % CI -20.1; -13.4), -16.4 cm(2) (95 % CI -18.9; -13.9), and -18.1 cm(2) (95 % CI -20.6; -15.5), respectively (P-trend = 0.437). Finally, the mean changes in nondense area were -6.1 cm(2) (95 % CI -11.9; -0.4), -0.6 cm(2) (95 % CI -4.9; 3.8), and 5.3 cm(2) (95 % CI 0.9; 9.8), respectively (P-trend &lt; 0.001). Going through menopause is associated with a decrease in both percent density and dense area. Owing to an increase in the nondense tissue, the decrease in percent density is largest in women who gain weight. The decrease in dense area is not related to weight change. So the fact that both high percent density and high weight or weight gain are associated with high postmenopausal breast cancer risk can probably not be explained by an increase (or slower decrease) of dense area in women gaining weight compared with women losing weight or maintaining a stable weight. These results suggest that weight and dense area are presumably two independent postmenopausal breast cancer risk factors.</t>
  </si>
  <si>
    <t>Carriage of extended-spectrum β-lactamases in pig farmers is associated with occurrence in pigs.</t>
  </si>
  <si>
    <t>Dohmen, W; Bonten, M J M; Bos, M E H; van Marm, S; Scharringa, J; Wagenaar, J A; Heederik, D J J</t>
  </si>
  <si>
    <t>https://pubmed.ncbi.nlm.nih.gov/26033669</t>
  </si>
  <si>
    <t>Livestock may serve as a reservoir for extended-spectrum β-lactamase-producing Enterobacteriaceae (ESBL-PE). The objectives of this study were to determine the prevalence of carriage with ESBL-PE in pig farmers, family members and employees, and its association with carriage in pigs. Rectal swabs were taken from 2388 pigs (398 pooled samples) on 40 pig farms and faecal samples were obtained from 142 humans living or working on 34 of these farms. Presence of ESBL-PE was determined by selective plating (agar). ESBL genes were analysed by PCR or microarray analysis, and gene sequencing. Genotypes and plasmids were determined by multilocus sequence typing and PCR-based replicon typing for selected isolates. ESBL genes were detected in Escherichia coli from eight humans (6%) (blaCTX-M-1, n = 6; blaTEM-52, n = 1 and blaCTX-M-14, n = 1) on six farms. In 157 pig isolates (107 pooled samples) on 18 farms (45%) ESBL genes were detected (blaCTX-M-1, n = 12; blaTEM-52, n = 6; and blaCTX-M-14, n = 3). Human and pig isolates within the same farm harboured similar ESBL gene types and had identical sequence and plasmid types on two farms (e.g. E. coli ST-453, blaCTX-M-1, IncI1), suggesting clonal transmission. For the remaining farms, sequence types, but not plasmid types, differed. Human ESBL carriage was associated with average number of hours working on the farm per week (OR = 1.04, 95% CI 1.02-1.06) and presence of ESBLs in pigs (OR = 12.5, 95% CI 1.4-111.7). Daily exposure to pigs carrying ESBL-PE is associated with ESBL carriage in humans.</t>
  </si>
  <si>
    <t>Incidental findings on chest CT imaging are associated with increased COPD exacerbations and mortality.</t>
  </si>
  <si>
    <t>Jairam, Pushpa M; van der Graaf, Yolanda; Lammers, Jan-Willem J; Mali, Willem P Th M; de Jong, Pim A; ,</t>
  </si>
  <si>
    <t>https://pubmed.ncbi.nlm.nih.gov/26024687</t>
  </si>
  <si>
    <t>This study aimed to evaluate whether incidental CT findings of emphysema, airway thickening and bronchiectasis, as seen on CT scans performed for other non-pulmonary clinical indications, are associated with future acute exacerbations of COPD resulting in hospitalisation or death. This multicentre prospective case-cohort study comprised 6406 subjects who underwent routine diagnostic chest CT for non-pulmonary indications. Using a case-cohort approach, we visually graded CT scans from cases and a random sample of ∼10% of the baseline cohort (n=704) for emphysema severity (range 0-20), airway thickening (range 0-5) and bronchiectasis (range 0-5). We used weighted Cox proportional hazards analysis to assess the independent association between CT findings and hospitalisation or death due to COPD exacerbation. During a median follow-up of 4.4 years (maximum 5.2 years), 338 COPD events were identified. The risk of experiencing a future acute exacerbation of COPD resulting in hospitalisation or death was significantly increased in subjects with severe emphysema (score ≥7) and severe airway thickening (score ≥3). The respective HRs were 4.6 (95% CI 3.0 to 7.1) and 5.9 (95% CI 3.4 to 10.5). Severe bronchiectasis (score ≥3) was not significantly associated with increased risk of adverse events (HR 1.5; 95% CI 0.9 to 2.5). Morphological correlates of COPD such as emphysema and airway thickening detected on CT scans obtained for other non-pulmonary indications are strong independent predictors of subsequent development of acute exacerbations of COPD resulting in hospitalisation or death.</t>
  </si>
  <si>
    <t>Determination of spin and parity of the Higgs boson in the [Formula: see text] decay channel with the ATLAS detector.</t>
  </si>
  <si>
    <t>https://pubmed.ncbi.nlm.nih.gov/26041978</t>
  </si>
  <si>
    <t>Studies of the spin and parity quantum numbers of the Higgs boson in the [Formula: see text] final state are presented, based on proton-proton collision data collected by the ATLAS detector at the Large Hadron Collider, corresponding to an integrated luminosity of 20.3 fb[Formula: see text] at a centre-of-mass energy of [Formula: see text] TeV. The Standard Model spin-parity [Formula: see text] hypothesis is compared with alternative hypotheses for both spin and CP. The case where the observed resonance is a mixture of the Standard-Model-like Higgs boson and CP-even ([Formula: see text]) or CP-odd ([Formula: see text]) Higgs boson in scenarios beyond the Standard Model is also studied. The data are found to be consistent with the Standard Model prediction and limits are placed on alternative spin and CP hypotheses, including CP mixing in different scenarios.</t>
  </si>
  <si>
    <t>Observation and measurements of the production of prompt and non-prompt [Formula: see text] mesons in association with a [Formula: see text] boson in [Formula: see text] collisions at [Formula: see text] with the ATLAS detector.</t>
  </si>
  <si>
    <t>https://pubmed.ncbi.nlm.nih.gov/26041977</t>
  </si>
  <si>
    <t>The production of a [Formula: see text] boson in association with a [Formula: see text] meson in proton-proton collisions probes the production mechanisms of quarkonium and heavy flavour in association with vector bosons, and allows studies of multiple parton scattering. Using [Formula: see text] of data collected with the ATLAS experiment at the LHC in [Formula: see text] collisions at [Formula: see text], the first measurement of associated [Formula: see text] production is presented for both prompt and non-prompt [Formula: see text] production, with both signatures having a significance in excess of [Formula: see text]. The inclusive production cross-sections for [Formula: see text] boson production (analysed in [Formula: see text] or [Formula: see text] decay modes) in association with prompt and non-prompt [Formula: see text] are measured relative to the inclusive production rate of [Formula: see text] bosons in the same fiducial volume to be [Formula: see text] and [Formula: see text] respectively. Normalised differential production cross-section ratios are also determined as a function of the [Formula: see text] transverse momentum. The fraction of signal events arising from single and double parton scattering is estimated, and a lower limit of [Formula: see text] at [Formula: see text] confidence level is placed on the effective cross-section regulating double parton interactions.</t>
  </si>
  <si>
    <t>Measurement of three-jet production cross-sections in [Formula: see text] collisions at 7 [Formula: see text] centre-of-mass energy using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</si>
  <si>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t>
  </si>
  <si>
    <t>https://pubmed.ncbi.nlm.nih.gov/26041976</t>
  </si>
  <si>
    <t>Double-differential three-jet production cross-sections are measured in proton-proton collisions at a centre-of-mass energy of [Formula: see text] using the ATLAS detector at the large hadron collider. The measurements are presented as a function of the three-jet mass [Formula: see text], in bins of the sum of the absolute rapidity separations between the three leading jets [Formula: see text]. Invariant masses extending up to 5  TeV are reached for [Formula: see text]. These measurements use a sample of data recorded using the ATLAS detector in 2011, which corresponds to an integrated luminosity of [Formula: see text]. Jets are identified using the anti-[Formula: see text] algorithm with two different jet radius parameters, [Formula: see text] and [Formula: see text]. The dominant uncertainty in these measurements comes from the jet energy scale. Next-to-leading-order QCD calculations corrected to account for non-perturbative effects are compared to the measurements. Good agreement is found between the data and the theoretical predictions based on most of the available sets of parton distribution functions, over the full kinematic range, covering almost seven orders of magnitude in the measured cross-section values.</t>
  </si>
  <si>
    <t>Are ECG monitoring recommendations before prescription of QT-prolonging drugs applied in daily practice? The example of haloperidol.</t>
  </si>
  <si>
    <t>Warnier, Miriam Jacoba; Rutten, Frans Hendrik; Souverein, Patrick Cyriel; de Boer, Anthonius; Hoes, Arno Wilhelmus; De Bruin, Marie Louise</t>
  </si>
  <si>
    <t>https://pubmed.ncbi.nlm.nih.gov/26013175</t>
  </si>
  <si>
    <t>Monitoring of the QT duration by electrocardiography (ECG) prior to treatment is frequently recommended in the label of QT-prolonging drugs. It is, however, unknown how often general practitioners in daily clinical practice are adhering to these risk-minimization measures. We assessed the frequency of ECG measurements in patients where haloperidol was initiated in primary care. Patients (≥18 years) with a first prescription of haloperidol in the UK Clinical Practice Research Datalink (2009-2013) were included. The proportion of ECGs made was determined in two blocks of 4 weeks: during the exposure period when haloperidol was initiated, and during the control period, 1 year before. Conditional logistic regression analysis was applied to calculate the relative risk of having an ECG in the exposure period compared with the control period. Subgroup analyses were performed to assess the proportion of ECG measurements in patients with one or more additional risk factors for QT prolongation. In total, 3420 patients were prescribed haloperidol during the exposure period, and 1.8% of them had an ECG at treatment initiation, compared with 0.8% during the control period (relative risk [RR] 2.4 [1.5-3.8]). Of the patients with additional risk factors for QT prolongation, 1.9% of the patients had an ECG at initiation of the prescription, compared with 1.0% during the control period (RR 2.1 [1.2-3.5]). Compliance with recommendations to perform an electrocardiogram when starting a new QT-prolonging drug is extremely low, when haloperidol is taken as an example.</t>
  </si>
  <si>
    <t>Patients' experiences of safety during haemodialysis treatment--a qualitative study.</t>
  </si>
  <si>
    <t>Lovink, Marleen H; Kars, Marijke C; de Man-van Ginkel, Janneke M; Schoonhoven, Lisette</t>
  </si>
  <si>
    <t>https://pubmed.ncbi.nlm.nih.gov/26013601</t>
  </si>
  <si>
    <t>To explore the experiences of safety of adult patients during their haemodialysis treatment. Haemodialysis is a complex treatment with a risk for harm that causes anxiety among many patients. To date, no in-depth study of haemodialysis patients' emotional responses to conditions of their treatment exists. A descriptive exploratory qualitative study using content analysis was conducted. Outpatients (≥18 years old) (n = 12) who were treated with haemodialysis for more than half a year were purposefully selected from two haemodialysis units (one in an academic hospital and one in a top clinical hospital) in the Netherlands. Data were collected through in-depth individual interviews from January-April 2013. Analysis of the transcribed interviews consisted of open coding, creating categories and synthesis. Patients defined 'safety' as feeling safe from physical or emotional threats. Four main categories were identified in the descriptions of haemodialysis patients' experiences of safety: (a) insecurity; (b) trust in the nurse; (c) presence of the nurse; and (d) patients' need to control their situation. Although haemodialysis patients perceived multiple risks, most patients reported feeling safe during their treatment. The nurse had a pivotal role in promoting patients' feelings of safety. Nurses should take into account patients' coping strategies because these coping strategies may cause some patients to feel anxious, especially when patients say that they leave everything to the nurse, yet they still desire control over their treatment.</t>
  </si>
  <si>
    <t>CINGLE-trial: cochlear implantation for siNGLE-sided deafness, a randomised controlled trial and economic evaluation.</t>
  </si>
  <si>
    <t>Peters, Jeroen Pm; van Zon, Alice; Smit, Adriana L; van Zanten, Gijsbert A; de Wit, G Ardine; Stegeman, Inge; Grolman, Wilko</t>
  </si>
  <si>
    <t>https://pubmed.ncbi.nlm.nih.gov/27777509</t>
  </si>
  <si>
    <t>Individuals with single-sided deafness (SSD) have problems with speech perception in noise, localisation of sounds and with communication and social interaction in their daily life. Current treatment modalities (Contralateral Routing of Sound systems [CROS] and Bone Conduction Devices [BCD]) do not restore binaural hearing. Based on low level of evidence studies, CROS and BCD do not improve speech perception in noise or sound localisation. In contrast, cochlear implantation (CI) may overcome the limitations of CROS and BCD, as binaural input can be restored. Promising results have previously been achieved on speech perception in noise, sound localisation, tinnitus and quality of life. A single-center Randomised Controlled Trial (RCT) was designed to compare all treatment strategies for SSD. One hundred and twenty adult single-sided deaf patients (duration of deafness &gt;3 months and maximum 10 years; pure tone average at 0.5, 1, 2, 4 kHz, deaf ear: threshold equal to or more than 70 dB, better ear: threshold of maximum 30 dB) will be included in this trial and randomised to CI, 'first BCD, then CROS' or 'first CROS, then BCD'-groups. After the trial period, patients in the two latter groups may choose with which treatment option they continue. Outcomes of interest are speech perception in noise, sound localization, tinnitus and quality of life. These outcomes will be measured during a baseline visit and at follow up visits, which will take place at 6, 12, 18, 24, 36, 48 and 60 months after onset of treatment. Furthermore, an economic evaluation will be performed and adverse events will be monitored. This RCT allows for a comparison between the two current treatment modalities for single-sided deafness and a new promising treatment strategy, CI, on a range of health outcomes: speech perception in noise, sound localization, tinnitus and quality of life. Additionally, we will be able to answer the question if the additional costs of CI are justified by increased benefits, when compared to current treatment strategies. This study will inform health policy makers with regard to reimbursement of CI. Netherlands Trial Register (www.trialregister.nl): NTR4580.</t>
  </si>
  <si>
    <t>Dietary patterns in relation to quality-adjusted life years in the EPIC-NL cohort.</t>
  </si>
  <si>
    <t>Fransen, Heidi P; Beulens, Joline W J; May, Anne M; Struijk, Ellen A; Boer, Jolanda M A; de Wit, G Ardine; Onland-Moret, N Charlotte; van der Schouw, Yvonne T; Bueno-de-Mesquita, H Bas; Hoekstra, Jeljer; Peeters, Petra H M</t>
  </si>
  <si>
    <t>https://pubmed.ncbi.nlm.nih.gov/26007298</t>
  </si>
  <si>
    <t>Dietary patterns have been associated with the incidence or mortality of individual non-communicable diseases, but their association with disease burden has received little attention. The aim of our study was to relate dietary patterns to health expectancy using quality-adjusted life years (QALYs) as outcome parameter. Data from the EPIC-NL study were used, a prospective cohort study of 33,066 healthy men and women aged 20-70 years at recruitment. A lifestyle questionnaire and a validated food frequency questionnaire were administered at study entry (1993-1997). Five dietary patterns were studied: three a priori patterns (the modified Mediterranean Diet Score (mMDS), the WHO-based Healthy Diet Indicator (HDI) and the Dutch Healthy Diet index (DHD-index)) and two a posteriori data-based patterns. QALYs were used as a summary health measure for healthy life expectancy, combining a person's life expectancy with a weight reflecting loss of quality of life associated with having chronic diseases. The mean QALYs of the participants were 74.9 (standard deviation 4.4). A higher mMDS and HDI were associated with a longer life in good health. Participants who had a high mMDS score (6-9) had 0.17 [95% CI, 0.05; 0.30] more QALYs than participants with a low score (0-3), equivalent to two months longer life in good health. Participants with a high HDI score also had more QALYs (0.15 [95% CI, 0.03; 0.27]) than participants with a low HDI score. A Mediterranean-type diet and the Healthy Diet Indicator were associated with approximately 2months longer life in good health.</t>
  </si>
  <si>
    <t>Repeated nipple fluid aspiration: compliance and feasibility results from a prospective multicenter study.</t>
  </si>
  <si>
    <t>de Groot, J S; Moelans, C B; Elias, S G; Hennink, A; Verolme, B; Suijkerbuijk, K P M; Jager, A; Seynaeve, C; Bos, P; Witkamp, A J; Ausems, M G E M; van Diest, P J; van der Wall, E</t>
  </si>
  <si>
    <t>https://pubmed.ncbi.nlm.nih.gov/26000714</t>
  </si>
  <si>
    <t>Despite intensive surveillance, a high rate of interval malignancies is still seen in women at increased breast cancer risk. Therefore, novel screening modalities aiming at early detection remain needed. The intraductal approach offers the possibility to directly sample fluid containing cells, DNA and proteins from the mammary ductal system where, in the majority of cases, breast cancer originates. Fluid from the breast can non-invasively be obtained by oxytocin-assisted vacuum aspiration, called nipple fluid aspiration (NFA). The goal of this feasibility study was to evaluate the potential of repeated NFA, which is a critical and essential step to evaluate its possible value as a breast cancer screening method. In this multicenter, prospective study, we annually collected nipple fluid for up to 5 consecutive years from women at increased breast cancer risk, and performed a questionnaire-based survey regarding discomfort of the aspiration. Endpoints of the current interim analyses were the feasibility and results of 994 NFA procedures in 451 women with total follow-up of 560 person years of observation. In this large group of women at increased risk of breast cancer, repetitive NFA appeared to be feasible and safe. In 66.4% of aspirated breasts, nipple fluid was successfully obtained. Independent predictive factors for successful NFA were premenopausal status, spontaneous nipple discharge, smaller breast size, bilateral oophorectomy and previous use of hormone replacement therapy or anti-hormonal treatment. The procedure was well tolerated with low discomfort. Drop-out rate was 20%, which was mainly due to repeated unsuccessful aspiration attempts. Only 1.6% of women prematurely declined further participation because of side effects. Repeated NFA in women at increased breast cancer risk is feasible and safe. Therefore, NFA is a promising method to non-invasively obtain a valuable source of potential breast cancer specific biomarkers.</t>
  </si>
  <si>
    <t>Prevalence and risk of cardiovascular risk factors and events in offspring of patients at high vascular risk and effect of location of parental vascular disease.</t>
  </si>
  <si>
    <t>https://pubmed.ncbi.nlm.nih.gov/26046422</t>
  </si>
  <si>
    <t>Offspring of patients with cardiovascular disease are at increased risk of developing cardiovascular events. We evaluated whether prevalence of risk factors in offspring of patients with increased cardiovascular risk is higher compared with the general population and whether the risk of cardiovascular events and prevalence of cardiovascular risk factors in offspring is dependent on parental vascular disease location. Of 4270 patients enrolled in the SMART cohort we assessed after a follow-up of 7 years (IQR 4-8) the presence of cardiovascular risk factors and disease in their 10,572 children by questionnaire. The SMART patients had symptomatic vascular disease (coronary artery disease (CAD) (n = 1826), cerebrovascular disease (CVD) (n = 637), peripheral artery disease (PAD) (n = 275), abdominal aortic aneurysm (AAA) (n = 98), polyvascular disease (≥ 2 vascular manifestations) (n = 371)) or risk factors (hypercholesterolemia, diabetes, hypertension) (n = 1063). The prevalence of risk factors in offspring was compared with the general population and stratified for parental vascular disease location. The relation between parental vascular disease location and cardiovascular events in offspring was determined by Poisson regression. The offspring had higher prevalence of in particular hypercholesterolemia and hypertension compared with the general population, irrespective of the parental vascular disease location. Higher risks of cardiovascular events compared with offspring of patients without manifest vascular disease were observed in offspring of patients with CAD (PR 1.8, 95%CI 0.9-3.4), CVD (PR 2.4, 95%CI 1.2-4.8), PAD (PR 2.8, 95%CI 1.3-6.4), polyvascular disease (PR 2.5, 95%CI 1.2-5.2), but not with AAA (PR 1.7, 95%CI 0.5-6.1). In offspring from patients with cardiovascular disease or risk factors, the prevalence of traditional risk factors was higher compared with the general population, independent of the location of vascular disease of the parent. Offspring of patients with PAD had the highest risk of developing vascular disease.</t>
  </si>
  <si>
    <t>Cost-effectiveness of a nurse-led internet-based vascular risk factor management programme: economic evaluation alongside a randomised controlled clinical trial.</t>
  </si>
  <si>
    <t>Greving, J P; Kaasjager, H A H; Vernooij, J W P; Hovens, M M C; Wierdsma, J; Grandjean, H M H; van der Graaf, Y; de Wit, G A; Visseren, F L J</t>
  </si>
  <si>
    <t>https://pubmed.ncbi.nlm.nih.gov/25995238</t>
  </si>
  <si>
    <t>To assess the cost-effectiveness of an internet-based, nurse-led vascular risk factor management programme in addition to usual care compared with usual care alone in patients with a clinical manifestation of a vascular disease. Cost-effectiveness analysis alongside a randomised controlled trial (the Internet-based vascular Risk factor Intervention and Self-management (IRIS) study). Multicentre trial in a secondary and tertiary healthcare setting. 330 patients with a recent clinical manifestation of atherosclerosis in the coronary, cerebral, or peripheral arteries and with ≥2 treatable vascular risk factors not at goal. The intervention consisted of a personalised website with an overview and actual status of patients' vascular risk factors, and mail communication with a nurse practitioner via the website for 12 months. The intervention combined self-management support, monitoring of disease control and pharmacotherapy. Societal costs, quality-adjusted life-years (QALYs) and incremental cost-effectiveness. Patients experienced equal health benefits, that is, 0.86 vs 0.85 QALY (intervention vs usual care) at 1 year. Adjusting for baseline differences, the incremental QALY difference was -0.014 (95% CI -0.034 to 0.007). The intervention was associated with lower total costs (€4859 vs €5078, difference €219, 95% CI -€2301 to €1825). The probability that the intervention is cost-effective at a threshold value of €20,000/QALY, is 65%. At mean annual cost of €220 per patient, the intervention is relatively cheap. An internet-based, nurse-led intervention in addition to usual care to improve vascular risk factors in patients with a clinical manifestation of a vascular disease does not result in a QALY gain at 1 year, but has a small effect on vascular risk factors and is associated with lower costs. NCT00785031.</t>
  </si>
  <si>
    <t>Rectal Carriage of Extended-Spectrum-Beta-Lactamase-Producing Enterobacteriaceae in Hospitalized Patients: Selective Preenrichment Increases Yield of Screening.</t>
  </si>
  <si>
    <t>Kluytmans-van den Bergh, M F Q; Verhulst, C; Willemsen, L E; Verkade, E; Bonten, M J M; Kluytmans, J A J W</t>
  </si>
  <si>
    <t>https://pubmed.ncbi.nlm.nih.gov/25994164</t>
  </si>
  <si>
    <t>This study evaluated the added value of selective preenrichment for the detection of rectal carriage of extended-spectrum-beta-lactamase-producing Enterobacteriaceae (ESBL-E). ESBL-E rectal carriage was identified in 4.8% of hospitalized patients, and 25.9% of ESBL-E rectal carriers were identified with selective preenrichment only.</t>
  </si>
  <si>
    <t>Phenotyping asthma, rhinitis and eczema in MeDALL population-based birth cohorts: an allergic comorbidity cluster.</t>
  </si>
  <si>
    <t>Garcia-Aymerich, J; Benet, M; Saeys, Y; Pinart, M; Basagaña, X; Smit, H A; Siroux, V; Just, J; Momas, I; Rancière, F; Keil, T; Hohmann, C; Lau, S; Wahn, U; Heinrich, J; Tischer, C G; Fantini, M P; Lenzi, J; Porta, D; Koppelman, G H; Postma, D S; Berdel, D; Koletzko, S; Kerkhof, M; Gehring, U; Wickman, M; Melén, E; Hallberg, J; Bindslev-Jensen, C; Eller, E; Kull, I; Lødrup Carlsen, K C; Carlsen, K-H; Lambrecht, B N; Kogevinas, M; Sunyer, J; Kauffmann, F; Bousquet, J; Antó, J M</t>
  </si>
  <si>
    <t>https://pubmed.ncbi.nlm.nih.gov/25932997</t>
  </si>
  <si>
    <t>Asthma, rhinitis and eczema often co-occur in children, but their interrelationships at the population level have been poorly addressed. We assessed co-occurrence of childhood asthma, rhinitis and eczema using unsupervised statistical techniques. We included 17 209 children at 4 years and 14 585 at 8 years from seven European population-based birth cohorts (MeDALL project). At each age period, children were grouped, using partitioning cluster analysis, according to the distribution of 23 variables covering symptoms 'ever' and 'in the last 12 months', doctor diagnosis, age of onset and treatments of asthma, rhinitis and eczema; immunoglobulin E sensitization; weight; and height. We tested the sensitivity of our estimates to subject and variable selections, and to different statistical approaches, including latent class analysis and self-organizing maps. Two groups were identified as the optimal way to cluster the data at both age periods and in all sensitivity analyses. The first (reference) group at 4 and 8 years (including 70% and 79% of children, respectively) was characterized by a low prevalence of symptoms and sensitization, whereas the second (symptomatic) group exhibited more frequent symptoms and sensitization. Ninety-nine percentage of children with comorbidities (co-occurrence of asthma, rhinitis and/or eczema) were included in the symptomatic group at both ages. The children's characteristics in both groups were consistent in all sensitivity analyses. At 4 and 8 years, at the population level, asthma, rhinitis and eczema can be classified together as an allergic comorbidity cluster. Future research including time-repeated assessments and biological data will help understanding the interrelationships between these diseases.</t>
  </si>
  <si>
    <t>Impact of UKPDS risk estimation added to a first subjective risk estimation on management of coronary disease risk in type 2 diabetes - An observational study.</t>
  </si>
  <si>
    <t>Wind, Anne E; Gorter, Kees J; van den Donk, Maureen; Rutten, Guy E H M</t>
  </si>
  <si>
    <t>https://pubmed.ncbi.nlm.nih.gov/25997631</t>
  </si>
  <si>
    <t>To investigate the impact of the UKPDS risk engine on management of CHD risk in T2DM patients. Observational study among 139 GPs. Data from 933 consecutive patients treated with a maximum of two oral glucose lowering drugs, collected at baseline and after twelve months. GPs estimated the CHD risk themselves and afterwards they calculated this with the UKPDS risk engine. Under- and overestimation were defined as a difference &gt;5 percentage points difference between both calculations. The impact of the UKPDS risk engine was assessed by measuring differences in medication adjustments between the over-, under- and accurately estimated group. In 42.0% the GP accurately estimated the CHD risk, in 32.4% the risk was underestimated and in 25.6% overestimated. Mean difference between the estimated (18.7%) and calculated (19.1%) 10 years CHD risk was -0.36% (95% CI -1.24 to 0.52). Male gender, current smoking and total cholesterol level were associated with underestimation. Patients with an subjectively underestimated CHD risk received significantly more medication adjustments. Their UKPDS 10 year CHD risk did not increase during the follow-up period, contrary to the other two groups of patients. The UKPDS risk engine may be of added value for risk management in T2DM.</t>
  </si>
  <si>
    <t>Predictors of skilled attendance at delivery among antenatal clinic attendants in Ghana: a cross-sectional study of population data.</t>
  </si>
  <si>
    <t>Amoakoh-Coleman, Mary; Ansah, Evelyn K; Agyepong, Irene Akua; Grobbee, Diederick E; Kayode, Gbenga A; Klipstein-Grobusch, Kerstin</t>
  </si>
  <si>
    <t>https://pubmed.ncbi.nlm.nih.gov/25991459</t>
  </si>
  <si>
    <t>To identify demographic, maternal and community predictors of skilled attendance at delivery among women who attend antenatal clinic at least once during their pregnancy in Ghana. A cross-sectional study using the 2008 Ghana Demographic and Health Survey (DHS) data. We used frequencies for descriptive analysis, χ(2) test for associations and logistic regression to identify significant predictors. Predictive models were built with estimation of area under the receiver operating characteristic curves (AUC). Ghana. A total of 2041 women who had a live birth in the 5 years preceding the survey, and attended an antenatal clinic having a skilled provider, at least once, during the pregnancy. Skilled attendance at delivery. Overall, 60.5% (1235/2041) of women in our study sample reported skilled attendance at delivery. Significant positive associations existed between skilled attendance at delivery and the variables such as maternal educational level, wealth status class, ever use of contraception, previous pregnancy complications and health insurance coverage (p&lt;0.001). Significant predictors of skilled attendance were wealth status class, residency, previous delivery complication, health insurance coverage and religion in a model with AUC (95% CI) of 0.85 (0.83 to 0.88). Women less likely to have skilled attendance at delivery can be identified during antenatal care by using data on wealth status class, health insurance coverage, residence, history of previous birth complications and religion, and targeted with interventions to improve skilled attendance at delivery.</t>
  </si>
  <si>
    <t>Early Detection and Treatment of Type 2 Diabetes Reduce Cardiovascular Morbidity and Mortality: A Simulation of the Results of the Anglo-Danish-Dutch Study of Intensive Treatment in People With Screen-Detected Diabetes in Primary Care (ADDITION-Europe).</t>
  </si>
  <si>
    <t>Herman, William H; Ye, Wen; Griffin, Simon J; Simmons, Rebecca K; Davies, Melanie J; Khunti, Kamlesh; Rutten, Guy E H M; Sandbaek, Annelli; Lauritzen, Torsten; Borch-Johnsen, Knut; Brown, Morton B; Wareham, Nicholas J</t>
  </si>
  <si>
    <t>https://pubmed.ncbi.nlm.nih.gov/25986661</t>
  </si>
  <si>
    <t>To estimate the benefits of screening and early treatment of type 2 diabetes compared with no screening and late treatment using a simulation model with data from the ADDITION-Europe study. We used the Michigan Model, a validated computer simulation model, and data from the ADDITION-Europe study to estimate the absolute risk of cardiovascular outcomes and the relative risk reduction associated with screening and intensive treatment, screening and routine treatment, and no screening with a 3- or 6-year delay in the diagnosis and routine treatment of diabetes and cardiovascular risk factors. When the computer simulation model was programmed with the baseline demographic and clinical characteristics of the ADDITION-Europe population, it accurately predicted the empiric results of the trial. The simulated absolute risk reduction and relative risk reduction were substantially greater at 5 years with screening, early diagnosis, and routine treatment compared with scenarios in which there was a 3-year (3.3% absolute risk reduction [ARR], 29% relative risk reduction [RRR]) or a 6-year (4.9% ARR, 38% RRR) delay in diagnosis and routine treatment of diabetes and cardiovascular risk factors. Major benefits are likely to accrue from the early diagnosis and treatment of glycemia and cardiovascular risk factors in type 2 diabetes. The intensity of glucose, blood pressure, and cholesterol treatment after diagnosis is less important than the time of its initiation. Screening for type 2 diabetes to reduce the lead time between diabetes onset and clinical diagnosis and to allow for prompt multifactorial treatment is warranted.</t>
  </si>
  <si>
    <t>Multivariate meta-analysis of individual participant data helped externally validate the performance and implementation of a prediction model.</t>
  </si>
  <si>
    <t>Snell, Kym I E; Hua, Harry; Debray, Thomas P A; Ensor, Joie; Look, Maxime P; Moons, Karel G M; Riley, Richard D</t>
  </si>
  <si>
    <t>https://pubmed.ncbi.nlm.nih.gov/26142114</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</si>
  <si>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"good"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"good" performance (defined by C statistic ≥0.7 and calibration slope between 0.9 and 1.1) in a new population was 0.67 with recalibration but 0.22 without recalibration. For the DVT model, even with recalibration, there was only a 0.03 probability of "good" performance. Multivariate meta-analysis can be used to externally validate a prediction model's calibration and discrimination performance across multiple populations and to evaluate different implementation strategies.</t>
  </si>
  <si>
    <t>Combined Measurement of the Higgs Boson Mass in pp Collisions at sqrt[s]=7 and 8 TeV with the ATLAS and CMS Experiments.</t>
  </si>
  <si>
    <t>https://pubmed.ncbi.nlm.nih.gov/26024162</t>
  </si>
  <si>
    <t>A measurement of the Higgs boson mass is presented based on the combined data samples of the ATLAS and CMS experiments at the CERN LHC in the H→γγ and H→ZZ→4ℓ decay channels. The results are obtained from a simultaneous fit to the reconstructed invariant mass peaks in the two channels and for the two experiments. The measured masses from the individual channels and the two experiments are found to be consistent among themselves. The combined measured mass of the Higgs boson is m_{H}=125.09±0.21 (stat)±0.11 (syst) GeV.</t>
  </si>
  <si>
    <t>Risk Chart for Future Mortality and Ischaemic Events Following Peripheral Bypass Surgery.</t>
  </si>
  <si>
    <t>Wisman, P P; van Hattum, E S; van der Graaf, Y; de Borst, G J; Tangelder, M J D; Moll, F L</t>
  </si>
  <si>
    <t>https://pubmed.ncbi.nlm.nih.gov/25981699</t>
  </si>
  <si>
    <t>A prediction model to identify determinants and quantify the risk of future ischaemic events in patients with peripheral arterial disease (PAD) provides a personal risk profile to offer individualized patient care. A risk chart was derived and validated in patients who received infrainguinal bypass surgery. The Bypass Oral anticoagulants or Aspirin Risk Chart (BOA-RC2) was based on a pre-defined subgroup of the Dutch BOA trial (N = 482), the derivation cohort. The primary outcome event for BOA-RC2 was the composite of all cause death, non-fatal myocardial infarction, or non-fatal ischaemic stroke during a 10 year follow up. Determinants and long-term risk were identified with multivariate Cox regression analyses. Validation of the BOA-RC2 was performed in the remaining patients of the complete BOA trial cohort (N = 2,650 - 482 = 2,168), the validation cohort. The primary outcome event occurred in 67% (321/454) of the derivation cohort and in 66% (1,371/2,083) of the validation cohort during a median follow up of 6.6 years. The BOA-RC2 included the following determinants: age, critical limb ischaemia, diabetes, and a prior vascular intervention. The performance of the BOA-RC2 was good with a Brier score of 0.19, an area under the curve of 0.73, and a Hosmer-Lemeshow statistic of p = .9. The BOA-RC2 proves to be fit for the prediction of mortality and major ischaemic events in patients after peripheral bypass surgery. The BOA-RC2 can be used to adequately inform the patient about his/her risk of future events in an illustrative manner and stress the necessity of preventative measures, such as lifestyle adjustments, screening for risk factors, and drug treatments. In the future, the BOA-RC2 may be of interest to identify patients at high risk of mortality and ischaemic events for clinical research on new therapeutic options.</t>
  </si>
  <si>
    <t>An epidemiological model for prediction of endometrial cancer risk in Europe.</t>
  </si>
  <si>
    <t>Hüsing, Anika; Dossus, Laure; Ferrari, Pietro; Tjønneland, Anne; Hansen, Louise; Fagherazzi, Guy; Baglietto, Laura; Schock, Helena; Chang-Claude, Jenny; Boeing, Heiner; Steffen, Annika; Trichopoulou, Antonia; Bamia, Christina; Katsoulis, Michalis; Krogh, Vittorio; Palli, Domenico; Panico, Salvatore; Onland-Moret, N Charlotte; Peeters, Petra H; Bueno-de-Mesquita, H Bas; Weiderpass, Elisabete; Gram, Inger T; Ardanaz, Eva; Obón-Santacana, Mireia; Navarro, Carmen; Sánchez-Cantalejo, Emilio; Etxezarreta, Nerea; Allen, Naomi E; Khaw, Kay Tee; Wareham, Nick; Rinaldi, Sabina; Romieu, Isabelle; Merritt, Melissa A; Gunter, Marc; Riboli, Elio; Kaaks, Rudolf</t>
  </si>
  <si>
    <t>https://pubmed.ncbi.nlm.nih.gov/25968175</t>
  </si>
  <si>
    <t>Endometrial cancer (EC) is the fourth most frequent cancer in women in Europe, and as its incidence is increasing, prevention strategies gain further pertinence. Risk prediction models can be a useful tool for identifying women likely to benefit from targeted prevention measures. On the basis of data from 201,811 women (mostly aged 30-65 years) including 855 incident EC cases from eight countries in the European Prospective Investigation into Cancer and Nutrition cohort, a model to predict EC was developed. A step-wise model selection process was used to select confirmed predictive epidemiologic risk factors. Piece-wise constant hazard rates in 5-year age-intervals were estimated in a cause-specific competing risks model, five-fold-cross-validation was applied for internal validation. Risk factors included in the risk prediction model were body-mass index (BMI), menopausal status, age at menarche and at menopause, oral contraceptive use, overall and by different BMI categories and overall duration of use, parity, age at first full-term pregnancy, duration of menopausal hormone therapy and smoking status (specific for pre, peri- and post-menopausal women). These variables improved the discriminating capacity to predict risk over 5 years from 71% for a model based on age alone to 77% (overall C statistic), and the model was well-calibrated (ratio of expected to observed cases = 0.99). Our model could be used for the identification of women at increased risk of EC in Western Europe. To achieve an EC-risk model with general validity, a large-scale cohort-consortium approach would be needed to assess and adjust for population variation.</t>
  </si>
  <si>
    <t>Identifying cardiovascular risk factor-related dietary patterns with reduced rank regression and random forest in the EPIC-NL cohort.</t>
  </si>
  <si>
    <t>Biesbroek, Sander; van der A, Daphne L; Brosens, Marinka C C; Beulens, Joline W J; Verschuren, W M Monique; van der Schouw, Yvonne T; Boer, Jolanda M A</t>
  </si>
  <si>
    <t>https://pubmed.ncbi.nlm.nih.gov/25971717</t>
  </si>
  <si>
    <t>Several methods are used to determine dietary patterns. Hybrid methods incorporate information on nutrient intake or biological factors to extract patterns relevant to disease etiology. We explore differences between patterns derived with 2 hybrid methods with those obtained by a posteriori methods and compare associations of these patterns with coronary artery disease (CAD) and stroke risk. Food-frequency questionnaires were used to estimate dietary intake in 34,644 participants of European Prospective Investigation into Cancer-Netherlands at baseline (1993-1997). Follow-up was complete until 31 December 2007. Hybrid methods to determine dietary patterns were reduced rank regression (RRR) and random forest with classification tree analysis (RF-CTA). Included risk factors were body mass index, total:high-density lipoprotein cholesterol ratio, and systolic blood pressure. Results were compared with those from principal component analysis (PCA) and k-means cluster analysis (KCA), respectively. Both RRR and PCA derived a "Western," "prudent," and "traditional pattern." All RRR patterns were significantly associated with CAD risk [highest vs. lowest quartile factor score; HR: 1.45 (95% CI: 1.25, 1.69), 0.86 (0.74, 0.99), and 1.25 (1.07, 1.47), respectively]. Only the prudent RRR factor was statistically significant associated with stroke (HR: 0.76; 95% CI: 0.59, 0.97). From the PCA patterns, only the traditional pattern was associated with CAD (HR: 1.29; 95% CI: 1.11, 1.50). RF-CTA derived 7 dietary patterns that could be categorized as "Western-like," "prudent-like," and "traditional-like." KCA established a prudent and Western cluster. Compared with the RF-CTA "prudent-like 1" pattern, only the "traditional-like 1" pattern was associated with CAD (HR: 1.36; 955 CI: 1.12, 1.65). None of the RF-CTA groups were associated with stroke. Compared with the Western KCA cluster, the prudent cluster was not associated with CAD or stroke. Including risk factors in RRR and RF-CTA resulted in small differences in food groups, contributing to similar patterns that showed in general stronger associations with CAD than PCA and KCA, respectively.</t>
  </si>
  <si>
    <t>Genetic variation in uncontrolled childhood asthma despite ICS treatment.</t>
  </si>
  <si>
    <t>Leusink, M; Vijverberg, S J H; Koenderman, L; Raaijmakers, J A M; de Jongste, J C; Sterk, P J; Duiverman, E J; Onland-Moret, N C; Postma, D S; de Boer, A; de Bakker, P I W; Koppelman, G H; Maitland-van der Zee, A H</t>
  </si>
  <si>
    <t>https://pubmed.ncbi.nlm.nih.gov/25963336</t>
  </si>
  <si>
    <t>Genetic variation may partly explain asthma treatment response heterogeneity. We aimed to identify common and rare genetic variants associated with asthma that was not well controlled despite inhaled corticosteroid (ICS) treatment. Data of 110 children was collected in the Children Asthma Therapy Optimal trial. Associations of genetic variation with measures of lung function (FEV1%pred), airway hyperresponsiveness (AHR) to methacholine (Mch PD20) and treatment response outcomes were analyzed using the exome chip. The 17q12-21 locus (containing ORMDL3 and GSMDB) previously associated with childhood asthma was investigated separately. Single-nucleotide polymorphisms (SNPs) in the 17q12-21 locus were found nominally associated with the outcomes. The strongest association in this region was found for rs72821893 in KRT25 with FEV1%pred (P=3.75*10(-5)), Mch PD20 (P=0.00095) and Mch PD20-based treatment outcome (P=0.006). No novel single SNPs or burden tests were significantly associated with the outcomes. The 17q12-21 region was associated with FEV1%pred and AHR, and additionally with ICS treatment response.</t>
  </si>
  <si>
    <t>Search for production of [Formula: see text] resonances decaying to a lepton, neutrino and jets in [Formula: see text] collisions at [Formula: see text] TeV with the ATLAS detector.</t>
  </si>
  <si>
    <t>https://pubmed.ncbi.nlm.nih.gov/25995709</t>
  </si>
  <si>
    <t>A search is presented for narrow diboson resonances decaying to [Formula: see text] or [Formula: see text] in the final state where one [Formula: see text] boson decays leptonically (to an electron or a muon plus a neutrino) and the other [Formula: see text] boson decays hadronically. The analysis is performed using an integrated luminosity of 20.3 fb[Formula: see text] of [Formula: see text] collisions at [Formula: see text] TeV collected by the ATLAS detector at the large hadron collider. No evidence for resonant diboson production is observed, and resonance masses below 700 and 1490 GeV are excluded at 95 % confidence level for the spin-2 Randall-Sundrum bulk graviton [Formula: see text] with coupling constant of 1.0 and the extended gauge model [Formula: see text] boson respectively.</t>
  </si>
  <si>
    <t>Search for direct pair production of a chargino and a neutralino decaying to the 125 GeV Higgs boson in [Formula: see text] TeV [Formula: see text] collisions with the ATLAS detector.</t>
  </si>
  <si>
    <t>https://pubmed.ncbi.nlm.nih.gov/25995708</t>
  </si>
  <si>
    <t>A search is presented for the direct pair production of a chargino and a neutralino [Formula: see text], where the chargino decays to the lightest neutralino and the [Formula: see text] boson, [Formula: see text], while the neutralino decays to the lightest neutralino and the 125 GeV Higgs boson, [Formula: see text]. The final states considered for the search have large missing transverse momentum, an isolated electron or muon, and one of the following: either two jets identified as originating from bottom quarks, or two photons, or a second electron or muon with the same electric charge. The analysis is based on 20.3 [Formula: see text] of [Formula: see text] proton-proton collision data delivered by the Large Hadron Collider and recorded with the ATLAS detector. Observations are consistent with the Standard Model expectations, and limits are set in the context of a simplified supersymmetric model.</t>
  </si>
  <si>
    <t>Association between quality management and performance indicators in Dutch diabetes care groups: a cross-sectional study.</t>
  </si>
  <si>
    <t>Campmans-Kuijpers, Marjo J E; Baan, Caroline A; Lemmens, Lidwien C; Klomp, Maarten L H; Romeijnders, Arnold C M; Rutten, Guy E H M</t>
  </si>
  <si>
    <t>https://pubmed.ncbi.nlm.nih.gov/25968001</t>
  </si>
  <si>
    <t>To enhance the quality of diabetes care in the Netherlands, so-called care groups with three to 250 general practitioners emerged to organise and coordinate diabetes care. This introduced a new quality management level in addition to the quality management of separate general practices. We hypothesised that this new level of quality management might be associated with the aggregate performance indicators on the patient level. Therefore, we aimed to explore the association between quality management at the care group level and its aggregate performance indicators. A cross-sectional study. All Dutch care groups (n=97). 23 care groups provided aggregate register-based performance indicators of all their practices as well as data on quality management measured with a questionnaire filled out by 1 or 2 of their quality managers. The association between quality management, overall and in 6 domains ('organisation of care', 'multidisciplinary teamwork', 'patient centredness', 'performance management', 'quality improvement policy' and 'management strategies') on the one hand and 3 process indicators (the percentages of patients with at least 1 measurement of glycated haemoglobin, lipid profile and systolic blood pressure), and 3 intermediate outcome indicators (the percentages of patients with glycated haemoglobin below 53 mmol/mol (7%); low-density lipoprotein cholesterol below 2.5 mmol/L; and systolic blood pressure below 140 mm Hg) by weighted univariable linear regression. The domain 'management strategies' was significantly associated with the percentage of patients with a glycated haemoglobin &lt;53 mmol/mol (β 0.28 (0.09; 0.46) p=0.01) after correction for multiple testing. The other domains as well as overall quality management were not associated with aggregate process or outcome indicators. This first exploratory study on quality management showed weak or no associations between quality management of diabetes care groups and their performance. It remains uncertain whether this second layer on quality management adds to better quality of care.</t>
  </si>
  <si>
    <t>Delayed linkage to care in one-third of HIV-positive individuals in the Netherlands.</t>
  </si>
  <si>
    <t>van Veen, M G; Trienekens, S C M; Heijman, T; Gotz, H M; Zaheri, S; Ladbury, G; de Wit, J; Fennema, J S A; de Wolf, F; van der Sande, M A B</t>
  </si>
  <si>
    <t>https://pubmed.ncbi.nlm.nih.gov/25964506</t>
  </si>
  <si>
    <t>To determine time to linkage to HIV care following diagnosis and to identify risk factors for delayed linkage. Patients newly diagnosed with HIV at sexually transmitted infections (STI) clinics in the Netherlands were followed until linkage to care. Data were collected at the time of diagnosis and at first consultation in care, including demographics, behavioural information, CD4+ counts and HIV viral load (VL) measurements. Delayed linkage to care was defined as &gt;4 weeks between HIV diagnosis and first consultation. 310 participants were included; the majority (90%) being men who have sex with men (MSM). For 259 participants (84%), a date of first consultation in care was known; median time to linkage was 9 days (range 0-435). Overall, 95 (31%) of the participants were not linked within 4 weeks of diagnosis; among them, 44 were linked late, and 51 were not linked at all by the end of study follow-up. Being young (&lt;25 years), having non-Western ethnicity or lacking health insurance were independently associated with delayed linkage to care as well as being referred to care indirectly. Baseline CD4+ count, VL, perceived social support and stigma at diagnosis were not associated with delayed linkage. Risk behaviour and CD4+ counts declined between diagnosis and linkage to care. Although most newly diagnosed patients with HIV were linked to care within 4 weeks, delay was observed for one-third, with over half of them not yet linked at the end of follow-up. Vulnerable subpopulations (young, uninsured, ethnic minority) were at risk for delayed linkage. Testing those at risk is not sufficient, timely linkage to care needs to be better assured as well.</t>
  </si>
  <si>
    <t>Qualitative point-of-care D-dimer testing compared with quantitative D-dimer testing in excluding pulmonary embolism in primary care.</t>
  </si>
  <si>
    <t>Lucassen, W A M; Erkens, P M G; Geersing, G J; Büller, H R; Moons, K G M; Stoffers, H E J H; van Weert, H C P M</t>
  </si>
  <si>
    <t>https://pubmed.ncbi.nlm.nih.gov/25845618</t>
  </si>
  <si>
    <t>General practitioners can safely exclude pulmonary embolism (PE) by using the Wells PE rule combined with D-dimer testing. To compare the accuracy of a strategy using the Wells rule combined with either a qualitative point-of-care (POC) D-dimer test performed in primary care or a quantitative laboratory-based D-dimer test. We used data from a prospective cohort study including 598 adults suspected of PE in primary care in the Netherlands. General practitioners scored the Wells rule and carried out a qualitative POC test. All patients were referred to hospital for reference testing. We obtained quantitative D-dimer test results as performed in hospital laboratories. The primary outcome was the prevalence of venous thromboembolism in low-risk patients. Prevalence of PE was 12.2%. POC D-dimer test results were available in 582 patients (97%). Quantitative test results were available in 401 patients (67%). We imputed results in 197 patients. The quantitative test and POC test missed one (0.4%) and four patients (1.5%), respectively, with a negative strategy (Wells ≤ 4 points and D-dimer test negative) (P = 0.20). The POC test could exclude 23 more patients (4%) (P = 0.05). The sensitivity and specificity of the Wells rule combined with a POC test were 94.5% and 51.0% and, combined with a quantitative test, 98.6% and 47.2%, respectively. Combined with the Wells PE rule, both tests are safe to use in excluding PE. The quantitative test seemed to be safer than the POC test, albeit not statistically significant. The specificity of the POC test was higher, resulting in more patients in whom PE could be excluded.</t>
  </si>
  <si>
    <t>Small-study effects and time trends in diagnostic test accuracy meta-analyses: a meta-epidemiological study.</t>
  </si>
  <si>
    <t>van Enst, Wynanda Annefloor; Naaktgeboren, Christiana A; Ochodo, Eleanor A; de Groot, Joris A H; Leeflang, Mariska M; Reitsma, Johannes B; Scholten, Rob J P M; Moons, Karel G M; Zwinderman, Aeilko H; Bossuyt, Patrick M M; Hooft, Lotty</t>
  </si>
  <si>
    <t>https://pubmed.ncbi.nlm.nih.gov/25956716</t>
  </si>
  <si>
    <t>Small-study effects and time trends have been identified in meta-analyses of randomized trials. We evaluated whether these effects are also present in meta-analyses of diagnostic test accuracy studies. A systematic search identified test accuracy meta-analyses published between May and September 2012. In each meta-analysis, the strength of the associations between estimated accuracy of the test (diagnostic odds ratio (DOR), sensitivity, and specificity) and sample size and between accuracy estimates and time since first publication were evaluated using meta-regression models. The regression coefficients over all meta-analyses were summarized using random effects meta-analysis. Forty-six meta-analyses and their corresponding primary studies (N = 859) were included. There was a non-significant relative change in the DOR of 1.01 per 100 additional participants (95% CI 1.00 to 1.03; P = 0.07). In the subgroup of imaging studies, there was a relative increase in sensitivity of 1.13 per 100 additional diseased subjects (95% CI 1.05 to 1.22; P = 0.002). The relative change in DOR with time since first publication was 0.94 per 5 years (95% CI 0.80 to 1.10; P = 0.42). Sensitivity was lower in studies published later (relative change 0.89, 95% CI 0.80 to 0.99; P = 0.04). Small-study effects and time trends do not seem to be as pronounced in meta-analyses of test accuracy studies as they are in meta-analyses of randomized trials. Small-study effects seem to be reversed in imaging, where larger studies tend to report higher sensitivity.</t>
  </si>
  <si>
    <t>Diagnostic Performance of ¹⁸F-FDG PET and PET/CT for the Detection of Recurrent Esophageal Cancer After Treatment with Curative Intent: A Systematic Review and Meta-Analysis.</t>
  </si>
  <si>
    <t>Goense, Lucas; van Rossum, Peter S N; Reitsma, Johannes B; Lam, Marnix G E H; Meijer, Gert J; van Vulpen, Marco; Ruurda, Jelle P; van Hillegersberg, Richard</t>
  </si>
  <si>
    <t>https://pubmed.ncbi.nlm.nih.gov/25952733</t>
  </si>
  <si>
    <t>The aim of this study was to assess the diagnostic performance of (18)F-FDG PET and integrated (18)F-FDG PET/CT for diagnosing recurrent esophageal cancer after initial treatment with curative intent. The PubMed, Embase, and Cochrane library were systematically searched for all relevant literature using the key words "(18)F-FDG PET" and "esophageal cancer" and synonyms. Studies examining the diagnostic value of (18)F-FDG PET or integrated (18)F-FDG PET/CT, either in routine clinical follow-up or in symptomatic patients in whom recurrence of esophageal cancer was suspected, were deemed eligible for inclusion. The primary outcome was the presence of recurrent esophageal cancer as determined by histopathologic biopsy or clinical follow-up. Risk of bias and applicability concerns were assessed using the Quality Assessment of Diagnostic Accuracy Studies (QUADAS-2) tool. Sensitivities and specificities of individual studies were meta-analyzed using bivariate random-effects models. Eight eligible studies were included for meta-analysis, comprising 486 patients with esophageal cancer who underwent (18)F-FDG PET or PET/CT after previous treatment with curative intent. The quality of the included studies assessed by the QUADAS-2 tool was considered reasonable; there were few concerns with regard to the risk of bias and applicability. Integrated (18)F-FDG PET/CT and standalone (18)F-FDG PET were used in 4 and 3 studies, respectively. One other study analyzed both modalities separately. In 4 studies, (18)F-FDG PET or PET/CT was performed as part of routine follow-up, whereas in 4 other studies the diagnostic test was performed on indication during clinical follow-up. Pooled estimates of sensitivity and specificity for (18)F-FDG PET and PET/CT in diagnosing recurrent esophageal cancer were 96% (95% confidence interval, 93%-97%) and 78% (95% confidence interval, 66%-86%), respectively. Subgroup analysis revealed no statistically significant difference in diagnostic accuracy according to type of PET scanner (standalone PET vs. integrated PET/CT) or indication of scanning (routine follow-up vs. on indication). (18)F-FDG PET and PET/CT are reliable imaging modalities with a high sensitivity and moderate specificity for detecting recurrent esophageal cancer after treatment with curative intent. The use of (18)F-FDG PET or PET/CT particularly allows for a minimal false-negative rate. However, histopathologic confirmation of (18)F-FDG PET- or PET/CT-suspected lesions remains required, because a considerable false-positive rate is noticed.</t>
  </si>
  <si>
    <t>Patient and disease characteristics associated with activation for self-management in patients with diabetes, chronic obstructive pulmonary disease, chronic heart failure and chronic renal disease: a cross-sectional survey study.</t>
  </si>
  <si>
    <t>Bos-Touwen, Irene; Schuurmans, Marieke; Monninkhof, Evelyn M; Korpershoek, Yvonne; Spruit-Bentvelzen, Lotte; Ertugrul-van der Graaf, Inge; de Wit, Niek; Trappenburg, Jaap</t>
  </si>
  <si>
    <t>https://pubmed.ncbi.nlm.nih.gov/25950517</t>
  </si>
  <si>
    <t>A substantial proportion of chronic disease patients do not respond to self-management interventions, which suggests that one size interventions do not fit all, demanding more tailored interventions. To compose more individualized strategies, we aim to increase our understanding of characteristics associated with patient activation for self-management and to evaluate whether these are disease-transcending. A cross-sectional survey study was conducted in primary and secondary care in patients with type-2 Diabetes Mellitus (DM-II), Chronic Obstructive Pulmonary Disease (COPD), Chronic Heart Failure (CHF) and Chronic Renal Disease (CRD). Using multiple linear regression analysis, we analyzed associations between self-management activation (13-item Patient Activation Measure; PAM-13) and a wide range of socio-demographic, clinical, and psychosocial determinants. Furthermore, we assessed whether the associations between the determinants and the PAM were disease-transcending by testing whether disease was an effect modifier. In addition, we identified determinants associated with low activation for self-management using logistic regression analysis. We included 1154 patients (53% response rate); 422 DM-II patients, 290 COPD patients, 223 HF patients and 219 CRD patients. Mean age was 69.6±10.9. Multiple linear regression analysis revealed 9 explanatory determinants of activation for self-management: age, BMI, educational level, financial distress, physical health status, depression, illness perception, social support and underlying disease, explaining a variance of 16.3%. All associations, except for social support, were disease transcending. This study explored factors associated with varying levels of activation for self-management. These results are a first step in supporting clinicians and researchers to identify subpopulations of chronic disease patients less likely to be engaged in self-management. Increased scientific efforts are needed to explain the greater part of the factors that contribute to the complex nature of patient activation for self-management.</t>
  </si>
  <si>
    <t>Pre-diagnostic concordance with the WCRF/AICR guidelines and survival in European colorectal cancer patients: a cohort study.</t>
  </si>
  <si>
    <t>Romaguera, Dora; Ward, Heather; Wark, Petra A; Vergnaud, Anne-Claire; Peeters, Petra H; van Gils, Carla H; Ferrari, Pietro; Fedirko, Veronika; Jenab, Mazda; Boutron-Ruault, Marie-Christine; Dossus, Laure; Dartois, Laureen; Hansen, Camilla Plambeck; Dahm, Christina Catherine; Buckland, Genevieve; Sánchez, María José; Dorronsoro, Miren; Navarro, Carmen; Barricarte, Aurelio; Key, Timothy J; Trichopoulou, Antonia; Tsironis, Christos; Lagiou, Pagona; Masala, Giovanna; Pala, Valeria; Tumino, Rosario; Vineis, Paolo; Panico, Salvatore; Bueno-de-Mesquita, H Bas; Siersema, Peter D; Ohlsson, Bodil; Jirström, Karin; Wennberg, Maria; Nilsson, Lena M; Weiderpass, Elisabete; Kühn, Tilman; Katzke, Verena; Khaw, Kay-Tee; Wareham, Nick J; Tjønneland, Anne; Boeing, Heiner; Quirós, José R; Gunter, Marc J; Riboli, Elio; Norat, Teresa</t>
  </si>
  <si>
    <t>https://pubmed.ncbi.nlm.nih.gov/25948112</t>
  </si>
  <si>
    <t>Cancer survivors are advised to follow lifestyle recommendations on diet, physical activity, and body fatness proposed by the World Cancer Research Fund/American Institute of Cancer Research (WCRF/AICR) for cancer prevention. Previous studies have demonstrated that higher concordance with these recommendations measured using an index score (the WCRF/AICR score) was associated with lower cancer incidence and mortality. The aim of this study was to evaluate the association between pre-diagnostic concordance with WCRF/AICR recommendations and mortality in colorectal cancer (CRC) patients. The association between the WCRF/AICR score (score range 0-6 in men and 0-7 in women; higher scores indicate greater concordance) assessed on average 6.4 years before diagnosis and CRC-specific (n = 872) and overall mortality (n = 1,113) was prospectively examined among 3,292 participants diagnosed with CRC in the European Prospective Investigation into Cancer and Nutrition (EPIC) cohort (mean follow-up time after diagnosis 4.2 years). Multivariable Cox proportional hazard models were used to estimate hazard ratios (HRs) and 95% confidence intervals (CIs) for mortality. The HRs (95% CIs) for CRC-specific mortality among participants in the second (score range in men/women: 2.25-2.75/3.25-3.75), third (3-3.75/4-4.75), and fourth (4-6/5-7) categories of the score were 0.87 (0.72-1.06), 0.74 (0.61-0.90), and 0.70 (0.56-0.89), respectively (P for trend &lt;0.0001), compared to participants with the lowest concordance with the recommendations (category 1 of the score: 0-2/0-3). Similar HRs for overall mortality were observed (P for trend 0.004). Meeting the recommendations on body fatness and plant food consumption were associated with improved survival among CRC cases in mutually adjusted models. Greater concordance with the WCRF/AICR recommendations on diet, physical activity, and body fatness prior to CRC diagnosis is associated with improved survival among CRC patients.</t>
  </si>
  <si>
    <t>The sex-specific association between BMI and coronary heart disease: a systematic review and meta-analysis of 95 cohorts with 1·2 million participants.</t>
  </si>
  <si>
    <t>Mongraw-Chaffin, Morgana L; Peters, Sanne A E; Huxley, Rachel R; Woodward, Mark</t>
  </si>
  <si>
    <t>https://pubmed.ncbi.nlm.nih.gov/25960160</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</si>
  <si>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</si>
  <si>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Presence of albuminuria predicts left ventricular mass in patients with chronic systemic arterial hypertension.</t>
  </si>
  <si>
    <t>de Beus, Esther; Meijs, Matthijs F L; Bots, Michiel L; Visseren, Frank L J; Blankestijn, Peter J; ,</t>
  </si>
  <si>
    <t>https://pubmed.ncbi.nlm.nih.gov/25786814</t>
  </si>
  <si>
    <t>Increased left ventricular mass (LVM) is known to predict cardiovascular morbidity and mortality. LVM is high in patients with advanced kidney disease. Our aim was to study the relationship between renal parameters and LVM in hypertensive subjects at high risk of cardiovascular disease. Cardiac MRI was performed in 527 patients participating in the single-centre SMART cohort study. Participants free from previous symptomatic coronary heart disease but with a history of hypertension were recruited. Subjects were screened for cardiovascular risk factors in a standardized way. Multivariable linear regression was used to study the relationship of both estimated glomerular filtration rate (eGFR) and presence of albuminuria with left ventricular mass. Mean LVM was 121 g for men (SD 26) and 87 g for women (SD 20). Mean eGFR was 82 mL/min/1.73 m(²) (SD 19). A total of 73 patients (14%) had albuminuria. After adjusting for known determinants of LVM (height, weight, sex and age) eGFR did not relate to LVM while presence of albuminuria did (mean change in LVM per 10 mL/min/1.73 m(2) change in eGFR 0.79 g, 95% CI -0.33 to 1.91, P = 0.17, mean change in LVM in presence vs. absence of albuminuria 9.9 g, 95% CI 4.33 to 15.45, P = 0.001). Additional adjustment for systolic blood pressure did not change results (B for eGFR 0.54, 95% CI -0.58 to 1.66, P = 0.35, B for albuminuria 9.09, 95% CI 3.57 to 14.60, P = 0.001). In this study in hypertensive patients with high vascular risk, albuminuria was related to increased LVM and eGFR was not.</t>
  </si>
  <si>
    <t>Response to Richard Schreiber: diagnosing pulmonary embolism in frail older adults out of the hospital.</t>
  </si>
  <si>
    <t>Schouten, Henrike J; Geersing, Geert-Jan; Oudega, Ruud; van Delden, Johannes J M; Moons, Karel G M; Koek, Huiberdina L</t>
  </si>
  <si>
    <t>https://pubmed.ncbi.nlm.nih.gov/25989582</t>
  </si>
  <si>
    <t>Effects of patient safety culture interventions on incident reporting in general practice: a cluster randomised trial.</t>
  </si>
  <si>
    <t>https://pubmed.ncbi.nlm.nih.gov/25918337</t>
  </si>
  <si>
    <t>A constructive safety culture is essential for the successful implementation of patient safety improvements. To assess the effect of two patient safety culture interventions on incident reporting as a proxy of safety culture. A three-arm cluster randomised trial was conducted in a mixed method study, studying the effect of administering a patient safety culture questionnaire (intervention I), the questionnaire complemented with a practice-based workshop (intervention II) and no intervention (control) in 30 general practices in the Netherlands. The primary outcome, the number of reported incidents, was measured with a questionnaire at baseline and a year after. Analysis was performed using a negative binomial model. Secondary outcomes were quality and safety indicators and safety culture. Mixed effects linear regression was used to analyse the culture questionnaires. The number of incidents increased in both intervention groups, to 82 and 224 in intervention I and II respectively. Adjusted for baseline number of incidents, practice size and accreditation status, the study showed that practices that additionally participated in the workshop reported 42 (95% confidence interval [CI] = 9.81 to 177.50) times more incidents compared to the control group. Practices that only completed the questionnaire reported 5 (95% CI = 1.17 to 25.49) times more incidents. There were no statistically significant differences in staff perception of patient safety culture at follow-up between the three study groups. Educating staff and facilitating discussion about patient safety culture in their own practice leads to increased reporting of incidents. It is beneficial to invest in a team-wise effort to improve patient safety.</t>
  </si>
  <si>
    <t>Risk stratification with cervical length and fetal fibronectin in women with threatened preterm labor before 34 weeks and not delivering within 7 days.</t>
  </si>
  <si>
    <t>Hermans, Frederik J R; Bruijn, Merel M C; Vis, Jolande Y; Wilms, Femke F; Oudijk, Martijn A; Porath, Martina M; Scheepers, Hubertina C J; Bloemenkamp, Kitty W M; Bax, Caroline J; Cornette, Jérôme M J; Nij Bijvanck, Bas W A; Franssen, Maureen T M; Vandenbussche, Frank P H A; Kok, Marjolein; Grobman, William A; Van Der Post, Joris A M; Bossuyt, Patrick M M; Opmeer, Brent C; Mol, Ben Willem J; Schuit, Ewoud; Van Baaren, Gert-Jan</t>
  </si>
  <si>
    <t>https://pubmed.ncbi.nlm.nih.gov/25845495</t>
  </si>
  <si>
    <t>To stratify the risk of spontaneous preterm delivery using cervical length (CL) and fetal fibronectin (fFN) in women with threatened preterm labor who remained pregnant after 7 days. Prospective observational study. Nationwide cohort of women with threatened preterm labor from the Netherlands. Women with threatened preterm labor between 24 and 34 weeks with a valid CL and fFN measurement and remaining pregnant 7 days after admission. Kaplan-Meier and Cox proportional hazards models were used to estimate cumulative percentages and hazard ratios (HR) for spontaneous delivery. Spontaneous delivery between 7 and 14 days after initial presentation and spontaneous preterm delivery before 34 weeks. The risk of delivery between 7 and 14 days was significantly increased for women with a CL &lt; 15 mm or a CL ≥15 to &lt;30 mm and a positive fFN, compared with women with a CL ≥30 mm: HR 22.3 [95% confidence interval (CI) 2.6-191] and 14 (95% CI 1.8-118), respectively. For spontaneous preterm delivery before 34 weeks the risk was increased for women with a CL &lt; 15 mm [HR 6.3 (95% CI 2.6-15)] or with a CL ≥15 to &lt;30 mm with either positive fFN [HR 3.6 (95% CI 1.5-8.7)] or negative fFN [HR 3.0 (95% CI 1.2-7.1)] compared with women with a CL ≥ 30 mm. In women remaining pregnant 7 days after threatened preterm labor, CL and fFN results can be used in risk stratification for spontaneous delivery.</t>
  </si>
  <si>
    <t>Criteria-based audit of quality of care to women with severe pre-eclampsia and eclampsia in a referral hospital in Accra, Ghana.</t>
  </si>
  <si>
    <t>Browne, Joyce L; van Nievelt, Sabine W; Srofenyoh, Emmanuel K; Grobbee, Diederick E; Klipstein-Grobusch, Kerstin</t>
  </si>
  <si>
    <t>https://pubmed.ncbi.nlm.nih.gov/25923663</t>
  </si>
  <si>
    <t>Severe pre-eclampsia and eclampsia are one of the major causes of maternal mortality globally. Reducing maternal morbidity and mortality demands optimizing quality of care. Criteria-based audits are a tool to define, assess and improve quality of care. The aim of this study was to determine applicability of a criteria-based audit to assess quality of care delivered to women with severe hypertensive disorders in pregnancy, and to assess adherence to protocols and quality of care provided at a regional hospital in Accra, Ghana. Checklists for management of severe preeclampsia, hypertensive emergency and eclampsia were developed in an audit cycle based on nine existing key clinical care protocols. Fifty cases were audited to assess quality of care, defined as adherence to protocols. Analysis was stratified for complicated cases, defined as (imminent) eclampsia, perinatal mortality and/or one or more WHO maternal near miss C-criteria. Mean adherence to the nine protocols ranged from 15-85%. Protocols for 'plan for delivery' and 'magnesium sulphate administration' were best adhered to (85%), followed by adherence to protocols for 'eclampsia' (64%), 'severe pre-eclampsia at admission' (60%), 'severe pre-eclampsia ward follow-up' (53%) and 'hypertensive emergency' (53%). Protocols for monitoring were least adhered to (15%). No difference was observed for severe disease. Increased awareness, protocol-based training of staff, and clear task assignment were identified as contributors to better adherence. A criteria-based audit is an effective tool to determine quality of care, identify gaps in standard of care, and allow for monitoring and evaluation in a health facility, ultimately resulting in improved quality of care provided and reduced maternal morbidity and mortality. In our audit, good adherence was observed for plan for delivery and treatment with magnesium sulphate. Substandard adherence to a number of protocols was identified, and points towards opportunities for targeted improvement strategies.</t>
  </si>
  <si>
    <t>Chemoprophylaxis and vaccination in preventing subsequent cases of meningococcal disease in household contacts of a case of meningococcal disease: a systematic review.</t>
  </si>
  <si>
    <t>Telisinghe, L; Waite, T D; Gobin, M; Ronveaux, O; Fernandez, K; Stuart, J M; Scholten, R J P M</t>
  </si>
  <si>
    <t>https://pubmed.ncbi.nlm.nih.gov/25916733</t>
  </si>
  <si>
    <t>Household contacts of an index case of invasive meningococcal disease (IMD) are at increased risk of acquiring disease. In revising WHO guidance on IMD in sub-Saharan Africa, a systematic review was undertaken to assess the effect of chemoprophylaxis and of vaccination in preventing subsequent cases of IMD in household contacts following an index case. A literature search for systematic reviews identified a single suitable review on chemoprophylaxis in 2004 (three studies meta-analysed). A search for primary research papers published since 2004 on chemoprophylaxis and without a date limit on vaccination was therefore undertaken. There were 2381 studies identified of which two additional studies met the inclusion criteria. The summary risk ratio for chemoprophylaxis vs. no chemoprophylaxis (four studies) in the 30-day period after a case was 0·16 [95% confidence interval (CI) 0·04-0·64, P = 0·008]; the number needed to treat to prevent one subsequent case was 200 (95% CI 111-1000). A single quasi-randomized trial assessed the role of vaccination. The risk ratio for vaccination vs. no vaccination at 30 days was 0·11 (95% CI 0·01-2·07, P = 0·14). The results support the use of chemoprophylaxis to prevent subsequent cases of IMD in household contacts of a case. Conclusions about the use of vaccination could not be drawn.</t>
  </si>
  <si>
    <t>Recovery to Preinterventional Functioning, Return-to-Work, and Life Satisfaction After Treatment of Unruptured Aneurysms.</t>
  </si>
  <si>
    <t>Backes, Daan; Rinkel, Gabriel J E; van der Schaaf, Irene C; Nij Bijvank, Jenny A; Verweij, Bon H; Visser-Meily, Johanna M A; Post, Marcel W; Algra, Ale; Vergouwen, Mervyn D I</t>
  </si>
  <si>
    <t>https://pubmed.ncbi.nlm.nih.gov/25922514</t>
  </si>
  <si>
    <t>The eventual goal of preventive treatment of unruptured intracranial aneurysms is to increase the number of life years with high life satisfaction. Insight in the time with reduced functioning, working capacity, and life satisfaction after aneurysm treatment is pivotal to balance the pros and cons of preventive aneurysm occlusion. We sent a questionnaire on time-to-recovery to preintervention functioning and return-to-work and life satisfaction to patients treated for an unruptured aneurysm between 2000 and 2013. Changes in life satisfaction before treatment, during recovery, and at follow-up were assessed with Wilcoxon signed-rank tests. The questionnaire was sent to 159 patients of whom 110 (69%) responded. The mean follow-up time after aneurysm treatment was 6 years (SD 4). Fifty-four patients had endovascular and 56 had microsurgical occlusion. Complete recovery to preintervention functioning was reported by 81% (95% confidence interval [CI], 74-88) of patients, with a median time-to-recovery of 3 months (range 0-48). Complete work recovery was reported by 78% (95% CI, 66-87) of patients. The proportion of patients with high life satisfaction reduced from 76% (95% CI, 67-84) before treatment to 52% (95% CI, 43-61) during the period of recovery (P&lt;0.01) and restored largely at long-term follow-up (67% [95% CI, 59-76], P=0.08). Life satisfaction is significantly reduced during the period of recovery after treatment of unruptured aneurysms. In the long-term, ≈1 out of 5 patients reports incomplete recovery. These treatment effects should be kept in mind when considering preventive aneurysm treatment. Prospective studies are needed to better compare these losses in patients treated for unruptured aneurysms with those who had subarachnoid hemorrhage.</t>
  </si>
  <si>
    <t>Combined T2w volumetry, DW-MRI and DCE-MRI for response assessment after neo-adjuvant chemoradiation in locally advanced rectal cancer.</t>
  </si>
  <si>
    <t>Intven, Martijn; Monninkhof, Evelyn M; Reerink, Onne; Philippens, Marielle E P</t>
  </si>
  <si>
    <t>https://pubmed.ncbi.nlm.nih.gov/25914930</t>
  </si>
  <si>
    <t>To assess the value of combined T2-weighted magnetic resonance imaging (MRI) (T2w) volumetry, diffusion-weighted (DW)-MRI and dynamic contrast enhanced (DCE)-MRI for pathological response prediction after neo-adjuvant chemoradiation (CRT) in locally advanced rectal cancer (LARC). MRI with DW-MRI and DCE-MRI sequences was performed before start of CRT and before surgery. After surgery, the tumor regression grade (TRG) was obtained based on the score by Mandard et al. Pathological complete responders (pCR, TRG 1), and pathological good responders (GR, TRG 1 + 2) were compared to non-pCR and non-GR patients, respectively. In total 55 patients were analyzed, six had a pCR (10.9%) and 10 a GR (18.2%). Favorable responders had a larger decrease in tumor volume and Ktrans and a larger increase in apparent diffusion coefficient (ADC) values compared to non-responders. ADC change showed the best diagnostic accuracy for pCR. For GR, the model including ADC change and volume change showed the best diagnostic performance. However, this performance was not statistically better compared to the model with ADC change alone. Inclusion of Ktrans change did not increase the diagnostic accuracy for pathological favorable response. This explorative study showed that ADC change is a promising diagnostic tool for pCR and GR. Volume decrease showed potential limited additional diagnostic value for GR while Ktrans change showed no additional diagnostic value for pCR and GR.</t>
  </si>
  <si>
    <t>A Mendelian Randomization Study of Circulating Uric Acid and Type 2 Diabetes.</t>
  </si>
  <si>
    <t>Sluijs, Ivonne; Holmes, Michael V; van der Schouw, Yvonne T; Beulens, Joline W J; Asselbergs, Folkert W; Huerta, José María; Palmer, Tom M; Arriola, Larraitz; Balkau, Beverley; Barricarte, Aurelio; Boeing, Heiner; Clavel-Chapelon, Françoise; Fagherazzi, Guy; Franks, Paul W; Gavrila, Diana; Kaaks, Rudolf; Khaw, Kay Tee; Kühn, Tilman; Molina-Montes, Esther; Mortensen, Lotte Maxild; Nilsson, Peter M; Overvad, Kim; Palli, Domenico; Panico, Salvatore; Quirós, J Ramón; Rolandsson, Olov; Sacerdote, Carlotta; Sala, Núria; Schmidt, Julie A; Scott, Robert A; Sieri, Sabina; Slimani, Nadia; Spijkerman, Annemieke M W; Tjonneland, Anne; Travis, Ruth C; Tumino, Rosario; van der A, Daphne L; Sharp, Stephen J; Forouhi, Nita G; Langenberg, Claudia; Riboli, Elio; Wareham, Nicholas J; ,</t>
  </si>
  <si>
    <t>https://pubmed.ncbi.nlm.nih.gov/25918230</t>
  </si>
  <si>
    <t>We aimed to investigate the causal effect of circulating uric acid concentrations on type 2 diabetes risk. A Mendelian randomization study was performed using a genetic score with 24 uric acid-associated loci. We used data of the European Prospective Investigation into Cancer and Nutrition (EPIC)-InterAct case-cohort study, comprising 24,265 individuals of European ancestry from eight European countries. During a mean (SD) follow-up of 10 (4) years, 10,576 verified incident case subjects with type 2 diabetes were ascertained. Higher uric acid was associated with a higher diabetes risk after adjustment for confounders, with a hazard ratio (HR) of 1.20 (95% CI 1.11, 1.30) per 59.48 µmol/L (1 mg/dL) uric acid. The genetic score raised uric acid by 17 µmol/L (95% CI 15, 18) per SD increase and explained 4% of uric acid variation. By using the genetic score to estimate the unconfounded effect, we found that a 59.48 µmol/L higher uric acid concentration did not have a causal effect on diabetes (HR 1.01 [95% CI 0.87, 1.16]). Including data from the Diabetes Genetics Replication And Meta-analysis (DIAGRAM) consortium, increasing our dataset to 41,508 case subjects with diabetes, the summary odds ratio estimate was 0.99 (95% CI 0.92, 1.06). In conclusion, our study does not support a causal effect of circulating uric acid on diabetes risk. Uric acid-lowering therapies may therefore not be beneficial in reducing diabetes risk.</t>
  </si>
  <si>
    <t>The Relationship Between Variation in Size of the Primordial Follicle Pool and Age at Natural Menopause.</t>
  </si>
  <si>
    <t>Depmann, M; Faddy, M J; van der Schouw, Y T; Peeters, P H M; Broer, S L; Kelsey, T W; Nelson, S M; Broekmans, F J M</t>
  </si>
  <si>
    <t>https://pubmed.ncbi.nlm.nih.gov/25915567</t>
  </si>
  <si>
    <t>Menopause has been hypothesized to occur when the nongrowing follicle (NGF) number falls below a critical threshold. Age at natural menopause can be predicted using NGF numbers and this threshold. These predictions support the use of ovarian reserve tests, reflective of the ovarian follicle pool, in menopause forecasting. The objective of the study was to investigate the hypothesis that age-specific NGF numbers reflect age at natural menopause. Histologically derived NGF numbers obtained from published literature (n = 218) and distribution of menopausal ages derived from the population-based Prospect-European Prospective Investigation into Cancer and Nutrition (Prospect-EPIC) cohort (n = 4037) were combined. NGF data were from single ovaries that had been obtained postnatally for various reasons, such as elective surgery or autopsy. From the Prospect-EPIC cohort, women aged 58 years and older with a known age at natural menopause were selected. There were no interventions. Conformity between observed age at menopause in the Prospect-EPIC cohort and NGF-predicted age at menopause from a model for age-related NGF decline constructed using a robust regression analysis. A critical threshold for NGF number was estimated by comparing the probability distribution of the age at which the NGF numbers fall below this threshold with the observed distribution of age at natural menopause from the Prospect-EPIC cohort. The distributions of observed age at natural menopause and predicted age at natural menopause showed close conformity. The close conformity observed between NGF-predicted and actual age at natural menopause supports the hypothesis that that the size of the primordial follicle pool is an important determinant for the length of the individual ovarian life span and supports the concept of menopause prediction using ovarian reserve tests, such as anti-Müllerian hormone and antral follicle count, as derivatives of the true ovarian reserve.</t>
  </si>
  <si>
    <t>The don't know option in progress testing.</t>
  </si>
  <si>
    <t>Ravesloot, C J; Van der Schaaf, M F; Muijtjens, A M M; Haaring, C; Kruitwagen, C L J J; Beek, F J A; Bakker, J; Van Schaik, J P J; Ten Cate, Th J</t>
  </si>
  <si>
    <t>https://pubmed.ncbi.nlm.nih.gov/25912621</t>
  </si>
  <si>
    <t>Formula scoring (FS) is the use of a don't know option (DKO) with subtraction of points for wrong answers. Its effect on construct validity and reliability of progress test scores, is subject of discussion. Choosing a DKO may not only be affected by knowledge level, but also by risk taking tendency, and may thus introduce construct-irrelevant variance into the knowledge measurement. On the other hand, FS may result in more reliable test scores. To evaluate the impact of FS on construct validity and reliability of progress test scores, a progress test for radiology residents was divided into two tests of 100 parallel items (A and B). Each test had a FS and a number-right (NR) version, A-FS, B-FS, A-NR, and B-NR. Participants (337) were randomly divided into two groups. One group took test A-FS followed by B-NR, and the second group test B-FS followed by A-NR. Evidence for impaired construct validity was sought in a hierarchical regression analysis by investigating how much of the participants' FS-score variance was explained by the DKO-score, compared to the contribution of the knowledge level (NR-score), while controlling for Group, Gender, and Training length. Cronbach's alpha was used to estimate NR and FS-score reliability per year group. NR score was found to explain 27 % of the variance of FS [F(1,332) = 219.2, p &lt; 0.0005], DKO-score, and the interaction of DKO and Gender were found to explain 8 % [F(2,330) = 41.5, p &lt; 0.0005], and the interaction of DKO and NR 1.6 % [F(1,329) = 16.6, p &lt; 0.0005], supporting our hypothesis that FS introduces construct-irrelevant variance into the knowledge measurement. However, NR-scores showed considerably lower reliabilities than FS-scores (mean year-test group Cronbach's alphas were 0.62 and 0.74, respectively). Decisions about FS with progress tests should be a careful trade-off between systematic and random measurement error.</t>
  </si>
  <si>
    <t>Meta-analyses triggered by previous (false-)significant findings: problems and solutions.</t>
  </si>
  <si>
    <t>Schuit, Ewoud; Roes, Kit C B; Mol, Ben W J; Kwee, Anneke; Moons, Karel G M; Groenwold, Rolf H H</t>
  </si>
  <si>
    <t>https://pubmed.ncbi.nlm.nih.gov/25908184</t>
  </si>
  <si>
    <t>Meta-analyses are typically triggered by a (potentially false-significant) finding in one of the preceding primary studies. We studied consequences of meta-analysis investigating effects when primary studies that triggered such meta-analysis are also included. We analytically determined the bias of the treatment effect estimates obtained by meta-analysis, conditional on the number of included primary and false-significant studies. The type I error rate and power of the meta-analysis were assessed using simulations. We applied a method for bias-correction, by subtracting an analytically derived bias from the treatment effect estimated in meta-analysis. Bias in meta-analytical effects and type I error rates increased when increasing numbers of primary studies with false-significant effects were included. When 20% of the primary studies showed false-significant effects, the bias was 0.33 (z-score) instead of 0, and the type I error rate was 23% instead of 5%. After applying a bias-correction, the type I error rate became indeed 5%. Inclusion of primary studies with false-significant effects leads to biased effect estimates and inflated type I error rates in the meta-analysis, depending on the number of false-significant studies. This bias can be adjusted for.</t>
  </si>
  <si>
    <t>Less evidence for an important role of food-producing animals as source of antibiotic resistance in humans.</t>
  </si>
  <si>
    <t>Bonten, Marc J M; Mevius, Dik</t>
  </si>
  <si>
    <t>https://pubmed.ncbi.nlm.nih.gov/25911643</t>
  </si>
  <si>
    <t>Search for [Formula: see text] decays in [Formula: see text] collisions at [Formula: see text] = 8 TeV with the ATLAS detector.</t>
  </si>
  <si>
    <t>https://pubmed.ncbi.nlm.nih.gov/25937816</t>
  </si>
  <si>
    <t>A search for a massive [Formula: see text] gauge boson decaying to a top quark and a bottom quark is performed with the ATLAS detector in [Formula: see text] collisions at the LHC. The dataset was taken at a centre-of-mass energy of [Formula: see text] and corresponds to [Formula: see text] of integrated luminosity. This analysis is done in the hadronic decay mode of the top quark, where novel jet substructure techniques are used to identify jets from high-momentum top quarks. This allows for a search for high-mass [Formula: see text] bosons in the range 1.5-3.0 [Formula: see text]. [Formula: see text]-tagging is used to identify jets originating from [Formula: see text]-quarks. The data are consistent with Standard Model background-only expectations, and upper limits at 95 % confidence level are set on the [Formula: see text] cross section times branching ratio ranging from [Formula: see text] to [Formula: see text] for left-handed [Formula: see text] bosons, and ranging from [Formula: see text] to [Formula: see text] for [Formula: see text] bosons with purely right-handed couplings. Upper limits at 95 % confidence level are set on the [Formula: see text]-boson coupling to [Formula: see text] as a function of the [Formula: see text] mass using an effective field theory approach, which is independent of details of particular models predicting a [Formula: see text] boson.</t>
  </si>
  <si>
    <t>Inappropriate antibiotic prescription for respiratory tract indications: most prominent in adult patients.</t>
  </si>
  <si>
    <t>https://pubmed.ncbi.nlm.nih.gov/25911505</t>
  </si>
  <si>
    <t>Numerous studies suggest overprescribing of antibiotics for respiratory tract indications (RTIs), without really authenticating inappropriate prescription; the strict criteria of guideline recommendations were not taken into account as information on specific diagnoses, patient characteristics and disease severity was not available. The aim of this study is to quantify and qualify inappropriate antibiotic prescribing for RTIs. This is an observational study of the (antibiotic) management of patients with RTIs, using a detailed registration of RTI consultations by general practitioners (GPs). Consultations of which all necessary information was available were benchmarked to the prescribing guidelines for acute otitis media (AOM), acute sore throat, rhinosinusitis or acute cough. Levels of overprescribing for these indications and factors associated with overprescribing were determined. The overall antibiotic prescribing rate was 38%. Of these prescriptions, 46% were not indicated by the guidelines. Relative overprescribing was highest for throat (including tonsillitis) and lowest for ear consultations (including AOM). Absolute overprescribing was highest for lower RTIs (including bronchitis). Overprescribing was highest for patients between 18 and 65 years of age, when GPs felt patients' pressure for an antibiotic treatment, for patients presenting with fever and with complaints longer than 1 week. Underprescribing was observed in &lt;4% of the consultations without a prescription. Awareness of indications and patient groups provoking antibiotic overprescribing can help in the development of targeted strategies to improve GPs' prescribing routines for RTIs.</t>
  </si>
  <si>
    <t>Vitamin A intake and serum retinol levels in children and adolescents with cystic fibrosis.</t>
  </si>
  <si>
    <t>Woestenenk, Janna W; Broos, Nancy; Stellato, Rebecca K; Arets, Hubertus G M; van der Ent, Cornelis K; Houwen, Roderick H J</t>
  </si>
  <si>
    <t>https://pubmed.ncbi.nlm.nih.gov/25975494</t>
  </si>
  <si>
    <t>Pancreatic insufficient cystic fibrosis (CF) patients receive vitamin A supplementation according to CF-specific recommendations to prevent deficiencies. Whether current recommendations are optimal for preventing both deficiency and toxicity is a subject of debate. We assessed the longitudinal relation between serum retinol levels and appropriate variables. We studied vitamin A intake, and the long-term effects of vitamin A intake, coefficient of fat absorption (CFA) and immunoglobulin G (IgG) on serum retinol levels in 221 paediatrics CF patients during a seven-year follow up period. Total vitamin A intake, derived from 862 dietary assessments, exceeded the tolerable upper intake level in 30% of the assessments, mainly up to age six. Although CF patients failed to meet the CF-specific recommendations, serum retinol deficiency was found in only 17/862 (2%) of the measurements. Longitudinally, we observed no association to serum retinol levels for total vitamin A intake, CFA, gender or age but serum retinol levels were associated with serum IgG levels. Each g/L increase in serum IgG level would result in a 2.49% (95% CI -3.60 to -1.36%) reduction in serum retinol levels. In this large sample of children and adolescents with CF, serum retinol deficiency was rare despite lower than the CF-specific recommendations. However, the TUL was commonly exceeded. A reduction in CF-specific vitamin A supplementation recommendations should therefore be considered. Moreover, serum retinol levels were not associated with vitamin A intake, CFA, gender or age, although a decreased serum retinol was associated with an increased serum IgG.</t>
  </si>
  <si>
    <t>No Additional Prognostic Value of Genetic Information in the Prediction of Vascular Events after Cerebral Ischemia of Arterial Origin: The PROMISe Study.</t>
  </si>
  <si>
    <t>Achterberg, Sefanja; Kappelle, L Jaap; de Bakker, Paul I W; Traylor, Matthew; Algra, Ale; ,</t>
  </si>
  <si>
    <t>https://pubmed.ncbi.nlm.nih.gov/25906364</t>
  </si>
  <si>
    <t>Patients who have suffered from cerebral ischemia have a high risk of recurrent vascular events. Predictive models based on classical risk factors typically have limited prognostic value. Given that cerebral ischemia has a heritable component, genetic information might improve performance of these risk models. Our aim was to develop and compare two models: one containing traditional vascular risk factors, the other also including genetic information. We studied 1020 patients with cerebral ischemia and genotyped them with the Illumina Immunochip. Median follow-up time was 6.5 years; the annual incidence of new ischemic events (primary outcome, n=198) was 3.0%. The prognostic model based on classical vascular risk factors had an area under the receiver operating characteristics curve (AUC-ROC) of 0.65 (95% confidence interval 0.61-0.69). When we added a genetic risk score based on prioritized SNPs from a genome-wide association study of ischemic stroke (using summary statistics from the METASTROKE study which included 12389 cases and 62004 controls), the AUC-ROC remained the same. Similar results were found for the secondary outcome ischemic stroke. We found no additional value of genetic information in a prognostic model for the risk of ischemic events in patients with cerebral ischemia of arterial origin. This is consistent with a complex, polygenic architecture, where many genes of weak effect likely act in concert to influence the heritable risk of an individual to develop (recurrent) vascular events. At present, genetic information cannot help clinicians to distinguish patients at high risk for recurrent vascular events.</t>
  </si>
  <si>
    <t>Predictors of reperfusion in patients with acute ischemic stroke.</t>
  </si>
  <si>
    <t>Horsch, A D; Dankbaar, J W; Niesten, J M; van Seeters, T; van der Schaaf, I C; van der Graaf, Y; Mali, W P Th M; Velthuis, B K; ,</t>
  </si>
  <si>
    <t>https://pubmed.ncbi.nlm.nih.gov/25907522</t>
  </si>
  <si>
    <t>Ischemic stroke studies emphasize a difference between reperfusion and recanalization, but predictors of reperfusion have not been elucidated. The aim of this study was to evaluate the relationship between reperfusion and recanalization and identify predictors of reperfusion. From the Dutch Acute Stroke Study, 178 patients were selected with an MCA territory deficit on admission CTP and day 3 follow-up CTP and CTA. Reperfusion was evaluated on CTP, and recanalization on CTA, follow-up imaging. Reperfusion percentages were calculated in patients with and without recanalization. Patient admission and treatment characteristics and admission CT imaging parameters were collected. Their association with complete reperfusion was analyzed by using univariate and multivariate logistic regression. Sixty percent of patients with complete recanalization showed complete reperfusion (relative risk, 2.60; 95% CI, 1.63-4.13). Approximately one-third of patients showed some discrepancy between recanalization and reperfusion status. Lower NIHSS score (OR, 1.06; 95% CI, 1.01-1.11), smaller infarct core size (OR, 3.11; 95% CI, 1.46-6.66; and OR, 2.40; 95% CI, 1.14-5.02), smaller total ischemic area (OR, 4.20; 95% CI, 1.91-9.22; and OR, 2.35; 95% CI, 1.12-4.91), lower clot burden (OR, 1.35; 95% CI, 1.14-1.58), distal thrombus location (OR, 3.02; 95% CI, 1.76-5.20), and good collateral score (OR, 2.84; 95% CI, 1.34-6.02) significantly increased the odds of complete reperfusion. In multivariate analysis, only total ischemic area (OR, 6.12; 95% CI, 2.69-13.93; and OR, 1.91; 95% CI, 0.91-4.02) was an independent predictor of complete reperfusion. Recanalization and reperfusion are strongly associated but not always equivalent in ischemic stroke. A smaller total ischemic area is the only independent predictor of complete reperfusion.</t>
  </si>
  <si>
    <t>Measurement of the top-quark mass in the fully hadronic decay channel from ATLAS data at [Formula: see text].</t>
  </si>
  <si>
    <t>https://pubmed.ncbi.nlm.nih.gov/26041974</t>
  </si>
  <si>
    <t>The mass of the top quark is measured in a data set corresponding to 4.6 [Formula: see text] of proton-proton collisions with centre-of-mass energy [Formula: see text] TeV collected by the ATLAS detector at the LHC. Events consistent with hadronic decays of top-antitop quark pairs with at least six jets in the final state are selected. The substantial background from multijet production is modelled with data-driven methods that utilise the number of identified [Formula: see text]-quark jets and the transverse momentum of the sixth leading jet, which have minimal correlation. The top-quark mass is obtained from template fits to the ratio of three-jet to dijet mass. The three-jet mass is calculated from the three jets produced in a top-quark decay. Using these three jets the dijet mass is obtained from the two jets produced in the [Formula: see text] boson decay. The top-quark mass obtained from this fit is thus less sensitive to the uncertainty in the energy measurement of the jets. A binned likelihood fit yields a top-quark mass of [Formula: see text].</t>
  </si>
  <si>
    <t>Search for Scalar Charm Quark Pair Production in pp Collisions at sqrt[s]=8  TeV with the ATLAS Detector.</t>
  </si>
  <si>
    <t>https://pubmed.ncbi.nlm.nih.gov/25955046</t>
  </si>
  <si>
    <t>The results of a dedicated search for pair production of scalar partners of charm quarks are reported. The search is based on an integrated luminosity of 20.3  fb^{-1} of pp collisions at sqrt[s]=8  TeV recorded with the ATLAS detector at the LHC. The search is performed using events with large missing transverse momentum and at least two jets, where the two leading jets are each tagged as originating from c quarks. Events containing isolated electrons or muons are vetoed. In an R-parity-conserving minimal supersymmetric scenario in which a single scalar-charm state is kinematically accessible, and where it decays exclusively into a charm quark and a neutralino, 95% confidence-level upper limits are obtained in the scalar-charm-neutralino mass plane such that, for neutralino masses below 200 GeV, scalar-charm masses up to 490 GeV are excluded.</t>
  </si>
  <si>
    <t>BMI, waist circumference at 8 and 12 years of age and FVC and FEV1 at 12 years of age; the PIAMA birth cohort study.</t>
  </si>
  <si>
    <t>Bekkers, Marga B; Wijga, Alet H; Gehring, Ulrike; Koppelman, Gerard H; de Jongste, Johan C; Smit, Henriette A; Brunekreef, Bert</t>
  </si>
  <si>
    <t>https://pubmed.ncbi.nlm.nih.gov/25896340</t>
  </si>
  <si>
    <t>In adults, overweight is associated with reduced lung function, in children evidence on this association is conflicting. We examined the association of body mass index (BMI) and waist circumference (WC) at age 12, and of persistently (at ages 8 and 12 years) high BMI and large WC, with forced vital capacity (FVC) and forced expiratory volume in 1 second (FEV1) at age 12. Height, weight, WC and FVC and FEV1 were measured during a medical examination in 1288 12-year-olds participating in the PIAMA birth cohort study. 1090 children also had BMI and WC measured at age 8. The associations between BMI and WC and FVC, FEV1, and FEV1/FVC ratio were studied using local and linear regression analyses, separately for girls and boys. The regression models were adjusted for age, height, and pubertal development and maternal educational level. High BMI and large WC (sd-score &gt;90th percentile) were associated with higher FVC; in girls these associations were statistically significant (4.6% (95% CI: 1.5, 7.9) and 3.6% (95% CI: 0.6, 6.8) respectively in adjusted models). Similar associations were observed for persistently high BMI or large WC: girls with a high BMI or large WC at both 8 and 12 years had statistically significantly higher FVC at age 12 years (BMI: 4.9% (95% CI 0.9, 9.1), WC: 5.0% (95% CI 0.7, 9.6)) than girls with normal BMI or WC at both ages. No statistically significant associations were observed between (persistently) high BMI or large WC and FEV1. The FEV1/FVC ratio was statistically significantly lower in children with a high BMI or large WC than in children with a normal BMI or WC. Girls and boys with a persistently high BMI or large WC status had statistically significantly lower FEV1/FVC ratios. At 12 years of age, a persistently high BMI or large WC is not yet associated with lower FVC and FEV1, suggesting that this association, that is commonly observed in adults, develops at a later age.</t>
  </si>
  <si>
    <t>Antibiotics for children with acute otitis media.</t>
  </si>
  <si>
    <t>Del Mar, Chris; Venekamp, Roderick P; Sanders, Sharon</t>
  </si>
  <si>
    <t>https://pubmed.ncbi.nlm.nih.gov/25898061</t>
  </si>
  <si>
    <t>Cost-effectiveness of treatment of acute otorrhea in children with tympanostomy tubes.</t>
  </si>
  <si>
    <t>van Dongen, Thijs M A; Schilder, Anne G M; Venekamp, Roderick P; de Wit, G Ardine; van der Heijden, Geert J M G</t>
  </si>
  <si>
    <t>https://pubmed.ncbi.nlm.nih.gov/25896832</t>
  </si>
  <si>
    <t>Acute otorrhea is a common problem in children with tympanostomy tubes. We recently demonstrated that treatment with antibiotic-glucocorticoid eardrops is clinically superior to oral antibiotics and initial observation. The aim of this study was to assess the cost-effectiveness of these three common treatment strategies for this condition. We performed an open-label pragmatic trial in which 230 children with acute uncomplicated tympanostomy-tube otorrhea were randomly allocated to receive 1 of 3 treatments: hydrocortisone-bacitracin-colistin eardrops, oral amoxicillin-clavulanate suspension, and initial observation (no assigned medication prescription to fill). Parents kept a daily diary capturing ear-related symptoms, health care resource use, and non-health care costs for 6 months. At 2 weeks and 6 months, the study doctor visited the children at home performing otoscopy. Using a societal perspective, treatment failure (otoscopic presence of otorrhea at 2 weeks) and number of days with otorrhea as reported in the daily diary were balanced against the costs. Antibiotic-glucocorticoid eardrops were clinically superior to oral antibiotics and initial observation both at 2 weeks and 6 months. At 2 weeks, mean total cost per patient was US$42.43 for antibiotic-glucocorticoid eardrops, US$70.60 for oral antibiotics, and US$82.03 for initial observation. At 6 months, mean total cost per patient was US$368.20, US$420.73, and US$640.44, respectively. Because of the dominance of eardrops, calculating incremental cost-effectiveness ratios was redundant. Antibiotic-glucocorticoid eardrops are clinically superior and cost less than oral antibiotics and initial observation in children with tympanostomy tubes who develop otorrhea.</t>
  </si>
  <si>
    <t>Stenting versus medical treatment in patients with symptomatic vertebral artery stenosis: a randomised open-label phase 2 trial.</t>
  </si>
  <si>
    <t>Compter, Annette; van der Worp, H Bart; Schonewille, Wouter J; Vos, Jan Albert; Boiten, Jelis; Nederkoorn, Paul J; Uyttenboogaart, Maarten; Lo, Rob T; Algra, Ale; Kappelle, L Jaap; ,</t>
  </si>
  <si>
    <t>https://pubmed.ncbi.nlm.nih.gov/25908089</t>
  </si>
  <si>
    <t>Patients with a recent vertebrobasilar transient ischaemic attack or ischaemic stroke and vertebral artery stenosis of at least 50% have a high risk of future vertebrobasilar stroke. Stenting of vertebral artery stenosis is promising, but of uncertain benefit. We investigated the safety and feasibility of stenting of symptomatic vertebral artery stenosis of at least 50%, and assessed the rate of vascular events in the vertebrobasilar supply territory to inform the design of a phase 3 trial. Between Jan 22, 2008, and April 8, 2013, patients with a recent transient ischaemic attack or minor stroke associated with an intracranial or extracranial vertebral artery stenosis of at least 50% were enrolled from seven hospitals in the Netherlands in a phase 2 open-label trial with masked assessment of outcome. Patients were randomly allocated in a 1:1 ratio to stenting plus best medical treatment or best medical treatment alone by the local investigators using a web-based randomisation system. The primary outcome was the composite of vascular death, myocardial infarction, or any stroke within 30 days after the start of treatment. The secondary outcomes were stroke in the supply territory of the symptomatic vertebral artery during follow-up, the composite outcome during follow-up, and the degree of stenosis in the symptomatic vertebral artery at 12 months. The trial is registered, number ISRCTN29597900. The trial was stopped after inclusion of 115 patients because of new regulatory requirements, including the use of a few prespecified stent types and external monitoring, for which no funding was available. 57 patients were assigned to stenting and 58 to medical treatment alone. Three patients in the stenting group had vascular death, myocardial infarction, or any stroke within 30 days after the start of treatment (5%, 95% CI 0-11) versus one patient in the medical treatment group (2%, 0-5). During a median follow-up of 3 years (IQR 1·3-4·1), seven (12%, 95% CI 6-24) patients in the stenting group and four (7%, 2-17) in the medical treatment group had a stroke in the territory of the symptomatic vertebral artery; 11 (19%) patients in the stenting group and ten (17%) in the medical treatment group had vascular death, myocardial infarction, or any stroke. The small size of the vertebral artery and stent artifacts did not allow exact grading of restenosis on CT angiography. During the complete period of follow-up, there were 60 serious adverse events (eight strokes) in the stenting group and 56 (seven strokes) in the medical treatment alone group. Stenting of symptomatic vertebral artery stenosis is associated with a major periprocedural vascular complication in about one in 20 patients. In the population we studied, the risk of recurrent vertebrobasilar stroke under best medical treatment alone was low, questioning the need for and feasibility of a phase 3 trial. Dutch Heart Foundation.</t>
  </si>
  <si>
    <t>Impact of smoking and smoking cessation on cardiovascular events and mortality among older adults: meta-analysis of individual participant data from prospective cohort studies of the CHANCES consortium.</t>
  </si>
  <si>
    <t>Mons, Ute; Müezzinler, Aysel; Gellert, Carolin; Schöttker, Ben; Abnet, Christian C; Bobak, Martin; de Groot, Lisette; Freedman, Neal D; Jansen, Eugène; Kee, Frank; Kromhout, Daan; Kuulasmaa, Kari; Laatikainen, Tiina; O'Doherty, Mark G; Bueno-de-Mesquita, Bas; Orfanos, Philippos; Peters, Annette; van der Schouw, Yvonne T; Wilsgaard, Tom; Wolk, Alicja; Trichopoulou, Antonia; Boffetta, Paolo; Brenner, Hermann; ,</t>
  </si>
  <si>
    <t>https://pubmed.ncbi.nlm.nih.gov/25896935</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</si>
  <si>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</si>
  <si>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Old age and forgoing treatment: a nationwide mortality follow-back study in the Netherlands.</t>
  </si>
  <si>
    <t>Martins Pereira, Sandra; Pasman, H Roeline; van der Heide, Agnes; van Delden, Johannes J M; Onwuteaka-Philipsen, Bregje D</t>
  </si>
  <si>
    <t>https://pubmed.ncbi.nlm.nih.gov/25896928</t>
  </si>
  <si>
    <t>The ageing of the population raises the need to study forgoing treatment decisions among older people. To describe the incidence and decision-making of forgoing treatment and identify age-related differences. A nationwide study of a stratified sample from the Statistics Netherlands death registry to which all deaths were reported in 2010. All attending physicians of those deaths received a questionnaire about end-of-life decisions. 6600 cases were studied. We examined three age groups: 17-64, 65-79, and 80 and above. Logistic regression analyses were performed to identify age-related differences controlling for other patient characteristics. Forgoing treatment occurred in 37% of the total population, with a significant increase in the incidence across age. The most common treatments withheld/withdrawn were artificial hydration/nutrition, medication and antibiotics. Age-related differences were found, especially for withholding artificial hydration/nutrition among patients aged 65-79 (OR 2.04), and for withdrawing medication (OR 2.51) and antibiotics (OR 2.10) among the oldest when compared to the youngest patients. The most common reason for making the decision was 'no chance of improvement'. The likelihood of forgoing treatment due to 'loss of dignity' was higher for the oldest (OR 2.32), as well as due to the request/wish of the patient (OR 1.97), when compared to the youngest patients. Forgoing treatment occurred in a substantial proportion of older people, and more often than in younger age groups. The avoidance of burdensome treatment solely to prolong life suggests a better acceptance that these patients are nearing death.</t>
  </si>
  <si>
    <t>Isocaloric substitution of carbohydrates with protein: the association with weight change and mortality among patients with type 2 diabetes.</t>
  </si>
  <si>
    <t>Campmans-Kuijpers, Marjo Je; Sluijs, Ivonne; Nöthlings, Ute; Freisling, Heinz; Overvad, Kim; Weiderpass, Elisabete; Fagherazzi, Guy; Kühn, Tilman; Katzke, Verena A; Mattiello, Amalia; Sonestedt, Emily; Masala, Giovanna; Agnoli, Claudia; Tumino, Rosario; Spijkerman, Annemieke M W; Barricarte, Aurelio; Ricceri, Fulvio; Chamosa, Saioa; Johansson, Ingegerd; Winkvist, Anna; Tjønneland, Anne; Sluik, Diewertje; Boeing, Heiner; Beulens, Joline W J</t>
  </si>
  <si>
    <t>https://pubmed.ncbi.nlm.nih.gov/25896172</t>
  </si>
  <si>
    <t>The health impact of dietary replacement of carbohydrates with protein for patients with type 2 diabetes is still debated. This study aimed to investigate the association between dietary substitution of carbohydrates with (animal and plant) protein and 5-year weight change, and all-cause and cardiovascular (CVD) mortality risk in patients with type 2 diabetes. The study included 6,107 diabetes patients from 15 European cohorts. Patients with type 1 diabetes were excluded. At recruitment, validated country-specific food-frequency questionnaires were used to estimate dietary intake. Multivariable adjusted linear regression was used to examine the associations between dietary carbohydrate substitution with protein and 5-year weight change, and Cox regression to estimate hazard ratios (HRs) for (CVD) mortality. Annual weight loss of patients with type 2 diabetes was 0.17 (SD 1.24) kg. After a mean follow-up of 9.2 (SD 2.3)y, 787 (13%) participants had died, of which 266 (4%) deaths were due to CVD. Substitution of 10 gram dietary carbohydrate with total (ß = 187 [75;299]g) and animal (ß = 196 [137;254]g) protein was associated with mean 5-year weight gain. Substitution for plant protein was not significantly associated with weight change (β = 82 [-421;584]g). Substitution with plant protein was associated with lower all-cause mortality risk (HR = 0.79 [0.64;0.97]), whereas substitution with total or animal protein was not associated with (CVD) mortality risk. In diabetes patients, substitution with plant protein was beneficial with respect to weight change and all-cause mortality as opposed to substitution with animal protein. Therefore, future research is needed whether dietary guidelines should not actively promote substitution of carbohydrates by total protein, but rather focus on substitution of carbohydrates with plant protein.</t>
  </si>
  <si>
    <t>Maternal fish consumption during pregnancy and BMI in children from birth up to age 14 years: the PIAMA cohort study.</t>
  </si>
  <si>
    <t>van den Berg, Saskia W; Wijga, Alet H; van Rossem, Lenie; Gehring, Ulrike; Koppelman, Gerard H; Smit, Henriette A; Boer, Jolanda M A</t>
  </si>
  <si>
    <t>https://pubmed.ncbi.nlm.nih.gov/25893718</t>
  </si>
  <si>
    <t>This study aimed to investigate the association between maternal fish consumption during pregnancy and BMI in children and the development of this association between birth and 14 years of age, taking into account relevant mother and child covariates. The study population consisted of 3684 Dutch children born in 1996-1997 who participated in the PIAMA birth cohort study. Maternal fish consumption during pregnancy and the child's body weight and height (up to 11 times) were reported by questionnaire. Generalized estimating equations were used to investigate whether BMI of children differed according to maternal fish consumption during pregnancy. The crude overall association between maternal fish consumption during pregnancy and BMI in children was non-significant (P = 0.17), but differed by the child's age (P interaction = 0.03). Children of mothers who consumed fish ≥1×/week during pregnancy (n = 909) had statistically significant lower mean BMI z scores than children of mothers who never consumed fish (n = 1025) at the ages 4, 7, 8.5, and 11.5 years. Adjustment for maternal covariates (particularly pre-pregnancy BMI) attenuated the differences, which remained statistically significant at the age of 7 years only (mean difference in BMI z score: -0.14 95 % CI -0.25; -0.03). Additional adjustment for child covariates hardly affected the results. In a population with relatively low fish consumption, higher fish consumption by pregnant women seems rather an indicator for more healthy maternal characteristics in general than a causal factor for the lower BMI in their children.</t>
  </si>
  <si>
    <t>Identification of patients at high risk for Clostridium difficile infection: development and validation of a risk prediction model in hospitalized patients treated with antibiotics.</t>
  </si>
  <si>
    <t>van Werkhoven, C H; van der Tempel, J; Jajou, R; Thijsen, S F T; Diepersloot, R J A; Bonten, M J M; Postma, D F; Oosterheert, J J</t>
  </si>
  <si>
    <t>https://pubmed.ncbi.nlm.nih.gov/25889357</t>
  </si>
  <si>
    <t>To develop and validate a prediction model for Clostridium difficile infection (CDI) in hospitalized patients treated with systemic antibiotics, we performed a case-cohort study in a tertiary (derivation) and secondary care hospital (validation). Cases had a positive Clostridium test and were treated with systemic antibiotics before suspicion of CDI. Controls were randomly selected from hospitalized patients treated with systemic antibiotics. Potential predictors were selected from the literature. Logistic regression was used to derive the model. Discrimination and calibration of the model were tested in internal and external validation. A total of 180 cases and 330 controls were included for derivation. Age &gt;65 years, recent hospitalization, CDI history, malignancy, chronic renal failure, use of immunosuppressants, receipt of antibiotics before admission, nonsurgical admission, admission to the intensive care unit, gastric tube feeding, treatment with cephalosporins and presence of an underlying infection were independent predictors of CDI. The area under the receiver operating characteristic curve of the model in the derivation cohort was 0.84 (95% confidence interval 0.80-0.87), and was reduced to 0.81 after internal validation. In external validation, consisting of 97 cases and 417 controls, the model area under the curve was 0.81 (95% confidence interval 0.77-0.85) and model calibration was adequate (Brier score 0.004). A simplified risk score was derived. Using a cutoff of 7 points, the positive predictive value, sensitivity and specificity were 1.0%, 72% and 73%, respectively. In conclusion, a risk prediction model was developed and validated, with good discrimination and calibration, that can be used to target preventive interventions in patients with increased risk of CDI.</t>
  </si>
  <si>
    <t>Cost-effectiveness of intensive multifactorial treatment compared with routine care for individuals with screen-detected Type 2 diabetes: analysis of the ADDITION-UK cluster-randomized controlled trial.</t>
  </si>
  <si>
    <t>Tao, L; Wilson, E C F; Wareham, N J; Sandbaek, A; Rutten, G E H M; Lauritzen, T; Khunti, K; Davies, M J; Borch-Johnsen, K; Griffin, S J; Simmons, R K</t>
  </si>
  <si>
    <t>https://pubmed.ncbi.nlm.nih.gov/25661661</t>
  </si>
  <si>
    <t>To examine the short- and long-term cost-effectiveness of intensive multifactorial treatment compared with routine care among people with screen-detected Type 2 diabetes. Cost-utility analysis in ADDITION-UK, a cluster-randomized controlled trial of early intensive treatment in people with screen-detected diabetes in 69 UK general practices. Unit treatment costs and utility decrement data were taken from published literature. Accumulated costs and quality-adjusted life years (QALYs) were calculated using ADDITION-UK data from 1 to 5 years (short-term analysis, n = 1024); trial data were extrapolated to 30 years using the UKPDS outcomes model (version 1.3) (long-term analysis; n = 999). All costs were transformed to the UK 2009/10 price level. Adjusted incremental costs to the NHS were £285, £935, £1190 and £1745 over a 1-, 5-, 10- and 30-year time horizon, respectively (discounted at 3.5%). Adjusted incremental QALYs were 0.0000, - 0.0040, 0.0140 and 0.0465 over the same time horizons. Point estimate incremental cost-effectiveness ratios (ICERs) suggested that the intervention was not cost-effective although the ratio improved over time: the ICER over 10 years was £82,250, falling to £37,500 over 30 years. The ICER fell below £30 000 only when the intervention cost was below £631 per patient: we estimated the cost at £981. Given conventional thresholds of cost-effectiveness, the intensive treatment delivered in ADDITION was not cost-effective compared with routine care for individuals with screen-detected diabetes in the UK. The intervention may be cost-effective if it can be delivered at reduced cost.</t>
  </si>
  <si>
    <t>Change in HbA1c levels between the age of 8 years and the age of 12 years in Dutch children without diabetes: the PIAMA birth cohort study.</t>
  </si>
  <si>
    <t>Jansen, Hanneke; Wijga, Alet H; Scholtens, Salome; Koppelman, Gerard H; Postma, Dirkje S; Brunekreef, Bert; de Jongste, Johan C; Smit, Henriëtte A; Stolk, Ronald P</t>
  </si>
  <si>
    <t>https://pubmed.ncbi.nlm.nih.gov/25875773</t>
  </si>
  <si>
    <t>HbA1c is associated with cardiovascular risk in persons without diabetes and cardiovascular risk accumulates over the life course. Therefore, insight in factors determining HbA1c from childhood onwards is important. We investigated (lifestyle) determinants of HbA1c at age 12 years and the effects of growth on change in HbA1c and the tracking of HbA1c between the age of 8 and 12 years. Anthropometric measurements were taken and HbA1c levels were assessed in 955 children without diabetes aged around 12 years participating in the PIAMA birth cohort study. In 363 of these children HbA1c was also measured at age 8 years. Data on parents and children were collected prospectively by questionnaires. We found no significant association between known risk factors for diabetes and HbA1c at age 12 years. Mean(SD) change in HbA1c between ages 8 and 12 years was 0.6(0.7) mmol/mol per year (or 0.1(0.1) %/yr). Anthropometric measures at age 8 and their change between age 8 and 12 years were not associated with the change in HbA1c. 68.9% of the children remained in the same quintile or had an HbA1c one quintile higher or lower at age 8 years compared to age 12 years. The lack of association between known risk factors for diabetes and HbA1c suggest that HbA1c in children without diabetes is relatively unaffected by factors associated with glycaemia. HbA1c at age 8 years is by far the most important predictor of HbA1c at age 12. Therefore, the ranking of HbA1c levels appear to be fairly stable over time.</t>
  </si>
  <si>
    <t>Unravelling adherence to prophylaxis in haemophilia: a patients' perspective.</t>
  </si>
  <si>
    <t>Schrijvers, L H; Kars, M C; Beijlevelt-van der Zande, M; Peters, M; Schuurmans, M J; Fischer, K</t>
  </si>
  <si>
    <t>https://pubmed.ncbi.nlm.nih.gov/25858411</t>
  </si>
  <si>
    <t>Given the lifelong therapy in haemophilia patients, insight in non-adherence behaviour from a patient perspective is important to understand patients' difficulties with the following treatment recommendations. The aim of this study was to clarify the process underlying adherence (behaviour) to prophylactic treatment, from a patients' perspective. To develop a grounded theory, a qualitative study using individual in-depth interviews was performed to understand experiences, perceptions and beliefs concerning adherence to prophylaxis. From two Dutch treatment centres, 21 adults with haemophilia using prophylaxis were interviewed. Patients were asked how they experience their task to administer prophylaxis and how they adhere to this. The interviews were transcribed, coded and analysed in an iterative process, leading to the development of the grounded theory. Adherence was determined by the position of prophylaxis in life. The position of prophylaxis was determined by the perception of prophylaxis and the ability to exert prophylaxis. Patients' perception was influenced by two main factors: acceptance of haemophilia and feeling/fearing symptoms. The ability to exert prophylaxis was influenced by understanding haemophilia and prophylaxis and planning/infusion skills. The combination of different perceptions and skills led to four main positions of prophylaxis in life: (i) prophylaxis integrated in life, (ii) prophylaxis according to doctors' advice, struggling with irregular situations, (iii) prophylaxis is too much to handle, (iv) prophylaxis is a confrontation with illness. The adherence level gradually decreased from position 1 to 4. This information can be used to design tailored interventions to promote adherence.</t>
  </si>
  <si>
    <t>Inflammatory Markers and Risk of Epithelial Ovarian Cancer by Tumor Subtypes: The EPIC Cohort.</t>
  </si>
  <si>
    <t>Ose, Jennifer; Schock, Helena; Tjønneland, Anne; Hansen, Louise; Overvad, Kim; Dossus, Laure; Clavel-Chapelon, Françoise; Baglietto, Laura; Boeing, Heiner; Trichopolou, Antonia; Benetou, Vassiliki; Lagiou, Pagona; Masala, Giovanna; Tagliabue, Giovanna; Tumino, Rosario; Sacerdote, Carlotta; Mattiello, Amalia; Bueno-de-Mesquita, H B As; Peeters, Petra H M; Onland-Moret, N Charlotte; Weiderpass, Elisabete; Gram, Inger T; Sánchez, Soledad; Obon-Santacana, Mireia; Sànchez-Pérez, Maria-José; Larrañaga, Nerea; Castaño, José María Huerta; Ardanaz, Eva; Brändstedt, Jenny; Lundin, Eva; Idahl, Annika; Travis, Ruth C; Khaw, Kay-Tee; Rinaldi, Sabina; Romieu, Isabelle; Merritt, Melissa A; Gunter, Marc J; Riboli, Elio; Kaaks, Rudolf; Fortner, Renée T</t>
  </si>
  <si>
    <t>https://pubmed.ncbi.nlm.nih.gov/25855626</t>
  </si>
  <si>
    <t>Evidence suggests an etiologic role for inflammation in ovarian carcinogenesis and heterogeneity between tumor subtypes and anthropometric indices. Prospective studies on circulating inflammatory markers and epithelial invasive ovarian cancer (EOC) have predominantly investigated overall risk; data characterizing risk by tumor characteristics (histology, grade, stage, dualistic model of ovarian carcinogenesis) and anthropometric indices are sparse. We conducted a nested case-control study in the European Prospective Investigation into Cancer and Nutrition (EPIC) cohort to evaluate C-reactive protein (CRP), IL6, and EOC risk by tumor characteristics. A total of 754 eligible EOC cases were identified; two controls (n = 1,497) were matched per case. We used multivariable conditional logistic regression to assess associations. CRP and IL6 were not associated with overall EOC risk. However, consistent with prior research, CRP &gt;10 versus CRP ≤1 mg/L was associated with higher overall EOC risk [OR, 1.67 (1.03-2.70)]. We did not observe significant associations or heterogeneity in analyses by tumor characteristics. In analyses stratified by waist circumference, inflammatory markers were associated with higher risk among women with higher waist circumference; no association was observed for women with normal waist circumference [e.g., IL6: waist ≤80: ORlog2, 0.97 (0.81-1.16); waist &gt;88: ORlog2, 1.78 (1.28-2.48), Pheterogeneity ≤ 0.01]. Our data suggest that high CRP is associated with increased risk of overall EOC, and that IL6 and CRP may be associated with EOC risk among women with higher adiposity. Our data add to global evidence that ovarian carcinogenesis may be promoted by an inflammatory milieu.</t>
  </si>
  <si>
    <t>Antioxidants as a treatment for acute pancreatitis: A meta-analysis.</t>
  </si>
  <si>
    <t>https://pubmed.ncbi.nlm.nih.gov/25891791</t>
  </si>
  <si>
    <t>To assess the efficacy of antioxidants in acute (AP) pancreatitis. We searched PubMed, Embase and the Cochrane library for all randomized controlled trials (RCT) involving administration of antioxidants in the therapy of AP until February 2012. AP studies were pooled to analyze the effect of antioxidants on hospital stay, mortality, and complications. Subgroup analyses were performed on the use of the antioxidant glutamine. In total, eleven RCTs were included. Among patients with AP, antioxidant therapy resulted in a borderline significant reduction in hospital stay (mean difference -1.74; 95%CI -3.56 to 0.08), a significant decrease in complications (RR 0.66; 95%CI 0.46-0.95) and a non-significant decrease in mortality rate (RR 0.66; 95%CI 0.30-1.46). Subgroup analyses showed that glutamine significantly reduced complications (RR 0.51; 95%CI 0.34-0.78) and mortality rate (RR 0.33; 95%CI 0.13-0.85). The present meta-analysis shows a possible benefit of glutamine supplementation in patients with acute pancreatitis. However, large randomized trials are needed to confirm these observations.</t>
  </si>
  <si>
    <t>Measurement of spin correlation in top-antitop quark events and search for top squark pair production in pp collisions at √s=8  TeV using the ATLAS detector.</t>
  </si>
  <si>
    <t>https://pubmed.ncbi.nlm.nih.gov/25910111</t>
  </si>
  <si>
    <t>A measurement of spin correlation in tt[over ¯] production is presented using data collected with the ATLAS detector at the Large Hadron Collider in proton-proton collisions at a center-of-mass energy of 8 TeV, corresponding to an integrated luminosity of 20.3  fb^{-1}. The correlation between the top and antitop quark spins is extracted from dilepton tt[over ¯] events by using the difference in the azimuthal angle between the two charged leptons in the laboratory frame. In the helicity basis the measured degree of correlation corresponds to A_{helicity}=0.38±0.04, in agreement with the standard model prediction. A search is performed for pair production of top squarks with masses close to the top quark mass decaying to predominantly right-handed top quarks and a light neutralino, the lightest supersymmetric particle. Top squarks with masses between the top quark mass and 191 GeV are excluded at the 95% confidence level.</t>
  </si>
  <si>
    <t>Clinical decision-making of cardiologists regarding admission and treatment of patients with suspected unstable angina or non-ST-elevation myocardial infarction: protocol of a clinical vignette study.</t>
  </si>
  <si>
    <t>Engel, Josien; van der Wulp, Ineke; Poldervaart, Judith M; Reitsma, Johannes B; de Bruijne, Martine C; Wagner, Cordula</t>
  </si>
  <si>
    <t>https://pubmed.ncbi.nlm.nih.gov/25854966</t>
  </si>
  <si>
    <t>Cardiologists face the difficult task of rapidly distinguishing cardiac-related chest pain from other conditions, and to thoroughly consider whether invasive diagnostic procedures or treatments are indicated. The use of cardiac risk-scoring instruments has been recommended in international cardiac guidelines. However, it is unknown to what degree cardiac risk scores and other clinical information influence cardiologists' decision-making. This paper describes the development of a binary choice experiment using realistic descriptions of clinical cases. The study aims to determine the importance cardiologists put on different types of clinical information, including cardiac risk scores, when deciding on the management of patients with suspected unstable angina or non-ST-elevation myocardial infarction. Cardiologists were asked, in a nationwide survey, to weigh different clinical factors in decision-making regarding patient admission and treatment using realistic descriptions of patients in which specific characteristics are varied in a systematic way (eg, web-based clinical vignettes). These vignettes represent patients with suspected unstable angina or non-ST-elevation myocardial infarction. Associations between several clinical characteristics, with cardiologists' management decisions, will be analysed using generalised linear mixed models. The study has received ethics approval and informed consent will be obtained from all participating cardiologists. The results of the study will provide insight into the relative importance of cardiac risk scores and other clinical information in cardiac decision-making. Further, the results indicate cardiologists' adherence to the European Society of Cardiology guideline recommendations. In addition, the detailed description of the method of vignette development applied in this study could assist other researchers or clinicians in creating future choice experiments.</t>
  </si>
  <si>
    <t>Parent-reported symptoms of acute otitis media during the first year of life: what is beneath the surface?</t>
  </si>
  <si>
    <t>Fortanier, Alexandre C; Venekamp, Roderick P; de Hoog, Marieke L A; Uiterwaal, Cuno S P M; van der Gugten, Anne C; van der Ent, Cornelis K; Hoes, Arno W; Schilder, Anne G M</t>
  </si>
  <si>
    <t>https://pubmed.ncbi.nlm.nih.gov/25849847</t>
  </si>
  <si>
    <t>Most estimates of the incidence of acute otitis media (AOM) are based on general practitioner (GP) or pediatrician diagnoses. It is likely that these figures underestimate the community incidence of AOM since parents do not visit their doctor every time their child suffers from acute ear symptoms. The impact of these symptom episodes may be substantial since they affect the child's quality of life and parents' productivity. To determine AOM symptoms in the community, we measured parent-reported AOM symptoms daily for 12 consecutive months in 1,260 children participating in a prospective birth cohort in the Netherlands. The mean age of these children was at study enrollment 0.9 months (standard deviation 0.6). A parent-reported AOM symptom episode was defined as fever (temperature 38˚C or above) plus at least one of the following symptoms: ear pain and ear discharge. These febrile AOM symptom episodes were linked to GP-consultations and diagnoses in the GP electronic health records. With an estimated 624 parent-reported symptom episodes per 1,000 child-years (95% CI: 577 to 674) incidence of febrile AOM symptoms during the child's first year is high. The GP was consulted in half of these symptom episodes and AOM was diagnosed in 49% of these consultations. The incidence of febrile AOM symptoms in the first year of life is high in Dutch children and leads to a GP-consultation in only half of the cases. This suggests that AOM symptomatology in the community is underestimated when focusing on GP-diagnosed AOM episodes alone, since a considerable proportion of febrile AOM symptom episodes are treated symptomatically by parents at home and do not come to the attention of the GP. Having data on community AOM symptomatology available for each country is important when the potential impact of preventive and therapeutic interventions for AOM are studied.</t>
  </si>
  <si>
    <t>Maintenance treatment with capecitabine and bevacizumab in metastatic colorectal cancer (CAIRO3): a phase 3 randomised controlled trial of the Dutch Colorectal Cancer Group.</t>
  </si>
  <si>
    <t>Simkens, Lieke H J; van Tinteren, Harm; May, Anne; ten Tije, Albert J; Creemers, Geert-Jan M; Loosveld, Olaf J L; de Jongh, Felix E; Erdkamp, Frans L G; Erjavec, Zoran; van der Torren, Adelheid M E; Tol, Jolien; Braun, Hans J J; Nieboer, Peter; van der Hoeven, Jacobus J M; Haasjes, Janny G; Jansen, Rob L H; Wals, Jaap; Cats, Annemieke; Derleyn, Veerle A; Honkoop, Aafke H; Mol, Linda; Punt, Cornelis J A; Koopman, Miriam</t>
  </si>
  <si>
    <t>https://pubmed.ncbi.nlm.nih.gov/25862517</t>
  </si>
  <si>
    <t>The optimum duration of first-line treatment with chemotherapy in combination with bevacizumab in patients with metastatic colorectal cancer is unknown. The CAIRO3 study was designed to determine the efficacy of maintenance treatment with capecitabine plus bevacizumab versus observation. In this open-label, phase 3, randomised controlled trial, we recruited patients in 64 hospitals in the Netherlands. We included patients older than 18 years with previously untreated metastatic colorectal cancer, with stable disease or better after induction treatment with six 3-weekly cycles of capecitabine, oxaliplatin, and bevacizumab (CAPOX-B), WHO performance status of 0 or 1, and adequate bone marrow, liver, and renal function. Patients were randomly assigned (1:1) to either maintenance treatment with capecitabine and bevacizumab (maintenance group) or observation (observation group). Randomisation was done centrally by minimisation, with stratification according to previous adjuvant chemotherapy, response to induction treatment, WHO performance status, serum lactate dehydrogenase concentration, and treatment centre. Both patients and investigators were aware of treatment assignment. We assessed disease status every 9 weeks. On first progression (defined as PFS1), patients in both groups were to receive the induction regimen of CAPOX-B until second progression (PFS2), which was the study's primary endpoint. All endpoints were calculated from the time of randomisation. Analyses were done by intention to treat. This trial is registered with ClinicalTrials.gov, number NCT00442637. Between May 30, 2007, and Oct 15, 2012, we randomly assigned 558 patients to either the maintenance group (n=279) or the observation group (n=279). Median follow-up was 48 months (IQR 36-57). The primary endpoint of median PFS2 was significantly improved in patients on maintenance treatment, and was 8·5 months in the observation group and 11·7 months in the maintenance group (HR 0·67, 95% CI 0·56-0·81, p&lt;0·0001). This difference remained significant when any treatment after PFS1 was considered. Maintenance treatment was well tolerated, although the incidence of hand-foot syndrome was increased (64 [23%] patients with hand-foot skin reaction during maintenance). The global quality of life did not deteriorate during maintenance treatment and was clinically not different between treatment groups. Maintenance treatment with capecitabine plus bevacizumab after six cycles of CAPOX-B in patients with metastatic colorectal cancer is effective and does not compromise quality of life. Dutch Colorectal Cancer Group (DCCG). The DCCG received financial support for the study from the Commissie Klinische Studies (CKS) of the Dutch Cancer Foundation (KWF), Roche, and Sanofi-Aventis.</t>
  </si>
  <si>
    <t>Diagnosis of allergy against beta-lactams in primary care: prevalence and diagnostic criteria.</t>
  </si>
  <si>
    <t>Salden, Odette A E; Rockmann, Heike; Verheij, Theo J M; Broekhuizen, Berna D L</t>
  </si>
  <si>
    <t>https://pubmed.ncbi.nlm.nih.gov/25851993</t>
  </si>
  <si>
    <t>Secondary care studies showed that a recorded allergy to beta-lactams could not be confirmed by valid allergy testing in &gt;85% of cases. In daily practice, recorded beta-lactam allergies probably cause prescription of secondary choice antibiotics. This overrating of beta-lactam allergy hampers appropriate use of narrow spectrum antibiotic and generates unnecessary cost and bacterial resistance. To assess registration and over diagnosis of allergies against beta-lactams in Dutch primary care. A retrospective cohort study in 8288 primary care subjects was performed. Patients with recorded allergy were identified through International Classification for Primary Care coding. Signs and symptoms of the recorded allergic reaction and patient's characteristics were extracted from patient's files and patients were sent a questionnaire. The probability of allergy was based on a composite reference standard that was scored by two authors independently. One hundred sixty-three subjects had a recorded allergy (2.0%). In 51.5% of cases, no characteristics of the recorded allergic reaction were reported in patients' medical files. Based on our composite reference standard, allergy was excluded in 19 subjects (11.7%). Risk factors for allergy registration were female gender, age &lt;4 years, and the comorbidities-asthma, allergies and skin disorders. The prevalence of recorded allergy against beta-lactam antibiotics in a large Dutch primary care centre was 2%. Due to lack of registration of accompanying signs and symptoms of the recorded allergy, this diagnosis is uncertain in most patients. Better documentation and classification by a screening algorithm of future possible allergic reactions to beta-lactams are needed in primary care.</t>
  </si>
  <si>
    <t>A Massive Open Online Course (MOOC) to support the fight against Ebola.</t>
  </si>
  <si>
    <t>Grobusch, Martin P; Browne, Joyce L</t>
  </si>
  <si>
    <t>https://pubmed.ncbi.nlm.nih.gov/25899919</t>
  </si>
  <si>
    <t>Antibiotic treatment strategies for community-acquired pneumonia in adults.</t>
  </si>
  <si>
    <t>Postma, Douwe F; van Werkhoven, Cornelis H; van Elden, Leontine J R; Thijsen, Steven F T; Hoepelman, Andy I M; Kluytmans, Jan A J W; Boersma, Wim G; Compaijen, Clara J; van der Wall, Eva; Prins, Jan M; Oosterheert, Jan J; Bonten, Marc J M; ,</t>
  </si>
  <si>
    <t>https://pubmed.ncbi.nlm.nih.gov/25830421</t>
  </si>
  <si>
    <t>The choice of empirical antibiotic treatment for patients with clinically suspected community-acquired pneumonia (CAP) who are admitted to non-intensive care unit (ICU) hospital wards is complicated by the limited availability of evidence. We compared strategies of empirical treatment (allowing deviations for medical reasons) with beta-lactam monotherapy, beta-lactam-macrolide combination therapy, or fluoroquinolone monotherapy. In a cluster-randomized, crossover trial with strategies rotated in 4-month periods, we tested the noninferiority of the beta-lactam strategy to the beta-lactam-macrolide and fluoroquinolone strategies with respect to 90-day mortality, in an intention-to-treat analysis, using a noninferiority margin of 3 percentage points and a two-sided 90% confidence interval. A total of 656 patients were included during the beta-lactam strategy periods, 739 during the beta-lactam-macrolide strategy periods, and 888 during the fluoroquinolone strategy periods, with rates of adherence to the strategy of 93.0%, 88.0%, and 92.7%, respectively. The median age of the patients was 70 years. The crude 90-day mortality was 9.0% (59 patients), 11.1% (82 patients), and 8.8% (78 patients), respectively, during these strategy periods. In the intention-to-treat analysis, the risk of death was higher by 1.9 percentage points (90% confidence interval [CI], -0.6 to 4.4) with the beta-lactam-macrolide strategy than with the beta-lactam strategy and lower by 0.6 percentage points (90% CI, -2.8 to 1.9) with the fluoroquinolone strategy than with the beta-lactam strategy. These results indicated noninferiority of the beta-lactam strategy. The median length of hospital stay was 6 days for all strategies, and the median time to starting oral treatment was 3 days (interquartile range, 0 to 4) with the fluoroquinolone strategy and 4 days (interquartile range, 3 to 5) with the other strategies. Among patients with clinically suspected CAP admitted to non-ICU wards, a strategy of preferred empirical treatment with beta-lactam monotherapy was noninferior to strategies with a beta-lactam-macrolide combination or fluoroquinolone monotherapy with regard to 90-day mortality. (Funded by the Netherlands Organization for Health Research and Development; CAP-START ClinicalTrials.gov number, NCT01660204.).</t>
  </si>
  <si>
    <t>Improving usual care after sudden death in the young with focus on inherited cardiac diseases (the CAREFUL study): a community-based intervention study.</t>
  </si>
  <si>
    <t>van der Werf, Christian; Hendrix, Anneke; Birnie, Erwin; Bots, Michiel L; Vink, Aryan; Bardai, Abdennasser; Blom, Marieke T; Bosch, Jan; Bruins, Wendy; Das, C Kees; Koster, Rudolph W; Naujocks, Tatjana; Schaap, Balthasar; Tan, Hanno L; de Vos, Ronald; de Vries, Philip; Woonink, Frits; Doevendans, Pieter A; van Weert, Henk C; Wilde, Arthur A M; Mosterd, Arend; van Langen, Irene M</t>
  </si>
  <si>
    <t>https://pubmed.ncbi.nlm.nih.gov/25833117</t>
  </si>
  <si>
    <t>Inherited cardiac diseases play an important role in sudden death (SD) in the young. Autopsy and cardiogenetic evaluation of relatives of young SD victims identifies relatives at risk. We studied the usual care after SD in the young aimed at identifying inherited cardiac disease, and assessed the efficacy of two interventions to improve this usual care. We conducted a community-based intervention study to increase autopsy rates of young SD victims aged 1-44 years and referral of their relatives to cardiogenetic clinics. In the Amsterdam study region, a 24/7 central telephone number and a website were available to inform general practitioners and coroners. In the Utrecht study region, they were informed by a letter and educational meetings. In two control regions usual care was monitored. Autopsy was performed in 169 of 390 registered SD cases (43.3%). Cardiogenetic evaluation of relatives was indicated in 296 of 390 cases (75.9%), but only 25 of 296 families (8.4%) attended a cardiogenetics clinic. Autopsy rates were 38.7% in the Amsterdam study region, 45.5% in the Utrecht study region, and 49.0% in the control regions. The proportion of families evaluated at cardiogenetics clinics in the Amsterdam study region, the Utrecht study region, and the control regions was 7.3, 9.9, and 8.8%, respectively. The autopsy rate in young SD cases in the Netherlands is low and few families undergo cardiogenetic evaluation to detect inherited cardiac diseases. Two different interventions did not improve this suboptimal situation substantially.</t>
  </si>
  <si>
    <t>Acute otorrhea in children with tympanostomy tubes: prevalence of bacteria and viruses in the post-pneumococcal conjugate vaccine era.</t>
  </si>
  <si>
    <t>van Dongen, Thijs M A; Venekamp, Roderick P; Wensing, Annemarie M J; Bogaert, Debby; Sanders, Elisabeth A M; Schilder, Anne G M</t>
  </si>
  <si>
    <t>https://pubmed.ncbi.nlm.nih.gov/25764097</t>
  </si>
  <si>
    <t>Acute tympanostomy-tube otorrhea is a common sequela in children with tympanostomy tubes. Acute tympanostomy-tube otorrhea is generally a symptom of an acute middle ear infection, whereby middle ear fluid drains through the tube. The widespread use of pneumococcal conjugate vaccination (PCV) has changed the bacterial prevalence in the upper respiratory tract of children, but its impact on bacterial and viral pathogens causing acute tympanostomy-tube otorrhea is yet unknown. This study was performed in the post-PCV7 era parallel to a randomized clinical trial of the clinical and cost-effectiveness of ototopical and systemic antibiotics and initial observation in 230 children aged 1 to 10 years with untreated, uncomplicated acute tympanostomy-tube otorrhea. Otorrhea and nasopharyngeal samples were collected at baseline (before treatment) and at 2 weeks (after treatment). Conventional bacterial culture was performed followed by antimicrobial-resistance assessment. Viruses were identified by polymerase chain reaction. At baseline, Haemophilus influenzae (41%), Staphylococcus aureus (40%) and Pseudomonas aeruginosa (18%) were the most prevalent bacteria in otorrhea, followed by Streptococcus pneumoniae (7%) and Moraxella catarrhalis (4%). Most pneumococci were non-PCV7 serotypes. Viruses were detected in 45 otorrhea samples at baseline (21%). Most infections were polymicrobial and overall antimicrobial resistance was low. H. influenzae, S. aureus and P. aeruginosa are the most common microorganisms in children with untreated uncomplicated acute tympanostomy-tube otorrhea. Prevalence of S. pneumoniae has decreased since the introduction of PCV and most pneumococci are nonvaccine serotypes.</t>
  </si>
  <si>
    <t>Reasons for non-adherence to practice guidelines on stroke prevention in patients with atrial fibrillation: A cross-sectional study in primary care.</t>
  </si>
  <si>
    <t>van Doorn, Sander; Hartman-Weide, Floor; Geersing, Geert-Jan; Oudega, Ruud; Hoes, Arno W; Rutten, Frans H</t>
  </si>
  <si>
    <t>https://pubmed.ncbi.nlm.nih.gov/25846665</t>
  </si>
  <si>
    <t>Completeness and accuracy of data transfer of routine maternal health services data in the greater Accra region.</t>
  </si>
  <si>
    <t>Amoakoh-Coleman, Mary; Kayode, Gbenga A; Brown-Davies, Charles; Agyepong, Irene Akua; Grobbee, Diederick E; Klipstein-Grobusch, Kerstin; Ansah, Evelyn K</t>
  </si>
  <si>
    <t>https://pubmed.ncbi.nlm.nih.gov/25889945</t>
  </si>
  <si>
    <t>High quality routine health system data is essential for tracking progress towards attainment of the Millennium Development Goals 4 &amp; 5. This study aimed to determine the completeness and accuracy of transfer of routine maternal health service data at health facility, district and regional levels of the Greater Accra Region of Ghana. A cross sectional study was conducted using secondary data comprised of routine health information data collected at facility level for the first quarter of 2012. Twelve health facilities were selected using a multistage sampling method. Data relating to antenatal care and delivery were assessed for completeness and accuracy of data transfer. Primary source data from health facility level (registers and record notebooks where health information data are initially entered) , used as the reference data, were counted, collated, and compared with aggregate data on aggregate forms compiled from these sources by health facility staff. The primary source data was also compared with data in the district health information management system (DHIMS-II), a web-based data collation and reporting system. Percentage completeness and percentage error in data transfer were estimated. Data for all 5,537 antenatal registrants and 3, 466 deliveries recorded into the primary source for the first quarter of 2012 were assessed. Completeness was best for age data, followed by data on parity and hemoglobin at registration. Mean completeness of the facility level aggregate data for the data sampled, was 94.3% (95% CI = 90.6% - 98.0%) and 100.0% respectively for the aggregate form and DHIMS-II database. Mean error in data transfer was 1.0% (95% CI = 0.8% - 1.2%). Percentage error comparing aggregate form data and DHIMS-II data respectively to the primary source data ranged from 0.0% to 4.9% respectively, while percentage error comparing the DHIMS-II data to aggregate form data, was generally very low or 0.0%. Routine maternal health services data in the Greater Accra region, available at the district level through the DHIMS-II system is complete when compared to facility level primary source data and reliable for use.</t>
  </si>
  <si>
    <t>Dried blood spot measurement of pregnancy-associated plasma protein A (PAPP-A) and free β-subunit of human chorionic gonadotropin (β-hCG) from a low-resource setting.</t>
  </si>
  <si>
    <t>Browne, J L; Schielen, P C J I; Belmouden, I; Pennings, J L A; Klipstein-Grobusch, K</t>
  </si>
  <si>
    <t>https://pubmed.ncbi.nlm.nih.gov/25688936</t>
  </si>
  <si>
    <t>The objectives of the article is to compare pregnancy-associated plasma protein A (PAPP-A) and free β-subunit of human chorionic gonadotropin (β-hCG) concentrations in dried blood spots (DBSs) with serum of samples obtained from a public hospital in a low-resource setting and to evaluate their stability. Serum and DBS samples were obtained by venipuncture and finger prick from 50 pregnant participants in a cohort study in a public hospital in Accra, Ghana. PAPP-A and β-hCG concentrations from serum and DBS were measured with an AutoDELFIA® (PerkinElmer, PerkinElmer, Turku, Finland) automatic immunoassay. Correlation and Passing-Bablok regression analyses were performed to compare marker levels. High correlation (&gt;0.9) was observed for PAPP-A and β-hCG levels between various sampling techniques. The β-hCG concentration was stable between DBS and serum, PAPP-A concentration consistently lower in DBS. Our findings suggest that β-hCG can be reliably collected from DBS in low-resource tropical settings. The exact conditions of the clinical workflow necessary for reliable PAPP-A measurement in these settings need to be further developed in the future. These findings could have implications for prenatal screening programs feasibility in low-income and middle-income countries, as DBS provides an alternative minimally invasive sampling method, with advantages in sampling technique, stability, logistics, and potential application in low-resource settings.</t>
  </si>
  <si>
    <t>Left truncation results in substantial bias of the relation between time-dependent exposures and adverse events.</t>
  </si>
  <si>
    <t>Hazelbag, Christijan M; Klungel, Olaf H; van Staa, Tjeerd P; de Boer, Anthonius; Groenwold, Rolf H H</t>
  </si>
  <si>
    <t>https://pubmed.ncbi.nlm.nih.gov/25935711</t>
  </si>
  <si>
    <t>To assess the impact of random left truncation of data on the estimation of time-dependent exposure effects. A simulation study was conducted in which the relation between exposure and outcome was based on an immediate exposure effect, a first-time exposure effect, or a cumulative exposure effect. The individual probability of truncation, the moment of truncation, the exposure rate, and the incidence rate of the outcome were varied in different simulations. All observations before the moment of left truncation were omitted from the analysis. Random left truncation did not bias estimates of immediate exposure effects, but resulted in an overestimation of a cumulative exposure effect and underestimation of a first-time exposure effect. The magnitude of bias in estimation of cumulative exposure effects depends on a combination of exposure rate, probability of truncation, and proportion of follow-up time left truncated. In case of a cumulative or first-time exposure, left truncation can result in substantial bias in pharmacoepidemiologic studies. The potential for this bias likely differs between databases, which may lead to heterogeneity in estimated exposure effects between studies.</t>
  </si>
  <si>
    <t>The effect of alcohol consumption on insulin sensitivity and glycemic status: a systematic review and meta-analysis of intervention studies.</t>
  </si>
  <si>
    <t>Schrieks, Ilse C; Heil, Annelijn L J; Hendriks, Henk F J; Mukamal, Kenneth J; Beulens, Joline W J</t>
  </si>
  <si>
    <t>https://pubmed.ncbi.nlm.nih.gov/25805864</t>
  </si>
  <si>
    <t>Moderate alcohol consumption is associated with a reduced risk of type 2 diabetes. This reduced risk might be explained by improved insulin sensitivity or improved glycemic status, but results of intervention studies on this relation are inconsistent. The purpose of this study was to conduct a systematic review and meta-analysis of intervention studies investigating the effect of alcohol consumption on insulin sensitivity and glycemic status. PubMed and Embase were searched up to August 2014. Intervention studies on the effect of alcohol consumption on biological markers of insulin sensitivity or glycemic status of at least 2 weeks' duration were included. Investigators extracted data on study characteristics, outcome measures, and methodological quality. Fourteen intervention studies were included in a meta-analysis of six glycemic end points. Alcohol consumption did not influence estimated insulin sensitivity (standardized mean difference [SMD] 0.08 [-0.09 to 0.24]) or fasting glucose (SMD 0.07 [-0.11 to 0.24]) but reduced HbA1c (SMD -0.62 [-1.01 to -0.23]) and fasting insulin concentrations (SMD -0.19 [-0.35 to -0.02]) compared with the control condition. Alcohol consumption among women reduced fasting insulin (SMD -0.23 [-0.41 to -0.04]) and tended to improve insulin sensitivity (SMD 0.16 [-0.04 to 0.37]) but not among men. Results were similar after excluding studies with high alcohol dosages (&gt;40 g/day) and were not influenced by dosage and duration of the intervention. Although the studies had small sample sizes and were of short duration, the current evidence suggests that moderate alcohol consumption may decrease fasting insulin and HbA1c concentrations among nondiabetic subjects. Alcohol consumption might improve insulin sensitivity among women but did not do so overall.</t>
  </si>
  <si>
    <t>An epidemiologic risk prediction model for ovarian cancer in Europe: the EPIC study.</t>
  </si>
  <si>
    <t>Li, K; Hüsing, A; Fortner, R T; Tjønneland, A; Hansen, L; Dossus, L; Chang-Claude, J; Bergmann, M; Steffen, A; Bamia, C; Trichopoulos, D; Trichopoulou, A; Palli, D; Mattiello, A; Agnoli, C; Tumino, R; Onland-Moret, N C; Peeters, P H; Bueno-de-Mesquita, H B; Gram, I T; Weiderpass, E; Sánchez-Cantalejo, E; Chirlaque, M-D; Duell, E J; Ardanaz, E; Idahl, A; Lundin, E; Khaw, K-T; Travis, R C; Merritt, M A; Gunter, M J; Riboli, E; Ferrari, P; Terry, K; Cramer, D; Kaaks, R</t>
  </si>
  <si>
    <t>https://pubmed.ncbi.nlm.nih.gov/25742479</t>
  </si>
  <si>
    <t>Ovarian cancer has a high case-fatality ratio, largely due to late diagnosis. Epidemiologic risk prediction models could help identify women at increased risk who may benefit from targeted prevention measures, such as screening or chemopreventive agents. We built an ovarian cancer risk prediction model with epidemiologic risk factors from 202,206 women in the European Prospective Investigation into Cancer and Nutrition study. Older age at menopause, longer duration of hormone replacement therapy, and higher body mass index were included as increasing ovarian cancer risk, whereas unilateral ovariectomy, longer duration of oral contraceptive use, and higher number of full-term pregnancies were decreasing risk. The discriminatory power (overall concordance index) of this model, as examined with five-fold cross-validation, was 0.64 (95% confidence interval (CI): 0.57, 0.70). The ratio of the expected to observed number of ovarian cancer cases occurring in the first 5 years of follow-up was 0.90 (293 out of 324, 95% CI: 0.81-1.01), in general there was no evidence for miscalibration. Our ovarian cancer risk model containing only epidemiological data showed modest discriminatory power for a Western European population. Future studies should consider adding informative biomarkers to possibly improve the predictive ability of the model.</t>
  </si>
  <si>
    <t>Circulating prolactin and in situ breast cancer risk in the European EPIC cohort: a case-control study.</t>
  </si>
  <si>
    <t>Tikk, Kaja; Sookthai, Disorn; Fortner, Renée T; Johnson, Theron; Rinaldi, Sabina; Romieu, Isabelle; Tjønneland, Anne; Olsen, Anja; Overvad, Kim; Clavel-Chapelon, Françoise; Baglietto, Laura; Boeing, Heiner; Trichopoulou, Antonia; Lagiou, Pagona; Trichopoulos, Dimitrios; Masala, Giovanna; Krogh, Vittorio; Tumino, Rosario; Ricceri, Fulvio; Mattiello, Amalia; Agudo, Antonio; Menéndez, Virginia; Sánchez, María-José; Amiano, Pilar; Chirlaque, Maria-Dolores; Barricarte, Aurelio; Bueno-de-Mesquita, H Bas; Monninkhof, Evelyn M; Onland-Moret, N Charlotte; Andresson, Anne; Sund, Malin; Weiderpass, Elisabete; Khaw, Kay-Tee; Key, Timothy J; Travis, Ruth C; Merritt, Melissa A; Riboli, Elio; Dossus, Laure; Kaaks, Rudolf</t>
  </si>
  <si>
    <t>https://pubmed.ncbi.nlm.nih.gov/25887963</t>
  </si>
  <si>
    <t>The relationship between circulating prolactin and invasive breast cancer has been investigated previously, but the association between prolactin levels and in situ breast cancer risk has received less attention. We analysed the relationship between pre-diagnostic prolactin levels and the risk of in situ breast cancer overall, and by menopausal status and use of postmenopausal hormone therapy (HT) at blood donation. Conditional logistic regression was used to assess this association in a case-control study nested within the European Prospective Investigation into Cancer and Nutrition (EPIC) cohort, including 307 in situ breast cancer cases and their matched control subjects. We found a significant positive association between higher circulating prolactin levels and risk of in situ breast cancer among all women [pre-and postmenopausal combined, ORlog2=1.35 (95% CI 1.04-1.76), Ptrend=0.03]. No statistically significant heterogeneity was found between prolactin levels and in situ cancer risk by menopausal status (Phet=0.98) or baseline HT use (Phet=0.20), although the observed association was more pronounced among postmenopausal women using HT compared to non-users (Ptrend=0.06 vs Ptrend=0.35). In subgroup analyses, the observed positive association was strongest in women diagnosed with in situ breast tumors&lt;4 years compared to ≥4 years after blood donation (Ptrend=0.01 vs Ptrend=0.63; Phet=0.04) and among nulliparous women compared to parous women (Ptrend=0.03 vs Ptrend=0.15; Phet=0.07). Our data extends prior research linking prolactin and invasive breast cancer to the outcome of in situ breast tumours and shows that higher circulating prolactin is associated with increased risk of in situ breast cancer.</t>
  </si>
  <si>
    <t>Diabetes-related distress over the course of illness: results from the Diacourse study.</t>
  </si>
  <si>
    <t>Kasteleyn, M J; de Vries, L; van Puffelen, A L; Schellevis, F G; Rijken, M; Vos, R C; Rutten, G E H M; ,</t>
  </si>
  <si>
    <t>https://pubmed.ncbi.nlm.nih.gov/25763843</t>
  </si>
  <si>
    <t>To investigate the relationship between diabetes duration and diabetes-related distress and to examine the impact of micro- and macrovascular complications and blood glucose-lowering treatment on this relationship. We conducted a cross-sectional study in people with Type 2 diabetes who participated in the Dutch Diacourse study (n = 590) and completed the Problem Areas in Diabetes questionnaire. Data on diabetes duration, micro- and macrovascular complications and blood glucose-lowering treatment were collected. Multiple linear regression analysis was used to investigate the association between diabetes duration and diabetes-related distress, and to examine whether complications and treatment could explain this association. A significant linear and quadratic association between diabetes duration and diabetes-related distress was found (duration: β = 0.27, P = 0.005; duration(2): β = -0.21, P = 0.030). The association between duration and distress could be explained by microvascular complications and insulin treatment, which were both more often present in people with a longer diabetes duration, and were associated with higher levels of diabetes-related distress (β = 0.20, P &lt; 0.001 and β = 0.16, P = 0.006 respectively). Duration, age, gender, complications and treatment together explained 13.1% of the variance in distress. Diabetes duration was associated with diabetes-related distress. This association can be explained largely by the presence of diabetes-related microvascular complications and insulin treatment. Healthcare providers should focus on distress in people with Type 2 diabetes in different stages over the course of illness, especially when complications are present or when people are on insulin treatment. As well as diabetes duration, complications and blood glucose-lowering treatment, diabetes-related distress is likely to be influenced by many other factors.</t>
  </si>
  <si>
    <t>Control group design, contamination and drop-out in exercise oncology trials: a systematic review.</t>
  </si>
  <si>
    <t>Steins Bisschop, Charlotte N; Courneya, Kerry S; Velthuis, Miranda J; Monninkhof, Evelyn M; Jones, Lee W; Friedenreich, Christine; van der Wall, Elsken; Peeters, Petra H M; May, Anne M</t>
  </si>
  <si>
    <t>https://pubmed.ncbi.nlm.nih.gov/25815479</t>
  </si>
  <si>
    <t>Important considerations for exercise trials in cancer patients are contamination and differential drop-out among the control group members that might jeopardize the internal validity. This systematic review provides an overview of different control groups design characteristics of exercise-oncology trials and explores the association with contamination and drop-out rates. Randomized controlled exercise-oncology trials from two Cochrane reviews were included. Additionally, a computer-aided search using Medline (Pubmed), Embase and CINAHL was conducted after completion date of the Cochrane reviews. Eligible studies were classified according to three control group design characteristics: the exercise instruction given to controls before start of the study (exercise allowed or not); and the intervention the control group was offered during (any (e.g., education sessions or telephone contacts) or none) or after (any (e.g., cross-over or exercise instruction) or none) the intervention period. Contamination (yes or no) and excess drop-out rates (i.e., drop-out rate of the control group minus the drop-out rate exercise group) were described according to the three design characteristics of the control group and according to the combinations of these three characteristics; so we additionally made subgroups based on combinations of type and timing of instructions received. 40 exercise-oncology trials were included based on pre-specified eligibility criteria. The lowest contamination (7.1% of studies) and low drop-out rates (excess drop-out rate -4.7±9.2) were found in control groups offered an intervention after the intervention period. When control groups were offered an intervention both during and after the intervention period, contamination (0%) and excess drop-out rates (-10.0±12.8%) were even lower. Control groups receiving an intervention during and after the study intervention period have lower contamination and drop-out rates. The present findings can be considered when designing future exercise-oncology trials.</t>
  </si>
  <si>
    <t>The ethics of cluster-randomized trials requires further evaluation: a refinement of the Ottawa Statement.</t>
  </si>
  <si>
    <t>van der Graaf, Rieke; Koffijberg, Hendrik; Grobbee, Diederick E; de Hoop, Esther; Moons, Karel G M; van Thiel, Ghislaine J M W; de Wit, G Ardine; van Delden, Johannes J M</t>
  </si>
  <si>
    <t>https://pubmed.ncbi.nlm.nih.gov/25910909</t>
  </si>
  <si>
    <t>The Ottawa Statement is the first guidance document for the ethical and scientific conduct of cluster-randomized trials (CRTs). However, not all recommendations are straightforward to implement. In this paper we will reflect in particular on the recommendation on identifying human research subjects and the issue to what extent the randomization process should be disclosed if there is a risk of contamination. The Ottawa Statement was thoroughly evaluated within a multidisciplinary research team, consisting amongst others of epidemiologists and ethicists. Patients in a CRT may also be considered as research subjects if they are indirectly affected by the studied interventions in a CRT. Second, health care workers are research subjects in CRTs but have a different moral status compared with ordinary research participants. This different status has implications for withdrawal and the choice of the primary objective. Third, modified informed consent for CRTs may be obtained when researchers can demonstrate that disclosure of the randomization process would affect the validity of a CRT. Recommendations of the Ottawa Statement on identifying the research subject and providing informed consent can and should be refined.</t>
  </si>
  <si>
    <t>A Comparison of 8 Nutrition-Related Tests to Predict Mortality in Hemodialysis Patients.</t>
  </si>
  <si>
    <t>de Roij van Zuijdewijn, Camiel L M; ter Wee, Piet M; Chapdelaine, Isabelle; Bots, Michiel L; Blankestijn, Peter J; van den Dorpel, Marinus A; Nubé, Menso J; Grooteman, Muriel P C</t>
  </si>
  <si>
    <t>https://pubmed.ncbi.nlm.nih.gov/25820178</t>
  </si>
  <si>
    <t>Protein-energy wasting (PEW) describes a state of decreased protein and energy fuels and is highly prevalent in hemodialysis patients. As PEW is associated with mortality, it should be detected accurately and easily. This study investigated which nutrition-related test predicts mortality and morbidity best in hemodialysis patients. Data were used from CONTRAST, a cohort of end-stage kidney disease patients. Subjective Global Assessment (SGA), Malnutrition Inflammation Score (MIS), Geriatric Nutritional Risk Index (GNRI), composite score of Protein-Energy Nutritional Status (cPENS), serum albumin, serum creatinine, body mass index, and normalized protein nitrogen appearance rate were assessed at baseline. End points were all-cause mortality, cardiovascular events, and infection. Discriminative value of every test was assessed with Harrell's C statistic and calibration tested using the Hosmer-Lemeshow goodness-of-fit test. Ultimately, in every test, 4 groups were created to compare (1) hazard ratios (HR; worst vs best group), (2) HR increase per group, and (3) HR of worst group versus other groups. In total, 489 patients were analyzed. Median follow-up was 2.97 years (interquartile range, 1.67-4.47 years). MIS, GNRI, albumin, and creatinine discriminated all-cause mortality equally. SGA, cPENS, body mass index, and normalized protein nitrogen appearance were inferior. cPENS and creatinine were inadequately calibrated. Of the remaining tests, GNRI predicted mortality less when comparing HRs. MIS and albumin predicted mortality equally well. In a subanalysis, these also predicted infection equally well, but MIS predicted cardiovascular events better. Of the 8 investigated nutrition-related tests, MIS and albumin predict mortality best in hemodialysis patients. As one has no added value over the other, we conclude that mortality is most easily predicted in hemodialysis patients by serum albumin.</t>
  </si>
  <si>
    <t>Prediction of cardiovascular disease worldwide.</t>
  </si>
  <si>
    <t>Moons, Karel G M; Schuit, Ewoud</t>
  </si>
  <si>
    <t>https://pubmed.ncbi.nlm.nih.gov/25819779</t>
  </si>
  <si>
    <t>Search for Higgs and Z Boson Decays to J/ψγ and ϒ(nS)γ with the ATLAS Detector.</t>
  </si>
  <si>
    <t>https://pubmed.ncbi.nlm.nih.gov/25860734</t>
  </si>
  <si>
    <t>A search for the decays of the Higgs and Z bosons to J/ψγ and ϒ(nS)γ (n=1,2,3) is performed with pp collision data samples corresponding to integrated luminosities of up to 20.3  fb^{-1} collected at sqrt[s]=8  TeV with the ATLAS detector at the CERN Large Hadron Collider. No significant excess of events is observed above expected backgrounds and 95% C.L. upper limits are placed on the branching fractions. In the J/ψγ final state the limits are 1.5×10^{-3} and 2.6×10^{-6} for the Higgs and Z boson decays, respectively, while in the ϒ(1S,2S,3S)γ final states the limits are (1.3,1.9,1.3)×10^{-3} and (3.4,6.5,5.4)×10^{-6}, respectively.</t>
  </si>
  <si>
    <t>Colistin and tobramycin resistance during long- term use of selective decontamination strategies in the intensive care unit: a post hoc analysis.</t>
  </si>
  <si>
    <t>Wittekamp, Bastiaan H J; Oostdijk, Evelien A N; de Smet, Anne Marie G A; Bonten, Marc J M</t>
  </si>
  <si>
    <t>https://pubmed.ncbi.nlm.nih.gov/25880968</t>
  </si>
  <si>
    <t>Selective decontamination of the digestive tract (SDD) and selective oropharyngeal decontamination (SOD) have been shown to improve intensive care unit (ICU) patients' outcomes. The aim of this study was to determine the effects of long-term use of SDD and SOD on colistin and tobramycin resistance among gram-negative bacteria. We performed a post hoc analysis of two consecutive multicentre cluster-randomised trials with crossover of interventions. SDD and SOD were alternately but continuously used during 7 years in five Dutch ICUs participating in two consecutive cluster-randomised trials. In both trials, to measure colistin and tobramycin resistance among gram-negative bacteria, rectal and respiratory samples were obtained monthly from all patients present in the ICU. The prevalence of tobramycin resistance in respiratory and rectal samples decreased significantly during long-term use of SOD and SDD. (rectal samples risk ratio (RR) 0.35 (0.23 to 0.53); respiratory samples RR 0.48 (0.32 to 0.73), SDD compared to standard care). Colistin resistance in rectal and respiratory samples did not change (rectal samples RR 0.63 (0.29 to 1.38); respiratory samples RR 1.26 (0.35 to 4.57), SDD compared to standard care). In this study, in a setting with low antimicrobial resistance rates, the prevalence of resistance against colistin and tobramycin among gram-negative isolates did not increase during a mean of 7 years of SDD or SOD use.</t>
  </si>
  <si>
    <t>Assessing the consequences of stigma for tuberculosis patients in urban Zambia.</t>
  </si>
  <si>
    <t>Cremers, Anne Lia; de Laat, Myrthe Manon; Kapata, Nathan; Gerrets, Rene; Klipstein-Grobusch, Kerstin; Grobusch, Martin Peter</t>
  </si>
  <si>
    <t>https://pubmed.ncbi.nlm.nih.gov/25806955</t>
  </si>
  <si>
    <t>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To enhance understanding of TB-related stigmatizing perceptions and to describe TB patients' experiences of stigma in order to point out recommendations to improve TB policy.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</si>
  <si>
    <t>Longitudinal relationship between cerebral small-vessel disease and cerebral blood flow: the second manifestations of arterial disease-magnetic resonance study.</t>
  </si>
  <si>
    <t>van der Veen, Pieternella H; Muller, Majon; Vincken, Koen L; Hendrikse, Jeroen; Mali, Willem P T M; van der Graaf, Yolanda; Geerlings, Mirjam I; ,</t>
  </si>
  <si>
    <t>https://pubmed.ncbi.nlm.nih.gov/25804924</t>
  </si>
  <si>
    <t>Cerebral small-vessel disease and cerebral blood flow (CBF) are interrelated. However, the direction of the relationship is unknown, and longitudinal studies are scarce. We investigated the longitudinal relationship between CBF and white matter hyperintensities (WMHs) and lacunes, as representatives of cerebral small-vessel disease, in patients with manifest arterial disease. Within the Second Manifestations of Arterial Disease-Magnetic Resonance (SMART-MR) study, 1.5T brain magnetic resonance imaging, including an MR angiography, was obtained at baseline and after on ≈3.9 years of follow-up in 575 patients with manifest arterial disease (mean age, 57±10 years). Longitudinal associations of WMHs and lacunes with parenchymal CBF (pCBF; per 100-mL brain volume) were estimated using regression analyses, adjusted for age, sex, follow-up time, and baseline brain measures. Baseline pCBF was not associated with progression of WMHs and lacunes over time. However, periventricular and deep WMHs at baseline were associated with decline in pCBF; mean (95% confidence interval) decline in pCBF per % intracranial volume increase in periventricular and deep WMH volume was -0.70 (-1.40 to -0.00) and -1.01 (-1.64 to -0.38) mL/min per 100-mL brain volume, respectively. These associations were partly explained by cardiovascular risk factors but remained significant for deep WMHs (mean decline [95% confidence interval] in pCBF per % intracranial volume increase in deep WMH volume was -0.92 [-1.56 to -0.28] mL/min per 100-mL brain volume). Lacunes were not associated with change in pCBF. In patients with manifest arterial disease, baseline periventricular and deep WMH volumes were associated with decline in pCBF over time, but baseline pCBF was not associated with progression of WMHs and lacunes over time.</t>
  </si>
  <si>
    <t>Gender-specific mortality in DTP-IPV- and MMR±MenC-eligible age groups to determine possible sex-differential effects of vaccination: an observational study.</t>
  </si>
  <si>
    <t>Schurink-van't Klooster, Tessa M; Knol, Mirjam J; de Melker, Hester E; van der Sande, Marianne A B</t>
  </si>
  <si>
    <t>https://pubmed.ncbi.nlm.nih.gov/25885282</t>
  </si>
  <si>
    <t>Several studies suggested that vaccines could have non-specific effects on mortality depending on the type of vaccine. Non-specific effects seem to be different in boys and girls. In this study we want to investigate whether there are differences in gender-specific mortality among Dutch children according to the last vaccination received. We tested the hypothesis that the mortality rate ratio for girls versus boys is more favourable for girls following MMR±MenC vaccination (from 14 months of age) compared with the ratio following DTP-IPV vaccination (2-13 months of age). Secondarily, we investigated whether there were gender-specific changes in mortality following booster vaccination at 4 years of age. This observational study included all Dutch children aged 0-11 years from 2000 until 2011. Age groups were classified according to the last vaccination offered. The mortality rates for all natural causes of death were calculated by gender and age group. Incidence rate ratios (IRRs) were computed using a multivariable Poisson analysis to compare mortality in boys and girls across different age groups. The study population consisted of 6,261,472 children. During the study period, 14,038 children (0.22%) died, 91% of which were attributed to a known natural cause of death. The mortality rate for natural causes was higher among boys than girls in all age groups. Adjusted IRRs for girls compared with boys ranged between 0.81 (95% CI 0.74-0.89) and 0.91 (95% CI 0.77-1.07) over the age groups. The IRR did not significantly differ between all vaccine-related age groups (p=0.723), between children 2-13 months (following DTP-IPV vaccination) and 14 months-3 years (following MMR±MenC vaccination) (p=0.493) and between children 14 months-3 years and 4-8 years old (following DTP-IPV vaccination) (p=0.868). In the Netherlands, a high income country, no differences in gender-specific mortality related to the type of last vaccination received were observed in DTP-IPV- and MMR ± MenC eligible age groups. The inability to detect this effect indicates that when non-specific effects were present the effects were not reflected in changes in the differences in mortality between boys and girls. The findings in this large population-based study are reassuring for the continued trust in the safety of the national vaccination programme.</t>
  </si>
  <si>
    <t>Assessment of the quality of reporting of randomised controlled trials in otorhinolaryngologic literature - adherence to the CONSORT statement.</t>
  </si>
  <si>
    <t>https://pubmed.ncbi.nlm.nih.gov/25793517</t>
  </si>
  <si>
    <t>Randomised Controlled Trials (RCTs) are the preferred study design when comparing therapeutical interventions in medicine. To improve clarity, consistency and transparency of reporting RCTs, the Consolidated Standards of Reporting Trials (CONSORT) statement was developed. (1) To assess the quality of reports and abstracts of RCTs in otorhinolaryngologic literature by using CONSORT checklists, (2) to compare the quality of reports and abstracts of otorhinolaryngologic RCTs between the top 5 general medical journals and top 5 otorhinolaryngologic journals, and (3) to formulate recommendations for authors and editors of otorhinolaryngologic ('ENT') journals. Based on 2012 ISI Web of Knowledge impact factors, the top 5 general medical and ENT journals were selected. On 25 June 2014, using a highly sensitive Cochrane RCT filter and ENT filter, possibly relevant articles since January 1st, 2010 were retrieved and relevant RCTs were selected. We assessed how many CONSORT items were reported adequately in reports and abstracts and compared the two journal types. Otorhinolaryngologic RCTs (n = 15) published in general medical journals reported a mean of 92.1% (95% confidence interval: 89.5%-94.7%) of CONSORT items adequately, whereas RCTs (n = 18) published in ENT journals reported a mean of 71.8% (66.7%-76.8%) adequately (p &lt; 0.001). For abstracts, means of 70.0% (63.7%-76.3%) and 32.3% (26.6-38.0%) were found respectively (p &lt; 0.001). Large differences for specific items exist between the two journal types. The quality of reporting of RCTs in otorhinolaryngologic journals is suboptimal. RCTs published in general medical journals have a higher quality of reporting than RCTs published in ENT journals. We recommend authors to report their trial according to the CONSORT Statement and advise editors to endorse the CONSORT Statement and implement the CONSORT Statement in the editorial process to ensure more adequate reporting of RCTs and their abstracts.</t>
  </si>
  <si>
    <t>Polysaccharide conjugate vaccine against pneumococcal pneumonia in adults.</t>
  </si>
  <si>
    <t>Bonten, Marc J M; Huijts, Susanne M; Bolkenbaas, Marieke; Webber, Chris; Patterson, Scott; Gault, Samantha; van Werkhoven, Cornelis H; van Deursen, Anna M M; Sanders, Elisabeth A M; Verheij, Theo J M; Patton, Michael; McDonough, Anne; Moradoghli-Haftvani, Anita; Smith, Helen; Mellelieu, Tracey; Pride, Michael W; Crowther, Graham; Schmoele-Thoma, Beate; Scott, Daniel A; Jansen, Kathrin U; Lobatto, Rita; Oosterman, Bas; Visser, Nils; Caspers, Esther; Smorenburg, Andre; Emini, Emilio A; Gruber, William C; Grobbee, Diederick E</t>
  </si>
  <si>
    <t>https://pubmed.ncbi.nlm.nih.gov/25785969</t>
  </si>
  <si>
    <t>Pneumococcal polysaccharide conjugate vaccines prevent pneumococcal disease in infants, but their efficacy against pneumococcal community-acquired pneumonia in adults 65 years of age or older is unknown. In a randomized, double-blind, placebo-controlled trial involving 84,496 adults 65 years of age or older, we evaluated the efficacy of 13-valent polysaccharide conjugate vaccine (PCV13) in preventing first episodes of vaccine-type strains of pneumococcal community-acquired pneumonia, nonbacteremic and noninvasive pneumococcal community-acquired pneumonia, and invasive pneumococcal disease. Standard laboratory methods and a serotype-specific urinary antigen detection assay were used to identify community-acquired pneumonia and invasive pneumococcal disease. In the per-protocol analysis of first episodes of infections due to vaccine-type strains, community-acquired pneumonia occurred in 49 persons in the PCV13 group and 90 persons in the placebo group (vaccine efficacy, 45.6%; 95.2% confidence interval [CI], 21.8 to 62.5), nonbacteremic and noninvasive community-acquired pneumonia occurred in 33 persons in the PCV13 group and 60 persons in the placebo group (vaccine efficacy, 45.0%; 95.2% CI, 14.2 to 65.3), and invasive pneumococcal disease occurred in 7 persons in the PCV13 group and 28 persons in the placebo group (vaccine efficacy, 75.0%; 95% CI, 41.4 to 90.8). Efficacy persisted throughout the trial (mean follow-up, 3.97 years). In the modified intention-to-treat analysis, similar efficacy was observed (vaccine efficacy, 37.7%, 41.1%, and 75.8%, respectively), and community-acquired pneumonia occurred in 747 persons in the PCV13 group and 787 persons in placebo group (vaccine efficacy, 5.1%; 95% CI, -5.1 to 14.2). Numbers of serious adverse events and deaths were similar in the two groups, but there were more local reactions in the PCV13 group. Among older adults, PCV13 was effective in preventing vaccine-type pneumococcal, bacteremic, and nonbacteremic community-acquired pneumonia and vaccine-type invasive pneumococcal disease but not in preventing community-acquired pneumonia from any cause. (Funded by Pfizer; CAPITA ClinicalTrials.gov number NCT00744263.).</t>
  </si>
  <si>
    <t>Pragmatic randomized trials in drug development pose new ethical questions: a systematic review.</t>
  </si>
  <si>
    <t>https://pubmed.ncbi.nlm.nih.gov/25794600</t>
  </si>
  <si>
    <t>Implementation of pragmatic design elements in drug development could bridge the evidence gap that currently exists between the knowledge we have regarding the efficacy of a drug versus its true, comparative effectiveness in real life. We performed a review of the literature to identify the ethical challenges thus far related to pragmatic trials. The three central ethical questions identified for pragmatic trials are: (i) what level of oversight should pragmatic trials require; (ii) do randomized patients face additional risks; and (iii) is a waiver of informed consent ethically defensible? Despite the fact all reviewed publications dealt with post-launch pragmatic trials, these results could serve as an important starting point for conceptualizing which challenges could potentially arise in the pre-launch setting.</t>
  </si>
  <si>
    <t>Socioeconomic status in relation to cardiovascular disease and cause-specific mortality: a comparison of Asian and Australasian populations in a pooled analysis.</t>
  </si>
  <si>
    <t>Woodward, Mark; Peters, Sanne A E; Batty, G David; Ueshima, Hirotsugu; Woo, Jean; Giles, Graham G; Barzi, Federica; Ho, Suzanne C; Huxley, Rachel R; Arima, Hisatomi; Fang, Xianghua; Dobson, Annette; Lam, Tai Hing; Vathesatogkit, Prin; ,</t>
  </si>
  <si>
    <t>https://pubmed.ncbi.nlm.nih.gov/25783421</t>
  </si>
  <si>
    <t>In Western countries, lower socioeconomic status is associated with a higher risk of cardiovascular disease (CVD) and premature mortality. These associations may plausibly differ in Asian populations, but data are scarce and direct comparisons between the two regions are lacking. We, thus, aimed to compare such associations between Asian and Western populations in a large collaborative study, using the highest level of education attained as our measure of social status. Cohort studies in general populations conducted in Asia or Australasia. 303,036 people (71% from Asia) from 24 studies in the Asia Pacific Cohort Studies Collaboration. Studies had to have a prospective cohort study design, have accumulated at least 5000 person-years of follow-up, recorded date of birth (or age), sex and blood pressure at baseline and date of, or age at, death during follow-up. We used Cox regression models to estimate relationships between educational attainment and CVD (fatal or non-fatal), as well as all-cause, cardiovascular and cancer mortality. During more than two million person-years of follow-up, 11,065 deaths (3655 from CVD and 4313 from cancer) and 1809 CVD non-fatal events were recorded. Adjusting for classical CVD risk factors and alcohol drinking, hazard ratios (95% CIs) for primary relative to tertiary education in Asia (Australasia) were 1.81 (1.38, 2.36) (1.10 (0.99, 1.22)) for all-cause mortality, 2.47(1.47, 4.17) (1.24 (1.02, 1.51)) for CVD mortality, 1.66 (1.00, 2.78) (1.01 (0.87, 1.17)) for cancer mortality and 2.09 (1.34, 3.26) (1.23 (1.04, 1.46)) for all CVD. Lower educational attainment is associated with a higher risk of CVD or premature mortality in Asia, to a degree exceeding that in the Western populations of Australasia.</t>
  </si>
  <si>
    <t>Diabetes and onset of natural menopause: results from the European Prospective Investigation into Cancer and Nutrition.</t>
  </si>
  <si>
    <t>Brand, J S; Onland-Moret, N C; Eijkemans, M J C; Tjønneland, A; Roswall, N; Overvad, K; Fagherazzi, G; Clavel-Chapelon, F; Dossus, L; Lukanova, A; Grote, V; Bergmann, M M; Boeing, H; Trichopoulou, A; Tzivoglou, M; Trichopoulos, D; Grioni, S; Mattiello, A; Masala, G; Tumino, R; Vineis, P; Bueno-de-Mesquita, H B; Weiderpass, E; Redondo, M L; Sánchez, M J; Castaño, J M Huerta; Arriola, L; Ardanaz, E; Duell, E J; Rolandsson, O; Franks, P W; Butt, S; Nilsson, P; Khaw, K T; Wareham, N; Travis, R; Romieu, I; Gunter, M J; Riboli, E; van der Schouw, Y T</t>
  </si>
  <si>
    <t>https://pubmed.ncbi.nlm.nih.gov/25779698</t>
  </si>
  <si>
    <t>Do women who have diabetes before menopause have their menopause at an earlier age compared with women without diabetes? Although there was no overall association between diabetes and age at menopause, our study suggests that early-onset diabetes may accelerate menopause. Today, more women of childbearing age are being diagnosed with diabetes, but little is known about the impact of diabetes on reproductive health. We investigated the impact of diabetes on age at natural menopause (ANM) in 258 898 women from the European Prospective Investigation into Cancer and Nutrition (EPIC), enrolled between 1992 and 2000. Determinant and outcome information was obtained through questionnaires. Time-dependent Cox regression analyses were used to estimate the associations of diabetes and age at diabetes diagnosis with ANM, stratified by center and adjusted for age, smoking, reproductive and diabetes risk factors and with age from birth to menopause or censoring as the underlying time scale. Overall, no association between diabetes and ANM was found (hazard ratio (HR) = 0.94; 95% confidence interval (CI) 0.89-1.01). However, women with diabetes before the age of 20 years had an earlier menopause (10-20 years: HR = 1.43; 95% CI 1.02-2.01, &lt;10 years: HR = 1.59; 95% CI 1.03-2.43) compared with non-diabetic women, whereas women with diabetes at age 50 years and older had a later menopause (HR = 0.81; 95% CI 0.70-0.95). None of the other age groups were associated with ANM. Strengths of the study include the large sample size and the broad set of potential confounders measured. However, results may have been underestimated due to survival bias. We cannot be sure about the sequence of the events in women with a late age at diabetes, as both events then occur in a short period. We could not distinguish between type 1 and type 2 diabetes. Based on the literature, an accelerating effect of early-onset diabetes on ANM might be plausible. A delaying effect of late-onset diabetes on ANM has not been reported before, and is not in agreement with recent studies suggesting the opposite association. The coordination of EPIC is financially supported by the European Commission (DG-SANCO) and the International Agency for Research on Cancer. The national cohorts are supported by Danish Cancer Society (Denmark); Ligue Contre le Cancer, Institut Gustave Roussy, Mutuelle Générale de l'Education Nationale, Institut National de la Santé et de la Recherche Médicale (INSERM) (France); German Cancer Aid, German Cancer Research Center (DKFZ) and Federal Ministry of Education and Research (BMMF) (Germany); Ministry of Health and Social Solidarity, Stavros Niarchos Foundation and Hellenic Health Foundation (Greece); Italian Association for Research on Cancer (AIRC) and National Research Council (Italy); Dutch Ministry of Public Health, Welfare and Sports (VWS), Netherlands Cancer Registry (NKR), LK Research Funds, Dutch Prevention Funds, Dutch ZON (Zorg Onderzoek Nederland), World Cancer Research Fund (WCRF), Statistics Netherlands (The Netherlands); ERC-2009-AdG 232997 and Nordforsk, Nordic Centre of Excellence programme on Food, Nutrition and Health (Norway); Health Research Fund (FIS), Regional Governments of Andalucía, Asturias, Basque Country, Murcia (no. 6236) and Navarra, ISCIII RETIC (RD06/0020) (Spain); Swedish Cancer Society, Swedish Scientific Council and Regional Government of Skåne and Västerbotten (Sweden); Cancer Research UK, Medical Research Council, Stroke Association, British Heart Foundation, Department of Health, Food Standards Agency, and Wellcome Trust (UK). None of the authors reported a conflict of interest.</t>
  </si>
  <si>
    <t>Cardiovascular disease prediction: do pulmonary disease-related chest CT features have added value?</t>
  </si>
  <si>
    <t>Jairam, Pushpa M; de Jong, Pim A; Mali, Willem P Th M; Isgum, Ivana; van der Graaf, Yolanda; ,</t>
  </si>
  <si>
    <t>https://pubmed.ncbi.nlm.nih.gov/25773934</t>
  </si>
  <si>
    <t>Certain pulmonary diseases are associated with cardiovascular disease (CVD). Therefore we investigated the incremental predictive value of pulmonary, mediastinal and pleural features over cardiovascular imaging findings. A total of 10,410 patients underwent diagnostic chest CT for non-cardiovascular indications. Using a case-cohort approach, we visually graded CTs from the cases and from an approximately 10 % random sample of the baseline cohort (n = 1,203) for cardiovascular, pulmonary, mediastinal and pleural findings. The incremental value of pulmonary disease-related CT findings above cardiovascular imaging findings in cardiovascular event risk prediction was quantified by comparing discrimination and reclassification. During a mean follow-up of 3.7 years (max. 7.0 years), 1,148 CVD events (cases) were identified. Addition of pulmonary, mediastinal and pleural features to a cardiovascular imaging findings-based prediction model led to marginal improvement of discrimination (increase in c-index from 0.72 (95 % CI 0.71-0.74) to 0.74 (95 % CI 0.72-0.75)) and reclassification measures (net reclassification index 6.5 % (p &lt; 0.01)). Pulmonary, mediastinal and pleural features have limited predictive value in the identification of subjects at high risk of CVD events beyond cardiovascular findings on diagnostic chest CT scans. • Incidental cardiovascular findings on routine chest CT can predict cardiovascular disease • Non-cardiovascular chest CT abnormalities are associated with cardiovascular disease • Non-cardiovascular chest CT features have limited predictive value beyond cardiovascular features.</t>
  </si>
  <si>
    <t>Performance of the ATLAS muon trigger in pp collisions at [Formula: see text] TeV.</t>
  </si>
  <si>
    <t>https://pubmed.ncbi.nlm.nih.gov/25838797</t>
  </si>
  <si>
    <t>The performance of the ATLAS muon trigger system is evaluated with proton-proton collision data collected in 2012 at the Large Hadron Collider at a centre-of-mass energy of 8 TeV. It is primarily evaluated using events containing a pair of muons from the decay of [Formula: see text] bosons. The efficiency of the single-muon trigger is measured for muons with transverse momentum [Formula: see text] GeV, with a statistical uncertainty of less than 0.01 % and a systematic uncertainty of 0.6 %. The [Formula: see text] range for efficiency determination is extended by using muons from decays of [Formula: see text] mesons, [Formula: see text] bosons, and top quarks. The muon trigger shows highly uniform and stable performance. The performance is compared to the prediction of a detailed simulation.</t>
  </si>
  <si>
    <t>Vitamin E intake, α-tocopherol levels and pulmonary function in children and adolescents with cystic fibrosis.</t>
  </si>
  <si>
    <t>https://pubmed.ncbi.nlm.nih.gov/25762411</t>
  </si>
  <si>
    <t>Pancreatic insufficiency cystic fibrosis (CF) patients receive vitamin E supplementation according to CF-specific recommendations in order to prevent deficiencies. It has been suggested that higher serum α-tocopherol levels could have protective effects on pulmonary function (PF) in patients with CF. Whether current recommendations are indeed optimal for preventing deficiency and whether vitamin E has therapeutic benefits are subjects of debate. Therefore, we studied vitamin E intake as well as the long-term effects of vitamin E intake, the coefficient of fat absorption (CFA) and IgG on α-tocopherol levels. We also examined the long-term effects of serum α-tocopherol and serum IgG on forced expiratory volume in 1 s expressed as percentage of predicted (FEV₁% pred.) in paediatric CF patients during a 7-year follow-up period. We found that CF patients failed to meet the CF-specific vitamin E recommendations, but serum α-tocopherol below the 2·5th percentile was found in only twenty-three of the 1022 measurements (2 %). Furthermore, no clear effect of vitamin E intake or the CFA on serum α-tocopherol was found (both P≥ 0·103). FEV₁% pred. was longitudinally inversely associated with age (P&lt; 0·001) and serum IgG (P= 0·003), but it was not related to serum α-tocopherol levels. We concluded that in the present large sample of children and adolescents with CF, vitamin E intake was lower than recommended, but serum α-tocopherol deficiency was rare. We found no evidence that higher serum α-tocopherol levels had protective effects on PF. Adjustment of the recommendations to the real-life intake of these patients may be considered.</t>
  </si>
  <si>
    <t>Consistency between stated and revealed preferences: a discrete choice experiment and a behavioural experiment on vaccination behaviour compared.</t>
  </si>
  <si>
    <t>Lambooij, Mattijs S; Harmsen, Irene A; Veldwijk, Jorien; de Melker, Hester; Mollema, Liesbeth; van Weert, Yolanda W M; de Wit, G Ardine</t>
  </si>
  <si>
    <t>https://pubmed.ncbi.nlm.nih.gov/25887890</t>
  </si>
  <si>
    <t>Discrete Choice Experiments (DCEs) are increasingly used in studies in healthcare research but there is still little empirical evidence for the predictive value of these hypothetical situations in similar real life circumstances. The aim of this paper is to compare the stated preferences in a DCE and the accompanying questionnaire with the revealed preferences of young parents who have to decide whether to vaccinate their new born child against hepatitis B. A DCE asking parents to decide in which scenario they would be more inclined to vaccinate their child against hepatitis B. The stated preference was estimated by comparing the per respondent utility of the most realistic scenario in which parents could choose to vaccinate their child against hepatitis B, with the utility of the opt-out, based on the mixed logit model from the DCE. This stated preference was compared with the actual behaviour of the parents concerning the vaccination of their new born child. In 80% of the respondents the stated and revealed preferences corresponded. The positive predictive value is 85% but the negative predictive value is 26%. The predictive value of the DCE in this study is satisfactory for predicting the positive choice but not for predicting the negative choice. However, the behaviour in this study is exceptional in the sense that most people chose to vaccinate. Future studies should focus on behaviours with a larger variance in the population.</t>
  </si>
  <si>
    <t>The role of early pharmacotherapy in the development of posttraumatic stress disorder symptoms after traumatic injury: an observational cohort study in consecutive patients.</t>
  </si>
  <si>
    <t>Mouthaan, Joanne; Sijbrandij, Marit; Reitsma, Johannes B; Luitse, Jan S K; Goslings, J Carel; Gersons, Berthold P R; Olff, Miranda</t>
  </si>
  <si>
    <t>general hospital psychiatry</t>
  </si>
  <si>
    <t>https://pubmed.ncbi.nlm.nih.gov/25805128</t>
  </si>
  <si>
    <t>Pharmacological intervention during traumatic memory consolidation has been suggested to prevent posttraumatic stress disorder (PTSD). The aim of this study was to examine the association between prescription of early pharmacotherapy and the risk of developing PTSD symptoms following traumatic injury. The use of opiate analgesics, beta-adrenergic blockers, corticosteroids and benzodiazepines within 48 h postinjury was documented based on hospital charts for 629 Level 1 trauma center patients. PTSD symptoms were assessed using structured clinical interviews. Primary outcome was 6-week PTSD symptoms. Secondary outcomes were PTSD diagnoses at 6 weeks and during 1 year posttrauma. Linear regression analyses showed that opiate administration within 48 h was negatively associated with PTSD symptoms at 6 weeks (β=-0.14, P=.009) after controlling for demographic and injury-related characteristics and concurrent pharmacotherapy. Fewer patients with opiates had a PTSD diagnosis at 6 weeks (P=.047) and during 1 year posttrauma (P=.013) than patients with none of the specified pharmacotherapies. Low prescription frequency of beta-blockers (3.8%), corticosteroids (2.2%) and benzodiazepines (7.8%) precluded further examination of their role in the development of PTSD symptoms because of limited statistical power. This study suggests a possible beneficial influence of opiate administration within 48 h posttrauma on the development of PTSD symptoms. Future studies may evaluate the effectiveness of inhospital opiate analgesics compared to placebo in preventing PTSD and may focus on the mechanisms underlying the effect of opiates in preventing PTSD.</t>
  </si>
  <si>
    <t>Prognosis of screen-detected heart failure with reduced and preserved ejection fraction in patients with type 2 diabetes.</t>
  </si>
  <si>
    <t>Boonman-de Winter, Leandra J M; Hoes, Arno W; Cramer, Maarten J; de Jongh, Gytha; Janssen, Ramon R T; Rutten, Frans H</t>
  </si>
  <si>
    <t>https://pubmed.ncbi.nlm.nih.gov/25796002</t>
  </si>
  <si>
    <t>Chlamydia screening is not cost-effective at low participation rates: evidence from a repeated register-based implementation study in The Netherlands.</t>
  </si>
  <si>
    <t>de Wit, G Ardine; Over, Eelco A B; Schmid, Boris V; van Bergen, Jan E A M; van den Broek, Ingrid V F; van der Sande, Marianne A B; Welte, Robert; Op de Coul, Eline L M; Kretzschmar, Mirjam E</t>
  </si>
  <si>
    <t>https://pubmed.ncbi.nlm.nih.gov/25759475</t>
  </si>
  <si>
    <t>In three pilot regions of The Netherlands, all 16-29 year olds were invited to participate in three annual rounds of Chlamydia screening. The aim of the present study is to evaluate the cost-effectiveness of repeated Chlamydia screening, based on empirical data. A mathematical model was employed to estimate the influence of repeated screening on prevalence and incidence of Chlamydial infection. A model simulating the natural history of Chlamydia was combined with cost and utility data to estimate the number of major outcomes and quality-adjusted life-years (QALYs) associated with Chlamydia. Six screening scenarios (16-29 years annually; 16-24 years annually; women only; biennial screening; biennial screening women only; screening every five years) were compared with no screening in two sexual networks, representing both lower ('national network') and higher ('urban network') baseline prevalence. Incremental cost-effectiveness ratios (ICERs) for the different screening scenarios were estimated. Uncertainty and sensitivity analyses were performed. In all scenarios and networks, cost per major outcome averted are above €5000. Cost per QALY are at least €50,000. The default scenario as piloted in the Netherlands was least cost-effective, with ICERs of €232,000 in the national and €145,000 in the urban sexual network. Results were robust in sensitivity analyses. It is unlikely that repeated rounds of Chlamydia screening will be cost-effective. Only at high levels of willingness to pay for a QALY (&gt;€50,000) screening may be more cost-effective than no screening.</t>
  </si>
  <si>
    <t>PHASES Score for Prediction of Intracranial Aneurysm Growth.</t>
  </si>
  <si>
    <t>Backes, Daan; Vergouwen, Mervyn D I; Tiel Groenestege, Andreas T; Bor, A Stijntje E; Velthuis, Birgitta K; Greving, Jacoba P; Algra, Ale; Wermer, Marieke J H; van Walderveen, Marianne A A; terBrugge, Karel G; Agid, Ronit; Rinkel, Gabriel J E</t>
  </si>
  <si>
    <t>https://pubmed.ncbi.nlm.nih.gov/25757900</t>
  </si>
  <si>
    <t>Growth of an intracranial aneurysm occurs in around 10% of patients at 2-year follow-up imaging and may be associated with aneurysm rupture. We investigated whether PHASES, a score providing absolute risks of aneurysm rupture based on 6 easily retrievable risk factors, also predicts aneurysm growth. In a multicenter cohort of patients with unruptured intracranial aneurysms and follow-up imaging with computed tomography angiography or magnetic resonance angiography, we performed univariable and multivariable Cox regression analyses for the predictors of the PHASES score at baseline, with aneurysm growth as outcome. We calculated hazard ratios and corresponding 95% confidence intervals (CI), with the PHASES score as continuous variable and after division into quartiles. We included 557 patients with 734 unruptured aneurysms. Eighty-nine (12%) aneurysms in 87 patients showed growth during a median follow-up of 2.7 patient-years (range 0.5-10.8). Per point increase in PHASES score, hazard ratio for aneurysm growth was 1.32 (95% CI, 1.22-1.43). With the lowest quartile of the PHASES score (0-1) as reference, hazard ratios were for the second (PHASES 2-3) 1.07 (95% CI, 0.49-2.32), the third (PHASES 4) 2.29 (95% CI, 1.05-4.95), and the fourth quartile (PHASES 5-14) 2.85 (95% CI, 1.43-5.67). Higher PHASES scores were associated with an increased risk of aneurysm growth. Because higher PHASES scores also predict aneurysm rupture, our findings suggest that aneurysm growth can be used as surrogate outcome measure of aneurysm rupture in follow-up studies on risk prediction or interventions aimed to reduce the risk of rupture.</t>
  </si>
  <si>
    <t>Genome of The Netherlands population-specific imputations identify an ABCA6 variant associated with cholesterol levels.</t>
  </si>
  <si>
    <t>van Leeuwen, Elisabeth M; Karssen, Lennart C; Deelen, Joris; Isaacs, Aaron; Medina-Gomez, Carolina; Mbarek, Hamdi; Kanterakis, Alexandros; Trompet, Stella; Postmus, Iris; Verweij, Niek; van Enckevort, David J; Huffman, Jennifer E; White, Charles C; Feitosa, Mary F; Bartz, Traci M; Manichaikul, Ani; Joshi, Peter K; Peloso, Gina M; Deelen, Patrick; van Dijk, Freerk; Willemsen, Gonneke; de Geus, Eco J; Milaneschi, Yuri; Penninx, Brenda W J H; Francioli, Laurent C; Menelaou, Androniki; Pulit, Sara L; Rivadeneira, Fernando; Hofman, Albert; Oostra, Ben A; Franco, Oscar H; Mateo Leach, Irene; Beekman, Marian; de Craen, Anton J M; Uh, Hae-Won; Trochet, Holly; Hocking, Lynne J; Porteous, David J; Sattar, Naveed; Packard, Chris J; Buckley, Brendan M; Brody, Jennifer A; Bis, Joshua C; Rotter, Jerome I; Mychaleckyj, Josyf C; Campbell, Harry; Duan, Qing; Lange, Leslie A; Wilson, James F; Hayward, Caroline; Polasek, Ozren; Vitart, Veronique; Rudan, Igor; Wright, Alan F; Rich, Stephen S; Psaty, Bruce</t>
  </si>
  <si>
    <t>https://pubmed.ncbi.nlm.nih.gov/25751400</t>
  </si>
  <si>
    <t>Variants associated with blood lipid levels may be population-specific. To identify low-frequency variants associated with this phenotype, population-specific reference panels may be used. Here we impute nine large Dutch biobanks (~35,000 samples) with the population-specific reference panel created by the Genome of The Netherlands Project and perform association testing with blood lipid levels. We report the discovery of five novel associations at four loci (P value &lt;6.61 × 10(-4)), including a rare missense variant in ABCA6 (rs77542162, p.Cys1359Arg, frequency 0.034), which is predicted to be deleterious. The frequency of this ABCA6 variant is 3.65-fold increased in the Dutch and its effect (βLDL-C=0.135, βTC=0.140) is estimated to be very similar to those observed for single variants in well-known lipid genes, such as LDLR.</t>
  </si>
  <si>
    <t>Genome-wide association analysis of more than 120,000 individuals identifies 15 new susceptibility loci for breast cancer.</t>
  </si>
  <si>
    <t>Michailidou, Kyriaki; Beesley, Jonathan; Lindstrom, Sara; Canisius, Sander; Dennis, Joe; Lush, Michael J; Maranian, Mel J; Bolla, Manjeet K; Wang, Qin; Shah, Mitul; Perkins, Barbara J; Czene, Kamila; Eriksson, Mikael; Darabi, Hatef; Brand, Judith S; Bojesen, Stig E; Nordestgaard, Børge G; Flyger, Henrik; Nielsen, Sune F; Rahman, Nazneen; Turnbull, Clare; ,; Fletcher, Olivia; Peto, Julian; Gibson, Lorna; dos-Santos-Silva, Isabel; Chang-Claude, Jenny; Flesch-Janys, Dieter; Rudolph, Anja; Eilber, Ursula; Behrens, Sabine; Nevanlinna, Heli; Muranen, Taru A; Aittomäki, Kristiina; Blomqvist, Carl; Khan, Sofia; Aaltonen, Kirsimari; Ahsan, Habibul; Kibriya, Muhammad G; Whittemore, Alice S; John, Esther M; Malone, Kathleen E; Gammon, Marilie D; Santella, Regina M; Ursin, Giske; Makalic, Enes; Schmidt, Daniel F; Casey, Graham; Hunter, David J; Gapstur, Susan M; Gaudet, Mia M; Diver, W Ryan; Haiman, Christopher A; Schumacher, Fredrick; Henderson, Brian E; Le Marchand, Loic; Berg, Christine D; Chan</t>
  </si>
  <si>
    <t>https://pubmed.ncbi.nlm.nih.gov/25751625</t>
  </si>
  <si>
    <t>Genome-wide association studies (GWAS) and large-scale replication studies have identified common variants in 79 loci associated with breast cancer, explaining ∼14% of the familial risk of the disease. To identify new susceptibility loci, we performed a meta-analysis of 11 GWAS, comprising 15,748 breast cancer cases and 18,084 controls together with 46,785 cases and 42,892 controls from 41 studies genotyped on a 211,155-marker custom array (iCOGS). Analyses were restricted to women of European ancestry. We generated genotypes for more than 11 million SNPs by imputation using the 1000 Genomes Project reference panel, and we identified 15 new loci associated with breast cancer at P &lt; 5 × 10(-8). Combining association analysis with ChIP-seq chromatin binding data in mammary cell lines and ChIA-PET chromatin interaction data from ENCODE, we identified likely target genes in two regions: SETBP1 at 18q12.3 and RNF115 and PDZK1 at 1q21.1. One association appears to be driven by an amino acid substitution encoded in EXO1.</t>
  </si>
  <si>
    <t>Additional diagnostic value of computed tomography perfusion for detection of acute ischemic stroke in the posterior circulation.</t>
  </si>
  <si>
    <t>van der Hoeven, Erik J R J; Dankbaar, Jan Willem; Algra, Ale; Vos, Jan Albert; Niesten, Joris M; van Seeters, Tom; van der Schaaf, Irene C; Schonewille, Wouter J; Kappelle, L Jaap; Velthuis, Birgitta K; ,</t>
  </si>
  <si>
    <t>https://pubmed.ncbi.nlm.nih.gov/25744516</t>
  </si>
  <si>
    <t>Detection of acute infarction in the posterior circulation is challenging. We aimed to determine the additional value of tomograpy (CT) perfusion to noncontrast CT and CT angiography source images for infarct detection and localization in patients suspected of acute ischemic posterior circulation stroke. Patients with suspected acute ischemic posterior circulation stroke were selected from the Dutch acute Stroke Trial (DUST) study. Patients underwent noncontrast CT, CT angiography, and CT perfusion within 9 hours after stroke onset and CT or MRI on follow-up. Images were evaluated for signs and location of ischemia. Discrimination of 3 hierarchical logistic regression models (noncontrast CT [A], added CT angiography source images [B], and CT perfusion [C]) was compared with C-statistics. Of 88 patients, 76 (86%) had a clinical diagnosis of ischemic stroke on discharge and 42 patients (48%) showed a posterior circulation infarct on follow-up imaging. Model C (area under the curve from the receiver operating characteristic curve=0.86; 95% confidence interval, 0.77-0.94) predicted an infarct in the posterior circulation territory better than models A (area under the curve from the receiver operating characteristic curve=0.64; 95% confidence interval, 0.53-0.76; P(C versus A)&lt;0.001) and B (area under the curve from the receiver operating characteristic curve=0.68; 95% confidence interval, 0.56-0.79; P(C versus B)&lt;0.001). CT perfusion has significant additional diagnostic values to noncontrast CT and CT angiography source images for detecting ischemic changes in patients suspected of acute posterior circulation stroke.</t>
  </si>
  <si>
    <t>Risk of heart failure- and cardiac death gradually increases with more right ventricular pacing.</t>
  </si>
  <si>
    <t>Udo, Erik O; van Hemel, Norbert M; Zuithoff, Nicolaas P A; Doevendans, Pieter A; Moons, Karel G M</t>
  </si>
  <si>
    <t>https://pubmed.ncbi.nlm.nih.gov/25804349</t>
  </si>
  <si>
    <t>Right ventricular pacing (RVP) is associated with an increased risk of heart failure (HF) events. However, the extent and shape of this association is hardly assessed. We quantified whether the undesired effects of RVP are confirmed in an unselected population of first bradycardia pacemaker recipients. Furthermore, we studied the shape of the association between RVP and HF death and cardiac death. Cumulative percentage RVP (%RVP) was measured in 1395 patients. Using multivariable Cox regression analysis with %RVP as time-dependant co-variate we evaluated the association between %RVP and HF- and cardiac death, both unadjusted and adjusted for confounders, including age, gender, pacemaker-indication, cardiac disease, HF at baseline, diabetes, hypertension, atrio-ventricular synchrony, usage of beta-blocking drugs, anti-arrhythmic medication, HF medication, and prior atrial fibrillation/flutter. Non-linear associations were evaluated with restricted cubic splines. During a mean follow-up of 5.8 (SD 1.1) years 104 HF deaths and 144 cardiac deaths were observed. %RVP was significantly associated with HF- and cardiac death in both unadjusted (p&lt;0.001 and p&lt;0.001, respectively) and adjusted analyses (p=0.046 and p=0.009, respectively). Our results show a linear association between %RVP and HF- and cardiac death. We observed a constant increase of 8% risk of HF death per 10% increase in RVP. A model incorporating various non-linear transformations of %RVP using restrictive cubic splines showed no improved model fit over linear associations. This long-term, prospective study observed a significant, though linear association between %RVP and risk of HF death and/or cardiac death in unselected bradycardia pacing recipients.</t>
  </si>
  <si>
    <t>Natriuretic peptide tests in suspected acute heart failure.</t>
  </si>
  <si>
    <t>Rutten, Frans H; Hoes, Arno W</t>
  </si>
  <si>
    <t>https://pubmed.ncbi.nlm.nih.gov/25740798</t>
  </si>
  <si>
    <t>Stenting versus endarterectomy for restenosis following prior ipsilateral carotid endarterectomy: an individual patient data meta-analysis.</t>
  </si>
  <si>
    <t>Fokkema, Margriet; Vrijenhoek, Joyce E P; Den Ruijter, Hester M; Groenwold, Rolf H H; Schermerhorn, Marc L; Bots, Michiel L; Pasterkamp, Gerard; Moll, Frans L; De Borst, Gert Jan; ,</t>
  </si>
  <si>
    <t>https://pubmed.ncbi.nlm.nih.gov/24979605</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</si>
  <si>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</si>
  <si>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Balancing research interests and patient interests: a qualitative study into the intertwinement of care and research in paediatric oncology.</t>
  </si>
  <si>
    <t>Dekking, Sara A S; van der Graaf, Rieke; Kars, Marijke C; Beishuizen, Auke; de Vries, Martine C; van Delden, Johannes J M</t>
  </si>
  <si>
    <t>https://pubmed.ncbi.nlm.nih.gov/25728244</t>
  </si>
  <si>
    <t>Traditionally, in ethical guidelines and in research ethics literature, care and research are clearly separated based on their different objectives. In contrast, in paediatric oncology, research and care are closely combined. Currently, it is unknown how relevant actors in paediatric oncology perceive this combination of research and care. We conducted a qualitative study into the experiences of those involved in Dutch paediatric oncology with the intertwinement of research and care and the dual role of paediatric oncologists as researchers and treating physicians. A qualitative study approach, using two focus groups and 19 semi-structured, in-depth interviews with paediatric oncologists, research coordinators, parents of children with cancer, and adolescents with cancer. Four themes characterize how actors experience the intertwinement of research and care in paediatric oncology. First, research is considered of major importance, and paediatric oncology professionals convey this message to patients and their parents. Second, there is ambiguity about categorization of studies into cancer therapy as either research or treatment. Third, role conflicts appear within the work of the paediatric oncologists. Finally, the various benefits of combining treatment with research are emphasized. Research is regarded as a fundamental and indispensable characteristic of paediatric oncology practice. Paediatric oncology professionals, parents, and patients have a very positive outlook on combining research and care, but they may not be sufficiently critical with respect to potential conflicts. Increased reflection on how to optimally combine research and care could serve as an important protection of the interests of children with cancer and their parents.</t>
  </si>
  <si>
    <t>Postmortem disclosure of genetic information to family members: active or passive?</t>
  </si>
  <si>
    <t>Boers, Sarah N; van Delden, Johannes J M; Knoers, Nine V; Bredenoord, Annelien L</t>
  </si>
  <si>
    <t>https://pubmed.ncbi.nlm.nih.gov/25743261</t>
  </si>
  <si>
    <t>Advances in next-generation DNA sequencing (NGS) now make it possible, and affordable, to sequence the entire genome of an individual. Routine clinical application is on the horizon. There is a consensus that some subsets of genetic information should be disclosed to patients, but disclosure to their relatives is less consensual. This issue becomes especially salient after a patient's death, when permission can no longer be sought. There has however been little debate on postmortem disclosure. We identify and explain the arguments in favor of and against disclosure of genetic information to the relatives of a deceased patient. We conclude that there are valid reasons to communicate some subsets of genetic information to family members after death, and we propose a passive postmortem disclosure policy.</t>
  </si>
  <si>
    <t>Professional opinion on oral cleft during pregnancy: a comparison between Israel and The Netherlands.</t>
  </si>
  <si>
    <t>Maarse, Wies; Boonacker, Chantal W B; Lapid, Oren; Swanenburg De Veye, Henriette F N; Weiner, Zeev; Kon, Moshe; van Delden, Johannes J M; Mink van der Molen, Aebele B</t>
  </si>
  <si>
    <t>https://pubmed.ncbi.nlm.nih.gov/25641702</t>
  </si>
  <si>
    <t>The aim of this study was to assess the opinion of obstetric care providers who perform prenatal ultrasounds to screen for anomalies and who advise women about their options, including termination of pregnancy, when an oral cleft is detected. We compared providers' opinions about pregnancy termination for isolated oral cleft in The Netherlands, where the number of terminations is low, and in Israel, where the number is high. Online questionnaires were used. The questions assessed the providers' views regarding the estimated burden of treatment, the functioning ability, and the level of happiness of children with an oral cleft and their parents. Additionally, we assessed providers' opinions on pregnancy termination for isolated oral cleft. In The Netherlands, more professionals considered oral cleft a disability (rate differences 17.8%, 95% confidence interval: 0.5-33.1%) than in Israel. In the Netherlands, 10.6% of respondents (compared with 11.1% in Israel) thought that an isolated cleft was a reason for terminations of pregnancy (TOP) (rate differences 0.6%, 95% confidence interval: -12% to 10.9%). Prenatal care providers in The Netherlands and Israel do not differ in their opinions about the severity of oral cleft and the acceptability of TOP for an isolated oral cleft. This study shows that prenatal care providers' attitudes do therefore not explain the dramatic difference between these countries in the number of TOP for isolated oral cleft.</t>
  </si>
  <si>
    <t>Cumulative incidence of graft infection after primary prosthetic aortic reconstruction in the endovascular era.</t>
  </si>
  <si>
    <t>Berger, P; Vaartjes, I; Moll, F L; De Borst, G J; Blankensteijn, J D; Bots, M L</t>
  </si>
  <si>
    <t>https://pubmed.ncbi.nlm.nih.gov/25736515</t>
  </si>
  <si>
    <t>The introduction of endovascular techniques has had a major impact on the case mix of patients that undergo open aortic reconstruction. Hypothetically, this may also have increased the incidence of aortic graft infection (AGI). The aim of this study was to report on the short and mid-term incidence of AGI after primary open prosthetic aortic reconstruction in the endovascular era. From 2000 to 2010, all 514 patients in a tertiary referral university hospital, undergoing primary open prosthetic aortic reconstruction for aneurysmal or occlusive aortic disease with at least one aortic anastomosis were included. Data were obtained by retrospectively analyzing the medical records, by contacting patients or their general practitioner by telephone, and by merging the dataset with the national Cause of Death Register. AGI was defined as proven by cultures or clinically in combination with positive imaging results. The 30 day, 1 year, and 2 year incidence rates were computed using life table analysis and expressed as percentages with 95% confidence intervals (CI). AGI was diagnosed in 23 of the 514 included patients. 56% of the patients underwent elective surgery and 86% underwent surgery for an abdominal aortic aneurysm. The 30 day incidence was 1.6% (95% CI 0.4-2.8%), 1 year incidence was 3.6% (95% CI 1.7-5.5%), and 2 year incidence for AGI was 4.5% (95% CI 2.4-6.6%). The total number of person years (1058) yielded an AGI rate of 2.2 per 100 person years. The 2 year cumulative incidence of AGI following primary, open aortic procedures with at least one aortic anastomosis is considerable, at around 1 in 20.</t>
  </si>
  <si>
    <t>Relation between stroke severity, patient characteristics and CT-perfusion derived blood-brain barrier permeability measurements in acute ischemic stroke.</t>
  </si>
  <si>
    <t>Horsch, Alexander D; Dankbaar, Jan Willem; van Seeters, Tom; Niesten, Joris M; Luitse, Merel J A; Vos, Pieter C; van der Schaaf, Irene C; Biessels, Geert-Jan; van der Graaf, Yolanda; Kappelle, L Jaap; Mali, Willem P Th M; Velthuis, Birgitta K</t>
  </si>
  <si>
    <t>clinical neuroradiology</t>
  </si>
  <si>
    <t>https://pubmed.ncbi.nlm.nih.gov/25722019</t>
  </si>
  <si>
    <t>Increased blood-brain barrier permeability (BBBP) can result from ischemia. In this study the relation between stroke severity, patient characteristics and admission BBBP values measured with CT-perfusion (CTP) was investigated in acute ischemic stroke patients. From prospective data of the Dutch Acute Stroke Study 149 patients with a middle cerebral artery stroke and extended CTP were selected. BBBP values were measured in the penumbra and infarct core as defined by CTP thresholds, and in the contra-lateral hemisphere. The relation between stroke (severity) variables and patient characteristics, including early CT signs, dense vessel sign (DVS), time to scan and National Institute of Health Stroke Score (NIHSS), and BBBP parameters in penumbra and infarct core was quantified with regression analysis. Early CT signs were related to higher BBBP values in the infarct core (B = 0.710), higher ipsi- to contra-lateral BBBP ratios (B = 0.326) and higher extraction ratios in the infarct core (B = 16.938). Females were found to have lower BBBP values in penumbra and infarct core (B = - 0.446 and - 0.776 respectively) and lower extraction ratios in the infarct core (B = - 10.463). If a DVS was present the ipsi- to contra-lateral BBBP ratios were lower (B = - 0.304). There was no relation between NIHSS or time to scan and BBBP values. Early CT signs are related to higher BBBP values in the infarct core, suggesting that only severe ischemic damage alters BBBP within the first hours after symptom onset.</t>
  </si>
  <si>
    <t>The added diagnostic value of five different C-reactive protein point-of-care test devices in detecting pneumonia in primary care: A nested case-control study.</t>
  </si>
  <si>
    <t>Minnaard, Margaretha C; van de Pol, Alma C; de Groot, Joris A H; De Wit, Niek J; Hopstaken, Rogier M; van Delft, Sanne; Goossens, Herman; Ieven, Margareta; Lammens, Christine; Little, Paul; Butler, Chris C; Broekhuizen, Berna D L; Verheij, Theo J M</t>
  </si>
  <si>
    <t>https://pubmed.ncbi.nlm.nih.gov/25723728</t>
  </si>
  <si>
    <t>The results obtained from various point-of-care (POC) test devices for estimating C-reactive protein (CRP) levels in a laboratory setting differ when compared to a laboratory reference test. We aimed to determine whether such differences meaningfully affect the accuracy and added diagnostic value in predicting radiographic pneumonia in adults presenting with acute cough in primary care. A nested case control study of adult patients presenting with acute cough in 12 different European countries (the Genomics to combat Resistance against Antibiotics in Community-acquired LRTI in Europe [GRACE] Network). Venous blood samples from 100 patients with and 100 patients without pneumonia were tested with five different POC CRP tests and a laboratory analyzer. Single test accuracy values and the added value of CRP to symptoms and signs were calculated. Single test accuracy values showed similar results for all five POC CRP tests and the laboratory analyzer. The area under the curve of the different POC CRP tests and the laboratory analyzer (range 0.79-0.80) were all comparable and higher than the clinical model without CRP (0.70). Multivariable odds ratios were the same (1.2) for all CRP tests. Five POC CRP test devices and the laboratory analyzer performed with similar accuracy in detecting pneumonia both as single test, and when used in addition to clinical findings. Variability in results obtained from standard CRP laboratory and POC test devices do not translate into clinically relevant differences when used for prediction of pneumonia in patients with acute cough in primary care.</t>
  </si>
  <si>
    <t>Shared decision making in type 2 diabetes with a support decision tool that takes into account clinical factors, the intensity of treatment and patient preferences: design of a cluster randomised (OPTIMAL) trial.</t>
  </si>
  <si>
    <t>den Ouden, Henk; Vos, Rimke C; Reidsma, Carla; Rutten, Guy E H M</t>
  </si>
  <si>
    <t>https://pubmed.ncbi.nlm.nih.gov/25887759</t>
  </si>
  <si>
    <t>No more than 10-15% of type 2 diabetes mellitus (T2DM) patients achieve all treatment goals regarding glycaemic control, lipids and blood pressure. Shared decision making (SDM) should increase that percentage; however, not all support decision tools are appropriate. Because the ADDITION-Europe study demonstrated two (almost) equally effective treatments but with slightly different intensities, it may be a good starting point to discuss with the patients their diabetes treatment, taking into account both the intensity of treatment, clinical factors and patients' preferences. We aim to evaluate whether such an approach increases the proportion of patients that achieve all three treatment goals. In a cluster-randomised trial including 40 general practices, that participated until 2009 in the ADDITION Study, 150 T2DM patients 60-80 years, known with T2DM for 8-15 years, will be included. Practices are randomised a second time, i.e. intervention practices in the ADDITION study could be control practices in the current study and vice versa. For the GPs from the intervention group a 2-hour training in SDM was developed as well as a decision support tool to be used during the consultation. GPs plan the first visit with the patients to decide on the intensity of the treatment, personalised targets and the priorities of treatment. The control group will continue with the treatment they were allocated to in the ADDITION study. 24 months. The primary outcome is the proportion of patients who achieve all three treatment goals. Secondary outcomes are the proportion of patients who achieve five treatment goals (HbA1c, blood pressure, total cholesterol, body weight, not smoking), evaluation of the SDM process (SDM-Q9 and CPS), satisfaction with the treatment (DTSQ), wellbeing and quality of life (W-BQ12, ADD QoL-19), health status (SF-36, EQ-5D) and coping (DCMQ). The proportions of achieved treatment goals will be compared between both groups. For the secondary outcomes mixed models will be used. The Medical Research Ethics Committee of the University Medical Centre Utrecht has approved the study protocol (Protocol number: 11-153). This trial will provide evidence whether an intervention with a multi-faceted decision support tool increases the proportion of achieved personalised goals in type 2 diabetes patients. NCT02285881, November 4, 2014.</t>
  </si>
  <si>
    <t>Reproductive and hormone-related risk factors for epithelial ovarian cancer by histologic pathways, invasiveness and histologic subtypes: Results from the EPIC cohort.</t>
  </si>
  <si>
    <t>Fortner, Renée T; Ose, Jennifer; Merritt, Melissa A; Schock, Helena; Tjønneland, Anne; Hansen, Louise; Overvad, Kim; Dossus, Laure; Clavel-Chapelon, Françoise; Baglietto, Laura; Boeing, Heiner; Trichopoulou, Antonia; Benetou, Vassiliki; Lagiou, Pagona; Agnoli, Claudia; Mattiello, Amalia; Masala, Giovanna; Tumino, Rosario; Sacerdote, Carlotta; Bueno-de-Mesquita, H B As; Onland-Moret, N Charlotte; Peeters, Petra H; Weiderpass, Elisabete; Torhild Gram, Inger; Duell, Eric J; Larrañaga, Nerea; Ardanaz, Eva; Sánchez, María-José; Chirlaque, M-D; Brändstedt, Jenny; Idahl, Annika; Lundin, Eva; Khaw, Kay-Tee; Wareham, Nick; Travis, Ruth C; Rinaldi, Sabina; Romieu, Isabelle; Gunter, Marc J; Riboli, Elio; Kaaks, Rudolf</t>
  </si>
  <si>
    <t>https://pubmed.ncbi.nlm.nih.gov/25656413</t>
  </si>
  <si>
    <t>Whether risk factors for epithelial ovarian cancer (EOC) differ by subtype (i.e., dualistic pathway of carcinogenesis, histologic subtype) is not well understood; however, data to date suggest risk factor differences. We examined associations between reproductive and hormone-related risk factors for EOC by subtype in the European Prospective Investigation into Cancer and Nutrition (EPIC) cohort. Among 334,126 women with data on reproductive and hormone-related risk factors (follow-up: 1992-2010), 1,245 incident cases of EOC with known histology and invasiveness were identified. Data on tumor histology, grade, and invasiveness, were available from cancer registries and pathology record review. We observed significant heterogeneity by the dualistic model (i.e., type I [low grade serous or endometrioid, mucinous, clear cell, malignant Brenner] vs. type II [high grade serous or endometrioid]) for full-term pregnancy (phet  = 0.02). Full-term pregnancy was more strongly inversely associated with type I than type II tumors (ever vs. never: type I: relative risk (RR) 0.47 [95% confidence interval (CI): 0.33-0.69]; type II, RR: 0.81 [0.61-1.06]). We observed no significant differences in risk in analyses by major histologic subtypes of invasive EOC (serous, mucinous, endometrioid, clear cell). None of the investigated factors were associated with borderline tumors. Established protective factors, including duration of oral contraceptive use and full term pregnancy, were consistently inversely associated with risk across histologic subtypes (e.g., ever full-term pregnancy: serous, RR: 0.73 [0.58-0.92]; mucinous, RR: 0.53 [0.30-0.95]; endometrioid, RR: 0.65 [0.40-1.06]; clear cell, RR: 0.34 [0.18-0.64]; phet  = 0.16). These results suggest limited heterogeneity between reproductive and hormone-related risk factors and EOC subtypes.</t>
  </si>
  <si>
    <t>Search for Higgs boson pair production in the γγbb[over ¯] final state using pp collision data at sqrt[s]=8  TeV from the ATLAS detector.</t>
  </si>
  <si>
    <t>https://pubmed.ncbi.nlm.nih.gov/25768755</t>
  </si>
  <si>
    <t>Searches are performed for resonant and nonresonant Higgs boson pair production in the γγbb[over ¯] final state using 20  fb^{-1} of proton-proton collisions at a center-of-mass energy of 8 TeV recorded with the ATLAS detector at the CERN Large Hadron Collider. A 95% confidence level upper limit on the cross section times branching ratio of nonresonant production is set at 2.2 pb, while the expected limit is 1.0 pb. The difference derives from a modest excess of events, corresponding to 2.4 standard deviations from the background-only hypothesis. The limit observed in the search for a narrow X→hh resonance ranges between 0.7 and 3.5 pb as a function of the resonance mass.</t>
  </si>
  <si>
    <t>Search for dark matter in events with heavy quarks and missing transverse momentum in [Formula: see text] collisions with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</si>
  <si>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t>
  </si>
  <si>
    <t>https://pubmed.ncbi.nlm.nih.gov/25838796</t>
  </si>
  <si>
    <t>This article reports on a search for dark matter pair production in association with bottom or top quarks in [Formula: see text] of [Formula: see text] collisions collected at [Formula: see text] TeV by the ATLAS detector at the LHC. Events with large missing transverse momentum are selected when produced in association with high-momentum jets of which one or more are identified as jets containing [Formula: see text]-quarks. Final states with top quarks are selected by requiring a high jet multiplicity and in some cases a single lepton. The data are found to be consistent with the Standard Model expectations and limits are set on the mass scale of effective field theories that describe scalar and tensor interactions between dark matter and Standard Model particles. Limits on the dark-matter-nucleon cross-section for spin-independent and spin-dependent interactions are also provided. These limits are particularly strong for low-mass dark matter. Using a simplified model, constraints are set on the mass of dark matter and of a coloured mediator suitable to explain a possible signal of annihilating dark matter.</t>
  </si>
  <si>
    <t>Measurements of the Nuclear Modification Factor for Jets in Pb+Pb Collisions at √(s)NN]=2.76  TeV with the ATLAS detector.</t>
  </si>
  <si>
    <t>https://pubmed.ncbi.nlm.nih.gov/25763955</t>
  </si>
  <si>
    <t>Measurements of inclusive jet production are performed in pp and Pb+Pb collisions at √(s)NN=2.76  TeV with the ATLAS detector at the LHC, corresponding to integrated luminosities of 4.0 and 0.14  nb(-1), respectively. The jets are identified with the anti-k(t) algorithm with R=0.4, and the spectra are measured over the kinematic range of jet transverse momentum 32&lt;p(T)&lt;500  GeV and absolute rapidity |y|&lt;2.1 and as a function of collision centrality. The nuclear modification factor R(AA) is evaluated, and jets are found to be suppressed by approximately a factor of 2 in central collisions compared to pp collisions. The R(AA) shows a slight increase with p(T) and no significant variation with rapidity.</t>
  </si>
  <si>
    <t>European Primary Care Cardiovascular Society (EPCCS) consensus guidance on stroke prevention in atrial fibrillation (SPAF) in primary care.</t>
  </si>
  <si>
    <t>Hobbs, Fd Richard; Taylor, Clare J; Jan Geersing, Geert; Rutten, Frans H; Brouwer, Judith R; ,</t>
  </si>
  <si>
    <t>https://pubmed.ncbi.nlm.nih.gov/25701017</t>
  </si>
  <si>
    <t>Atrial fibrillation affects 1-2% of the general population and 10% of those over 75, and is responsible for around a quarter of all strokes. These strokes are largely preventable by the use of anticoagulation therapy, although many eligible patients are not treated. Recent large clinical trials have added to the evidence base on stroke prevention and international clinical guidelines have been updated. Consensus practical recommendations from primary care physicians with an interest in vascular disease and vascular specialists. A focussed all-day meeting, with presentation of summary evidence under each section of this guidance and review of European guidelines on stroke prevention in atrial fibrillation, was used to generate a draft document, which then underwent three cycles of revision and debate before all panel members agreed with the consensus statements. Six areas were identified that included how to identify patients with atrial fibrillation, how to determine their stroke risk and whether to recommend modification of this risk, and what management options are available, with practical recommendations on maximising benefit and minimising risk if anticoagulation is recommended and the reasons why antiplatelet therapy is no longer recommended. The summary evidence is presented for each area and simple summary recommendations are highlighted, with areas of remaining uncertainty listed. Atrial fibrillation-related stroke is a major public health priority for most health systems. This practical guidance can assist generalist community physicians to translate the large evidence base for this cause of preventable stroke and implement this at a local level.</t>
  </si>
  <si>
    <t>Reconsidering the ethics of sham interventions in an era of emerging technologies.</t>
  </si>
  <si>
    <t>Niemansburg, Sophie L; van Delden, Johannes J M; Dhert, Wouter J A; Bredenoord, Annelien L</t>
  </si>
  <si>
    <t>surgery</t>
  </si>
  <si>
    <t>https://pubmed.ncbi.nlm.nih.gov/25704427</t>
  </si>
  <si>
    <t>Our aim was to ethically evaluate the arguments in favor and against sham interventions, as presented in literature. Two developments underscore the need to reconsider the ethics of sham interventions. First, the number of clinical trials investigating interventions in the field of regenerative medicine are increasing, in which the choice for a placebo requires an invasive intervention. Second, the increased awareness of the lack of systematic research in surgery stresses the need to discuss the necessity and acceptability of sham-controlled clinical trials. A systematic search in Medline was performed, of which 104 articles were considered relevant. Arguments in favor of a sham controlled design are that it increases the scientific validity and the benefits to society while at the same time the risks and harm can be acceptable. Arguments against sham controls include that they pose unacceptable risks to participants, present difficulties with informed consent, that the use of deceptive tactics is unethical, and that the feasibility of such controls is compromised because of a lack of public support. None of the published literature fully rejects sham interventions, and many regard sham interventions acceptable provided the conditions of scientific necessity, reasonable risks, and valid informed consent are fulfilled. Further debate should no longer address whether a sham control is ethically acceptable but rather when these conditions are fulfilled.</t>
  </si>
  <si>
    <t>Measurements of the [Formula: see text] production cross sections in association with jets with the ATLAS detector.</t>
  </si>
  <si>
    <t>https://pubmed.ncbi.nlm.nih.gov/25838794</t>
  </si>
  <si>
    <t>This paper presents cross sections for the production of a [Formula: see text] boson in association with jets, measured in proton-proton collisions at [Formula: see text] with the ATLAS experiment at the large hadron collider. With an integrated luminosity of [Formula: see text], this data set allows for an exploration of a large kinematic range, including jet production up to a transverse momentum of [Formula: see text] and multiplicities up to seven associated jets. The production cross sections for [Formula: see text] bosons are measured in both the electron and muon decay channels. Differential cross sections for many observables are also presented including measurements of the jet observables such as the rapidities and the transverse momenta as well as measurements of event observables such as the scalar sums of the transverse momenta of the jets. The measurements are compared to numerous QCD predictions including next-to-leading-order perturbative calculations, resummation calculations and Monte Carlo generators.</t>
  </si>
  <si>
    <t>Host proteome correlates of vaccine-mediated enhanced disease in a mouse model of respiratory syncytial virus infection.</t>
  </si>
  <si>
    <t>van Diepen, Angela; Brand, H Kim; de Waal, Leon; Bijl, Maarten; Jong, Victor L; Kuiken, Thijs; van Amerongen, Geert; van den Ham, Henk-Jan; Eijkemans, Marinus J; Osterhaus, Albert D M E; Hermans, Peter W M; Andeweg, Arno C</t>
  </si>
  <si>
    <t>journal of virology</t>
  </si>
  <si>
    <t>https://pubmed.ncbi.nlm.nih.gov/25694607</t>
  </si>
  <si>
    <t>Respiratory syncytial virus (RSV) is the leading cause of lower respiratory tract infections in infants. Despite over 50 years of research, to date no safe and efficacious RSV vaccine has been licensed. Many experimental vaccination strategies failed to induce balanced T-helper (Th) responses and were associated with adverse effects such as hypersensitivity and immunopathology upon challenge. In this study, we explored the well-established recombinant vaccinia virus (rVV) RSV-F/RSV-G vaccination-challenge mouse model to study phenotypically distinct vaccine-mediated host immune responses at the proteome level. In this model, rVV-G priming and not rVV-F priming results in the induction of Th2 skewed host responses upon RSV challenge. Mass spectrometry-based spectral count comparisons enabled us to identify seven host proteins for which expression in lung tissue is associated with an aberrant Th2 skewed response characterized by the influx of eosinophils and neutrophils. These proteins are involved in processes related to the direct influx of eosinophils (eosinophil peroxidase [Epx]) and to chemotaxis and extravasation processes (Chil3 [chitinase-like-protein 3]) as well as to eosinophil and neutrophil homing signals to the lung (Itgam). In addition, the increased levels of Arg1 and Chil3 proteins point to a functional and regulatory role for alternatively activated macrophages and type 2 innate lymphoid cells in Th2 cytokine-driven RSV vaccine-mediated enhanced disease. RSV alone is responsible for 80% of acute bronchiolitis cases in infants worldwide and causes substantial mortality in developing countries. Clinical trials performed with formalin-inactivated RSV vaccine preparations in the 1960s failed to induce protection upon natural RSV infection and even predisposed patients for enhanced disease. Despite the clinical need, to date no safe and efficacious RSV vaccine has been licensed. Since RSV vaccines have a tendency to prime for unbalanced responses associated with an exuberant influx of inflammatory cells and enhanced disease, detailed characterization of primed host responses has become a crucial element in RSV vaccine research. We investigated the lung proteome of mice challenged with RSV upon priming with vaccine preparations known to induce phenotypically distinct host responses. Seven host proteins whose expression levels are associated with vaccine-mediated enhanced disease have been identified. The identified protein biomarkers support the development as well as detailed evaluation of next-generation RSV vaccines.</t>
  </si>
  <si>
    <t>Predictive value of prior colonization and antibiotic use for third-generation cephalosporin-resistant enterobacteriaceae bacteremia in patients with sepsis.</t>
  </si>
  <si>
    <t>Rottier, Wouter C; Bamberg, Yara R P; Dorigo-Zetsma, J Wendelien; van der Linden, Paul D; Ammerlaan, Heidi S M; Bonten, Marc J M</t>
  </si>
  <si>
    <t>https://pubmed.ncbi.nlm.nih.gov/25694654</t>
  </si>
  <si>
    <t>To prevent inappropriate empiric antibiotic treatment in patients with bacteremia caused by third-generation cephalosporin (3GC)-resistant Enterobacteriaceae (3GC-R EB), Dutch guidelines recommend β-lactam and aminoglycoside combination therapy or carbapenem monotherapy in patients with prior 3GC-R EB colonization and/or recent cephalosporin or fluoroquinolone usage. Positive predictive values (PPVs) of these determinants are unknown. We retrospectively studied patients with a clinical infection in whom blood cultures were obtained and empiric therapy with broad-spectrum β-lactams and/or aminoglycosides and/or fluoroquinolones was started. We determined the PPVs of prior colonization and antibiotic use for 3GC-R EB bacteremia, and the consequences of guideline adherence on appropriateness of empiric treatment. Of 9422 episodes, 773 (8.2%) were EB bacteremias and 64 (0.7%) were caused by 3GC-R EB. For bacteremia caused by 3GC-R EB, PPVs of prior colonization with 3GC-R EB (90-day window) and prior usage of cephalosporins or fluoroquinolones (30-day window) were 7.4% and 1.3%, respectively, and PPV was 1.8% for the presence of any of these predictors. Adherence to Dutch sepsis guideline recommendations was 27%. Of bacteremia episodes caused by 3GC-R and 3GC-sensitive EB, 56% and 94%, respectively, were initially treated with appropriate antibiotics. Full adherence to guideline recommendations would hardly augment proportions of appropriate therapy, but could considerably increase carbapenem use. In patients receiving empiric treatment for sepsis, prior colonization with 3GC-R EB and prior antibiotic use have low PPV for infections caused by 3GC-R EB. Strict guideline adherence would unnecessarily stimulate broad-spectrum antibiotic use.</t>
  </si>
  <si>
    <t>Search for invisible particles produced in association with single-top-quarks in proton-proton collisions at [Formula: see text] with the ATLAS detector.</t>
  </si>
  <si>
    <t>https://pubmed.ncbi.nlm.nih.gov/25838793</t>
  </si>
  <si>
    <t>A search for the production of single-top-quarks in association with missing energy is performed in proton-proton collisions at a centre-of-mass energy of [Formula: see text] with the ATLAS experiment at the large hadron collider using data collected in 2012, corresponding to an integrated luminosity of [Formula: see text] fb[Formula: see text]. In this search, the [Formula: see text] boson from the top quark is required to decay into an electron or a muon and a neutrino. No deviation from the standard model prediction is observed, and upper limits are set on the production cross-section for resonant and non-resonant production of an invisible exotic state in association with a right-handed top quark. In the case of resonant production, for a spin-[Formula: see text] resonance with a mass of [Formula: see text] GeV, an effective coupling strength above [Formula: see text] is excluded at 95[Formula: see text] confidence level for the top quark and an invisible spin-[Formula: see text] state with mass between [Formula: see text] and [Formula: see text] GeV. In the case of non-resonant production, an effective coupling strength above [Formula: see text] is excluded at 95[Formula: see text] confidence level for the top quark and an invisible spin-[Formula: see text] state with mass between [Formula: see text] and [Formula: see text] GeV.</t>
  </si>
  <si>
    <t>What Governs District Manager Decision Making? A Case Study of Complex Leadership in Dangme West District, Ghana.</t>
  </si>
  <si>
    <t>Kwamie, Aku; Agyepong, Irene Akua; van Dijk, Han</t>
  </si>
  <si>
    <t>health systems and reform</t>
  </si>
  <si>
    <t>https://pubmed.ncbi.nlm.nih.gov/31546310</t>
  </si>
  <si>
    <t>&lt;b&gt;Abstract&lt;/b&gt;-Management and leadership in complex health systems have been little addressed as contributors toward improving maternal and newborn health. Widespread perceptions of weak district-level management and leadership have encouraged capacity strengthening interventions with a predominant focus on individual rather than systemic capacities. However, both types of capacities matter. Greater understanding is required about how managerial decision making and policy implementation are influenced by the systems in which managers operate. This article presents an exploratory case study to understand the balance of top-down and bottom-up dynamics influencing district manager decision making in one district in the Ghanaian health system. Our study was theory driven, drawing on concepts of decision space, power, and trust from the literature. Data collection methods included document review, participant observation, and semistructured interviews. Using analysis that drew upon complex leadership theory, we found that contexts of hierarchical authority and resource uncertainty constrained district manager decision space. These constraints also gave rise to a leadership type oriented toward serving the bureaucratic functions of the health system (more top-down than bottom-up). The analysis of this case study showed that, as a result, district-level management and leadership were less responsive to maternal and newborn health service delivery challenges.</t>
  </si>
  <si>
    <t>Cognitive function in patients with diabetes mellitus: guidance for daily care.</t>
  </si>
  <si>
    <t>Koekkoek, Paula S; Kappelle, L Jaap; van den Berg, Esther; Rutten, Guy E H M; Biessels, Geert Jan</t>
  </si>
  <si>
    <t>https://pubmed.ncbi.nlm.nih.gov/25728442</t>
  </si>
  <si>
    <t>Diabetes mellitus is associated with an increase in the risk of dementia and the proportion of patients who convert from mild cognitive impairment (MCI) to dementia. In addition to MCI and dementia, the stages of diabetes-associated cognitive dysfunction include subtle cognitive changes that are unlikely to affect activities of daily life or diabetes self-management. These diabetes-associated cognitive decrements have structural brain correlates detectable with brain MRI, but usually show little progression over time. Although cognitive decrements do not generally represent a pre-dementia stage in patients below the age of 60-65 years, in older individuals these subtle cognitive changes might represent the earliest stages of a dementia process. Acknowledgment of diabetes-associated cognitive decrements can help to improve understanding of patients' symptoms and guide management. Future challenges are to establish the importance of screening for cognitive impairment in people with diabetes, to identify those at increased risk of accelerated cognitive decline at an early stage, and to develop effective treatments.</t>
  </si>
  <si>
    <t>"Wood already touched by fire is not hard to set alight": Comment on "Constraints to applying systems thinking concepts in health systems: A regional perspective from surveying stakeholders in Eastern Mediterranean countries".</t>
  </si>
  <si>
    <t>Agyepong, Irene Akua</t>
  </si>
  <si>
    <t>international journal of health policy and management</t>
  </si>
  <si>
    <t>https://pubmed.ncbi.nlm.nih.gov/25774378</t>
  </si>
  <si>
    <t>A major constraint to the application of any form of knowledge and principles is the awareness, understanding and acceptance of the knowledge and principles. Systems Thinking (ST) is a way of understanding and thinking about the nature of health systems and how to make and implement decisions within health systems to maximize desired and minimize undesired effects. A major constraint to applying ST within health systems in Low- and Middle-Income Countries (LMICs) would appear to be an awareness and understanding of ST and how to apply it. This is a fundamental constraint and in the increasing desire to enable the application of ST concepts in health systems in LMIC and understand and evaluate the effects; an essential first step is going to be enabling of a wide spread as well as deeper understanding of ST and how to apply this understanding.</t>
  </si>
  <si>
    <t>A simulation study of sample size demonstrated the importance of the number of events per variable to develop prediction models in clustered data.</t>
  </si>
  <si>
    <t>Wynants, L; Bouwmeester, W; Moons, K G M; Moerbeek, M; Timmerman, D; Van Huffel, S; Van Calster, B; Vergouwe, Y</t>
  </si>
  <si>
    <t>https://pubmed.ncbi.nlm.nih.gov/25817942</t>
  </si>
  <si>
    <t>This study aims to investigate the influence of the amount of clustering [intraclass correlation (ICC) = 0%, 5%, or 20%], the number of events per variable (EPV) or candidate predictor (EPV = 5, 10, 20, or 50), and backward variable selection on the performance of prediction models. Researchers frequently combine data from several centers to develop clinical prediction models. In our simulation study, we developed models from clustered training data using multilevel logistic regression and validated them in external data. The amount of clustering was not meaningfully associated with the models' predictive performance. The median calibration slope of models built in samples with EPV = 5 and strong clustering (ICC = 20%) was 0.71. With EPV = 5 and ICC = 0%, it was 0.72. A higher EPV related to an increased performance: the calibration slope was 0.85 at EPV = 10 and ICC = 20% and 0.96 at EPV = 50 and ICC = 20%. Variable selection sometimes led to a substantial relative bias in the estimated predictor effects (up to 118% at EPV = 5), but this had little influence on the model's performance in our simulations. We recommend at least 10 EPV to fit prediction models in clustered data using logistic regression. Up to 50 EPV may be needed when variable selection is performed.</t>
  </si>
  <si>
    <t>Healthy lifestyle index and risk of gastric adenocarcinoma in the EPIC cohort study.</t>
  </si>
  <si>
    <t>Buckland, G; Travier, N; Huerta, J M; Bueno-de-Mesquita, H B As; Siersema, P D; Skeie, G; Weiderpass, E; Engeset, D; Ericson, U; Ohlsson, B; Agudo, A; Romieu, I; Ferrari, P; Freisling, H; Colorado-Yohar, S; Li, K; Kaaks, R; Pala, V; Cross, A J; Riboli, E; Trichopoulou, A; Lagiou, P; Bamia, C; Boutron-Ruault, M C; Fagherazzi, G; Dartois, L; May, A M; Peeters, P H; Panico, S; Johansson, M; Wallner, B; Palli, D; Key, T J; Khaw, K T; Ardanaz, E; Overvad, K; Tjønneland, A; Dorronsoro, M; Sánchez, M J; Quirós, J R; Naccarati, A; Tumino, R; Boeing, H; Gonzalez, C A</t>
  </si>
  <si>
    <t>https://pubmed.ncbi.nlm.nih.gov/25557932</t>
  </si>
  <si>
    <t>Several modifiable lifestyle factors, including smoking, alcohol, certain dietary factors and weight are independently associated with gastric cancer (GC); however, their combined impact on GC risk is unknown. We constructed a healthy lifestyle index to investigate the joint influence of these behaviors on GC risk within the European Prospective Investigation into Cancer and Nutrition (EPIC) cohort. The analysis included 461,550 participants (662 first incident GC cases) with a mean follow-up of 11.4 years. A healthy lifestyle index was constructed, assigning 1 point for each healthy behavior related to smoking status, alcohol consumption and diet quality (represented by the Mediterranean diet) for assessing overall GC and also body mass index for cardia GC and 0 points otherwise. Risk of GC was calculated using Cox proportional hazards regression models while adjusting for relevant confounders. The highest versus lowest score in the healthy lifestyle index was associated with a significant lower risk of GC, by 51% overall (HR 0.49 95% CI 0.35, 0.70), by 77% for cardia GC (HR 0.23 95% CI 0.08, 0.68) and by 47% for noncardia GC (HR 0.53 (95% CI 0.32, 0.87), p-trends&lt;0.001. Population attributable risk calculations showed that 18.8% of all GC and 62.4% of cardia GC cases could have been prevented if participants in this population had followed the healthy lifestyle behaviors of this index. Adopting several healthy lifestyle behaviors including not smoking, limiting alcohol consumption, eating a healthy diet and maintaining a normal weight is associated with a large decreased risk of GC.</t>
  </si>
  <si>
    <t>Generation shifts in smoking over 20 years in two Dutch population-based cohorts aged 20-100 years.</t>
  </si>
  <si>
    <t>Raho, Enrico; van Oostrom, Sandra H; Visser, Marjolein; Huisman, Martijn; Zantinge, Else M; Smit, Henriette A; Verschuren, W M Monique; Hulsegge, Gerben; Picavet, H Susan J</t>
  </si>
  <si>
    <t>https://pubmed.ncbi.nlm.nih.gov/25884440</t>
  </si>
  <si>
    <t>Younger and older generations may differ substantially in their lifetime smoking habits, which may result in generation-specific health challenges. We aimed to quantify generation shifts in smoking over a period of 25 years. We used the Doetinchem Cohort Study (baseline 1987-1991; 7768 individuals; 20-60 years; follow-up 1993-2012) and the Longitudinal Aging Study Amsterdam (baseline 1992-1993; 3017 individuals; 55-85 years; follow-up 1995-2009). Generation shifts were studied between 10-year generations (age range: 20-100 years). Generation shifts were examined graphically and by using logistic random effect models for men and women. Among men, significant generation shifts in current smoking were found between two non-successive generations: for instance men in their 40s at baseline smoked much more than men in their 40s at follow-up (33.6% vs. 23.1%, p &lt; 0.05). Among women, the most recently born generation showed a favourable significant generation shift in current smoking (-7.3%) and ever smoking (-10.1%). For all other generations, the prevalence of ever smoking among women was significantly higher in every more recently born generation, whereas no other generation shifts were observed for current smoking. The unfavourable generation shifts were mainly found among the lower educated. The future burden of disease due to smoking is expected to be reduced among men, but not yet among women. Educational differences in smoking-related health problems are expected to increase.</t>
  </si>
  <si>
    <t>Genetic studies of body mass index yield new insights for obesity biology.</t>
  </si>
  <si>
    <t>Locke, Adam E; Kahali, Bratati; Berndt, Sonja I; Justice, Anne E; Pers, Tune H; Day, Felix R; Powell, Corey; Vedantam, Sailaja; Buchkovich, Martin L; Yang, Jian; Croteau-Chonka, Damien C; Esko, Tonu; Fall, Tove; Ferreira, Teresa; Gustafsson, Stefan; Kutalik, Zoltán; Luan, Jian'an; Mägi, Reedik; Randall, Joshua C; Winkler, Thomas W; Wood, Andrew R; Workalemahu, Tsegaselassie; Faul, Jessica D; Smith, Jennifer A; Zhao, Jing Hua; Zhao, Wei; Chen, Jin; Fehrmann, Rudolf; Hedman, Åsa K; Karjalainen, Juha; Schmidt, Ellen M; Absher, Devin; Amin, Najaf; Anderson, Denise; Beekman, Marian; Bolton, Jennifer L; Bragg-Gresham, Jennifer L; Buyske, Steven; Demirkan, Ayse; Deng, Guohong; Ehret, Georg B; Feenstra, Bjarke; Feitosa, Mary F; Fischer, Krista; Goel, Anuj; Gong, Jian; Jackson, Anne U; Kanoni, Stavroula; Kleber, Marcus E; Kristiansson, Kati; Lim, Unhee; Lotay, Vaneet; Mangino, Massimo; Leach, Irene Mateo; Medina-Gomez, Carolina; Medland, Sarah E; Nalls, Michael A; Palmer, Cameron D; Pasko, Doro</t>
  </si>
  <si>
    <t>https://pubmed.ncbi.nlm.nih.gov/25673413</t>
  </si>
  <si>
    <t>Obesity is heritable and predisposes to many diseases. To understand the genetic basis of obesity better, here we conduct a genome-wide association study and Metabochip meta-analysis of body mass index (BMI), a measure commonly used to define obesity and assess adiposity, in up to 339,224 individuals. This analysis identifies 97 BMI-associated loci (P &lt; 5 × 10(-8)), 56 of which are novel. Five loci demonstrate clear evidence of several independent association signals, and many loci have significant effects on other metabolic phenotypes. The 97 loci account for ∼2.7% of BMI variation, and genome-wide estimates suggest that common variation accounts for &gt;20% of BMI variation. Pathway analyses provide strong support for a role of the central nervous system in obesity susceptibility and implicate new genes and pathways, including those related to synaptic function, glutamate signalling, insulin secretion/action, energy metabolism, lipid biology and adipogenesis.</t>
  </si>
  <si>
    <t>Cardiometabolic disease risk and HIV status in rural South Africa: establishing a baseline.</t>
  </si>
  <si>
    <t>Clark, Samuel J; Gómez-Olivé, F Xavier; Houle, Brian; Thorogood, Margaret; Klipstein-Grobusch, Kerstin; Angotti, Nicole; Kabudula, Chodziwadziwa; Williams, Jill; Menken, Jane; Tollman, Stephen</t>
  </si>
  <si>
    <t>https://pubmed.ncbi.nlm.nih.gov/25885455</t>
  </si>
  <si>
    <t>To inform health care and training, resource and research priorities, it is essential to establish how non-communicable disease risk factors vary by HIV-status in high HIV burden areas; and whether long-term anti-retroviral therapy (ART) plays a modifying role. As part of a cohort initiation, we conducted a baseline HIV/cardiometabolic risk factor survey in 2010-2011 using an age-sex stratified random sample of ages 15+ in rural South Africa. We modelled cardiometabolic risk factors and their associations by HIV-status and self-reported ART status for ages 18+ using sex-stratified logistic regression models. Age-standardised HIV prevalence in women was 26% (95% CI 24-28%) and 19% (95% CI 17-21) in men. People with untreated HIV were less likely to have a high waist circumference in both women (OR 0.67; 95% CI 0.52-0.86) and men (OR 0.42; 95% CI 0.22-0.82). Untreated women were more likely to have low HDL and LDL, and treated women high triglycerides. Cardiometabolic risk factors increased with age except low HDL. The prevalence of hypertension was high (40% in women; 30% in men). Sub-Saharan Africa is facing intersecting epidemics of HIV and hypertension. In this setting, around half the adult population require long-term care for at least one of HIV, hypertension or diabetes. Together with the adverse effects that HIV and its treatment have on lipids, this may have serious implications for the South African health care system. Monitoring of the interaction of HIV, ART use, and cardiometabolic disease is needed at both individual and population levels.</t>
  </si>
  <si>
    <t>EMAS position statement: The ten point guide to the integral management of menopausal health.</t>
  </si>
  <si>
    <t>Neves-E-Castro, Manuel; Birkhauser, Martin; Samsioe, Goran; Lambrinoudaki, Irene; Palacios, Santiago; Borrego, Rafael Sanchez; Llaneza, Placido; Ceausu, Iuliana; Depypere, Herman; Erel, C Tamer; Pérez-López, Faustino R; Schenck-Gustafsson, Karin; van der Schouw, Yvonne T; Simoncini, Tommaso; Tremollieres, Florence; Rees, Margaret</t>
  </si>
  <si>
    <t>https://pubmed.ncbi.nlm.nih.gov/25757366</t>
  </si>
  <si>
    <t>With increased longevity and more women becoming centenarians, management of the menopause and postreproductive health is of growing importance as it has the potential to help promote health over several decades. Women have individual needs and the approach needs to be personalised. The position statement provides a short integral guide for all those involved in menopausal health. It covers diagnosis, screening for diseases in later life, treatment and follow-up.</t>
  </si>
  <si>
    <t>Search for resonant diboson production in the [Formula: see text] final state in [Formula: see text] collisions at [Formula: see text] TeV with the ATLAS detector.</t>
  </si>
  <si>
    <t>https://pubmed.ncbi.nlm.nih.gov/25838792</t>
  </si>
  <si>
    <t>This paper reports on a search for narrow resonances in diboson production in the [Formula: see text] final state using [Formula: see text] collision data corresponding to an integrated luminosity of [Formula: see text] fb[Formula: see text] collected at [Formula: see text] TeV with the ATLAS detector at the Large Hadron Collider. No significant excess of data events over the Standard Model expectation is observed. Upper limits at the 95 % confidence level are set on the production cross section times branching ratio for Kaluza-Klein gravitons predicted by the Randall-Sundrum model and for Extended Gauge Model [Formula: see text] bosons. These results lead to the exclusion of mass values below 740 and 1590 GeV for the graviton and [Formula: see text] boson respectively.</t>
  </si>
  <si>
    <t>Cardiovascular disease risk in women with a history of spontaneous preterm delivery: A systematic review and meta-analysis.</t>
  </si>
  <si>
    <t>Heida, Karst Y; Velthuis, Birgitta K; Oudijk, Martijn A; Reitsma, Johannes B; Bots, Michiel L; Franx, Arie; van Dunné, Frederique M; ,</t>
  </si>
  <si>
    <t>https://pubmed.ncbi.nlm.nih.gov/25665808</t>
  </si>
  <si>
    <t>Increasing evidence suggests a relation between having had spontaneous preterm delivery and cardiovascular disease in the future. We performed a systematic review and meta-analysis to assess the relation between a history of spontaneous preterm delivery and risk of ischaemic heart disease (IHD), stroke or overall cardiovascular disease (CVD). We carried out a systematic search in Medline (from 1966 to 17 July 2014) and Embase (from 1980 to 17 July 2014). We included studies with a cohort design assessing the relation between spontaneous preterm delivery and fatal or nonfatal IHD, stroke, or overall CVD. IHD, stroke and CVD were assessed through linkage with national registries. Hazard ratios (HRs) were pooled using a random-effects model. Of the 10 cohort studies included; sample sizes ranged from 3706 to 923,686 women and follow-up ranged from 12-35 years. Spontaneous preterm delivery was related to an increased risk of developing or dying from IHD (HR 1.38, 95% confidence interval (CI) 1.22-1.57), stroke (HR 1.71, 95% CI 1.53-1.91) and overall CVD (relative risk (HR) 2.01, 95% CI 1.52-2.65). All studies found a positive effect, although substantial between-study heterogeneity was found for IHD and CVD. Spontaneous preterm delivery is an independent risk factor for the development of IHD, stroke and overall CVD.</t>
  </si>
  <si>
    <t>Cerebellar infarct patterns: The SMART-Medea study.</t>
  </si>
  <si>
    <t>De Cocker, Laurens J L; Geerlings, Mirjam I; Hartkamp, Nolan S; Grool, Anne M; Mali, Willem P; Van der Graaf, Yolanda; Kloppenborg, Raoul P; Hendrikse, Jeroen; ,</t>
  </si>
  <si>
    <t>https://pubmed.ncbi.nlm.nih.gov/26106556</t>
  </si>
  <si>
    <t>Previous studies on cerebellar infarcts have been largely restricted to acute infarcts in patients with clinical symptoms, and cerebellar infarcts have been evaluated with the almost exclusive use of transversal MR images. We aimed to document the occurrence and 3D-imaging patterns of cerebellar infarcts presenting as an incidental finding on MRI. We analysed the 1.5 Tesla MRI, including 3D T1-weighted datasets, of 636 patients (mean age 62 ± 9 years, 81% male) from the SMART-Medea study. Cerebellar infarct analyses included an assessment of size, cavitation and gliosis, of grey and white matter involvement, and of infarct topography. One or more cerebellar infarcts (mean 1.97; range 1-11) were detected in 70 out of 636 patients (11%), with a total amount of 138 infarcts identified, 135 of which showed evidence of cavitation. The average mean axial diameter was 7 mm (range 2-54 mm), and 131 infarcts (95%) were smaller than 20 mm. Hundred-thirty-four infarcts (97%) involved the cortex, of which 12 in combination with subcortical white matter. No infarcts were restricted to subcortical branches of white matter. Small cortical infarcts involved the apex of a deep (pattern 1) or shallow fissure (pattern 2), or occurred alongside one (pattern 3) or opposite sides (pattern 4) of a fissure. Most (87%) cerebellar infarcts were situated in the posterior lobe. Small cerebellar infarcts proved to be much more common than larger infarcts, and preferentially involved the cortex. Small cortical infarcts predominantly involved the posterior lobes, showed sparing of subcortical white matter and occurred in characteristic topographic patterns.</t>
  </si>
  <si>
    <t>General and abdominal obesity and risk of esophageal and gastric adenocarcinoma in the European Prospective Investigation into Cancer and Nutrition.</t>
  </si>
  <si>
    <t>Steffen, Annika; Huerta, José-Maria; Weiderpass, Elisabete; Bueno-de-Mesquita, H B As; May, Anne M; Siersema, Peter D; Kaaks, Rudolf; Neamat-Allah, Jasmine; Pala, Valeria; Panico, Salvatore; Saieva, Calogero; Tumino, Rosario; Naccarati, Alessio; Dorronsoro, Miren; Sánchez-Cantalejo, Emilio; Ardanaz, Eva; Quirós, J Ramón; Ohlsson, Bodil; Johansson, Mattias; Wallner, Bengt; Overvad, Kim; Halkjaer, Jytte; Tjønneland, Anne; Fagherazzi, Guy; Racine, Antoine; Clavel-Chapelon, Françoise; Key, Tim J; Khaw, Kay-Tee; Wareham, Nick; Lagiou, Pagona; Bamia, Christina; Trichopoulou, Antonia; Ferrari, Pietro; Freisling, Heinz; Lu, Yunxia; Riboli, Elio; Cross, Amanda J; Gonzalez, Carlos A; Boeing, Heiner</t>
  </si>
  <si>
    <t>https://pubmed.ncbi.nlm.nih.gov/25598323</t>
  </si>
  <si>
    <t>General obesity, as reflected by BMI, is an established risk factor for esophageal adenocarcinoma (EAC), a suspected risk factor for gastric cardia adenocarcinoma (GCC) and appears unrelated to gastric non-cardia adenocarcinoma (GNCC). How abdominal obesity, as commonly measured by waist circumference (WC), relates to these cancers remains largely unexplored. Using measured anthropometric data from 391,456 individuals from the European Prospective Investigation into Cancer and Nutrition (EPIC) study and 11 years of follow-up, we comprehensively assessed the association of anthropometric measures with risk of EAC, GCC and GNCC using multivariable proportional hazards regression. One hundred twenty-four incident EAC, 193 GCC and 224 GNCC were accrued. After mutual adjustment, BMI was unrelated to EAC, while WC showed a strong positive association (highest vs. lowest quintile HR = 1.19; 95% CI, 0.63-2.22 and HR = 3.76; 1.72-8.22, respectively). Hip circumference (HC) was inversely related to EAC after controlling for WC, while WC remained positively associated (HR = 0.35; 0.18-0.68, and HR=4.10; 1.94-8.63, respectively). BMI was not associated with GCC or GNCC. WC was related to higher risks of GCC after adjustment for BMI and more strongly after adjustment for HC (highest vs. lowest quintile HR = 1.91; 1.09-3.37, and HR = 2.23; 1.28-3.90, respectively). Our study demonstrates that abdominal, rather than general, obesity is an indisputable risk factor for EAC and also provides evidence for a protective effect of gluteofemoral (subcutaneous) adipose tissue in EAC. Our study further shows that general obesity is not a risk factor for GCC and GNCC, while the role of abdominal obesity in GCC needs further investigation.</t>
  </si>
  <si>
    <t>Hepatitis C virus treatment as prevention among injecting drug users: who should we cure first?</t>
  </si>
  <si>
    <t>de Vos, Anneke S; Prins, Maria; Kretzschmar, Mirjam E E</t>
  </si>
  <si>
    <t>addiction abingdon england</t>
  </si>
  <si>
    <t>https://pubmed.ncbi.nlm.nih.gov/25586171</t>
  </si>
  <si>
    <t>Treatment of injecting drug users (IDU) for hepatitis C virus (HCV) infection may prevent onward transmission. Treating individuals who often share injecting equipment is most likely to prevent new infections. However, these high-risk IDU are also more likely to become re-infected than low-risk IDU. We investigated to which group treatment is best targeted. We modelled the expected benefits per treatment of one chronically HCV-infected IDU in a population of low- and high-risk IDU. The benefits of treating one low- or one high-risk IDU were compared. Benefits included the probability for the treated IDU to become and remain uninfected, as well as the expected number of prevented infections to others (i.e. we quantified the total expected decrease in chronic infections). We found a threshold in HCV-RNA prevalence above which treating low-risk IDU, and below which treating high-risk IDU, resulted in the greatest benefits. This threshold was at 50% of exchanged syringes being HCV contaminated. When 42% of IDU engaged in high-risk behaviour (borrowing and lending out syringes 7.3 times more frequently than low-risk IDU), the corresponding threshold of HCV-RNA prevalence among IDU was at 32%. Larger-risk heterogeneity led to a lower corresponding threshold among IDU. A combination of HCV treatment and 50% risk reduction was best directed at high-risk IDU for prevalence among syringes up to 59%. The threshold was marginally sensitive to changes in disease and treatment variables. When more than half of all exchanged syringes in a population of injecting drug users (IDU) are contaminated by hepatitis C virus, it is most efficient to treat low-risk IDU first. Below this threshold, it is most efficient to treat high-risk IDU first.</t>
  </si>
  <si>
    <t>Incremental value of a genetic risk score for the prediction of new vascular events in patients with clinically manifest vascular disease.</t>
  </si>
  <si>
    <t>Weijmans, Maaike; de Bakker, Paul I W; van der Graaf, Yolanda; Asselbergs, Folkert W; Algra, Ale; Jan de Borst, Gert; Spiering, Wilko; Visseren, Frank L J; ,</t>
  </si>
  <si>
    <t>https://pubmed.ncbi.nlm.nih.gov/25687271</t>
  </si>
  <si>
    <t>Several genetic markers are related to incidence of cardiovascular events. We evaluated whether a genetic risk score (GRS) based on 30 single-nucleotide-polymorphisms associated with coronary artery disease (CAD) can improve prediction of 10-year risk of new cardiovascular events in patients with clinical manifest vascular disease. In 5742 patients with symptomatic vascular disease enrolled in the SMART study, we developed Cox regression models based on the SMART Risk Score (SRS) and based on the SRS plus the GRS in all patients, in patients with a history of acute arterial thrombotic events and in patients with a history of more stable atherosclerosis and without CAD. The discriminatory ability was expressed by the c-statistic. Model calibration was evaluated by calibration plots. The incremental value of adding the GRS was assessed by net reclassification index (NRI) and decision curve analysis. During a median follow-up of 6.5 years (IQR4.0-9.5), the composite outcome of myocardial infarction, stroke, or vascular death occurred in 933 patients. Hazard ratios of GRS ranging from 0.86 to 1.35 were observed. The discriminatory capacity of the SRS for prediction of 10-year risk of cardiovascular events was fairly good (c-statistic 0.70, 95%CI 0.68-0.72), similar to the model based on the SRS plus the GRS. Calibration of the models based on SRS and SRS plus GRS was adequate. No increase in c-statistics, categorical NRIs and decision curves was observed when adding the GRS. The continuous NRI improved only in patients with stable atherosclerosis (0.14, 95%CI 0.03-0.25), increasing further excluding patients with a history of CAD (0.21, 95%CI 0.06-0.36). In patients with symptomatic vascular disease, a GRS did not improve risk prediction of 10-year risk of cardiovascular events beyond clinical characteristics. The GRS might improve risk prediction of first vascular events in the subgroup of patients with a history of stable atherosclerosis.</t>
  </si>
  <si>
    <t>A systematic review concerning the relation between the sympathetic nervous system and heart failure with preserved left ventricular ejection fraction.</t>
  </si>
  <si>
    <t>Verloop, Willemien L; Beeftink, Martine M A; Santema, Bernadet T; Bots, Michiel L; Blankestijn, Peter J; Cramer, Maarten J; Doevendans, Pieter A; Voskuil, Michiel</t>
  </si>
  <si>
    <t>https://pubmed.ncbi.nlm.nih.gov/25658630</t>
  </si>
  <si>
    <t>Heart failure with preserved left ventricular ejection fraction (HFPEF) affects about half of all patients diagnosed with heart failure. The pathophysiological aspect of this complex disease state has been extensively explored, yet it is still not fully understood. Since the sympathetic nervous system is related to the development of systolic HF, we hypothesized that an increased sympathetic nerve activation (SNA) is also related to the development of HFPEF. This review summarizes the available literature regarding the relation between HFPEF and SNA. Electronic databases and reference lists through April 2014 were searched resulting in 7722 unique articles. Three authors independently evaluated citation titles and abstracts, resulting in 77 articles reporting about the role of the sympathetic nervous system and HFPEF. Of these 77 articles, 15 were included for critical appraisal: 6 animal and 9 human studies. Based on the critical appraisal, we selected 9 articles (3 animal, 6 human) for further analysis. In all the animal studies, isoproterenol was administered to mimic an increased sympathetic activity. In human studies, different modalities for assessment of sympathetic activity were used. The studies selected for further evaluation reported a clear relation between HFPEF and SNA. Current literature confirms a relation between increased SNA and HFPEF. However, current literature is not able to distinguish whether enhanced SNA results in HFPEF, or HFPEF results in enhanced SNA. The most likely setting is a vicious circle in which HFPEF and SNA sustain each other.</t>
  </si>
  <si>
    <t>Rationale and design of the extracranial Carotid artery Aneurysm Registry (CAR).</t>
  </si>
  <si>
    <t>Welleweerd, Janna C; Bots, Michiel L; Kappelle, L Jaap; Rinkel, Gabriel J; Ruigrok, Ynte M; Baas, Annette F; van der Worp, H Bart; Vergouwen, Mervyn D; Bleys, Ronald L; Hendrikse, Jeroen; Lo, T Rob; Moll, Frans L; de Borst, Gert J</t>
  </si>
  <si>
    <t>the journal of cardiovascular surgery</t>
  </si>
  <si>
    <t>https://pubmed.ncbi.nlm.nih.gov/25658976</t>
  </si>
  <si>
    <t>Aneurysms of the extracranial carotid artery (ECAA) are rare. Although most ECAA are identified in asymptomatic patients, serious neurological complications may occur. Current literature on treatment outcome contains mainly case reports and small case series with incomplete data and lack of long-term follow-up. There is clear lack on natural follow-up data, and there is no clear treatment algorithm. An international web-based registry to collect data on patients with ECAA is designed to provide clinical guidance on this scarce pathology. The Carotid Aneurysm Registry (CAR) is open for inclusion of all patients with a fusiform or saccular ECAA. Patients with primary or secondary ECAA can be enrolled in CAR independent of the type of treatment (conservative or invasive). CAR participation does not interfere with the local physician's treatment policy. Follow-up and imaging can also be scheduled according to local clinical practice. The primary endpoint of the CAR in conservative patients is occurrence of symptoms related to the aneurysm at 30 days, one, three, and five years. The primary endpoint in invasively treated patients is freedom from symptoms of the aneurysm at 30 days, one, three, and five years. Analyses will relate outcome to etiology, imaging characteristics, ECAA growth patterns, and (if applicable) revascularization technique applied. The aim of the registry is to prospectively collect follow-up data on patients with an ECAA, being either treated conservatively or by invasive aneurysm exclusion strategies. The CAR database will be used to address diagnostic and therapeutic research questions. Collecting and analyzing the data gained from the registry could be the first step towards development of treatment guidelines and expert consensus for the management of ECAA.</t>
  </si>
  <si>
    <t>Risk of all-cause mortality and vascular events in women versus men with type 1 diabetes: a systematic review and meta-analysis.</t>
  </si>
  <si>
    <t>Huxley, Rachel R; Peters, Sanne A E; Mishra, Gita D; Woodward, Mark</t>
  </si>
  <si>
    <t>https://pubmed.ncbi.nlm.nih.gov/25660575</t>
  </si>
  <si>
    <t>Studies have suggested sex differences in the mortality rate associated with type 1 diabetes. We did a meta-analysis to provide reliable estimates of any sex differences in the effect of type 1 diabetes on risk of all-cause mortality and cause-specific outcomes. We systematically searched PubMed for studies published between Jan 1, 1966, and Nov 26, 2014. Selected studies reported sex-specific estimates of the standardised mortality ratio (SMR) or hazard ratios associated with type 1 diabetes, either for all-cause mortality or cause-specific outcomes. We used random effects meta-analyses with inverse variance weighting to obtain sex-specific SMRs and their pooled ratio (women to men) for all-cause mortality, for mortality from cardiovascular disease, renal disease, cancer, the combined outcome of accident and suicide, and from incident coronary heart disease and stroke associated with type 1 diabetes. Data from 26 studies including 214 114 individuals and 15 273 events were included. The pooled women-to-men ratio of the SMR for all-cause mortality was 1·37 (95% CI 1·21-1·56), for incident stroke 1·37 (1·03-1·81), for fatal renal disease 1·44 (1·02-2·05), and for fatal cardiovascular diseases 1·86 (1·62-2·15). For incident coronary heart disease the sex difference was more extreme; the pooled women-to-men ratio of the SMR was 2·54 (95% CI 1·80-3·60). No evidence suggested a sex difference for mortality associated with type 1 diabetes from cancer, or accident and suicide. Women with type 1 diabetes have a roughly 40% greater excess risk of all-cause mortality, and twice the excess risk of fatal and nonfatal vascular events, compared with men with type 1 diabetes. None.</t>
  </si>
  <si>
    <t>On mixture models for diagnostic meta-analyses.</t>
  </si>
  <si>
    <t>Eusebi, P; Reitsma, J B; Vermunt, J K</t>
  </si>
  <si>
    <t>https://pubmed.ncbi.nlm.nih.gov/25744133</t>
  </si>
  <si>
    <t>Investigation of dietary factors and endometrial cancer risk using a nutrient-wide association study approach in the EPIC and Nurses' Health Study (NHS) and NHSII.</t>
  </si>
  <si>
    <t>Merritt, Melissa A; Tzoulaki, Ioanna; Tworoger, Shelley S; De Vivo, Immaculata; Hankinson, Susan E; Fernandes, Judy; Tsilidis, Konstantinos K; Weiderpass, Elisabete; Tjønneland, Anne; Petersen, Kristina E N; Dahm, Christina C; Overvad, Kim; Dossus, Laure; Boutron-Ruault, Marie-Christine; Fagherazzi, Guy; Fortner, Renée T; Kaaks, Rudolf; Aleksandrova, Krasimira; Boeing, Heiner; Trichopoulou, Antonia; Bamia, Christina; Trichopoulos, Dimitrios; Palli, Domenico; Grioni, Sara; Tumino, Rosario; Sacerdote, Carlotta; Mattiello, Amalia; Bueno-de-Mesquita, H Bas; Onland-Moret, N Charlotte; Peeters, Petra H; Gram, Inger T; Skeie, Guri; Quirós, J Ramón; Duell, Eric J; Sánchez, María-José; Salmerón, D; Barricarte, Aurelio; Chamosa, Saioa; Ericson, Ulrica; Sonestedt, Emily; Nilsson, Lena Maria; Idahl, Annika; Khaw, Kay-Tee; Wareham, Nicholas; Travis, Ruth C; Rinaldi, Sabina; Romieu, Isabelle; Patel, Chirag J; Riboli, Elio; Gunter, Marc J</t>
  </si>
  <si>
    <t>https://pubmed.ncbi.nlm.nih.gov/25662427</t>
  </si>
  <si>
    <t>Data on the role of dietary factors in endometrial cancer development are limited and inconsistent. We applied a "nutrient-wide association study" approach to systematically evaluate dietary risk associations for endometrial cancer while controlling for multiple hypothesis tests using the false discovery rate (FDR) and validating the results in an independent cohort. We evaluated endometrial cancer risk associations for dietary intake of 84 foods and nutrients based on dietary questionnaires in three prospective studies, the European Prospective Investigation into Cancer and Nutrition (EPIC; N = 1,303 cases) followed by validation of nine foods/nutrients (FDR ≤ 0.10) in the Nurses' Health Studies (NHS/NHSII; N = 1,531 cases). Cox regression models were used to estimate HRs and 95% confidence intervals (CI). In multivariate adjusted comparisons of the extreme categories of intake at baseline, coffee was inversely associated with endometrial cancer risk (EPIC, median intake 750 g/day vs. 8.6; HR, 0.81; 95% CI, 0.68-0.97, Ptrend = 0.09; NHS/NHSII, median intake 1067 g/day vs. none; HR, 0.82; 95% CI, 0.70-0.96, Ptrend = 0.04). Eight other dietary factors that were associated with endometrial cancer risk in the EPIC study (total fat, monounsaturated fat, carbohydrates, phosphorus, butter, yogurt, cheese, and potatoes) were not confirmed in the NHS/NHSII. Our findings suggest that coffee intake may be inversely associated with endometrial cancer risk. Further data are needed to confirm these findings and to examine the mechanisms linking coffee intake to endometrial cancer risk to develop improved prevention strategies.</t>
  </si>
  <si>
    <t>The validity of national hospital discharge register data on dementia: a comparative analysis using clinical data from a university medical centre.</t>
  </si>
  <si>
    <t>van de Vorst, I E; Vaartjes, I; Sinnecker, L F; Beks, L J M; Bots, M L; Koek, H L</t>
  </si>
  <si>
    <t>https://pubmed.ncbi.nlm.nih.gov/25753071</t>
  </si>
  <si>
    <t>Most information on the incidence and prognosis of dementia comes from small studies with limited precision and generalisability. Nationwide registers can be an alternative source of information, but only when the diagnosis is validly recorded. We assessed the validity of the Dutch Hospital Discharge Register (HDR). HDR data on dementia diagnoses (ICD-9 codes 290.0; 290.1; 290.3; 290.4; 294.1; 331.0; 331.1; 331.82) in a university medical centre in the Netherlands were collected. Diagnoses were verified by using hospital medical records. Positive predictive values (PPVs) were calculated. Multivariate logistic regression models were used to evaluate determinants of inaccuracy in discharge diagnoses. A sample of the HDR data was used for this study (n = 340). PPV was 93.2% for overall dementia, indicating confirmation of 93.2% of HDR dementia diagnoses by the medical records. The accuracy of the diagnosis of overall dementia in patients aged ≥ 65 years was significantly higher compared with younger patients (PPV 95.5 % vs. 67.9%; p = 0.0001). There was no difference in the accuracy of the diagnosis between men and women and accuracy was not influenced by type of admission, comorbidity and polypharmacy. The results of this study show a high validity of the diagnosis of overall dementia in the HDR, making this register of great value for further nationwide research on dementia.</t>
  </si>
  <si>
    <t>Transparent reporting of a multivariable prediction model for Individual Prognosis or Diagnosis (TRIPOD): the TRIPOD statement.</t>
  </si>
  <si>
    <t>Collins, Gary S; Reitsma, Johannes B; Altman, Douglas G; Moons, Karel G M</t>
  </si>
  <si>
    <t>https://pubmed.ncbi.nlm.nih.gov/25579640</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</si>
  <si>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Web-based survey and revised during a 3-day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t>
  </si>
  <si>
    <t>E-health and consultation rates for respiratory illnesses in infants: a randomised clinical trial in primary care.</t>
  </si>
  <si>
    <t>van der Gugten, Anne C; Uiterwaal, Cuno S P M; Verheij, Theo J M; van der Ent, Cornelis K</t>
  </si>
  <si>
    <t>https://pubmed.ncbi.nlm.nih.gov/25624309</t>
  </si>
  <si>
    <t>It is assumed that clear and complete information on the internet can reduce healthcare consumption. We assessed in a randomised clinical trial whether a personalised online parent information program on infant respiratory symptoms can reduce primary care utilisation. Randomised clinical trial in primary healthcare centres in a new residential area in the Netherlands. A web-based program (WHISTLER-online) was developed for parents that offered general information on childhood respiratory disease and personalised risk assessments. Parents of infants who enrolled from June 2009 to June 2012 in WHISTLER, an ongoing population-based birth cohort, were randomly allocated to 'WHISTLER-online' or 'usual care'. Information about, first, consultations and, second, associated prescriptions for respiratory symptoms during the first year of life was collected from the electronic patient files. A total of 323 infants were randomly assigned to WHISTLER-online and 322 to usual care, and 314 and 305, respectively, were analysed. Of the parents, 70% used WHISTLER-online, and 99% of them judged it to be clear and useful information. There were differences neither in consultation rates for respiratory symptoms (incidence rate ratio 0.96 [95% CI = 0.85 to 1.09, P = 0.532]) nor in associated drug prescriptions. Although parents greatly appreciate the provided facilities, a personalised e-support program on respiratory illnesses in infants does not substantially reduce healthcare utilisation.</t>
  </si>
  <si>
    <t>Coffee and tea consumption and risk of pre- and postmenopausal breast cancer in the European Prospective Investigation into Cancer and Nutrition (EPIC) cohort study.</t>
  </si>
  <si>
    <t>Bhoo-Pathy, Nirmala; Peeters, Petra H M; Uiterwaal, Cuno S P M; Bueno-de-Mesquita, H Bas; Bulgiba, Awang M; Bech, Bodil Hammer; Overvad, Kim; Tjønneland, Anne; Olsen, Anja; Clavel-Chapelon, Françoise; Fagherazzi, Guy; Perquier, Florence; Teucher, Birgit; Kaaks, Rudolf; Schütze, Madlen; Boeing, Heiner; Lagiou, Pagona; Orfanos, Philippos; Trichopoulou, Antonia; Agnoli, Claudia; Mattiello, Amalia; Palli, Domenico; Tumino, Rosario; Sacerdote, Carlotta; van Duijnhoven, Franzel J B; Braaten, Tonje; Lund, Eiliv; Skeie, Guri; Redondo, María-Luisa; Buckland, Genevieve; Pérez, Maria José Sánchez; Chirlaque, Maria-Dolores; Ardanaz, Eva; Amiano, Pilar; Wirfält, Elisabet; Wallström, Peter; Johansson, Ingegerd; Nilsson, Lena Maria; Khaw, Kay-Tee; Wareham, Nick; Allen, Naomi E; Key, Timothy J; Rinaldi, Sabina; Romieu, Isabelle; Gallo, Valentina; Riboli, Elio; van Gils, Carla H</t>
  </si>
  <si>
    <t>https://pubmed.ncbi.nlm.nih.gov/25637171</t>
  </si>
  <si>
    <t>Specific coffee subtypes and tea may impact risk of pre- and post-menopausal breast cancer differently. We investigated the association between coffee (total, caffeinated, decaffeinated) and tea intake and risk of breast cancer. A total of 335,060 women participating in the European Prospective Investigation into Nutrition and Cancer (EPIC) Study, completed a dietary questionnaire from 1992 to 2000, and were followed-up until 2010 for incidence of breast cancer. Hazard ratios (HR) of breast cancer by country-specific, as well as cohort-wide categories of beverage intake were estimated. During an average follow-up of 11 years, 1064 premenopausal, and 9134 postmenopausal breast cancers were diagnosed. Caffeinated coffee intake was associated with lower risk of postmenopausal breast cancer: adjusted HR=0.90, 95% confidence interval (CI): 0.82 to 0.98, for high versus low consumption; Ptrend=0.029. While there was no significant effect modification by hormone receptor status (P=0.711), linear trend for lower risk of breast cancer with increasing caffeinated coffee intake was clearest for estrogen and progesterone receptor negative (ER-PR-), postmenopausal breast cancer (P=0.008). For every 100 ml increase in caffeinated coffee intake, the risk of ER-PR- breast cancer was lower by 4% (adjusted HR: 0.96, 95% CI: 0.93 to 1.00). Non-consumers of decaffeinated coffee had lower risk of postmenopausal breast cancer (adjusted HR=0.89; 95% CI: 0.80 to 0.99) compared to low consumers, without evidence of dose-response relationship (Ptrend=0.128). Exclusive decaffeinated coffee consumption was not related to postmenopausal breast cancer risk, compared to any decaffeinated-low caffeinated intake (adjusted HR=0.97; 95% CI: 0.82 to 1.14), or to no intake of any coffee (HR: 0.96; 95%: 0.82 to 1.14). Caffeinated and decaffeinated coffee were not associated with premenopausal breast cancer. Tea intake was neither associated with pre- nor post-menopausal breast cancer. Higher caffeinated coffee intake may be associated with lower risk of postmenopausal breast cancer. Decaffeinated coffee intake does not seem to be associated with breast cancer.</t>
  </si>
  <si>
    <t>Risk factors of impaired fasting glucose and type 2 diabetes in Yaoundé, Cameroon: a cross sectional study.</t>
  </si>
  <si>
    <t>Kufe, Clement Nyuyki; Klipstein-Grobusch, Kerstin; Leopold, Fezeu; Assah, Felix; Ngufor, George; Mbeh, George; Mbanya, Vivian Nchanchou; Mbanya, Jean Claude</t>
  </si>
  <si>
    <t>https://pubmed.ncbi.nlm.nih.gov/25636369</t>
  </si>
  <si>
    <t>The prevalence of diabetes is increasing worldwide, particularly in low and middle income countries, where treatment and control are often unavailable and inaccessible. Information on risk factors at local and regional levels is of utmost importance for tailored prevention programmes to curb the rise in diabetes. The current study was undertaken to investigate the prevalence of Impaired Fasting Glucose (IFG)/Type 2 Diabetes (T2D) and its risk factors in the adult population in Biyem-Assi-Yaoundé, Cameroon. Information on cardiovascular risk factors using the WHO STEPwise approach was obtained for 1623 men and women aged 25 years and older of the CAMBoD Project in Biyem-Assi, Yaoundé, Cameroon. T2D was defined as fasting capillary glucose (FCG) ≥ 7.0 mmol/l and/or being on diabetes medication, IFG/T2D as FCG ≥ 6.1 mmol/l and/or being on diabetes medication. Descriptive statistics and multivariate logistic regression analyses were used to describe prevalence of IFG/T2D, prevalence of risk factors for IFG/T2D and to investigate the association of risk factors with prevalence of IFG/T2D. Prevalence of T2D and of IFG/T2D was 3.3% and 5.7%. Prevalence of hypertension, obesity and abdominal obesity (elevated waist circumference) was 26.6%, 28.4% and 34.9%, respectively. Age and abdominal obesity were significantly associated with IFG/T2D in multivariate logistic regression. For successful primary prevention of T2D in the general population in Cameroon tailored efforts to address obesity, particularly abdominal obesity, and associated life-style factors are warranted.</t>
  </si>
  <si>
    <t>Literature survey of high-impact journals revealed reporting weaknesses in abstracts of diagnostic accuracy studies.</t>
  </si>
  <si>
    <t>Korevaar, Daniël A; Cohen, Jérémie F; Hooft, Lotty; Bossuyt, Patrick M M</t>
  </si>
  <si>
    <t>https://pubmed.ncbi.nlm.nih.gov/25703213</t>
  </si>
  <si>
    <t>Informative journal abstracts are crucial for the identification and initial appraisal of studies. We aimed to evaluate the informativeness of abstracts of diagnostic accuracy studies. PubMed was searched for reports of studies that had evaluated the diagnostic accuracy of a test against a clinical reference standard, published in 12 high-impact journals in 2012. Two reviewers independently evaluated the information contained in included abstracts using 21 items deemed important based on published guidance for adequate reporting and study quality assessment. We included 103 abstracts. Crucial information on study population, setting, patient sampling, and blinding as well as confidence intervals around accuracy estimates were reported in &lt;50% of the abstracts. The mean number of reported items per abstract was 10.1 of 21 (standard deviation 2.2). The mean number of reported items was significantly lower for multiple-gate (case-control type) studies, in reports in specialty journals, and for studies with smaller sample sizes and lower abstract word counts. No significant differences were found between studies evaluating different types of tests. Many abstracts of diagnostic accuracy study reports in high-impact journals are insufficiently informative. Developing guidelines for such abstracts could help the transparency and completeness of reporting.</t>
  </si>
  <si>
    <t>Opinions about euthanasia and advanced dementia: a qualitative study among Dutch physicians and members of the general public.</t>
  </si>
  <si>
    <t>Kouwenhoven, Pauline S C; Raijmakers, Natasja J H; van Delden, Johannes J M; Rietjens, Judith A C; van Tol, Donald G; van de Vathorst, Suzanne; de Graeff, Nienke; Weyers, Heleen A M; van der Heide, Agnes; van Thiel, Ghislaine J M W</t>
  </si>
  <si>
    <t>https://pubmed.ncbi.nlm.nih.gov/25630339</t>
  </si>
  <si>
    <t>The Dutch law states that a physician may perform euthanasia according to a written advance euthanasia directive (AED) when a patient is incompetent as long as all legal criteria of due care are met. This may also hold for patients with advanced dementia. We investigated the differing opinions of physicians and members of the general public on the acceptability of euthanasia in patients with advanced dementia. In this qualitative study, 16 medical specialists, 19 general practitioners, 16 elderly physicians and 16 members of the general public were interviewed and asked for their opinions about a vignette on euthanasia based on an AED in a patient with advanced dementia. Members of the general public perceived advanced dementia as a debilitating and degrading disease. Physicians emphasized the need for direct communication with the patient when making decisions about euthanasia. Respondent from both groups acknowledged difficulties in the assessment of patients' autonomous wishes and the unbearableness of their suffering. Legally, an AED may replace direct communication with patients about their request for euthanasia. In practice, physicians are reluctant to forego adequate verbal communication with the patient because they wish to verify the voluntariness of patients' request and the unbearableness of suffering. For this reason, the applicability of AEDs in advanced dementia seems limited.</t>
  </si>
  <si>
    <t>Sex differences in cardiovascular risk factors and disease prevention.</t>
  </si>
  <si>
    <t>Appelman, Yolande; van Rijn, Bas B; Ten Haaf, Monique E; Boersma, Eric; Peters, Sanne A E</t>
  </si>
  <si>
    <t>https://pubmed.ncbi.nlm.nih.gov/25670232</t>
  </si>
  <si>
    <t>Cardiovascular disease (CVD) has been seen as a men's disease for decades, however it is more common in women than in men. It is generally assumed in medicine that the effects of the major risk factors (RF) on CVD outcomes are the same in women as in men. Recent evidence has emerged that recognizes new, potentially independent, CVD RF exclusive to women. In particular, common disorders of pregnancy, such as gestational hypertension and diabetes, as well as frequently occurring endocrine disorders in women of reproductive age (e.g. polycystic ovary syndrome (PCOS) and early menopause) are associated with accelerated development of CVD and impaired CVD-free survival. With the recent availability of prospective studies comprising men and women, the equivalency of major RF prevalence and effects on CVD between men and women can be examined. Furthermore, female-specific RFs might be identified enabling early detection of apparently healthy women with a high lifetime risk of CVD. Therefore, we examined the available literature regarding the prevalence and effects of the traditional major RFs for CVD in men and women. This included large prospective cohort studies, cross-sectional studies and registries, as randomised trials are lacking. Furthermore, a literature search was performed to examine the impact of female-specific RFs on the traditional RFs and the occurrence of CVD. We found that the effects of elevated blood pressure, overweight and obesity, and elevated cholesterol on CVD outcomes are largely similar between women and men, however prolonged smoking is significantly more hazardous for women than for men. With respect to female-specific RF only associations (and no absolute risk data) could be found between preeclampsia, gestational diabetes and menopause onset with the occurrence of CVD. This review shows that CVD is the main cause of death in men and women, however the prevalence is higher in women. Determination of the CV risk profile should take into account that there are differences in impact of major CV RF leading to a worse outcome in women. Lifestyle interventions and awareness in women needs more consideration. Furthermore, there is accumulating evidence that female-specific RF are of influence on the impact of major RF and on the onset of CVD. Attention for female specific RF may enable early detection and intervention in apparently healthy women. Studies are needed on how to implement the added RF's in current risk assessment and management strategies to maximize benefit and cost-effectiveness specific in women.</t>
  </si>
  <si>
    <t>Common carotid intima-media thickness relates to cardiovascular events in adults aged &lt;45 years.</t>
  </si>
  <si>
    <t>Eikendal, Anouk L M; Groenewegen, Karlijn A; Anderson, Todd J; Britton, Annie R; Engström, Gunnar; Evans, Greg W; de Graaf, Jacqueline; Grobbee, Diederick E; Hedblad, Bo; Holewijn, Suzanne; Ikeda, Ai; Kitagawa, Kazuo; Kitamura, Akihiko; Lonn, Eva M; Lorenz, Matthias W; Mathiesen, Ellisiv B; Nijpels, Giel; Dekker, Jacqueline M; Okazaki, Shuhei; O'Leary, Daniel H; Polak, Joseph F; Price, Jacqueline F; Robertson, Christine; Rembold, Christopher M; Rosvall, Maria; Rundek, Tatjana; Salonen, Jukka T; Sitzer, Matthias; Stehouwer, Coen D A; Hoefer, Imo E; Peters, Sanne A E; Bots, Michiel L; den Ruijter, Hester M; ,</t>
  </si>
  <si>
    <t>https://pubmed.ncbi.nlm.nih.gov/25624341</t>
  </si>
  <si>
    <t>Although atherosclerosis starts in early life, evidence on risk factors and atherosclerosis in individuals aged &lt;45 years is scarce. Therefore, we studied the relationship between risk factors, common carotid intima-media thickness (CIMT), and first-time cardiovascular events in adults aged &lt;45 years. Our study population consisted of 3067 adults aged &lt;45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&lt;45 years who are not yet eligible for standard cardiovascular risk screening. This is especially relevant in those with an increased, unfavorable risk factor burden.</t>
  </si>
  <si>
    <t>Tailoring the implementation of new biomarkers based on their added predictive value in subgroups of individuals.</t>
  </si>
  <si>
    <t>van Giessen, A; Moons, K G M; de Wit, G A; Verschuren, W M M; Boer, J M A; Koffijberg, H</t>
  </si>
  <si>
    <t>https://pubmed.ncbi.nlm.nih.gov/25622035</t>
  </si>
  <si>
    <t>The value of new biomarkers or imaging tests, when added to a prediction model, is currently evaluated using reclassification measures, such as the net reclassification improvement (NRI). However, these measures only provide an estimate of improved reclassification at population level. We present a straightforward approach to characterize subgroups of reclassified individuals in order to tailor implementation of a new prediction model to individuals expected to benefit from it. In a large Dutch population cohort (n = 21,992) we classified individuals to low (&lt; 5%) and high (≥ 5%) fatal cardiovascular disease risk by the Framingham risk score (FRS) and reclassified them based on the systematic coronary risk evaluation (SCORE). Subsequently, we characterized the reclassified individuals and, in case of heterogeneity, applied cluster analysis to identify and characterize subgroups. These characterizations were used to select individuals expected to benefit from implementation of SCORE. Reclassification after applying SCORE in all individuals resulted in an NRI of 5.00% (95% CI [-0.53%; 11.50%]) within the events, 0.06% (95% CI [-0.08%; 0.22%]) within the nonevents, and a total NRI of 0.051 (95% CI [-0.004; 0.116]). Among the correctly downward reclassified individuals cluster analysis identified three subgroups. Using the characterizations of the typically correctly reclassified individuals, implementing SCORE only in individuals expected to benefit (n = 2,707,12.3%) improved the NRI to 5.32% (95% CI [-0.13%; 12.06%]) within the events, 0.24% (95% CI [0.10%; 0.36%]) within the nonevents, and a total NRI of 0.055 (95% CI [0.001; 0.123]). Overall, the risk levels for individuals reclassified by tailored implementation of SCORE were more accurate. In our empirical example the presented approach successfully characterized subgroups of reclassified individuals that could be used to improve reclassification and reduce implementation burden. In particular when newly added biomarkers or imaging tests are costly or burdensome such a tailored implementation strategy may save resources and improve (cost-)effectiveness.</t>
  </si>
  <si>
    <t>Moderators of the response to a nurse-led psychosocial intervention to reduce depressive symptoms in head and neck cancer patients.</t>
  </si>
  <si>
    <t>van der Meulen, Ingeborg C; May, Anne M; de Leeuw, J Rob J; Koole, Ron; Oosterom, Miriam; Hordijk, Gert-Jan; Ros, Wynand J G</t>
  </si>
  <si>
    <t>https://pubmed.ncbi.nlm.nih.gov/25612795</t>
  </si>
  <si>
    <t>Little is known about the variables that moderate the response to psychosocial interventions to decrease depressive symptoms in cancer patients. The purpose of this study was to determine whether variables associated with depressive symptoms in cancer patients in general moderate the response to a nurse-led psychosocial intervention in patients with head and neck cancer. This study is a secondary analysis of a randomized controlled trial evaluating the effect of the nurse counseling and after intervention (NUCAI) on depressive symptoms 12 months after cancer treatment in patients with head and neck cancer. Of 205 patients, 103 received the NUCAI and 102 care as usual. Twenty-one variables were selected for analysis and a linear regression analyses including interaction terms was performed for each variable separately. Significant moderators were post hoc probed. Four moderators were found: marital status, global quality of life, emotional functioning, and social functioning. Patients who were married/living together or had low scores for global quality of life, and emotional or social functioning at baseline benefited more from the NUCAI than patients who were single or with high scores for global quality of life and emotional or social functioning. Marital status, global quality of life, and emotional and social functioning of head and neck cancer patients should be evaluated to determine whether they might benefit from a psychosocial intervention to combat depressive symptoms. Further research is necessary to replicate results and to contribute to the knowledge needed to make screening and personalized patient care possible.</t>
  </si>
  <si>
    <t>Developmental determinants in non-communicable chronic diseases and ageing.</t>
  </si>
  <si>
    <t>Bousquet, J; Anto, J M; Berkouk, K; Gergen, P; Antunes, J Pinto; Augé, P; Camuzat, T; Bringer, J; Mercier, J; Best, N; Bourret, R; Akdis, M; Arshad, S H; Bedbrook, A; Berr, C; Bush, A; Cavalli, G; Charles, M A; Clavel-Chapelon, F; Gillman, M; Gold, D R; Goldberg, M; Holloway, J W; Iozzo, P; Jacquemin, S; Jeandel, C; Kauffmann, F; Keil, T; Koppelman, G H; Krauss-Etschmann, S; Kuh, D; Lehmann, S; Carlsen, K C Lodrup; Maier, D; Méchali, M; Melén, E; Moatti, J P; Momas, I; Nérin, P; Postma, D S; Ritchie, K; Robine, J M; Samolinski, B; Siroux, V; Slagboom, P E; Smit, H A; Sunyer, J; Valenta, R; Van de Perre, P; Verdier, J M; Vrijheid, M; Wickman, M; Yiallouros, P; Zins, M</t>
  </si>
  <si>
    <t>https://pubmed.ncbi.nlm.nih.gov/25616486</t>
  </si>
  <si>
    <t>Prenatal and peri-natal events play a fundamental role in health, development of diseases and ageing (Developmental Origins of Health and Disease (DOHaD)). Research on the determinants of active and healthy ageing is a priority to: (i) inform strategies for reducing societal and individual costs of an ageing population and (ii) develop effective novel prevention strategies. It is important to compare the trajectories of respiratory diseases with those of other chronic diseases.</t>
  </si>
  <si>
    <t>Measurement of the production and lepton charge asymmetry of [Formula: see text] bosons in Pb+Pb collisions at [Formula: see text] with the ATLAS detector.</t>
  </si>
  <si>
    <t>https://pubmed.ncbi.nlm.nih.gov/25983646</t>
  </si>
  <si>
    <t>A measurement of [Formula: see text] boson production in lead-lead collisions at [Formula: see text] is presented. It is based on the analysis of data collected with the ATLAS detector at the LHC in 2011 corresponding to an integrated luminosity of 0.14 [Formula: see text] and 0.15 [Formula: see text] in the muon and electron decay channels, respectively. The differential production yields and lepton charge asymmetry are each measured as a function of the average number of participating nucleons [Formula: see text] and absolute pseudorapidity of the charged lepton. The results are compared to predictions based on next-to-leading-order QCD calculations. These measurements are, in principle, sensitive to possible nuclear modifications to the parton distribution functions and also provide information on scaling of [Formula: see text] boson production in multi-nucleon systems.</t>
  </si>
  <si>
    <t>Vascular age to determine cardiovascular disease risk: A systematic review of its concepts, definitions, and clinical applications.</t>
  </si>
  <si>
    <t>Groenewegen, K A; den Ruijter, H M; Pasterkamp, G; Polak, J F; Bots, M L; Peters, Sanne Ae</t>
  </si>
  <si>
    <t>https://pubmed.ncbi.nlm.nih.gov/25609227</t>
  </si>
  <si>
    <t>Vascular age is an alternate means of representing an individual's cardiovascular risk. Little consensus exists on what vascular age represents and its clinical utility has not been determined. We systematically reviewed the literature to provide a comprehensive overview of different methods that have been used to define vascular age, and to examine its potential clinical value in patient communication and risk prediction. This was a systematic review with data sources of PubMed and Embase. We identified 39 articles on vascular age, 20 proposed to use vascular age as a communication tool and 19 proposed to use vascular age as a means to improve cardiovascular risk prediction. Eight papers were methodological and 31 papers reported on vascular age in study populations. Of these 31 papers, vascular age was a direct translation of the absolute risk estimated by existing cardiovascular risk prediction models in 15 papers, 12 derived vascular age from the reference values of an additional test, and in three papers vascular age was defined as the age at which the estimated cardiovascular risk equals the risk from non-invasive imaging observed degree of atherosclerosis. One trial found a small effect on risk factor levels when vascular age was communicated instead of cardiovascular risk. Despite sharing a common name, various studies have proposed distinct ways to define and measure vascular age. Studies into the effects of vascular age as a tool to improve cardiovascular risk prediction or patient communication are scarce but will be required before its clinical use can be justified.</t>
  </si>
  <si>
    <t>Vitiligo-like depigmentation in patients with stage III-IV melanoma receiving immunotherapy and its association with survival: a systematic review and meta-analysis.</t>
  </si>
  <si>
    <t>Teulings, Hansje-Eva; Limpens, Jacqueline; Jansen, Sophia N; Zwinderman, Aeilko H; Reitsma, Johannes B; Spuls, Phyllis I; Luiten, Rosalie M</t>
  </si>
  <si>
    <t>https://pubmed.ncbi.nlm.nih.gov/25605840</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</si>
  <si>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&lt; .005) and overall survival (HR, 0.25; 95% CI, 0.10 to 0.61; P &lt;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</si>
  <si>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Prediction of escape red blood cell transfusion in expectantly managed women with acute anaemia after postpartum haemorrhage.</t>
  </si>
  <si>
    <t>Prick, B W; Schuit, E; Mignini, L; Jansen, A J G; van Rhenen, D J; Steegers, E A P; Mol, B W; Duvekot, J J; ,</t>
  </si>
  <si>
    <t>https://pubmed.ncbi.nlm.nih.gov/25600160</t>
  </si>
  <si>
    <t>To determine clinical predictors of escape red blood cell (RBC) transfusion in postpartum anaemic women, initially managed expectantly, and the additional predictive value of health-related quality of life (HRQoL) measures. Secondary analysis of women after postpartum haemorrhage, either randomly allocated to, or opting for expectant management. Thirty-seven hospitals in the Netherlands. A total of 261 randomised and 362 nonrandomised women. We developed prediction models to assess the need for RBC transfusion: one using clinical variables (model 1), and one extended with scores on the HRQoL-measures Multidimensional Fatigue Inventory (MFI) and EuroQol-5D (model 2). Model performance was assessed by discrimination and calibration. Models were internally validated with bootstrapping techniques to correct for overfitting. Escape RBC transfusion. Seventy-five women (12%) received escape RBC transfusion. Independent predictors of escape RBC transfusion (model 1) were primiparity, multiple pregnancy, total blood loss during delivery and haemoglobin concentration postpartum. Maternal age, body mass index, ethnicity, education, medical indication of pregnancy, mode of delivery, preterm delivery, placental removal, perineal laceration, Apgar score and breastfeeding intention had no predictive value. Addition of HRQoL-scores (model 2), significantly improved the model's discriminative ability: c-statistics of model 1 and 2 were 0.65 (95% CI 0.58-0.72) and 0.72 (95% CI 0.65-0.79), respectively. The calibration of both models was good. In postpartum anaemic women, several clinical variables predict the need for escape RBC transfusion. Adding HRQoL-scores improves model performance. After external validation, the extended model may be an important tool for counselling and decision making in clinical practice.</t>
  </si>
  <si>
    <t>The relationship between fermented food intake and mortality risk in the European Prospective Investigation into Cancer and Nutrition-Netherlands cohort.</t>
  </si>
  <si>
    <t>Praagman, Jaike; Dalmeijer, Geertje W; van der Schouw, Yvonne T; Soedamah-Muthu, Sabita S; Monique Verschuren, W M; Bas Bueno-de-Mesquita, H; Geleijnse, Johanna M; Beulens, Joline W J</t>
  </si>
  <si>
    <t>https://pubmed.ncbi.nlm.nih.gov/25599866</t>
  </si>
  <si>
    <t>The objective of the present study was to investigate the relationship between total and subtypes of bacterial fermented food intake (dairy products, cheese, vegetables and meat) and mortality due to all causes, total cancer and CVD. From the European Prospective Investigation into Cancer and Nutrition-Netherlands cohort, 34 409 Dutch men and women, aged 20-70 years who were free from CVD or cancer at baseline, were included. Baseline intakes of total and subtypes of fermented foods were measured with a validated FFQ. Data on the incidence and causes of death were obtained from the national mortality register. Cox proportional hazards models were used to analyse mortality in relation to the quartiles of fermented food intake. After a mean follow-up of 15 (sd 2·5) years, 2436 deaths occurred (1216 from cancer and 727 from CVD). After adjustment for age, sex, total energy intake, physical activity, education level, hypertension, smoking habit, BMI, and intakes of fruit, vegetables and alcohol, total fermented food intake was not found to be associated with mortality due to all causes (hazard ratio upper v. lowest quartile (HR(Q4 v. Q1)) 1·00, 95% CI 0·88, 1·13), cancer (HR(Q4 v. Q1) 1·02, 95% CI 0·86, 1·21) or CVD (HR(Q4 v. Q1) 1·04, 95 % CI 0·83, 1·30). Bacterial fermented foods mainly consisted of fermented dairy foods (78 %) and cheese (16%). None of the subtypes of fermented foods was consistently related to mortality, except for cheese which was moderately inversely associated with CVD mortality, and particularly stroke mortality (HR(Q4 v. Q1) 0·59, 95% CI 0·38, 0·92, P trend= 0·046). In conclusion, the present study provides no strong evidence that intake of fermented foods, particularly fermented dairy foods, is associated with mortality.</t>
  </si>
  <si>
    <t>Cause-specific mortality and years of life lost in patients with different manifestations of vascular disease.</t>
  </si>
  <si>
    <t>van Kruijsdijk, Rob Cm; van der Graaf, Yolanda; Koffijberg, Hendrik; de Borst, Gert Jan; Nathoe, Hendrik M; Jaap Kappelle, L; Visseren, Frank L J; ,</t>
  </si>
  <si>
    <t>https://pubmed.ncbi.nlm.nih.gov/25595551</t>
  </si>
  <si>
    <t>Patients with cardiovascular disease might be at increased risk of non-vascular mortality due to shared risk factors. Our aim was to evaluate causes of death and years of life lost (YLL) in patients with different manifestations of vascular disease. The design was a prospective cohort study. A total of 5911 patients with stable coronary artery disease, cerebrovascular disease, peripheral artery disease (PAD), abdominal aortic aneurysm or polyvascular disease were followed-up for mortality. Cause-specific standardised mortality ratios (SMRs) and YLL, compared to the Dutch population, were estimated. Determinants for cause-specific mortality were evaluated using competing risks models. During a median follow-up of 6.0 years (interquartile range (IQR): 3.1-9.2), 958 (16.2%) patients died. All-cause mortality was increased compared to the general population (SMR: 1.26, 95% confidence interval (CI): 1.18-1.34). Patients with PAD and polyvascular disease were at highest risk, especially for ischaemic heart disease (SMR: 2.52, 95% CI: 1.70-3.60 and SMR: 3.97, 95% CI: 3.18-4.90, respectively). Patients with PAD were at increased risk of dying from cancer (SMR: 1.67, 95% CI: 1.25-2.17). On average, patients with vascular disease of ≥50 years died 7.8 years younger than the general population, with 80% of the excess YLL attributable to cardiovascular disease. In middle-aged patients the excess YLL were about 10 years, of which 24% were lost due to cancer. Important determinants for mortality were male gender, smoking, physical inactivity, renal insufficiency and polyvascular disease. Patients with manifest vascular disease are at increased risk of both cardiovascular and cancer mortality, particularly patients with PAD or polyvascular disease. On average, patients with vascular disease of ≥50 years die 7.8 years younger than the general population.</t>
  </si>
  <si>
    <t>The diagnostic value of clinical symptoms in women and men presenting with chest pain at the emergency department, a prospective cohort study.</t>
  </si>
  <si>
    <t>van der Meer, Manon G; Backus, Barbra E; van der Graaf, Yolanda; Cramer, Maarten J; Appelman, Yolande; Doevendans, Pieter A; Six, A Jacob; Nathoe, Hendrik M</t>
  </si>
  <si>
    <t>https://pubmed.ncbi.nlm.nih.gov/25590466</t>
  </si>
  <si>
    <t>Previous studies suggested that diagnosing coronary artery disease (CAD) is more difficult in women than in men. Studies investigating the predictive value of clinical signs and symptoms and compare its combined diagnostic value between women and men are lacking. Data from a large multicenter prospective study was used. Patients admitted to the emergency department (ED) with chest pain but without ST-elevation were eligible. The endpoint was proven CAD, defined as a significant stenosis at angiography or the diagnosis of a non-ST-elevation myocardial infarction or cardiovascular death within six weeks after presentation at the ED. Twelve clinical symptoms and seven cardiovascular risk factors were collected. Potential predictors of CAD with a p-value &lt;0.15 in the univariable analysis were included in a multivariable model. The diagnostic value of clinical symptoms and cardiovascular risk factors was quantified in women and men separately and areas under the curve (AUC) were compared between sexes. A total of 2433 patients were included. We excluded 102 patients (4%) with either an incomplete follow up or ST-elevation. Of the remaining 2331 patients 43% (1003) were women. CAD was present in 111 (11%) women and 278 (21%) men. In women 11 out of 12 and in men 10 out of 12 clinical symptoms were univariably associated with CAD. The AUC of symptoms alone was 0.74 (95%CI: 0.69-0.79) in women and 0.71 (95%CI: 0.68-0.75) in men and increased to respectively 0.79 (95%CI: 0.74-0.83) in women versus 0.75 (95%CI: 0.72-0.78) in men after adding cardiovascular risk factors. The AUCs of women and men were not significantly different (p-value symptoms alone: 0.45, after adding cardiovascular risk factors: 0.11). The diagnostic value of clinical symptoms and cardiovascular risk factors for the diagnosis of CAD in chest pain patients presenting on the ED was high in women and men. No significant differences were found between sexes.</t>
  </si>
  <si>
    <t>Jet energy measurement and its systematic uncertainty in proton-proton collisions at [Formula: see text] TeV with the ATLAS detector.</t>
  </si>
  <si>
    <t xml:space="preserve">,; 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t>
  </si>
  <si>
    <t>https://pubmed.ncbi.nlm.nih.gov/26709345</t>
  </si>
  <si>
    <t>The jet energy scale (JES) and its systematic uncertainty are determined for jets measured with the ATLAS detector using proton-proton collision data with a centre-of-mass energy of [Formula: see text] TeV corresponding to an integrated luminosity of [Formula: see text][Formula: see text]. Jets are reconstructed from energy deposits forming topological clusters of calorimeter cells using the anti-[Formula: see text] algorithm with distance parameters [Formula: see text] or [Formula: see text], and are calibrated using MC simulations. A residual JES correction is applied to account for differences between data and MC simulations. This correction and its systematic uncertainty are estimated using a combination of in situ techniques exploiting the transverse momentum balance between a jet and a reference object such as a photon or a [Formula: see text] boson, for [Formula: see text] and pseudorapidities [Formula: see text]. The effect of multiple proton-proton interactions is corrected for, and an uncertainty is evaluated using in situ techniques. The smallest JES uncertainty of less than 1 % is found in the central calorimeter region ([Formula: see text]) for jets with [Formula: see text]. For central jets at lower [Formula: see text], the uncertainty is about 3 %. A consistent JES estimate is found using measurements of the calorimeter response of single hadrons in proton-proton collisions and test-beam data, which also provide the estimate for [Formula: see text] TeV. The calibration of forward jets is derived from dijet [Formula: see text] balance measurements. The resulting uncertainty reaches its largest value of 6 % for low-[Formula: see text] jets at [Formula: see text]. Additional JES uncertainties due to specific event topologies, such as close-by jets or selections of event samples with an enhanced content of jets originating from light quarks or gluons, are also discussed. The magnitude of these uncertainties depends on the event sample used in a given physics analysis, but typically amounts to 0.5-3 %.</t>
  </si>
  <si>
    <t>Quantitative comparison of 21 protocols for labeling hippocampal subfields and parahippocampal subregions in in vivo MRI: towards a harmonized segmentation protocol.</t>
  </si>
  <si>
    <t>Yushkevich, Paul A; Amaral, Robert S C; Augustinack, Jean C; Bender, Andrew R; Bernstein, Jeffrey D; Boccardi, Marina; Bocchetta, Martina; Burggren, Alison C; Carr, Valerie A; Chakravarty, M Mallar; Chételat, Gaël; Daugherty, Ana M; Davachi, Lila; Ding, Song-Lin; Ekstrom, Arne; Geerlings, Mirjam I; Hassan, Abdul; Huang, Yushan; Iglesias, J Eugenio; La Joie, Renaud; Kerchner, Geoffrey A; LaRocque, Karen F; Libby, Laura A; Malykhin, Nikolai; Mueller, Susanne G; Olsen, Rosanna K; Palombo, Daniela J; Parekh, Mansi B; Pluta, John B; Preston, Alison R; Pruessner, Jens C; Ranganath, Charan; Raz, Naftali; Schlichting, Margaret L; Schoemaker, Dorothee; Singh, Sachi; Stark, Craig E L; Suthana, Nanthia; Tompary, Alexa; Turowski, Marta M; Van Leemput, Koen; Wagner, Anthony D; Wang, Lei; Winterburn, Julie L; Wisse, Laura E M; Yassa, Michael A; Zeineh, Michael M; ,</t>
  </si>
  <si>
    <t>https://pubmed.ncbi.nlm.nih.gov/25596463</t>
  </si>
  <si>
    <t>An increasing number of human in vivo magnetic resonance imaging (MRI) studies have focused on examining the structure and function of the subfields of the hippocampal formation (the dentate gyrus, CA fields 1-3, and the subiculum) and subregions of the parahippocampal gyrus (entorhinal, perirhinal, and parahippocampal cortices). The ability to interpret the results of such studies and to relate them to each other would be improved if a common standard existed for labeling hippocampal subfields and parahippocampal subregions. Currently, research groups label different subsets of structures and use different rules, landmarks, and cues to define their anatomical extents. This paper characterizes, both qualitatively and quantitatively, the variability in the existing manual segmentation protocols for labeling hippocampal and parahippocampal substructures in MRI, with the goal of guiding subsequent work on developing a harmonized substructure segmentation protocol. MRI scans of a single healthy adult human subject were acquired both at 3 T and 7 T. Representatives from 21 research groups applied their respective manual segmentation protocols to the MRI modalities of their choice. The resulting set of 21 segmentations was analyzed in a common anatomical space to quantify similarity and identify areas of agreement. The differences between the 21 protocols include the region within which segmentation is performed, the set of anatomical labels used, and the extents of specific anatomical labels. The greatest overall disagreement among the protocols is at the CA1/subiculum boundary, and disagreement across all structures is greatest in the anterior portion of the hippocampal formation relative to the body and tail. The combined examination of the 21 protocols in the same dataset suggests possible strategies towards developing a harmonized subfield segmentation protocol and facilitates comparison between published studies.</t>
  </si>
  <si>
    <t>Physical activity and all-cause mortality across levels of overall and abdominal adiposity in European men and women: the European Prospective Investigation into Cancer and Nutrition Study (EPIC).</t>
  </si>
  <si>
    <t>Ekelund, Ulf; Ward, Heather A; Norat, Teresa; Luan, Jian'an; May, Anne M; Weiderpass, Elisabete; Sharp, Stephen J; Overvad, Kim; Østergaard, Jane Nautrup; Tjønneland, Anne; Johnsen, Nina Føns; Mesrine, Sylvie; Fournier, Agnès; Fagherazzi, Guy; Trichopoulou, Antonia; Lagiou, Pagona; Trichopoulos, Dimitrios; Li, Kuanrong; Kaaks, Rudolf; Ferrari, Pietro; Licaj, Idlir; Jenab, Mazda; Bergmann, Manuela; Boeing, Heiner; Palli, Domenico; Sieri, Sabina; Panico, Salvatore; Tumino, Rosario; Vineis, Paolo; Peeters, Petra H; Monnikhof, Evelyn; Bueno-de-Mesquita, H Bas; Quirós, J Ramón; Agudo, Antonio; Sánchez, María-José; Huerta, José María; Ardanaz, Eva; Arriola, Larraitz; Hedblad, Bo; Wirfält, Elisabet; Sund, Malin; Johansson, Mattias; Key, Timothy J; Travis, Ruth C; Khaw, Kay-Tee; Brage, Søren; Wareham, Nicholas J; Riboli, Elio</t>
  </si>
  <si>
    <t>https://pubmed.ncbi.nlm.nih.gov/25733647</t>
  </si>
  <si>
    <t>The higher risk of death resulting from excess adiposity may be attenuated by physical activity (PA). However, the theoretical number of deaths reduced by eliminating physical inactivity compared with overall and abdominal obesity remains unclear. We examined whether overall and abdominal adiposity modified the association between PA and all-cause mortality and estimated the population attributable fraction (PAF) and the years of life gained for these exposures. This was a cohort study in 334,161 European men and women. The mean follow-up time was 12.4 y, corresponding to 4,154,915 person-years. Height, weight, and waist circumference (WC) were measured in the clinic. PA was assessed with a validated self-report instrument. The combined associations between PA, BMI, and WC with mortality were examined with Cox proportional hazards models, stratified by center and age group, and adjusted for sex, education, smoking, and alcohol intake. Center-specific PAF associated with inactivity, body mass index (BMI; in kg/m²) (&gt;30), and WC (≥102 cm for men, ≥88 cm for women) were calculated and combined in random-effects meta-analysis. Life-tables analyses were used to estimate gains in life expectancy for the exposures. Significant interactions (PA × BMI and PA × WC) were observed, so HRs were estimated within BMI and WC strata. The hazards of all-cause mortality were reduced by 16-30% in moderately inactive individuals compared with those categorized as inactive in different strata of BMI and WC. Avoiding all inactivity would theoretically reduce all-cause mortality by 7.35% (95% CI: 5.88%, 8.83%). Corresponding estimates for avoiding obesity (BMI &gt;30) were 3.66% (95% CI: 2.30%, 5.01%). The estimates for avoiding high WC were similar to those for physical inactivity. The greatest reductions in mortality risk were observed between the 2 lowest activity groups across levels of general and abdominal adiposity, which suggests that efforts to encourage even small increases in activity in inactive individuals may be beneficial to public health.</t>
  </si>
  <si>
    <t>Serum retinol levels and pulmonary function in children and adolescents with cystic fibrosis.</t>
  </si>
  <si>
    <t>Woestenenk, J W; Broos, N; Stellato, R K; Arets, H G M; van der Ent, C K; Houwen, R H J</t>
  </si>
  <si>
    <t>https://pubmed.ncbi.nlm.nih.gov/25595045</t>
  </si>
  <si>
    <t>It has been suggested that higher serum retinol levels could have protective effects on pulmonary function (PF) in patients with cystic fibrosis (CF). However, serum retinol levels will be transiently decreased during pulmonary exacerbation. Therefore, the extent of chronic pulmonary inflammation should be included when describing the association between PF and serum retinol. We assessed the longitudinal relation between serum retinol, immunoglobulin G (IgG) and PF in paediatric CF patients. We studied the serum retinol, IgG and forced expiratory volumes in one second (FEV(1)% pred.) of 228 CF patients during a seven-year follow up period. The cross-sectional and longitudinal relations between these variables were assessed. Serum retinol, with medians levels between 1.2 and 1.4 μmol/l, were relatively stable, while median serum IgG gradually increased during the age years. The FEV(1)% pred. was longitudinally inversely associated with serum IgG and age, but not with serum retinol. Each g/l increase in serum IgG level was associated with an accelerated yearly decline in FEV(1)% pred. of 0.5% (95% CI -0.8 to -0.1, p=0.008), and each year increase in age was associated with a 1.7% (95% CI -2.1 to -1.3, p=0.000) decline in FEV(1)% pred. This effect was not observed with respect to serum retinol levels (95% CI -1.9 to 2.2, p=0.570). In this large sample of children and adolescents with CF, we found no evidence that higher serum retinol levels had protective effects on PF.</t>
  </si>
  <si>
    <t>Anti-Müllerian Hormone as a marker of ovarian reserve in relation to cardio-metabolic health: a narrative review.</t>
  </si>
  <si>
    <t>de Kat, Annelien C; Broekmans, Frank J M; Laven, Joop S; van der Schouw, Yvonne T</t>
  </si>
  <si>
    <t>https://pubmed.ncbi.nlm.nih.gov/25640611</t>
  </si>
  <si>
    <t>The final hallmark of diminishing ovarian reserve is menopause, a state known to be inextricably linked to the deterioration of female cardiovascular health. The menopausal transition is associated with an increased risk of future cardiovascular morbidity and mortality, irrespective of chronological age. The aim of this narrative review is to identify studies investigating the association between Anti-Müllerian Hormone (AMH), a marker of ovarian reserve status, and factors of cardio-metabolic risk. Both for regularly cycling women and women with polycystic ovary syndrome (PCOS), current reports are conflicting and heterogeneous, with some indicating presence and others absence of a correlation between AMH and cardio-metabolic risk factors. The occurrence of hypertensive complications in pregnancy, known to increase the risk of later cardiovascular sequelae, is associated with reduced AMH levels in various study populations. Further research remains a prerequisite in order to further elucidate a possible common mechanism for ovarian and cardiovascular decline. More knowledge of the temporal or causal association between ovarian and cardiovascular decline may enable timely identification of women with increased risk of cardiovascular disease or early onset ovarian aging. Following this, AMH may in the future play a role beyond the scope of female reproduction.</t>
  </si>
  <si>
    <t>Recurrence of hypertensive disorders of pregnancy: an individual patient data metaanalysis.</t>
  </si>
  <si>
    <t>van Oostwaard, Miriam F; Langenveld, Josje; Schuit, Ewoud; Papatsonis, Dimitri N M; Brown, Mark A; Byaruhanga, Romano N; Bhattacharya, Sohinee; Campbell, Doris M; Chappell, Lucy C; Chiaffarino, Francesca; Crippa, Isabella; Facchinetti, Fabio; Ferrazzani, Sergio; Ferrazzi, Enrico; Figueiró-Filho, Ernesto A; Gaugler-Senden, Ingrid P M; Haavaldsen, Camilla; Lykke, Jacob A; Mbah, Alfred K; Oliveira, Vanessa M; Poston, Lucilla; Redman, Christopher W G; Salim, Raed; Thilaganathan, Baskaran; Vergani, Patrizia; Zhang, Jun; Steegers, Eric A P; Mol, Ben Willem J; Ganzevoort, Wessel</t>
  </si>
  <si>
    <t>https://pubmed.ncbi.nlm.nih.gov/25582098</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</si>
  <si>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</si>
  <si>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A genome-wide association study of marginal zone lymphoma shows association to the HLA region.</t>
  </si>
  <si>
    <t>Vijai, Joseph; Wang, Zhaoming; Berndt, Sonja I; Skibola, Christine F; Slager, Susan L; de Sanjose, Silvia; Melbye, Mads; Glimelius, Bengt; Bracci, Paige M; Conde, Lucia; Birmann, Brenda M; Wang, Sophia S; Brooks-Wilson, Angela R; Lan, Qing; de Bakker, Paul I W; Vermeulen, Roel C H; Portlock, Carol; Ansell, Stephen M; Link, Brian K; Riby, Jacques; North, Kari E; Gu, Jian; Hjalgrim, Henrik; Cozen, Wendy; Becker, Nikolaus; Teras, Lauren R; Spinelli, John J; Turner, Jenny; Zhang, Yawei; Purdue, Mark P; Giles, Graham G; Kelly, Rachel S; Zeleniuch-Jacquotte, Anne; Ennas, Maria Grazia; Monnereau, Alain; Bertrand, Kimberly A; Albanes, Demetrius; Lightfoot, Tracy; Yeager, Meredith; Chung, Charles C; Burdett, Laurie; Hutchinson, Amy; Lawrence, Charles; Montalvan, Rebecca; Liang, Liming; Huang, Jinyan; Ma, Baoshan; Villano, Danylo J; Maria, Ann; Corines, Marina; Thomas, Tinu; Novak, Anne J; Dogan, Ahmet; Liebow, Mark; Thompson, Carrie A; Witzig, Thomas E; Habermann, Thomas M; Weiner, George J; Sm</t>
  </si>
  <si>
    <t>https://pubmed.ncbi.nlm.nih.gov/25569183</t>
  </si>
  <si>
    <t>Marginal zone lymphoma (MZL) is the third most common subtype of B-cell non-Hodgkin lymphoma. Here we perform a two-stage GWAS of 1,281 MZL cases and 7,127 controls of European ancestry and identify two independent loci near BTNL2 (rs9461741, P=3.95 × 10(-15)) and HLA-B (rs2922994, P=2.43 × 10(-9)) in the HLA region significantly associated with MZL risk. This is the first evidence that genetic variation in the major histocompatibility complex influences MZL susceptibility.</t>
  </si>
  <si>
    <t>Identification of the transporter responsible for sucrose accumulation in sugar beet taproots.</t>
  </si>
  <si>
    <t>Jung, Benjamin; Ludewig, Frank; Schulz, Alexander; Meißner, Garvin; Wöstefeld, Nicole; Flügge, Ulf-Ingo; Pommerrenig, Benjamin; Wirsching, Petra; Sauer, Norbert; Koch, Wolfgang; Sommer, Frederik; Mühlhaus, Timo; Schroda, Michael; Cuin, Tracey Ann; Graus, Dorothea; Marten, Irene; Hedrich, Rainer; Neuhaus, H Ekkehard</t>
  </si>
  <si>
    <t>nature plants</t>
  </si>
  <si>
    <t>https://pubmed.ncbi.nlm.nih.gov/27246048</t>
  </si>
  <si>
    <t>Sugar beet provides around one third of the sugar consumed worldwide and serves as a significant source of bioenergy in the form of ethanol. Sucrose accounts for up to 18% of plant fresh weight in sugar beet. Most of the sucrose is concentrated in the taproot, where it accumulates in the vacuoles. Despite 30 years of intensive research, the transporter that facilitates taproot sucrose accumulation has escaped identification. Here, we combine proteomic analyses of the taproot vacuolar membrane, the tonoplast, with electrophysiological analyses to show that the transporter BvTST2.1 is responsible for vacuolar sucrose uptake in sugar beet taproots. We show that BvTST2.1 is a sucrose-specific transporter, and present evidence to suggest that it operates as a proton antiporter, coupling the import of sucrose into the vacuole to the export of protons. BvTST2.1 exhibits a high amino acid sequence similarity to members of the tonoplast monosaccharide transporter family in Arabidopsis, prompting us to rename this group of proteins 'tonoplast sugar transporters'. The identification of BvTST2.1 could help to increase sugar yields from sugar beet and other sugar-storing plants in future breeding programs.</t>
  </si>
  <si>
    <t>A Controlled Health Promoting School Study in the Netherlands: Effects After 1 and 2 Years of Intervention.</t>
  </si>
  <si>
    <t>Busch, Vincent; De Leeuw, Johannes Rob Josephus; Zuithoff, Nicolaas P A; Van Yperen, Tom Albert; Schrijvers, Augustinus Jacobus Petrus</t>
  </si>
  <si>
    <t>health promotion practice</t>
  </si>
  <si>
    <t>https://pubmed.ncbi.nlm.nih.gov/25566994</t>
  </si>
  <si>
    <t>Many unhealthy behavioral habits often originate in adolescence. In the literature, the school-based whole school approach is stated be the most promising way to promote healthy behavior. Herein, interventions are evidence based and integrated into the curriculum, while embedded in complementary healthy school policies and environment. This study evaluates the effects of such an intervention on Dutch high schools. Two Dutch high schools and two controls were followed to evaluate the intervention's effects on health behaviors, body mass index, and psychosocial problems after 1 year (N = 969) and 2 years (N = 605). Outcomes were measured via self-report surveys and analyzed with mixed methods regression analyses. To complement information on intervention effects, structured interviews were held with a representative sample of teachers per intervention school to map their respective whole school approach implementation success. After 2 years, one intervention school showed significant improvements: Body mass index and excessive screen time use were reduced. In the other intervention school, priority targets did not improve. These findings reflected their respective success in intervention implementation, for example, differences in intervention integration and tailoring. This study shows that it is feasible for schools to implement a comprehensive Health Promoting School intervention themselves and that, when successful, effects in terms of improving behaviors and health outcomes are promising. The process evaluation helped understand these findings in context.</t>
  </si>
  <si>
    <t>Effect of repetitive intra-arterial infusion of bone marrow mononuclear cells in patients with no-option limb ischemia: the randomized, double-blind, placebo-controlled Rejuvenating Endothelial Progenitor Cells via Transcutaneous Intra-arterial Supplementation (JUVENTAS) trial.</t>
  </si>
  <si>
    <t>Teraa, Martin; Sprengers, Ralf W; Schutgens, Roger E G; Slaper-Cortenbach, Ineke C M; van der Graaf, Yolanda; Algra, Ale; van der Tweel, Ingeborg; Doevendans, Pieter A; Mali, Willem P Th M; Moll, Frans L; Verhaar, Marianne C</t>
  </si>
  <si>
    <t>https://pubmed.ncbi.nlm.nih.gov/25567765</t>
  </si>
  <si>
    <t>Patients with severe limb ischemia may not be eligible for conventional therapeutic interventions. Pioneering clinical trials suggest that bone marrow-derived cell therapy enhances neovascularization, improves tissue perfusion, and prevents amputation. The objective of this trial was to determine whether repetitive intra-arterial infusion of bone marrow mononuclear cells (BMMNCs) in patients with severe, nonrevascularizable limb ischemia can prevent major amputation. The Rejuvenating Endothelial Progenitor Cells via Transcutaneous Intra-arterial Supplementation (JUVENTAS) trial is a randomized, double-blind, placebo-controlled clinical trial in 160 patients with severe, nonrevascularizable limb ischemia. Patients were randomly assigned to repetitive (3 times; 3-week interval) intra-arterial infusion of BMMNC or placebo. No significant differences were observed for the primary outcome, ie, major amputation at 6 months, with major amputation rates of 19% in the BMMNC versus 13% in the placebo group (relative risk, 1.46; 95% confidence interval, 0.62-3.42). The safety outcome (all-cause mortality, occurrence of malignancy, or hospitalization due to infection) was not significantly different between the groups (relative risk, 1.46; 95% confidence interval, 0.63-3.38), neither was all-cause mortality at 6 months with 5% versus 6% (relative risk, 0.78; 95% confidence interval, 0.22-2.80). Secondary outcomes quality of life, rest pain, ankle-brachial index, and transcutaneous oxygen pressure improved during follow-up, but there were no significant differences between the groups. Repetitive intra-arterial infusion of autologous BMMNCs into the common femoral artery did not reduce major amputation rates in patients with severe, nonrevascularizable limb ischemia in comparison with placebo. The general improvement in secondary outcomes during follow-up in both the BMMNC and the placebo group, as well, underlines the essential role for placebo-controlled design of future trials. http://www.clinicaltrials.gov. Unique identifier: NCT00371371.</t>
  </si>
  <si>
    <t>Transparent reporting of a multivariable prediction model for individual prognosis or diagnosis (TRIPOD): the TRIPOD statement.</t>
  </si>
  <si>
    <t>https://pubmed.ncbi.nlm.nih.gov/25569120</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</si>
  <si>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www.tripod-statement.org).To encourage dissemination of the TRIPOD Statement, this article is freely accessible on the Annals of Internal Medicine Web site (www.annals.org) and will be also published in BJOG, British Journal of Cancer, British Journal of Surgery, BMC Medicine, The BMJ, Circulation, Diabetic Medicine, European Journal of Clinical Investigation, European Urology, and Journal of Clinical Epidemiology. The authors jointly hold the copyright of this article. An accompanying explanation and elaboration article is freely available only on www.annals.org; Annals of Internal Medicine holds copyright for that article.</t>
  </si>
  <si>
    <t>Transparent Reporting of a Multivariable Prediction Model for Individual Prognosis or Diagnosis (TRIPOD): The TRIPOD Statement.</t>
  </si>
  <si>
    <t>Collins, Gary S; Reitsma, Johannes B; Altman, Douglas G; Moons, Karel G M; ,</t>
  </si>
  <si>
    <t>https://pubmed.ncbi.nlm.nih.gov/25572824</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</si>
  <si>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Web-based survey and revised during a 3-day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t>
  </si>
  <si>
    <t>Transparent reporting of a multivariable prediction model for individual prognosis or diagnosis (TRIPOD): the TRIPOD statement. The TRIPOD Group.</t>
  </si>
  <si>
    <t>https://pubmed.ncbi.nlm.nih.gov/25561516</t>
  </si>
  <si>
    <t>Preterm birth in singleton and multiple pregnancies: evaluation of costs and perinatal outcomes.</t>
  </si>
  <si>
    <t>van Baaren, Gert J; Peelen, Myrthe J C S; Schuit, Ewoud; van der Post, Joris A M; Mol, Ben W J; Kok, Marjolein; Hajenius, Petra J</t>
  </si>
  <si>
    <t>https://pubmed.ncbi.nlm.nih.gov/25597886</t>
  </si>
  <si>
    <t>To estimate costs of preterm birth in singleton and multiple pregnancies. Cost analysis based on data from a prospective cohort study and three multicentre randomised controlled trials (2006-2012) in a Dutch nationwide consortium for women's health research. Women with preterm birth before 37 completed weeks were included for analysis. Direct costs were estimated from a health care perspective, from delivery until discharge or decease of the neonates. Costs and adverse perinatal outcome per pregnancy were measured. Adverse perinatal outcome comprised both perinatal mortality and a composite of neonatal morbidity defined as chronic lung disease, intraventricular haemorrhage≥grade 2, periventricular leukomalacia≥grade 1, proven sepsis or necrotising enterocolitis. Using a moving average technique covering three weeks per measurement, costs and adverse perinatal outcome per woman delivering for every week between 24 and 37 weeks are reported. Data of 2802 women were available of whom 1503 (53.6%) had a preterm birth; 501 in 1090 singleton (46%) and 1002 in 1712 multiple pregnancies (58.5%). The most frequent perinatal outcomes were perinatal mortality, chronic lung disease and sepsis. For singleton pregnancies the peak of total costs was at 25 weeks (€88,052 per delivery), compared to 27 weeks for multiple pregnancies (€169,571 per delivery). The total costs declined rapidly with increasing duration of pregnancy. Major cost drivers were length of stay on the NICU and airway treatments. The peaks seen in costs paralleled with the prevalence of adverse perinatal outcome. These data can be used to elaborate on the impact of preterm birth in case only data are available on duration of pregnancy.</t>
  </si>
  <si>
    <t>Dynamics of smoking-induced genome-wide methylation changes with time since smoking cessation.</t>
  </si>
  <si>
    <t>Guida, Florence; Sandanger, Torkjel M; Castagné, Raphaële; Campanella, Gianluca; Polidoro, Silvia; Palli, Domenico; Krogh, Vittorio; Tumino, Rosario; Sacerdote, Carlotta; Panico, Salvatore; Severi, Gianluca; Kyrtopoulos, Soterios A; Georgiadis, Panagiotis; Vermeulen, Roel C H; Lund, Eiliv; Vineis, Paolo; Chadeau-Hyam, Marc</t>
  </si>
  <si>
    <t>https://pubmed.ncbi.nlm.nih.gov/25556184</t>
  </si>
  <si>
    <t>Several studies have recently identified strong epigenetic signals related to tobacco smoking. However, an aspect that did not receive much attention is the evolution of epigenetic changes with time since smoking cessation. We conducted a series of epigenome-wide association studies to capture the dynamics of smoking-induced epigenetic changes after smoking cessation, using genome-wide methylation profiles obtained from blood samples in 745 women from 2 European populations. Two distinct classes of CpG sites were identified: sites whose methylation reverts to levels typical of never smokers within decades after smoking cessation, and sites remaining differentially methylated, even more than 35 years after smoking cessation. Our results suggest that the dynamics of methylation changes following smoking cessation are driven by a differential and site-specific magnitude of the smoking-induced alterations (with persistent sites being most affected) irrespective of the intensity and duration of smoking. Analyses of the link between methylation and expression levels revealed that methylation predominantly and remotely down-regulates gene expression. Among genes whose expression was associated with our candidate CpG sites, LRRN3 appeared to be particularly interesting as it was one of the few genes whose methylation and expression were directly associated, and the only gene in which both methylation and gene expression were found associated with smoking. Our study highlights persistent epigenetic markers of smoking, which can potentially be detected decades after cessation. Such historical signatures are promising biomarkers to refine individual risk profiling of smoking-induced chronic disease such as lung cancer.</t>
  </si>
  <si>
    <t>Arterial pressure waveform analysis versus thermodilution cardiac output measurement during open abdominal aortic aneurysm repair: a prospective observational study.</t>
  </si>
  <si>
    <t>Montenij, Leonard J; Buhre, Wolfgang F; de Jong, Steven A; Harms, Jeroen H; van Herwaarden, Joost A; Kruitwagen, Cas L J J; de Waal, Eric E C</t>
  </si>
  <si>
    <t>european journal of anaesthesiology</t>
  </si>
  <si>
    <t>https://pubmed.ncbi.nlm.nih.gov/25303970</t>
  </si>
  <si>
    <t>Arterial pressure waveform analysis enables continuous, minimally invasive measurement of cardiac output. Haemodynamic instability compromises the reliability of the technique and a means of maintaining accurate measurement in this circumstance would be useful. To investigate the accuracy, precision and trending ability of arterial pressure waveform cardiac output obtained with FloTrac/Vigileo, versus pulmonary artery thermodilution in patients undergoing elective open abdominal aortic aneurysm repair. A prospective observational study. Operating room in a university hospital. Twenty-two patients scheduled for elective, open abdominal aortic aneurysm repair. Bias, limits of agreement and mean error as determined with Bland-Altman analysis between arterial waveform and thermodilution cardiac output assessment at four time points: after induction of anaesthesia (t1); after aortic cross-clamping (t2); after clamp release (t3); and after skin closure (t4). Trending ability from t1 to t2, t2 to t3 and t3 to t4, determined with four-quadrant and polar plot methodology. Clinically acceptable boundaries were defined in advance. Bland-Altman analysis revealed a bias of 0.54 l min (thermodilution minus arterial waveform cardiac output) for pooled data, and 0.51 (t1), -0.42 (t2), 0.98 (t3) and 0.98 (t4) l min at the different time points. Limits of agreement (LOA) were [-3.0 to 4.0] (pooled), [-2.0 to 3.0] (t1), [-3.1 to 2.3] (t2), [-2.5 to 4.4] (t3) and [-1.7 to 3.7] (t4) l min, resulting in mean errors of 58% (pooled), 45% (t1), 53% (t2), 52% (t3) and 41% (t4). Four-quadrant concordance was 65%. Polar plot analysis resulted in an angular bias of -12°, with radial LOA of -60° to 36°. Bias between arterial waveform and thermodilution cardiac output was within a predefined acceptable range, but the mean error was above the accepted range of 30%. Trending ability was poor. Arterial waveform and thermodilution cardiac outputs are, therefore, not interchangeable in patients undergoing open abdominal aortic aneurysm repair.</t>
  </si>
  <si>
    <t>Three-dimensional lower extremity kinematics of Chinese during activities of daily living.</t>
  </si>
  <si>
    <t>Han, Shuyang; Cheng, Gang; Xu, Peng</t>
  </si>
  <si>
    <t>journal of back and musculoskeletal rehabilitation</t>
  </si>
  <si>
    <t>https://pubmed.ncbi.nlm.nih.gov/25096318</t>
  </si>
  <si>
    <t>There were gender differences regarding lower extremity kinematics. The purpose of this study was to investigate three-dimensional kinematics of lower extremity for young Chinese during daily activities and to identify gender differences in lower extremity kinematics. Lower extremity motions of 40 healthy volunteers (20 males and 20 females) were recorded while each subject performing each of three daily activities (walking, jogging, and deep squatting). The spatiotemporal parameters (speed, cadence and step length) and 3D joint kinematics (peak angles and mean range of motions) were compared with previous results and within gender group. Independents t-tests were used to test statistical significance (p&lt; 0.05). Statistical analysis suggested that there was no gender difference in sagittal plane motions at the hip, knee and ankle joints, while females displayed greater non-sagittal plane joint motions compared to their male counterparts. The outcomes of this study added basic understanding of joint biomechanics during daily activities of Chinese and provided a basis for comparison to patients with various joint diseases.</t>
  </si>
  <si>
    <t>Angiotensin-converting enzyme in cerebrospinal fluid and risk of brain atrophy.</t>
  </si>
  <si>
    <t>Jochemsen, Hadassa M; van der Flier, Wiesje M; Ashby, Emma L; Teunissen, Charlotte E; Jones, Ruth E; Wattjes, Mike P; Scheltens, Philip; Geerlings, Mirjam I; Kehoe, Patrick G; Muller, Majon</t>
  </si>
  <si>
    <t>https://pubmed.ncbi.nlm.nih.gov/25201786</t>
  </si>
  <si>
    <t>Higher angiotensin-converting enzyme (ACE) activity might increase the risk of Alzheimer's disease by increasing blood pressure, and subsequent development of cerebral small vessel disease (CSVD). Yet, it may also decrease this risk, as it functions to degrade amyloid-β, thereby reducing brain atrophy. To examine the cross-sectional associations of serum and cerebrospinal fluid (CSF) ACE protein levels and activity with brain atrophy and CSVD in a memory clinic cohort. In 118 subjects from the memory clinic based Amsterdam Dementia Cohort (mean age 66 ± 8 years), ACE protein levels (ng/ml) and activity in CSF and serum were investigated. Poisson regression analyses were used to associate ACE measurements with rated global cortical atrophy, medial temporal lobe atrophy, lacunar infarcts, white matter hyperintensities, and microbleeds on brain MRI. Higher CSF ACE activity was associated with a reduced risk of global brain atrophy. The relative risk (95% CI) of having global cortical atrophy ≥2 per SD increase in CSF ACE activity was 0.67 (0.49; 0.93). ACE levels were not significantly related to measures of CSVD. These results show that high ACE might have protective effects on the brain. This could suggest that ACE inhibitors, which may lower CSF ACE levels, are not preferred as antihypertensive treatment in patients at risk for Alzheimer's disease.</t>
  </si>
  <si>
    <t>Fighting antibiotic resistance in the intensive care unit using antibiotics.</t>
  </si>
  <si>
    <t>Plantinga, Nienke L; Wittekamp, Bastiaan H J; van Duijn, Pleun J; Bonten, Marc J M</t>
  </si>
  <si>
    <t>https://pubmed.ncbi.nlm.nih.gov/25812462</t>
  </si>
  <si>
    <t>Antibiotic resistance is a global and increasing problem that is not counterbalanced by the development of new therapeutic agents. The prevalence of antibiotic resistance is especially high in intensive care units with frequently reported outbreaks of multidrug-resistant organisms. In addition to classical infection prevention protocols and surveillance programs, counterintuitive interventions, such as selective decontamination with antibiotics and antibiotic rotation have been applied and investigated to control the emergence of antibiotic resistance. This review provides an overview of selective oropharyngeal and digestive tract decontamination, decolonization of methicillin-resistant Staphylococcus aureus and antibiotic rotation as strategies to modulate antibiotic resistance in the intensive care unit.</t>
  </si>
  <si>
    <t>Hippocampal disconnection in early Alzheimer's disease: a 7 tesla MRI study.</t>
  </si>
  <si>
    <t>Wisse, Laura E M; Reijmer, Yael D; ter Telgte, Annemieke; Kuijf, Hugo J; Leemans, Alexander; Luijten, Peter R; Koek, Huiberdina L; Geerlings, Mirjam I; Biessels, Geert Jan; ,</t>
  </si>
  <si>
    <t>https://pubmed.ncbi.nlm.nih.gov/25697703</t>
  </si>
  <si>
    <t>In patients with Alzheimer's disease (AD), atrophy of the entorhinal cortex (ERC) and hippocampal formation may induce degeneration of connecting white matter tracts. We examined the association of hippocampal subfield and ERC atrophy at 7 tesla MRI with fornix and parahippocampal cingulum (PHC) microstructure in patients with early AD. Twenty-five patients with amnestic mild cognitive impairment (aMCI) (n = 15) or early AD (n = 10) and 17 controls underwent 3 tesla diffusion MRI to obtain fractional anisotropy (FA) of the fornix and PHC and 7 tesla MRI to obtain ERC and hippocampal subfield volumes. Linear regression analyses were performed, adjusted for age, gender, and intracranial volume. Fornix FA was significantly lower and subiculum, cornu ammonis (CA) 1, and dentate gyrus &amp;CA4 volume were significantly smaller in patients with MCI or AD as compared to controls. In patients with MCI or AD, fornix FA was positively associated with subiculum volume (β = 0.53, 95% CI 0.10; 0.96), but not with ERC/other subfield volumes. PHC FA was not associated with ERC/subfield volumes. These findings indicate that in early AD subiculum atrophy is associated with lower FA of the fornix, which primarily consists of axons originating in the subiculum. This suggests that degeneration of subicular cell bodies and their axons are related processes in early AD.</t>
  </si>
  <si>
    <t>Postoperative bladder catheterization based on individual bladder capacity: a randomized trial.</t>
  </si>
  <si>
    <t>Brouwer, Tammo A; Rosier, Peter F W M; Moons, Karel G M; Zuithoff, Nicolaas P A; van Roon, Eric N; Kalkman, Cor J</t>
  </si>
  <si>
    <t>https://pubmed.ncbi.nlm.nih.gov/25371036</t>
  </si>
  <si>
    <t>Untreated postoperative urinary retention can result in permanent lower urinary tract dysfunction and can be prevented by timely bladder catheterization. The author hypothesized that the incidence of postoperative bladder catheterization can be decreased by using the patient's own maximum bladder capacity (MBC) instead of a fixed bladder volume of 500 ml as a threshold for catheterization. Randomized parallel-arm and single-blinded comparative effectiveness trial conducted in 1,840 surgical patients, operated under general or spinal anesthesia without an indwelling urinary catheter. Patients were randomized to either use their individual MBC (index) or a fixed bladder volume of 500 ml (control) as a threshold for postoperative bladder catheterization. Preoperatively, the MBC was determined at home by voiding in a calibrated bowl. All other bladder volumes were measured by ultrasound. Postoperatively, bladder catheterization was performed when spontaneous voiding was impossible, and the ultrasound measurement exceeded the threshold for the group in which the patient was randomized (500 or MBC). The primary outcome was the incidence of bladder catheterization. The average MBC in the control group was 582 ml (±199 ml) and in the index group 611 ml (±209 ml). The incidence of catheterization decreased from 11.8% (107 of 909 patients) in the control group to 8.6% (80 of 931) in the index group (relative risk 0.73, 95% CI 0.55 to 0.96, P = 0.025). There were no adverse events in either group. In patients undergoing surgery under general or spinal anesthesia using the MBC rather than a fixed 500 ml threshold for bladder catheterization is a safe approach that significantly reduces the incidence of postoperative bladder catheterizations.</t>
  </si>
  <si>
    <t>The cost-effectiveness of point-of-care D-dimer tests compared with a laboratory test to rule out deep venous thrombosis in primary care.</t>
  </si>
  <si>
    <t>Hendriksen, Janneke M T; Geersing, Geert-Jan; van Voorthuizen, Suzanne C; Oudega, Ruud; Ten Cate-Hoek, Arina J; Joore, Manuela A; Moons, Karel G M; Koffijberg, Hendrik</t>
  </si>
  <si>
    <t>https://pubmed.ncbi.nlm.nih.gov/25537569</t>
  </si>
  <si>
    <t>Point-of-care (POC) D-dimer tests have been developed to exclude deep venous thrombosis quickly and on the spot, but are known to have lower sensitivity compared with laboratory-based tests. Their cost-effectiveness is still unknown. We updated and extended a previously published Markov model to assess the cost-effectiveness of POC D-dimer tests ('Simplify', 'Cardiac', 'Triage' and 'Nycocard') compared with a laboratory-based latex assay to diagnose deep venous thrombosis in primary care. The 'Laboratory' strategy resulted in 6.986 quality-adjusted life years at the cost of €8354 per patient. All POC D-dimer tests resulted in health outcomes similar to the 'Laboratory' strategy. The 'Simplify' strategy maximized cost savings (-€155 [95% CI: -€246 to -€83]). POC D-dimer tests yield similar health outcomes as laboratory-based testing procedures but can be performed more easily and at lower costs. Therefore, these tests are an alternative to laboratory-based testing and might be considered for exclusion of deep venous thrombosis in primary care.</t>
  </si>
  <si>
    <t>The unfortunate research inertia on studying VTE in nursing homes.</t>
  </si>
  <si>
    <t>Geersing, Geert-Jan; Schouten, Henrike J; Koek, Huiberdine L; Oudega, Ruud; van Delden, Johannes J M; Moons, Karel G M</t>
  </si>
  <si>
    <t>https://pubmed.ncbi.nlm.nih.gov/25560869</t>
  </si>
  <si>
    <t>[Prevention of infections with highly resistant microorganisms: maximizing transparency by using outcome indicators].</t>
  </si>
  <si>
    <t>Bonten, Marc J M; Friedrich, Alexander; Kluytmans, Jan; Vandenbroucke-Grauls, Christina M; Voss, Andreass; Vos, Margreet C</t>
  </si>
  <si>
    <t>https://pubmed.ncbi.nlm.nih.gov/26058764</t>
  </si>
  <si>
    <t>In the Netherlands the quality of health care is supervised by the Health Care Inspectorate. Since 2013 the Health Care Inspectorate has been specifically checking hospital practices for reducing transmission of highly resistant microorganisms. Its mode of operation, using process indicators, has been criticised. Here, it is proposed that this quality control be based on relevant outcome parameters of infection prevention strategies. This would also maximise transparency regarding the occurrence of infections caused by highly resistant microorganisms in Dutch hospitals.</t>
  </si>
  <si>
    <t>Clean air in Europe: beyond the horizon?</t>
  </si>
  <si>
    <t>Brunekreef, Bert; Künzli, Nino; Pekkanen, Juha; Annesi-Maesano, Isabella; Forsberg, Bertil; Sigsgaard, Torben; Keuken, Menno; Forastiere, Francesco; Barry, Maeve; Querol, Xavier; Harrison, Roy M</t>
  </si>
  <si>
    <t>https://pubmed.ncbi.nlm.nih.gov/25552729</t>
  </si>
  <si>
    <t>[The physician and the collector of diagnoses].</t>
  </si>
  <si>
    <t>Geersing, Geert-Jan</t>
  </si>
  <si>
    <t>https://pubmed.ncbi.nlm.nih.gov/25850457</t>
  </si>
  <si>
    <t>In the course of the medical curriculum, medical students are trained to recognise diagnoses. They classify these in their minds, together with detailed information on laboratory and imaging tests, as collections of diagnoses. The downside of this could be overdiagnosis. This paper describes some of the faces of overdiagnosis. American writer and physician Abraham Verghese eloquently describes one of these: the e-doctor looking at a computer screen to see what is wrong with the patient, rather than starting with a thorough clinical bedside evaluation. Other examples include the finding of small sub-segmental pulmonary emboli by increasingly sensitive spiral CT scanning. Finally, this paper describes a possible answer to overdiagnosis: prognostic research, notably answering questions such as 'what additional diagnostic testing will truly improve my patient's prognosis, given their current presentation of signs and symptoms?'</t>
  </si>
  <si>
    <t>[Prescribing antibiotics for sore throat: a persistent habit].</t>
  </si>
  <si>
    <t>Damoiseaux, Roger A M J; Venekamp, Roderick P</t>
  </si>
  <si>
    <t>https://pubmed.ncbi.nlm.nih.gov/26332821</t>
  </si>
  <si>
    <t>Recently the revision of the guideline of the Dutch College of General Practitioners on sore throat has been published. Again, one of the key messages is restricting the use of antibiotics. In the Netherlands general practitioners prescribe antibiotics in 50% of cases of tonsillitis. Although there has been a decrease in the number of antibiotic prescriptions for tonsillitis in the last 30 years, they are still being prescribed twice as often as is recommended by the guideline. The beliefs of both patient and doctor play an important role in prescribing and better communication might help to improve the situation. Public campaigns can also help by providing the best knowledge on the effectiveness of antibiotics to the public.</t>
  </si>
  <si>
    <t>[The general practitioner is not in the lead on ADHD].</t>
  </si>
  <si>
    <t>Damoiseaux, Roger A M J</t>
  </si>
  <si>
    <t>https://pubmed.ncbi.nlm.nih.gov/25654688</t>
  </si>
  <si>
    <t>The diagnosis of and therapy for ADHD is complex and should be done by experts in this field. In the Netherlands, a new guideline on ADHD for general practitioners has recently been issued. Although there is some room for general practitioners to start medication for this disorder, the main message is to exercise caution in starting medication in general practice. Many children with ADHD have psychiatric comorbidity and proper diagnosis by a specialist is recommended. The main task of the general practitioner is making the right choice concerning when to refer for further diagnosis. Children sometimes show behaviour which, although it is not always what adults want, does not necessarily require psychiatric intervention and this is what a general practitioner can determine.</t>
  </si>
  <si>
    <t>Gastroenteritis attributable to 16 enteropathogens in children attending day care: significant effects of rotavirus, norovirus, astrovirus, Cryptosporidium and Giardia.</t>
  </si>
  <si>
    <t>Enserink, Remko; van den Wijngaard, Cees; Bruijning-Verhagen, Patricia; van Asten, Liselotte; Mughini-Gras, Lapo; Duizer, Erwin; Kortbeek, Titia; Scholts, Rianne; Nagelkerke, Nico; Smit, Henriette A; Kooistra-Smid, Mirjam; van Pelt, Wilfrid</t>
  </si>
  <si>
    <t>https://pubmed.ncbi.nlm.nih.gov/24983718</t>
  </si>
  <si>
    <t>Children attending day care experience substantial gastrointestinal morbidity due to circulating seasonal enteropathogens in the day-care environment. The lack of a distinct clinical presentation of gastroenteritis (GE) in these children, in combination with the high diversity of enteropathogenic agents, complicates the assessment of the individual contributions of enteropathogens that may cause GE. We aimed to estimate the proportion of day-care attendees experiencing GE that could be attributed to a range of enteropathogens circulating in day care in the Netherlands in 2010-2013. Using time-series data from a national laboratory-based and syndrome-based surveillance system in Dutch day-care centers and generalized estimating equation analysis, we modelled the variation in prevalence of 16 enteropathogens of bacterial (8), viral (5) and parasitic origin (3) circulating in day care to the variation of GE incidence among children attending day care. Rotavirus, norovirus, astrovirus, Giardia and Cryptosporidium were significantly associated with GE morbidity among day-care attendees in our time-series analysis. Together, these enteropathogens accounted for 39% of the GE morbidity: 11% by rotavirus, 10% by norovirus, 8% by Giardia, 7% by astrovirus and 3% by Cryptosporidium. We demonstrate that circulating viruses and parasites, rather than bacteria, contribute to seasonal GE experienced by children in day care.</t>
  </si>
  <si>
    <t>Societal impacts of regenerative medicine: reflections on the views of orthopedic professionals.</t>
  </si>
  <si>
    <t>Niemansburg, Sophie L; Tempels, Tjidde H; Dhert, Wouter J A; van Delden, Johannes J M; Bredenoord, Annelien L</t>
  </si>
  <si>
    <t>https://pubmed.ncbi.nlm.nih.gov/25562349</t>
  </si>
  <si>
    <t>As the amount of clinical studies in orthopedic regenerative medicine (RM) is increasing, it is time to take into account its impact on society. A total of 36 biomedical professionals working at the front row of orthopedic RM were interviewed to explore their attitudes, opinions and expectations regarding the societal impacts of RM. Professionals mainly recognized the societal impacts of counteraction of aging, prevention of disease and social justice. The 'soft' sides of these impacts were hardly mentioned. Whereas they did not perceive themselves in the position to mitigate these impacts, professionals should take up their role as actor and become involved in the societal debate. This is important as they can co-shape the societal impacts during the developmental process of technologies and thereby stimulate responsible innovation.</t>
  </si>
  <si>
    <t>[Physician and autonomy: on time perception and job satisfaction].</t>
  </si>
  <si>
    <t>https://pubmed.ncbi.nlm.nih.gov/26675651</t>
  </si>
  <si>
    <t>Is it true that haste is sneaking into medicine? In this article, it is argued that it mainly concerns the perception of being rushed, which is caused by a loss of autonomy of the modern physician. In the fifties, physicians were busy as well, but because they enjoyed a greater degree of autonomy compared to their contemporary colleagues, they did not experience this in a negative way. Due to increased bureaucracy and the introduction of market dynamics, the medical profession has lost autonomy, which in turn led to a loss of job satisfaction.</t>
  </si>
  <si>
    <t>[Disciplinary verdicts in cases of child abuse; lessons for paediatricians].</t>
  </si>
  <si>
    <t>Berkers, Gitte; Biesaart, Monique C I H; Leeuwenburgh-Pronk, Wendela G</t>
  </si>
  <si>
    <t>https://pubmed.ncbi.nlm.nih.gov/25804108</t>
  </si>
  <si>
    <t>To give an overview of disciplinary cases regarding action taken by paediatricians and paediatric residents in cases of (suspected) child abuse and to discuss the considerations of the disciplinary board in these cases. Retrospective, descriptive study. We considered all disciplinary cases instigated from 2001 to 2013 against paediatricians or paediatric residents and selected complaints regarding action taken in cases of (suspected) child abuse. We divided these complaints into six categories and studied the considerations of the disciplinary board in these cases. From 33 disciplinary cases instigated from 2001 to 2013, we selected 76 complaints regarding action taken by paediatricians or paediatric residents in cases of (suspected) child abuse. The majority of these complaints concerned the reporting or requesting of information in the context of (suspected) child abuse. All of the complaints in the category 'unwarranted reporting of child abuse' were declared unfounded by the disciplinary judge. The disciplinary board declared all complaints unfounded in cases where the paediatrician or paediatric resident had followed the Dutch national protocol regarding reporting of child abuse and domestic violence. The disciplinary board examines whether action was taken in accordance with reasonable standards of professional competence and considers that paediatricians have an important role in identifying child abuse.</t>
  </si>
  <si>
    <t>Arterial stiffness and progression of structural brain changes: The SMART-MR study.</t>
  </si>
  <si>
    <t>Jochemsen, Hadassa M; Muller, Majon; Bots, Michiel L; Scheltens, Philip; Vincken, Koen L; Mali, Willem P T M; van der Graaf, Yolanda; Geerlings, Mirjam I; ,</t>
  </si>
  <si>
    <t>https://pubmed.ncbi.nlm.nih.gov/25552578</t>
  </si>
  <si>
    <t>To examine the cross-sectional and prospective associations between arterial stiffness and structural brain changes within the Second Manifestations of Arterial Disease-Magnetic Resonance (SMART-MR) study, a prospective cohort study among patients with manifest arterial disease. Distension measurements of the common carotid arteries and a brain MRI were performed in 526 patients (mean age 59 ± 10 years). After a mean follow-up of 4.1 years (range 3.6-5.8), brain MRI was repeated in 308 patients. Brain segmentation was used to quantify total brain volume, cortical gray matter volume, ventricular volume, and white matter lesion (WML) volume (relative to intracranial volume). Infarcts were rated visually. Cross-sectional multivariable regression analyses showed that 1 SD decrease in carotid distension, indicating increased arterial stiffness, was associated with smaller relative total brain and cortical gray matter volumes (B = -0.24%, 95% confidence interval [CI] -0.44 to -0.04%, and B = -0.47%, 95% CI -0.75 to -0.19%), with larger WML volume (B = 0.09%, 95% CI -0.01 to 0.19%), and with higher risk of having nonlacunar (cortical or large subcortical) brain infarcts (relative risk = 1.44, 95% CI 1.14 to 1.81). However, our prospective findings showed that carotid distension was not significantly associated with progression of brain atrophy, WML volume, or brain infarcts. In this population of patients with manifest arterial disease, stiffening of the carotid arteries was cross-sectionally associated with more brain atrophy, WML volume, and nonlacunar infarcts, but did not lead to changes in brain volumes or infarcts after 4 years.</t>
  </si>
  <si>
    <t>Exposure to low doses of Coxiella burnetii caused high illness attack rates: Insights from combining human challenge and outbreak data.</t>
  </si>
  <si>
    <t>Brooke, Russell John; Mutters, Nico T; Péter, Olivier; Kretzschmar, Mirjam E E; Teunis, Peter F M</t>
  </si>
  <si>
    <t>https://pubmed.ncbi.nlm.nih.gov/25979276</t>
  </si>
  <si>
    <t>As a major zoonotic pathogen, characterization of the infectivity and pathogenicity of Coxiella burnetii is essential to understand Q-fever epidemiology. We want to extend a recently published human dose response model based on experimental challenge of young adult males to include other age groups and both genders. Additionally, we can estimate the spatial distribution of exposure based on observed outbreak data. Dose response assessment based on human challenge, is extended by including outbreak data, using location of cases as a proxy for exposure. This allows estimation of the influence of age and gender on the probability of developing symptoms of acute respiratory illness. In an outbreak in Switzerland, in 1983, exposure to C. burnetii was shown to depend strongly on distance from the source. The susceptibility of males to develop Q-fever decreases with age, while in females, middle-aged women appear to have the lowest risk. The published dose response model for Q-fever, based on experimental challenge of a small group of human volunteers, has been updated with data from a well studied outbreak. Infectivity estimates remain high, and even low doses (of 10 or fewer organisms) cause a high risk of illness.</t>
  </si>
  <si>
    <t>Dietary intake of carotenoids and risk of type 2 diabetes.</t>
  </si>
  <si>
    <t>Sluijs, I; Cadier, E; Beulens, J W J; van der A, D L; Spijkerman, A M W; van der Schouw, Y T</t>
  </si>
  <si>
    <t>https://pubmed.ncbi.nlm.nih.gov/25716098</t>
  </si>
  <si>
    <t>Carotenoids may reduce diabetes risk, due to their antioxidant properties. However, the association between dietary carotenoids intake and type 2 diabetes risk is still unclear. Therefore, the objective of this study was to examine whether higher dietary carotenoid intakes associate with reduced type 2 diabetes risk. Data from 37,846 participants of the European Prospective Investigation into Cancer and Nutrition- Netherlands study were analyzed. Dietary intakes of β-carotene, α-carotene, β-cryptoxanthin, lycopene, lutein &amp; zeaxanthin and the sum of these carotenoids were assessed using a validated food frequency questionnaire. Incident type 2 diabetes was mainly self-reported, and verified against general practitioner information. Mean ±SD total carotenoid intake was 10 ± 4 mg/day. During a mean ±SD follow-up of 10 ± 2 years, 915 incident cases of type 2 diabetes were ascertained. After adjustment for age, sex, diabetes risk factors, dietary intake, waist circumference and BMI, higher β-carotene intakes associated inversely with diabetes risk [Hazard Ratio quartile 4 versus quartile 1 (HR(Q4)): 0.78 (95%CI:0.64,0.95), P-linear trend 0.01]. For α-carotene, a borderline significant reduced risk was observed, with a HR(Q4) of 0.85 (95%CI:0.70,1.03), and P-linear trend 0.05. β-cryptoxanthin, lycopene, lutein &amp; zeaxanthin, and the sum of all carotenoids did not associate with diabetes risk. This study shows that diets high in β-carotene and α-carotene are associated with reduced type 2 diabetes in generally healthy men and women.</t>
  </si>
  <si>
    <t>Twelve-month incidence and clearance of oral HPV infection in HIV-negative and HIV-infected men who have sex with men: the H2M cohort study.</t>
  </si>
  <si>
    <t>van Aar, Fleur; Mooij, Sofie H; van der Sande, Marianne A B; Meijer, Chris J L M; King, Audrey J; Verhagen, Dominique W M; Heijman, Titia; Coutinho, Roel A; Schim van der Loeff, Maarten F</t>
  </si>
  <si>
    <t>https://pubmed.ncbi.nlm.nih.gov/25551194</t>
  </si>
  <si>
    <t>Our aim was to compare the 12-month incidence and clearance of oral high-risk HPV infection between HIV-infected men who have sex with men (MSM) and HIV-negative MSM. MSM aged 18 years or older were recruited in Amsterdam, the Netherlands. Questionnaire data and oral-rinse and gargle samples were collected at baseline, and after 6 and 12 months. HPV DNA was genotyped using the SPF10-PCR &amp; DEIA-LiPA25 system (version 1). Determinants of oral HPV incidence and clearance were explored using Cox and logistic regression analyses respectively. 433 HIV-negative and 290 HIV-infected MSM were included in these analyses. The median follow-up time per participant was 12 months (range 3-15). During follow-up, 114 incident oral high-risk HPV infections were observed. The incidence rate of HPV-16 was 3.5/1000 person-months (PM) in HIV-infected and 0.9/1000 PM in HIV-negative MSM (IRR 4.1; 95% CI 1.3-13.2). The incidence rates of other high-risk HPV types ranged between 1.3-3.5/1000 PM in HIV-infected and 0.0-1.1/1000 PM in HIV-negative MSM. In multivariable analyses, HIV infection (adjusted hazard ratio [aHR] 3.8; 95% CI 2.3-6.2) and a higher number of recent oral sex partners (aHR 2.4 for ≥8 partners compared to ≤2; 95% CI 1.4-4.2) were associated with HPV incidence. Of the 111 baseline oral high-risk infections, 59 (53.2%) were cleared. In multivariable analyses, only a higher number of recent oral sex partners was associated with HPV clearance (adjusted odds ratio 3.4 for ≥8 compared to ≤2 partners; 95% CI 1.3-9.0). The incidence rate of oral high-risk HPV infection was higher in HIV-infected MSM and in those with a higher number of recent oral sex partners. Just over half of the oral high-risk HPV infections at baseline were cleared after 12 months, with a higher likelihood of clearance among MSM reporting higher numbers of recent oral sex partners, but no difference by HIV status.</t>
  </si>
  <si>
    <t>Major depressive episodes over the course of 7 years and hippocampal subfield volumes at 7 tesla MRI: the PREDICT-MR study.</t>
  </si>
  <si>
    <t>Wisse, L E M; Biessels, G J; Stegenga, B T; Kooistra, M; van der Veen, P H; Zwanenburg, J J M; van der Graaf, Y; Geerlings, M I</t>
  </si>
  <si>
    <t>https://pubmed.ncbi.nlm.nih.gov/25589378</t>
  </si>
  <si>
    <t>Smaller hippocampal volumes have been associated with major depressive disorder (MDD). The hippocampus consists of several subfields that may be differentially related to MDD. We investigated the association of occurrence of major depressive episodes (MDEs), assessed five times over seven years, with hippocampal subfield and entorhinal cortex volumes at 7 tesla MRI. In this prospective study of randomly selected general practice attendees, MDEs according to DSM-IV-R criteria were assessed at baseline and after 6, 12, 39 and 84 months follow-up. At the last follow-up, a T2 (0.7 mm(3)) 7 tesla MRI scan was obtained in 47 participants (60±10 years). The subiculum, cornu ammonis (CA) 1 to 3, dentate gyrus&amp;CA4 and entorhinal cortex volumes were manually segmented according a published protocol. Of the 47 participants, 13 had one MDE and 5 had multiple MDEs. ANCOVAs, adjusted for age, sex, education and intracranial volume, revealed no significant differences in hippocampal subfield or entorhinal cortex volumes between participants with and without an MDE in the preceding 84 months. Multiple episodes were associated with smaller subiculum volumes (B=-0.03 mL/episode; 95% CI -0.06; -0.003), but not with the other hippocampal subfield volumes, entorhinal cortex, or total hippocampal volume. A limitation of this study is the small sample size which makes replication necessary. In this exploratory study, we found that an increasing number of major depressive episodes was associated with smaller subiculum volumes in middle-aged and older persons, but not with smaller volumes in other hippocampal subfields or the entorhinal cortex.</t>
  </si>
  <si>
    <t>Efficiently screening heart failure in patients with type 2 diabetes.</t>
  </si>
  <si>
    <t>Boonman-de Winter, Leandra J M; Rutten, Frans H; Cramer, Maarten J; Landman, Marcel J; Zuithoff, Nicolaas P A; Liem, Anho H; Hoes, Arno W</t>
  </si>
  <si>
    <t>https://pubmed.ncbi.nlm.nih.gov/25557025</t>
  </si>
  <si>
    <t>Our aim was to develop a screening tool for heart failure in patients with type 2 diabetes. A total of 581 consecutive patients from 21 primary care practices in The Netherlands with type 2 diabetes, in whom the diagnosis of heart failure (HF) was not known, underwent an extensive diagnostic assessment, including medical history taking, physical examination, ECG, and echocardiography. The presence or absence of HF was established by a panel of two cardiologists and one general practitioner following the guidelines on HF of the European Society of Cardiology. In 161 patients, HF was considered present. A model based on the medical history and symptoms had a good discriminative value for detecting or excluding HF [C-statistic after bootstrapping 0.80; 95% confidence interval (CI) 0.76-0.83]. Adding signs improved the C-statistic to 0.82 (95% CI 0.79-0.86). A diagnostic screening score based on the clinical model had good discriminative properties applying a cut-off of 3 points (24.7% risk of HF) with sensitivity 70.8%, specificity 79.0%, negative predictive value 87.6%, and positive predictive value 56.4%. ECG and natriuretic peptides both had independent added value beyond the clinical model and increased the C-statistic to 0.86 (95% CI 0.83- 0.89). With a 20% threshold, the net reclassification of adding ECG and NT-proBNP to the clinical model was only 0.06. A decision aid based on items from the clinical assessment is useful for screening HF in older patients with type 2 diabetes and to pre-select for echocardiography. NL2271704108.</t>
  </si>
  <si>
    <t>Breast arterial calcifications: a systematic review and meta-analysis of their determinants and their association with cardiovascular events.</t>
  </si>
  <si>
    <t>Hendriks, Eva J E; de Jong, Pim A; van der Graaf, Yolanda; Mali, Willem P Th M; van der Schouw, Yvonne T; Beulens, Joline W J</t>
  </si>
  <si>
    <t>https://pubmed.ncbi.nlm.nih.gov/25568948</t>
  </si>
  <si>
    <t>Breast arterial calcifications (BAC), regularly observed at mammography, are medial calcifications and as such an expression of arteriosclerosis. Our objective was to evaluate and summarize the available evidence on the associations of BAC with cardiovascular risk factors and cardiovascular risk. A systematic literature review and meta-analysis were conducted. Embase and PubMed databases were searched. After critical appraisal, odds ratios were extracted from studies of moderate or good quality that examined risk factors for BAC or associations of BAC with cardiovascular disease. Random effects model meta-analyses were used to calculate pooled odds ratios and 95% confidence intervals (95%CIs). BAC prevalence is around 12.7% among women in breast cancer screening programs. Increasing age (pooled OR 2.98 [95%CI 2.31-3.85] for every 10 years), diabetes (pooled OR: 1.88 [95%CI 1.36-2.59]) and parity as opposed to nulliparity (pooled OR 3.43 [95%CI 2.23-5.27]) are associated with higher BAC prevalence. Smoking is associated with lower BAC prevalence (pooled OR 0.48 [95%CI 0.39-0.60]). No associations were found with hypertension, obesity or dyslipidemia. Although longitudinal studies (n = 3) were scarce, BAC appear to be associated with an increased risk of cardiovascular disease events (adjusted hazard ratios for coronary heart disease ranging from 1.32 [95%CI 1.08-1.60] to 1.44 [95%CI1.02-2.05]). BAC appear to be associated with an increased risk of cardiovascular disease events, while only being associated with some of the known cardiovascular risk factors, illustrating that medial arterial calcification might contribute to cardiovascular disease through a pathway distinct from the intimal atherosclerotic process.</t>
  </si>
  <si>
    <t>Consent procedures in pediatric biobanks.</t>
  </si>
  <si>
    <t>Giesbertz, Noor Aa; Bredenoord, Annelien L; van Delden, Johannes Jm</t>
  </si>
  <si>
    <t>https://pubmed.ncbi.nlm.nih.gov/25537361</t>
  </si>
  <si>
    <t>The inclusion of children's samples in biobanks brings forward specific ethical issues. Guidelines indicate that children should be involved in the consent procedure. It is, however, unclear how to allocate an appropriate role for children. Knowledge of current practice will be helpful in addressing this issue. Therefore, we conducted an international multiple-case study on the child's role in consent procedures in pediatric biobanks. Four biobanks were included: (1) LifeLines, (2) Prevention and Incidence of Asthma and Mite Allergy (PIAMA), (3) Young-HUNT3 and (4) the Oxford Radcliffe Biobank contribution to the Children's Cancer and Leukaemia Group tissue bank (ORB/CCLG). Four themes linked to the child's role in the consent procedure emerged from the multiple-case study: (1) motives to involve the child, (2) informing the child, (3) the role of dissent, assent and consent and (4) voluntariness of children to participate. We conclude that biobank characteristics influence the biobank's motives to include children in the consent procedure. Moreover, the motives to include children influence how the children are involved in the consent procedure, and the extent to which children are able to make voluntary decisions as part of the consent procedure. This insight is valuable when designing pediatric biobank governance.</t>
  </si>
  <si>
    <t>Acquisition of high-level mupirocin resistance in CoNS following nasal decolonization with mupirocin.</t>
  </si>
  <si>
    <t>Hetem, David J; Vogely, H Charles; Severs, Tim T; Troelstra, Annet; Kusters, Johannes G; Bonten, Marc J M</t>
  </si>
  <si>
    <t>https://pubmed.ncbi.nlm.nih.gov/25538164</t>
  </si>
  <si>
    <t>The association between mupirocin use and plasmid-based high-level resistance development mediated through mupA in CoNS has not been quantified. We determined acquisition of mupirocin resistance in Staphylococcus aureus and CoNS in surgery patients treated peri-operatively with mupirocin. Patients admitted for surgery were treated with nasal mupirocin ointment and chlorhexidine soap for 5 days, irrespective of S. aureus carrier status. Nasal swabs were obtained before decolonization (T1) and 4 days after surgery (T2) and were inoculated onto agars containing 8 mg/L mupirocin. Staphylococci were identified by MALDI-TOF MS and mupirocin resistance was confirmed by Etest. Among 1578 surgical patients, 936 (59%) had nasal swabs obtained at T1 and T2; 192 (21%) patients carried mupirocin-resistant CoNS at T1 and 406 (43%) at T2 (P&lt;0.001). Of 744 patients not colonized at T1, 277 acquired resistance (37%), corresponding to an acquisition rate of 7.4/100 patient days at risk. In all, 588 (97%) of 607 mupirocin-resistant CoNS had an MIC &gt;256 mg/L (high level) and 381 of 383 (99.5%) were mupA positive. No acquisition of mupirocin resistance was observed in S. aureus. Acquisition of mupirocin resistance following decolonization was widespread in CoNS and absent in S. aureus. As almost all isolates harboured the mupA gene, monitoring resistance development in S. aureus when decolonization strategies containing mupirocin are used is recommended.</t>
  </si>
  <si>
    <t>Prediction of absolute risk reduction of cardiovascular events with perindopril for individual patients with stable coronary artery disease - results from EUROPA.</t>
  </si>
  <si>
    <t>van der Leeuw, Joep; Oemrawsingh, Rohit M; van der Graaf, Yolanda; Brugts, Jasper J; Deckers, Jaap W; Bertrand, Michel; Fox, Kim; Ferrari, Roberto; Remme, Willem J; Simoons, Maarten L; Boersma, Eric; Visseren, Frank L J</t>
  </si>
  <si>
    <t>https://pubmed.ncbi.nlm.nih.gov/25577762</t>
  </si>
  <si>
    <t>Angiotensin-converting-enzyme inhibition reduces the risk of cardiovascular events at a group level. Presumably, the absolute effect of treatment varies between individuals. We sought to develop multivariable prediction scores to estimate individual treatment effect of perindopril in patients with stable coronary artery disease (sCAD). In EUROPA trial participants, we estimated the individual patient 5-year absolute risk reduction (ARR) of major adverse cardiovascular events(MACE) by perindopril. Predictions were based on a new Coxproportional-hazards model with clinical characteristics and an external risk score in combination with the observed relative risk reduction. Second, a genetic profile modifying the relative efficacy of perindopril was added. The individual patient ARR was defined as the difference in MACE risk with and without treatment. The group level impact of selectively treating patients with the largest predicted treatment effect was evaluated using net benefit analysis. The risk score combining clinical and genetic characteristics estimated the 5-year absolute treatment effect to be absent or adverse in 27% of patients. On the other hand, the risk score estimated a small 5-year ARR of ≤2% (NNT5≥50) in 20% of patients, a modest ARR of 2-4% (NNT5 25-50) in 26%, and a large ARR of ≥4% (NNT5≤25) in 28%. The external risk score yielded similar predictions. Selective prediction-based treatment resulted in higher net benefit compared to treat everyone at any treatment threshold. A prediction score combining clinical characteristics and genetic information can quantify the ARR of MACE by perindopril for individual patients with sCAD and may be used to guide treatment decisions. ISRCTN37166280.</t>
  </si>
  <si>
    <t>Hemoglobin, hematocrit, and changes in cerebral blood flow: the Second Manifestations of ARTerial disease-Magnetic Resonance study.</t>
  </si>
  <si>
    <t>van der Veen, Pieternella H; Muller, Majon; Vincken, Koen L; Westerink, Jan; Mali, Willem P T M; van der Graaf, Yolanda; Geerlings, Mirjam I; ,</t>
  </si>
  <si>
    <t>https://pubmed.ncbi.nlm.nih.gov/25618615</t>
  </si>
  <si>
    <t>Hemoglobin and hematocrit are important determinants of blood viscosity and arterial oxygen content and may therefore influence cerebral blood flow (CBF). We examined cross-sectional and prospective associations of hemoglobin and hematocrit with CBF in 569 patients with manifest arterial disease (mean age 57 ± 10 years) with available data on magnetic resonance angiography to measure parenchymal CBF. Mean (SD) parenchymal CBF at baseline was 52.3 (9.8) mL/min/100 mL and decreased with 1.5 (11.0) mL/min/100 mL after on average 3.9 years of follow-up. Linear regression analyses showed that greater hemoglobin and hematocrit values were associated with lower baseline parenchymal CBF and more decline in parenchymal CBF over time, independent of cardiovascular risk factors, use of antiplatelet drugs, anticoagulants, or diuretics, and brain measures: adjusted mean differences (95% confidence interval [CI]) in decline in parenchymal CBF between patients in the lower and upper quartiles of hemoglobin and hematocrit were -2.48 (95% CI -3.70 to -1.25) and -3.69 (95% CI -5.45 to -1.94) mL/min/100 mL. Higher hemoglobin and hematocrit were associated with lower baseline parenchymal CBF and a greater decline in parenchymal CBF over time, possibly as a result of physiological compensating mechanisms.</t>
  </si>
  <si>
    <t>Is an unfavourable cardiovascular risk profile a risk factor for vasomotor menopausal symptoms? Results of a population-based cohort study.</t>
  </si>
  <si>
    <t>van den Berg, M J; Herber-Gast, G C M; van der Schouw, Y T</t>
  </si>
  <si>
    <t>https://pubmed.ncbi.nlm.nih.gov/25515605</t>
  </si>
  <si>
    <t>Evidence suggests an association between vasomotor menopausal symptoms (VMSs), i.e. hot flushes and night sweats, and cardiovascular disease. However, the causal pathway is unclear. We investigated whether an unfavourable cardiovascular risk profile is a risk factor for VMS later in life. Retrospective cohort study. Women aged 50-70 from the general population. The Prospect-European Prospective Investigation into Cancer and Nutrition (Prospect-EPIC) cohort is a population-based cohort of women who enrolled between 1993 and 1997. Follow-up questionnaires were sent at 5-year intervals for 15 years. Women who returned the third questionnaire, answered questions regarding lifetime VMS and did not report VMS prior to baseline were included in this study (n = 1295). At baseline, the Framingham Risk Score (FRS) was determined. We used logistic regression analysis to calculate odds ratios (ORs) for the association between baseline FRS and incident VMS. Incident VMS. At baseline (mean age ± standard deviation, 52.2 ± 3.6 years), 21.2% had a FRS &gt; 10%. During follow-up, 40.2% of women reported the onset of VMS. Adjusted for body mass index, physical activity, education and alcohol consumption, each point increase in FRS was associated with a decreased incidence of VMS [OR, 0.94 (95% CI, 0.91-0.97)]. Additional adjustment for menopausal status attenuated the OR to null [OR, 0.98 (95% CI, 0.95-1.01)]. None of the separate FRS variables were associated with VMS after adjustment for age. In our cohort, an unfavourable cardiovascular risk profile was not associated with VMS, and therefore we found no evidence for the involvement of a vascular mechanism in the etiology of VMS.</t>
  </si>
  <si>
    <t>Maternal allopurinol administration during suspected fetal hypoxia: a novel neuroprotective intervention? A multicentre randomised placebo controlled trial.</t>
  </si>
  <si>
    <t>Kaandorp, Joepe J; Benders, Manon J N L; Schuit, Ewoud; Rademaker, Carin M A; Oudijk, Martijn A; Porath, Martina M; Oetomo, Sidarto Bambang; Wouters, Maurice G A J; van Elburg, Ruurd M; Franssen, Maureen T M; Bos, Arie F; de Haan, Timo R; Boon, Janine; de Boer, Inge P; Rijnders, Robbert J P; Jacobs, Corrie J W F M; Scheepers, Liesbeth H C J; Gavilanes, Danilo A W; Bloemenkamp, Kitty W M; Rijken, Monique; van Meir, Claudia A; von Lindern, Jeannette S; Huisjes, Anjoke J M; Bakker, Saskia C M J E R; Mol, Ben W J; Visser, Gerard H A; Van Bel, Frank; Derks, Jan B</t>
  </si>
  <si>
    <t>archives of disease in childhood fetal and neonatal edition</t>
  </si>
  <si>
    <t>https://pubmed.ncbi.nlm.nih.gov/25512466</t>
  </si>
  <si>
    <t>To determine whether maternal allopurinol treatment during suspected fetal hypoxia would reduce the release of biomarkers associated with neonatal brain damage. A randomised double-blind placebo controlled multicentre trial. We studied women in labour at term with clinical indices of fetal hypoxia, prompting immediate delivery. Delivery rooms of 11 Dutch hospitals. When immediate delivery was foreseen based on suspected fetal hypoxia, women were allocated to receive allopurinol 500 mg intravenous (ALLO) or placebo intravenous (CONT). Primary endpoint was the difference in cord S100ß, a tissue-specific biomarker for brain damage. 222 women were randomised to receive allopurinol (ALLO, n=111) or placebo (CONT, n=111). Cord S100ß was not significantly different between the two groups: 44.5 pg/mL (IQR 20.2-71.4) in the ALLO group versus 54.9 pg/mL (IQR 26.8-94.7) in the CONT group (difference in median -7.69 (95% CI -24.9 to 9.52)). Post hoc subgroup analysis showed a potential treatment effect of allopurinol on the proportion of infants with a cord S100ß value above the 75th percentile in girls (ALLO n=5 (12%) vs CONT n=10 (31%); risk ratio (RR) 0.37 (95% CI 0.14 to 0.99)) but not in boys (ALLO n=18 (32%) vs CONT n=15 (25%); RR 1.4 (95% CI 0.84 to 2.3)). Also, cord neuroketal levels were significantly lower in girls treated with allopurinol as compared with placebo treated girls: 18.0 pg/mL (95% CI 12.1 to 26.9) in the ALLO group versus 32.2 pg/mL (95% CI 22.7 to 45.7) in the CONT group (geometric mean difference -16.4 (95% CI -24.6 to -1.64)). Maternal treatment with allopurinol during fetal hypoxia did not significantly lower neuronal damage markers in cord blood. Post hoc analysis revealed a potential beneficial treatment effect in girls. NCT00189007, Dutch Trial Register NTR1383.</t>
  </si>
  <si>
    <t>Predicting pneumococcal community-acquired pneumonia in the emergency department: evaluation of clinical parameters.</t>
  </si>
  <si>
    <t>Huijts, S M; Boersma, W G; Grobbee, D E; Gruber, W C; Jansen, K U; Kluytmans, J A J W; Kuipers, B A F; Palmen, F; Pride, M W; Webber, C; Bonten, M J M; ,</t>
  </si>
  <si>
    <t>https://pubmed.ncbi.nlm.nih.gov/24975428</t>
  </si>
  <si>
    <t>The aim of this study was to quantify the value of clinical predictors available in the emergency department (ED) in predicting Streptococcus pneumoniae as the cause of community-acquired pneumonia (CAP). A prospective, observational, cohort study of patients with CAP presenting in the ED was performed. Pneumococcal aetiology of CAP was based on either bacteraemia, or S. pneumoniae being cultured from sputum, or urinary immunochromatographic assay positivity, or positivity of a novel serotype-specific urinary antigen detection test. Multivariate logistic regression was used to identify independent predictors and various cut-off values of probability scores were used to evaluate the usefulness of the model. Three hundred and twenty-eight (31.0%) of 1057 patients with CAP had pneumococcal CAP. Nine independent predictors for pneumococcal pneumonia were identified, but the clinical utility of this prediction model was disappointing, because of low positive predictive values or a small yield. Clinical criteria have insufficient diagnostic capacity to predict pneumococcal CAP. Rapid antigen detection tests are needed to diagnose S. pneumoniae at the time of hospital admission.</t>
  </si>
  <si>
    <t>Cognitive performance and the course of depressive symptoms over 7 years of follow-up: the SMART-MR study.</t>
  </si>
  <si>
    <t>Kooistra, M; Zuithoff, N P A; Grool, A M; Zinsmeester, M; Biessels, G J; van der Graaf, Y; Geerlings, M I; ,</t>
  </si>
  <si>
    <t>https://pubmed.ncbi.nlm.nih.gov/25499398</t>
  </si>
  <si>
    <t>Depressive symptoms and cognitive impairment often co-occur, but their interactive relationship is complex and the direction of causation is still a topic of research. We examined the influence of cognitive performance on the course of depressive symptoms during 7 years of follow-up in patients with vascular disease. Within the SMART-MR study, 736 patients (mean age 62 ± 10 years) had neuropsychological assessment on four cognitive domains at baseline [memory (MEM), working memory (WMEM), executive functioning (EXEC), and information processing speed (SPEED)]. Depressive symptoms were assessed with the Patient Health Questionnaire-9 (PHQ-9) at baseline and every 6 months during 7 years of follow-up. Generalized Estimating Equation (GEE) models were used to assess the association between cognitive performance with depressive symptoms at multiple time points during follow-up. Interaction terms between the respective cognitive domains and time was included to examine if the course of depressive symptoms differed according to baseline cognitive performance. The GEE analyses showed no significant interactions between the respective cognitive domains and time indicating no different course of depressive symptoms according to baseline cognitive performance. Lower MEM, EXEC or SPEED, but not WMEM performance, was significantly associated with more depressive symptoms during follow-up per z score decrease: MEM [B = 0.70, 95% confidence interval (CI) 0.35-1.05]; EXEC (B = 0.88, 95% CI 0.41-1.36), and SPEED (B = 0.57, 95% CI 0.21-0.92). Poorer cognitive performance on the domains MEM, EXEC and SPEED, but not WMEM, was associated with higher levels of depressive symptoms over 7 years of follow-up, but not with a different course of depressive symptoms over time.</t>
  </si>
  <si>
    <t>Improved prediction of inhibitor development in previously untreated patients with severe haemophilia A.</t>
  </si>
  <si>
    <t>Hashemi, S M; Fischer, K; Moons, K G M; van den Berg, H M</t>
  </si>
  <si>
    <t>https://pubmed.ncbi.nlm.nih.gov/25495680</t>
  </si>
  <si>
    <t>Treatment of previously untreated patients (PUPs) with severe haemophilia A is complicated by the formation of inhibitors. Prediction of PUPs with high risk is important to allow altering treatment with the intention to reduce the occurrence of inhibitors. An unselected multicentre cohort of 825 PUPs with severe haemophilia A (FVIII&lt;0.01 IU mL(-1) ) was used. Patients were followed until 50 exposure days (EDs) or inhibitor development. All predictors of the existing prediction model including three new potential predictors were studied using multivariable logistic regression. Model performance was quantified [area under the curve (AUC), calibration plot] and internal validation (bootstrapping) was performed. A nomogram for clinical application was developed. Of the 825 patients, 225 (28%) developed inhibitors. The predictors family history of inhibitors, F8 gene mutation and an interaction variable of dose and number of EDs of intensive treatment were independently associated with inhibitor development. Age and reason for first treatment were not associated with inhibitor development. The AUC was 0.69 (95% CI 0.65-0.72) and calibration was good. An improved prediction model for inhibitor development and a nomogram for clinical use were developed in a cohort of 825 PUPs with severe haemophilia A. Clinical applicability was improved by combining dose and duration of intensive treatment, allowing the assessment of the effects of treatment decisions on inhibitor risk and potentially modify treatment.</t>
  </si>
  <si>
    <t>Search for contact interactions and large extra dimensions in the dilepton channel using proton-proton collisions at [Formula: see text] 8 TeV with the ATLAS detector.</t>
  </si>
  <si>
    <t>https://pubmed.ncbi.nlm.nih.gov/25983635</t>
  </si>
  <si>
    <t>A search is conducted for non-resonant new phenomena in dielectron and dimuon final states, originating from either contact interactions or large extra spatial dimensions. The LHC 2012 proton-proton collision dataset recorded by the ATLAS detector is used, corresponding to 20 fb[Formula: see text] at [Formula: see text] = 8 TeV. The dilepton invariant mass spectrum is a discriminating variable in both searches, with the contact interaction search additionally utilizing the dilepton forward-backward asymmetry. No significant deviations from the Standard Model expectation are observed. Lower limits are set on the [Formula: see text] contact interaction scale [Formula: see text] between 15.4 TeV and 26.3 TeV, at the 95 % credibility level. For large extra spatial dimensions, lower limits are set on the string scale [Formula: see text] between 3.2 TeV to 5.0 TeV.</t>
  </si>
  <si>
    <t>Measurement of distributions sensitive to the underlying event in inclusive Z-boson production in [Formula: see text] collisions at [Formula: see text] TeV with the ATLAS detector.</t>
  </si>
  <si>
    <t>https://pubmed.ncbi.nlm.nih.gov/25983639</t>
  </si>
  <si>
    <t>A measurement of charged-particle distributions sensitive to the properties of the underlying event is presented for an inclusive sample of events containing a [Formula: see text]-boson, decaying to an electron or muon pair. The measurement is based on data collected using the ATLAS detector at the LHC in proton-proton collisions at a centre-of-mass energy of [Formula: see text] TeV with an integrated luminosity of [Formula: see text] fb[Formula: see text]. Distributions of the charged particle multiplicity and of the charged particle transverse momentum are measured in regions of azimuthal angle defined with respect to the [Formula: see text]-boson direction. The measured distributions are compared to similar distributions measured in jet events, and to the predictions of various Monte Carlo generators implementing different underlying event models.</t>
  </si>
  <si>
    <t>Repeated STI and HIV testing among HIV-negative men who have sex with men attending a large STI clinic in Amsterdam: a longitudinal study.</t>
  </si>
  <si>
    <t>Vriend, Henrike J; Stolte, Ineke G; Heijne, Janneke C M; Heijman, Titia; De Vries, Henry J C; Geskus, Ronald B; Van der Sande, Marianne A B; Prins, Maria</t>
  </si>
  <si>
    <t>https://pubmed.ncbi.nlm.nih.gov/25504922</t>
  </si>
  <si>
    <t>In the Netherlands, men who have sex with men (MSM) are advised via informal guidelines to test for STI at least annually. We estimated the proportion of HIV-negative MSM testing repeatedly at 12-month or smaller intervals at a large STI clinic in the Netherlands. In addition, we explored whether repeated testing is related to risk behaviour. Longitudinal data of HIV-negative MSM visiting the Amsterdam STI clinic between 2009 and 2012 were analysed. To estimate the timing of repeated testing, Kaplan-Meier methods were used. Determinants for repeated testing (distinguishing testing at 12-month or smaller intervals and less than 12-monthly testing, with single testers as reference group) were identified using multivariate multinomial logistic regression analyses. In total, 19,479 consultations of 9174 HIV-negative MSM were identified. Of these MSM, 35% (95% CI 33% to 36%) were estimated to return to the STI clinic within 1 year following baseline consultation. Among 1767 men with at least two consultations and at least 2 years between baseline and last consultation, 43% tested repeatedly at 12-month or smaller intervals in those first 2 years. Repeated testers reported higher sexual risk behaviour (ie, only casual or both casual and steady sex partners, higher numbers of sex partners) at baseline compared with single testers. This effect tended to be slightly stronger for men testing repeatedly at 12-month or smaller intervals. The proportion of MSM testing for STI annually is low. MSM testing repeatedly had higher baseline levels of risk behaviour. Strategies to motivate MSM to test annually should be explored.</t>
  </si>
  <si>
    <t>Individualised prediction of alternate-day aspirin treatment effects on the combined risk of cancer, cardiovascular disease and gastrointestinal bleeding in healthy women.</t>
  </si>
  <si>
    <t>van Kruijsdijk, Rob C M; Visseren, Frank L J; Ridker, Paul M; Dorresteijn, Johannes A N; Buring, Julie E; van der Graaf, Yolanda; Cook, Nancy R</t>
  </si>
  <si>
    <t>https://pubmed.ncbi.nlm.nih.gov/25475110</t>
  </si>
  <si>
    <t>The value of aspirin in primary prevention of cancer and cardiovascular disease (CVD) remains unclear. The aim of this study was to identify women who benefit from alternate-day aspirin with regard to all relevant outcomes, including cancer, CVD and major gastrointestinal bleeding. Long term follow-up data of 27 939 healthy women with baseline plasma samples in the Women's Health Study, a randomised trial of 100 mg alternate-day aspirin versus placebo, were used to develop competing risks models for individualised prediction of absolute risk reduction of the combination of CVD, cancer and major gastrointestinal bleeding by aspirin. Although aspirin was associated with a modestly decreased 15-year risk of colorectal cancer, CVD, and in some women non-colorectal cancer, aspirin treatment resulted in a negative treatment effect in the majority of women if gastrointestinal bleeding was also taken into account. The excess risk of major gastrointestinal bleeding by aspirin increased with age, but the benefits for colorectal cancer and CVD risk were also greater at higher age. Decision curves indicated that selective treatment of women ≥65 years may improve net benefit compared to treating all, none and prediction-based treatment. The observed 15-year number needed to treat to prevent one event among women ≥65 years was 29 (95% CI 12 to 102). Concurrent evaluation of the absolute effects on cancer, CVD and major gastrointestinal bleeding showed that alternate-day use of low-dose aspirin is ineffective or harmful in the majority of women in primary prevention. Selective treatment of women ≥65 years with aspirin may improve net benefit. NCT00000479.</t>
  </si>
  <si>
    <t>Comparison of a morning polypill, evening polypill and individual pills on LDL-cholesterol, ambulatory blood pressure and adherence in high-risk patients; a randomized crossover trial.</t>
  </si>
  <si>
    <t>Lafeber, M; Grobbee, D E; Schrover, I M; Thom, S; Webster, R; Rodgers, A; Visseren, F L J; Bots, M L; Spiering, W</t>
  </si>
  <si>
    <t>https://pubmed.ncbi.nlm.nih.gov/25528311</t>
  </si>
  <si>
    <t>Cardiovascular polypills are a novel strategy in the prevention of cardiovascular disease. Based on considerations about the effectiveness, the individual pills of a polypill are taken at different times of the day. This study aimed therefore to compare the use of a polypill in the morning, in the evening or the individual components taken at their usual times on cardiovascular risk factors and patient acceptability. The study was a randomized three-period crossover trial. Seventy-eight patients with established cardiovascular disease were randomly allocated to the use of polypill (aspirin 75 mg, simvastatin 40 mg, lisinopril 10mg and hydrochlorothiazide 12.5mg) in the morning, in the evening or use of the individual agents taken at different time points (Trial: NCT01506505). Using the polypill in the evening resulted in a 0.2 mmol/L (95%-confidence interval (CI): 0.1 to 0.3) lower fasting LDL-cholesterol compared to the use in the morning, and not statistically significantly different mean 24-hour systolic BP (mean difference: 0.7 mmHg; 95%-CI; -2.1 to 3.4). Compared to the use of the individual agents, the mean LDL-cholesterol was 0.2 mmol/L (95%-CI: 0.1 to 0.3) higher when using the polypill in the morning, but not statistically significantly different when used in the evening (mean difference: -0.1 mmol/L; 95%-CI: -0.1 to 0.0). Furthermore, there were no differences in mean 24-hour systolic BP with morning use (mean difference: 0.4 mmHg; 95%-CI; -1.5 to 2.3) or evening use (mean difference: 1.0mmHg; 95%-CI; -0.8 to 2.8) of the polypill compared to the individual agents. The adherence was 5.2% (95%-CI: 1.4 to 9.1) higher with morning use of the polypill and 5.0% (95%-CI: 1.5 to 8.5) higher with evening use compared to the individual agents. Treatment with the polypill was preferred by 92% of the participants. The use of a polypill in the evening was more effective in lowering LDL-cholesterol, and resulted in not statistically significantly different ambulatory BP levels compared to the use of a polypill in the morning. Therapy with a polypill was associated with an increased adherence. The polypill is highly preferred by patients, demonstrating a potential role for the polypill in the prevention of cardiovascular disease.</t>
  </si>
  <si>
    <t>A measurement of the ratio of the production cross sections for [Formula: see text] and [Formula: see text] bosons in association with jets with the ATLAS detector.</t>
  </si>
  <si>
    <t>https://pubmed.ncbi.nlm.nih.gov/25983636</t>
  </si>
  <si>
    <t>The ratio of the production cross sections for [Formula: see text] and [Formula: see text] bosons in association with jets has been measured in proton-proton collisions at [Formula: see text] with the ATLAS experiment at the Large Hadron Collider. The measurement is based on the entire 2011 dataset, corresponding to an integrated luminosity of [Formula: see text]. Inclusive and differential cross-section ratios for massive vector bosons decaying to electrons and muons are measured in association with jets with transverse momentum [Formula: see text] and jet rapidity [Formula: see text]. The measurements are compared to next-to-leading-order perturbative QCD calculations and to predictions from different Monte Carlo generators implementing leading-order matrix elements supplemented by parton showers.</t>
  </si>
  <si>
    <t>Age-adjusted D-dimer cutoff for reducing CT pulmonary angiography tests in elderly patients with suspected pulmonary embolism: improvement or restoration back to normal?</t>
  </si>
  <si>
    <t>https://pubmed.ncbi.nlm.nih.gov/25451337</t>
  </si>
  <si>
    <t>Age at menopause in women with type 1 diabetes mellitus: the OVADIA study.</t>
  </si>
  <si>
    <t>Yarde, F; van der Schouw, Y T; de Valk, H W; Franx, A; Eijkemans, M J C; Spiering, W; Broekmans, F J M; ,</t>
  </si>
  <si>
    <t>https://pubmed.ncbi.nlm.nih.gov/25452435</t>
  </si>
  <si>
    <t>Is type 1 diabetes a determinant of advanced ovarian ageing, resulting in an early age at natural menopause? No clear evidence was provided that type 1 diabetes is a determinant of accelerated ovarian ageing resulting in an early menopause. The association between type 1 diabetes and early menopause has been examined previously with inconsistent results. A cross-sectional study was performed in 140 post-menopausal women with, and 5426 post-menopausal women without, diabetes. Both women with and without diabetes had experienced natural menopause. Study participants filled out a standardized questionnaire including report of their age at last menstrual period. Differences in menopausal age were analysed using linear regression analyses, with adjustment for possible confounders. Mean age at natural menopause was 49.8 ± 4.7 years in women with type 1 diabetes and 49.8 ± 4.1 in women without diabetes. Linear regression analyses showed that type 1 diabetes was not associated with an earlier menopause compared with the reference group without diabetes, after adjustment for age, smoking history and parity (difference in age at menopause between women with type 1 diabetes and reference group 0.34 years, 95% confidence interval -0.34, 1.01). Age at menopause was self-reported and assessed retrospectively. We had no information regarding microvascular complications therefore a possible association between vascular health and menopausal age could not be investigated. It has been hypothesized that the possible mechanism behind an accelerated ovarian ageing process in type 1 diabetes is prolonged poor glycaemic control and subsequent effects on vascular health. The improved glycaemic control during the last decades may have prevented vascular damage from occurring to an extent that would affect organ function. Nevertheless, the present findings are reassuring for reproductive health prospects in women with type 1 diabetes.</t>
  </si>
  <si>
    <t>Patient representatives' contributions to the benefit-risk assessment tasks of the European Medicines Agency scientific committees.</t>
  </si>
  <si>
    <t>Bernabe, Rosemarie D L C; van Thiel, Ghislaine J M W; van Delden, Johannes</t>
  </si>
  <si>
    <t>https://pubmed.ncbi.nlm.nih.gov/24995713</t>
  </si>
  <si>
    <t>In the European Medicines Agency (EMA), the involvement of patients has been increasingly recognized as valuable and necessary. Specifically in scientific committees, patients through patient representatives are actively involved in deliberations and decision making processes. These scientific committees are meant to ensure that licensed medicines have a positive benefit-risk ratio in favour of the patients and users. To investigate what the contributions are of patient representatives in benefit-risk assessment, we interviewed 15 scientific committee members, 10 of whom are/were EU-state regulatory representatives and five are/were patient representatives. We asked the participants questions related to the benefit-risk assessment tasks of their committees, the connection between patient representatives and the patient perspective, and the contribution of patient representatives in the various benefit-risk assessments tasks. We found that the contribution of patient representatives benefit-risk assessment may be a variable of the benefits and the risks involved in the drug such that the necessity of their contribution is strongly felt when both benefits and risks are high, when benefits are almost equal or are equal to risks and when both benefits and risks are low. In terms of the various benefit-risk tasks, patient representatives contribute to benefit-risk analysis by providing criteria that help define the benefit-risk picture. In benefit-risk evaluation, patient representatives aid in providing a specific basis for the values and weights given to specific benefits and risks and in decision making, they provide what may be a crucial patient perspective in terms of the acceptability of risks. Hence, patient representatives provide a specific expertise in these scientific committees.</t>
  </si>
  <si>
    <t>Effect of statin therapy on incident type 2 diabetes mellitus in patients with clinically manifest vascular disease.</t>
  </si>
  <si>
    <t>van de Woestijne, Anton P; van der Graaf, Yolanda; Westerink, Jan; Nathoe, Hendrik M; Visseren, Frank L J</t>
  </si>
  <si>
    <t>https://pubmed.ncbi.nlm.nih.gov/25554536</t>
  </si>
  <si>
    <t>Several trials and cohort studies have shown an increased incidence of type 2 diabetes mellitus (T2DM) in patients using statins. Whether this only applies to patients at already high risk for the development of T2DM or for all patients is still a matter of debate. In the present prospective cohort study of 4,645 patients with established vascular disease without DM at baseline, 3,057 patients used statins at baseline, of whom 1,608 used intensive statin therapy, defined as statin therapy theoretically lowering low-density lipoprotein cholesterol with ≥40%. Cox proportional hazards models were used to estimate the risk of incident T2DM with (intensive) statin therapy. Statin therapy was associated with increased risk of incident T2DM (hazard ratio 1.63; 95% confidence interval 1.15 to 2.32) when adjusted for age, gender, body mass index, plasma high-density lipoprotein cholesterol, and plasma triglyceride levels. Intensive statin therapy tended to be related to a higher risk of T2DM compared with moderate statin therapy (hazard ratio 1.22; 95% confidence interval 0.92 to 1.61, adjusted for age, gender, body mass index, plasma high-density lipoprotein cholesterol, and plasma triglyceride levels). The increase in risk was regardless of the number of metabolic syndrome characteristics or insulin resistance but was particularly present in patients with low baseline glucose levels (&lt;5.6 mmol/L; p for interaction 2.9 × 10(-7)). In conclusion, statin use increases the risk of incident T2DM in patients with clinically manifest vascular disease. The increase in risk was independent of the number of metabolic syndrome criteria and was even more pronounced in patients with low baseline glucose levels.</t>
  </si>
  <si>
    <t>The interdependence between cardiovascular calcifications in different arterial beds and vascular risk factors in patients at high cardiovascular risk.</t>
  </si>
  <si>
    <t>Takx, Richard A P; Zanen, Pieter; Leiner, Tim; van der Graaf, Yolanda; de Jong, Pim A; ,</t>
  </si>
  <si>
    <t>https://pubmed.ncbi.nlm.nih.gov/25485737</t>
  </si>
  <si>
    <t>The objective was to explore the interdependence between cardiovascular risk factors and cardiovascular calcifications on the cardiac valves and in multiple vascular beds in the chest and abdomen in a high-risk population. 276 participants of the SMART study who received a CT scan of the chest and abdominal region within one year were evaluated for the presence of cardiovascular calcifications throughout the body. Cardiovascular calcifications were manually scored in the coronary arteries, the aorta, the supra aortic vessels, the infra aortic vessels, the aortic valve, the renal arteries and the splenic artery. The following clinical risk factors of cardiovascular disease were included in principal component analysis, body mass index, systolic blood pressure, glucose, total cholesterol and carotid intima media thickness (cIMT) as a marker of atherosclerosis. Principal component analysis yielded three uncorrelated components. The first consisted of cardiovascular calcifications and cIMT (variance = 35.4%), the second contained BMI and glucose (variance = 11.1%), and the third component consisted of systolic blood pressure and cholesterol (variance = 9.0%). Combined these three components explained 56% of the total variance within the dataset. Strong associations were observed among vascular calcifications and cIMT, whereas the association between clinical risk factors and cardiovascular calcifications was weak. The results suggest a single systemic nature of cardiovascular calcifications throughout the body that do not cluster with traditional cardiovascular risk factors.</t>
  </si>
  <si>
    <t>Bayesian methods including nonrandomized study data increased the efficiency of postlaunch RCTs.</t>
  </si>
  <si>
    <t>Schmidt, Amand F; Klugkist, Irene; Klungel, Olaf H; Nielen, Mirjam; de Boer, Anthonius; Hoes, Arno W; Groenwold, Rolf H H</t>
  </si>
  <si>
    <t>https://pubmed.ncbi.nlm.nih.gov/25554520</t>
  </si>
  <si>
    <t>Findings from nonrandomized studies on safety or efficacy of treatment in patient subgroups may trigger postlaunch randomized clinical trials (RCTs). In the analysis of such RCTs, results from nonrandomized studies are typically ignored. This study explores the trade-off between bias and power of Bayesian RCT analysis incorporating information from nonrandomized studies. A simulation study was conducted to compare frequentist with Bayesian analyses using noninformative and informative priors in their ability to detect interaction effects. In simulated subgroups, the effect of a hypothetical treatment differed between subgroups (odds ratio 1.00 vs. 2.33). Simulations varied in sample size, proportions of the subgroups, and specification of the priors. As expected, the results for the informative Bayesian analyses were more biased than those from the noninformative Bayesian analysis or frequentist analysis. However, because of a reduction in posterior variance, informative Bayesian analyses were generally more powerful to detect an effect. In scenarios where the informative priors were in the opposite direction of the RCT data, type 1 error rates could be 100% and power 0%. Bayesian methods incorporating data from nonrandomized studies can meaningfully increase power of interaction tests in postlaunch RCTs.</t>
  </si>
  <si>
    <t>Measurement of flow harmonics with multi-particle cumulants in Pb+Pb collisions at [Formula: see text] TeV with the ATLAS detector.</t>
  </si>
  <si>
    <t>https://pubmed.ncbi.nlm.nih.gov/25814877</t>
  </si>
  <si>
    <t>ATLAS measurements of the azimuthal anisotropy in lead-lead collisions at [Formula: see text] TeV are shown using a dataset of approximately 7 [Formula: see text]b[Formula: see text] collected at the LHC in 2010. The measurements are performed for charged particles with transverse momenta [Formula: see text] GeV and in the pseudorapidity range [Formula: see text]. The anisotropy is characterized by the Fourier coefficients, [Formula: see text], of the charged-particle azimuthal angle distribution for [Formula: see text]-4. The Fourier coefficients are evaluated using multi-particle cumulants calculated with the generating function method. Results on the transverse momentum, pseudorapidity and centrality dependence of the [Formula: see text] coefficients are presented. The elliptic flow, [Formula: see text], is obtained from the two-, four-, six- and eight-particle cumulants while higher-order coefficients, [Formula: see text] and [Formula: see text], are determined with two- and four-particle cumulants. Flow harmonics [Formula: see text] measured with four-particle cumulants are significantly reduced compared to the measurement involving two-particle cumulants. A comparison to [Formula: see text] measurements obtained using different analysis methods and previously reported by the LHC experiments is also shown. Results of measurements of flow fluctuations evaluated with multi-particle cumulants are shown as a function of transverse momentum and the collision centrality. Models of the initial spatial geometry and its fluctuations fail to describe the flow fluctuations measurements.</t>
  </si>
  <si>
    <t>Measurement of the muon reconstruction performance of the ATLAS detector using 2011 and 2012 LHC proton-proton collision data.</t>
  </si>
  <si>
    <t>https://pubmed.ncbi.nlm.nih.gov/25814875</t>
  </si>
  <si>
    <t>This paper presents the performance of the ATLAS muon reconstruction during the LHC run with [Formula: see text] collisions at [Formula: see text]-8 TeV in 2011-2012, focusing mainly on data collected in 2012. Measurements of the reconstruction efficiency and of the momentum scale and resolution, based on large reference samples of [Formula: see text], [Formula: see text] and [Formula: see text] decays, are presented and compared to Monte Carlo simulations. Corrections to the simulation, to be used in physics analysis, are provided. Over most of the covered phase space (muon [Formula: see text] and [Formula: see text] GeV) the efficiency is above [Formula: see text] and is measured with per-mille precision. The momentum resolution ranges from [Formula: see text] at central rapidity and for transverse momentum [Formula: see text] GeV, to [Formula: see text] at large rapidity and [Formula: see text] GeV. The momentum scale is known with an uncertainty of [Formula: see text] to [Formula: see text] depending on rapidity. A method for the recovery of final state radiation from the muons is also presented.</t>
  </si>
  <si>
    <t>Consumption of fatty foods and incident type 2 diabetes in populations from eight European countries.</t>
  </si>
  <si>
    <t>Buijsse, B; Boeing, H; Drogan, D; Schulze, M B; Feskens, E J; Amiano, P; Barricarte, A; Clavel-Chapelon, F; de Lauzon-Guillain, B; Fagherazzi, G; Fonseca-Nunes, A; Franks, P W; Huerta, J M; Jakobsen, M U; Kaaks, R; Key, T J; Khaw, K T; Masala, G; Moskal, A; Nilsson, P M; Overvad, K; Pala, V; Panico, S; Redondo, M L; Ricceri, F; Rolandsson, O; Sánchez, M-J; Sluijs, I; Spijkerman, A M; Tjonneland, A; Tumino, R; van der A, D L; van der Schouw, Y T; Langenberg, C; Sharp, S J; Forouhi, N G; Riboli, E; Wareham, N J; ,</t>
  </si>
  <si>
    <t>https://pubmed.ncbi.nlm.nih.gov/25424603</t>
  </si>
  <si>
    <t>Diets high in saturated and trans fat and low in unsaturated fat may increase type 2 diabetes (T2D) risk, but studies on foods high in fat per unit weight are sparse. We assessed whether the intake of vegetable oil, butter, margarine, nuts and seeds and cakes and cookies is related to incident T2D. A case-cohort study was conducted, nested within eight countries of the European Prospective Investigation into Cancer (EPIC), with 12,403 incident T2D cases and a subcohort of 16,835 people, identified from a cohort of 340,234 people. Diet was assessed at baseline (1991-1999) by country-specific questionnaires. Country-specific hazard ratios (HRs) across four categories of fatty foods (nonconsumers and tertiles among consumers) were combined with random-effects meta-analysis. After adjustment not including body mass index (BMI), nonconsumers of butter, nuts and seeds and cakes and cookies were at higher T2D risk compared with the middle tertile of consumption. Among consumers, cakes and cookies were inversely related to T2D (HRs across increasing tertiles 1.14, 1.00 and 0.92, respectively; P-trend &lt;0.0001). All these associations attenuated upon adjustment for BMI, except the higher risk of nonconsumers of cakes and cookies (HR 1.57). Higher consumption of margarine became positively associated after BMI adjustment (HRs across increasing consumption tertiles: 0.93, 1.00 and 1.12; P-trend 0.03). Within consumers, vegetable oil, butter and nuts and seeds were unrelated to T2D. Fatty foods were generally not associated with T2D, apart from weak positive association for margarine. The higher risk among nonconsumers of cakes and cookies needs further explanation.</t>
  </si>
  <si>
    <t>Reporting of covariate selection and balance assessment in propensity score analysis is suboptimal: a systematic review.</t>
  </si>
  <si>
    <t>Ali, M Sanni; Groenwold, Rolf H H; Belitser, Svetlana V; Pestman, Wiebe R; Hoes, Arno W; Roes, Kit C B; Boer, Anthonius de; Klungel, Olaf H</t>
  </si>
  <si>
    <t>https://pubmed.ncbi.nlm.nih.gov/25433444</t>
  </si>
  <si>
    <t>To assess the current practice of propensity score (PS) analysis in the medical literature, particularly the assessment and reporting of balance on confounders. A PubMed search identified studies using PS methods from December 2011 through May 2012. For each article included in the review, information was extracted on important aspects of the PS such as the type of PS method used, variable selection for PS model, and assessment of balance. Among 296 articles that were included in the review, variable selection for PS model was explicitly reported in 102 studies (34.4%). Covariate balance was checked and reported in 177 studies (59.8%). P-values were the most commonly used statistical tools to report balance (125 of 177, 70.6%). The standardized difference and graphical displays were reported in 45 (25.4%) and 11 (6.2%) articles, respectively. Matching on the PS was the most commonly used approach to control for confounding (68.9%), followed by PS adjustment (20.9%), PS stratification (13.9%), and inverse probability of treatment weighting (IPTW, 7.1%). Balance was more often checked in articles using PS matching and IPTW, 70.6% and 71.4%, respectively. The execution and reporting of covariate selection and assessment of balance is far from optimal. Recommendations on reporting of PS analysis are provided to allow better appraisal of the validity of PS-based studies.</t>
  </si>
  <si>
    <t>Comparison of contact patterns relevant for transmission of respiratory pathogens in Thailand and The Netherlands using respondent-driven sampling.</t>
  </si>
  <si>
    <t>Stein, Mart L; van Steenbergen, Jim E; Buskens, Vincent; van der Heijden, Peter G M; Chanyasanha, Charnchudhi; Tipayamongkholgul, Mathuros; Thorson, Anna E; Bengtsson, Linus; Lu, Xin; Kretzschmar, Mirjam E E</t>
  </si>
  <si>
    <t>https://pubmed.ncbi.nlm.nih.gov/25423343</t>
  </si>
  <si>
    <t>Understanding infection dynamics of respiratory diseases requires the identification and quantification of behavioural, social and environmental factors that permit the transmission of these infections between humans. Little empirical information is available about contact patterns within real-world social networks, let alone on differences in these contact networks between populations that differ considerably on a socio-cultural level. Here we compared contact network data that were collected in The Netherlands and Thailand using a similar online respondent-driven method. By asking participants to recruit contact persons we studied network links relevant for the transmission of respiratory infections. We studied correlations between recruiter and recruited contacts to investigate mixing patterns in the observed social network components. In both countries, mixing patterns were assortative by demographic variables and random by total numbers of contacts. However, in Thailand participants reported overall more contacts which resulted in higher effective contact rates. Our findings provide new insights on numbers of contacts and mixing patterns in two different populations. These data could be used to improve parameterisation of mathematical models used to design control strategies. Although the spread of infections through populations depends on more factors, found similarities suggest that spread may be similar in The Netherlands and Thailand.</t>
  </si>
  <si>
    <t>Development and internal validation of a pediatric acute asthma prediction rule for hospitalization.</t>
  </si>
  <si>
    <t>Arnold, Donald H; Gebretsadik, Tebeb; Moons, Karel G M; Harrell, Frank E; Hartert, Tina V</t>
  </si>
  <si>
    <t>the journal of allergy and clinical immunology in practice</t>
  </si>
  <si>
    <t>https://pubmed.ncbi.nlm.nih.gov/25609324</t>
  </si>
  <si>
    <t>Clinicians have difficulty predicting need for hospitalization of children with acute asthma exacerbations. The objective of this study was to develop and internally validate a multivariable asthma prediction rule (APR) to inform hospitalization decision making in children aged 5-17 years with acute asthma exacerbations. Between April 2008 and February 2013 we enrolled a prospective cohort of patients aged 5-17 years with asthma who presented to our pediatric emergency department with acute exacerbations. Predictors for APR modeling included 15 demographic characteristics, asthma chronic control measures, and pulmonary examination findings in participants at the time of triage and before treatment. The primary outcome variable for APR modeling was need for hospitalization (length of stay &gt;24 h for those admitted to hospital or relapse for those discharged). A secondary outcome was the hospitalization decision of the clinical team. We used penalized maximum likelihood multiple logistic regression modeling to examine the adjusted association of each predictor variable with the outcome. Backward step-down variable selection techniques were used to yield reduced-form models. Data from 928 of 933 participants were used for prediction rule modeling, with median [interquartile range] age 8.8 [6.9, 11.2] years, 61% male, and 59% African-American race. Both full (penalized) and reduced-form models for each outcome calibrated well, with bootstrap-corrected c-indices of 0.74 and 0.73 for need for hospitalization and 0.81 in each case for hospitalization decision. The APR predicts the need for hospitalization of children with acute asthma exacerbations using predictor variables available at the time of presentation to an emergency department.</t>
  </si>
  <si>
    <t>Reasons and barriers for using a patient portal: survey among patients with diabetes mellitus.</t>
  </si>
  <si>
    <t>https://pubmed.ncbi.nlm.nih.gov/25424228</t>
  </si>
  <si>
    <t>The use of a Web portal for patients with diabetes mellitus to access their own personal health record may result in improved diabetes outcomes. However, the adoption by patients is slow. This may be caused by patient characteristics, but also by the content, layout, and promotion of the portal. Detailed knowledge about this could help increase patients' participation in Web portals. The aim was to study the opinions of patients with diabetes and identify perceived barriers to using a Web portal to optimize its use. We conducted a survey among patients with type 1 and type 2 diabetes mellitus from 62 primary care practices and 1 outpatient hospital clinic in the central area of the Netherlands who all used the same electronic health record with a Web portal. Questionnaires about patient characteristics, opinions about reasons for use or nonuse, and about portal content were sent to 1500 patients with a login and 3000 patients without a login to the Web portal. Patient groups were stratified according to login frequency. Demographic and diabetes-related variables were analyzed with multivariable regression analysis. The total response rate was 66.63% (2391/4399); 1390 of 4399 patients (31.60%) were eligible for analysis. There were 413 regular users (login frequency more than once) and 758 nonusers (no login). Most nonusers (72.4%) stated that the main reason for not requesting a login was that they were unaware of the existence of the portal. Other barriers reported by patients were disinterest in managing their own disease (28.5%, 216/758) and feelings of inadequacy with the use of computers and Internet (11.6%, 88/758). Patients treated by a general practitioner were more frequently nonusers compared to patients treated by an internist (78.8%, 666/846 vs 28.3%, 92/325; P&lt;.001) and more users than nonusers became aware of the Web portal through their physician (94.9%, 392/413 vs 48.8%, 102/209; P&lt;.001). Nonusers perceived specific portal content as not as useful as regular users did, especially access to laboratory values (71.7%, 383/534 vs 92.3%, 372/403), rereading clinic visits (61.3%, 320/522 vs 89.6%, 360/402), e-messaging (52.0%, 262/504 vs 74.6%, 299/401), and uploading results to the glucose diary (45.3%, 229/506 vs 74.0%, 288/400; all P&lt;.001). Our study shows that unawareness of the patient portal is the main barrier of enrollment. Users and nonusers perceive the usefulness of the portal differently and do not have the same recommendations for additional functionalities. To increase patients' participation in a Web portal, the unawareness of its existence and its possibilities need to be addressed by their health care professionals.</t>
  </si>
  <si>
    <t>Observation of an excited Bc(±) meson state with the ATLAS detector.</t>
  </si>
  <si>
    <t>https://pubmed.ncbi.nlm.nih.gov/25479491</t>
  </si>
  <si>
    <t>A search for excited states of the Bc(±) meson is performed using 4.9  fb(-1) of 7 TeV and 19.2  fb(-1) of 8 TeV pp collision data collected by the ATLAS experiment at the LHC. A new state is observed through its hadronic transition to the ground state, with the latter detected in the decay Bc(±)→J/ψπ(±). The state appears in the m(Bc(±)π(+)π(-))-m(Bc(±))-2m(π(±)) mass difference distribution with a significance of 5.2 standard deviations. The mass of the observed state is 6842±4±5  MeV, where the first error is statistical and the second is systematic. The mass and decay of this state are consistent with expectations for the second S-wave state of the Bc(±) meson, Bc(±)(2S).</t>
  </si>
  <si>
    <t>Quantification of coronary artery calcium in nongated CT to predict cardiovascular events in male lung cancer screening participants: results of the NELSON study.</t>
  </si>
  <si>
    <t>Takx, Richard A P; Išgum, Ivana; Willemink, Martin J; van der Graaf, Yolanda; de Koning, Harry J; Vliegenthart, Rozemarijn; Oudkerk, Matthijs; Leiner, Tim; de Jong, Pim A</t>
  </si>
  <si>
    <t>https://pubmed.ncbi.nlm.nih.gov/25533223</t>
  </si>
  <si>
    <t>To evaluate the incremental prognostic value of the number and maximum volume of coronary artery calcifications over modified Agatston score strata, age, pack-years, and smoking status for predicting cardiovascular events. A total of 3559 male current and former smokers received a CT examination for lung cancer screening. Smoking characteristics, patient demographics, and physician-diagnosed cardiovascular events were collected. Images were acquired without electrocardiography gating on 16-slice CT scanners. The association between the presence of both fatal and nonfatal cardiovascular events and the predictors was quantified using Cox proportional hazard analysis. Median follow-up period was 2.9 years. Incident cardiovascular events occurred in 186 participants. Adjusted hazard ratios for modified Agatston score strata of 1 to 10, 11 to 100, 101 to 400, and &gt;400 were 3.39 (95% confidence interval [CI], 1.20-9.59), 6.52 (95% CI, 2.73-15.60), 6.58 (95% CI, 2.75-15.78), and 12.58 (95% CI, 5.42-29.16), respectively. Moreover, comparing the models with and without modified Agatston score strata to the model with age, pack-years, and smoking status yielded a significantly better net reclassification improvement (NRI; 27.3%; P &lt; .0001). Adding the number of calcifications to the model with age, pack-years, smoking status, and modified Agatston score strata resulted in a slightly better NRI (1.68%; P = .0490) with a hazard ratio of 1.13 (95% CI, 1.05-1.21) per 10 calcifications. The incremental prognostic information contained in the volume of the largest calcification was not statistically significant (NRI, 0.14%; P = .3458). Cardiovascular event rate increased with higher numbers of calcified lesions. The number but not maximum volume of calcifications has independent, although minimal, prognostic value over age, pack-years, smoking status, and modified Agatston score strata in our population.</t>
  </si>
  <si>
    <t>Breast-feeding and health consequences in early childhood: is there an impact of time-dependent confounding?</t>
  </si>
  <si>
    <t>Groenwold, R H H; Tilling, K; Moons, K G M; Hoes, A W; van der Ent, C K; Kramer, M S; Martin, R M; Sterne, J A C</t>
  </si>
  <si>
    <t>annals of nutrition metabolism</t>
  </si>
  <si>
    <t>https://pubmed.ncbi.nlm.nih.gov/25413652</t>
  </si>
  <si>
    <t>Estimated effects of breast-feeding on childhood health vary between studies, possibly due to confounding by baseline maternal and child characteristics. Possible time-dependent confounding has received little consideration. Our aim was to evaluate the impact of such confounding. We estimated the relationship between cumulative exclusive breast-feeding up to 6 months and wheezing, rash and body mass index (BMI) at 12 months [in the Whistler cohort (n = 494) and PROBIT (n = 11,463)], and wheezing, rash, asthma, hay fever, eczema, allergy and BMI at age 6.5 years (PROBIT). We adjusted for time-dependent confounding by weight, length, rash, respiratory illness and day care attendance using marginal structural models (MSMs). Weight and day care attendance appeared potential time-dependent confounders, since these predicted breast-feeding status and were influenced by previous breast-feeding. However, adjustment for time-dependent confounders did not markedly change the estimated associations. For example, in PROBIT the adjusted increase in BMI at 12 months per 1-month increase in exclusive breast-feeding was 0.04 (95% CI -0.09 to 0.01) using logistic regression and -0.06 (95% CI -0.11 to -0.01) using MSM. In Whistler, these estimates were each -0.05 (95% CI -0.10 to 0.00). In two cohort studies, there was little evidence of time-dependent confounding by weight, length, rash, respiratory illness or day care attendance of the effects of breast-feeding on early childhood health.</t>
  </si>
  <si>
    <t>Illness perception and related behaviour in lower respiratory tract infections—a European study.</t>
  </si>
  <si>
    <t>Hordijk, Patricia M; Broekhuizen, Berna D L; Butler, Chris C; Coenen, Samuel; Godycki-Cwirko, Maciek; Goossens, Herman; Hood, Kerry; Smith, Richard; van Vugt, Saskia F; Little, Paul; Verheij, Theo J M; ,</t>
  </si>
  <si>
    <t>https://pubmed.ncbi.nlm.nih.gov/25411421</t>
  </si>
  <si>
    <t>Lower respiratory tract infection (LRTI) is a common presentation in primary care, but little is known about associated patients' illness perception and related behaviour. To describe illness perceptions and related behaviour in patients with LRTI visiting their general practitioner (GP) and identify differences between European regions and types of health care system. Adult patients presenting with acute cough were included. GPs recorded co morbidities and clinical findings. Patients filled out a diary for up to 4 weeks on their symptoms, illness perception and related behaviour. The chi-square test was used to compare proportions between groups and the Mann-Whitney U or Kruskal Wallis tests were used to compare means. Three thousand one hundred six patients from 12 European countries were included. Eighty-one per cent (n = 2530) of the patients completed the diary. Patients were feeling unwell for a mean of 9 (SD 8) days prior to consulting. More than half experienced impairment of normal or social activities for at least 1 week and were absent from work/school for a mean of 4 (SD 5) days. On average patients felt recovered 2 weeks after visiting their GP, but 21% (n = 539) of the patients did not feel recovered after 4 weeks. Twenty-seven per cent (n = 691) reported feeling anxious or depressed, and 28% (n = 702) re-consulted their GP at some point during the illness episode. Reported illness duration and days absent from work/school differed between countries and regions (North-West versus South-East), but there was little difference in reported illness course and related behaviour between health care systems (direct access versus gate-keeping). Illness course, perception and related behaviour in LRTI differ considerably between countries. These finding should be taken into account when developing International guidelines for LRTI and interventions for setting realistic expectations about illness course.</t>
  </si>
  <si>
    <t>Overweight in infancy: which pre- and perinatal factors determine overweight persistence or reduction? A birth cohort followed for 11 years.</t>
  </si>
  <si>
    <t>van Rossem, Lenie; Wijga, Alet H; Brunekreef, Bert; de Jongste, Johan C; Kerkhof, Marjan; Postma, Dirkje S; Gehring, Ulrike; Smit, Henriëtte A</t>
  </si>
  <si>
    <t>https://pubmed.ncbi.nlm.nih.gov/25413660</t>
  </si>
  <si>
    <t>A considerable proportion of children with early-life overweight attain a normal weight. To recognize infants at risk of persistent overweight, we compared early-life factors of children with a longitudinal pattern of persistent overweight to children with a pattern of overweight in early but not in later childhood. In 3,550 children participating in a birth cohort that started in 1996/1997 in the Netherlands, body mass index was repeatedly assessed until age 11 and dichotomized into with/without overweight. Latent class growth modeling was used to distinguish trajectories. Our analysis was focused on the comparison of early-life factors in children in a persistent overweight pattern with those in an overweight reduction pattern using multivariable log-binomial regression analyses. Children (n = 133) in the persistent overweight pattern were more likely to have overweight parents [relative risk (RR)mother: 1.85, 95% CI: 1.37-2.49: RRfather: 1.75, 95% CI: 1.21-2.55] than children in the overweight reduction pattern (n = 303). Maternal education, child's gender, ethnicity, birth weight, breast-feeding and maternal smoking during pregnancy did not differ between the trajectories. Health care practitioners should focus on high-weight infants with overweight parents, as these children are less likely to resolve their overweight.</t>
  </si>
  <si>
    <t>Degree of urbanization and mammographic density in Dutch breast cancer screening participants: results from the EPIC-NL cohort.</t>
  </si>
  <si>
    <t>Emaus, Marleen J; Bakker, Marije F; Beelen, Rob M J; Veldhuis, Wouter B; Peeters, Petra H M; van Gils, Carla H</t>
  </si>
  <si>
    <t>https://pubmed.ncbi.nlm.nih.gov/25399231</t>
  </si>
  <si>
    <t>It has been observed that women living in urban areas have a higher mammographic density (MD) compared to women living in rural areas. This association might be explained by regional differences in reproductive and lifestyle factors or perhaps by variation in exposure to ambient air pollution as air pollution particles have been described to show estrogenic activity. We investigated the association between degree of urbanization and MD, and aimed to unravel the underlying etiology. 2,543 EPIC-NL participants were studied, and general linear models were used. Urbanization was categorized into five categories according to the number of addresses/km(2). Information on reproductive and lifestyle factors was obtained from the recruitment questionnaire. Air pollution exposure was estimated using land-use regression models. MD was expressed as percent density (PD) and dense area (DA), and was quantified using Cumulus. Women living in extremely urbanized areas had a higher PD (21.4%, 95% confidence interval (CI) 20.5-22.3%) compared to women living in not urbanized areas (16.1, 95% CI 14.5-17.8%, P trend &lt; 0.01).The association persisted after adjustment for reproductive and lifestyle factors as well as for individual exposure to air pollution (adjusted PDextremely_urbanized = 22.1%, 95% CI 18.0-26.5% versus adjusted PDnot_urbanized = 16.9%, 95% CI 13.0-21.2, P trend &lt; 0.01).The results for DA showed close similarity to the results for PD. We found evidence that degree of urbanization is associated with MD. The association could not be explained by differences in reproductive and lifestyle factors or by variation in air pollution exposure.</t>
  </si>
  <si>
    <t>A novel approach for establishing cardiovascular drug efficacy.</t>
  </si>
  <si>
    <t>Heerspink, Hiddo J Lambers; Grobbee, Diederick E; de Zeeuw, Dick</t>
  </si>
  <si>
    <t>nature reviews drug discovery</t>
  </si>
  <si>
    <t>https://pubmed.ncbi.nlm.nih.gov/25398246</t>
  </si>
  <si>
    <t>Cardiovascular manifestations of HIV infection in children.</t>
  </si>
  <si>
    <t>Idris, Nikmah S; Grobbee, Diederick E; Burgner, David; Cheung, Michael M H; Kurniati, Nia; Sastroasmoro, Sudigdo; Uiterwaal, Cuno S P M</t>
  </si>
  <si>
    <t>https://pubmed.ncbi.nlm.nih.gov/25398702</t>
  </si>
  <si>
    <t>HIV infection in children is now considered as a chronic condition, in which various non-infectious complications may occur, including those affecting the developing cardiovascular system. As children are expected to survive well into adulthood, understanding childhood as well as potential future cardiovascular complications is of major importance. We reviewed published literature on childhood cardiac manifestations and longer term effects of pediatric HIV infection on the cardiovascular system. Evidence gaps that should be prioritized in research are highlighted. Through poorly understood mechanisms, HIV infection may cause various cardiac complications already manifesting in childhood, such as structural and functional myocardial derangements, pulmonary hypertension, pericardial effusion and possibly endocarditis. Evidence indicates that HIV infection in children also has unfavorable effects on the vasculature and cardiovascular biomarkers, such as increased intima-media thickness and decreased flow-mediated dilation, a marker of endothelial function. However, studies are small and predominantly include antiretroviral therapy-treated children, so that it is difficult to differentiate between effects of HIV infection per se and antiretroviral therapy treatment, reported in adults to have cardiovascular side effects. HIV infection in children may greatly impact the cardiovascular system, including effects on the heart, which tend to manifest early in childhood, and on the vasculature. The underlying mechanisms, essential for targeted prevention, are poorly understood. Current evidence largely stems from research in adults. However, as modes of infection, immune maturity, growth and development, and treatment are markedly different in children, specific pediatric research, accounting for the complex interplay of normal growth and development, HIV infection and treatment, is clearly warranted.</t>
  </si>
  <si>
    <t>Erythrocyte sedimentation rate as baseline predictor for the development of uveitis in children with juvenile idiopathic arthritis.</t>
  </si>
  <si>
    <t>Haasnoot, Arenda J W; van Tent-Hoeve, Maretta; Wulffraat, Nico M; Schalij-Delfos, Nicoline E; Los, Leonoor I; Armbrust, Wineke; Zuithoff, Nicolaas P A; de Boer, Joke H</t>
  </si>
  <si>
    <t>https://pubmed.ncbi.nlm.nih.gov/25447121</t>
  </si>
  <si>
    <t>To analyze inflammatory parameters as possible predictors for the development of uveitis in juvenile idiopathic arthritis (JIA) patients. Further, to analyze the predictive value of demographic and clinical factors at the onset of arthritis. Retrospective cohort study. In 358 children with oligoarthritis and rheumatoid factor-negative polyarthritis, erythrocyte sedimentation rate (ESR), C-reactive protein, leukocyte count, presence of antinuclear antibodies (ANA), presence of human leukocyte antigen (HLA-)B27, age of onset of JIA, and sex were analyzed for their predictive value for the onset of uveitis. One hundred forty-seven patients (41%) were diagnosed with chronic anterior uveitis. Young age of onset, presence of ANA, and elevated ESR appeared to be predictive factors according to univariate analyses (P = .029, P = .007, and P = 5E(-4), respectively). According to multivariate analysis, young age of onset and elevated ESR appeared to be predictive after adjusting for the other relevant factors (P = .004 and P = .001, respectively). A prediction model was developed. Elevated ESR appears to be a predictor for the occurrence of uveitis in patients with JIA. Since ESR is already routinely tested in patients with recently diagnosed arthritis, its use as a biomarker can easily be implemented in daily practice.</t>
  </si>
  <si>
    <t>Paternal or maternal history of cardiovascular disease and the risk of cardiovascular disease in offspring. A systematic review and meta-analysis.</t>
  </si>
  <si>
    <t>Weijmans, M; van der Graaf, Y; Reitsma, J B; Visseren, F L J</t>
  </si>
  <si>
    <t>https://pubmed.ncbi.nlm.nih.gov/25464496</t>
  </si>
  <si>
    <t>Parental history of cardiovascular disease (CVD) is an established risk factor for the development of CVD in offspring. Several studies have suggested that a maternal transmission of CVD is more important for the development of CVD than paternal transmission. A systematic search and meta-analysis were conducted, using the Medline and Embase databases. Included were cohort, case-control and cross-sectional studies (n=26) focusing on the relation between paternal and maternal histories of cardiovascular disease and offspring CVD (myocardial infarction, stroke or cardiovascular mortality). The pooled estimates were calculated using a random-effects model. The pooled OR of CVD in offspring having a positive paternal history of CVD compared to not having a positive parental history was 1.91 (95% CI 1.56-2.34; I(2)53%), the RR1.54 (95% CI 1.33-1.77; I(2)96%). The OR of a maternal history was 2.16 (95% CI 1.71-2.74; I(2)50%), RR1.59 (95% CI 1.38-1.84; I(2)90%). Regarding different age limits, a maternal history &lt;50 years (3.15, 95% CI 2.18-4.55) and paternal history &lt;55 years (2.82, 95% CI 2.25-3.54) were associated with the highest cardiovascular risk. Additional analyses for sons demonstrated an estimate for a positive paternal history of 1.55 (95% CI 1.39-1.71; I(2)74%) and 1.56 (95% CI 1.46-1.67; I(2)16%) for maternal history. For daughters, the estimate for paternal history was 1.48 (95% CI 1.26-1.74; I(2)73%) and 1.79 (95% CI 1.50-2.13; I(2)68%) for maternal history . The conferred risk of CVD in offspring was not substantially different between positive paternal and maternal histories of CVD, the highest risk was observed for maternal history &lt;50years. Since a positive parental history of CVD involves an increased cardiovascular risk, parental history inquiry is useful in clinical practice. No distinction has to be made whether the affected parent is the mother or the father.</t>
  </si>
  <si>
    <t>Insulin-like growth factor I and risk of epithelial invasive ovarian cancer by tumour characteristics: results from the EPIC cohort.</t>
  </si>
  <si>
    <t>Ose, J; Fortner, R T; Schock, H; Peeters, P H; Onland-Moret, N C; Bueno-de-Mesquita, H B; Weiderpass, E; Gram, I T; Overvad, K; Tjonneland, A; Dossus, L; Fournier, A; Baglietto, L; Trichopoulou, A; Benetou, V; Trichopoulos, D; Boeing, H; Masala, G; Krogh, V; Matiello, A; Tumino, R; Popovic, M; Obón-Santacana, M; Larrañaga, N; Ardanaz, E; Sánchez, M-J; Menéndez, V; Chirlaque, M-D; Travis, R C; Khaw, K-T; Brändstedt, J; Idahl, A; Lundin, E; Rinaldi, S; Kuhn, E; Romieu, I; Gunter, M J; Merritt, M A; Riboli, E; Kaaks, R</t>
  </si>
  <si>
    <t>https://pubmed.ncbi.nlm.nih.gov/25349976</t>
  </si>
  <si>
    <t>Prospective studies on insulin-like growth factor I (IGF-I) and epithelial ovarian cancer (EOC) risk are inconclusive. Data suggest risk associations vary by tumour characteristics. We conducted a nested case-control study in the European Prospective Investigation into Cancer and Nutrition (EPIC) to evaluate IGF-I concentrations and EOC risk by tumour characteristics (n=565 cases). Multivariable conditional logistic regression models were used to estimate associations. We observed no association between IGF-I and EOC overall or by tumour characteristics. In the largest prospective study to date was no association between IGF-I and EOC risk. Pre-diagnostic serum IGF-I concentrations may not influence EOC risk.</t>
  </si>
  <si>
    <t>Association between lifestyle factors and quality-adjusted life years in the EPIC-NL cohort.</t>
  </si>
  <si>
    <t>Fransen, Heidi P; May, Anne M; Beulens, Joline W J; Struijk, Ellen A; de Wit, G Ardine; Boer, Jolanda M A; Onland-Moret, N Charlotte; Hoekstra, Jeljer; van der Schouw, Yvonne T; Bueno-de-Mesquita, H Bas; Peeters, Petra H M</t>
  </si>
  <si>
    <t>https://pubmed.ncbi.nlm.nih.gov/25369457</t>
  </si>
  <si>
    <t>The aim of our study was to relate four modifiable lifestyle factors (smoking status, body mass index, physical activity and diet) to health expectancy, using quality-adjusted life years (QALYs) in a prospective cohort study. Data of the prospective EPIC-NL study were used, including 33,066 healthy men and women aged 20-70 years at baseline (1993-7), followed until 31-12-2007 for occurrence of disease and death. Smoking status, body mass index, physical activity and adherence to a Mediterranean-style diet (excluding alcohol) were investigated separately and combined into a healthy lifestyle score, ranging from 0 to 4. QALYs were used as summary measure of healthy life expectancy, combining a person's life expectancy with a weight for quality of life when having a chronic disease. For lifestyle factors analyzed separately the number of years living longer in good health varied from 0.12 year to 0.84 year, after adjusting for covariates. A combination of the four lifestyle factors was positively associated with higher QALYs (P-trend &lt;0.0001). A healthy lifestyle score of 4 compared to a score of 0 was associated with almost a 2 years longer life in good health (1.75 QALYs [95% CI 1.37, 2.14]).</t>
  </si>
  <si>
    <t>Staged decision making was an attractive alternative to a plenary approach in panel diagnosis as reference standard.</t>
  </si>
  <si>
    <t>Bertens, Loes C M; van Mourik, Yvonne; Rutten, Frans H; Cramer, Maarten-Jan M; Lammers, Jan-Willem J; Hoes, Arno W; Reitsma, Johannes B; Moons, Karel G M</t>
  </si>
  <si>
    <t>https://pubmed.ncbi.nlm.nih.gov/25459980</t>
  </si>
  <si>
    <t>To assess differences between three different decision-making approaches in the method of panel diagnosis as reference standard in diagnostic research. Within a diagnostic study, the prevalence of heart failure (HF) and chronic obstructive pulmonary disease (COPD) was compared using three approaches of decision making in panel diagnosis. These were (1) a plenary discussion among experts followed by a consensus decision (plenary); (2) a predefined decision rule based on final diagnoses made by each member individually (individual); and (3) a staged procedure in which first the final diagnosis per individual member is generated followed by a plenary discussion of those cases with disagreement (staged). Prevalence of HF and COPD according to plenary approach was 46% and 28%, respectively. Individual approach diagnosed 28% of patients with HF and 31% with COPD and revealed 28 and 8 discordant diagnoses, respectively, compared with plenary approach. Staged approach revealed a prevalence of 43% and 28% for HF and COPD, respectively, with eight discordant diagnoses for HF and none for COPD. The staged approach is an attractive choice as it produces very similar results to the full plenary approach, while having the advantage of being less time consuming. Additionally, it provides insights into the decision-making process of the panel, and the "difficult-to-diagnose" patients can easily be identified.</t>
  </si>
  <si>
    <t>Accuracy of the Wells clinical prediction rule for pulmonary embolism in older ambulatory adults.</t>
  </si>
  <si>
    <t>https://pubmed.ncbi.nlm.nih.gov/25366538</t>
  </si>
  <si>
    <t>To determine whether the Wells clinical prediction rule for pulmonary embolism (PE), which produces a point score based on clinical features and the likelihood of diagnoses other than PE, combined with normal D-dimer testing can be used to exclude PE in older unhospitalized adults. Prospective cohort study. Primary care and nursing homes. Older adults (≥60) clinically suspected of having a PE (N = 294, mean age 76, 44% residing in a nursing home). The presence of PE was confirmed using a composite reference standard including computed tomography and 3-month follow-up. The proportion of individuals with an unlikely risk of PE was calculated according to the Wells rule (≤4 points) plus a normal qualitative point-of-care D-dimer test (efficiency) and the presence of symptomatic PE during 3 months of follow-up within these patients (failure rate). Pulmonary embolism occurred in 83 participants (28%). Eighty-five participants had an unlikely risk according to the Wells rule and a normal D-dimer test (efficiency 29%), five of whom experienced a nonfatal PE during 3 months of follow-up (failure rate = 5.9%, 95% confidence interval (CI) = 2.5-13%). According to a refitted diagnostic strategy for older adults, 69 had a low risk of PE (24%), two of whom had PE (failure rate = 2.9%, 95% CI = 0.8-10%). The use of the well-known and widely used Wells rule (original or refitted) does not guarantee safe exclusion of PE in older unhospitalized adults with suspected PE. This may lead to discussion among professionals as to whether the original or revised Wells rule is useful for elderly outpatients.</t>
  </si>
  <si>
    <t>The effect of including an opt-out option in discrete choice experiments.</t>
  </si>
  <si>
    <t>Veldwijk, Jorien; Lambooij, Mattijs S; de Bekker-Grob, Esther W; Smit, Henriëtte A; de Wit, G Ardine</t>
  </si>
  <si>
    <t>https://pubmed.ncbi.nlm.nih.gov/25365169</t>
  </si>
  <si>
    <t>to determine to what extent the inclusion of an opt-out option in a DCE may have an effect on choice behaviour and therefore might influence the attribute level estimates, the relative importance of the attributes and calculated trade-offs. 781 Dutch Type 2 Diabetes Mellitus patients completed a questionnaire containing nine choice tasks with an opt-out option and nice forced choice tasks. Mixed-logit models were used to estimate the relative importance of the five lifestyle program related attributes that were included. Willingness to pay (WTP) values were calculated and it was tested whether results differed between respondents who answered the choice tasks with an opt-out option in the first or second part of the questionnaire. 21.4% of the respondents always opted out. Respondents who were given the opt-out option in the first part of the questionnaire as well as lower educated respondents significantly more often opted out. For both the forced and unforced choice model, different attributes showed significant estimates, the relative importance of the attributes was equal. However, due to differences in relative importance weights, the WTP values for the PA schedule differed significantly between both datasets. Results show differences in opting out based on the location of the opt-out option and respondents' educational level; this resulted in small differences between the forced and unforced choice model. Since respondents seem to learn from answering forced choice tasks, a dual response design might result in higher data quality compared to offering a direct opt-out option. Future research should empirically explore how choice sets should be presented to make them as easy and less complex as possible in order to reduce the proportion of respondents that opts-out due to choice task complexity. Moreover, future research should debrief respondents to examine the reasons for choosing the opt-out alternative.</t>
  </si>
  <si>
    <t>Validity and reliability of the Katz-15 scale to measure unfavorable health outcomes in community-dwelling older people.</t>
  </si>
  <si>
    <t>Laan, W; Zuithoff, N P A; Drubbel, I; Bleijenberg, N; Numans, M E; de Wit, N J; Schuurmans, M J</t>
  </si>
  <si>
    <t>https://pubmed.ncbi.nlm.nih.gov/25389963</t>
  </si>
  <si>
    <t>To predict the risk of future unfavourable health outcomes in older people it is common to assess the level of both basic and instrumental activities of daily living. To accomplish this, the commonly used Katz-6 and the Lawton IADL questionnaires can be combined to form the 'Modified Katz ADL' scale, also known as the Katz-15 scale. So far, the validity and reliability of the Katz-15 scale is unknown. The objective of the current study is to investigate how well the Katz-15 is able to predict future unfavorable health outcomes and how this is related to the existing Katz-6 scale. We performed a follow-up study using data from a group of 60 year and older participants from a large Dutch clinical trial. We included 2321 participants in the analysis. The average age of the study population was 74 years and 44% was male. We studied the relation between the Katz-15 scale and a number of unfavourable health outcomes, such as hospitalization, admission to a nursing home, admission to a home for the aged and death within one year of follow-up. We found the Katz-15 to be both internally consistent and strongly associated with quality of life measures. We observed moderate to strong associations between the Katz-15 and the unfavourable health outcomes All associations studied were stronger for the Katz-15 scale as compared to the Katz-6 scale. The results of our study indicate that the Katz-15 scale is able to reliably and validly predict future unfavorable health outcomes. This makes the scale a valuable measure in determining both basic and instrumental activities of daily living.</t>
  </si>
  <si>
    <t>Diagnostic accuracy of CT in assessing extra-regional lymphadenopathy in pancreatic and peri-ampullary cancer: a systematic review and meta-analysis.</t>
  </si>
  <si>
    <t>Tseng, Dorine S J; van Santvoort, Hjalmar C; Fegrachi, Samira; Besselink, Marc G; Zuithoff, Nicolaas P A; Borel Rinkes, Inne H; van Leeuwen, Maarten S; Molenaar, I Quintus</t>
  </si>
  <si>
    <t>https://pubmed.ncbi.nlm.nih.gov/25466853</t>
  </si>
  <si>
    <t>Computed tomography (CT) is the most widely used method to assess resectability of pancreatic and peri-ampullary cancer. One of the contra-indications for curative resection is the presence of extra-regional lymph node metastases. This meta-analysis investigates the accuracy of CT in assessing extra-regional lymph node metastases in pancreatic and peri-ampullary cancer. We systematically reviewed the literature according to the PRISMA guidelines. Studies reporting on CT assessment of extra-regional lymph nodes in patients undergoing pancreatoduodenectomy were included. Data on baseline characteristics, CT-investigations and histopathological outcomes were extracted. Diagnostic accuracy, positive predictive value (PPV), negative predictive value (NPV), sensitivity and specificity were calculated for individual studies and pooled data. After screening, 4 cohort studies reporting on CT-findings and histopathological outcome in 157 patients with pancreatic or peri-ampullary cancer were included. Overall, diagnostic accuracy, specificity and NPV varied from 63 to 81, 80-100% and 67-90% respectively. However, PPV and sensitivity ranged from 0 to 100% and 0-38%. Pooled sensitivity, specificity, PPV and NPV were 25%, 86%, 28% and 84% respectively. CT has a low diagnostic accuracy in assessing extra-regional lymph node metastases in pancreatic and peri-ampullary cancer. Therefore, suspicion of extra-regional lymph node metastases on CT alone should not be considered a contra-indication for exploration.</t>
  </si>
  <si>
    <t>Measurements of jet vetoes and azimuthal decorrelations in dijet events produced in [Formula: see text] collisions at [Formula: see text] using the ATLAS detector.</t>
  </si>
  <si>
    <t>https://pubmed.ncbi.nlm.nih.gov/25814873</t>
  </si>
  <si>
    <t>Additional jet activity in dijet events is measured using [Formula: see text] collisions at ATLAS at a centre-of-mass energy of [Formula: see text], for jets reconstructed using the [Formula: see text] algorithm with radius parameter [Formula: see text]. This is done using variables such as the fraction of dijet events without an additional jet in the rapidity interval bounded by the dijet subsystem and correlations between the azimuthal angles of the dijet s. They are presented, both with and without a veto on additional jet activity in the rapidity interval, as a function of the scalar average of the transverse momenta of the dijet s and of the rapidity interval size. The double differential dijet cross section is also measured as a function of the interval size and the azimuthal angle between the dijet s. These variables probe differences in the approach to resummation of large logarithms when performing QCD calculations. The data are compared to powheg, interfaced to the pythia 8 and herwig parton shower generators, as well as to hej with and without interfacing it to the ariadne parton shower generator. None of the theoretical predictions agree with the data across the full phase-space considered; however, powheg+pythia 8 and hej+ariadne are found to provide the best agreement with the data. These measurements use the full data sample collected with the ATLAS detector in [Formula: see text][Formula: see text] collisions at the LHC and correspond to integrated luminosities of [Formula: see text] and [Formula: see text] for data collected during 2010 and 2011, respectively.</t>
  </si>
  <si>
    <t>Contextual risk factors for low birth weight: a multilevel analysis.</t>
  </si>
  <si>
    <t>Kayode, Gbenga A; Amoakoh-Coleman, Mary; Agyepong, Irene Akua; Ansah, Evelyn; Grobbee, Diederick E; Klipstein-Grobusch, Kerstin</t>
  </si>
  <si>
    <t>https://pubmed.ncbi.nlm.nih.gov/25360709</t>
  </si>
  <si>
    <t>Low birth weight (LBW) remains to be a leading cause of neonatal death and a major contributor to infant and under-five mortality. Its prevalence has not declined in the last decade in sub-Saharan Africa (SSA) and Asia. Some individual level factors have been identified as risk factors for LBW but knowledge is limited on contextual risk factors for LBW especially in SSA. Contextual risk factors for LBW in Ghana were identified by performing multivariable multilevel logistic regression analysis of 6,900 mothers dwelling in 412 communities that participated in the 2003 and 2008 Demographic and Health Surveys in Ghana. Contextual-level factors were significantly associated with LBW: Being a rural dweller increased the likelihood of having a LBW infant by 43% (OR 1.43; 95% CI 1.01-2.01; P-value &lt;0.05) while living in poverty-concentrated communities increased the risk of having a LBW infant twofold (OR 2.16; 95% CI 1.29-3.61; P-value &lt;0.01). In neighbourhoods with a high coverage of safe water supply the odds of having a LBW infant reduced by 28% (OR 0.74; 95% CI 0.57-0.96; P-value &lt;0.05). This study showed contextual risk factors to have independent effects on the prevalence of LBW infants. Being a rural dweller, living in a community with a high concentration of poverty and a low coverage of safe water supply were found to increase the prevalence of LBW infants. Implementing appropriate community-based intervention programmes will likely reduce the occurrence of LBW infants.</t>
  </si>
  <si>
    <t>Measurement of the [Formula: see text] production cross-section using [Formula: see text] events with [Formula: see text]-tagged jets in [Formula: see text] collisions at [Formula: see text] and 8 TeV with the ATLAS detector.</t>
  </si>
  <si>
    <t>https://pubmed.ncbi.nlm.nih.gov/25814872</t>
  </si>
  <si>
    <t>The inclusive top quark pair ([Formula: see text]) production cross-section [Formula: see text] has been measured in proton-proton collisions at [Formula: see text] and [Formula: see text] with the ATLAS experiment at the LHC, using [Formula: see text] events with an opposite-charge [Formula: see text] pair in the final state. The measurement was performed with the 2011 7 TeV dataset corresponding to an integrated luminosity of 4.6 [Formula: see text] and the 2012 8 TeV dataset of 20.3 [Formula: see text]. The numbers of events with exactly one and exactly two [Formula: see text]-tagged jets were counted and used to simultaneously determine [Formula: see text] and the efficiency to reconstruct and [Formula: see text]-tag a jet from a top quark decay, thereby minimising the associated systematic uncertainties. The cross-section was measured to be: [Formula: see text]where the four uncertainties arise from data statistics, experimental and theoretical systematic effects, knowledge of the integrated luminosity and of the LHC beam energy. The results are consistent with recent theoretical QCD calculations at next-to-next-to-leading order. Fiducial measurements corresponding to the experimental acceptance of the leptons are also reported, together with the ratio of cross-sections measured at the two centre-of-mass energies. The inclusive cross-section results were used to determine the top quark pole mass via the dependence of the theoretically predicted cross-section on [Formula: see text] giving a result of [Formula: see text][Formula: see text] GeV. By looking for an excess of [Formula: see text] production with respect to the QCD prediction, the results were also used to place limits on the pair-production of supersymmetric top squarks [Formula: see text] with masses close to the top quark mass, decaying via [Formula: see text] to predominantly right-handed top quarks and a light neutralino [Formula: see text], the lightest supersymmetric particle. Top squarks with masses between the top quark mass and 177 GeV are excluded at the 95 % confidence level.</t>
  </si>
  <si>
    <t>Reporting diagnostic accuracy studies: some improvements after 10 years of STARD.</t>
  </si>
  <si>
    <t>Korevaar, Daniël A; Wang, Junfeng; van Enst, W Annefloor; Leeflang, Mariska M; Hooft, Lotty; Smidt, Nynke; Bossuyt, Patrick M M</t>
  </si>
  <si>
    <t>https://pubmed.ncbi.nlm.nih.gov/25350641</t>
  </si>
  <si>
    <t>To evaluate how diagnostic accuracy study reports published in 2012 adhered to the Standards for Reporting of Diagnostic Accuracy (STARD) statement and whether there were any differences in reporting compared with 2000 and 2004. PubMed was searched for studies published in 12 high-impact-factor journals in 2012 that evaluated the accuracy of one or more diagnostic tests against a clinical reference standard. Two independent reviewers scored reporting completeness of each article with the 25-item STARD checklist. Mixed-effects modeling was used to analyze differences in reporting with previous evaluations from articles published in 2000 and 2004. Included were 112 articles. The overall mean number of STARD items reported in 2012 was 15.3 ± 3.9 (standard deviation; range, 6.0-23.5). There was an improvement of 3.4 items (95% confidence interval: 2.6, 4.3) compared with studies published in 2000, and an improvement of 1.7 items (95% confidence interval: 0.9, 2.5) compared with studies published in 2004. Significantly more items were reported for single-gate studies compared with multiple-gate studies (16.8 vs 12.1, respectively; P &lt; .001) and for studies that evaluated imaging tests compared with laboratory tests and other types of tests (17.0 vs 14.0 vs 14.5, respectively; P &lt; .001). Completeness of reporting improved in the 10 years after the launch of STARD, but it remains suboptimal for many articles. Reporting of inclusion criteria and sampling methods for recruiting patients, information about blinding, and confidence intervals for accuracy estimates are in need of further improvement.</t>
  </si>
  <si>
    <t>Validation of the Oudega diagnostic decision rule for diagnosing deep vein thrombosis in frail older out-of-hospital patients.</t>
  </si>
  <si>
    <t>Schouten, Henrike J; Koek, Huiberdina L; Oudega, Ruud; van Delden, Johannes J M; Moons, Karel G M; Geersing, Geert-Jan</t>
  </si>
  <si>
    <t>https://pubmed.ncbi.nlm.nih.gov/25349230</t>
  </si>
  <si>
    <t>We aimed to validate the Oudega diagnostic decision rule-which was developed and validated among younger aged primary care patients-to rule-out deep vein thrombosis (DVT) in frail older outpatients. In older patients (&gt;60 years, either community dwelling or residing in nursing homes) with clinically suspected DVT, physicians recorded the score on the Oudega rule and d-dimer test. DVT was confirmed with a composite reference standard including ultrasonography examination and 3-month follow-up. The proportion of patients with a very low probability of DVT according to the Oudega rule (efficiency), and the proportion of patients with symptomatic venous thromboembolism during 3 months follow-up within this 'very low risk' group (failure rate) was calculated. DVT occurred in 164 (47%) of the 348 study participants (mean age 81 years, 85% residing in nursing homes). The probability of DVT was very low in 69 patients (Oudega score ≤3 points plus a normal d-dimer test; efficiency 20%) of whom four had non-fatal DVT (failure rate 5.8%; 2.3-14%). With a simple revised version of the Oudega rule for older suspected patients, 43 patients had a low risk of DVT (12% of the total population) of whom only one had DVT (failure rate 2.3%; 0.4-12%). In older suspected patients, application of the original Oudega rule to exclude DVT resulted in a higher failure rate as compared to previous studies. A revised and simplified Oudega strategy specifically developed for elderly suspected patients resulted in a lower failure rate though at the expense of a lower efficiency.</t>
  </si>
  <si>
    <t>Chronic obstructive pulmonary disease in heart failure: accurate diagnosis and treatment.</t>
  </si>
  <si>
    <t>Güder, Gülmisal; Brenner, Susanne; Störk, Stefan; Hoes, Arno; Rutten, Frans H</t>
  </si>
  <si>
    <t>https://pubmed.ncbi.nlm.nih.gov/25345927</t>
  </si>
  <si>
    <t>Coincidence of COPD and heart failure (HF) is challenging as both diseases interact on multiple levels with each other, and thus impact significantly on diagnosis, disease severity classification, and choice of medical therapy. The current overview aims to educate caregivers involved in the daily management of patients with HF and (possibly) concurrent COPD in how to deal with clinically relevant issues such as interpreting spirometry, the potential role of extensive pulmonary function testing, and finally, the potential beneficial, but also detrimental effects of medication used for HF and COPD on either disease.</t>
  </si>
  <si>
    <t>Effect of exercise on insulin sensitivity in healthy postmenopausal women: the SHAPE study.</t>
  </si>
  <si>
    <t>van Gemert, Willemijn A; Monninkhof, Evelyn M; May, Anne M; Peeters, Petra H; Schuit, Albertine J</t>
  </si>
  <si>
    <t>https://pubmed.ncbi.nlm.nih.gov/25342388</t>
  </si>
  <si>
    <t>An inactive lifestyle is a risk factor for several types of cancer. A proposed pathway through which exercise influences cancer risk is via insulin. We aim to investigate the effect of a one-year exercise intervention on insulin sensitivity, and the role of body fat in this association, in healthy, normal to overweight/obese, postmenopausal women. In the Sex Hormones And Physical Exercise (SHAPE) study, 189 healthy, inactive and postmenopausal women [ages, 50-69 years; body mass index (BMI), 22-40 kg/m(2)] were randomly assigned to a one-year aerobic and strength exercise intervention (150 min/wk), or a control group. Between-group differences in fasting insulin, glucose, and homeostatic model assessment of insulin resistance (HOMA2) over time were estimated using linear mixed models. Follow-up measurements of insulin sensitivity were available for 181 (95.8%) and 182 (96.3%) women at 4 and 12 months, respectively. The intention-to-treat analysis showed no significant differences between the two study groups [treatment effect ratio of the exercise group vs. control (β; 95% confidence interval): insulin, β, 1.07 (0.96-1.19); glucose, β, 1.01 (0.99-1.02); and HOMA2, β, 1.07 (0.96-1.20)]. Similar results were found in a per protocol analysis in compliant women, and in a subgroup of women who lost &gt;2% body fat [measured by dual-energy X-ray absorptiometry (DEXA)]. Participation in a one-year aerobic and strength exercise intervention program did not result in changes in insulin sensitivity in healthy postmenopausal and inactive women. Our findings suggest that 150 min/wk of exercise, as recommended by current guidelines, is not enough to achieve improvements in insulin sensitivity and subsequent cancer risk, in healthy postmenopausal women.</t>
  </si>
  <si>
    <t>Cardiovascular disease risk in women with premature ovarian insufficiency: A systematic review and meta-analysis.</t>
  </si>
  <si>
    <t>Roeters van Lennep, Jeanine E; Heida, Karst Y; Bots, Michiel L; Hoek, Annemieke; ,</t>
  </si>
  <si>
    <t>https://pubmed.ncbi.nlm.nih.gov/25331207</t>
  </si>
  <si>
    <t>The purpose of this review was to assess the relationship between premature ovarian insufficiency (POI), defined as natural menopause &lt;40 years, and risk of ischaemic heart disease (IHD), stroke and overall cardiovascular disease (CVD). We performed a systematic search in PubMed (1966-2012), EMBASE (1980-2012). Studies were included if they were prospective, follow-up&gt;3 years, assessment of age menopause &lt;40 years, and incident cases of fatal or nonfatal IHD, stroke, or overall CVD. Relative risks (RRs) and 95% confidence interval (CI) were pooled using a random-effect model. Overall, 10 observational studies were identified, comprising 190,588 women (follow-up 4-37 years) with 9440 events (2026 events for IHD (seven studies) and 6438 events for stroke (seven studies) and 976 for total CVD (two studies). POI was assessed by questionnaire and incident cases through certification and event registers. POI was related to an increased risk of developing or dying from IHD (hazard ratio (HR) 1.69, 95% CI 1.29-2.21, p = 0.0001) and total CVD (HR 1.61, 95% CI 1.22-2.12, p = 0.0007). No relation was found for stroke (HR 1.03, 0.88-1.19, p = 0.74). We found no evidence for heterogeneity. POI is an independent though modest risk factor of IHD and overall CVD but not of stroke. Because of the limited impact of POI on CVD risk compared to classical cardiovascular risk factors, it is unlikely that POI will be implemented as modifier of cardiovascular risk classification.</t>
  </si>
  <si>
    <t>Search for scalar diphoton resonances in the mass range 65-600 GeV with the ATLAS detector in pp collision data at √s=8 TeV.</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</si>
  <si>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Akesson,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t>
  </si>
  <si>
    <t>https://pubmed.ncbi.nlm.nih.gov/25379911</t>
  </si>
  <si>
    <t>A search for scalar particles decaying via narrow resonances into two photons in the mass range 65-600 GeV is performed using 20.3  fb(-1) of √s 8 TeV pp collision data collected with the ATLAS detector at the Large Hadron Collider. The recently discovered Higgs boson is treated as a background. No significant evidence for an additional signal is observed. The results are presented as limits at the 95% confidence level on the production cross section of a scalar boson times branching ratio into two photons, in a fiducial volume where the reconstruction efficiency is approximately independent of the event topology. The upper limits set extend over a considerably wider mass range than previous searches.</t>
  </si>
  <si>
    <t>Development and validation of a prediction model for diagnosing blood stream infections in febrile, non-neutropenic children with cancer.</t>
  </si>
  <si>
    <t>Esbenshade, Adam J; Pentima, M Cecilia Di; Zhao, Zhiguo; Shintani, Ayumi; Esbenshade, Jennifer C; Simpson, Monique E; Montgomery, Kathleen C; Lindell, Robert B; Lee, Haerin; Wallace, Ato; Garcia, Kelly L; Moons, Karel G M; Friedman, Debra L</t>
  </si>
  <si>
    <t>https://pubmed.ncbi.nlm.nih.gov/25327666</t>
  </si>
  <si>
    <t>Pediatric oncology patients are at increased risk for blood stream infections (BSI). Risk in the absence of severe neutropenia (absolute neutrophil count [ANC] ≥500/µl) is not well defined. In a retrospective cohort of febrile (temperature ≥38.0° for &gt;1 hr or ≥38.3°) pediatric oncology patients with ANC ≥500/µl, a diagnostic prediction model for BSI was constructed using logistic regression modeling and the following candidate predictors: age, ANC, absolute monocyte count, body temperature, inpatient/outpatient presentation, sex, central venous catheter type, hypotension, chills, cancer diagnosis, stem cell transplant, upper respiratory symptoms, and exposure to cytarabine, anti-thymocyte globulin, or anti-GD2 antibody. The model was internally validated with bootstrapping methods. Among 932 febrile episodes in 463 patients, we identified 91 cases of BSI. Independently significant predictors for BSI were higher body temperature (Odds ratio [OR] 2.36 P &lt; 0.001), tunneled external catheter (OR 13.79 P &lt; 0.001), peripherally inserted central catheter (OR 3.95 P = 0.005), elevated ANC (OR 1.19 P = 0.024), chills (OR 2.09 P = 0.031), and hypotension (OR 3.08 P = 0.004). Acute lymphoblastic leukemia diagnosis (OR 0.34 P = 0.026), increased age (OR 0.70 P = 0.049), and drug exposure (OR 0.08 P &lt; 0.001) were associated with decreased risk for BSI. The risk prediction model had a C-index of 0.898; after bootstrapping adjustment for optimism, corrected C-index 0.885. We developed a diagnostic prediction model for BSI in febrile pediatric oncology patients without severe neutropenia. External validation is warranted before use in clinical practice. Pediatr Blood Cancer 2015;62:262-268. © 2014 Wiley Periodicals, Inc.</t>
  </si>
  <si>
    <t>Effects of renal denervation on end organ damage in hypertensive patients.</t>
  </si>
  <si>
    <t>Verloop, Willemien L; Vink, Eva E; Spiering, Wilko; Blankestijn, Peter J; Doevendans, Pieter A; Bots, Michiel L; Vonken, Evert-jan; Voskuil, Michiel; Leiner, Tim</t>
  </si>
  <si>
    <t>https://pubmed.ncbi.nlm.nih.gov/25326543</t>
  </si>
  <si>
    <t>Renal denervation (RDN) is believed to reduce sympathetic nerve activity and is a potential treatment for resistant hypertension. The present study investigated the effects of RDN on end organ damage (EOD). The present study was a prospective cohort study (registered as NCT01427049). Uncontrolled hypertensive patients underwent a work-up prior to and one year after RDN. Cardiac magnetic resonance (CMR) imaging was used to determine left ventricular (LV)-mass; pulse wave analysis and pulse wave velocity (PWV) were used for evaluation of central blood pressure (BP) and arterial stiffness and 24-hour urine was collected for assessment of urinary albumin excretion. The 24-hour ambulatory BP measurement (ABPM) was used to evaluate the effect of RDN on BP. Fifty-four patients gave informed consent for study participation. Mean age was 58 ± 10 years, 50% were male. One year after RDN, mean ABPM decreased by 7 ± 18/5 ± 11 mm Hg (p = 0.01/p &lt; 0.01). In the patients followed-up in a standardised fashion ABPM decreased by 5 ± 18/4 ± 12 mm Hg (n = 34; p = 0.11/p = 0.09). Mean body surface area indexed LV-mass decreased by 3.3 ± 11.5 g/m(2) (corresponding to a 3 ± 11% reduction; p = 0.09). PWV increased by 2.9 (-2.2 to +6.1) m/s (p = 0.04). Augmentation index corrected for 75 beats per min did not change (median increase 3.0 (-7 to +17) mm Hg; p = 0.89). Urinary albumin excretion did not change during follow-up (mean decrease 10 ± 117 mg/24 hour; p = 0.61). In the current study, we observed a modest effect from renal denervation. Moreover, RDN did not result in a statistical significant effect on end organ damage 12 months after treatment.</t>
  </si>
  <si>
    <t>The relation between resting heart rate and cancer incidence, cancer mortality and all-cause mortality in patients with manifest vascular disease.</t>
  </si>
  <si>
    <t>van Kruijsdijk, Rob C M; van der Graaf, Yolanda; Bemelmans, Remy H H; Nathoe, Hendrik M; Peeters, Petra H M; Visseren, Frank L J; ,</t>
  </si>
  <si>
    <t>https://pubmed.ncbi.nlm.nih.gov/25448083</t>
  </si>
  <si>
    <t>Previous studies suggest that elevated resting heart rate (RHR) is related to an increased risk of cancer mortality. The aim of this study was to evaluate the relation between RHR and cancer incidence and mortality in patients with vascular disease. Patients with manifest vascular disease (n=6007) were prospectively followed-up for cancer incidence and mortality. At baseline, RHR was obtained from an electrocardiogram. The relation between RHR and cancer incidence, cancer mortality and total mortality was assessed using competing risks models. During a median follow-up of 6.0 years (interquartile range: 3.1-9.3) 491 patients (8%) were diagnosed with cancer and 907 (15%) patients died, 248 (27%) died from cancer. After adjustment for potential confounders, the hazard ratio (HR) for incident cancer per 10 beats/min increase in RHR was 1.00 (95% confidence interval [CI]: 0.93-1.07). There was a trend toward an increased risk of colorectal cancer in patients with higher RHR (HR 1.15, 95% CI 0.97-1.36). The risk of all-cause mortality was increased in patients in the highest quartile of RHR compared to the lowest quartile (HR 1.86, 95% CI 1.53-2.27), but no effect of RHR on cancer mortality was observed (HR 1.01, 95% CI 0.70-1.46). In patients with manifest vascular disease, elevated RHR was related to a higher risk of premature all-cause mortality, but this was not due to increased cancer mortality. RHR was not related to risk of overall cancer incidence, although a relation between elevated RHR and incident colorectal cancer risk could not be ruled out.</t>
  </si>
  <si>
    <t>Cobalamin status and its relation with depression, cognition and neuropathy in patients with type 2 diabetes mellitus using metformin.</t>
  </si>
  <si>
    <t>Biemans, Elke; Hart, Huberta E; Rutten, Guy E H M; Cuellar Renteria, Viviana G; Kooijman-Buiting, Antoinette M J; Beulens, Joline W J</t>
  </si>
  <si>
    <t>https://pubmed.ncbi.nlm.nih.gov/25315630</t>
  </si>
  <si>
    <t>To investigate the associations of vitamin B12 (cobalamin and holotranscobalamin) status with depression, cognition and neuropathy in patients with type 2 diabetes using metformin. In an observational study, among 550 type 2 diabetes patients using metformin, cobalamin and holotranscobalamin (holoTCII) levels were measured at the annual diabetes checkup, and deficiencies were defined as &lt;148 and &lt;21 pmol/L, respectively. Depression and cognitive function were assessed with corresponding International Classification of Primary Care codes and questionnaires; neuropathy with medical record data and a questionnaire. Confounding variables were retrieved from medical records. Multivariable logistic and linear regressions were used with cobalamin status as independent variable; depression, cognition and neuropathy as dependent variables. The mean duration of diabetes was 8.4 years (±5.8); mean duration of metformin use was 64.1 months (±43.2), with a mean metformin dose of 1,306 mg/day. A sufficient cobalamin level was independently associated with a decreased risk of depression (OR 0.42; 95 % CI 0.23-0.78) and better cognitive performance (β = 1.79; 95 % CI 0.07-3.52) adjusted for confounders. This indicates that cobalamin-deficient patients had a 2.4 times higher chance of depression and a 1.79 point lower cognitive performance score. HoloTCII was not associated with any outcome. Cobalamin deficiency was associated with an increased risk of depression and worse cognitive performance, while holoTCII was not. Screening for cobalamin deficiency may be warranted in diabetes patients using metformin. Physicians should consider a cobalamin deficiency in diabetes patients using metformin with a depression or cognitive decline.</t>
  </si>
  <si>
    <t>Critical appraisal and data extraction for systematic reviews of prediction modelling studies: the CHARMS checklist.</t>
  </si>
  <si>
    <t>Moons, Karel G M; de Groot, Joris A H; Bouwmeester, Walter; Vergouwe, Yvonne; Mallett, Susan; Altman, Douglas G; Reitsma, Johannes B; Collins, Gary S</t>
  </si>
  <si>
    <t>https://pubmed.ncbi.nlm.nih.gov/25314315</t>
  </si>
  <si>
    <t>Carl Moons and colleagues provide a checklist and background explanation for critically appraising and extracting data from systematic reviews of prognostic and diagnostic prediction modelling studies. Please see later in the article for the Editors' Summary.</t>
  </si>
  <si>
    <t>The value of CT angiography in patients with acute severe headache.</t>
  </si>
  <si>
    <t>Alons, I M E; van den Wijngaard, I R; Verheul, R J; Lycklama à Nijeholt, G; Wermer, M J H; Algra, A; Jellema, K</t>
  </si>
  <si>
    <t>acta neurologica scandinavica</t>
  </si>
  <si>
    <t>https://pubmed.ncbi.nlm.nih.gov/25312840</t>
  </si>
  <si>
    <t>Patients with acute severe headache may have a secondary form of headache. Standard head computer tomography (CT) and cerebrospinal fluid (CSF) examination are often performed in the absence of neurological deficits to exclude subarachnoid hemorrhage (SAH). Increasingly, patients undergo subsequent CT angiography (CTA) to exclude cerebral venous thrombosis (CVT), dissection or reversible cerebral vasoconstriction syndrome (RCVS). It is unknown whether this additional imaging increases diagnostic yield. We aimed to evaluate the yield of CTA in patients with acute severe headache with normal neurological examination and no abnormalities at standard CT and CSF analysis. We included consecutive patients presenting to the emergency room between January 2008 and May 2011 with acute severe headache and without abnormalities at neurological examination, CT and CSF research, who received a CTA in the diagnostic process in our teaching hospital. All scans were rereviewed by an experienced neuroradiologist. We included 70 patients, 71% were women and average age was 45 years. We found a vascular abnormality in 13 (19%) of our patients. Four had either a prior aneurysm or CVT. Eight patients had an unruptured intracranial aneurysm (UIA) on CTA (11%), two had CVT (3%), two had RCVS (3%) and one had cerebral ischemia (1%). We found a high percentage of vascular abnormalities. A third of these patients had a prior episode of either an aneurysm or CVT. In patients with a history of UIA or CVT performing CTA despite normal CT and LP therefore seems warranted. A prospective study to delineate indications for CTA is needed.</t>
  </si>
  <si>
    <t>Predicting the effects of blood pressure-lowering treatment on major cardiovascular events for individual patients with type 2 diabetes mellitus: results from Action in Diabetes and Vascular Disease: Preterax and Diamicron MR Controlled Evaluation.</t>
  </si>
  <si>
    <t>van der Leeuw, Joep; Visseren, Frank L J; Woodward, Mark; Zoungas, Sophia; Kengne, Andre Pascal; van der Graaf, Yolanda; Glasziou, Paul; Hamet, Pavel; MacMahon, Stephen; Poulter, Neil; Grobbee, Diederick E; Chalmers, John</t>
  </si>
  <si>
    <t>https://pubmed.ncbi.nlm.nih.gov/25312436</t>
  </si>
  <si>
    <t>Blood pressure-lowering treatment reduces cardiovascular risk in patients with diabetes mellitus, but the effect varies between individuals. We sought to identify which patients benefit most from such treatment in a large clinical trial in type 2 diabetes mellitus. In Action in Diabetes and Vascular Disease: Preterax and Diamicron MR Controlled Evaluation (ADVANCE) participants (n=11 140), we estimated the individual patient 5-year absolute risk of major adverse cardiovascular events with and without treatment by perindopril-indapamide (4/1.25 mg). The difference between treated and untreated risk is the estimated individual patient's absolute risk reduction (ARR). Predictions were based on a Cox proportional hazards model inclusive of demographic and clinical characteristics together with the observed relative treatment effect. The group-level effect of selectively treating patients with an estimated ARR above a range of decision thresholds was compared with treating everyone or those with a blood pressure &gt;140/90 mm Hg using net benefit analysis. In ADVANCE, there was wide variation in treatment effects across individual patients. According to the algorithm, 43% of patients had a large predicted 5-year ARR of ≥1% (number-needed-to-treat [NNT5] ≤100) and 40% had an intermediate predicted ARR of 0.5% to 1% (NNT5=100-`200). The proportion of patients with a small ARR of ≤0.5% (NNT5≥200) was 17%. Provided that one is prepared to treat at most 200 patients for 5 years to prevent 1 adverse outcome, prediction-based treatment yielded the highest net benefit. In conclusion, a multivariable treatment algorithm can identify those individuals who benefit most from blood pressure-lowering therapy in terms of ARR of major adverse cardiovascular events and may be used to guide treatment decisions in individual patients with diabetes. http://www.clinicaltrials.gov. Unique identifier: NCT00145925.</t>
  </si>
  <si>
    <t>Intake of phytosterols from natural sources and risk of cardiovascular disease in the European Prospective Investigation into Cancer and Nutrition-the Netherlands (EPIC-NL) population.</t>
  </si>
  <si>
    <t>Ras, Rouyanne T; van der Schouw, Yvonne T; Trautwein, Elke A; Sioen, Isabelle; Dalmeijer, Geertje W; Zock, Peter L; Beulens, Joline W J</t>
  </si>
  <si>
    <t>https://pubmed.ncbi.nlm.nih.gov/25305273</t>
  </si>
  <si>
    <t>Phytosterols (PSs) are known to lower low-density lipoprotein cholesterol (LDL-C), an established risk factor for cardiovascular disease (CVD). Whether a high intake of PS reduces CVD risk is unknown. This observational study aimed to investigate the associations between intake of naturally occurring PSs, blood lipids and CVD risk. The study included 35,597 Dutch men and women, participating in the European Prospective Investigation into Cancer and Nutrition-the Netherlands (EPIC-NL) study. At baseline, intakes of naturally occurring PSs were estimated with a validated food frequency questionnaire and non-fasting blood lipids were measured. Occurrence of CVD, coronary heart disease (CHD) and myocardial infarction (MI) was determined through linkage with registries. The average energy-adjusted PS intake at baseline was 296 mg/d (range: 83-966 mg/d). During 12.2 years of follow-up, 3047 CVD cases (8.6%) were documented. After adjustment for confounders, PS intake was not associated with risk of CVD, CHD or MI (p-value trend &gt; 0.05); hazard ratios ranged from 0.90-0.99 for CVD, from 0.83-0.90 for CHD and from 0.80-0.95 for MI risk across quintiles of PS intake and were almost all non-significant. Higher PS intake was associated with lower total cholesterol (-0.06 mmol/l per 50 mg/d; p-value = 0.038) and lower LDL-C (-0.07 mmol/l; p-value = 0.007), particularly among men. In mediation analysis, LDL-C did not materially affect the association between PS intake and CVD risk. In this population with a relatively narrow range of low naturally occurring PS intakes, intake of PS was not associated with reduced CVD risk despite lower LDL-C concentrations in men.</t>
  </si>
  <si>
    <t>Dietary intake of acrylamide and epithelial ovarian cancer risk in the european prospective investigation into cancer and nutrition (EPIC) cohort.</t>
  </si>
  <si>
    <t>Obón-Santacana, Mireia; Peeters, Petra H M; Freisling, Heinz; Dossus, Laure; Clavel-Chapelon, Françoise; Baglietto, Laura; Schock, Helena; Fortner, Renée T; Boeing, Heiner; Tjønneland, Anne; Olsen, Anja; Overvad, Kim; Menéndez, Virginia; Sanchez, Maria-José; Larrañaga, Nerea; Huerta Castaño, José María; Barricarte, Aurelio; Khaw, Kay-Tee; Wareham, Nick; Travis, Ruth C; Merritt, Melissa A; Trichopoulou, Antonia; Trichopoulos, Dimitrios; Orfanos, Philippos; Masala, Giovanna; Sieri, Sabina; Tumino, Rosario; Vineis, Paolo; Mattiello, Amalia; Bueno-de-Mesquita, H B; Onland-Moret, N Charlotte; Wirfält, Elisabeth; Stocks, Tanja; Idahl, Annika; Lundin, Eva; Skeie, Guri; Gram, Inger T; Weiderpass, Elisabete; Riboli, Elio; Duell, Eric J</t>
  </si>
  <si>
    <t>https://pubmed.ncbi.nlm.nih.gov/25300475</t>
  </si>
  <si>
    <t>Acrylamide, classified in 1994 by the International Agency for Research on Cancer (IARC) as "probably carcinogenic" to humans, was discovered in 2002 in some heat-treated, carbohydrate-rich foods. The association between dietary acrylamide intake and epithelial ovarian cancer risk (EOC) has been previously studied in one case-control and three prospective cohort studies which obtained inconsistent results and could not further examine histologic subtypes other than serous EOC. The present study was carried out in the European Prospective Investigation into Cancer and Nutrition (EPIC) subcohort of women (n = 325,006). Multivariate Cox proportional hazards models were used to assess the association between questionnaire-based acrylamide intake and EOC risk. Acrylamide was energy-adjusted using the residual method and was evaluated both as a continuous variable (per 10 μg/d) and in quintiles; when subgroups by histologic EOC subtypes were analyzed, acrylamide intake was evaluated in quartiles. During a mean follow-up of 11 years, 1,191 incident EOC cases were diagnosed. At baseline, the median acrylamide intake in EPIC was 21.3 μg/d. No associations and no evidence for a dose-response were observed between energy-adjusted acrylamide intake and EOC risk (HR10μg/d,1.02; 95% CI, 0.96-1.09; HRQ5vsQ1, 0.97; 95% CI, 0.76-1.23). No differences were seen when invasive EOC subtypes (582 serous, 118 endometrioid, and 79 mucinous tumors) were analyzed separately. This study did not provide evidence that acrylamide intake, based on food intake questionnaires, was associated with risk for EOC in EPIC. Additional studies with more reliable estimates of exposure based on biomarkers may be needed.</t>
  </si>
  <si>
    <t>Allergies are associated with arterial changes in young children.</t>
  </si>
  <si>
    <t>Evelein, Annemieke M V; Visseren, Frank L J; van der Ent, Cornelis K; Grobbee, Diederick E; Uiterwaal, Cuno S P M</t>
  </si>
  <si>
    <t>https://pubmed.ncbi.nlm.nih.gov/25301873</t>
  </si>
  <si>
    <t>Inflammation is important in atherosclerosis development. Whether common causes of inflammation, such as allergies and infections, already exert this influence in early childhood is unknown. The objective of this study was to investigate the association between both allergies and infections with children's vasculature. This was a longitudinal study in a general population cohort. In 390 five-year-olds of the WHISTLER (Wheezing-Illnesses-Study-LEidsche-Rijn) birth cohort, carotid intima-media thickness (CIMT) and arterial stiffness were obtained ultrasonographically. Physician-diagnosed allergies and infections and recent prescriptions of systemic antihistamines and antibiotics were obtained, as well as parental history of allergies. General linear regression was performed with vascular characteristics as dependent variables and measures of inflammation as independent variables. Having both a positive parental history of allergy and an allergy diagnosis showed 15.0 µm (95% confidence interval (CI): 2.3-27.8, p = 0.02) larger CIMT than not having such history and diagnosis. Having a positive parental history of allergy only showed 11.9 µm (0.87-23.0, p = 0.04) larger CIMT. Recent use of antihistamines and antibiotics showed 18.8 µm (1.6-35.9, p = 0.03) and 16.1 µm (4.5-27.7, p = 0.01) larger CIMT, respectively. Childhood infections were not clearly related to vascular parameters. Neither allergy nor infections were associated with arterial stiffness. An allergic predisposition is already associated with thicker arterial walls in early childhood.</t>
  </si>
  <si>
    <t>Evidence for electroweak production of W±W±jj in pp collisions at sqrt[s] = 8 TeV with the ATLAS detector.</t>
  </si>
  <si>
    <t>https://pubmed.ncbi.nlm.nih.gov/25325632</t>
  </si>
  <si>
    <t>This Letter presents the first study of W(±)W(±)jj, same-electric-charge diboson production in association with two jets, using 20.3 fb(-1) of proton-proton collision data at sqrt[s] = 8  TeV recorded by the ATLAS detector at the Large Hadron Collider. Events with two reconstructed same-charge leptons (e(±)e(±), e(±)μ(±), and μ(±)μ(±)) and two or more jets are analyzed. Production cross sections are measured in two fiducial regions, with different sensitivities to the electroweak and strong production mechanisms. First evidence for W(±)W(±)jj production and electroweak-only W(±)W(±)jj production is observed with a significance of 4.5 and 3.6 standard deviations, respectively. The measured production cross sections are in agreement with standard model predictions. Limits at 95% confidence level are set on anomalous quartic gauge couplings.</t>
  </si>
  <si>
    <t>Genome-wide association study identifies five susceptibility loci for follicular lymphoma outside the HLA region.</t>
  </si>
  <si>
    <t xml:space="preserve">Skibola, Christine F; Berndt, Sonja I; Vijai, Joseph; Conde, Lucia; Wang, Zhaoming; Yeager, Meredith; de Bakker, Paul I W; Birmann, Brenda M; Vajdic, Claire M; Foo, Jia-Nee; Bracci, Paige M; Vermeulen, Roel C H; Slager, Susan L; de Sanjose, Silvia; Wang, Sophia S; Linet, Martha S; Salles, Gilles; Lan, Qing; Severi, Gianluca; Hjalgrim, Henrik; Lightfoot, Tracy; Melbye, Mads; Gu, Jian; Ghesquières, Hervé; Link, Brian K; Morton, Lindsay M; Holly, Elizabeth A; Smith, Alex; Tinker, Lesley F; Teras, Lauren R; Kricker, Anne; Becker, Nikolaus; Purdue, Mark P; Spinelli, John J; Zhang, Yawei; Giles, Graham G; Vineis, Paolo; Monnereau, Alain; Bertrand, Kimberly A; Albanes, Demetrius; Zeleniuch-Jacquotte, Anne; Gabbas, Attilio; Chung, Charles C; Burdett, Laurie; Hutchinson, Amy; Lawrence, Charles; Montalvan, Rebecca; Liang, Liming; Huang, Jinyan; Ma, Baoshan; Liu, Jianjun; Adami, Hans-Olov; Glimelius, Bengt; Ye, Yuanqing; Nowakowski, Grzegorz S; Dogan, Ahmet; Thompson, Carrie A; Habermann, Thomas </t>
  </si>
  <si>
    <t>https://pubmed.ncbi.nlm.nih.gov/25279986</t>
  </si>
  <si>
    <t>Genome-wide association studies (GWASs) of follicular lymphoma (FL) have previously identified human leukocyte antigen (HLA) gene variants. To identify additional FL susceptibility loci, we conducted a large-scale two-stage GWAS in 4,523 case subjects and 13,344 control subjects of European ancestry. Five non-HLA loci were associated with FL risk: 11q23.3 (rs4938573, p = 5.79 × 10(-20)) near CXCR5; 11q24.3 (rs4937362, p = 6.76 × 10(-11)) near ETS1; 3q28 (rs6444305, p = 1.10 × 10(-10)) in LPP; 18q21.33 (rs17749561, p = 8.28 × 10(-10)) near BCL2; and 8q24.21 (rs13254990, p = 1.06 × 10(-8)) near PVT1. In an analysis of the HLA region, we identified four linked HLA-DRβ1 multiallelic amino acids at positions 11, 13, 28, and 30 that were associated with FL risk (pomnibus = 4.20 × 10(-67) to 2.67 × 10(-70)). Additional independent signals included rs17203612 in HLA class II (odds ratio [OR(per-allele)] = 1.44; p = 4.59 × 10(-16)) and rs3130437 in HLA class I (OR(per-allele) = 1.23; p = 8.23 × 10(-9)). Our findings further expand the number of loci associated with FL and provide evidence that multiple common variants outside the HLA region make a significant contribution to FL risk.</t>
  </si>
  <si>
    <t>Impact of adding therapeutic recommendations to risk assessments from a prediction model for postoperative nausea and vomiting.</t>
  </si>
  <si>
    <t>Kappen, T H; Vergouwe, Y; van Wolfswinkel, L; Kalkman, C J; Moons, K G M; van Klei, W A</t>
  </si>
  <si>
    <t>https://pubmed.ncbi.nlm.nih.gov/25274048</t>
  </si>
  <si>
    <t>In a large cluster-randomized trial on the impact of a prediction model, presenting the calculated risk of postoperative nausea and vomiting (PONV) on-screen (assistive approach) increased the administration of risk-dependent PONV prophylaxis by anaesthetists. This change in therapeutic decision-making did not improve the patient outcome; that is, the incidence of PONV. The present study aimed to quantify the effects of adding a specific therapeutic recommendation to the predicted risk (directive approach) on PONV prophylaxis decision-making and the incidence of PONV. A prospective before-after study was conducted in 1483 elective surgical inpatients. The before-period included care-as-usual and the after-period included the directive risk-based (intervention) strategy. Risk-dependent effects on the administered number of prophylactic antiemetics and incidence of PONV were analysed by mixed-effects regression analysis. During the intervention period anaesthetists administered 0.5 [95% confidence intervals (CIs): 0.4-0.6] more antiemetics for patients identified as being at greater risk of PONV. This directive approach led to a reduction in PONV [odds ratio (OR): 0.60, 95% CI: 0.43-0.83], with an even greater reduction in PONV in high-risk patients (OR: 0.45, 95% CI: 0.28-0.72). Anaesthetists administered more prophylactic antiemetics when a directive approach was used for risk-tailored intervention compared with care-as-usual. In contrast to the previously studied assistive approach, the increase in PONV prophylaxis now resulted in a lower PONV incidence, particularly in high-risk patients. When one aims for a truly 'PONV-free hospital', a more liberal use of prophylactic antiemetics must be accepted and lower-risk thresholds should be set for the actionable recommendations.</t>
  </si>
  <si>
    <t>Regulatory obstacles affecting ecological studies in the ICU.</t>
  </si>
  <si>
    <t>Wittekamp, Bastiaan H J; Wise, Matt P; Brun-Buisson, Christian; Bonten, Marc J M</t>
  </si>
  <si>
    <t>https://pubmed.ncbi.nlm.nih.gov/25253397</t>
  </si>
  <si>
    <t>The PROCARE consortium: toward an improved allocation strategy for kidney allografts.</t>
  </si>
  <si>
    <t>Otten, H G; Joosten, I; Allebes, W A; van der Meer, A; Hilbrands, L B; Baas, M; Spierings, E; Hack, C E; van Reekum, F; van Zuilen, A D; Verhaar, M C; Bots, M L; Seelen, M A J; Sanders, J S F; Hepkema, B G; Lambeck, A J; Bungener, L B; Roozendaal, C; Tilanus, M G J; Vanderlocht, J; Voorter, C E; Wieten, L; van Duijnhoven, E; Gelens, M; Christiaans, M; van Ittersum, F; Nurmohamed, A; Lardy, N M; Swelsen, W T; van Donselaar-van der Pant, K A M I; van der Weerd, N C; Ten Berge, I J M; Bemelman, F J; Hoitsma, A J; de Fijter, J W; Betjes, M G H; Roelen, D L; Claas, F H J</t>
  </si>
  <si>
    <t>transplant immunology</t>
  </si>
  <si>
    <t>https://pubmed.ncbi.nlm.nih.gov/25258025</t>
  </si>
  <si>
    <t>Kidney transplantation is the best treatment option for patients with end-stage renal failure. At present, approximately 800 Dutch patients are registered on the active waiting list of Eurotransplant. The waiting time in the Netherlands for a kidney from a deceased donor is on average between 3 and 4 years. During this period, patients are fully dependent on dialysis, which replaces only partly the renal function, whereas the quality of life is limited. Mortality among patients on the waiting list is high. In order to increase the number of kidney donors, several initiatives have been undertaken by the Dutch Kidney Foundation including national calls for donor registration and providing information on organ donation and kidney transplantation. The aim of the national PROCARE consortium is to develop improved matching algorithms that will lead to a prolonged survival of transplanted donor kidneys and a reduced HLA immunization. The latter will positively affect the waiting time for a retransplantation. The present algorithm for allocation is among others based on matching for HLA antigens, which were originally defined by antibodies using serological typing techniques. However, several studies suggest that this algorithm needs adaptation and that other immune parameters which are currently not included may assist in improving graft survival rates. We will employ a multicenter-based evaluation on 5429 patients transplanted between 1995 and 2005 in the Netherlands. The association between key clinical endpoints and selected laboratory defined parameters will be examined, including Luminex-defined HLA antibody specificities, T and B cell epitopes recognized on the mismatched HLA antigens, non-HLA antibodies, and also polymorphisms in complement and Fc receptors functionally associated with effector functions of anti-graft antibodies. From these data, key parameters determining the success of kidney transplantation will be identified which will lead to the identification of additional parameters to be included in future matching algorithms aiming to extend survival of transplanted kidneys and to diminish HLA immunization. Computer simulation studies will reveal the number of patients having a direct benefit from improved matching, the effect on shortening of the waiting list, and the decrease in waiting time.</t>
  </si>
  <si>
    <t>Ethnic disparities in ischemic stroke, intracerebral hemorrhage, and subarachnoid hemorrhage incidence in the Netherlands.</t>
  </si>
  <si>
    <t>Agyemang, Charles; van Oeffelen, Aloysia A M; Norredam, Marie; Kappelle, L Jaap; Klijn, Catharina J M; Bots, Michiel L; Stronks, Karien; Vaartjes, Ilonca</t>
  </si>
  <si>
    <t>https://pubmed.ncbi.nlm.nih.gov/25270628</t>
  </si>
  <si>
    <t>Data on the incidence of stroke subtypes among ethnic minority groups are limited. We assessed ethnic differences in the incidence of stroke subtypes in the Netherlands. A Dutch nationwide register-based cohort study (n=7 423 174) was conducted between 1998 and 2010. We studied the following stroke subtypes: ischemic stroke, intracerebral hemorrhage, and subarachnoid hemorrhage. Cox proportional hazard models were used to estimate incidence differences between first-generation ethnic minorities and the Dutch majority population (ethnic Dutch). Compared with ethnic Dutch, Surinamese men and women had higher incidence rates of all stroke subtypes combined (adjusted hazard ratios, 1.43; 95% confidence interval, 1.35-1.50 and 1.34; 1.28-1.41), ischemic stroke (1.68; 1.57-1.81 and 1.57; 1.46-1.68), intracerebral hemorrhage (2.08; 1.82-2.39 and 1.74; 1.50-2.00), and subarachnoid hemorrhage (1.25; 0.92-1.69 and 1.26; 1.04-1.54). By contrast, Moroccan men and women had lower incidence rates of all stroke subtypes combined (0.42; 0.36-0.48 and 0.37; 0.30-0.46), ischemic stroke (0.35; 0.27-0.45 and 0.34; 0.24-0.49), intracerebral hemorrhage (0.61; 0.41-0.92 and 0.32; 0.16-0.72), and subarachnoid hemorrhage (0.42; 0.20-0.88 and 0.34; 0.17-0.68) compared with ethnic Dutch counterparts. The results varied by stroke subtype and sex for the other minority groups. For example, Turkish women had a reduced incidence of subarachnoid hemorrhage, whereas Turkish men had an increased incidence of ischemic stroke and intracerebral hemorrhage compared with ethnic Dutch. Our findings suggest that Surinamese have an increased risk, whereas Moroccans have a reduced risk for all the various stroke subtypes. Among other ethnic minorities, the risk seems to depend on the stroke subtype and sex. These findings underscore the need to identify the root causes of these ethnic differences to assist primary and secondary prevention efforts.</t>
  </si>
  <si>
    <t>Genome-wide association study identifies multiple susceptibility loci for diffuse large B cell lymphoma.</t>
  </si>
  <si>
    <t>Cerhan, James R; Berndt, Sonja I; Vijai, Joseph; Ghesquières, Hervé; McKay, James; Wang, Sophia S; Wang, Zhaoming; Yeager, Meredith; Conde, Lucia; de Bakker, Paul I W; Nieters, Alexandra; Cox, David; Burdett, Laurie; Monnereau, Alain; Flowers, Christopher R; De Roos, Anneclaire J; Brooks-Wilson, Angela R; Lan, Qing; Severi, Gianluca; Melbye, Mads; Gu, Jian; Jackson, Rebecca D; Kane, Eleanor; Teras, Lauren R; Purdue, Mark P; Vajdic, Claire M; Spinelli, John J; Giles, Graham G; Albanes, Demetrius; Kelly, Rachel S; Zucca, Mariagrazia; Bertrand, Kimberly A; Zeleniuch-Jacquotte, Anne; Lawrence, Charles; Hutchinson, Amy; Zhi, Degui; Habermann, Thomas M; Link, Brian K; Novak, Anne J; Dogan, Ahmet; Asmann, Yan W; Liebow, Mark; Thompson, Carrie A; Ansell, Stephen M; Witzig, Thomas E; Weiner, George J; Veron, Amelie S; Zelenika, Diana; Tilly, Hervé; Haioun, Corinne; Molina, Thierry Jo; Hjalgrim, Henrik; Glimelius, Bengt; Adami, Hans-Olov; Bracci, Paige M; Riby, Jacques; Smith, Martyn T; Holly, E</t>
  </si>
  <si>
    <t>https://pubmed.ncbi.nlm.nih.gov/25261932</t>
  </si>
  <si>
    <t>Diffuse large B cell lymphoma (DLBCL) is the most common lymphoma subtype and is clinically aggressive. To identify genetic susceptibility loci for DLBCL, we conducted a meta-analysis of 3 new genome-wide association studies (GWAS) and 1 previous scan, totaling 3,857 cases and 7,666 controls of European ancestry, with additional genotyping of 9 promising SNPs in 1,359 cases and 4,557 controls. In our multi-stage analysis, five independent SNPs in four loci achieved genome-wide significance marked by rs116446171 at 6p25.3 (EXOC2; P = 2.33 × 10(-21)), rs2523607 at 6p21.33 (HLA-B; P = 2.40 × 10(-10)), rs79480871 at 2p23.3 (NCOA1; P = 4.23 × 10(-8)) and two independent SNPs, rs13255292 and rs4733601, at 8q24.21 (PVT1; P = 9.98 × 10(-13) and 3.63 × 10(-11), respectively). These data provide substantial new evidence for genetic susceptibility to this B cell malignancy and point to pathways involved in immune recognition and immune function in the pathogenesis of DLBCL.</t>
  </si>
  <si>
    <t>The EADC-ADNI Harmonized Protocol for manual hippocampal segmentation on magnetic resonance: evidence of validity.</t>
  </si>
  <si>
    <t>Frisoni, Giovanni B; Jack, Clifford R; Bocchetta, Martina; Bauer, Corinna; Frederiksen, Kristian S; Liu, Yawu; Preboske, Gregory; Swihart, Tim; Blair, Melanie; Cavedo, Enrica; Grothe, Michel J; Lanfredi, Mariangela; Martinez, Oliver; Nishikawa, Masami; Portegies, Marileen; Stoub, Travis; Ward, Chadwich; Apostolova, Liana G; Ganzola, Rossana; Wolf, Dominik; Barkhof, Frederik; Bartzokis, George; DeCarli, Charles; Csernansky, John G; deToledo-Morrell, Leyla; Geerlings, Mirjam I; Kaye, Jeffrey; Killiany, Ronald J; Lehéricy, Stephane; Matsuda, Hiroshi; O'Brien, John; Silbert, Lisa C; Scheltens, Philip; Soininen, Hilkka; Teipel, Stefan; Waldemar, Gunhild; Fellgiebel, Andreas; Barnes, Josephine; Firbank, Michael; Gerritsen, Lotte; Henneman, Wouter; Malykhin, Nikolai; Pruessner, Jens C; Wang, Lei; Watson, Craig; Wolf, Henrike; deLeon, Mony; Pantel, Johannes; Ferrari, Clarissa; Bosco, Paolo; Pasqualetti, Patrizio; Duchesne, Simon; Duvernoy, Henri; Boccardi, Marina; ,</t>
  </si>
  <si>
    <t>https://pubmed.ncbi.nlm.nih.gov/25267715</t>
  </si>
  <si>
    <t>An international Delphi panel has defined a harmonized protocol (HarP) for the manual segmentation of the hippocampus on MR. The aim of this study is to study the concurrent validity of the HarP toward local protocols, and its major sources of variance. Fourteen tracers segmented 10 Alzheimer's Disease Neuroimaging Initiative (ADNI) cases scanned at 1.5 T and 3T following local protocols, qualified for segmentation based on the HarP through a standard web-platform and resegmented following the HarP. The five most accurate tracers followed the HarP to segment 15 ADNI cases acquired at three time points on both 1.5 T and 3T. The agreement among tracers was relatively low with the local protocols (absolute left/right ICC 0.44/0.43) and much higher with the HarP (absolute left/right ICC 0.88/0.89). On the larger set of 15 cases, the HarP agreement within (left/right ICC range: 0.94/0.95 to 0.99/0.99) and among tracers (left/right ICC range: 0.89/0.90) was very high. The volume variance due to different tracers was 0.9% of the total, comparing favorably to variance due to scanner manufacturer (1.2), atrophy rates (3.5), hemispheric asymmetry (3.7), field strength (4.4), and significantly smaller than the variance due to atrophy (33.5%, P &lt; .001), and physiological variability (49.2%, P &lt; .001). The HarP has high measurement stability compared with local segmentation protocols, and good reproducibility within and among human tracers. Hippocampi segmented with the HarP can be used as a reference for the qualification of human tracers and automated segmentation algorithms.</t>
  </si>
  <si>
    <t>A Critical Appraisal of the Hippocampal Subfield Segmentation Package in FreeSurfer.</t>
  </si>
  <si>
    <t>Wisse, Laura E M; Biessels, Geert Jan; Geerlings, Mirjam I</t>
  </si>
  <si>
    <t>https://pubmed.ncbi.nlm.nih.gov/25309437</t>
  </si>
  <si>
    <t>The validation of cardiovascular risk scores for patients with type 2 diabetes mellitus.</t>
  </si>
  <si>
    <t>van der Leeuw, J; van Dieren, S; Beulens, J W J; Boeing, H; Spijkerman, A M W; van der Graaf, Y; van der A, D L; Nöthlings, U; Visseren, F L J; Rutten, G E H M; Moons, K G M; van der Schouw, Y T; Peelen, L M</t>
  </si>
  <si>
    <t>https://pubmed.ncbi.nlm.nih.gov/25256148</t>
  </si>
  <si>
    <t>Various cardiovascular prediction models have been developed for patients with type 2 diabetes. Their predictive performance in new patients is mostly not investigated. This study aims to quantify the predictive performance of all cardiovascular prediction models developed specifically for diabetes patients. Follow-up data of 453, 1174 and 584 type 2 diabetes patients without pre-existing cardiovascular disease (CVD) in the EPIC-NL, EPIC-Potsdam and Secondary Manifestations of ARTerial disease cohorts, respectively, were used to validate 10 prediction models to estimate risk of CVD or coronary heart disease (CHD). Discrimination was assessed by the c-statistic for time-to-event data. Calibration was assessed by calibration plots, the Hosmer-Lemeshow goodness-of-fit statistic and expected to observed ratios. There was a large variation in performance of CVD and CHD scores between different cohorts. Discrimination was moderate for all 10 prediction models, with c-statistics ranging from 0.54 (95% CI 0.46 to 0.63) to 0.76 (95% CI 0.67 to 0.84). Calibration of the original models was poor. After simple recalibration to the disease incidence of the target populations, predicted and observed risks were close. Expected to observed ratios of the recalibrated models ranged from 1.06 (95% CI 0.81 to 1.40) to 1.55 (95% CI 0.95 to 2.54), mainly driven by an overestimation of risk in high-risk patients. All 10 evaluated models had a comparable and moderate discriminative ability. The recalibrated, but not the original, prediction models provided accurate risk estimates. These models can assist clinicians in identifying type 2 diabetes patients who are at low or high risk of developing CVD.</t>
  </si>
  <si>
    <t>Influence of lung function on course of disease and response to antibiotic therapy in adult primary care patients with acute cough: a post hoc analysis of patients enrolled in a prospective multicentre study.</t>
  </si>
  <si>
    <t>van Erp, Nicole; Little, Paul; Stuart, Beth; Moore, Michael; Thomas, Mike; Butler, Chris C; Hood, Kerenza; Coenen, Samuel; Goossens, Herman; Leven, Margareta; Verheij, Theo J M; ,</t>
  </si>
  <si>
    <t>https://pubmed.ncbi.nlm.nih.gov/25253123</t>
  </si>
  <si>
    <t>In acute cough patients, impaired lung function as present in chronic lung conditions like asthma and chronic obstructive pulmonary disease (COPD) are often thought to negatively influence course of disease, but clear evidence is lacking. To investigate the influence of lung function abnormalities on course of disease and response to antibiotic therapy in primary care patients with acute cough. A total of 3,104 patients with acute cough (⩽28 days) were included in a prospective observational study with a within-nested trial, of which 2,427 underwent spirometry 28-35 days after inclusion. Influence of the lung function abnormalities fixed obstruction (forced expiratory volume in 1 s (FEV1)/forced vital capacity (FVC) ratio &lt;0.7) and bronchodilator responsiveness (FEV1 increase of ⩾12% or 200 ml after 400 μg salbutamol) on symptom severity, duration and worsening were evaluated using uni- and multivariable regression models. Antibiotic use was defined as the reported use of antibiotics ⩾5 days in the first week. Interaction terms were calculated to investigate modifying effects of lung function on antibiotic effect. The only significant association was the effect of severe airway obstruction on symptom severity on days 2-4 (difference=0.31, 95% confidence interval (CI)=0.03-0.60, P=0.03). No evidence of a differential effect of lung function on the effect of antibiotics was found. Prior use of inhaled steroids was associated with a 30% slower resolution of symptoms rated 'moderately bad' or worse (hazard ratio=0.75, 95% CI=0.63-0.90, P=0.00). In adult patients with acute cough, lung function abnormalities were neither significantly associated with course of disease nor did they modify the effect of antibiotics.</t>
  </si>
  <si>
    <t>Vaginal delivery after hemipelvectomy and pelvic radiotherapy for chondrosarcoma.</t>
  </si>
  <si>
    <t>Browne, J L; Oudijk, M A; Holtslag, H R; Schreuder, H W R</t>
  </si>
  <si>
    <t>https://pubmed.ncbi.nlm.nih.gov/25257889</t>
  </si>
  <si>
    <t>Chondosarcoma of the proximal femur is a rare malignant disorder in women of (pre-) childbearing age, for which a radical resection through a hemipelvectomy could be indicated. We describe a case of a 36-year-old primigravida with a hemipelvectomy (2004) who had a history of radiotherapy of the pelvic and uterine regions after an atypical cartilaginous tumour. After an uncomplicated pregnancy, she had a spontaneous rupture of the membranes at 41+2 weeks and an uncomplicated vaginal delivery with physiological development of the infant. On the basis of the literature review, vaginal delivery after hemipelvectomy should be advocated and discussed with the patient and involved care providers. Women with radiotherapy in the pelvic and uterine areas have an increased risk of stillbirth, placental attachment disorders, impaired fetal growth, fetal malposition and preterm labour, but no association with prolonged rupture of the membranes has been described.</t>
  </si>
  <si>
    <t>An easy tool to predict survival in patients receiving radiation therapy for painful bone metastases.</t>
  </si>
  <si>
    <t>Westhoff, Paulien G; de Graeff, Alexander; Monninkhof, Evelyn M; Bollen, Laurens; Dijkstra, Sander P; van der Steen-Banasik, Elzbieta M; van Vulpen, Marco; Leer, Jan Willem H; Marijnen, Corrie A; van der Linden, Yvette M; ,</t>
  </si>
  <si>
    <t>https://pubmed.ncbi.nlm.nih.gov/25260489</t>
  </si>
  <si>
    <t>Patients with bone metastases have a widely varying survival. A reliable estimation of survival is needed for appropriate treatment strategies. Our goal was to assess the value of simple prognostic factors, namely, patient and tumor characteristics, Karnofsky performance status (KPS), and patient-reported scores of pain and quality of life, to predict survival in patients with painful bone metastases. In the Dutch Bone Metastasis Study, 1157 patients were treated with radiation therapy for painful bone metastases. At randomization, physicians determined the KPS; patients rated general health on a visual analogue scale (VAS-gh), valuation of life on a verbal rating scale (VRS-vl) and pain intensity. To assess the predictive value of the variables, we used multivariate Cox proportional hazard analyses and C-statistics for discriminative value. Of the final model, calibration was assessed. External validation was performed on a dataset of 934 patients who were treated with radiation therapy for vertebral metastases. Patients had mainly breast (39%), prostate (23%), or lung cancer (25%). After a maximum of 142 weeks' follow-up, 74% of patients had died. The best predictive model included sex, primary tumor, visceral metastases, KPS, VAS-gh, and VRS-vl (C-statistic = 0.72, 95% CI = 0.70-0.74). A reduced model, with only KPS and primary tumor, showed comparable discriminative capacity (C-statistic = 0.71, 95% CI = 0.69-0.72). External validation showed a C-statistic of 0.72 (95% CI = 0.70-0.73). Calibration of the derivation and the validation dataset showed underestimation of survival. In predicting survival in patients with painful bone metastases, KPS combined with primary tumor was comparable to a more complex model. Considering the amount of variables in complex models and the additional burden on patients, the simple model is preferred for daily use. In addition, a risk table for survival is provided.</t>
  </si>
  <si>
    <t>HMG-coenzyme A reductase inhibition, type 2 diabetes, and bodyweight: evidence from genetic analysis and randomised trials.</t>
  </si>
  <si>
    <t>Swerdlow, Daniel I; Preiss, David; Kuchenbaecker, Karoline B; Holmes, Michael V; Engmann, Jorgen E L; Shah, Tina; Sofat, Reecha; Stender, Stefan; Johnson, Paul C D; Scott, Robert A; Leusink, Maarten; Verweij, Niek; Sharp, Stephen J; Guo, Yiran; Giambartolomei, Claudia; Chung, Christina; Peasey, Anne; Amuzu, Antoinette; Li, KaWah; Palmen, Jutta; Howard, Philip; Cooper, Jackie A; Drenos, Fotios; Li, Yun R; Lowe, Gordon; Gallacher, John; Stewart, Marlene C W; Tzoulaki, Ioanna; Buxbaum, Sarah G; van der A, Daphne L; Forouhi, Nita G; Onland-Moret, N Charlotte; van der Schouw, Yvonne T; Schnabel, Renate B; Hubacek, Jaroslav A; Kubinova, Ruzena; Baceviciene, Migle; Tamosiunas, Abdonas; Pajak, Andrzej; Topor-Madry, Roman; Stepaniak, Urszula; Malyutina, Sofia; Baldassarre, Damiano; Sennblad, Bengt; Tremoli, Elena; de Faire, Ulf; Veglia, Fabrizio; Ford, Ian; Jukema, J Wouter; Westendorp, Rudi G J; de Borst, Gert Jan; de Jong, Pim A; Algra, Ale; Spiering, Wilko; Maitland-van der Zee, Anke H; Klun</t>
  </si>
  <si>
    <t>https://pubmed.ncbi.nlm.nih.gov/25262344</t>
  </si>
  <si>
    <t>Statins increase the risk of new-onset type 2 diabetes mellitus. We aimed to assess whether this increase in risk is a consequence of inhibition of 3-hydroxy-3-methylglutaryl-CoA reductase (HMGCR), the intended drug target. We used single nucleotide polymorphisms in the HMGCR gene, rs17238484 (for the main analysis) and rs12916 (for a subsidiary analysis) as proxies for HMGCR inhibition by statins. We examined associations of these variants with plasma lipid, glucose, and insulin concentrations; bodyweight; waist circumference; and prevalent and incident type 2 diabetes. Study-specific effect estimates per copy of each LDL-lowering allele were pooled by meta-analysis. These findings were compared with a meta-analysis of new-onset type 2 diabetes and bodyweight change data from randomised trials of statin drugs. The effects of statins in each randomised trial were assessed using meta-analysis. Data were available for up to 223 463 individuals from 43 genetic studies. Each additional rs17238484-G allele was associated with a mean 0·06 mmol/L (95% CI 0·05-0·07) lower LDL cholesterol and higher body weight (0·30 kg, 0·18-0·43), waist circumference (0·32 cm, 0·16-0·47), plasma insulin concentration (1·62%, 0·53-2·72), and plasma glucose concentration (0·23%, 0·02-0·44). The rs12916 SNP had similar effects on LDL cholesterol, bodyweight, and waist circumference. The rs17238484-G allele seemed to be associated with higher risk of type 2 diabetes (odds ratio [OR] per allele 1·02, 95% CI 1·00-1·05); the rs12916-T allele association was consistent (1·06, 1·03-1·09). In 129 170 individuals in randomised trials, statins lowered LDL cholesterol by 0·92 mmol/L (95% CI 0·18-1·67) at 1-year of follow-up, increased bodyweight by 0·24 kg (95% CI 0·10-0·38 in all trials; 0·33 kg, 95% CI 0·24-0·42 in placebo or standard care controlled trials and -0·15 kg, 95% CI -0·39 to 0·08 in intensive-dose vs moderate-dose trials) at a mean of 4·2 years (range 1·9-6·7) of follow-up, and increased the odds of new-onset type 2 diabetes (OR 1·12, 95% CI 1·06-1·18 in all trials; 1·11, 95% CI 1·03-1·20 in placebo or standard care controlled trials and 1·12, 95% CI 1·04-1·22 in intensive-dose vs moderate dose trials). The increased risk of type 2 diabetes noted with statins is at least partially explained by HMGCR inhibition. The funding sources are cited at the end of the paper.</t>
  </si>
  <si>
    <t>Benefits of hepatitis C virus treatment: a balance of preventing onward transmission and re-infection.</t>
  </si>
  <si>
    <t>de Vos, A S; Kretzschmar, M E E</t>
  </si>
  <si>
    <t>mathematical biosciences</t>
  </si>
  <si>
    <t>https://pubmed.ncbi.nlm.nih.gov/25242609</t>
  </si>
  <si>
    <t>By treating HCV-infected injecting drug users (IDUs), we may prevent infections to other IDUs. Curing preferentially individuals who most often share injecting equipment has the advantage of preventing more infections. However, such high risk behavior IDUs are also more likely to become re-infected. We have created a model that can inform us about most efficient HCV treatment policy; the expected benefits per treatment of one HCV-infected IDU are calculated, defined as a decrease in the number of chronic HCV infections. This includes the probability that the cured IDU remains uninfected, and the number of new infections prevented both directly and indirectly in further infection generations. We explore analytically how these benefits depend on the syringe sharing frequency of the cured IDU. We find that whom to best cure is determined by the prevalence of HCV contamination among exchanged syringes within the IDU population. Treating lowest risk IDUs is most beneficial above a certain prevalence of contamination, since the term for re-infection dominates the equation in this domain. At lower prevalence treating highest risk IDUs is most beneficial, since here the term for prevention dominates. In a much simplified model the threshold between domains is found at exactly 50% HCV prevalence. The threshold value is lowered when taking HCV induced mortality or increased infectiousness during an acute stage of infection into account. It is increased when taking into account treatment duration, or when HCV-treatment is combined with intervention that reduces the syringe sharing rate of the cured IDU.</t>
  </si>
  <si>
    <t>Prevalence of brain arteriovenous malformations in first-degree relatives of patients with a brain arteriovenous malformation.</t>
  </si>
  <si>
    <t>van Beijnum, Janneke; van der Worp, H Bart; Algra, Ale; Vandertop, W Peter; van den Berg, René; Brouwer, Patrick A; van der Sprenkel, Jan Willem Berkelbach; Kappelle, L Jaap; Rinkel, Gabriël J E; Klijn, Catharina J M</t>
  </si>
  <si>
    <t>https://pubmed.ncbi.nlm.nih.gov/25236872</t>
  </si>
  <si>
    <t>It is uncertain whether familial occurrence of brain arteriovenous malformations (BAVMs) represents coincidental aggregation or a shared familial risk factor. We aimed to compare the prevalence of BAVMs in first-degree relatives (FDRs) of patients with BAVM and the prevalence in the general population. We sent a postal questionnaire to 682 patients diagnosed with a BAVM in 1 of 4 university hospitals to retrieve information about the occurrence of BAVMs among their FDRs. We calculated a prevalence ratio using the BAVM prevalence among FDRs and the prevalence from a Scottish population-based study (93 per 628 788 adults). A prevalence ratio of ≥9 with a lower limit of the 95% confidence interval of 3 was considered indicative of a shared familial risk factor. Informed consent was given by 460 (67%) patients, who had 2992 FDRs. We identified 3 patients with a FDR with a BAVM, yielding a prevalence ratio of 6.8 (95% CI, 2.2-21). The prevalence of BAVMs in FDRs of patients with a BAVM was increased but did not meet our prespecified criterion for a shared familial risk factor. In combination with the low absolute risk of a BAVM in FDRs, our results do not support screening of FDRs for BAVMs.</t>
  </si>
  <si>
    <t>Depression and heart failure associated with clinical COPD questionnaire outcome in primary care COPD patients: a cross-sectional study.</t>
  </si>
  <si>
    <t>Urff, Manon; van den Berg, Jan-Willem K; Uil, Steven M; Chavannes, Niels H; Damoiseaux, Roger A M J</t>
  </si>
  <si>
    <t>https://pubmed.ncbi.nlm.nih.gov/25230736</t>
  </si>
  <si>
    <t>Improvement in health-related quality of life (HRQoL) is one of the main goals in treating chronic obstructive pulmonary disease (COPD). Impaired HRQoL in COPD is associated with increased morbidity and mortality, hospitalisations and burden on our health-care system. The Clinical COPD Questionnaire (CCQ) is a validated, reliable, short questionnaire for the evaluation of disease-specific HRQoL in patients with COPD in primary care. To investigate factors that might be associated with CCQ outcome in COPD in a primary care setting. In a population of COPD patients in primary care, multiple regression analyses were used to assess associations between CCQ outcome and depression, heart failure, FEV1% predicted, FEV1/FVC, age, sex, body mass index and current smoking. Data from 341 patients (mean age 68.1±10.3, COPD GOLD class I-III) were used for analyses. Together, heart failure and depression explained 23% of the variance in CCQ total score (P&lt;0.001, N=93). Heart failure was most strongly associated with CCQ functional score (27% explained variance, P&lt;0.001, N=100), whereas depression was most strongly associated with CCQ mental score (22% explained variance, P&lt;0.001, N=93). CCQ outcomes are higher in COPD patients with heart failure and depression. These findings might imply that heart failure and depression affect HRQoL of patients with COPD, and thus emphasise the importance of a holistic approach of this complex disease, leading to a correct diagnosis of COPD and its comorbidities, to achieve better tailored treatment of chronic patients.</t>
  </si>
  <si>
    <t>Ramadan fasting and newborn's birth weight in pregnant Muslim women in The Netherlands.</t>
  </si>
  <si>
    <t>Savitri, Ary I; Yadegari, Nasim; Bakker, Julia; van Ewijk, Reyn J G; Grobbee, Diederick E; Painter, Rebecca C; Uiterwaal, Cuno S P M; Roseboom, Tessa J</t>
  </si>
  <si>
    <t>https://pubmed.ncbi.nlm.nih.gov/25231606</t>
  </si>
  <si>
    <t>Many Muslim women worldwide are pregnant during Ramadan and adhere to Ramadan fasting during pregnancy. In the present study, we determined whether maternal adherence to Ramadan fasting during pregnancy has an impact on the birth weight of the newborn, and whether the effects differed according to trimester in which Ramadan fasting took place. A prospective cohort study was conducted in 130 pregnant Muslim women who attended antenatal care in Amsterdam and Zaanstad, The Netherlands. Data on adherence to Ramadan fasting during pregnancy and demographics were self-reported by pregnant women, and the outcome of the newborn was retrieved from medical records after delivery. The results showed that half of all the women adhered to Ramadan fasting. With strict adherence to Ramadan fasting in pregnancy, the birth weight of newborns tended to be lower than that of newborns of non-fasting mothers, although this was not statistically significant ( - 198 g, 95 % CI - 447, 51, P= 0·12). Children of mothers who fasted in the first trimester of pregnancy were lighter at birth than those whose mothers had not fasted ( - 272 g, 95 % CI - 547, 3, P= 0·05). There were no differences in birth weight between children whose mothers had or had not fasted if Ramadan fasting had taken place later in pregnancy. Ramadan fasting during early pregnancy may lead to lower birth weight of newborns. These findings call for further confirmation in larger studies that should also investigate potential implications for perinatal and long-term morbidity and mortality.</t>
  </si>
  <si>
    <t>Parental preferences for rotavirus vaccination in young children: a discrete choice experiment.</t>
  </si>
  <si>
    <t>Veldwijk, Jorien; Lambooij, Mattijs S; Bruijning-Verhagen, Patricia C J; Smit, Henriette A; de Wit, G Ardine</t>
  </si>
  <si>
    <t>https://pubmed.ncbi.nlm.nih.gov/25236585</t>
  </si>
  <si>
    <t>This study aimed to identify characteristics that affect parental decisions about rotavirus vaccination, to determine the relative importance of those characteristics and subsequently to estimate vaccination coverage for different implementation strategies. A Discrete choice experiment (DCE) questionnaire was sent to the parents of 1250 newborns aged 6 weeks (response rate 37.3%). Mixed-logit models were used to estimate the relative importance of the five included rotavirus vaccine and implementation characteristics; vaccine effectiveness, frequency of severe side effects, protection duration, the healthcare facility that administrates vaccination and out-of-pocket costs. Based on the utility functions of the mixed-logit model, the potential vaccination coverage was estimated for different vaccine scenarios and implementation strategies. All characteristics, except for healthcare facility that administrates vaccination, influenced parental willingness to vaccinate their newborn against rotavirus. Parents were willing to trade 20.2 percentage points vaccine effectiveness for the lowest frequency of severe side effects (i.e., 1 in 1,000,000) or 20.8 percentage points for a higher protection duration. Potential vaccination coverage ranged between 22.7 and 86.2%, depending on vaccine scenario (i.e., vaccine effectiveness and protection duration) and implementation strategy (i.e., out-of-pocket costs and healthcare facility that administrates vaccination). When deciding about vaccination against rotavirus, parents are mostly driven by the out-of-pocket costs, vaccine effectiveness, protection duration, and frequency of severe side effects. The highest vaccination coverage is expected for a vaccine with high effectiveness and protection duration that is implemented within the current National Immunization Program context. Implementation of the same rotavirus vaccine in the free market will result in lowest coverage.</t>
  </si>
  <si>
    <t>Muon reconstruction efficiency and momentum resolution of the ATLAS experiment in proton-proton collisions at [Formula: see text] TeV in 2010.</t>
  </si>
  <si>
    <t>,; Aad, G; Abajyan, T; Abbott, B; Abdallah, J; Abdel Khalek, S; Abdelalim, A A; Abdinov, O; Aben, R; Abi, B; Abolins, M; AbouZeid, O S; Abramowicz, H; Abreu, H; Abulaiti, Y; Acharya, B S; Adamczyk, L; Adams, D L; Addy, T N; Adelman, J; Adomeit, S; Adye, T; Aefsky, S; Agatonovic-Jovin, T; Aguilar-Saavedra, J A; Agustoni, M; Ahlen, S P; Ahles, F; Ahmad, A; Ahsan, M; Aielli, G; Åkesson, T P A; Akimoto, G; Akimov, A V; Alam, M A; Albert, J; Albrand, S; Alconada Verzini, M J; Aleksa, M; Aleksandrov, I N; Alessandria, F; Alexa, C; Alexander, G; Alexandre, G; Alexopoulos, T; Alhroob, M; Aliev, M; Alimonti, G; Alison, J; Allbrooke, B M M; Allison, L J; Allport, P P; Allwood-Spiers, S E; Almond, J; Aloisio, A; Alon, R; Alonso, A; Alonso, F; Altheimer, A; Alvarez Gonzalez, B; Alviggi, M G; Amako, K; Amaral Coutinho, Y; Amelung, C; Ammosov, V V; Amor Dos Santos, S P; Amorim, A; Amoroso, S; Amram, N; Anastopoulos, C; Ancu, L S; Andari, N; Andeen, T; Anders, C F; Anders, G; Anderson, K J; Andreazza</t>
  </si>
  <si>
    <t>https://pubmed.ncbi.nlm.nih.gov/25814911</t>
  </si>
  <si>
    <t>This paper presents a study of the performance of the muon reconstruction in the analysis of proton-proton collisions at [Formula: see text] TeV at the LHC, recorded by the ATLAS detector in 2010. This performance is described in terms of reconstruction and isolation efficiencies and momentum resolutions for different classes of reconstructed muons. The results are obtained from an analysis of [Formula: see text] meson and [Formula: see text] boson decays to dimuons, reconstructed from a data sample corresponding to an integrated luminosity of 40 pb[Formula: see text]. The measured performance is compared to Monte Carlo predictions and deviations from the predicted performance are discussed.</t>
  </si>
  <si>
    <t>EMAS position statement: individualized breast cancer screening versus population-based mammography screening programmes.</t>
  </si>
  <si>
    <t>Depypere, Herman; Desreux, Joelle; Pérez-López, Faustino R; Ceausu, Iuliana; Erel, C Tamer; Lambrinoudaki, Irene; Schenck-Gustafsson, Karin; van der Schouw, Yvonne T; Simoncini, Tommaso; Tremollieres, Florence; Rees, Margaret; EMAS,</t>
  </si>
  <si>
    <t>https://pubmed.ncbi.nlm.nih.gov/25277123</t>
  </si>
  <si>
    <t>Breast cancer is the most prevalent cancer in women, with slightly more than ten percent developing the disease in Western countries. Mammography screening is a well established method to detect breast cancer. The aim of the position statement is to review critically the advantages and shortcomings of population based mammography screening. Literature review and consensus of expert opinion. Mammography screening programmes vary worldwide. Thus there are differences in the age at which screening is started and stopped and in the screening interval. Furthermore differences in screening quality (such as equipment, technique, resolution, single or double reading, recall rates) result in a sensitivity varying from 70% to 94% between studies. Reporting results of screening is subject to different types of bias such as overdiagnosis. Thus because of the limitations of population-based mammography screening programmes an algorithm for individualized screening is proposed.</t>
  </si>
  <si>
    <t>Novel cardiovascular biomarkers in women with a history of early preeclampsia.</t>
  </si>
  <si>
    <t>Drost, José T; Maas, Angela H E M; Holewijn, Suzanne; Joosten, Leo A B; van Eyck, Jim; van der Schouw, Yvonne T; de Graaf, Jacqueline</t>
  </si>
  <si>
    <t>https://pubmed.ncbi.nlm.nih.gov/25238218</t>
  </si>
  <si>
    <t>Women with a history of preeclampsia are at increased risk for future cardiovascular disease. Determination of cardiovascular biomarkers may be useful to understand the pathophysiological mechanism of cardiovascular disease development in these women. We performed an analysis in the Preeclampsia Risk EValuation in FEMales study, a retrospective cohort consisting of 339 women with a history of early preeclampsia and 332 women after normotensive pregnancy. Women attended a follow-up visit ten years after the index pregnancy. A subset of 8 different cardiovascular biomarkers was investigated, reflecting inflammatory, metabolic, thrombotic and endothelial function markers. Associations between PE and these novel biomarkers were analyzed by linear regression analysis and adjusted for traditional cardiovascular risk factors. Mean age of 671 women of the PREVFEM cohort was 39 years and women were on average 10 years post index pregnancy. Women post preeclampsia had significantly higher levels of SE-selectin (adjusted difference 4.55, 99%CI 0.37; 8.74) and PAPPA (adjusted difference 19.08; 99%CI 13.18; 24.99), whereas ApoB (adjusted difference -0.23 99%CI -0.32; -0.14) was inversely associated with preeclampsia, compared to women with a previous normotensive pregnancy. Adiponectin, leptin, sICAM-1, sVCAM-1 and PAI-1 were not different between both groups. We demonstrated an independent association of preeclampsia with SE-selectin and PAPPA (markers of vascular dysfunction), which may contribute to future cardiovascular events in women post preeclampsia. However, ApoB (an apolipoprotein) was significantly lower and could point at a protective mechanism in our PE study women.</t>
  </si>
  <si>
    <t>Alternative diagnoses in patients in whom the GP considered the diagnosis of pulmonary embolism.</t>
  </si>
  <si>
    <t>Erkens, Petra M G; Lucassen, Wim A M; Geersing, Geert-Jan; van Weert, Henk C P M; Kuijs-Augustijn, Marlous; van Heugten, Marloes; Rietjens, Lonneke; ten Cate, Hugo; Prins, Martin H; Büller, Harry R; Hoes, Arno W; Moons, Karel G M; Oudega, Ruud; Stoffers, Henri E J H</t>
  </si>
  <si>
    <t>https://pubmed.ncbi.nlm.nih.gov/25216665</t>
  </si>
  <si>
    <t>Pulmonary embolism (PE) often presents with nonspecific symptoms and may be an easily missed diagnosis. When the differential diagnosis includes PE, an empirical list of frequently occurring alternative diagnoses could support the GP in diagnostic decision making. To identify common alternative diagnoses in patients in whom the GP suspected PE but in whom PE could be ruled out. To investigate how the Wells clinical decision rule for PE combined with a point-of-care d-dimer test is associated with these alternative diagnoses. Secondary analysis of the Amsterdam Maastricht Utrecht Study on thrombo-Embolism (Amuse-2) study, which validated the Wells PE rule combined with point-of-care d-dimer testing in primary care. All 598 patients had been referred to and diagnosed in secondary care. All diagnostic information was retrieved from the GPs' medical records. In 516 patients without PE, the most frequent alternative diagnoses were nonspecific thoracic pain/dyspnoea (42.6%), pneumonia (13.0%), myalgia (11.8%), asthma/chronic obstructive pulmonary disease (4.8%), panic disorder/hyperventilation (4.1%) and respiratory tract infection (2.3%). Pneumonia occurred almost as frequent as PE. Patients without PE with either a positive Wells rule (&gt;4) or a positive d-dimer test, were more often (odds ratio = 2.1) diagnosed with a clinically relevant disease than patients with a negative Wells rule and negative d-dimer test. In primary care patients suspected of PE, the most common clinically relevant diagnosis other than PE was pneumonia. A positive Wells rule or a positive d-dimer test are not only positively associated with PE, but also with a high probability of other clinically relevant disease.</t>
  </si>
  <si>
    <t>MLST reveals potentially high-risk international clones of Enterobacter cloacae.</t>
  </si>
  <si>
    <t>Izdebski, R; Baraniak, A; Herda, M; Fiett, J; Bonten, M J M; Carmeli, Y; Goossens, H; Hryniewicz, W; Brun-Buisson, C; Gniadkowski, M; ,</t>
  </si>
  <si>
    <t>https://pubmed.ncbi.nlm.nih.gov/25216820</t>
  </si>
  <si>
    <t>To perform the first multinational Enterobacter cloacae clonality study, using the MLST scheme newly developed in Japan. The analysis included 195 rectal carriage E. cloacae isolates resistant to expanded-spectrum cephalosporins (ESCs), collected from patients in 12 hospital units across Europe and Israel. All of the isolates were typed by PFGE and 173 isolates were subjected to MLST. ESC resistance was analysed phenotypically; genes encoding ESBLs and carbapenemases were identified by PCR and sequencing. MLST distinguished 88 STs, which correlated with the PFGE data. PFGE was more discriminatory, producing 129 pulsotypes (169 patterns). Numerous STs were observed in several countries each. The most widespread were ST66, ST78, ST108 and ST114, each having at least 10 isolates from three to five countries, diversified into multiple pulsotypes, with clusters of related isolates in one or more centres. Analysis of the STs against the MLST database revealed several epidemic clonal complexes, such as those with central genotypes ST74 (including ST78) or ST114 (including ST66). ESC resistance was equally related to overexpression of the AmpC cephalosporinase and to ESBL production. Among ESBL producers some spreading subclones were identified, including specific ST66, ST78 and ST114 pulsotypes, associated with CTX-M-15 production. Several isolates produced carbapenemase VIM-1 or KPC-2. Together with the information available in the MLST database, our results suggest that, like Escherichia coli and Klebsiella pneumoniae, E. cloacae harbours clonal lineages of increased epidemic potential that may be associated with resistance spread.</t>
  </si>
  <si>
    <t>The social value of clinical research.</t>
  </si>
  <si>
    <t>https://pubmed.ncbi.nlm.nih.gov/25189994</t>
  </si>
  <si>
    <t>International documents on ethical conduct in clinical research have in common the principle that potential harms to research participants must be proportional to anticipated benefits. The anticipated benefits that can justify human research consist of direct benefits to the research participant, and societal benefits, also called social value. In first-in-human research, no direct benefits are expected and the benefit component of the risks-benefit assessment thus merely exists in social value. The concept social value is ambiguous by nature and is used in numerous ways in the research ethics literature. Because social value justifies involving human participants, especially in early human trials, this is problematic. Our analysis and interpretation of the concept social value has led to three proposals. First, as no direct benefits are expected for the research participants in first-in-human trials, we believe it is better to discuss a risk- value assessment instead of a risk - benefit assessment. This will also make explicit the necessity to have a clear and common use for the concept social value. Second, to avoid confusion we propose to limit the concept social value to the intervention tested. It is the expected improvement the intervention can bring to the wellbeing of (future) patients or society that is referred to when we speak about social value. For the sole purpose of gaining knowledge, we should not expose humans to potential harm; the ultimate justification of involving humans in research lies in the anticipated social value of the intervention. Third, at the moment only the validity of the clinical research proposal is a prerequisite for research to take place. We recommend making the anticipated social value a prerequisite as well. In this paper we analyze the use of the concept social value in research ethics. Despite its unavoidable ambiguity, we aim to find a best use of the concept, subject to its role in justifying involving humans in first-in-human research.</t>
  </si>
  <si>
    <t>Prevalence and clustering of cardiovascular risk factors in adults in Northeast China.</t>
  </si>
  <si>
    <t>Wang, Xin; Yang, Fang; Bots, Michiel L; Guo, Weiying; Zhao, Di; Hoes, Arno W; Vaartjes, Ilonca</t>
  </si>
  <si>
    <t>https://pubmed.ncbi.nlm.nih.gov/27326186</t>
  </si>
  <si>
    <t>To estimate the prevalence and clustering of major cardiovascular risk factors in adults in Northeast China. In total, 37 141 individuals undergoing a health screening programme at the International Health Promotion Center at the 1st Hospital of Jilin University were enrolled. Height, weight, blood pressure, fasting serum glucose, total cholesterol (TC), triglyceride (TG), high-density lipoprotein and low-density lipoprotein were recorded. Compared with women, the age-standardised prevalence of overweight (44.0% vs 25.0%) and obesity (20.2% vs 7.1%), hypertension (33.7% vs 19.3%), dyslipidaemia (63.8% vs 42.3%), impaired fasting glucose (5.1% vs 4.2%) and diabetes mellitus (8.1% vs 3.5%) was higher in men. Overall, 69.1%, 32.7% and 10.0% of participants had ≥1, ≥2 and ≥3 major cardiovascular risk factors, respectively (obesity, hypertension, dyslipidaemia, diabetes mellitus). For men, the figures were 79.2%, 41.1% and 13.3%, respectively, and for women 53.4%, 19.8% and 5.0%, respectively. With increasing age and increasing body mass index, the prevalence of clustering of cardiovascular risk factors increased in both men and women. There is a high prevalence of cardiovascular risk factors in adults in Northeast China: one out of three has at least two risk factors. Prevalence was higher in men than in women. Clustering of risk factors is more common with increasing age and body mass index in both men and women. Prevention of the development of risk factors should be an extremely high priority in this region.</t>
  </si>
  <si>
    <t>The authors reply.</t>
  </si>
  <si>
    <t>den Hoedt, Claire H; Bots, Michiel L; Grooteman, Muriel P C; ter Wee, Piet M; Nubé, Menso J; Blankestijn, Peter J; van den Dorpel, Marinus A</t>
  </si>
  <si>
    <t>https://pubmed.ncbi.nlm.nih.gov/25168506</t>
  </si>
  <si>
    <t>Quantitative falsification of instrumental variables assumption using balance measures.</t>
  </si>
  <si>
    <t>Ali, M Sanni; Uddin, Md Jamal; Groenwold, R H H; Pestman, W R; Belitser, S V; Hoes, A W; de Boer, A; Roes, K C B; Klungel, Olaf H</t>
  </si>
  <si>
    <t>https://pubmed.ncbi.nlm.nih.gov/25076152</t>
  </si>
  <si>
    <t>A new framework to enhance the interpretation of external validation studies of clinical prediction models.</t>
  </si>
  <si>
    <t>Debray, Thomas P A; Vergouwe, Yvonne; Koffijberg, Hendrik; Nieboer, Daan; Steyerberg, Ewout W; Moons, Karel G M</t>
  </si>
  <si>
    <t>https://pubmed.ncbi.nlm.nih.gov/25179855</t>
  </si>
  <si>
    <t>It is widely acknowledged that the performance of diagnostic and prognostic prediction models should be assessed in external validation studies with independent data from "different but related" samples as compared with that of the development sample. We developed a framework of methodological steps and statistical methods for analyzing and enhancing the interpretation of results from external validation studies of prediction models. We propose to quantify the degree of relatedness between development and validation samples on a scale ranging from reproducibility to transportability by evaluating their corresponding case-mix differences. We subsequently assess the models' performance in the validation sample and interpret the performance in view of the case-mix differences. Finally, we may adjust the model to the validation setting. We illustrate this three-step framework with a prediction model for diagnosing deep venous thrombosis using three validation samples with varying case mix. While one external validation sample merely assessed the model's reproducibility, two other samples rather assessed model transportability. The performance in all validation samples was adequate, and the model did not require extensive updating to correct for miscalibration or poor fit to the validation settings. The proposed framework enhances the interpretation of findings at external validation of prediction models.</t>
  </si>
  <si>
    <t>HPV seroconversion following anal and penile HPV infection in HIV-negative and HIV-infected MSM.</t>
  </si>
  <si>
    <t>Mooij, Sofie H; Landén, Olivia; van der Klis, Fiona R M; van der Sande, Marianne A B; de Melker, Hester E; Xiridou, Maria; van Eeden, Arne; Heijman, Titia; Speksnijder, Arjen G C L; Snijders, Peter J F; Schim van der Loeff, Maarten F</t>
  </si>
  <si>
    <t>https://pubmed.ncbi.nlm.nih.gov/25169974</t>
  </si>
  <si>
    <t>We assessed human papillomavirus (HPV) seroconversion following anal and penile HPV infection in HIV-negative and HIV-infected men who have sex with men (MSM). MSM aged ≥18 years were recruited in Amsterdam, the Netherlands (2010-2011), and followed up semiannually. Antibodies against 7 high-risk HPV types in baseline and 12-month serum samples were tested using a multiplex immunoassay. Baseline, 6-, and 12-month anal and penile samples were tested for HPV DNA using the SPF10-PCR DEIA/LiPA25 system. Statistical analyses were performed using logistic regression with generalized estimating equations. Of 644 MSM included in the analysis, 245 (38%) were HIV-infected. Median age was 38 years for HIV-negative and 47 years for HIV-infected MSM (P &lt; 0.001). Seroconversion against ≥1 of the 7 HPV types was observed in 74 of 396 (19%) HIV-negative and 52 of 223 (23%) HIV-infected MSM at risk (P = 0.2). Incident [adjusted OR (aOR) 2.0; 95% confidence interval (CI), 1.1-3.4] and persistent (aOR 3.7; 95% CI, 1.5-9.5) anal HPV infections were independently associated with type-specific seroconversion in HIV-negative MSM. In HIV-infected MSM, there was a nonsignificant positive association between penile HPV infection at any time point and seroconversion (aOR 1.7; 95% CI, 0.9-3.2). Incident or persistent anal HPV infection was an independent determinant of seroconversion in HIV-negative MSM. Our data support that seroresponse may vary per anatomic site and that persistent HPV infections are more likely to elicit a detectable humoral immune response.</t>
  </si>
  <si>
    <t>A two-phase within-host model for immune response and its application to serological profiles of pertussis.</t>
  </si>
  <si>
    <t>de Graaf, W F; Kretzschmar, M E E; Teunis, P F M; Diekmann, O</t>
  </si>
  <si>
    <t>https://pubmed.ncbi.nlm.nih.gov/25480129</t>
  </si>
  <si>
    <t>We present a simple phenomenological within-host model describing both the interaction between a pathogen and the immune system and the waning of immunity after clearing of the pathogen. We implement the model into a Bayesian hierarchical framework to estimate its parameters for pertussis using Markov chain Monte Carlo methods. We show that the model captures some essential features of the kinetics of titers of IgG against pertussis toxin. We identify a threshold antibody level that separates a large increase in antibody level upon infection from a small increase and accordingly might be interpreted as a threshold separating clinical from subclinical infections. We contrast predictions of the model with observations reported in the literature and based on independent data and find a remarkable correspondence.</t>
  </si>
  <si>
    <t>Resting heart rate is a risk factor for mortality in chronic obstructive pulmonary disease, but not for exacerbations or pneumonia.</t>
  </si>
  <si>
    <t>Warnier, Miriam J; Rutten, Frans H; de Boer, Anthonius; Hoes, Arno W; De Bruin, Marie L</t>
  </si>
  <si>
    <t>https://pubmed.ncbi.nlm.nih.gov/25157876</t>
  </si>
  <si>
    <t>Although it is known that patients with chronic obstructive pulmonary disease (COPD) generally do have an increased heart rate, the effects on both mortality and non-fatal pulmonary complications are unclear. We assessed whether heart rate is associated with all-cause mortality, and non-fatal pulmonary endpoints. A prospective cohort study of 405 elderly patients with COPD was performed. All patients underwent extensive investigations, including electrocardiography. Follow-up data on mortality were obtained by linking the cohort to the Dutch National Cause of Death Register and information on complications (exacerbation of COPD or pneumonia) by scrutinizing patient files of general practitioners. Multivariable cox regression analysis was performed. During the follow-up 132 (33%) patients died. The overall mortality rate was 50/1000 py (42-59). The major causes of death were cardiovascular and respiratory. The relative risk of all-cause mortality increased with 21% for every 10 beats/minute increase in heart rate (adjusted HR: 1.21 [1.07-1.36], p = 0.002). The incidence of major non-fatal pulmonary events was 145/1000 py (120-168). The risk of a non-fatal pulmonary complication increased non-significantly with 7% for every 10 beats/minute increase in resting heart rate (adjusted HR: 1.07 [0.96-1.18], p = 0.208). Increased resting heart rate is a strong and independent risk factor for all-cause mortality in elderly patients with COPD. An increased resting heart rate did not result in an increased risk of exacerbations or pneumonia. This may indicate that the increased mortality risk of COPD is related to non-pulmonary causes. Future randomized controlled trials are needed to investigate whether heart-rate lowering agents are worthwhile for COPD patients.</t>
  </si>
  <si>
    <t>Nocturnal dry cough in the first 7 years of life is associated with asthma at school age.</t>
  </si>
  <si>
    <t>Boudewijn, Ilse M; Savenije, Olga E M; Koppelman, Gerard H; Wijga, Alet H; Smit, Henriëtte A; de Jongste, Johan C; Gehring, Ulrike; Postma, Dirkje S; Kerkhof, Marjan</t>
  </si>
  <si>
    <t>https://pubmed.ncbi.nlm.nih.gov/25158300</t>
  </si>
  <si>
    <t>Childhood wheeze is an important, well-known risk factor for asthma, yet little is known about the contribution of nocturnal dry cough. We investigated the association of nocturnal dry cough at ages 1-7 years with doctor-diagnosed asthma at 8 years of age, both in the presence and absence of wheeze. Data of 3,252 children from the PIAMA birth cohort were studied. Parents reported the presence of nocturnal dry cough, wheeze, and doctor-diagnosed asthma in the past 12 months yearly, from birth up to the age of 8 years. Nocturnal dry cough without wheeze was significantly associated with doctor-diagnosed asthma at age 8, except for age 1 (range of Relative Risks (RR) at ages 2-7: 1.8 (age 5) - 7.1 (age 7), all P-values &lt;0.048). As expected, wheeze without nocturnal dry cough was strongly associated with doctor-diagnosed asthma at age 8 (range of RR: 2.0 (age 1) - 22.2 (age 7), all P-values &lt;0.003). Of interest, nocturnal dry cough with wheeze showed the strongest association with doctor-diagnosed asthma at age 8 (range of RR: 3.7 (age 1) - 26.0 (age 7), all P-values &lt;0.001). The relative excess risk of asthma at age 8 due to interaction of nocturnal dry cough with wheeze at age 1 year was 1.8 (0.1-3.6, P &lt; 0.01). Nocturnal dry cough and wheeze in early childhood are both independently associated with asthma at school age. The presence of both nocturnal dry cough and wheeze at age 1 almost doubles the risk of asthma at age 8 compared to wheeze alone.</t>
  </si>
  <si>
    <t>Dietary fat intake and risk of epithelial ovarian cancer in the European Prospective Investigation into Cancer and Nutrition.</t>
  </si>
  <si>
    <t>Merritt, Melissa A; Riboli, Elio; Weiderpass, Elisabete; Tsilidis, Konstantinos K; Overvad, Kim; Tjønneland, Anne; Hansen, Louise; Dossus, Laure; Fagherazzi, Guy; Baglietto, Laura; Fortner, Renée T; Ose, Jennifer; Steffen, Annika; Boeing, Heiner; Trichopoulou, Antonia; Trichopoulos, Dimitrios; Lagiou, Pagona; Masala, Giovanna; Sieri, Sabina; Mattiello, Amalia; Tumino, Rosario; Sacerdote, Carlotta; Bueno-de-Mesquita, H B As; Onland-Moret, N Charlotte; Peeters, Petra H; Hjartåker, Anette; Gram, Inger Torhild; Quirós, J Ramón; Obón-Santacana, Mireia; Molina-Montes, Esther; Huerta Castaño, José María; Ardanaz, Eva; Chamosa, Saioa; Sonestedt, Emily; Idahl, Annika; Lundin, Eva; Khaw, Kay-Tee; Wareham, Nicholas; Travis, Ruth C; Rinaldi, Sabina; Romieu, Isabelle; Chajes, Veronique; Gunter, Marc J</t>
  </si>
  <si>
    <t>https://pubmed.ncbi.nlm.nih.gov/25155210</t>
  </si>
  <si>
    <t>There are inconsistent and limited data available to assess the relationship between fat intake and risk of epithelial ovarian cancer (EOC). We examined the consumption of total fat, fat sources and fat subtypes in relation to risk of EOC and its major histologic subtypes in the European Prospective Investigation into Cancer and Nutrition which includes incident invasive (n=1095) and borderline (n=96) EOC. Cox proportional hazards regression was used to estimate hazard ratios (HRs) and 95% confidence intervals (CIs). In multivariate models, we observed no association with consumption of total fat, animal or plant fat, saturated fat, cholesterol, monounsaturated fat, or fatty fish and risk of invasive EOC. There was, however, an increased risk of invasive EOC in the highest category of intake (Quartile 4 vs. Quartile 1) of polyunsaturated fat (HR=1.22, 95% CI=1.02-1.48, P(trend)=0.02). We did not observe heterogeneity in the risk associations in comparisons of serous and endometrioid histologic subtypes. This study does not support an etiological role for total fat intake in relation to EOC risk; however, based on observations of a positive association between intake of polyunsaturated fat and invasive EOC risk in the current and previous studies, this fat subtype warrants further investigation to determine its potential role in EOC development.</t>
  </si>
  <si>
    <t>Effectiveness of progestogens to improve perinatal outcome in twin pregnancies: an individual participant data meta-analysis.</t>
  </si>
  <si>
    <t>Schuit, E; Stock, S; Rode, L; Rouse, D J; Lim, A C; Norman, J E; Nassar, A H; Serra, V; Combs, C A; Vayssiere, C; Aboulghar, M M; Wood, S; Çetingöz, E; Briery, C M; Fonseca, E B; Worda, K; Tabor, A; Thom, E A; Caritis, S N; Awwad, J; Usta, I M; Perales, A; Meseguer, J; Maurel, K; Garite, T; Aboulghar, M A; Amin, Y M; Ross, S; Cam, C; Karateke, A; Morrison, J C; Magann, E F; Nicolaides, K H; Zuithoff, N P A; Groenwold, R H H; Moons, K G M; Kwee, A; Mol, B W J; ,</t>
  </si>
  <si>
    <t>https://pubmed.ncbi.nlm.nih.gov/25145491</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</si>
  <si>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</si>
  <si>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Interpreting and comparing risks in the presence of competing events.</t>
  </si>
  <si>
    <t>Wolkewitz, Martin; Cooper, Ben S; Bonten, Marc J M; Barnett, Adrian G; Schumacher, Martin</t>
  </si>
  <si>
    <t>https://pubmed.ncbi.nlm.nih.gov/25146097</t>
  </si>
  <si>
    <t>Light-quark and gluon jet discrimination in [Formula: see text] collisions at [Formula: see text]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</si>
  <si>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 A; Ahmadov, F; Aielli, G; Åkesson, T P A; Akimoto, G; Akimov, A V;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t>
  </si>
  <si>
    <t>https://pubmed.ncbi.nlm.nih.gov/25814910</t>
  </si>
  <si>
    <t>A likelihood-based discriminant for the identification of quark- and gluon-initiated jets is built and validated using 4.7 fb[Formula: see text] of proton-proton collision data at [Formula: see text] [Formula: see text] collected with the ATLAS detector at the LHC. Data samples with enriched quark or gluon content are used in the construction and validation of templates of jet properties that are the input to the likelihood-based discriminant. The discriminating power of the jet tagger is established in both data and Monte Carlo samples within a systematic uncertainty of [Formula: see text] 10-20 %. In data, light-quark jets can be tagged with an efficiency of [Formula: see text] while achieving a gluon-jet mis-tag rate of [Formula: see text] in a [Formula: see text] range between [Formula: see text] and [Formula: see text] for jets in the acceptance of the tracker. The rejection of gluon-jets found in the data is significantly below what is attainable using a Pythia 6 Monte Carlo simulation, where gluon-jet mis-tag rates of 10 % can be reached for a 50 % selection efficiency of light-quark jets using the same jet properties.</t>
  </si>
  <si>
    <t>Quantifying the validity of routine neonatal healthcare data in the Greater Accra Region, Ghana.</t>
  </si>
  <si>
    <t>Kayode, Gbenga A; Amoakoh-Coleman, Mary; Brown-Davies, Charles; Grobbee, Diederick E; Agyepong, Irene Akua; Ansah, Evelyn; Klipstein-Grobusch, Kerstin</t>
  </si>
  <si>
    <t>https://pubmed.ncbi.nlm.nih.gov/25144222</t>
  </si>
  <si>
    <t>The District Health Information Management System-2 (DHIMS-2) is the database for storing health service data in Ghana, and similar to other low and middle income countries, paper-based data collection is being used by the Ghana Health Service. As the DHIMS-2 database has not been validated before this study aimed to evaluate its validity. Seven out of ten districts in the Greater Accra Region were randomly sampled; the district hospital and a polyclinic in each district were recruited for validation. Seven pre-specified neonatal health indicators were considered for validation: antenatal registrants, deliveries, total births, live birth, stillbirth, low birthweight, and neonatal death. Data were extracted on these health indicators from the primary data (hospital paper-registers) recorded from January to March 2012. We examined all the data captured during this period as these data have been uploaded to the DHIMS-2 database. The differences between the values of the health indicators obtained from the primary data and that of the facility and DHIMS-2 database were used to assess the accuracy of the database while its completeness was estimated by the percentage of missing data in the primary data. About 41,000 data were assessed and in almost all the districts, the error rates of the DHIMS-2 data were less than 2.1% while the percentages of missing data were below 2%. At the regional level, almost all the health indicators had an error rate below 1% while the overall error rate of the DHIMS-2 database was 0.68% (95% C I = 0.61-0.75) and the percentage of missing data was 3.1% (95% C I = 2.96-3.24). This study demonstrated that the percentage of missing data in the DHIMS-2 database was negligible while its accuracy was close to the acceptable range for high quality data.</t>
  </si>
  <si>
    <t>Prolactin determinants in healthy women: A large cross-sectional study within the EPIC cohort.</t>
  </si>
  <si>
    <t>Tikk, Kaja; Sookthai, Disorn; Johnson, Theron; Dossus, Laure; Clavel-Chapelon, Françoise; Tjønneland, Anne; Olsen, Anja; Overvad, Kim; Baglietto, Laura; Rinaldi, Sabina; Romieu, Isabelle; Boeing, Heiner; Trichopoulou, Antonia; Lagiou, Pagona; Trichopoulos, Dimitrios; Masala, Giovanna; Agnoli, Claudia; Tumino, Rosario; Sacerdote, Carlotta; Mattiello, Amalia; Buckland, Genevieve; Sánchez, Soledad; Molina-Montes, Esther; Amiano, Pilar; Castaño, José María Huerta; Barricarte, Aurelio; Bueno-de-Mesquita, H Bas; Monninkhof, Evelyn M; Onland-Moret, N Charlotte; Idahl, Annika; Lundin, Eva; Weiderpass, Elisabete; Lund, Eiliv; Waaseth, Marit; Khaw, Kay-Tee; Key, Timothy J; Travis, Ruth C; Gunter, Marc J; Riboli, Elio; Kaaks, Rudolf</t>
  </si>
  <si>
    <t>https://pubmed.ncbi.nlm.nih.gov/25143360</t>
  </si>
  <si>
    <t>Experimental and epidemiologic data suggest that higher circulating prolactin is associated with breast cancer risk; however, how various risk factors for breast cancer influence prolactin levels in healthy women is not clear. We analyzed cross-sectional associations between several suggested reproductive and lifestyle risk factors for breast cancer and circulating prolactin among pre- and postmenopausal women, taking into account the use of current postmenopausal hormone therapy, among 2,560 controls from a breast cancer nested case-control study within the EPIC cohort. Adjusted geometric mean prolactin levels were significantly higher among premenopausal women, and among postmenopausal women using hormone therapy compared with nonusers (8.2, 7.0, and 6.3 ng/mL, respectively; Pcat = &lt;0.0001). Furthermore, prolactin levels were significantly higher among users of combined estrogen-progestin hormone therapy compared with users of estrogen-alone hormone therapy (6.66 vs. 5.90 ng/mL; Pcat = 0.001). Prolactin levels were lower among parous women compared with nulliparous women (8.61 vs. 10.95 ng/mL; Pcat = 0.0002, premenopausal women); the magnitude of this difference depended on the number of full-term pregnancies (22.1% lower, ≥3 vs. 1 pregnancy, Ptrend = 0.01). Results for parity were similar but lower in magnitude among postmenopausal women. Prolactin did not vary by other studied factors, with the exception of lower levels among postmenopausal smokers compared with never smokers. Our study shows that current hormone therapy use, especially the use of combined hormone therapy, is associated with higher circulating prolactin levels in postmenopausal women, and confirms prior findings of lower circulating prolactin in parous women. Our study extends the knowledge linking various breast cancer risk factors with circulating prolactin.</t>
  </si>
  <si>
    <t>Gastrointestinal and respiratory illness in children that do and do not attend child day care centers: a cost-of-illness study.</t>
  </si>
  <si>
    <t>Enserink, Remko; Lugnér, Anna; Suijkerbuijk, Anita; Bruijning-Verhagen, Patricia; Smit, Henriette A; van Pelt, Wilfrid</t>
  </si>
  <si>
    <t>https://pubmed.ncbi.nlm.nih.gov/25141226</t>
  </si>
  <si>
    <t>Gastrointestinal and respiratory diseases are major causes of morbidity for young children, particularly for those children attending child day care centers (DCCs). Although both diseases are presumed to cause considerable societal costs for care and treatment of illness, the extent of these costs, and the difference of these costs between children that do and do not attend such centers, is largely unknown. Estimate the societal costs for care and treatment of episodes of gastroenteritis (GE) and influenza-like illness (ILI) experienced by Dutch children that attend a DCC, compared to children that do not attend a DCC. A web-based monthly survey was conducted among households with children aged 0-48 months from October 2012 to October 2013. Households filled-in a questionnaire on the incidence of GE and ILI episodes experienced by their child during the past 4 weeks, on the costs related to care and treatment of these episodes, and on DCC arrangements. Costs and incidence were adjusted for socioeconomic characteristics including education level, nationality and monthly income of parents, number of children in the household, gender and age of the child and month of survey conduct. Children attending a DCC experienced higher rates of GE (aIRR 1.4 [95%CI: 1.2-1.9]) and ILI (aIRR: 1.4 [95%CI: 1.2-1.6]) compared to children not attending a DCC. The societal costs for care and treatment of an episode of GE and ILI experienced by a DCC-attending child were estimated at €215.45 [€115.69-€315.02] and €196.32 [€161.58-€232.74] respectively, twice as high as for a non-DCC-attending child. The DCC-attributable economic burden of GE and ILI for the Netherlands was estimated at €25 million and €72 million per year. Although children attending a DCC experience only slightly higher rates of GE and ILI compared to children not attending a DCC, the costs involved per episode are substantially higher.</t>
  </si>
  <si>
    <t>A systematic review and meta-analysis of 130,000 individuals shows smoking does not modify the association of APOE genotype on risk of coronary heart disease.</t>
  </si>
  <si>
    <t>Holmes, Michael V; Frikke-Schmidt, Ruth; Melis, Daniela; Luben, Robert; Asselbergs, Folkert W; Boer, Jolanda M A; Cooper, Jackie; Palmen, Jutta; Horvat, Pia; Engmann, Jorgen; Li, Ka-Wah; Onland-Moret, N Charlotte; Hofker, Marten H; Kumari, Meena; Keating, Brendan J; Hubacek, Jaroslav A; Adamkova, Vera; Kubinova, Ruzena; Bobak, Martin; Khaw, Kay-Tee; Nordestgaard, Børge G; Wareham, Nick; Humphries, Steve E; Langenberg, Claudia; Tybjaerg-Hansen, Anne; Talmud, Philippa J</t>
  </si>
  <si>
    <t>https://pubmed.ncbi.nlm.nih.gov/25173947</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</si>
  <si>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&gt;60,000 with adjustment for cardiovascular traits also failed to identify evidence of effect modification. In the largest analysis to date, we identified no evidence for effect modification by smoking status in the association between APOE genotype and risk of CHD.</t>
  </si>
  <si>
    <t>Birth weight ratio as an alternative to birth weight percentile to express infant weight in research and clinical practice: a nationwide cohort study.</t>
  </si>
  <si>
    <t>Voskamp, Bart Jan; Kazemier, Brenda M; Schuit, Ewoud; Mol, Ben Willem J; Buimer, Maarten; Pajkrt, Eva; Ganzevoort, Wessel</t>
  </si>
  <si>
    <t>obstetrics and gynecology international</t>
  </si>
  <si>
    <t>https://pubmed.ncbi.nlm.nih.gov/25197283</t>
  </si>
  <si>
    <t>Objective. To compare birth weight ratio and birth weight percentile to express infant weight when assessing pregnancy outcome. Study Design. We performed a national cohort study. Birth weight ratio was calculated as the observed birth weight divided by the median birth weight for gestational age. The discriminative ability of birth weight ratio and birth weight percentile to identify infants at risk of perinatal death (fetal death and neonatal death) or adverse pregnancy outcome (perinatal death + severe neonatal morbidity) was compared using the area under the curve. Outcomes were expressed stratified by gestational age at delivery separate for birth weight ratio and birth weight percentile. Results. We studied 1,299,244 pregnant women, with an overall perinatal death rate of 0.62%. Birth weight ratio and birth weight percentile have equivalent overall discriminative performance for perinatal death and adverse perinatal outcome. In late preterm infants (33(+0)-36(+6) weeks), birth weight ratio has better discriminative ability than birth weight percentile for perinatal death (0.68 versus 0.63, P  0.01) or adverse pregnancy outcome (0.67 versus 0.60, P &lt; 0.001). Conclusion. Birth weight ratio is a potentially valuable instrument to identify infants at risk of perinatal death and adverse pregnancy outcome and provides several advantages for use in research and clinical practice. Moreover, it allows comparison of groups with different average birth weights.</t>
  </si>
  <si>
    <t>Dietary patterns in relation to disease burden expressed in Disability-Adjusted Life Years.</t>
  </si>
  <si>
    <t>Struijk, Ellen A; Beulens, Joline W J; May, Anne M; Fransen, Heidi P; Boer, Jolanda M A; de Wit, G Ardine; Onland-Moret, N Charlotte; van der Schouw, Yvonne T; Hoekstra, Jeljer; Bueno-de-Mesquita, H Bas; Peeters, Petra H M</t>
  </si>
  <si>
    <t>https://pubmed.ncbi.nlm.nih.gov/25240078</t>
  </si>
  <si>
    <t>Although diet is related to chronic disease risk and mortality, its association with total disease burden is not clear. We investigated the minimum impact of different dietary patterns on disability-adjusted life years (DALYs) by using individual longitudinal data. A prospective cohort study was conducted in 33,066 healthy men and women aged 20-70 y recruited into the European Prospective Investigation into Cancer and Nutrition-Netherlands study during 1993-1997. We measured adherence to 3 a priori dietary patterns [the modified Mediterranean diet score (mMDS), the WHO-based Healthy Diet Indicator, and the Dutch Healthy Diet index] and 2 a posteriori dietary patterns. Two a posteriori methods were used to extract Western and prudent patterns. Participants were followed until the end of 2007 for the occurrence of and mortality from the most important chronic diseases. The disease burden was expressed in DALYs, which are the sum of Years Lost due to Disability and Years of Life Lost because of premature mortality. The associations between dietary patterns (per SD change in score) and DALYs were estimated by using a 2-part model and adjusted for relevant confounders (sex, age at recruitment, smoking status and intensity, educational level, marital status, job status, energy intake, and physical activity). After an average follow-up of 12.4 y, higher adherence to the mMDS or prudent pattern was most strongly associated with healthy survival; per SD higher adherence to the mMDS or prudent pattern, fewer healthy life years were lost [51 d (-0.14 DALYs; 95% CI: -0.21, -0.08 DALYs) and 58 d (-0.16 DALYs; 95% CI: -0.23, -0.09 DALYs), respectively]. In this Dutch study, of various dietary patterns evaluated, higher adherence to the mMDS or prudent dietary pattern was associated with a lower disease burden as assessed by DALYs.</t>
  </si>
  <si>
    <t>Measurement of the centrality and pseudorapidity dependence of the integrated elliptic flow in lead-lead collisions at [Formula: see text] TeV with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</si>
  <si>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Åkesson, T P A; Akimoto, G; Akimov, A V; Alberghi, G L;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t>
  </si>
  <si>
    <t>https://pubmed.ncbi.nlm.nih.gov/25814907</t>
  </si>
  <si>
    <t>The integrated elliptic flow of charged particles produced in Pb+Pb collisions at [Formula: see text] TeV has been measured with the ATLAS detector using data collected at the Large Hadron Collider. The anisotropy parameter, [Formula: see text], was measured in the pseudorapidity range [Formula: see text] with the event-plane method. In order to include tracks with very low transverse momentum [Formula: see text], thus reducing the uncertainty in [Formula: see text] integrated over [Formula: see text], a [Formula: see text] data sample recorded without a magnetic field in the tracking detectors is used. The centrality dependence of the integrated [Formula: see text] is compared to other measurements obtained with higher [Formula: see text] thresholds. The integrated elliptic flow is weakly decreasing with [Formula: see text]. The integrated [Formula: see text] transformed to the rest frame of one of the colliding nuclei is compared to the lower-energy RHIC data.</t>
  </si>
  <si>
    <t>Associations of sugar-containing beverages with asthma prevalence in 11-year-old children: the PIAMA birth cohort.</t>
  </si>
  <si>
    <t>Berentzen, N E; van Stokkom, V L; Gehring, U; Koppelman, G H; Schaap, L A; Smit, H A; Wijga, A H</t>
  </si>
  <si>
    <t>https://pubmed.ncbi.nlm.nih.gov/25117998</t>
  </si>
  <si>
    <t>Recently, a few studies have linked soft drink consumption to increased asthma risk, but the contribution of different types of soft drinks is unknown. We investigated cross-sectional associations between six different types of soft drinks and asthma in 11-year-old children. We analyzed data of 2406 children participating in the Dutch Prevention and Incidence of Asthma and Mite Allergy birth cohort. At age 11, children self-reported consumption of sugar-added drinks, diet drinks, sweetened milk drinks, 100% fruit juice, energy drinks and sport drinks. The definition of asthma was based on parental reports of wheezing, prescription of inhaled corticosteroids and doctor's diagnosis of asthma. The prevalence of asthma in this study was 5.8%. In adjusted logistic regression analyses, asthma risk was increased for high (⩾10 glasses/week (gl/wk) versus low (&lt;4 gl/wk) consumption of 100% fruit juice (odds ratio (OR): 2.09, 95% confidence interval (CI): 1.21-3.60), sugar-added drinks (OR: 1.56, 95%CI: 0.95-2.56) and for very high (&gt;21.5 gl/wk) versus low (&lt;12.5 gl/wk) total sugar-containing beverage (SCB) consumption (OR: 1.91, 95%CI: 1.04-3.48). Consumption of other beverages and consumption of fruit were not associated with increased asthma risk. No evidence for mediation of the observed associations by body mass index was found. This study indicates that high consumption of 100% fruit juice and total SCBs is associated with increased asthma risk in children. The positive association between consumption of 100% fruit juice and asthma is an unexpected finding that needs confirmation in future studies.</t>
  </si>
  <si>
    <t>Suspected cow's milk allergy in everyday general practice: a retrospective cohort study on health care burden and guideline adherence.</t>
  </si>
  <si>
    <t>van den Hoogen, Sharayke C T A; van de Pol, Alma C; Meijer, Yolanda; Toet, Jaap; van Klei, Céline; de Wit, Niek J</t>
  </si>
  <si>
    <t>https://pubmed.ncbi.nlm.nih.gov/25106066</t>
  </si>
  <si>
    <t>Cow's milk allergy (CMA) is the most common food allergy among infants. No data are available on the health care burden of suspected CMA in general practice. This study was conducted to evaluate the burden of suspected CMA in general practice (GP): (a) prevalence, (b) presenting symptoms, (c) diagnostic process, (d) guideline adherence, and (e) dietary measures. A retrospective cohort study was carried out in four Julius Healthcare Centers (JHCs). These JHCs form the core primary care academic network of the department of general practice of the University Medical Center of Utrecht. Electronic records of the first year of infants born May 2009 - April 2010 registered in the JHCs were screened for possible CMA suspicion. Preventive child healthcare (PCH) records were reviewed for additional information. Clinical presentation, diagnostic strategies and dietary measures were extracted. Of 804 infants evaluated, 55 presented with symptoms fitting the suspicion of CMA (prevalence of 7%). Presenting complaints involved the skin (71%); the gastrointestinal tract (60%); the respiratory tract (13%) or other symptoms (36%) and 23 infants presented with symptoms of two or more organ systems. In 31 children (56%) a food challenge was performed (n = 28 open and n = 3 double-blind). Open challenge test results were difficult to interpret due to inadequate implementation or reporting. None had confirmed CMA after an adequate challenge test. Long term milk substitute formulas were prescribed in 39 (71%) infants. On a yearly basis seven percent of children visit their GP for suspected CMA. A positive CMA diagnosis was rarely established after adequate implementation and reporting of diagnostics, yet long term dietary measures were prescribed in &gt;70% of patients. There is definitely need for improvement of diagnosing CMA in primary care.</t>
  </si>
  <si>
    <t>Repeat prescriptions of guideline-based secondary prevention medication in patients with type 2 diabetes and previous myocardial infarction in Dutch primary care.</t>
  </si>
  <si>
    <t>Kasteleyn, Marise J; Wezendonk, Aryan; Vos, Rimke C; Numans, Mattijs E; Jansen, Hanneke; Rutten, Guy E H M</t>
  </si>
  <si>
    <t>https://pubmed.ncbi.nlm.nih.gov/25106412</t>
  </si>
  <si>
    <t>Secondary prevention is efficient in reducing morbidity and mortality after a myocardial infarction (MI). However, both short-term and long-term mortality after MI remains relativity high in type 2 diabetes patients. To evaluate repeat prescriptions of secondary prevention medication (anti-thrombotic agent, beta-blocker and statin) in type 2 diabetes patients with a previous MI. Data of 1009 type 2 diabetes patients with a previous MI were extracted from the Julius General Practitioners' Network database. The proportion of patients with recent repeat prescriptions of guideline-based medication was determined. Furthermore, repeat prescriptions was determined 6 months, 1 year, 2 years and 5 years after MI. Generalized linear models were used to examine changes over time. Multivariate logistic regression analysis was used to analyse the association between patient characteristics and prescription. Only 46% of all type 2 diabetes patients with a previous MI had a recent repeat prescription for all three medicines. An increase in prescription over time was found for statins (P = 0.001). Older aged people [odds ratio (OR): 0.99, 95% confidence interval (CI): 0.98-1.00] were less likely to receive the combination of all three. A substantial proportion of type 2 diabetes patients with a previous MI did not receive guideline-based secondary prevention. Prescription rates were quite stable over time. This study confirms the need for a different approach to achieve an improvement of secondary prevention in type 2 diabetes patient with a previous MI. GPs can play an important role in this respect by being extra alert that prescription occurs according to the guidelines.</t>
  </si>
  <si>
    <t>Diabetes quality management in Dutch care groups and outpatient clinics: a cross-sectional study.</t>
  </si>
  <si>
    <t>Campmans-Kuijpers, Marjo J E; Baan, Caroline A; Lemmens, Lidwien C; Rutten, Guy E H M</t>
  </si>
  <si>
    <t>https://pubmed.ncbi.nlm.nih.gov/25099641</t>
  </si>
  <si>
    <t>In recent years, most Dutch general practitioners started working under the umbrella of diabetes care groups, responsible for the organisation and coordination of diabetes care. The quality management of these new organisations receives growing interest, although its association with quality of diabetes care is yet unclear. The best way to measure quality management is unknown and it has not yet been studied at the level of outpatient clinics or care groups. We aimed to assess quality management of type 2 diabetes care in care groups and outpatient clinics. Quality management was measured with online questionnaires, containing six domains (see below). They were divided into 28 subdomains, with 59 (care groups) and 57 (outpatient clinics) questions respectively. The mean score of the domains reflects the overall score (0-100%) of an organisation. Two quality managers of all Dutch care groups and outpatient clinics were invited to fill out the questionnaire.Sixty care groups (response rate 61.9%) showed a mean score of 59.6% (CI 57.1-62.1%). The average score in 52 outpatient clinics (response rate 50.0%) was 61.9% (CI 57.5-66.8%).Mean scores on the six domains for care groups and outpatient clinics respectively were: 'organisation of care' 71.9% (CI 68.8-74.9%), 76.8% (CI 72.8-80.7%); 'multidisciplinary teamwork' 67.1% (CI 62.4-71.9%), 71.5% (CI 65.3-77.8%); 'patient centeredness' 46.7% (CI 42.6-50.7%), 62.5% (CI 57.7-67.2%); 'performance management' 63.3% (CI 61.2-65.3%), 50.9% (CI 44.2-57.5%); 'quality improvement policy' 52.6% (CI 49.2-56.1%), 50.9% (CI 44.6-57.3%); and 'management strategies' 56.0% (CI 51.4-60.7%), 59.0% (CI 52.8-65.2%). On subdomains, care groups scored highest on 'care program' (83.3%) and 'measured outcomes' (98.3%) and lowest on 'patient safety' (15.1%) and 'patient involvement' (17.7%). Outpatient clinics scored high on the presence of a 'diabetic foot team' (81.6%) and the support in 'self-management' (81.0%) and low on 'patient involvement' (26.8%) and 'inspection of medical file' (28.0%). This nationwide assessment reveals that the level of quality management in diabetes care varies between several subdomains in both diabetes care groups and outpatient clinics.</t>
  </si>
  <si>
    <t>FTO genetic variants, dietary intake and body mass index: insights from 177,330 individuals.</t>
  </si>
  <si>
    <t>Qi, Qibin; Kilpeläinen, Tuomas O; Downer, Mary K; Tanaka, Toshiko; Smith, Caren E; Sluijs, Ivonne; Sonestedt, Emily; Chu, Audrey Y; Renström, Frida; Lin, Xiaochen; Ängquist, Lars H; Huang, Jinyan; Liu, Zhonghua; Li, Yanping; Asif Ali, Muhammad; Xu, Min; Ahluwalia, Tarunveer Singh; Boer, Jolanda M A; Chen, Peng; Daimon, Makoto; Eriksson, Johan; Perola, Markus; Friedlander, Yechiel; Gao, Yu-Tang; Heppe, Denise H M; Holloway, John W; Houston, Denise K; Kanoni, Stavroula; Kim, Yu-Mi; Laaksonen, Maarit A; Jääskeläinen, Tiina; Lee, Nanette R; Lehtimäki, Terho; Lemaitre, Rozenn N; Lu, Wei; Luben, Robert N; Manichaikul, Ani; Männistö, Satu; Marques-Vidal, Pedro; Monda, Keri L; Ngwa, Julius S; Perusse, Louis; van Rooij, Frank J A; Xiang, Yong-Bing; Wen, Wanqing; Wojczynski, Mary K; Zhu, Jingwen; Borecki, Ingrid B; Bouchard, Claude; Cai, Qiuyin; Cooper, Cyrus; Dedoussis, George V; Deloukas, Panos; Ferrucci, Luigi; Forouhi, Nita G; Hansen, Torben; Christiansen, Lene; Hofman, Albert; Johansson, In</t>
  </si>
  <si>
    <t>https://pubmed.ncbi.nlm.nih.gov/25104851</t>
  </si>
  <si>
    <t>FTO is the strongest known genetic susceptibility locus for obesity. Experimental studies in animals suggest the potential roles of FTO in regulating food intake. The interactive relation among FTO variants, dietary intake and body mass index (BMI) is complex and results from previous often small-scale studies in humans are highly inconsistent. We performed large-scale analyses based on data from 177,330 adults (154 439 Whites, 5776 African Americans and 17 115 Asians) from 40 studies to examine: (i) the association between the FTO-rs9939609 variant (or a proxy single-nucleotide polymorphism) and total energy and macronutrient intake and (ii) the interaction between the FTO variant and dietary intake on BMI. The minor allele (A-allele) of the FTO-rs9939609 variant was associated with higher BMI in Whites (effect per allele = 0.34 [0.31, 0.37] kg/m(2), P = 1.9 × 10(-105)), and all participants (0.30 [0.30, 0.35] kg/m(2), P = 3.6 × 10(-107)). The BMI-increasing allele of the FTO variant showed a significant association with higher dietary protein intake (effect per allele = 0.08 [0.06, 0.10] %, P = 2.4 × 10(-16)), and relative weak associations with lower total energy intake (-6.4 [-10.1, -2.6] kcal/day, P = 0.001) and lower dietary carbohydrate intake (-0.07 [-0.11, -0.02] %, P = 0.004). The associations with protein (P = 7.5 × 10(-9)) and total energy (P = 0.002) were attenuated but remained significant after adjustment for BMI. We did not find significant interactions between the FTO variant and dietary intake of total energy, protein, carbohydrate or fat on BMI. Our findings suggest a positive association between the BMI-increasing allele of FTO variant and higher dietary protein intake and offer insight into potential link between FTO, dietary protein intake and adiposity.</t>
  </si>
  <si>
    <t>Normal values of the electrocardiogram for ages 16-90 years.</t>
  </si>
  <si>
    <t>Rijnbeek, Peter R; van Herpen, Gerard; Bots, Michiel L; Man, Sumche; Verweij, Niek; Hofman, Albert; Hillege, Hans; Numans, Matthijs E; Swenne, Cees A; Witteman, Jacqueline C M; Kors, Jan A</t>
  </si>
  <si>
    <t>https://pubmed.ncbi.nlm.nih.gov/25194872</t>
  </si>
  <si>
    <t>To establish an up-to-date and comprehensive set of normal values for the clinically current measurements in the adult ECG, covering all ages for both sexes. The study population included 13,354 individuals, taken from four population studies in The Netherlands, ranging in age from 16 to 90 years (55% men) and cardiologically healthy by commonly accepted criteria. Standard 12-lead ECGs were available for all participants. The ECGs were processed by a well-validated computer program. Normal limits were taken as the 2nd and 98th percentiles of the measurement distribution per age group. Our study corroborates many findings of previous studies, but also provides more differentiated results, in particular for the older age groups. Age trends were apparent for the QTc interval, QRS axis, and indices of left ventricular hypertrophy. Amplitudes in the left precordial leads showed a substantial increase in the older age groups for women, but not for men. Sex-dependent differences were apparent for most ECG parameters. All results are available on the Website www.normalecg.org, both in tabular and in graphical format. We determined age- and sex-dependent normal values of the adult ECG. Our study distinguishes itself from other studies by the large size of the study population, comprising both sexes, the broad range of ages, and the exhaustive set of measurements. Our results emphasize that most diagnostic ECG criteria should be age- and sex-specific.</t>
  </si>
  <si>
    <t>Development and internal validation of a prognostic model for survival after debulking surgery for epithelial ovarian cancer.</t>
  </si>
  <si>
    <t>Rutten, M J; Boldingh, J H L; Schuit, E; Trum, H; van Driel, W; Mol, B W J; Kenter, G G; Buist, M R</t>
  </si>
  <si>
    <t>https://pubmed.ncbi.nlm.nih.gov/25093289</t>
  </si>
  <si>
    <t>Predicting survival of patients with epithelial ovarian cancer (EOC) is based on prognosis of the population. Combining prognostic factors could facilitate survival prediction on the level of the individual patient. The aim of this study was to develop a prognostic model to predict five-year disease specific survival in patients with EOC, and to evaluate whether this would add to prediction based on prognosis of the population. A retrospective cohort study was performed of all EOC patients treated with primary debulking and adjuvant chemotherapy or neo-adjuvant chemotherapy and interval debulking surgery in three gynaecological-oncologic centres between 1998 and 2010. Primary outcome was 5-year disease-specific survival. We developed a Cox proportional hazard model using the LASSO-method to select the best combination of characteristics from 12 potential predictors and to correct for overfitting. Performance of the model was expressed as calibration and discrimination (c-statistic). A nomogram was developed to increase the clinical applicability of the model. Of 840 patients with EOC 462 (55%) died within 5 years due to the disease. A combination of FIGO stage, residual tumour after surgery, primary or interval surgery, histology, performance status, age, amount of ascites and a family history suggestive of breast/ovarian cancer best predicted 5-year survival. The final model showed accurate calibration and the c-statistic was 0.71 (95% CI 0.69-0.74). Five-year survival in all stage EOC patients can be predicted accurately using available characteristics. After external validation the model can be used for counselling of patients.</t>
  </si>
  <si>
    <t>Exploring patient safety culture in primary care.</t>
  </si>
  <si>
    <t>Verbakel, Natasha J; Van Melle, Marije; Langelaan, Maaike; Verheij, Theo J M; Wagner, Cordula; Zwart, Dorien L M</t>
  </si>
  <si>
    <t>https://pubmed.ncbi.nlm.nih.gov/25085256</t>
  </si>
  <si>
    <t>To explore perceptions of safety culture in nine different types of primary care professions and to study possible differences. Cross-sectional survey. Three hundred and thirteen practices from nine types of primary care profession groups in the Netherlands. Professional staff from primary care practices. Nine professions participated: dental care, dietetics, exercise therapy, physiotherapy, occupational therapy, midwifery, anticoagulation clinics, skin therapy and speech therapy. Perceptions of seven patient safety culture dimensions were measured: 'open communication and learning from error', 'handover and teamwork', 'adequate procedures and working conditions', 'patient safety management', 'support and fellowship', 'intention to report events' and 'organizational learning'. Dimension means per profession were presented, and multilevel analyses were used to assess differences between professions. Also the so-called patient safety grade was self-reported. Five hundred and nineteen practices responded (response rate: 24%) of which 313 (625 individual questionnaires) were included for analysis. Overall, patient safety culture was perceived as being positive. Occupational therapy and anticoagulation therapy deviated most from other professions in a negative way, whereas physiotherapy deviated the most in a positive way. In addition, most professions graded their patient safety as positive (mean = 4.03 on a five-point scale). This study showed that patient safety culture in Dutch primary care professions on average is perceived positively. Also, it revealed variety between professions, indicating that a customized approach per profession group might contribute to successful implementation of safety strategies.</t>
  </si>
  <si>
    <t>Predictors of health care use by adults 50 years and over in a rural South African setting.</t>
  </si>
  <si>
    <t>https://pubmed.ncbi.nlm.nih.gov/25087686</t>
  </si>
  <si>
    <t>South Africa's epidemiological transition is characterised by an increasing burden of chronic communicable and non-communicable diseases. However, little is known about predictors of health care use (HCU) for the prevention and control of chronic diseases among older adults. To describe reported health problems and determine predictors of HCU by adults aged 50+ living in a rural sub-district of South Africa. A cross-sectional study to measure HCU was conducted in 2010 in the Agincourt sub-district of Mpumalanga Province, an area underpinned by a robust health and demographic surveillance system. HCU, socio-demographic variables, reception of social grants, and type of medical aid were measured, and compared between responders who used health care services with those who did not. Predictors of HCU were determined by binary logistic regression adjusted for socio-demographic variables. Seventy-five percent of the eligible adults aged 50+ responded to the survey. Average age of the targeted 7,870 older adults was 66 years (95% CI: 65.3, 65.8), and there were more women than men (70% vs. 30%, p&lt;0.001). All 5,795 responders reported health problems, of which 96% used health care, predominantly at public health facilities (82%). Reported health problems were: chronic non-communicable diseases (41% - e.g. hypertension), acute conditions (27% - e.g. flu and fever), other conditions (26% - e.g. musculoskeletal pain), chronic communicable diseases (3% - e.g. HIV and TB), and injuries (3%). In multivariate logistic regression, responders with chronic communicable disease (OR=5.91, 95% CI: 1.44, 24.32) and non-communicable disease (OR=2.85, 95% CI: 1.96, 4.14) had significantly higher odds of using health care compared with those with acute conditions. Responders with six or more years of education had a two-fold increased odds of using health care (OR=2.49, 95% CI: 1.27, 4.86) compared with those with no formal education. Chronic communicable and non-communicable diseases were the most prevalent and main predictors of HCU in this population, suggesting prioritisation of public health care services for chronic diseases among older people in this rural setting.</t>
  </si>
  <si>
    <t>A novel MMP12 locus is associated with large artery atherosclerotic stroke using a genome-wide age-at-onset informed approach.</t>
  </si>
  <si>
    <t>Traylor, Matthew; Mäkelä, Kari-Matti; Kilarski, Laura L; Holliday, Elizabeth G; Devan, William J; Nalls, Mike A; Wiggins, Kerri L; Zhao, Wei; Cheng, Yu-Ching; Achterberg, Sefanja; Malik, Rainer; Sudlow, Cathie; Bevan, Steve; Raitoharju, Emma; ,; Oksala, Niku; Thijs, Vincent; Lemmens, Robin; Lindgren, Arne; Slowik, Agnieszka; Maguire, Jane M; Walters, Matthew; Algra, Ale; Sharma, Pankaj; Attia, John R; Boncoraglio, Giorgio B; Rothwell, Peter M; de Bakker, Paul I W; Bis, Joshua C; Saleheen, Danish; Kittner, Steven J; Mitchell, Braxton D; Rosand, Jonathan; Meschia, James F; Levi, Christopher; Dichgans, Martin; Lehtimäki, Terho; Lewis, Cathryn M; Markus, Hugh S</t>
  </si>
  <si>
    <t>https://pubmed.ncbi.nlm.nih.gov/25078452</t>
  </si>
  <si>
    <t>Genome-wide association studies (GWAS) have begun to identify the common genetic component to ischaemic stroke (IS). However, IS has considerable phenotypic heterogeneity. Where clinical covariates explain a large fraction of disease risk, covariate informed designs can increase power to detect associations. As prevalence rates in IS are markedly affected by age, and younger onset cases may have higher genetic predisposition, we investigated whether an age-at-onset informed approach could detect novel associations with IS and its subtypes; cardioembolic (CE), large artery atherosclerosis (LAA) and small vessel disease (SVD) in 6,778 cases of European ancestry and 12,095 ancestry-matched controls. Regression analysis to identify SNP associations was performed on posterior liabilities after conditioning on age-at-onset and affection status. We sought further evidence of an association with LAA in 1,881 cases and 50,817 controls, and examined mRNA expression levels of the nearby genes in atherosclerotic carotid artery plaques. Secondly, we performed permutation analyses to evaluate the extent to which age-at-onset informed analysis improves significance for novel loci. We identified a novel association with an MMP12 locus in LAA (rs660599; p = 2.5×10⁻⁷), with independent replication in a second population (p = 0.0048, OR(95% CI) = 1.18(1.05-1.32); meta-analysis p = 2.6×10⁻⁸). The nearby gene, MMP12, was significantly overexpressed in carotid plaques compared to atherosclerosis-free control arteries (p = 1.2×10⁻¹⁵; fold change = 335.6). Permutation analyses demonstrated improved significance for associations when accounting for age-at-onset in all four stroke phenotypes (p&lt;0.001). Our results show that a covariate-informed design, by adjusting for age-at-onset of stroke, can detect variants not identified by conventional GWAS.</t>
  </si>
  <si>
    <t>Shifts in the age distribution and from acute to chronic coronary heart disease hospitalizations.</t>
  </si>
  <si>
    <t>Koopman, Carla; Bots, Michiel L; van Dis, Ineke; Vaartjes, Ilonca</t>
  </si>
  <si>
    <t>https://pubmed.ncbi.nlm.nih.gov/25079238</t>
  </si>
  <si>
    <t>Shifts in the burden of coronary heart disease (CHD) from an acute to chronic illness have important public health consequences. To assess age-sex-specific time trends in rates and characteristics of acute and chronic forms of CHD hospital admissions in the Netherlands. Using nationwide Dutch registers, we assessed time trends between 1998 and 2007 in hospitalization rates of 188,266 acute myocardial infarction (AMI, ICD-9 410), 294,374 unstable angina (ICD-9 411, 413) and 205,649 chronic forms of CHD (ICD-9 412, 414) admissions. Between 1998 and 2007, the age-standardized CHD hospitalization rate declined from 688 to 545 per 100,000 in men and from 281 to 229 per 100,000 in women. Overall, hospitalization rates decreased at younger age (&lt;75 years) but increased in very old age (≥85 years). The annual percentage change in hospitalization rates was larger for AMI (men:-5.1%, women:-4.4%) than for unstable angina patients (men:-2.0%, women:-2.0%). For chronic CHD, the average annual percentage change was +0.7% in men and +2.1% in women. The proportion of chronic CHD in the total of CHD admissions increased between 1998 and 2007 from 29% to 36% in men and from 23% to 30% in women. The proportion of AMI decreased from 30% to 24% in men and from 27% to 22% in women. An increasing proportion of Dutch CHD hospital admissions was for chronic forms of CHD. The age at hospitalization was pushed towards older age: premature CHD admission declined over time and admission rates at very old age increased.</t>
  </si>
  <si>
    <t>Added value of hybrid myocardial perfusion SPECT and CT coronary angiography in the diagnosis of coronary artery disease.</t>
  </si>
  <si>
    <t>Schaap, Jeroen; de Groot, Joris A H; Nieman, Koen; Meijboom, W Bob; Boekholdt, S Matthijs; Kauling, Robert M; Post, Martijn C; Van der Heyden, Jan A; de Kroon, Thom L; Rensing, Benno J W M; Moons, Karel G M; Verzijlbergen, J Fred</t>
  </si>
  <si>
    <t>https://pubmed.ncbi.nlm.nih.gov/25073595</t>
  </si>
  <si>
    <t>Hybrid single photon emission computed tomography (SPECT)/coronary computed tomography angiography (CCTA) has only been evaluated for its diagnostic accuracy as a single test in patients suspected of significant coronary artery disease (CAD). Added value of hybrid SPECT/CCTA beyond usual clinical work-up, or use of each of these tests separately, remains unclear. We evaluated the added value of hybrid myocardial perfusion SPECT (SPECT) and CCTA, beyond pre-test likelihood and exercise stress ECG (X-ECG), in the diagnosis of CAD. Two hundred and five patients with stable angina pectoris and intermediate-to-high pre-test likelihood were prospectively included. All patients underwent clinical history and examination, X-ECG, stress and rest SPECT, coronary calcium scoring (CCS) and CCTA. Fractional flow reserve measurement &lt;0.80 or a lesion &gt;50% on coronary angiography (CA) served as reference standard for significant CAD. Multiple imputation was used to correct for missing test results (17-20%). Added value of hybrid SPECT/CCTA to the basic model of pre-test likelihood plus X-ECG was quantified using logistic regression analysis. Model differences were then assessed using differences in C-index and in net reclassification improvement (NRI). The basic model had a C-index of 0.73 (95%CI 0.66-0.80). This significantly increased to 0.85 (95%CI 0.80-0.91) by addition of only SPECT, to 0.90 (95%CI 0.85-0.94) when adding only CCTA, and to 0.96 (95%CI 0.92-0.99) when adding hybrid SPECT/CCTA. The accompanying NRIs were 0.82 (95%CI 0.62-1.02), 0.86 (95%CI 0.66-1.06) and 1.57 (95%CI 1.11-1.59) respectively. Current analysis resembles clinical routine of layered testing and shows that hybrid SPECT/CCTA imaging has a substantially higher yield than standalone SPECT or CCTA in the diagnostic workup of patients suspected of significant CAD.</t>
  </si>
  <si>
    <t>Extracellular vesicle protein CD14 relates to common carotid intima-media thickness in eight-year-old children.</t>
  </si>
  <si>
    <t>Eikendal, Anouk L M; den Ruijter, Hester M; Uiterwaal, Cuno S P M; Pasterkamp, Gerard; Hoefer, Imo E; de Kleijn, Dominique P V; Schoneveld, Arjan H; Leiner, Tim; Bots, Michiel L; Visseren, Frank L J; Evelein, Annemieke M V</t>
  </si>
  <si>
    <t>https://pubmed.ncbi.nlm.nih.gov/25108076</t>
  </si>
  <si>
    <t>Atherosclerosis is a process that begins in childhood, develops over decades and underlies the majority of cardiovascular events in adulthood. Previously, we demonstrated in adults with cardiovascular disease that levels of extracellular vesicle (EV) proteins CD14, Serpin F2 and cystatin C predict vascular outcome. Here, we study for the first time whether these EV proteins are related to vascular characteristics in healthy, young children. In 141 eight-year old children of the Wheezing-Illnesses-Studie-LEidsche-Rijn birth cohort, anthropometrics and blood pressure were measured. In addition, common carotid intima-media thickness, carotid distensibility and carotid Young's elastic modulus were obtained non-invasively using ultrasound imaging. A fasting lipid spectrum was obtained and EVs were isolated from plasma. Levels of EV proteins CD14, Serpin F2 and cystatin C were measured using a multiplex assay. In a multivariable linear regression model we assessed the relation between these EV proteins and the selected vascular characteristics. Of the studied EV proteins, CD14 levels were positively related to common carotid intima-media thickness (log transformed, beta = 7.31 ln(mm)/(ng/mg) (1.24, 13.38), p = 0.02). EV proteins Serpin F2 and cystatin C were not related to common carotid intima-media thickness. In addition, we found no relation between all three EV proteins and carotid distensibility or carotid Young's elastic modulus. In healthy eight-year old children, extracellular vesicle protein CD14 levels seem positively related to common carotid intima-media thickness. This would point towards inflammatory vascular alterations inflicted by extracellular vesicle protein CD14 already in early life and warrants further investigation.</t>
  </si>
  <si>
    <t>Quantifying the benefits of achieving or maintaining long-term low risk profile for cardiovascular disease: The Doetinchem Cohort Study.</t>
  </si>
  <si>
    <t>Hulsegge, Gerben; Smit, Henriëtte A; van der Schouw, Yvonne T; Daviglus, Martha L; Verschuren, W M Monique</t>
  </si>
  <si>
    <t>https://pubmed.ncbi.nlm.nih.gov/25059931</t>
  </si>
  <si>
    <t>Studies investigating the relation between risk profiles and cardiovascular disease have measured risk at baseline only. We investigated maintenance and changes of risk profiles over time and their potential impact on incident cardiovascular disease. Population-based cohort study. Risk factors were measured at baseline (1987-1991) among 5574 cardiovascular disease-free adults aged 20-59 years. They were classified into four risk categories according to smoking status, presence of diabetes and widely accepted cut-off values for blood pressure, total cholesterol/HDL-ratio and body mass index. Categories were subdivided (maintenance, deterioration, improvement) based on risk factor levels at six and 11 years of follow-up. Multivariable-adjusted hazard ratios (HRs) and 95% confidence intervals (95% CIs) for cardiovascular disease incidence 5-10 years following the risk-change period were fitted using Cox proportional hazards models. Only 12% of participants were low risk at baseline, and only 7% maintained it. Participants who maintained a low risk profile over 11 years had seven times lower risk of cardiovascular disease (HR: 0.14, 95% CI: 0.05-0.41) than participants with long-term high risk profile, whereas those low risk at baseline whose profile deteriorated had three times lower risk (HR: 0.36, 95% CI: 0.18-0.71). Our results suggest that, within each baseline risk profile group, compared with a stable profile, improving profiles may be associated with up to two-fold lower HRs, and deteriorating profiles with about two-fold higher HRs. Our study, using long-term risk profiles, demonstrates the full benefits of low risk profile. These findings underscore the importance of achieving and maintaining low risk from young adulthood onwards.</t>
  </si>
  <si>
    <t>Systematic overview finds variation in approaches to investigating and reporting on sources of heterogeneity in systematic reviews of diagnostic studies.</t>
  </si>
  <si>
    <t>Naaktgeboren, Christiana A; van Enst, Wynanda A; Ochodo, Eleanor A; de Groot, Joris A H; Hooft, Lotty; Leeflang, Mariska M; Bossuyt, Patrick M; Moons, Karel G M; Reitsma, Johannes B</t>
  </si>
  <si>
    <t>https://pubmed.ncbi.nlm.nih.gov/25063558</t>
  </si>
  <si>
    <t>To examine how authors explore and report on sources of heterogeneity in systematic reviews of diagnostic accuracy studies. A cohort of systematic reviews of diagnostic tests was systematically identified. Data were extracted on whether an exploration of the sources of heterogeneity was undertaken, how this was done, the number and type of potential sources explored, and how results and conclusions were reported. Of the 65 systematic reviews, 12 did not perform a meta-analysis and eight of these gave heterogeneity between studies as a reason. Of the 53 reviews containing a meta-analysis, 40 explored potential sources of heterogeneity in a formal manner and 27 identified at least one source of heterogeneity. The reviews not investigating heterogeneity were smaller than those that did (median [interquartile range {IQR}], 8 [5-15] vs. 14 [11-19] primary studies). Twelve reviews performed a sensitivity analysis, 25 stratified analyses, and 19 metaregression. Many sources of heterogeneity were explored compared with the number of primary studies in a meta-analysis (median ratio, 1:5). Review authors placed importance on the exploration of sources of heterogeneity; 37 mentioned the exploration or the findings thereof in the abstract or conclusion of the main text.results Methods for investigating sources of heterogeneity varied widely between reviews. Based on our findings of the review, we made suggestions on what to consider and report on when exploring sources of heterogeneity in systematic reviews of diagnostic studies.</t>
  </si>
  <si>
    <t>Exploring patients' views of primary care consultations with contrasting interventions for acute cough: a six-country European qualitative study.</t>
  </si>
  <si>
    <t>Tonkin-Crine, Sarah; Anthierens, Sibyl; Francis, Nick A; Brugman, Curt; Fernandez-Vandellos, Patricia; Krawczyk, Jaroslaw; Llor, Carl; Yardley, Lucy; Coenen, Samuel; Godycki-Cwirko, Maciek; Butler, Christopher C; Verheij, Theo J M; Goossens, Herman; Little, Paul; Cals, Jochen W; ,</t>
  </si>
  <si>
    <t>https://pubmed.ncbi.nlm.nih.gov/25030621</t>
  </si>
  <si>
    <t>In a pan-European randomised controlled trial (GRACE INTRO) of two interventions, (i) a point-of-care C-reactive protein test and/or (ii) training in communication skills and use of an interactive patient booklet, both interventions resulted in large reductions in antibiotic prescribing for acute cough. This process evaluation explored patients' views of primary care consultations using the two interventions in six European countries. Sixty-two interviews were conducted with patients who had participated in the GRACE INTRO trial. Interviews were transcribed verbatim and translated into English where necessary. Analysis used techniques from thematic and framework analysis. Most patients were satisfied with their consultation despite many not receiving an antibiotic. Patients appeared to accept the use of both intervention approaches. A minority, but particularly in the trial arm with both interventions, reported that they would wait longer before consulting for cough in future. Patients perceived that both interventions supported the general practitioner's (GP's) prescribing decisions by helping them understand when an antibiotic was, and was not, needed. Patients consulting with acute cough had largely positive views about the GP's enhanced communication skills, which included understanding their concerns, and the use of a near-patient test as an additional investigation.</t>
  </si>
  <si>
    <t>Avoid surgery as first line treatment for non-specific low back pain.</t>
  </si>
  <si>
    <t>Peul, Wilco C; Bredenoord, Annelien L; Jacobs, Wilco C H</t>
  </si>
  <si>
    <t>https://pubmed.ncbi.nlm.nih.gov/25030631</t>
  </si>
  <si>
    <t>Comparison of the Framingham Risk Score, SCORE and WHO/ISH cardiovascular risk prediction models in an Asian population.</t>
  </si>
  <si>
    <t>Selvarajah, Sharmini; Kaur, Gurpreet; Haniff, Jamaiyah; Cheong, Kee Chee; Hiong, Tee Guat; van der Graaf, Yolanda; Bots, Michiel L</t>
  </si>
  <si>
    <t>https://pubmed.ncbi.nlm.nih.gov/25070380</t>
  </si>
  <si>
    <t>Cardiovascular risk-prediction models are used in clinical practice to identify and treat high-risk populations, and to communicate risk effectively. We assessed the validity and utility of four cardiovascular risk-prediction models in an Asian population of a middle-income country. Data from a national population-based survey of 14,863 participants aged 40 to 65 years, with a follow-up duration of 73,277 person-years was used. The Framingham Risk Score (FRS), SCORE (Systematic COronary Risk Evaluation)-high and -low cardiovascular-risk regions and the World Health Organization/International Society of Hypertension (WHO/ISH) models were assessed. The outcome of interest was 5-year cardiovascular mortality. Discrimination was assessed for all models and calibration for the SCORE models. Cardiovascular risk factors were highly prevalent; smoking 20%, obesity 32%, hypertension 55%, diabetes mellitus 18% and hypercholesterolemia 34%. The FRS and SCORE models showed good agreement in risk stratification. The FRS, SCORE-high and -low models showed good discrimination for cardiovascular mortality, areas under the ROC curve (AUC) were 0.768, 0.774 and 0.775 respectively. The WHO/ISH model showed poor discrimination, AUC=0.613. Calibration of the SCORE-high model was graphically and statistically acceptable for men (χ(2) goodness-of-fit, p=0.097). The SCORE-low model was statistically acceptable for men (χ(2) goodness-of-fit, p=0.067). Both SCORE-models underestimated risk in women (p&lt;0.001). The FRS and SCORE-high models, but not the WHO/ISH model can be used to identify high cardiovascular risk in the Malaysian population. The SCORE-high model predicts risk accurately in men but underestimated it in women.</t>
  </si>
  <si>
    <t>Electron reconstruction and identification efficiency measurements with the ATLAS detector using the 2011 LHC proton-proton collision data.</t>
  </si>
  <si>
    <t xml:space="preserve">,; Aad, G; Abajyan, T; Abbott, B; Abdallah, J; Khalek, S Abdel; Abdinov, O; Aben, R; Abi, B; Abolins, M; AbouZeid, O S; Abramowicz, H; Abreu, H; Abulaiti, Y; Acharya, B S; Adamczyk, L; Adams, D L; Addy, T N; Adelman, J; Adomeit, S; Adye, T; Agatonovic-Jovin, T; Aguilar-Saavedra, J A; Agustoni, M; Ahlen, S P; Ahmad, A; Ahmadov, F; Aielli, G; Åkesson, T P A; Akimoto, G; Akimov, A V; Albert, J; Albrand, S; Verzini, M J Alconada; Aleksa, M; Aleksandrov, I N; Alexa, C; Alexander, G; Alexandre, G; Alexopoulos, T; Alhroob, M; Alimonti, G; Alio, L; Alison, J; Allbrooke, B M M; Allison, L J; Allport, P P; Allwood-Spiers, S E; Almond, J; Aloisio, A; Alon, R; Alonso, A; Alonso, F; Alpigiani, C; Altheimer, A; Gonzalez, B Alvarez; Alviggi, M G; Amako, K; Coutinho, Y Amaral; Amelung, C; Amidei, D; Ammosov, V V; Santos, S P Amor Dos; Amorim, A; Amoroso, S; Amram, N; Amundsen, G; Anastopoulos, C; Ancu, L S; Andari, N; Andeen, T; Anders, C F; Anders, G; Anderson, K J; Andreazza, A; Andrei, V; Anduaga, </t>
  </si>
  <si>
    <t>https://pubmed.ncbi.nlm.nih.gov/25814900</t>
  </si>
  <si>
    <t>Many of the interesting physics processes to be measured at the LHC have a signature involving one or more isolated electrons. The electron reconstruction and identification efficiencies of the ATLAS detector at the LHC have been evaluated using proton-proton collision data collected in 2011 at [Formula: see text] TeV and corresponding to an integrated luminosity of 4.7 fb[Formula: see text]. Tag-and-probe methods using events with leptonic decays of [Formula: see text] and [Formula: see text] bosons and [Formula: see text] mesons are employed to benchmark these performance parameters. The combination of all measurements results in identification efficiencies determined with an accuracy at the few per mil level for electron transverse energy greater than 30 GeV.</t>
  </si>
  <si>
    <t>Testosterone, sex hormone-binding globulin and the metabolic syndrome in men: an individual participant data meta-analysis of observational studies.</t>
  </si>
  <si>
    <t>Brand, Judith S; Rovers, Maroeska M; Yeap, Bu B; Schneider, Harald J; Tuomainen, Tomi-Pekka; Haring, Robin; Corona, Giovanni; Onat, Altan; Maggio, Marcello; Bouchard, Claude; Tong, Peter C Y; Chen, Richard Y T; Akishita, Masahiro; Gietema, Jourik A; Gannagé-Yared, Marie-Hélène; Undén, Anna-Lena; Hautanen, Aarno; Goncharov, Nicolai P; Kumanov, Philip; Chubb, S A Paul; Almeida, Osvaldo P; Wittchen, Hans-Ulrich; Klotsche, Jens; Wallaschofski, Henri; Völzke, Henry; Kauhanen, Jussi; Salonen, Jukka T; Ferrucci, Luigi; van der Schouw, Yvonne T</t>
  </si>
  <si>
    <t>https://pubmed.ncbi.nlm.nih.gov/25019163</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</si>
  <si>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</si>
  <si>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Adherence to dietary guidelines and cardiovascular disease risk in the EPIC-NL cohort.</t>
  </si>
  <si>
    <t>Struijk, Ellen A; May, Anne M; Wezenbeek, Nick L W; Fransen, Heidi P; Soedamah-Muthu, Sabita S; Geelen, Anouk; Boer, Jolanda M A; van der Schouw, Yvonne T; Bueno-de-Mesquita, H Bas; Beulens, Joline W J</t>
  </si>
  <si>
    <t>https://pubmed.ncbi.nlm.nih.gov/25107447</t>
  </si>
  <si>
    <t>Global and national dietary guidelines have been created to lower chronic disease risk. The aim of this study was to assess whether greater adherence to the WHO guidelines (Healthy Diet Indicator (HDI)); the Dutch guidelines for a healthy diet (Dutch Healthy Diet-index (DHD-index)); and the Dietary Approaches to Stop Hypertension (DASH) diet was associated with a lower risk of cardiovascular disease (CVD), coronary heart disease (CHD) or stroke. A prospective cohort study was conducted among 33,671 healthy Dutch men and women aged 20-70 years recruited into the EPIC-NL study during 1993-1997. We used Cox regression adjusted for relevant confounders to estimate the hazard ratios per standard deviation increase in score and 95% confidence intervals (CI) of the associations between the dietary guidelines and CVD, CHD and stroke risk. After an average follow-up of 12.2 years, 2752 CVD cases were documented, including 1630 CHD cases and 527 stroke cases. We found no association between the HDI (0.98, 95% CI 0.94; 1.02) or DHD-index (0.96, 95% CI 0.92; 1.00) and CVD incidence. Similar results were found for these guidelines and CHD or stroke incidence. Higher adherence to the DASH diet was significantly associated with a lower CVD (0.92, 95% CI 0.89; 0.96), CHD (0.91, 95% CI 0.86; 0.95), and stroke (0.90, 95% CI 0.82; 0.99) risk. The HDI and the DHD-index were not associated with CVD risk, while the DASH diet was significantly associated with a lower risk of developing CVD, CHD and stroke.</t>
  </si>
  <si>
    <t>Antibiotic rotation strategies to reduce antimicrobial resistance in Gram-negative bacteria in European intensive care units: study protocol for a cluster-randomized crossover controlled trial.</t>
  </si>
  <si>
    <t>van Duijn, Pleun J; Bonten, Marc J M</t>
  </si>
  <si>
    <t>https://pubmed.ncbi.nlm.nih.gov/25011604</t>
  </si>
  <si>
    <t>Intensive care units (ICU) are epicenters for the emergence of antibiotic-resistant Gram-negative bacteria (ARGNB) because of high rates of antibiotic usage, rapid patient turnover, immunological susceptibility of acutely ill patients, and frequent contact between healthcare workers and patients, facilitating cross-transmission.Antibiotic stewardship programs are considered important to reduce antibiotic resistance, but the effectiveness of strategies such as, for instance, antibiotic rotation, have not been determined rigorously. Interpretation of available studies on antibiotic rotation is hampered by heterogeneity in implemented strategies and suboptimal study designs. In this cluster-randomized, crossover trial the effects of two antibiotic rotation strategies, antibiotic mixing and cycling, on the prevalence of ARGNB in ICUs are determined. Antibiotic mixing aims to create maximum antibiotic heterogeneity, and cycling aims to create maximum antibiotic homogeneity during consecutive periods. This is an open cluster-randomized crossover study of mixing and cycling of antibiotics in eight ICUs in five European countries. During cycling (9 months) third- or fourth-generation cephalosporins, piperacillin-tazobactam and carbapenems will be rotated during consecutive 6-week periods as the primary empiric treatment in patients suspected of infection caused by Gram-negative bacteria. During mixing (9 months), the same antibiotics will be rotated for each consecutive antibiotic course. Both intervention periods will be preceded by a baseline period of 4 months. ICUs will be randomized to consecutively implement either the mixing and then cycling strategy, or vice versa. The primary outcome is the ICU prevalence of ARGNB, determined through monthly point-prevalence screening of oropharynx and perineum. Secondary outcomes are rates of acquisition of ARGNB, bacteremia and appropriateness of therapy, length of stay in the ICU and ICU mortality. Results will be adjusted for intracluster correlation, and patient- and ICU-level variables of case-mix and infection-prevention measures using advanced regression modeling. This trial will determine the effects of antibiotic mixing and cycling on the unit-wide prevalence of ARGNB in ICUs. ClinicalTrials.gov NCT01293071 December 2010.</t>
  </si>
  <si>
    <t>Association between alcohol and cardiovascular disease: Mendelian randomisation analysis based on individual participant data.</t>
  </si>
  <si>
    <t>Holmes, Michael V; Dale, Caroline E; Zuccolo, Luisa; Silverwood, Richard J; Guo, Yiran; Ye, Zheng; Prieto-Merino, David; Dehghan, Abbas; Trompet, Stella; Wong, Andrew; Cavadino, Alana; Drogan, Dagmar; Padmanabhan, Sandosh; Li, Shanshan; Yesupriya, Ajay; Leusink, Maarten; Sundstrom, Johan; Hubacek, Jaroslav A; Pikhart, Hynek; Swerdlow, Daniel I; Panayiotou, Andrie G; Borinskaya, Svetlana A; Finan, Chris; Shah, Sonia; Kuchenbaecker, Karoline B; Shah, Tina; Engmann, Jorgen; Folkersen, Lasse; Eriksson, Per; Ricceri, Fulvio; Melander, Olle; Sacerdote, Carlotta; Gamble, Dale M; Rayaprolu, Sruti; Ross, Owen A; McLachlan, Stela; Vikhireva, Olga; Sluijs, Ivonne; Scott, Robert A; Adamkova, Vera; Flicker, Leon; Bockxmeer, Frank M van; Power, Christine; Marques-Vidal, Pedro; Meade, Tom; Marmot, Michael G; Ferro, Jose M; Paulos-Pinheiro, Sofia; Humphries, Steve E; Talmud, Philippa J; Mateo Leach, Irene; Verweij, Niek; Linneberg, Allan; Skaaby, Tea; Doevendans, Pieter A; Cramer, Maarten J; van der H</t>
  </si>
  <si>
    <t>https://pubmed.ncbi.nlm.nih.gov/25011450</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</si>
  <si>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</si>
  <si>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Sample size calculations in pediatric clinical trials conducted in an ICU: a systematic review.</t>
  </si>
  <si>
    <t>Nikolakopoulos, Stavros; Roes, Kit C B; van der Lee, Johanna H; van der Tweel, Ingeborg</t>
  </si>
  <si>
    <t>https://pubmed.ncbi.nlm.nih.gov/25004909</t>
  </si>
  <si>
    <t>At the design stage of a clinical trial, several assumptions have to be made. These usually include guesses about parameters that are not of direct interest but must be accounted for in the analysis of the treatment effect and also in the sample size calculation (nuisance parameters, e.g. the standard deviation or the control group event rate). We conducted a systematic review to investigate the impact of misspecification of nuisance parameters in pediatric randomized controlled trials conducted in intensive care units. We searched MEDLINE through PubMed. We included all publications concerning two-arm RCTs where efficacy assessment was the main objective. We included trials with pharmacological interventions. Only trials with a dichotomous or a continuous outcome were included. This led to the inclusion of 70 articles describing 71 trials. In 49 trial reports a sample size calculation was reported. Relative misspecification could be calculated for 28 trials, 22 with a dichotomous and 6 with a continuous primary outcome. The median [inter-quartile range (IQR)] overestimation was 6.9 [-12.1, 57.8]% for the control group event rate in trials with dichotomous outcomes and -1.5 [-15.3, 5.1]% for the standard deviation in trials with continuous outcomes. Our results show that there is room for improvement in the clear reporting of sample size calculations in pediatric clinical trials conducted in ICUs. Researchers should be aware of the importance of nuisance parameters in study design and in the interpretation of the results.</t>
  </si>
  <si>
    <t>Improving the transparency of prognosis research: the role of reporting, data sharing, registration, and protocols.</t>
  </si>
  <si>
    <t>Peat, George; Riley, Richard D; Croft, Peter; Morley, Katherine I; Kyzas, Panayiotis A; Moons, Karel G M; Perel, Pablo; Steyerberg, Ewout W; Schroter, Sara; Altman, Douglas G; Hemingway, Harry; ,</t>
  </si>
  <si>
    <t>https://pubmed.ncbi.nlm.nih.gov/25003600</t>
  </si>
  <si>
    <t>George Peat and colleagues review and discuss current approaches to transparency and published debates and concerns about efforts to standardize prognosis research practice, and make five recommendations. &lt;i&gt;Please see later in the article for the Editors' Summary&lt;/i&gt;</t>
  </si>
  <si>
    <t>Prediction of asymptomatic carotid artery stenosis in the general population: identification of high-risk groups.</t>
  </si>
  <si>
    <t>de Weerd, Marjolein; Greving, Jacoba P; Hedblad, Bo; Lorenz, Matthias W; Mathiesen, Ellisiv B; O'Leary, Daniel H; Rosvall, Maria; Sitzer, Matthias; de Borst, Gert Jan; Buskens, Erik; Bots, Michiel L</t>
  </si>
  <si>
    <t>https://pubmed.ncbi.nlm.nih.gov/24994719</t>
  </si>
  <si>
    <t>Because of a low prevalence of severe carotid stenosis in the general population, screening for presence of asymptomatic carotid artery stenosis (ACAS) is not warranted. Possibly, for certain subgroups, screening is worthwhile. The present study aims to develop prediction rules for the presence of ACAS (&gt;50% and &gt;70%). Individual participant data from 4 population-based cohort studies (Malmö Diet and Cancer Study, Tromsø Study, Carotid Atherosclerosis Progression Study, and Cardiovascular Health Study; totaling 23 706 participants) were pooled. Multivariable logistic regression was performed to determine which variables predict presence of ACAS (&gt;50% and &gt;70%). Calibration and discrimination of the models were assessed, and bootstrapping was used to correct for overfitting. Age, sex, history of vascular disease, systolic and diastolic blood pressure, total cholesterol/high-density lipoprotein ratio, diabetes mellitus, and current smoking were predictors of stenosis (&gt;50% and &gt;70%). The calibration of the model was good confirmed by a nonsignificant Hosmer and Lemeshow test for moderate (P=0.59) and severe stenosis (P=0.07). The models discriminated well between participants with and without stenosis, with an area under the receiver operating characteristic curve corrected for over optimism of 0.82 (95% confidence interval, 0.80-0.84) for moderate stenosis and of 0.87 (95% confidence interval, 0.85-0.90) for severe stenosis. The regression coefficients of the predictors were converted into a score chart to facilitate practical application. A clinical prediction rule was developed that allows identification of subgroups with high prevalence of moderate (&gt;50%) and severe (&gt;70%) ACAS. When confirmed in comparable cohorts, application of the prediction rule may lead to a reduction in the number needed to screen for ACAS.</t>
  </si>
  <si>
    <t>Using evidence to combat overdiagnosis and overtreatment: evaluating treatments, tests, and disease definitions in the time of too much.</t>
  </si>
  <si>
    <t>Moynihan, Ray; Henry, David; Moons, Karel G M</t>
  </si>
  <si>
    <t>https://pubmed.ncbi.nlm.nih.gov/24983872</t>
  </si>
  <si>
    <t>Ray Moynihan and colleagues outline suggestions for improving the way that medical evidence is produced, analysed, and interpreted to avoid problems of overdiagnosis and overtreatment. &lt;i&gt;Please see later in the article for the Editors' Summary&lt;/i&gt;</t>
  </si>
  <si>
    <t>The differential production cross section of the [Formula: see text](1020) meson in [Formula: see text] = 7 TeV [Formula: see text] collisions measured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</si>
  <si>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t>
  </si>
  <si>
    <t>https://pubmed.ncbi.nlm.nih.gov/25814898</t>
  </si>
  <si>
    <t>A measurement is presented of the [Formula: see text] production cross section at [Formula: see text] = 7 TeV using [Formula: see text] collision data corresponding to an integrated luminosity of 383 [Formula: see text], collected with the ATLAS experiment at the LHC. Selection of [Formula: see text](1020) mesons is based on the identification of charged kaons by their energy loss in the pixel detector. The differential cross section is measured as a function of the transverse momentum, [Formula: see text], and rapidity, [Formula: see text], of the [Formula: see text](1020) meson in the fiducial region 500 [Formula: see text] 1200 MeV, [Formula: see text] 0.8, kaon [Formula: see text] 230 MeV and kaon momentum [Formula: see text] 800 MeV. The integrated [Formula: see text]-meson production cross section in this fiducial range is measured to be [Formula: see text] = 570 [Formula: see text] 8 (stat) [Formula: see text] 66 (syst) [Formula: see text] 20 (lumi) [Formula: see text].</t>
  </si>
  <si>
    <t>Rs964184 (APOA5-A4-C3-A1) is related to elevated plasma triglyceride levels, but not to an increased risk for vascular events in patients with clinically manifest vascular disease.</t>
  </si>
  <si>
    <t>van de Woestijne, Anton P; van der Graaf, Yolanda; de Bakker, Paul I W; Asselbergs, Folkert W; Spiering, Wilko; Visseren, Frank L J; ,</t>
  </si>
  <si>
    <t>https://pubmed.ncbi.nlm.nih.gov/24979386</t>
  </si>
  <si>
    <t>Single nucleotide polymorphisms in the APOA5-A4-C3-A1 gene complex are associated with elevated plasma triglycerides and elevated vascular risk in healthy populations. In patients with clinically manifest vascular disease, hypertriglyceridemia and metabolic syndrome are frequently present, but the contribution of these single nucleotide polymorphisms to plasma triglycerides, effect modification by obesity and risk of recurrent vascular events is unknown in these patients. Prospective cohort study of 5547 patients with vascular disease. Rs964184 (APOA5-A4-C3-A1 gene complex) was genotyped, and we evaluated the relation with plasma lipid levels, presence of metabolic syndrome and the risk for new vascular events. The minor allele of rs964184 was strongly associated with log plasma triglycerides (β 0.12; 95%CI 0.10-0.15, p = 1.1*10(-19)), and was also associated with 0.03 mmol/L lower high-density lipoprotein-cholesterol (95%CI 0.01-0.04), and 0.14 mmol/L higher non-high-density lipoprotein-cholesterol (95%CI 0.09-0.20). The minor allele frequency increased from 10.9% in patients with plasma triglycerides &lt;1 mmol/L to 24.6% in patients with plasma triglycerides between 4 and 10 mmol/L. The relation between rs964184 and plasma triglycerides was modified by body mass index in patients with one minor allele (β 0.02; (95%CI -0.04-0.09) if body mass index &lt;24 kg/m2, β 0.17 (95%CI 0.12-0.22) if body mass index &gt;27 kg/m2, p for interaction = 0.02). The prevalence of the metabolic syndrome increased from 52% for patients with two copies of the major allele to 62% for patients with two copies of the minor allele (p = 0.01). Rs964184 was not related with recurrent vascular events (HR 0.99; 95%CI 0.86-1.13). The single nucleotide polymorphism rs964184 (APOA5-A4-C3-A1) is associated with elevated plasma triglycerides concentrations in patients with clinically manifest vascular disease. In carriers of one minor allele, the effect on plasma triglycerides was modified by body mass index. There is no relation between rs964184 and recurrent vascular events in these patients.</t>
  </si>
  <si>
    <t>The importance of actual tumor growth rate on disease free survival and overall survival in laryngeal squamous cell carcinoma.</t>
  </si>
  <si>
    <t>van Bockel, Liselotte W; Verduijn, Gerda M; Monninkhof, Evelyn M; Pameijer, Frank A; Terhaard, Chris H J</t>
  </si>
  <si>
    <t>https://pubmed.ncbi.nlm.nih.gov/24993330</t>
  </si>
  <si>
    <t>Evaluation of the variation in tumor growth rate and the influence of tumor growth rate on disease free survival (DFS) and overall survival (OS) in laryngeal squamous cell carcinoma (LSCC). We delineated tumor volume on a diagnostic and planning CT scan in 131 patients with laryngeal squamous cell carcinoma and calculated the tumor growth rate. Primary endpoint was DFS. Follow up data were collected retrospectively. A large variation in tumor growth rate was seen. When dichotomized with a cut-off point of -0.3 ln(cc/day), we found a significant association between high growth rate and worse DFS (p = 0.008) and OS (p = 0.013). After stepwise adjustment for potential confounders (age, differentiation and tumor volume) this significant association persisted. However, after adjustment of N-stage association disappeared. Exploratory analyses suggested a strong association between N-stage and tumor growth rate. In laryngeal squamous cell carcinoma, there is a large variation in tumor growth rate. This tumor growth rate seems to be an important factor in disease free survival and OS. This tumor growth rate is independent of age, differentiation and tumor volume associated with DFS, but N-stage seems to be a more important risk factor.</t>
  </si>
  <si>
    <t>The influence of vascular risk factors on cognitive decline in patients with Alzheimer's disease.</t>
  </si>
  <si>
    <t>Blom, Kim; Vaartjes, Ilonca; Peters, Sanne A E; Koek, Huiberdina L</t>
  </si>
  <si>
    <t>https://pubmed.ncbi.nlm.nih.gov/25059438</t>
  </si>
  <si>
    <t>The influence of vascular risk factors (VRFs) on the rate of cognitive decline in patients with established dementia is unclear. This study aims to examine the association between VRFs and the rate of cognitive decline in patients with Alzheimer's disease (AD). Data were obtained from patients visiting a memory clinic between 2004 and 2012. VRFs were determined at baseline and included hypertension, hypercholesterolemia, diabetes mellitus, overweight and smoking. Continuous values of blood pressure, total cholesterol, glucose level and body mass index were also obtained. Mini-Mental State Exam (MMSE) scores were obtained at baseline and during follow-up visits. The association between VRFs and the annual change in MMSE scores was analysed with a multivariable linear mixed model adjusted for age, sex and the aforementioned VRFs. From 174 patients (mean age 78.3 years), with a follow-up time up to 5.8 years (mean 1.1 year), in total 447 MMSE scores were obtained. The multivariable analyses showed an association between age as well as systolic blood pressure and a decline in annual rates of change in MMSE scores of -0.05 (95% confidence interval (CI): -0.09 to 0.00) and -0.01 (CI: -0.03 to 0.00), respectively. For all other VRFs, including sex, patients did not show a significant difference. This study did not find an association between preventable vascular risk factors and cognitive decline in patients with AD, except for systolic blood pressure. As the association between systolic blood pressure and decline in MMSE was small, clinical relevance may be limited.</t>
  </si>
  <si>
    <t>Development and internal validation of a prognostic model to predict recurrence free survival in patients with adult granulosa cell tumors of the ovary.</t>
  </si>
  <si>
    <t>van Meurs, Hannah S; Schuit, Ewoud; Horlings, Hugo M; van der Velden, Jacobus; van Driel, Willemien J; Mol, Ben Willem J; Kenter, Gemma G; Buist, Marrije R</t>
  </si>
  <si>
    <t>https://pubmed.ncbi.nlm.nih.gov/24983647</t>
  </si>
  <si>
    <t>Models to predict the probability of recurrence free survival exist for various types of malignancies, but a model for recurrence free survival in individuals with an adult granulosa cell tumor (GCT) of the ovary is lacking. We aimed to develop and internally validate such a prognostic model. We performed a multicenter retrospective cohort study of patients with a GCT. Demographic, clinical and pathological information were considered as potential predictors. Univariable and multivariable analyses were performed using a Cox proportional hazards model. Using backward stepwise selection we identified the combination of predictors that best predicted recurrence free survival. Discrimination (c-statistic) and calibration were used to assess model performance. The model was internally validated using bootstrapping techniques to correct for overfitting. To increase clinical applicability of the model we developed a nomogram to allow individual prediction of recurrence free survival. We identified 127 patients with a GCT (median follow-up time was 131 months (IQR 70-215)). Recurrence of GCT occurred in 81 out of 127 patients (64%). The following four variables jointly best predicted recurrence free survival; clinical stage, Body Mass Index (BMI), tumor diameter and mitotic index. The model had a c-statistic of 0.73 (95% CI 0.66-0.80) and showed accurate calibration. Recurrence free survival in patients with an adult GCT of the ovary can be accurately predicted by a combination of BMI, clinical stage, tumor diameter and mitotic index. The introduced nomogram could facilitate in counseling patients and may help to guide patients and caregivers in joint decisions on post-treatment surveillance.</t>
  </si>
  <si>
    <t>Impact of early daycare on healthcare resource use related to upper respiratory tract infections during childhood: prospective WHISTLER cohort study.</t>
  </si>
  <si>
    <t>de Hoog, Marieke L A; Venekamp, Roderick P; van der Ent, Cornelis K; Schilder, Anne; Sanders, Elisabeth Am; Damoiseaux, Roger Amj; Bogaert, Debby; Uiterwaal, Cuno Spm; Smit, Henriette A; Bruijning-Verhagen, Patricia</t>
  </si>
  <si>
    <t>https://pubmed.ncbi.nlm.nih.gov/24965189</t>
  </si>
  <si>
    <t>Daycare attendance is an established risk factor for upper respiratory tract infections (URTI) and acute otitis media (AOM). Whether this results in higher use of healthcare resources during childhood remains unknown. We aim to assess the effect of first year daycare attendance on the timing and use of healthcare resources for URTI and AOM episodes during early childhood. In the Wheezing-Illnesses-STudy-LEidsche-Rijn birth cohort, 2,217 children were prospectively followed up to age six years. Children were categorized according to first-year daycare attendance (yes versus no) and age at entry when applicable (age 0 to 2 months, 3 to 5 months and 6 to 12 months). Information on general practitioner (GP) diagnosed URTI and AOM, GP consultations, antibiotic prescriptions and specialist referral was collected from medical records. Daycare attendance was recorded by monthly questionnaires during the first year of life. First-year daycare attendees and non-attendees had similar total six-year rates of GP-diagnosed URTI and AOM episodes (59/100 child-years, 95% confidence interval 57 to 61 versus 56/100 child-years, 53 to 59). Daycare attendees had more GP-diagnosed URTI and AOM episodes before the age of one year and fewer beyond the age of four years than non-attendees (Pinteraction &lt;0.001). Daycare attendees had higher total six-year rates for GP consultation (adjusted rate ratio 1.15, 1.00 to 1.31) and higher risk for specialist referrals (hazard ratio: 1.43, 1.01 to 2.03). The number of antibiotic prescriptions in the first six years of life was only significantly increased among children who entered daycare between six to twelve months of age (rate ratio 1.32, 1.04 to 1.67). This subgroup of child-care attendees also had the highest overall URTI and AOM incidence rates, GP consultation rates and risk for specialist referral. Children who enter daycare in the first year of life, have URTI and AOM at an earlier age, leading to higher use of healthcare resources compared to non-attendees, especially when entering daycare between six to twelve months. These findings emphasize the need for improved prevention strategies in daycare facilities to lower infection rates at the early ages.</t>
  </si>
  <si>
    <t>Safety information on QT-interval prolongation: comparison of European Union and United States drug labeling.</t>
  </si>
  <si>
    <t>Warnier, Miriam J; Holtkamp, Frank A; Rutten, Frans H; Hoes, Arno W; de Boer, Anthonius; Mol, Peter G M; De Bruin, Marie L</t>
  </si>
  <si>
    <t>https://pubmed.ncbi.nlm.nih.gov/24973646</t>
  </si>
  <si>
    <t>Prolongation of the QT interval can predispose to fatal ventricular arrhythmias. Differences in QT-labeling language can result in miscommunication and suboptimal risk mitigation. We systematically compared the phraseology used to communicate on QT-prolonging properties of 144 drugs newly approved (1st January 2006 to 1st June 2012) in the European Union (EU) and the United States (US), of which 66 mentioned the term 'QT' (two EU only, 28 US only, 36 both). The agreement between authorities about the message on QT prolongation (does not prolong, unclear, possibly prolongs, prolongs) was moderate (kappa 0.434). However, the agreement in expected clinical decisions based on the product labels was much higher (kappa 0.673). The US drug label tends to be more explicit, especially when it considers absence of QT effects.</t>
  </si>
  <si>
    <t>Thromboxane prostaglandin receptor antagonist and carotid atherosclerosis progression in patients with cerebrovascular disease of ischemic origin: a randomized controlled trial.</t>
  </si>
  <si>
    <t>Bots, Michiel L; Ford, Ian; Lloyd, Suzanne M; Laurent, Stephane; Touboul, Pierre J; Hennerici, Michael G; ,</t>
  </si>
  <si>
    <t>https://pubmed.ncbi.nlm.nih.gov/25070960</t>
  </si>
  <si>
    <t>Thromboxane prostaglandin receptors have been implicated to be involved in the atherosclerotic process. We assessed whether Terutroban, a thromboxane prostaglandin receptor antagonist, affects the progression of atherosclerosis, as measured by common carotid intima-media thickness and carotid plaques. A substudy was performed among 1141 participants of the aspirin-controlled Prevention of Cerebrovascular and Cardiovascular Events of Ischemic Origin with Terutroban in Patients with a History of Ischemic Stroke or Transient Ischemic Attack (PERFORM) trial. Common carotid intima-media thickness and carotid plaque occurrence was measured during a 3-year period. Baseline characteristics did not differ between Terutroban (n=592) and aspirin (n=549) treated patients and were similar as in the main study. Mean study and treatment duration were similar (28 and 25 months, respectively). In the Terutroban group, the annualized rate of change in common carotid intima-media thickness was 0.006 mm per year (95% confidence interval, -0.004 to 0.016) and -0.005 mm per year (95% confidence interval, -0.015 to 0.005) in the aspirin group. There was no statistically significant difference between the groups in the annualized rate of change of common carotid intima-media thickness (0.011 mm per year; 95% confidence interval, -0.003 to 0.025). At 12 months of follow-up, 66% of Terutroban patients had no emergent plaques, 31% had 1 to 2 emergent plaques, and 3% had ≥3 emergent plaques. In the aspirin group, the corresponding percentages were 64%, 32%, and 4%. Over time, there was no statistically significant difference in the number of emergent carotid plaques between treatment modalities (rate ratio, 0.91; 95% confidence interval, 0.77-1.07). Compared with aspirin, Terutroban did not beneficially affect progression of carotid atherosclerosis among well-treated patients with a history of ischemic stroke or transient ischemic attacks with an internal carotid stenosis &lt;70%. http://www.controlled-trials.com. Unique identifier: ISRCTN66157730.</t>
  </si>
  <si>
    <t>Influence of APOE-2 genotype on the relation between adiposity and plasma lipid levels in patients with vascular disease.</t>
  </si>
  <si>
    <t>Koopal, C; van der Graaf, Y; Asselbergs, F W; Westerink, J; Visseren, F L J; ,</t>
  </si>
  <si>
    <t>https://pubmed.ncbi.nlm.nih.gov/24946908</t>
  </si>
  <si>
    <t>Apolipoprotein E (APOE) genotypes are associated with different plasma lipid levels. People with the APO ɛ2 genotype can develop a disorder called dysbetalipoproteinemia (DBL). A possible predisposing factor for DBL is adiposity. We evaluated whether and to what extent the APOE genotype modifies the relation between adiposity and lipids in patients with manifest arterial disease and we looked at possible determinants of DBL in ɛ2 homo- and heterozygote patients. This prospective cohort study was performed in 5450 patients with manifest arterial disease from the Secondary Manifestations of ARTerial disease (SMART) study. The APOE genotype was measured in all patients and revealed 58 ɛ2 homozygotes, 663 ɛ2 heterozygotes, 3181 ɛ3 homozygotes and 1548 ɛ4 carriers. The main dependent variable was non-high-density lipoprotein cholesterol (non-HDL-c). The relation between adiposity (including body mass index (BMI), waist circumference (waist), visceral adipose tissue (VAT) and metabolic syndrome (MetS)) and lipids was evaluated with linear regression analyses. Determinants of DBL were evaluated using logistic regression. There was significant effect modification by the APOE genotype on the relation between non-HDL-c and BMI, waist, VAT and MetS. There was an association between BMI and non-HDL-c in ɛ2 homozygotes (β 0.173, 95% confidence interval (CI) 0.031-0.314, P=0.018) and ɛ4 carriers (β 0.033, 95% CI 0.020-0.046, P&lt;0.001). In all genotypes, there was an effect of waist, VAT and MetS on non-HDL-c, but these effects were most distinct in ɛ2 homozygotes (waist β 0.063, 95% CI 0.015-0.110, P=0.011; VAT β 0.580, 95% CI 0.270-0.889, P=0.001; MetS β 1.760, 95% CI 0.668-2.852, P=0.002). Determinants of DBL in ɛ2 homo- and heterozygotes were VAT and MetS. The APOE genotype modifies the relation between adiposity and plasma lipid levels in patients with vascular disease. The relation between adiposity and lipids is present in all patients, but it is most distinct in ɛ2 homozygote patients. Abdominal fat and MetS are determinants of DBL.</t>
  </si>
  <si>
    <t>Screen time, adiposity and cardiometabolic markers: mediation by physical activity, not snacking, among 11-year-old children.</t>
  </si>
  <si>
    <t>Berentzen, N E; Smit, H A; van Rossem, L; Gehring, U; Kerkhof, M; Postma, D S; Boshuizen, H C; Wijga, A H</t>
  </si>
  <si>
    <t>https://pubmed.ncbi.nlm.nih.gov/24946910</t>
  </si>
  <si>
    <t>There is evidence for a relation of TV viewing with adiposity and increased cardiometabolic risk factors in children and adolescents. It is unclear to what extent this relation is mediated by snacking and lack of physical activity. We determined whether associations of screen time with adiposity and cardiometabolic markers were mediated by these behaviours. Children from a population-representative Dutch birth cohort (n=1447) reported screen time and other lifestyle factors by a questionnaire around the age of 11 years (range 10-14) and had anthropometry and cardiometabolic markers measured around the age of 12 years (range 12-14). Adjusted associations of screen time with snacking, physical activity, adiposity and cardiometabolic markers (total-to-high-density lipoprotein cholesterol (TC/HDLC) ratio, blood pressure, glycated haemoglobin) were assessed by using formal mediation analysis. We tested the hypothesized paths by structural equation modeling, which allows quantification of the indirect effects associated with potential mediators. Children with ⩾20 h screen time per week consumed more snacks (1.9 vs 1.3 portions per day) and were less physically active (4.3 vs 4.8 days per week) than children with maximum 6 h screen time. Screen time was directly associated with higher adiposity (standardized β=0.10-0.12 depending on the outcome, P&lt;0.001), and indirectly through less physical activity. The association of screen time with TC/HDLC ratio was almost completely mediated by adiposity (β=0.39, P&lt;0.0001), and to a minor extent by physical activity (β=-0.06, P=0.02). There was no direct association of screen time with TC/HDLC ratio. The adverse association of screen time with adiposity was partly mediated by physical activity, but not by snacking. The association of screen time with TC/HDLC ratio was almost completely mediated by adiposity. Our results may suggest that future efforts in society and public health should be directed to replace screen time with physical activity for reducing children's adiposity and cardiometabolic risk.</t>
  </si>
  <si>
    <t>Circulating desphospho-uncarboxylated matrix γ-carboxyglutamate protein and the risk of coronary heart disease and stroke.</t>
  </si>
  <si>
    <t>Dalmeijer, G W; van der Schouw, Y T; Magdeleyns, E J; Vermeer, C; Verschuren, W M M; Boer, J M A; Beulens, J W J</t>
  </si>
  <si>
    <t>https://pubmed.ncbi.nlm.nih.gov/24826813</t>
  </si>
  <si>
    <t>High vitamin K intake is associated with a reduced risk of coronary heart disease (CHD). This is thought to be mediated by increased activation of the vitamin K-dependent matrix γ-carboxyglutamate protein (MGP). Desphospho-uncarboxylated MGP (dp-ucMGP) is associated with both vitamin K status and vascular calcification. However, the association of dp-ucMGP with CHD and stroke in the general population has not been investigated to date. To investigate the association of dp-ucMGP with incident CHD or stroke. A prospective case-cohort study with a representative baseline sample of 1406 participants and 1154 and 380 incident cases of CHD and stroke, respectively, was nested within the EPIC-NL study. Circulating dp-ucMGP levels were measured with ELISA in baseline plasma samples. The incidence rates of fatal and non-fatal CHD and stroke were obtained by linkage to national registers. Cox proportional hazard models were used to calculate hazard ratios (HRs) per standard deviation (SD) and per quartile of circulating dp-ucMGP levels. The average follow-up was 11.5 years. Levels of dp-ucMGP were not associated with CHD risk, with an HR per SD of 1.00 (95% confidence interval [CI] 0.93-1.07) and an HRQ4 vs. Q1 of 0.94 (95% CI 0.79-1.13) after adjustment for cardiovascular risk factors. There was no association of dp-ucMGP stroke risk (HRSD  0.98, 95% CI 0.90-1.08; and HRQ4 vs. Q1  1.09, 95% CI 0.78-1.51). This study could not confirm that high dp-ucMGP levels, reflecting poor vitamin K status, are associated with increased CHD or stroke risk in the general population.</t>
  </si>
  <si>
    <t>Dietary intake of acrylamide and endometrial cancer risk in the European Prospective Investigation into Cancer and Nutrition cohort.</t>
  </si>
  <si>
    <t>Obón-Santacana, M; Kaaks, R; Slimani, N; Lujan-Barroso, L; Freisling, H; Ferrari, P; Dossus, L; Chabbert-Buffet, N; Baglietto, L; Fortner, R T; Boeing, H; Tjønneland, A; Olsen, A; Overvad, K; Menéndez, V; Molina-Montes, E; Larrañaga, N; Chirlaque, M-D; Ardanaz, E; Khaw, K-T; Wareham, N; Travis, R C; Lu, Y; Merritt, M A; Trichopoulou, A; Benetou, V; Trichopoulos, D; Saieva, C; Sieri, S; Tumino, R; Sacerdote, C; Galasso, R; Bueno-de-Mesquita, H B; Wirfält, E; Ericson, U; Idahl, A; Ohlson, N; Skeie, G; Gram, I T; Weiderpass, E; Onland-Moret, N C; Riboli, E; Duell, E J</t>
  </si>
  <si>
    <t>https://pubmed.ncbi.nlm.nih.gov/24937665</t>
  </si>
  <si>
    <t>Three prospective studies have evaluated the association between dietary acrylamide intake and endometrial cancer (EC) risk with inconsistent results. The objective of this study was to evaluate the association between acrylamide intake and EC risk: for overall EC, for type-I EC, and in never smokers and never users of oral contraceptives (OCs). Smoking is a source of acrylamide, and OC use is a protective factor for EC risk. Cox regression was used to estimate hazard ratios (HRs) for the association between acrylamide intake and EC risk in the European Prospective Investigation into Cancer and Nutrition (EPIC) cohort. Acrylamide intake was estimated from the EU acrylamide monitoring database, which was matched with EPIC questionnaire-based food consumption data. Acrylamide intake was energy adjusted using the residual method. No associations were observed between acrylamide intake and overall EC (n=1382) or type-I EC risk (n=627). We observed increasing relative risks for type-I EC with increasing acrylamide intake among women who both never smoked and were non-users of OCs (HRQ5vsQ1: 1.97, 95% CI: 1.08-3.62; likelihood ratio test (LRT) P-value: 0.01, n=203). Dietary intake of acrylamide was not associated with overall or type-I EC risk; however, positive associations with type I were observed in women who were both non-users of OCs and never smokers.</t>
  </si>
  <si>
    <t>Socioeconomic inequalities in stroke incidence among migrant groups: analysis of nationwide data.</t>
  </si>
  <si>
    <t>Agyemang, Charles; van Oeffelen, Aloysia A; Norredam, Marie; Kappelle, L Jaap; Klijn, Catharina J M; Bots, Michiel L; Stronks, Karien; Vaartjes, Ilonca</t>
  </si>
  <si>
    <t>https://pubmed.ncbi.nlm.nih.gov/24938846</t>
  </si>
  <si>
    <t>Low socioeconomic status has been linked to high incidence of stroke in industrialized countries; therefore, reducing socioeconomic disparities is an important goal of health policy. The evidence on migrant groups is, however, limited and inconsistent. We assessed socioeconomic inequalities in relation to stroke incidence among major ethnic groups in the Netherlands. A nationwide register-based cohort study was conducted (n=2 397 446) between January 1, 1998, and December 31, 2010, among ethnic Dutch and ethnic minority groups. Standardized disposable household income was used as a measure of socioeconomic position. Among ethnic Dutch, the incidence of stroke was higher in the low-income group than in the high-income group (adjusted hazard ratio, 1.18; 95% confidence interval, 1.16-1.20). Similar socioeconomic inequalities in stroke incidence were found among Surinamese (1.36; 1.17-1.58), Indonesians (1.15; 1.03-1.28), Moroccans (1.54; 0.97-2.43), Turkish (1.19; 0.97-1.46), and to a lesser extent among Antilleans (1.24; 0.84-1.84). When compared with ethnic Dutch, the incidence of stroke was lower in Moroccans, similar in Turkish, but higher in Surinamese among all income groups. The incidence of stroke was higher in Indonesian low- and high-income groups than in their ethnic Dutch counterparts. Among Antilleans, the risk of stroke was higher than ethnic Dutch but only in the low-income group. Our findings reveal socioeconomic inequalities in stroke incidence among all ethnic groups. Reduction of socioeconomic inequalities in stroke incidence among all ethnic groups may lead to a major public health improvement for all. Policy measures tackling socioeconomic inequalities should take into account the increased risk of stroke among ethnic minority populations.</t>
  </si>
  <si>
    <t>Global brain atrophy but not hippocampal atrophy is related to type 2 diabetes.</t>
  </si>
  <si>
    <t>Wisse, Laura E M; de Bresser, Jeroen; Geerlings, Mirjam I; Reijmer, Yael D; Portegies, Marileen L P; Brundel, Manon; Kappelle, L Jaap; van der Graaf, Yolanda; Biessels, Geert Jan; ,; ,</t>
  </si>
  <si>
    <t>https://pubmed.ncbi.nlm.nih.gov/24958596</t>
  </si>
  <si>
    <t>It has been suggested that in patients with type 2 diabetes mellitus (T2DM), brain atrophy is most pronounced in the hippocampus, but this has not been investigated systematically. The present pooled analysis of three studies examined if hippocampal atrophy is more prominent than global brain atrophy in patients with T2DM relative to controls. Data were derived from a cohort study of patients with vascular disease (SMART-Medea (T2DM=120; no T2DM=502)), and from two case-control studies (UDES1 (T2DM=61; controls=30) and UDES2 (T2DM=54; controls=53)). In SMART-Medea and UDES1, hippocampal volume was obtained by manual tracing on 1.5 Tesla (T) MRI scans. Total brain and intracranial volume (ICV) were determined by an automated segmentation method. In UDES2, hippocampal and total brain volume were determined by FreeSurfer and ICV by manual segmentation on 3 T MRI scans. The pooled analyses, adjusted for age and sex, showed a significant negative relation between T2DM and total brain-to-ICV ratio (standardized mean difference=-1.24%, 95% CI: -1.63; -0.86), but not between T2DM and hippocampal-to-ICV ratio (0.00%, 95% CI: -0.01; 0.00) or between T2DM and hippocampal-to-total brain volume ratio (0.01%, 95% CI: -0.01; 0.02). In patients with T2DM no associations were found between brain volume measures and HbA1c or memory. Patients with T2DM had greater brain atrophy but not hippocampal atrophy, compared to controls. These findings do not support specific vulnerability of the hippocampus in patients with T2DM.</t>
  </si>
  <si>
    <t>Measurements of four-lepton production at the Z resonance in pp collisions at sqrt[s] = 7 and 8 TeV with ATLAS.</t>
  </si>
  <si>
    <t>Aad, G; Abbott, B; Abdallah, J; Abdel Khalek, S; Abdinov, O; Aben, R; Abi, B; Abolins, M; AbouZeid, O S; Abramowicz, H; Abreu, H; Abreu, R; Abulaiti, Y; Acharya, B S; Adamczyk, L; Adams, D L; Adelman, J; Adomeit, S; Adye, T; Agatonovic-Jovin, T; Aguilar-Saavedra, J A; Agustoni, M; Ahlen, S P; Ahmad, A; Ahmadov, F; Aielli, G; Akerstedt, H; Åkesson, T P A; Akimoto, G; Akimov, A V; Alberghi, G L;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t>
  </si>
  <si>
    <t>https://pubmed.ncbi.nlm.nih.gov/24972200</t>
  </si>
  <si>
    <t>Measurements of four-lepton (4ℓ, ℓ=e,μ) production cross sections at the Z resonance in pp collisions at the LHC with the ATLAS detector are presented. For dilepton and four-lepton invariant mass regions m(ℓ+ℓ(-)) &gt; 5 GeV and 80&lt;m(4ℓ) &lt; 100 GeV, the measured cross sections are 76 ± 18(stat) ± 4(syst) ± 1.4(lumi) fb and 107 ± 9(stat) ± 4(syst) ± 3.0(lumi) fb at sqrt[s] = 7 and 8 TeV, respectively. By subtracting the nonresonant 4ℓ production contributions and normalizing with Z → μ(+)μ(-) events, the branching fraction for the Z boson decay to 4ℓ is determined to be (3.20 ± 0.25(stat) ± 0.13(syst)) × 10(-6), consistent with the standard model prediction.</t>
  </si>
  <si>
    <t>COPD detected with screening: impact on patient management and prognosis.</t>
  </si>
  <si>
    <t>Bertens, Loes C M; Reitsma, Johannes B; van Mourik, Yvonne; Lammers, Jan-Willem J; Moons, Karel G M; Hoes, Arno W; Rutten, Frans H</t>
  </si>
  <si>
    <t>https://pubmed.ncbi.nlm.nih.gov/24925924</t>
  </si>
  <si>
    <t>It is uncertain whether screening of older persons for chronic obstructive pulmonary disease (COPD) is worthwhile because the effects on patient management and prognosis are unknown. We aimed to assess the short-term consequences of detecting COPD in frail elderly subjects with dyspnoea, considering pulmonary drug use, hospitalisations and all-cause mortality. Community-dwelling frail elderly subjects, aged 65 years and older, with dyspnoea, participating in a screening study on COPD and heart failure were included. Final diagnoses were assigned by an expert panel based on all data from the screening strategy, including spirometry. Follow-up data were collected from the general practitioners. Of the 386 patients, 84 (21.8%) were received a new diagnosis of COPD. Overall, changes in pulmonary drug prescription during 6 months of follow-up were infrequent (n = 53, 13.7%; among new cases of COPD, 15 (17.9%) out of 84). Of all participants, 25.9% were hospitalised in the first year of follow-up, with the highest rate in patients with newly detected COPD (32.1%). Many new cases of COPD could be detected by screening frail elderly subjects with dyspnoea, but the impact on patient management seems limited. Our study underlines the importance of obtaining follow-up data to assess the true impact of a (screen-detected) diagnosis of COPD on patient management and outcome.</t>
  </si>
  <si>
    <t>No evidence for a protective effect of naturally induced HPV antibodies on subsequent anogenital HPV infection in HIV-negative and HIV-infected MSM.</t>
  </si>
  <si>
    <t>Mooij, Sofie H; Landén, Olivia; van der Klis, Fiona R M; van der Sande, Marianne A B; de Melker, Hester E; Coutinho, Roel A; van Eeden, Arne; van Rooijen, Martijn S; Meijer, Chris J L M; Schim van der Loeff, Maarten F</t>
  </si>
  <si>
    <t>https://pubmed.ncbi.nlm.nih.gov/24931579</t>
  </si>
  <si>
    <t>To assess whether HPV serum antibodies detected after natural infection protect against subsequent anal or penile infection with the same HPV type in HIV-negative and HIV-infected men who have sex with men (MSM). MSM aged ≥18 years were recruited in Amsterdam, the Netherlands (2010-2011), and followed-up semi-annually. Antibodies against 7 high-risk HPV types in baseline serum samples were tested using a multiplex immunoassay; baseline, 6-, and 12-month anal and penile samples were tested for HPV DNA and genotyped using the SPF10-PCR DEIA/LiPA25 system (version 1). Statistical analyses were performed using the Wei-Lin-Weissfeld method. 719 MSM (median age 40 years; IQR 35-48) with baseline and follow-up data were included in these analyses; 287 (40%) were HIV-infected. HPV seropositivity at baseline was not significantly associated with subsequent type-specific HPV infection at 6 or 12 months in multivariable analyses (for anal infection adjusted hazard ratio (aHR) 1.2; 95% CI 0.9-1.6; for penile infection aHR 0.8; 95% CI 0.6-1.2). High antibody concentrations showed no protective effect against subsequent infection either. In a population of highly sexually active, adult MSM, naturally induced HPV antibodies may not protect MSM against subsequent anal or penile HPV infection within one year.</t>
  </si>
  <si>
    <t>Age and sex based reference values for incidental coronary artery and thoracic aorta calcifications on routine clinical chest CT: a powerful tool to appreciate available imaging findings.</t>
  </si>
  <si>
    <t>Jairam, Pushpa M; de Jong, Pim A; Mali, Willem P Th M; Gondrie, Martijn J A; Jacobs, Peter C A; van der Graaf, Yolanda; ,</t>
  </si>
  <si>
    <t>https://pubmed.ncbi.nlm.nih.gov/24956527</t>
  </si>
  <si>
    <t>To establish age and gender specific reference values for incidental coronary artery and thoracic aorta calcification scores on routine diagnostic CT scans. These reference values can aid in structured reporting and interpretation of readily available imaging data by chest CT readers in routine practice. A random sample of 1572 (57% male, median age 61 years) was taken from a study population of 12,063 subjects who underwent diagnostic chest CT for non-cardiovascular indications between January 2002 and December 2005. Coronary artery and thoracic aorta calcifications were graded using a validated ordinal score. The 25th, 50th and 75th percentile cut points were calculated for the coronary artery and thoracic aorta calcification scores within each age/gender stratum. The 75th percentile cut points for coronary artery calcification scores were higher for men than for women across all age groups, with the exception of the lowest age group. The 75th percentile cut points for thoracic aorta calcifications scores were comparable for both genders across all age groups. Based on the obtained age and gender reference values a calculation tool is provided, that allows one to enter an individual's age, gender and calcification scores to obtain the corresponding estimated percentiles. The calculation tool as provided in this study can be used in daily practice by CT readers to examine whether a subject has high calcifications scores relative to others with the same age and gender.</t>
  </si>
  <si>
    <t>Prognosis after a first hospitalisation for acute myocardial infarction and congestive heart failure by country of birth.</t>
  </si>
  <si>
    <t>van Oeffelen, A A M; Agyemang, C; Stronks, K; Bots, M L; Vaartjes, I</t>
  </si>
  <si>
    <t>https://pubmed.ncbi.nlm.nih.gov/24914061</t>
  </si>
  <si>
    <t>To investigate differences in 28-day and 5-year mortality and 5-year readmission after a first hospitalisation for acute myocardial infarction (AMI) and congestive heart failure (CHF) between first generation ethnic minority groups (henceforth, migrants) and the ethnic Dutch population. Nationwide prospective cohorts of first hospitalised AMI (N=213 630) and CHF patients (N=189 069) between 1998 and 2010 were built. Differences in 28-day and 5-year mortality and in 5-year AMI/CHF readmission between migrants (Surinamese, Moroccan, Turkish, Antillean, Indonesian, Chinese and South Asian) and the ethnic Dutch population were investigated using Cox proportional hazard regression models. After the first AMI hospitalisation, mortality and AMI/CHF readmission were higher in the majority of migrant groups compared with ethnic Dutch. For example, HRs (adjusted for age, sex, marital status, degree of urbanisation and year of event) with 95% CIs among Surinamese (mainly of African or South-Asian origin) were 1.16 (1.02 to 1.32) for 28-day mortality, 1.44 (1.30 to 1.60) for 5-year mortality, 1.33 (1.08 to 1.63) for AMI readmission and 2.09 (1.82 to 2.40) for CHF readmission. After a first CHF hospitalisation, mortality rates among migrants were more diverse, with lower 28-day mortality among Moroccan and Turkish migrants and higher 5-year mortality among Surinamese, Chinese and South Asians. Readmission after CHF was often higher among migrant groups. Prognosis after a first AMI hospitalisation was worse among most migrant groups compared with the ethnic Dutch population. Ethnic inequalities in prognosis after a first CHF hospitalisation were more diverse. Efforts should be made to disentangle the underlying factors of the results.</t>
  </si>
  <si>
    <t>The complexity after simplicity: how to proceed with renal denervation in hypertension?</t>
  </si>
  <si>
    <t>Blankestijn, Peter J; Alings, Marco; Voskuil, Michiel; Grobbee, Diederick E</t>
  </si>
  <si>
    <t>https://pubmed.ncbi.nlm.nih.gov/24914028</t>
  </si>
  <si>
    <t>Influence of duration and dose of metformin on cobalamin deficiency in type 2 diabetes patients using metformin.</t>
  </si>
  <si>
    <t>Beulens, Joline W J; Hart, Huberta E; Kuijs, Ron; Kooijman-Buiting, Antoinette M J; Rutten, Guy E H M</t>
  </si>
  <si>
    <t>https://pubmed.ncbi.nlm.nih.gov/24908579</t>
  </si>
  <si>
    <t>Metformin use is associated with cobalamin (vitamin B12) deficiency. However, the influence of both duration and dose of metformin is unclear. Studies using holotranscobalamin, a marker for cellular cobalamin deficiency, are scarce. We therefore investigated the prevalence of cobalamin deficiency in type 2 diabetes patients using both markers, and its relation with duration and dose of metformin use. This cross-sectional study among 550 type 2 diabetes patients using metformin (mean daily dose 1,306 mg; mean duration 64 months) was conducted in four primary care centers in Utrecht, the Netherlands. Cobalamin and holotranscobalamin concentrations were measured at the annual diabetes check. Detailed information on metformin use and confounding variables was collected from medical records. The prevalence of a cobalamin deficiency was 28.1 %, while a holotranscobalamin deficiency occurred in 3.9 % of the patients. Adjusting for multiple confounders, a 1 mg/day increase in daily metformin dose was associated (p &lt; 0.001) with 0.042 (95 % CI -0.060, -0.023) decrease in cobalamin concentrations. Similarly, a 10 g increase of cumulative metformin dose was associated (p = 0.006) with -0.070 (-0.12, -0.021) lower cobalamin concentrations after adjustment for confounders. Duration of metformin use was not associated with cobalamin concentrations after multivariable adjustment. Similar results were observed for holotranscobalamin. Cobalamin deficiency occurs frequently among diabetes patients using metformin. A higher daily and cumulative doses of metformin were strongly associated with lower cobalamin and holotranscobalamin concentrations, while duration was not. It is thus important to account for metformin dose in recommendations for screening for cobalamin deficiency.</t>
  </si>
  <si>
    <t>Do subclinical vascular abnormalities precede impaired physical ability and ADL disability?</t>
  </si>
  <si>
    <t>den Ouden, Marjolein E M; Schuurmans, Marieke J; Mueller-Schotte, Sigrid; Bots, Michiel L; van der Schouw, YvonneT</t>
  </si>
  <si>
    <t>https://pubmed.ncbi.nlm.nih.gov/24909353</t>
  </si>
  <si>
    <t>Cardiovascular disease is an important cause of disability in activities of daily living (ADL) through its effect on physical functioning. However, it is unclear whether subclinical vascular abnormalities and rate of change in subclinical vascular abnormalities is also associated with an impaired physical ability and with ADL disability. In a longitudinal study, 490 middle-aged and older persons were included. Physical ability was measured using the Short Physical Performance Battery and ADL disability using a questionnaire on self-reported basic and instrumental ADL. Subclinical vascular abnormalities were measured by pulse wave velocity (PWV) and carotid intima media thickness (CIMT, in men only). Longitudinal associations between baseline markers of subclinical vascular abnormalities, their rate of change, and change in physical ability or ADL disability were assessed using generalized estimation equation models. After adjustment for confounders, higher baseline PWV, change in PWV, baseline CIMT (in men) and change in CIMT (in men) were associated with a higher rate of change in physical ability (regression coefficients 0.035, 95% CI [0.018; 0.052]; 0.047, 95% CI [0.024; 0.069]; 0.214, 95% CI [0.070; 0.358] and 0.148, 95% CI [0.019; 0.277], respectively). No relations were found for change in ADL disability. In subjects with incident cardiovascular disease, higher change in PWV was associated with a higher rate of change in ADL disability (regression coefficient 0.054, 95% CI [0.001; 0.106]). The present study showed that subclinical vascular abnormalities and rate of change were associated with higher rate of change in physical ability. The association between (change in) subclinical vascular abnormalities and ADL disability tended to be stronger in persons with incident and prevalent cardiovascular disease. These data may suggest that ADL decline is more a direct effect of experienced clinically manifest vascular events rather than the effect of progression of subclinical vascular abnormalities.</t>
  </si>
  <si>
    <t>Nutrient patterns and their food sources in an International Study Setting: report from the EPIC study.</t>
  </si>
  <si>
    <t>Moskal, Aurelie; Pisa, Pedro T; Ferrari, Pietro; Byrnes, Graham; Freisling, Heinz; Boutron-Ruault, Marie-Christine; Cadeau, Claire; Nailler, Laura; Wendt, Andrea; Kühn, Tilman; Boeing, Heiner; Buijsse, Brian; Tjønneland, Anne; Halkjær, Jytte; Dahm, Christina C; Chiuve, Stephanie E; Quirós, Jose R; Buckland, Genevieve; Molina-Montes, Esther; Amiano, Pilar; Huerta Castaño, José M; Gurrea, Aurelio Barricarte; Khaw, Kay-Tee; Lentjes, Marleen A; Key, Timothy J; Romaguera, Dora; Vergnaud, Anne-Claire; Trichopoulou, Antonia; Bamia, Christina; Orfanos, Philippos; Palli, Domenico; Pala, Valeria; Tumino, Rosario; Sacerdote, Carlotta; de Magistris, Maria Santucci; Bueno-de-Mesquita, H Bas; Ocké, Marga C; Beulens, Joline W J; Ericson, Ulrika; Drake, Isabel; Nilsson, Lena M; Winkvist, Anna; Weiderpass, Elisabete; Hjartåker, Anette; Riboli, Elio; Slimani, Nadia</t>
  </si>
  <si>
    <t>https://pubmed.ncbi.nlm.nih.gov/24901309</t>
  </si>
  <si>
    <t>Compared to food patterns, nutrient patterns have been rarely used particularly at international level. We studied, in the context of a multi-center study with heterogeneous data, the methodological challenges regarding pattern analyses. We identified nutrient patterns from food frequency questionnaires (FFQ) in the European Prospective Investigation into Cancer and Nutrition (EPIC) Study and used 24-hour dietary recall (24-HDR) data to validate and describe the nutrient patterns and their related food sources. Associations between lifestyle factors and the nutrient patterns were also examined. Principal component analysis (PCA) was applied on 23 nutrients derived from country-specific FFQ combining data from all EPIC centers (N = 477,312). Harmonized 24-HDRs available for a representative sample of the EPIC populations (N = 34,436) provided accurate mean group estimates of nutrients and foods by quintiles of pattern scores, presented graphically. An overall PCA combining all data captured a good proportion of the variance explained in each EPIC center. Four nutrient patterns were identified explaining 67% of the total variance: Principle component (PC) 1 was characterized by a high contribution of nutrients from plant food sources and a low contribution of nutrients from animal food sources; PC2 by a high contribution of micro-nutrients and proteins; PC3 was characterized by polyunsaturated fatty acids and vitamin D; PC4 was characterized by calcium, proteins, riboflavin, and phosphorus. The nutrients with high loadings on a particular pattern as derived from country-specific FFQ also showed high deviations in their mean EPIC intakes by quintiles of pattern scores when estimated from 24-HDR. Center and energy intake explained most of the variability in pattern scores. The use of 24-HDR enabled internal validation and facilitated the interpretation of the nutrient patterns derived from FFQs in term of food sources. These outcomes open research opportunities and perspectives of using nutrient patterns in future studies particularly at international level.</t>
  </si>
  <si>
    <t>Six-month incidence and persistence of oral HPV infection in HIV-negative and HIV-infected men who have sex with men.</t>
  </si>
  <si>
    <t>Mooij, Sofie H; Boot, Hein J; Speksnijder, Arjen G C L; Meijer, Chris J L M; King, Audrey J; Verhagen, Dominique W M; de Vries, Henry J C; Quint, Wim G V; Molijn, Anco; de Koning, Maurits N C; van der Sande, Marianne A B; van der Loeff, Maarten F Schim</t>
  </si>
  <si>
    <t>https://pubmed.ncbi.nlm.nih.gov/24896848</t>
  </si>
  <si>
    <t>Our aim was to assess incidence and persistence of oral HPV infection in HIV-negative and HIV-infected men who have sex with men (MSM). MSM aged ≥18 years were included in Amsterdam (the Netherlands) in 2010-2011, and followed up 6 months later. Participants completed risk factor questionnaires. HPV DNA was analyzed in oral-rinse and gargle specimens using the SPF10-PCR DEIA/LiPA25 system (version 1). A subset of oral samples was subjected to SPF10 sequencing to identify additional HPV types. Multivariable logistic regression analyses using generalized estimating equations (GEE) were performed to assess determinants for oral high-risk HPV incidence and persistence. 689/795 participant MSM provided both baseline and 6-month data. Baseline prevalence of high-risk HPV was 9.4% in HIV-negative and 23.9% in HIV-infected MSM (P&lt;0.001). 56/689 MSM acquired ≥1 high-risk HPV infection (6-month incidence 8.1%; 95%CI 6.2-10.4%); incidence was 4.1% in HIV-negative and 14.1% in HIV-infected MSM (P&lt;0.001). HIV infection and recent use of cannabis were both independently associated with high-risk HPV incidence. Persistent high-risk HPV was observed in 48/130 (36.9%) infections. Incidence of oral high-risk HPV infection in MSM is substantial, and is associated with HIV infection. Over a third of HPV infections persisted over a 6-month period.</t>
  </si>
  <si>
    <t>Search for direct top squark pair production in events with a [Formula: see text] boson, [Formula: see text]-jets and missing transverse momentum in [Formula: see text] TeV [Formula: see text] collisions with the ATLAS detector.</t>
  </si>
  <si>
    <t xml:space="preserve">,; Aad, G; Abbott, B; Abdallah, J; Khalek, S Abdel; Abdinov, O; Aben, R; Abi, B; Abolins, M; AbouZeid, O S; Abramowicz, H; Abreu, H; Abreu, R; Abulaiti, Y; Acharya, B S; Adamczyk, L; Adams, D L; Adelman, J; Adomeit, S; Adye, T; Agatonovic-Jovin, T; Aguilar-Saavedra, J A; Agustoni, M; Ahlen, S P; Ahmad, A; Ahmadov, F; Aielli, G; Åkesson, T P A; Akimoto, G; Akimov, A V; Alberghi, G L; Albert, J; Albrand, S; Verzini, M J Alconada;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t>
  </si>
  <si>
    <t>https://pubmed.ncbi.nlm.nih.gov/25814893</t>
  </si>
  <si>
    <t>A search is presented for direct top squark pair production using events with at least two leptons including a same-flavour opposite-sign pair with invariant mass consistent with the [Formula: see text] boson mass, jets tagged as originating from [Formula: see text]-quarks and missing transverse momentum. The analysis is performed with proton-proton collision data at [Formula: see text] collected with the ATLAS detector at the LHC in 2012 corresponding to an integrated luminosity of 20.3 fb[Formula: see text]. No excess beyond the Standard Model expectation is observed. Interpretations of the results are provided in models based on the direct pair production of the heavier top squark state ([Formula: see text]) followed by the decay to the lighter top squark state ([Formula: see text]) via [Formula: see text], and for [Formula: see text] pair production in natural gauge-mediated supersymmetry breaking scenarios where the neutralino ([Formula: see text]) is the next-to-lightest supersymmetric particle and decays producing a [Formula: see text] boson and a gravitino ([Formula: see text]) via the [Formula: see text] process.</t>
  </si>
  <si>
    <t>Unruptured intracranial aneurysms: why we must not perpetuate the impasse for another 25 years - authors' reply.</t>
  </si>
  <si>
    <t>Greving, Jacoba P; Wermer, Marieke J H; Rinkel, Gabriël J E; Algra, Ale</t>
  </si>
  <si>
    <t>https://pubmed.ncbi.nlm.nih.gov/24849856</t>
  </si>
  <si>
    <t>Associations between particulate matter elements and early-life pneumonia in seven birth cohorts: results from the ESCAPE and TRANSPHORM projects.</t>
  </si>
  <si>
    <t>Fuertes, Elaine; MacIntyre, Elaina; Agius, Raymond; Beelen, Rob; Brunekreef, Bert; Bucci, Simone; Cesaroni, Giulia; Cirach, Marta; Cyrys, Josef; Forastiere, Francesco; Gehring, Ulrike; Gruzieva, Olena; Hoffmann, Barbara; Jedynska, Aleksandra; Keuken, Menno; Klümper, Claudia; Kooter, Ingeborg; Korek, Michal; Krämer, Ursula; Mölter, Anna; Nieuwenhuijsen, Mark; Pershagen, Göran; Porta, Daniela; Postma, Dirkje S; Simpson, Angela; Smit, Henriette A; Sugiri, Dorothea; Sunyer, Jordi; Wang, Meng; Heinrich, Joachim</t>
  </si>
  <si>
    <t>international journal of hygiene and environmental health</t>
  </si>
  <si>
    <t>https://pubmed.ncbi.nlm.nih.gov/24948353</t>
  </si>
  <si>
    <t>Evidence for a role of long-term particulate matter exposure on acute respiratory infections is growing. However, which components of particulate matter may be causative remains largely unknown. We assessed associations between eight particulate matter elements and early-life pneumonia in seven birth cohort studies (N total=15,980): BAMSE (Sweden), GASPII (Italy), GINIplus and LISAplus (Germany), INMA (Spain), MAAS (United Kingdom) and PIAMA (The Netherlands). Annual average exposure to copper, iron, potassium, nickel, sulfur, silicon, vanadium and zinc, each respectively derived from particles with aerodynamic diameters ≤ 10 μm (PM10) and 2.5 μm (PM2.5), were estimated using standardized land use regression models and assigned to birth addresses. Cohort-specific associations between these exposures and parental reports of physician-diagnosed pneumonia between birth and two years were assessed using logistic regression models adjusted for host and environmental covariates and total PM10 or PM2.5 mass. Combined estimates were calculated using random-effects meta-analysis. There was substantial within and between-cohort variability in element concentrations. In the adjusted meta-analysis, pneumonia was weakly associated with zinc derived from PM10 (OR: 1.47 (95% CI: 0.99, 2.18) per 20 ng/m(3) increase). No other associations with the other elements were consistently observed. The independent effect of particulate matter mass remained after adjustment for element concentrations. In conclusion, associations between particulate matter mass exposure and pneumonia were not explained by the elements we investigated. Zinc from PM10 was the only element which appeared independently associated with a higher risk of early-life pneumonia. As zinc is primarily attributable to non-tailpipe traffic emissions, these results may suggest a potential adverse effect of non-tailpipe emissions on health.</t>
  </si>
  <si>
    <t>A posteriori dietary patterns: how many patterns to retain?</t>
  </si>
  <si>
    <t>Fransen, Heidi P; May, Anne M; Stricker, Martin D; Boer, Jolanda M A; Hennig, Christian; Rosseel, Yves; Ocké, Marga C; Peeters, Petra H M; Beulens, Joline W J</t>
  </si>
  <si>
    <t>https://pubmed.ncbi.nlm.nih.gov/24872222</t>
  </si>
  <si>
    <t>Principal component analysis (PCA) and cluster analysis are used frequently to derive dietary patterns. Decisions on how many patterns to extract are primarily based on subjective criteria, whereas different solutions vary in their food-group composition and perhaps association with disease outcome. Literature on reliability of dietary patterns is scarce, and previous studies validated only 1 preselected solution. Therefore, we assessed reliability of different pattern solutions ranging from 2 to 6 patterns, derived from the aforementioned methods. A validated food frequency questionnaire was administered at baseline (1993-1997) to 39,678 participants in the European Prospective Investigation into Cancer and Nutrition-The Netherlands (EPIC-NL) cohort. Food items were grouped into 31 food groups for dietary pattern analysis. The cohort was randomly divided into 2 halves, and dietary pattern solutions derived in 1 sample through PCA were replicated through confirmatory factor analysis in sample 2. For cluster analysis, cluster stability and split-half reproducibility were assessed for various solutions. With PCA, we found the 3-component solution to be best replicated, although all solutions contained ≥1 poorly confirmed component. No quantitative criterion was in agreement with the results. Associations with disease outcome (coronary heart disease) differed between the component solutions. For all cluster solutions, stability was excellent and deviations between samples was negligible, indicating good reproducibility. All quantitative criteria identified the 2-cluster solution as optimal. Associations with disease outcome were comparable for different cluster solutions. In conclusion, reliability of obtained dietary patterns differed considerably for different solutions using PCA, whereas cluster analysis derived generally stable, reproducible clusters across different solutions. Quantitative criteria for determining the number of patterns to retain were valuable for cluster analysis but not for PCA. Associations with disease risk were influenced by the number of patterns that are retained, especially when using PCA. Therefore, studies on associations between dietary patterns and disease risk should report reasons to choose the number of retained patterns.</t>
  </si>
  <si>
    <t>Incidental imaging findings from routine chest CT used to identify subjects at high risk of future cardiovascular events.</t>
  </si>
  <si>
    <t>Jairam, Pushpa M; Gondrie, Martijn J A; Grobbee, Diederick E; Mali, Willem P Th M; Jacobs, Peter C A; van der Graaf, Yolanda; ,</t>
  </si>
  <si>
    <t>https://pubmed.ncbi.nlm.nih.gov/24865309</t>
  </si>
  <si>
    <t>To investigate the contribution of incidental findings at chest computed tomography (CT) in the detection of subjects at high risk for cardiovascular disease (CVD) by deriving and validating a CT-based prediction rule. This retrospective study was approved by the ethical review board of the primary participating facility, and informed consent was waived. The derivation cohort comprised 10 410 patients who underwent diagnostic chest CT for noncardiovascular indications. During a mean follow-up of 3.7 years (maximum, 7.0 years), 1148 CVD events (cases) were identified. By using a case-cohort approach, CT scans from the cases and from an approximately 10% random sample of the baseline cohort (n = 1366) were graded visually for several cardiovascular findings. Multivariable Cox proportional hazards analysis with backward elimination technique was used to derive the best-fitting parsimonious prediction model. External validation (discrimination, calibration, and risk stratification) was performed in a separate validation cohort (n = 1653). The final model included patient age and sex, CT indication, left anterior descending coronary artery calcifications, mitral valve calcifications, descending aorta calcifications, and cardiac diameter. The model demonstrated good discriminative value, with a C statistic of 0.71 (95% confidence interval: 0.68, 0.74) and a good overall calibration, as assessed in the validation cohort. This imaging-based model allows accurate stratification of individuals into clinically relevant risk categories. Structured reporting of incidental CT findings can mediate accurate stratification of individuals into clinically relevant risk categories and subsequently allow those at higher risk of future CVD events to be distinguished.</t>
  </si>
  <si>
    <t>Prevalence of unrecognized heart failure in older persons with shortness of breath on exertion.</t>
  </si>
  <si>
    <t>van Riet, Evelien E S; Hoes, Arno W; Limburg, Alexander; Landman, Marcel A J; van der Hoeven, Henk; Rutten, Frans H</t>
  </si>
  <si>
    <t>https://pubmed.ncbi.nlm.nih.gov/24863953</t>
  </si>
  <si>
    <t>The majority of patients with heart failure are diagnosed in primary care, but underdiagnosis is common. Shortness of breath is a prevalent complaint of older persons and one of the key symptoms of heart failure. We assessed the prevalence of unrecognized heart failure in elderly patients presenting to primary care with shortness of breath on exertion. This was a cross-sectional selective screening study. Patients aged 65 years or over presenting to primary care with shortness of breath on exertion in the previous 12 months were eligible when not known to have an established, echocardiographic confirmed diagnosis of heart failure. All participants underwent history taking, physical examination, electrocardiography, and a blood test of N-terminal pro B-type natriuretic peptide (NTproBNP). Only those with an abnormal electrocardiogram or NTproBNP level exceeding the exclusionary cut-point for non-acute onset heart failure (&gt;15 pmol/L (≈125 pg/mL) underwent open-access echocardiography. An expert panel established presence or absence of heart failure according to the criteria of the European Society of Cardiology heart failure guidelines. The mean age of the 585 participants was 74.1 (SD 6.3) years, and 54.5% were female. In total, 92 (15.7%, 95% CI 12.9-19.0) participants had heart failure: 17 (2.9%, 95% CI 1.8-4.7) had heart failure with a reduced ejection fraction (≤45%), 70 (12.0%, 95% CI 9.5-14.9) had heart failure with preserved ejection fraction, and five (0.9%, 95% CI 0.3-2.1) had isolated right-sided heart failure. Elderly primary care patients with shortness of breath on exertion often have unrecognized heart failure, mainly with preserved ejection fraction.</t>
  </si>
  <si>
    <t>Diabetes as risk factor for incident coronary heart disease in women compared with men: a systematic review and meta-analysis of 64 cohorts including 858,507 individuals and 28,203 coronary events.</t>
  </si>
  <si>
    <t>Peters, Sanne A E; Huxley, Rachel R; Woodward, Mark</t>
  </si>
  <si>
    <t>https://pubmed.ncbi.nlm.nih.gov/24859435</t>
  </si>
  <si>
    <t>A previous pooled analysis suggested that women with diabetes are at substantially increased risk of fatal CHD compared with affected men. Additional findings from several larger and more contemporary studies have since been published on the sex-specific associations between diabetes and incident CHD. We performed an updated systematic review with meta-analysis to provide the most reliable evidence of any sex difference in the effect of diabetes on subsequent risk of CHD. PubMed MEDLINE was systematically searched for prospective population-based cohort studies published between 1 January 1966 and 13 February 2013. Eligible studies had to have reported sex-specific RR estimates for incident CHD associated with diabetes and its associated variability that had been adjusted at least for age. Random-effects meta-analyses with inverse variance weighting were used to obtain sex-specific RRs and the RR ratio (RRR) (women:men) for incident CHD associated with diabetes. Data from 64 cohorts, including 858,507 individuals and 28,203 incident CHD events, were included. The RR for incident CHD associated with diabetes compared with no diabetes was 2.82 (95% CI 2.35, 3.38) in women and 2.16 (95% CI 1.82, 2.56) in men. The multiple-adjusted RRR for incident CHD was 44% greater in women with diabetes than in men with diabetes (RRR 1.44 [95% CI 1.27, 1.63]) with no significant heterogeneity between studies (I (2) = 20%). Women with diabetes have more than a 40% greater risk of incident CHD compared with men with diabetes. Sex disparities in pharmacotherapy are unlikely to explain much of the excess risk in women, but future studies are warranted to more clearly elucidate the mechanisms responsible for the substantial sex difference in diabetes-related risk of CHD.</t>
  </si>
  <si>
    <t>Prospective double-blind preoperative pain clinic screening before microsurgical denervation of the spermatic cord in patients with testicular pain syndrome.</t>
  </si>
  <si>
    <t>Oomen, Robert J A; Witjens, Annemijke C; van Wijck, Albert J M; Grobbee, Diederik E; Lock, Tycho M T W</t>
  </si>
  <si>
    <t>https://pubmed.ncbi.nlm.nih.gov/24861586</t>
  </si>
  <si>
    <t>Testicular pain syndrome (TPS), defined as an intermittent or constant pain in one or both testicles for at least 3 months, resulting in significant reduction of daily activities, is common. Microsurgical denervation of the spermatic cord (MDSC) has been suggested as an effective treatment option. The study population comprised 180 TPS patients admitted to our outpatient urology clinic between 1999 and 2011. On 3 different occasions, patients were offered a double-blind, placebo-controlled temporary blockade of the spermatic cord. A single blockade consisted of 10 mL 2% lidocaine, 10 mL 0.25% bupivacaine, or 10 mL 0.9% sodium chloride. If the results of these blockades were positive, MDSC was offered. All MDSCs were performed by a single urologist (M.T.W.T.L.) using an inguinal approach. Pain reduction was determined at prospective follow-up. This study evaluated 180 patients. Most patients (61.1%) had undergone a scrotal or inguinal procedure. Patients had complaints during sexual activities (51.7%), sitting (37.5%), and/or cycling (36.7%); 189 randomized blockades were offered to all patients. There was a positive response in 37% and a negative response in 51%. MDSC was performed on 58 testicular units, including 3 patients with a negative outcome of the blockades. At mean follow-up of 42.8 months, 86.2% had a ≥ 50% reduction of pain and 51.7% were completely pain free. MDSC is a valuable treatment option for TPS patients because in this study 86.2% experienced a ≥ 50% reduction of pain. To prevent superfluous diagnostics and treatment, it is mandatory to follow a systematic protocol in the treatment of TPS.</t>
  </si>
  <si>
    <t>Towards tailoring of self-management for patients with chronic heart failure or chronic obstructive pulmonary disease: a protocol for an individual patient data meta-analysis.</t>
  </si>
  <si>
    <t>Jonkman, Nini H; Westland, Heleen; Trappenburg, Jaap C A; Groenwold, Rolf H H; Effing-Tijdhof, Tanja W; Troosters, Thierry; van der Palen, Job; Bourbeau, Jean; Jaarsma, Tiny; Hoes, Arno W; Schuurmans, Marieke J</t>
  </si>
  <si>
    <t>https://pubmed.ncbi.nlm.nih.gov/24860002</t>
  </si>
  <si>
    <t>Self-management interventions in patients with chronic conditions have received increasing attention over the past few years, yet the meta-analyses encountered considerable heterogeneity in results. This suggests that the effectiveness of self-management interventions must be assessed in the context of which components are responsible for eliciting the effect and in which subgroups of patients the intervention works best. The aim of the present study is to identify condition-transcending determinants of success of self-management interventions in two parallel individual patient data meta-analyses of self-management trials in patients with congestive heart failure (CHF) and in patients with chronic obstructive pulmonary disease (COPD). Investigators of 53 randomised trials (32 in CHF and 21 in COPD) will be requested to share their de-identified individual patient data. Data will be analysed using random effects models, taking clustering within studies into account. Effect modification by age, sex, disease severity, symptom status, comorbid conditions and level of education will be assessed. Sensitivity analyses will be conducted to assess the robustness of the findings. The de-identified individual patient data are used only for the purpose for which they were originally collected and for which ethical approval has been obtained by the original investigators. Knowledge on the effective ingredients of self-management programmes and identification of subgroups of patients in which those interventions are most effective will guide the development of evidence-based personalised self-management interventions for patients with CHF and COPD as well as with other chronic diseases. CRD42013004698.</t>
  </si>
  <si>
    <t>Registering diagnostic and prognostic trials of tests: is it the right thing to do?</t>
  </si>
  <si>
    <t>Rifai, Nader; Bossuyt, Patrick M M; Ioannidis, John P A; Bray, Kurtis R; McShane, Lisa M; Golub, Robert M; Hooft, Lotty</t>
  </si>
  <si>
    <t>https://pubmed.ncbi.nlm.nih.gov/24855278</t>
  </si>
  <si>
    <t>Phylloquinone concentrations and the risk of vascular calcification in healthy women.</t>
  </si>
  <si>
    <t>Dalmeijer, Geertje W; van der Schouw, Yvonne T; Booth, Sarah L; de Jong, Pim A; Beulens, Joline W J</t>
  </si>
  <si>
    <t>https://pubmed.ncbi.nlm.nih.gov/24855054</t>
  </si>
  <si>
    <t>To investigate the association of plasma phylloquinone concentrations with coronary artery calcification (CAC) and vascular calcification. In a prospective cohort of 508 postmenopausal women, plasma phylloquinone concentrations were measured by high-pressure liquid chromatography. Calcification was measured in the coronary arteries, aortic valve, mitral valve, and thoracic aorta by multidetector computed tomography. To combine these calcification scores, we dichotomized each of the 4 areas into present or absent. Because of the continuous measurement of CAC, we categorized this as calcification present if Agatston score was &gt;0, and calcification score was calculated as the sum of the calcified areas. Multivariate-adjusted prevalence ratios and odds ratios were estimated using Poisson regression and multinomial logistic regression. After 8.5 years of follow-up, 22% of the women had no calcification, whereas 5% had calcification in all measured areas. Detectable phylloquinone concentrations were associated with increased CAC compared with nondetectable phylloquinone concentrations with a prevalence ratio of 1.34 (95% confidence interval, 1.01-1.77). When dividing women with detectable phylloquinone concentrations into low detectable (&gt;0-0.70 nmol/L) and moderate to high detectable (&gt;0.70 nmol/L) phylloquinone concentrations versus nondetectable phylloquinone concentrations, both were associated with increased CAC with a prevalence ratio of 1.32 (95% confidence interval, 0.99-1.76) and 1.36 (95% confidence interval, 1.02-1.81), respectively. Detectable phylloquinone concentrations were not associated with the number of calcified areas with an odds ratio(no versus ≥ 3 areas calcifications) of 1.60 (95% confidence interval, 0.65-3.99; P=0.31). Detectable phylloquinone concentrations are not associated with reduced vascular calcification but seemed to be associated with an increased prevalence of CAC.</t>
  </si>
  <si>
    <t>Plasma advanced glycation end products are associated with incident cardiovascular events in individuals with type 2 diabetes: a case-cohort study with a median follow-up of 10 years (EPIC-NL).</t>
  </si>
  <si>
    <t>Hanssen, Nordin M J; Beulens, Joline W J; van Dieren, Susan; Scheijen, Jean L J M; van der A, Daphne L; Spijkerman, Annemieke M W; van der Schouw, Yvonne T; Stehouwer, Coen D A; Schalkwijk, Casper G</t>
  </si>
  <si>
    <t>https://pubmed.ncbi.nlm.nih.gov/24848072</t>
  </si>
  <si>
    <t>Experimental data suggest a role for advanced glycation end products (AGEs) in cardiovascular disease (CVD), particularly in type 2 diabetes (T2DM). However, epidemiological evidence of an association between high plasma AGEs and increased cardiovascular risk remains inconclusive. Therefore, in a case-cohort study comprising 134 cardiovascular case subjects and a random subcohort of 218 individuals (including 65 cardiovascular case subjects), all with T2DM and nested in the European Prospective Investigation into Cancer and Nutrition in the Netherlands (EPIC-NL) study, plasma levels of protein-bound Nε-(carboxymethyl)lysine, Nε-(carboxyethyl)lysine, and pentosidine were measured with liquid chromatography. AGEs were loge-transformed, combined in a z-score, and the association with incident cardiovascular events was analyzed with Cox proportional hazard regression, adapted for case-cohort design (Prentice method). After multivariable adjustment (sex, age, cohort status, diabetes duration, total cholesterol to HDL-cholesterol ratio, smoking, systolic blood pressure, BMI, blood pressure-, cholesterol- and glucose-lowering treatment, prior cardiovascular events, and triglycerides), higher plasma AGE z-scores were associated with higher risk of incident cardiovascular events in individuals without prior cardiovascular events (hazard ratio 1.31 [95% CI: 1.06-1.61]). A similar trend was observed in individuals with prior cardiovascular events (1.37 [0.63-2.98]). In conclusion, high plasma AGEs were associated with incident cardiovascular events in individuals with T2DM. These results underline the potential importance of AGEs in development of CVD.</t>
  </si>
  <si>
    <t>Rapid Systematic Review of the Epley Maneuver versus Vestibular Rehabilitation for Benign Paroxysmal Positional Vertigo.</t>
  </si>
  <si>
    <t>Wegner, Inge; Niesten, Marlien E F; van Werkhoven, Cornelis H; Grolman, Wilko</t>
  </si>
  <si>
    <t>https://pubmed.ncbi.nlm.nih.gov/24847048</t>
  </si>
  <si>
    <t>To evaluate the effectiveness of the Epley maneuver compared with vestibular rehabilitation on patient-reported symptom relief and conversion of the Dix-Hallpike from positive to negative in patients with posterior benign paroxysmal positional vertigo (p-BPPV). PubMed, Embase, and the Cochrane Library. A systematic search was conducted. Studies reporting original study data were included. Relevance and risk of bias (RoB) of the selected articles were assessed. Studies with low relevance, high RoB, or both were excluded. For outcomes of interest, absolute risk differences and their 95% confidence intervals (CIs) were extracted. A total of 373 unique studies were retrieved. Five of these satisfied the eligibility criteria. One study with low RoB and 3 studies with moderate RoB showed that the Epley maneuver is more effective than vestibular rehabilitation at 1-week follow-up with regard to patient-reported symptom relief and conversion of the Dix-Hallpike maneuver from positive to negative (risk differences range from 10% [95% CI, 30-47] to 55% [95% CI, 35-71]). There is inconsistent evidence for the effectiveness of the Epley maneuver compared with vestibular rehabilitation at 1-month follow-up. Most studies suggest that the Epley maneuver and vestibular rehabilitation are equally effective at 1-month follow-up. The Epley maneuver is more effective in treating p-BPPV than vestibular rehabilitation at 1-week follow-up. There is inconsistent evidence for the effectiveness of the Epley maneuver compared with vestibular rehabilitation at 1-month follow-up.</t>
  </si>
  <si>
    <t>Weight change in middle adulthood and breast cancer risk in the EPIC-PANACEA study.</t>
  </si>
  <si>
    <t>Emaus, Marleen J; van Gils, Carla H; Bakker, Marije F; Bisschop, Charlotte N Steins; Monninkhof, Evelyn M; Bueno-de-Mesquita, H B; Travier, Noémie; Berentzen, Tina Landsvig; Overvad, Kim; Tjønneland, Anne; Romieu, Isabelle; Rinaldi, Sabina; Chajes, Veronique; Gunter, Marc J; Clavel-Chapelon, Françoise; Fagherazzi, Guy; Mesrine, Sylvie; Chang-Claude, Jenny; Kaaks, Rudolf; Boeing, Heiner; Aleksandrova, Krasimira; Trichopoulou, Antonia; Naska, Androniki; Orfanos, Philippos; Palli, Domenico; Agnoli, Claudia; Tumino, Rosario; Vineis, Paolo; Mattiello, Amalia; Braaten, Tonje; Borch, Kristin Benjaminsen; Lund, Eiliv; Menéndez, Virginia; Sánchez, María-José; Navarro, Carmen; Barricarte, Aurelio; Amiano, Pilar; Sund, Malin; Andersson, Anne; Borgquist, Signe; Olsson, Asa; Khaw, Kay-Tee; Wareham, Nick; Travis, Ruth C; Riboli, Elio; Peeters, Petra H M; May, Anne M</t>
  </si>
  <si>
    <t>https://pubmed.ncbi.nlm.nih.gov/24771551</t>
  </si>
  <si>
    <t>Long-term weight gain (i.e., weight gain since age 20) has been related to higher risk of postmenopausal breast cancer, but a lower risk of premenopausal breast cancer. The effect of weight change in middle adulthood is unclear. We investigated the association between weight change in middle adulthood (i.e., women aged 40-50 years) and the risk of breast cancer before and after the age of 50. We included female participants of the European Prospective Investigation into Cancer and Nutrition cohort, with information on anthropometric measures at recruitment and after a median follow-up of 4.3 years. Annual weight change was categorized using quintiles taking quintile 2 and 3 as the reference category (-0.44 to 0.36 kg/year). Multivariable Cox proportional hazards regression analysis was used to examine the association. 205,723 women were included and 4,663 incident breast cancer cases were diagnosed during a median follow-up of 7.5 years (from second weight assessment onward). High weight gain (Q5: 0.83-4.98 kg/year) was related to a slightly, but significantly higher breast cancer risk (HRQ5_versus_Q2/3 : 1.09, 95% CI: 1.01-1.18). The association was more pronounced for breast cancer diagnosed before or at age 50 (HRQ5_versus_Q2/3 : 1.37, 95% CI: 1.02-1.85). Weight loss was not associated with breast cancer risk. There was no evidence for heterogeneity by hormone receptor status. In conclusion, high weight gain in middle adulthood increases the risk of breast cancer. The association seems to be more pronounced for breast cancer diagnosed before or at age 50. Our results illustrate the importance of avoiding weight gain in middle adulthood.</t>
  </si>
  <si>
    <t>The association of angiotensin-converting enzyme with biomarkers for Alzheimer's disease.</t>
  </si>
  <si>
    <t>Jochemsen, Hadassa M; Teunissen, Charlotte E; Ashby, Emma L; van der Flier, Wiesje M; Jones, Ruth E; Geerlings, Mirjam I; Scheltens, Philip; Kehoe, Patrick G; Muller, Majon</t>
  </si>
  <si>
    <t>alzheimers research therapy</t>
  </si>
  <si>
    <t>https://pubmed.ncbi.nlm.nih.gov/24987467</t>
  </si>
  <si>
    <t>Lower angiotensin-converting enzyme (ACE) activity could increase the risk of Alzheimer's disease (AD) as ACE functions to degrade amyloid-β (Aβ). Therefore, we investigated whether ACE protein and activity levels in cerebrospinal fluid (CSF) and serum were associated with CSF Aβ, total tau (tau) and tau phosphorylated at threonine 181 (ptau). We included 118 subjects from our memory clinic-based Amsterdam Dementia Cohort (mean age 66 ± 8 years) with subjective memory complaints (n = 40) or AD (n = 78), who did not use antihypertensive drugs. We measured ACE protein levels (ng/ml) and activity (RFU) in CSF and serum, and amyloid β1-42, tau and ptau (pg/ml) in CSF. Cross-sectional regression analyses showed that ACE protein level and activity in CSF and serum were lower in patients with AD compared to controls. Lower CSF ACE protein level, and to a lesser extent serum ACE protein level and CSF ACE activity, were associated with lower CSF Aβ, indicating more brain Aβ pathology; adjusted regression coefficients (B) (95% CI) per SD increase were 0.09 (0.04; 0.15), 0.06 (0.00; 0.12) and 0.05 (0.00; 0.11), respectively. Further, lower CSF ACE protein level was associated with lower CSF tau and ptau levels; adjusted B's (95% CI) per SD increase were 0.15 (0.06; 0.25) and 0.17 (0.10; 0.25), respectively. These results strengthen the hypothesis that ACE degrades Aβ. This could suggest that lowering ACE levels by for example ACE-inhibitors might have adverse consequences for patients with, or at risk for AD.</t>
  </si>
  <si>
    <t>Individual and community determinants of neonatal mortality in Ghana: a multilevel analysis.</t>
  </si>
  <si>
    <t>Kayode, Gbenga A; Ansah, Evelyn; Agyepong, Irene Akua; Amoakoh-Coleman, Mary; Grobbee, Diederick E; Klipstein-Grobusch, Kerstin</t>
  </si>
  <si>
    <t>https://pubmed.ncbi.nlm.nih.gov/24884759</t>
  </si>
  <si>
    <t>Neonatal mortality is a global challenge; identification of individual and community determinants associated with it are important for targeted interventions. However in most low and middle income countries (LMICs) including Ghana this problem has not been adequately investigated as the impact of contextual factors remains undetermined despite their significant influence on under-five mortality and morbidity. Based on a modified conceptual framework for child survival, hierarchical modelling was deployed to examine about 6,900 women, aged 15 - 49 years (level 1), nested within 412 communities (level 2) in Ghana by analysing combined data of the 2003 and 2008 Ghana Demographic and Health Survey. The aim was to identify individual (maternal, paternal, neonatal, antenatal, delivery and postnatal) and community (socioeconomic disadvantage communities) determinants associated with neonatal mortality. The results showed both individual and community characteristics to be associated with neonatal mortality. Infants of multiple-gestation [OR 5.30; P-value &lt; 0.001; 95% CI 2.81 - 10.00], neonates with inadequate birth spacing [OR 3.47; P-value &lt; 0.01; 95% CI 1.60 - 7.57] and low birth weight [OR 2.01; P-value &lt; 0.01; 95% CI 1.23 - 3.30] had a lower chance of surviving the neonatal period. Similarly, infants of grand multiparous mothers [OR 2.59; P-value &lt; 0.05; 95% CI 1.03 - 6.49] and non-breastfed infants [OR 142.31; P-value &lt; 0.001; 95% CI 80.19 - 252.54] were more likely to die during neonatal life, whereas adequate utilization of antenatal, delivery and postnatal health services [OR 0.25; P-value &lt; 0.001; 95% CI 0.13 - 0.46] reduced the likelihood of neonatal mortality. Dwelling in a neighbourhood with high socioeconomic deprivation was associated with increased neonatal mortality [OR 3.38; P-value &lt; 0.01; 95% CI 1.42 - 8.04]. Both individual and community characteristics show a marked impact on neonatal survival. Implementation of community-based interventions addressing basic education, poverty alleviation, women empowerment and infrastructural development and an increased focus on the continuum-of-care approach in healthcare service will improve neonatal survival.</t>
  </si>
  <si>
    <t>Mammographic density phenotypes and risk of breast cancer: a meta-analysis.</t>
  </si>
  <si>
    <t>Pettersson, Andreas; Graff, Rebecca E; Ursin, Giske; Santos Silva, Isabel Dos; McCormack, Valerie; Baglietto, Laura; Vachon, Celine; Bakker, Marije F; Giles, Graham G; Chia, Kee Seng; Czene, Kamila; Eriksson, Louise; Hall, Per; Hartman, Mikael; Warren, Ruth M L; Hislop, Greg; Chiarelli, Anna M; Hopper, John L; Krishnan, Kavitha; Li, Jingmei; Li, Qing; Pagano, Ian; Rosner, Bernard A; Wong, Chia Siong; Scott, Christopher; Stone, Jennifer; Maskarinec, Gertraud; Boyd, Norman F; van Gils, Carla H; Tamimi, Rulla M</t>
  </si>
  <si>
    <t>https://pubmed.ncbi.nlm.nih.gov/24816206</t>
  </si>
  <si>
    <t>Fibroglandular breast tissue appears dense on mammogram, whereas fat appears nondense. It is unclear whether absolute or percentage dense area more strongly predicts breast cancer risk and whether absolute nondense area is independently associated with risk. We conducted a meta-analysis of 13 case-control studies providing results from logistic regressions for associations between one standard deviation (SD) increments in mammographic density phenotypes and breast cancer risk. We used random-effects models to calculate pooled odds ratios and 95% confidence intervals (CIs). All tests were two-sided with P less than .05 considered to be statistically significant. Among premenopausal women (n = 1776 case patients; n = 2834 control subjects), summary odds ratios were 1.37 (95% CI = 1.29 to 1.47) for absolute dense area, 0.78 (95% CI = 0.71 to 0.86) for absolute nondense area, and 1.52 (95% CI = 1.39 to 1.66) for percentage dense area when pooling estimates adjusted for age, body mass index, and parity. Corresponding odds ratios among postmenopausal women (n = 6643 case patients; n = 11187 control subjects) were 1.38 (95% CI = 1.31 to 1.44), 0.79 (95% CI = 0.73 to 0.85), and 1.53 (95% CI = 1.44 to 1.64). After additional adjustment for absolute dense area, associations between absolute nondense area and breast cancer became attenuated or null in several studies and summary odds ratios became 0.82 (95% CI = 0.71 to 0.94; P heterogeneity = .02) for premenopausal and 0.85 (95% CI = 0.75 to 0.96; P heterogeneity &lt; .01) for postmenopausal women. The results suggest that percentage dense area is a stronger breast cancer risk factor than absolute dense area. Absolute nondense area was inversely associated with breast cancer risk, but it is unclear whether the association is independent of absolute dense area.</t>
  </si>
  <si>
    <t>Presence and progression of white matter hyperintensities and cognition: a meta-analysis.</t>
  </si>
  <si>
    <t>Kloppenborg, Raoul P; Nederkoorn, Paul J; Geerlings, Mirjam I; van den Berg, Esther</t>
  </si>
  <si>
    <t>https://pubmed.ncbi.nlm.nih.gov/24814849</t>
  </si>
  <si>
    <t>We aimed to quantify the effects of white matter hyperintensities (WMHs) on specific cognitive functions with particular attention to WMH progression and localization. PubMed (January 1990-July 2013) and bibliographies from included articles were used. Studies that were included (1) used MRI; (2) had a population-based or case-control design with a healthy control group that could be used for analysis; (3) matched/adjusted for age, sex, and education; and (4) addressed ≥1 predefined cognitive domains with ≥1 validated neuropsychological tests. Data were independently extracted by 2 investigators. Pearson r was extracted/calculated and used as the common metric for the effect size across studies. Twenty-three cross-sectional and 14 longitudinal studies were included with a total of 8,685 and 7,731 participants. Presence of WMHs was significantly associated with concurrent cognitive deficits in all examined domains: general intelligence (Fisher z -0.10, 95% confidence interval [CI] -0.19 to -0.04), memory (-0.08, -0.13 to -0.06), processing speed (-0.11, -0.17 to -0.07), attention and executive functions (-0.11, -0.16 to -0.07), and perception/construction (-0.15, -0.21 to -0.07). Similar effect sizes were observed for cognitive decline over time. WMH progression was associated with greater cognitive decline, particularly for general intelligence (Fisher z -0.31, 95% CI -0.5 to -0.02) and attention and executive functions (-0.32, -0.34 to -0.28). The small but robust and consistent effects of WMHs on all cognitive domains suggest a more global effect on cognition than previously thought. Progression of WMHs was associated with even worse cognitive functioning, most pronounced in attention and executive functioning.</t>
  </si>
  <si>
    <t>Comparing screening instruments to predict posttraumatic stress disorder.</t>
  </si>
  <si>
    <t>Mouthaan, Joanne; Sijbrandij, Marit; Reitsma, Johannes B; Gersons, Berthold P R; Olff, Miranda</t>
  </si>
  <si>
    <t>https://pubmed.ncbi.nlm.nih.gov/24816642</t>
  </si>
  <si>
    <t>Following traumatic exposure, a proportion of trauma victims develops posttraumatic stress disorder (PTSD). Early PTSD risk screening requires sensitive instruments to identify everyone at risk for developing PTSD in need of diagnostic follow-up. This study compares the accuracy of the 4-item SPAN, 10-item Trauma Screening Questionnaire (TSQ) and 22-item Impact of Event Scale-Revised (IES-R) in predicting chronic PTSD at a minimum sensitivity of 80%. Injury patients admitted to a level-I trauma centre (N = 311) completed the instruments at a median of 23 days and were clinically assessed for PTSD at 6 months. Areas under the curve and specificities at 80% sensitivity were compared between instruments. Areas under the curve in all instruments were adequate (SPAN: 0.83; TSQ: 0.82; IES-R: 0.83) with no significant differences. At 80% sensitivity, specificities were 64% for SPAN, 59% for TSQ and 72% for IES-R. The SPAN, TSQ and IES-R show similar accuracy in early detection of individuals at risk for PTSD, despite differences in number of items. The modest specificities and low positive predictive values found for all instruments could lead to relatively many false positive cases, when applied in clinical practice.</t>
  </si>
  <si>
    <t>The separate and combined effects of adiposity and cardiometabolic dysfunction on the risk of recurrent cardiovascular events and mortality in patients with manifest vascular disease.</t>
  </si>
  <si>
    <t>van der Leeuw, J; van der Graaf, Y; Nathoe, H M; de Borst, G J; Kappelle, L J; Visseren, F L J; ,</t>
  </si>
  <si>
    <t>https://pubmed.ncbi.nlm.nih.gov/24817441</t>
  </si>
  <si>
    <t>A remarkable variation exists in the cardiometabolic consequences of obesity. We evaluated the separate and combined effects of adiposity and cardiometabolic dysfunction on the occurrence of cardiovascular events and mortality in patients with vascular disease. We prospectively followed 5231 patients with a history of clinical cardiovascular disease without diabetes from the Second Manifestations of ARTerial disease (SMART) study. Patients were classified according to body mass index and cardiometabolic function. The presence of cardiometabolic dysfunction was defined as ≥3 of the modified National Cholesterol Education Program (NCEP) metabolic syndrome criteria (waist circumference replaced by elevated C-reactive protein). Cox proportional-hazards analysis was used to estimate HRs for cardiovascular events and mortality. The prevalence of cardiometabolic dysfunction was 40% in normal weight, 58% in overweight and 75% in obese patients. During a median follow-up of 6.1 years, 769 patients died and 705 patients experienced a major cardiovascular event. In the absence of cardiometabolic dysfunction, overweight (HR 1.18, 95% CI 0.90 to 1.55) and obese patients (HR 0.93, 95% CI 0.53 to 1.64) were not at increased risk of recurrent major cardiovascular events compared with normal weight patients without cardiometabolic dysfunction. An increased cardiovascular risk was observed in patients with cardiometabolic dysfunction and normal weight (HR 1.58, 95% CI 1.23 to 2.04), overweight (HR 1.35, 95% CI 1.07 to 1.70) and obesity (HR 1.50, 95% CI 1.12 to 2.00) compared with normal weight patients without cardiometabolic dysfunction. A similar pattern was observed for vascular and all-cause mortality. In patients with vascular disease, the cardiometabolic consequences of adiposity rather than adiposity per se increase the risk of recurrent cardiovascular events and mortality.</t>
  </si>
  <si>
    <t>Imaging features of HER2 overexpression in breast cancer: a systematic review and meta-analysis.</t>
  </si>
  <si>
    <t>Elias, Sjoerd G; Adams, Arthur; Wisner, Dorota J; Esserman, Laura J; van't Veer, Laura J; Mali, Willem P Th M; Gilhuijs, Kenneth G A; Hylton, Nola M</t>
  </si>
  <si>
    <t>https://pubmed.ncbi.nlm.nih.gov/24807204</t>
  </si>
  <si>
    <t>Breast cancer imaging phenotype is diverse and may relate to molecular alterations driving cancer behavior. We systematically reviewed and meta-analyzed relations between breast cancer imaging features and human epidermal growth factor receptor type 2 (HER2) overexpression as a marker of breast cancer aggressiveness. MEDLINE and EMBASE were searched for mammography, breast ultrasound, magnetic resonance imaging (MRI), and/or [(18)F]fluorodeoxyglucose positron emission tomography studies through February 2013. Of 68 imaging features that could be pooled (85 articles, 23,255 cancers; random-effects meta-analysis), 11 significantly related to HER2 overexpression. Results based on five or more studies and robustness in subgroup analyses were as follows: the presence of microcalcifications on mammography [pooled odds ratio (pOR), 3.14; 95% confidence interval (CI), 2.46-4.00] or ultrasound (mass-associated pOR, 2.95; 95% CI, 2.34-3.71), branching or fine linear microcalcifications (pOR, 2.11; 95% CI, 1.07-4.14) or extremely dense breasts on mammography (pOR, 1.37; 95% CI, 1.07-1.76), and washout (pOR, 1.57; 95% CI, 1.11-2.21) or fast initial kinetics (pOR, 2.60; 95% CI, 1.43-4.73) on MRI all increased the chance of HER2 overexpression. Maximum [(18)F]fluorodeoxyglucose standardized uptake value (SUVmax) was higher upon HER2 overexpression (pooled mean difference, +0.76; 95% CI, 0.10-1.42). These results show that several imaging features relate to HER2 overexpression, lending credibility to the hypothesis that imaging phenotype reflects cancer behavior. This implies prognostic relevance, which is especially relevant as imaging is readily available during diagnostic work-up.</t>
  </si>
  <si>
    <t>The significance of fragile X mental retardation gene 1 CGG repeat sizes in the normal and intermediate range in women with primary ovarian insufficiency.</t>
  </si>
  <si>
    <t>Voorhuis, M; Onland-Moret, N C; Janse, F; Ploos van Amstel, H K; Goverde, A J; Lambalk, C B; Laven, J S E; van der Schouw, Y T; Broekmans, F J M; Fauser, B C J M; ,</t>
  </si>
  <si>
    <t>https://pubmed.ncbi.nlm.nih.gov/24812319</t>
  </si>
  <si>
    <t>Are fragile X mental retardation gene 1 (FMR1) CGG repeats in the normal and intermediate range (up to 55 repeats) associated with primary ovarian insufficiency (POI) in a large case-control study? No association was found between CGG repeats of intermediate size and POI compared with controls. CGG repeats in the FMR1 gene in the premutation range (55-200 repeats) have consistenly associated with POI. Intermediate range CGG repeats have been considered for a potential association with POI. A case-control study in 375 well-phenotyped Dutch women diagnosed with POI and 3368 controls with natural menopause ≥40 years of age. The FMR1 CGG repeat number was determined by PCR amplification in women diagnosed with POI and women with a known age at natural menopause ≥40 years. The prevalence of intermediate sized CGG repeats (45-54 repeats) was compared between POI cases and controls using Fisher's exact test. Differences in mean CGG repeat lengths on allele 1 and allele 2 between POI cases and controls were tested using analysis of variance. The frequency of intermediate sized CGG repeats on the allele with the longest triple repeat number was not statistically significantly different between POI cases and controls (2.7 and 3.8%, respectively, odds ratio 0.72, 95% confidence interval: 0.38-1.39, P = 0.38). In women with POI, linear regression analysis for age at POI diagnosis and CGG repeat size also failed to show any association (β = -0.018, P = 0.74). FMR1 CGG repeat lengths in POI cases and controls were genotyped in two different laboratories. The distributions of CGG repeats may vary among the different ethnic populations in our study. Also, in our study women with primary amenorrhea (N = 17) were included in the POI group. We found no association between intermediate sized CGG repeats and POI compared with controls. Therefore, a role for FMR1 CGG repeat sizes up to 55 repeats in the ovarian ageing process may be questioned. Moreover, there seems limited value in the evaluation of normal- and intermediate FMR1 repeat size in the diagnostic work-up of women affected by POI, or for prognostic purposes in women at risk of developing POI. The Prospect-EPIC study was funded by 'Europe Against Cancer' Program of the European Commission (SANCO); the Dutch Ministry of Health; the Dutch Cancer Society; ZonMW the Netherlands Organization for Health Research and Development; World Cancer Research Fund (WCRF) and the Dutch Heart Association.</t>
  </si>
  <si>
    <t>Conventional versus automated implantation of loose seeds in prostate brachytherapy: analysis of dosimetric and clinical results. In regard to Genebes et al.</t>
  </si>
  <si>
    <t>Moerland, Marinus A; Maenhout, Metha; van der Voort van Zyp, Jochem R N; Noteboom, Juus L; Eppinga, Wietse S C; van Vulpen, Marco; Monninkhof, Evelyn M; Verkooijen, Helena M</t>
  </si>
  <si>
    <t>https://pubmed.ncbi.nlm.nih.gov/24837898</t>
  </si>
  <si>
    <t>Care bundles in intensive care units - authors' reply.</t>
  </si>
  <si>
    <t>Bonten, Marc J M; Brun-Buisson, Christian; Cooper, Ben S; Derde, Lennie P G; ,</t>
  </si>
  <si>
    <t>https://pubmed.ncbi.nlm.nih.gov/24758996</t>
  </si>
  <si>
    <t>Chlorhexidine-based oral care and ventilator-associated pneumonia: the devil in disguise?</t>
  </si>
  <si>
    <t>https://pubmed.ncbi.nlm.nih.gov/24664355</t>
  </si>
  <si>
    <t>Effect of early multifactorial therapy compared with routine care on microvascular outcomes at 5 years in people with screen-detected diabetes: a randomized controlled trial: the ADDITION-Europe Study.</t>
  </si>
  <si>
    <t>Sandbæk, Annelli; Griffin, Simon J; Sharp, Stephen J; Simmons, Rebecca K; Borch-Johnsen, Knut; Rutten, Guy E H M; van den Donk, Maureen; Wareham, Nicholas J; Lauritzen, Torsten; Davies, Melanie J; Khunti, Kamlesh</t>
  </si>
  <si>
    <t>https://pubmed.ncbi.nlm.nih.gov/24784827</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</si>
  <si>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</si>
  <si>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Placebo in autologous cell-based interventions: hard pill to swallow?</t>
  </si>
  <si>
    <t>Koudstaal, Stefan; Niemansburg, Sophie L; Dib, Nabil; Wallet, Justin; Doevendans, Pieter A; Bredenoord, Annelien L; Chamuleau, Steven A J</t>
  </si>
  <si>
    <t>https://pubmed.ncbi.nlm.nih.gov/24794125</t>
  </si>
  <si>
    <t>Randomized trials with missing outcome data: how to analyze and what to report.</t>
  </si>
  <si>
    <t>Groenwold, Rolf H H; Moons, Karel G M; Vandenbroucke, Jan P</t>
  </si>
  <si>
    <t>https://pubmed.ncbi.nlm.nih.gov/24778353</t>
  </si>
  <si>
    <t>Exploring interaction effects in small samples increases rates of false-positive and false-negative findings: results from a systematic review and simulation study.</t>
  </si>
  <si>
    <t>Schmidt, Amand F; Groenwold, Rolf H H; Knol, Mirjam J; Hoes, Arno W; Nielen, Mirjam; Roes, Kit C B; de Boer, Anthonius; Klungel, Olaf H</t>
  </si>
  <si>
    <t>https://pubmed.ncbi.nlm.nih.gov/24768005</t>
  </si>
  <si>
    <t>To give a comprehensive comparison of the performance of commonly applied interaction tests. A literature review and simulation study was performed evaluating interaction tests on the odds ratio (OR) or the risk difference (RD) scales: Cochran Q (Q), Breslow-Day (BD), Tarone, unconditional score, likelihood ratio (LR), Wald, and relative excess risk due to interaction (RERI)-based tests. Review results agreed with results from our simulation study, which showed that on the OR scale, in small sample sizes (eg, number of subjects ≤ 250) the type 1 error rates of the LR test was 0.10; the BD and Tarone tests showed results around 0.05. On the RD scale, the LR and RERI tests had error rates around 0.05. On both scales, tests did not differ regarding power. When exposure prevented the outcome RERI-based tests were relatively underpowered (eg, N = 100; RERI power = 5% vs. Wald power = 18%). With increasing sample size, difference decreased. In small samples, interaction tests differed. On the OR scale, the Tarone and BD tests are recommended. On the RD scale, the LR and RERI-based tests performed best. However, RERI-based tests are underpowered compared with other tests, when exposure prevents the outcome, and sample size is limited.</t>
  </si>
  <si>
    <t>Cortical microinfarcts on 7T MRI in patients with spontaneous intracerebral hemorrhage.</t>
  </si>
  <si>
    <t>van Veluw, Susanne J; Jolink, Wilmar M T; Hendrikse, Jeroen; Geerlings, Mirjam I; Luijten, Peter R; Biessels, Geert Jan; Klijn, Catharina J M</t>
  </si>
  <si>
    <t>https://pubmed.ncbi.nlm.nih.gov/24756079</t>
  </si>
  <si>
    <t>In patients with spontaneous intracerebral hemorrhage (ICH) coexisting abnormalities on brain imaging can provide clues on the etiology of the underlying small vessel disease. We examined cortical cerebral microinfarcts as a novel marker of coexistent vascular damage in ICH. Twelve patients with spontaneous ICH and 15 controls underwent 7Tesla magnetic resonance imaging (MRI). Microinfarcts were present in 9 of 12 patients with spontaneous ICH, and in 5 of 15 controls. This explorative study shows, for the first time, that microinfarcts appear to be a very common vascular comorbidity in spontaneous ICH. Future larger studies should further assess the etiological significance of these lesions.</t>
  </si>
  <si>
    <t>Prediction of recurrence of hypertensive disorders of pregnancy in the term period, a retrospective cohort study.</t>
  </si>
  <si>
    <t>Van Oostwaard, Miriam F; Langenveld, Josje; Schuit, Ewoud; Wigny, Kiki; Van Susante, Hilde; Beune, Irene; Ramaekers, Roos; Papatsonis, Dimitri N M; Mol, Ben Willem J; Ganzevoort, Wessel</t>
  </si>
  <si>
    <t>https://pubmed.ncbi.nlm.nih.gov/26104605</t>
  </si>
  <si>
    <t>To assess the recurrence risk of term hypertensive disease of pregnancy and to determine which potential risk factors are predictive of recurrence. We performed a retrospective cohort study in two secondary and one tertiary care hospitals in the Netherlands. We identified women with a hypertensive disorder in the index pregnancy and delivery after 37weeks of gestation between January 2000 and December 2002. Data were extracted from medical files and women were approached for additional information on subsequent pregnancies. Adverse outcome was defined as recurrence of a hypertensive disorder in the next subsequent pregnancy. The absolute risk of recurrence and a prediction model containing demographic and clinical factors predictive of recurrence. We identified 638 women for potential inclusion, of whom 503 could be contacted. Of these women, 312 (62%) had a subsequent pregnancy. Hypertensive disorders recurred in 120 (38%, 95% CI 33-44) women, of whom 15 (5%, 95% CI 3-7) delivered preterm. Women undergoing recurrence were more at risk to develop chronic hypertension after pregnancy (35% versus 16%, OR 2.8, 95% CI 1.5-5.3). Body mass index, non-White European origin, chronic hypertension, maximum diastolic blood pressure, no use of anticonvulsive medication and interpregnancy interval were predictors for recurrence. Women with hypertensive disorders and term delivery have a substantial chance of recurrence, but a small risk of preterm delivery. A number of predictors for recurrence could be identified and women with a recurrence more often developed chronic hypertension.</t>
  </si>
  <si>
    <t>Effect of age on response to palliative radiotherapy and quality of life in patients with painful bone metastases.</t>
  </si>
  <si>
    <t>Westhoff, Paulien G; de Graeff, Alexander; Reyners, Anna K L; Monninkhof, Evelyn M; Rodenhuis, Carla C; van Vulpen, Marco; Leer, Jan Willem H; Marijnen, Corrie A M; van der Linden, Yvette M; ,</t>
  </si>
  <si>
    <t>https://pubmed.ncbi.nlm.nih.gov/24746581</t>
  </si>
  <si>
    <t>Multimorbidity and declining performance in elderly cancer patients may result in less treatment benefit. We investigated whether age is a predictor for pain response and quality of life (QoL) after radiotherapy in patients with painful bone metastases. The database of the Dutch Bone Metastasis Study was used (1996-1999). 1157 patients, irradiated for painful bone metastases, rated their pain, QoL-domains and overall health at baseline and during follow-up. Response was calculated taking into account changes in pain score and medication. Patients were grouped into three age cohorts: A: &lt;65 (n=520), B: 65-74 (n=410) and C: ⩾75years (n=227). No significant difference existed in pain response between cohorts: 78% in cohort A, 74% in B and 67% in C. When assessing baseline QoL, a significant difference in activity level was noticed, with more impairment in elderly compared to younger patients (C versus B (p=0.01), C versus A (p&lt;0.001)). Other QoL-domains were similar at baseline and during follow-up among cohorts. A pain response was significantly associated with improvement of health-related QoL (OR 3.74, 95% CI 2.66-5.25). The majority of elderly patients with painful bone metastases responded to radiotherapy and showed comparable overall QoL compared to their younger counterparts. Age is not a predictor for pain response or QoL.</t>
  </si>
  <si>
    <t>Resistance to erythropoiesis stimulating agents in patients treated with online hemodiafiltration and ultrapure low-flux hemodialysis: results from a randomized controlled trial (CONTRAST).</t>
  </si>
  <si>
    <t>van der Weerd, Neelke C; Den Hoedt, Claire H; Blankestijn, Peter J; Bots, Michiel L; van den Dorpel, Marinus A; Lévesque, Renée; Mazairac, Albert H A; Nubé, Menso J; Penne, E Lars; ter Wee, Pieter M; Grooteman, Muriel P C; ,</t>
  </si>
  <si>
    <t>https://pubmed.ncbi.nlm.nih.gov/24743493</t>
  </si>
  <si>
    <t>Resistance to erythropoiesis stimulating agents (ESA) is common in patients undergoing chronic hemodialysis (HD) treatment. ESA responsiveness might be improved by enhanced clearance of uremic toxins of middle molecular weight, as can be obtained by hemodiafiltration (HDF). In this analysis of the randomized controlled CONvective TRAnsport STudy (CONTRAST; NCT00205556), the effect of online HDF on ESA resistance and iron parameters was studied. This was a pre-specified secondary endpoint of the main trial. A 12 months' analysis of 714 patients randomized to either treatment with online post-dilution HDF or continuation of low-flux HD was performed. Both groups were treated with ultrapure dialysis fluids. ESA resistance, measured every three months, was expressed as the ESA index (weight adjusted weekly ESA dose in daily defined doses [DDD]/hematocrit). The mean ESA index during 12 months was not different between patients treated with HDF or HD (mean difference HDF versus HD over time 0.029 DDD/kg/Hct/week [-0.024 to 0.081]; P = 0.29). Mean transferrin saturation ratio and ferritin levels during the study tended to be lower in patients treated with HDF (-2.52% [-4.72 to -0.31]; P = 0.02 and -49 ng/mL [-103 to 4]; P = 0.06 respectively), although there was a trend for those patients to receive slightly more iron supplementation (7.1 mg/week [-0.4 to 14.5]; P = 0.06). In conclusion, compared to low-flux HD with ultrapure dialysis fluid, treatment with online HDF did not result in a decrease in ESA resistance. ClinicalTrials.gov NCT00205556.</t>
  </si>
  <si>
    <t>Structural MRI correlates of apathy symptoms in older persons without dementia: AGES-Reykjavik Study.</t>
  </si>
  <si>
    <t>Grool, Anne M; Geerlings, Mirjam I; Sigurdsson, Sigurdur; Eiriksdottir, Gudny; Jonsson, Palmi V; Garcia, Melissa E; Siggeirsdottir, Kristin; Harris, Tamara B; Sigmundsson, Thordur; Gudnason, Vilmundur; Launer, Lenore J</t>
  </si>
  <si>
    <t>https://pubmed.ncbi.nlm.nih.gov/24739783</t>
  </si>
  <si>
    <t>We aimed to investigate the relation between apathy symptoms and structural brain changes on MRI, including white matter lesions (WMLs) and atrophy, in a large cohort of older persons. Cross-sectional analyses are based on 4,354 persons without dementia (aged 76 ± 5 years) participating in the population-based Age, Gene/Environment Susceptibility-Reykjavik Study. Apathy symptoms were assessed with 3 items from the 15-item Geriatric Depression Scale. Brain volumes and total WML volume were estimated on 1.5-tesla MRI using an automated segmentation program; regional WML load was calculated using a semiquantitative scale. Regression analyses were adjusted for age, sex, education, intracranial volume, vascular risk factors, physical activity, brain infarcts, depressive symptoms, antidepressants, and cognitive status. Compared to those with &lt;2 apathy symptoms, participants with ≥ 2 apathy symptoms (49% of the cohort) had significantly smaller gray matter volumes (mean adjusted difference -3.6 mL, 95% confidence interval [CI] -6.2 to -1.0), particularly in the frontal and temporal lobes; smaller white matter volumes (mean adjusted difference -1.9 mL, 95% CI -3.6 to -0.3), mainly in the parietal lobe; and smaller thalamus volumes. They were also more likely to have WMLs in the frontal lobe (adjusted odds ratio = 1.08, 95% CI 0.9-1.3). Excluding participants with a depression diagnosis did not change the associations. In this older population without dementia, apathy symptoms are associated with a more diffuse loss of both gray and white matter volumes, independent of depression.</t>
  </si>
  <si>
    <t>Effect of aleglitazar on cardiovascular outcomes after acute coronary syndrome in patients with type 2 diabetes mellitus: the AleCardio randomized clinical trial.</t>
  </si>
  <si>
    <t>Lincoff, A Michael; Tardif, Jean-Claude; Schwartz, Gregory G; Nicholls, Stephen J; Rydén, Lars; Neal, Bruce; Malmberg, Klas; Wedel, Hans; Buse, John B; Henry, Robert R; Weichert, Arlette; Cannata, Ruth; Svensson, Anders; Volz, Dietmar; Grobbee, Diederick E; ,</t>
  </si>
  <si>
    <t>https://pubmed.ncbi.nlm.nih.gov/24682069</t>
  </si>
  <si>
    <t>No therapy directed against diabetes has been shown to unequivocally reduce the excess risk of cardiovascular complications. Aleglitazar is a dual agonist of peroxisome proliferator-activated receptors with insulin-sensitizing and glucose-lowering actions and favorable effects on lipid profiles. To determine whether the addition of aleglitazar to standard medical therapy reduces cardiovascular morbidity and mortality among patients with type 2 diabetes mellitus and a recent acute coronary syndrome (ACS). AleCardio was a phase 3, multicenter, randomized, double-blind, placebo-controlled trial conducted in 720 hospitals in 26 countries throughout North America, Latin America, Europe, and Asia-Pacific regions. The enrollment of 7226 patients hospitalized for ACS (myocardial infarction or unstable angina) with type 2 diabetes occurred between February 2010 and May 2012; treatment was planned to continue until patients were followed-up for at least 2.5 years and 950 primary end point events were positively adjudicated. Randomized in a 1:1 ratio to receive aleglitazar 150 µg or placebo daily. The primary efficacy end point was time to cardiovascular death, nonfatal myocardial infarction, or nonfatal stroke. Principal safety end points were hospitalization due to heart failure and changes in renal function. The trial was terminated on July 2, 2013, after a median follow-up of 104 weeks, upon recommendation of the data and safety monitoring board due to futility for efficacy at an unplanned interim analysis and increased rates of safety end points. A total of 3.1% of patients were lost to follow-up and 3.2% of patients withdrew consent. The primary end point occurred in 344 patients (9.5%) in the aleglitazar group and 360 patients (10.0%) in the placebo group (hazard ratio, 0.96 [95% CI, 0.83-1.11]; P = .57). Rates of serious adverse events, including heart failure (3.4% for aleglitazar vs 2.8% for placebo, P = .14), gastrointestinal hemorrhages (2.4% for aleglitazar vs 1.7% for placebo, P = .03), and renal dysfunction (7.4% for aleglitazar vs 2.7% for placebo, P &lt; .001) were increased. Among patients with type 2 diabetes and recent ACS, use of aleglitazar did not reduce the risk of cardiovascular outcomes. These findings do not support the use of aleglitazar in this setting with a goal of reducing cardiovascular risk. clinicaltrials.gov Identifier: NCT01042769.</t>
  </si>
  <si>
    <t>Mortality and cancer incidence in the EPIC-NL cohort: impact of the healthy volunteer effect.</t>
  </si>
  <si>
    <t>Struijk, Ellen A; May, Anne M; Beulens, Joline W J; van Gils, Carla H; Monninkhof, Evelyn M; van der Schouw, Yvonne T; Verschuren, Monique W M; Boer, Jolanda M A; Bueno-de-Mesquita, Bas H; Peeters, Petra H M</t>
  </si>
  <si>
    <t>https://pubmed.ncbi.nlm.nih.gov/24736167</t>
  </si>
  <si>
    <t>Prospective cohort studies recruit relatively healthy population samples, resulting in lower morbidity and mortality rates than in the source population. This is known as the healthy volunteer effect. The aim of this study was to define the magnitude and the development over time of the healthy volunteer effect in the EPIC-NL cohort. We studied mortality rates in the EPIC-NL cohort, which comprises 37 551 men and women aged 20-70 years at recruitment in 1993-97. The date and cause of death of deceased participants until 2010 were obtained through linkage with the municipal registry and Statistics Netherlands. Standardized mortality ratios (SMRs) were computed by dividing the observed number of deaths by the number of deaths expected from the general Dutch population. Additionally, standardized incidence ratios were calculated to compare cancer incidence. After an average follow-up of 14.9 years, 3029 deaths were documented. Overall mortality in men [SMR 73.5%, 95% confidence interval (CI): 68.1-79.3] and women (SMR 65.9%, 95% CI: 63.2-68.6) was lower compared with the general population for the whole follow-up period. The SMRs clearly increased over the follow-up period. Among women, the SMR was lower for death due to cardiovascular diseases than death due to cancer. Cancer incidence was also lower in EPIC-NL than in the general population (SMR 78.3 and 82.7% for men and women, respectively). The results show a healthy volunteer effect in the EPIC-NL cohort, which tapers off with longer follow-up. Therefore, in the first years of follow-up, power might not be sufficient to detect small associations.</t>
  </si>
  <si>
    <t>Dietary protein intake and incidence of type 2 diabetes in Europe: the EPIC-InterAct Case-Cohort Study.</t>
  </si>
  <si>
    <t>van Nielen, Monique; Feskens, Edith J M; Mensink, Marco; Sluijs, Ivonne; Molina, Esther; Amiano, Pilar; Ardanaz, Eva; Balkau, Beverly; Beulens, Joline W J; Boeing, Heiner; Clavel-Chapelon, Françoise; Fagherazzi, Guy; Franks, Paul W; Halkjaer, Jytte; Huerta, José Maria; Katzke, Verena; Key, Timothy J; Khaw, Kay Tee; Krogh, Vittorio; Kühn, Tilman; Menéndez, Virginia V M; Nilsson, Peter; Overvad, Kim; Palli, Domenico; Panico, Salvatore; Rolandsson, Olov; Romieu, Isabelle; Sacerdote, Carlotta; Sánchez, Maria-José; Schulze, Matthias B; Spijkerman, Annemieke M W; Tjonneland, Anne; Tumino, Rosario; van der A, Daphne L; Würtz, Anne M L; Zamora-Ros, Raul; Langenberg, Claudia; Sharp, Stephen J; Forouhi, Nita G; Riboli, Elio; Wareham, Nicholas J; ,</t>
  </si>
  <si>
    <t>https://pubmed.ncbi.nlm.nih.gov/24722499</t>
  </si>
  <si>
    <t>The long-term association between dietary protein and type 2 diabetes incidence is uncertain. We aimed to investigate the association between total, animal, and plant protein intake and the incidence of type 2 diabetes. The prospective European Prospective Investigation into Cancer and Nutrition (EPIC)-InterAct case-cohort study consists of 12,403 incident type 2 diabetes cases and a stratified subcohort of 16,154 individuals from eight European countries, with an average follow-up time of 12.0 years. Pooled country-specific hazard ratios (HRs) and 95% CI of prentice-weighted Cox regression analyses were used to estimate type 2 diabetes incidence according to protein intake. After adjustment for important diabetes risk factors and dietary factors, the incidence of type 2 diabetes was higher in those with high intake of total protein (per 10 g: HR 1.06 [95% CI 1.02-1.09], P(trend) &lt; 0.001) and animal protein (per 10 g: 1.05 [1.02-1.08], P(trend) = 0.001). Effect modification by sex (P &lt; 0.001) and BMI among women (P &lt; 0.001) was observed. Compared with the overall analyses, associations were stronger in women, more specifically obese women with a BMI &gt;30 kg/m(2) (per 10 g animal protein: 1.19 [1.09-1.32]), and nonsignificant in men. Plant protein intake was not associated with type 2 diabetes (per 10 g: 1.04 [0.93-1.16], P(trend) = 0.098). High total and animal protein intake was associated with a modest elevated risk of type 2 diabetes in a large cohort of European adults. In view of the rapidly increasing prevalence of type 2 diabetes, limiting iso-energetic diets high in dietary proteins, particularly from animal sources, should be considered.</t>
  </si>
  <si>
    <t>Dietary fat intake and development of specific breast cancer subtypes.</t>
  </si>
  <si>
    <t>Sieri, Sabina; Chiodini, Paolo; Agnoli, Claudia; Pala, Valeria; Berrino, Franco; Trichopoulou, Antonia; Benetou, Vassiliki; Vasilopoulou, Effie; Sánchez, María-José; Chirlaque, Maria-Dolores; Amiano, Pilar; Quirós, J Ramón; Ardanaz, Eva; Buckland, Genevieve; Masala, Giovanna; Panico, Salvatore; Grioni, Sara; Sacerdote, Carlotta; Tumino, Rosario; Boutron-Ruault, Marie-Christine; Clavel-Chapelon, Françoise; Fagherazzi, Guy; Peeters, Petra H M; van Gils, Carla H; Bueno-de-Mesquita, H Bas; van Kranen, Henk J; Key, Timothy J; Travis, Ruth C; Khaw, Kay Tee; Wareham, Nicholas J; Kaaks, Rudolf; Lukanova, Annekatrin; Boeing, Heiner; Schütze, Madlen; Sonestedt, Emily; Wirfält, Elisabeth; Sund, Malin; Andersson, Anne; Chajes, Veronique; Rinaldi, Sabina; Romieu, Isabelle; Weiderpass, Elisabete; Skeie, Guri; Dagrun, Engeset; Tjønneland, Anne; Halkjær, Jytte; Overvard, Kim; Merritt, Melissa A; Cox, David; Riboli, Elio; Krogh, Vittorio</t>
  </si>
  <si>
    <t>https://pubmed.ncbi.nlm.nih.gov/24718872</t>
  </si>
  <si>
    <t>We prospectively evaluated fat intake as predictor of developing breast cancer (BC) subtypes defined by estrogen receptor (ER), progesterone receptor (PR), and human epidermal growth factor 2 receptor (HER2), in a large (n = 337327) heterogeneous cohort of women, with 10062 BC case patients after 11.5 years, estimating BC hazard ratios (HRs) by Cox proportional hazard modeling. High total and saturated fat were associated with greater risk of ER(+)PR(+) disease (HR = 1.20, 95% confidence interval [CI] = 1.00 to 1.45; HR = 1.28, 95% CI = 1.09 to 1.52; highest vs lowest quintiles) but not ER(-)PR(-) disease. High saturated fat was statistically significantly associated with greater risk of HER2(-) disease. High saturated fat intake particularly increases risk of receptor-positive disease, suggesting saturated fat involvement in the etiology of this BC subtype.</t>
  </si>
  <si>
    <t>Effectiveness and cost-effectiveness of 3-monthly versus 6-monthly monitoring of well-controlled type 2 diabetes patients: a pragmatic randomised controlled patient-preference equivalence trial in primary care (EFFIMODI study).</t>
  </si>
  <si>
    <t>Wermeling, P R; Gorter, K J; Stellato, R K; de Wit, G A; Beulens, J W J; Rutten, G E H M</t>
  </si>
  <si>
    <t>https://pubmed.ncbi.nlm.nih.gov/24635880</t>
  </si>
  <si>
    <t>To investigate effectiveness and cost-effectiveness of 6-monthly monitoring compared with 3-monthly monitoring of well-controlled type 2 diabetes patients in primary care. A pragmatic randomised controlled patient-preference equivalence trial was performed. From April 2009 to August 2010, 2215 patients from 233 general practitioners across the Netherlands were included. Patients were eligible if between 40- and 80-years-old, diagnosed with type 2 diabetes for more than a year, treated by their general practitioner, not on insulin treatment and well-controlled during the last year (HbA1c ≤ 58 mmol/mol, systolic blood pressure ≤ 145 mmHg and total cholesterol ≤ 5.2 mmol/l). Patients without a strong preference for their monitoring frequency were randomised to 3-monthly or 6-monthly monitoring. Follow-up was 18 months. The primary outcome is the percentage of patients remaining under: HbA1c ≤ 58 mmol/mol, systolic blood pressure ≤ 145 mmHg and total cholesterol ≤ 5.2 mmol/l. Equivalence was assumed if the two-sided 95% confidence interval (CI) was between -5 and 5%. Cost-effectiveness was determined using a cost-minimisation analysis. In the 3-monthly group 69.5% remained under good cardiometabolic control, versus 69.8% in the 6-monthly group (difference: 0.3%; 95%CI: -6.2-6.7%). All secondary outcomes were equivalent for 3-monthly and 6-monthly monitoring, except the systolic blood pressure target, physical activity and antihypertensive drug use. Six-monthly monitoring was €387 (£333) cheaper per patient compared to 3-monthly monitoring during the study period. Patients with good cardiometabolic control and without preference for their monitoring frequency can visit the primary care physician less often. The cost-savings can be considerable.</t>
  </si>
  <si>
    <t>Susceptibility to chronic mucus hypersecretion, a genome wide association study.</t>
  </si>
  <si>
    <t>Dijkstra, Akkelies E; Smolonska, Joanna; van den Berge, Maarten; Wijmenga, Ciska; Zanen, Pieter; Luinge, Marjan A; Platteel, Mathieu; Lammers, Jan-Willem; Dahlback, Magnus; Tosh, Kerrie; Hiemstra, Pieter S; Sterk, Peter J; Spira, Avi; Vestbo, Jorgen; Nordestgaard, Borge G; Benn, Marianne; Nielsen, Sune F; Dahl, Morten; Verschuren, W Monique; Picavet, H Susan J; Smit, Henriette A; Owsijewitsch, Michael; Kauczor, Hans U; de Koning, Harry J; Nizankowska-Mogilnicka, Eva; Mejza, Filip; Nastalek, Pawel; van Diemen, Cleo C; Cho, Michael H; Silverman, Edwin K; Crapo, James D; Beaty, Terri H; Lomas, David A; Bakke, Per; Gulsvik, Amund; Bossé, Yohan; Obeidat, Ma'en; Loth, Daan W; Lahousse, Lies; Rivadeneira, Fernando; Uitterlinden, Andre G; Hofman, Andre; Stricker, Bruno H; Brusselle, Guy G; van Duijn, Cornelia M; Brouwer, Uilke; Koppelman, Gerard H; Vonk, Judith M; Nawijn, Martijn C; Groen, Harry J M; Timens, Wim; Boezen, H Marike; Postma, Dirkje S; ,</t>
  </si>
  <si>
    <t>https://pubmed.ncbi.nlm.nih.gov/24714607</t>
  </si>
  <si>
    <t>Chronic mucus hypersecretion (CMH) is associated with an increased frequency of respiratory infections, excess lung function decline, and increased hospitalisation and mortality rates in the general population. It is associated with smoking, but it is unknown why only a minority of smokers develops CMH. A plausible explanation for this phenomenon is a predisposing genetic constitution. Therefore, we performed a genome wide association (GWA) study of CMH in Caucasian populations. GWA analysis was performed in the NELSON-study using the Illumina 610 array, followed by replication and meta-analysis in 11 additional cohorts. In total 2,704 subjects with, and 7,624 subjects without CMH were included, all current or former heavy smokers (≥20 pack-years). Additional studies were performed to test the functional relevance of the most significant single nucleotide polymorphism (SNP). A strong association with CMH, consistent across all cohorts, was observed with rs6577641 (p = 4.25×10(-6), OR = 1.17), located in intron 9 of the special AT-rich sequence-binding protein 1 locus (SATB1) on chromosome 3. The risk allele (G) was associated with higher mRNA expression of SATB1 (4.3×10(-9)) in lung tissue. Presence of CMH was associated with increased SATB1 mRNA expression in bronchial biopsies from COPD patients. SATB1 expression was induced during differentiation of primary human bronchial epithelial cells in culture. Our findings, that SNP rs6577641 is associated with CMH in multiple cohorts and is a cis-eQTL for SATB1, together with our additional observation that SATB1 expression increases during epithelial differentiation provide suggestive evidence that SATB1 is a gene that affects CMH.</t>
  </si>
  <si>
    <t>Suppression of cytokine release by fluticasone furoate vs. mometasone furoate in human nasal tissue ex-vivo.</t>
  </si>
  <si>
    <t>Zhang, Nan; Van Crombruggen, Koen; Holtappels, Gabriele; Lan, Feng; Katotomichelakis, Michail; Zhang, Luo; Högger, Petra; Bachert, Claus</t>
  </si>
  <si>
    <t>https://pubmed.ncbi.nlm.nih.gov/24710117</t>
  </si>
  <si>
    <t>Topical glucocorticosteroids are the first line therapy for airway inflammation. Modern compounds with higher efficacy have been developed, but head-to-head comparison studies are sparse. To compare the activity of two intranasal glucocorticoids, fluticasone furoate (FF) and mometasone furoate (MF) with respect to the inhibition of T helper (Th)1, Th2 and Th17 cytokine release in airway mucosa. We used an ex-vivo human nasal mucosal tissue model and employed pre- and post- Staphylococcus aureus enterotoxin B (SEB)-challenge incubations with various time intervals and drug concentrations to mimic typical clinical situations of preventive or therapeutic use. At a fixed concentration of 10-10 M, FF had significantly higher suppressive effects on interferon (IFN)-γ, interleukin (IL)-2 and IL-17 release, but not IL-5 or tumor necrosis factor (TNF)-α, vs. MF. While the maximal suppressive activity was maintained when FF was added before or after tissue stimulation, the cytokine suppression capacity of MF appeared to be compromised when SEB-induced cell activation preceded the addition of the drug. In a pre-challenge incubation setting with removal of excess drug concentrations, MF approached inhibition of IL-5 and TNF-α after 6 and 24 hours while FF maximally blocked the release of these cytokines right after pre-incubation. Furthermore, FF suppressed a wider range of T helper cytokines compared to MF. The study demonstrates the potential of our human mucosal model and shows marked differences in the ability to suppress the release of various cytokines in pre- and post-challenge settings between FF and MF mimicking typical clinical situations of preventive or therapeutic use.</t>
  </si>
  <si>
    <t>Effects of recruitment strategies and demographic factors on inclusion in a large scale vaccination trial in adults 65 years and older.</t>
  </si>
  <si>
    <t>Smorenburg, Andre J; Oosterman, Bas J; Grobbee, Diederick E; Bonten, Marc J M; Roes, Kit C B</t>
  </si>
  <si>
    <t>https://pubmed.ncbi.nlm.nih.gov/24713367</t>
  </si>
  <si>
    <t>Large-scale randomized studies generate the highest level evidence for medical interventions. Yet, successful recruitment frequently is challenging, especially when targeting elderly populations. Although several studies investigated specific recruitment barriers, there is little quantitative understanding of such barriers. We therefore determined associations between patient related and study-related factors and study inclusion in healthy elderly (&gt;65 years) invited to participate in a double-blind placebo-controlled randomized study to determine effectiveness and safety of a 13-valent pneumococcal vaccine for community-acquired pneumonia in the Netherlands. Inclusions for this study took place between September 2008 and January 2010. The analysis was performed on replies to invitations sent between February 2009 and October 2009. In our analyses 260,700 replies from this period resulted in 48,982 candidates included in the study (18.8%). Study inclusion was associated with travel time to the vaccination site (decline of 0.6% per 4 min travel time, adjusted odds ratio (OR) 0.972, 95% CI 0.964-0.980), number of published advertorials in local newspapers (increase of 0.4% per consecutively placed advertorial, adjusted OR 1.030, 95% CI 1.026-1.035), age (decline of 0.7% per year, adjusted OR 0.953, 95% CI 0.951-0.955) and male gender (adjusted OR 0.588 versus female, 95% CI 0.576-0.599). Introduction letters sent on behalf of general practitioners prior to the actual invitation letter were not associated with study inclusion. Careful consideration of these parameters in study preparation may facilitate more successful patient recruitment in clinical trials in healthy elderly.</t>
  </si>
  <si>
    <t>Identifiability and privacy in pluripotent stem cell research.</t>
  </si>
  <si>
    <t>Isasi, Rosario; Andrews, Peter W; Baltz, Jay M; Bredenoord, Annelien L; Burton, Paul; Chiu, Ing-Ming; Hull, Sara Chandros; Jung, Ji-Won; Kurtz, Andreas; Lomax, Geoffrey; Ludwig, Tenneille; McDonald, Michael; Morris, Clive; Ng, Huck Hui; Rooke, Heather; Sharma, Alka; Stacey, Glyn N; Williams, Clare; Zeng, Fanyi; Knoppers, Bartha Maria</t>
  </si>
  <si>
    <t>https://pubmed.ncbi.nlm.nih.gov/24702994</t>
  </si>
  <si>
    <t>Data sharing is an essential element of research; however, recent scientific and social developments have challenged conventional methods for protecting privacy. Here we provide guidance for determining data sharing thresholds for human pluripotent stem cell research aimed at a wide range of stakeholders, including research consortia, biorepositories, policy-makers, and funders.</t>
  </si>
  <si>
    <t>Predicting survival of de novo metastatic breast cancer in Asian women: systematic review and validation study.</t>
  </si>
  <si>
    <t>Miao, Hui; Hartman, Mikael; Bhoo-Pathy, Nirmala; Lee, Soo-Chin; Taib, Nur Aishah; Tan, Ern-Yu; Chan, Patrick; Moons, Karel G M; Wong, Hoong-Seam; Goh, Jeremy; Rahim, Siti Mastura; Yip, Cheng-Har; Verkooijen, Helena M</t>
  </si>
  <si>
    <t>https://pubmed.ncbi.nlm.nih.gov/24695692</t>
  </si>
  <si>
    <t>In Asia, up to 25% of breast cancer patients present with distant metastases at diagnosis. Given the heterogeneous survival probabilities of de novo metastatic breast cancer, individual outcome prediction is challenging. The aim of the study is to identify existing prognostic models for patients with de novo metastatic breast cancer and validate them in Asia. We performed a systematic review to identify prediction models for metastatic breast cancer. Models were validated in 642 women with de novo metastatic breast cancer registered between 2000 and 2010 in the Singapore Malaysia Hospital Based Breast Cancer Registry. Survival curves for low, intermediate and high-risk groups according to each prognostic score were compared by log-rank test and discrimination of the models was assessed by concordance statistic (C-statistic). We identified 16 prediction models, seven of which were for patients with brain metastases only. Performance status, estrogen receptor status, metastatic site(s) and disease-free interval were the most common predictors. We were able to validate nine prediction models. The capacity of the models to discriminate between poor and good survivors varied from poor to fair with C-statistics ranging from 0.50 (95% CI, 0.48-0.53) to 0.63 (95% CI, 0.60-0.66). The discriminatory performance of existing prediction models for de novo metastatic breast cancer in Asia is modest. Development of an Asian-specific prediction model is needed to improve prognostication and guide decision making.</t>
  </si>
  <si>
    <t>Pneumococcal conjugate vaccines for preventing otitis media.</t>
  </si>
  <si>
    <t>Fortanier, Alexandre C; Venekamp, Roderick P; Boonacker, Chantal W B; Hak, Eelko; Schilder, Anne G M; Sanders, Elisabeth A M; Damoiseaux, Roger A M J</t>
  </si>
  <si>
    <t>https://pubmed.ncbi.nlm.nih.gov/24696098</t>
  </si>
  <si>
    <t>Acute otitis media (AOM) is a very common respiratory infection in early infancy and childhood. The marginal benefits of antibiotics for AOM in low-risk populations in general, the increasing problem of bacterial resistance to antibiotics and the huge estimated direct and indirect annual costs associated with otitis media (OM) have prompted a search for effective vaccines to prevent AOM. To assess the effect of pneumococcal conjugate vaccines (PCVs) in preventing AOM in children up to 12 years of age. We searched CENTRAL (2013, Issue 11), MEDLINE (1995 to November week 3, 2013), EMBASE (1995 to December 2013), CINAHL (2007 to December 2013), LILACS (2007 to December 2013) and Web of Science (2007 to December 2013). Randomised controlled trials (RCTs) of PCVs to prevent AOM in children aged 12 years or younger, with a follow-up of at least six months after vaccination. Two review authors independently assessed trial quality and extracted data. We included 11 publications of nine RCTs (n = 48,426 children, range 74 to 37,868 per study) of 7- to 11-valent PCV (with different carrier proteins). Five trials (n = 47,108) included infants, while four trials (n = 1318) included children aged one to seven years that were either healthy (one study, n = 264) or had a previous history of upper respiratory tract infection (URTI), including AOM. We judged the methodological quality of the included studies to be moderate to high. There was considerable clinical diversity between studies in terms of study population, type of conjugate vaccine and outcome measures. We therefore refrained from pooling the results.In three studies, the 7-valent PCV with CRM197 as carrier protein (CRM197-PCV7) administered during early infancy was associated with a relative risk reduction (RRR) of all-cause AOM ranging from -5% in high-risk children (95% confidence interval (CI) -25% to 12%) to 7% in low-risk children (95% CI 4% to 9%). Another 7-valent PCV with the outer membrane protein complex of Neisseria meningitidis (N. meningitidis) serogroup B as carrier protein, administered in infancy, did not reduce overall AOM episodes, while a precursor 11-valent PCV with Haemophilus influenzae (H. influenzae) protein D as carrier protein was associated with a RRR of all-cause AOM episodes of 34% (95% CI 21% to 44%).A 9-valent PCV (with CRM197 carrier protein) administered in healthy toddlers was associated with a RRR of (parent-reported) OM episodes of 17% (95% CI -2% to 33%). CRM197-PCV7 followed by 23-valent pneumococcal polysaccharide vaccination administered after infancy in older children with a history of AOM showed no beneficial effect on first occurrence and later AOM episodes. In a study in older children with a previously diagnosed respiratory tract infection, performed during the influenza season, a trivalent influenza vaccine combined with placebo (TIV/placebo) led to fewer all-cause AOM episodes than vaccination with TIV and PCV7 (TIV/PCV7) when compared to hepatitis B vaccination and placebo (HBV/placebo) (RRR 71%, 95% CI 30% to 88% versus RRR 57%, 95% CI 6% to 80%, respectively) indicating that CRM197-PCV7 after infancy may even have negative effects on AOM. Based on current evidence of the effects of PCVs for preventing AOM, the licensed 7-valent CRM197-PCV7 has modest beneficial effects in healthy infants with a low baseline risk of AOM. Administering PCV7 in high-risk infants, after early infancy and in older children with a history of AOM, appears to have no benefit in preventing further episodes. Currently, several RCTs with different (newly licensed, multivalent) PCVs administered during early infancy are ongoing to establish their effects on AOM. Results of these studies may provide a better understanding of the role of the newly licensed, multivalent PCVs in preventing AOM. Also the impact on AOM of the carrier protein D, as used in certain pneumococcal vaccines, needs to be further established.</t>
  </si>
  <si>
    <t>Improving clinical trial efficiency by biomarker-guided patient selection.</t>
  </si>
  <si>
    <t>Boessen, Ruud; Heerspink, Hiddo J Lambers; De Zeeuw, Dick; Grobbee, Diederick E; Groenwold, Rolf H H; Roes, Kit C B</t>
  </si>
  <si>
    <t>https://pubmed.ncbi.nlm.nih.gov/24690215</t>
  </si>
  <si>
    <t>In many therapeutic areas, individual patient markers have been identified that are associated with differential treatment response. These markers include both baseline characteristics, as well as short-term changes following treatment. Using such predictive markers to select subjects for inclusion in randomized clinical trials could potentially result in more targeted studies and reduce the number of subjects to recruit. This study compared three trial designs on the sample size needed to establish treatment efficacy across a range of realistic scenarios. A conventional parallel group design served as the point of reference, while the alternative designs selected subjects on either a baseline characteristic or an early improvement after a short active run-in phase. Data were generated using a model that characterized the effect of treatment on survival as a combination of a primary effect, an interaction with a baseline marker and/or an early marker improvement. A representative scenario derived from empirical data was also evaluated. Simulations showed that an active run-in design could substantially reduce the number of subjects to recruit when improvement during active run-in was a reliable predictor of differential treatment response. In this case, the baseline selection design was also more efficient than the parallel group design, but less efficient than the active run-in design with an equally restricted population. For most scenarios, however, the advantage of the baseline selection design was limited. An active run-in design could substantially reduce the number of subjects to recruit in a randomized clinical trial. However, just as with the baseline selection design, generalizability of results may be limited and implementation could be difficult.</t>
  </si>
  <si>
    <t>Antibiotic treatment of moderate-severe community-acquired pneumonia: design and rationale of a multicentre cluster-randomised cross-over trial.</t>
  </si>
  <si>
    <t>van Werkhoven, C H; Postma, D F; Oosterheert, J J; Bonten, M J M</t>
  </si>
  <si>
    <t>https://pubmed.ncbi.nlm.nih.gov/24846935</t>
  </si>
  <si>
    <t>For the empirical treatment of community-acquired pneumonia requiring admission to a non-ICU ward, the Dutch guidelines recommend either beta-lactam monotherapy, beta-lactam and macrolide combination therapy, or fluoroquinolone monotherapy. The lack of convincing evidence to preferentially recommend any of the three empiric regimens results from intrinsic limitations of current studies, such as bias by indication and residual confounding in observational studies, and the unknown effects of pre-randomisation antibiotic use in randomised controlled trials. In this paper we discuss the methodological drawbacks of observational cohorts and randomised controlled trials in antibiotic therapy. Next, we explain why we designed a multicentre cluster-randomised cross-over study to evaluate the effectiveness of three antibiotic treatment strategies, consisting of a preferred treatment regimen of beta-lactam monotherapy, beta-lactam and macrolide combination therapy or fluoroquinolone monotherapy, in adult patients admitted to a non-ICU ward with a clinical diagnosis of community-acquired pneumonia. Furthermore we outline different aspects of this design that deserve thorough consideration. We discuss different aspects of a cluster-randomised cross-over trial that is designed to determine the effects of three recommended regimens of antibiotic treatment of CAP.</t>
  </si>
  <si>
    <t>Prediction of preterm birth in multiple pregnancies: development of a multivariable model including cervical length measurement at 16 to 21 weeks' gestation.</t>
  </si>
  <si>
    <t>van de Mheen, Lidewij; Schuit, Ewoud; Lim, Arianne C; Porath, Martina M; Papatsonis, Dimitri; Erwich, Jan J; van Eyck, Jim; van Oirschot, Charlotte M; Hummel, Piet; Duvekot, Johannes J; Hasaart, Tom H M; Groenwold, Rolf H H; Moons, Karl G M; de Groot, Christianne J M; Bruinse, Hein W; van Pampus, Maria G; Mol, Ben W J</t>
  </si>
  <si>
    <t>journal of obstetrics and gynaecology canada jogc journal dobstetrique et gynecologie du canada jogc</t>
  </si>
  <si>
    <t>https://pubmed.ncbi.nlm.nih.gov/24798668</t>
  </si>
  <si>
    <t>To develop a multivariable prognostic model for the risk of preterm delivery in women with multiple pregnancy that includes cervical length measurement at 16 to 21 weeks' gestation and other variables. We used data from a previous randomized trial. We assessed the association between maternal and pregnancy characteristics including cervical length measurement at 16 to 21 weeks' gestation and time to delivery using multivariable Cox regression modelling. Performance of the final model was assessed for the outcomes of preterm and very preterm delivery using calibration and discrimination measures. We studied 507 women, of whom 270 (53%) delivered &lt; 37 weeks (preterm) and 66 (13%) &lt; 32 weeks (very preterm). Women with cervical length &lt; 30 mm delivered more often preterm (hazard ratio 1.9; 95% CI 0.7 to 4.8). Other independently contributing predictors were previous preterm delivery, monochorionicity, smoking, educational level, and triplet pregnancy. Prediction models for preterm and very preterm delivery had a c-index of 0.68 (95% CI 0.63 to 0.72) and 0.68 (95% CI 0.62 to 0.75), respectively, and showed good calibration. In women with a multiple pregnancy, the risk of preterm delivery can be assessed with a multivariable model incorporating cervical length and other predictors.</t>
  </si>
  <si>
    <t>Rapid Systematic Review of the Epley Maneuver for Treating Posterior Canal Benign Paroxysmal Positional Vertigo.</t>
  </si>
  <si>
    <t>van Duijn, Jeroen G; Isfordink, Liz M; Nij Bijvank, Jenny A; Stapper, Carlijne W; van Vuren, Annelies J; Wegner, Inge; Kortekaas, Marlous F; Grolman, Wilko</t>
  </si>
  <si>
    <t>https://pubmed.ncbi.nlm.nih.gov/24687942</t>
  </si>
  <si>
    <t>The aim of this study was to compare watchful waiting to the Epley maneuver as a management option for patients with posterior canal benign paroxysmal positional vertigo (p-BPPV) regarding symptom relief. PubMed, Embase, and The Cochrane Library. A systematic search was conducted. Studies reporting original study data were included. Relevance and risk of bias (RoB) of the selected articles were assessed. Studies with low relevance, high RoB, or both were excluded. Absolute risk differences and their 95% confidence intervals (CIs) were extracted for the included studies. A total of 1448 unique studies were retrieved. Eight of these satisfied the eligibility criteria. At 1-week follow-up, all included studies reported a clinically relevant effect in favor of the Epley maneuver regarding symptom relief (absolute risk differences ranging from 20% [95% CI, 5%-37%] to 59% [95% CI, 32%-76%]) or conversion to a negative Dix-Hallpike (absolute risk differences ranging from 17% [95% CI, -5%-37%] to 64% [95% CI, 29%-79%]). At 1-month follow-up, the results of the included studies diverged further. Absolute risk differences ranged from 6% (95% CI, -24%-35%) more symptom relief in favor of watchful waiting to 79% (95% CI, 56%-88%) in favor of the Epley maneuver. All data of the selected studies show a benefit in favor of the Epley maneuver at 1-week follow-up in the management of p-BPPV. The Epley maneuver should be considered in all patients with p-BPPV.</t>
  </si>
  <si>
    <t>Glycated hemoglobin measurement and prediction of cardiovascular disease.</t>
  </si>
  <si>
    <t>,; Di Angelantonio, Emanuele; Gao, Pei; Khan, Hassan; Butterworth, Adam S; Wormser, David; Kaptoge, Stephen; Kondapally Seshasai, Sreenivasa Rao; Thompson, Alex; Sarwar, Nadeem; Willeit, Peter; Ridker, Paul M; Barr, Elizabeth L M; Khaw, Kay-Tee; Psaty, Bruce M; Brenner, Hermann; Balkau, Beverley; Dekker, Jacqueline M; Lawlor, Debbie A; Daimon, Makoto; Willeit, Johann; Njølstad, Inger; Nissinen, Aulikki; Brunner, Eric J; Kuller, Lewis H; Price, Jackie F; Sundström, Johan; Knuiman, Matthew W; Feskens, Edith J M; Verschuren, W M M; Wald, Nicholas; Bakker, Stephan J L; Whincup, Peter H; Ford, Ian; Goldbourt, Uri; Gómez-de-la-Cámara, Agustín; Gallacher, John; Simons, Leon A; Rosengren, Annika; Sutherland, Susan E; Björkelund, Cecilia; Blazer, Dan G; Wassertheil-Smoller, Sylvia; Onat, Altan; Marín Ibañez, Alejandro; Casiglia, Edoardo; Jukema, J Wouter; Simpson, Lara M; Giampaoli, Simona; Nordestgaard, Børge G; Selmer, Randi; Wennberg, Patrik; Kauhanen, Jussi; Salonen, Jukka T; Dankner, Rache</t>
  </si>
  <si>
    <t>https://pubmed.ncbi.nlm.nih.gov/24668104</t>
  </si>
  <si>
    <t>The value of measuring levels of glycated hemoglobin (HbA1c) for the prediction of first cardiovascular events is uncertain. To determine whether adding information on HbA1c values to conventional cardiovascular risk factors is associated with improvement in prediction of cardiovascular disease (CVD) risk. Analysis of individual-participant data available from 73 prospective studies involving 294,998 participants without a known history of diabetes mellitus or CVD at the baseline assessment. Measures of risk discrimination for CVD outcomes (eg, C-index) and reclassification (eg, net reclassification improvement) of participants across predicted 10-year risk categories of low (&lt;5%), intermediate (5% to &lt;7.5%), and high (≥ 7.5%) risk. During a median follow-up of 9.9 (interquartile range, 7.6-13.2) years, 20,840 incident fatal and nonfatal CVD outcomes (13,237 coronary heart disease and 7603 stroke outcomes) were recorded. In analyses adjusted for several conventional cardiovascular risk factors, there was an approximately J-shaped association between HbA1c values and CVD risk. The association between HbA1c values and CVD risk changed only slightly after adjustment for total cholesterol and triglyceride concentrations or estimated glomerular filtration rate, but this association attenuated somewhat after adjustment for concentrations of high-density lipoprotein cholesterol and C-reactive protein. The C-index for a CVD risk prediction model containing conventional cardiovascular risk factors alone was 0.7434 (95% CI, 0.7350 to 0.7517). The addition of information on HbA1c was associated with a C-index change of 0.0018 (0.0003 to 0.0033) and a net reclassification improvement of 0.42 (-0.63 to 1.48) for the categories of predicted 10-year CVD risk. The improvement provided by HbA1c assessment in prediction of CVD risk was equal to or better than estimated improvements for measurement of fasting, random, or postload plasma glucose levels. In a study of individuals without known CVD or diabetes, additional assessment of HbA1c values in the context of CVD risk assessment provided little incremental benefit for prediction of CVD risk.</t>
  </si>
  <si>
    <t>Impact of genital warts on emotional and sexual well-being differs by gender.</t>
  </si>
  <si>
    <t>Vriend, Henrike J; Nieuwkerk, Pythia T; van der Sande, Marianne A B</t>
  </si>
  <si>
    <t>https://pubmed.ncbi.nlm.nih.gov/24671715</t>
  </si>
  <si>
    <t>To assess gender-specific impact of genital warts on health-related quality of life (HRQoL), and to explore to what extent sexual characteristics and clinical symptoms influenced the impact on emotional and sexual well-being of both sexes. We conducted a survey of sexual and clinical characteristics from persons diagnosed with genital warts at STI clinics. HRQoL was measured using two measurement tools: 1) the generic EQ-5D; and 2) the genital warts-specific CECA-10 including an emotional well-being and a sexual activity dimension. The EQ-5D scores were compared with scores of the general population. Descriptive analyses were used to explore characteristics associated with HRQoL scores stratified for gender. The HRQoL-measurement tools showed that genital warts have especially an emotional impact. The impact of genital warts on HRQoL was greater for women than for men. In addition, the CECA-10 showed that in women the impact of genital warts on sexual activity was influenced by age, relationship status and number of warts. No related factors were seen in men. Genital warts have a greater impact on women than on men. In women, sexual and clinical factors influenced the impact of genital warts on well-being, whereas in men no such factors were found.</t>
  </si>
  <si>
    <t>The Relation of Three-dimensional Knee Kinematics between Walking and Squatting for Healthy Young and Elderly Adults.</t>
  </si>
  <si>
    <t>Han, Shu-Yang; Ge, Shi-Rong; Liu, Hong-Tao</t>
  </si>
  <si>
    <t>journal of physical therapy science</t>
  </si>
  <si>
    <t>https://pubmed.ncbi.nlm.nih.gov/24707109</t>
  </si>
  <si>
    <t>[Purpose] The purpose of this study was to study the correlation of knee range of motion between walking and squatting for young and elderly populations. [Subjects] Sixteen young and eight elderly healthy subjects were recruited for this study. [Methods] Three-dimensional joint motions of each subject were captured while they performed walking and squatting exercises. [Results] Significant differences in the non-sagittal plane knee motions (peak adduction, and peak external and internal rotation) were revealed between the young and the elderly during squatting. Correlations of three-dimensional knee range of motion between walking and squatting were positive and high in all three planes for the young subjects (R(2)=0.70, 0.52, and 0.45, respectively), but not for the elderly subjects (R(2)=0.23, 0.0004, and 0.05, respectively). [Conclusion] We suggest that changes in secondary knee kinematics and poor correlations between walking and squatting for the elderly may result from degeneration of the sensory and neuromuscular systems. It could be injurious for the elderly to perform high flexion activities.</t>
  </si>
  <si>
    <t>Treatment of cerebral cavernous malformations: a systematic review and meta-regression analysis.</t>
  </si>
  <si>
    <t>Poorthuis, Michiel H F; Klijn, Catharina J M; Algra, Ale; Rinkel, Gabriel J E; Al-Shahi Salman, Rustam</t>
  </si>
  <si>
    <t>https://pubmed.ncbi.nlm.nih.gov/24667206</t>
  </si>
  <si>
    <t>The reported effects of treating cerebral cavernous malformations (CCMs) by neurosurgical excision or stereotactic radiosurgery are imprecise and vary between studies. We searched Ovid Medline, EMBASE and The Cochrane Library for peer-reviewed publications of cohort studies describing outcomes of treating 20 or more patients with CCM with at least 80% completeness of follow-up. Two reviewers extracted data to quantify the incidence of a composite outcome (death, non-fatal intracranial haemorrhage, or new/worse persistent focal neurological deficit) after CCM treatment. We explored associations between summary measures of study characteristics and outcome using Poisson meta-regression analyses. We included 63 cohorts, involving 3424 patients. The incidence of the composite outcome was 6.6 (95% CI 5.7 to 7.5) per 100 person-years after neurosurgical excision (median follow-up 3.3 years) and 5.4 (95% CI 4.5 to 6.4) after stereotactic radiosurgery (median follow-up 4.1 years). After neurosurgical excision the incidence of the composite outcome increased with every per cent point increase in patients with brainstem CCM (rate ratio (RR) 1.03, 95% CI 1.01 to 1.05), and decreased with each more recent study midyear (RR 0.91, 95% CI 0.85 to 0.98) and each per cent point increase in patients presenting with haemorrhage (RR 0.98, 95% CI 0.96 to 1.00). We did not find significant associations in studies of stereotactic radiosurgery. The reported risks of CCM treatment (and the lower risks of neurosurgical excision over time, from recently bled CCMs, and for CCMs outside the brainstem) compare favourably with the risks of recurrent haemorrhage from CCM. Long-term effects, especially important for stereotactic radiosurgery, are unknown.</t>
  </si>
  <si>
    <t>Validity of electronically administered Recent Physical Activity Questionnaire (RPAQ) in ten European countries.</t>
  </si>
  <si>
    <t>Golubic, Rajna; May, Anne M; Benjaminsen Borch, Kristin; Overvad, Kim; Charles, Marie-Aline; Diaz, Maria Jose Tormo; Amiano, Pilar; Palli, Domenico; Valanou, Elisavet; Vigl, Matthaeus; Franks, Paul W; Wareham, Nicholas; Ekelund, Ulf; Brage, Soren</t>
  </si>
  <si>
    <t>https://pubmed.ncbi.nlm.nih.gov/24667343</t>
  </si>
  <si>
    <t>To examine the validity of the Recent Physical Activity Questionnaire (RPAQ) which assesses physical activity (PA) in 4 domains (leisure, work, commuting, home) during past month. 580 men and 1343 women from 10 European countries attended 2 visits at which PA energy expenditure (PAEE), time at moderate-to-vigorous PA (MVPA) and sedentary time were measured using individually-calibrated combined heart-rate and movement sensing. At the second visit, RPAQ was administered electronically. Validity was assessed using agreement analysis. RPAQ significantly underestimated PAEE in women [median(IQR): 34.9 (22.3, 52.8) vs. 40.6 (32.4, 50.9) kJ/kg/day, 95%LoA: -44.4, 66.1 kJ/kg/day) and overestimated PAEE in men [45.9 (30.6, 71.1) vs. 45.5 (34.1, 57.6) kJ/kg/day, 95%LoA: -44.8, 102.6 kJ/kg/day]. Using individualised definition of 1MET, RPAQ significantly underestimated MVPA in women [median(IQR): 63.7 (30.5, 126.9) vs. 73.6 (47.8, 107.2) min/day, 95%LoA: -127.4, 311.9 min/day] and overestimated MVPA in men [90.0 (42.3, 188.6) vs. 83.3 (55.1, 125.0) min/day, 95%LoA: -134.8, 427.3 min/day]. Correlations (95%CI) between subjective and objective estimates were statistically significant [PAEE: women, rho = 0.20 (0.15-0.26); men, rho = 0.37 (0.30-0.44); MVPA: women, rho = 0.18 (0.13-0.24); men, rho = 0.31 (0.24-0.38)]. When using non-individualised definition of 1MET (3.5 mlO2/kg/min), MVPA was substantially overestimated (16 min/day, and 32 min/day in women and men, respectively). Revisiting occupational intensity assumptions in questionnaire estimation algorithms with occupational group-level empirical distributions reduced median PAEE-bias in manual (38.8 kJ/kg/day vs. 6.8 kJ/kg/day, p&lt;0.001) and heavy manual workers (63.6 vs. -2.8 kJ/kg/day, p&lt;0.001) in an independent hold-out sample [corrected]. Relative validity of RPAQ-derived PAEE and MVPA is comparable to previous studies but underestimation of PAEE is smaller. Electronic RPAQ may be used in large-scale epidemiological studies including surveys, providing information on all domains of PA.</t>
  </si>
  <si>
    <t>Systemic corticosteroids for acute sinusitis.</t>
  </si>
  <si>
    <t>Venekamp, Roderick P; Thompson, Matthew J; Hayward, Gail; Heneghan, Carl J; Del Mar, Chris B; Perera, Rafael; Glasziou, Paul P; Rovers, Maroeska M</t>
  </si>
  <si>
    <t>https://pubmed.ncbi.nlm.nih.gov/24664368</t>
  </si>
  <si>
    <t>Acute sinusitis is the inflammation and swelling of the nasal and paranasal mucous membranes and is a common reason for patients to seek primary care consultations. The related impairment of daily functioning and quality of life is attributable to symptoms such as facial pain and nasal congestion. To assess the effects of systemic corticosteroids on clinical response rates and to determine adverse effects and relapse rates of systemic corticosteroids compared to placebo or standard clinical care in children and adults with acute sinusitis. We searched CENTRAL (2014, Issue 1), MEDLINE (1966 to February week 1, 2014) and EMBASE (January 2009 to February 2014). Randomised controlled trials (RCTs) comparing systemic corticosteroids to placebo or standard clinical care for patients with acute sinusitis. Two review authors independently assessed the methodological quality of the trials and extracted data. Five RCTs with a total of 1193 adult participants met our inclusion criteria. We judged methodological quality to be moderate in four trials and high in one trial. Acute sinusitis was defined clinically in all trials. However, the three trials performed in ear, nose and throat (ENT) outpatient clinics also used radiological assessment as part of their inclusion criteria. All participants were assigned to either oral corticosteroids (prednisone 24 mg to 80 mg daily or betamethasone 1 mg daily) or the control treatment (placebo in four trials and non-steroidal anti-inflammatory drugs (NSAIDs) in one trial). In four trials antibiotics were prescribed in addition to oral corticosteroids or control treatment, while one trial investigated the effects of oral corticosteroids as a monotherapy.When combining data from the five trials, participants treated with oral corticosteroids were more likely to have short-term resolution or improvement of symptoms than those receiving the control treatment: at days three to seven (risk ratio (RR) 1.3, 95% confidence interval (CI) 1.1 to 1.6; risk difference (RD) 17%, 95% CI 6% to 29%) and at days four to 14 (RR 1.2, 95% CI 1.0 to 1.5; RD 14%, 95% CI 1% to 27%). A sensitivity analysis including the four trials with placebo as a control treatment showed similar results but with a lesser effect size: at days three to seven (RR 1.2, 95% CI 1.1 to 1.3; RD 11%, 95% CI 4% to 17%) and days four to 14 (RR 1.1, 95% CI 1.0 to 1.2; RD 8%, 95% CI 2% to 13%). Statistical heterogeneity was high for many analyses. Subgroup analyses revealed that corticosteroid monotherapy had no beneficial effects. Furthermore, scenario analysis showed that outcomes missing from the trial reports might have introduced attrition bias (a worst-case scenario showed no statistically significant beneficial effect of oral corticosteroids). No trial reported effects on relapse or recurrence rates. Reported side effects in patients treated with oral corticosteroids were mild (nausea, vomiting, gastric complaints) and did not significantly differ from those receiving placebo. Oral corticosteroids as a monotherapy appear to be ineffective for adult patients with clinically diagnosed acute sinusitis. Current data on the use of oral corticosteroids as an adjunctive therapy to oral antibiotics are limited: almost all trials are performed in secondary care settings and there is a significant risk of bias. This limited evidence suggests that oral corticosteroids in combination with antibiotics may be modestly beneficial for short-term relief of symptoms in acute sinusitis, with a number needed to treat to benefit of seven for resolution or symptom improvement. A large primary care factorial trial is needed to establish whether oral corticosteroids offer additional benefits over antibiotics in acute sinusitis.</t>
  </si>
  <si>
    <t>End-of-life decisions in patients with severe acute brain injury.</t>
  </si>
  <si>
    <t>Geurts, Marjolein; Macleod, Malcolm R; van Thiel, Ghislaine J M W; van Gijn, Jan; Kappelle, L Jaap; van der Worp, H Bart</t>
  </si>
  <si>
    <t>https://pubmed.ncbi.nlm.nih.gov/24675048</t>
  </si>
  <si>
    <t>Most in-hospital deaths of patients with stroke, traumatic brain injury, or postanoxic encephalopathy after cardiac arrest occur after a decision to withhold or withdraw life-sustaining treatments. Decisions on treatment restrictions in these patients are generally complex and are based only in part on evidence from published work. Prognostic models to be used in this decision-making process should have a strong discriminative power. However, for most causes of acute brain injury, prognostic models are not sufficiently accurate to serve as the sole basis of decisions to limit treatment. These decisions are also complicated because patients often do not have the capacity to communicate their preferences. Additionally, surrogate decision makers might not accurately represent the patient's preferences. Finally, in the acute stage, prediction of how a patient would adapt to a life with major disability is difficult.</t>
  </si>
  <si>
    <t>Strengths and weaknesses of guideline approaches to safeguard voluntary informed consent of patients within a dependent relationship.</t>
  </si>
  <si>
    <t>Dekking, Sara A S; van der Graaf, Rieke; van Delden, Johannes J M</t>
  </si>
  <si>
    <t>https://pubmed.ncbi.nlm.nih.gov/24655604</t>
  </si>
  <si>
    <t>It is thought that a dependent relationship between patients and physicians who enroll their own patients in research compromises voluntary informed consent. Therefore, several ethical guidelines for human subject research provide approaches to mitigate these compromises. Currently, these approaches have not been critically evaluated. In this article, we analyze the approaches of ethical guidelines to manage the influence of a dependent relationship between patients and physicians on voluntary informed consent and discuss the strengths and weaknesses of these approaches. We performed a review of international ethical guidance documents on human subject research, listed in the Oxford Textbook of Clinical Research Ethics and found through cross referencing. We also searched Global Ethics Observatory (GEObs) and the World Health Organization (WHO) website. Guidelines from all years were eligible for inclusion. The date last searched was December 2013. We identified two basic guideline approaches: 1. A process approach, which focuses on the person who obtains informed consent, that is, an independent individual, such as a research nurse or counselor; and 2. A content approach, emphasizing the voluntary nature of participation. Both approaches are valuable, either because the influence of the physician may diminish or because it empowers patients to make voluntary decisions. However, the approaches also face challenges. First, research nurses are not always independent. Second, physician-investigators will be informed about decisions of their patients. Third, involvement of a counselor is sometimes unfeasible. Fourth, the right to withdraw may be difficult to act upon in a dependent relationship. Current guideline approaches to protect voluntary informed consent within a dependent relationship are suboptimal. To prevent compromises to voluntary informed consent, consent should not only be obtained by an independent individual, but this person should also emphasize the voluntary nature of participation. At the same time, dependency as such does not imply undue influence. Sometimes the physician may be best qualified to provide information, for example, for a very specialized study. Still, the research nurse should obtain informed consent. In addition, patients should be able to consult a counselor, who attends the informed consent discussions and is concerned with their interests. Finally, both physicians and research nurses should disclose research interests.</t>
  </si>
  <si>
    <t>Difference in aneurysm characteristics between ruptured and unruptured aneurysms in patients with multiple intracranial aneurysms.</t>
  </si>
  <si>
    <t>Backes, Daan; Vergouwen, Mervyn D I; Velthuis, Birgitta K; van der Schaaf, Irene C; Bor, A Stijntje E; Algra, Ale; Rinkel, Gabriel J E</t>
  </si>
  <si>
    <t>https://pubmed.ncbi.nlm.nih.gov/24652309</t>
  </si>
  <si>
    <t>Prediction of the risk of rupture of unruptured intracranial aneurysms is mainly based on aneurysm size and location. Previous studies identified features of aneurysm shape and flow angles as additional risk factors for aneurysm rupture, but these studies were at risk for confounding by patient-specific risk factors such as hypertension and age. In this study, we avoided this risk by comparing characteristics of ruptured and unruptured aneurysms in patients with both aneurysmal subarachnoid hemorrhage and multiple intracranial aneurysms. We included patients with aneurysmal subarachnoid hemorrhage and multiple aneurysms who presented to our hospital between 2003 and 2013. We identified the ruptured aneurysm based on bleeding pattern on head computed tomography or surgical findings. Aneurysm characteristics (size, location, shape, aspect ratio [neck-to-dome length/neck-width], flow angles, sidewall or bifurcation type, and contact with bone) were evaluated on computed tomographic angiograms. We calculated odds ratios with 95% confidence intervals with conditional univariable logistic regression analysis. Analyses were repeated after adjustment for aneurysm size and location. The largest aneurysm had not ruptured in 36 (29%) of the 124 included patients with 302 aneurysms. Odds ratios for aspect ratio≥1.3 was 3.3 (95% confidence intervals [1.3-8.4]) and odds ratios for irregular shape was 3.0 (95% confidence intervals [1.0-8.8]), both after adjustment for aneurysm size and location. Aspect ratio≥1.3 and irregular shape are associated with aneurysm rupture independent of aneurysm size and location, and independent of patient characteristics. Additional studies need to assess to what extent these factors increase the risks of rupture of small aneurysms in absolute terms.</t>
  </si>
  <si>
    <t>Is the long-term prognosis of transient ischemic attack or minor ischemic stroke affected by the occurrence of nonfocal symptoms?</t>
  </si>
  <si>
    <t>Compter, Annette; van der Worp, H Bart; van Gijn, Jan; Kappelle, L Jaap; Koudstaal, Peter J; Algra, Ale</t>
  </si>
  <si>
    <t>https://pubmed.ncbi.nlm.nih.gov/24652304</t>
  </si>
  <si>
    <t>In patients with a transient ischemic attack or ischemic stroke, nonfocal neurological symptoms, such as confusion and nonrotatory dizziness, may be associated with a higher risk of vascular events. We assessed the relationship between nonfocal symptoms and the long-term risk of vascular events or death in patients with a transient ischemic attack or minor ischemic stroke. We related initial symptoms with outcome events in 2409 patients with a transient ischemic attack (n=723) or minor ischemic stroke (n=1686), included in the Life Long After Cerebral ischemia cohort. All patients underwent a standardized interview on the occurrence of focal and nonfocal neurological symptoms during the qualifying event. The primary outcome was the composite of any stroke, myocardial infarction, or vascular death. Secondary outcomes were all-cause death, vascular death, cardiac death, myocardial infarction, and stroke. Hazard ratios were calculated with Cox regression. Focal symptoms were accompanied by nonfocal symptoms in 739 (31%) patients. During a mean follow-up of 10.1 years, the primary outcome occurred in 1313 (55%) patients. There was no difference in the risk of the primary outcome between patients with both focal and nonfocal symptoms and patients with focal symptoms alone (adjusted hazard ratio, 0.97; 95% confidence interval, 0.86-1.09; P=0.60). The risk of each of the secondary outcomes was also similar in both groups. About one third of the patients with a transient ischemic attack or minor ischemic stroke has both focal and nonfocal neurological symptoms. Nonfocal symptoms are not associated with an increased long-term risk of vascular events or death. This trial was not registered because enrollment began before July 1, 2005.</t>
  </si>
  <si>
    <t>Anal, penile, and oral high-risk HPV infections and HPV seropositivity in HIV-positive and HIV-negative men who have sex with men.</t>
  </si>
  <si>
    <t>van Rijn, Vera M; Mooij, Sofie H; Mollers, Madelief; Snijders, Peter J F; Speksnijder, Arjen G C L; King, Audrey J; de Vries, Henry J C; van Eeden, Arne; van der Klis, Fiona R M; de Melker, Hester E; van der Sande, Marianne A B; van der Loeff, Maarten F Schim</t>
  </si>
  <si>
    <t>https://pubmed.ncbi.nlm.nih.gov/24651691</t>
  </si>
  <si>
    <t>The effects of single or multiple concordant HPV infections at various anatomical sites on type-specific HPV seropositivity are currently unknown. In this cross-sectional study we assessed whether high-risk HPV infections at various anatomical sites (i.e., anal canal, penile shaft, and oral cavity), as well as concordant infections at multiple anatomical sites, were associated with type-specific seropositivity in HIV-positive and HIV-negative MSM. MSM aged ≥ 18 years were recruited in Amsterdam, the Netherlands (2010-2011). Baseline anal, penile, and oral samples were analyzed for HPV DNA and genotyped using a highly sensitive PCR and reverse line blot assay. Virus-like particle (VLP) based multiplex immunoassay was used to asses HPV-specific serum antibodies against L1 VLPs. The associations between HPV infections and type-specific seropositivity of seven high-risk HPV types (7-hrHPV: types 16, 18, 31, 33, 45, 52, 58) were estimated using logistic regression analyses with generalized estimating equations. We found that 86% of 306 HIV-positive MSM and 62% of 441 HIV-negative MSM were seropositive for at least one 7-hrHPV type. 69% of HIV-positive and 41% of HIV-negative MSM were infected with at least one 7-hrHPV type at the anus, penis, or oral cavity. In multivariable analyses, 7-hrHPV seropositivity was associated with type-specific anal (and not penile) 7-hrHPV infection, and did not significantly increase with a higher number of infected anatomical sites. Oral 7-hrHPV infection showed a positive, albeit non-significant, association with seropositivity. In conclusion, seropositivity among MSM appears to be largely associated with anal HPV infection, irrespective of additionally infected anatomical sites.</t>
  </si>
  <si>
    <t>A competency based selection procedure for Dutch postgraduate GP training: a pilot study on validity and reliability.</t>
  </si>
  <si>
    <t>Vermeulen, Margit I; Tromp, Fred; Zuithoff, Nicolaas P A; Pieters, Ron H M; Damoiseaux, Roger A M J; Kuyvenhoven, Marijke M</t>
  </si>
  <si>
    <t>https://pubmed.ncbi.nlm.nih.gov/24645788</t>
  </si>
  <si>
    <t>Abstract Background: Historically, semi-structured interviews (SSI) have been the core of the Dutch selection for postgraduate general practice (GP) training. This paper describes a pilot study on a newly designed competency-based selection procedure that assesses whether candidates have the competencies that are required to complete GP training. The objective was to explore reliability and validity aspects of the instruments developed. The new selection procedure comprising the National GP Knowledge Test (LHK), a situational judgement tests (SJT), a patterned behaviour descriptive interview (PBDI) and a simulated encounter (SIM) was piloted alongside the current procedure. Forty-seven candidates volunteered in both procedures. Admission decision was based on the results of the current procedure. Study participants did hardly differ from the other candidates. The mean scores of the candidates on the LHK and SJT were 21.9 % (SD 8.7) and 83.8% (SD 3.1), respectively. The mean self-reported competency scores (PBDI) were higher than the observed competencies (SIM): 3.7(SD 0.5) and 2.9(SD 0.6), respectively. Content-related competencies showed low correlations with one another when measured with different instruments, whereas more diverse competencies measured by a single instrument showed strong to moderate correlations. Moreover, a moderate correlation between LHK and SJT was found. The internal consistencies (intraclass correlation, ICC) of LHK and SJT were poor while the ICC of PBDI and SIM showed acceptable levels of reliability. Findings on content validity and reliability of these new instruments are promising to realize a competency based procedure. Further development of the instruments and research on predictive validity should be pursued.</t>
  </si>
  <si>
    <t>Time-dependent changes in atherosclerotic plaque composition in patients undergoing carotid surgery.</t>
  </si>
  <si>
    <t>van Lammeren, Guus W; den Ruijter, Hester M; Vrijenhoek, Joyce E P; van der Laan, Sander W; Velema, Evelyn; de Vries, Jean-Paul P M; de Kleijn, Dominique P V; Vink, Aryan; de Borst, Gert Jan; Moll, Frans L; Bots, Michiel L; Pasterkamp, Gerard</t>
  </si>
  <si>
    <t>https://pubmed.ncbi.nlm.nih.gov/24637558</t>
  </si>
  <si>
    <t>Time-dependent trends in the incidence of cardiovascular disease have been reported in high-income countries. Because atherosclerosis underlies the majority of cardiovascular diseases, we investigated temporal changes in the composition of atherosclerotic plaques removed from patients undergoing carotid endarterectomy. The Athero-Express study is an ongoing, longitudinal, vascular biobank study that includes the collection of atherosclerotic plaques of patients undergoing primary carotid endarterectomy in the province of Utrecht from 2002 to 2011. Histopathologic features of plaques of 1583 patients were analyzed in intervals of 2 years. The analysis included quantification of collagen, calcifications, lipid cores, plaque thrombosis, macrophages, smooth muscle cells, and microvessels. Large atheroma, plaque thrombosis, macrophages, and calcifications were less frequently observed over time, with adjusted odds ratios of 0.72 (95% confidence interval, 0.650-0.789), 0.62 (95% confidence interval, 0.569-0.679), 0.87 (95% confidence interval, 0.800-0.940), and 0.75 (95% confidence interval, 0.692-0.816) per 2-year increase in time, respectively. These changes in plaque characteristics were consistently observed in patient subgroups presenting with stroke, transient ischemic attack, ocular symptoms, and asymptomatic patients. Concomitantly, risk factor management and secondary prevention strategies among vascular patients scheduled for carotid endarterectomy significantly improved over the past decade. In conclusion, over the past decade, atherosclerotic plaques harvested during carotid endarterectomy show a time-dependent change in plaque composition characterized by a decrease in features currently believed to be causal for plaque instability. This appears to go hand in hand with improvements in risk factor management.</t>
  </si>
  <si>
    <t>Birth cohorts in asthma and allergic diseases: report of a NIAID/NHLBI/MeDALL joint workshop.</t>
  </si>
  <si>
    <t>Bousquet, Jean; Gern, James E; Martinez, Fernando D; Anto, Josep M; Johnson, Christine C; Holt, Patrick G; Lemanske, Robert F; Le Souëf, Peter N; Tepper, Robert S; von Mutius, Erika R M; Arshad, S Hasan; Bacharier, Leonard B; Becker, Allan; Belanger, Kathleen; Bergström, Anna; Bernstein, David I; Cabana, Michael D; Carroll, Kecia N; Castro, Mario; Cooper, Philip J; Gillman, Matthew W; Gold, Diane R; Henderson, John; Heinrich, Joachim; Hong, Soo-Jong; Jackson, Daniel J; Keil, Thomas; Kozyrskyj, Anita L; Lødrup Carlsen, Karin C; Miller, Rachel L; Momas, Isabelle; Morgan, Wayne J; Noel, Patricia; Ownby, Dennis R; Pinart, Mariona; Ryan, Patrick H; Schwaninger, Julie M; Sears, Malcolm R; Simpson, Angela; Smit, Henriette A; Stern, Debra A; Subbarao, Padmaja; Valenta, Rudolf; Wang, Xiaobin; Weiss, Scott T; Wood, Robert; Wright, Anne L; Wright, Rosalind J; Togias, Alkis; Gergen, Peter J</t>
  </si>
  <si>
    <t>https://pubmed.ncbi.nlm.nih.gov/24636091</t>
  </si>
  <si>
    <t>Population-based birth cohorts on asthma and allergies increasingly provide new insights into the development and natural history of the diseases. More than 130 birth cohorts focusing on asthma and allergy have been initiated in the last 30 years. A National Institute of Allergy and Infectious Diseases; National Heart, Lung, and Blood Institute; Mechanisms of the Development of Allergy (MeDALL; Framework Programme 7 of the European Commission) joint workshop was held in Bethesda, Maryland, on September 11-12, 2012, with 3 objectives: (1) documenting the knowledge that asthma/allergy birth cohorts have provided, (2) identifying the knowledge gaps and inconsistencies, and (3) developing strategies for moving forward, including potential new study designs and the harmonization of existing asthma birth cohort data. The meeting was organized around the presentations of 5 distinct workgroups: (1) clinical phenotypes, (2) risk factors, (3) immune development of asthma and allergy, (4) pulmonary development, and (5) harmonization of existing birth cohorts. This article presents the workgroup reports and provides Web links (AsthmaBirthCohorts.niaid.nih.gov or www.medall-fp7.eu), where the reader will find tables describing the characteristics of the birth cohorts included in this report, the type of data collected at differing ages, and a selected bibliography provided by the participating birth cohorts.</t>
  </si>
  <si>
    <t>Chlamydia trachomatis Antibody Testing in Vaginal Mucosal Material versus Blood Samples of Women Attending a Fertility Clinic and an STI Clinic.</t>
  </si>
  <si>
    <t>van den Broek, Ingrid V F; Land, Jolande A; van Bergen, Jan E A M; Morré, Servaas A; van der Sande, Marianne A B</t>
  </si>
  <si>
    <t>https://pubmed.ncbi.nlm.nih.gov/24757446</t>
  </si>
  <si>
    <t>Background. Chlamydia infections often follow an asymptomatic course but may damage the reproductive tract. Chlamydia antibodies in serum are used as markers for past infections and can relate to tubal pathology and infertility. This "proof of principle" study aimed to assess whether Chlamydia antibodies are detectable in easier to obtain, noninvasive, vaginal mucosa samples and relate to current or past infection. Methods. We compared outcomes of Chlamydia IgG and IgA antibody tests in serum and vaginal mucosal swabs in (a) 77 women attending a fertility clinic, of whom 25 tested positive for serum-IgG and (b) 107 women visiting an STI centre, including 30 Chlamydia PCR-positive subjects. Results. In the STI clinic, active Chlamydia infections were linked to serum-IgG and serum-IgA (P &lt; 0.001) and mucosa-IgA (P &lt; 0.001), but not mucosa-IgG. In the fertility clinic, mucosa-IgG had stronger correlations with serum-IgG (P = 0.02) than mucosa-IgA (P = 0.06). Women with tubal pathology or Chlamydia history more commonly had serum-IgG and mucosa-IgA (both P &lt; 0.001), whereas this link was weaker for mucosa-IgG (P = 0.03). Conclusion. Chlamydia IgG and IgA are detectable in vaginal mucosal material. Serum-IgG had stronger associations with current or past infections. Mucosa-IgA also showed associations with (past) infection and complications. IgA presence in vaginal mucosa warrants further epidemiological studies.</t>
  </si>
  <si>
    <t>Common carotid intima-media thickness measurements do not improve cardiovascular risk prediction in individuals with elevated blood pressure: the USE-IMT collaboration.</t>
  </si>
  <si>
    <t>Bots, Michiel L; Groenewegen, Karlijn A; Anderson, Todd J; Britton, Annie R; Dekker, Jacqueline M; Engström, Gunnar; Evans, Greg W; de Graaf, Jacqueline; Grobbee, Diederick E; Hedblad, Bo; Hofman, Albert; Holewijn, Suzanne; Ikeda, Ai; Kavousi, Maryam; Kitagawa, Kazuo; Kitamura, Akihiko; Ikram, M Arfan; Lonn, Eva M; Lorenz, Matthias W; Mathiesen, Ellisiv B; Nijpels, Giel; Okazaki, Shuhei; O'Leary, Daniel H; Polak, Joseph F; Price, Jacqueline F; Robertson, Christine; Rembold, Christopher M; Rosvall, Maria; Rundek, Tatjana; Salonen, Jukka T; Sitzer, Matthias; Stehouwer, Coen D A; Franco, Oscar H; Peters, Sanne A E; den Ruijter, Hester M</t>
  </si>
  <si>
    <t>https://pubmed.ncbi.nlm.nih.gov/24614213</t>
  </si>
  <si>
    <t>Carotid intima-media thickness (CIMT) is a marker of cardiovascular risk. It is unclear whether measurement of mean common CIMT improves 10-year risk prediction of first-time myocardial infarction or stroke in individuals with elevated blood pressure. We performed an analysis among individuals with elevated blood pressure (i.e., a systolic blood pressure ≥140 mm Hg and a diastolic blood pressure ≥ 90 mm Hg) in USE-IMT, a large ongoing individual participant data meta-analysis. We refitted the risk factors of the Framingham Risk Score on asymptomatic individuals (baseline model) and expanded this model with mean common CIMT (CIMT model) measurements. From both models, 10-year risks to develop a myocardial infarction or stroke were estimated. In individuals with elevated blood pressure, we compared discrimination and calibration of the 2 models and calculated the net reclassification improvement (NRI). We included 17 254 individuals with elevated blood pressure from 16 studies. During a median follow-up of 9.9 years, 2014 first-time myocardial infarctions or strokes occurred. The C-statistics of the baseline and CIMT models were similar (0.73). NRI with the addition of mean common CIMT was small and not significant (1.4%; 95% confidence intervals, -1.1 to 3.7). In those at intermediate risk (n=5008, 10-year absolute risk of 10% to 20%), the NRI was 5.6% (95% confidence intervals, 1.6-10.4). There is no added value of measurement of mean common CIMT in individuals with elevated blood pressure for improving cardiovascular risk prediction. For those at intermediate risk, the addition of mean common CIMT to an existing cardiovascular risk score is small but statistically significant.</t>
  </si>
  <si>
    <t>Decisions to withhold diagnostic investigations in nursing home patients with a clinical suspicion of venous thromboembolism.</t>
  </si>
  <si>
    <t>Schouten, Henrike J; Koek, Huiberdina L; Kruisman-Ebbers, Marije; Geersing, Geert-Jan; Oudega, Ruud; Kars, Marijke C; Moons, Karel G M; van Delden, Johannes J M</t>
  </si>
  <si>
    <t>https://pubmed.ncbi.nlm.nih.gov/24614754</t>
  </si>
  <si>
    <t>This study aimed to gather insights in physicians' considerations for decisions to either refer for- or to withhold additional diagnostic investigations in nursing home patients with a suspicion of venous thromboembolism. Our study was nested in an observational study on diagnostic strategies for suspected venous thromboembolism in nursing home patients. Patient characteristics, bleeding-complications and mortality were related to the decision to withhold investigations. For a better understanding of the physicians' decisions, 21 individual face-to-face in-depth interviews were performed and analysed using the grounded theory approach. Referal for additional diagnostic investigations was forgone in 126/322 (39.1%) patients with an indication for diagnostic work-up. 'Blind' anticoagulant treatment was initiated in 95 (75.4%) of these patients. The 3 month mortality rates were higher for patients in whom investigations were withheld than in the referred patients, irrespective of anticoagulant treatment (odds ratio 2.45; 95% confidence interval 1.40 to 4.29) but when adjusted for the probability of being referred (i.e. the propensity score), there was no relation of non-diagnosis decisions to mortality (odds ratio 1.75; 0.98 to 3.11). In their decisions to forgo diagnostic investigations, physicians incorporated the estimated relative impact of the potential disease; the potential net-benefits of diagnostic investigations and whether performing investigations agreed with established management goals in advance care planning. Referral for additional diagnostic investigations is withheld in almost 40% of Dutch nursing home patients with suspected venous thromboembolism and an indication for diagnostic work-up. We propose that, given the complexity of these decisions and the uncertainty regarding their indirect effects on patient outcome, more attention should be focused on the decision to either use or withhold additional diagnostic tests.</t>
  </si>
  <si>
    <t>Exclusion of deep vein thrombosis using the Wells rule in clinically important subgroups: individual patient data meta-analysis.</t>
  </si>
  <si>
    <t>Geersing, G J; Zuithoff, N P A; Kearon, C; Anderson, D R; Ten Cate-Hoek, A J; Elf, J L; Bates, S M; Hoes, A W; Kraaijenhagen, R A; Oudega, R; Schutgens, R E G; Stevens, S M; Woller, S C; Wells, P S; Moons, K G M</t>
  </si>
  <si>
    <t>https://pubmed.ncbi.nlm.nih.gov/24615063</t>
  </si>
  <si>
    <t>To assess the accuracy of the Wells rule for excluding deep vein thrombosis and whether this accuracy applies to different subgroups of patients. Meta-analysis of individual patient data. Authors of 13 studies (n = 10,002) provided their datasets, and these individual patient data were merged into one dataset. Studies were eligible if they enrolled consecutive outpatients with suspected deep vein thrombosis, scored all variables of the Wells rule, and performed an appropriate reference standard. Multilevel logistic regression models, including an interaction term for each subgroup, were used to estimate differences in predicted probabilities of deep vein thrombosis by the Wells rule. In addition, D-dimer testing was added to assess differences in the ability to exclude deep vein thrombosis using an unlikely score on the Wells rule combined with a negative D-dimer test result. Overall, increasing scores on the Wells rule were associated with an increasing probability of having deep vein thrombosis. Estimated probabilities were almost twofold higher in patients with cancer, in patients with suspected recurrent events, and (to a lesser extent) in males. An unlikely score on the Wells rule (≤ 1) combined with a negative D-dimer test result was associated with an extremely low probability of deep vein thrombosis (1.2%, 95% confidence interval 0.7% to 1.8%). This combination occurred in 29% (95% confidence interval 20% to 40%) of patients. These findings were consistent in subgroups defined by type of D-dimer assay (quantitative or qualitative), sex, and care setting (primary or hospital care). For patients with cancer, the combination of an unlikely score on the Wells rule and a negative D-dimer test result occurred in only 9% of patients and was associated with a 2.2% probability of deep vein thrombosis being present. In patients with suspected recurrent events, only the modified Wells rule (adding one point for the previous event) is safe. Combined with a negative D-dimer test result (both quantitative and qualitative), deep vein thrombosis can be excluded in patients with an unlikely score on the Wells rule. This finding is true for both sexes, as well as for patients presenting in primary and hospital care. In patients with cancer, the combination is neither safe nor efficient. For patients with suspected recurrent disease, one extra point should be added to the rule to enable a safe exclusion.</t>
  </si>
  <si>
    <t>Diabetes as a risk factor for stroke in women compared with men: a systematic review and meta-analysis of 64 cohorts, including 775,385 individuals and 12,539 strokes.</t>
  </si>
  <si>
    <t>https://pubmed.ncbi.nlm.nih.gov/24613026</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</si>
  <si>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</si>
  <si>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EMAS position statement: The management of postmenopausal women with vertebral osteoporotic fracture.</t>
  </si>
  <si>
    <t>Triantafyllopoulos, Ioannis K; Lambropoulou-Adamidou, Kalliopi; Nacopoulos, Cleopatra C; Papaioannou, Nikolaos A; Ceausu, Iuliana; Depypere, Herman; Erel, C Tamer; Pérez-López, Faustino R; Schenck-Gustafsson, Karin; van der Schouw, Yvonne T; Simoncini, Tommaso; Tremollieres, Florence; Rees, Margaret; Lambrinoudaki, Irene; ,</t>
  </si>
  <si>
    <t>https://pubmed.ncbi.nlm.nih.gov/24679890</t>
  </si>
  <si>
    <t>Osteoporotic vertebral fractures are associated with significant morbidity, excess mortality as well as health and social service expenditure. Additionally, women with a prevalent osteoporotic vertebral fracture have a high risk of experiencing a further one within one year. It is therefore important for the physician to use a diagnostic and therapeutic algorithm for early detection and effective treatment of vertebral fractures. The aim of this position statement is to provide and critically appraise evidence on the management of women with a vertebral osteoporotic fracture. Literature review and consensus of expert opinion. The management of women with osteoporotic vertebral fractures includes measures to reduce pain providing early mobility, to support the affected spine ensuring fracture healing, as well as starting treatment for osteoporosis itself. Any other underlying pathology should be sought and treated. Early detection and treatment is essential as there is an increased risk of further fractures in patients with vertebral fractures. Treatment will depend on the underlying causes of bone loss, efficacy in any particular situation, cost and patient preference.</t>
  </si>
  <si>
    <t>Screening for frailty in primary care: a systematic review of the psychometric properties of the frailty index in community-dwelling older people.</t>
  </si>
  <si>
    <t>Drubbel, Irene; Numans, Mattijs E; Kranenburg, Guido; Bleijenberg, Nienke; de Wit, Niek J; Schuurmans, Marieke J</t>
  </si>
  <si>
    <t>https://pubmed.ncbi.nlm.nih.gov/24597624</t>
  </si>
  <si>
    <t>To better accommodate for the complex care needs of frail, older people, general practitioners must be capable of easily identifying frailty in daily clinical practice, for example, by using the frailty index (FI). To explore whether the FI is a valid and adequate screening instrument for primary care, we conducted a systematic review of its psychometric properties. We searched the Cochrane, PubMed and Embase databases and included original studies focusing on the criterion validity, construct validity and responsiveness of the FI when applied in community-dwelling older people. We evaluated the quality of the studies included using the Quality in Prognosis Studies (QUIPS) tool. This systematic review was conducted based on the PRISMA statement. Of the twenty studies identified, eighteen reported on FIs derived from research data, one reported upon an FI derived from an administrative database of home-care clients, and one reported upon an FI derived from routine primary care data. In general, the FI showed good criterion and construct validity but lacked studies on responsiveness. When compared with studies that used data gathered for research purposes, there are indications that the FI mean score and range might be different in datasets using routine primary care data; however, this finding needs further investigation. Our results suggest that the FI is a valid frailty screening instrument. However, further research using routine Electronic Medical Record data is necessary to investigate whether the psychometric properties of the FI are generalizable to a primary care setting and to facilitate its interpretation and implementation in daily clinical practice. PROSPERO systematic review register number: CRD42013003737.</t>
  </si>
  <si>
    <t>Search for quantum black hole production in high-invariant-mass lepton+jet final states using pp collisions at √s=8  TeV and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</si>
  <si>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Akesson, T P A; Akimoto, G; Akimov, A V; Alam, M A; Albert, J; Albrand, S; Alconada Verzini, M J; Aleksa, M; Aleksandrov, I N; Alexa, C; Alexander, G; Alexandre, G; Alexopoulos, T; Alhroob,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t>
  </si>
  <si>
    <t>https://pubmed.ncbi.nlm.nih.gov/24655244</t>
  </si>
  <si>
    <t>This Letter presents a search for quantum black-hole production using 20.3 fb-1 of data collected with the ATLAS detector in pp collisions at the LHC at √s = 8 TeV. The quantum black holes are assumed to decay into a final state characterized by a lepton (electron or muon) and a jet. In either channel, no event with a lepton-jet invariant mass of 3.5 TeV or more is observed, consistent with the expected background. Limits are set on the product of cross sections and branching fractions for the lepton+jet final states of quantum black holes produced in a search region for invariant masses above 1 TeV. The combined 95% confidence level upper limit on this product for quantum black holes with threshold mass above 3.5 TeV is 0.18 fb. This limit constrains the threshold quantum black-hole mass to be above 5.3 TeV in the model considered.</t>
  </si>
  <si>
    <t>At 15-20 weeks of pregnancy, various modifiable factors are associated with increased likelihood of a subsequent uncomplicated pregnancy.</t>
  </si>
  <si>
    <t>Hermans, Frederik J R; Schuit, Ewoud</t>
  </si>
  <si>
    <t>https://pubmed.ncbi.nlm.nih.gov/24598824</t>
  </si>
  <si>
    <t>Justification of exclusion criteria was underreported in a review of cardiovascular trials.</t>
  </si>
  <si>
    <t>Schmidt, Amand F; Groenwold, Rolf H H; van Delden, Johannes J M; van der Does, Yuri; Klungel, Olaf H; Roes, Kit C B; Hoes, Arno W; van der Graaf, Rieke</t>
  </si>
  <si>
    <t>https://pubmed.ncbi.nlm.nih.gov/24613498</t>
  </si>
  <si>
    <t>Ethical guidelines for human subject research require that the burdens and benefits of participation be equally distributed. This study aimed to provide empirical data on exclusion of trial participants and reasons for this exclusion. As a secondary objective, we assessed to what extent exclusion affects generalizability of study results. Review of trials on secondary prevention of cardiovascular events. One hundred thirteen trials were identified, of which 112 reported exclusion criteria. One study justified the exclusion criteria applied. Ambiguous exclusion criteria due to the opinion of the physician (28 of 112 = 25%) or physical disability (12 of 112 = 11%) were reported. Within groups of trials that studied similar treatments (ie, beta-blocker, clopidogrel, or statin therapy), baseline characteristics differed among trials. For example, the proportion of women ranged between 23.1-47.4%, 2.1-38.9%, and 10.6-50.6% for the clopidogrel, beta-blocker, and statin trials, respectively. Nevertheless, no evidence was found for heterogeneity of treatment effects. Almost none of the articles justified the applied exclusion criteria. No evidence was found that inclusion of dissimilar participants affected generalizability. To allow for a normative discussion on equitable selection of study populations, researchers should not only report exclusion criteria but also the reasons for using these criteria.</t>
  </si>
  <si>
    <t>Hippocampal subfield volumes at 7T in early Alzheimer's disease and normal aging.</t>
  </si>
  <si>
    <t>Wisse, Laura E M; Biessels, Geert Jan; Heringa, Sophie M; Kuijf, Hugo J; Koek, Dineke H L; Luijten, Peter R; Geerlings, Mirjam I; ,</t>
  </si>
  <si>
    <t>https://pubmed.ncbi.nlm.nih.gov/24684788</t>
  </si>
  <si>
    <t>We compared hippocampal subfield and entorhinal cortex (ERC) volumes between patients with mild cognitive impairment (MCI), Alzheimer's disease (AD), and controls without cognitive impairment. Additionally, we investigated the relation between age and hippocampal subfields and ERC in controls. We performed ultra-high field 0.7 mm(3) 7Tesla magnetic resonance imaging in 16 patients with amnestic MCI, 9 with AD, and 29 controls. ERC, subiculum, cornu ammonis (CA)1, CA2, CA3, and dentate gyrus (DG)&amp;CA4 were traced on T2-weighted images. Analyses of covariance, adjusted for age, sex, and intracranial volume showed that compared with controls and patients with MCI, patients with AD had significantly smaller ERC, subiculum, CA1, CA3, and DG&amp;CA4 volumes. Trend analyses revealed similar associations between ERC and hippocampal subfields and diagnostic group. Older age was significantly associated with smaller CA1 and DG&amp;CA4 volumes. In conclusion, almost all hippocampal subfields and ERC show volume reductions in patients with AD compared with controls and patients with MCI. Future, larger studies should determine which subfields are affected earliest in the disease process and what mechanisms underlie the volume loss.</t>
  </si>
  <si>
    <t>Parental history and the risk of subsequent vascular events in patients with clinically manifest vascular disease: the effects of sex of the parent and vascular disease location.</t>
  </si>
  <si>
    <t>Weijmans, Maaike; van der Graaf, Yolanda; de Borst, Gert Jan; Nathoe, Hendrik M; Algra, Ale; Visseren, Frank L J; ,</t>
  </si>
  <si>
    <t>https://pubmed.ncbi.nlm.nih.gov/24650753</t>
  </si>
  <si>
    <t>Parental history of cardiovascular disease is a risk factor for first vascular events. It is unknown whether this also holds for subsequent events in patients with vascular disease. Also, the role of the location of parental vascular disease and the sex of the affected parent is unidentified. In a cohort of 4529 patients with symptomatic vascular disease enrolled in the Second Manifestations of Arterial Disease (SMART) Study, the relation between parental cardiovascular history under the age of sixty, sex of the parent, location of parental vascular disease (heart, brain, lower extremities) and subsequent myocardial infarction (MI), stroke, vascular death and peripheral artery disease (PAD) was determined by Cox-proportional hazard analyses. During a median follow-up of 4.9 years (interquartile range 2.5-7.0), MI was experienced by 220 patients, stroke by 112, PAD by 297, whereas 371 patients died. A positive parental history of cardiovascular disease, without knowledge of vascular disease location and sex of that particular parent, was not associated with subsequent events (HR1.0; 95%CI 0.8-1.3). For specific types of parental history regarding sex and vascular location, having a father with a history of PAD was related to an increased risk of incident PAD (HR3.1; 95%CI 2.1-4.6). A positive parental history of cardiovascular disease without information about vascular disease location and sex does not increase the risk of recurrent vascular events in patients with symptomatic vascular disease. Vascular patients with a father with PAD have an increased risk of subsequent peripheral artery disease compared with vascular patients without such a family history.</t>
  </si>
  <si>
    <t>Chlamydia trachomatis IgG seroprevalence in the general population of the Netherlands in 1996 and in 2007: differential changes by gender and age.</t>
  </si>
  <si>
    <t>van Aar, F; de Moraes, M; Morré, S A; van Bergen, J E A M; van der Klis, F R M; Land, J A; van der Sande, M A B; van den Broek, I V F</t>
  </si>
  <si>
    <t>https://pubmed.ncbi.nlm.nih.gov/24583966</t>
  </si>
  <si>
    <t>Chlamydia trachomatis (CT) reporting rates from sexually transmitted infection clinics and general practitioners have shown a rising trend in the Netherlands. It is unknown to what extent this reflects increased CT transmission or improved case finding. To achieve more insight into the CT epidemic, we explored the CT IgG seroprevalence (a marker of past CT infection) in the general population of the Netherlands in 1996 and in 2007. From two population-based studies in 1996 and 2007, serum samples, demographic and sexual behaviour outcomes were examined, including 1246 men and 1930 women aged 15-39 years. Serum CT IgG antibodies were analysed using the Medac CT IgG ELISA test. Multivariate logistic regression analyses explored the seroprevalence and determinants over time. The CT IgG seroprevalence was higher in women than in men (10% vs 6%). Among women aged 25-39 years the seroprevalence was lower in 2007 (9%) than in 1996 (14%; adjusted OR (aOR) 0.6, 95% CI 0.4 to 0.8). There was no statistical evidence of a difference in seroprevalence within birth cohorts. Factors associated with seropositivity were male gender (aOR 0.4, 95% CI 0.3 to 0.7), a self-reported history of CT infection (aOR 5.1, 95% CI 2.6 to 10.0), age 25-39 years (aOR 1.7, 95% CI 1.1 to 2.7), non-Western ethnicity (aOR 2.2, 95% CI 1.4 to 3.3) and ≥ 2 recent sexual partners (aOR 2.2, 95% CI 1.3 to 3.5). Between 1996 and 2007 the proportion of individuals in the general population with CT IgG antibodies was lower among women aged 25-39 years, but remained similar among younger women and men.</t>
  </si>
  <si>
    <t>Association of IL33-IL-1 receptor-like 1 (IL1RL1) pathway polymorphisms with wheezing phenotypes and asthma in childhood.</t>
  </si>
  <si>
    <t>Savenije, Olga E; Mahachie John, Jestinah M; Granell, Raquel; Kerkhof, Marjan; Dijk, F Nicole; de Jongste, Johan C; Smit, Henriëtte A; Brunekreef, Bert; Postma, Dirkje S; Van Steen, Kristel; Henderson, John; Koppelman, Gerard H</t>
  </si>
  <si>
    <t>https://pubmed.ncbi.nlm.nih.gov/24568840</t>
  </si>
  <si>
    <t>Genome-wide association studies identified IL33 and IL-1 receptor-like 1 (IL1RL1)/IL18R1 as asthma susceptibility loci. IL33 and IL1RL1 constitute a single ligand-receptor pathway. In 2 birth cohorts, the Prevalence and Incidence of Asthma and Mite Allergy (PIAMA) study and Avon Longitudinal Study of Parents and Children (ALSPAC), we analyzed associations of longitudinal wheezing phenotypes and asthma with single nucleotide polymorphisms (SNPs) of 8 genes encoding IL-33, IL1RL1, its coreceptor IL1RAcP, its adaptors myeloid differentiation primary response gene 88 (MyD88) and Toll-IL-11 receptor domain containing adaptor protein (TIRAP), and the downstream IL-1 receptor-associated kinase 1, IL-1 receptor-associated kinase 4, and TNF receptor-associated factor 6 (TRAF6). Furthermore, we investigated whether SNPs in this pathway show replicable evidence of gene-gene interaction. Ninety-four SNPs were investigated in 2007 children in the PIAMA study and 7247 children in ALSPAC. Associations with wheezing phenotypes and asthma at 8 years of age were analyzed in each cohort and subsequently meta-analyzed. Gene-gene interactions were assessed through model-based multifactor dimensionality reduction in the PIAMA study, and gene-gene interactions of 10 SNP pairs were further evaluated. Intermediate-onset wheeze was associated with SNPs in several genes in the IL33-IL1RL1 pathway after applying multiple testing correction in the meta-analysis: 2 IL33 SNPs (rs4742170 and rs7037276), 1 IL-1 receptor accessory protein (IL1RAP) SNP (rs10513854), and 1 TRAF6 SNP (rs5030411). Late-onset wheeze was associated with 2 IL1RL1 SNPs (rs10208293 and rs13424006), and persistent wheeze was associated with 1 IL33 SNP (rs1342326) and 1 IL1RAP SNP (rs9290936). IL33 and IL1RL1 SNPs were nominally associated with asthma. Three SNP pairs showed interaction for asthma in the PIAMA study but not in ALSPAC. IL33-IL1RL1 pathway polymorphisms are associated with asthma and specific wheezing phenotypes; that is, most SNPs are associated with intermediate-onset wheeze, a phenotype closely associated with sensitization. We speculate that IL33-IL1RL1 pathway polymorphisms affect development of wheeze and subsequent asthma through sensitization in early childhood.</t>
  </si>
  <si>
    <t>Gene-centric meta-analysis in 87,736 individuals of European ancestry identifies multiple blood-pressure-related loci.</t>
  </si>
  <si>
    <t>Tragante, Vinicius; Barnes, Michael R; Ganesh, Santhi K; Lanktree, Matthew B; Guo, Wei; Franceschini, Nora; Smith, Erin N; Johnson, Toby; Holmes, Michael V; Padmanabhan, Sandosh; Karczewski, Konrad J; Almoguera, Berta; Barnard, John; Baumert, Jens; Chang, Yen-Pei Christy; Elbers, Clara C; Farrall, Martin; Fischer, Mary E; Gaunt, Tom R; Gho, Johannes M I H; Gieger, Christian; Goel, Anuj; Gong, Yan; Isaacs, Aaron; Kleber, Marcus E; Mateo Leach, Irene; McDonough, Caitrin W; Meijs, Matthijs F L; Melander, Olle; Nelson, Christopher P; Nolte, Ilja M; Pankratz, Nathan; Price, Tom S; Shaffer, Jonathan; Shah, Sonia; Tomaszewski, Maciej; van der Most, Peter J; Van Iperen, Erik P A; Vonk, Judith M; Witkowska, Kate; Wong, Caroline O L; Zhang, Li; Beitelshees, Amber L; Berenson, Gerald S; Bhatt, Deepak L; Brown, Morris; Burt, Amber; Cooper-DeHoff, Rhonda M; Connell, John M; Cruickshanks, Karen J; Curtis, Sean P; Davey-Smith, George; Delles, Christian; Gansevoort, Ron T; Guo, Xiuqing; Haiqing, Shen;</t>
  </si>
  <si>
    <t>https://pubmed.ncbi.nlm.nih.gov/24560520</t>
  </si>
  <si>
    <t>Blood pressure (BP) is a heritable risk factor for cardiovascular disease. To investigate genetic associations with systolic BP (SBP), diastolic BP (DBP), mean arterial pressure (MAP), and pulse pressure (PP), we genotyped ~50,000 SNPs in up to 87,736 individuals of European ancestry and combined these in a meta-analysis. We replicated findings in an independent set of 68,368 individuals of European ancestry. Our analyses identified 11 previously undescribed associations in independent loci containing 31 genes including PDE1A, HLA-DQB1, CDK6, PRKAG2, VCL, H19, NUCB2, RELA, HOXC@ complex, FBN1, and NFAT5 at the Bonferroni-corrected array-wide significance threshold (p &lt; 6 × 10(-7)) and confirmed 27 previously reported associations. Bioinformatic analysis of the 11 loci provided support for a putative role in hypertension of several genes, such as CDK6 and NUCB2. Analysis of potential pharmacological targets in databases of small molecules showed that ten of the genes are predicted to be a target for small molecules. In summary, we identified previously unknown loci associated with BP. Our findings extend our understanding of genes involved in BP regulation, which may provide new targets for therapeutic intervention or drug response stratification.</t>
  </si>
  <si>
    <t>Physical activity, structural brain changes and cognitive decline. The SMART-MR study.</t>
  </si>
  <si>
    <t>Kooistra, M; Boss, H M; van der Graaf, Y; Kappelle, L J; Biessels, G J; Geerlings, M I; ,</t>
  </si>
  <si>
    <t>https://pubmed.ncbi.nlm.nih.gov/24607853</t>
  </si>
  <si>
    <t>We aimed to examine the cross-sectional and prospective relationship between leisure time physical activity, brain MRI abnormalities and cognitive performance in patients with vascular disease. Within the SMART-MR study, 1.5 T MRI of the brain and neuropsychological examinations were performed at baseline (n = 1232) and after 3.9 ± 0.4 years follow-up (n = 663). Automatic brain segmentation was used to quantify intracranial (ICV), total brain, ventricular, and white matter lesion (WML) volumes. Brain infarcts were rated visually. Level of physical activity was expressed in metabolic equivalents (MET) hours p/week. With linear regression analysis we examined associations of level of physical activity with brain MRI measures and with cognitive performance, adjusted for potential confounders. For the association with brain infarcts relative risks (RR) were calculated with Poisson regression. At baseline, an increase in physical activity of one SD (39.7 METh/w) was significantly associated with larger total brain volume (B = 0.20% of ICV; 95% CI 0.06; 0.33%). A trend was found for the association of physical activity with smaller ventricular volume (B = -0.04% of ICV; 95% CI -0.09; 0.02%) and with a decreased risk for brain infarcts (RR = 0.91, 95% CI: 0.82-1.02). No association was found with smaller WML volume (B = -0.02% of ICV; 95% CI -0.07; 0.04%). No associations with change in brain structures over time were observed. Also, no associations between physical activity and cognitive performance or cognitive decline were found. These data suggest that leisure time physical activity does not have a significant contribution in preventing or slowing down brain abnormalities and cognitive decline in this cohort of middle-aged individuals already burdened with vascular disease.</t>
  </si>
  <si>
    <t>A trial of treatment for acute otorrhea in children with tympanostomy tubes.</t>
  </si>
  <si>
    <t>van Dongen, Thijs M A; van der Heijden, Geert J M G; Venekamp, Roderick P; Rovers, Maroeska M; Schilder, Anne G M</t>
  </si>
  <si>
    <t>https://pubmed.ncbi.nlm.nih.gov/24552319</t>
  </si>
  <si>
    <t>Recent guidance for the management of acute otorrhea in children with tympanostomy tubes is based on limited evidence from trials comparing oral antibiotic agents with topical antibiotics. In this open-label, pragmatic trial, we randomly assigned 230 children, 1 to 10 years of age, who had acute tympanostomy-tube otorrhea to receive hydrocortisone-bacitracin-colistin eardrops (76 children) or oral amoxicillin-clavulanate suspension (77) or to undergo initial observation (77). The primary outcome was the presence of otorrhea, as assessed otoscopically, 2 weeks after study-group assignment. Secondary outcomes were the duration of the initial otorrhea episode, the total number of days of otorrhea and the number of otorrhea recurrences during 6 months of follow-up, quality of life, complications, and treatment-related adverse events. Antibiotic-glucocorticoid eardrops were superior to oral antibiotics and initial observation for all outcomes. At 2 weeks, 5% of children treated with antibiotic-glucocorticoid eardrops had otorrhea, as compared with 44% of those treated with oral antibiotics (risk difference, -39 percentage points; 95% confidence interval [CI], -51 to -26) and 55% of those treated with initial observation (risk difference, -49 percentage points; 95% CI, -62 to -37). The median duration of the initial episode of otorrhea was 4 days for children treated with antibiotic-glucocorticoid eardrops versus 5 days for those treated with oral antibiotics (P&lt;0.001) and 12 days for those who were assigned to initial observation (P&lt;0.001). Treatment-related adverse events were mild, and no complications of otitis media, including local cellulitis, perichondritis, mastoiditis, and intracranial complications, were reported at 2 weeks. Antibiotic-glucocorticoid eardrops were more effective than oral antibiotics and initial observation in children with tympanostomy tubes who had uncomplicated acute otorrhea. (Funded by the Netherlands Organization for Health Research and Development; Netherlands Trial Register number, NTR1481.).</t>
  </si>
  <si>
    <t>Online hemodiafiltration reduces systemic inflammation compared to low-flux hemodialysis.</t>
  </si>
  <si>
    <t>den Hoedt, Claire H; Bots, Michiel L; Grooteman, Muriel P C; van der Weerd, Neelke C; Mazairac, Albert H A; Penne, E Lars; Levesque, Renée; ter Wee, Piet M; Nubé, Menso J; Blankestijn, Peter J; van den Dorpel, Marinus A; ,</t>
  </si>
  <si>
    <t>https://pubmed.ncbi.nlm.nih.gov/24552852</t>
  </si>
  <si>
    <t>Online hemodiafiltration may diminish inflammatory activity through amelioration of the uremic milieu. However, impurities in water quality might provoke inflammatory responses. We therefore compared the long-term effect of low-flux hemodialysis to hemodiafiltration on the systemic inflammatory activity in a randomized controlled trial. High-sensitivity C-reactive protein and interleukin-6 were measured for up to 3 years in 405 patients of the CONvective TRAnsport STudy, and albumin was measured at baseline and every 3 months in 714 patients during the entire follow-up. Differences in the rate of change over time of C-reactive protein, interleukin-6, and albumin were compared between the two treatment arms. C-reactive protein and interleukin-6 concentrations increased in patients treated with hemodialysis, and remained stable in patients treated with hemodiafiltration. There was a statistically significant difference in rate of change between the groups after adjustments for baseline variables (C-reactive protein difference 20%/year and interleukin-6 difference 16%/year). The difference was more pronounced in anuric patients. Serum albumin decreased significantly in both treatment arms, with no difference between the groups. Thus, long-term hemodiafiltration with ultrapure dialysate seems to reduce inflammatory activity over time compared to hemodialysis, but does not affect the rate of change in albumin.</t>
  </si>
  <si>
    <t>EMAS position statement: Menopause for medical students.</t>
  </si>
  <si>
    <t>Brockie, Janet; Lambrinoudaki, Irene; Ceausu, Iuliana; Depypere, Herman; Erel, C Tamer; Pérez-López, Faustino R; Schenck-Gustafsson, Karin; van der Schouw, Yvonne T; Simoncini, Tommaso; Tremollieres, Florence; Rees, Margaret; ,</t>
  </si>
  <si>
    <t>https://pubmed.ncbi.nlm.nih.gov/24630127</t>
  </si>
  <si>
    <t>Long-term exposure to elemental constituents of particulate matter and cardiovascular mortality in 19 European cohorts: results from the ESCAPE and TRANSPHORM projects.</t>
  </si>
  <si>
    <t>Wang, Meng; Beelen, Rob; Stafoggia, Massimo; Raaschou-Nielsen, Ole; Andersen, Zorana Jovanovic; Hoffmann, Barbara; Fischer, Paul; Houthuijs, Danny; Nieuwenhuijsen, Mark; Weinmayr, Gudrun; Vineis, Paolo; Xun, Wei W; Dimakopoulou, Konstantina; Samoli, Evangelia; Laatikainen, Tiina; Lanki, Timo; Turunen, Anu W; Oftedal, Bente; Schwarze, Per; Aamodt, Geir; Penell, Johanna; De Faire, Ulf; Korek, Michal; Leander, Karin; Pershagen, Göran; Pedersen, Nancy L; Östenson, Claes-Göran; Fratiglioni, Laura; Eriksen, Kirsten Thorup; Sørensen, Mette; Tjønneland, Anne; Bueno-de-Mesquita, Bas; Eeftens, Marloes; Bots, Michiel L; Meliefste, Kees; Krämer, Ursula; Heinrich, Joachim; Sugiri, Dorothea; Key, Timothy; de Hoogh, Kees; Wolf, Kathrin; Peters, Annette; Cyrys, Josef; Jaensch, Andrea; Concin, Hans; Nagel, Gabriele; Tsai, Ming-Yi; Phuleria, Harish; Ineichen, Alex; Künzli, Nino; Probst-Hensch, Nicole; Schaffner, Emmanuel; Vilier, Alice; Clavel-Chapelon, Françoise; Declerq, Christophe; Ricceri, Fulvio; S</t>
  </si>
  <si>
    <t>https://pubmed.ncbi.nlm.nih.gov/24561271</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</si>
  <si>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</si>
  <si>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Trends and outcomes of valve surgery: 16-year results of Netherlands Cardiac Surgery National Database.</t>
  </si>
  <si>
    <t>Siregar, Sabrina; de Heer, Frederiek; Groenwold, Rolf H H; Versteegh, Michel I M; Bekkers, Jos A; Brinkman, Emile S; Bots, Michiel L; van der Graaf, Yolanda; van Herwerden, Lex A</t>
  </si>
  <si>
    <t>https://pubmed.ncbi.nlm.nih.gov/24554075</t>
  </si>
  <si>
    <t>The aim was to describe procedural volumes, patient risk profile and outcomes of heart valve surgery in the past 16 years in Netherlands. The Dutch National Database for Cardio-Thoracic Surgery includes approximately 200 000 cardiac operations performed between 1995 and 2010. Information on all valve surgeries (56 397 operations) was extracted. We determined trends for changes in procedural volume, demographics, risk profile and in-hospital mortality of valve operations. Because of incomplete data in the first years of registration, the total number of operations in those years was estimated using Poisson regression. For a subset from 2007 to 2010, follow-up data were available. Survival status was obtained through linkage with the national Cause of Death Registry, and survival analysis was performed using Kaplan-Meier method. Information on discharge and readmissions was obtained from the National Hospital Discharge Registry. The annual volume of heart valve operations increased by more than 100% from an estimated 2431 in 1995 to 5906 in 2010. Adjusted for population size in Netherlands, the number of operations per 100 000 adults increased from 20 in 1995 to 43 in 2010. In 2010, frequently performed valve surgery included the following: 34.6% isolated aortic valve (AoV) replacement, 21.8% AoV replacement and coronary artery bypass grafting (CABG), 14.6% isolated mitral valve surgery (repair or replacement) and 9.1% mitral valve and CABG. In AoV surgery, an increasing use of bioprostheses in all age categories is observed. In mitral valve surgery, 75.4% was performed by repair rather than replacement in 2010. In-hospital mortality for all valve surgery decreased significantly from 4.6% in 2007 to 3.6% in 2010, whereas the mean logistic EuroSCORE remained stable (median 5.8, P = 1.000). Thirty-day mortality after all valve surgery was 3.9% and 120-day mortality was 6.5%. At 1 year, survival after all valve surgery was 91.6% and a reoperation had been performed in 1.6%. The median postoperative length of stay was 7 days (interquartile range (IQR) 5-11) in the primary hospital and 11 days (IQR 8-16), including subsequent stay, in the secondary hospital. The results of this study provide a comprehensive overview of valve surgery trends and outcomes in Netherlands. The number of heart valve operations performed in Netherlands has increased since 1995. The significant decrease in mortality and unchanged EuroSCORE between 2007 and 2010 might reflect a general improvement of the safety of valve surgery.</t>
  </si>
  <si>
    <t>Duration of colonization with antimicrobial-resistant bacteria after ICU discharge.</t>
  </si>
  <si>
    <t>Haverkate, Manon R; Derde, Lennie P G; Brun-Buisson, Christian; Bonten, Marc J M; Bootsma, Martin C J</t>
  </si>
  <si>
    <t>https://pubmed.ncbi.nlm.nih.gov/24522879</t>
  </si>
  <si>
    <t>Readmission of patients colonized with antimicrobial-resistant bacteria (AMRB) is important in the nosocomial dynamics of AMRB. We assessed the duration of colonization after discharge from the intensive care unit (ICU) with highly resistant Enterobacteriaceae (HRE), methicillin-resistant Staphylococcus aureus (MRSA), and vancomycin-resistant enterococci (VRE). Data were obtained from a cluster-randomized trial in 13 ICUs in 8 European countries (MOSAR-ICU trial, 2008-2011). All patients were screened on admission and twice weekly for AMRB. All patients colonized with HRE, MRSA, or VRE and readmitted to the same ICU during the study period were included in the current analysis. Time between discharge and readmission was calculated, and the colonization status at readmission was assessed. Because of interval-censored data, a maximum likelihood analysis was used to calculate the survival function, taking censoring into account. A nonparametric two-sample test was used to test for differences in the survival curves. The MOSAR-ICU trial included 14,390 patients, and a total of 64,997 cultures were taken from 8,974 patients admitted for at least 3 days. One hundred twenty-five unique patients had 141 episodes with AMRB colonization and at least 1 readmission. Thirty-two patients were colonized with two or more AMRBs. Median times until clearance were 4.8 months for all AMRB together, 1.4 months for HRE, &lt;1 month for MRSA, and 1.5 months for VRE. There were no significant differences between the survival curves. Fifty percent of the patients had lost colonization when readmitted 2 or more months after previous ICU discharge.</t>
  </si>
  <si>
    <t>A genome-wide "pleiotropy scan" does not identify new susceptibility loci for estrogen receptor negative breast cancer.</t>
  </si>
  <si>
    <t>Campa, Daniele; Barrdahl, Myrto; Tsilidis, Konstantinos K; Severi, Gianluca; Diver, W Ryan; Siddiq, Afshan; Chanock, Stephen; Hoover, Robert N; Ziegler, Regina G; Berg, Christine D; Buys, Saundra S; Haiman, Christopher A; Henderson, Brian E; Schumacher, Fredrick R; Le Marchand, Loïc; Flesch-Janys, Dieter; Lindström, Sara; Hunter, David J; Hankinson, Susan E; Willett, Walter C; Kraft, Peter; Cox, David G; Khaw, Kay-Tee; Tjønneland, Anne; Dossus, Laure; Trichopoulos, Dimitrios; Panico, Salvatore; van Gils, Carla H; Weiderpass, Elisabete; Barricarte, Aurelio; Sund, Malin; Gaudet, Mia M; Giles, Graham; Southey, Melissa; Baglietto, Laura; Chang-Claude, Jenny; Kaaks, Rudolf; Canzian, Federico</t>
  </si>
  <si>
    <t>https://pubmed.ncbi.nlm.nih.gov/24523857</t>
  </si>
  <si>
    <t>Approximately 15-30% of all breast cancer tumors are estrogen receptor negative (ER-). Compared with ER-positive (ER+) disease they have an earlier age at onset and worse prognosis. Despite the vast number of risk variants identified for numerous cancer types, only seven loci have been unambiguously identified for ER-negative breast cancer. With the aim of identifying new susceptibility SNPs for this disease we performed a pleiotropic genome-wide association study (GWAS). We selected 3079 SNPs associated with a human complex trait or disease at genome-wide significance level (P&lt;5 × 10(-8)) to perform a secondary analysis of an ER-negative GWAS from the National Cancer Institute's Breast and Prostate Cancer Cohort Consortium (BPC3), including 1998 cases and 2305 controls from prospective studies. We then tested the top ten associations (i.e. with the lowest P-values) using three additional populations with a total sample size of 3509 ER+ cases, 2543 ER- cases and 7031 healthy controls. None of the 3079 selected variants in the BPC3 ER-GWAS were significant at the adjusted threshold. 186 variants were associated with ER- breast cancer risk at a conventional threshold of P&lt;0.05, with P-values ranging from 0.049 to 2.3 × 10(-4). None of the variants reached statistical significance in the replication phase. In conclusion, this study did not identify any novel susceptibility loci for ER-breast cancer using a "pleiotropic approach".</t>
  </si>
  <si>
    <t>Intakes of potassium, magnesium, and calcium and risk of stroke.</t>
  </si>
  <si>
    <t>Sluijs, Ivonne; Czernichow, Sebastien; Beulens, Joline W J; Boer, Jolanda M A; van der Schouw, Yvonne T; Verschuren, W Monique M; Grobbee, Diederick E</t>
  </si>
  <si>
    <t>https://pubmed.ncbi.nlm.nih.gov/24519410</t>
  </si>
  <si>
    <t>We aimed to investigate the associations of dietary and total potassium, magnesium, and calcium intakes with stroke occurrence. A prospective cohort study was conducted among 36 094 participants aged 21 to 70 years. Dietary intake was assessed with a food frequency questionnaire. During 12 years of follow-up, 631 strokes occurred. After adjustment for confounders, magnesium intake was associated with reduced stroke risk (hazard ratio [95% confidence interval] per 100 mg/d, 0.80 [0.67-0.97] dietary magnesium; 0.78 [0.65-0.93] total magnesium). Potassium and calcium intakes were not associated with stroke. This study supports an association between high magnesium intake and a reduced stroke risk.</t>
  </si>
  <si>
    <t>The fiduciary obligation of the physician-researcher in phase IV trials.</t>
  </si>
  <si>
    <t>Bernabe, Rosemarie D L C; van Thiel, Ghislaine J M W; Raaijmakers, Jan A M; van Delden, Johannes J M</t>
  </si>
  <si>
    <t>https://pubmed.ncbi.nlm.nih.gov/24507449</t>
  </si>
  <si>
    <t>In this manuscript, we argue that within the context of phase IV, physician-researchers retain their fiduciary obligation to treat the patient-participants. We first clarify why the perspective that research ethics ought to be differentiated from clinical ethics is not applicable in phase IV, and therefore, why therapeutic orientation is most convivial in this phase. Next, assuming that ethics guidelines may be representative of common morality, we show that ethics guidelines see physician-researchers primarily as physicians and only secondarily as researchers. We then elaborate on what a fiduciary obligation is and how some of the obligations are default duties. Lastly, we look at the fiduciary obligation of the physician-researcher in phase IV interventional trials. The fiduciary obligation to treat is not as easily waived as in earlier trials. Assuming the entwinement of research and practice in phase IV, physician-researchers, in collaboration with other researchers, investigators, and research ethics committees, should ensure that in terms of study design, methodology, and research practice, the therapeutic value of the research to the patient-participants is not diminished.</t>
  </si>
  <si>
    <t>Brain volumes and risk of cardiovascular events and mortality. The SMART-MR study.</t>
  </si>
  <si>
    <t>van der Veen, Pieternella H; Muller, Majon; Vincken, Koen L; Mali, Willem P T M; van der Graaf, Yolanda; Geerlings, Mirjam I; ,</t>
  </si>
  <si>
    <t>https://pubmed.ncbi.nlm.nih.gov/24582641</t>
  </si>
  <si>
    <t>Brain atrophy is a strong predictor for cognitive decline and dementia, and these are, in turn, associated with increased mortality in the general population. Patients with cardiovascular disease have more brain atrophy and a higher morbidity and mortality. We investigated if brain volumes on magnetic resonance imaging were associated with the risk of cardiovascular events and mortality in patients with manifest arterial disease (n = 1215; mean age 58 years). Automated brain segmentation was used to quantify intracranial volume, and volumes of total brain, sulcal cerebrospinal fluid, and ventricles. After a median follow-up of 8.3 years, 184 patients died, 49 patients had an ischemic stroke, and 100 patients had an ischemic cardiac complication. Smaller relative brain volumes increased the risk of all-cause death (hazard ratio [HR] per standard deviation decrease in total brain volume: 1.58, 95% confidence interval [95% CI]: 1.33-1.88), vascular death (HR 1.69, 95% CI: 1.35-2.13), and ischemic stroke (HR 1.96, 95% CI: 1.43-2.69), independent of cardiovascular risk factors. These results suggest that brain volumes are an important determinant of poor outcome in patients with high cardiovascular risk.</t>
  </si>
  <si>
    <t>Antibiotic use in Dutch primary care: relation between diagnosis, consultation and treatment.</t>
  </si>
  <si>
    <t>van den Broek d'Obrenan, Joep; Verheij, Theo J M; Numans, Mattijs E; van der Velden, Alike W</t>
  </si>
  <si>
    <t>https://pubmed.ncbi.nlm.nih.gov/24508898</t>
  </si>
  <si>
    <t>Countries generally present their overall use of antibiotics as an indicator of antibiotic prescribing quality. Additional insight is urgently needed for targeted improvement recommendations: first, data on specific clinical indications for which antibiotics are used, and second, on distinguishing whether changes in patient consultation or changes in physician prescribing drive changing antibiotic use for particular indications. The aim of this study was to describe the antibiotic management of infectious diseases in the clinical context, by analysing prescribing by physicians and patient consultation incidences per indication over time. A database with all contact data for infectious diseases from 45 primary care practices in the Netherlands (2007-10) was used. Consultation incidences, prescribing rates and choice of antibiotic were analysed per International Classification of Primary Care (ICPC) chapter and relevant ICPC codes. Antibiotics were prescribed in ∼25% of infectious disease episodes, mainly respiratory infections, urinary infections and ear and skin infections. Overall, this resulted in 300 prescribed courses of antibiotics per 1000 patient-years. Given a stable prescription rate, a 19% increase in the number of consultations explained the increased antibiotic prescribing for urinary tract infections. Given a stable consultation incidence, an 8% reduction in prescribing rate explained the decreased antibiotic prescribing for respiratory tract infections. Macrolides were predominantly prescribed for respiratory disease (∼66%), amoxicillin/clavulanate for respiratory disease (∼42%) and urinary illness (∼25%), and fluoroquinolones for urinary and genital indications. Insight into the reasons for the decreased prescribing for respiratory tract infections and the increased prescribing for urinary tract infections was provided by a detailed analysis of incidences and prescribing rates. For respiratory disease, the second- and third-choice antibiotics were overused. Complete data on infectious disease management, with respect to patient and physician behaviour, are crucial for understanding changes in antibiotic use, and in defining strategies to reduce inappropriate antibiotic use.</t>
  </si>
  <si>
    <t>Left ventricular mass in dialysis patients, determinants and relation with outcome. Results from the COnvective TRansport STudy (CONTRAST).</t>
  </si>
  <si>
    <t>Mostovaya, Ira M; Bots, Michiel L; van den Dorpel, Marinus A; Goldschmeding, Roel; den Hoedt, Claire H; Kamp, Otto; Levesque, Renée; Mazairac, Albert H A; Penne, E Lars; Swinkels, Dorine W; van der Weerd, Neelke C; Ter Wee, Piet M; Nubé, Menso J; Blankestijn, Peter J; Grooteman, Muriel P C</t>
  </si>
  <si>
    <t>https://pubmed.ncbi.nlm.nih.gov/24505249</t>
  </si>
  <si>
    <t>Left ventricular mass (LVM) is known to be related to overall and cardiovascular mortality in end stage kidney disease (ESKD) patients. The aims of the present study are 1) to determine whether LVM is associated with mortality and various cardiovascular events and 2) to identify determinants of LVM including biomarkers of inflammation and fibrosis. Analysis was performed with data of 327 ESKD patients, a subset from the CONvective TRAnsport STudy (CONTRAST). Echocardiography was performed at baseline. Cox regression analysis was used to assess the relation of LVM tertiles with clinical events. Multivariable linear regression models were used to identify factors associated with LVM. Median age was 65 (IQR: 54-73) years, 203 (61%) were male and median LVM was 227 (IQR: 183-279) grams. The risk of all-cause mortality (hazard ratio (HR) = 1.73, 95% CI: 1.11-2.99), cardiovascular death (HR = 3.66, 95% CI: 1.35-10.05) and sudden death (HR = 13.06; 95% CI: 6.60-107) was increased in the highest tertile (&gt;260 grams) of LVM. In the multivariable analysis positive relations with LVM were found for male gender (B = 38.8±10.3), residual renal function (B = 17.9±8.0), phosphate binder therapy (B = 16.9±8.5), and an inverse relation for a previous kidney transplantation (B = -41.1±7.6) and albumin (B = -2.9±1.1). Interleukin-6 (Il-6), high-sensitivity C-reactive protein (hsCRP), hepcidin-25 and connective tissue growth factor (CTGF) were not related to LVM. We confirm the relation between a high LVM and outcome and expand the evidence for increased risk of sudden death. No relationship was found between LVM and markers of inflammation and fibrosis. Controlled-Trials.com ISRCTN38365125.</t>
  </si>
  <si>
    <t>Subgroup analysis in randomized controlled trials appeared to be dependent on whether relative or absolute effect measures were used.</t>
  </si>
  <si>
    <t>Venekamp, Roderick P; Rovers, Maroeska M; Hoes, Arno W; Knol, Mirjam J</t>
  </si>
  <si>
    <t>https://pubmed.ncbi.nlm.nih.gov/24508145</t>
  </si>
  <si>
    <t>To assess whether relative or absolute effect measures were used in subgroup analyses of randomized controlled trials (RCTs) and study whether conclusions would change if subgroup effects were calculated on a different scale than reported. We studied all 327 RCTs published in 2010 in five major medical journals. For trials with a dichotomous primary outcome, we extracted reported main and subgroup effect measures. If crude subgrouping data were reported, we calculated the subgroup effects on both relative and absolute scales. Of the 229 RCTs with a dichotomous primary outcome, 120 (52%) performed subgroup analyses. In 106 of these 120 (88%) RCTs, relative effect measures were used for subgroup analyses, whereas an absolute scale was used in 9 (8%) trials. Two (2%) RCTs reported both relative and absolute subgroup effects. Crude data of the subgroups could be extracted in 41 of the 120 (34%) RCTs. Calculating subgroup effects on a different scale than reported lead to a change in conclusion in 17% of the 41 trials. Almost all RCTs used relative effect measures for subgroup analyses. Interpretation of subgroup effects, however, appeared to be dependent on whether relative or absolute effect measures were used.</t>
  </si>
  <si>
    <t>Impact of risk assessments on prophylactic antiemetic prescription and the incidence of postoperative nausea and vomiting: a cluster-randomized trial.</t>
  </si>
  <si>
    <t>Kappen, Teus H; Moons, Karel G M; van Wolfswinkel, Leo; Kalkman, Cornelis J; Vergouwe, Yvonne; van Klei, Wilton A</t>
  </si>
  <si>
    <t>https://pubmed.ncbi.nlm.nih.gov/24105403</t>
  </si>
  <si>
    <t>Clinical prediction models have been shown to have moderate sensitivity and specificity, yet their use will depend on implementation in clinical practice. The authors hypothesized that implementation of a prediction model for postoperative nausea and vomiting (PONV) would lower the PONV incidence by stimulating anesthesiologists to administer more "risk-tailored" prophylaxis to patients. A single-center, cluster-randomized trial was performed in 12,032 elective surgical patients receiving anesthesia from 79 anesthesiologists. Anesthesiologists were randomized to either exposure or nonexposure to automated risk calculations for PONV (without patient-specific recommendations on prophylactic antiemetics). Anesthesiologists who treated less than 50 enrolled patients were excluded during the analysis to avoid too small clusters, yielding 11,613 patients and 57 anesthesiologists (intervention group: 5,471 and 31; care-as-usual group: 6,142 and 26). The 24-h incidence of PONV (primary outcome) and the number of prophylactic antiemetics administered per patient were studied for risk-dependent differences between allocation groups. There were no differences in PONV incidence between allocation groups (crude incidence intervention group 41%, care-as-usual group 43%; odds ratio, 0.97; 95% CI, 0.87-1.1; risk-dependent odds ratio, 0.92; 95% CI, 0.80-1.1). Nevertheless, intervention-group anesthesiologists administered more prophylactic antiemetics (rate ratio, 2.0; 95% CI, 1.6-2.4) and more risk-tailored than care-as-usual-group anesthesiologists (risk-dependent rate ratio, 1.6; 95% CI, 1.3-2.0). Implementation of a PONV prediction model did not reduce the PONV incidence despite increased antiemetic prescription in high-risk patients by anesthesiologists. Before implementing prediction models into clinical practice, implementation studies that include patient outcomes as an endpoint are needed.</t>
  </si>
  <si>
    <t>The effects of clinical and statistical heterogeneity on the predictive values of results from meta-analyses.</t>
  </si>
  <si>
    <t>Melsen, W G; Bootsma, M C J; Rovers, M M; Bonten, M J M</t>
  </si>
  <si>
    <t>https://pubmed.ncbi.nlm.nih.gov/24320992</t>
  </si>
  <si>
    <t>Variance between studies in a meta-analysis will exist. This heterogeneity may be of clinical, methodological or statistical origin. The last of these is quantified by the I(2) -statistic. We investigated, using simulated studies, the accuracy of I(2) in the assessment of heterogeneity and the effects of heterogeneity on the predictive value of meta-analyses. The relevance of quantifying I(2) was determined according to the likely presence of heterogeneity between studies (low, high, or unknown) and the calculated I(2) (low or high). The findings were illustrated by published meta-analyses of selective digestive decontamination and weaning protocols. As expected, I(2) increases and the likelihood of drawing correct inferences from a meta-analysis decreases with increasing heterogeneity. With low levels of heterogeneity, I(2) does not appear to be predictive of the accuracy of the meta-analysis result. With high levels of heterogeneity, even meta-analyses with low I(2) -values have low predictive values. Most commonly, the level of heterogeneity in a meta-analysis will be unknown. In these scenarios, I(2) determination may help to identify estimates with low predictive values (high I(2) ). In this situation, the results of a meta-analysis will be unreliable. With low I(2) -values and unknown levels of heterogeneity, predictive values of pooled estimates may range extensively, and findings should be interpreted with caution. In conclusion, quantifying statistical heterogeneity through I(2) -statistics is only helpful when the amount of clinical heterogeneity is unknown and I(2) is high. Objective methods to quantify the levels of clinical and methodological heterogeneity are urgently needed to allow reliable determination of the accuracy of meta-analyses.</t>
  </si>
  <si>
    <t>Prevalent vertebral fractures on chest CT: higher risk for future hip fracture.</t>
  </si>
  <si>
    <t>Buckens, Constantinus F; de Jong, Pim A; Mali, Willem P; Verhaar, Harald J; van der Graaf, Yolanda; Verkooijen, Helena M</t>
  </si>
  <si>
    <t>journal of bone and mineral research the official journal of the american society for bone and mineral research</t>
  </si>
  <si>
    <t>https://pubmed.ncbi.nlm.nih.gov/23821454</t>
  </si>
  <si>
    <t>Subclinical or undiagnosed vertebral fractures on routine chest computed tomography (CT) may be useful for detecting patients at increased risk of future hip fractures who might benefit from preventive interventions. We investigated whether prevalent vertebral fractures on routine chest CT are associated with future hip fractures. From a source population of 5679 patients ≥40 years old undergoing chest CT in one of three Dutch hospitals between 2002 and 2005, patients hospitalized for hip fractures (n = 149) during a median follow-up of 4.4 years were identified. Following a case-cohort design, a random sample of 576 patients was drawn from the source population and added to the cases. In this group, the presence and severity of vertebral fractures was determined using semiquantitative vertebral fracture assessment and multivariate case-cohort appropriate Cox modeling. We found that cases were older (69 versus 63 years) and more often female (48% versus 38%) than the source population. Compared with those with no fracture, patients with any vertebral fracture had triple the risk of future hip fracture (age- and gender-adjusted hazard ratio [HR] = 3.1, 95% confidence interval [CI] 2.1-4.7). This HR rose to 3.8 (CI 2.6-5.6) if mild fractures were discounted. Future fracture risk increased significantly with increasing severity of vertebral fracture status: from mild (HR = 2.4, CI 1.5-3.7) and moderate (HR = 4.8, CI 2.5-9.2) to severe (HR = 6.7, CI 2.9-15.5). The same was true for having higher cumulative fracture grades: 1 to 3 (HR = 2.7, CI 1.8-4.1), 4 to 6 (HR = 4.8, CI 2.2-10.5), or ≥7 (HR = 11.2, CI 3.7-34.6). In conclusion, prevalent vertebral fractures on routine clinical chest CT are associated with future hip fracture risk.</t>
  </si>
  <si>
    <t>Medication use in European primary care patients with lower respiratory tract infection: an observational study.</t>
  </si>
  <si>
    <t>Hamoen, Marleen; Broekhuizen, Berna D L; Little, Paul; Melbye, Hasse; Coenen, Samuel; Goossens, Herman; Butler, Chris C; Francis, Nick A; Verheij, Theo J M; ,</t>
  </si>
  <si>
    <t>https://pubmed.ncbi.nlm.nih.gov/24567621</t>
  </si>
  <si>
    <t>BACKGROUND It is largely unknown what medication is used by patients with lower respiratory tract infection (LRTI). AIM To describe the use of self-medication and prescribed medication in adults presenting with LRTI in different European countries, and to relate self-medication to patient characteristics. DESIGN AND SETTING An observational study in 16 primary care networks in 12 European countries. METHOD A total of 2530 adult patients presenting with LRTI in 12 European countries filled in a diary on any medication used before and after a primary care consultation. Patient characteristics related to self-medication were determined by univariable and multivariable logistic regression analysis. RESULTS The frequency and types of medication used differed greatly between European countries. Overall, 55.4% self-medicated before consultation, and 21.5% after consultation, most frequently with paracetamol, antitussives, and mucolytics. Females, non-smokers, and patients with more severe symptoms used more self-medication. Patients who were not prescribed medication during the consultation self-medicated more often afterwards. Self-medication with antibiotics was relatively rare. CONCLUSION A considerable amount of medication, often with no proven efficacy, was used by adults presenting with LRTI in primary care. There were large differences between European countries. These findings should help develop patient information resources, international guidelines, and international legislation concerning the availability of over-the-counter medication, and can also support interventions against unwarranted variations in care. In addition, further research on the effects of symptomatic medication is needed.</t>
  </si>
  <si>
    <t>Cardiac magnetic resonance imaging findings and the risk of cardiovascular events in patients with recent myocardial infarction or suspected or known coronary artery disease: a systematic review of prognostic studies.</t>
  </si>
  <si>
    <t>El Aidi, Hamza; Adams, Arthur; Moons, Karel G M; Den Ruijter, Hester M; Mali, Willem P Th M; Doevendans, Pieter A; Nagel, Eike; Schalla, Simon; Bots, Michiel L; Leiner, Tim</t>
  </si>
  <si>
    <t>https://pubmed.ncbi.nlm.nih.gov/24486280</t>
  </si>
  <si>
    <t>The goal of this study was to review the prognostic value of cardiac magnetic resonance (CMR) imaging findings for future cardiovascular events in patients with a recent myocardial infarction (MI) and patients with suspected or known coronary artery disease (CAD). Although the diagnostic value of CMR findings is established, the independent prognostic association with future cardiovascular events remains largely unclear. Studies published by February 2013, identified by systematic MEDLINE and EMBASE searches, were reviewed for associations between CMR findings (left ventricular ejection fraction [LVEF], wall motion abnormalities [WMA], abnormal myocardial perfusion, microvascular obstruction, late gadolinium enhancement, edema, and intramyocardial hemorrhage) and hard events (all-cause mortality, cardiac death, cardiac transplantation, and MI) or major adverse cardiovascular events (MACE) (hard events and other cardiovascular events defined by the authors of the evaluated papers). Fifty-six studies (n = 25,497) were evaluated. For patients with recent MI, too few patients were evaluated to establish associations between CMR findings and hard events. LVEF (range of adjusted hazard ratios [HRs]: 1.03 to 1.05 per % decrease) was independently associated with MACE. In patients with suspected or known CAD, WMA (adjusted HRs: 1.87 to 2.99), inducible perfusion defects (adjusted HRs: 3.02 to 7.77), LVEF (adjusted HRs: 0.72 to 0.82 per 10% increase), and infarction (adjusted HRs: 2.82 to 9.43) were independently associated with hard events, and the presence of inducible perfusion defects was associated with MACE (adjusted HRs: 1.76 to 3.21). The independent predictor of future cardiovascular events for patients with a recent MI was LVEF, and the predictors for patients with suspected or known CAD were WMA, inducible perfusion defects, LVEF, and presence of infarction.</t>
  </si>
  <si>
    <t>Homocysteine and progression of generalized small-vessel disease: the SMART-MR Study.</t>
  </si>
  <si>
    <t>Kloppenborg, Raoul P; Geerlings, Mirjam I; Visseren, Frank L; Mali, Willem P T M; Vermeulen, M; van der Graaf, Yolanda; Nederkoorn, Paul J; ,</t>
  </si>
  <si>
    <t>https://pubmed.ncbi.nlm.nih.gov/24477110</t>
  </si>
  <si>
    <t>Assuming the involvement of homocysteine in a generalized small-vessel disease, we investigated the association of homocysteine levels with progression of white matter lesions, lacunar infarcts, and kidney disease. Within the SMART-MR (Second Manifestations of ARTerial disease-Magnetic Resonance) Study, a prospective cohort study on brain aging in patients with symptomatic atherosclerotic disease, 663 patients (aged 57 ± 9 years) had vascular screening and 1.5-tesla MRI at baseline and after a mean follow-up of 3.9 years. Multiple regression analysis was used to estimate the longitudinal association between total homocysteine level, defined as a continuous variable and as hyperhomocysteinemia (the highest quintile of homocysteine), and progression of white matter lesion volume, lacunar infarcts, and estimated glomerular filtration rate. After adjusting for age, sex, follow-up time, and vascular risk factors, hyperhomocysteinemia was significantly associated with increased risk of white matter lesion progression (odds ratio 2.4, 95% confidence interval [CI] 1.5-4.1) and lower estimated glomerular filtration rate at follow-up (B = -3.4 mL/min, 95% CI -5.9 to -0.9) and borderline significantly associated with new lacunar infarcts (odds ratio 1.8, 95% CI 0.9-3.4). Our findings implicate a role for homocysteine in the development of a generalized small-vessel disease in which both brain and kidney are affected.</t>
  </si>
  <si>
    <t>Search for dark matter in events with a hadronically decaying W or Z boson and missing transverse momentum in pp collisions at √s=8  TeV with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</si>
  <si>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t>
  </si>
  <si>
    <t>https://pubmed.ncbi.nlm.nih.gov/24580439</t>
  </si>
  <si>
    <t>A search is presented for dark matter pair production in association with a W or Z boson in pp collisions representing 20.3  fb(-1) of integrated luminosity at √s=8  TeV using data recorded with the ATLAS detector at the Large Hadron Collider. Events with a hadronic jet with the jet mass consistent with a W or Z boson, and with large missing transverse momentum are analyzed. The data are consistent with the standard model expectations. Limits are set on the mass scale in effective field theories that describe the interaction of dark matter and standard model particles, and on the cross section of Higgs production and decay to invisible particles. In addition, cross section limits on the anomalous production of W or Z bosons with large missing transverse momentum are set in two fiducial regions.</t>
  </si>
  <si>
    <t>Efficient surveillance for healthcare-associated infections spreading between hospitals.</t>
  </si>
  <si>
    <t>Ciccolini, Mariano; Donker, Tjibbe; Grundmann, Hajo; Bonten, Marc J M; Woolhouse, Mark E J</t>
  </si>
  <si>
    <t>https://pubmed.ncbi.nlm.nih.gov/24469791</t>
  </si>
  <si>
    <t>Early detection of new or novel variants of nosocomial pathogens is a public health priority. We show that, for healthcare-associated infections that spread between hospitals as a result of patient movements, it is possible to design an effective surveillance system based on a relatively small number of sentinel hospitals. We apply recently developed mathematical models to patient admission data from the national healthcare systems of England and The Netherlands. Relatively short detection times are achieved once 10-20% hospitals are recruited as sentinels and only modest reductions are seen as more hospitals are recruited thereafter. Using a heuristic optimization approach to sentinel selection, the same expected time to detection can be achieved by recruiting approximately half as many hospitals. Our study provides a robust evidence base to underpin the design of an efficient sentinel hospital surveillance system for novel nosocomial pathogens, delivering early detection times for reduced expenditure and effort.</t>
  </si>
  <si>
    <t>Mendelian randomization of blood lipids for coronary heart disease.</t>
  </si>
  <si>
    <t>Holmes, Michael V; Asselbergs, Folkert W; Palmer, Tom M; Drenos, Fotios; Lanktree, Matthew B; Nelson, Christopher P; Dale, Caroline E; Padmanabhan, Sandosh; Finan, Chris; Swerdlow, Daniel I; Tragante, Vinicius; van Iperen, Erik P A; Sivapalaratnam, Suthesh; Shah, Sonia; Elbers, Clara C; Shah, Tina; Engmann, Jorgen; Giambartolomei, Claudia; White, Jon; Zabaneh, Delilah; Sofat, Reecha; McLachlan, Stela; ,; Doevendans, Pieter A; Balmforth, Anthony J; Hall, Alistair S; North, Kari E; Almoguera, Berta; Hoogeveen, Ron C; Cushman, Mary; Fornage, Myriam; Patel, Sanjay R; Redline, Susan; Siscovick, David S; Tsai, Michael Y; Karczewski, Konrad J; Hofker, Marten H; Verschuren, W Monique; Bots, Michiel L; van der Schouw, Yvonne T; Melander, Olle; Dominiczak, Anna F; Morris, Richard; Ben-Shlomo, Yoav; Price, Jackie; Kumari, Meena; Baumert, Jens; Peters, Annette; Thorand, Barbara; Koenig, Wolfgang; Gaunt, Tom R; Humphries, Steve E; Clarke, Robert; Watkins, Hugh; Farrall, Martin; Wilson, James G; Ric</t>
  </si>
  <si>
    <t>https://pubmed.ncbi.nlm.nih.gov/24474739</t>
  </si>
  <si>
    <t>To investigate the causal role of high-density lipoprotein cholesterol (HDL-C) and triglycerides in coronary heart disease (CHD) using multiple instrumental variables for Mendelian randomization. We developed weighted allele scores based on single nucleotide polymorphisms (SNPs) with established associations with HDL-C, triglycerides, and low-density lipoprotein cholesterol (LDL-C). For each trait, we constructed two scores. The first was unrestricted, including all independent SNPs associated with the lipid trait identified from a prior meta-analysis (threshold P &lt; 2 × 10(-6)); and the second a restricted score, filtered to remove any SNPs also associated with either of the other two lipid traits at P ≤ 0.01. Mendelian randomization meta-analyses were conducted in 17 studies including 62,199 participants and 12,099 CHD events. Both the unrestricted and restricted allele scores for LDL-C (42 and 19 SNPs, respectively) associated with CHD. For HDL-C, the unrestricted allele score (48 SNPs) was associated with CHD (OR: 0.53; 95% CI: 0.40, 0.70), per 1 mmol/L higher HDL-C, but neither the restricted allele score (19 SNPs; OR: 0.91; 95% CI: 0.42, 1.98) nor the unrestricted HDL-C allele score adjusted for triglycerides, LDL-C, or statin use (OR: 0.81; 95% CI: 0.44, 1.46) showed a robust association. 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 The genetic findings support a causal effect of triglycerides on CHD risk, but a causal role for HDL-C, though possible, remains less certain.</t>
  </si>
  <si>
    <t>Prevalence and underlying causes of dyspnoea in older people: a systematic review.</t>
  </si>
  <si>
    <t>van Mourik, Yvonne; Rutten, Frans H; Moons, Karel G M; Bertens, Loes C M; Hoes, Arno W; Reitsma, Johannes B</t>
  </si>
  <si>
    <t>https://pubmed.ncbi.nlm.nih.gov/24473156</t>
  </si>
  <si>
    <t>chronic dyspnoea is common in older people and is often of cardiac or pulmonary aetiology. Information on the exact prevalence and distribution of underlying causes is scarce. Our aim was to review the literature on prevalence and underlying causes of dyspnoea in the older population. two MEDLINE searches were conducted: the first on studies on the prevalence of dyspnoea in older persons aged ≥65 years using the Medical Research Council (MRC) dyspnoea scale and the second on the underlying causes of dyspnoea in this population. Quality assessment was performed for all included studies. Random effects models based on the logit transformed prevalences were used to calculate pooled prevalence with 95% confidence intervals (95% CI). a total of 21 articles from 20 different populations reported the prevalence in the general older population with a median sample size of 600 (Interquartile range 262-1289). The pooled prevalence was 36% (95% CI: 27-47%) for an MRC of ≥2, 16% (95% CI: 12-21%) for an MRC of ≥3 and 4% (95% CI: 2-9%) for an MRC of ≥4. Prevalence rates were higher in women than in men. Only one article investigated the underlying causes of dyspnoea in older persons; in 70% of these patients, the dyspnoea was considered to be of cardiac or pulmonary origin. dyspnoea is very common in older people, but estimates vary considerably between studies. Only one study describes the underlying causes.</t>
  </si>
  <si>
    <t>Clinical predictors of decline in nutritional parameters over time in ESRD.</t>
  </si>
  <si>
    <t>den Hoedt, Claire H; Bots, Michiel L; Grooteman, Muriel P C; van der Weerd, Neelke C; Penne, E Lars; Mazairac, Albert H A; Levesque, Renée; Blankestijn, Peter J; Nubé, Menso J; ter Wee, Piet M; van den Dorpel, Marinus A; ,</t>
  </si>
  <si>
    <t>https://pubmed.ncbi.nlm.nih.gov/24458074</t>
  </si>
  <si>
    <t>Inflammation and malnutrition are important features in patients with ESRD; however, data on changes in these parameters over time are scarce. This study aimed to gain insight into changes over time in serum albumin, body mass index, high-sensitivity C-reactive protein, and IL-6 in patients with ESRD and aimed to identify clinical risk factors for deterioration of these parameters. Data were analyzed from the Convective Transport Study, a randomized controlled trial conducted from June 2004 to January 2011, in which 714 patients with chronic ESRD were randomized to either online hemodiafiltration or low-flux hemodialysis. Albumin and body mass index were measured up to 6 years and predialysis C-reactive protein and IL-6 were measured up to 3 years in a subset of 405 participants. Rates of change in these parameters over time were estimated across strata of predefined risk factors with linear mixed-effects models. Albumin and body mass index decreased and C-reactive protein and IL-6 increased over time. For every incremental year of age at baseline, the yearly excess decline in albumin was 0.003 g/dl (-0.004 to -0.002; P&lt;0.001) and the excess decline in body mass index was 0.02 kg/m(2) per year (-0.02 to -0.01; P&lt;0.001). In patients with diabetes mellitus, there was a yearly excess decline of 0.05 g/dl in albumin (-0.09 to -0.02; P=0.002). Compared with women, men had an excess decline of 0.03 g/dl per year in albumin (-0.06 to -0.001; P=0.05) and an excess increase of 11.6% per year in IL-6 (0.63%-23.6%; P=0.04). Despite guideline-based care, all inflammatory and nutritional parameters worsened over time. The deterioration of some of these parameters was more pronounced in men, older patients, and patients with diabetes mellitus. Special focus on the nutritional status of at-risk patients by individualizing medical care might improve their prognosis.</t>
  </si>
  <si>
    <t>What effect does diabetes have on the family--do you know?</t>
  </si>
  <si>
    <t>Rutten, Guy E H M</t>
  </si>
  <si>
    <t>https://pubmed.ncbi.nlm.nih.gov/24622747</t>
  </si>
  <si>
    <t>Causal effects of body mass index on cardiometabolic traits and events: a Mendelian randomization analysis.</t>
  </si>
  <si>
    <t>Holmes, Michael V; Lange, Leslie A; Palmer, Tom; Lanktree, Matthew B; North, Kari E; Almoguera, Berta; Buxbaum, Sarah; Chandrupatla, Hareesh R; Elbers, Clara C; Guo, Yiran; Hoogeveen, Ron C; Li, Jin; Li, Yun R; Swerdlow, Daniel I; Cushman, Mary; Price, Tom S; Curtis, Sean P; Fornage, Myriam; Hakonarson, Hakon; Patel, Sanjay R; Redline, Susan; Siscovick, David S; Tsai, Michael Y; Wilson, James G; van der Schouw, Yvonne T; FitzGerald, Garret A; Hingorani, Aroon D; Casas, Juan P; de Bakker, Paul I W; Rich, Stephen S; Schadt, Eric E; Asselbergs, Folkert W; Reiner, Alex P; Keating, Brendan J</t>
  </si>
  <si>
    <t>https://pubmed.ncbi.nlm.nih.gov/24462370</t>
  </si>
  <si>
    <t>Elevated body mass index (BMI) associates with cardiometabolic traits on observational analysis, yet the underlying causal relationships remain unclear. We conducted Mendelian randomization analyses by using a genetic score (GS) comprising 14 BMI-associated SNPs from a recent discovery analysis to investigate the causal role of BMI in cardiometabolic traits and events. We used eight population-based cohorts, including 34,538 European-descent individuals (4,407 type 2 diabetes (T2D), 6,073 coronary heart disease (CHD), and 3,813 stroke cases). A 1 kg/m(2) genetically elevated BMI increased fasting glucose (0.18 mmol/l; 95% confidence interval (CI) = 0.12-0.24), fasting insulin (8.5%; 95% CI = 5.9-11.1), interleukin-6 (7.0%; 95% CI = 4.0-10.1), and systolic blood pressure (0.70 mmHg; 95% CI = 0.24-1.16) and reduced high-density lipoprotein cholesterol (-0.02 mmol/l; 95% CI = -0.03 to -0.01) and low-density lipoprotein cholesterol (LDL-C; -0.04 mmol/l; 95% CI = -0.07 to -0.01). Observational and causal estimates were directionally concordant, except for LDL-C. A 1 kg/m(2) genetically elevated BMI increased the odds of T2D (odds ratio [OR] = 1.27; 95% CI = 1.18-1.36) but did not alter risk of CHD (OR 1.01; 95% CI = 0.94-1.08) or stroke (OR = 1.03; 95% CI = 0.95-1.12). A meta-analysis incorporating published studies reporting 27,465 CHD events in 219,423 individuals yielded a pooled OR of 1.04 (95% CI = 0.97-1.12) per 1 kg/m(2) increase in BMI. In conclusion, we identified causal effects of BMI on several cardiometabolic traits; however, whether BMI causally impacts CHD risk requires further evidence.</t>
  </si>
  <si>
    <t>Tailored support for type 2 diabetes patients with an acute coronary event after discharge from hospital - design and development of a randomised controlled trial.</t>
  </si>
  <si>
    <t>Kasteleyn, Marise J; Gorter, Kees J; Stellato, Rebecca K; Rijken, Mieke; Nijpels, Giel; Rutten, Guy Ehm</t>
  </si>
  <si>
    <t>https://pubmed.ncbi.nlm.nih.gov/24438342</t>
  </si>
  <si>
    <t>Type 2 diabetes mellitus patients with an acute coronary event (ACE) experience decreased quality of life and increased distress. According to the American Diabetes Association, discharge from the hospital is a time of increased distress for all patients. Tailored support specific to diabetes is scarce in that period. We developed an intervention based on Bandura's Social Cognitive Theory, Leventhal's Common Sense Model, and results of focus groups. The aim of this study is to evaluate the effectiveness of the intervention to reduce distress in type 2 diabetes patients who experienced a first ACE. Randomised controlled trial. Two hundred patients are recruited in thirteen hospitals. A diabetes nurse visits the patients in the intervention group (n = 100) at home within three weeks after discharge from hospital, and again after two weeks and two months. The control group (n = 100) receives a consultation by telephone. The primary outcome is diabetes-related distress, measured with the Problem Areas in Diabetes (PAID) questionnaire. Secondary outcomes are well-being, health status, anxiety, depression, HbA1c, blood pressure and lipids. Mediating variables are self-management, self-efficacy and illness representations. Outcomes are measured with questionnaires directly after discharge from hospital and five months later. Biomedical variables are obtained from the records from the primary care physician and the hospital. Differences between groups in change over time are analysed according to the intention-to-treat principle. The Holm-Bonferroni correction is used to adjust for multiplicity. Type 2 diabetes patients who experience a first ACE need tailored support after discharge from the hospital. This trial will provide evidence on the effectiveness of a supportive intervention in reducing distress in these patients. NCT01801631.</t>
  </si>
  <si>
    <t>Respiratory syncytial virus in critically ill adult patients with community-acquired respiratory failure: a prospective observational study.</t>
  </si>
  <si>
    <t>Ong, D S Y; Faber, T E; Klein Klouwenberg, P M C; Cremer, O L; Christiaan Boerma, E; Sietses, M; van Loon, A M; Bonten, M J M; Bont, L J</t>
  </si>
  <si>
    <t>https://pubmed.ncbi.nlm.nih.gov/24350766</t>
  </si>
  <si>
    <t>The incidence of respiratory syncytial virus (RSV) and influenza virus infection was determined during three RSV seasons in 158 adult patients consecutively admitted to the intensive care unit with community-acquired respiratory failure. Nasopharyngeal swabs were tested for the presence of RSV and influenza virus by real-time polymerase chain reaction. Six patients (4%) were positive for RSV and all recovered. This finding was in sharp contrast to influenza (23 (15%) patients, 4 (17%) deaths). In conclusion, even in the midst of the RSV season, RSV is an infrequent cause of respiratory failure in adults admitted to the intensive care unit.</t>
  </si>
  <si>
    <t>Diabetes-specific quality of life but not health status is independently associated with glycaemic control among patients with type 2 diabetes: a cross-sectional analysis of the ADDITION-Europe trial cohort.</t>
  </si>
  <si>
    <t>Kuznetsov, Laura; Griffin, Simon J; Davies, Melanie J; Lauritzen, Torsten; Khunti, Kamlesh; Rutten, Guy E H M; Simmons, Rebecca K</t>
  </si>
  <si>
    <t>https://pubmed.ncbi.nlm.nih.gov/24636627</t>
  </si>
  <si>
    <t>To examine the association between health status, diabetes-specific quality of life (QoL) and glycaemic control among individuals with type 2 diabetes. 1876 individuals with screen-detected diabetes and a mean age of 66 years underwent assessment of self-reported health status (SF-36), diabetes-specific QoL (the Audit of Diabetes Dependent Quality of Life (ADDQoL19)) and glycated haemoglobin (HbA1c) at five years post-diagnosis in the ADDITION-Europe trial. Multivariable linear regression was used to quantify the cross-sectional association between health status, diabetes-specific QoL and HbA1c, adjusting for age, sex, education, alcohol consumption, physical activity, BMI, intake of any glucose-lowering drugs, and trial arm. The mean (SD) SF-36 physical and mental health summary scores were 46.2 (10.4) and 54.6 (8.6), respectively. The median average weighted impact ADDQoL score was -0.32 (IQR -0.89 to -0.06), indicating an overall negative impact of diabetes on QoL. Individuals who reported a negative impact of diabetes on their QoL had higher HbA1c levels at five years after diagnosis compared with those who reported a positive or no impact of diabetes (b-coefficient [95% CI]: b=0.2 [0.1, 0.3]). Physical and mental health summary SF-36 scores were not significantly associated with HbA1c in multivariable analysis. Diabetes-specific QoL but not health status was independently associated with HbA1c. Practitioners should take account of the complex relationship between diabetes-specific QoL and glucose, particularly with regard to dietary behaviour. Future research should attempt to elucidate via which pathways this association might act.</t>
  </si>
  <si>
    <t>Meta-analysis and aggregation of multiple published prediction models.</t>
  </si>
  <si>
    <t>Debray, Thomas P A; Koffijberg, Hendrik; Nieboer, Daan; Vergouwe, Yvonne; Steyerberg, Ewout W; Moons, Karel G M</t>
  </si>
  <si>
    <t>https://pubmed.ncbi.nlm.nih.gov/24752993</t>
  </si>
  <si>
    <t>Published clinical prediction models are often ignored during the development of novel prediction models despite similarities in populations and intended usage. The plethora of prediction models that arise from this practice may still perform poorly when applied in other populations. Incorporating prior evidence might improve the accuracy of prediction models and make them potentially better generalizable. Unfortunately, aggregation of prediction models is not straightforward, and methods to combine differently specified models are currently lacking. We propose two approaches for aggregating previously published prediction models when a validation dataset is available: model averaging and stacked regressions. These approaches yield user-friendly stand-alone models that are adjusted for the new validation data. Both approaches rely on weighting to account for model performance and between-study heterogeneity but adopt a different rationale (averaging versus combination) to combine the models. We illustrate their implementation in a clinical example and compare them with established methods for prediction modeling in a series of simulation studies. Results from the clinical datasets and simulation studies demonstrate that aggregation yields prediction models with better discrimination and calibration in a vast majority of scenarios, and results in equivalent performance (compared to developing a novel model from scratch) when validation datasets are relatively large. In conclusion, model aggregation is a promising strategy when several prediction models are available from the literature and a validation dataset is at hand. The aggregation methods do not require existing models to have similar predictors and can be applied when relatively few data are at hand.</t>
  </si>
  <si>
    <t>Comorbidity of eczema, rhinitis, and asthma in IgE-sensitised and non-IgE-sensitised children in MeDALL: a population-based cohort study.</t>
  </si>
  <si>
    <t>Pinart, Mariona; Benet, Marta; Annesi-Maesano, Isabella; von Berg, Andrea; Berdel, Dietrich; Carlsen, Karin C L; Carlsen, Kai-Håkon; Bindslev-Jensen, Carsten; Eller, Esben; Fantini, Maria P; Lenzi, Jacopo; Gehring, Ulrike; Heinrich, Joachim; Hohmann, Cynthia; Just, Jocelyne; Keil, Thomas; Kerkhof, Marjan; Kogevinas, Manolis; Koletzko, Sibylle; Koppelman, Gerard H; Kull, Inger; Lau, Susanne; Melén, Erik; Momas, Isabelle; Porta, Daniela; Postma, Dirkje S; Rancière, Fanny; Smit, Henriette A; Stein, Renato T; Tischer, Christina G; Torrent, Maties; Wickman, Magnus; Wijga, Alet H; Bousquet, Jean; Sunyer, Jordi; Basagaña, Xavier; Guerra, Stefano; Garcia-Aymerich, Judith; Antó, Josep M</t>
  </si>
  <si>
    <t>https://pubmed.ncbi.nlm.nih.gov/24503268</t>
  </si>
  <si>
    <t>Eczema, rhinitis, and asthma often coexist (comorbidity) in children, but the proportion of comorbidity not attributable to either chance or the role of IgE sensitisation is unknown. We assessed these factors in children aged 4-8 years. In this prospective cohort study, we assessed children from 12 ongoing European birth cohort studies participating in MeDALL (Mechanisms of the Development of ALLergy). We recorded current eczema, rhinitis, and asthma from questionnaires and serum-specific IgE to six allergens. Comorbidity of eczema, rhinitis, and asthma was defined as coexistence of two or three diseases in the same child. We estimated relative and absolute excess comorbidity by comparing observed and expected occurrence of diseases at 4 years and 8 years. We did a longitudinal analysis using log-linear models of the relation between disease at age 4 years and comorbidity at age 8 years. We assessed 16 147 children aged 4 years and 11 080 aged 8 years in cross-sectional analyses. The absolute excess of any comorbidity was 1·6% for children aged 4 years and 2·2% for children aged 8 years; 44% of the observed comorbidity at age 4 years and 50·0% at age 8 years was not a result of chance. Children with comorbidities at 4 years had an increased risk of having comorbidity at 8 years. The relative risk of any cormorbidity at age 8 years ranged from 36·2 (95% CI 26·8-48·8) for children with rhinitis and eczema at age 4 years to 63·5 (95% CI 51·7-78·1) for children with asthma, rhinitis, and eczema at age 4 years. We did longitudinal assessment of 10 107 children with data at both ages. Children with comorbidities at 4 years without IgE sensitisation had higher relative risks of comorbidity at 8 years than did children who were sensitised to IgE. For children without comorbidity at age 4 years, 38% of the comorbidity at age 8 years was attributable to the presence of IgE sensitisation at age 4 years. Coexistence of eczema, rhinitis, and asthma in the same child is more common than expected by chance alone-both in the presence and absence of IgE sensitisation-suggesting that these diseases share causal mechanisms. Although IgE sensitisation is independently associated with excess comorbidity of eczema, rhinitis, and asthma, its presence accounted only for 38% of comorbidity, suggesting that IgE sensitisation can no longer be considered the dominant causal mechanism of comorbidity for these diseases.</t>
  </si>
  <si>
    <t>Age related differences in dynamics of specific memory B cell populations after clinical pertussis infection.</t>
  </si>
  <si>
    <t>van Twillert, Inonge; van Gaans-van den Brink, Jacqueline A M; Poelen, Martien C M; Helm, Kina; Kuipers, Betsy; Schipper, Maarten; Boog, Claire J P; Verheij, Theo J M; Versteegh, Florens G A; van Els, Cécile A C M</t>
  </si>
  <si>
    <t>https://pubmed.ncbi.nlm.nih.gov/24454823</t>
  </si>
  <si>
    <t>For a better understanding of the maintenance of immune mechanisms to Bordetella pertussis (Bp) in relation to age, we investigated the dynamic range of specific B cell responses in various age-groups at different time points after a laboratory confirmed pertussis infection. Blood samples were obtained in a Dutch cross sectional observational study from symptomatic pertussis cases. Lymphocyte subpopulations were phenotyped by flowcytometry before and after culture. Memory B (Bmem) cells were differentiated into IgG antibody secreting cells (ASC) by polyclonal stimulation and detected by an ELISPOT assay specific for pertussis antigens pertussis toxin (Ptx), filamentous haemagglutinin (FHA) and pertactin (Prn). Bp antigen specific IgG concentrations in plasma were determined using multiplex technology. The majority of subjects having experienced a clinical pertussis episode demonstrated high levels of both Bp specific IgG and Bmem cell levels within the first 6 weeks after diagnosis. Significantly lower levels were observed thereafter. Waning of cellular and humoral immunity to maintenance levels occurred within 9 months after antigen encounter. Age was found to determine the maximum but not base-line frequencies of Bmem cell populations; higher levels of Bmem cells specific for Ptx and FHA were reached in adults and (pre-) elderly compared to under-fours and schoolchildren in the first 6 weeks after Bp exposure, whereas not in later phases. This age effect was less obvious for specific IgG levels. Nonetheless, subjects' levels of specific Bmem cells and specific IgG were weakly correlated. This is the first study to show that both age and closeness to last Bp encounter impacts the size of Bp specific Bmem cell and plasma IgG levels.</t>
  </si>
  <si>
    <t>Secretion of adipocytokines by perivascular adipose tissue near stenotic and non-stenotic coronary artery segments in patients undergoing CABG.</t>
  </si>
  <si>
    <t>Verhagen, Sandra N; Buijsrogge, Marc P; Vink, Aryan; van Herwerden, Lex A; van der Graaf, Yolanda; Visseren, Frank L J</t>
  </si>
  <si>
    <t>https://pubmed.ncbi.nlm.nih.gov/24529151</t>
  </si>
  <si>
    <t>Perivascular adipose tissue (pvAT) may induce a local pro-inflammatory environment, possibly contributing to coronary atherosclerosis. We investigated whether there is a difference in adipocytokine production by pvAT near stenotic and non-stenotic coronary artery segments in patients with coronary artery disease (CAD). In patients undergoing CABG with or without valve replacement (n = 38) pvAT near stenotic and near non-stenotic coronary segments was harvested. PvAT was incubated ex vivo for 24h. Concentrations of 23 adipocytokines were measured in the supernatants with a Multiplex assay. The number of macrophages (CD68, CD11c, CD206) and lymphocytes (CD45) in pvAT was determined. Differences between stenosis and control pvAT were tested with Wilcoxon signed rank test corrected for multiple comparisons. Production of IL-5, IL-1α, IL-17, IL-18 and IL-23 was higher in control than stenosis pvAT samples (p &lt; 0.0021). Macrophages were more abundant in stenosis than in control pvAT (median n/400× field: 2.3 IQR: 0.3-4.5 versus 1.2 IQR: 0.1-2.5). There was a predominance of M2 macrophages in both stenosis and control pvAT (median n/400× field: macrophages stenosis: M1: 0.0; M2: 1.0 p = 0.004; control: M1: 0.0; M2: 0.6 p = 0.013). The relation between adipocytokine production and macrophage infiltration was not different in stenosis and control pvAT. In patients with CAD, multiple adipocytokines were secreted at higher levels by pvAT near non-stenotic than near stenotic coronary artery segments. Furthermore, pvAT macrophages are associated with stenosis of the adjacent vessel. M2 macrophages were more abundant than M1 macrophages in pvAT.</t>
  </si>
  <si>
    <t>A training course for experts in diabetology in primary care.</t>
  </si>
  <si>
    <t>Hart, Huberta E; Rutten, Guy E H M</t>
  </si>
  <si>
    <t>https://pubmed.ncbi.nlm.nih.gov/24418461</t>
  </si>
  <si>
    <t>In the Netherlands so-called Diabetes Care Groups organize the primary diabetes care centrally with delegation to different health care providers. A training course for general practitioners who would like to become experts in diabetology in the primary care setting meets the need to guide the quality management processes in these care groups.</t>
  </si>
  <si>
    <t>A randomized trial of hemodiafiltration and change in cardiovascular parameters.</t>
  </si>
  <si>
    <t>Mostovaya, Irina M; Bots, Michiel L; van den Dorpel, Marinus A; Grooteman, Muriel P C; Kamp, Otto; Levesque, Renée; Ter Wee, Piet M; Nubé, Menso J; Blankestijn, Peter J</t>
  </si>
  <si>
    <t>https://pubmed.ncbi.nlm.nih.gov/24408114</t>
  </si>
  <si>
    <t>Increased left ventricular mass (LVM), low ventricular ejection fraction (EF), and high pulse-wave velocity (PWV) relate to overall and cardiovascular mortality in patients with ESRD. The aim of this study was to determine the effect of online hemodiafiltration (HDF) versus low-flux hemodialysis (HD) on LVM, EF, and PWV. Echocardiography was used to assess LVM and EF in 342 patients in the CONvective TRAnsport STudy followed for up to 4 years. PWV was measured in 189 patients for up to 3 years. Effect of HDF versus HD on LVM, EF, and PWV was evaluated using linear mixed models. Patients had a mean age of 63 years, and 61% were male. At baseline, median LVM was 227 g (interquartile range [IQR], 183-279 g), and median EF was 65% (IQR, 55%-72%). Median PWV was 9.8 m/s (IQR, 7.5-12.0 m/s). There was no significant difference between the HDF and HD treatment groups in rate of change in LVM (HDF: change, -0.9 g/yr [95% confidence interval (95% CI), -8.9 to 7.7 g]; HD: change, 12.5 g/yr [95% CI, -3.0 to 27.5 g]; P for difference=0.13), EF (HDF: change, -0.3%/yr [95% CI, -2.3% to 1.8%]; HD: change, -3.4%/yr [95% CI, -5.9% to -0.9%]; P=0.17), or PWV (HDF: change, -0.0 m/s per year [95% CI, -0.4 to 0.4 m/s); HD: change, 0.0 m/s per year [95% CI, -0.3 to 0.2 m/s]; P=0.89). No differences in rate of change between treatment groups were observed for subgroups of age, sex, residual kidney function, dialysis vintage, history of cardiovascular disease, diabetes, or convection volume. Treatment with online HDF did not affect changes in LVM, EF, or PWV over time compared with HD.</t>
  </si>
  <si>
    <t>Limits of chlamydial diagnostic tests in epidemiological studies.</t>
  </si>
  <si>
    <t>Dukers-Muijrers, Nicole H T M; van der Sande, Marianne A B; Wolffs, Petra F G; Hoebe, Christian J P A</t>
  </si>
  <si>
    <t>https://pubmed.ncbi.nlm.nih.gov/24415785</t>
  </si>
  <si>
    <t>Online respondent-driven sampling for studying contact patterns relevant for the spread of close-contact pathogens: a pilot study in Thailand.</t>
  </si>
  <si>
    <t>Stein, Mart L; van Steenbergen, Jim E; Chanyasanha, Charnchudhi; Tipayamongkholgul, Mathuros; Buskens, Vincent; van der Heijden, Peter G M; Sabaiwan, Wasamon; Bengtsson, Linus; Lu, Xin; Thorson, Anna E; Kretzschmar, Mirjam E E</t>
  </si>
  <si>
    <t>https://pubmed.ncbi.nlm.nih.gov/24416371</t>
  </si>
  <si>
    <t>Information on social interactions is needed to understand the spread of airborne infections through a population. Previous studies mostly collected egocentric information of independent respondents with self-reported information about contacts. Respondent-driven sampling (RDS) is a sampling technique allowing respondents to recruit contacts from their social network. We explored the feasibility of webRDS for studying contact patterns relevant for the spread of respiratory pathogens. We developed a webRDS system for facilitating and tracking recruitment by Facebook and email. One-day diary surveys were conducted by applying webRDS among a convenience sample of Thai students. Students were asked to record numbers of contacts at different settings and self-reported influenza-like-illness symptoms, and to recruit four contacts whom they had met in the previous week. Contacts were asked to do the same to create a network tree of socially connected individuals. Correlations between linked individuals were analysed to investigate assortativity within networks. We reached up to 6 waves of contacts of initial respondents, using only non-material incentives. Forty-four (23.0%) of the initially approached students recruited one or more contacts. In total 257 persons participated, of which 168 (65.4%) were recruited by others. Facebook was the most popular recruitment option (45.1%). Strong assortative mixing was seen by age, gender and education, indicating a tendency of respondents to connect to contacts with similar characteristics. Random mixing was seen by reported number of daily contacts. Despite methodological challenges (e.g. clustering among respondents and their contacts), applying RDS provides new insights in mixing patterns relevant for close-contact infections in real-world networks. Such information increases our knowledge of the transmission of respiratory infections within populations and can be used to improve existing modelling approaches. It is worthwhile to further develop and explore webRDS for the detection of clusters of respiratory symptoms in social networks.</t>
  </si>
  <si>
    <t>Strategy to recognize and initiate treatment of chronic heart failure in primary care (STRETCH): a cluster randomized trial.</t>
  </si>
  <si>
    <t>van Riet, Evelien E S; Hoes, Arno W; Limburg, Alexander; van der Hoeven, Henk; Landman, Marcel A J; Rutten, Frans H</t>
  </si>
  <si>
    <t>https://pubmed.ncbi.nlm.nih.gov/24400643</t>
  </si>
  <si>
    <t>Most patients with heart failure are diagnosed and managed in primary care, however, underdiagnosis and undertreatment are common. We assessed whether implementation of a diagnostic-therapeutic strategy improves functionality, health-related quality of life, and uptake of heart failure medication in primary care. A selective screening study followed by a single-blind cluster randomized trial in primary care. The study population consists of patients aged 65 years or over who presented themselves to the general practitioner in the previous 12 months with shortness of breath on exertion. Patients already known with established heart failure, confirmed by echocardiography, are excluded. Diagnostic investigations include history taking, physical examination, electrocardiography, and serum N-terminal pro B-type natriuretic peptide levels. Only participants with an abnormal electrocardiogram or an N-terminal pro B-type natriuretic peptide level exceeding the exclusionary cutpoint for non-acute onset heart failure (&gt; 15 pmol/L (≈ 125 pg/ml)) will undergo open-access echocardiography. The diagnosis of heart failure (with reduced or preserved ejection fraction) is established by an expert panel consisting of two cardiologists and a general practitioner, according to the criteria of the European Society of Cardiology guidelines.Patients with newly established heart failure are allocated to either the 'care as usual' group or the 'intervention' group. Randomization is at the level of the general practitioner. In the intervention group general practitioners receive a single half-day training in heart failure management and the use of a structured up-titration scheme. All participants fill out quality of life questionnaires at baseline and after six months of follow-up. A six-minute walking test will be performed in patients with heart failure. Information on medication and hospitalization rates is extracted from the electronic medical files of the general practitioners. This study will provide information on the prevalence of unrecognized heart failure in elderly with shortness of breath on exertion, and the randomized comparison will reveal whether management based on a half-day training of general practitioners in the practical application of an up-titration scheme results in improvements in functionality, health-related quality of life, and uptake of heart failure medication in heart failure patients compared to care as usual. ClinicalTrials.gov NCT01202006.</t>
  </si>
  <si>
    <t>What follow-up care and self-management support do patients with type 2 diabetes want after their first acute coronary event? A qualitative study.</t>
  </si>
  <si>
    <t>Kasteleyn, Marise J; Gorter, Kees J; van Puffelen, Anne L; Heijmans, Monique; Vos, Rimke C; Jansen, Hanneke; Rutten, Guy E H M</t>
  </si>
  <si>
    <t>https://pubmed.ncbi.nlm.nih.gov/24389352</t>
  </si>
  <si>
    <t>Despite diabetes patients' efforts to control their disease, many of them are confronted with an acute coronary event. This may evoke depressive feelings and self-management may be complicated. According to the American Diabetes Association, the transition from hospital to home after an acute coronary event (ACE) is a high-risk time for diabetes patients; it should be improved. Before developing an intervention for diabetes patients with an ACE in the period after discharge from hospital, we want to gain a detailed understanding of patients' views, perceptions and feelings in this respect. Qualitative design. Two semi-structured focus groups were conducted with 14 T2DM patients (71% male, aged 61-77 years) with a recent ACE. One focus group with partners (67% male, aged 64-75 years) was held. All interviews were transcribed verbatim and analyzed by two independent researchers. Patients believed that coping with an ACE differs between patients with and without T2DM. They had problems with physical exercise, sexuality and pharmacotherapy. Patients and partners were neither satisfied with the amount of information, especially on the combination of T2DM and ACE, nor with the support offered by healthcare professionals after discharge. Participants would appreciate tailored self-management support after discharge from hospital. Patients with T2DM and their partners lack tailored support after a first ACE. Our findings underpin the ADA recommendations to improve the transition from hospital to home. The results of our study will help to determine the exact content of a self-management support program delivered at home to help this specific group of patients to cope with both conditions.</t>
  </si>
  <si>
    <t>Antecolic versus retrocolic route of the gastroenteric anastomosis after pancreatoduodenectomy: a randomized controlled trial.</t>
  </si>
  <si>
    <t>Eshuis, Wietse J; van Eijck, Casper H J; Gerhards, Michael F; Coene, Peter P; de Hingh, Ignace H J T; Karsten, Thom M; Bonsing, Bert A; Gerritsen, Josephus J G M; Bosscha, Koop; Spillenaar Bilgen, Ernst J; Haverkamp, Jorien A; Busch, Olivier R C; van Gulik, Thomas M; Reitsma, Johannes B; Gouma, Dirk J</t>
  </si>
  <si>
    <t>https://pubmed.ncbi.nlm.nih.gov/24096769</t>
  </si>
  <si>
    <t>To investigate the relationship between the route of gastroenteric (GE) reconstruction after pancreatoduodenectomy (PD) and the postoperative incidence of delayed gastric emptying (DGE). DGE is one of the most common complications after PD. Recent studies suggest that an antecolic route of the GE reconstruction leads to a lower incidence of DGE, compared to a retrocolic route. In a nonrandomized comparison within our trial center, we found no difference in DGE after antecolic or retrocolic GE reconstruction. Ten middle- to high-volume centers participated in the patient inclusion. Patients scheduled for PD who gave written informed consent were included and randomized during surgery after resection. Standard operation was a pylorus-preserving PD. Primary endpoint was DGE. Secondary endpoints included other complications and length of hospital stay. There were 125 patients in the retrocolic group, and 121 patients in the antecolic group. Baseline and treatment characteristics did not differ between the study groups. In the retrocolic group, 45 patients (36%) developed clinically relevant DGE compared with 41 (34%) in the antecolic group (absolute risk difference: 2.1%; 95% confidence interval: -9.8% to 14.0%). There were no differences in need for postoperative (par)enteral nutritional support, other complications, hospital mortality, and median length of hospital stay. The route of GE reconstruction after PD does not influence the postoperative incidence of DGE or other complications. The etiology and treatment of DGE, which occurs frequently after both procedures, need further investigation. The GE reconstruction after PD should be routed according to the surgeon's preference.</t>
  </si>
  <si>
    <t>External validation of the Emergency Trauma Score for early prediction of mortality in trauma patients.</t>
  </si>
  <si>
    <t>Joosse, Pieter; de Jong, Willem-Jan J; Reitsma, Johannes B; Wendt, Klaus W; Schep, Niels W; Goslings, J Carel</t>
  </si>
  <si>
    <t>https://pubmed.ncbi.nlm.nih.gov/23982027</t>
  </si>
  <si>
    <t>The Emergency Trauma Score has been developed for early estimation of mortality risk in adult trauma patients with an Injury Severity Score of 16 or higher. Emergency Trauma Score combines four early predictors available at the trauma resuscitation room: age, Glasgow Coma Scale, base excess, and prothrombin time. Our goal was to validate the Emergency Trauma Score in two large external cohorts. As the Injury Severity Score is not accurately known at the time patients present at the resuscitation room, we evaluated the performance of Emergency Trauma Score in all trauma patients. External validation study using data from two prospectively collected trauma registries. Two academic level 1 trauma centers. Adult patients admitted to the hospital after treatment at the trauma resuscitation room. Calibration and discrimination of the original Emergency Trauma Score were assessed within each cohort separately. A total of 4,418 consecutive patients were evaluated. Discrimination was good in both validation cohorts, with areas under the receiver-operating curve curves that were even higher (0.94 and 0.92, respectively) than that in the original cohort (0.83). Predicted mortality was systematically too high compared with actual mortality in patients with low-to-medium expected risk (&lt; 25%). Calibration improved in the lower expected risk range after exclusion of patients with Injury Severity Score less than 16. The Emergency Trauma Score model performs well in discriminating between trauma patients who will survive and who will not. If applied to all trauma patients, predicted mortality risks are too high in the low-risk category.</t>
  </si>
  <si>
    <t>Unrecognized heart failure and chronic obstructive pulmonary disease (COPD) in frail elderly detected through a near-home targeted screening strategy.</t>
  </si>
  <si>
    <t>van Mourik, Yvonne; Bertens, Loes C M; Cramer, Maarten J M; Lammers, Jan-Willem J; Reitsma, Johannes B; Moons, Karel G M; Hoes, Arno W; Rutten, Frans H</t>
  </si>
  <si>
    <t>journal of the american board of family medicine jabfm</t>
  </si>
  <si>
    <t>https://pubmed.ncbi.nlm.nih.gov/25381079</t>
  </si>
  <si>
    <t>Reduced exercise tolerance and dyspnea are common in older people, and heart failure (HF) and chronic obstructive pulmonary disease (COPD) are the main causes. We want to determine the prevalence of previously unrecognized HF, COPD, and other chronic diseases in frail older people using a near-home targeted screening strategy. Community-dwelling frail persons aged ≥65 years underwent a 2-step screening strategy. First, they received a questionnaire inquiring about dyspnea and exercise tolerance. Those with exercise intolerance and/or dyspnea were invited to visit their primary care physician's office for a screening program, including medical history taking, physical examination, blood tests, electrocardiography, spirometry, and echocardiography. The final diagnosis of every patient was determined by a panel consisting of 3 physicians. Of the 570 elderly who filled out the questionnaire, 395 (69%) had reduced exercise tolerance or dyspnea. Of these, 389 underwent the screening program: 127 (33.5%, 95% confidence interval, 28.9-38.4%) were newly diagnosed with HF (mainly HF with a preserved ejection fraction [23.5%]), and previously unrecognized COPD was detected in 16.8% (95% confidence interval, 13.4-20.9%). In total, 165 patients (43.9%) received a new diagnosis of either HF, COPD, or both. Other new diagnoses (in 32.7% of the screening program patients) included atrial fibrillation (1.8%), valvular disease (21.4%), (persisting) asthma (3.1%), anemia (12.7%), and thyroid disease (0.6%). No clear explanation for the complaints of 47 patients (12.2%) was found using our strategy. Unrecognized chronic diseases might be detected in community-dwelling frail elderly using a near-home screening strategy that is simple to implement. It remains to be proven, however, whether optimizing treatment of the newly detected diagnoses in this fragile population with multimorbidities and polypharmacy improves quality of life and reduces morbidity and mortality.</t>
  </si>
  <si>
    <t>[Reference standards in diagnostic research: problems and solutions].</t>
  </si>
  <si>
    <t>de Groot, Joris A H; Reitsma, Johannes B; Moons, Karel G M</t>
  </si>
  <si>
    <t>https://pubmed.ncbi.nlm.nih.gov/25589276</t>
  </si>
  <si>
    <t>The accuracy of diagnostic tests is of utmost importance as biased test results may lead to wrong decisions in clinical practice. In diagnostic accuracy research the results of a diagnostic test, model or strategy are compared to those of the reference standard, i.e. the best available method to determine whether a certain condition or disease is present or absent. Problems with the reference standard lead to biased test results. The umbrella term for this is 'verification bias'. Verification bias arises if the reference standard cannot be applied to all patients, if investigators use different reference standards or simply because there is no reference standard. Correction of these problems is often possible, and, if it is applied in a transparent and reproducible fashion it will deliver useful diagnostic information. Clinicians who use a diagnostic test should take possible verification bias into account.</t>
  </si>
  <si>
    <t>Incidence of first acute myocardial infarction over time specific for age, sex, and country of birth.</t>
  </si>
  <si>
    <t>https://pubmed.ncbi.nlm.nih.gov/24457435</t>
  </si>
  <si>
    <t>To study the age- and sex-specific incidence rates of first acute myocardial infarction (AMI) among first-generation ethnic minority groups (henceforth, migrant groups) and the Dutch majority population in the Netherlands during two time periods (2000-2004 and 2005-2010). Through linkage of Dutch nationwide registers, first AMI events in the Dutch majority population and the major migrant groups living in the Netherlands were identified from 2000-2004 and 2005-2010. Absolute incidence rates were calculated within each age-sex-period-country of birth group. Regardless of ethnic background, AMI incidence rates were higher in men than in women and increased with age. Incidence significantly declined over time among the Dutch majority population (men: -26.8%, women: -26.7%), and among most migrant groups under study. It was only in Moroccan migrants that AMI incidence significantly increased over time (men: 25.2%, women: 41.7%). Trends differed between age categories, but did not show a consistent pattern. The higher AMI incidence in Surinamese men and women and Turkish and Indonesian men compared with the Dutch majority population persisted over time, but decreased with age and became absent after 70 years of age. Moroccans had a significantly lower incidence compared with the Dutch majority population during 2000-2004, which disappeared during 2005-2010. Primary preventive strategies should focus on Surinamese men and women and Turkish and Indonesian men below 70 years of age. Future research is necessary to unravel the factors that provoke the increasing AMI incidence over time among Moroccans.</t>
  </si>
  <si>
    <t>Associations between Frailty, Complex Care Needs and Quality of Life in Multi-Morbid Older People.</t>
  </si>
  <si>
    <t>Bleijenberg, N; Ten Dam, V H; Drubbel, I; Numans, M E; de Wit, N J; Schuurmans, M J</t>
  </si>
  <si>
    <t>the journal of frailty aging</t>
  </si>
  <si>
    <t>https://pubmed.ncbi.nlm.nih.gov/27050063</t>
  </si>
  <si>
    <t>Little is known regarding the complex care needs, level of frailty or quality of life of multi-morbid older patients. The objective of this study was to determine the relationship between frailty, complexity of care and quality of life in multi-morbid older people. Cross-sectional study. Thirteen primary care practices in the Netherlands. 1,150 multi-morbid older people living in the community. The level of frailty was assessed with the Groningen Frailty Indicator. Complexity of care needs was measured with the Intermed for the Elderly Self-Assessment. Quality of life (QoL) was measured with two items of the RAND-36. In total, 758 out of 1,150 (65.9%) patients were frail, 8.3% had complex care needs, and the mean QoL score was 7.1 (standard deviation 1.2). Correlations between frailty and complexity, frailty and QoL, and complexity of care and QoL were 0.67, -0.51 and -0.52 (all p&lt;0.001) respectively. All patients with complex care needs were frail, but, only 12.5% of the frail patients had complex care needs. Problems at climbing up stairs was associated with higher levels of frailty and complexity of care but with a lower QoL. Higher levels of frailty and complexity of care are associated with a lower QoL in multi-morbid older people. The results of this study contribute to a better understanding these concepts and are valuable for the development of tailored interventions for older persons in the future.</t>
  </si>
  <si>
    <t>Cognitive disorders in diabetic patients.</t>
  </si>
  <si>
    <t>Koekkoek, Paula S; Rutten, Guy E H M; Biessels, Geert Jan</t>
  </si>
  <si>
    <t>handbook of clinical neurology</t>
  </si>
  <si>
    <t>https://pubmed.ncbi.nlm.nih.gov/25410220</t>
  </si>
  <si>
    <t>This chapter gives an overview of the literature on cognitive dysfunction in adults with type 1 or type 2 diabetes. First, methods to evaluate cognitive functioning and the pattern and severity of cognitive dysfunction in relation to diabetes will be discussed. The reader will note that diabetes is associated with worse cognitive functioning and an increased dementia risk. Next, diabetes-associated abnormalities on brain MRI, including reductions in brain volume - i.e., cerebral atrophy - and vascular lesions, will be addressed. At the group level there are clear relations between these imaging abnormalities and cognitive dysfunction, but at the level of the individual patient these relations are often less clear. Subsequently, risk factors for cognitive performance will be discussed. Evidently, these risk factors are related to diabetes type and the age of the patients involved. For type 1 diabetes, an early age at diabetes onset is the most consistent risk factor, whereas in type 2 diabetes, vascular risk factors and vascular comorbidities are consistent indicators of increased risk. The final section of the chapter addresses possible preventive and treatment measures and implications for daily care.</t>
  </si>
  <si>
    <t>Quality of drug label information on QT interval prolongation.</t>
  </si>
  <si>
    <t>the international journal of risk safety in medicine</t>
  </si>
  <si>
    <t>https://pubmed.ncbi.nlm.nih.gov/24902506</t>
  </si>
  <si>
    <t>Information regarding QT-prolongation in the drug label may vary between products. This could lead to suboptimal risk minimization strategies. To systematically assess the variation in the extent and content of information on QT prolongation in the summary of product characteristics (SPC) of recently approved medicinal products. Drug labels of products centrally approved in Europe between 2006 and 2012 were screened. Of drugs including the term 'QT' in the SPC, the message on QT-prolongation ('no prolongation'/'unclear drug-QT association'/'possibly QT-prolongation'/'QT-prolongation') and the advice on cautionary measures pertaining to QT-prolongation in the label were examined, as well as their association. Of the 175 screened products, 44 contained information on QT in the SPC ('no QT-prolongation': 23%, 'unclear drug-QT association': 43%, 'possibly QT-prolongation': 16%, 'QT-prolongation': 18%). 62% contained advices to act with caution in patients with additional risk factors for QT-prolongation. Products that more likely to have QT-prolonging properties according to the SPC provided more information on QT-prolongation in the SPC ('no prolongation': 10% and for the category 'QT-prolongation': 100%). The extent and content of information on QT-prolongation varies considerably between SPCs, and in almost half of the drugs a clear message on QT-prolongation was lacking in the SPC.</t>
  </si>
  <si>
    <t>[E-health and the GP as gatekeeper; are the two compatible?].</t>
  </si>
  <si>
    <t>https://pubmed.ncbi.nlm.nih.gov/25515393</t>
  </si>
  <si>
    <t>Within the Dutch healthcare system the general practitioner functions as a "gatekeeper", deciding whether or not to refer the patient for specialist care. The introduction of e-health makes it easier for medical specialists to inform patients about their abilities in their own field. When they also offer to help the patient via e-health consultation they are, in practical terms, bypassing the gatekeeper. At the moment the Dutch healthcare system has no way of regulating payment for these services. Irrespective of the many advantages of e-health in the collaboration between primary and specialist care, we should carefully consider whether we want the gatekeeper to be bypassed in this way. This will be even more important if it results in extra costs for the healthcare system.</t>
  </si>
  <si>
    <t>[Transferring care from secondary to primary health services; time for action].</t>
  </si>
  <si>
    <t>Damoiseaux, Roger A M J; Bindels, Patrick J E</t>
  </si>
  <si>
    <t>https://pubmed.ncbi.nlm.nih.gov/25004783</t>
  </si>
  <si>
    <t>Transferring responsibility for care from secondary to primary health services is a hot topic in Dutch health care. The theory is that this is cheaper, while providing the same quality of care, and practice guidelines have actually stimulated this process for many years. Researchers from the Netherlands Institute for Health Services Research (NIVEL) explored how this transfer of care has been accepted and how the process can be expanded. The fact that there is a great difference in referral rate between general practitioners led them to conclude that there is still room for more transfer of care. One problem is that general practitioners in the Netherlands have too many job responsibilities, and no single general practitioner can fulfil all requirements. Although further transfer would be cost effective the organisation of health care needs to be remodelled if more services are to be transferred. Physicians should be stimulated to collaborate more effectively and medical training should focus more on this competence.</t>
  </si>
  <si>
    <t>[Personalised care in guidelines is a contradiction in terms].</t>
  </si>
  <si>
    <t>https://pubmed.ncbi.nlm.nih.gov/24594134</t>
  </si>
  <si>
    <t>Guidelines cannot be so specific that they are suitable for every patient in your surgery. Certain aspects can, however, be accounted for such as age and sex. The recent guideline from the Dutch College of General Practitioners on diabetes differentiates between optimal HbA1c levels according to a patient's age and duration of diabetes. In cases where a patient has more than one disease, things get more problematic as personalised care has to be provided in collaboration with the patient. In these cases, a physician has to know how to search for relevant specific evidence and how to judge that evidence. These academic skills must be included in all medical training programmes and should be maintained throughout the physician's professional life.</t>
  </si>
  <si>
    <t>The inherent ethical challenge of first-in-human pluripotent stem cell trials.</t>
  </si>
  <si>
    <t>https://pubmed.ncbi.nlm.nih.gov/24350999</t>
  </si>
  <si>
    <t>['Best proven care' not always the best control].</t>
  </si>
  <si>
    <t>van der Graaf, Rieke; van Thiel, Ghislaine J M W; van Delden, Johannes J M</t>
  </si>
  <si>
    <t>https://pubmed.ncbi.nlm.nih.gov/24690518</t>
  </si>
  <si>
    <t>Willems et al. have recently argued in the Dutch Journal of Medicine that Research Ethics Committees should follow the Declaration of Helsinki in its 2000 version since they believe that this version guarantees better protection for control groups in clinical trials than the 2008 version (and currently its 2013 version). They fear that the sections on placebo-controlled trials in the recent versions allow non-innovative research. We show that the Declaration of Helsinki does not allow research that has no social value. Moreover, we show that the 2000 version is internationally contested. We agree with the authors that the Declaration of Helsinki inadequately protects control groups, but for other reasons. We think that the Council for International Organizations of Medical Sciences (CIOMS) guidelines offer better protection since they require that control groups cannot be withheld an established effective intervention for the condition under study. Unlike the Declaration of Helsinki, the CIOMS guidelines claim that control groups have a right to more than the best proven intervention.</t>
  </si>
  <si>
    <t>[Smoking in a risk society: 50 years after the Surgeon General's report].</t>
  </si>
  <si>
    <t>Bolt, Timo C; Huisman, Frank G</t>
  </si>
  <si>
    <t>https://pubmed.ncbi.nlm.nih.gov/25308225</t>
  </si>
  <si>
    <t>Exactly 50 years ago, the U.S. Surgeon General explicitly warned about health damage caused by cigarette smoking. His 1964 report is often regarded as a definitive breakthrough in the battle against lung cancer. This report is worth remembering, not so much as a milestone of medical progress, but rather as marking the origin of new disease patterns and a new health culture. As such, the report may prompt reflection on the foundations of our healthcare system and the mission of medicine in the 21st century.</t>
  </si>
  <si>
    <t>Loss of multi-epitope specificity in memory CD4(+) T cell responses to B. pertussis with age.</t>
  </si>
  <si>
    <t>Han, Wanda G H; van Twillert, Inonge; Poelen, Martien C M; Helm, Kina; van de Kassteele, Jan; Verheij, Theo J M; Versteegh, Florens G A; Boog, Claire J P; van Els, Cécile A C M</t>
  </si>
  <si>
    <t>https://pubmed.ncbi.nlm.nih.gov/24391789</t>
  </si>
  <si>
    <t>Pertussis is still occurring in highly vaccinated populations, affecting individuals of all ages. Long-lived Th1 CD4(+) T cells are essential for protective immunity against pertussis. For better understanding of the limited immunological memory to Bordetella pertussis, we used a panel of Pertactin and Pertussis toxin specific peptides to interrogate CD4(+) T cell responses at the epitope level in a unique cohort of symptomatic pertussis patients of different ages, at various time intervals after infection. Our study showed that pertussis epitope-specific T cell responses contained Th1 and Th2 components irrespective of the epitope studied, time after infection, or age. In contrast, the breadth of the pertussis-directed CD4(+) T cell response seemed dependent on age and closeness to infection. Multi-epitope specificity long-term after infection was lost in older age groups. Detailed knowledge on pertussis specific immune mechanisms and their insufficiencies is important for understanding resurgence of pertussis in highly vaccinated populations.</t>
  </si>
  <si>
    <t>Added value of modified transoesophageal echocardiography in the diagnosis of atherosclerosis of the distal ascending aorta in cardiac surgery patients.</t>
  </si>
  <si>
    <t>Jansen Klomp, Wouter W; Peelen, Linda M; Spanjersberg, Sander J; Brandon Bravo Bruinsma, George J; Lange, Fellery de; van't Hof, Arnoud W J; Moons, Karel G M</t>
  </si>
  <si>
    <t>https://pubmed.ncbi.nlm.nih.gov/24375559</t>
  </si>
  <si>
    <t>Accurate visualization of the distal ascending aorta (DAA) can guide the surgical management and hence prevent dislodgment of atherogenic emboli during cardiac surgery. Conventional transoesophageal echocardiography (TEE) has a poor sensitivity; modified TEE was previously shown to accurately visualize atherosclerosis of the DAA. We studied the added value of modified TEE beyond the patient history and TEE screening. Included were 421 patients from a previous diagnostic study, which compared the diagnosis of severe atherosclerosis with modified TEE and epiaortic ultrasound (EUS; reference test). We fitted three models, which predicted presence of atherosclerosis Grade ≥3 of the DAA. Model 1 included preoperative patient characteristics; in Model 2 conventional TEE was added; Model 3 additionally included modified TEE results. For each model, the area under the receiver-operating curve (AUC), the 'net reclassification improvement' (NRI) and the 'integrated discrimination improvement' (IDI) were determined. Missing data were imputed. The AUCs of Models 1, 2, and 3 were 0.73 (95% CI: 0.68-0.78), 0.80 (95% CI: 0.76-0.85), and 0.93 (95% CI: 0.90-0.96), respectively. Comparing Model 3 with Model 2, the AUC was significantly higher (P &lt; 0.001), the NRI was 0.60 (95% CI: 0.54-0.66; P &lt; 0.001), and the IDI was 0.30 (95% CI: 0.28-0.32; P &lt; 0.001), indicating that visualization of the DAA with modified TEE significantly improved reclassification. Visualization of atherosclerosis of the DAA with modified TEE provided information beyond patient history and conventional TEE screening, which resulted in an improved diagnosis of atherosclerosis.</t>
  </si>
  <si>
    <t>Famine in the young and risk of later hospitalization for COPD and asthma.</t>
  </si>
  <si>
    <t>van Abeelen, Annet F M; Elias, Sjoerd G; de Jong, Pim A; Grobbee, Diederick E; Bossuyt, Patrick M M; van der Schouw, Yvonne T; Roseboom, Tessa J; Uiterwaal, Cuno S P M</t>
  </si>
  <si>
    <t>https://pubmed.ncbi.nlm.nih.gov/24376558</t>
  </si>
  <si>
    <t>Undernutrition during critical periods of growth and development may permanently affect lung physiology and function. To investigate whether acute undernutrition in childhood or young adulthood increases the risk of later hospitalization for obstructive airways disease, chronic obstructive pulmonary disease (COPD), or asthma. We studied 7,841 women from Prospect-EPIC who experienced the 1944-45 Dutch famine between ages 0 and 21. Pulmonary outcomes were measured by registered hospital admissions and exposure-blinded computed tomography (CT) in a subgroup of 295 women. With Cox proportional hazard regression we explored effects of famine exposure on risk of hospitalization for obstructive airways disease, COPD, and asthma. With logistic regression we explored effects of famine on risk of CT evidence of pulmonary disease. Risks of hospitalization for obstructive airways disease, copd, and asthma were increased after moderate famine exposure, and significantly increased after severe famine exposure: hazard ratios for obstructive airways disease were 1.31 (95% CI: 0.97 to 1.77) and 1.57 (95% CI: 1.10 to 2.23) respectively. Associations between famine exposure and hospitalization for COPD were stronger in ever-smokers than in never-smokers. Acute undernutrition in childhood or young adulthood is associated with an increased risk of later COPD and asthma hospitalization, possibly through increased sensitivity for tobacco smoke.</t>
  </si>
  <si>
    <t>Cardiac dysfunction after aneurysmal subarachnoid hemorrhage: relationship with outcome.</t>
  </si>
  <si>
    <t>van der Bilt, Ivo; Hasan, Djo; van den Brink, Renee; Cramer, Maarten-Jan; van der Jagt, Mathieu; van Kooten, Fop; Meertens, John; van den Berg, Maarten; Groen, Rob; Ten Cate, Folkert; Kamp, Otto; Götte, Marco; Horn, Janneke; Groeneveld, Johan; Vandertop, Peter; Algra, Ale; Visser, Frans; Wilde, Arthur; Rinkel, Gabriel; ,</t>
  </si>
  <si>
    <t>https://pubmed.ncbi.nlm.nih.gov/24363132</t>
  </si>
  <si>
    <t>To assess whether cardiac abnormalities after aneurysmal subarachnoid hemorrhage (aSAH) are associated with delayed cerebral ischemia (DCI) and clinical outcome, independent from known clinical risk factors for these outcomes. In a prospective, multicenter cohort study, we performed echocardiography and ECG and measured biochemical markers for myocardial damage in patients with aSAH. Outcomes were DCI, death, and poor clinical outcome (death or dependency for activities of daily living) at 3 months. With multivariable Poisson regression analysis, we calculated risk ratios (RRs) with corresponding 95% confidence intervals. We used survival analysis to assess cumulative percentage of death in patients with and without echocardiographic wall motion abnormalities (WMAs). We included 301 patients with a mean age of 57 years; 70% were women. A wall motion score index ≥1.2 had an adjusted RR of 1.2 (0.9-1.6) for DCI, 1.9 (1.1-3.3) for death, and 1.8 (1.1-3.0) for poor outcome. Midventricular WMAs had adjusted RRs of 1.1 (0.8-1.4) for DCI, 2.3 (1.4-3.8) for death, and 2.2 (1.4-3.5) for poor outcome. For apical WMAs, adjusted RRs were 1.3 (1.1-1.7) for DCI, 1.5 (0.8-2.7) for death, and 1.4 (0.8-2.5) for poor outcome. Elevated troponin T levels, ST-segment changes, and low voltage on the admission ECGs had a univariable association with death but were not independent predictors for outcome. WMAs are independent risk factors for clinical outcome after aSAH. This relation is partly explained by a higher risk of DCI. Further study should aim at treatment strategies for these aSAH-related cardiac abnormalities to improve clinical outcome.</t>
  </si>
  <si>
    <t>Euthanasia or physician-assisted suicide? A survey from the Netherlands.</t>
  </si>
  <si>
    <t>Kouwenhoven, Pauline S C; van Thiel, Ghislaine J M W; Raijmakers, Natasja J H; Rietjens, Judith A C; van der Heide, Agnes; van Delden, Johannes J M</t>
  </si>
  <si>
    <t>https://pubmed.ncbi.nlm.nih.gov/24359112</t>
  </si>
  <si>
    <t>Legalizing euthanasia or physician-assisted suicide (PAS) is a current topic of debate in many countries. The Netherlands is the only country where legislation covers both. To study physicians' experiences and attitudes concerning the choice between euthanasia and PAS. A questionnaire including vignettes was sent to a random sample of 1955 Dutch general practitioners, elderly care physicians and medical specialists. In total, 793 physicians (41%) participated. There was no clear preference for euthanasia (36%) or PAS (34%). Two thirds of physicians thought that PAS underlines the autonomy and responsibility of the patient and considered this a reason to choose PAS. Reasons for not choosing PAS were expected practical problems. A minority (22%) discussed the possibility of PAS with their patient in case of a request for assistance in dying. Patients receiving PAS more often experienced psychosocial suffering in comparison with patients receiving euthanasia. In vignettes of patients with a request for assistance in dying due to psychosocial suffering, physicians agreed more often with the performance of PAS than with euthanasia. Dutch physicians perceive a difference between euthanasia and PAS. Although they believe PAS underlines patient autonomy and responsibility, the option of PAS is rarely discussed with the patient. The more psychosocial in nature the patient's suffering, the more physicians choose PAS. In these cases, PAS seems to fulfil physicians' preferences to emphasize patient autonomy and responsibility. Expected technical problems and unfamiliarity with PAS also play a role. Paradoxically, the choice for PAS is predominantly a physician's one.</t>
  </si>
  <si>
    <t>Rationale and design of the costs, health status and outcomes in community-acquired pneumonia (CHO-CAP) study in elderly persons hospitalized with CAP.</t>
  </si>
  <si>
    <t>Mangen, Marie-Josée J; Bonten, Marc J M; de Wit, G Ardine</t>
  </si>
  <si>
    <t>https://pubmed.ncbi.nlm.nih.gov/24354588</t>
  </si>
  <si>
    <t>Vaccine effectiveness is usually determined in randomized controlled trials (RCT) and if effective, additional information, e.g. on cost-effectiveness, is required to allow evidence-based decision making. A prerequisite for proper health economic modelling is the availability of good quality data on health care resources use, health outcomes and quality-of-life (QoL) data. The "Collecting health outcomes and economic data on hospitalized Community Acquired Pneumonia (CHO-CAP)--a prospective cohort study" is executed alongside the Community Acquired Pneumonia Immunization Trial with Adults (CAPiTA trial) to capture health outcomes and economic data of elderly hospitalized with CAP and matched controls without CAP. CAPiTA is a placebo-controlled double-blind RCT evaluating the effectiveness of a 13-valent conjugated pneumococcal vaccine in preventing vaccine-type pneumococcal CAP in 84,496 elderly in the Netherlands. Participants of CAPiTA, who consented and provided information on health status (EQ-5D) and socio-demographic background at the time of vaccination, constitute the source population of CHO-CAP and are eligible for the nested matched cohort study. CHO-CAP patients hospitalized with CAP form the "diseased" cohort and the "non-diseased" cohort consists of unaffected persons (i.e. no CAP). Observations in the diseased cohort and in matched controls from the non-diseased cohort are used to determine excess costs and QoL changes attributable to CAP.Based on an estimated 2,000 CAPiTA participants being hospitalized with CAP and an assumed CHO-CAP participation rate of 30% of all CAPiTA participants (±25,000), 600 CAP episodes are expected among CHO-CAP participants (the "diseased" cohort). For each patient with CAP, two non-diseased CHO-CAP subjects will be selected from the CHO-CAP cohort, with matching for age, gender and EQ-5D baseline-score. Data on healthcare and non-healthcare resources use, quality-of-life (using EQ-5D and SF-36 questionnaires) and selected health outcomes will be collected at 0, 1, 6 and 12 months after hospitalization for CAP.The CHO-CAP study was approved by the Central Committee on Research involving Human Subjects in the Netherlands. With an expected 600 CAP episodes this study will be one of the biggest prospectively studied cohorts of hospitalized elderly with CAP with regard to resources use and Qol data. Strengths of this study further include collection of out-of-pocket costs of patients and productivity losses of both patients and their caregivers and the follow-up period of up to one year post-discharge. This study is therefore expected to add more in-depth knowledge on the short and longer term outcomes of pneumonia in elderly. ClinicalTrials.gov, NCT00812084.</t>
  </si>
  <si>
    <t>Mortality in women of reproductive age in rural South Africa.</t>
  </si>
  <si>
    <t>Nabukalu, Dorean; Klipstein-Grobusch, Kerstin; Herbst, Kobus; Newell, Marie-Louise</t>
  </si>
  <si>
    <t>https://pubmed.ncbi.nlm.nih.gov/24360403</t>
  </si>
  <si>
    <t>To determine causes of death and associated risk factors in women of reproductive age in rural South Africa. Deaths and person-years of observation (pyo) were determined for females (aged 15-49 years) resident in 15,526 households in a rural South African Demographic and Health Surveillance site from 2000 to 2009. Cause of death was ascertained by verbal autopsy and ICD-10 coded; causes were categorized as HIV/TB, non-communicable, communicable/maternal/perinatal/nutrition, injuries, and undetermined (unknown). Characteristics of women were obtained from regularly updated household visits, while HIV and self-reported health status was obtained from the annual HIV surveillance. Overall and cause-specific mortality rates (MRs) with 95% confidence intervals (CI) were calculated. The Weibull regression model (HR, 95%CI) was used to determine risk factors associated with mortality. A total of 42,703 eligible women were included; 3,098 deaths were reported for 212,607 pyo. Overall MRwas 14.6 deaths/1,000 pyo (95% CI: 14.1-15.1), peaking in 2003 (MR 18.2/1,000 pyo, 95% CI: 16.4-20.1) and declining thereafter (2009: MR 9.6/1,000 pyo, 95% CI: 8.410.9). Mortality was highest for HIV/TB (MR 10.6/1,000 pyo, 95% CI: 10.211.1), accounting for 73.1% of all deaths, ranging from 61.2% in 2009 to 82.7% in 2002. Adjusting for education level, marital status, age, employment status, area of residence, and migration, all-cause mortality was associated with external migration (adjusted hazard ratio, or aHR), 1.70, 95% CI: 1.41-2.05), self-reported poor health status (aHR 8.26, 95% CI: 2.94-23.15), and HIV-infection (aHR 7.84, 95% CI: 6.26-9.82); external migration and HIV infection were also associated with causes of mortality other than HIV/TB (aHR 1.62 CI: 1.12-2.34 and aHR 2.59, CI: 1.79-3.75). HIV/TB was the leading cause of death among women of reproductive age, although rates declined with the rollout of HIV treatment in the area from 2004. Women's age, external migration status, and HIV-positive status were significantly associated with all-cause and cause-specific mortality.</t>
  </si>
  <si>
    <t>Vasomotor menopausal symptoms are not associated with incidence of breast cancer in a population-based cohort of mid-aged women.</t>
  </si>
  <si>
    <t>Johanneke van den Berg, M; Mishra, Gita D; van der Schouw, Yvonne T; Herber-Gast, Gerrie-Cor M</t>
  </si>
  <si>
    <t>https://pubmed.ncbi.nlm.nih.gov/24361228</t>
  </si>
  <si>
    <t>Recently, two case-control studies showed that vasomotor menopausal symptoms (VMS), i.e. hot flushes (HF) and night sweats (NS), are associated with a decreased risk of breast cancer. Until now, however, no prior studies have prospectively examined the association between VMS and breast cancer incidence. We investigated this in a population-based cohort of mid-aged women in Australia. We included 11,297 women without a history of breast cancer aged 47-52 years from the Australian Longitudinal Study on Women's Health, surveyed every 3 years from 1998 to 2010. Information regarding first invasive breast cancer events and date of diagnosis was obtained from cancer registries. We determined the association between HF and NS and breast cancer occurrence before the subsequent survey, using time-dependent cox regression analysis, adjusting for time-varying lifestyle factors. At baseline 33.1% of the women reported experiencing HF and 24.6% reported NS. During a mean follow-up of 13.7 years, 348 cases of breast cancer occurred. VMS were not associated with breast cancer; adjusted hazard ratios were 1.09; 95% confidence interval (CI) 0.87-1.35 for HF and 1.06; 95% CI 0.84-1.33 for NS. No significant interactions were found between each of body mass index, alcohol use, current hormone therapy use, menopausal status and VMS and breast cancer (p-values&gt;0.05). We did not find an association between VMS and breast cancer incidence. Research in this area is scarce and additional large prospective population-based studies are required to confirm or refute these findings.</t>
  </si>
  <si>
    <t>Carotid stenting: is there an operator effect? A pooled analysis from the carotid stenting trialists' collaboration.</t>
  </si>
  <si>
    <t>Calvet, David; Mas, Jean-Louis; Algra, Ale; Becquemin, Jean-Pierre; Bonati, Leo H; Dobson, Joanna; Fraedrich, Gustav; Jansen, Olav; Mali, Willem P; Ringleb, Peter A; Chatellier, Gilles; Brown, Martin M; Calvet, D; Mas, J L; Algra, A; Becquemin, J P; Bonati, L H; Dobson, J; Fraedrich, G; Jansen, O; Mali, W P; Ringleb, P A; Chatellier, G; Brown, M M; Algra, A; Becquemin, J P; Chatellier, G; Mas, J L; Fraedrich, G; Ringleb, P A; Jansen, O; Brown, M M; ,</t>
  </si>
  <si>
    <t>https://pubmed.ncbi.nlm.nih.gov/24347422</t>
  </si>
  <si>
    <t>Randomized clinical trials show higher 30-day risk of stroke or death after carotid artery stenting compared with surgery. We examined whether operator experience is associated with 30-day risk of stroke or death in the Carotid Stenting Trialists' Collaboration database. The Carotid Stenting Trialists' Collaboration is a pooled individual patient database including all patients recruited in 3 randomized trials of stenting versus endarterectomy for symptomatic carotid stenosis (Endarterectomy Versus Angioplasty in patients with Symptomatic Severe Carotid Stenosis trial, Stent-Protected Angioplasty versus Carotid Endarterectomy trial, and International Carotid Stenting Study). Lifetime carotid artery stenting experience, lifetime experience in stenting procedures excluding the carotid, and annual number of procedures performed within the trial (in-trial volume), divided into tertiles, were used to measure operator experience. The outcome event was the occurrence of any stroke or death within 30 days of the procedure. The analysis was done per protocol. Among 1546 patients who underwent carotid artery stenting, 120 (7.8%) had a stroke or death within 30 days of the procedure. The 30-day risk of stroke or death did not differ according to operator lifetime carotid artery stenting experience (P=0.8) or operator lifetime stenting experience excluding the carotid (P=0.7). In contrast, the 30-day risk of stroke or death was significantly higher in patients treated by operators with low (mean ≤3.2 procedures/y; risk 10.1%; adjusted risk ratio=2.30 [1.36-3.87]) and intermediate annual in-trial volumes (3.2-5.6 procedures/y; 8.4%; adjusted risk ratio=1.93 [1.14-3.27]) compared with patients treated by high annual in-trial volume operators (&gt;5.6 procedures/y; 5.1%). Carotid stenting should only be performed by operators with annual procedure volume ≥6 cases per year.</t>
  </si>
  <si>
    <t>Intensification of medication and glycaemic control among patients with type 2 diabetes - the ADVANCE trial.</t>
  </si>
  <si>
    <t>van Dieren, S; Kengne, A P; Chalmers, J; Beulens, J W J; Davis, T M E; Fulcher, G; Heller, S R; Patel, A; Colagiuri, S; Hamet, P; Mancia, G; Marre, M; Neal, B; Williams, B; Peelen, L M; van der Schouw, Y T; Woodward, M; Zoungas, S</t>
  </si>
  <si>
    <t>https://pubmed.ncbi.nlm.nih.gov/24251579</t>
  </si>
  <si>
    <t>The aim of this study was to assess associations between patient characteristics, intensification of blood glucose-lowering treatment through oral glucose-lowering therapy and/or insulin and effective glycaemic control in type 2 diabetes. 11 140 patients from the Action in Diabetes and Vascular disease: preterAx and diamicroN-MR Controlled Evaluation (ADVANCE) trial who were randomized to intensive glucose control or standard glucose control and followed up for a median of 5 years were categorized into two groups: effective glycaemic control [haemoglobin A1c (HbA1c) ≤ 7.0% or a proportionate reduction in HbA1c over 10%] or ineffective glycaemic control (HbA1c &gt; 7.0% and a proportionate reduction in HbA1c less than or equal to 10%). Therapeutic intensification was defined as addition of an oral glucose-lowering agent or commencement of insulin. Pooled logistic regression models examined the associations between patient factors, intensification and effective glycaemic control. A total of 7768 patients (69.7%), including 3198 in the standard treatment group achieved effective glycaemic control. Compared to patients with ineffective control, patients with effective glycaemic control had shorter duration of diabetes and lower HbA1c at baseline and at the time of treatment intensification. Treatment intensification with addition of an oral agent or commencement of insulin was associated with a 107% [odds ratio, OR: 2.07 (95% confidence interval, CI: 1.95-2.20)] and 152% [OR: 2.52 (95% CI: 2.30-2.77)] greater chance of achieving effective glycaemic control, respectively. These associations were robust after adjustment for several baseline characteristics and not modified by the number of oral medications taken at the time of treatment intensification. Effective glycaemic control was associated with treatment intensification at lower HbA1c levels at all stages of the disease course and in both arms of the ADVANCE trial.</t>
  </si>
  <si>
    <t>Assistance in dying for older people without a serious medical condition who have a wish to die: a national cross-sectional survey.</t>
  </si>
  <si>
    <t>Raijmakers, Natasja J H; van der Heide, Agnes; Kouwenhoven, Pauline S C; van Thiel, Ghislaine J M W; van Delden, Johannes J M; Rietjens, Judith A C</t>
  </si>
  <si>
    <t>https://pubmed.ncbi.nlm.nih.gov/24335917</t>
  </si>
  <si>
    <t>The Dutch euthanasia law regulates physician assistance in dying for patients who are suffering unbearably from a medical condition. We studied the attitudes of the Dutch population to assistance in dying for older persons who have a wish to die without the presence of a serious medical condition. A cross-sectional survey was conducted among a random sample of the Dutch public (response rate 78%, n=1960), using statements and vignettes about attitudes to assistance in dying for older persons who are tired of living. A minority of 26% agreed with a vignette in which a physician warrants the request for physician-assisted suicide of an older person who is tired of living without having a serious medical condition. Furthermore, 21% agreed with the statement 'In my opinion euthanasia should be allowed for persons who are tired of living without having a serious disease'. People supporting euthanasia for older persons who are tired of living were more likely than opponents to be highly educated (OR 1.6; 95% CI 1.1 to 2.3), to be non-religious (OR 1.7; 95% CI 1.3 to 2.3), to have little trust in physicians (OR 1.6; 95% CI 1.2 to 2.2), and to prefer to make their own healthcare decisions (OR 1.7; 95% CI 1.3 to 2.3). Although it is lower than the level of support for assistance in dying for patients whose suffering is rooted in a serious medical condition, our finding that a substantial minority of the general public supports physician assistance in dying for older people who are tired of living implies that this topic may need to be taken seriously in the debate about end-of-life decision-making.</t>
  </si>
  <si>
    <t>Measurement of jet shapes in top-quark pair events at [Formula: see text] using the ATLAS detector.</t>
  </si>
  <si>
    <t>https://pubmed.ncbi.nlm.nih.gov/25814852</t>
  </si>
  <si>
    <t>A measurement of jet shapes in top-quark pair events using 1.8 fb&lt;sup&gt;-1&lt;/sup&gt; of [Formula: see text]&lt;i&gt;pp&lt;/i&gt; collision data recorded by the ATLAS detector at the LHC is presented. Samples of top-quark pair events are selected in both the single-lepton and dilepton final states. The differential and integrated shapes of the jets initiated by bottom-quarks from the top-quark decays are compared with those of the jets originated by light-quarks from the hadronic &lt;i&gt;W&lt;/i&gt;-boson decays [Formula: see text] in the single-lepton channel. The light-quark jets are found to have a narrower distribution of the momentum flow inside the jet area than &lt;i&gt;b&lt;/i&gt;-quark jets.</t>
  </si>
  <si>
    <t>Stem cell trials for cardiovascular medicine: ethical rationale.</t>
  </si>
  <si>
    <t>Niemansburg, Sophie L; Teraa, Martin; Hesam, Husna; van Delden, Johannes J M; Verhaar, Marianne C; Bredenoord, Annelien L</t>
  </si>
  <si>
    <t>tissue engineering part a</t>
  </si>
  <si>
    <t>https://pubmed.ncbi.nlm.nih.gov/24164351</t>
  </si>
  <si>
    <t>Stem cell-based interventions provide new treatment prospects for many disease conditions, including cardiovascular disorders. Clinical trials are necessary to collect adequate evidence on (long-term) safety and efficacy of novel interventions such as stem cells, but the design and launch of clinical trials, from first-in-human studies to larger randomized controlled trials (RCTs), is scientifically and ethically challenging. Stem cells are different from traditional pharmaceuticals, surgical procedures, and medical devices in the following ways: the novelty and complexity of stem cells, the invasiveness of the procedures, and the novel aim of regeneration. These specifics, combined with the characteristics of the study population, will have an impact on the design and ethics of RCTs. The recently closed JUVENTAS trial will serve as an example to identify the (interwoven) scientific and ethical challenges in the design and launch of stem cell RCTs. The JUVENTAS trial has investigated the efficacy of autologous bone marrow cells in end-stage vascular patients, in a double-blind sham-controlled design. We first describe the choices, considerations, and experiences of the JUVENTAS team. Subsequently, we identify the main ethical and scientific challenges and discuss what is important to consider in the design of future stem cell RCTs: assessment of risks and benefits, the choice for outcome measures, the choice for the comparator, the appropriate selection of participants, and adequate informed consent. Additionally, the stem cell field is highly in the spotlight due to the (commercial) interests and expectations. This warrants a cautious pace of translation and scrupulous set up of clinical trials, as failures could put the field in a negative light. At the same time, knowledge from clinical trials is necessary for the field to progress. We conclude that in the scientifically and ethically challenging field of stem cell RCTs, researchers and clinicians have to maneuver between the Skylla of hyper accelerated translation without rigorously conducted RCTs and the Charybdis of the missed opportunity of valuable knowledge.</t>
  </si>
  <si>
    <t>Intake of dietary phylloquinone and menaquinones and risk of stroke.</t>
  </si>
  <si>
    <t>Vissers, Linda E T; Dalmeijer, Geertje W; Boer, Jolanda M A; Monique Verschuren, W M; van der Schouw, Yvonne T; Beulens, Joline W J</t>
  </si>
  <si>
    <t>https://pubmed.ncbi.nlm.nih.gov/24326161</t>
  </si>
  <si>
    <t>Dietary vitamin K intake is thought to decrease the risk of cardiovascular disease (CVD) by reducing vascular calcification, although vitamin K is also involved in coagulation. Studies investigating the association between phylloquinone intake and risk of stroke are scarce, and the relation with menaquinones has not been investigated to date. We investigated the association between intake of phylloquinone and menaquinones and stroke in a prospective cohort of 35,476 healthy subjects. Information on occurrence of stroke was obtained by linkage to national registries, and stroke was further specified into ischemic and hemorrhagic stroke. Vitamin K intake was estimated using a validated food-frequency questionnaire. Multivariate Cox proportional hazards models adjusted for cardiovascular risk factors, lifestyle, and other dietary factors were used to estimate the associations. During a follow-up of 12.1 ± 2.1 years, 580 incident cases of stroke were identified, 163 of which were hemorrhagic and 324 were ischemic. Phylloquinone intake was not associated with risk of stroke with a hazard ratio (HR) of 1.09 (95% CI: 0.85 to 1.40, P(trend) 0.41) for the highest versus lowest quartile. For intake of menaquinones similar results were found, with an HR(Q4 versus Q1) of 0.99 (95% CI: 0.75 to 1.29, P(trend) 0.82). When specifying hemorrhagic and ischemic stroke or menaquinone subtypes, no significant associations were detected. In our study, neither dietary phylloquinone nor dietary menaquinones intake were associated with stroke risk.</t>
  </si>
  <si>
    <t>Cystitis: antibiotic prescribing, consultation, attitudes and opinions.</t>
  </si>
  <si>
    <t>Willems, Carmen S J; van den Broek D'Obrenan, Joep; Numans, Mattijs E; Verheij, Theo J M; van der Velden, Alike W</t>
  </si>
  <si>
    <t>https://pubmed.ncbi.nlm.nih.gov/24317602</t>
  </si>
  <si>
    <t>Despite stable overall antibiotic use between 2007 and 2011 in The Netherlands, use of nitrofurantoin and trimethoprim increased by 32%. The background of this increased antibiotic use against uropathogens is unknown. To determine whether increased use of urinary tract infection antibiotics is caused by changes in patients' consultation or physicians' prescribing behaviour and to investigate attitudes and opinions of women with respect to cystitis management and antibiotics. Consultation and prescribing for International Classification of Primary Care (ICPC) codes U01 (dysuria), U02 (frequency), U05 (other urination problems), U70 (pyelonephritis) and U71 (cystitis) were determined from 2007 to 2010, using routinely collected primary health care data. Separately, behaviour of women with respect to managing cystitis, consultation and opinions towards (delayed) antibiotic treatment were studied using questionnaires in 2012. Consultation for U02 and U71 significantly increased from 93 to 114/1000 patient-years from 2007 to 2010; proportion of episodes in which an antibiotic was prescribed remained constant. Questionnaires revealed that urination problems and pain were dominant complaints of cystitis; pain medication, however, was not adequately used. One-third of women directly consult upon first symptoms, whereas the majority awaits an average of 4 days. Sixty-six per cent of women report to be willing to postpone antibiotic use. Increased use of urinary tract infection antibiotics may be caused by increased consultation for cystitis in primary care. Future research should focus on the outcomes of adequate pain medication, enhanced diagnostic procedures and of delaying antibiotic use in cystitis management.</t>
  </si>
  <si>
    <t>Novel childhood asthma genes interact with in utero and early-life tobacco smoke exposure.</t>
  </si>
  <si>
    <t>Scholtens, Salome; Postma, Dirkje S; Moffatt, Miriam F; Panasevich, Sviatlana; Granell, Raquel; Henderson, A John; Melén, Erik; Nyberg, Fredrik; Pershagen, Göran; Jarvis, Deborah; Ramasamy, Adaikalavan; Wjst, Matthias; Svanes, Cecilie; Bouzigon, Emmanuelle; Demenais, Florence; Kauffmann, Francine; Siroux, Valérie; von Mutius, Erika; Ege, Markus Johannes; Braun-Fahrländer, Charlotte; Genuneit, Jon; ,; Brunekreef, Bert; Smit, Henriette A; Wijga, Alet H; Kerkhof, Marjan; Curjuric, Ivan; Imboden, Medea; Thun, Gian A; Probst-Hensch, Nicole; Freidin, Maxim B; Bragina, Elena Iu; Deev, I A; Puzyrev, V P; Daley, Denise; Park, Julie; Becker, Allan; Chan-Yeung, Moira; Kozyrskyj, Anita L; Pare, Peter; Marenholz, Ingo; Lau, Susanne; Keil, Thomas; Lee, Young-Ae; Kabesch, Michael; Wijmenga, Cisca; Franke, Lude; Nolte, Ilja M; Vonk, Judith; Kumar, Ashish; Farrall, Martin; Cookson, William O C M; Strachan, David P; Koppelman, Gerard H; Boezen, H Marike</t>
  </si>
  <si>
    <t>https://pubmed.ncbi.nlm.nih.gov/24315450</t>
  </si>
  <si>
    <t>Non-physician-assisted suicide in The Netherlands: a cross-sectional survey among the general public.</t>
  </si>
  <si>
    <t>Schoonman, Merel Kristi; van Thiel, Ghislaine José Madeleine Wilhelmien; van Delden, Johannes Jozef Marten</t>
  </si>
  <si>
    <t>https://pubmed.ncbi.nlm.nih.gov/24310169</t>
  </si>
  <si>
    <t>In The Netherlands, approximately 45% of patients' requests for euthanasia are granted by a physician. After a rejected request, some patients approach non-physicians and ask them for assistance in suicide. Recently, a non-physician who assisted his mother's suicide was declared guilty without punishment. The aim of the current study was to investigate the opinion of the Dutch general public on non-physician-assisted suicide. A cross-sectional survey among the Dutch general public was performed. A total of 1113 respondents were included (response rate 80%). The survey covered two case descriptions in which a patient asks a non-physician for assisted suicide after a non-granted request for physician-assisted dying. In both cases, a son, friend or professional facilitates the suicide by either the provision of information or the purchase of lethal medication. Respondents were invited to give their opinion on these cases and in addition on 10 propositions on non-physician-assisted suicide. When a son provides information on how to acquire lethal medication in case of a patient with a terminal illness, this involvement is accepted by 62% of the respondents. The actual purchase of lethal medication receives less support (38%). If the patient suffers without a serious disease, both forms of assistance are less accepted (46% and 24%, respectively). In addition, only 21% support the legalisation of non-physician-assisted suicide. The Dutch public prefer involvement of a physician in assisted suicide (69%). The Dutch general public consider non-physician-assisted suicide in some specific cases a tolerable alternative for patients with a rejected request for physician-assisted dying if the assistance is limited to the provision of information. However, the majority do not support the legalisation of non-physician-assisted suicide.</t>
  </si>
  <si>
    <t>The effect of renal denervation added to standard pharmacologic treatment versus standard pharmacologic treatment alone in patients with resistant hypertension: rationale and design of the SYMPATHY trial.</t>
  </si>
  <si>
    <t>Vink, Eva E; de Beus, Esther; de Jager, Rosa L; Voskuil, Michiel; Spiering, Wilko; Vonken, Evert-Jan; de Wit, G Ardine; Roes, Kit C B; Bots, Michiel L; Blankestijn, Peter J</t>
  </si>
  <si>
    <t>https://pubmed.ncbi.nlm.nih.gov/24576513</t>
  </si>
  <si>
    <t>The first studies on renal denervation (RDN) suggest that this treatment is feasible, effective, and safe in the short term. Presently available data are promising, but important uncertainties exist; therefore, SYMPATHY has been initiated. SYMPATHY is a multicenter, randomized, controlled trial in patients randomized to RDN in addition to usual care (intervention group) or to continued usual care (control group). Randomization will take place in a ratio of 2 to 1. At least 300 participants will be included to answer the primary objective. Sample size may be extended to a maximum of 570 to address key secondary objectives. The primary objective is to assess whether RDN added to usual care compared with usual care alone reduces blood pressure (BP) (ambulatory daytime systolic BP) in subjects with an average daytime systolic BP ≥135, despite use of ≥3 BP-lowering agents, 6 months after RDN. Key secondary objectives are evaluated at 6 months and at regular intervals during continued follow-up and include the effect of RDN on the use of BP-lowering agents, in different subgroups (across strata of estimated glomerular filtration rate and of baseline BP), on office BP, quality of life, and cost-effectiveness.</t>
  </si>
  <si>
    <t>Measurement of top quark polarization in top-antitop events from proton-proton collisions at √s=7  TeV using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</si>
  <si>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Anastopoulos, C; Ancu, L S; Andari, N; Andeen, T; Anders, C F; Anders, G; Anderson, K J; Andreazza, A; Andrei, V; Andu</t>
  </si>
  <si>
    <t>https://pubmed.ncbi.nlm.nih.gov/24476258</t>
  </si>
  <si>
    <t>This Letter presents measurements of the polarization of the top quark in top-antitop quark pair events, using 4.7  fb(-1) of proton-proton collision data recorded with the ATLAS detector at the Large Hadron Collider at √s=7  TeV. Final states containing one or two isolated leptons (electrons or muons) and jets are considered. Two measurements of α(ℓ)P, the product of the leptonic spin-analyzing power and the top quark polarization, are performed assuming that the polarization is introduced by either a CP conserving or a maximally CP violating production process. The measurements obtained, α(ℓ)P(CPC)=-0.035±0.014(stat)±0.037(syst) and α(ℓ)P(CPV)=0.020±0.016(stat)(-0.017)(+0.013)(syst), are in good agreement with the standard model prediction of negligible top quark polarization.</t>
  </si>
  <si>
    <t>Attributable mortality of ventilator-associated pneumonia - Authors' reply.</t>
  </si>
  <si>
    <t>Melsen, Wilhelmina G; Rovers, Maroeska M; Bonten, Marc J M</t>
  </si>
  <si>
    <t>https://pubmed.ncbi.nlm.nih.gov/24262298</t>
  </si>
  <si>
    <t>Autologous bone marrow-derived cell therapy in patients with critical limb ischemia: a meta-analysis of randomized controlled clinical trials.</t>
  </si>
  <si>
    <t>Teraa, Martin; Sprengers, Ralf W; van der Graaf, Yolanda; Peters, Charmaine E J; Moll, Frans L; Verhaar, Marianne C</t>
  </si>
  <si>
    <t>https://pubmed.ncbi.nlm.nih.gov/23426345</t>
  </si>
  <si>
    <t>Critical Limb Ischemia (CLI) is the most advanced stage of peripheral arterial disease and is usually treated with bypass surgery or endovascular revascularization. However, a considerable proportion of CLI patients are not eligible to these treatment strategies and amputation is often the only option left. In the past decade, research has focused on bone marrow (BM)-derived cell-based strategies that aim at neovascularization to improve limb perfusion. Individual studies did not convincingly prove efficacy of BM-derived cell therapy in CLI patients thus far. Perform a meta-analysis of all randomized controlled trials (RCTs) available that studied BM-derived cell therapy compared to standard care with or without placebo in CLI patients and provide summary efficacy data on this approach. A systematic search in the electronic databases of Medline, Embase, and the Cochrane Controlled Trials Register was performed. All studies were critically appraised and data were extracted and meta-analyzed using a random-effects model. Major amputation and amputation-free survival were considered as the primary endpoints. A total of 12 RCTs jointly including 510 CLI patients were identified and analyzed. The meta-analysis showed beneficial effects of BM-derived cell therapy on both subjective and surrogate objective endpoints, that is, pain score, pain-free walking distance, ankle-brachial index, and transcutaneous oxygen measurements (all P &lt; 0.00001). Overall, the RCTs showed reduced amputation rates in the therapeutic arms of the included trials with a relative risk (RR) on major amputation of 0.58 [95% confidence interval (CI), 0.40-0.84; P = 0.004]. However, when only the placebo-controlled RCTs were considered, the beneficial effect on major amputation rates was considerably reduced and nonsignificant (RR = 0.78; 95% CI, 0.40-1.51; P = 0.46). Amputation-free survival did not significantly differ between the BM treated and the control group (RR = 1.16; 95% CI, 0.92-1.48; P = 0.22). This meta-analysis underlines the promising potential of BM-derived cell therapy in CLI patients. Importantly, the results of placebo-controlled and non-placebo-controlled RCTs seem to diverge, which stresses the necessity to use placebo in the control arms of these trials. Future well-designed larger placebo-controlled RCTs are needed and should include long-term follow-up data to assess durability of treatment effects.</t>
  </si>
  <si>
    <t>Guideline adherence for empirical treatment of pneumonia and patient outcome. Treating pneumonia in the Netherlands.</t>
  </si>
  <si>
    <t>Huijts, S M; van Werkhoven, C H; Boersma, W G; Buijs, J; Buunk, G; Compaijen, C J; van Elde, L J R; Gisolf, J E H; van der Kam, R; Kluytmans, J A J W; Kuipers, B A F; Mager, J J; Oppedijk, B; Palmen, F; Prins, J M; van Reemst, B; Silbermann, M H; van Tiel, F H; van der Wall, E; van der Werf, T S; Bonten, M J M</t>
  </si>
  <si>
    <t>https://pubmed.ncbi.nlm.nih.gov/24394734</t>
  </si>
  <si>
    <t>According to the Dutch guidelines, severity of community acquired pneumonia (CAP) (mild, moderate-severe, severe) should be based on either PSI, CURB65 or a 'pragmatic' classification. In the last mentioned, the type of ward of admission, as decided by the treating physician, is used as classifier: no hospital admission is mild, admission to a general ward is moderate-severe and admission to an intensive care unit (ICU) is severe CAP. Empiric antibiotic recommendations for each severity class are uniform. We investigated, in 23 hospitals, which of the three classification systems empirical treatment of CAP best adhered to, and whether a too narrow spectrum coverage (according to each of the systems) was associated with a poor patient outcome (in-hospital mortality or need for ICU admission). Prospective observational study in 23 hospitals. 271 (26%) of 1047 patients with CAP confirmed by X-ray were categorised in the same severity class with all three classification methods. Proportions of patients receiving guideline-adherent antibiotics were 62.9% (95% CI 60.0-65.8%) for the pragmatic, 43.1% (95% CI 40.1-46.1%) for PSI and 30.5% (95% CI 27.8-33.3%) for CURB65 classification. 'Under-treatment' based on the pragmatic classification was associated with a trend towards poor clinical outcome, but no such trend was apparent for the other two scoring systems. Concordance between three CAP severity classification systems was low, implying large heterogeneity in antibiotic treatment for CAP patients. Empirical treatment appeared most adherent to the pragmatic classification. Non-adherence to treatment recommendations based on the PSI and CURB65 was not associated with a poor clinical outcome.</t>
  </si>
  <si>
    <t>Predicting community-acquired pneumonia etiology.</t>
  </si>
  <si>
    <t>Postma, Douwe F; van Werkhoven, Cornelis H; Oosterheert, Jan Jelrik; Bonten, Marc J M</t>
  </si>
  <si>
    <t>https://pubmed.ncbi.nlm.nih.gov/24297141</t>
  </si>
  <si>
    <t>The association of pattern of lifetime alcohol use and cause of death in the European prospective investigation into cancer and nutrition (EPIC) study.</t>
  </si>
  <si>
    <t>Bergmann, Manuela M; Rehm, Jürgen; Klipstein-Grobusch, Kerstin; Boeing, Heiner; Schütze, Madlen; Drogan, Dagmar; Overvad, Kim; Tjønneland, Anne; Halkjær, Jytte; Fagherazzi, Guy; Boutron-Ruault, Marie-Christine; Clavel-Chapelon, Françoise; Teucher, Birgit; Kaaks, Rudolph; Trichopoulou, Antonia; Benetou, Vassiliki; Trichopoulos, Dimitrios; Palli, Domenico; Pala, Valeria; Tumino, Rosario; Vineis, Paolo; Beulens, Joline Wj; Redondo, Maria Luisa; Duell, Eric J; Molina-Montes, Esther; Navarro, Carmen; Barricarte, Aurelio; Arriola, Larraitz; Allen, Naomi E; Crowe, Francesca L; Khaw, Kay-Tee; Wareham, Nick; Romaguera, Dora; Wark, Petra A; Romieu, Isabelle; Nunes, Luciana; Riboli, Elio; Ferrari, Pietro</t>
  </si>
  <si>
    <t>https://pubmed.ncbi.nlm.nih.gov/24415611</t>
  </si>
  <si>
    <t>There is limited evidence for an association between the pattern of lifetime alcohol use and cause-specific risk of death. Multivariable hazard ratios were estimated for different causes of death according to patterns of lifetime alcohol consumption using a competing risks approach: 111 953 men and 268 442 women from eight countries participating in the European Prospective Investigation into Cancer and Nutrition (EPIC) study were included. Self-reported alcohol consumption at ages 20, 30, 40 or 50 years and at enrollment were used for the analysis; 26 411 deaths were observed during an average of 12.6 years of follow-up. The association between lifetime alcohol use and death from cardiovascular diseases was different from the association seen for alcohol-related cancers, digestive, respiratory, external and other causes. Heavy users (&gt;5 drinks/day for men and &gt;2.5 drinks/day for women), regardless of time of cessation, had a 2- to 5-times higher risk of dying due to alcohol-related cancers, compared with subjects with lifetime light use (≤1 and ≤0.5 drink/week for men and women, respectively). Compared with lifetime light users, men who used &lt;5 drinks/day throughout their lifetime had a 24% lower cardiovascular disease mortality (95% confidence interval 2-41). The risk of death from coronary heart disease was also found to be 34-46% lower among women who were moderate to occasionally heavy alcohol users compared with light users. However, this relationship was only evident among men and women who had no chronic disease at enrollment. Limiting alcohol use throughout life is associated with a lower risk of death, largely due to cardiovascular disease but also other causes. However, the potential health benefits of alcohol use are difficult to establish due to the possibility of selection bias and competing risks related to diseases occurring later in life.</t>
  </si>
  <si>
    <t>Restoring trust in the pharmaceutical sector on the basis of the SSRI case.</t>
  </si>
  <si>
    <t>Hernandez, Juan Francisco; van Thiel, Ghislaine J M W; Mantel-Teeuwisse, Aukje K; Raaijmakers, Jan A M; Pieters, Toine</t>
  </si>
  <si>
    <t>https://pubmed.ncbi.nlm.nih.gov/24295641</t>
  </si>
  <si>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t>
  </si>
  <si>
    <t>CT perfusion and delayed cerebral ischemia in aneurysmal subarachnoid hemorrhage: a systematic review and meta-analysis.</t>
  </si>
  <si>
    <t>Cremers, Charlotte H P; van der Schaaf, Irene C; Wensink, Emerens; Greving, Jacoba P; Rinkel, Gabriel J E; Velthuis, Birgitta K; Vergouwen, Mervyn D I</t>
  </si>
  <si>
    <t>https://pubmed.ncbi.nlm.nih.gov/24281744</t>
  </si>
  <si>
    <t>Delayed cerebral ischemia (DCI) is at presentation a diagnosis per exclusionem, and can only be confirmed with follow-up imaging. For treatment of DCI a diagnostic tool is needed. We performed a systematic review to evaluate the value of CT perfusion (CTP) in the prediction and diagnosis of DCI. We searched PubMed, Embase, and Cochrane databases to identify studies on the relationship between CTP and DCI. Eleven studies totaling 570 patients were included. On admission, cerebral blood flow (CBF), cerebral blood volume (CBV), mean transit time (MTT), and time-to-peak (TTP) did not differ between patients who did and did not develop DCI. In the DCI time-window (4 to 14 days after subarachnoid hemorrhage (SAH)), DCI was associated with a decreased CBF (pooled mean difference -11.9 mL/100 g per minute (95% confidence interval (CI): -15.2 to -8.6)) and an increased MTT (pooled mean difference 1.5 seconds (0.9-2.2)). Cerebral blood volume did not differ and TTP was rarely reported. Perfusion thresholds reported in studies were comparable, although the corresponding test characteristics were moderate and differed between studies. We conclude that CTP can be used in the diagnosis but not in the prediction of DCI. A need exists to standardize the method for measuring perfusion with CTP after SAH, and optimize and validate perfusion thresholds.</t>
  </si>
  <si>
    <t>Development of the PHASES score for prediction of risk of rupture of intracranial aneurysms: a pooled analysis of six prospective cohort studies.</t>
  </si>
  <si>
    <t>Greving, Jacoba P; Wermer, Marieke J H; Brown, Robert D; Morita, Akio; Juvela, Seppo; Yonekura, Masahiro; Ishibashi, Toshihiro; Torner, James C; Nakayama, Takeo; Rinkel, Gabriël J E; Algra, Ale</t>
  </si>
  <si>
    <t>https://pubmed.ncbi.nlm.nih.gov/24290159</t>
  </si>
  <si>
    <t>The decision of whether to treat incidental intracranial saccular aneurysms is complicated by limitations in current knowledge of their natural history. We combined individual patient data from prospective cohort studies to determine predictors of aneurysm rupture and to construct a risk prediction chart to estimate 5-year aneurysm rupture risk by risk factor status. We did a systematic review and pooled analysis of individual patient data from 8382 participants in six prospective cohort studies with subarachnoid haemorrhage as outcome. We analysed cumulative rupture rates with Kaplan-Meier curves and assessed predictors with Cox proportional-hazard regression analysis. Rupture occurred in 230 patients during 29,166 person-years of follow-up. The mean observed 1-year risk of aneurysm rupture was 1·4% (95% CI 1·1-1·6) and the 5-year risk was 3·4% (2·9-4·0). Predictors were age, hypertension, history of subarachnoid haemorrhage, aneurysm size, aneurysm location, and geographical region. In study populations from North America and European countries other than Finland, the estimated 5-year absolute risk of aneurysm rupture ranged from 0·25% in individuals younger than 70 years without vascular risk factors with a small-sized (&lt;7 mm) internal carotid artery aneurysm, to more than 15% in patients aged 70 years or older with hypertension, a history of subarachnoid haemorrhage, and a giant-sized (&gt;20 mm) posterior circulation aneurysm. By comparison with populations from North America and European countries other than Finland, Finnish people had a 3·6-times increased risk of aneurysm rupture and Japanese people a 2·8-times increased risk. The PHASES score is an easily applicable aid for prediction of the risk of rupture of incidental intracranial aneurysms. Netherlands Organisation for Health Research and Development.</t>
  </si>
  <si>
    <t>Longitudinal changes in brain volumes and cerebrovascular lesions on MRI in patients with manifest arterial disease: the SMART-MR study.</t>
  </si>
  <si>
    <t>van der Veen, Pieternella H; Muller, Majon; Vincken, Koen L; Witkamp, Theo D; Mali, Willem P T M; van der Graaf, Yolanda; Geerlings, Mirjam I; ,</t>
  </si>
  <si>
    <t>https://pubmed.ncbi.nlm.nih.gov/24314719</t>
  </si>
  <si>
    <t>We estimated the progression of brain atrophy and cerebrovascular lesions on MRI in a prospective cohort of patients with various manifestations of arterial disease. Within the SMART-MR study, using brain MRI data from baseline and after on average 3.9 years of follow-up, intracranial volume (ICV), total brain, cortical gray matter, ventricular, white matter lesion volumes and visually rated infarcts were obtained from 663 patients (mean age 57 ± 9 years, 81% men). Global and cortical atrophy increased quadratically with age. Men showed more progression of global and cortical atrophy than women (mean difference in change (95% CI): -0.25 (-0.44; -0.06) and -0.94 (-1.35; -0.52)% ICV) and had an increased risk of new brain infarcts (OR = 2.7, 95% CI 1.2-6.1). Compared with coronary artery disease patients, cerebrovascular disease patients showed more progression of cortical and subcortical atrophy and an increased risk of new brain infarcts, and peripheral arterial disease patients showed more progression of cortical atrophy. These results were independent of cerebrovascular lesions and cardiovascular risk factors. In patients with manifest arterial disease, brain atrophy tended to accelerate with older age and men had more progression of brain atrophy and cerebrovascular lesions than women. Additionally, patients with cerebrovascular and peripheral arterial disease showed the most prominent progression of atrophy and lesions.</t>
  </si>
  <si>
    <t>Long-term effect of a nurse-led psychosocial intervention on health-related quality of life in patients with head and neck cancer: a randomised controlled trial.</t>
  </si>
  <si>
    <t>van der Meulen, I C; May, A M; de Leeuw, J R J; Koole, R; Oosterom, M; Hordijk, G-J; Ros, W J G</t>
  </si>
  <si>
    <t>https://pubmed.ncbi.nlm.nih.gov/24280999</t>
  </si>
  <si>
    <t>Head and neck cancer (HNC) patients are prone to have a poor health-related quality of life after cancer treatment. This study investigated the effect of the nurse counselling and after intervention (NUCAI) on the health-related quality of life and depressive symptoms of HNC patients between 12 and 24 months after cancer treatment. Two hundred and five HNC patients were randomly allocated to NUCAI (N=103) or usual care (N=102). The 12-month nurse-led NUCAI is problem-focused and patient-driven and aims to help HNC patients manage with the physical, psychological and social consequences of their disease and its treatment. Health-related quality of life was evaluated with the EORTC QLQ-C30 and QLQ H&amp;N35. Depressive symptoms were evaluated with the CES-D. At 12 months the intervention group showed a significant (P&lt;0.05) improvement in emotional and physical functioning, pain, swallowing, social contact, mouth opening and depressive symptoms. At 18 months, global quality of life, role and emotional functioning, pain, swallowing, mouth opening and depressive symptoms were significantly better in the intervention group than in the control group, and at 24 months emotional functioning and fatigue were significantly better in the intervention group. The NUCAI effectively improved several domains of health-related quality of life and depressive symptoms in HNC patients and would seem a promising intervention for implementation in daily clinical practice.</t>
  </si>
  <si>
    <t>Towards efficient use of research resources: a nationwide database of ongoing primary care research projects in the Netherlands.</t>
  </si>
  <si>
    <t>Kortekaas, Marlous F; van de Pol, Alma C; van der Horst, Henriëtte E; Burgers, Jako S; Slort, Willemjan; de Wit, Niek J</t>
  </si>
  <si>
    <t>https://pubmed.ncbi.nlm.nih.gov/24277382</t>
  </si>
  <si>
    <t>PURPOSE. Although in the last decades primary care research has evolved with great success, there is a growing need to prioritize the topics given the limited resources available. Therefore, we constructed a nationwide database of ongoing primary care research projects in the Netherlands, and we assessed if the distribution of research topics matched with primary care practice. We conducted a survey among the main primary care research centres in the Netherlands and gathered details of all ongoing primary care research projects. We classified the projects according to research topic, relation to professional guidelines and knowledge deficits, collaborative partners and funding source. Subsequently, we compared the frequency distribution of clinical topics of research projects to the prevalence of problems in primary care practice. We identified 296 ongoing primary care research projects from 11 research centres. Most projects were designed as randomized controlled trial (35%) or observational cohort (34%), and government funded mostly (60%). Thematically, most research projects addressed chronic diseases, mainly cardiovascular risk management (8%), depressive disorders (8%) and diabetes mellitus (7%). One-fifth of the projects was related to defined knowledge deficits in primary care guidelines. From a clinical primary care perspective, research projects on dermatological problems were significantly underrepresented (P = 0.01). This survey of ongoing projects demonstrates that primary care research has a firm basis in the Netherlands, with a strong focus on chronic disease. The fit with primary care practice can improve, and future research should address knowledge deficits in professional guidelines more.</t>
  </si>
  <si>
    <t>β blockers for adults with chronic obstructive pulmonary disease.</t>
  </si>
  <si>
    <t>Rutten, Frans H; Groenwold, Rolf H H</t>
  </si>
  <si>
    <t>https://pubmed.ncbi.nlm.nih.gov/24277628</t>
  </si>
  <si>
    <t>Diagnosis of diabetes mellitus or cardiovascular disease and lifestyle changes - the Doetinchem cohort study.</t>
  </si>
  <si>
    <t>Manschot, A; van Oostrom, S H; Smit, H A; Verschuren, W M M; Picavet, H S J</t>
  </si>
  <si>
    <t>https://pubmed.ncbi.nlm.nih.gov/24275227</t>
  </si>
  <si>
    <t>To study whether being diagnosed with a cardiovascular disease (CVD) or diabetes mellitus (DM) is associated with improvements in lifestyles. We used data from the Doetinchem Cohort Study, a prospective study among 6386 Dutch men and women initially aged 20-59years who were examined four times over 15years (1987-2007). Logistic and linear regression models were used to assess the effect of a self-reported diagnosis of CVD (n=403) or DM (n=221) on smoking, alcohol consumption, weight, diet and physical activity. Self-reported diagnosis of CVD increased rates of smoking cessation (OR=2.2, 95%CI 1.6 - 3.1). Adults reporting a diagnosis of DM (relatively) decreased weight (3.2%, 95%CI 2.2 - 4.2), (relatively) decreased energy intake (4.2%, 95%CI 0.7 - 7.7), decreased energy percentage from saturated fat (0.4%, 95%CI 0.0 - 0.9) and increased fish consumption (2.8 g/day, 95%CI 0.4 - 5.1). A self-reported diagnosis of CVD or DM was not associated with changes in physical activity. A diagnosis of CVD or DM may act, along with possible effects of medical treatment, as a trigger to adopt a healthier lifestyle in terms of smoking cessation, healthier diet and weight loss.</t>
  </si>
  <si>
    <t>The pathogen- and incidence-based DALY approach: an appropriate [corrected] methodology for estimating the burden of infectious diseases.</t>
  </si>
  <si>
    <t>Mangen, Marie-Josée J; Plass, Dietrich; Havelaar, Arie H; Gibbons, Cheryl L; Cassini, Alessandro; Mühlberger, Nikolai; van Lier, Alies; Haagsma, Juanita A; Brooke, R John; Lai, Taavi; de Waure, Chiara; Kramarz, Piotr; Kretzschmar, Mirjam E E; ,</t>
  </si>
  <si>
    <t>https://pubmed.ncbi.nlm.nih.gov/24278167</t>
  </si>
  <si>
    <t>In 2009, the European Centre for Disease Prevention and Control initiated the 'Burden of Communicable Diseases in Europe (BCoDE)' project to generate evidence-based and comparable burden-of-disease estimates of infectious diseases in Europe. The burden-of-disease metric used was the Disability-Adjusted Life Year (DALY), composed of years of life lost due to premature death (YLL) and due to disability (YLD). To better represent infectious diseases, a pathogen-based approach was used linking incident cases to sequelae through outcome trees. Health outcomes were included if an evidence-based causal relationship between infection and outcome was established. Life expectancy and disability weights were taken from the Global Burden of Disease Study and alternative studies. Disease progression parameters were based on literature. Country-specific incidence was based on surveillance data corrected for underestimation. Non-typhoidal Salmonella spp. and Campylobacter spp. were used for illustration. Using the incidence- and pathogen-based DALY approach the total burden for Salmonella spp. and Campylobacter spp. was estimated at 730 DALYs and at 1,780 DALYs per year in the Netherlands (average of 2005-2007). Sequelae accounted for 56% and 82% of the total burden of Salmonella spp. and Campylobacter spp., respectively. The incidence- and pathogen-based DALY methodology allows in the case of infectious diseases a more comprehensive calculation of the disease burden as subsequent sequelae are fully taken into account. Not considering subsequent sequelae would strongly underestimate the burden of infectious diseases. Estimates can be used to support prioritisation and comparison of infectious diseases and other health conditions, both within a country and between countries.</t>
  </si>
  <si>
    <t>Serum AMH levels in women with a history of preeclampsia suggest a role for vascular factors in ovarian aging.</t>
  </si>
  <si>
    <t>Yarde, F; Maas, A H E M; Franx, A; Eijkemans, M J C; Drost, J T; van Rijn, B B; van Eyck, J; van der Schouw, Y T; Broekmans, F J M</t>
  </si>
  <si>
    <t>https://pubmed.ncbi.nlm.nih.gov/24248187</t>
  </si>
  <si>
    <t>The association between early menopause and vascular disease as a possible causative factor has recently received attention. Preeclampsia (PE) is associated with future cardiovascular risk factors, and this premature vascular aging potentially modifies the ovarian aging process. The purpose of this study was to assess whether women with a history of PE have lower anti-Müllerian hormone (AMH) levels than women with normotensive pregnancies. This was a retrospective cohort study. The study was conducted in a tertiary referral center. Clinical data and blood samples of participants in the Preeclampsia Risk EValuation in FEMales study were used (336 women with a history of PE and 329 women after a normotensive pregnancy). There were no interventions. The relative decrease in AMH levels was assessed after a median follow-up of 10.5 years. The mean AMH level was 2.00 ± 1.87 μg/L in the PE group compared with 2.26 ± 2.56 μg/L in the reference group. Linear regression analysis with censoring for undetectable AMH levels, adjusted for age, smoking, and hormonal contraceptive use, showed a relative reduction in AMH levels of 20.9% at any age (fold change 0.79, 95% confidence interval, 0.67-0.94). We demonstrate that women with a history of PE have significantly lower AMH levels than women with normotensive pregnancies. Calculations based on a reference population indicate advancement of reproductive age of approximately 1.5 years. Because PE is considered a manifestation of impaired vascular health, these results support the hypothesis that compromised vascular health could act as a causative mechanism in early ovarian aging.</t>
  </si>
  <si>
    <t>Weight change later in life and colon and rectal cancer risk in participants in the EPIC-PANACEA study.</t>
  </si>
  <si>
    <t>Steins Bisschop, Charlotte N; van Gils, Carla H; Emaus, Marleen J; Bueno-de-Mesquita, H Bas; Monninkhof, Evelyn M; Boeing, Heiner; Aleksandrova, Krasmira; Jenab, Mazda; Norat, Teresa; Riboli, Elio; Boutron-Rualt, Marie-Christine; Fagherazzi, Guy; Racine, Antoine; Palli, Domenico; Krogh, Vittorio; Tumino, Rosario; Naccarati, Alessio; Mattiello, Amalia; Argüelles, Marcial Vicente; Sanchez, Maria José; Tormo, Maria José; Ardanaz, Eva; Dorronsoro, Miren; Bonet, Catalina; Khaw, Kay-Tee; Key, Tim; Trichopoulou, Antonia; Orfanos, Philippos; Naska, Androniki; Kaaks, Rudolph R; Lukanova, Annekatrin; Pischon, Tobias; Ljuslinder, Ingrid; Jirström, Karin; Ohlsson, Bodil; Overvad, Kim; Landsvig Berentzen, Tina; Halkjaer, Jytte; Tjonneland, Anne; Weiderpass, Elisabete; Skeie, Guri; Braaten, Tonje; Siersema, Peter D; Freisling, Heinz; Ferrari, Pietro; Peeters, Petra H M; May, Anne M</t>
  </si>
  <si>
    <t>https://pubmed.ncbi.nlm.nih.gov/24225355</t>
  </si>
  <si>
    <t>A moderate association exists between body mass index (BMI) and colorectal cancer. Less is known about the effect of weight change. We investigated the relation between BMI and weight change and subsequent colon and rectal cancer risk. This was studied among 328,781 participants in the prospective European Prospective Investigation into Cancer-Physical Activity, Nutrition, Alcohol, Cessation of Smoking, Eating study (mean age: 50 y). Body weight was assessed at recruitment and on average 5 y later. Self-reported weight change (kg/y) was categorized in sex-specific quintiles, with quintiles 2 and 3 combined as the reference category (men: -0.6 to 0.3 kg/y; women: -0.4 to 0.4 kg/y). In the subsequent years, participants were followed for the occurrence of colon and rectal cancer (median period: 6.8 y). Multivariable Cox proportional hazards regression analyses were used to study the association. A total of 1261 incident colon cancer and 747 rectal cancer cases were identified. BMI at recruitment was statistically significantly associated with colon cancer risk in men (HR: 1.04; 95% CI: 1.02, 1.07). Moderate weight gain (quintile 4) in men increased risk further (HR: 1.32; 95% CI: 1.04, 1.68), but this relation did not show a clear trend. In women, BMI or weight gain was not related to subsequent risk of colon cancer. No statistically significant associations for weight loss and colon cancer or for BMI and weight changes and rectal cancer were found. BMI attained at adulthood was associated with colon cancer risk. Subsequent weight gain or loss was not related to colon or rectal cancer risk in men or women.</t>
  </si>
  <si>
    <t>Periprocedural hemodynamic depression is associated with a higher number of new ischemic brain lesions after stenting in the International Carotid Stenting Study-MRI Substudy.</t>
  </si>
  <si>
    <t>Altinbas, Aysun; Algra, Ale; Bonati, Leo H; Brown, Martin M; Kappelle, L Jaap; de Borst, Gert Jan; Hendrikse, Jeroen; van der Tweel, Ingeborg; van der Worp, H Bart; ,</t>
  </si>
  <si>
    <t>https://pubmed.ncbi.nlm.nih.gov/24203845</t>
  </si>
  <si>
    <t>Carotid artery stenting (CAS) is associated with a higher risk of both hemodynamic depression and new ischemic brain lesions on diffusion-weighted imaging than carotid endarterectomy (CEA). We assessed whether the occurrence of hemodynamic depression is associated with these lesions in patients with symptomatic carotid stenosis treated by CAS or CEA in the randomized International Carotid Stenting Study (ICSS)-MRI substudy. The number and total volume of new ischemic lesions on diffusion-weighted imaging 1 to 3 days after CAS or CEA was measured in the ICSS-MRI substudy. Hemodynamic depression was defined as periprocedural bradycardia, asystole, or hypotension requiring treatment. The number of new ischemic lesions was the primary outcome measure. We calculated risk ratios and 95% confidence intervals per treatment with Poisson regression comparing the number of lesions in patients with or without hemodynamic depression. A total of 229 patients were included (122 allocated CAS; 107 CEA). After CAS, patients with hemodynamic depression had a mean of 13 new diffusion-weighted imaging lesions, compared with a mean of 4 in those without hemodynamic depression (risk ratio, 3.36; 95% confidence interval, 1.73-6.50). The number of lesions after CEA was too small for reliable analysis. Lesion volumes did not differ between patients with or without hemodynamic depression. In patients treated by CAS, periprocedural hemodynamic depression is associated with an excess of new ischemic lesions on diffusion-weighted imaging. The findings support the hypothesis that hypoperfusion increases the susceptibility of the brain to embolism. URL: http://www.controlled-trials.com. Unique identifier: ISRCTN25337470.</t>
  </si>
  <si>
    <t>Reply to Waligora.</t>
  </si>
  <si>
    <t>https://pubmed.ncbi.nlm.nih.gov/24193347</t>
  </si>
  <si>
    <t>Observed mortality reduction in patients hospitalized with community-acquired pneumonia may well be confounded by disease severity.</t>
  </si>
  <si>
    <t>https://pubmed.ncbi.nlm.nih.gov/24157296</t>
  </si>
  <si>
    <t>Sore throat: effective communication delivers improved diagnosis, enhanced self-care and more rational use of antibiotics.</t>
  </si>
  <si>
    <t>van der Velden, A W; Bell, J; Sessa, A; Duerden, M; Altiner, A</t>
  </si>
  <si>
    <t>international journal of clinical practice supplement</t>
  </si>
  <si>
    <t>https://pubmed.ncbi.nlm.nih.gov/24238425</t>
  </si>
  <si>
    <t>The majority of throat infections are of viral origin and resolve without antibiotic treatment. Despite this, antibiotic use for sore throat infections remains high, partly because it is difficult to determine when antibiotics may be useful, on the basis of physical findings alone. Antibiotics may be beneficial in bacterial throat infections under certain clinical and epidemiological circumstances; however, even many of those infections in which bacteria play a role do resolve just as quickly without antibiotics. Furthermore, non-medical factors such as patient expectations and patient pressure are also important drivers of antibiotic use. To address these issues, a behavioural change is required that can be facilitated by improved communication between primary healthcare providers and patients. In this article, we provide doctors, nurses and pharmacy staff, working in primary care or in the community, with a structured approach to sore throat management, with the aim of educating and empowering patients to self-manage their condition. The first component of this approach involves identifying and addressing patients' expectations and concerns with regard to their sore throat and eliciting their opinion on antibiotics. The second part is dedicated to a pragmatic assessment of the severity of the condition, with attention to red-flag symptoms and risk factors for serious complications. Rather than just focusing on the cause (bacterial or viral) of the upper respiratory tract infections as a rationale for antibiotic use, healthcare providers should instead consider the severity of the patient's condition and whether they are at high risk of complications. The third part involves counselling patients on effective self-management options and providing information on the expected clinical course. Such a structured approach to sore throat management, using empathetic, non-paternalistic language, combined with written patient information, will help to drive patient confidence in self-care and encourage them to accept the self-limiting character of the illness - important steps towards improving antibiotic stewardship in acute throat infections.</t>
  </si>
  <si>
    <t>Ethical implications of regenerative medicine in orthopedics: an empirical study with surgeons and scientists in the field.</t>
  </si>
  <si>
    <t>Niemansburg, Sophie L; van Delden, Johannes J M; Oner, F Cumhur; Dhert, Wouter J A; Bredenoord, Annelien L</t>
  </si>
  <si>
    <t>the spine journal official journal of the north american spine society</t>
  </si>
  <si>
    <t>https://pubmed.ncbi.nlm.nih.gov/24184644</t>
  </si>
  <si>
    <t>Regenerative medicine (RM) interventions, such as (stem) cell transplantation, scaffolds, gene transfer, and tissue engineering, are likely to change the field of orthopedics considerably. These strategies will significantly differ from treatments in current orthopedic practice, as they treat the underlying cause of disease and intervene at a biological level, preferably in an earlier stage. Whereas most of the RM interventions for orthopedics are still in the preclinical phase of research, the number of clinical studies is expected to increase rapidly in the future. The debate about the challenging scientific and ethical issues of translating these innovative interventions into (early) clinical studies is developing. However, no empirical studies that have systematically described the attitudes, opinions, and experiences of experts in the field of orthopedic RM concerning these challenges exist. The aim of this study was to identify ethical issues that experts in the area of RM for musculoskeletal disorders consider to be relevant to address so as to properly translate RM interventions into (early) clinical studies. In-depth qualitative interviews were conducted with 36 experts in the field, mainly spine surgeons and musculoskeletal scientists from The Netherlands and the United Kingdom. A topic list of open questions, based on existing literature and pilot interviews, was used to guide the interviews. Data analysis was based on the constant comparative method, which means going back and forth from the data to develop codes, concepts, and themes. Four ethical themes emerged from the interview data. First, the risks to study participants. Second, the appropriate selection of study participants. Third, setting relevant goal(s) for measuring outcome, varying from regenerating tissue to improving well-being of patients. Finally, the need for evidence-based medicine and scientific integrity, which is considered challenging in orthopedics. The overall attitude toward the development of RM was positive, especially because current surgical treatments for spine disorders lack satisfactory effectiveness. However, efforts should be taken to adequately address the ethical and scientific issues in the translation of RM interventions into clinical research. This is required to prevent unnecessary risks to study participants, to prevent exposure of future patients to useless clinical applications, as well as to prevent this young field from developing a negative reputation. Not only will the orthopedic RM field benefit from ethically and scientifically sound clinical studies, but the rise of RM also provides an opportunity to stimulate evidence-based practice in orthopedics and address hype- and profit-driven practices in orthopedics.</t>
  </si>
  <si>
    <t>Life-course of cardio-respiratory associations.</t>
  </si>
  <si>
    <t>Eising, Jacobien B; van der Ent, Cornelis K; van der Gugten, Anne C; Grobbee, Diederick E; Evelein, Annemieke M V; Numans, Mattijs E; Uiterwaal, Cuno S P M</t>
  </si>
  <si>
    <t>https://pubmed.ncbi.nlm.nih.gov/24174402</t>
  </si>
  <si>
    <t>Several studies have shown that raised cardiovascular risk factors are associated with an impaired lung function in adulthood. Whether this association also exists in the young is unknown. Our aim was to study the relation between blood pressure and lung function from neonatal to elderly age. This was a cross-sectional study in a general population cohort. Within the Utrecht Health Project (UHP) 6673 adults (aged 18-91 years) had spirometry and blood pressure measurements taken. In the WHeezing Illnesses STudy LEidsche Rijn (WHISTLER) study, a satellite birth cohort of the UHP, blood pressure and respiratory mechanics were measured using the single occlusion technique in 755 newborns and spirometry in 382 5-year-old participants. Linear regression analyses were performed with lung function as an independent variable and blood pressure as a dependent variable in different age groups. The analyses were adjusted for age, sex, weight and height. In infancy a more favorable lung function (higher compliance and lower resistance) was associated with higher blood pressure. In 5-year-old children and young adults higher forced expiratory volume in 1 second (FEV1) was associated with higher systolic blood pressure (p-values &lt; 0.05). At the age of 5 the adjusted regression coefficient for systolic blood pressure was 4.8 mmHg/L (95% confidence interval (95% CI) -0.3-9.98). The association decreased with increasing age and reversed in the age groups above 40 years to -7.3 mmHg/L (95% CI -15.5-0.9) in those aged over 70 years of age. The association with pulse pressure showed a similar pattern. A positive association between the mechanical properties of the respiratory system and blood pressure in childhood and young adulthood reverses in later adulthood.</t>
  </si>
  <si>
    <t>Value of composite reference standards in diagnostic research.</t>
  </si>
  <si>
    <t>Naaktgeboren, Christiana A; Bertens, Loes C M; van Smeden, Maarten; de Groot, Joris A H; Moons, Karel G M; Reitsma, Johannes B</t>
  </si>
  <si>
    <t>https://pubmed.ncbi.nlm.nih.gov/24162938</t>
  </si>
  <si>
    <t>EMAS position statement: Fertility preservation.</t>
  </si>
  <si>
    <t>Mintziori, Gesthimani; Lambrinoudaki, Irene; Ceausu, Iuliana; Depypere, Herman; Erel, C Tamer; Pérez-López, Faustino R; Schenck-Gustafsson, Karin; van der Schouw, Yvonne T; Simoncini, Tommaso; Tremollieres, Florence; Tarlatzis, Basil C; Rees, Margaret; Goulis, Dimitrios G</t>
  </si>
  <si>
    <t>https://pubmed.ncbi.nlm.nih.gov/24215726</t>
  </si>
  <si>
    <t>The increasing incidence of malignant diseases that often require gonadotoxic treatment and the tendency to become a parent later in life result in an increased need for fertility preservation. The aim of this position statement is to provide and critically appraise evidence on available options for fertility preservation in both pre-pubertal and post-pubertal men and women. Literature review and consensus of expert opinion. Fertility preservation should be a priority when treating children or adults of reproductive age with agents that may have hazardous effects on the reproductive system. Gonadotoxicity should be kept at a minimum. If gonadotoxic treatment has to be used, methods of fertility preservation should be discussed, as early as possible.</t>
  </si>
  <si>
    <t>Interventions to reduce colonisation and transmission of antimicrobial-resistant bacteria in intensive care units: an interrupted time series study and cluster randomised trial.</t>
  </si>
  <si>
    <t>Derde, Lennie P G; Cooper, Ben S; Goossens, Herman; Malhotra-Kumar, Surbhi; Willems, Rob J L; Gniadkowski, Marek; Hryniewicz, Waleria; Empel, Joanna; Dautzenberg, Mirjam J D; Annane, Djillali; Aragão, Irene; Chalfine, Annie; Dumpis, Uga; Esteves, Francisco; Giamarellou, Helen; Muzlovic, Igor; Nardi, Giuseppe; Petrikkos, George L; Tomic, Viktorija; Martí, Antonio Torres; Stammet, Pascal; Brun-Buisson, Christian; Bonten, Marc J M; ,</t>
  </si>
  <si>
    <t>https://pubmed.ncbi.nlm.nih.gov/24161233</t>
  </si>
  <si>
    <t>Intensive care units (ICUs) are high-risk areas for transmission of antimicrobial-resistant bacteria, but no controlled study has tested the effect of rapid screening and isolation of carriers on transmission in settings with best-standard precautions. We assessed interventions to reduce colonisation and transmission of antimicrobial-resistant bacteria in European ICUs. We did this study in three phases at 13 ICUs. After a 6 month baseline period (phase 1), we did an interrupted time series study of universal chlorhexidine body-washing combined with hand hygiene improvement for 6 months (phase 2), followed by a 12-15 month cluster randomised trial (phase 3). ICUs were randomly assigned by computer generated randomisation schedule to either conventional screening (chromogenic screening for meticillin-resistant Staphylococcus aureus [MRSA] and vancomycin-resistant enterococci [VRE]) or rapid screening (PCR testing for MRSA and VRE and chromogenic screening for highly resistant Enterobacteriaceae [HRE]); with contact precautions for identified carriers. The primary outcome was acquisition of resistant bacteria per 100 patient-days at risk, for which we calculated step changes and changes in trends after the introduction of each intervention. We assessed acquisition by microbiological surveillance and analysed it with a multilevel Poisson segmented regression model. We compared screening groups with a likelihood ratio test that combined step changes and changes to trend. This study is registered with ClinicalTrials.gov, number NCT00976638. Seven ICUs were assigned to rapid screening and six to conventional screening. Mean hand hygiene compliance improved from 52% in phase 1 to 69% in phase 2, and 77% in phase 3. Median proportions of patients receiving chlorhexidine body-washing increased from 0% to 100% at the start of phase 2. For trends in acquisition of antimicrobial-resistant bacteria, weekly incidence rate ratio (IRR) was 0·976 (0·954-0·999) for phase 2 and 1·015 (0·998-1·032) for phase 3. For step changes, weekly IRR was 0·955 (0·676-1·348) for phase 2 and 0·634 (0·349-1·153) for phase 3. The decrease in trend in phase 2 was largely caused by changes in acquisition of MRSA (weekly IRR 0·925, 95% CI 0·890-0·962). Acquisition was lower in the conventional screening group than in the rapid screening group, but did not differ significantly (p=0·06). Improved hand hygiene plus unit-wide chlorhexidine body-washing reduced acquisition of antimicrobial-resistant bacteria, particularly MRSA. In the context of a sustained high level of compliance to hand hygiene and chlorhexidine bathings, screening and isolation of carriers do not reduce acquisition rates of multidrug-resistant bacteria, whether or not screening is done with rapid testing or conventional testing. European Commission.</t>
  </si>
  <si>
    <t>Human dose response relation for airborne exposure to Coxiella burnetii.</t>
  </si>
  <si>
    <t>Brooke, Russell John; Kretzschmar, Mirjam E E; Mutters, Nico T; Teunis, Peter F</t>
  </si>
  <si>
    <t>https://pubmed.ncbi.nlm.nih.gov/24138807</t>
  </si>
  <si>
    <t>The recent outbreak of Q fever in the Netherlands between 2007 and 2009 is the largest recorded Q fever outbreak. Exposure to Coxiella burnetii may cause Q fever but the size of the population exposed during the outbreak remained uncertain as little is known of the infectivity of this pathogen. The quantification of the infectiousness and the corresponding response is necessary for assessing the risk to the population. A human challenge study was published in the 1950s but this study quantified the dose of C. burnetii in relative units. Data from a concurrent guinea pig challenge study were combined with a recent study in which guinea pigs were challenged with a similar aerosol route to quantify human exposure. Concentration estimates for C. burnetii are made jointly with estimates of the dose response parameters in a hierarchical Bayesian framework. The dose for 50% infection (InfD50%) in human subjects is 1.18 bacteria (95% credible interval (CI) 0.76-40.2). The dose for 50% illness (IllD50) in challenged humans is 5.58 (95%CI 0.89-89.0) bacteria. The probability of a single viable C. burnetii causing infection in humans is 0.44 (95%CI 0.044-0.59) and for illness 0.12 (95%CI 0.0006-0.55). To our knowledge this is the first human dose-response model for C. burnetii. The estimated dose response relation demonstrates high infectivity in humans. In many published papers the proportion of infected individuals developing illness is reported to be 40%. Our model shows that the proportion of symptomatic infections may vary with the exposure dose. This implies that presence of these bacteria in the environment, even in small numbers, poses a serious health risk to the population.</t>
  </si>
  <si>
    <t>Retirement and a healthy lifestyle: opportunity or pitfall? A narrative review of the literature.</t>
  </si>
  <si>
    <t>Zantinge, Else M; van den Berg, Matthijs; Smit, Henriëtte A; Picavet, H Susan J</t>
  </si>
  <si>
    <t>https://pubmed.ncbi.nlm.nih.gov/24148557</t>
  </si>
  <si>
    <t>Retirement is a life-course transition in late adult life that is marked by major changes that may affect healthy lifestyles. Our aim is to give an overview of the current knowledge on changes in smoking, alcohol consumption, physical activity and dietary habits during the transition to retirement. This may provide clues to a better targeting and timing of preventive activities at older age. Literature search in Medline, Scopus, Embase, PsycInfo, Social SciSearch and SciSearch limited to English-language papers published between 2001 and May 2013. Results of 20 original papers are summarized in a narrative review. Some studies report an increase in alcohol consumption after retirement, whereas others found a decrease or no change at all. Those who retired involuntarily tended to increase their alcohol consumption, whereas retirees who quit voluntarily did not change their alcohol consumption. Leisure-time physical activity seems to increase slightly after retirement, especially moderately intensive physical activity. This increase does not compensate the loss of work-related physical activity such as the work itself or work-related transportation. The studies on changes in smoking and dietary habits were too limited to draw conclusions. The transition to retirement is accompanied with both favourable and unfavourable lifestyle changes, depending on the type of lifestyle, lifestyle indicator and the personal situation of the retiree. The (pre-)retirement period may well offer a suitable opportunity for preventive action, for example in pre-retirement programmes, planning or other retirement-related support.</t>
  </si>
  <si>
    <t>Statin therapy is associated with improved survival after endovascular and open aneurysm repair.</t>
  </si>
  <si>
    <t>de Bruin, Jorg L; Baas, Annette F; Heymans, Martijn W; Buimer, Mathijs G; Prinssen, Monique; Grobbee, Diederick E; Blankensteijn, Jan D; ,</t>
  </si>
  <si>
    <t>https://pubmed.ncbi.nlm.nih.gov/24144736</t>
  </si>
  <si>
    <t>The relationship between numerous risk factors and perioperative mortality after cardiovascular surgery has been studied extensively. While improved perioperative survival and fewer cardiovascular events have been related to statin therapy, its effect on long-term survival after aneurysm repair remains to be elucidated. The aim of this study is to determine the effect of statin therapy on long-term survival after open and endovascular aneurysm repair and to identify other cardiovascular and patient-related risk factors in this respect. A post-hoc analysis of a randomized trial comparing open and endovascular abdominal aortic aneurysm repair was performed. In this multicenter trial, 351 patients were randomly assigned to undergo either open abdominal aortic aneurysm repair or endovascular repair. Patients who were on lipid-lowering medication at their inclusion in the trial (n = 135) were compared with those who were not (n = 216). During 6 years of follow-up, 118 (33.6%) patients died after randomization. Statin therapy, baseline characteristics, Society for Vascular Surgery/International Society for Cardiovascular Surgery risk factors, aneurysm size, reinterventions, antiplatelet or anticoagulant agents, and β-blockers were used to identify prognostic factors influencing survival. After identification of significant factors in a Kaplan-Meier analysis, a multivariable Cox regression analysis was applied. Statin therapy at inclusion in the trial was independently associated with better overall survival after open or endovascular aneurysm repair (hazard ratio [HR], 0.5; 95% confidence interval [CI], 0.3-0.8; P = .004). Statins were especially associated with fewer cardiovascular deaths (HR, 0.4; 95% CI, 0.2-0.9; P = .025). Several risk factors were associated with poor survival after open and endovascular aneurysm repair: age &gt;70 (HR, 3.4; 95% CI, 2.2-5.0; P &lt; .001), a history of cardiac disease at baseline (HR, 1.9; 95% CI, 1.3-2.8; P = .001), and moderate/severe tobacco use (HR, 1.7; 95% CI, 1.2-2.5; P = .004). Gender, aneurysm size, the need for reintervention, pulmonary disease, renal disease, carotid disease, hypertension, diabetes mellitus, antiplatelet or anticoagulant agents, and β-blockers were not significantly associated with impaired long-term survival (P &gt; .05). Despite the limitations of a post-hoc analysis of a prospectively maintained trial, we conclude that statin therapy at the beginning of the trial is independently associated with improved long-term survival after open or endovascular aneurysm repair, while age above 70 years, a history of cardiovascular disease, and tobacco use are associated with decreased long-term survival.</t>
  </si>
  <si>
    <t>Sex is associated with the presence of atherosclerotic plaque hemorrhage and modifies the relation between plaque hemorrhage and cardiovascular outcome.</t>
  </si>
  <si>
    <t>Vrijenhoek, Joyce E P; Den Ruijter, Hester M; De Borst, Gert Jan; de Kleijn, Dominique P V; De Vries, Jean-Paul P M; Bots, Michiel L; Van de Weg, Sander M; Vink, Aryan; Moll, Frans L; Pasterkamp, Gerard</t>
  </si>
  <si>
    <t>https://pubmed.ncbi.nlm.nih.gov/24130138</t>
  </si>
  <si>
    <t>Plaque hemorrhage (PH) may lead to accelerated progression of atherosclerotic disease. The presence of local PH in the carotid plaque predicts future cardiovascular events in any vascular territory. We investigated the prevalence of local PH and the predictive value of PH for the occurrence of cardiovascular events in men and women separately. Atherosclerotic plaques from 1422 patients (969 men, 453 women) who underwent carotid endarterectomy were analyzed histologically for the presence of PH. Patients were monitored for 3 years for cardiovascular events (nonfatal stroke, nonfatal myocardial infarction, vascular death, and vascular intervention). Plaques from men showed a significantly higher prevalence of PH compared with women (67% versus 54%; P&lt;0.001). In 1353 patients with available follow-up data, with a median duration of 2.9 years, 270 events had occurred in men (29%) and 94 in women (22%). Stratified by presence of PH, the event rate was 32% in men with PH versus 23% in men without PH, and 23% in women with PH versus 21% in women without PH. A multivariable Cox proportional hazards model found a significant interaction between sex and PH. PH was significantly associated with events in men (adjusted hazard ratio, 1.9; 95% CI, 1.2-2.8) but not in women (adjusted hazard ratio, 1.0; 95% CI, 0.6-1.7). Atherosclerotic carotid plaques obtained from men reveal a higher prevalence of PH compared with women. Local PH is strongly related to secondary manifestations of cardiovascular disease in men but not in women.</t>
  </si>
  <si>
    <t>Use of expert panels to define the reference standard in diagnostic research: a systematic review of published methods and reporting.</t>
  </si>
  <si>
    <t>Bertens, Loes C M; Broekhuizen, Berna D L; Naaktgeboren, Christiana A; Rutten, Frans H; Hoes, Arno W; van Mourik, Yvonne; Moons, Karel G M; Reitsma, Johannes B</t>
  </si>
  <si>
    <t>https://pubmed.ncbi.nlm.nih.gov/24143138</t>
  </si>
  <si>
    <t>In diagnostic studies, a single and error-free test that can be used as the reference (gold) standard often does not exist. One solution is the use of panel diagnosis, i.e., a group of experts who assess the results from multiple tests to reach a final diagnosis in each patient. Although panel diagnosis, also known as consensus or expert diagnosis, is frequently used as the reference standard, guidance on preferred methodology is lacking. The aim of this study is to provide an overview of methods used in panel diagnoses and to provide initial guidance on the use and reporting of panel diagnosis as reference standard. PubMed was systematically searched for diagnostic studies applying a panel diagnosis as reference standard published up to May 31, 2012. We included diagnostic studies in which the final diagnosis was made by two or more persons based on results from multiple tests. General study characteristics and details of panel methodology were extracted. Eighty-one studies were included, of which most reported on psychiatry (37%) and cardiovascular (21%) diseases. Data extraction was hampered by incomplete reporting; one or more pieces of critical information about panel reference standard methodology was missing in 83% of studies. In most studies (75%), the panel consisted of three or fewer members. Panel members were blinded to the results of the index test results in 31% of studies. Reproducibility of the decision process was assessed in 17 (21%) studies. Reported details on panel constitution, information for diagnosis and methods of decision making varied considerably between studies. Methods of panel diagnosis varied substantially across studies and many aspects of the procedure were either unclear or not reported. On the basis of our review, we identified areas for improvement and developed a checklist and flow chart for initial guidance for researchers conducting and reporting of studies involving panel diagnosis. Please see later in the article for the Editors' Summary.</t>
  </si>
  <si>
    <t>Analytical performance, agreement and user-friendliness of five C-reactive protein point-of-care tests.</t>
  </si>
  <si>
    <t>Minnaard, Margaretha C; van de Pol, Alma C; Broekhuizen, Berna D L; Verheij, Theo J M; Hopstaken, Rogier M; van Delft, Sanne; Kooijman-Buiting, Antoinette M J; de Groot, Joris A H; De Wit, Niek J</t>
  </si>
  <si>
    <t>https://pubmed.ncbi.nlm.nih.gov/24125120</t>
  </si>
  <si>
    <t>Point-of-care (POC) C-reactive protein (CRP) testing is increasingly used in primary care to assist general practitioners (GPs) in the diagnostic workup for various complaints. The present study compares analytical performance, agreement and user-friendliness of five of these POC CRP tests. The following five POC CRP tests were evaluated: Afinion and NycoCard Reader II (both Alere), Eurolyser Smart 700/340 (Eurolyser), QuikRead go and QuikRead 101 (both Orion Diagnostica). Results were compared with those of a standard immunoturbidimetric method performed on a routine analyzer (Olympus AU 2700, Beckman Coulter). Analytical performance and agreement with the laboratory standard for the five different POC tests were analyzed. Subsequently, user-friendliness of the POC tests was assessed. Within-day CVs varied from 2.6% (QuikRead go) to 19.4% (Eurolyser Smart 700/340) for low CRP values (&lt; 20 mg/L), and 1.1% (QuikRead go) to 17.5% (Eurolyser Smart 700/340) for high values (&gt; 100 mg/L). Between-day CVs varied from 4.6% (Afinion) to 30.5% (Eurolyser Smart 700/340) for low values and 4.0% (QuikRead go) to 18.0% (Eurolyser Smart 700/340) for high values. With high CRP values (&gt; 100 mg/L) agreement with the laboratory standard systematically decreased for all POC tests. Regarding user-friendliness Afinion and Eurolyser Smart 700/340 were judged easiest to operate. Analytical performance, agreement, and user-friendliness of the POC CRP tests varied considerably, yet overall four devices showed adequate analytical performance and agreement.</t>
  </si>
  <si>
    <t>Development and validation of a model to predict the risk of exacerbations in chronic obstructive pulmonary disease.</t>
  </si>
  <si>
    <t>Bertens, Loes C M; Reitsma, Johannes B; Moons, Karel G M; van Mourik, Yvonne; Lammers, Jan Willem J; Broekhuizen, Berna D L; Hoes, Arno W; Rutten, Frans H</t>
  </si>
  <si>
    <t>https://pubmed.ncbi.nlm.nih.gov/24143086</t>
  </si>
  <si>
    <t>Prediction models for exacerbations in patients with chronic obstructive pulmonary disease (COPD) are scarce. Our aim was to develop and validate a new model to predict exacerbations in patients with COPD. The derivation cohort consisted of patients aged 65 years or over, with a COPD diagnosis, who were followed up over 24 months. The external validation cohort consisted of another cohort of COPD patients, aged 50 years or over. Exacerbations of COPD were defined as symptomatic deterioration requiring pulsed oral steroid use or hospitalization. Logistic regression analysis including backward selection and shrinkage were used to develop the final model and to adjust for overfitting. The adjusted regression coefficients were applied in the validation cohort to assess calibration of the predictions and calculate changes in discrimination applying C-statistics. The derivation and validation cohort consisted of 240 and 793 patients with COPD, of whom 29% and 28%, respectively, experienced an exacerbation during follow-up. The final model included four easily assessable variables: exacerbations in the previous year, pack years of smoking, level of obstruction, and history of vascular disease, with a C-statistic of 0.75 (95% confidence interval [CI]: 0.69-0.82). Predictions were well calibrated in the validation cohort, with a small loss in discrimination potential (C-statistic 0.66 [95% CI 0.61-0.71]). Our newly developed prediction model can help clinicians to predict the risk of future exacerbations in individual patients with COPD, including those with mild disease.</t>
  </si>
  <si>
    <t>Current status and future prospects of epidemiology and public health training and research in the WHO African region.</t>
  </si>
  <si>
    <t>Klipstein-Grobusch, Kerstin; Chirwa, Tobias; Fonn, Sharon</t>
  </si>
  <si>
    <t>https://pubmed.ncbi.nlm.nih.gov/24159081</t>
  </si>
  <si>
    <t>Seroepidemiology of high-risk HPV in HIV-negative and HIV-infected MSM: the H2M study.</t>
  </si>
  <si>
    <t>Mooij, Sofie H; van der Klis, Fiona R M; van der Sande, Marianne A B; Schepp, Rutger M; Speksnijder, Arjen G C L; Bogaards, Johannes A; de Melker, Hester E; de Vries, Henry J C; Snijders, Peter J F; van der Loeff, Maarten F Schim</t>
  </si>
  <si>
    <t>https://pubmed.ncbi.nlm.nih.gov/24097197</t>
  </si>
  <si>
    <t>Men who have sex with men (MSM), in particular HIV-infected MSM, are at increased risk for diseases related to human papilloma virus (HPV). Our goal was to assess the effect of HIV status on the presence of type-specific antibodies against seven high-risk HPV types in HPV-unvaccinated MSM. Moreover, we compared determinants of HPV seropositivity between HIV-negative and HIV-infected MSM. MSM ≥18 years of age were recruited from the Amsterdam Cohort Studies, a sexually transmitted infection clinic, and an HIV-treatment center in Amsterdam, the Netherlands. Participants completed a risk-factor questionnaire; serum samples were analyzed using a fluorescent bead-based multiplex assay. MSM (n = 795) were recruited in 2010 to 2011; 758 MSM were included in this analysis. Median age was 40.1 years (interquartile range 34.8-47.5) and 308 MSM (40.6%) were HIV-infected. Seroprevalence of HPV-16 was 37.1% in HIV-negative and 62.7% in HIV-infected MSM (P &lt; 0.001); seroprevalence of HPV-18 was 29.1% in HIV-negative MSM and 42.5% in HIV-infected MSM (P &lt; 0.001). Similar patterns of seroprevalence were observed for HPV types 31, 33, 45, 52, and 58. In multivariable analyses, HPV seropositivity was associated with HIV infection [adjusted OR = 2.1; 95% confidence interval, 1.6-2.6]. In multivariable analyses stratified by HIV status, increasing age and number of lifetime male sex partners were significantly associated with HPV seropositivity in HIV-negative, but not HIV-infected MSM. Seroprevalence of high-risk HPV types is high among unvaccinated MSM. HIV infection is a strong and independent determinant for HPV seropositivity, which we hypothesize is because of increased persistence of HPV infection in HIV-infected MSM.</t>
  </si>
  <si>
    <t>Prediction of hemoglobin levels in whole blood donors: how to model donation history.</t>
  </si>
  <si>
    <t>Baart, A Mireille; Vergouwe, Yvonne; Atsma, Femke; Moons, Karel G M; de Kort, Wim L A M</t>
  </si>
  <si>
    <t>transfusion</t>
  </si>
  <si>
    <t>https://pubmed.ncbi.nlm.nih.gov/24111811</t>
  </si>
  <si>
    <t>Recently, prediction models for hemoglobin (Hb) deferral risk have been developed. These models consider the previous Hb level plus change in Hb. Here, we investigated if the performance of models could be improved by considering more information on Hb level history. Data of 166,497 Dutch whole blood donors with sequential Hb measurements during 2 years (760,444 in total) were used to develop and internally validate three different regression models: two simple linear models with Hb level history included as 1) Hb at the previous visit plus change in Hb or 2) mean of all previous Hb levels and one mixed-effect model including measurements of all previous Hb levels. Thirteen percent of men and 21% of women were deferred because of a low Hb level at least once in 2 years. The simple linear models and the mixed-effect model performed similar, if an estimate of the random intercept of the mixed-effect model was used for individual donors to calculate the predicted Hb level. In men, the concordance (c)-statistic ranged from 0.87 to 0.89 and the R(2) ranged from 0.42 to 0.45. In women, the c-statistic ranged from 0.81 to 0.84. Values of R(2) in women were higher for the simple linear models than for the mixed-effect model, 0.37 and 0.40 versus 0.30, respectively. Previous Hb levels could be summarized with one predictor as the mean value of all previous Hb levels. This predictor can be used in an easy-to-use simple linear regression model.</t>
  </si>
  <si>
    <t>Cholesteryl ester transfer protein polymorphisms, statin use, and their impact on cholesterol levels and cardiovascular events.</t>
  </si>
  <si>
    <t>Leusink, M; Onland-Moret, N C; Asselbergs, F W; Ding, B; Kotti, S; van Zuydam, N R; Papp, A C; Danchin, N; Donnelly, L; Morris, A D; Chasman, D I; Doevendans, P A F M; Klungel, O H; Ridker, P M; van Gilst, W H; Simon, T; Nyberg, F; Palmer, C N A; Sadee, W; van der Harst, P; de Bakker, P I W; de Boer, A; Verstuyft, C; Maitland-van der Zee, A H</t>
  </si>
  <si>
    <t>https://pubmed.ncbi.nlm.nih.gov/24080640</t>
  </si>
  <si>
    <t>The association of nonfunctional variants of the cholesteryl ester transfer protein (CETP) with efficacy of statins has been a subject of debate. We evaluated whether three functional CETP variants influence statin efficacy. The effect of CETP genotype on achieved levels of high-density lipoprotein cholesterol (HDLc), low-density lipoprotein cholesterol (LDLc), and total cholesterol during statin treatment was estimated by meta-analysis of the linear regression outcomes of three studies (11,021 individuals). The effect of these single-nucleotide polymorphisms (SNPs) on statin response in protecting against myocardial infarction (MI) was estimated by meta-analysis of statin × SNP interaction terms from logistic regression in five studies (16,570 individuals). The enhancer SNP rs3764261 significantly increased HDLc by 0.02 mmol/l per T allele (P = 6 × 10(-5)) and reduced protection against MI by statins (interaction odds ratio (OR) = 1.19 per T allele; P = 0.04). Focusing on functional CETP variants, we showed that in carriers of the rs3764261 T variant, HDLc increased more during statin treatment, and protection against MI by statins appeared to be reduced as compared with those in noncarriers.</t>
  </si>
  <si>
    <t>Time in bed, sleep quality and associations with cardiometabolic markers in children: the Prevention and Incidence of Asthma and Mite Allergy birth cohort study.</t>
  </si>
  <si>
    <t>Berentzen, Nina E; Smit, Henriëtte A; Bekkers, Marga B M; Brunekreef, Bert; Koppelman, Gerard H; De Jongste, Johan C; Kerkhof, Marjan; Van Rossem, Lenie; Wijga, Alet H</t>
  </si>
  <si>
    <t>https://pubmed.ncbi.nlm.nih.gov/24118590</t>
  </si>
  <si>
    <t>We investigated associations of time in bed and multiple sleep quality characteristics with cardiometabolic markers in children. Data from the prevention and incidence of asthma and mite allergy study, a population-based prospective birth-cohort study started in 1996-1997 in the Netherlands, were analysed. In total 1481 children aged 11-12 years completed a questionnaire (including questions on sleep) and underwent a medical examination. We measured body mass index, waist circumference, total- and high-density lipoprotein cholesterol, blood pressure and glycated haemoglobin. Results showed that in girls, some sleep characteristics were related to anthropometrics (body mass index, waist circumference) and cholesterol. Girls who had a long time in bed (11-12.5 h) had 0.16 lower body mass index z-score (95% confidence interval -0.31; -0.01) and 0.99 cm smaller waist circumference (95% confidence interval -2.01; -0.13) compared with girls who spent 10-10.5 h in bed. Girls who went to bed late and rose early had 0.16 mm higher total cholesterol (95% confidence interval 0.01; 0.31) and 0.08 mm higher high-density lipoprotein cholesterol (95% confidence interval 0.01; 0.14) than 'early to bed/early rise' girls. Girls with night-time awakenings had 0.14 mm higher total cholesterol (95% confidence interval 0.03; 0.25) than girls without night-time awakenings. Girls who felt sleepy/tired ≥1 day per week had 0.10 mm lower high-density lipoprotein cholesterol (95% confidence interval -0.16; -0.04) and 0.17 mm higher total cholesterol/high-density lipoprotein cholesterol ratio (95% confidence interval 0.02; 0.32) than girls who did not feel sleepy. No associations were found for boys. Sleep characteristics were not related to blood pressure and glycated haemoglobin, and effect sizes of the associations in girls were small. Therefore, we consider it premature to propose that improved sleep could reduce cardiovascular risk during childhood.</t>
  </si>
  <si>
    <t>The impact of the HEART risk score in the early assessment of patients with acute chest pain: design of a stepped wedge, cluster randomised trial.</t>
  </si>
  <si>
    <t>Poldervaart, Judith M; Reitsma, Johannes B; Koffijberg, Hendrik; Backus, Barbra E; Six, A Jacob; Doevendans, Pieter A; Hoes, Arno W</t>
  </si>
  <si>
    <t>https://pubmed.ncbi.nlm.nih.gov/24070098</t>
  </si>
  <si>
    <t>Chest pain remains a diagnostic challenge: physicians do not want to miss an acute coronary syndrome (ACS), but, they also wish to avoid unnecessary additional diagnostic procedures. In approximately 75% of the patients presenting with chest pain at the emergency department (ED) there is no underlying cardiac cause. Therefore, diagnostic strategies focus on identifying patients in whom an ACS can be safely ruled out based on findings from history, physical examination and early cardiac marker measurement. The HEART score, a clinical prediction rule, was developed to provide the clinician with a simple, early and reliable predictor of cardiac risk. We set out to quantify the impact of the use of the HEART score in daily practice on patient outcomes and costs. We designed a prospective, multi-centre, stepped wedge, cluster randomised trial. Our aim is to include a total of 6600 unselected chest pain patients presenting at the ED in 10 Dutch hospitals during an 11-month period. All clusters (i.e. hospitals) start with a period of 'usual care' and are randomised in their timing when to switch to 'intervention care'. The latter involves the calculation of the HEART score in each patient to guide clinical decision; notably reassurance and discharge of patients with low scores and intensive monitoring and early intervention in patients with high HEART scores. Primary outcome is occurrence of major adverse cardiac events (MACE), including acute myocardial infarction, revascularisation or death within 6 weeks after presentation. Secondary outcomes include occurrence of MACE in low-risk patients, quality of life, use of health care resources and costs. Stepped wedge designs are increasingly used to evaluate the real-life effectiveness of non-pharmacological interventions because of the following potential advantages: (a) each hospital has both a usual care and an intervention period, therefore, outcomes can be compared within and across hospitals; (b) each hospital will have an intervention period which enhances participation in case of a promising intervention; (c) all hospitals generate data about potential implementation problems. This large impact trial will generate evidence whether the anticipated benefits (in terms of safety and cost-effectiveness) of using the HEART score will indeed be achieved in real-life clinical practice. ClinicalTrials.gov 80-82310-97-12154.</t>
  </si>
  <si>
    <t>The importance of short-term off-target effects in estimating the long-term renal and cardiovascular protection of angiotensin receptor blockers.</t>
  </si>
  <si>
    <t>Smink, P A; Miao, Y; Eijkemans, M J C; Bakker, S J L; Raz, I; Parving, H-H; Hoekman, J; Grobbee, D E; de Zeeuw, D; Lambers Heerspink, H J</t>
  </si>
  <si>
    <t>https://pubmed.ncbi.nlm.nih.gov/24067744</t>
  </si>
  <si>
    <t>Angiotensin receptor blockers (ARBs) have multiple effects that may contribute to their efficacy on renal/cardiovascular outcomes. We developed and validated a risk score that incorporated short-term changes in multiple risk markers to predict the ARB effect on renal/cardiovascular outcomes. The score was used to predict renal/cardiovascular risk at baseline and at month 6 in the ARB treatment arm of the Reduction of Endpoints in NIDDM (noninsulin-dependent diabetes mellitus) with the Angiotensin II Antagonist Losartan (RENAAL) trial. The net risk difference at these time points indicated the estimated long-term renal/cardiovascular treatment effect. Predicted relative risk reductions (RRRs) based on multiple markers were close to observed RRRs for renal (RRR(predicted): 30.1% vs. RRR(observed): 21.8%; P = 0.44) and cardiovascular outcomes (RRR(predicted): 9.4% vs. RRR(observed): 9.2%; P = 0.98), in addition to being markedly more accurate than predicted RRRs based on changes in single markers. The score was validated in an independent ARB trial. Predictions of long-term renal/cardiovascular ARB effects are more accurate when considering short-term changes in multiple risk markers, challenging the use of single markers to establish drug efficacy.</t>
  </si>
  <si>
    <t>Development of methodology for disability-adjusted life years (DALYs) calculation based on real-life data.</t>
  </si>
  <si>
    <t>Struijk, Ellen A; May, Anne M; Beulens, Joline W J; de Wit, G Ardine; Boer, Jolanda M A; Onland-Moret, N Charlotte; van der Schouw, Yvonne T; Bueno-de-Mesquita, H Bas; Hoekstra, Jeljer; Peeters, Petra H M</t>
  </si>
  <si>
    <t>https://pubmed.ncbi.nlm.nih.gov/24073206</t>
  </si>
  <si>
    <t>Disability-Adjusted Life Years (DALYs) have the advantage that effects on total health instead of on a specific disease incidence or mortality can be estimated. Our aim was to address several methodological points related to the computation of DALYs at an individual level in a follow-up study. DALYs were computed for 33,507 men and women aged 20-70 years when participating in the EPIC-NL study in 1993-7. DALYs are the sum of the Years Lost due to Disability (YLD) and the Years of Life Lost (YLL) due to premature mortality. Premature mortality was defined as death before the estimated date of individual Life Expectancy (LE). Different methods to compute LE were compared as well as the effect of different follow-up periods using a two-part model estimating the effect of smoking status on health as an example. During a mean follow-up of 12.4 years, there were 69,245 DALYs due to years lived with a disease or premature death. Current-smokers had lost 1.28 healthy years of their life (1.28 DALYs 95%CI 1.10; 1.46) compared to never-smokers. The outcome varied depending on the method used for estimating LE, completeness of disease and mortality ascertainment and notably the percentage of extinction (duration of follow-up) of the cohort. We conclude that the use of DALYs in a cohort study is an appropriate way to assess total disease burden in relation to a determinant. The outcome is sensitive to the LE calculation method and the follow-up duration of the cohort.</t>
  </si>
  <si>
    <t>Persisting gender differences and attenuating age differences in cardiovascular drug use for prevention and treatment of coronary heart disease, 1998-2010.</t>
  </si>
  <si>
    <t>Koopman, Carla; Vaartjes, Ilonca; Heintjes, Edith M; Spiering, Wilko; van Dis, Ineke; Herings, Ron M C; Bots, Michiel L</t>
  </si>
  <si>
    <t>https://pubmed.ncbi.nlm.nih.gov/24046432</t>
  </si>
  <si>
    <t>Evidence on recent time trends in age-gender differences in cardiovascular drug use is scarce. We studied time trends in age-gender-specific cardiovascular drug use for primary prevention, secondary prevention, and in-hospital treatment of coronary heart disease. The PHARMO database was used for record linkage of drug dispensing, hospitalization, and population data to identify drug use between 1998 and 2010 in 1 203 290 persons ≥25 years eligible for primary prevention, 84 621 persons hospitalized for an acute coronary syndrome (ACS), and 15 651 persons eligible for secondary prevention. The use of cardiovascular drugs increased over time in all three settings. In primary prevention, the proportion of women that used lipid-lowering drugs was lower than men between 2003 and 2010 (5.7 vs. 7.3% in 2010). The higher proportion of women that used blood pressure-lowering drugs for primary prevention, compared with men, attenuated over time (15.1 vs. 13.8% in 2010). During hospital admission for an ACS, the proportion of women that used cardiovascular drugs was lower than men. In secondary prevention (36 months after hospital discharge), drug use was lowest in young women. The proportion receiving lipid-lowering drugs declined after the age of 75 in all three settings. This age difference attenuated over time. Age differences in drug use tended to attenuate over time, whereas gender differences persisted. Areas potentially for improvement are in the hospital treatment of ACS in young women, in secondary prevention among young women and the elderly, and in the continuity of drug use in secondary prevention.</t>
  </si>
  <si>
    <t>Measuring safety culture in Dutch primary care: psychometric characteristics of the SCOPE-PC questionnaire.</t>
  </si>
  <si>
    <t>Verbakel, Natasha J; Zwart, Dorien L M; Langelaan, Maaike; Verheij, Theo J M; Wagner, Cordula</t>
  </si>
  <si>
    <t>https://pubmed.ncbi.nlm.nih.gov/24044750</t>
  </si>
  <si>
    <t>Patient safety has been a priority in primary healthcare in the last years. The prevailing culture is seen as an important condition for patient safety in practice and several tools to measure patient safety culture have therefore been developed. Although Dutch primary care consists of different professions, such as general practice, dental care, dietetics, physiotherapy and midwifery, a safety culture questionnaire was only available for general practices. The purpose of this study was to modify and validate this existing questionnaire to a generic questionnaire for all professions in Dutch primary care. A validated Dutch questionnaire for general practices was modified to make it usable for all Dutch primary care professions. Subsequently, this questionnaire was administered to a random sample of 2400 practices from eleven primary care professions. The instrument's factor structure, reliability and validity were examined using confirmatory and explorative factor analyses. 921 questionnaires were returned. Of these, 615 were eligible for factor analysis. The resulting SCOPE-PC questionnaire consisted of seven dimensions: 'open communication and learning from errors', 'handover and teamwork', 'adequate procedures and working conditions', 'patient safety management', 'support and fellowship', 'intention to report events' and 'organisational learning' with a total of 41 items. All dimensions had good reliability with Cronbach's alphas ranging from 0.70-0.90, and the questionnaire had a good construct validity. The SCOPE-PC questionnaire has sound psychometric characteristics for use by the different professions in Dutch primary care to gain insight in their safety culture.</t>
  </si>
  <si>
    <t>The Consumer Quality Index in an accident and emergency department: internal consistency, validity and discriminative capacity.</t>
  </si>
  <si>
    <t>Bos, Nanne; Sturms, Leontien M; Stellato, Rebecca K; Schrijvers, Augustinus J P; van Stel, Henk F</t>
  </si>
  <si>
    <t>https://pubmed.ncbi.nlm.nih.gov/24102915</t>
  </si>
  <si>
    <t>Patients' experiences are an indicator of health-care performance in the accident and emergency department (A&amp;E). The Consumer Quality Index for the Accident and Emergency department (CQI A&amp;E), a questionnaire to assess the quality of care as experienced by patients, was investigated. The internal consistency, construct validity and discriminative capacity of the questionnaire were examined. In the Netherlands, twenty-one A&amp;Es participated in a cross-sectional survey, covering 4883 patients. The questionnaire consisted of 78 questions. Principal components analysis determined underlying domains. Internal consistency was determined by Cronbach's alpha coefficients, construct validity by Pearson's correlation coefficients and the discriminative capacity by intraclass correlation coefficients and reliability of A&amp;E-level mean scores (G-coefficient). Seven quality domains emerged from the principal components analysis: information before treatment, timeliness, attitude of health-care professionals, professionalism of received care, information during treatment, environment and facilities, and discharge management. Domains were internally consistent (range: 0.67-0.84). Five domains and the 'global quality rating' had the capacity to discriminate among A&amp;Es (significant intraclass correlation coefficient). Four domains and the 'global quality rating' were close to or above the threshold for reliably demonstrating differences among A&amp;Es. The patients' experiences score on the domain timeliness showed the largest range between the worst- and best-performing A&amp;E. The CQI A&amp;E is a validated survey to measure health-care performance in the A&amp;E from patients' perspective. Five domains regarding quality of care aspects and the 'global quality rating' had the capacity to discriminate among A&amp;Es.</t>
  </si>
  <si>
    <t>Do general practitioners follow treatment recommendations from guidelines in their decisions on heart failure management? A cross-sectional study.</t>
  </si>
  <si>
    <t>Swennen, Maartje H J; Rutten, Frans H; Kalkman, Cor J; van der Graaf, Yolanda; Sachs, Alfred P E; van der Heijden, Geert J M G</t>
  </si>
  <si>
    <t>https://pubmed.ncbi.nlm.nih.gov/24041845</t>
  </si>
  <si>
    <t>To investigate whether general practitioners (GPs) follow treatment recommendations from clinical practice guidelines in their decisions on the management of heart failure patients, and assess whether doctors' characteristics are related to their decisions. Cross-sectional vignette study. Continuing Medical Education meeting. 451 Dutch GPs. Answers to four multiple-choice treatment decisions in clinical vignettes of a patient with heart failure and a reduced ejection fraction. With univariable and multivariable regression analyses, respondent characteristics were related to optimal treatment decisions. Of the 451 GPs, none took four optimal decisions: 7% considered stopping statin treatment, 36% initiated β-blocker treatment at a low-dose and 4% doubled the β-blocker in the up-titration phase. Finally, for our vignette patient now also suffering from chronic obstructive pulmonary disease, 45% of the GPs continued β-blocker therapy even when they considered prescribing a long-acting β2-agonist. While the relation between respondent characteristics and each decision was very different, none was independently associated with all four decisions. Giving priority to evidence-based medicine was independently related to stopping statin treatment and doubling the β-blocker in the up-titration phase. GPs seem not to follow treatment recommendations from clinical practice guidelines in their decisions on the management of heart failure patients. The recommendations from guidelines may appear counterintuitive when statin treatment needs to be stopped when a patient feels comfortable, or when a β-blocker should be up-titrated in patients who experience more symptoms. Giving priority to evidence-based medicine is possibly positively related to difficult treatment decisions.</t>
  </si>
  <si>
    <t>Sex disparities in acute myocardial infarction incidence: do ethnic minority groups differ from the majority population?</t>
  </si>
  <si>
    <t>van Oeffelen, Aloysia A M; Vaartjes, Ilonca; Stronks, Karien; Bots, Michiel L; Agyemang, Charles</t>
  </si>
  <si>
    <t>https://pubmed.ncbi.nlm.nih.gov/24008315</t>
  </si>
  <si>
    <t>The incidence of acute myocardial infarction (AMI) in men exceeds that in women. The extent of this sex disparity varies widely between countries. Variations may also exist between ethnic minority groups and the majority population, but scientific evidence is lacking. A nationwide register-based cohort study was conducted (n = 7,601,785) between 1997 and 2007. Cox Proportional Hazard Models were used to estimate sex disparities in AMI incidence within the Dutch majority population and within ethnic minority groups, stratified by age (30-54, 55-64, ≥65 years). AMI incidence was higher in men than in women in all groups under study. Compared with the majority population (hazard ratio (HR): 2.23; 95% confidence interval (95% CI): 2.21-2.25), sex disparities were similar among minorities originating from the immediate surrounding countries (Belgium, Germany), whereas they were greater in most other minority groups. Most pronounced results were found among minorities from Morocco (HR: 3.48; 95% CI: 2.48-4.88), South Asia (HR: 3.92; 95% CI: 2.45-6.26) and Turkey (HR: 3.98; 95% CI: 3.51-4.51). Sex disparity differences were predominantly evident in those below 55 years of age, and were mainly provoked by a higher AMI incidence in ethnic minority men compared with men belonging to the Dutch majority population. Sex disparities in AMI incidence clearly varied between ethnic minorities and the Dutch majority population. Health prevention strategies may first target at a reduction of AMI incidence in young ethnic minority men, especially those originating from Turkey and South Asia. Furthermore, an increase in AMI incidence in their female counterparts should be prevented.</t>
  </si>
  <si>
    <t>Prognostic factors of early metastasis and mortality in dogs with appendicular osteosarcoma after receiving surgery: an individual patient data meta-analysis.</t>
  </si>
  <si>
    <t>Schmidt, A F; Nielen, M; Klungel, O H; Hoes, A W; de Boer, A; Groenwold, R H H; Kirpensteijn, J; ,</t>
  </si>
  <si>
    <t>https://pubmed.ncbi.nlm.nih.gov/24054333</t>
  </si>
  <si>
    <t>Recently an aggregated data meta-analysis showed that serum alkaline phosphatase (SALP) and proximal humerus location are predictors for shorter survival in canine osteosarcoma. To identify additional prognostic factors of mortality and metastasis an individual patient data meta-analysis (IPDMA) was conducted. Individual patient data from 20 studies, identified via the VSSO society, were pooled. Univariable and multivariable hazard ratios (HR) for metastasis and mortality were assessed, using stratified Cox models. The study included 1405 dogs who received surgical treatment, of which the metastasis status was measured in 1155 dogs and mortality status in 1336 dogs; median survival was 256 days. High versus normal SALP and weight (kg) were associated with an increase in hazard of metastasis [HR 1.34 (95%CI 1.07; 1.68) and HR 1.02 (per kg increase) (95%CI 1.01; 1.03)] and for mortality [HR 1.43 (95%CI 1.16; 1.77) and HR 1.02 (95%CI 1.01; 1.02)]. Distal radius tumor was associated with a lower hazard of metastasis compared to other locations: HR 0.75 (95%CI 0.58; 0.96). Proximal humerus and distal femur or proximal tibia location were related with an increased mortality: HR 1.53 (95%CI 1.26; 1.84) and HR 1.23 (95%CI 1.01; 1.49) compared to other locations. Older age (years) was associated with a higher hazard for mortality [HR 1.06 per year (95%CI 1.03; 1.09)] but not for metastasis: HR 1.03 (95%CI 0.99; 1.06). These results confirm findings from a recent aggregated data meta-analysis and (in addition) showed that tumor location, SALP, weight were prognostic factors for both mortality and metastasis. Age was a prognostic factor for mortality but not for metastasis.</t>
  </si>
  <si>
    <t>Doctors' perceptions and use of evidence-based medicine: a systematic review and thematic synthesis of qualitative studies.</t>
  </si>
  <si>
    <t>Swennen, Maartje H J; van der Heijden, Geert J M G; Boeije, Hennie R; van Rheenen, Nanda; Verheul, Floor J M; van der Graaf, Yolanda; Kalkman, Cor J</t>
  </si>
  <si>
    <t>https://pubmed.ncbi.nlm.nih.gov/23887011</t>
  </si>
  <si>
    <t>Many primary qualitative studies of barriers and facilitators for doctors' use of evidence-based medicine (EBM) are available, but knowledge remains fragmented. This study sought to synthesize the results of these qualitative studies, taking the variability across context (i.e., medical disciplines, career stages, practice settings, and time of study) into account. The authors searched PubMed through April 26, 2012, and independently selected studies according to prespecified criteria for relevance and methodological quality. Additionally, they performed a thematic synthesis through line-by-line interpretation, coding, and thematic arrangement of information. The search resulted in 1,211 publications, of which 30 studies were included. Five major themes emerged on barriers and facilitators for doctors' use of EBM: individual mind-set, professional group norms, EBM competencies, balance between confidence and critical reflection, and managerial collaboration. The authors found particular barriers and facilitators across career stages. Although clinical experience and professional status were perceived to be helpful, they could also prevent doctors from identifying information needs and adopting new evidence. Although residents' lack of clinical experience raised awareness of information needs, residents perceived lack of clinical experience and their hierarchical dependence on staff as barriers to articulating information needs and to translating and introducing evidence to patient care. Encouragement of group norms for safe communication and shared learning across career stages is perceived as the most prominent facilitator for EBM.</t>
  </si>
  <si>
    <t>Cluster randomized, controlled trial on patient safety improvement in general practice: a study protocol.</t>
  </si>
  <si>
    <t>https://pubmed.ncbi.nlm.nih.gov/23984840</t>
  </si>
  <si>
    <t>An open, constructive safety culture is key in healthcare since it is seen as a main condition for patient safety. Studies have examined culture improvement strategies in hospitals. In primary care, however, not much is known about effective strategies to improve the safety culture yet. The purpose of this study is to examine the effect of two patient safety culture interventions: a patient safety culture questionnaire solely, the SCOPE, or the SCOPE questionnaire combined with a patient safety workshop. The purpose of this paper is to describe the rationale and design of this trial. The SCOPE Intervention Study is a cluster randomized, three-armed controlled trial, that will be conducted in 30 general practices in the Netherlands. Ten practices in the first intervention arm will complete the SCOPE questionnaire and are expected to draw and implement their own improvement initiatives based on a computerised feedback report. In the second intervention arm, staff of the ten practices also will be asked to complete the SCOPE questionnaire and in addition will be given a complementary workshop. This workshop is theoretical and interactive, educating staff and facilitating discussion, leading to a practice specific action plan for patient safety improvement. The results of the SCOPE questionnaire are incorporated in the workshop. The ten practices in the control arm continue care as usual. Baseline and follow-up measurements will be conducted with an implementation period of one year. The primary outcome will include the number of incidents reported and secondary several quality and safety indicators and the patient safety culture. Moreover, interviews will be conducted at follow-up to evaluate the implementation process of the intervention. Results of this study will give insight in the effect of administering a culture questionnaire or the questionnaire with a complementary workshop. This knowledge will aid implementation of patient safety tools and future research. Attention has been given to the strengths and limitations of the study. Netherlands Trial Register: NTR3277.</t>
  </si>
  <si>
    <t>Circulating species of matrix Gla protein and the risk of vascular calcification in healthy women.</t>
  </si>
  <si>
    <t>Dalmeijer, Geertje W; van der Schouw, Yvonne T; Magdeleyns, Elke J; Vermeer, Cees; Elias, Sjoerd G; Velthuis, Birgitta K; de Jong, Pim A; Beulens, Joline W J</t>
  </si>
  <si>
    <t>https://pubmed.ncbi.nlm.nih.gov/24029658</t>
  </si>
  <si>
    <t>Incidence of acute myocardial infarction in first and second generation minority groups: does the second generation converge towards the majority population?</t>
  </si>
  <si>
    <t>van Oeffelen, A A M; Vaartjes, I; Stronks, K; Bots, M L; Agyemang, C</t>
  </si>
  <si>
    <t>https://pubmed.ncbi.nlm.nih.gov/24035066</t>
  </si>
  <si>
    <t>Differences in acute myocardial infarction (AMI) incidence between ethnic minority and migrant groups (henceforth, minority groups) and the majority population have been reported. Health differences may converge towards the majority population over generations. We assessed whether AMI incidence differences between minority groups living in the Netherlands and the Dutch majority population exist, and whether the incidence converges towards the majority population over generations. A nationwide register-based cohort study was conducted from 1997 to 2007. Using Cox Proportional Hazard Models AMI incidence differences between minorities and the majority population were estimated. When possible, analyses were stratified by generation. AMI incidence differences between minorities and the majority population depended on the country of origin, and often varied between minorities originating from the same geographical region. For example, among North African and Mediterranean minorities, incidence was higher in Turkish (Hazard Ratio (HR): 1.34; 95% Confidence Interval (95% CI): 1.28-1.41), but lower in Moroccans (HR: 0.46; 95% CI: 0.40-0.52) compared with the majority population. Most minorities had a similar or lower incidence than the majority population, which remained similar or converged towards the incidence of the majority population over generations. In contrast, among minorities from the former Dutch colonies (Suriname, Indonesia, Netherlands Antilles) beneficial intergenerational changes were observed. Health care professionals and policy makers should be aware of substantial AMI incidence differences between minority groups and the majority population, and the often unbeneficial change over generations. Future research should be cautious when clustering minority groups based on geographical region of the country of origin.</t>
  </si>
  <si>
    <t>Smoking as a risk factor for stroke in women compared with men: a systematic review and meta-analysis of 81 cohorts, including 3,980,359 individuals and 42,401 strokes.</t>
  </si>
  <si>
    <t>https://pubmed.ncbi.nlm.nih.gov/23970792</t>
  </si>
  <si>
    <t>It is currently unknown whether the excess risk of stroke by smoking is the same for women and men. We performed a systematic review and meta-analysis to estimate the effect of smoking on stroke in women compared with men. PubMed MEDLINE was systematically searched for prospective population-based cohort studies published between January 1, 1966, and January 26, 2013. Studies that presented sex-specific estimates of the relative risk of stroke comparing current smoking with nonsmoking and its associated variability were selected. The sex-specific relative risks and their ratio (RRR), comparing women with men, were pooled using random-effects meta-analysis with inverse variance weighting. Similarly, the RRR for former versus never smoking was pooled. Data from 81 prospective cohort studies that included 3,980,359 individuals and 42,401 strokes were available. Smoking was an independent risk factor for stroke in both sexes. Overall, the pooled multiple-adjusted RRR indicated a similar risk of stroke associated with smoking in women compared with men (RRR, 1.06 [95% confidence interval, 0.99-1.13]). In a regional analysis, there was evidence of a more harmful effect of smoking in women than in men in Western (RRR, 1.10 [1.02-1.18)] but not in Asian (RRR, 0.97 [0.87-1.09]) populations. Compared with never-smokers, the beneficial effects of quitting smoking among former smokers on stroke risk were similar between the sexes (RRR, 1.10 [0.99-1.22]). Compared with nonsmokers, the excess risk of stroke is at least as great among women who smoke compared with men who smoke.</t>
  </si>
  <si>
    <t>Effect of early intensive multifactorial therapy compared with routine care on self-reported health status, general well-being, diabetes-specific quality of life and treatment satisfaction in screen-detected type 2 diabetes mellitus patients (ADDITION-Europe): a cluster-randomised trial.</t>
  </si>
  <si>
    <t>Van den Donk, Maureen; Griffin, Simon J; Stellato, Rebecca K; Simmons, Rebecca K; Sandbæk, Annelli; Lauritzen, Torsten; Khunti, Kamlesh; Davies, Melanie J; Borch-Johnsen, Knut; Wareham, Nicholas J; Rutten, Guy E H M</t>
  </si>
  <si>
    <t>https://pubmed.ncbi.nlm.nih.gov/23959571</t>
  </si>
  <si>
    <t>The study aimed to examine the effects of intensive treatment (IT) vs routine care (RC) on patient-reported outcomes after 5 years in screen-detected diabetic patients. In a pragmatic, cluster-randomised, parallel-group trial, 343 general practices in Denmark, Cambridge and Leicester (UK) and the Netherlands were randomised to screening for type 2 diabetes mellitus plus IT of multiple risk factors in people 40-69 years without known diabetes (n = 1,678 patients) or screening plus RC (n = 1,379 patients). Practices were randomised in a 1:1 ratio according to a computer-generated list. Diabetes mellitus was diagnosed according to WHO criteria. Exclusions were: life expectancy &lt;1 year, housebound, pregnant or lactating, or psychological or psychiatric problems. Treatment targets for IT were: HbA&lt;sub&gt;1c&lt;/sub&gt; &lt;7.0% (53 mmol/mol), BP ≤135/85 mmHg, cholesterol &lt;5 mmol/l in the absence of a history of coronary heart disease and &lt;4.5 mmol/l in patients with cardiovascular (CV) disease; prescription of aspirin to people taking antihypertensive medication and, in cases of CV disease or BP &gt;120/80 mmHg, ACE inhibitors were recommended. After 2003, the treatment algorithm recommended statins to all patients with cholesterol of ≥3.5 mmol/l. Outcome measures were: health status (Euroqol 5 Dimensions [EQ-5D]) at baseline and at follow-up; and health status (36-item Short Form Health Survey [SF-36] and Euroquol Visual Analogue Scale [EQ-VAS]), well-being (12-item Short Form of the Well-Being Questionnaire), diabetes-specific quality of life (Audit of Diabetes-Dependent Quality of Life) and satisfaction with diabetes treatment (Diabetes Treatment Satisfaction Questionnaire) at follow-up. At baseline, standardised self-report questionnaires were used to collect information. Questionnaires were completed at the same health assessment visit as the anthropometric and biochemical measurements. The patients and the staff assessing the outcomes were unaware of the group assignments. Participants were followed for a mean of 5.7 years. Outcome data were available for 1,250 participants in the intensive treatment group (74%) and 967 participants in the routine care group (70%). The estimated differences in means from the four centres were pooled using random effects meta-analysis. Baseline EQ-5D level was used as a covariate in all analyses. EQ-5D values did not change between diagnosis and follow-up, with a median (interquartile range) of 0.85 (0.73-1.00) at baseline and 0.85 (0.73-1.00) at 5 year follow-up. Health status, well-being, diabetes-specific quality of life and treatment satisfaction did not differ between the intensive treatment and routine care groups. There was some heterogeneity between centres (I &lt;sup&gt;2&lt;/sup&gt; being between 13% [SF-36 physical functioning] and 73% [EQ-VAS]). There were no differences in health status, well-being, quality of life and treatment satisfaction between screen-detected type 2 diabetes mellitus patients receiving intensive treatment and those receiving routine care. These results suggest that intensive treatment does not adversely affect patient-reported outcomes. ClinicalTrials.gov NCT00237549 FUNDING: ADDITION-Denmark was supported by the National Health Services, the Danish Council for Strategic Research, the Danish Research Foundation for General Practice, Novo Nordisk Foundation, the Danish Centre for Evaluation and Health Technology Assessment, the Diabetes Fund of the National Board of Health, the Danish Medical Research Council and the Aarhus University Research Foundation. In addition, unrestricted grants from pharmaceutical companies were received. ADDITION-Cambridge was supported by the Wellcome Trust, the Medical Research Council, the NIHR Health Technology Assessment Programme, National Health Service R&amp;D support funding and the National Institute for Health Research. SJG received support from the Department of Health NIHR grant funding scheme. ADDITION-Leicester was supported by Department of Health, the NIHR Health Technology Assessment Programme, National Health Service R&amp;D support funding and the National Institute for Health Research. ADDITION-Netherlands was supported by unrestricted grants from Novo Nordisk, Glaxo Smith Kline and Merck, and by the Julius Center for Health Sciences and Primary Care, University Medical Center, Utrecht.</t>
  </si>
  <si>
    <t>Point-of-care tests in suspected acute myocardial infarction: a systematic review.</t>
  </si>
  <si>
    <t>Bruins Slot, Madeleine H E; van der Heijden, Geert J M G; Stelpstra, Saskia D; Hoes, Arno W; Rutten, Frans H</t>
  </si>
  <si>
    <t>https://pubmed.ncbi.nlm.nih.gov/24001699</t>
  </si>
  <si>
    <t>A review of cardiac point-of-care (POC) tests used to detect or exclude acute myocardial infarction (AMI) with a focus on test performance within 6 hours after the start of symptoms. A systematic review of articles on the diagnostic accuracy of point of care (POC) tests in patients suspected of AMI from the PubMed database from January 1st 1990 to December 1st 2012. Our search yielded 42 studies evaluating POC tests. Troponin (Tn) was investigated in 29 studies, and creatine kinase-myocardial band isoenzyme (CK-MB), myoglobin, and heart-type fatty acid-binding protein (H-FABP) each in 13 studies. Eight studies used a multimarker approach. In 14 studies results were presented or could be recalculated for test results within 6 hours of symptom onset or with a median time from symptoms onset to testing of 3 hours. In this time frame the negative predictive value (NPV) ranged from 31 to 97% with single testing, and from 59 to 100% with a multi-marker approach. Just one study satisfied to all items used for methods appraisal. The ideal POC test for the diagnosis of AMI within 6 hours after the onset of symptoms does not yet exist. Evaluated POC tests were in general of poor methodological quality and reported too many false negatives to be considered as save for the assessment of patients suspected of AMI. A POC test of high-sensitive troponin could possibly fill the gap in the early hours after symptom onset, especially in those with non-definitive electrocardiography.</t>
  </si>
  <si>
    <t>Improved luminosity determination in &lt;i&gt;pp&lt;/i&gt; collisions at [Formula: see text] using the ATLAS detector at the LHC.</t>
  </si>
  <si>
    <t>,;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 Dos Santos, S P; Amorim, A; Amram, N; Anastopoulos, C; Ancu, L S; Andari, N; Andeen, T; Anders, C F; Anders, G; Anderson, K J; Andreazza, A; Andrei, V; Andrieux, M-L; Anduaga, X S; Anger, P; A</t>
  </si>
  <si>
    <t>https://pubmed.ncbi.nlm.nih.gov/25814867</t>
  </si>
  <si>
    <t>The luminosity calibration for the ATLAS detector at the LHC during &lt;i&gt;pp&lt;/i&gt; collisions at [Formula: see text] in 2010 and 2011 is presented. Evaluation of the luminosity scale is performed using several luminosity-sensitive detectors, and comparisons are made of the long-term stability and accuracy of this calibration applied to the &lt;i&gt;pp&lt;/i&gt; collisions at [Formula: see text]. A luminosity uncertainty of [Formula: see text] is obtained for the 47 pb&lt;sup&gt;-1&lt;/sup&gt; of data delivered to ATLAS in 2010, and an uncertainty of [Formula: see text] is obtained for the 5.5 fb&lt;sup&gt;-1&lt;/sup&gt; delivered in 2011.</t>
  </si>
  <si>
    <t>Cost-effectiveness of surgical decompression for space-occupying hemispheric infarction.</t>
  </si>
  <si>
    <t>Hofmeijer, Jeannette; van der Worp, H Bart; Kappelle, L Jaap; Eshuis, Sara; Algra, Ale; Greving, Jacoba P; ,</t>
  </si>
  <si>
    <t>https://pubmed.ncbi.nlm.nih.gov/23943217</t>
  </si>
  <si>
    <t>Surgical decompression reduces mortality and increases the probability of a favorable functional outcome after space-occupying hemispheric infarction. Its cost-effectiveness is uncertain. We assessed clinical outcomes, costs, and cost-effectiveness for the first 3 years in patients who were randomized to surgical decompression or best medical treatment within 48 hours after symptom onset in the Hemicraniectomy After Middle Cerebral Artery Infarction With Life-Threatening Edema Trial (HAMLET). Data on medical consumption were derived from case record files, hospital charts, and general practitioners. We calculated costs per quality-adjusted life year (QALY). Uncertainty was assessed with bootstrapping. A Markov model was constructed to estimate costs and health outcomes after 3 years. Of 39 patients enrolled within 48 hours, 21 were randomized to surgical decompression. After 3 years, 5 surgical (24%) and 14 medical patients (78%) had died. In the first 3 years after enrollment, operated patients had more QALYs than medically treated patients (mean difference, 1.0 QALY [95% confidence interval, 0.6-1.4]), but at higher costs (mean difference, €127,000 [95% confidence interval, 73,100-181,000]), indicating incremental costs of €127,000 per QALY gained. Ninety-eight percent of incremental cost-effectiveness ratios replicated by bootstrapping were &gt;€80,000 per QALY gained. Markov modeling suggested costs of ≈€60,000 per QALY gained for a patient's lifetime. Surgical decompression for space-occupying infarction results in an increase in QALYs, but at very high costs. http://www.controlled-trials.com. Unique identifier: ISRCTN94237756.</t>
  </si>
  <si>
    <t>Downward trends in acute myocardial infarction incidence: how do migrants fare with the majority population? Results from a nationwide study.</t>
  </si>
  <si>
    <t>van Oeffelen, Aam; Agyemang, C; Koopman, C; Stronks, K; Bots, Ml; Vaartjes, I</t>
  </si>
  <si>
    <t>https://pubmed.ncbi.nlm.nih.gov/23928569</t>
  </si>
  <si>
    <t>In previous decades, a steep decline in acute myocardial infarction (AMI) incidence occurred in Western countries. We assessed whether this decline was also present in migrant groups living in the Netherlands. Nationwide registers were linked between 1998 and 2007. Poisson regression analyses were used to calculate the biannual percentage change in AMI incidence within major non-Western migrant groups, and the differences in these changes with the Dutch majority population. Within the Dutch majority population, AMI incidence significantly declined in men (-12%) and women (-9.5%). Incidence also declined among most migrant groups under study, ranging from -12 to -4.0% in men, and from -16 to -9.5% in women. Only in Turkish women and Moroccan men the AMI incidence remained stable over time (-0.3 and 2.8%, respectively). There were no statistically significant trend differences between the Dutch majority population and the migrant groups under study. The higher AMI incidence in Turkish men and Surinamese men and women, and the lower AMI incidence in Moroccan men persisted over time. There was a declining AMI incidence rate within the Dutch majority population as well as within most of the major migrant groups living in the Netherlands, except in Turkish women and Moroccan men. Trend patterns among migrant groups did not significantly differ from the Dutch majority population. To reduce ethnic inequalities, primary preventive strategies should be targeted at those migrant groups with a persisting higher incidence.</t>
  </si>
  <si>
    <t>Factor Xa inhibitors: a step forward in the treatment of atrial fibrillation?</t>
  </si>
  <si>
    <t>Algra, Ale</t>
  </si>
  <si>
    <t>https://pubmed.ncbi.nlm.nih.gov/24156099</t>
  </si>
  <si>
    <t>Adherence to the WHO's healthy diet indicator and overall cancer risk in the EPIC-NL cohort.</t>
  </si>
  <si>
    <t>Berentzen, Nina E; Beulens, Joline W; Hoevenaar-Blom, Marieke P; Kampman, Ellen; Bueno-de-Mesquita, H Bas; Romaguera-Bosch, Dora; Peeters, Petra H M; May, Anne M</t>
  </si>
  <si>
    <t>https://pubmed.ncbi.nlm.nih.gov/23950954</t>
  </si>
  <si>
    <t>A healthy dietary pattern defined by international recommendations of the World Health Organisation (WHO) has been shown to reduce overall mortality risk. It is unknown whether this healthy dietary pattern is associated with overall cancer incidence. In total 35,355 men and women within the Dutch European Prospective Investigation into Cancer and Nutrition-cohort were followed for cancer occurrence. Diet was assessed through a validated food-frequency questionnaire. We computed a dietary score for all participants based on the seven WHO dietary guidelines for the prevention of chronic diseases (Healthy Diet Indicator (HDI)). We used the existing HDI score based on the 1990 WHO guidelines, and adapted it to meet with the 2002 WHO guidelines. Multivariate-adjusted Cox proportional hazards analysis was used to examine the association between adherence to the HDI and subsequent overall cancer risk. A number of 3,007 new cancers were identified during a mean follow-up of 12.7 years. Adherence to the HDI was not associated with a reduced overall cancer risk. The hazard ratio (HR) of overall cancer associated with a one-point increment of the HDI was 0.96 (95% CI 0.89-1.03) in men, and 1.00 (95% CI 0.96-1.04) in women. Adherence to the HDI was not associated with smoking-related cancer ((HR men: 0.94 (95% CI 0.84-1.04); HR women: 1.00 (95% CI 0.94-1.07)), or alcohol-related cancer ((HR men: 1.02 (95% CI 0.87-1.20); HR women: 1.03 (95% CI 0.98-1.08)). Greater adherence to the WHO's Healthy Diet Indicator, a dietary pattern for prevention of chronic diseases, was not associated with reduced overall, smoking-related or alcohol-related cancer risk in men or women.</t>
  </si>
  <si>
    <t>Vascular brain lesions, brain atrophy, and cognitive decline. The Second Manifestations of ARTerial disease--Magnetic Resonance (SMART-MR) study.</t>
  </si>
  <si>
    <t>Kooistra, Minke; Geerlings, Mirjam I; van der Graaf, Yolanda; Mali, Willem P T M; Vincken, Koen L; Kappelle, L Jaap; Muller, Majon; Biessels, Geert Jan; ,</t>
  </si>
  <si>
    <t>https://pubmed.ncbi.nlm.nih.gov/23932882</t>
  </si>
  <si>
    <t>We examined the association between brain atrophy and vascular brain lesions (i.e., white matter lesions [WMLs] or brain infarcts), alone or in combination, with decline in memory and executive functioning over 4 years of follow-up in 448 patients (57 ± 9.5 years) with symptomatic atherosclerotic disease from the Second Manifestations of ARTerial disease--Magnetic Resonance SMART-MR study. Automated brain segmentation was used to quantify volumes of total brain, ventricles, cortical gray matter, and WMLs on 1.5-T magnetic resonance imaging (MRI). Brain infarcts were rated visually. WML volume was associated with significant decline in z score of executive functioning. No independent associations between MRI measures and memory decline were found. Significant declines in z scores of memory performance and of executive functioning were observed in patients with a combination of severe atrophy (upper quartile) and most vascular brain lesions (upper quartile) compared with those with minimal atrophy (lowest quartile) and fewest vascular brain lesions (lowest quartile). Our findings suggest that in patients with symptomatic atherosclerotic disease, the combination of brain atrophy and WMLs or brain infarcts accelerates cognitive decline over 4 years.</t>
  </si>
  <si>
    <t>Evaluating diagnostic accuracy in the face of multiple reference standards.</t>
  </si>
  <si>
    <t>Naaktgeboren, Christiana A; de Groot, Joris A H; van Smeden, Maarten; Moons, Karel G M; Reitsma, Johannes B</t>
  </si>
  <si>
    <t>https://pubmed.ncbi.nlm.nih.gov/23922065</t>
  </si>
  <si>
    <t>A universal challenge in studies that quantify the accuracy of diagnostic tests is establishing whether each participant has the disease of interest. Ideally, the same preferred reference standard would be used for all participants; however, for practical or ethical reasons, alternative reference standards that are often less accurate are frequently used instead. The use of different reference standards across participants in a single study is known as differential verification.Differential verification can cause severely biased accuracy estimates of the test or model being studied. Many variations of differential verification exist, but not all introduce the same risk of bias. A risk-of-bias assessment requires detailed information about which participants receive which reference standards and an estimate of the accuracy of the alternative reference standard. This article classifies types of differential verification and explores how they can lead to bias. It also provides guidance on how to report results and assess the risk of bias when differential verification occurs and highlights potential ways to correct for the bias.</t>
  </si>
  <si>
    <t>External validation of the secondary intracerebral hemorrhage score in The Netherlands.</t>
  </si>
  <si>
    <t>van Asch, Charlotte J J; Velthuis, Birgitta K; Greving, Jacoba P; van Laar, Peter Jan; Rinkel, Gabriël J E; Algra, Ale; Klijn, Catharina J M</t>
  </si>
  <si>
    <t>https://pubmed.ncbi.nlm.nih.gov/23920015</t>
  </si>
  <si>
    <t>We aimed to validate externally in a setting outside the United States the secondary intracerebral hemorrhage (ICH) score that was developed to predict the probability of macrovascular causes in patients with nontraumatic ICH. Patients with nontraumatic ICH admitted to the University Medical Center Utrecht, the Netherlands, between 2003 and 2011 were included if an angiographic examination, neurosurgical inspection, or pathological examination had been performed. Secondary ICH score performance was assessed by calibration (agreement between predicted and observed outcomes) and discrimination (separation of those with and without macrovascular cause). Forty-eight of 204 patients (23.5%) had a macrovascular cause. The secondary ICH score showed modest calibration (P=0.06) and modest discriminative ability (c-statistic 0.73; 95% confidence interval, 0.65-0.80). Discrimination improved slightly using only noncontrast computed tomography categorization (c-statistic 0.79; 95% confidence interval, 0.72-0.86). The discriminative ability and calibration of the secondary ICH score are moderate in a university hospital setting outside the United States. Clues on noncontrast computed tomography are the strongest predictor of a macrovascular cause in patients with ICH.</t>
  </si>
  <si>
    <t>Intra and interobserver reliability and agreement of semiquantitative vertebral fracture assessment on chest computed tomography.</t>
  </si>
  <si>
    <t>Buckens, Constantinus F; de Jong, Pim A; Mol, Christian; Bakker, Eric; Stallman, Hein P; Mali, Willem P; van der Graaf, Yolanda; Verkooijen, Helena M</t>
  </si>
  <si>
    <t>https://pubmed.ncbi.nlm.nih.gov/23940719</t>
  </si>
  <si>
    <t>To evaluate the reliability of semiquantitative Vertebral Fracture Assessment (VFA) on chest Computed Tomography (CT). Four observers performed VFA twice upon sagittal reconstructions of 50 routine clinical chest CTs. Intra- and interobserver agreement (absolute agreement or 95% Limits of Agreement) and reliability (Cohen's kappa or intraclass correlation coefficient(ICC)) were calculated for the visual VFA measures (fracture present, worst fracture grade, cumulative fracture grade on patient level) and for percentage height loss of each fractured vertebra compared to the adjacent vertebrae. Observers classified 24-38% patients as having at least one vertebral fracture, giving rise to kappa's of 0.73-0.84 (intraobserver) and 0.56-0.81 (interobserver). For worst fracture grade we found good intraobserver (76-88%) and interobserver (74-88%) agreement, and excellent reliability with square-weighted kappa's of 0.84-0.90 (intraobserver) and 0.84-0.94 (interobserver). For cumulative fracture grade the 95% Limits of Agreement were maximally ±1,99 (intraobserver) and ±2,69 (interobserver) and the reliability (ICC) varied from 0.84-0.94 (intraobserver) and 0.74-0.94 (interobserver). For percentage height-loss on a vertebral level the 95% Limits of Agreement were maximally ±11,75% (intraobserver) and ±12,53% (interobserver). The ICC was 0.59-0.90 (intraobserver) and 0.53-0-82 (interobserver). Further investigation is needed to evaluate the prognostic value of this approach. In conclusion, these results demonstrate acceptable reproducibility of VFA on CT.</t>
  </si>
  <si>
    <t>Measurement of the inclusive jet cross-section in &lt;i&gt;pp&lt;/i&gt; collisions at [Formula: see text] and comparison to the inclusive jet cross-section at [Formula: see text] using the ATLAS detector.</t>
  </si>
  <si>
    <t>https://pubmed.ncbi.nlm.nih.gov/25904819</t>
  </si>
  <si>
    <t>The inclusive jet cross-section has been measured in proton-proton collisions at [Formula: see text] in a dataset corresponding to an integrated luminosity of [Formula: see text] collected with the ATLAS detector at the Large Hadron Collider in 2011. Jets are identified using the anti-&lt;i&gt;k&lt;/i&gt;&lt;sub&gt;&lt;i&gt;t&lt;/i&gt;&lt;/sub&gt; algorithm with two radius parameters of 0.4 and 0.6. The inclusive jet double-differential cross-section is presented as a function of the jet transverse momentum &lt;i&gt;p&lt;/i&gt;&lt;sub&gt;T&lt;/sub&gt; and jet rapidity &lt;i&gt;y&lt;/i&gt;, covering a range of 20≤&lt;i&gt;p&lt;/i&gt;&lt;sub&gt;T&lt;/sub&gt;&lt;430 GeV and |&lt;i&gt;y&lt;/i&gt;|&lt;4.4. The ratio of the cross-section to the inclusive jet cross-section measurement at [Formula: see text], published by the ATLAS Collaboration, is calculated as a function of both transverse momentum and the dimensionless quantity [Formula: see text], in bins of jet rapidity. The systematic uncertainties on the ratios are significantly reduced due to the cancellation of correlated uncertainties in the two measurements. Results are compared to the prediction from next-to-leading order perturbative QCD calculations corrected for non-perturbative effects, and next-to-leading order Monte Carlo simulation. Furthermore, the ATLAS jet cross-section measurements at [Formula: see text] and [Formula: see text] are analysed within a framework of next-to-leading order perturbative QCD calculations to determine parton distribution functions of the proton, taking into account the correlations between the measurements.</t>
  </si>
  <si>
    <t>Blood pressure and progression of brain atrophy: the SMART-MR Study.</t>
  </si>
  <si>
    <t>Jochemsen, Hadassa M; Muller, Majon; Visseren, Frank L; Scheltens, Philip; Vincken, Koen L; Mali, Willem P; van der Graaf, Yolanda; Geerlings, Mirjam I; ,</t>
  </si>
  <si>
    <t>https://pubmed.ncbi.nlm.nih.gov/23753860</t>
  </si>
  <si>
    <t>Studies have shown that both high and low blood pressure (BP) may play a role in the etiology of brain atrophy. High BP in midlife has been associated with more brain atrophy later in life, whereas studies in older populations have shown a relation between low BP and more brain atrophy. Yet, prospective evidence is limited, and the relation remains unclear in patients with manifest arterial disease. To examine the associations of baseline BP and change in BP over time with progression of brain atrophy. The Secondary Manifestations of ARTerial disease-Magnetic Resonance (SMART-MR) Study is a prospective cohort study with baseline measurements in 2001-2005 and follow-up measurements in 2006-2009. The mean follow-up time was 3.9 years. University Medical Center Utrecht, the Netherlands. A total of 663 patients (mean [SD] age, 57 [9] years; 81% male) with coronary artery disease, cerebrovascular disease, peripheral artery disease, or abdominal aortic aneurysm were included. Using automated segmentation at baseline and follow-up, change in brain parenchymal fraction, cortical gray matter fraction, and ventricular fraction (%ICV) were quantified as indicators of progression of global, cortical, and subcortical brain atrophy. Multivariable adjusted regression analysis showed that patients with lower baseline diastolic BP (DBP) or mean arterial pressure had more progression of subcortical atrophy. The mean differences in the change in ventricular fraction between low and high DBP was 0.07% (95% CI, 0.01-0.14) and between low and high mean arterial pressure was 0.05% (95% CI, 0.00-0.10). Furthermore, in patients with higher baseline BP (DBP, mean arterial pressure, or systolic BP), those with declining BP levels over time had less progression of subcortical atrophy compared with those with rising BP levels. In patients with manifest arterial disease, low baseline DBP was associated with more progression of subcortical atrophy, irrespective of the BP course during follow-up. Furthermore, in patients with higher baseline BP, declining BP levels over time were associated with less progression of subcortical atrophy. This could imply that BP lowering is beneficial in patients with higher BP levels, but caution should be taken with further BP lowering in patients who already have a low DBP.</t>
  </si>
  <si>
    <t>Secretory phospholipase A(2)-IIA and cardiovascular disease: a mendelian randomization study.</t>
  </si>
  <si>
    <t>Holmes, Michael V; Simon, Tabassome; Exeter, Holly J; Folkersen, Lasse; Asselbergs, Folkert W; Guardiola, Montse; Cooper, Jackie A; Palmen, Jutta; Hubacek, Jaroslav A; Carruthers, Kathryn F; Horne, Benjamin D; Brunisholz, Kimberly D; Mega, Jessica L; van Iperen, Erik P A; Li, Mingyao; Leusink, Maarten; Trompet, Stella; Verschuren, Jeffrey J W; Hovingh, G Kees; Dehghan, Abbas; Nelson, Christopher P; Kotti, Salma; Danchin, Nicolas; Scholz, Markus; Haase, Christiane L; Rothenbacher, Dietrich; Swerdlow, Daniel I; Kuchenbaecker, Karoline B; Staines-Urias, Eleonora; Goel, Anuj; van 't Hooft, Ferdinand; Gertow, Karl; de Faire, Ulf; Panayiotou, Andrie G; Tremoli, Elena; Baldassarre, Damiano; Veglia, Fabrizio; Holdt, Lesca M; Beutner, Frank; Gansevoort, Ron T; Navis, Gerjan J; Mateo Leach, Irene; Breitling, Lutz P; Brenner, Hermann; Thiery, Joachim; Dallmeier, Dhayana; Franco-Cereceda, Anders; Boer, Jolanda M A; Stephens, Jeffrey W; Hofker, Marten H; Tedgui, Alain; Hofman, Albert; Uitterlinden,</t>
  </si>
  <si>
    <t>https://pubmed.ncbi.nlm.nih.gov/23916927</t>
  </si>
  <si>
    <t>This study sought to investigate the role of secretory phospholipase A2 (sPLA2)-IIA in cardiovascular disease. Higher circulating levels of sPLA2-IIA mass or sPLA2 enzyme activity have been associated with increased risk of cardiovascular events. However, it is not clear if this association is causal. A recent phase III clinical trial of an sPLA2 inhibitor (varespladib) was stopped prematurely for lack of efficacy. We conducted a Mendelian randomization meta-analysis of 19 general population studies (8,021 incident, 7,513 prevalent major vascular events [MVE] in 74,683 individuals) and 10 acute coronary syndrome (ACS) cohorts (2,520 recurrent MVE in 18,355 individuals) using rs11573156, a variant in PLA2G2A encoding the sPLA2-IIA isoenzyme, as an instrumental variable. PLA2G2A rs11573156 C allele associated with lower circulating sPLA2-IIA mass (38% to 44%) and sPLA2 enzyme activity (3% to 23%) per C allele. The odds ratio (OR) for MVE per rs11573156 C allele was 1.02 (95% confidence interval [CI]: 0.98 to 1.06) in general populations and 0.96 (95% CI: 0.90 to 1.03) in ACS cohorts. In the general population studies, the OR derived from the genetic instrumental variable analysis for MVE for a 1-log unit lower sPLA2-IIA mass was 1.04 (95% CI: 0.96 to 1.13), and differed from the non-genetic observational estimate (OR: 0.69; 95% CI: 0.61 to 0.79). In the ACS cohorts, both the genetic instrumental variable and observational ORs showed a null association with MVE. Instrumental variable analysis failed to show associations between sPLA2 enzyme activity and MVE. Reducing sPLA2-IIA mass is unlikely to be a useful therapeutic goal for preventing cardiovascular events.</t>
  </si>
  <si>
    <t>Satisfaction of well-controlled type 2 diabetes patients with three-monthly and six-monthly monitoring.</t>
  </si>
  <si>
    <t>Wermeling, Paulien R; Janssen, Jolien; Gorter, Kees J; Beulens, Joline W J; Rutten, Guy E H M</t>
  </si>
  <si>
    <t>https://pubmed.ncbi.nlm.nih.gov/23899039</t>
  </si>
  <si>
    <t>Patient's satisfaction with monitoring frequency is of interest when implementing six-monthly monitoring for well-controlled type 2 diabetes patients. Here we want to determine the satisfaction of well-controlled type 2 diabetes patients with either three-monthly or six-monthly diabetes monitoring and their future preference. Survey among 2215 well-controlled type 2 diabetes patients (not using insulin, HbA1c ≤58 mmol/mol, systolic blood pressure ≤145 mmHg and total cholesterol ≤5.2 mmol/l) who participated in the EFFIMODI study, a randomised controlled patient-preference equivalence trial. At baseline, participants were asked whether they had a strong preference for three-monthly or six-monthly monitoring or not. If not, they were randomised to either three-monthly or six-monthly monitoring, while the others were monitored according to their preference. After eighteen months, all participants were asked whether they were satisfied with the monitoring frequency and about their future preference. Patient characteristics associated with satisfaction were also examined. Most patients (70.8%) would like to continue their monitoring frequency. Patients from the preference groups were more often satisfied than randomised patients (92.7% and 88.1%, respectively) and patients monitored three-monthly were more often satisfied than patients monitored six-monthly (93.5% and 88.5%, respectively). Higher age, better physical health, less diabetes-related distress, higher diabetes treatment satisfaction and less perceived hyper- and hypoglycaemias were associated with a higher monitoring satisfaction. Most well-controlled type 2 diabetes patients were satisfied with their monitoring frequency and would like to continue it. Although the satisfaction for three-monthly monitoring was slightly higher, the satisfaction with six-monthly monitoring was still rather high (88.5%). Current controlled trials ISRCTN93201802.</t>
  </si>
  <si>
    <t>The contribution of diet and lifestyle to socioeconomic inequalities in cardiovascular morbidity and mortality.</t>
  </si>
  <si>
    <t>Méjean, Caroline; Droomers, Mariël; van der Schouw, Yvonne T; Sluijs, Ivonne; Czernichow, Sébastien; Grobbee, Diederick E; Bueno-de-Mesquita, H Bas; Beulens, Joline W J</t>
  </si>
  <si>
    <t>https://pubmed.ncbi.nlm.nih.gov/23998549</t>
  </si>
  <si>
    <t>The role of differences in diet on the relationship between socioeconomic factors and cardiovascular diseases remains unclear. We studied the contribution of diet and other lifestyle factors to the explanation of socioeconomic inequalities in cardiovascular diseases. We prospectively examined the incidence of coronary heart disease (CHD) and stroke events amongst 33,106 adults of the EPIC-NL cohort. Education and employment status indicated socioeconomic status. We used Cox proportional models to estimate hazard ratios ((HR (95% confidence intervals)) for the association of socioeconomic factors with CHD and stroke and the contribution of diet and lifestyle. During 12 years of follow-up, 1617 cases of CHD and 531 cases of stroke occurred. The risks of CHD and stroke were higher in lowest (HR=1.98 (1.67;2.35); HR=1.55 (1.15;2.10)) and lower (HR=1.50 (1.29;1.75); HR=1.42 (1.08;1.86)) educated groups than in the highest. Unemployed and retired subjects more often suffered from CHD (HR=1.37 (1.19;1.58); HR=1.20 (1.05;1.37), respectively), but not from stroke, than the employed. Diet and lifestyle, mainly smoking and alcohol, explained more than 70% of the educational differences in CHD and stroke and 65% of employment status variation in CHD. Diet explained more than other lifestyle factors of educational and employment status differences in CHD and stroke (36% to 67% vs. 9% to 27%). The socioeconomic distribution of diet, smoking and alcohol consumption largely explained the inequalities in CHD and stroke in the Netherlands. These findings need to be considered when developing policies to reduce socioeconomic inequalities in cardiovascular diseases.</t>
  </si>
  <si>
    <t>Effectiveness of a cardiac surgery-specific transfusion protocol.</t>
  </si>
  <si>
    <t>Bilecen, Süleyman; de Groot, Joris A H; Kalkman, Cor J; Spanjersberg, Alexander J; Moons, Karel G M; Nierich, Arno P</t>
  </si>
  <si>
    <t>https://pubmed.ncbi.nlm.nih.gov/23875968</t>
  </si>
  <si>
    <t>Cardiac surgery is often complicated by excessive bleeding that is commonly treated with blood products. In the year 2009 a transfusion protocol was introduced specifically designed for cardiac surgery procedures. This study aims to evaluate the effect of this protocol on transfusion of blood products and the occurrence of clinical events. This was a nonrandomized intervention study. The index group was transfused according to a tailor-made transfusion protocol (operation in 2009/2010) and the control group was transfused according to the Dutch national transfusion guideline (operation in 2007/2008). The primary outcome was mean number of units transfused and proportion of patients transfused. Secondary outcomes were in-hospital mortality, myocardial infarction, cerebrovascular accident or transient ischemic attack, renal injury or failure, rethoracotomy, and prolonged mechanical ventilation. The control group comprised 2685 patients and the index group 2534 patients. The tailor-made transfusion protocol resulted in a decrease of patients transfused with red blood cells (RBCs) and fresh-frozen plasma (FFP) during surgery with odds ratio of 0.69 (95% confidence interval [CI], 0.55-0.86) and 0.63 (95% CI, 0.46-0.86), respectively. Fewer myocardial infarctions were observed in the index group with OR of 0.67 (95% CI, 0.47-0.96). The cardiac surgery-specific transfusion protocol resulted in fewer patients transfused with RBCs and FFP and a lower incidence of myocardial infarction. This tailor-made protocol has led to a more judicious use of blood products and is a basis for further refinement of coagulation management during cardiac surgery procedures.</t>
  </si>
  <si>
    <t>Transient early wheeze and lung function in early childhood associated with chronic obstructive pulmonary disease genes.</t>
  </si>
  <si>
    <t>Kerkhof, Marjan; Boezen, H Marike; Granell, Raquel; Wijga, Alet H; Brunekreef, Bert; Smit, Henriëtte A; de Jongste, Johan C; Thijs, Carel; Mommers, Monique; Penders, John; Henderson, John; Koppelman, Gerard H; Postma, Dirkje S</t>
  </si>
  <si>
    <t>https://pubmed.ncbi.nlm.nih.gov/23886569</t>
  </si>
  <si>
    <t>It has been hypothesized that a disturbed early lung development underlies the susceptibility to chronic obstructive pulmonary disease (COPD). Little is known about whether subjects genetically predisposed to COPD show their first symptoms or reduced lung function in childhood. We investigated whether replicated genes for COPD associate with transient early wheeze (TEW) and lung function levels in 6- to 8-year-old children and whether cigarette smoke exposure in utero and after birth (environmental tobacco smoke [ETS]) modifies these effects. The association of COPD-related genotypes of 20 single nucleotide polymorphisms in 15 genes with TEW, FEV1, forced vital capacity (FVC), and FEV1/FVC ratio was studied in the Prevention and Incidence of Asthma and Mite Allergy (PIAMA) birth cohort (n = 1996) and replicated in the Child, parents and health: lifestyle and genetic constitution (KOALA) and Avon Longitudinal Study of Parents and Children (ALSPAC) cohorts. AGER showed replicated association with FEV1/FVC ratio. TNS1 associated with more TEW in PIAMA and lower FEV1 in ALSPAC. TNS1 interacted with ETS in PIAMA, showing lower FEV1 in exposed children. HHIP rs1828591 interacted with cigarette smoke exposure in utero in PIAMA and with ETS in ALSPAC, with lower lung function in nonexposed children. SERPINE2, FAM13A, and MMP12 associated with higher FEV1 and FVC, and SERPINE2, HHIP, and TGFB1 interacted with cigarette smoke exposure in utero in PIAMA only, showing adverse effects of exposure on FEV1 being limited to children with genotypes conferring the lowest risk of COPD. Our findings indicate relevant involvement of at least 3 COPD genes in lung development and lung growth by demonstrating associations pointing toward reduced airway caliber in early childhood. Furthermore, our results suggest that COPD genes are involved in the infant's lung response to smoke exposure in utero and in early life.</t>
  </si>
  <si>
    <t>Associations of visceral fat, physical activity and muscle strength with the metabolic syndrome.</t>
  </si>
  <si>
    <t>Bisschop, Charlotte N Steins; Peeters, Petra H M; Monninkhof, Evelyn M; van der Schouw, Yvonne T; May, Anne M</t>
  </si>
  <si>
    <t>https://pubmed.ncbi.nlm.nih.gov/23870830</t>
  </si>
  <si>
    <t>We investigated the association of visceral fat with the metabolic syndrome (MetS) and its separate components; the associations of both physical activity and muscle strength with the MetS and its separate components independent of visceral fat. Furthermore, we studied these associations within participants with low and high amounts of visceral fat. 400 men (aged 40-80 years) were recruited into a cross-sectional study. Logistic regression models were used to study the individual associations in all participants (OR). The associations of physical activity (active vs inactive) and muscle strength (high vs low) within participants with low and high levels of visceral fat (assessed by ultrasonography) were tested using Univariate Analysis of Variance (difference in mean levels of the separate components of MetS) and logistic regression (risk on MetS). High levels of visceral fat were significantly associated with increased risk of MetS (OR 1.7 95%CI 1.5;1.9) and its separate components (p&lt;0.05). We did not find strong individual associations for physical activity or muscle strength, neither within men with low or high levels of visceral fat. High body fat levels were associated with an unhealthier metabolic risk profile and a higher risk of the MetS. Our cross-sectional data do not indicate associations for physical activity or for muscle strength with the MetS independent of visceral fat. Also no differential associations of physical activity or muscle strength in men with low or high levels of visceral fat were found.</t>
  </si>
  <si>
    <t>Effects of carotid endarterectomy or stenting on arterial diameters in the circle of Willis.</t>
  </si>
  <si>
    <t>Bost, Rianne B C; Hendrikse, Jeroen; Algra, Ale; de Borst, Gert J; Kappelle, Laurens Jaap; Jongen, Lisa M; Brown, Martin M; van der Worp, Hendrik Bart</t>
  </si>
  <si>
    <t>https://pubmed.ncbi.nlm.nih.gov/23867044</t>
  </si>
  <si>
    <t>In patients with internal carotid artery (ICA) stenosis, the circle of Willis (CoW) is the primary collateral pathway. We compared luminal diameters in the CoW before and after carotid revascularization and compared the effects of carotid endarterectomy (CEA) and stenting on these diameters. At a single center in the International Carotid Stenting Study, 139 patients with symptomatic ICA stenosis of 50% or more were randomized to stenting (n = 81) or CEA (n = 58). The diameters of all segments of the CoW were assessed on computed tomography angiography (CTA), before and 30 days after revascularization. All evaluations were performed blinded to treatment allocation and order of CTA. A .10-mm increase (95% confidence interval [CI], .02-.17; 7%; P = .01) in diameter after revascularization occurred in the ipsilateral precommunicating anterior cerebral artery (A1), whereas both the ipsilateral and contralateral posterior communicating arteries decreased in diameter by .12 mm (95% CI, .04-.21; 14%; P = .01) and .08 mm (95% CI, .00-.17; 10%; P = .05), respectively. The increase in diameter of the A1 was larger after stenting (.15 mm; 95% CI, .07-.24; P = .001) than after CEA (.02 mm; 95% CI, -.11 to .15; P = .79). Only in patients treated with CEA, the diameters of the contralateral A1 and ipsilateral precommunicating posterior cerebral artery were reduced after revascularization. Carotid revascularization improves anterior collateralization and reduces reliance on posterior collateral pathways via the CoW. Carotid stenting and endarterectomy appear to have different early effects on collateralization.</t>
  </si>
  <si>
    <t>Cognitive outcomes 7.5 years after angioplasty compared with off-pump coronary bypass surgery.</t>
  </si>
  <si>
    <t>Sauër, Anne-Mette C; Nathoe, Hendrik M; Hendrikse, Jeroen; Peelen, Linda M; Regieli, Jakub; Veldhuijzen, Dieuwke S; Kalkman, Cor J; Grobbee, Diederick E; Doevendans, Pieter A; van Dijk, Diederik; ,</t>
  </si>
  <si>
    <t>the annals of thoracic surgery</t>
  </si>
  <si>
    <t>https://pubmed.ncbi.nlm.nih.gov/23866798</t>
  </si>
  <si>
    <t>Off-pump coronary artery bypass grafting and percutaneous coronary intervention are both associated with cognitive decline, but limited data are available on long-term outcomes. This study compared long-term cognitive outcomes between patients managed with percutaneous coronary intervention and off-pump coronary artery bypass grafting. A multicenter trial in the Netherlands randomized 280 patients to percutaneous coronary intervention or off-pump coronary artery bypass grafting. Cognitive performance 7.5 years after randomization was assessed through a battery of 9 neuropsychologic tests and summarized into a combined Z-score. After 7.5 years, cognitive assessment could be performed in 81% of the 249 surviving patients. Better cognitive performance was observed in the off-pump coronary artery bypass grafting group (combined Z-score 0.11 for off-pump coronary artery bypass grafting versus -0.17 for percutaneous coronary intervention; difference 0.28, 95% confidence interval 0.08 to 0.47, p &lt; 0.01). However, this difference became nonsignificant (Z-score difference 0.14, 95% confidence interval -0.01 to 0.29, p = 0.08) after multivariable adjustment for potential confounders. At 7.5 years follow-up, off-pump coronary artery bypass grafting patients had a similar or perhaps even better cognitive performance compared with percutaneous coronary intervention patients.</t>
  </si>
  <si>
    <t>Parent-reported otorrhea in children with tympanostomy tubes: incidence and predictors.</t>
  </si>
  <si>
    <t>van Dongen, Thijs M A; van der Heijden, Geert J M G; Freling, Hanneke G; Venekamp, Roderick P; Schilder, Anne G M</t>
  </si>
  <si>
    <t>https://pubmed.ncbi.nlm.nih.gov/23874870</t>
  </si>
  <si>
    <t>Although common in children with tympanostomy tubes, the current incidence of tympanostomy tube otorrhea (TTO) is uncertain. TTO is generally a sign of otitis media, when middle ear fluid drains through the tube. Predictors for otitis media are therefore suggested to have predictive value for the occurrence of TTO. To determine the incidence of TTO and its predictors. We performed a cohort study, using a parental web-based questionnaire to retrospectively collect data on TTO episodes and its potential predictors from children younger than 10 years of age with tympanostomy tubes. Of the 1,184 children included in analyses (total duration of time since tube placement was 768 person years with a mean of 7.8 months per child), 616 children (52%) experienced one or more episodes of TTO. 137 children (12%) had TTO within the calendar month of tube placement. 597 (50%) children had one or more acute TTO episodes (duration &lt;4 weeks) and 46 children (4%) one or more chronic TTO episodes (duration ≥4 weeks). 146 children (12%) experienced recurrent TTO episodes. Accounting for time since tube placement, 67% of children developed one or more TTO episodes in the year following tube placement. Young age, recurrent acute otitis media being the indication for tube placement, a recent history of recurrent upper respiratory tract infections and the presence of older siblings were independently associated with the future occurrence of TTO, and can therefore be seen as predictors for TTO. Our survey confirms that otorrhea is a common sequela in children with tympanostomy tubes, which occurrence can be predicted by age, medical history and presence of older siblings.</t>
  </si>
  <si>
    <t>Diabetes mellitus and progression of vascular brain lesions and brain atrophy in patients with symptomatic atherosclerotic disease. The SMART-MR study.</t>
  </si>
  <si>
    <t>Kooistra, Minke; Geerlings, Mirjam I; Mali, Willem P T M; Vincken, Koen L; van der Graaf, Yolanda; Biessels, Geert Jan; ,</t>
  </si>
  <si>
    <t>https://pubmed.ncbi.nlm.nih.gov/23835088</t>
  </si>
  <si>
    <t>Diabetes mellitus (DM) is associated with brain atrophy and vascular brain lesions. Cardiovascular disease is a key determinant in this association. We assessed whether DM increased the rate of progression of brain atrophy, vascular brain lesions, and cognitive decline in patients with symptomatic atherosclerotic disease. In 663 patients (58±10years) from the SMART-MR study (n=89 with DM), 1.5T MRI and neuropsychological examination were performed at baseline and after 3.9±0.4years follow-up. Repeated measures ANCOVA (adjusted for age, sex, and vascular risk factors) showed that patients with DM had smaller total brain volume (mean differences as percentage of intracranial volume (ICV) [95% CI]: -1.36% [-1.81; -0.91]), smaller gray matter volume (-1.23% [-1.85; -0.61]), larger ventricular volume (0.32% [0.14; 0.49]), and larger white matter lesion volume (0.31% [0.09; 0.53]) than patients without DM. Patients with DM had accelerated increase in ventricular volume over time compared with patients without DM (mean differences ventricular volume as percentage of ICV: 0.32% [0.25; 0.39] vs. 0.17% [0.15; 0.19]; p-interaction DM×time&lt;0.01). Poisson regression showed that patients with DM had an increased risk for incident brain infarcts (relative risk [95% CI]: 1.62 [1.04; 2.53]). Patients with and without DM had similar performance on cognition. DM on top of existing symptomatic atherosclerotic disease is associated with increased brain atrophy and vascular brain lesion load that proceed at a slightly higher rate than in patients without DM.</t>
  </si>
  <si>
    <t>Early life factors and adult mammographic density.</t>
  </si>
  <si>
    <t>Lokate, Mariëtte; van Duijnhoven, Fränzel J B; van den Berg, Saskia W; Peeters, Petra H M; van Gils, Carla H</t>
  </si>
  <si>
    <t>https://pubmed.ncbi.nlm.nih.gov/23817886</t>
  </si>
  <si>
    <t>Early life factors have shown to be related to breast cancer risk. The pathophysiological link could be mammographic density, a strong risk factor for breast cancer. Mammary gland development already starts in utero and early life factors might affect the number of mammary cells at risk. In this study, we investigated the association between early life factors and mammographic density in adulthood. The study was conducted within 2,588, mainly postmenopausal women of the Prospect-European Prospective Investigation into Cancer and Nutrition cohort. This ongoing study recruited breast cancer screening participants who filled out extensive questionnaires. Information on the early life factors birth weight, gestational age, maternal and paternal age, multiple births, birth rank, exposure to parental smoking, and leg length as a proxy for growth at childhood was obtained using questionnaires. Generalized linear models and linear regression models were used to study the relation between early life factors and mammographic density. Analyses were adjusted for potential confounders. Women who had an older mother (p = 0.06) or father (p = 0.002) at birth tended to have a higher mammographic density. Furthermore, greater leg length seemed to be related to higher mammographic density, although not statistically significantly (p = 0.16). After adjustment for confounders, none of the early life factors showed any statistically significant relationship with mammographic density in adulthood. Although we cannot exclude small effects that go undetected due to measurement error in recall of early life factors, the results suggest that mammographic density is not a major pathway in any observed relationship between these early life events and breast cancer risk.</t>
  </si>
  <si>
    <t>Impact of cardiovascular calcifications on the detrimental effect of continued smoking on cardiovascular risk in male lung cancer screening participants.</t>
  </si>
  <si>
    <t>Jairam, Pushpa M; de Jong, Pim A; Mali, Willem P T h M; Isgum, Ivana; de Koning, Harry J; van der Aalst, Carlijn; Oudkerk, Matthijs; Vliegenthart, Rozemarijn; van der Graaf, Yolanda</t>
  </si>
  <si>
    <t>https://pubmed.ncbi.nlm.nih.gov/23840486</t>
  </si>
  <si>
    <t>Current smokers have an increased cardiovascular disease (CVD) risk compared to ex-smokers due to reversible as well as irreversible effects of smoking. We investigated if current smokers remain to have an increased CVD risk compared to ex-smokers in subjects with a long and intense smoking history. We in addition studied if the effect of smoking continuation on CVD risk is independent of or modified by the presence of cardiovascular calcifications. The cohort used comprised a sample of 3559 male lung cancer screening trial participants. We conducted a case-cohort study using all CVD cases and a random sample of 10% (n = 341) from the baseline cohort (subcohort). A weighted Cox proportional hazards model was used to estimate the hazard ratios for current smoking status in relation to CVD events. During a median follow-up of 2.6 years (max. 3.7 years), 263 fatal and non-fatal cardiovascular events (cases) were identified. Age, packyears and cardiovascular calcification adjusted hazard ratio of current smokers compared to former smokers was 1.33 (95% confidence interval 1.00-1.77). In additional analyses that incorporated multiplicative interaction terms, neither coronary nor aortic calcifications modified the association between smoking status and cardiovascular risk (P = 0.08). Current smokers have an increased CVD risk compared to former smokers even in subjects with a long and intense smoking history. Smoking exerts its hazardous effects on CVD risk by pathways partly independent of cardiovascular calcifications.</t>
  </si>
  <si>
    <t>β-Blockers and All-Cause Mortality in Adults with Episodes of Acute Bronchitis: An Observational Study.</t>
  </si>
  <si>
    <t>Rutten, Frans H; Groenwold, Rolf H H; Sachs, Alfred P E; Grobbee, Diederick E; Hoes, Arno W</t>
  </si>
  <si>
    <t>https://pubmed.ncbi.nlm.nih.gov/23840599</t>
  </si>
  <si>
    <t>Recent observational studies suggest that β-blockers may improve long-term prognosis in patients with chronic obstructive pulmonary disease (COPD). We assessed whether β-blocker use improves all-cause mortality in patients with episodes of acute bronchitis. An observational cohort study using data from the electronic medical records of 23 general practices in the Netherlands. The data included standardized information about daily patient contacts, diagnoses, and drug prescriptions. Cox regression was applied with time-varying treatment and covariates. The study included 4,493 patients aged 45 years and older, with at least one episode of acute bronchitis between 1996 and 2006. The mean (SD) age of the patients was 66.9 (11.7) years, and 41.9% were male. During a mean (SD) follow up period of 7.7 (2.5) years, 20.4% developed COPD. In total, 22.7% had cardiovascular comorbidities, resulting in significant higher mortality rates than those without (51.7% vs. 12.0%, p&lt;0.001). The adjusted hazard ratio of cardioselective β-blocker use for mortality was 0.62 (95% confidence interval [CI], 0.50-0.77), and 1.01 (95% CI 0.75-1.36) for non-selective ones. Some other cardiovascular drugs also reduced the risk of mortality, with adjusted HRs of 0.60 (95% CI 0.46-0.79) for calcium channel blockers, 0.88 (95% CI 0.73-1.06) for ACE inhibitors/angiotensin receptor blockers, and 0.42 (95% CI 0.31-0.57) for statins, respectively. Cardiovascular comorbidities are common and increase the risk of mortality in adults with episodes of acute bronchitis. Cardioselective β-blockers, but also calcium channel blockers and statins may reduce mortality, possibly as a result of cardiovascular protective properties.</t>
  </si>
  <si>
    <t>Differences between diabetes patients who are interested or not in the use of a patient Web portal.</t>
  </si>
  <si>
    <t>Ronda, Maaike C M; Dijkhorst-Oei, Lioe-Ting; Gorter, Kees J; Beulens, Joline W J; Rutten, Guy E H M</t>
  </si>
  <si>
    <t>diabetes technology therapeutics</t>
  </si>
  <si>
    <t>https://pubmed.ncbi.nlm.nih.gov/23777369</t>
  </si>
  <si>
    <t>A patient Web portal allows patients to access their personal health record through the Internet. It may improve diabetes outcomes, but the adoption is unsatisfactory. We examined the differences between patients with and without a login in order to optimize its use. A survey was conducted among patients from 62 general practices and one outpatient clinic that all use a diabetes Web portal. Between November 2011 and March 2012 questionnaires were sent to 1,500 patients with and 3,000 patients without a login. Patient groups were stratified according to type of diabetes. Demographic and diabetes-related variables were analyzed with multivariable regression analysis. The total response rate was 67%. Fewer than 50% of the patients did request a login. Among 128 patients with type 1 diabetes mellitus, those with a login (89.8%) were younger and more frequently treated by an internist. In 1,262 patients with type 2 diabetes mellitus, fewer patients had a log-in (41.0%), and the likelihood of having a login was independently associated with younger age, male gender, higher educational level, treatment by an internist, longer duration of diabetes, and polypharmacy (all P&lt;0.001). Patients with type 1 diabetes request a login more frequently than patients with type 2 diabetes, and patients with a login are strikingly different than patients without. The healthcare provider seems to play an important role in patients' Web utilization. Simply promoting use of electronic healthcare methods does not make sense. It is important to address disparities between patient groups to optimize the use of a Web portal.</t>
  </si>
  <si>
    <t>The combined use of aspirin, a statin, and blood pressure-lowering agents (polypill components) and the risk of vascular morbidity and mortality in patients with coronary artery disease.</t>
  </si>
  <si>
    <t>Lafeber, Melvin; Spiering, Wilko; van der Graaf, Yolanda; Nathoe, Hendrik; Bots, Michiel L; Grobbee, Diederick E; Visseren, Frank L J</t>
  </si>
  <si>
    <t>https://pubmed.ncbi.nlm.nih.gov/23895811</t>
  </si>
  <si>
    <t>Patients with established coronary artery disease (CAD) are likely to receive a combination of aspirin, a statin, and blood pressure (BP)-lowering agents. Combining these pharmacologic agents into a cardiovascular combination pill, such as a polypill, could be considered to reduce prescription gaps and nonadherence in high-risk patients. We aimed to evaluate the effect of the concomitant use of aspirin, a statin, and BP-lowering agent(s) in patients with CAD on vascular morbidity and mortality in current clinical practice in an observational study to provide insights in the combination pill concept related to feasibility and applicability. In total, 2,706 patients with CAD enrolled in the Second Manifestations of ARTerial disease study were followed for the occurrence of a subsequent vascular event (ie, myocardial infarction, ischemic cerebrovascular accident, vascular death) and all-cause mortality. The relationship between combination therapy and cardiovascular events and all-cause mortality was assessed using Cox proportional hazards regression models to calculate hazards ratios (HRs) with a 95% CI. Both covariate and propensity score adjusting methods were used to reduce confounding by indication. A combination of aspirin, a statin, and ≥1 BP-lowering agent(s) was used by 67% of the patients. During a median of 5.0 years (interquartile range 2.4-10.2 years), 347 vascular events occurred and 162 patients died. Combination therapy with aspirin, statin, and ≥1 BP-lowering agent was associated with a lower risk of myocardial infarction (HR 0.68, 95% CI 0.49-0.96), ischemic cerebrovascular accident (HR 0.37, 95% CI 0.16-0.84), composite vascular end point (HR 0.66, 95% CI 0.49-0.88), vascular mortality (HR 0.53, 95% CI 0.33-0.85), and all-cause mortality (HR 0.69, 95% CI 0.49-0.96) compared with the absence of combination therapy, after adjusting for confounding covariates in a propensity score. The use of 1 or only 2 components of combination therapy was associated with a higher risk for cardiovascular events compared with the combined use of aspirin, a statin, and ≥1 BP-lowering agent(s). Two-thirds of the patients with CAD use a combination of aspirin, a statin, and ≥1 BP-lowering agent(s), components of a cardiovascular fixed-dose combination pill. Combination therapy with these agents is associated with a lower risk of vascular events and total mortality. Although treatment effect in observational studies should be interpreted with caution, the results of this study support supposed benefits from combination therapy. However, the effect of fixed-dose combination pill on clinical outcome needs to be demonstrated in randomized clinical trials.</t>
  </si>
  <si>
    <t>Clarifying assent in pediatric research.</t>
  </si>
  <si>
    <t>https://pubmed.ncbi.nlm.nih.gov/23756442</t>
  </si>
  <si>
    <t>Assent is a relatively young term in research ethics, but became an often mentioned ethical requirement in current pediatric research guidelines. Also, the European Society of Human Genetics considers assent an important condition for the inclusion of children in biobanks. However, although many emphasize the importance of assent, few explain how they understand the concept and few have elaborated on the underlying grounds. In this paper, we will discuss the different underlying ethical principles of assent. In the first category, assent appears to be derived from informed consent. This understanding is grounded in respect for autonomy and protection against harm. We conclude that this interpretation of assent is not of added value as a majority of children cannot be considered competent to make autonomous decisions. In addition, other safeguards are more appropriate to protect children against harm. The grounds from the second category can be classified as engagement grounds. These grounds do justice to the specifics of childhood and are of added value. Furthermore, we argue that it follows that both the content and the process of assent should be adjusted to the individual child. This can be referred to as personalized assent. Personalized assent is an appeal to the moral responsibility and integrity of the researcher.</t>
  </si>
  <si>
    <t>Search for a light charged Higgs boson in the decay channel [Formula: see text] in [Formula: see text] events using &lt;i&gt;pp&lt;/i&gt; collisions at [Formula: see text]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</si>
  <si>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t>
  </si>
  <si>
    <t>https://pubmed.ncbi.nlm.nih.gov/25814863</t>
  </si>
  <si>
    <t>A search for a charged Higgs boson (&lt;i&gt;H&lt;/i&gt;&lt;sup&gt;+&lt;/sup&gt;) in [Formula: see text] decays is presented, where one of the top quarks decays via &lt;i&gt;t&lt;/i&gt;→&lt;i&gt;H&lt;/i&gt;&lt;sup&gt;+&lt;/sup&gt;&lt;i&gt;b&lt;/i&gt;, followed by &lt;i&gt;H&lt;/i&gt;&lt;sup&gt;+&lt;/sup&gt;→ two jets ([Formula: see text]). The other top quark decays to &lt;i&gt;Wb&lt;/i&gt;, where the &lt;i&gt;W&lt;/i&gt; boson then decays into a lepton (&lt;i&gt;e&lt;/i&gt;/&lt;i&gt;μ&lt;/i&gt;) and a neutrino. The data were recorded in &lt;i&gt;pp&lt;/i&gt; collisions at [Formula: see text] by the ATLAS detector at the LHC in 2011, and correspond to an integrated luminosity of 4.7 fb&lt;sup&gt;-1&lt;/sup&gt;. With no observation of a signal, 95 % confidence level (CL) upper limits are set on the decay branching ratio of top quarks to charged Higgs bosons varying between 5 % and 1 % for &lt;i&gt;H&lt;/i&gt;&lt;sup&gt;+&lt;/sup&gt; masses between 90 GeV and 150 GeV, assuming [Formula: see text].</t>
  </si>
  <si>
    <t>Diagnostic and prognostic prediction models.</t>
  </si>
  <si>
    <t>Hendriksen, J M T; Geersing, G J; Moons, K G M; de Groot, J A H</t>
  </si>
  <si>
    <t>https://pubmed.ncbi.nlm.nih.gov/23809117</t>
  </si>
  <si>
    <t>Risk prediction models can be used to estimate the probability of either having (diagnostic model) or developing a particular disease or outcome (prognostic model). In clinical practice, these models are used to inform patients and guide therapeutic management. Examples from the field of venous thrombo-embolism (VTE) include the Wells rule for patients suspected of deep venous thrombosis and pulmonary embolism, and more recently prediction rules to estimate the risk of recurrence after a first episode of unprovoked VTE. In this paper, the three phases that are recommended before a prediction model may be used in daily practice are described: development, validation, and impact assessment. In the development phase, the focus is on model development commonly using a multivariable logistic (diagnostic) or survival (prognostic) regression analysis. The performance of the developed model is expressed by discrimination, calibration and (re-) classification. In the validation phase, the developed model is tested in a new set of patients using these same performance measures. This is important, as model performance is commonly poorer in a new set of patients, e.g. due to case-mix or domain differences. Finally, in the impact phase the ability of a prediction model to actually guide patient management is evaluated. Whereas in the development and validation phase single cohort designs are preferred, this last phase asks for comparative designs, ideally randomized designs; therapeutic management and outcomes after using the prediction model is compared to a control group not using the model (e.g. usual care).</t>
  </si>
  <si>
    <t>The efficiency of targeted intervention in limiting the spread of HIV and Hepatitis C Virus among injecting drug users.</t>
  </si>
  <si>
    <t>De Vos, Anneke S; Kretzschmar, Mirjam E E</t>
  </si>
  <si>
    <t>journal of theoretical biology</t>
  </si>
  <si>
    <t>https://pubmed.ncbi.nlm.nih.gov/23733004</t>
  </si>
  <si>
    <t>Interventions aimed at minimizing the spread of blood borne infections among Injecting Drug Users (IDU) are impeded by limitations in resources. To enhance their efficiency, it may be beneficial to target specific behavioural subpopulations, distinguished by syringe sharing tendencies. We used mathematical modelling to explore the effects of two types of intervention: removal of individuals from the injecting population and risk decrease at group-level (e.g. distribution of syringes). We computed the direct effects of intervention on the probability of obtaining and spreading infection as a function of baseline risk behaviour. Population level effects of (targeted) intervention were explored using a differential equations model, which incorporated two levels of risk. Within most scenarios of risk distribution considered, HIV could be substantially reduced or eliminated by targeting high risk IDU only. Conversely, higher incidence reductions for HCV were reached in many scenarios when targeting low risk IDU. The potential for preventing infections by removal of uninfected IDU increases with baseline risk, but so does the probability that an IDU is already infected before being reached by intervention. Decreasing risk is likely to only delay rather than prevent infection for IDU borrowing many syringes, especially for a very infectious disease such as HCV. The efficiency of intervention on injecting drug users may be much enhanced by targeting specific risk subgroups. However, the optimal targeting policy depends strongly on the infection under consideration.</t>
  </si>
  <si>
    <t>Phase IV non-inferiority trials and additional claims of benefit.</t>
  </si>
  <si>
    <t>Bernabe, Rosemarie D L C; Wangge, Grace; Knol, Mirjam J; Klungel, Olaf H; van Delden, Johannes J M; de Boer, Anthonius; Hoes, Arno W; Raaijmakers, Jan A M; van Thiel, Ghislaine J M W</t>
  </si>
  <si>
    <t>https://pubmed.ncbi.nlm.nih.gov/23721202</t>
  </si>
  <si>
    <t>Non-inferiority (NI) trials in drug research are used to demonstrate that a new treatment is not less effective than an active comparator. Since phase IV trials typically aim at informing a clinical decision, the value of a phase IV non-inferiority trial hinges also on its clinical relevance. In such trials, clinical relevance would refer to the added benefit claims of a specific drug, apart from efficacy, relative to its comparator drug in the trial. In this study, we reviewed 41 phase IV trials and extracted information on whether the authors mentioned any additional benefit beyond the NI (efficacy) claim of the drug and whether the additional benefit was proven in the trial. We checked whether the additional claim was based on descriptions only or on formal statistical analyses. Our results showed that 22 out of the 41 NI trials mentioned additional benefit of the test drug and most of these claims were related to the safety profile. Of all the post-authorization NI trials that claimed additional benefit, 10 out of 22 NI trials used formal statistical analyses to show additional benefit, and only one included a sample size calculation for the additional benefit prior to the trial. We conclude that there is room for improvement in terms of designing phase IV NI trials with added benefit claims and in proving these additional claims.</t>
  </si>
  <si>
    <t>Age-related changes in mammographic density and breast cancer risk.</t>
  </si>
  <si>
    <t>Lokate, Mariëtte; Stellato, Rebecca K; Veldhuis, Wouter B; Peeters, Petra H M; van Gils, Carla H</t>
  </si>
  <si>
    <t>https://pubmed.ncbi.nlm.nih.gov/23703889</t>
  </si>
  <si>
    <t>High mammographic density is a strong breast cancer risk factor. Density normally declines with aging. We investigated whether the level of decline in mammographic density is related to breast cancer risk using a nested case-control study within the European Prospective Investigation into Cancer and Nutrition (EPIC)-Prospect cohort. This cohort was recruited among participants of a population-based breast cancer screening program in the Netherlands between 1993 and 1997. We examined whether age-related changes in mammographic density were different for 533 cases and 1,367 controls who were 49-69 years of age at the time of recruitment into the cohort. We used mixed models with linear and quadratic terms for age and interaction terms between age terms and case status. The percent mammographic density at the first available mammogram was higher for cases than for controls (25.2% vs. 22.5%) (P = 0.003). The average decline in density over 10 years was 11% in both cases and controls (P = 0.56). When studying changes among 4 categories of density, we saw some indication that large changes may influence breast cancer risk. Although no difference was seen in the average decline, we cannot exclude that large changes may influence breast cancer risk.</t>
  </si>
  <si>
    <t>Identifying frailty: do the Frailty Index and Groningen Frailty Indicator cover different clinical perspectives? a cross-sectional study.</t>
  </si>
  <si>
    <t>Drubbel, Irene; Bleijenberg, Nienke; Kranenburg, Guido; Eijkemans, René J C; Schuurmans, Marieke J; de Wit, Niek J; Numans, Mattijs E</t>
  </si>
  <si>
    <t>https://pubmed.ncbi.nlm.nih.gov/23692735</t>
  </si>
  <si>
    <t>Early identification of frailty is important for proactive primary care. Currently, however, there is no consensus on which measure to use. Therefore, we examined whether a Frailty Index (FI), based on ICPC-coded primary care data, and the Groningen Frailty Indicator (GFI) questionnaire identify the same older people as frail. We conducted a cross-sectional, observational study of 1,580 patients aged ≥ 60 years in a Dutch primary care center. Patients received a GFI questionnaire and were surveyed on their baseline characteristics. Frailty-screening software calculated their FI score. The GFI and FI scores were compared as continuous and dichotomised measures. FI data were available for 1549 patients (98%). 663 patients (42%) returned their GFI questionnaire. Complete GFI and FI scores were available for 638 patients (40.4%), mean age 73.4 years, 52.8% female. There was a positive correlation between the GFI and the FI (Pearson's correlation coefficient 0.544). Using dichotomised scores, 84.3% of patients with a low FI score also had a low GFI score. In patients with a high FI score, 55.1% also had a high GFI score. A continuous FI score accurately predicted a dichotomised GFI score (AUC 0.78, 95% CI 0.74 to 0.82). Being widowed or divorced was an independent predictor of both a high GFI score in patients with a low FI score, and a high FI score in patients with a low GFI score. The FI and the GFI moderately overlap in identifying frailty in community-dwelling older patients. To provide optimal proactive primary care, we suggest an initial FI screening in routine healthcare data, followed by a GFI questionnaire for patients with a high FI score or otherwise at high risk as the preferred two-step frailty screening process in primary care.</t>
  </si>
  <si>
    <t>Measurement of &lt;i&gt;k&lt;/i&gt;&lt;sub&gt;T&lt;/sub&gt; splitting scales in &lt;i&gt;W&lt;/i&gt;→&lt;i&gt;ℓν&lt;/i&gt; events at [Formula: see text]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</si>
  <si>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Anduaga, X S; Angelidakis, S; Anger, P; Angerami,</t>
  </si>
  <si>
    <t>https://pubmed.ncbi.nlm.nih.gov/25814860</t>
  </si>
  <si>
    <t>A measurement of splitting scales, as defined by the &lt;i&gt;k&lt;/i&gt;&lt;sub&gt;T&lt;/sub&gt; clustering algorithm, is presented for final states containing a &lt;i&gt;W&lt;/i&gt; boson produced in proton-proton collisions at a centre-of-mass energy of 7 TeV. The measurement is based on the full 2010 data sample corresponding to an integrated luminosity of 36 pb&lt;sup&gt;-1&lt;/sup&gt; which was collected using the ATLAS detector at the CERN Large Hadron Collider. Cluster splitting scales are measured in events containing &lt;i&gt;W&lt;/i&gt; bosons decaying to electrons or muons. The measurement comprises the four hardest splitting scales in a &lt;i&gt;k&lt;/i&gt;&lt;sub&gt;T&lt;/sub&gt; cluster sequence of the hadronic activity accompanying the &lt;i&gt;W&lt;/i&gt; boson, and ratios of these splitting scales. Backgrounds such as multi-jet and top-quark-pair production are subtracted and the results are corrected for detector effects. Predictions from various Monte Carlo event generators at particle level are compared to the data. Overall, reasonable agreement is found with all generators, but larger deviations between the predictions and the data are evident in the soft regions of the splitting scales.</t>
  </si>
  <si>
    <t>Diagnostic properties of C-reactive protein for detecting pneumonia in children.</t>
  </si>
  <si>
    <t>Koster, Madieke J; Broekhuizen, Berna D L; Minnaard, Margaretha C; Balemans, Walter A F; Hopstaken, Rogier M; de Jong, Pim A; Verheij, Theo J M</t>
  </si>
  <si>
    <t>https://pubmed.ncbi.nlm.nih.gov/23672994</t>
  </si>
  <si>
    <t>The diagnostic value of C-reactive protein (CRP) level for pneumonia in children is unknown. As a first step in the assessment of the value of CRP, a diagnostic study was performed in children at an emergency department (ED). In this cross-sectional study, data were retrospectively collected from children presenting with suspected pneumonia at the ED of Antonius Hospital Nieuwegein in The Netherlands between January 2007 and January 2012. Diagnostic outcome was pneumonia yes/no according to independent radiologist. (Un)adjusted association between CRP level and pneumonia and diagnostic value of CRP were calculated. Of 687 presenting children, 286 underwent both CRP measurement and chest radiography. 148 had pneumonia (52%). The proportion of pneumonia increased with CRP level. Negative predictive values declined, but positive predictive values increased with higher CRP thresholds. Univariable odds ratio for the association between CRP level and pneumonia was 1.2 (95% CI 1.11-1.21) per 10 mg/L increase. After adjustment for baseline characteristics CRP level remained associated with pneumonia. CRP level has independent diagnostic value for pneumonia in children presenting at the ED with suspected pneumonia, but low levels do not exclude pneumonia in this setting. These results prompt evaluation of CRP in primary care children with LRTI.</t>
  </si>
  <si>
    <t>Internal validation of risk models in clustered data: a comparison of bootstrap schemes.</t>
  </si>
  <si>
    <t>Bouwmeester, W; Moons, K G M; Kappen, T H; van Klei, W A; Twisk, J W R; Eijkemans, M J C; Vergouwe, Y</t>
  </si>
  <si>
    <t>https://pubmed.ncbi.nlm.nih.gov/23660796</t>
  </si>
  <si>
    <t>Internal validity of a risk model can be studied efficiently with bootstrapping to assess possible optimism in model performance. Assumptions of the regular bootstrap are violated when the development data are clustered. We compared alternative resampling schemes in clustered data for the estimation of optimism in model performance. A simulation study was conducted to compare regular resampling on only the patient level with resampling on only the cluster level and with resampling sequentially on both the cluster and patient levels (2-step approach). Optimism for the concordance index and calibration slope was estimated. Resampling of only patients or only clusters showed accurate estimates of optimism in model performance. The 2-step approach overestimated the optimism in model performance. If the number of centers or intraclass correlation coefficient was high, resampling of clusters showed more accurate estimates than resampling of patients. The 3 bootstrap schemes also were applied to empirical data that were clustered. The results presented in this paper support the use of resampling on only the clusters for estimation of optimism in model performance when data are clustered.</t>
  </si>
  <si>
    <t>Reply: To PMID 23333546.</t>
  </si>
  <si>
    <t>Schuit, Ewoud</t>
  </si>
  <si>
    <t>https://pubmed.ncbi.nlm.nih.gov/23665246</t>
  </si>
  <si>
    <t>Factors associated with increasing functional decline in multimorbid independently living older people.</t>
  </si>
  <si>
    <t>Laan, Wijnand; Bleijenberg, Nienke; Drubbel, Irene; Numans, Mattijs E; de Wit, Niek J; Schuurmans, Marieke J</t>
  </si>
  <si>
    <t>https://pubmed.ncbi.nlm.nih.gov/23664316</t>
  </si>
  <si>
    <t>With increasing age the levels of activities of daily living (ADL) deteriorate. In this study we aimed to investigate which demographic characteristics and disorders are associated with ADL disabilities in multi-morbid older people. We performed a cross-sectional study with baseline patient data from a large Dutch trial in independently living multi-morbid older people combined with the reimbursed healthcare data for the same subjects. The primary outcome of our study was the level of independence of activities of daily living (ADL) as assessed with the Modified Katz Activities of Daily Living (KATZ-15) scale. In our study we were able to include 1187 persons (63.0% female) for whom both questionnaire data and reimbursed healthcare data was available. In total, 59% had a Katz-15 score of 1 or higher. The strongest associations with ADL disabilities in women were psychiatric disorders, with prevalence rate (PR) estimates of 1.37 (95% confidence interval (CI): 1.17-1.60) and transient ischaemic attacks and cerebrovasculair accidents in men, with PR estimates of 1.94 (95% CI: 1.41-2.66). Although univariate analysis seemed to also reveal associations with socio-demographic factors such as living together with a partner or the socio-economic status, these factors were not independently associated with ADL disabilities. In this cross-sectional study we found that 71% of the multi-morbid female elderly had a sub-optimal level of activities of daily living, as assessed with the Katz-15 scale. The results of our study show that multiple disorders are associated with ADL disabilities in multi-morbid older men and women. We found socio-demographic characteristics not to be independently associated ADL disabilities.</t>
  </si>
  <si>
    <t>Six-monthly diabetes monitoring of well-controlled patients: experiences of primary care providers.</t>
  </si>
  <si>
    <t>https://pubmed.ncbi.nlm.nih.gov/23660331</t>
  </si>
  <si>
    <t>To examine experiences of primary care providers with six-monthly diabetes monitoring of well-controlled patients. This study was part of the EFFIMODI study, examining whether six-monthly monitoring of well-controlled (HbA1c ≤58 mmol/mol, systolic blood pressure ≤145 mmHg and total cholesterol ≤5.2 mmol/l) type 2 diabetes patients results in equivalent cardiometabolic control compared to three-monthly monitoring. Primary care providers completed a questionnaire about their experiences with six-monthly diabetes monitoring, whether they want to continue six-monthly monitoring and for which type of patients six-monthly monitoring is sufficient. Of 163 questionnaires, 157 (96.3%) were completed and returned. Only 14 (8.9%) primary care providers were negative about the six-monthly monitoring and 102 (65.0%) would like to continue six-monthly monitoring. Primary care providers disagreed about patients' ability to determine their own monitoring frequency and whether six-monthly monitoring was suitable for all well-controlled type 2 diabetes patients. Practical concerns emerged such as the inability to declare healthcare costs and the unsuitability of electronic health record systems. Almost two out of three primary care providers would like to continue six-monthly monitoring of well-controlled type 2 diabetes patients. However, some diabetes care providers should be convinced and some practical concerns should be solved.</t>
  </si>
  <si>
    <t>Diagnostic accuracy of conventional or age adjusted D-dimer cut-off values in older patients with suspected venous thromboembolism: systematic review and meta-analysis.</t>
  </si>
  <si>
    <t>Schouten, Henrike J; Geersing, G J; Koek, H L; Zuithoff, Nicolaas P A; Janssen, Kristel J M; Douma, Renée A; van Delden, Johannes J M; Moons, Karel G M; Reitsma, Johannes B</t>
  </si>
  <si>
    <t>https://pubmed.ncbi.nlm.nih.gov/23645857</t>
  </si>
  <si>
    <t>To review the diagnostic accuracy of D-dimer testing in older patients (&gt;50 years) with suspected venous thromboembolism, using conventional or age adjusted D-dimer cut-off values. Systematic review and bivariate random effects meta-analysis. We searched Medline and Embase for studies published before 21 June 2012 and we contacted the authors of primary studies. Primary studies that enrolled older patients with suspected venous thromboembolism in whom D-dimer testing, using both conventional (500 µg/L) and age adjusted (age × 10 µg/L) cut-off values, and reference testing were performed. For patients with a non-high clinical probability, 2 × 2 tables were reconstructed and stratified by age category and applied D-dimer cut-off level. 13 cohorts including 12,497 patients with a non-high clinical probability were included in the meta-analysis. The specificity of the conventional cut-off value decreased with increasing age, from 57.6% (95% confidence interval 51.4% to 63.6%) in patients aged 51-60 years to 39.4% (33.5% to 45.6%) in those aged 61-70, 24.5% (20.0% to 29.7% in those aged 71-80, and 14.7% (11.3% to 18.6%) in those aged &gt;80. Age adjusted cut-off values revealed higher specificities over all age categories: 62.3% (56.2% to 68.0%), 49.5% (43.2% to 55.8%), 44.2% (38.0% to 50.5%), and 35.2% (29.4% to 41.5%), respectively. Sensitivities of the age adjusted cut-off remained above 97% in all age categories. The application of age adjusted cut-off values for D-dimer tests substantially increases specificity without modifying sensitivity, thereby improving the clinical utility of D-dimer testing in patients aged 50 or more with a non-high clinical probability.</t>
  </si>
  <si>
    <t>Application of the Rome III criteria is not likely to reduce the number of unnecessary referrals for colonoscopy in primary care.</t>
  </si>
  <si>
    <t>Kok, Liselotte; Elias, Sjoerd G; Witteman, Ben J M; Goedhard, Jelle G; Romberg-Camps, Mariëlle J L; Muris, Jean W M; Moons, Karel G M; de Wit, Niek J</t>
  </si>
  <si>
    <t>european journal of gastroenterology hepatology</t>
  </si>
  <si>
    <t>https://pubmed.ncbi.nlm.nih.gov/23325277</t>
  </si>
  <si>
    <t>To determine to what extent the Rome III criteria for irritable bowel syndrome can contribute towards safely reducing unnecessary referrals for colonoscopy in primary care patients with lower gastrointestinal (GI) complaints. Data from the CEDAR study were used: a cross-sectional study in 810 patients with lower GI complaints suggestive for organic bowel disease who were referred by their general practitioner for secondary care colonoscopy. Fulfilment of the Rome III criteria was ascertained by a questionnaire. General practitioners recorded the presence or absence of alarm symptoms. Outcome was determined by colonoscopy and histology. Of 810 participants, 222 fulfilled the Rome III criteria [27%, 95% confidence interval (CI) 24-31%]. The majority of these patients presented with alarm symptoms. Only 39 participants fulfilled the Rome III criteria and lacked alarm symptoms (overall frequency 5%, 95% CI 4-7). Overall, organic bowel disease was diagnosed in 141 participants (17%). Participants who fulfilled the Rome III criteria had a significantly lower risk of organic bowel disease compared with participants who did not [12% (95% CI 8-17) vs. 20% (95% CI 17-23), P&lt;0.01]. The lowest risk was observed in patients without alarm symptoms who fulfilled the Rome III criteria (3%, 95% CI 0-14). A minority of referred primary care patients with lower GI complaints both fulfilled the Rome III criteria for irritable bowel syndrome and lacked alarm symptoms. Although organic bowel disease could be ruled out safely in this small group, application of the Rome III criteria is not likely to lead to a considerable reduction in unnecessary referrals for colonoscopy in these patients.</t>
  </si>
  <si>
    <t>Cardiovascular disease risk factors in women with a history of early-onset preeclampsia.</t>
  </si>
  <si>
    <t>van Rijn, Bas B; Nijdam, Marie-Elise; Bruinse, Hein W; Roest, Mark; Uiterwaal, Cuno S; Grobbee, Diederick E; Bots, Michiel L; Franx, Arie</t>
  </si>
  <si>
    <t>https://pubmed.ncbi.nlm.nih.gov/23635741</t>
  </si>
  <si>
    <t>To assess the prevalence of established cardiovascular disease risk factors and to estimate 10-year absolute risk of cardiovascular disease after early-onset preeclampsia. We assessed major cardiovascular disease risk factors in 243 primiparous women with a history of early-onset preeclampsia (delivery at less than 34 weeks of gestation) at least 6 months after delivery; 374 healthy nonpregnant women of similar age served as a reference group. After adjustment for age, we observed significantly higher means for body mass index, blood pressure, total and low-density lipoprotein cholesterol, triglycerides, glucose, and lower mean high-density lipoprotein cholesterol (all P&lt;.01) in women with previous early-onset preeclampsia compared with the reference group. Prevalence of the metabolic syndrome was 15.2% compared with 4.3% (P&lt;.001), two or more major cardiovascular disease risk factors were present in 51.0% compared with 26.5%, and three or more risk factors were present in 18.9% compared with 6.4%, respectively. Mean estimated 10-year cardiovascular disease risks by the Framingham Risk Score were 1.08% (95% confidence interval 1.04-1.12) and 1.01% (95% CI 1.00-1.01; P&lt;.001) for the difference. Women with a history of early-onset preeclampsia have a high prevalence of several major cardiovascular disease risk factors. Although the estimated 10-year cardiovascular disease risk is low (less than 5%) after delivery, cardiovascular disease risk is expected to increase rapidly with increasing age. II.</t>
  </si>
  <si>
    <t>Next-generation sequencing: does the next generation still have a right to an open future?</t>
  </si>
  <si>
    <t>Bredenoord, Annelien L; de Vries, Martine C; van Delden, Johannes J M</t>
  </si>
  <si>
    <t>https://pubmed.ncbi.nlm.nih.gov/23729034</t>
  </si>
  <si>
    <t>Use of serum C reactive protein and procalcitonin concentrations in addition to symptoms and signs to predict pneumonia in patients presenting to primary care with acute cough: diagnostic study.</t>
  </si>
  <si>
    <t>van Vugt, Saskia F; Broekhuizen, Berna D L; Lammens, Christine; Zuithoff, Nicolaas P A; de Jong, Pim A; Coenen, Samuel; Ieven, Margareta; Butler, Chris C; Goossens, Herman; Little, Paul; Verheij, Theo J M; ,</t>
  </si>
  <si>
    <t>https://pubmed.ncbi.nlm.nih.gov/23633005</t>
  </si>
  <si>
    <t>To quantify the diagnostic accuracy of selected inflammatory markers in addition to symptoms and signs for predicting pneumonia and to derive a diagnostic tool. Diagnostic study performed between 2007 and 2010. Participants had their history taken, underwent physical examination and measurement of C reactive protein (CRP) and procalcitonin in venous blood on the day they first consulted, and underwent chest radiography within seven days. Primary care centres in 12 European countries. Adults presenting with acute cough. Pneumonia as determined by radiologists, who were blind to all other information when they judged chest radiographs. Of 3106 eligible patients, 286 were excluded because of missing or inadequate chest radiographs, leaving 2820 patients (mean age 50, 40% men) of whom 140 (5%) had pneumonia. Re-assessment of a subset of 1675 chest radiographs showed agreement in 94% (κ 0.45, 95% confidence interval 0.36 to 0.54). Six published "symptoms and signs models" varied in their discrimination (area under receiver operating characteristics curve (ROC) ranged from 0.55 (95% confidence interval 0.50 to 0.61) to 0.71 (0.66 to 0.76)). The optimal combination of clinical prediction items derived from our patients included absence of runny nose and presence of breathlessness, crackles and diminished breath sounds on auscultation, tachycardia, and fever, with an ROC area of 0.70 (0.65 to 0.75). Addition of CRP at the optimal cut off of &gt;30 mg/L increased the ROC area to 0.77 (0.73 to 0.81) and improved the diagnostic classification (net reclassification improvement 28%). In the 1556 patients classified according to symptoms, signs, and CRP &gt;30 mg/L as "low risk" (&lt;2.5%) for pneumonia, the prevalence of pneumonia was 2%. In the 132 patients classified as "high risk" (&gt;20%), the prevalence of pneumonia was 31%. The positive likelihood ratio of low, intermediate, and high risk for pneumonia was 0.4, 1.2, and 8.6 respectively. Measurement of procalcitonin added no relevant additional diagnostic information. A simplified diagnostic score based on symptoms, signs, and CRP &gt;30 mg/L resulted in proportions of pneumonia of 0.7%, 3.8%, and 18.2% in the low, intermediate, and high risk group respectively. A clinical rule based on symptoms and signs to predict pneumonia in patients presenting to primary care with acute cough performed best in patients with mild or severe clinical presentation. Addition of CRP concentration at the optimal cut off of &gt;30 mg/L improved diagnostic information, but measurement of procalcitonin concentration did not add clinically relevant information in this group.</t>
  </si>
  <si>
    <t>Targeted rotavirus vaccination of high-risk infants; a low cost and highly cost-effective alternative to universal vaccination.</t>
  </si>
  <si>
    <t>Bruijning-Verhagen, Patricia; Mangen, Marie-Josée J; Felderhof, Mariet; Hartwig, Nico G; van Houten, Marlies; Winkel, Léon; de Waal, Wouter J; Bonten, Marc J M</t>
  </si>
  <si>
    <t>https://pubmed.ncbi.nlm.nih.gov/23622110</t>
  </si>
  <si>
    <t>The cost-effectiveness of universal rotavirus (RV) vaccination is controversial in developed countries. As a result, RV vaccination programs do not currently exist in most European countries. Hospitalization is the main driver of RV disease costs, and prematurity, low birth weight (LBW) and underlying medical conditions have been associated with RV hospitalization and complications. We investigated the cost-effectiveness of targeted RV vaccination of high-risk infants and universal RV vaccination versus no vaccination. Disease burden, mortality and healthcare costs of RV hospitalization for children with and without prematurity, LBW and congenital pathology were quantified in two hospital-based observational studies in the Netherlands. Cost-effectiveness analysis was based on an age-structured stochastic multi-cohort model of the Dutch population comparing universal RV vaccination and targeted vaccination of high-risk infants to no vaccination. The primary endpoint was the incremental cost-effectiveness ratio (ICER), with a threshold of €35,000/quality-adjusted life year (QALY) from the healthcare provider perspective. Sensitivity analyses included vaccine price and coverage, herd-immunity and QALY losses. A total of 936 children with RV infection were included. Prematurity, LBW and congenital pathology were associated with increased risks of RV hospitalization (relative risks (RR) ranging from 1.6 to 4.4), ICU admission (RR ranging from 4.2 to 7.9), prolonged hospital stay (1.5 to 3.0 excess days) and higher healthcare costs (€648 to €1,533 excess costs). Seven children succumbed due to RV complications, all belonging to the high-risk population. Targeted RV vaccination was highly cost-effective and potentially cost-saving from the healthcare provider perspective with ICERs below €20,000/QALY in all scenarios with total (undiscounted) annual healthcare costs between -€0.1 and €0.5 million/year. Results were most sensitive to mortality rates, but targeted vaccination remained highly cost-effective up to reductions of 90% compared to observed mortality. Universal RV vaccination was not considered cost-effective (mean ICER: €60,200/QALY) unless herd-immunity and caretaker QALY losses were included and vaccine prices were €60 at most (mean ICER: €21,309/QALY). We recommend targeted RV vaccination for high-risk infants in developed countries.</t>
  </si>
  <si>
    <t>Attributable mortality of ventilator-associated pneumonia: a meta-analysis of individual patient data from randomised prevention studies.</t>
  </si>
  <si>
    <t>Melsen, Wilhelmina G; Rovers, Maroeska M; Groenwold, Rolf H H; Bergmans, Dennis C J J; Camus, Christophe; Bauer, Torsten T; Hanisch, Ernst W; Klarin, Bengt; Koeman, Mirelle; Krueger, Wolfgang A; Lacherade, Jean-Claude; Lorente, Leonardo; Memish, Ziad A; Morrow, Lee E; Nardi, Giuseppe; van Nieuwenhoven, Christianne A; O'Keefe, Grant E; Nakos, George; Scannapieco, Frank A; Seguin, Philippe; Staudinger, Thomas; Topeli, Arzu; Ferrer, Miquel; Bonten, Marc J M</t>
  </si>
  <si>
    <t>https://pubmed.ncbi.nlm.nih.gov/23622939</t>
  </si>
  <si>
    <t>Estimating attributable mortality of ventilator-associated pneumonia has been hampered by confounding factors, small sample sizes, and the difficulty of doing relevant subgroup analyses. We estimated the attributable mortality using the individual original patient data of published randomised trials of ventilator-associated pneumonia prevention. We identified relevant studies through systematic review. We analysed individual patient data in a one-stage meta-analytical approach (in which we defined attributable mortality as the ratio between the relative risk reductions [RRR] of mortality and ventilator-associated pneumonia) and in competing risk analyses. Predefined subgroups included surgical, trauma, and medical patients, and patients with different categories of severity of illness scores. Individual patient data were available for 6284 patients from 24 trials. The overall attributable mortality was 13%, with higher mortality rates in surgical patients and patients with mid-range severity scores at admission (ie, acute physiology and chronic health evaluation score [APACHE] 20-29 and simplified acute physiology score [SAPS 2] 35-58). Attributable mortality was close to zero in trauma, medical patients, and patients with low or high severity of illness scores. Competing risk analyses could be done for 5162 patients from 19 studies, and the overall daily hazard for intensive care unit (ICU) mortality after ventilator-associated pneumonia was 1·13 (95% CI 0·98-1·31). The overall daily risk of discharge after ventilator-associated pneumonia was 0·74 (0·68-0·80), leading to an overall cumulative risk for dying in the ICU of 2·20 (1·91-2·54). Highest cumulative risks for dying from ventilator-associated pneumonia were noted for surgical patients (2·97, 95% CI 2·24-3·94) and patients with mid-range severity scores at admission (ie, cumulative risks of 2·49 [1·81-3·44] for patients with APACHE scores of 20-29 and 2·72 [1·95-3·78] for those with SAPS 2 scores of 35-58). The overall attributable mortality of ventilator-associated pneumonia is 13%, with higher rates for surgical patients and patients with a mid-range severity score at admission. Attributable mortality is mainly caused by prolonged exposure to the risk of dying due to increased length of ICU stay. None.</t>
  </si>
  <si>
    <t>External validation and updating of a Dutch prediction model for low hemoglobin deferral in Irish whole blood donors.</t>
  </si>
  <si>
    <t>Baart, A Mireille; Atsma, Femke; McSweeney, Ellen N; Moons, Karel G M; Vergouwe, Yvonne; de Kort, Wim L A M</t>
  </si>
  <si>
    <t>https://pubmed.ncbi.nlm.nih.gov/23607909</t>
  </si>
  <si>
    <t>Recently, sex-specific prediction models for low hemoglobin (Hb) deferral have been developed in Dutch whole blood donors. In the present study, we validated and updated the models in a cohort of Irish whole blood donors. Prospectively collected data from 45,031 Irish whole blood donors were used. Hb cutoff levels for donation were approximately 0.35 mmol/L lower in Ireland than the Dutch cutoff levels (8.07 mmol/L vs. 8.40 mmol/L in men; 7.45 mmol/L vs. 7.80 mmol/L in women). The predictive performance of the models was assessed with calibration plots, calibration-in-the-large, and the concordance (c)-statistic. The models were updated by revising the strength of the individual predictors in the models. A total of 613 men (2.4%) and 1624 women (8.4%) were deferred from donation because of a low Hb level. Validation demonstrated underestimation of predicted risks and lower c-statistics for men and women compared to the Dutch cohort. The strength of most predictive factors, particularly previous Hb level, was lower in Irish donors. The updated models showed a c-statistic of 0.83 (95% confidence interval [CI], 0.81-0.84) for men and 0.76 (95% CI, 0.74-0.77) for women. The performance of Dutch prediction models for Hb deferral was limited when validated in Irish whole blood donors. Updating the models resulted in different predictor effects. This improved mainly the model calibration; the improvement in discrimination was small.</t>
  </si>
  <si>
    <t>Heart failure admissions in adults with congenital heart disease; risk factors and prognosis.</t>
  </si>
  <si>
    <t>Zomer, A C; Vaartjes, I; van der Velde, E T; de Jong, H M Y; Konings, T C; Wagenaar, L J; Heesen, W F; Eerens, F; Baur, L H B; Grobbee, D E; Mulder, B J M</t>
  </si>
  <si>
    <t>https://pubmed.ncbi.nlm.nih.gov/23602867</t>
  </si>
  <si>
    <t>Heart failure (HF) is a serious complication and often the cause of death in adults with congenital heart disease (CHD). Therefore, our aims were to determine the frequency of HF-admissions, and to assess risk factors of first HF-admission and of mortality after first HF-admission in adults with CHD. The Dutch CONCOR registry was linked to the Hospital Discharge Registry and National Mortality Registry to obtain data on HF-admissions and mortality. Risk factors for both HF-admission and mortality were assessed using Cox regression models. Of 10,808 adult patients (49% male), 274 (2.5%) were admitted for HF during a median follow-up period of 21 years. The incidence of first HF-admission was 1.2 per 1000 patient-years, but the incidence of HF itself will be higher. Main defect, multiple defects, and surgical interventions in childhood were identified as independent risk factors of HF-admission. Patients admitted for HF had a five-fold higher risk of mortality than patients not admitted (hazard ratio (HR)=5.3; 95% confidence interval 4.2-6.9). One- and three-year mortality after first HF-admission were 24% and 35% respectively. Independent risk factors for three-year mortality after first HF-admission were male gender, pacemaker implantation, admission duration, non-cardiac medication use and high serum creatinine. The incidence of HF-admission in adults with CHD is 1.2 per 1000 patient-years. Mortality risk is substantially increased after HF-admission, which emphasises the importance to identify patients at high risk of HF-admission. These patients might benefit from closer follow-up and earlier medical interventions. The presented risk factors may facilitate surveillance.</t>
  </si>
  <si>
    <t>The role of menaquinones (vitamin K₂) in human health.</t>
  </si>
  <si>
    <t>Beulens, Joline W J; Booth, Sarah L; van den Heuvel, Ellen G H M; Stoecklin, Elisabeth; Baka, Athanasia; Vermeer, Cees</t>
  </si>
  <si>
    <t>https://pubmed.ncbi.nlm.nih.gov/23590754</t>
  </si>
  <si>
    <t>Recent reports have attributed the potential health benefits of vitamin K beyond its function to activate hepatic coagulation factors. Moreover, several studies have suggested that menaquinones, also known as vitamin K2, may be more effective in activating extra-hepatic vitamin K-dependent proteins than phylloquinone, also known as vitamin K1. Nevertheless, present dietary reference values (DRV) for vitamin K are exclusively based on phylloquinone, and its function in coagulation. The present review describes the current knowledge on menaquinones based on the following criteria for setting DRV: optimal dietary intake; nutrient amount required to prevent deficiency, maintain optimal body stores and/or prevent chronic disease; factors influencing requirements such as absorption, metabolism, age and sex. Dietary intake of menaquinones accounts for up to 25% of total vitamin K intake and contributes to the biological functions of vitamin K. However, menaquinones are different from phylloquinone with respect to their chemical structure and pharmacokinetics, which affects bioavailability, metabolism and perhaps impact on health outcomes. There are significant gaps in the current knowledge on menaquinones based on the criteria for setting DRV. Therefore, we conclude that further investigations are needed to establish how differences among the vitamin K forms may influence tissue specificities and their role in human health. However, there is merit for considering both menaquinones and phylloquinone when developing future recommendations for vitamin K intake.</t>
  </si>
  <si>
    <t>Common carotid intima-media thickness does not add to Framingham risk score in individuals with diabetes mellitus: the USE-IMT initiative.</t>
  </si>
  <si>
    <t>den Ruijter, H M; Peters, S A E; Groenewegen, K A; Anderson, T J; Britton, A R; Dekker, J M; Engström, G; Eijkemans, M J; Evans, G W; de Graaf, J; Grobbee, D E; Hedblad, B; Hofman, A; Holewijn, S; Ikeda, A; Kavousi, M; Kitagawa, K; Kitamura, A; Koffijberg, H; Ikram, M A; Lonn, E M; Lorenz, M W; Mathiesen, E B; Nijpels, G; Okazaki, S; O'Leary, D H; Polak, J F; Price, J F; Robertson, C; Rembold, C M; Rosvall, M; Rundek, T; Salonen, J T; Sitzer, M; Stehouwer, C D A; Witteman, J C; Moons, K G; Bots, M L</t>
  </si>
  <si>
    <t>https://pubmed.ncbi.nlm.nih.gov/23568273</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</si>
  <si>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</si>
  <si>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Individual participant data meta-analysis for a binary outcome: one-stage or two-stage?</t>
  </si>
  <si>
    <t>Debray, Thomas P A; Moons, Karel G M; Abo-Zaid, Ghada Mohammed Abdallah; Koffijberg, Hendrik; Riley, Richard David</t>
  </si>
  <si>
    <t>https://pubmed.ncbi.nlm.nih.gov/23585842</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</si>
  <si>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</si>
  <si>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Referrals for recurrent respiratory tract infections including otitis media in young children.</t>
  </si>
  <si>
    <t>van de Pol, Alma C; van der Gugten, Anne C; van der Ent, Cornelis K; Schilder, Anne G M; Benthem, Elsje M; Smit, Henriette A; Stellato, Rebecca K; de Wit, Niek J; Damoiseaux, Roger A</t>
  </si>
  <si>
    <t>https://pubmed.ncbi.nlm.nih.gov/23566424</t>
  </si>
  <si>
    <t>(a) To establish whether disease-related, child-related, and physician-related factors are independently associated with specialist referral in young children with recurrent RTI, and (b) to evaluate whether general practitioners (GPs) follow current guidelines regarding these referrals. Electronic GP records of children under 24 month of age, born 2002-2008, were reviewed for RTI episodes using ICPC codes. Child-related factors were extracted from the prospective WHISTLER birth-cohort in which a considerable part of children had been enrolled. To evaluate guideline adherence, referral data were compared to national guideline recommendations. Consultations for 2532 RTI episodes (1041 children) were assessed. Seventy-eight children were referred for recurrent RTI (3.1% of RTI episodes; 7.5% of children). Disease factors were the main determinants of referral: number (OR 1.7 [CI 1.7-1.7]) and severity of previous RTI episodes (OR 2.2 [CI 1.6-2.8]), and duration of RTI episode (OR 1.7 [CI 1.7-1.8]). The non-disease factors daycare attendance (OR 1.3 [CI 1.0-1.7]) and 5-10 years working experience as a GP compared with &lt;5 years (OR 0.37 [CI 0.27-0.50]) were also associated. Fifty-seven percent of referrals for recurrent RTI were made in accordance with national guidelines. Referral of children for recurrent RTI was primarily determined by frequency, severity, and duration of RTIs; the influence of non-disease factors was limited. Just over half of referrals were made in accordance with guidelines.</t>
  </si>
  <si>
    <t>Defining and improving quality management in Dutch diabetes care groups and outpatient clinics: design of the study.</t>
  </si>
  <si>
    <t>Campmans-Kuijpers, Marjo J E; Lemmens, Lidwien C; Baan, Caroline A; Gorter, Kees J; Groothuis, Jolanda; van Vuure, Klementine H; Rutten, Guy E H M</t>
  </si>
  <si>
    <t>https://pubmed.ncbi.nlm.nih.gov/23561032</t>
  </si>
  <si>
    <t>Worldwide, the organisation of diabetes care is changing. As a result general practices and diabetes teams in hospitals are becoming part of new organisations in which multidisciplinary care programs are implemented. In the Netherlands, 97 diabetes care groups and 104 outpatient clinics are working with a diabetes care program. Both types of organisations aim to improve the quality of diabetes care. Therefore, it is essential to understand the comprehensive elements needed for optimal quality management at organisational level. This study aims to assess the current level of diabetes quality management in both care groups and outpatient clinics and its improvement after providing feedback on their quality management system and tailored support. This study is a before-after study with a one-year follow-up comparing the levels of quality management before and after an intervention to improve diabetes quality management. To assess the status of quality management, online questionnaires were developed based on current literature. They consist of six domains: organisation of care, multidisciplinary teamwork, patient centeredness, performance management, quality improvement policy and management strategies. Based on the questionnaires, respondents will receive feedback on their score in a radar diagram and an elucidating table. They will also be granted access to an online toolbox with instruments that proved to be effective in quality of care improvement and with practical examples. If requested, personal support in implementing these tools will be available. After one year quality management will be measured again using the same questionnaire. This study will reveal a nationwide picture of quality management in diabetes care groups and outpatient clinics in the Netherlands and evaluate the effect of offering tailored support. The operationalisation of quality management on organisational level may be of interest for other countries as well.</t>
  </si>
  <si>
    <t>Long-term health benefits and costs of measurement of carotid intima-media thickness in prevention of coronary heart disease.</t>
  </si>
  <si>
    <t>den Ruijter, Hester M; Vaartjes, Ilonca; Sutton-Tyrrell, Kim; Bots, Michiel L; Koffijberg, Hendrik</t>
  </si>
  <si>
    <t>https://pubmed.ncbi.nlm.nih.gov/23442989</t>
  </si>
  <si>
    <t>Recently, it was demonstrated that information on carotid intima-media thickness (CIMT) and plaque may improve coronary heart disease (CHD) risk prediction through reclassification of some individuals to the correct risk category using the Framingham risk score. Our objective was to assess the currently unknown cost-effectiveness of CIMT measurements in primary prevention. A hypothetical cohort of men and women aged 50-59 years and at intermediate or high CHD risk based on data from the Atherosclerosis Risk in Communities Study was simulated using a Markov model. Myocardial infarction (MI) events were used as a proxy for CHD. The effectiveness of pharmaceutical treatment was varied in the analysis. Sensitivity analysis was performed to obtain robust results. CIMT-based reclassification induced a 1% lower absolute risk of MI and 0.01-0.02 increase in quality-adjusted life years (QALYs) for men, and a 1-3% lower risk, and 0.03-0.05 increase in QALYs for women, over a period of 20-30 years. Corresponding costs were an additional $100 per man, and a cost-saving of $200-300 per woman. Over a 10-year period CIMT measurements were cost-effective with a probability of 66% (men), and 94% (women). Over a 30-year period, CIMT measurements had acceptable cost-effectiveness for men and women. Performing CIMT measurements in asymptomatic men and women aged 50-59 years results in additional, but small, health benefits. It takes time for these health benefits to outweigh the initial CIMT measurement costs. Our results support CIMT measurements for cardiovascular risk stratification, in particular for women, when focusing on long-term health.</t>
  </si>
  <si>
    <t>Dutch postgraduate GP selection procedure; reliability of interview assessments.</t>
  </si>
  <si>
    <t>Vermeulen, Margit I; Kuyvenhoven, Marijke M; Zuithoff, Nicolaas P A; van der Graaf, Yolanda; Damoiseaux, Roger A M J</t>
  </si>
  <si>
    <t>https://pubmed.ncbi.nlm.nih.gov/23537312</t>
  </si>
  <si>
    <t>Semi- structured interviews are the core of the Dutch selection procedure for postgraduate general practice (GP) training. A staff member, trainer and trainee independently assess personal qualities. Aiming to improve the selection procedure we were interested in the reliability aspects of these interviews. We investigated the inter-rater reliability of the interview for groups of two or three assessors and the degree to which candidates' characteristics and qualities assessed during interviews explained admission into GP training, controlled for differences between those who apply for the first versus the second or third application. An observational study was conducted of all candidates who entered the Utrecht selection procedure between April 2008 and 2010. Candidates' characteristics and qualities were collected. Inter-rater reliability of different compositions of the interview group per quality was estimated. Factors associated with admission into GP training were assessed. The study population included 394 candidates. Twenty-six candidates were rejected based on their application letter (4.4%). Three candidates who applied more than 3 times were excluded. Ultimately, 206 of the 365 candidates were admitted to the GP training (56,4%). The inter-rater reliability was satisfactory (ICC: 0.78 - 0 .84). Reduction from three to two assessors slightly reduces the ICC. The candidates' qualities independently explained admission to GP training, whereas individual characteristics did not. These results did not differ for candidates who applied for the first time versus candidates applying for the second or third time. Selection interviews with two assessors yielded a satisfactory level of reliability. Individual characteristics were not associated with admission, whereas scores related to candidate qualities did show such an association. The results of those applying for the second or third time were similar.</t>
  </si>
  <si>
    <t>Multi-channel search for squarks and gluinos in [Formula: see text]&lt;i&gt;pp&lt;/i&gt; collisions with the ATLAS detector at the LHC.</t>
  </si>
  <si>
    <t>https://pubmed.ncbi.nlm.nih.gov/25814856</t>
  </si>
  <si>
    <t>A search for supersymmetric particles in final states with zero, one, and two leptons, with and without jets identified as originating from &lt;i&gt;b&lt;/i&gt;-quarks, in 4.7 fb&lt;sup&gt;-1&lt;/sup&gt; of [Formula: see text]&lt;i&gt;pp&lt;/i&gt; collisions produced by the Large Hadron Collider and recorded by the ATLAS detector is presented. The search uses a set of variables carrying information on the event kinematics transverse and parallel to the beam line that are sensitive to several topologies expected in supersymmetry. Mutually exclusive final states are defined, allowing a combination of all channels to increase the search sensitivity. No deviation from the Standard Model expectation is observed. Upper limits at 95 % confidence level on visible cross-sections for the production of new particles are extracted. Results are interpreted in the context of the constrained minimal supersymmetric extension to the Standard Model and in supersymmetry-inspired models with diverse, high-multiplicity final states.</t>
  </si>
  <si>
    <t>Development of a proactive care program (U-CARE) to preserve physical functioning of frail older people in primary care.</t>
  </si>
  <si>
    <t>Bleijenberg, Nienke; ten Dam, Valerie H; Drubbel, Irene; Numans, Mattijs E; de Wit, Niek J; Schuurmans, Marieke J</t>
  </si>
  <si>
    <t>https://pubmed.ncbi.nlm.nih.gov/23530956</t>
  </si>
  <si>
    <t>Care for older patients in primary care is currently reactive, fragmented, and time consuming. An innovative structured and proactive primary care program (U-CARE) has been developed to preserve physical functioning and enhance quality of life of frail older people. This study describes in detail the development process of the U-CARE program to allow its replication. The framework of the Medical Research Council (MRC) for the development and evaluation of complex interventions was used as a theoretical guide for the design of the U-CARE program. An extended stepwise multimethod procedure was used to develop U-CARE. A team of researchers, general practitioners, registered practice nurses, experts, and an independent panel of older persons was involved in the development process to increase its feasibility in clinical practice. A systematic review of the literature and of relevant guidelines, combined with clinical practice experience and expert opinion, was used for the development of the intervention. Based on predefined potentially effective guiding components, the U-CARE program comprises three steps: a frailty assessment, a comprehensive geriatric assessment at home followed by a tailor-made care plan, and multiple follow-up visits. Evidence-based care plans were developed for 11 geriatric conditions. The feasibility in clinical practice was tested and approved by experienced registered practice nurses. Using the MRC Framework, a detailed description of the development process of the innovative U-CARE program is provided, which is often missing in reports of complex intervention trials. Based on our feasibility-pilot study, the general practitioners and the registered practice nurses indicated that the U-CARE intervention is feasible in clinical practice. The U-CARE program consists of promising components and has the potential to improve the care of older patients.</t>
  </si>
  <si>
    <t>The "Test Your Memory" test performs better than the MMSE in a population without known cognitive dysfunction.</t>
  </si>
  <si>
    <t>Koekkoek, Paula S; Rutten, Guy E H M; van den Berg, Esther; van Sonsbeek, Sanne; Gorter, Kees J; Kappelle, L Jaap; Biessels, Geert Jan</t>
  </si>
  <si>
    <t>https://pubmed.ncbi.nlm.nih.gov/23531478</t>
  </si>
  <si>
    <t>To examine the relation of performance on the self-administered Test Your Memory test (TYM) and the Mini-Mental State Examination (MMSE) with a comprehensive neuropsychological assessment in a population sample including people with modest cognitive decrements. Eighty-six participants (aged 56-77 years), without known cognitive dysfunction, performed a neuropsychological assessment including MMSE, and were asked to fill out the TYM. The relation between both the TYM and the MMSE and a neuropsychological assessment was examined by means of correlation analyses, area under the ROC curves for discriminating between a "normal" and "modest decrements"(≥1SD below the sample mean) group, and Bland-Altman plots. Correlation with the full neuropsychological assessment was significantly stronger for the TYM than the MMSE (r=0.78 versus r=0.55; Steiger's Z=2.66, p&lt;0.01). The TYM showed an area under the ROC-curve of 0.88 (95% CI 0.80 to 0.97) for differentiating between "normal" and "modest decrements" compared with 0.71 (0.53 to 0.90) for the MMSE. Bland-Altman plots showed limits of agreement for the TYM of -1.10 to 1.10 and for the MMSE of -1.39 to 1.38. The TYM showed good correlation with a neuropsychological assessment, performed better in discriminating between variations of cognition and showed more agreement with a neuropsychological assessment than the MMSE.</t>
  </si>
  <si>
    <t>Differences in interaction and subgroup-specific effects were observed between randomized and nonrandomized studies in three empirical examples.</t>
  </si>
  <si>
    <t>Schmidt, Amand F; Rovers, Maroeska M; Klungel, Olaf H; Hoes, Arno W; Knol, Mirjam J; Nielen, Mirjam; de Boer, Antonius; Groenwold, Rolf H H</t>
  </si>
  <si>
    <t>https://pubmed.ncbi.nlm.nih.gov/23510555</t>
  </si>
  <si>
    <t>To determine the comparability of subgroup-specific and interaction effects (differences between subgroups) between different study designs. We compared effects of interventions based on observational studies, randomized clinical trials (RCTs), and individual patient data meta-analyses (IPDMAs) of RCTs (reference) on three clinical topics: (1) mammography screening and breast cancer mortality, (2) coronary artery bypass surgery (CABG) and all-cause mortality, and (3) statins and incidence of major coronary events. Main, subgroup-specific, and interaction effects were compared. Main and subgroup-specific effects were comparable with respect to the direction of the effects. Differences in the magnitude of subgroup-specific effects in observational studies yielded different interactions compared with those in IPDMA. In the mammography example, the ratio of risk ratios (RRR) (i.e., interaction effect) among observational studies was 1.46 [95% confidence interval (CI): 1.09, 1.96] compared with an IPDMA effect of 1.10 (95% CI: 0.89, 1.37). For the CABG studies, the observational RRR was 1.03 (95% CI: 0.84, 1.26), whereas in the IPDMA, this was 1.40 (95% CI: 1.08, 1.1.81). Finally, in the statin example, the RRR was 1.35 (95% CI: 1.13, 1.61) and 0.90 (95% CI: 0.84, 0.97) for observational studies and IPDMA, respectively. Main and subgroup-specific effects based on observational data were similar to main and subgroup-specific effects in IPDMAs based on RCTs, yet interactions differed.</t>
  </si>
  <si>
    <t>Decline in incidence of HIV and hepatitis C virus infection among injecting drug users in Amsterdam; evidence for harm reduction?</t>
  </si>
  <si>
    <t>de Vos, Anneke S; van der Helm, Jannie J; Matser, Amy; Prins, Maria; Kretzschmar, Mirjam E E</t>
  </si>
  <si>
    <t>https://pubmed.ncbi.nlm.nih.gov/23347124</t>
  </si>
  <si>
    <t>In Amsterdam, HIV prevalence has nearly halved among injecting drug users (IDU) since 1990. Hepatitis C virus (HCV) prevalence also declined; HIV and HCV incidence dropped to nearly zero. We examined possible explanations for these time trends, among which the implementation of harm reduction measures aimed at reducing the risk behaviour of IDU. We used individual-based modelling of the spread of HIV and HCV. Information about demographic parameters was obtained from the Amsterdam Cohort Study (ACS) among drug users. The model included changes in inflow of new IDU and death rates over time, the latter dependent on age and time since HIV seroconversion. We considered different scenarios of risk behaviour. IDU in Amsterdam. Simulated HIV and HCV incidence and prevalence were compared with ACS data. Assuming that harm reduction measures had led to a strong decrease in risk behaviour over time improved the model fit (squared residuals decreased by 30%). However, substantial incidence and HIV prevalence decline were already reproduced by incorporating demographic changes into the model. In particular, lowered disease spread might be a result of depletion of high-risk IDU among those at risk for disease, and a decrease in the number of high-risk individuals in the population due to HIV-related mortality. Marked decreases in HIV and HCV in Amsterdam since 1990 could be due partly to harm reduction measures; however, they may also be attributable largely to changes in the IDU population. Future research aimed at quantifying the benefits of interventions should not neglect the impact of natural epidemic progression and demographic changes.</t>
  </si>
  <si>
    <t>Endogenous sex hormones and subclinical atherosclerosis in middle-aged and older men.</t>
  </si>
  <si>
    <t>Brand, Judith S; den Ouden, Marjolein E M; Schuurmans, Marieke J; Bots, Michiel L; van der Schouw, Yvonne T</t>
  </si>
  <si>
    <t>https://pubmed.ncbi.nlm.nih.gov/23465225</t>
  </si>
  <si>
    <t>Exploring the expectations, needs and experiences of general practitioners and nurses towards a proactive and structured care programme for frail older patients: a mixed-methods study.</t>
  </si>
  <si>
    <t>Bleijenberg, Nienke; Ten Dam, Valerie Hester; Steunenberg, Bas; Drubbel, Irene; Numans, Mattijs E; De Wit, Niek J; Schuurmans, Marieke J</t>
  </si>
  <si>
    <t>https://pubmed.ncbi.nlm.nih.gov/23461433</t>
  </si>
  <si>
    <t>To report the expectations and experiences of general practitioners and practice nurses regarding the U-CARE programme, to gain a better understanding of the barriers and facilitators in providing proactive, structured care to frail older people and to determine whether implementation is feasible. Care for older patients with complex care needs in primary care is fragmented, reactive and time consuming. A structured, proactive care programme was developed to improve physical functioning and quality of life in frail older patients. An explanatory mixed-methods study nested in a cluster-randomized trial. The barriers to and needs for the provision of structured, proactive care, and expectations regarding the U-CARE programme were assessed with pre-questionnaires sent to all participating general practitioners (n = 32) and practice nurses (n = 21) in October 2010. Postquestionnaires measured experiences with the programme after 5 months. Twelve months later, focus group meetings were conducted. Practice nurses and general practitioners reported that it was difficult to provide proactive and structured care to older patients with multi-morbidity, different cultural backgrounds and low socioeconomic status. Barriers were a lack of time and financial compensation. Most general practitioners and practice nurses indicated that the programme added value for the coordination of care and allowed them to provide structured care. This explanatory mixed-methods study showed that general practitioners and practice nurses perceived the U-CARE programme as feasible in general practice. A transition was made from reactive, ad hoc care towards a proactive and preventive care approach.</t>
  </si>
  <si>
    <t>Measurement of the [Formula: see text] production cross section in the tau + jets channel using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</si>
  <si>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t>
  </si>
  <si>
    <t>https://pubmed.ncbi.nlm.nih.gov/25814855</t>
  </si>
  <si>
    <t>A measurement of the top quark pair production cross section in the final state with a hadronically decaying tau lepton and jets is presented. The analysis is based on proton-proton collision data recorded by the ATLAS experiment at the LHC, with a centre-of-mass energy of 7 TeV. The data sample corresponds to an integrated luminosity of 1.67 fb&lt;sup&gt;-1&lt;/sup&gt;. The cross section is measured to be [Formula: see text] and is in agreement with other measurements and with the Standard Model prediction.</t>
  </si>
  <si>
    <t>Jet energy resolution in proton-proton collisions at [Formula: see text] recorded in 2010 with the ATLAS detector.</t>
  </si>
  <si>
    <t>,;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Amorim, A; Amram, N; Anastopoulos, C; Ancu, L S; Andari, N; Andeen, T; Anders, C F; Anders, G; Anderson, K J; Andreazza, A; Andrei, V; Anduaga, X S; Anger, P; Angerami, A; Anghinolfi, F; Anisenkov,</t>
  </si>
  <si>
    <t>https://pubmed.ncbi.nlm.nih.gov/25814854</t>
  </si>
  <si>
    <t>The measurement of the jet energy resolution is presented using data recorded with the ATLAS detector in proton-proton collisions at [Formula: see text]. The sample corresponds to an integrated luminosity of 35 pb&lt;sup&gt;-1&lt;/sup&gt;. Jets are reconstructed from energy deposits measured by the calorimeters and calibrated using different jet calibration schemes. The jet energy resolution is measured with two different in situ methods which are found to be in agreement within uncertainties. The total uncertainties on these measurements range from 20 % to 10 % for jets within |&lt;i&gt;y&lt;/i&gt;|&lt;2.8 and with transverse momenta increasing from 30 GeV to 500 GeV. Overall, the Monte Carlo simulation of the jet energy resolution agrees with the data within 10 %.</t>
  </si>
  <si>
    <t>Long term quality-of-life in patients with bradycardia pacemaker implantation.</t>
  </si>
  <si>
    <t>Udo, Erik O; van Hemel, Norbert M; Zuithoff, Nicolaas P A; Nijboer, Heidi; Taks, William; Doevendans, Pieter A; Moons, Karel G M</t>
  </si>
  <si>
    <t>https://pubmed.ncbi.nlm.nih.gov/23453871</t>
  </si>
  <si>
    <t>Health-related quality of life (HRQoL) values shortly after pacemaker (PM) implantation for bradycardia have been established, however little is known about long-term HRQoL. Using the generic SF-36 and the PM specific Aquarel questionnaire, HRQoL was repeatedly measured during a 7.5 year follow-up period in 881 bradycardia PM recipients included in the large scale nationwide Dutch FOLLOWPACE study. HRQoL over time, corrected for age, gender, diabetes, hypertension, heart failure, cardiovascular disease and AV-synchrony, was assessed with a linear mixed model. Increased scores both on overall SF-36 and on all SF-36 subscales were observed shortly after implantation. Although scores on SF-36 gradually declined over time, scores remained improved over the measured pre-implantation values. Also, scores for almost all subscales remained increased throughout the 7.5 year observation period, except for physical functioning which showed a gradual decline several years after the initial rise. Additionally, higher scores on all Aquarel scales were observed after implantation. Scores on the arrhythmias and chest discomfort subscales improved and remained stable throughout follow-up (FU), whereas the dyspnea at exertion subscale showed a gradual decline during FU to reach pre-implantation values at 5 years. Increased HRQoL is observed not only shortly after PM implantation, but also after long-term FU. ClinicalTrials.gov Identifier: NCT00135174; http://www.clinicaltrials.gov/ct2/show/NCT00135174.</t>
  </si>
  <si>
    <t>Physical activity in patients with metabolic syndrome: at screening and three years thereafter.</t>
  </si>
  <si>
    <t>Jansen, Hanneke; den Engelsen, Corine; Rutten, Guy E H M</t>
  </si>
  <si>
    <t>metabolic syndrome and related disorders</t>
  </si>
  <si>
    <t>https://pubmed.ncbi.nlm.nih.gov/23438154</t>
  </si>
  <si>
    <t>Metabolic syndrome is a cluster of risk factors for cardiovascular disease and type 2 diabetes. Physical activity can decrease these risks. Many randomized clinical trials to increase physical activity have demonstrated disappointing results, and implementation in daily practice appeared to be difficult. The aim of this study was to investigate whether 3 years of usual care with available guidelines in a primary care setting result in change in physical activity in patients with screen-detected metabolic syndrome. After a population-based screening, 473 patients were diagnosed with metabolic syndrome and received advice to increase physical activity. Three years later, they were invited for follow-up. Physical activity was measured by means of the validated SQUASH questionnaire. The primary outcome measure was: % of metabolic syndrome patients that fulfill the Dutch Physical Activity Guideline (DPAG) criterion (30 min of moderately intensive physical activity at least 5 days per week) at screening and follow-up. In the final study population (n=168), the proportion of patients fulfilling the DPAG criterion did not significantly increase between screening (56.0%) and follow-up (60.7%) (P=0.29). Female gender [odds ratio (OR)=3.59; 95% confidence interval (CI) 1.24-10.39] and body mass index (BMI) at baseline (OR=0.82; 95% CI 0.69-0.97) appeared to be independent predictors of increase in physical activity. In this real-world setting, despite the advice to increase physical activity, the number of metabolic syndrome patients with sufficient physical activity did not significantly increase after 3 years. This finding confirms the need for an intensified approach to achieve an increase in physical activity in this group, with special attention to men and patients with higher BMI values.</t>
  </si>
  <si>
    <t>Cost and effects of different admission screening strategies to control the spread of methicillin-resistant Staphylococcus aureus.</t>
  </si>
  <si>
    <t>Gurieva, Tanya; Bootsma, Martin C J; Bonten, Marc J M</t>
  </si>
  <si>
    <t>https://pubmed.ncbi.nlm.nih.gov/23436984</t>
  </si>
  <si>
    <t>Nosocomial infection rates due to antibiotic-resistant bacteriae, e.g., methicillin-resistant Staphylococcus aureus (MRSA) remain high in most countries. Screening for MRSA carriage followed by barrier precautions for documented carriers (so-called screen and isolate (S&amp;I)) has been successful in some, but not all settings. Moreover, different strategies have been proposed, but comparative studies determining their relative effects and costs are not available. We, therefore, used a mathematical model to evaluate the effect and costs of different S&amp;I strategies and to identify the critical parameters for this outcome. The dynamic stochastic simulation model consists of 3 hospitals with general wards and intensive care units (ICUs) and incorporates readmission of carriers of MRSA. Patient flow between ICUs and wards was based on real observations. Baseline prevalence of MRSA was set at 20% in ICUs and hospital-wide at 5%; ranges of costs and infection rates were based on published data. Four S&amp;I strategies were compared to a do-nothing scenario: S&amp;I of previously documented carriers ("flagged" patients); S&amp;I of flagged patients and ICU admissions; S&amp;I of flagged and group of "frequent" patients; S&amp;I of all hospital admissions (universal screening). Evaluated levels of efficacy of S&amp;I were 10%, 25%, 50% and 100%. Our model predicts that S&amp;I of flagged and S&amp;I of flagged and ICU patients are the most cost-saving strategies with fastest return of investment. For low isolation efficacy universal screening and S&amp;I of flagged and "frequent" patients may never become cost-saving. Universal screening is predicted to prevent hardly more infections than S&amp;I of flagged and "frequent" patients, albeit at higher costs. Whether an intervention becomes cost-saving within 10 years critically depends on costs per infection in ICU, costs of screening and isolation efficacy.</t>
  </si>
  <si>
    <t>One-year effect of a nurse-led psychosocial intervention on depressive symptoms in patients with head and neck cancer: a randomized controlled trial.</t>
  </si>
  <si>
    <t>van der Meulen, Ingeborg C; May, Anne M; Ros, Wynand J G; Oosterom, Miriam; Hordijk, Gert-Jan; Koole, Ron; de Leeuw, J Rob J</t>
  </si>
  <si>
    <t>the oncologist</t>
  </si>
  <si>
    <t>https://pubmed.ncbi.nlm.nih.gov/23429740</t>
  </si>
  <si>
    <t>Many patients with head and neck cancer (HNC) experience depressive symptoms after treatment. This randomized controlled trial investigated the effects of a psychosocial nurse counseling and after intervention (NUCAI) versus usual care on the depressive and HNC-related physical symptoms of patients with HNC at 1 year after diagnosis. A total of 205 patients with HNC were randomly assigned to either intervention (n = 103) or usual care (n = 102), with stratification for gender and tumor stage. The NUCAI, which consisted of six bimonthly 45-minute counseling sessions, was a problem-focused intervention aimed at helping patients to manage the physical, psychological, and social consequences of HNC and its treatment. It was nurse-led and offered in combination with regular medical follow-up visits at the University Medical Center Utrecht, the Netherlands. Depressive symptoms at 1 year after diagnosis were the primary outcome. Analyses were performed on an intention-to-treat basis for the total sample and for a predefined subgroup of patients with raised levels of depressive symptoms (Center for Epidemiologic Studies-Depression score ≥ 12; n = 91) at baseline using mixed-effect models. One year after HNC treatment, levels of depressive symptoms were significantly lower in the intervention group than in the control group in the total sample and in the subgroup of patients with raised levels of depressive symptoms. The NUCAI was feasible and effective in reducing depressive symptoms in patients with HNC 1 year after HNC treatment, and especially in patients with raised levels of depressive symptoms. The results of this study need to be confirmed in future studies before the NUCAI can be used in daily clinical practice.</t>
  </si>
  <si>
    <t>Prediction models for clustered data: comparison of a random intercept and standard regression model.</t>
  </si>
  <si>
    <t>Bouwmeester, Walter; Twisk, Jos W R; Kappen, Teus H; van Klei, Wilton A; Moons, Karel G M; Vergouwe, Yvonne</t>
  </si>
  <si>
    <t>https://pubmed.ncbi.nlm.nih.gov/23414436</t>
  </si>
  <si>
    <t>When study data are clustered, standard regression analysis is considered inappropriate and analytical techniques for clustered data need to be used. For prediction research in which the interest of predictor effects is on the patient level, random effect regression models are probably preferred over standard regression analysis. It is well known that the random effect parameter estimates and the standard logistic regression parameter estimates are different. Here, we compared random effect and standard logistic regression models for their ability to provide accurate predictions. Using an empirical study on 1642 surgical patients at risk of postoperative nausea and vomiting, who were treated by one of 19 anesthesiologists (clusters), we developed prognostic models either with standard or random intercept logistic regression. External validity of these models was assessed in new patients from other anesthesiologists. We supported our results with simulation studies using intra-class correlation coefficients (ICC) of 5%, 15%, or 30%. Standard performance measures and measures adapted for the clustered data structure were estimated. The model developed with random effect analysis showed better discrimination than the standard approach, if the cluster effects were used for risk prediction (standard c-index of 0.69 versus 0.66). In the external validation set, both models showed similar discrimination (standard c-index 0.68 versus 0.67). The simulation study confirmed these results. For datasets with a high ICC (≥15%), model calibration was only adequate in external subjects, if the used performance measure assumed the same data structure as the model development method: standard calibration measures showed good calibration for the standard developed model, calibration measures adapting the clustered data structure showed good calibration for the prediction model with random intercept. The models with random intercept discriminate better than the standard model only if the cluster effect is used for predictions. The prediction model with random intercept had good calibration within clusters.</t>
  </si>
  <si>
    <t>Identification of high-risk individuals for the development of disability in activities of daily living. A ten-year follow-up study.</t>
  </si>
  <si>
    <t>den Ouden, Marjolein E M; Schuurmans, Marieke J; Mueller-Schotte, Sigrid; van der Schouw, Y T</t>
  </si>
  <si>
    <t>https://pubmed.ncbi.nlm.nih.gov/23403381</t>
  </si>
  <si>
    <t>Independence in activities of daily living (ADL) is important in an aging population. ADL disability is a multifactorial problem, therefore a multifactorial approach is needed in the prediction of ADL disability. Our objective is to identify predictors for the development of ADL disability over a course of ten years in middle-aged and older persons. In a prospective cohort study, 478 middle-aged and older persons (61.2 years, range 40-78 years) without ADL disability at baseline were included. ADL disability was measured using the Katz-questionnaire. We included the following candidate predictors: number of chronic diseases, MMSE, Short Physical Performance Battery, leg strength, handgrip strength, physical activity, cholesterol/HDL ratio, BMI, pulse wave velocity, the degree of urbanization, age, gender and socioeconomic status. Associations between candidate predictors and ADL disability were examined using Poisson regression analysis. Performance of the prediction model was assessed with calibration and discrimination measures. The number of chronic diseases, muscle strength, age, gender and socioeconomic status were predictors of ADL disability at ten-year follow-up. The model showed a good calibration and discrimination (c-statistic: 0.83) between persons who will and will not develop ADL disability. In conclusion, the present study showed that using a multifactorial prediction model - based on easily and readily available measurements - individuals who are at high risk of developing ADL disability could be identified. The prediction model could be used as a screening tool to identify which persons most likely benefit from preventive strategies and interventions.</t>
  </si>
  <si>
    <t>Computerized decision support systems in primary care for type 2 diabetes patients only improve patients' outcomes when combined with feedback on performance and case management: a systematic review.</t>
  </si>
  <si>
    <t>Cleveringa, Frits G W; Gorter, Kees J; van den Donk, Maureen; van Gijsel, Juliette; Rutten, Guy E H M</t>
  </si>
  <si>
    <t>https://pubmed.ncbi.nlm.nih.gov/23360424</t>
  </si>
  <si>
    <t>Computerized decision support systems (CDSSs) are often part of a multifaceted intervention to improve diabetes care. We reviewed the effects of CDSSs alone or in combination with other supportive tools in primary care for type 2 diabetes mellitus (T2DM). A systematic literature search was conducted for January 1990-July 2011 in PubMed, Embase, and the Cochrane Database and by consulting reference lists. Randomized controlled trials (RCTs) in general practice were selected if the interventions consisted of a CDSS alone or combined with a reminder system and/or feedback on performance and/or case management. The intervention had to be compared with usual care. Two pairs of reviewers independently abstracted all available data. The data were categorized by process of care and patient outcome measures. Twenty RCTs met inclusion criteria. In 14 studies a CDSS was combined with another intervention. Two studies were left out of the analysis because of low quality. Four studies with a CDSS alone and four studies with a CDSS and reminders showed improvements of the process of care. CDSS with feedback on performance with or without reminders improved the process of care (one study) and patient outcome (two studies). CDSS with case management improved patient outcome (two studies). CDSS with reminders, feedback on performance, and case management improved both patient outcome and the process of care (two studies). CDSSs used by healthcare providers in primary T2DM care are effective in improving the process of care; adding feedback on performance and/or case management may also improve patient outcome.</t>
  </si>
  <si>
    <t>Electrocardiographic characteristics of patients with chronic obstructive pulmonary disease.</t>
  </si>
  <si>
    <t>Warnier, Miriam J; Rutten, Frans H; Numans, Mattijs E; Kors, Jan A; Tan, Hanno L; de Boer, Anthonius; Hoes, Arno W; De Bruin, Marie L</t>
  </si>
  <si>
    <t>copd</t>
  </si>
  <si>
    <t>https://pubmed.ncbi.nlm.nih.gov/23413894</t>
  </si>
  <si>
    <t>Patients with chronic obstructive pulmonary disease (COPD) are at increased risk of cardiovascular disease. Electrocardiography (ECG) carries information about cardiac disease and prognosis, but studies comparing ECG characteristics between patients with and without COPD are lacking. We related ECG characteristics of patients with COPD, to ECG characteristics of patients without COPD, and determined whether ECG abnormalities are related to COPD severity. A cross-sectional study was conducted within a cohort of 243 COPD patients, aged 65 years or older. All patients underwent extensive examinations, including resting 12-lead ECG and pulmonary function tests. The reference group (n = 293) was a sample from the general population, also aged 65 or older, without COPD. Abnormal ECGs were more prevalent in COPD patients (50%) than in patients without COPD (36%, p = 0.054). Conduction abnormalities were the most common ECG abnormality in COPD patients (28%) being significantly more prevalent than in patients without COPD (11%, p &lt; 0.001). The mean heart rate was higher in COPD patients (72 bpm (SD 14)) compared to controls (65 bpm (SD 13), p &lt; 0.001), and QTc prolongation was less frequent in COPD patients (9% versus 14%, p = 0.01). The prevalence of ECG abnormalities increased with severity of pulmonary obstruction. ECG abnormalities, especially conduction abnormalities are common in COPD patients, and the prevalence of ECG abnormalities increases with severity of COPD. This underlines the importance of an integrated-care approach for COPD patients, paying attention to early detection of unrecognized coexisting cardiac disorders.</t>
  </si>
  <si>
    <t>Carotid intima-media thickness studies: study design and data analysis.</t>
  </si>
  <si>
    <t>Peters, Sanne A E; Bots, Michiel L</t>
  </si>
  <si>
    <t>https://pubmed.ncbi.nlm.nih.gov/24324938</t>
  </si>
  <si>
    <t>Carotid intima-media thickness (CIMT) measurements have been widely used as primary endpoint in studies into the effects of new interventions as alternative for cardiovascular morbidity and mortality. There are no accepted standards on the use of CIMT measurements in intervention studies and choices in the design and analysis of a CIMT study are generally based on experience and expert opinion. In the present review, we provide an overview of the current evidence on several aspects in the design and analysis of a CIMT study on the early effects of new interventions. A balanced evaluation of the carotid segments, carotid walls, and image view to be used as CIMT study endpoint; the reading method (manual or semi-automated and continuously or in batch) to be employed, the required sample size, and the frequency of ultrasound examinations is provided. We also discuss the preferred methods to analyse longitudinal CIMT data and address the possible impact of, and methods to deal with missing and biologically implausible CIMT values. Linear mixed effects models are the preferred way to analyse CIMT data and do appropriately handle missing and biologically implausible CIMT values. Furthermore, we recommend to use extensive CIMT designs that measure CIMT at regular points during the multiple carotid sites as such approach is likely to increase the success rates of CIMT intervention studies designed to evaluate the effects of new interventions on atherosclerotic burden.</t>
  </si>
  <si>
    <t>From accuracy to patient outcome and cost-effectiveness evaluations of diagnostic tests and biomarkers: an exemplary modelling study.</t>
  </si>
  <si>
    <t>Koffijberg, Hendrik; van Zaane, Bas; Moons, Karel G M</t>
  </si>
  <si>
    <t>https://pubmed.ncbi.nlm.nih.gov/23368927</t>
  </si>
  <si>
    <t>Proper evaluation of new diagnostic tests is required to reduce overutilization and to limit potential negative health effects and costs related to testing. A decision analytic modelling approach may be worthwhile when a diagnostic randomized controlled trial is not feasible. We demonstrate this by assessing the cost-effectiveness of modified transesophageal echocardiography (TEE) compared with manual palpation for the detection of atherosclerosis in the ascending aorta. Based on a previous diagnostic accuracy study, actual Dutch reimbursement data, and evidence from literature we developed a Markov decision analytic model. Cost-effectiveness of modified TEE was assessed for a life time horizon and a health care perspective. Prevalence rates of atherosclerosis were age-dependent and low as well as high rates were applied. Probabilistic sensitivity analysis was applied. The model synthesized all available evidence on the risk of stroke in cardiac surgery patients. The modified TEE strategy consistently resulted in more adapted surgical procedures and, hence, a lower risk of stroke and a slightly higher number of life-years. With 10% prevalence of atherosclerosis the incremental cost-effectiveness ratio was € 4,651 and € 481 per quality-adjusted life year in 55-year-old men and women, respectively. In all patients aged 65 years or older the modified TEE strategy was cost saving and resulted in additional health benefits. Decision analytic modelling to assess the cost-effectiveness of a new diagnostic test based on characteristics, costs and effects of the test itself and of the subsequent treatment options is both feasible and valuable. Our case study on modified TEE suggests that it may reduce the risk of stroke in cardiac surgery patients older than 55 years at acceptable cost-effectiveness levels.</t>
  </si>
  <si>
    <t>Estimating the mediating effect of different biomarkers on the relation of alcohol consumption with the risk of type 2 diabetes.</t>
  </si>
  <si>
    <t>Beulens, Joline W J; van der Schouw, Yvonne T; Moons, Karel G M; Boshuizen, Hendriek C; van der A, Daphne L; Groenwold, Rolf H H</t>
  </si>
  <si>
    <t>https://pubmed.ncbi.nlm.nih.gov/23375342</t>
  </si>
  <si>
    <t>Moderate alcohol consumption is associated with a reduced type 2 diabetes risk, but the biomarkers that explain this relation are unknown. The most commonly used method to estimate the proportion explained by a biomarker is the difference method. However, influence of alcohol-biomarker interaction on its results is unclear. G-estimation method is proposed to accurately assess proportion explained, but how this method compares with the difference method is unknown. In a case-cohort study of 2498 controls and 919 incident diabetes cases, we estimated the proportion explained by different biomarkers on the relation between alcohol consumption and diabetes using the difference method and sequential G-estimation method. Using the difference method, high-density lipoprotein cholesterol explained the relation between alcohol and diabetes by 78% (95% confidence interval [CI], 41-243), whereas high-sensitivity C-reactive protein (-7.5%; -36.4 to 1.8) or blood pressure (-6.9; -26.3 to -0.6) did not explain the relation. Interaction between alcohol and liver enzymes led to bias in proportion explained with different outcomes for different levels of liver enzymes. G-estimation method showed comparable results, but proportions explained were lower. The relation between alcohol consumption and diabetes may be largely explained by increased high-density lipoprotein cholesterol but not by other biomarkers. Ignoring exposure-mediator interactions may result in bias. The difference and G-estimation methods provide similar results.</t>
  </si>
  <si>
    <t>Patient selection for therapy reduction after long-term daily proton pump inhibitor treatment for gastro-oesophageal reflux disease: trial and error.</t>
  </si>
  <si>
    <t>van der Velden, Alike W; de Wit, Niek J; Quartero, A Otto; Grobbee, Diederick E; Numans, Mattijs E</t>
  </si>
  <si>
    <t>digestion</t>
  </si>
  <si>
    <t>https://pubmed.ncbi.nlm.nih.gov/23364219</t>
  </si>
  <si>
    <t>Proton pump inhibitor (PPI) therapy reduction after long-term daily treatment for gastro-oesophageal reflux disease (GORD) symptomatology proves difficult in primary care practice. We aimed to identify patient and/or disease characteristics in long-term daily PPI users predicting a successful switch to less than daily therapy. GORD patients who after long-term continuous treatment were able to use less than a daily PPI dose in a placebo-controlled trial were compared to patients who persisted in a daily dosage with respect to general, lifestyle and quality of life characteristics (SF-36 Health Survey) as well as psychological factors (Symptom Check List 90), symptom control on daily PPI (Quality of Life in Reflux and Dyspepsia questionnaire), disease and medication history. Adequate symptom control on daily PPI use and female gender were determinants of successful therapy reduction. A prediction rule including the Quality of Life in Reflux and Dyspepsia vitality dimension and gender correctly predicted 64% of patients to both less than daily and sustained daily treatment (area under the receiver operating characteristic curve = 0.69). In the heterogeneous population of PPI users for GORD in primary care, no clinically useful, easily obtainable combination of patient characteristics was able to adequately predict eligibility for therapy reduction. Switching to less than daily therapy remains a process of trial and error in which motivation of the patient and support by the physician will be important factors for success.</t>
  </si>
  <si>
    <t>Need for tailored strategies to diagnose venous thrombo-embolism in older primary care patients. Extension of a keynote presentation at the 2012 Wonca Europe conference.</t>
  </si>
  <si>
    <t>Schouten, Henrike J; Koek, Huiberdina L; Moons, Karel G M; van Delden, Johannes J M; Oudega, Ruud; Geersing, Geert-Jan</t>
  </si>
  <si>
    <t>https://pubmed.ncbi.nlm.nih.gov/23339596</t>
  </si>
  <si>
    <t>Venous thrombo-embolism (VTE, pulmonary embolism and deep vein thrombosis) is common in the elderly and short-term mortality risk increases with age. Hence, notably in older patients, accurately diagnosing VTE can be lifesaving. However, most clinically suspected individuals turn out to have no VTE after imaging examination. Therefore, many physicians would feel reluctant to refer older patients as this can be very burdensome for these patients. Consequently, it is possible that elderly patients are often not referred for diagnostic work-up (risk of under diagnosis), or that treatment for VTE is initiated without confirmation by further testing (risk of overtreatment). Moreover, anticoagulation treatment of VTE is associated with a higher bleeding risk in the elderly. This bleeding risk might even outweigh the potential benefits in some of these patients. Therefore, availability of an accurate diagnostic strategy to safely exclude, and timely diagnose VTE without the need of burdening referrals in many patients might better serve the needs of older patients. Such strategies have been derived and validated in both primary and secondary care patients suspected of VTE. However, the generalizability of these strategies to older patients may be hampered, and their accuracy has never been tested in elderly populations; this in spite of the high prevalence of VTE and the potential for misdiagnosis and thus mistreatment in these patients. Therefore, we advocate validation and adaptation of current diagnostic strategies for VTE for application in elderly patients.</t>
  </si>
  <si>
    <t>Unexpected predictor-outcome associations in clinical prediction research: causes and solutions.</t>
  </si>
  <si>
    <t>Schuit, Ewoud; Groenwold, Rolf H H; Harrell, Frank E; de Kort, Wim L A M; Kwee, Anneke; Mol, Ben Willem J; Riley, Richard D; Moons, Karel G M</t>
  </si>
  <si>
    <t>https://pubmed.ncbi.nlm.nih.gov/23339155</t>
  </si>
  <si>
    <t>Effectiveness of electronic fetal monitoring with additional ST analysis in vertex singleton pregnancies at &gt;36 weeks of gestation: an individual participant data metaanalysis.</t>
  </si>
  <si>
    <t>Schuit, Ewoud; Amer-Wahlin, Isis; Ojala, Kati; Vayssière, Christophe; Westerhuis, Michelle E M H; Maršál, Karel; Tekay, Aydin; Saade, George R; Visser, Gerard H A; Groenwold, Rolf H H; Moons, Karel G M; Mol, Ben Willem J; Kwee, Anneke</t>
  </si>
  <si>
    <t>https://pubmed.ncbi.nlm.nih.gov/23333546</t>
  </si>
  <si>
    <t>The purpose of this study was to assess the effectiveness of electronic fetal monitoring (EFM) alone and with additional ST analysis (EFM + ST) in laboring women with a singleton term pregnancy that is in cephalic presentation in the prevention of metabolic acidosis by the application of individual patient data metaanalysis. We conducted an individual patient data metaanalysis using data from 4 randomized trials, which enabled us to account for missing data and investigate relevant subgroups. The primary outcome was metabolic acidosis, which was defined as an umbilical cord-artery pH &lt;7.05 and a base deficit that had been calculated in the extra cellular fluid compartment &gt;12 mmol/L. We performed 8 explanatory subgroup analyses for 8 different endpoints. We analyzed data from 12,987 women and their newborn infants. Metabolic acidosis was present in 57 women (0.9%) in the EFM + ST group and 73 women (1.1%) in the EFM alone group (relative risk [RR], 0.76; 95% CI, 0.53-1.10). Compared with EFM alone, the use of EFM + ST resulted in a reduction in the frequency of instrumental vaginal deliveries (RR, 0.90; 95% CI, 0.83-0.99) and fetal blood samples (RR, 0.49; 95% CI, 0.44-0.55). Cesarean delivery rates were comparable between both groups (RR, 0.99; 95% CI, 0.91-1.09). Subgroup analyses showed that EFM + ST resulted in fewer admissions to a neonatal intensive care unit for women with a duration of pregnancy of &gt;41 weeks (RR, 0.61; 95% CI, 0.39-0.95). EFM + ST does not reduce the risk of metabolic acidosis, but it does reduce the need for instrumental vaginal deliveries and fetal blood sampling.</t>
  </si>
  <si>
    <t>Diagnostic value of a heart-type fatty acid-binding protein (H-FABP) bedside test in suspected acute coronary syndrome in primary care.</t>
  </si>
  <si>
    <t>Bruins Slot, M H E; Rutten, F H; van der Heijden, G J M G; Doevendans, P A; Mast, E G; Bredero, A C; van der Spoel, O P; Glatz, J F C; Hoes, A W</t>
  </si>
  <si>
    <t>https://pubmed.ncbi.nlm.nih.gov/23332896</t>
  </si>
  <si>
    <t>To determine the diagnostic accuracy of a rapid heart-type fatty acid-binding protein (H-FABP) test in patients suspected of acute coronary syndrome (ACS) in primary care. General practitioners included 298 patients suspected of ACS. In all patients, whether referred to hospital or not, ECG and cardiac biomarker testing was performed. ACS was determined in accordance with international guidelines. Multivariate analysis was used to determine the value of H-FABP in addition to clinical findings. Mean patient age was 66 years (SD 14), 52% was female and 66 patients (22%) were diagnosed with ACS. The H-FABP bedside test was performed within 24h (median 3.1, IQR 1.5 to 7.1) after symptom onset. The positive predictive value (PPV) of H-FABP was 65% (95% confidence interval (CI) 50-78). The negative predictive value (NPV) was 85% (95% CI 80-88). Sensitivity was 39% (29-51%) and specificity 94% (90-96%). Within 6h after symptom onset, the PPV was 72% (55-84) and the NPV was 83% (77-88), sensitivity 43% (31-57%) and specificity 94% (89-97%). Adding the H-FABP test to a diagnostic model for ACS led to an increase in the area under the receiver operating curve from 0.66 (95% CI 0.58-0.73) to 0.75 (95% CI 0.68-0.82). The H-FABP rapid test provides modest additional diagnostic certainty in primary care. It cannot be used to safely exclude rule out ACS. The test can only be used safely in patients otherwise NOT referred to hospital by the GP, as an extra precaution not to miss ACS ('rule in').</t>
  </si>
  <si>
    <t>A framework for developing, implementing, and evaluating clinical prediction models in an individual participant data meta-analysis.</t>
  </si>
  <si>
    <t>Debray, Thomas P A; Moons, Karel G M; Ahmed, Ikhlaaq; Koffijberg, Hendrik; Riley, Richard David</t>
  </si>
  <si>
    <t>https://pubmed.ncbi.nlm.nih.gov/23307585</t>
  </si>
  <si>
    <t>The use of individual participant data (IPD) from multiple studies is an increasingly popular approach when developing a multivariable risk prediction model. Corresponding datasets, however, typically differ in important aspects, such as baseline risk. This has driven the adoption of meta-analytical approaches for appropriately dealing with heterogeneity between study populations. Although these approaches provide an averaged prediction model across all studies, little guidance exists about how to apply or validate this model to new individuals or study populations outside the derivation data. We consider several approaches to develop a multivariable logistic regression model from an IPD meta-analysis (IPD-MA) with potential between-study heterogeneity. We also propose strategies for choosing a valid model intercept for when the model is to be validated or applied to new individuals or study populations. These strategies can be implemented by the IPD-MA developers or future model validators. Finally, we show how model generalizability can be evaluated when external validation data are lacking using internal-external cross-validation and extend our framework to count and time-to-event data. In an empirical evaluation, our results show how stratified estimation allows study-specific model intercepts, which can then inform the intercept to be used when applying the model in practice, even to a population not represented by included studies. In summary, our framework allows the development (through stratified estimation), implementation in new individuals (through focused intercept choice), and evaluation (through internal-external validation) of a single, integrated prediction model from an IPD-MA in order to achieve improved model performance and generalizability.</t>
  </si>
  <si>
    <t>Cohort profile: the prevention and incidence of asthma and mite allergy (PIAMA) birth cohort.</t>
  </si>
  <si>
    <t>Wijga, Alet H; Kerkhof, Marjan; Gehring, Ulrike; de Jongste, Johan C; Postma, Dirkje S; Aalberse, Rob C; Wolse, Ada P H; Koppelman, Gerard H; van Rossem, Lenie; Oldenwening, Marieke; Brunekreef, Bert; Smit, Henriëtte A</t>
  </si>
  <si>
    <t>https://pubmed.ncbi.nlm.nih.gov/23315435</t>
  </si>
  <si>
    <t>EMAS clinical guide: vulvar lichen sclerosus in peri and postmenopausal women.</t>
  </si>
  <si>
    <t>Pérez-López, Faustino R; Ceausu, Iuliana; Depypere, Herman; Erel, C Tamer; Lambrinoudaki, Irene; Rees, Margaret; Schenck-Gustafsson, Karin; Tremollieres, Florence; van der Schouw, Yvonne T; Simoncini, Tommaso; ,</t>
  </si>
  <si>
    <t>https://pubmed.ncbi.nlm.nih.gov/23291001</t>
  </si>
  <si>
    <t>Vulvar lichen sclerosus (LS) is a chronic inflammatory disease which affects genital labial, perineal and perianal areas, producing significant discomfort and psychological distress. However there may be diagnostic delay because of late presentation and lack of recognition of symptoms. The purpose of this clinical guide is to provide advice on early recognition and treatment. Literature review and consensus of expert opinion. The etiology of LS in peri and postmenopausal women is unknown, although autoimmune, genetic and infectious factors have been implicated. Definitive diagnosis of non-malignant disorders depends on the histology of biopsied tissue. LS associated with cellular atypia should be classified as intraepithelial neoplasia. Topical corticosteroids are the most effective treatment, although prolonged treatment may be associated with dermal atrophy. Topical calcineurin inhibitors, such as tacrolimus or pimecrolimus, may be a safe and effective alternative treatment without risk of corticosteroid-related vulvar atrophy since they do not affect collagen synthesis. LS recurrences are frequent, and can lead to significant physical discomfort and emotional distress that affect mood and sexual relationships. Anatomical changes may require surgical management.</t>
  </si>
  <si>
    <t>Excess early postnatal weight gain leads to thicker and stiffer arteries in young children.</t>
  </si>
  <si>
    <t>https://pubmed.ncbi.nlm.nih.gov/23284005</t>
  </si>
  <si>
    <t>Although early life growth pattern is associated with cardiovascular disease later in life, it is unknown whether vascular changes associated with excess early weight gain already occur in early childhood. In the Wheezing-Illnesses-Study-Leidsche-Rijn (WHISTLER) birth cohort, weight and height from birth to 3 months of age were used to calculate Z-scores of individual weight and length gain rates. In the first 333 children who turned 5 years old, intima-media thickness, distensibility, and elastic modulus of the carotid artery were measured ultrasonographically. The association between weight gain rate for length gain rate (WLG), as a measure of excess weight gain, and vascular characteristics was assessed by generalized linear modeling. Interaction between birth size and WLG was tested. Per 1 SD increase in WLG, carotid intima-media thickness was 5.1 μm (95% confidence interval, 1.0-9.2; P value = .01) higher (adjusted for age, gender, current height, and observer). The thinner the children were at birth, the stiffer the arteries were with increasing WLG (interaction between birth size and WLG-distensibility: P = .04; elastic modulus: P = .03). Excess early postnatal weight gain leads to vascular changes already in early childhood, characterized by thicker arterial walls. In children who are relatively thin at birth, excess early postnatal weight gain also leads to stiffer arteries. This supports the view that cardiovascular disease risk is associated with growth pattern early in life.</t>
  </si>
  <si>
    <t>An analytical approach to assess the predictive value of biomarkers in Phase II decision making.</t>
  </si>
  <si>
    <t>Nikolakopoulos, Stavros; van der Wal, Willem M; Roes, Kit C B</t>
  </si>
  <si>
    <t>journal of biopharmaceutical statistics</t>
  </si>
  <si>
    <t>https://pubmed.ncbi.nlm.nih.gov/23957519</t>
  </si>
  <si>
    <t>Early Phase II clinical trials typically have a biomarker as a primary outcome. The extent to which a positive result for such a Phase II trial is predictive for Phase III success is of obvious concern. In this article we extend existing approaches for assessing the probability of success in Phase III. We address the case that a dichotomous clinical endpoint of interest is to be measured in Phase III. A Beta prior distribution is suggested that quantifies information from both the data observed on the biomarker and its predictive accuracy. Based on the quantification of the impact of the predictive ability of biomarkers, it is shown that the predictive quality of a biomarker needs to be substantial to support the full development decision. The approach is illustrated with a practical example. A simulation study is presented to illustrate the findings more generally.</t>
  </si>
  <si>
    <t>Atherosclerosis and physical functioning in older men, a longitudinal study.</t>
  </si>
  <si>
    <t>den Ouden, M E M; Schuurmans, M J; Arts, I E M A; Grobbee, D E; Bots, M L; van den Beld, A W; Lamberts, S W J; van der Schouw, Y T</t>
  </si>
  <si>
    <t>https://pubmed.ncbi.nlm.nih.gov/23299387</t>
  </si>
  <si>
    <t>Functional decline is a major threat to independency, progressing into functional limitations and eventually leading to disability. Chronic diseases, especially cardiovascular diseases, are important determinants of functional limitations and disability. Vascular damage exits long before it is clinically manifest and can have adverse effects on health, physical and cognitive functioning. The objective was to investigate the association between non-invasive atherosclerosis measures and physical functioning in older men. Prospective cohort study. The study was conducted in the general community. 195 independently living older men. Atherosclerosis was measured by intima media thickness (CIMT) of the common carotid artery using ultrasonography and assessment for presence of atherosclerotic plaques. Physical functioning was measured by isometric handgrip strength and leg extensor strength using a hand held dynamometer, lower extremity function using the physical performance score and ability to perform activities of daily life using the modified Stanford health assessment questionnaire. Linear regression analysis was performed to estimate the associations between CIMT or plaques and physical functioning. After adjustment for confounders, higher baseline CIMT was associated with lower isometric handgrip strength at follow up (βCIMT = -7.21, 95% CI[-13.64;-0.77]). No other associations were found between CIMT and physical functioning. In addition, no associations were found for the presence of plaques and physical functioning either at baseline, or at follow-up. Atherosclerosis, as measured by higher CIMT, is related to a lower isometric handgrip strength at follow-up, but no further associations with physical functioning were found in this longitudinal study among independently living older men.</t>
  </si>
  <si>
    <t>Prediction of measured weight from self-reported weight was not improved after stratification by body mass index.</t>
  </si>
  <si>
    <t>May, Anne M; Barnes, Daniel R; Forouhi, Nita G; Luben, Robert; Khaw, Kay-Tee; Wareham, Nicholas J; Peeters, Petra H M; Sharp, Stephen J</t>
  </si>
  <si>
    <t>https://pubmed.ncbi.nlm.nih.gov/23505195</t>
  </si>
  <si>
    <t>Self-reported weight may underestimate measured weight. Researchers have tried to reduce the error using statistical models to predict weight from self-reported weight. We investigate whether deriving equations within separate BMI categories improves the prediction of weight compared with an equation derived regardless of an individual's BMI. The analysis included self-reported and measured data from 20,536 individuals participating in the EPIC-Norfolk study. In a derivation set (n = 15,381) two approaches were used to predict weight from self-reported weight: (1) using a linear regression model with measured weight as outcome and self-reported weight and age as predictors, and (2) using the same model fit separately within 3 strata defined by BMI (&lt; 25, 25-30, ≥ 30 kg m(-2) ). The performance of these approaches was assessed in a validation set (n = 5,155). Measured weight was compared to self-reported weight and predicted weight. Self-reported weight underestimated measured weight (P &lt; 0.0001): mean difference -1.2 ± 3.1 kg (men), -1.3 ± 2.5 kg (women). Underestimation was greater in obese participants (P &lt; 0.0001). Predicted weight using approach 1 was not significantly different from measured weight (P &lt; 0.05). However, in individuals with BMI &lt; 25 kg m(-2) , weight was overestimated in men (0.90 ± 3.87 kg) and women (0.57 ± 2.06 kg), but underestimated in overweight (-0.29 ± 3.58, -0.20 ± 2.62 kg) and obese (-1.46 ± 5.05 kg, -0.73 ± 3.54 kg) men and women. Using separate prediction equations in strata of BMI did not further improve prediction of weight. In conclusion, predicted weight was closer to measured weight compared with self-reported weight, but using equations derived in strata of BMI did not further improve the prediction and are not recommended for prediction of weight.</t>
  </si>
  <si>
    <t>[Rotavirus vaccination: a priority for high-risk children].</t>
  </si>
  <si>
    <t>Bruijning-Verhagen, Patricia C J L; Bonten, Marc J M</t>
  </si>
  <si>
    <t>https://pubmed.ncbi.nlm.nih.gov/24020626</t>
  </si>
  <si>
    <t>Rotaviruses cause acute gastroenteritis; mostly in young children. Infant rotavirus vaccines have been licensed in Europe and provide excellent protection against severe gastroenteritis, but are not widely implemented due to the perceived benign character of rotavirus disease and unfavourable cost-effectiveness. Rotavirus vaccines are currently unavailable in the Netherlands which leaves a particularly vulnerable group of infants--those with prematurity, low birth weight or severe congenital malformations--at increased risk of rotavirus disease, complications and even death. Rotavirus vaccination should be made available to these infants, but due to the strict age limits for the rotavirus vaccination (which must be started at &lt; 14 weeks), vaccination cannot be adequately organised within the Dutch National Immunisation Programme (NIP) which relies on well-baby clinic visits. Organising rotavirus vaccination for high-risk infants through paediatric secondary care could overcome this problem and be implemented independent of decisions on uptake of rotavirus vaccination within the Dutch NIP.</t>
  </si>
  <si>
    <t>[Intermediate endpoints in clinical research].</t>
  </si>
  <si>
    <t>Peters, Sanne A E; Groenwold, Rolf H H; Bots, Michiel L</t>
  </si>
  <si>
    <t>https://pubmed.ncbi.nlm.nih.gov/24152361</t>
  </si>
  <si>
    <t>An intermediate variable such as blood pressure is part of the causal pathway of mechanisms to a clinical outcome, e.g. myocardial infarction. An intervention affects a clinical outcome through its effect on that intermediate variable. In studies designed to assess the effects of interventions an intermediate variable may be used as surrogate for clinical outcomes. Such an endpoint is also known as an intermediate endpoint. Intervention studies with intermediate endpoints are commonly performed in medical research to evaluate the effects of an intervention on clinical outcomes. Intervention studies with an intermediate endpoint are conducted in a smaller study population and with a shorter duration of follow-up than studies using clinical outcomes. An intermediate variable is not eligible as an intermediate endpoint when the intervention also affects other biological mechanisms that subsequently affect the clinical endpoint. Due to a smaller sample size and shorter study duration, side effects of intervention are more difficult to evaluate in studies with an intermediate endpoint than in studies with clinical endpoints.</t>
  </si>
  <si>
    <t>[SPECT, CMR and PET perfusion: is there added value for patients with angina pectoris?].</t>
  </si>
  <si>
    <t>https://pubmed.ncbi.nlm.nih.gov/23369821</t>
  </si>
  <si>
    <t>A thick opt-out is often sufficient.</t>
  </si>
  <si>
    <t>https://pubmed.ncbi.nlm.nih.gov/23514397</t>
  </si>
  <si>
    <t>Regenerative medicine interventions for orthopedic disorders: ethical issues in the translation into patients.</t>
  </si>
  <si>
    <t>Niemansburg, Sophie L; van Delden, Johannes Jm; Dhert, Wouter Ja; Bredenoord, Annelien L</t>
  </si>
  <si>
    <t>https://pubmed.ncbi.nlm.nih.gov/23259806</t>
  </si>
  <si>
    <t>Regenerative medicine (RM) technologies, such as cell therapy, gene transfer and tissue engineering, are expected to move the field of orthopedics into a new era. Now that more and more attempts are underway to translate preclinical research into clinical studies, it is time to proactively discuss the ethical issues associated with first-in-human applications of RM interventions for musculoskeletal disorders. The design and launch of early clinical trials will be ethically challenging due to the specific features of RM in general, and the application for musculoskeletal disorders specifically. In this paper, we identify three sets of ethical issues that need to be addressed when considering initiating early clinical trials: assessment of risks and benefits; designing a study in terms of outcome measures and comparators; and participant selection. These issues are particularly emphasized in RM research that aims to apply these approaches in an early stage of degenerative musculoskeletal disorders.</t>
  </si>
  <si>
    <t>Age at menopause, reproductive life span, and type 2 diabetes risk: results from the EPIC-InterAct study.</t>
  </si>
  <si>
    <t>Brand, Judith S; van der Schouw, Yvonne T; Onland-Moret, N Charlotte; Sharp, Stephen J; Ong, Ken K; Khaw, Kay-Tee; Ardanaz, Eva; Amiano, Pilar; Boeing, Heiner; Chirlaque, Maria-Dolores; Clavel-Chapelon, Françoise; Crowe, Francesca L; de Lauzon-Guillain, Blandine; Duell, Eric J; Fagherazzi, Guy; Franks, Paul W; Grioni, Sara; Groop, Leif C; Kaaks, Rudolf; Key, Timothy J; Nilsson, Peter M; Overvad, Kim; Palli, Domenico; Panico, Salvatore; Quirós, J Ramón; Rolandsson, Olov; Sacerdote, Carlotta; Sánchez, María-José; Slimani, Nadia; Teucher, Birgit; Tjonneland, Anne; Tumino, Rosario; van der A, Daphne L; Feskens, Edith J M; Langenberg, Claudia; Forouhi, Nita G; Riboli, Elio; Wareham, Nicholas J; ,</t>
  </si>
  <si>
    <t>https://pubmed.ncbi.nlm.nih.gov/23230098</t>
  </si>
  <si>
    <t>Age at menopause is an important determinant of future health outcomes, but little is known about its relationship with type 2 diabetes. We examined the associations of menopausal age and reproductive life span (menopausal age minus menarcheal age) with diabetes risk. Data were obtained from the InterAct study, a prospective case-cohort study nested within the European Prospective Investigation into Cancer and Nutrition. A total of 3,691 postmenopausal type 2 diabetic case subjects and 4,408 subcohort members were included in the analysis, with a median follow-up of 11 years. Prentice weighted Cox proportional hazards models were adjusted for age, known risk factors for diabetes, and reproductive factors, and effect modification by BMI, waist circumference, and smoking was studied. Mean (SD) age of the subcohort was 59.2 (5.8) years. After multivariable adjustment, hazard ratios (HRs) of type 2 diabetes were 1.32 (95% CI 1.04-1.69), 1.09 (0.90-1.31), 0.97 (0.86-1.10), and 0.85 (0.70-1.03) for women with menopause at ages &lt;40, 40-44, 45-49, and ≥55 years, respectively, relative to those with menopause at age 50-54 years. The HR per SD younger age at menopause was 1.08 (1.02-1.14). Similarly, a shorter reproductive life span was associated with a higher diabetes risk (HR per SD lower reproductive life span 1.06 [1.01-1.12]). No effect modification by BMI, waist circumference, or smoking was observed (P interaction all &gt; 0.05). Early menopause is associated with a greater risk of type 2 diabetes.</t>
  </si>
  <si>
    <t>Rotavirus-related hospitalizations are responsible for high seasonal peaks in all-cause pediatric hospitalizations.</t>
  </si>
  <si>
    <t>Bruijning-Verhagen, Patricia; Sankatsing, Valerie; Kunst, Annemieke; van den Born, Charlie; Bleeker, Esther; Thijsen, Steven; Ijzerman, Ed P F; van der Velden, Vincent H J; Bonten, Marc J M</t>
  </si>
  <si>
    <t>https://pubmed.ncbi.nlm.nih.gov/22828647</t>
  </si>
  <si>
    <t>Seasonal rotavirus (RV) epidemics partly overlap with those of other common childhood infections, thereby generating enormous, but poorly quantified, pressure on hospital resources during winter and spring. We assessed RV contribution to seasonal excess in all-cause pediatric hospitalizations and RV hospitalization incidence rate in an observational study. The study was conducted among pediatric wards in 3 general hospitals and 1 pediatric tertiary care center. Numbers of RV hospitalizations were determined from 5-year data on confirmed RV hospitalizations and adjusted for RV underreporting, assessed through active surveillance for acute gastroenteritis during the 2011 RV season. Incidence rate and RV contribution to all-cause hospitalizations were determined on hospital administrative data and population statistics. RV accounted for 6.2% (95% confidence interval: 5.3-7.1) of all-cause pediatric hospitalizations among general hospitals and 3.1% (95% confidence interval: 2.9-3.3) at the tertiary care center, adjusted for the proportion RV underreporting among gastroenteritis patients (33%) as observed during active surveillance. Among general hospitals, there was a 30% increase in all-cause hospitalizations during the active season of common childhood infections compared with summer months. RV contributed 31% to seasonal excess in all-cause pediatric hospitalizations, representing 12.9% of hospitalizations between January and May. RV hospitalizations incidence rate in the population was 510/100,000 child-years &lt;5 years (95% confidence interval: 420-600). RV is one of the main causes of seasonal peaks in pediatric hospitalizations, and as such contributes significantly to periodic high bed capacity pressures and associated adverse effects. RV vaccination benefits in this respect should be considered in decision-making processes.</t>
  </si>
  <si>
    <t>Effectiveness of physician-targeted interventions to improve antibiotic use for respiratory tract infections.</t>
  </si>
  <si>
    <t>van der Velden, Alike W; Pijpers, Eefje J; Kuyvenhoven, Marijke M; Tonkin-Crine, Sarah K G; Little, Paul; Verheij, Theo J M</t>
  </si>
  <si>
    <t>https://pubmed.ncbi.nlm.nih.gov/23211259</t>
  </si>
  <si>
    <t>Antibiotic use and concomitant resistance are increasing. Literature reviews do not unambiguously indicate which interventions are most effective in improving antibiotic prescribing practice. To assess the effectiveness of physician-targeted interventions aiming to improve antibiotic prescribing for respiratory tract infections (RTIs) in primary care, and to identify intervention features mostly contributing to intervention success. Analysis of a set of physician-targeted interventions in primary care. A literature search (1990-2009) for studies describing the effectiveness of interventions aiming to optimise antibiotic prescription for RTIs by primary care physicians. Intervention features were extracted and effectiveness sizes were calculated. Association between intervention features and intervention success was analysed in multivariate regression analysis. This study included 58 studies, describing 87 interventions of which 60% significantly improved antibiotic prescribing; interventions aiming to decrease overall antibiotic prescription were more frequently effective than interventions aiming to increase first choice prescription. On average, antibiotic prescription was reduced by 11.6%, and first choice prescription increased by 9.6%. Multiple interventions containing at least 'educational material for the physician' were most often effective. No significant added value was found for interventions containing patient-directed elements. Communication skills training and near-patient testing sorted the largest intervention effects. This review emphasises the importance of physician education in optimising antibiotic use. Further research should focus on how to provide physicians with the relevant knowledge and tools, and when to supplement education with additional intervention elements. Feasibility should be included in this process.</t>
  </si>
  <si>
    <t>Combined impact of lifestyle factors on prospective change in body weight and waist circumference in participants of the EPIC-PANACEA study.</t>
  </si>
  <si>
    <t>May, Anne M; Romaguera, Dora; Travier, Noémie; Ekelund, Ulf; Bergmann, Manuela M; Kaaks, Rudolf; Teucher, Birgit; Steffen, Annika; Boeing, Heiner; Halkjaer, Jytte; Tjonneland, Anne; Jakobsen, Marianne Uhre; Overvad, Kim; Dartois, Laureen; Fagherazzi, Guy; Boutron-Ruault, Marie-Christine; Quirós, J Ramón; Agudo, Antonio; Gonzalez, Carlos; Sánchez, María-José; Amiano, Pilar; Huerta, Jose-Maria; Ardanaz, Eva; Wareham, Nicholas J; Crowe, Francesca L; Naska, Androniki; Orfanos, Philippos; Trichopoulou, Antonia; Palli, Domenico; Agnoli, Claudia; Tumino, Rosario; Vineis, Paolo; Panico, Salvatore; Bueno-de-Mesquita, H Bas; Verschuren, Monique; Drake, Isabel; Sonestedt, Emily; Braaten, Tonje; Rinaldi, Sabina; Romieu, Isabelle; Slimani, Nadia; Norat, Teresa; Riboli, Elio; Peeters, Petra H M</t>
  </si>
  <si>
    <t>https://pubmed.ncbi.nlm.nih.gov/23226361</t>
  </si>
  <si>
    <t>The evidence that individual dietary and lifestyle factors influence a person's weight and waist circumference is well established; however their combined impact is less well documented. Therefore, we investigated the combined effect of physical activity, nutrition and smoking status on prospective gain in body weight and waist circumference. We used data of the prospective EPIC-PANACEA study. Between 1992 and 2000, 325,537 participants (94,445 men and 231,092 women, aged between 25-70) were recruited from nine European countries. Participants were categorised into two groups (positive or negative health behaviours) for each of the following being physically active, adherent to a healthy (Mediterranean not including alcohol) diet, and never-smoking for a total score ranging from zero to three. Anthropometric measures were taken at baseline and were mainly self-reported after a medium follow-up time of 5 years. Mixed-effects linear regression models adjusted for age, educational level, alcohol consumption, baseline body mass index and follow-up time showed that men and women who reported to be physically active, never-smoking and adherent to the Mediterranean diet gained over a 5-year period 537 (95% CI -706, -368) and 200 (-478, -87) gram less weight and 0.95 (-1.27, -0.639) and 0.99 (-1.29, -0.69) cm less waist circumference, respectively, compared to participants with zero healthy behaviours. The combination of positive health behaviours was associated with significantly lower weight and waist circumference gain.</t>
  </si>
  <si>
    <t>Results from a carotid intima-media thickness trial as a decision tool for launching a large-scale morbidity and mortality trial.</t>
  </si>
  <si>
    <t>Peters, Sanne A E; den Ruijter, Hester M; Grobbee, Diederick E; Bots, Michiel L</t>
  </si>
  <si>
    <t>circulation cardiovascular imaging</t>
  </si>
  <si>
    <t>https://pubmed.ncbi.nlm.nih.gov/23204038</t>
  </si>
  <si>
    <t>Trials with carotid intima-media thickness (CIMT) as primary end point may improve the efficiency of the evaluation of new therapies targeting atherosclerosis considerably, and the results of CIMT trials may be used as a decision tool to help in the choice to launch or not to launch a large-scale morbidity and mortality (M&amp;M) trial. We evaluated the literature to provide evidence to support or refute this proposition. PubMed Medline was systematically searched on May 1, 2012, for randomized double-blind controlled CIMT trials. The agreement between the results from CIMT and M&amp;M trials was assessed, and positive and negative predictive values were calculated. Forty-eight CIMT trials were included. CIMT trials (n=20) on lipid-level modifying therapies are all, except one, in agreement with the M&amp;M trial findings. For blood pressure-lowering trials (n=13), 3 were not congruent with the M&amp;M trial. The positive and negative predictive value (95% confidence interval) of a CIMT trial to predict the outcome of a M&amp;M trial are 96% (80-99%) and 83% (64-93%), respectively. The predictive values are higher for lipid-level modifying therapies than for other therapies. A CIMT trial positioned before an M&amp;M trial may considerably improve the efficiency of the evaluation of new drug therapies on atherosclerosis and cardiovascular disease risk. Hence, the results of a CIMT trial should be seen as a decision tool to support or refute the start of a large-scale M&amp;M trial on drugs targeting atherosclerosis.</t>
  </si>
  <si>
    <t>Lung cancer risk at low cumulative asbestos exposure: meta-regression of the exposure-response relationship.</t>
  </si>
  <si>
    <t>van der Bij, Sjoukje; Koffijberg, Hendrik; Lenters, Virissa; Portengen, Lützen; Moons, Karel G M; Heederik, Dick; Vermeulen, Roel C H</t>
  </si>
  <si>
    <t>https://pubmed.ncbi.nlm.nih.gov/23187858</t>
  </si>
  <si>
    <t>Existing estimated lung cancer risks per unit of asbestos exposure are mainly based on, and applicable to, high exposure levels. To assess the risk at low cumulative asbestos exposure, we provide new evidence by fitting flexible meta-regression models, a notably new and more robust method. Studies were selected if lung cancer risk per cumulative asbestos exposure in at least two exposure categories was reported. From these studies (n = 19), we extracted 104 risk estimates over a cumulative exposure range of 0.11-4,710 f-y/ml. We fitted linear and natural spline meta-regression models to these risk estimates. A natural spline allows risks to vary nonlinearly with exposure, such that estimates at low exposure are less affected by estimates in the upper exposure categories. Associated relative risks (RRs) were calculated for several low cumulative asbestos exposures. A natural spline model fitted our data best. With this model, the relative lung cancer risk for cumulative exposure levels of 4 and 40 f-y/ml was estimated between 1.013 and 1.027, and 1.13 and 1.30, respectively. After stratification by fiber type, a non-significant three- to fourfold difference in RRs between chrysotile and amphibole fibers was found for exposures below 40 f-y/ml. Fiber-type-specific risk estimates were strongly influenced by a few studies. The natural spline regression model indicates that at lower asbestos exposure levels, the increase in RR of lung cancer due to asbestos exposure may be larger than expected from previous meta-analyses. Observed potency differences between different fiber types are lower than the generally held consensus. Low-exposed industrial or population-based cohorts with quantitative estimates of asbestos exposure a required to substantiate the risk estimates at low exposure levels from our new, flexible meta-regression.</t>
  </si>
  <si>
    <t>Risk factors for onset of multiple or long major depressive episodes versus single and short episodes.</t>
  </si>
  <si>
    <t>Stegenga, Bauke T; Geerlings, Mirjam I; Torres-González, Francisco; Xavier, Miguel; Svab, Igor; Penninx, Brenda W; Nazareth, Irwin; King, Michael</t>
  </si>
  <si>
    <t>https://pubmed.ncbi.nlm.nih.gov/23179095</t>
  </si>
  <si>
    <t>Major depressive disorder may vary according to number and duration of episodes. It is unclear whether risk factors for onset of multiple or long episodes of depression (MDE) differ from risk factors for the onset of single and short ones. Data were used from a cohort study of 5,256 GP attendees without major depressive disorder at baseline, who were followed up three times (predictD). The numbers and duration of MDE were noted and categorized into no episodes, single and short (≤3 months), and multiple or long (&gt;3 months) episodes at follow-up. Log-binomial regression models were used to calculate relative risks between the groups for 18 risk factors examined at baseline. 165 persons (3 %) had a single and short MDE and 328 (6 %) had multiple or long MDE at follow-up. Lower education, anxiety, problems at work and financial strain significantly increased the risk of multiple or long MDE when compared to single and short MDE. Younger people were at reduced risk of multiple or long MDE. Our findings suggest that several risk factors can be identified that may help to predict onset of different types of MDE. These factors are easy to assess and may be used in the prevention of depression.</t>
  </si>
  <si>
    <t>Plasma uric acid is associated with increased risk of type 2 diabetes independent of diet and metabolic risk factors.</t>
  </si>
  <si>
    <t>Sluijs, Ivonne; Beulens, Joline W J; van der A, Daphne L; Spijkerman, Annemieke M W; Schulze, Matthias B; van der Schouw, Yvonne T</t>
  </si>
  <si>
    <t>https://pubmed.ncbi.nlm.nih.gov/23173177</t>
  </si>
  <si>
    <t>Current evidence suggests a direct association of uric acid with diabetes risk, but it is still unclear whether this is independent of risk factors such as obesity and diet. We aimed to investigate whether plasma uric acid concentrations are independently associated with incident type 2 diabetes and to investigate the role of a uric acid-related dietary pattern in this association. We used a case-cohort nested in the European Prospective Investigation into Cancer and Nutrition-Netherlands study. The study included 2318 subcohort members and 845 incident diabetes cases, with a mean follow-up of 10 y. At baseline, blood samples were taken and diet was assessed using a validated FFQ. A uric acid-related dietary pattern was derived with reduced rank regression. Diabetes was mainly self-reported and verified against general practitioner records. Plasma uric acid was (mean ± SD) 231 ± 54.6 μmol/L in the subcohort. After adjustment for established diabetes risk factors such as age, the HR (highest vs. lowest quartile of uric acid) for diabetes was 4.36 (95% CI: 3.22, 5.90). Further adjustment for adiposity attenuated the HR to 1.86 (95% CI: 1.32, 2.62). Additional adjustment for hypertension and biochemical markers, such as TG, slightly attenuated the association [HR = 1.43 (95% CI: 0.97, 2.10)]. A uric acid-related dietary pattern did not confound the association. In conclusion, this study supports that high uric acid concentrations are associated with increased diabetes risk, although a large part of the association can be explained by the degree of adiposity.</t>
  </si>
  <si>
    <t>Biomarkers. Screening for C-reactive protein in CVD prediction.</t>
  </si>
  <si>
    <t>Peters, Sanne A E; Visseren, Frank L J; Grobbee, Diederick E</t>
  </si>
  <si>
    <t>nature reviews cardiology</t>
  </si>
  <si>
    <t>https://pubmed.ncbi.nlm.nih.gov/23165068</t>
  </si>
  <si>
    <t>Adding C-reactive protein (CRP) level to conventional cardiovascular risk models has been suggested to improve risk prediction for cardiovascular events. However, evaluation of the potential impact of CRP measurement in cardiovascular risk management will require studies designed to quantify the effect of additional CRP assessment on medical decision-making, patient outcomes, and cost-effectiveness.</t>
  </si>
  <si>
    <t>Population trends and inequalities in incidence and short-term outcome of acute myocardial infarction between 1998 and 2007.</t>
  </si>
  <si>
    <t>Koopman, Carla; Bots, Michiel L; van Oeffelen, Aloysia A M; van Dis, Ineke; Verschuren, W M Monique; Engelfriet, Peter M; Capewell, Simon; Vaartjes, Ilonca</t>
  </si>
  <si>
    <t>https://pubmed.ncbi.nlm.nih.gov/23168007</t>
  </si>
  <si>
    <t>We studied time trends in acute myocardial infarction (AMI) incidence, including out-of-hospital mortality proportions and hospitalized case-fatality rates. In addition, we compared AMI trends by age, gender and socioeconomic status. We linked the national Dutch hospital discharge register with the cause of death register to identify first AMI in patients ≥ 35 years between 1998 and 2007. Events were categorized in three groups: 178,322 hospitalized non-fatal, 43,210 hospitalized fatal within 28 days, and 75,520 out-of-hospital fatal AMI events. Time trends were analyzed using Joinpoint and Poisson regression. Since 1998, age-standardized AMI incidence rates decreased from 620 to 380 per 100,000 in 2007 in men and from 323 to 210 per 100,000 in 2007 in women. Out-of-hospital mortality decreased from 24.3% of AMI in 1998 to 20.6% in 2007 in men and from 33.0% to 28.9% in women. Hospitalized case-fatality declined from 2003 onwards. The annual percentage change in incidence was larger in men than women (-4.9% vs. -4.2%, P&lt;0.001). Furthermore, the decline in AMI incidence was smaller in young (35-54 years: -3.8%) and very old (≥ 85 years: -2.6%) men and women compared to middle-aged individuals (55-84 years: -5.3%, P&lt;0.001). Smaller declines in AMI rates were observed in deprived socioeconomic quintiles Q5 and Q4 relative to the most affluent quintile Q1 (P=0.002 and P=0.015). Substantial improvements were observed in incidence, out-of-hospital mortality and short-term case-fatality after AMI in the Netherlands. Young and female groups tend to fall behind, and socioeconomic inequalities in AMI incidence persisted and have not narrowed.</t>
  </si>
  <si>
    <t>Physical functioning is related to both an impaired physical ability and ADL disability: a ten year follow-up study in middle-aged and older persons.</t>
  </si>
  <si>
    <t>den Ouden, Marjolein E M; Schuurmans, Marieke J; Brand, Judith S; Arts, Ilse E M A; Mueller-Schotte, Sigrid; van der Schouw, Yvonne T</t>
  </si>
  <si>
    <t>https://pubmed.ncbi.nlm.nih.gov/23159191</t>
  </si>
  <si>
    <t>Identification of measures of physical function that mediate or link impaired physical ability with disability in activities of daily living (ADL) is necessary to facilitate the development of interventions to prevent or delay the onset of ADL disability. We examined whether measures of physical function at baseline are determinants of the Short Physical Performance Battery, as measure of physical ability, and disability, at ten years follow-up. Prospective cohort study in 625 middle-aged and older persons. Physical ability was measured by Guralniks Short Physical Performance Battery (impaired physical ability: score &lt;6) and ADL ability by the KATZ questionnaire (ADL disability: score ≥ 1). Physical function was measured by lung function (in men only), handgrip strength, leg strength, and physical activity. The associations between physical function and the dichotomized impaired physical ability and disability-score were estimated using Poisson regression. Better lung function and higher leg strength were associated with a lower risk of having impaired physical ability, RR=0.98, 95% CI [0.96; 0.99] per 10 L/min and RR=0.97, 95% CI [0.94; 0.99] per 10Nm, respectively. Higher handgrip strength, leg strength and level of physical activity were associated with a lower risk of having ADL disability, RR=0.72, 95% CI [0.57; 0.92] per 10 kg, RR=0.95, 95% CI [0.92; 0.98] per 10Nm, RR=0.98, 95% CI [0.96; 0.99] per point-score, respectively. Additional adjustment for baseline ADL disability did not materially changed the point-estimates (except for handgrip strength). Overall, leg extensor strength was associated with both an impaired physical ability and ADL disability. Other measures of physical functioning were either related to an impaired physical ability or ADL disability. ADL disability may be an intermediate factor for hand grip strength in the causal chain from impaired physical ability to ADL disability at follow-up. The results of this study show that leg strength might be a relevant parameter to consider for future intervention studies.</t>
  </si>
  <si>
    <t>Decolonization of patients and health care workers to control nosocomial spread of methicillin-resistant Staphylococcus aureus: a simulation study.</t>
  </si>
  <si>
    <t>Gurieva, Tatiana V; Bootsma, Martin C J; Bonten, Marc J M</t>
  </si>
  <si>
    <t>https://pubmed.ncbi.nlm.nih.gov/23151152</t>
  </si>
  <si>
    <t>Control of methicillin-resistant Staphylococcus aureus (MRSA) transmission has been unsuccessful in many hospitals. Recommended control measures include isolation of colonized patients, rather than decolonization of carriage among patients and/or health care workers. Yet, the potential effects of such measures are poorly understood. We use a stochastic simulation model in which health care workers can transmit MRSA through short-lived hand contamination, or through persistent colonization. Hand hygiene interrupts the first mode, decolonization strategies the latter. We quantified the effectiveness of decolonization of patients and health care workers, relative to patient isolation in settings where MRSA carriage is endemic (rather than sporadic outbreaks in non-endemic settings caused by health care workers). Patient decolonization is the most effective intervention and outperforms patient isolation, even with low decolonization efficacy and when decolonization is not achieved immediately. The potential role of persistently colonized health care workers in MRSA transmission depends on the proportion of persistently colonized health care workers and the likelihood per colonized health care worker to transmit. As stand-alone intervention, universal screening and decolonization of persistently colonized health care workers is generally the least effective intervention, especially in high endemicity settings. When added to patient isolation, such a strategy would have maximum benefits if few health care workers cause a large proportion of the acquisitions. In high-endemicity settings regular screening of health care workers followed by decolonization of MRSA-carriers is unlikely to reduce nosocomial spread of MRSA unless there are few persistently colonized health care workers who are responsible for a large fraction of the MRSA acquisitions by patients. In contrast, decolonization of patients can be very effective.</t>
  </si>
  <si>
    <t>Effect of hemodiafiltration on quality of life over time.</t>
  </si>
  <si>
    <t>Mazairac, Albert H A; de Wit, G Ardine; Grooteman, Muriel P C; Penne, E Lars; van der Weerd, Neelke C; den Hoedt, Claire H; Lévesque, Renée; van den Dorpel, Marinus A; Nubé, Menso J; ter Wee, Piet M; Bots, Michiel L; Blankestijn, Peter J; ,</t>
  </si>
  <si>
    <t>https://pubmed.ncbi.nlm.nih.gov/23124783</t>
  </si>
  <si>
    <t>It is unclear if hemodiafiltration leads to a better quality of life compared with hemodialysis. It was, therefore, the aim of this study to assess the effect of hemodiafiltration on quality of life compared with hemodialysis in patients with ESRD. This study analyzed the data of 714 patients with a median follow-up of 2 years from the Convective Transport Study. The patients were enrolled between June of 2004 and December of 2009. The Convective Transport Study is a randomized controlled trial on the effect of online hemodiafiltration versus low-flux hemodialysis on all-cause mortality. Quality of life was assessed with the Kidney Disease Quality of Life-Short Form. This questionnaire provides data for a physical and mental composite score and describes kidney disease-specific quality of life in 12 domains. The domains have scales from 0 to 100. There were no significant differences in changes in health-related quality of life over time between patients treated with hemodialysis (n=358) or hemodiafiltration (n=356). The quality of life domain patient satisfaction declined over time in both dialysis modalities (hemodialysis: -2.5/yr, -3.4 to -1.5, P&lt;0.001; hemodiafiltration: -1.4/yr, -2.4 to -0.5, P=0.004). Compared with hemodialysis, hemodiafiltration had no significant effect on quality of life over time.</t>
  </si>
  <si>
    <t>High-molecular-weight kininogen and the risk of a myocardial infarction and ischemic stroke in young women: the RATIO case-control study.</t>
  </si>
  <si>
    <t>Siegerink, B; Rosendaal, F R; Algra, A</t>
  </si>
  <si>
    <t>https://pubmed.ncbi.nlm.nih.gov/22978483</t>
  </si>
  <si>
    <t>Modeling the transmission risk of emerging infectious diseases through blood transfusion.</t>
  </si>
  <si>
    <t>Oei, Welling; Janssen, Mart P; van der Poel, Cees L; van Steenbergen, Jim E; Rehmet, Sybille; Kretzschmar, Mirjam E E</t>
  </si>
  <si>
    <t>https://pubmed.ncbi.nlm.nih.gov/23113823</t>
  </si>
  <si>
    <t>A timely risk assessment is desired to guide decisions on preventive transfusion safety measures during emerging infectious disease (EID) outbreaks. The European Up-Front Risk Assessment Tool (EUFRAT) model was developed to provide quantitative transmission risk estimates of EIDs through blood transfusion. The generic model comprises five sequential steps to estimate the infection risks in the blood transfusion chain: 1) the prevalence of infection in the donor population, 2) the risk of obtaining infected donations, 3) infected components, 4) infected blood products, and 5) the risk of transmitting the infection to recipients. The model uses inputs from epidemiologic characteristics of an EID and transfusion practice. The model was applied to data from a recent chikungunya outbreak in Italy. Based on data from the outbreak peak, an estimated prevalence of 1.07 (95% confidence interval [CI], 0.38-2.03) per 100,000 donors would lead to 0.04 infected donations (95% CI, 0.01-0.10), 0.13 infected blood components, 0.13 infected end products, and 0.0001 severe infections in recipients. This estimated risk can be reduced by increasing the duration of quarantine of the donated blood and becomes zero after 7 or more days of quarantine. The model also estimated the probability of a donor returning from the outbreak area and subsequently donating infected blood in his home country to be 0.30 (95% CI, 0.01-0.65) per 100,000. The model can be used to quantify EID outbreak risks to blood transfusion recipients and the effect of targeted safety interventions and as such support public health decision-making.</t>
  </si>
  <si>
    <t>Comparison of approaches to estimate confidence intervals of post-test probabilities of diagnostic test results in a nested case-control study.</t>
  </si>
  <si>
    <t>van Zaane, Bas; Vergouwe, Yvonne; Donders, A Rogier T; Moons, Karel G M</t>
  </si>
  <si>
    <t>https://pubmed.ncbi.nlm.nih.gov/23114025</t>
  </si>
  <si>
    <t>Nested case-control studies become increasingly popular as they can be very efficient for quantifying the diagnostic accuracy of costly or invasive tests or (bio)markers. However, they do not allow for direct estimation of the test's predictive values or post-test probabilities, let alone for their confidence intervals (CIs). Correct estimates of the predictive values itself can easily be obtained using a simple correction by the (inverse) sampling fractions of the cases and controls. But using this correction to estimate the corresponding standard error (SE), falsely increases the number of patients that are actually studied, yielding too small CIs. We compared different approaches for estimating the SE and thus CI of predictive values or post-test probabilities of diagnostic test results in a nested case-control study. We created datasets based on a large, previously published diagnostic study on 2 different tests (D-dimer test and calf difference test) with a nested case-control design. We compared six different approaches; the approaches were: 1. the standard formula for the SE of a proportion, 2. adaptation of the standard formula with the sampling fraction, 3. A bootstrap procedure, 4. A approach, which uses the sensitivity, the specificity and the prevalence, 5. Weighted logistic regression, and 6. Approach 4 on the log odds scale. The approaches were compared with respect to coverage of the CI and CI-width. The bootstrap procedure (approach 3) showed good coverage and relatively small CI widths. Approaches 4 and 6 showed some undercoverage, particularly for the D-dimer test with frequent positive results (positive results around 70%). Approaches 1, 2 and 5 showed clear overcoverage at low prevalences of 0.05 and 0.1 in the cohorts for all case-control ratios. The results from our study suggest that a bootstrap procedure is necessary to assess the confidence interval for the predictive values or post-test probabilities of diagnostic tests results in studies using a nested case-control design.</t>
  </si>
  <si>
    <t>A bead-based multiplexed immunoassay to evaluate breast cancer biomarkers for early detection in pre-diagnostic serum.</t>
  </si>
  <si>
    <t>Opstal-van Winden, Annemieke W J; Rodenburg, Wendy; Pennings, Jeroen L A; van Oostrom, Conny T M; Beijnen, Jos H; Peeters, Petra H M; van Gils, Carla H; de Vries, Annemieke</t>
  </si>
  <si>
    <t>https://pubmed.ncbi.nlm.nih.gov/23202969</t>
  </si>
  <si>
    <t>This study investigates whether a set of ten potential breast cancer serum biomarkers and cancer antigens (osteopontin (OPN), haptoglobin, cancer antigen 15-3 (CA15-3), carcinoembryonic antigen (CEA), cancer antigen 125 (CA-125), prolactin, cancer antigen 19-9 (CA19-9), α-fetoprotein (AFP), leptin and migration inhibitory factor (MIF)) can predict early stage breast cancer in samples collected before clinical diagnosis (phase III samples). We performed a nested case-control study within the Prospect-EPIC (European Prospective Investigation into Cancer and nutrition) cohort. We examined to what extent the biomarker panel could discriminate between 68 women diagnosed with breast cancer up to three years after enrollment and 68 matched healthy controls (all 56-64 years at baseline). Using a quantitative bead-based multiplexed assay, we determined protein concentrations in serum samples collected at enrollment. Principal Component Analysis (PCA) and Random Forest (RF) analysis revealed that on the basis of all ten proteins, early cases could not be separated from controls. When we combined serum protein concentrations and subject characteristics related to breast cancer risk in the RF analysis, this did not result in classification accuracy scores that could correctly classify the samples (sensitivity: 50%, specificity: 50%). Our findings indicate that this panel of selected tumor markers cannot be used for diagnosis of early breast cancer.</t>
  </si>
  <si>
    <t>From west to east; experience with adapting a curriculum in evidence-based medicine.</t>
  </si>
  <si>
    <t>Widyahening, Indah S; van der Heijden, Geert J M G; Moy, Foong Ming; van der Graaf, Yolanda; Sastroasmoro, Sudigdo; Bulgiba, Awang</t>
  </si>
  <si>
    <t>https://pubmed.ncbi.nlm.nih.gov/23240103</t>
  </si>
  <si>
    <t>Clinical epidemiology (CE) and evidence-based medicine (EBM) have become an important part of medical school curricula. This report describes the implementation and some preliminary outcomes of an integrated CE and EBM module in the Faculty of Medicine Universitas Indonesia (UI), Jakarta and in the University of Malaya (UM) in Kuala Lumpur. A CE and EBM module, originally developed at the University Medical Center Utrecht (UMCU), was adapted for implementation in Jakarta and Kuala Lumpur. Before the start of the module, UI and UM staff followed a training of teachers (TOT). Student competencies were assessed through pre and post multiple-choice knowledge tests, an oral and written structured evidence summary (evidence-based case report, EBCR) as well as a written exam. All students also filled in a module evaluation questionnaire. The TOT was well received by staff in Jakarta and Kuala Lumpur and after adaptation the CE and EBM modules were integrated in both medical schools. The pre-test results of UI and UM were significantly lower than those of UMCU students (p &lt; 0.001). The post test results of UMCU students were comparable (p = 0.48) with UI, but significantly different (p &lt; 0.001) from UM. Common problems for the modules in both UI and UM were limited access to literature and variability of the tutors' skills. Adoption and integration of an existing Western CE-EBM teaching module into Asian medical curricula is feasible while learning outcomes obtained are quite similar.</t>
  </si>
  <si>
    <t>Lacunar infarcts in deep white matter are associated with higher and more fluctuating depressive symptoms during three years follow-up.</t>
  </si>
  <si>
    <t>Grool, Anne M; Gerritsen, Lotte; Zuithoff, Nicolaas P A; Mali, Willem P T M; van der Graaf, Yolanda; Geerlings, Mirjam I</t>
  </si>
  <si>
    <t>https://pubmed.ncbi.nlm.nih.gov/23079234</t>
  </si>
  <si>
    <t>Disruption of frontal-subcortical circuits by cerebral small-vessel disease is thought to predispose to depression characterized by motivational symptoms. We examined the influence of lacunar infarcts and white matter lesions (WML) on severity and course of depressive symptoms during 3 years follow-up. Within the SMART-Medea study, analyses were performed in 650 patients with symptomatic atherosclerotic disease (62±9 years). Volumetric WML measures (deep and periventricular) were obtained with 1.5T magnetic resonance imaging at baseline; infarcts were rated visually. Depressive symptoms were assessed with Patient Health Questionnaire-9 at baseline and during five follow-up times and categorized into motivational and mood scores. Using generalized estimating equation models, a relation between lacunar infarcts in deep white matter and an increased severity (mean difference=1.47, 95% confidence interval .33-2.60) and more fluctuating course (p value interaction infarcts * time=.04) of depressive symptoms during follow-up was found, adjusted for age, sex, education, vascular risk, and cognition. This relation was primarily driven by motivational symptoms. Lacunar infarcts were not associated with severity or course of depressive symptoms. Deep WML were associated with a more fluctuating but not more severe course of depressive symptoms. Excluding patients with major depressive disorder did not change the results. In patients with symptomatic atherosclerotic disease and relatively mild depressive symptoms, depressive symptoms, characteristic of motivational problems, remained higher during 3 years follow-up in patients with lacunar infarcts in deep white matter and that symptom severity fluctuated over time.</t>
  </si>
  <si>
    <t>Domains contributing to disability in activities of daily living.</t>
  </si>
  <si>
    <t>den Ouden, Marjolein E M; Schuurmans, Marieke J; Mueller-Schotte, Sigrid; Brand, Judith S; van der Schouw, Yvonne T</t>
  </si>
  <si>
    <t>https://pubmed.ncbi.nlm.nih.gov/23043731</t>
  </si>
  <si>
    <t>The WHO International Classification of Functioning, Disability, and Health (ICF)-model describes disability in activities of daily living (ADL) as a multifactorial concept. According to this model, ADL disability is influenced by health conditions, body function and structures, environmental and personal factors, and participation. Current research on ADL disability often focuses on one domain and the contribution of multiple domains is not taken into account. The aim was to investigate which domains contribute to ADL disability. Cross-sectional study. General community. A total of 537 middle-aged and older persons. Health conditions included number of chronic diseases. Body function comprised Mini-Mental State Examination (MMSE), processing speed, memory, grip strength, physical performance score (PPS), physical activity, sensory problems, body mass index (BMI), intra-abdominal fat, and cholesterol/HDL ratio. Body structure included atherosclerosis and bone mineral density. Environmental factors comprised the degree of urbanization. Personal factors included age, sex, education, smoking, self-management abilities, quality of life, anxiety/panic disorders, and depressive symptoms. Associations between candidate predictors and ADL disability, measured on the Katz ADL-scale, were examined by multivariable adjusted logistic regression analysis. Nagelkerke R(2)-statistic was calculated to investigate the contribution of each domain to ADL disability. Number of chronic diseases (domain health condition), MMSE, PPS, physical activity, BMI, intra-abdominal fat (domain body function), atherosclerosis (domain body structure) and sex, education, smoking, quality of life, and depressive symptoms (domain personal factors) were significant predictors of ADL disability. Fifty-seven percent of the variance in ADL disability was explained by the model. For each domain, the explained variance materially decreased after its exclusion, except for environmental factors. The present study shows that multiple domains (ie, health condition, body function, body structure, and personal factors) contribute to current ADL disability.</t>
  </si>
  <si>
    <t>Both cardiovascular and non-cardiovascular comorbidity are related to health status in well-controlled type 2 diabetes patients: a cross-sectional analysis.</t>
  </si>
  <si>
    <t>Wermeling, Paulien R; Gorter, Kees J; van Stel, Henk F; Rutten, Guy E H M</t>
  </si>
  <si>
    <t>https://pubmed.ncbi.nlm.nih.gov/23039172</t>
  </si>
  <si>
    <t>Type 2 diabetes patients have a decreased health-related quality of life compared to healthy persons, especially regarding physical functioning and well-being. Health-related quality of life is even lower in type 2 diabetes patients when other diseases co-exist. In contrast to earlier studies, we assessed the associations between the number and type of comorbidities and health status in well-controlled type 2 diabetes patients, in whom treatment goals for HbA1c, blood pressure and cholesterol had been reached. Approximately one in five type 2 diabetes patients belongs to this group. Cross-sectional analysis was performed in 2086 well-controlled (HbA1c ≤58 mmol/mol, systolic blood pressure ≤145 mmHg, total cholesterol ≤5.2 mmol/l and not using insulin) type 2 diabetes patients in general practice. Both number and type (cardiovascular and non-cardiovascular) of comorbidities were determined for each patient. Health status was assessed with the questionnaires Short Form-36 (SF-36) and EuroQol (EQ). The SF-36 generates eight dimensions of health and a Physical and Mental Component Score (PCS and MCS), scale: 0-100. The EQ consists of two parts: EQ-5D and EQ Visual Analogue Scale. Multivariable linear regression analysis was used to assess if number and type of comorbidities were associated with health status. Well-controlled type 2 diabetes patients with comorbidities had a much lower health status, with a decrease ranging from -1.5 for the MCS to -26.3 for role limitations due to physical problems, compared to those without. Health status decreased when the number of comorbidities increased, except for mental health, role limitations due to emotional problems, MCS and both EQ measures. In patients with both cardiovascular and non-cardiovascular comorbidity, physical functioning, role limitations due to physical problems and PCS were significantly lower than in patients with only cardiovascular comorbidity. Physical functioning was also lower compared to patients with only non-cardiovascular comorbidity. Even acceptable values of HbA1c, blood pressure and cholesterol in type 2 diabetes patients are not necessarily related with a good health status. We have shown that comorbidities have a large impact on health status. Physicians may take into account patient's health status and integrate the impact of comorbidities into diabetes care.</t>
  </si>
  <si>
    <t>Safe exclusion of pulmonary embolism using the Wells rule and qualitative D-dimer testing in primary care: prospective cohort study.</t>
  </si>
  <si>
    <t>Geersing, Geert-Jan; Erkens, Petra M G; Lucassen, Wim A M; Büller, Harry R; Cate, Hugo Ten; Hoes, Arno W; Moons, Karel G M; Prins, Martin H; Oudega, Ruud; van Weert, Henk C P M; Stoffers, Henri E J H</t>
  </si>
  <si>
    <t>https://pubmed.ncbi.nlm.nih.gov/23036917</t>
  </si>
  <si>
    <t>To validate the use of the Wells clinical decision rule combined with a point of care D-dimer test to safely exclude pulmonary embolism in primary care. Prospective cohort study. Primary care across three different regions of the Netherlands (Amsterdam, Maastricht, and Utrecht). 598 adults with suspected pulmonary embolism in primary care. Doctors scored patients according to the seven variables of the Wells rule and carried out a qualitative point of care D-dimer test. All patients were referred to secondary care and diagnosed according to local protocols. Pulmonary embolism was confirmed or refuted on the basis of a composite reference standard, including spiral computed tomography and three months' follow-up. Diagnostic accuracy (sensitivity and specificity), proportion of patients at low risk (efficiency), number of missed patients with pulmonary embolism in low risk category (false negative rate), and the presence of symptomatic venous thromboembolism, based on the composite reference standard, including events during the follow-up period of three months. Pulmonary embolism was present in 73 patients (prevalence 12.2%). On the basis of a threshold Wells score of ≤ 4 and a negative qualitative D-dimer test result, 272 of 598 patients were classified as low risk (efficiency 45.5%). Four cases of pulmonary embolism were observed in these 272 patients (false negative rate 1.5%, 95% confidence interval 0.4% to 3.7%). The sensitivity and specificity of this combined diagnostic approach was 94.5% (86.6% to 98.5%) and 51.0% (46.7% to 55.4%), respectively. A Wells score of ≤ 4 combined with a negative qualitative D-dimer test result can safely and efficiently exclude pulmonary embolism in primary care.</t>
  </si>
  <si>
    <t>Measuring carotid intima-media thickness: extensive ultrasound protocols have value.</t>
  </si>
  <si>
    <t>Peters, Sanne A E; den Ruijter, Hester M; Bots, Michiel L; ,</t>
  </si>
  <si>
    <t>journal of the american society of echocardiography official publication of the american society of echocardiography</t>
  </si>
  <si>
    <t>https://pubmed.ncbi.nlm.nih.gov/22998794</t>
  </si>
  <si>
    <t>New trends in the prevention and management of community-acquired pneumonia.</t>
  </si>
  <si>
    <t>Postma, D F; van Werkhoven, C H; Huijts, S M; Bolkenbaas, M; Oosterheert, J J; Bonten, M J M</t>
  </si>
  <si>
    <t>https://pubmed.ncbi.nlm.nih.gov/23065981</t>
  </si>
  <si>
    <t>Community-acquired pneumonia (CAP) is an important cause of morbidity and mortality worldwide. This review summarises current trends and knowledge gaps in CAP management and prevention. Although Streptococcus pneumoniae is the most frequent cause of CAP, identification of the microbial cause of infection remains unsuccessful in most episodes, and little is known about the aetiology of CAP in immunocompromised patients. Urinary antigen testing has become standard care for diagnosing Legionella infection, and pneumococcal urinary antigen testing is now recommended in the Dutch guidelines to streamline antibiotic therapy in patients hospitalised with CAP. In primary care C-reactive protein determination is recommended to improve antibiotic prescription for lower respiratory tract infections. In patients hospitalised with CAP, three strategies are considered equally effective for choosing empirical antibiotic treatment. Yet, more (and better designed) studies are needed to determine the best strategy, as well as to determine optimal (which usually means the minimum) duration of antibiotic therapy and the role of adjuvant treatment with corticosteroids. The effectiveness of the 23-valent pneumococcal polysaccharide vaccine in preventing invasive pneumococcal disease and pneumococcal CAP remains debated, and whether the newer conjugate vaccines are more effective remains to be determined. Many of these questions are currently being addressed in large-scaled trials in the Netherlands, and their results may allow evidence-based decisions in CAP management and prevention.</t>
  </si>
  <si>
    <t>Effectiveness of peer-led self-management coaching for patients recently diagnosed with Type 2 diabetes mellitus in primary care: a randomized controlled trial.</t>
  </si>
  <si>
    <t>van der Wulp, I; de Leeuw, J R J; Gorter, K J; Rutten, G E H M</t>
  </si>
  <si>
    <t>https://pubmed.ncbi.nlm.nih.gov/22414198</t>
  </si>
  <si>
    <t>To study the effectiveness of a peer-led self-management coaching intervention in recently diagnosed patients with Type 2 diabetes. Randomized controlled trial of recently diagnosed patients with Type 2 diabetes from 54 participating general practices. The intervention group received three home visits by an experienced peer (expert patient) who adhered to the recommended treatment and lifestyle guidelines. Together with their expert patient, participants set feasible goals and these were evaluated in the next visit. Participants in the control group received care as usual. At baseline, 3 months and 6 months post-intervention, participants completed a questionnaire measuring changes in self-efficacy, coping, physical activity, dietary habits, psychological well-being, depressive symptoms and diabetes related distress. In total, 327 patients were eligible for inclusion in the study of which 133 consented to participate. In participating patients, self-efficacy, coping and saturated fat intake improved significantly over time. Analyses of participants with low self-efficacy at baseline (25th percentile: 44) revealed a significant time × group difference, F = 3.71; P = 0.03. Participants who reported low psychological well-being at baseline increased substantially throughout the study (F = 23.84; P &lt; 0.01) but no significant time × group differences were found. A peer-led self-management coaching programme for recently diagnosed patients with Type 2 diabetes improved self-efficacy of patients experiencing low self-efficacy shortly after diagnosis.</t>
  </si>
  <si>
    <t>Increasing trial efficiency by early reallocation of placebo nonresponders in sequential parallel comparison designs: application to antidepressant trials.</t>
  </si>
  <si>
    <t>Boessen, Ruud; Knol, Mirjam J; Groenwold, Rolf H H; Grobbee, Diederick E; Roes, Kit C B</t>
  </si>
  <si>
    <t>https://pubmed.ncbi.nlm.nih.gov/23060319</t>
  </si>
  <si>
    <t>The sequential parallel comparison (SPC) design was proposed to improve the efficiency of psychiatric clinical trials by reducing the impact of placebo response. It consists of two consecutive placebo-controlled comparisons of which the second is only entered by placebo nonresponders from the first. Previous studies suggest that in antidepressant trials, nonresponse to placebo can already be predicted after 2 weeks of follow-up. This would allow to reduce the first phase of the SPC design to further increase its efficiency. To compare the sample size requirements of an 8-week randomized controlled trial (RCT(8)) and alternative SPC designs with equal or longer total follow-up duration (SPC(2+6), SPC(4+4), and SPC(6+6)). Scenarios for response and dropout rates were defined. Sample sizes to achieve 80% power were determined for the various designs. Three treatment functions assumed either a smaller, equal, or larger effect at the early stage of the trial as compared with that at the end. Two dropout models described either predominantly early or linearly increasing dropout, and dropout was considered as nonresponse. The relative efficiency of the different designs was evaluated across these scenarios and for a specific scenario based on empirical antidepressant trial data. The different SPC designs (i.e., SPC(2+6), SPC(4+4), and SPC(6+6)) were generally more efficient than the RCT(8) design when the treatment effect at the early stage of the trial was equal or larger than the effect at the end. In this case, the advantage of the SPC designs increased in the presence of dropout. The SPC(2+6) design was usually more efficient than the SPC(4+4) design and was relatively less affected by dropout when it occurred predominantly early. For the scenario that was based on antidepressant trial data, the SPC(2+6) and SPC(4+4) designs required 51% and 53% fewer patients than the RCT(8) design. A limited variety of scenarios was evaluated. Parameter values resembled those observed in antidepressant trials. This study suggests that SPC designs are highly efficient alternatives to a conventional RCT in indications where placebo response is high and substantial treatment effects are established after a relatively short follow-up period (i.e., after the first SPC design phase). We conclude that SPC designs can reduce sample size requirements and increase success rates of antidepressant trials.</t>
  </si>
  <si>
    <t>On what we will lose in giving up on clinical equipoise: A reply to Miller.</t>
  </si>
  <si>
    <t>van der Graaf, Rieke; van Delden, Johannes Jm</t>
  </si>
  <si>
    <t>https://pubmed.ncbi.nlm.nih.gov/23060320</t>
  </si>
  <si>
    <t>Cardiac arrhythmias in adult patients with asthma.</t>
  </si>
  <si>
    <t>Warnier, Miriam J; Rutten, Frans H; Kors, Jan A; Lammers, Jan Willem J; de Boer, Anthonius; Hoes, Arno W; de Bruin, Marie L</t>
  </si>
  <si>
    <t>the journal of asthma official journal of the association for the care of asthma</t>
  </si>
  <si>
    <t>https://pubmed.ncbi.nlm.nih.gov/23013453</t>
  </si>
  <si>
    <t>The pathogenesis of cardiac arrhythmias in asthma patients has not been fully elucidated. Adverse drug effects, particularly those of β2-mimetics, may play a role. The aim of this study was to determine whether asthma is associated with the risk of cardiac arrhythmias and electrocardiographic characteristics of arrhythmogenicity (ECG) and to explore the role of β2-mimetics. A cross-sectional study was conducted among 158 adult patients with a diagnosis of asthma and 6303 participants without asthma from the cohort of the Utrecht Health Project-an ongoing, longitudinal, primary care-based study. All patients underwent extensive examinations, including resting 12-lead electrocardiogram (ECG) and pulmonary function tests. The primary outcome was "any arrhythmia on the ECG" (including tachycardia, bradycardia, premature ventricular contraction (PVC), and atrial fibrillation or flutter). Secondary outcomes were tachycardia, bradycardia, PVC, atrial fibrillation or flutter, mean heart rate, mean corrected QT (QTc) interval length, and prolonged QTc interval. Tachycardia and PVCs were more prevalent in patients with asthma (3% and 4%, respectively) than those without asthma (0.6%, p &lt; .001; 2%, p = .03, respectively). The prevalence of QTc interval prolongation was similar in participants with (2%) and without asthma (3%, odds ratio [OR]: 0.6 and 95% confidence interval [95% CI]: 0.2-2.0). In 74 asthma patients, who received β2-mimetics, tachycardia and PVCs were more common (OR: 12.4 [95% CI: 4.7-32.8] and 3.7 [95% CI: 1.3-10.5], respectively). The adult patients with asthma more commonly show tachycardia and PVCs on the ECG than those without asthma. The patients with asthma received β2-mimetics; the risk of tachycardia and PVCs is even more pronounced.</t>
  </si>
  <si>
    <t>The effect of menaquinone-7 supplementation on circulating species of matrix Gla protein.</t>
  </si>
  <si>
    <t>Dalmeijer, G W; van der Schouw, Y T; Magdeleyns, E; Ahmed, N; Vermeer, C; Beulens, J W J</t>
  </si>
  <si>
    <t>https://pubmed.ncbi.nlm.nih.gov/23062766</t>
  </si>
  <si>
    <t>To investigate whether menaquinone-7 (MK-7) supplementation increases carboxylation of MGP. A randomized, double-blind, placebo-controlled trial was performed. Sixty participants (40-65 y) were randomly allocated to supplementation of 180 μg/d, 360 μg/d of MK-7 or placebo during 12 weeks. At baseline, after 4 and 12 weeks, desphospho-uncarboxylated MGP (dp-ucMGP), desphospho-carboxylated MGP (dp-cMGP) and total uncarboxylated MGP (t-ucMGP) were measured by ELISA techniques. Furthermore, the ratio of uncarboxylated osteocalcin (ucOC) to carboxylated osteocalcin (cOC) was used as proxy of vitamin K status and various cardiovascular risk factors were measured. Dp-ucMGP decreased significantly and dose-dependently in the 180 μg and 360 μg MK-7 supplementation groups (P time*treatment &lt; 0.001) after 12 weeks, by 31% and 46% respectively, while dp-ucMGP levels remained unchanged after placebo treatment. The osteocalcin ratio also decreased significantly after 12-week supplementation with 180 μg (60%) and 360 μg (74%) MK-7 (P time*treatment &lt; 0.001), while levels remained unchanged after placebo treatment. These results indicate improved vitamin K status and good compliance to the study treatment. Changes over time of dp-cMGP (p = 0.42) and t-ucMGP (p = 0.23) levels did not differ between treatment arms. Other cardiovascular risk factors did not differ between treatments arms. Menaquinone supplementation dose-dependently decreases dp-ucMGP concentrations, but does not affect other MGP species. Dp-ucMGP may serve as a non-invasive marker of vitamin K status.</t>
  </si>
  <si>
    <t>Determinants of non- response to a second assessment of lifestyle factors and body weight in the EPIC-PANACEA study.</t>
  </si>
  <si>
    <t>May, Anne M; Adema, Lotte E; Romaguera, Dora; Vergnaud, Anne-Claire; Agudo, Antonio; Ekelund, Ulf; Steffen, Annika; Orfanos, Philippos; Slimani, Nadia; Rinaldi, Sabina; Mouw, Traci; Rohrmann, Sabine; Hermann, Silke; Boeing, Heiner; Bergmann, Manuela M; Jakobsen, Marianne Uhre; Overvad, Kim; Wareham, Nicholas J; Gonzalez, Carlos; Tjonneland, Anne; Halkjaer, Jytte; Key, Timothy J; Spencer, Elizabeth A; Hellstrom, Veronica; Manjer, Jonas; Hedblad, Bo; Lund, Eiliv; Braaten, Tonje; Clavel-Chapelon, Françoise; Boutron-Ruault, Marie-Christine; Rodríguez, Laudina; Sánchez, Maria J; Dorronsoro, Miren; Barricarte, Aurelio; Huerta, Jose Maria; Naska, Androniki; Trichopoulou, Antonia; Palli, Domenico; Pala, Valeria; Norat, Teresa; Mattiello, Amalia; Tumino, Rosario; van der A, Daphne; Bueno-de-Mesquita, H Bas; Riboli, Elio; Peeters, Petra H M</t>
  </si>
  <si>
    <t>https://pubmed.ncbi.nlm.nih.gov/23006680</t>
  </si>
  <si>
    <t>This paper discusses whether baseline demographic, socio-economic, health variables, length of follow-up and method of contacting the participants predict non-response to the invitation for a second assessment of lifestyle factors and body weight in the European multi-center EPIC-PANACEA study. Over 500.000 participants from several centers in ten European countries recruited between 1992 and 2000 were contacted 2-11 years later to update data on lifestyle and body weight. Length of follow-up as well as the method of approaching differed between the collaborating study centers. Non-responders were compared with responders using multivariate logistic regression analyses. Overall response for the second assessment was high (81.6%). Compared to postal surveys, centers where the participants completed the questionnaire by phone attained a higher response. Response was also high in centers with a short follow-up period. Non-response was higher in participants who were male (odds ratio 1.09 (confidence interval 1.07; 1.11), aged under 40 years (1.96 (1.90; 2.02), living alone (1.40 (1.37; 1.43), less educated (1.35 (1.12; 1.19), of poorer health (1.33 (1.27; 1.39), reporting an unhealthy lifestyle and who had either a low (&lt;18.5 kg/m2, 1.16 (1.09; 1.23)) or a high BMI (&gt;25, 1.08 (1.06; 1.10); especially ≥30 kg/m2, 1.26 (1.23; 1.29)). Cohort studies may enhance cohort maintenance by paying particular attention to the subgroups that are most unlikely to respond and by an active recruitment strategy using telephone interviews.</t>
  </si>
  <si>
    <t>Lessons from the past and promises for the future for carotid intima-media thickness.</t>
  </si>
  <si>
    <t>Bots, Michiel L; Sutton-Tyrrell, Kim</t>
  </si>
  <si>
    <t>https://pubmed.ncbi.nlm.nih.gov/22999720</t>
  </si>
  <si>
    <t>Carotid intima-media thickness (CIMT) measurements have been used in cardiovascular research for more than 2 decades. There is a wealth of evidence showing that CIMT can be assessed in a reproducible manner and that increased CIMT relates to unfavorable risk factor levels and atherosclerosis elsewhere in the arterial system and to the risk of vascular events. Change in CIMT over time can be readily assessed, and trials showed that the rate of change is modifiable by treatment. Several issues important for the cardiovascular research community and its application in clinical practice are still outstanding. Promising future areas for CIMT measurements are: 1) application in studies among children and adolescents; 2) use of CIMT trials positioned decisively before the start of a morbidity and mortality trial; and 3) the use of CIMT measurement in risk stratification in those with an intermediate 10-year risk estimate.</t>
  </si>
  <si>
    <t>Systematic reviews of studies quantifying the accuracy of diagnostic tests and markers.</t>
  </si>
  <si>
    <t>Reitsma, Johannes B; Moons, Karel G M; Bossuyt, Patrick M M; Linnet, Kristian</t>
  </si>
  <si>
    <t>https://pubmed.ncbi.nlm.nih.gov/22991421</t>
  </si>
  <si>
    <t>Systematic reviews of diagnostic accuracy studies allow calculation of pooled estimates of accuracy with increased precision and examination of differences in accuracy between tests or subgroups of studies. Recently, several advances have been made in the methods used in performing systematic reviews of diagnostic test accuracy studies, most notably in how to assess the methodological quality of primary diagnostic test accuracy studies by use of QUADAS-2 (Quality Assessment of Diagnostic Accuracy Studies 2) instrument and how to develop sound statistical models for metaanalysis of the paired measures of test accuracy (bivariate metaregression model of sensitivity and specificity). This article provides an overview of the different steps within a diagnostic systematic review and highlights these advances, illustrated with empirical data. The potential benefits of some recent developments in the areas of network metaanalysis and individual patient data metaanalysis for diagnostic tests are also discussed.</t>
  </si>
  <si>
    <t>Comparing HAMD(17) and HAMD subscales on their ability to differentiate active treatment from placebo in randomized controlled trials.</t>
  </si>
  <si>
    <t>Boessen, Ruud; Groenwold, Rolf H H; Knol, Mirjam J; Grobbee, Diederick E; Roes, Kit C B</t>
  </si>
  <si>
    <t>https://pubmed.ncbi.nlm.nih.gov/22959683</t>
  </si>
  <si>
    <t>The 17-item Hamilton depression rating scale (HAMD(17)) is the standard efficacy outcome in antidepressant clinical trials. It is criticized for multidimensionality and poorly discriminating treatment from placebo. HAMD subscales may overcome these limitations and reduce the sample size of clinical trials. This study compared the discriminative performance of the HAMD(17) and three established HAMD subscales (Bech, Maier-Philipp, Gibbons) across a range of antidepressants with different mechanisms of action. We analyzed data from 24 clinical trials including 3692 patients randomized to tricyclic or tetracyclic antidepressants (TCAs or TeCAs), selective serotonin reuptake inhibitors (SSRIs) or placebo. Data were analyzed using a mixed model for repeated measurements (MMRM). Standardized effect sizes for the HAMD(17) and subscales were derived for every time-point, and their effect on sample size was evaluated. For TCAs and TeCAs vs. placebo, the HAMD(17) consistently provided the highest standardized effects. The sample size to establish efficacy at week six was &gt;25 percent smaller than for any of the subscales. However, for SSRIs vs. placebo, the HAMD(17) provided slightly smaller standardized effects and was the least efficient outcome. There were no relevant differences between the subscales. Data were derived exclusively from mirtazapine trials. Conclusions are restricted to clinical trial settings. Comparative performance of the HAMD(17) and various subscales strongly depends on type of antidepressant. Results support using HAMD(17) as primary endpoint in clinical trials, but it will be beneficial to pro-actively include subscales as additional endpoints to successfully establish treatment effects of new antidepressants.</t>
  </si>
  <si>
    <t>Quantifying the added value of a diagnostic test or marker.</t>
  </si>
  <si>
    <t>Moons, Karel G M; de Groot, Joris A H; Linnet, Kristian; Reitsma, Johannes B; Bossuyt, Patrick M M</t>
  </si>
  <si>
    <t>https://pubmed.ncbi.nlm.nih.gov/22952348</t>
  </si>
  <si>
    <t>In practice, the diagnostic workup usually starts with a patient with particular symptoms or signs, who is suspected of having a particular target disease. In a sequence of steps, an array of diagnostic information is commonly documented. The diagnostic information conveyed by different results from patient history, physical examination, and subsequent testing is to varying extents overlapping and thus mutually dependent. This implies that the diagnostic potential of a test or biomarker is conditional on the information obtained from previous tests. A key question about the accuracy of a diagnostic test/biomarker is whether that test improves the diagnostic workup beyond already available diagnostic test results. This second report in a series of 4 gives an overview of several methods to quantify the added value of a new diagnostic test or biomarker, including the area under the ROC curve, net reclassification improvement, integrated discrimination improvement, predictiveness curve, and decision curve analysis. Each of these methods is illustrated with the use of empirical data. We reiterate that reporting on the relative increase in discrimination and disease classification is relevant to obtain insight into the incremental value of a diagnostic test or biomarker. We also recommend the use of decision-analytic measures to express the accuracy of an entire diagnostic workup in an informative way.</t>
  </si>
  <si>
    <t>Ultrasound protocols to measure carotid intima-media thickness: one size does not fit all.</t>
  </si>
  <si>
    <t>Peters, Sanne A E; den Ruijter, Hester M; Bots, Michiel L</t>
  </si>
  <si>
    <t>https://pubmed.ncbi.nlm.nih.gov/22948017</t>
  </si>
  <si>
    <t>Accuracy of symptoms, signs, and C-reactive protein for early chronic obstructive pulmonary disease.</t>
  </si>
  <si>
    <t>Broekhuizen, Berna D L; Sachs, Alfred P E; Verheij, Theo J; Janssen, Kristel J M; Asma, Gerard; Lammers, Jan-Willem J; Hage, René; Lammers, Ernst; Hoes, Arno W; Moons, Karel G</t>
  </si>
  <si>
    <t>https://pubmed.ncbi.nlm.nih.gov/22947584</t>
  </si>
  <si>
    <t>Guidelines recommend detection of early chronic obstructive pulmonary disease (COPD), but evidence on the diagnostic work-up for COPD only concerns advanced and established COPD. To quantify the accuracy of symptoms and signs for early COPD, and the added value of C-reactive protein (CRP), in primary care patients presenting with cough. Cross-sectional diagnostic study of 73 primary care practices in the Netherlands. Four hundred primary care patients (182 males, mean age 63 years) older than 50 years, presenting with persistent cough (&gt;14 days) without established COPD participated, of whom 382 completed the study. They underwent a systematic diagnostic work-up of symptoms, signs, conventional laboratory CRP level, and hospital lung functions tests, including body plethysmography, and an expert panel decided whether COPD was present (reference test). The independent value of all items was estimated by multivariable logistic regression analysis. According to the expert panel, 118 patients had COPD (30%). Symptoms and signs with independent diagnostic value were age, sex, current smoking, smoking more than 20 pack-years, cardiovascular comorbidity, wheezing complaints, diminished breath sounds, and wheezing on auscultation. Combining these items resulted in an area under the receiver operating characteristic curve (ROC area) of 0.79 (95% confidence interval = 0.74 to 0.83) after internal validation. The proportion of subjects with elevated CRP was higher in those with early COPD, but CRP added no relevant diagnostic information above symptoms and signs. In subjects presenting with persistent cough, the CRP level has no added value for detection of early COPD.</t>
  </si>
  <si>
    <t>Blood pressure in 12-year-old children is associated with fatty acid composition of human milk: the prevention and incidence of asthma and mite allergy birth cohort.</t>
  </si>
  <si>
    <t>van Rossem, Lenie; Wijga, Alet H; de Jongste, Johan C; Koppelman, Gerard H; Oldenwening, Marieke; Postma, Dirkje S; Abrahamse-Berkeveld, Marieke; van de Heijning, Bert; Brunekreef, Bert; Smit, Henriëtte A</t>
  </si>
  <si>
    <t>https://pubmed.ncbi.nlm.nih.gov/22926954</t>
  </si>
  <si>
    <t>Breastfed individuals have a lower blood pressure than formula-fed individuals. Supplementation with n-3 long-chain polyunsaturated fatty acids in adults is also associated with a lower blood pressure. We studied whether children receiving human milk with a relatively high content of n-3 long-chain polyunsaturated fatty acids have a lower blood pressure at age 12 years, and, if so, whether this association is explained by the n-3 long-chain polyunsaturated fatty acids content in erythrocyte membranes at age 12 years. Within a 12-year follow-up of a population-based birth cohort, we compared blood pressure of 205 never-breastfed children and 109 children who had fatty acid composition of their mothers' breast milk measured during lactation. In addition, 973 children had information on erythrocyte fatty acid composition and blood pressure at age 12 years. Children who received human milk with an n-3 long-chain polyunsaturated fatty acids content above the median (ie, 0.51 weight percentage) had a 4.79-mm Hg lower systolic (95% CI, -7.64 to -1.94) and a 2.47-mm Hg lower diastolic (95% CI, -4.45 to -0.49) blood pressure at age 12 years than never-breastfed children. N-3 long-chain polyunsaturated fatty acids levels in human milk below the median value and current n-3 long-chain polyunsaturated fatty acid status were not associated with blood pressure at age 12 years. Thus, a relatively high content of n-3 long-chain polyunsaturated fatty acids in human milk is associated with a lower blood pressure in children at age 12 years, a finding not explained by current n-3 long-chain polyunsaturated fatty acids status.</t>
  </si>
  <si>
    <t>Common carotid intima-media thickness measurements in cardiovascular risk prediction: a meta-analysis.</t>
  </si>
  <si>
    <t>Den Ruijter, Hester M; Peters, Sanne A E; Anderson, Todd J; Britton, Annie R; Dekker, Jacqueline M; Eijkemans, Marinus J; Engström, Gunnar; Evans, Gregory W; de Graaf, Jacqueline; Grobbee, Diederick E; Hedblad, Bo; Hofman, Albert; Holewijn, Suzanne; Ikeda, Ai; Kavousi, Maryam; Kitagawa, Kazuo; Kitamura, Akihiko; Koffijberg, Hendrik; Lonn, Eva M; Lorenz, Matthias W; Mathiesen, Ellisiv B; Nijpels, Giel; Okazaki, Shuhei; O'Leary, Daniel H; Polak, Joseph F; Price, Jackie F; Robertson, Christine; Rembold, Christopher M; Rosvall, Maria; Rundek, Tatjana; Salonen, Jukka T; Sitzer, Matthias; Stehouwer, Coen D A; Witteman, Jacqueline C; Moons, Karel G; Bots, Michiel L</t>
  </si>
  <si>
    <t>https://pubmed.ncbi.nlm.nih.gov/22910757</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</si>
  <si>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</si>
  <si>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Incorporating published univariable associations in diagnostic and prognostic modeling.</t>
  </si>
  <si>
    <t>Debray, Thomas P A; Koffijberg, Hendrik; Lu, Difei; Vergouwe, Yvonne; Steyerberg, Ewout W; Moons, Karel G M</t>
  </si>
  <si>
    <t>https://pubmed.ncbi.nlm.nih.gov/22883206</t>
  </si>
  <si>
    <t>Diagnostic and prognostic literature is overwhelmed with studies reporting univariable predictor-outcome associations. Currently, methods to incorporate such information in the construction of a prediction model are underdeveloped and unfamiliar to many researchers. This article aims to improve upon an adaptation method originally proposed by Greenland (1987) and Steyerberg (2000) to incorporate previously published univariable associations in the construction of a novel prediction model. The proposed method improves upon the variance estimation component by reconfiguring the adaptation process in established theory and making it more robust. Different variants of the proposed method were tested in a simulation study, where performance was measured by comparing estimated associations with their predefined values according to the Mean Squared Error and coverage of the 90% confidence intervals. Results demonstrate that performance of estimated multivariable associations considerably improves for small datasets where external evidence is included. Although the error of estimated associations decreases with increasing amount of individual participant data, it does not disappear completely, even in very large datasets. The proposed method to aggregate previously published univariable associations with individual participant data in the construction of a novel prediction models outperforms established approaches and is especially worthwhile when relatively limited individual participant data are available.</t>
  </si>
  <si>
    <t>Neighbourhood socioeconomic inequalities in incidence of acute myocardial infarction: a cohort study quantifying age- and gender-specific differences in relative and absolute terms.</t>
  </si>
  <si>
    <t>Koopman, Carla; van Oeffelen, Aloysia A M; Bots, Michiel L; Engelfriet, Peter M; Verschuren, W M Monique; van Rossem, Lenie; van Dis, Ineke; Capewell, Simon; Vaartjes, Ilonca</t>
  </si>
  <si>
    <t>https://pubmed.ncbi.nlm.nih.gov/22870916</t>
  </si>
  <si>
    <t>Socioeconomic status has a profound effect on the risk of having a first acute myocardial infarction (AMI). Information on socioeconomic inequalities in AMI incidence across age-gender-groups is lacking. Our objective was to examine socioeconomic inequalities in the incidence of AMI considering both relative and absolute measures of risk differences, with a particular focus on age and gender. We identified all patients with a first AMI from 1997 to 2007 through linked hospital discharge and death records covering the Dutch population. Relative risks (RR) of AMI incidence were estimated by mean equivalent household income at neighbourhood-level for strata of age and gender using Poisson regression models. Socioeconomic inequalities were also shown within the stratified age-gender groups by calculating the total number of events attributable to socioeconomic disadvantage. Between 1997 and 2007, 317,564 people had a first AMI. When comparing the most deprived socioeconomic quintile with the most affluent quintile, the overall RR for AMI was 1.34 (95 % confidence interval (CI): 1.32-1.36) in men and 1.44 (95 % CI: 1.42-1.47) in women. The socioeconomic gradient decreased with age. Relative socioeconomic inequalities were most apparent in men under 35 years and in women under 65 years. The largest number of events attributable to socioeconomic inequalities was found in men aged 45-74 years and in women aged 65-84 years. The total proportion of AMIs that was attributable to socioeconomic inequalities in the Dutch population of 1997 to 2007 was 14 % in men and 18 % in women. Neighbourhood socioeconomic inequalities were observed in AMI incidence in the Netherlands, but the magnitude across age-gender groups depended on whether inequality was expressed in relative or absolute terms. Relative socioeconomic inequalities were high in young persons and women, where the absolute burden of AMI was low. Absolute socioeconomic inequalities in AMI were highest in the age-gender groups of middle-aged men and elderly women, where the number of cases was largest.</t>
  </si>
  <si>
    <t>Systemic corticosteroid monotherapy for clinically diagnosed acute rhinosinusitis: a randomized controlled trial.</t>
  </si>
  <si>
    <t>Venekamp, Roderick P; Bonten, Marc J M; Rovers, Maroeska M; Verheij, Theo J M; Sachs, Alfred P E</t>
  </si>
  <si>
    <t>https://pubmed.ncbi.nlm.nih.gov/22872770</t>
  </si>
  <si>
    <t>Patients with acute rhinosinusitis are frequently encountered in primary care. Although corticosteroids are being increasingly used for symptom control, evidence supporting their use is inconclusive. We conducted a randomized controlled trial to examine the effectiveness of systemic corticosteroid monotherapy for clinically diagnosed, uncomplicated acute rhinosinusitis. We conducted a block-randomized, double-blind, placebo-controlled clinical trial at 54 primary care practices (68 family physicians) in the Netherlands between Dec. 30, 2008, and Apr. 28, 2011. Adult patients with clinically diagnosed acute rhinosinusitis were randomly assigned to receive either prednisolone 30 mg/d or placebo for 7 days and asked to complete a symptom diary for 14 days. The primary outcome measure was the proportion of patients with resolution of facial pain or pressure on day 7. Of the 185 patients included in the trial (93 in the treatment group, 92 in the placebo group), 2 withdrew from the study and 9 were excluded from the primary analysis because of incomplete symptom reporting. The remaining 174 patients (88 in the treatment group, 86 in the placebo group) were included in the intention-to-treat analysis. The proportions of patients with resolution of facial pain or pressure on day 7 were 62.5% (55/88) in the prednisolone group and 55.8% (48/86) in the placebo group (absolute risk difference 6.7%, 95% confidence interval -7.9% to 21.2%). The groups were similar with regard to the decrease over time in the proportion of patients with total symptoms (combined symptoms of runny nose, postnasal discharge, nasal congestion, cough and facial pain) and health-related quality of life. Adverse events were mild and did not differ significantly between the groups. Systemic corticosteroid monotherapy had no clinically relevant beneficial effects among patients with clinically diagnosed acute rhinosinusitis. Netherlands Trial Register registration no. 1295 (www.trialregister.nl/trialreg/index.asp).</t>
  </si>
  <si>
    <t>Inclusion of residual tissue in biobanks: opt-in or opt-out?</t>
  </si>
  <si>
    <t>https://pubmed.ncbi.nlm.nih.gov/22899893</t>
  </si>
  <si>
    <t>Residual samples are an important source of tissue for biobanks. They refer to leftover tissue that is obtained in the course of clinical care. Residual samples can be included through an opt-in method--that is, a person explicitly expresses consent to include residual tissue--or an opt-out method--that is, the tissue is stored unless a person explicitly refuses. At the moment there is a renewed interest in the appropriate method for the inclusion of residual samples in biobanks. The expansion of biobanks and rapid developments in biomedical research underscore the need to evaluate the proper procedure. In this article we revisit the arguments in favor and against opt-in and opt-out methods for residual tissue research. We conclude firstly that an opt-out method is only justifiable when certain conditions are met: (1) awareness has to be raised, (2) sufficient information has to be provided, and (3) a genuine possibility to object has to be offered. An opt-out procedure that fulfills these conditions can be called a "thick" opt-out method. As a consequence, the dichotomy between opt-in and opt-out is less stark than usually suggested, as both methods require a certain amount of effort. Secondly, we conclude that because of the diversity of tissue and research, not every situation can be treated alike. There are at least four situations that require opt-in procedures: (1) research with higher risks or increased burdens, (2) the use of controversial or high-impact techniques, (3) research on sensitive tissue types, and (4) research involving vulnerable patients. We suggest that further interdisciplinary debate should answer the question when to opt-in or when to opt-out.</t>
  </si>
  <si>
    <t>Antidepressant use is related to larger white matter lesion volume in patients with symptomatic atherosclerotic disease: the SMART-MR study.</t>
  </si>
  <si>
    <t>Grool, Anne M; van der Graaf, Yolanda; Vincken, Koen L; Witkamp, Theo D; Mali, Willem P Th M; Geerlings, Mirjam I</t>
  </si>
  <si>
    <t>https://pubmed.ncbi.nlm.nih.gov/22865237</t>
  </si>
  <si>
    <t>Although a relation between depression and white matter lesions (WML) is frequently observed, the direction of causation remains unknown. We investigated whether depressed mood was associated with baseline severity and change in WML volume during 4 years of follow-up, and the relative contribution of mood symptoms and antidepressant use to this relation. Within the SMART-MR study 594 patients (58 ± 10 years) with symptomatic atherosclerotic disease had assessments of mood symptoms and antidepressant use and 1.5 T MRI at baseline and after 3.9 ± 0.4 years of follow-up. Mood symptoms were assessed using the Mental Health Index (MHI-5). Depressed mood was defined as antidepressant use and/or MHI-5 score ≤ 52. Volumetric WML measures (deep and periventricular) were obtained with automated segmentation. Linear regression analyses were adjusted for age, sex, baseline WML volume, follow-up time, vascular risk factors and infarcts. Depressed mood was not associated with larger WML volume at baseline. However, when separate contributions were distinguished, antidepressant use was associated with greater deep (B = 0.50 mL, 95 % CI 0.04-0.96) and periventricular WML volume (B = 0.47 mL, 95 % CI 0.05-0.89) at baseline, while mood symptoms were not. Antidepressants were associated with a modest but non-significant increase in progression of periventricular WML volume over 4 years of follow-up (B = 0.21 mL, 95 % CI -0.05 to 0.47). WML at baseline were not associated with new-onset depressed mood at follow-up. Antidepressants, but not mood symptoms, were associated with greater WML volume and a modest, although non-significant increase in periventricular WML volume in patients with symptomatic atherosclerotic disease. Future studies are needed to determine whether this may be a direct effect, or whether other underlying diseases for which antidepressants are prescribed influence this relation.</t>
  </si>
  <si>
    <t>Homocysteine, progression of ventricular enlargement, and cognitive decline: the Second Manifestations of ARTerial disease-Magnetic Resonance study.</t>
  </si>
  <si>
    <t>Jochemsen, Hadassa M; Kloppenborg, Raoul P; de Groot, Lisette C P G M; Kampman, Ellen; Mali, Willem P T M; van der Graaf, Yolanda; Geerlings, Mirjam I; ,</t>
  </si>
  <si>
    <t>https://pubmed.ncbi.nlm.nih.gov/22863909</t>
  </si>
  <si>
    <t>Homocysteine may be a modifiable risk factor for cognitive decline and brain atrophy, particularly in older persons. We examined whether homocysteine increased the risk for cognitive decline and brain atrophy, and evaluated the modifying effect of age. Within the Second Manifestations of ARTerial disease-Magnetic Resonance study-a prospective cohort study among patients with atherosclerotic disease-longitudinal analyses were performed in 663 patients (mean age: 57 ± 9 years; follow-up: 3.9 ± 0.4 years). At baseline and follow-up, brain segmentation on magnetic resonance imaging was used to quantify relative (%) cortical, ventricular, and global brain volumes, and z-scores of memory and executive functioning were calculated. Linear regression analysis was used to estimate associations of homocysteine (per standard deviation increase) and hyperhomocysteinemia (HHCY) with brain volumes, memory, and executive functioning at follow-up, adjusted for baseline brain volume, memory, and executive functioning, respectively, and age, sex, and vascular risk factors. Furthermore, interaction terms between homocysteine and age (continuous) were added. Significant interactions were observed between total plasma homocysteine (tHcy) and age with cortical, ventricular, and global brain volume (for all three measures: P &lt; .05), and between HHCY and age with executive functioning (P = .04), and results were stratified by age. In patients aged ≥65 years, increasing tHcy level and HHCY were significantly associated with progression of ventricular enlargement (B = 0.07%, 95% confidence interval [CI]: 0.01% to 0.13% and B = 0.16%, 95% CI: 0.01% to 0.31%, respectively) and with a decline in executive function (B = -0.29, 95% CI: -0.54 to -0.04 and B = -0.84, 95% CI: -1.37 to -0.32, respectively). Elevated tHcy was related to progression of ventricular enlargement and increased the risk for a decline in executive functioning in older persons.</t>
  </si>
  <si>
    <t>Dynamic concurrent partnership networks incorporating demography.</t>
  </si>
  <si>
    <t>Leung, K Y; Kretzschmar, M E E; Diekmann, O</t>
  </si>
  <si>
    <t>theoretical population biology</t>
  </si>
  <si>
    <t>https://pubmed.ncbi.nlm.nih.gov/22884770</t>
  </si>
  <si>
    <t>We introduce a population model that incorporates From a mathematical point of view we deal with continuous-time Markov chains at the individual level, with the interaction between individuals captured by a global variable describing opportunities for new partnerships. We show that for large time a stationary distribution is attained and we deduce various statistical features of that distribution, with particular attention for concurrency, i.e. the overlap in time of multiple partnerships of one and the same individual. Our ultimate motivation is to model the spread of sexually transmitted infections in the population, for which the present paper serves as a prelude.</t>
  </si>
  <si>
    <t>A framework for the ethics review of education research.</t>
  </si>
  <si>
    <t>Eikelboom, Jonneke I; ten Cate, Olle Th J; Jaarsma, Debbie; Raat, Janet A N; Schuwirth, Lambert; van Delden, Johannes J M</t>
  </si>
  <si>
    <t>https://pubmed.ncbi.nlm.nih.gov/22803748</t>
  </si>
  <si>
    <t>Dietary patterns and the risk of type 2 diabetes in overweight and obese individuals.</t>
  </si>
  <si>
    <t>Bauer, Florianne; Beulens, Joline W J; van der A, Daphne L; Wijmenga, Cisca; Grobbee, Diederick E; Spijkerman, Annemieke M W; van der Schouw, Yvonne T; Onland-Moret, N Charlotte</t>
  </si>
  <si>
    <t>https://pubmed.ncbi.nlm.nih.gov/22972436</t>
  </si>
  <si>
    <t>Although overweight is an important determinant of diabetes risk, it remains unclear whether food choices can still influence the risk for type 2 diabetes in overweight persons. In this paper, we aim to clarify the role of dietary patterns in the development of type 2 diabetes in overweight and obese individuals. We studied 20,835 overweight and obese participants in the Dutch part of the European Investigation into Cancer and Nutrition (EPIC-NL) study. Dietary intake was measured using a validated food frequency questionnaire, and dietary patterns were generated using factor analysis. Incident type 2 diabetes was verified against medical records. Cox proportional hazards models were used to assess the association between the dietary patterns (factor scores categorized in quartiles) and incident type 2 diabetes. Scoring on Pattern 1, characterized by fish, wine, chicken, raw vegetables and fruit juices, was not associated with type 2 diabetes risk after confounder adjustment. A high score on Pattern 2, characterized by soft drinks, fries and snacks, was associated with higher risk of type 2 diabetes (HR Q4 vs. Q1 (95 % CI): 1.70 (1.31; 2.20), P(trend) ≤ 0.0001), particularly among less active individuals [less active: HR Q4 vs. Q1 (95 % CI): 2.14 (1.48; 3.09), P(trend) = 0.00004, more active: HR Q4 vs. Q1 (95 % CI): 1.35 (0.93; 1.97), P(trend) = 0.01; P(interaction) = 0.02]. A high score on a pattern high in soft drinks, fries and snacks and low in fruit and vegetables was associated with higher risk of type 2 diabetes in overweight and obese subjects especially among physically less active individuals.</t>
  </si>
  <si>
    <t>Serum angiotensin-converting enzyme and recurrent vascular events. The SMART-MR study.</t>
  </si>
  <si>
    <t>Jochemsen, Hadassa M; Geerlings, Mirjam I; Visseren, Frank L; Algra, Ale; van der Graaf, Yolanda; Muller, Majon; ,</t>
  </si>
  <si>
    <t>https://pubmed.ncbi.nlm.nih.gov/22884917</t>
  </si>
  <si>
    <t>Chronic exposure to high levels of angiotensin-converting enzyme (ACE) might increase the risk of hypertensive cardiovascular events. However, little data are available on the association of direct measures of ACE activity with vascular risk and disease. We examined whether serum ACE levels were associated with the risk of recurrent vascular events. Within the SMART-MR study, a prospective cohort study among patients with symptomatic atherosclerotic disease, analyses were performed in 950 patients (mean age 58 ± 10 years) without use of ACE-inhibitors or angiotensin II receptor blockers. At baseline, participants underwent a vascular screening and serum ACE levels (U/L) were measured. Patients were followed for recurrent vascular events, including vascular death, ischemic stroke, and ischemic coronary heart disease (CHD). After a mean follow up of 7.2 years (range 0.2-10.1 years), we documented 55 cases of vascular death, 33 cases of ischemic stroke, and 77 cases of ischemic CHD. Multivariable Cox-regression models showed that higher baseline ACE levels were associated with an increased risk of ischemic stroke and CHD; HR's (95%CI) were 1.7 (1.0-2.7) and 1.8 (1.2-2.9). High ACE particularly increased risk of stroke in patients with high blood pressure (defined as &gt;140/90 mmHg) (HR = 4.8; 95%CI 1.0-19.4). This relation was independent of several confounders including use of antihypertensive medication. Serum ACE was not significantly associated with risk of vascular death. Our results suggest that in a population with high vascular risk, higher serum ACE levels contribute to an increased risk of ischemic stroke and CHD events.</t>
  </si>
  <si>
    <t>A search for [Formula: see text] resonances with the ATLAS detector in 2.05 fb&lt;sup&gt;-1&lt;/sup&gt; of proton-proton collisions at [Formula: see text].</t>
  </si>
  <si>
    <t>,; Aad, G; Abbott, B; Abdallah, J; Abdel Khalek, S; Abdelalim, A A; Abdinov, O;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Alvarez Gonzalez, B; Alviggi, M G; Amako, K; Amelung, C; Ammosov, V V; Amorim, A; Amram, N; Anastopoulos, C; Ancu, L S; Andari, N; Andeen, T; Anders, C F; Anders, G; Anderson, K J; Andreazza, A; Andrei, V; Anduaga, X S; Anger, P; Angerami, A; Anghinolfi, F; Anisenkov, A; Anjos, N; Annovi, A; Antonak</t>
  </si>
  <si>
    <t>https://pubmed.ncbi.nlm.nih.gov/25814844</t>
  </si>
  <si>
    <t>A search for top quark pair resonances in final states containing at least one electron or muon has been performed with the ATLAS experiment at the CERN Large Hadron Collider. The search uses a data sample corresponding to an integrated luminosity of 2.05 fb&lt;sup&gt;-1&lt;/sup&gt;, which was recorded in 2011 at a proton-proton centre-of-mass energy of 7 TeV. No evidence for a resonance is found and limits are set on the production cross-section times branching ratio to [Formula: see text] for narrow and wide resonances. For narrow &lt;i&gt;Z&lt;/i&gt;' bosons, the observed 95 % Bayesian credibility level limits range from 9.3 pb to 0.95 pb for masses in the range of &lt;i&gt;m&lt;/i&gt;&lt;sub&gt;&lt;i&gt;Z&lt;/i&gt;'&lt;/sub&gt;=500 GeV to &lt;i&gt;m&lt;/i&gt;&lt;sub&gt;&lt;i&gt;Z&lt;/i&gt;'&lt;/sub&gt;=1300 GeV. The corresponding excluded mass region for a leptophobic topcolour &lt;i&gt;Z&lt;/i&gt;' boson (Kaluza-Klein gluon excitation in the Randall-Sundrum model) is &lt;i&gt;m&lt;/i&gt;&lt;sub&gt;&lt;i&gt;Z&lt;/i&gt;'&lt;/sub&gt;&lt;880 GeV ([Formula: see text]).</t>
  </si>
  <si>
    <t>Prediction of adverse health outcomes in older people using a frailty index based on routine primary care data.</t>
  </si>
  <si>
    <t>Drubbel, Irene; de Wit, Niek J; Bleijenberg, Nienke; Eijkemans, René J C; Schuurmans, Marieke J; Numans, Mattijs E</t>
  </si>
  <si>
    <t>https://pubmed.ncbi.nlm.nih.gov/22843671</t>
  </si>
  <si>
    <t>A general frailty indicator could guide general practitioners (GPs) in directing their care efforts to the patients at highest risk. We investigated if a Frailty Index (FI) based on the routine health care data of GPs can predict the risk of adverse health outcomes in community-dwelling older people. This was a retrospective cohort study with a 2-year follow-up period among all patients in an urban primary care center aged 60 and older: 1,679 patients (987 women [59%], median age, 73 years [interquartile range, 65-81]). For each patient, a baseline FI score was computed as the number of health deficits present divided by the total number of 36 deficits on the FI. Adverse health outcomes were defined as the first registered event of an emergency department (ED) or after-hours GP visit, nursing home admission, or death. In total, 508 outcome events occurred within the sample population. Kaplan-Meier survival curves were constructed according to FI tertiles. The tertiles were able to discriminate between patients with low, intermediate, and high risk for adverse health outcomes (p value &lt; .001). With adjustments for age, consultation gap, and sex, a one deficit increase in the FI score was associated with an increased hazard for adverse health outcomes (hazard ratio, 1.166; 95% confidence interval [CI], 1.129-1.210) and a moderate predictive ability for adverse health outcomes (c-statistic, 0.702; 95% CI, 0.680-0.724). An FI based on International Classification of Primary Care (ICPC)-encoded routine health care data does predict the risk of adverse health outcomes in elderly population.</t>
  </si>
  <si>
    <t>Circulating matrix Gla protein is associated with coronary artery calcification and vitamin K status in healthy women.</t>
  </si>
  <si>
    <t>Dalmeijer, Geertje W; van der Schouw, Yvonne T; Vermeer, Cees; Magdeleyns, Elke J; Schurgers, Leon J; Beulens, Joline W J</t>
  </si>
  <si>
    <t>the journal of nutritional biochemistry</t>
  </si>
  <si>
    <t>https://pubmed.ncbi.nlm.nih.gov/22819559</t>
  </si>
  <si>
    <t>Matrix Gla protein (MGP) is a vitamin K-dependent protein and an inhibitor of vascular calcification. Vitamin K is required for the carboxylation of MGP and can thereby reduce calcification. Circulating MGP species with different conformations have been investigated as markers for coronary artery calcification (CAC). In high-risk populations, high total uncarboxylated MGP (t-ucMGP) was associated with decreased CAC, while high non-phosphorylated uncarboxylated MGP (dp-ucMGP) was associated with a poor vitamin K status. This cross-sectional study investigated the association of MGP species with CAC, vitamin K status among 200 healthy women. Circulating dp-ucMGP, t-ucMGP and, non-phosphorylated carboxylated MGP (dp-cMGP) levels were measured by ELISA techniques and Agatston score by multi-detector computed tomography. The ratio of uncarboxylated to carboxylated osteocalcin was used as proxy of vitamin K status. A borderline significant (P=.06) association between higher circulating dp-ucMGP levels and high CAC was observed (β=0.091, 95% CI-0.01; 0.19). In the entire study population, high t-ucMGP levels tended to be associated (P=.09) with lower CAC (β=-0.36, 95% CI:-0.78; 0.06). This association strengthened amongst women with CAC to a significant relation between high t-ucMGP levels and lower CAC (β=-0.55, 95% CI-1.01;-0.10). Dp-cMGP was not associated with CAC. Low vitamin K-status was associated with high dp-ucMGP concentrations (β=0.138, 95% CI 0.09; 0.19) but not with other MGP species. These results show that dp-ucMGP may serve as a biomarker of vitamin K status. Circulating dp-ucMGP and t-ucMGP may serve as markers for the extent of CAC, but these findings need to be confirmed.</t>
  </si>
  <si>
    <t>Decision theory and the evaluation of risks and benefits of clinical trials.</t>
  </si>
  <si>
    <t>Bernabe, Rosemarie D C; van Thiel, Ghislaine J M W; Raaijmakers, Jan A M; van Delden, Johannes J M</t>
  </si>
  <si>
    <t>https://pubmed.ncbi.nlm.nih.gov/22819925</t>
  </si>
  <si>
    <t>Research ethics committees (RECs) are tasked to assess the risks and the benefits of a clinical trial. In previous studies, it was shown that RECs find this task difficult, if not impossible, to do. The current approaches to benefit-risk assessment (i.e. Component Analysis and the Net Risk Test) confound the various risk-benefit tasks, and as such, make balancing impossible. In this article, we show that decision theory, specifically through the expected utility theory and multiattribute utility theory, enable for an explicit and ethically weighted risk-benefit evaluation. This makes a balanced ethical justification possible, and thus a more rationally defensible decision making.</t>
  </si>
  <si>
    <t>Mild depressive symptoms do not influence cognitive functioning in patients with type 2 diabetes.</t>
  </si>
  <si>
    <t>Koekkoek, Paula S; Rutten, Guy E H M; Ruis, Carla; Reijmer, Yael D; van den Berg, Esther; Gorter, Kees J; Stehouwer, Coen D A; Dekker, Jacqueline M; Nijpels, Giel; Kappelle, L Jaap; Biessels, Geert Jan</t>
  </si>
  <si>
    <t>https://pubmed.ncbi.nlm.nih.gov/22818834</t>
  </si>
  <si>
    <t>Type 2 diabetes (T2DM) is associated both with cognitive decrements and depressive symptoms. Since depression in itself has been associated with cognitive decrements we aimed to investigate the influence of depressive symptoms on the relation between T2DM and cognitive functioning. Data were derived from three independent studies on cognitive functioning in patients with T2DM (n=366) and controls without diabetes (n=204), two with longitudinal and one with only cross-sectional assessments. Depressive symptoms were measured with self-report inventories (CES-D or BDI-II). The composite z-score of the domains memory, information-processing speed, and attention and executive function was the primary cognitive outcome measure. Mixed linear regression analyses were used in a stepped approach to compare cognitive functioning between (1) patients with T2DM and controls (cross-sectionally and longitudinally), (2) participants with and without depressive symptoms, separately for patients and controls, and (3) patients and controls after adjustment for depressive symptoms. In addition the mediating effect of depressive symptoms was assessed with a bootstrapping technique. Depressive symptoms were present in 11% of the patients with T2DM and in 7% of controls (p=0.15). Cognitive performance in patients with T2DM was worse than in controls (overall difference composite z-score -0.13). However, T2DM was not associated with accelerated cognitive decline over three years of follow-up relative to controls. Controls with depressive symptoms performed worse than those without depressive symptoms, although not statistically significant. Performance in patients with T2DM with and without depressive symptoms was similar. Adjustment for depressive symptoms and estimation of the mediating effect showed that the difference between patients and controls was not mediated by depressive symptoms. In conclusion, the modest cognitive decrements that are associated with T2DM are not due to the presence of mild depressive symptoms.</t>
  </si>
  <si>
    <t>Measurement of &lt;i&gt;τ&lt;/i&gt; polarization in &lt;i&gt;W&lt;/i&gt;→&lt;i&gt;τν&lt;/i&gt; decays with the ATLAS detector in &lt;i&gt;pp&lt;/i&gt; collisions at [Formula: see text].</t>
  </si>
  <si>
    <t>,;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t>
  </si>
  <si>
    <t>https://pubmed.ncbi.nlm.nih.gov/25814842</t>
  </si>
  <si>
    <t>In this paper, a measurement of &lt;i&gt;τ&lt;/i&gt; polarization in &lt;i&gt;W&lt;/i&gt;→&lt;i&gt;τν&lt;/i&gt; decays is presented. It is measured from the energies of the decay products in hadronic &lt;i&gt;τ&lt;/i&gt; decays with a single final state charged particle. The data, corresponding to an integrated luminosity of 24 pb&lt;sup&gt;-1&lt;/sup&gt;, were collected by the ATLAS experiment at the Large Hadron Collider in 2010. The measured value of the &lt;i&gt;τ&lt;/i&gt; polarization is [Formula: see text], in agreement with the Standard Model prediction, and is consistent with a physically allowed 95 % CL interval [-1,-0.91]. Measurements of &lt;i&gt;τ&lt;/i&gt; polarization have not previously been made at hadron colliders.</t>
  </si>
  <si>
    <t>Search for heavy neutrinos and right-handed &lt;i&gt;W&lt;/i&gt; bosons in events with two leptons and jets in &lt;i&gt;pp&lt;/i&gt; collisions at [Formula: see text] with the ATLAS detector.</t>
  </si>
  <si>
    <t>,;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t>
  </si>
  <si>
    <t>https://pubmed.ncbi.nlm.nih.gov/25814841</t>
  </si>
  <si>
    <t>This letter reports on a search for hypothetical heavy neutrinos, &lt;i&gt;N&lt;/i&gt;, and right-handed gauge bosons, &lt;i&gt;W&lt;/i&gt;&lt;sub&gt;R&lt;/sub&gt;, in events with high transverse momentum objects which include two reconstructed leptons and at least one hadronic jet. The results were obtained from data corresponding to an integrated luminosity of 2.1 fb&lt;sup&gt;-1&lt;/sup&gt; collected in proton-proton collisions at [Formula: see text] with the ATLAS detector at the CERN Large Hadron Collider. No excess above the Standard Model background expectation is observed. Excluded mass regions for Majorana and Dirac neutrinos are presented using two approaches for interactions that violate lepton and lepton-flavor numbers. One approach uses an effective operator framework, the other approach is guided by the Left-Right Symmetric Model. The results described in this letter represent the most stringent limits to date on the masses of heavy neutrinos and &lt;i&gt;W&lt;/i&gt;&lt;sub&gt;R&lt;/sub&gt; bosons obtained in direct searches.</t>
  </si>
  <si>
    <t>Aggregating published prediction models with individual participant data: a comparison of different approaches.</t>
  </si>
  <si>
    <t>Debray, Thomas P A; Koffijberg, Hendrik; Vergouwe, Yvonne; Moons, Karel G M; Steyerberg, Ewout W</t>
  </si>
  <si>
    <t>https://pubmed.ncbi.nlm.nih.gov/22733546</t>
  </si>
  <si>
    <t>During the recent decades, interest in prediction models has substantially increased, but approaches to synthesize evidence from previously developed models have failed to keep pace. This causes researchers to ignore potentially useful past evidence when developing a novel prediction model with individual participant data (IPD) from their population of interest. We aimed to evaluate approaches to aggregate previously published prediction models with new data. We consider the situation that models are reported in the literature with predictors similar to those available in an IPD dataset. We adopt a two-stage method and explore three approaches to calculate a synthesis model, hereby relying on the principles of multivariate meta-analysis. The former approach employs a naive pooling strategy, whereas the latter accounts for within-study and between-study covariance. These approaches are applied to a collection of 15 datasets of patients with traumatic brain injury, and to five previously published models for predicting deep venous thrombosis. Here, we illustrated how the generally unrealistic assumption of consistency in the availability of evidence across included studies can be relaxed. Results from the case studies demonstrate that aggregation yields prediction models with an improved discrimination and calibration in a vast majority of scenarios, and result in equivalent performance (compared with the standard approach) in a small minority of situations. The proposed aggregation approaches are particularly useful when few participant data are at hand. Assessing the degree of heterogeneity between IPD and literature findings remains crucial to determine the optimal approach in aggregating previous evidence into new prediction models.</t>
  </si>
  <si>
    <t>Measurement of the top quark mass with the template method in the [Formula: see text] channel using ATLAS data.</t>
  </si>
  <si>
    <t>https://pubmed.ncbi.nlm.nih.gov/25814840</t>
  </si>
  <si>
    <t>The top quark mass has been measured using the template method in the [Formula: see text] channel based on data recorded in 2011 with the ATLAS detector at the LHC. The data were taken at a proton-proton centre-of-mass energy of [Formula: see text] and correspond to an integrated luminosity of 1.04 fb&lt;sup&gt;-1&lt;/sup&gt;. The analyses in the &lt;i&gt;e&lt;/i&gt;+jets and &lt;i&gt;μ&lt;/i&gt;+jets decay channels yield consistent results. The top quark mass is measured to be &lt;i&gt;m&lt;/i&gt;&lt;sub&gt;top&lt;/sub&gt;=174.5±0.6&lt;sub&gt;stat&lt;/sub&gt;±2.3&lt;sub&gt;syst&lt;/sub&gt; GeV.</t>
  </si>
  <si>
    <t>Measurement of [Formula: see text] production with a veto on additional central jet activity in &lt;i&gt;pp&lt;/i&gt; collisions at [Formula: see text] TeV using the ATLAS detector.</t>
  </si>
  <si>
    <t>https://pubmed.ncbi.nlm.nih.gov/25814839</t>
  </si>
  <si>
    <t>A measurement of the jet activity in [Formula: see text] events produced in proton-proton collisions at a centre-of-mass energy of 7 TeV is presented, using 2.05 fb&lt;sup&gt;-1&lt;/sup&gt; of integrated luminosity collected by the ATLAS detector at the Large Hadron Collider. The [Formula: see text] events are selected in the dilepton decay channel with two identified &lt;i&gt;b&lt;/i&gt;-jets from the top quark decays. Events are vetoed if they contain an additional jet with transverse momentum above a threshold in a central rapidity interval. The fraction of events surviving the jet veto is presented as a function of this threshold for four different central rapidity interval definitions. An alternate measurement is also performed, in which events are vetoed if the scalar transverse momentum sum of the additional jets in each rapidity interval is above a threshold. In both measurements, the data are corrected for detector effects and compared to the theoretical models implemented in MC@NLO, Powheg, Alpgen and Sherpa. The experimental uncertainties are often smaller than the spread of theoretical predictions, allowing deviations between data and theory to be observed in some regions of phase space.</t>
  </si>
  <si>
    <t>Antibiotics provide no clinically important benefit in mild to moderate acute sinusitis.</t>
  </si>
  <si>
    <t>Venekamp, Roderick P</t>
  </si>
  <si>
    <t>https://pubmed.ncbi.nlm.nih.gov/22718986</t>
  </si>
  <si>
    <t>Measurement of the charge asymmetry in top quark pair production in &lt;i&gt;pp&lt;/i&gt; collisions at [Formula: see text] using the ATLAS detector.</t>
  </si>
  <si>
    <t>,;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Anghinolfi, F; Anisenkov, A</t>
  </si>
  <si>
    <t>https://pubmed.ncbi.nlm.nih.gov/25814837</t>
  </si>
  <si>
    <t>A measurement of the top-antitop production charge asymmetry &lt;i&gt;A&lt;/i&gt;&lt;sub&gt;&lt;i&gt;C&lt;/i&gt;&lt;/sub&gt; is presented using data corresponding to an integrated luminosity of 1.04 fb&lt;sup&gt;-1&lt;/sup&gt; of &lt;i&gt;pp&lt;/i&gt; collisions at [Formula: see text] TeV collected by the ATLAS detector at the LHC. Events are selected with a single lepton (electron or muon), missing transverse momentum and at least four jets of which at least one jet is identified as coming from a &lt;i&gt;b&lt;/i&gt;-quark. A kinematic fit is used to reconstruct the [Formula: see text] event topology. After background subtraction, a Bayesian unfolding procedure is performed to correct for acceptance and detector effects. The measured value of &lt;i&gt;A&lt;/i&gt;&lt;sub&gt;&lt;i&gt;C&lt;/i&gt;&lt;/sub&gt; is [Formula: see text], consistent with the prediction from the MC@NLO Monte Carlo generator of &lt;i&gt;A&lt;/i&gt;&lt;sub&gt;&lt;i&gt;C&lt;/i&gt;&lt;/sub&gt; =0.006±0.002. Measurements of &lt;i&gt;A&lt;/i&gt;&lt;sub&gt;&lt;i&gt;C&lt;/i&gt;&lt;/sub&gt; in two ranges of invariant mass of the top-antitop pair are also shown.</t>
  </si>
  <si>
    <t>Search for lepton flavour violation in the &lt;i&gt;eμ&lt;/i&gt; continuum with the ATLAS detector in [Formula: see text]&lt;i&gt;pp&lt;/i&gt; collisions at the LHC.</t>
  </si>
  <si>
    <t>,; Aad, G; Abbott, B; Abdallah, J; Abdelalim, A A; Abdesselam, A; Abdinov, O; Abi, B; Abolins, M; Abramowicz, H; Abreu, H; Acerbi, E; Acharya, B S; Adams, D L; Addy, T N; Adelman, J; Adomeit, S; Adragna, P; Adye, T; Aefsky, S; Aguilar-Saavedra, J A; Aharrouche, M; Ahlen, S P; Ahles, F; Ahmad, A; Ahsan, M; Aielli, G; Akdogan, T; Åkesson, T P A; Akimoto, G; Akimov, A V; Akiyama, A; Aktas, A; Alam, M S; Alam, M A; Albrand, S; Aleksa, M; Aleksandrov, I N; Aleppo, M; Alessandria, F; Alexa, C; Alexander, G; Alexandre, G; Alexopoulos, T; Alhroob, M; Aliev, M; Alimonti, G; Alison, J; Aliyev, M; Allport, P P; Allwood-Spiers, S E; Almond, J; Aloisio, A; Alon, R; Alonso, A; Alviggi, M G; Amako, K; Amelung, C; Ammosov, V V; Amorim, A; Amorós, G; Amram, N; Anastopoulos, C; Andeen, T; Anders, C F; Anderson, K J; Andreazza, A; Andrei, V; Anduaga, X S; Angerami, A; Anghinolfi, F; Anjos, N; Annovi, A; Antonaki, A; Antonelli, M; Antonelli, S; Antonov, A; Antos, J; Anulli, F; Aoun, S; Aperio Bella, L; Ap</t>
  </si>
  <si>
    <t>https://pubmed.ncbi.nlm.nih.gov/25814838</t>
  </si>
  <si>
    <t>This paper presents a search for the &lt;i&gt;t&lt;/i&gt;-channel exchange of an &lt;i&gt;R&lt;/i&gt;-parity violating scalar top quark ([Formula: see text]) in the &lt;i&gt;e&lt;/i&gt;&lt;sup&gt;±&lt;/sup&gt;&lt;i&gt;μ&lt;/i&gt;&lt;sup&gt;∓&lt;/sup&gt; continuum using 2.1 fb&lt;sup&gt;-1&lt;/sup&gt; of data collected by the ATLAS detector in [Formula: see text]&lt;i&gt;pp&lt;/i&gt; collisions at the Large Hadron Collider. Data are found to be consistent with the expectation from the Standard Model backgrounds. Limits on &lt;i&gt;R&lt;/i&gt;-parity-violating couplings at 95 % C.L. are calculated as a function of the scalar top mass ([Formula: see text]). The upper limits on the production cross section for &lt;i&gt;pp&lt;/i&gt;→&lt;i&gt;eμX&lt;/i&gt;, through the &lt;i&gt;t&lt;/i&gt;-channel exchange of a scalar top quark, ranges from 170 fb for [Formula: see text] to 30 fb for [Formula: see text].</t>
  </si>
  <si>
    <t>Opinions of health care professionals and the public after eight years of euthanasia legislation in the Netherlands: a mixed methods approach.</t>
  </si>
  <si>
    <t>Kouwenhoven, Pauline S C; Raijmakers, Natasja J H; van Delden, Johannes J M; Rietjens, Judith A C; Schermer, Maartje H N; van Thiel, Ghislaine J M W; Trappenburg, Margo J; van de Vathorst, Suzanne; van der Vegt, Bea J; Vezzoni, Cristiano; Weyers, Heleen; van Tol, Donald G; van der Heide, Agnes</t>
  </si>
  <si>
    <t>https://pubmed.ncbi.nlm.nih.gov/22695742</t>
  </si>
  <si>
    <t>The practice of euthanasia and physician-assisted suicide (PAS) in the Netherlands has been regulated since 2002 by the Euthanasia Act. In the ongoing debate about the interpretation of this Act, comparative information about the opinions of the different stakeholders is needed. To evaluate the opinions of Dutch physicians, nurses and the general public on the legal requirements for euthanasia and PAS. A cross-sectional survey among Dutch physicians and nurses in primary and secondary care and members of the Dutch general public, followed by qualitative interviews among selected respondents. The participants were: 793 physicians, 1243 nurses and 1960 members of the general public who completed the questionnaire; 83 were interviewed. Most respondents agreed with the requirement of a patient request (64-88%) and the absence of a requirement concerning life expectancy (48-71%). PAS was thought acceptable by 24-39% of respondents for patients requesting it because of mental suffering due to loss of control, chronic depression or early dementia. In the case of severe dementia, one third of physicians, 58% of nurses and 77% of the general public agreed with performing euthanasia based on an advance directive. Interviewees illustrated these findings and supported the Act. Health care professionals and the general public mostly support the legal requirements for euthanasia and PAS. The law permits euthanasia or PAS for mental suffering but this possibility is not widely endorsed. The general public is more liberal towards euthanasia for advanced dementia than health care professionals. We conclude that there is ample support for the law after eight years of legal euthanasia.</t>
  </si>
  <si>
    <t>Association between physical performance characteristics and independence in activities of daily living in middle-aged and elderly men.</t>
  </si>
  <si>
    <t>den Ouden, Marjolein E M; Schuurmans, Marieke J; Arts, Ilse E M A; van der Schouw, Yvonne T</t>
  </si>
  <si>
    <t>geriatrics gerontology international</t>
  </si>
  <si>
    <t>https://pubmed.ncbi.nlm.nih.gov/22686630</t>
  </si>
  <si>
    <t>Functional status at one moment in time is a determinant of future functional status and survival. Physical deterioration tends to occur early in the disabling process; however, etiological questions remain. This study investigated the association between physical performance characteristics and functioning independently in middle-aged and elderly men. A total of 400 independently-living men aged 40-80 years were included in this cross-sectional study. Preservation of function was measured using the Stanford Health Assessment Questionnaire. Physical characteristics were muscle strength and power by dynamometer, lung function, lower extremity function by physical performance score, and physical activity by Voorrips-questionnaire. Logistic regression analysis was used to estimate the association between potential determinants and the dichotomized Health Assessment Questionnaire score. The odds ratios (OR) were adjusted for age, body mass index, education, socioeconomic status, smoking, alcohol and number of chronic diseases. After adjustment for confounders, higher walking speed (OR = 2.96, 95% CI 1.31-6.72) and shorter time to carry out the chair stand test (OR = 0.84, 95% CI 0.76-0.94) were associated with a higher probability of being independent in activities of daily living (ADL). Borderline significant associations were found for higher lung function and higher leg strength with higher probability of being independent in ADL. No associations were found for grip strength, physical performance score, standing balance and physical activity. Lower body function and lung function were associated with a higher probability of being independent in ADL.</t>
  </si>
  <si>
    <t>Parental blood pressure is related to vascular properties of their 5-year-old offspring.</t>
  </si>
  <si>
    <t>Evelein, Annemieke M V; Geerts, Caroline C; Bots, Michiel L; van der Ent, Cornelis K; Grobbee, Diederick E; Uiterwaal, Cuno S P M</t>
  </si>
  <si>
    <t>american journal of hypertension</t>
  </si>
  <si>
    <t>https://pubmed.ncbi.nlm.nih.gov/22673016</t>
  </si>
  <si>
    <t>Adolescent offspring of hypertensive parents have increased carotid intima media thickness (CIMT) and arterial stiffness compared with offspring of normotensives. We assessed whether systolic blood pressure (SBP) of both parents is associated with the vasculature of their offspring as early as in childhood. In the first 306 5-year-old children of the Wheezing-Illnesses-Study-Leidsche-Rijn birth cohort, CIMT, distensibility, and elastic modulus (EM) were obtained ultrasonographically. In 204 of 306 (67%) children, complete data on both maternal and paternal SBP were obtained from the linked database of the Utrecht Health Project. CIMT of the children was 0.58 µm (95% confidence interval (CI): 0.14, 1.0) greater with every 1-mm Hg higher maternal SBP. Maternal SBP and children's distensibility and EM were more strongly associated, negative and positive respectively, with increasing paternal SBP and vice versa (P value-for-interaction: 0.003 and 0.001, respectively). CIMT of children of whom both parents were in the highest SBP tertile was 17.9 µm (95% CI: 4.0, 31.9) greater compared with the CIMT of children of whom neither one of the parents had a SBP in the highest tertile. For EM and distensibility, these estimates were 20.1 kPa (95% CI: 1.1, 39.2) and -11.6 1/Mpa (95%-CI: -22.9, -0.31), respectively. Higher maternal SBP is related to thicker arterial walls in their 5-year-old offspring. If both parents have higher SBP, the arterial wall of their offspring is thicker and stiffer.</t>
  </si>
  <si>
    <t>Validation of two age dependent D-dimer cut-off values for exclusion of deep vein thrombosis in suspected elderly patients in primary care: retrospective, cross sectional, diagnostic analysis.</t>
  </si>
  <si>
    <t>Schouten, Henrike J; Koek, H L Dineke; Oudega, Ruud; Geersing, Geert-Jan; Janssen, Kristel J M; van Delden, Johannes J M; Moons, Karel G M</t>
  </si>
  <si>
    <t>https://pubmed.ncbi.nlm.nih.gov/22674922</t>
  </si>
  <si>
    <t>To determine whether the use of age adapted D-dimer cut-off values can be translated to primary care patients who are suspected of deep vein thrombosis. Retrospective, cross sectional diagnostic study. 110 primary care doctors affiliated with three hospitals in the Netherlands. 1374 consecutive patients (936 (68.1%) aged &gt;50 years) with clinically suspected deep vein thrombosis. Proportion of patients with D-dimer values below two proposed age adapted cut-off levels (age in years × 10 μg/L in patients aged &gt;50 years, or 750 μg/L in patients aged ≥ 60 years), in whom deep vein thrombosis could be excluded; and the number of false negative results. Using the Wells score, 647 patients had an unlikely clinical probability of deep vein thrombosis. In these patients (at all ages), deep vein thrombosis could be excluded in 309 (47.8%) using the age dependent cut-off value compared with 272 (42.0%) using the conventional cut-off value of 500 μg/L (increase 5.7%, 95% confidence interval 4.1% to 7.8%). This exclusion rate resulted in 0.5% and 0.3% false negative cases, respectively (increase 0.2%, 0.004% to 8.6%).The increase in exclusion rate by using the age dependent cut-off value was highest in the oldest patients. In patients older than 80 years, deep vein thrombosis could be safely excluded in 22 (35.5%) patients using the age dependent cut-off value compared with 13 (21.0%) using the conventional cut-off value (increase 14.5%, 6.8% to 25.8%). Compared with the age dependent cut-off value, the cut-off value of 750 μg/L had a similar exclusion rate (307 (47.4%) patients) and false negative rate (0.3%). Combined with a low clinical probability of deep vein thrombosis, use of the age dependent D-dimer cut-off value for patients older than 50 years or the cut-off value of 750 μg/L for patients aged 60 years and older resulted in a considerable increase in the proportion of patients in primary care in whom deep vein thrombosis could be safely excluded, compared with the conventional cut-off value of 500 μg/L.</t>
  </si>
  <si>
    <t>The relation between socioeconomic status and short-term mortality after acute myocardial infarction persists in the elderly: results from a nationwide study.</t>
  </si>
  <si>
    <t>van Oeffelen, Aloysia A M; Agyemang, Charles; Bots, Michiel L; Stronks, Karien; Koopman, Carla; van Rossem, Lenie; Vaartjes, Ilonca</t>
  </si>
  <si>
    <t>https://pubmed.ncbi.nlm.nih.gov/22669358</t>
  </si>
  <si>
    <t>We assessed whether the previously observed relationship between socioeconomic status (SES) and short-term mortality (pre-hospital mortality and 28-day case-fatality) after a first acute myocardial infarction (AMI) in persons &lt;75 years, are also observed in the elderly (i.e. ≥75 years), and whether these relationships vary by sex. A nationwide register based cohort study was conducted. Between January 1st 1998 and December 31st 2007, 76,351 first AMI patients were identified, of whom 60,498 (79.2 %) were hospitalized. Logistic regression analyses were performed to measure SES differences in pre-hospital mortality after a first AMI and 28-day case-fatality after a first AMI hospitalization. All analyses were stratified by sex and age group (&lt;55, 55-64, 65-74, 75-84, ≥85), and adjusted for age, ethnic origin, marital status, and degree of urbanization. There was an inverse relation between SES and pre-hospital mortality in both sexes. There was also an inverse relation between SES and 28-day case-fatality after hospitalization, but only in men. Compared to elderly men with the highest SES, elderly men with the lowest SES had a higher pre-hospital mortality in both 75-84 year-olds (OR = 1.26; 95 % CI 1.09-1.47) and ≥85 year-olds (OR = 1.26; 1.00-1.58), and a higher 28-day case-fatality in both 75-84 year-olds (OR = 1.26; 1.06-1.50) and ≥85 year-olds (OR = 1.36; 0.99-1.85). Compared to elderly women with the highest SES, elderly women with the lowest SES had a higher pre-hospital mortality in ≥85 year-olds (OR = 1.20; 0.99-1.46). To conclude, in men there are SES inequalities in both pre-hospital mortality and case-fatality after a first AMI, in women these SES inequalities are only shown in pre-hospital mortality. The inequalities persist in the elderly (≥75 years of age). Clinicians and policymakers need to be more vigilant on the population with a low SES background, including the elderly.</t>
  </si>
  <si>
    <t>Differential impact of risk factors for women and men on the risk of major depressive disorder.</t>
  </si>
  <si>
    <t>Stegenga, Bauke T; King, Michael; Grobbee, Diederick E; Torres-González, Francisco; Švab, Igor; Maaroos, Heidi-Ingrid; Xavier, Miguel; Saldivia, Sandra; Bottomley, Christian; Nazareth, Irwin; Geerlings, Mirjam I</t>
  </si>
  <si>
    <t>https://pubmed.ncbi.nlm.nih.gov/22625996</t>
  </si>
  <si>
    <t>Our aim is to examine which risk factors have a greater impact in women than in men on the risk of major depressive disorder (MDD) and whether factors differ between a possible recurrent MDD and a first onset of MDD. Prospective cohort study of general practice attendees in seven countries, who were followed up at 6 and 12 months (predictD). Absolute risk differences (interaction contrast) across sex for onset of DSM-IV MDD after 6 or 12 months of follow-up were estimated for 35 risk factors from 7101 participants without MDD at baseline. A total of 599 participants (80% female) had an onset of MDD at 6 or 12 months. Most risk factors had a greater impact in women than in men on the risk of MDD and were not restricted to a specific class of risk factors. After we stratified for a history of depressive symptoms, we found that the impact of risk factors across sex was generally stronger on possible recurrent MDD than on a first onset of MDD. Our findings may partly account for the observed difference in incidence of MDD between men and women.</t>
  </si>
  <si>
    <t>Classifying responders and non-responders; does it help when there is evidence of differentially responding patient groups?</t>
  </si>
  <si>
    <t>https://pubmed.ncbi.nlm.nih.gov/22658815</t>
  </si>
  <si>
    <t>Continuous trial outcomes are often dichotomized into 'response' and 'non-response' categories prior to statistical analysis. This facilitates the interpretation of results, but generally reduces statistical power. Exceptions may occur when response in the study population is heterogeneous, and outcomes are bimodally distributed. We explore whether bimodality is present in antidepressant trial data and whether dichotomizing then indeed results in more powerful statistical tests. The distributions of relative changes from baseline (rCFB) on the Hamilton depression rating scale (HAM-D) were estimated using pooled data from nine antidepressant trials. T-tests on rCFB scores and chi-square tests on dichotomized outcomes were compared to assess the consequences of dichotomization, using both the commonly applied cutoff (i.e. rCFB &gt; 50%) and an estimated cutoff that provided optimal separation of the mixture of two normal distributions that best fitted the pooled placebo outcomes. The power of both tests was also evaluated for simulated scenario's that varied the degree of bimodality and the treatment effect and sample size. Placebo and treatment groups showed evidence of bimodality. The estimated cutoff closely matched the commonly applied cutoff. Nevertheless, t-tests generally yielded smaller p-values than chi-square tests. Simulations showed that dichotomization only provides superior power when bimodality was considerably more marked than observed in the empirical data. Antidepressant trial outcomes showed bimodality, suggesting differential response among patient groups. This heterogeneity in outcome distributions should be reported more often, since a comparison of means does not adequately summarize the differences between treatment groups. However, simply dichotomizing outcomes is not an appropriate alternative as it reduces statistical power.</t>
  </si>
  <si>
    <t>A simple adaptation method improved the interpretability of prediction models for composite end points.</t>
  </si>
  <si>
    <t>Gondrie, Martijn J A; Janssen, Kristel J M; Moons, Karel G M; van der Graaf, Yolanda</t>
  </si>
  <si>
    <t>https://pubmed.ncbi.nlm.nih.gov/22658619</t>
  </si>
  <si>
    <t>The pros and cons of composite end points in prognostic research are discussed, and an adaptation method, designed to accurately adjust absolute risks for a composite end point to risks for the individual component outcomes, is presented. An example prediction model for recurrent cardiovascular events (composite end point) was used to evaluate the performance regarding the individual component outcomes (cardiovascular death, myocardial infarction, and stroke) before and after the adaptation method. Discrimination for the individual component outcomes (concordance index for myocardial infarction, 0.68; concordance index for stroke, 0.70) was very similar to discrimination for the original composite end point (concordance index, 0.70). For cardiovascular death, it even increased substantially (concordance index, 0.78). After adaptation, calibration plots for the component outcomes also improved, with visible convergence of the predicted risks and the observed incidences. In sum, these findings show that the adaptation method is useful when validating or applying a composite end point prediction model to the individual component outcomes. Following from this, recommendations concerning reporting of composite end points in future research are also included. Without the need for extra data, composite end point prediction models can easily be directly expanded to allow for the estimation of risk for each individual component outcome, improving the interpretability for clinicians and patients.</t>
  </si>
  <si>
    <t>Associations of current and remitted major depressive disorder with brain atrophy: the AGES-Reykjavik Study.</t>
  </si>
  <si>
    <t>Geerlings, M I; Sigurdsson, S; Eiriksdottir, G; Garcia, M E; Harris, T B; Sigurdsson, T; Gudnason, V; Launer, L J</t>
  </si>
  <si>
    <t>https://pubmed.ncbi.nlm.nih.gov/22647536</t>
  </si>
  <si>
    <t>To examine whether lifetime DSM-IV diagnosis of major depressive disorder (MDD), including age at onset and number of episodes, is associated with brain atrophy in older persons without dementia. Within the population-based Age, Gene/Environment Susceptibility (AGES)-Reykjavik Study, 4354 persons (mean age 76 ± 5 years, 58% women) without dementia had a 1.5-T brain magnetic resonance imaging (MRI) scan. Automated brain segmentation total and regional brain volumes were calculated. History of MDD, including age at onset and number of episodes, and MDD in the past 2 weeks was diagnosed according to DSM-IV criteria using the Mini-International Neuropsychiatric Interview (MINI). Of the total sample, 4.5% reported a lifetime history of MDD; 1.5% had a current diagnosis of MDD (including 75% with a prior history of depression) and 3.0% had a past but no current diagnosis (remission). After adjusting for multiple covariates, compared to participants never depressed, those with current MDD (irrespective of past) had more global brain atrophy [B = -1.25%, 95% confidence interval (CI) -2.05 to -0.44], including more gray- and white-matter atrophy in most lobes, and also more atrophy of the hippocampus and thalamus. Participants with current, first-onset MDD also had more brain atrophy (B = -1.62%, 95% CI -3.30 to 0.05) whereas those remitted did not (B = 0.06%, 95% CI -0.54 to 0.66). In older persons without dementia, current MDD, irrespective of prior history, but not remitted MDD was associated with widespread gray- and white-matter brain atrophy. Prospective studies should examine whether MDD is a consequence of, or contributes to, brain volume loss and development of dementia.</t>
  </si>
  <si>
    <t>Famine exposure in the young and the risk of type 2 diabetes in adulthood.</t>
  </si>
  <si>
    <t>van Abeelen, Annet F M; Elias, Sjoerd G; Bossuyt, Patrick M M; Grobbee, Diederick E; van der Schouw, Yvonne T; Roseboom, Tessa J; Uiterwaal, Cuno S P M</t>
  </si>
  <si>
    <t>https://pubmed.ncbi.nlm.nih.gov/22648386</t>
  </si>
  <si>
    <t>The developmental origins hypothesis proposes that undernutrition during early development is associated with an increased type 2 diabetes risk in adulthood. We investigated the association between undernutrition during childhood and young adulthood and type 2 diabetes in adulthood. We studied 7,837 women from Prospect-EPIC (European Prospective Investigation Into Cancer and Nutrition) who were exposed to the 1944-1945 Dutch famine when they were between age 0 and 21 years. We used Cox proportional hazards regression models to explore the effect of famine on the risk of subsequent type 2 diabetes in adulthood. We adjusted for potential confounders, including age at famine exposure, smoking, and level of education. Self-reported famine exposure during childhood and young adulthood was associated with an increased type 2 diabetes risk in a dose-dependent manner. In those who reported moderate famine exposure, the age-adjusted type 2 diabetes hazard ratio (HR) was 1.36 (95% CI [1.09-1.70]); in those who reported severe famine exposure, the age-adjusted HR was 1.64 (1.26-2.14) relative to unexposed women. These effects did not change after adjustment for confounders. This study provides the first direct evidence, using individual famine exposure data, that a short period of moderate or severe undernutrition during postnatal development increases type 2 diabetes risk in adulthood.</t>
  </si>
  <si>
    <t>Prognosis and prognostic factors of patients with mesothelioma: a population-based study.</t>
  </si>
  <si>
    <t>van der Bij, S; Koffijberg, H; Burgers, J A; Baas, P; van de Vijver, M J; de Mol, B A J M; Moons, K G M</t>
  </si>
  <si>
    <t>https://pubmed.ncbi.nlm.nih.gov/22644294</t>
  </si>
  <si>
    <t>It is important to regularly update survival estimates of patients with malignant mesothelioma as prognosis may vary according to epidemiologic factors and diagnostic and therapeutic management. We assessed overall (baseline) survival as well as related prognostic variables in a large cohort of 1353 patients with a confirmed diagnosis of malignant mesothelioma between 2005 and 2008. About 50% of the patients were 70 years or older at diagnosis and the median latency time since start of asbestos exposure was 49 years. One year after diagnosis, 47% of the patients were alive, 20% after 2 years and 15% after 3 years. Prognostic variables independently associated with worse survival were: older age (HR=1.04 per year 95% CI (1.03-1.06)), sarcomatoid subtype (HR=2.45 95% CI (2.06-2.90)) and non-pleural localisation (HR=1.67 95% CI (1.26-2.22)). Survival of patients with malignant mesothelioma is still limited and depends highly on patient age, mesothelioma subtype and localisation. In addition, a substantial part of the patients had a long latency time between asbestos exposure and diagnosis.</t>
  </si>
  <si>
    <t>Dietary patterns derived from principal component- and k-means cluster analysis: long-term association with coronary heart disease and stroke.</t>
  </si>
  <si>
    <t>Stricker, M D; Onland-Moret, N C; Boer, J M A; van der Schouw, Y T; Verschuren, W M M; May, A M; Peeters, P H M; Beulens, J W J</t>
  </si>
  <si>
    <t>https://pubmed.ncbi.nlm.nih.gov/22647416</t>
  </si>
  <si>
    <t>Studies comparing dietary patterns derived from different a posteriori methods in view of predicting disease risk are scarce. We aimed to explore differences between dietary patterns derived from principal component- (PCA) and k-means cluster analysis (KCA) in relation to their food group composition and ability to predict CHD and stroke risk. The study was conducted in the EPIC-NL cohort that consists of 40,011 men and women. Baseline dietary intake was measured using a validated food-frequency questionnaire. Food items were consolidated into 31 food groups. Occurrence of CHD and stroke was assessed through linkage with registries. After 13 years of follow-up, 1,843 CHD and 588 stroke cases were documented. Both PCA and KCA extracted a prudent pattern (high intakes of fish, high-fiber products, raw vegetables, wine) and a western pattern (high consumption of French fries, fast food, low-fiber products, other alcoholic drinks, soft drinks with sugar) with small variation between components and clusters. The prudent component was associated with a reduced risk of CHD (HR for extreme quartiles: 0.87; 95%-CI: 0.75-1.00) and stroke (0.68; 0.53-0.88). The western component was not related to any outcome. The prudent cluster was related with a lower risk of CHD (0.91; 0.82-1.00) and stroke (0.79; 0.67-0.94) compared to the western cluster. PCA and KCA found similar underlying patterns with comparable associations with CHD and stroke risk. A prudent pattern reduced the risk of CHD and stroke.</t>
  </si>
  <si>
    <t>Triage of frail elderly with reduced exercise tolerance in primary care (TREE). A clustered randomized diagnostic study.</t>
  </si>
  <si>
    <t>van Mourik, Yvonne; Moons, Karel G M; Bertens, Loes C M; Reitsma, Johannes B; Hoes, Arno W; Rutten, Frans H</t>
  </si>
  <si>
    <t>https://pubmed.ncbi.nlm.nih.gov/22640176</t>
  </si>
  <si>
    <t>Exercise reduced tolerance and breathlessness are common in the elderly and can result in substantial loss in functionality and health related quality of life. Heart failure (HF) and chronic obstructive pulmonary disease (COPD) are common underlying causes, but can be difficult to disentangle due to overlap in symptomatology. In addition, other potential causes such as obesity, anaemia, renal dysfunction and thyroid disorders may be involved.We aim to assess whether screening of frail elderly with reduced exercise tolerance leads to high detection rates of HF, COPD, or alternative diagnoses, and whether detection of these diseases would result in changes in patient management and increase in both functionality and quality of life. A cluster randomized diagnostic trial. Primary care practices are randomized to the diagnostic-treatment strategy (screening) or care as usual. Frail (defined as having three or more chronic or vitality threatening diseases and/or receiving five or more drugs chronically during the last year) community-dwelling persons aged 65 years and older selected from the electronic medical files of the participating general practitioners. Those with reduced exercise tolerance or moderate to severe dyspnoea (≥2 score on the Medical Research Counsel dyspnoea scale) are included in the study.The diagnostic screening in the intervention group includes history taking, physical examination, electrocardiography, spirometry, blood tests, and echocardiography. Subsequently, participants with new diagnoses will be managed according to clinical guidelines. Participants in the control arm receive care as usual. All participants fill out health status and other relevant questionnaires at baseline and after 6 months of follow-up. This study will generate information on the yield of screening for previously unrecognized HF, COPD and other chronic diseases in frail elderly with reduced exercise tolerance and/or exercise induced dyspnoea. The cluster randomized comparison will reveal whether this yield will result in subsequent improvements in functional health and/or health related quality of life. ClinicalTrials.gov NCT01148719.</t>
  </si>
  <si>
    <t>Prediction of neonatal metabolic acidosis in women with a singleton term pregnancy in cephalic presentation: an external validation study.</t>
  </si>
  <si>
    <t>Schuit, Ewoud; Amer-Wahlin, Isis; Groenwold, Rolf H H; Mol, Ben W J; Moons, Karel G M; Kwee, Anneke</t>
  </si>
  <si>
    <t>https://pubmed.ncbi.nlm.nih.gov/22639352</t>
  </si>
  <si>
    <t>To externally validate two previously developed prognostic models that predict the risk for developing metabolic acidosis in newborns using both antepartum (model 1) and intrapartum (combined with antepartum, model 2) risk factors: parity, previous cesarean section, maternal diabetes mellitus, gestational age, induced onset of labor, meconium-stained amniotic fluid, and use of ST analysis. The two prediction models were applied in women in active labor at more than 36 gestational weeks with singleton fetuses in cephalic presentation and with high-risk pregnancies (n = 5049) who were included in a Swedish randomized trial between December 1, 1998, and June 4, 2000. The prognostic ability of the models was determined using calibration and discrimination measures. Of 5049 infants in the validation population, 54 (1.1%) suffered from metabolic acidosis. After adjustment for incidence differences between the Dutch and Swedish cohorts, the prognostic models showed good calibration and moderate overall discrimination (C statistic 0.63, 95% confidence interval [CI] 0.55 to 0.71; and 0.64, 95% CI 0.55 to 0.72), for models 1 and 2, respectively). External validation of the clinical prediction models for metabolic acidosis in Swedish infants showed good calibration and moderate discriminative ability. Updating of the models to enhance their predictive abilities seems indicated.</t>
  </si>
  <si>
    <t>Reporting and methods in clinical prediction research: a systematic review.</t>
  </si>
  <si>
    <t>Bouwmeester, Walter; Zuithoff, Nicolaas P A; Mallett, Susan; Geerlings, Mirjam I; Vergouwe, Yvonne; Steyerberg, Ewout W; Altman, Douglas G; Moons, Karel G M</t>
  </si>
  <si>
    <t>https://pubmed.ncbi.nlm.nih.gov/22629234</t>
  </si>
  <si>
    <t>We investigated the reporting and methods of prediction studies, focusing on aims, designs, participant selection, outcomes, predictors, statistical power, statistical methods, and predictive performance measures. We used a full hand search to identify all prediction studies published in 2008 in six high impact general medical journals. We developed a comprehensive item list to systematically score conduct and reporting of the studies, based on recent recommendations for prediction research. Two reviewers independently scored the studies. We retrieved 71 papers for full text review: 51 were predictor finding studies, 14 were prediction model development studies, three addressed an external validation of a previously developed model, and three reported on a model's impact on participant outcome. Study design was unclear in 15% of studies, and a prospective cohort was used in most studies (60%). Descriptions of the participants and definitions of predictor and outcome were generally good. Despite many recommendations against doing so, continuous predictors were often dichotomized (32% of studies). The number of events per predictor as a measure of statistical power could not be determined in 67% of the studies; of the remainder, 53% had fewer than the commonly recommended value of ten events per predictor. Methods for a priori selection of candidate predictors were described in most studies (68%). A substantial number of studies relied on a p-value cut-off of p&lt;0.05 to select predictors in the multivariable analyses (29%). Predictive model performance measures, i.e., calibration and discrimination, were reported in 12% and 27% of studies, respectively. The majority of prediction studies in high impact journals do not follow current methodological recommendations, limiting their reliability and applicability.</t>
  </si>
  <si>
    <t>Consent in psychiatric biobanks for pharmacogenetic research.</t>
  </si>
  <si>
    <t>van der Baan, Frederieke H; Bernabe, Rose D C; Bredenoord, Annelien L; Gregoor, Jochem G; Meynen, Gerben; Knol, Mirjam J; van Thiel, Ghislaine J M W</t>
  </si>
  <si>
    <t>the international journal of neuropsychopharmacology</t>
  </si>
  <si>
    <t>https://pubmed.ncbi.nlm.nih.gov/22607776</t>
  </si>
  <si>
    <t>In psychiatric practice, pharmacogenetics has the potential to identify patients with an increased risk of unsatisfactory drug responses. Genotype-guided treatment adjustments may increase benefits and reduce harm in these patients; however, pharmacogenetic testing is not (yet) common practice and more pharmacogenetic research in psychiatric patients is warranted. An important precondition for this type of research is the establishment of biobanks. In this paper, we argue that, for the storage of samples in psychiatric biobanks, waiving of consent is not ethically justifiable since the risks cannot be considered minimal and the argument of impracticability does not apply. An opt-out consent procedure is also not justifiable, since it presumes competence while the decisional competence of psychiatric patients needs to be carefully evaluated. We state that an enhanced opt-in consent procedure is ethically necessary, i.e. a procedure that supports the patients' decision-making at the time when the patient is most competent. Nevertheless, such a procedure is not the traditional exhaustive informed consent procedure, since this is not feasible in the case of biobanking.</t>
  </si>
  <si>
    <t>Multiple miscarriages are associated with the risk of ovarian cancer: results from the European Prospective Investigation into Cancer and Nutrition.</t>
  </si>
  <si>
    <t>Braem, Marieke G M; Onland-Moret, N Charlotte; Schouten, Leo J; Kruitwagen, Roy F P M; Lukanova, Annekatrin; Allen, Naomi E; Wark, Petra A; Tjønneland, Anne; Hansen, Louise; Braüner, Christina Marie; Overvad, Kim; Clavel-Chapelon, Françoise; Chabbert-Buffet, Nathalie; Teucher, Birgit; Floegel, Anna; Boeing, Heiner; Trichopoulou, Antonia; Adarakis, George; Plada, Maria; Rinaldi, Sabina; Fedirko, Veronika; Romieu, Isabelle; Pala, Valeria; Galasso, Rocco; Sacerdote, Carlotta; Palli, Domenico; Tumino, Rosario; Bueno-de-Mesquita, H Bas; Gram, Inger Torhild; Gavrilyuk, Oxana; Lund, Eiliv; Sánchez, Maria-José; Bonet, Catalina; Chirlaque, Maria-Dolores; Larrañaga, Nerea; Gurrea, Aurelio Barricarte; Quirós, Jose R; Idahl, Annika; Ohlson, Nina; Lundin, Eva; Jirström, Karin; Butt, Salma; Tsilidis, Konstantinos K; Khaw, Kay-Tee; Wareham, Nick; Riboli, Elio; Kaaks, Rudolf; Peeters, Petra H M</t>
  </si>
  <si>
    <t>https://pubmed.ncbi.nlm.nih.gov/22623987</t>
  </si>
  <si>
    <t>While the risk of ovarian cancer clearly reduces with each full-term pregnancy, the effect of incomplete pregnancies is unclear. We investigated whether incomplete pregnancies (miscarriages and induced abortions) are associated with risk of epithelial ovarian cancer. This observational study was carried out in female participants of the European Prospective Investigation into Cancer and Nutrition (EPIC). A total of 274,442 women were followed from 1992 until 2010. The baseline questionnaire elicited information on miscarriages and induced abortions, reproductive history, and lifestyle-related factors. During a median follow-up of 11.5 years, 1,035 women were diagnosed with incident epithelial ovarian cancer. Despite the lack of an overall association (ever vs. never), risk of ovarian cancer was higher among women with multiple incomplete pregnancies (HR(≥4vs.0): 1.74, 95% CI: 1.20-2.70; number of cases in this category: n = 23). This association was particularly evident for multiple miscarriages (HR(≥4vs.0): 1.99, 95% CI: 1.06-3.73; number of cases in this category: n = 10), with no significant association for multiple induced abortions (HR(≥4vs.0): 1.46, 95% CI: 0.68-3.14; number of cases in this category: n = 7). Our findings suggest that multiple miscarriages are associated with an increased risk of epithelial ovarian cancer, possibly through a shared cluster of etiological factors or a common underlying pathology. These findings should be interpreted with caution as this is the first study to show this association and given the small number of cases in the highest exposure categories.</t>
  </si>
  <si>
    <t>High prevalence of previously unknown heart failure and left ventricular dysfunction in patients with type 2 diabetes.</t>
  </si>
  <si>
    <t>Boonman-de Winter, L J M; Rutten, F H; Cramer, M J M; Landman, M J; Liem, A H; Rutten, G E H M; Hoes, A W</t>
  </si>
  <si>
    <t>https://pubmed.ncbi.nlm.nih.gov/22618812</t>
  </si>
  <si>
    <t>The aim of this study was to assess the prevalence of (unknown) heart failure and left ventricular dysfunction in older patients with type 2 diabetes. In total, 605 patients aged 60 years or over with type 2 diabetes in the south west of the Netherlands participated in this cross-sectional study (response rate 48.7%), including 24 with a cardiologist-confirmed diagnosis of heart failure. Between February 2009 and March 2010, the patients without known heart failure underwent a standardised diagnostic work-up, including medical history, physical examination, ECG and echocardiography. An expert panel used the criteria of the European Society of Cardiology to diagnose heart failure. Of the 581 patients studied, 161 (27.7%; 95% CI 24.1%, 31.4%) were found to have previously unknown heart failure: 28 (4.8%; 95% CI 3.1%, 6.6%) with reduced ejection fraction, and 133 (22.9%; 95% CI 19.5%, 26.3%) with preserved ejection fraction. The prevalence of heart failure increased steeply with age. Heart failure with preserved ejection fraction was more common in women. Left ventricular dysfunction was diagnosed in 150 patients (25.8%; 95% CI 22.3%, 29.4%); 146 (25.1%; 95% CI 21.6%, 28.7%) had diastolic dysfunction. This is the first epidemiological study that provides exact prevalence estimates of (previously unknown) heart failure and left ventricular dysfunction in a representative sample of patients with type 2 diabetes. Previously unknown heart failure and left ventricular dysfunction are highly prevalent. Physicians should pay special attention to 'unmasking' these patients.</t>
  </si>
  <si>
    <t>A clinical prediction model to assess the risk of operative delivery.</t>
  </si>
  <si>
    <t>Schuit, E; Kwee, A; Westerhuis, M E M H; Van Dessel, H J H M; Graziosi, G C M; Van Lith, J M M; Nijhuis, J G; Oei, S G; Oosterbaan, H P; Schuitemaker, N W E; Wouters, M G A J; Visser, G H A; Mol, B W J; Moons, K G M; Groenwold, R H H</t>
  </si>
  <si>
    <t>https://pubmed.ncbi.nlm.nih.gov/22568406</t>
  </si>
  <si>
    <t>To predict instrumental vaginal delivery or caesarean section for suspected fetal distress or failure to progress. Secondary analysis of a randomised trial. Three academic and six non-academic teaching hospitals in the Netherlands. 5667 labouring women with a singleton term pregnancy in cephalic presentation. We developed multinomial prediction models to assess the risk of operative delivery using both antepartum (model 1) and antepartum plus intrapartum characteristics (model 2). The models were validated by bootstrapping techniques and adjusted for overfitting. Predictive performance was assessed by calibration and discrimination (area under the receiver operating characteristic), and easy-to-use nomograms were developed. Incidence of instrumental vaginal delivery or caesarean section for fetal distress or failure to progress with respect to a spontaneous vaginal delivery (reference).   375 (6.6%) and 212 (3.6%) women had an instrumental vaginal delivery or caesarean section due to fetal distress, and 433 (7.6%) and 571 (10.1%) due to failure to progress, respectively. Predictors were age, parity, previous caesarean section, diabetes, gestational age, gender, estimated birthweight (model 1) and induction of labour, oxytocin augmentation, intrapartum fever, prolonged rupture of membranes, meconium stained amniotic fluid, epidural anaesthesia, and use of ST-analysis (model 2). Both models showed excellent calibration and the receiver operating characteristics areas were 0.70-0.78 and 0.73-0.81, respectively.   In Dutch women with a singleton term pregnancy in cephalic presentation, antepartum and intrapartum characteristics can assist in the prediction of the need for an instrumental vaginal delivery or caesarean section for fetal distress or failure to progress.</t>
  </si>
  <si>
    <t>Excess early postnatal weight gain leads to increased abdominal fat in young children.</t>
  </si>
  <si>
    <t>international journal of pediatrics</t>
  </si>
  <si>
    <t>https://pubmed.ncbi.nlm.nih.gov/22649461</t>
  </si>
  <si>
    <t>Background. Increased childhood weight gain has been associated with later adiposity. Whether excess early postnatal weight gain plays a role in childhood abdominal fat is unknown. Design. In the ongoing Wheezing Illnesses Study Leidsche Rijn (WHISTLER), birth cohort weight and length from birth to age 3 months were obtained. In the first 316 five-year-olds, intra-abdominal and subcutaneous fat were measured ultrasonographically. Individual weight and length gain rates were assessed in each child. Internal Z-scores of weight for length gain (WLG) were calculated. Multiple imputation was used to deal with missing covariates. Results. Per-1-unit increase in Z-score WLG from birth to 3 months, BMI, waist circumference, and subcutaneous fat were significantly higher; 0.51 kg/m(2), 0.84 cm, and 0.50 mm, respectively. After multiple imputation, a trend towards significance was observed for intra-abdominal fat as well (0.51 mm/SD). In the associations with 5-year adiposity, no interaction between postnatal Z-score WLG and birth size was found. Conclusion. Excess early postnatal weight gain is associated with increased general and central adiposity, characterized by more subcutaneous and likely more intra-abdominal fat at 5 years of age.</t>
  </si>
  <si>
    <t>Postnatal acute famine and risk of overweight: the dutch hungerwinter study.</t>
  </si>
  <si>
    <t>van Abeelen, Annet F M; Elias, Sjoerd G; Roseboom, Tessa J; Bossuyt, Patrick M M; van der Schouw, Yvonne T; Grobbee, Diederick E; Uiterwaal, Cuno S P M</t>
  </si>
  <si>
    <t>https://pubmed.ncbi.nlm.nih.gov/22611413</t>
  </si>
  <si>
    <t>Objective. To examine the association between undernutrition during postnatal periods of development and the risk of overweight in adulthood. Methods. We studied 8,091 women from Prospect-EPIC, exposed to the Dutch famine at ages between 0 and 21 years, recruited at ages between 49 and 70 years. We used linear and logistic regression models to explore the effect of famine on BMI, waist circumference, and the risk of overweight. Results. Overall, postnatal famine exposure was associated with increased BMI and waist circumference in a dose-dependent manner (P  for trend &lt; 0.01). Furthermore, risk of overweight was increased following famine exposure (P  for trend = 0.01), with those severely exposed at ages 0-9 years having 25% (95% CI 1.05 to 1.50) higher risk compared to unexposed women. Conclusions. This study is the first to directly show a positive association between short and transient undernutrition during postnatal development and BMI, waist circumference, and overweight in adulthood.</t>
  </si>
  <si>
    <t>Cardiopulmonary exercise testing in cancer rehabilitation: a systematic review.</t>
  </si>
  <si>
    <t>Steins Bisschop, Charlotte N; Velthuis, Miranda J; Wittink, Harriët; Kuiper, Kees; Takken, Tim; van der Meulen, Wout J T M; Lindeman, Eline; Peeters, Petra H M; May, Anne M</t>
  </si>
  <si>
    <t>sports medicine auckland nz</t>
  </si>
  <si>
    <t>https://pubmed.ncbi.nlm.nih.gov/22452663</t>
  </si>
  <si>
    <t>This systematic review aims to get insight into the feasibility of cardiopulmonary exercise testing (CPET) in patients with cancer prior to a physical exercise programme. We will focus on quality (defined as the adherence to international guidelines for methods of CPET) and safety of CPET. Furthermore, we compare the peak oxygen uptake (·VO(2peak)) values of patients with cancer with reference values for healthy persons to put these values into a clinical perspective. A computer aided search with 'cardiopulmonary exercise testing' and 'cancer' using MEDLINE, EMBASE, Pedro, CINAHL® and SPORTDiscus™ was carried out. We included studies in which CPET with continuous gas exchange analysis has been performed prior to a physical exercise programme in adults with cancer. Twenty studies describing 1158 patients were eligible. Reported adherence to international recommendations for CPET varied per item. In most studies, the methods of CPET were not reported in detail. Adverse events occurred in 1% of patients. The percentage ·VO(2peak) of reference values for healthy persons varied between 65% and 89% for tests before treatment, between 74% and 96% for tests during treatment and between 52% and 117% for tests after treatment. Our results suggest that CPET is feasible and seems to be safe for patients with cancer prior to a physical exercise programme. We recommend that standard reporting and quality guidelines should be followed for CPET methods. The decreased ·VO(2peak) values of patients with cancer indicate that physical exercise should be implemented in their standard care.</t>
  </si>
  <si>
    <t>Added value of pharmacogenetic testing in predicting statin response: results from the REGRESS trial.</t>
  </si>
  <si>
    <t>van der Baan, F H; Knol, M J; Maitland-van der Zee, A H; Regieli, J J; van Iperen, E P A; Egberts, A C G; Klungel, O H; Grobbee, D E; Jukema, J W</t>
  </si>
  <si>
    <t>https://pubmed.ncbi.nlm.nih.gov/22547143</t>
  </si>
  <si>
    <t>It was investigated whether pharmacogenetic factors, both as single polymorphism and as gene-gene interactions, have an added value over non-genetic factors in predicting statin response. Five common polymorphisms were selected in apolipoprotein E, angiotensin-converting enzyme, hepatic lipase and toll-like receptor 4. Linear regression models were built and compared on R(2) to estimate the added value of single polymorphisms and gene-gene interactions. The selected polymorphisms and the gene-gene interactions had a small added value in predicting change in low-density lipoprotein cholesterol levels (LDL-c) as response to statins over the non-genetic predictors (P=0.104), and also in predicting LDL-c in non-treated patients (P=0.016). Moreover, four gene-gene interactions with statin therapy were identified. The added value of genetic factors over non-genetic variables is for the greater part produced by gene-gene interactions. This underlines the importance to examine gene-gene interactions in future (pharmaco)genetic research.</t>
  </si>
  <si>
    <t>Epilepsy surgery can help many more adult patients with intractable seizures.</t>
  </si>
  <si>
    <t>Uijl, Sabine G; Leijten, Frans S S; Moons, Karel G M; Veltman, Ellen P H M; Ferrier, Cyrille H; van Donselaar, Cees A</t>
  </si>
  <si>
    <t>epilepsy research</t>
  </si>
  <si>
    <t>https://pubmed.ncbi.nlm.nih.gov/22542197</t>
  </si>
  <si>
    <t>To quantify underreferral for epilepsy surgery in The Netherlands, and reveal its causes. Cross-sectional sample of medical files of epilepsy patients from eight general hospitals and two tertiary care epilepsy centers. We selected patients, not seizure free despite 3 or more anti-epileptic drugs. Medical records were judged by an expert panel whether referral should have been done according to published Dutch guidelines. The treating neurologists were confronted with the panel's judgement. In a sample of 1424 patients, 69 had been referred; another 265 were intractable and not referred; 139 of these 265 patients should have been according to the panel. In 89 of 139 patients, the neurologist gave additional arguments for not referring, mainly the physician's estimate of (low) seizure burden or the patient's psychological condition. In 66 of 89 cases, this could not convince the panel. Attitudes were similar in secondary and tertiary treatment centers. Multivariable data analysis showed independent predictors of incorrectly, versus correctly, not referred patients. Substantial underreferral exists in The Netherlands, withholding refractory patients seizure freedom. Adherence to existing guidelines, better prioritizing of surgical work-up, and unprejudiced discussion of surgical treatment with the patient, could lead to 2-2.5 times more referrals.</t>
  </si>
  <si>
    <t>Antibiotic prophylaxis in the era of multidrug-resistant bacteria.</t>
  </si>
  <si>
    <t>Wittekamp, Bastiaan H J; Bonten, Marc J M</t>
  </si>
  <si>
    <t>expert opinion on investigational drugs</t>
  </si>
  <si>
    <t>https://pubmed.ncbi.nlm.nih.gov/22530737</t>
  </si>
  <si>
    <t>The prophylactic use of antibiotics can only be justified when clinical benefits on relevant patient outcomes, such as morbidity or mortality, cost-effectiveness, and absence of immediate emergence of antibiotic resistance have been unequivocally demonstrated. In some intensive care unit (ICU) patients, antibiotic prophylaxis is used as part of selective digestive tract decontamination (SDD) and selective oropharyngeal decontamination (SOD). Recent trials in ICUs with low levels of antibiotic resistance strongly suggest that both regimens reduce the incidence of ICU-acquired infections and improve patient survival. Naturally, the unique microbial ecology of such settings reduce generalizability of results. Therefore, the routine use of SOD and SDD remains highly controversial, especially in ICUs with higher levels of antibiotic resistance. Moreover, convincing evidence is still missing on several important aspects related to efficacy and safety. Despite numerous trials, effects of SDD and SOD on antibiotic resistance during and after decolonization treatment have still been insufficiently investigated, and existing results are contradicting. Furthermore, the effects of both regimens on the non-culturable part of the intestinal flora remain unknown. Finally, cost-effectiveness has not been thoroughly investigated, and prices of the antimicrobial agents that have been used have increased dramatically in recent years. In this review, important knowledge gaps that so far prevent the widespread use of SDD and SOD will be addressed.</t>
  </si>
  <si>
    <t>Proactive and integrated primary care for frail older people: design and methodological challenges of the Utrecht primary care PROactive frailty intervention trial (U-PROFIT).</t>
  </si>
  <si>
    <t>Bleijenberg, Nienke; Drubbel, Irene; Ten Dam, Valerie H; Numans, Mattijs E; Schuurmans, Marieke J; de Wit, Niek J</t>
  </si>
  <si>
    <t>https://pubmed.ncbi.nlm.nih.gov/22533710</t>
  </si>
  <si>
    <t>Currently, primary care for frail older people is reactive, time consuming and does not meet patients' needs. A transition is needed towards proactive and integrated care, so that daily functioning and a good quality of life can be preserved. To work towards these goals, two interventions were developed to enhance the care of frail older patients in general practice: a screening and monitoring intervention using routine healthcare data (U-PRIM) and a nurse-led multidisciplinary intervention program (U-CARE). The U-PROFIT trial was designed to evaluate the effectiveness of these interventions. The aim of this paper is to describe the U-PROFIT trial design and to discuss methodological issues and challenges. The effectiveness of U-PRIM and U-CARE is being tested in a three-armed, cluster randomized trial in 58 general practices in the Netherlands, with approximately 5000 elderly individuals expected to participate. The primary outcome is the effect on activities of daily living as measured with the Katz ADL index. Secondary outcomes are quality of life, mortality, nursing home admission, emergency department and out-of-hours General Practice (GP), surgery visits, and caregiver burden. In a large, pragmatic trial conducted in daily clinical practice with frail older patients, several challenges and methodological issues will occur. Recruitment and retention of patients and feasibility of the interventions are important issues. To enable broad generalizability of results, careful choices of the design and outcome measures are required. Taking this into account, the U-PROFIT trial aims to provide robust evidence for a structured and integrated approach to provide care for frail older people in primary care. NTR2288.</t>
  </si>
  <si>
    <t>Selection for Dutch postgraduate GP training; time for improvement.</t>
  </si>
  <si>
    <t>Vermeulen, Margit I; Kuyvenhoven, Marijke M; Zuithoff, Nicolaas P A; Tromp, Fred; van der Graaf, Yolanda; Pieters, Ron H M</t>
  </si>
  <si>
    <t>https://pubmed.ncbi.nlm.nih.gov/22515833</t>
  </si>
  <si>
    <t>In the Netherlands we select candidates for the postgraduate GP training by assessing personal qualities in interviews. Because of differences in the ratio of number of candidates and number of vacancies between the eight departments of GP training we questioned whether the risk of being rejected diverged amongst them. The research question of this study was to which degree department of choice, candidates' characteristics and qualities assessed during interviews explain admission into GP training. A nationwide observational study was conducted of all candidates who applied for postgraduate GP training in 2009/ 2010. Application ratio per department, candidates' characteristics (gender, age, region of medical school and times of application) and qualities (motivation, orientation on the job, personal attributes and learning needs) were collected. Outcome measures were admission to interview and admission to GP training. The study population addressed 542 candidates. Sixty three candidates were rejected on application letter (11.6%). So 479 candidates were admitted to the interview, of which 340 were admitted to the GP training (71%). Gender and region of medical school outside North West Europe were associated with admission to the interview. Department of choice had a strong association with admission in both stages (RR: 0.30 to 0.74; 0.20 to 0.79 respectively), while candidates' qualities explained admission (RR: 1.09- 1.25) as well. The influence of department of choice yields doubts about fairness of the procedure. So advantages and disadvantages of a national procedure are discussed as well as those of a competency based procedure.</t>
  </si>
  <si>
    <t>The risk-benefit task of research ethics committees: an evaluation of current approaches and the need to incorporate decision studies methods.</t>
  </si>
  <si>
    <t>https://pubmed.ncbi.nlm.nih.gov/22520714</t>
  </si>
  <si>
    <t>Research ethics committees (RECs) are tasked to assess the risks and the benefits of a trial. Currently, two procedure-level approaches are predominant, the Net Risk Test and the Component Analysis. By looking at decision studies, we see that both procedure-level approaches conflate the various risk-benefit tasks, i.e., risk-benefit assessment, risk-benefit evaluation, risk treatment, and decision making. This conflation makes the RECs' risk-benefit task confusing, if not impossible. We further realize that RECs are not meant to do all the risk-benefit tasks; instead, RECs are meant to evaluate risks and benefits, appraise risk treatment suggestions, and make the final decision. As such, research ethics would benefit from looking beyond the procedure-level approaches and allowing disciplines like decision studies to be involved in the discourse on RECs' risk-benefit task.</t>
  </si>
  <si>
    <t>Chlorhexidine body washing to control antimicrobial-resistant bacteria in intensive care units: a systematic review.</t>
  </si>
  <si>
    <t>Derde, Lennie P G; Dautzenberg, Mirjam J D; Bonten, Marc J M</t>
  </si>
  <si>
    <t>https://pubmed.ncbi.nlm.nih.gov/22527065</t>
  </si>
  <si>
    <t>Infections caused by antimicrobial-resistant bacteria (AMRB) are increasing worldwide, especially in intensive care units (ICUs). Chlorhexidine body washing (CHG-BW) has been proposed as a measure to limit the spread of AMRB. We have systematically assessed the evidence on the effectiveness of CHG-BW in reducing colonization and infection with AMRB in adult ICU patients. PubMed, Embase, CINAHL, and OpenSigle databases were searched using synonyms for "intensive care unit," "hospital," and "chlorhexidine." All potentially relevant articles were examined by two independent reviewers. Inclusion was limited to studies with ICU patients as domain, providing outcomes related to colonization or infection with AMRB. Data from 16 studies were extracted; 9 were excluded because of assessed high risk of bias or inadequate analyses. The remaining studies differed markedly in (co-)interventions and case mix, which precluded pooling of data in a formal meta-analysis. Incidences of MRSA acquisition were reduced significantly in three studies in which this was the primary endpoint. Significant reduction in MRSA infection rates was observed in only one of five studies. Carriage and bacteremia rates of VRE were assessed in one study, and both significantly declined. There were hardly any data on the effects of CHG-BW on antibiotic-resistant gram-negative bacteria (ARGNB). CHG-BW may be effective in preventing carriage, and possibly bloodstream infections, with MRSA and VRE in different ICU settings. As CHG-BW protocols, co-interventions and case mix varied widely, attribution of these effects to CHG-BW alone should be done with care. Evidence that CHG-BW reduces carriage of or infections with ARGNB is lacking.</t>
  </si>
  <si>
    <t>Successful Veterans Affairs initiative to prevent methicillin-resistant Staphylococcus aureus infections revisited.</t>
  </si>
  <si>
    <t>https://pubmed.ncbi.nlm.nih.gov/22491330</t>
  </si>
  <si>
    <t>In 2011 Jain et al reported a 62% reduction of healthcare-associated methicillin-resistant Staphylococcus aureus infections that resulted from an intervention bundle. Here we present a mathematical model and prove, using parameters from the study by Jain et al, that the universal screen and isolate strategy can have contributed only marginally to the reduction in infections.</t>
  </si>
  <si>
    <t>Dairy intake and coronary heart disease or stroke--a population-based cohort study.</t>
  </si>
  <si>
    <t>Dalmeijer, Geertje W; Struijk, Ellen A; van der Schouw, Yvonne T; Soedamah-Muthu, Sabita S; Verschuren, W M Monique; Boer, Jolanda M A; Geleijnse, Johanna M; Beulens, Joline W J</t>
  </si>
  <si>
    <t>https://pubmed.ncbi.nlm.nih.gov/22483419</t>
  </si>
  <si>
    <t>This study aimed to investigate the relationship between total dairy intake and dairy subtypes (high-fat dairy, low-fat dairy, milk and milk products, cheese and fermented dairy) with incident coronary heart disease (CHD) and stroke. EPIC-NL is a prospective cohort study among 33,625 Dutch men and women. At baseline (1993-1997), dairy intake was measured with a validated food frequency questionnaire (FFQ). The incidence of both fatal and non-fatal CHD and stroke was obtained by linkage to the national registers. During 13 years follow-up, 1648 cases of CHD and 531 cases of stroke were documented. Total dairy intake was not significantly associated with risk of CHD (hazard ratio per standard deviation (SD) increase=0.99; 95%-CI: 0.94-1.05) or stroke (0.95; 0.85-1.05) adjusted for lifestyle and dietary factors. None of the dairy subtypes was to CHD, while only fermented dairy tended to be associated (p=0.07) with a lower risk of stroke (0.92; 0.83-1.01). Hypertension appeared to modify the association of total and low-fat dairy with CHD (p interaction&lt;0.02). Among participants without hypertension, but not among hypertensive participants, total (0.92; 0.85-1.02) and low-fat (0.94; 0.87-1.02) dairy tended to be associated with a lower risk of CHD. Our results provide no evidence that dairy products are associated with risk of CHD or stroke. High intakes of total and low-fat dairy may be associated with a lower risk of CHD among participants without hypertension, while fermented dairy could be associated with a reduced risk of stroke.</t>
  </si>
  <si>
    <t>Mode of delivery in non-cephalic presenting twins: a systematic review.</t>
  </si>
  <si>
    <t>Steins Bisschop, Charlotte N; Vogelvang, Tatjana E; May, Anne M; Schuitemaker, Nico W E</t>
  </si>
  <si>
    <t>archives of gynecology and obstetrics</t>
  </si>
  <si>
    <t>https://pubmed.ncbi.nlm.nih.gov/22465994</t>
  </si>
  <si>
    <t>This systematic review aims to determine if there are evidence-based recommendations for the optimal mode of delivery for non-cephalic presenting first- and/or second twins. We investigated the impact of the mode of delivery on neonatal outcome for twin deliveries with (1) the first twin (twin A) in non-cephalic presentation, (2) the second (twin B) in non-cephalic presentation and (3) both twins in non-cephalic presentation. A computer-aided search of Medline, Embase, Cinahl and Cochrane databases was carried out and quality of the studies was assessed with the Cochrane Collaboration's tool for assessing risk of bias and the GRADE approach. One high-quality clinical trial (60 twin pairs) and 16 moderate/low-quality observational studies (3,167 twin pairs) showed no difference in neonatal outcome between vaginal and caesarean delivery in twin A and/or B. Our results do not suggest benefit of caesarean over vaginal delivery for selected twin gestations with twin A and/or twin B in non-cephalic presentation. However, no final conclusion can be drawn due to the small sample sizes and statistic limitations of the included studies. Randomized studies with sufficient power are required to make a strong recommendation.</t>
  </si>
  <si>
    <t>Real-life costs of hepatitis C treatment.</t>
  </si>
  <si>
    <t>Helsper, C W; Hellinga, H L; van Essen, G A; de Wit, G A; Bonten, M J M; van Erpecum, K J; Hoepelman, A I M; Richter, C; de Wit, N J</t>
  </si>
  <si>
    <t>https://pubmed.ncbi.nlm.nih.gov/22516582</t>
  </si>
  <si>
    <t>Hepatitis C virus infection is a serious health threat in today's society. Improved identification strategies have increased the number of patients undergoing the expensive treatment with ribavirin and peg-interferon, inducing a substantial economic burden. In a retrospective cohort study in three treatment centres in the Netherlands, files of patients treated between 2001 and 2010 were systematically searched for all cost-inducing treatment details. Costs of treatment resulting in sustained viral response (SVR), relapse, non-response and the costs per cured patient were specified for genotype and treatment setting. Determinants of costs were determined by multivariate linear regression. The mean 'real-life' treatment costs excluding side effects for genotype 1/4 and genotype 2/3 were approximately € 12,900 and € 9900 for all patients, € 15,500 and € 10,100 for treatment resulting in SVR and € 16,800 and € 12,100 for relapse, respectively. Costs per cured patient were € 28,500 and € 15,400 respectively. The costs of non-response were approximately € 8000 for all genotypes. Costs of side effects can be high and are mainly caused by incidental treatment for neutropenia. Medication is the main component of treatment costs. Treatment costs were higher in the academic setting due to longer duration and higher costs of side effects. Regression analysis confirms duration as the main determinant of treatment costs excluding side effects. The 'real-life' costs of treatment are mainly determined by treatment duration, medication costs and costs of side effects. The costs of unsuccessful treatment are considerable as are the costs of side effects. Therefore, future research should aim at increasing SVR rates, reducing treatment duration and preventing side effects.</t>
  </si>
  <si>
    <t>Climacteric commentaries. Type and timing of menopause and all-cause and cardiovascular mortality.</t>
  </si>
  <si>
    <t>van der Schouw, Yvonne T</t>
  </si>
  <si>
    <t>climacteric the journal of the international menopause society</t>
  </si>
  <si>
    <t>https://pubmed.ncbi.nlm.nih.gov/22530226</t>
  </si>
  <si>
    <t>Potential of adaptive clinical trial designs in pharmacogenetic research.</t>
  </si>
  <si>
    <t>van der Baan, Frederieke H; Knol, Mirjam J; Klungel, Olaf H; Egberts, Antoine Cg; Grobbee, Diederick E; Roes, Kit C B</t>
  </si>
  <si>
    <t>https://pubmed.ncbi.nlm.nih.gov/22462749</t>
  </si>
  <si>
    <t>Adaptive trial designs can be beneficial in pharmacogenetic research when prior uncertainty exists regarding the exact role and clinical relevance of genetic variability in drug response. This type of design enables us to learn about the effect of the genetic variability on drug response and to immediately use this information for the remainder of the study. For different types of adaptive trial designs, we discuss when and how the designs are suitable for pharmacogenetic research: adaptation of randomization, adaptation of patient enrollment and adaptive enrichment. To illustrate the potential benefits of an adaptive design over a fixed design, we simulated an adaptive trial based on the results of the IPASS trial. With a simple model we show that for this example an adaptive enrichment design would have led to a smaller trial, with less EGF receptor mutation-negative patients unnecessarily exposed to the drug, without compromising the α level or reducing power.</t>
  </si>
  <si>
    <t>Safety learning from drugs of the same class: room for improvement.</t>
  </si>
  <si>
    <t>Stefansdottir, G; Knol, M J; Arnardottir, A H; van der Elst, M E; Grobbee, D E; Leufkens, H G M; De Bruin, M L</t>
  </si>
  <si>
    <t>https://pubmed.ncbi.nlm.nih.gov/22453192</t>
  </si>
  <si>
    <t>This study was aimed at assessing the extent of safety learning from data pertaining to other drugs of the same class. We studied drug classes for which the first and second drugs were centrally registered in the European Union from 1995 to 2008. We assessed whether adverse drug reactions (ADRs) associated with one of the drugs also appeared in the Summary of Product Characteristics (SPC) of the other drug, either initially or during the postmarketing phase. We identified 977 ADRs from 19 drug pairs, of which 393 ADRs (40.2%) were listed in the SPCs of both drugs of a pair. Of these 393 that were present in both SPCs of a drug pair, 241 (61.3%) were present when the drug entered the market and 152 (30.7%) appeared in the postmarketing phase. The mention of ADRs in the SPCs of both same-class drugs in the postmarketing phase was associated with type A ADRs, marketing in the same regulator country, a longer time interval between entry into the market by the two drugs, and an earlier date of ADR. Although there appears to be some degree of safety learning from same-class drugs, there is still room for improvement, possibly by increasing proactive risk management.</t>
  </si>
  <si>
    <t>Multiple imputation of missing repeated outcome measurements did not add to linear mixed-effects models.</t>
  </si>
  <si>
    <t>Peters, Sanne A E; Bots, Michiel L; den Ruijter, Hester M; Palmer, Mike K; Grobbee, Diederick E; Crouse, John R; O'Leary, Daniel H; Evans, Gregory W; Raichlen, Joel S; Moons, Karel G M; Koffijberg, Hendrik; ,</t>
  </si>
  <si>
    <t>https://pubmed.ncbi.nlm.nih.gov/22459429</t>
  </si>
  <si>
    <t>To assess the added value of multiple imputation (MI) of missing repeated outcomes measures in longitudinal data sets analyzed with linear mixed-effects (LME) models. Data were used from a trial on the effects of Rosuvastatin on rate of change in carotid intima-media thickness (CIMT). The reference treatment effect was derived from a complete data set. Scenarios and proportions of missing values in CIMT measurements were applied and LME analyses were used before and after MI. The added value of MI, in terms of bias and precision, was assessed using the mean-squared error (MSE) of the treatment effects and coverage of the 95% confidence interval. The reference treatment effect was -0.0177 mm/y. The MSEs for LME analysis without and with MI were similar in scenarios with up to 40% missing values. Coverage was large in all scenarios and was similar for LME with and without MI. Our study empirically shows that MI of missing end point data before LME analyses does not increase precision in the estimated rate of change in the end point. Hence, MI had no added value in this setting and standard LME modeling remains the method of choice.</t>
  </si>
  <si>
    <t>Coffee and tea consumption and the risk of ovarian cancer: a prospective cohort study and updated meta-analysis.</t>
  </si>
  <si>
    <t>Braem, Marieke G M; Onland-Moret, N Charlotte; Schouten, Leo J; Tjønneland, Anne; Hansen, Louise; Dahm, Christina C; Overvad, Kim; Lukanova, Annekatrin; Dossus, Laure; Floegel, Anna; Boeing, Heiner; Clavel-Chapelon, Francoise; Chabbert-Buffet, Nathalie; Fagherazzi, Guy; Trichopoulou, Antonia; Benetou, Vassiliki; Goufa, Ioulia; Pala, Valeria; Galasso, Rocco; Mattiello, Amalia; Sacerdote, Carlotta; Palli, Domenico; Tumino, Rosario; Gram, Inger T; Lund, Eiliv; Gavrilyuk, Oxana; Sánchez, Maria-José; Quirós, Ramón; Gonzales, Carlos A; Dorronsoro, Miren; Castaño, José M Huerta; Gurrea, Aurelio Barricarte; Idahl, Annika; Ohlson, Nina; Lundin, Eva; Jirstrom, Karin; Wirfalt, Elisabet; Allen, Naomi E; Tsilidis, Konstantinos K; Kaw, Kay-Tee; Bueno-de-Mesquita, H Bas; Dik, Vincent K; Rinaldi, Sabina; Fedirko, Veronika; Norat, Teresa; Riboli, Elio; Kaaks, Rudolf; Peeters, Petra H M</t>
  </si>
  <si>
    <t>https://pubmed.ncbi.nlm.nih.gov/22440851</t>
  </si>
  <si>
    <t>In 2007 the World Cancer Research Fund Report concluded that there was limited and inconsistent evidence for an effect of coffee and tea consumption on the risk of epithelial ovarian cancer (EOC). In the European Prospective Investigation into Cancer and Nutrition (EPIC), we aimed to investigate whether coffee intakes, tea intakes, or both are associated with the risk of EOC. All women participating in the EPIC (n = 330,849) were included in this study. Data on coffee and tea consumption were collected through validated food-frequency questionnaires at baseline. HRs and 95% CIs were estimated by using Cox proportional hazards models. Furthermore, we performed an updated meta-analysis of all previous prospective studies until April 2011 by comparing the highest and lowest coffee- and tea-consumption categories as well as by using dose-response random-effects meta-regression analyses. During a median follow-up of 11.7 y, 1244 women developed EOC. No association was observed between the risk of EOC and coffee consumption [HR: 1.05 (95% CI: 0.75, 1.46) for the top quintile compared with no intake] or tea consumption [HR: 1.07 (95% CI: 0.78, 1.45) for the top quintile compared with no intake]. This lack of association between coffee and tea intake and EOC risk was confirmed by the results of our meta-analysis. Epidemiologic studies do not provide sufficient evidence to support an association between coffee and tea consumption and risk of ovarian cancer.</t>
  </si>
  <si>
    <t>Predicting outcome after acute basilar artery occlusion based on admission characteristics.</t>
  </si>
  <si>
    <t>Greving, J P; Schonewille, W J; Wijman, C A C; Michel, P; Kappelle, L J; Algra, A; ,</t>
  </si>
  <si>
    <t>https://pubmed.ncbi.nlm.nih.gov/22442438</t>
  </si>
  <si>
    <t>To develop a simple prognostic model to predict outcome at 1 month after acute basilar artery occlusion (BAO) with readily available predictors. The Basilar Artery International Cooperation Study (BASICS) is a prospective, observational, international registry of consecutive patients who presented with an acute symptomatic and radiologically confirmed BAO. We considered predictors available at hospital admission in multivariable logistic regression models to predict poor outcome (modified Rankin Scale [mRS] score 4-5 or death) at 1 month. We used receiver operator characteristic curves to assess the discriminatory performance of the models. Of the 619 patients, 429 (69%) had a poor outcome at 1 month: 74 (12%) had a mRS score of 4, 115 (19%) had a mRS score of 5, and 240 (39%) had died. The main predictors of poor outcome were older age, absence of hyperlipidemia, presence of prodromal minor stroke, higher NIH Stroke Scale (NIHSS) score, and longer time to treatment. A prognostic model that combined demographic data and stroke risk factors had an area under the receiver operating characteristic curve (AUC) of 0.64. This performance improved by including findings from the neurologic examination (AUC 0.79) and CT imaging (AUC 0.80). A risk chart showed predictions of poor outcome at 1 month varying from 25 to 96%. Poor outcome after BAO can be reliably predicted by a simple model that includes older age, absence of hyperlipidemia, presence of prodromal minor stroke, higher NIHSS score, and longer time to treatment.</t>
  </si>
  <si>
    <t>Mood problems increase the risk of mortality in patients with lacunar infarcts: the SMART-MR study.</t>
  </si>
  <si>
    <t>Grool, Anne M; van der Graaf, Yolanda; Mali, Willem P Th M; Witkamp, Theo D; Vincken, Koen L; Geerlings, Mirjam I; ,</t>
  </si>
  <si>
    <t>psychosomatic medicine</t>
  </si>
  <si>
    <t>https://pubmed.ncbi.nlm.nih.gov/22434917</t>
  </si>
  <si>
    <t>A relationship between depression and mortality has been well established, but underlying mechanisms remain unclear. We investigated the influence of cerebral small vessel disease (CSVD), characterized by white matter lesions (WMLs) and lacunar infarcts, on the relationship between mood mortality during 6 years follow-up. Mood problems were assessed with the mental component summary of the 36-item Short-Form Medical Outcomes Study in 1110 patients with symptomatic atherosclerotic disease (mean age 59 years). Volumetric WML estimates were obtained with 1.5-T magnetic resonance imaging; lacunar infarcts were scored visually. Cox regression models were adjusted for age, sex, vascular risk, physical functioning, antidepressants and infarcts. We adjusted for CSVD to examine whether it may be an intermediate or confounding factor. Second, we added interaction terms to investigate whether associations differed between patients with CSVD (absent/present). Patients in the lowest quartile of mental functioning, representing most severe mood problems, were at higher, although not significant, risk of death (hazard ratio [HR] = 1.47, 95% confidence interval [CI] = 0.94-2.30) compared with patients in higher quartiles. Adjustment for CSVD did not change this association. Lacunar infarcts, not WML, modified the association of mood problems with mortality (p value for interaction = .01); mood problems strongly increased the risk of mortality in patients with lacunar infarcts (HR = 2.75, 95% CI = 1.41-5.38) but not in those without it (HR = 0.78, 95% CI = 0.39-1.57). Patients with lacunar infarcts may be especially vulnerable for the effect of mood problems on mortality.</t>
  </si>
  <si>
    <t>Adaptation of clinical prediction models for application in local settings.</t>
  </si>
  <si>
    <t>Kappen, Teus H; Vergouwe, Yvonne; van Klei, Wilton A; van Wolfswinkel, Leo; Kalkman, Cor J; Moons, Karel G M</t>
  </si>
  <si>
    <t>https://pubmed.ncbi.nlm.nih.gov/22427369</t>
  </si>
  <si>
    <t>When planning to use a validated prediction model in new patients, adequate performance is not guaranteed. For example, changes in clinical practice over time or a different case mix than the original validation population may result in inaccurate risk predictions. To demonstrate how clinical information can direct updating a prediction model and development of a strategy for handling missing predictor values in clinical practice. A previously derived and validated prediction model for postoperative nausea and vomiting was updated using a data set of 1847 patients. The update consisted of 1) changing the definition of an existing predictor, 2) reestimating the regression coefficient of a predictor, and 3) adding a new predictor to the model. The updated model was then validated in a new series of 3822 patients. Furthermore, several imputation models were considered to handle real-time missing values, so that possible missing predictor values could be anticipated during actual model use. Differences in clinical practice between our local population and the original derivation population guided the update strategy of the prediction model. The predictive accuracy of the updated model was better (c statistic, 0.68; calibration slope, 1.0) than the original model (c statistic, 0.62; calibration slope, 0.57). Inclusion of logistical variables in the imputation models, besides observed patient characteristics, contributed to a strategy to deal with missing predictor values at the time of risk calculation. Extensive knowledge of local, clinical processes provides crucial information to guide the process of adapting a prediction model to new clinical practices.</t>
  </si>
  <si>
    <t>Adjusting for partial verification or workup bias in meta-analyses of diagnostic accuracy studies.</t>
  </si>
  <si>
    <t>de Groot, Joris A H; Dendukuri, Nandini; Janssen, Kristel J M; Reitsma, Johannes B; Brophy, James; Joseph, Lawrence; Bossuyt, Patrick M M; Moons, Karel G M</t>
  </si>
  <si>
    <t>https://pubmed.ncbi.nlm.nih.gov/22422923</t>
  </si>
  <si>
    <t>A key requirement in the design of diagnostic accuracy studies is that all study participants receive both the test under evaluation and the reference standard test. For a variety of practical and ethical reasons, sometimes only a proportion of patients receive the reference standard, which can bias the accuracy estimates. Numerous methods have been described for correcting this partial verification bias or workup bias in individual studies. In this article, the authors describe a Bayesian method for obtaining adjusted results from a diagnostic meta-analysis when partial verification or workup bias is present in a subset of the primary studies. The method corrects for verification bias without having to exclude primary studies with verification bias, thus preserving the main advantages of a meta-analysis: increased precision and better generalizability. The results of this method are compared with the existing methods for dealing with verification bias in diagnostic meta-analyses. For illustration, the authors use empirical data from a systematic review of studies of the accuracy of the immunohistochemistry test for diagnosis of human epidermal growth factor receptor 2 status in breast cancer patients.</t>
  </si>
  <si>
    <t>Progestogens to prevent preterm birth in twin pregnancies: an individual participant data meta-analysis of randomized trials.</t>
  </si>
  <si>
    <t>Schuit, Ewoud; Stock, Sarah; Groenwold, Rolf H H; Maurel, Kimberly; Combs, C Andrew; Garite, Thomas; Spong, Cathy Y; Thom, Elizabeth A; Rouse, Dwight J; Caritis, Steve N; Saade, George R; Zachary, Julia M; Norman, Jane E; Rode, Line; Klein, Katharina; Tabor, Ann; Cetingöz, Elçin; Morrison, John C; Magann, Everett F; Briery, Christian M; Serra, Vicente; Perales, Alfredo; Meseguer, Juan; Nassar, Anwar H; Lim, Arianne C; Moons, Karel G M; Kwee, Anneke; Mol, Ben Willem J</t>
  </si>
  <si>
    <t>https://pubmed.ncbi.nlm.nih.gov/22420582</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</si>
  <si>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</si>
  <si>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Subfields of the hippocampal formation at 7 T MRI: in vivo volumetric assessment.</t>
  </si>
  <si>
    <t>https://pubmed.ncbi.nlm.nih.gov/22440643</t>
  </si>
  <si>
    <t>Animal and human autopsy studies suggest that subfields of the hippocampal formation are differentially affected by neuropsychiatric diseases. Therefore, subfield volumes may be more sensitive to effects of disease processes. The few human studies that segmented subfields of the hippocampal formation in vivo either assessed the subfields only in the body of the hippocampus, assessed only three subfields, or did not take the differential angulation of the head of the hippocampus into account. We developed a protocol using 7 Tesla MRI with isotropic voxels to reliably delineate the entorhinal cortex (ERC), subiculum (SUB), CA1, CA2, CA3, dentate gyrus (DG)&amp;CA4 along the full-length of the hippocampus. Fourteen subjects (aged 54-74 years, 2 men and 12 women) were scanned with a 3D turbo spin echo (TSE) sequence with isotropic voxels of 0.7 × 0.7 × 0.7 mm(3) on a 7 T MRI whole body scanner. Based on previous protocols and extensive anatomic atlases, a new protocol for segmentation of subfields of the hippocampal formation was formulated. ERC, SUB, CA1, CA2, CA3 and DG&amp;CA4 were manually segmented twice by one rater from coronal MR images. Good-to-excellent consistency was found for all subfields (Intraclass Correlation Coefficient's (ICC) varying from 0.74 to 0.98). Accuracy as measured with the Dice Similarity Index (DSI) was above 0.82 for all subfields, with the exception of the smaller subfield CA3 (0.68-0.70). In conclusion, this study shows that it is possible to delineate the main subfields of the hippocampal formation along its full-length in vivo at 7 T MRI. Our data give evidence that this can be done in a reliable manner. Segmentation of subfields in the full-length of the hippocampus may bolster the study of the etiology neuropsychiatric diseases.</t>
  </si>
  <si>
    <t>Diagnostic accuracy of point-of-care fecal calprotectin and immunochemical occult blood tests for diagnosis of organic bowel disease in primary care: the Cost-Effectiveness of a Decision Rule for Abdominal Complaints in Primary Care (CEDAR) study.</t>
  </si>
  <si>
    <t>Kok, Liselotte; Elias, Sjoerd G; Witteman, Ben J M; Goedhard, Jelle G; Muris, Jean W M; Moons, Karel G M; de Wit, Niek J</t>
  </si>
  <si>
    <t>https://pubmed.ncbi.nlm.nih.gov/22407858</t>
  </si>
  <si>
    <t>Fecal biomarker tests that differentiate between organic bowel disease (OBD) and non-OBD in primary care patients with persistent lower-abdomen complaints could reduce the number of unnecessary referrals for endoscopy. We quantified the accuracy of fecal calprotectin and immunochemical occult blood (iFOBT) point-of-care (POC) tests and a calprotectin ELISA in primary care patients with suspected OBD. We performed biomarker tests on fecal samples from 386 patients with lower-abdomen complaints suggestive for OBD. Endoscopic and histological diagnosis served as reference. OBD was diagnosed in 99 patients (prevalence 25.9%); 19 had adenocarcinoma, 53 adenoma, and 27 inflammatory bowel disease. Sensitivity for OBD was 0.64 (95% CI 0.54-0.72) for calprotectin POC, 0.56 (0.46-0.66) for iFOBT POC, and 0.74 (0.65-0.82) for calprotectin ELISA; specificities were 0.53 (0.48-0.59), 0.83 (0.78-0.87), and 0.47 (0.41-0.53), respectively. Negative predictive values (NPVs) were 0.81 (0.74-0.86), 0.85 (0.80-0.88), and 0.84 (0.78-0.89); positive predictive values (PPVs) varied from 0.32 (0.26-0.39) and 0.33 (0.27-0.39) (calprotectin tests) to 0.53 (0.44-0.63) (iFOBT POC). Combining the 2 POC tests improved sensitivity [0.79 (0.69-0.86)] and NPV [0.87 (0.81-0.91)] but lowered specificity [0.49 (0.44-0.55)] and PPV [0.35 (0.29-0.42)]. When adenomas ≤1 cm were considered non-OBD, the NPV of all tests improved to &gt;0.90 [combined POC tests, 0.97 (0.93-0.99)]. Diagnostic accuracy of the tests alone or combined was insufficient when all adenomas were considered OBD. When only adenomas &gt;1 cm were considered OBD, all tests could rule out OBD to a reasonable extent, particularly the combined POC tests. The tests were less useful for inclusion of OBD.</t>
  </si>
  <si>
    <t>Risk prediction models: I. Development, internal validation, and assessing the incremental value of a new (bio)marker.</t>
  </si>
  <si>
    <t>Moons, Karel G M; Kengne, Andre Pascal; Woodward, Mark; Royston, Patrick; Vergouwe, Yvonne; Altman, Douglas G; Grobbee, Diederick E</t>
  </si>
  <si>
    <t>https://pubmed.ncbi.nlm.nih.gov/22397945</t>
  </si>
  <si>
    <t>Prediction models are increasingly used to complement clinical reasoning and decision making in modern medicine in general, and in the cardiovascular domain in particular. Developed models first and foremost need to provide accurate and (internally and externally) validated estimates of probabilities of specific health conditions or outcomes in targeted patients. The adoption of such models must guide physician's decision making and an individual's behaviour, and consequently improve individual outcomes and the cost-effectiveness of care. In a series of two articles we review the consecutive steps generally advocated for risk prediction model research. This first article focuses on the different aspects of model development studies, from design to reporting, how to estimate a model's predictive performance and the potential optimism in these estimates using internal validation techniques, and how to quantify the added or incremental value of new predictors or biomarkers (of whatever type) to existing predictors. Each step is illustrated with empirical examples from the cardiovascular field.</t>
  </si>
  <si>
    <t>Risk prediction models: II. External validation, model updating, and impact assessment.</t>
  </si>
  <si>
    <t>Moons, Karel G M; Kengne, Andre Pascal; Grobbee, Diederick E; Royston, Patrick; Vergouwe, Yvonne; Altman, Douglas G; Woodward, Mark</t>
  </si>
  <si>
    <t>https://pubmed.ncbi.nlm.nih.gov/22397946</t>
  </si>
  <si>
    <t>Clinical prediction models are increasingly used to complement clinical reasoning and decision-making in modern medicine, in general, and in the cardiovascular domain, in particular. To these ends, developed models first and foremost need to provide accurate and (internally and externally) validated estimates of probabilities of specific health conditions or outcomes in the targeted individuals. Subsequently, the adoption of such models by professionals must guide their decision-making, and improve patient outcomes and the cost-effectiveness of care. In the first paper of this series of two companion papers, issues relating to prediction model development, their internal validation, and estimating the added value of a new (bio)marker to existing predictors were discussed. In this second paper, an overview is provided of the consecutive steps for the assessment of the model's predictive performance in new individuals (external validation studies), how to adjust or update existing models to local circumstances or with new predictors, and how to investigate the impact of the uptake of prediction models on clinical decision-making and patient outcomes (impact studies). Each step is illustrated with empirical examples from the cardiovascular field.</t>
  </si>
  <si>
    <t>Ethics of intergenerational (father-to-son) sperm donation.</t>
  </si>
  <si>
    <t>Bredenoord, Annelien L; Lock, Matthias T W T; Broekmans, Frank J M</t>
  </si>
  <si>
    <t>https://pubmed.ncbi.nlm.nih.gov/22402208</t>
  </si>
  <si>
    <t>In the ever changing field of reproductive medicine, clinics are regularly confronted with requests for novel variants of medically assisted reproduction. Particularly third-party (assisted) reproduction, which requires the involvement of an oocyte or sperm donor, is ethically and psychologically complex due to the parties involved, but nevertheless widely accepted. A particular type of third party reproduction concerns intrafamilial medically assisted reproduction (IMAR), where the donor is a family member of the recipients. In IMAR, some of the ethical and psychological issues associated with third party reproduction are intensified. The precise impact and consequences, however, remain speculative due to the lack of information regarding IMAR. Both the ESHRE Task Force on Ethics and Law and the Human Fertilization and Embryology Authority have recently highlighted the lack of information and the need for debate. In order to contribute to the discussion and knowledge on IMAR, we present a couple that recently visited our academic clinic with a request for a very particular variant of IMAR: first degree, intergenerational father-to-son sperm donation. As our academic hospital did not have experience with this variant of IMAR, our interdisciplinary Ethics Committee for Reproductive Medicine extensively discussed the request, resulting in an advisory report on the ethics of IMAR in general and father-to-son sperm donation in particular. Here, we will first present the andrological and social background of the couple and subsequently discuss the ethical considerations that led to the approval of their request. We will conclude the paper with recommendations for a morally sound practice of IMAR.</t>
  </si>
  <si>
    <t>Coronary artery calcium can predict all-cause mortality and cardiovascular events on low-dose CT screening for lung cancer.</t>
  </si>
  <si>
    <t>Jacobs, Peter C; Gondrie, Martijn J A; van der Graaf, Yolanda; de Koning, Harry J; Isgum, Ivana; van Ginneken, Bram; Mali, Willem P T M</t>
  </si>
  <si>
    <t>ajr american journal of roentgenology</t>
  </si>
  <si>
    <t>https://pubmed.ncbi.nlm.nih.gov/22357989</t>
  </si>
  <si>
    <t>Performing coronary artery calcium (CAC) screening as part of low-dose CT lung cancer screening has been proposed as an efficient strategy to detect people with high cardiovascular risk and improve outcomes of primary prevention. This study aims to investigate whether CAC measured on low-dose CT in a population of former and current heavy smokers is an independent predictor of all-cause mortality and cardiac events. We used a case-cohort study and included 958 subjects 50 years old or older within the screen group of a randomized controlled lung cancer screening trial. We used Cox proportional-hazard models to compute hazard ratios (HRs) adjusted for traditional cardiovascular risk factors to predict all-cause mortality and cardiovascular events. During a median follow-up of 21.5 months, 56 deaths and 127 cardiovascular events occurred. Compared with a CAC score of 0, multivariate-adjusted HRs for all-cause mortality for CAC scores of 1-100, 101-1000, and more than 1000 were 3.00 (95% CI, 0.61-14.93), 6.13 (95% CI, 1.35-27.77), and 10.93 (95% CI, 2.36-50.60), respectively. Multivariate-adjusted HRs for coronary events were 1.38 (95% CI, 0.39-4.90), 3.04 (95% CI, 0.95-9.73), and 7.77 (95% CI, 2.44-24.75), respectively. This study shows that CAC scoring as part of low-dose CT lung cancer screening can be used as an independent predictor of all-cause mortality and cardiovascular events.</t>
  </si>
  <si>
    <t>Intraoperative hypotension and perioperative ischemic stroke after general surgery: a nested case-control study.</t>
  </si>
  <si>
    <t>Bijker, Jilles B; Persoon, Suzanne; Peelen, Linda M; Moons, Karel G M; Kalkman, Cor J; Kappelle, L Jaap; van Klei, Wilton A</t>
  </si>
  <si>
    <t>https://pubmed.ncbi.nlm.nih.gov/22277949</t>
  </si>
  <si>
    <t>Postoperative stroke is a rare but major complication after surgery. The most often proposed mechanism is an embolus originating from the heart or great vessels. The role of intraoperative hypotension in the occurrence and evolution of postoperative stroke is largely unknown. A case-control study was conducted among 48,241 patients who underwent noncardiac and nonneurosurgical procedures in the period from January 2002 to June 2009. A total of 42 stroke cases (0.09%) were matched on age and type of surgery to 252 control patients. Conditional logistic regression analysis was used to estimate the effect of the duration of intraoperative hypotension (defined according to a range of blood pressure thresholds) on the occurrence of an ischemic stroke within 10 days after surgery, adjusted for potential confounding factors. After correction for potential confounders and multiple testing, the duration that the mean blood pressure was decreased more than 30% from baseline remained statistically significantly associated with the occurrence of a postoperative stroke. Intraoperative hypotension might play a role in the development of postoperative ischemic stroke. Especially for mean blood pressure values decreasing more than 30% from baseline blood pressure, an association with postoperative ischemic stroke risks was observed.</t>
  </si>
  <si>
    <t>Treatment of acute rhinosinusitis: discrepancy between guideline recommendations and clinical practice.</t>
  </si>
  <si>
    <t>Venekamp, Roderick P; Rovers, Maroeska M; Verheij, Theo J M; Bonten, Marc J M; Sachs, Alfred P E</t>
  </si>
  <si>
    <t>https://pubmed.ncbi.nlm.nih.gov/22389427</t>
  </si>
  <si>
    <t>A revised primary care guideline on acute rhinosinusitis (ARS) has been introduced in the Netherlands in 2005, which advocates a more judicious use of antibiotics. To investigate whether consultation and prescription rates for ARS in adults changed over recent years in order to provide information on family physicians' behaviour before and after introduction of the revised guideline. Retrospective cohort study. All adult patients within the computerized database of Utrecht Primary Care Research Network over the years 2000-09 were included. Clinical diagnoses of ARS were recorded according to the International Classification of Primary Care codes (R75 and/or R09) and drug prescriptions according to the Anatomical Therapeutic Chemical Classification System. ARS consultation rates revealed a stable pattern, with an average consultation rate of 29 episodes per 1000 person-years. From 2000 to 2005, the antibiotic prescription rate increased from 56 to 62 prescriptions per 100 episodes (P value for time trend &lt;0.05). From 2005 onwards, the antibiotic prescription rate decreased to 56 per 100 episodes in 2009 [rate difference (RD): -6, 95% confidence interval (CI): -10 to -1; P value for difference between 2000-05 and 2005-09 &lt;0.05]. From 2005 to 2009, intranasal corticosteroid (INCS) prescription rate increased from 20 to 31 prescriptions per 100 episodes (RD: 11, 95% CI: 7 to 15; P value for difference between 2000-05 and 2005-09 &lt;0.01). Oral corticosteroid prescription and referral rates remained low. Despite strong guideline recommendations to restrict the use of antibiotics and INCS, we found only a modest decrease in antibiotic prescription rates, whereas INCS prescription rates even increased.</t>
  </si>
  <si>
    <t>Variability in the intima-media thickness measurement as marker for cardiovascular risk? Not quite settled yet.</t>
  </si>
  <si>
    <t>Bots, Michiel L; den Ruijter, Hester M</t>
  </si>
  <si>
    <t>cardiovascular diagnosis and therapy</t>
  </si>
  <si>
    <t>https://pubmed.ncbi.nlm.nih.gov/24282690</t>
  </si>
  <si>
    <t>Search filters for finding prognostic and diagnostic prediction studies in Medline to enhance systematic reviews.</t>
  </si>
  <si>
    <t>Geersing, Geert-Jan; Bouwmeester, Walter; Zuithoff, Peter; Spijker, Rene; Leeflang, Mariska; Moons, Karel G M</t>
  </si>
  <si>
    <t>https://pubmed.ncbi.nlm.nih.gov/22393453</t>
  </si>
  <si>
    <t>The interest in prognostic reviews is increasing, but to properly review existing evidence an accurate search filer for finding prediction research is needed. The aim of this paper was to validate and update two previously introduced search filters for finding prediction research in Medline: the Ingui filter and the Haynes Broad filter. Based on a hand search of 6 general journals in 2008 we constructed two sets of papers. Set 1 consisted of prediction research papers (n = 71), and set 2 consisted of the remaining papers (n = 1133). Both search filters were validated in two ways, using diagnostic accuracy measures as performance measures. First, we compared studies in set 1 (reference) with studies retrieved by the search strategies as applied in Medline. Second, we compared studies from 4 published systematic reviews (reference) with studies retrieved by the search filter as applied in Medline. Next--using word frequency methods--we constructed an additional search string for finding prediction research. Both search filters were good in identifying clinical prediction models: sensitivity ranged from 0.94 to 1.0 using our hand search as reference, and 0.78 to 0.89 using the systematic reviews as reference. This latter performance measure even increased to around 0.95 (range 0.90 to 0.97) when either search filter was combined with the additional string that we developed. Retrieval rate of explorative prediction research was poor, both using our hand search or our systematic review as reference, and even combined with our additional search string: sensitivity ranged from 0.44 to 0.85. Explorative prediction research is difficult to find in Medline, using any of the currently available search filters. Yet, application of either the Ingui filter or the Haynes broad filter results in a very low number missed clinical prediction model studies.</t>
  </si>
  <si>
    <t>Communicating uncertainty in economic evaluations: verifying optimal strategies.</t>
  </si>
  <si>
    <t>Koffijberg, H; de Wit, G A; Feenstra, T L</t>
  </si>
  <si>
    <t>https://pubmed.ncbi.nlm.nih.gov/22374111</t>
  </si>
  <si>
    <t>In cost-effectiveness analysis (CEA), it is common to compare a single, new intervention with 1 or more existing interventions representing current practice ignoring other, unrelated interventions. Sectoral CEAs, in contrast, take a perspective in which the costs and effectiveness of all possible interventions within a certain disease area or health care sector are compared to maximize health in a society given resource constraints. Stochastic league tables (SLT) have been developed to represent uncertainty in sectoral CEAs but have 2 shortcomings: 1) the probabilities reflect inclusion of individual interventions and not strategies and 2) data on robustness are lacking. The authors developed an extension of SLT that addresses these shortcomings. Analogous to nonprobabilistic MAXIMIN decision rules, the uncertainty of the performance of strategies in sectoral CEAs may be judged with respect to worst possible outcomes, in terms of health effects obtainable within a given budget. Therefore, the authors assessed robustness of strategies likely to be optimal by performing optimization separately on all samples and on samples yielding worse than expected health benefits. The approach was tested on 2 examples, 1 with independent and 1 with correlated cost and effect data. The method was applicable to the original SLT example and to a new example and provided clear and easily interpretable results. Identification of interventions with robust performance as well as the best performing strategies was straightforward. Furthermore, the robustness of strategies was assessed with a MAXIMIN decision rule. The SLT extension improves the comprehensibility and extends the usefulness of outcomes of SLT for decision makers. Its use is recommended whenever an SLT approach is considered.</t>
  </si>
  <si>
    <t>Missing covariate data in clinical research: when and when not to use the missing-indicator method for analysis.</t>
  </si>
  <si>
    <t>Groenwold, Rolf H H; White, Ian R; Donders, A Rogier T; Carpenter, James R; Altman, Douglas G; Moons, Karel G M</t>
  </si>
  <si>
    <t>https://pubmed.ncbi.nlm.nih.gov/22371511</t>
  </si>
  <si>
    <t>Self-rated health status as a risk factor for future vascular events and mortality in patients with symptomatic and asymptomatic atherosclerotic disease: the SMART study.</t>
  </si>
  <si>
    <t>Grool, A M; van der Graaf, Y; Visseren, F L J; de Borst, G J; Algra, A; Geerlings, M I; ,</t>
  </si>
  <si>
    <t>https://pubmed.ncbi.nlm.nih.gov/22257088</t>
  </si>
  <si>
    <t>Lower self-rated health status has been associated with worse prognosis in patients with coronary artery disease (CAD). We investigated the influence of self-rated physical and mental health status on the risk of future vascular events and mortality for various locations of symptomatic atherosclerotic disease and asymptomatic disease. Patients with CAD (n = 2547), cerebrovascular disease (n = 1061), peripheral arterial disease (PAD; n = 648), abdominal aortic aneurysm (AAA; n = 272) and asymptomatic atherosclerotic disease (n = 1933) were followed for a median of 4 years for the occurrence of a new vascular event or death. Self-rated health status was assessed with the Short Form-36 physical and mental component summary scales. Cox regression models were used to estimate associations between health status and vascular events and death, adjusted for age, sex, vascular risk factors and intima-media thickness. In the total population, lower self-rated physical health status (per 10-point decrease) increased the risk of vascular events [hazard ratio (HR) = 1.37, 95% confidence interval (CI) 1.24-1.52], and all-cause (HR = 1.45, 95% CI 1.29-1.63) and vascular mortality (HR = 1.40, 95% CI 1.20-1.64). A 10-point decrease in mental health status was associated with a modest increase in the risk of vascular events (HR = 1.19, 95% CI 1.08-1.32), and all-cause (HR = 1.19, 95% CI 1.05-1.34) and vascular mortality (HR = 1.28, 95% CI 1.09-1.49). Risk estimates of physical and mental health status were highest in patients with asymptomatic atherosclerotic disease and lowest in those with PAD. Poorer self-rated physical and mental health status increases the risk of vascular events and mortality in a broad population of patients with symptomatic and asymptomatic atherosclerotic disease.</t>
  </si>
  <si>
    <t>"GOLD or lower limit of normal definition? A comparison with expert-based diagnosis of chronic obstructive pulmonary disease in a prospective cohort-study".</t>
  </si>
  <si>
    <t>Güder, Gülmisal; Brenner, Susanne; Angermann, Christiane E; Ertl, Georg; Held, Matthias; Sachs, Alfred P; Lammers, Jan-Willem; Zanen, Pieter; Hoes, Arno W; Störk, Stefan; Rutten, Frans H</t>
  </si>
  <si>
    <t>respiratory research</t>
  </si>
  <si>
    <t>https://pubmed.ncbi.nlm.nih.gov/22309369</t>
  </si>
  <si>
    <t>The Global initiative for chronic Obstructive Lung Disease (GOLD) defines COPD as a fixed post-bronchodilator ratio of forced expiratory volume in 1 second and forced vital capacity (FEV1/FVC) below 0.7. Age-dependent cut-off values below the lower fifth percentile (LLN) of this ratio derived from the general population have been proposed as an alternative. We wanted to assess the diagnostic accuracy and prognostic capability of the GOLD and LLN definition when compared to an expert-based diagnosis. In a prospective cohort study, 405 patients aged ≥ 65 years with a general practitioner's diagnosis of COPD were recruited and followed up for 4.5 (median; quartiles 3.9; 5.1) years. Prevalence rates of COPD according to GOLD and three LLN definitions and diagnostic performance measurements were calculated. The reference standard was the diagnosis of COPD of an expert panel that used all available diagnostic information, including spirometry and bodyplethysmography. Compared to the expert panel diagnosis, 'GOLD-COPD' misclassified 69 (28%) patients, and the three LLNs misclassified 114 (46%), 96 (39%), and 98 (40%) patients, respectively. The GOLD classification led to more false positives, the LLNs to more false negative diagnoses. The main predictors beyond the FEV1/FVC ratio for an expert diagnosis of COPD were the FEV1 % predicted, and the residual volume/total lung capacity ratio (RV/TLC). Adding FEV1 and RV/TLC to GOLD or LLN improved the diagnostic accuracy, resulting in a significant reduction of up to 50% of the number of misdiagnoses. The expert diagnosis of COPD better predicts exacerbations, hospitalizations and mortality than GOLD or LLN. GOLD criteria over-diagnose COPD, while LLN definitions under-diagnose COPD in elderly patients as compared to an expert panel diagnosis. Incorporating FEV1 and RV/TLC into the GOLD-COPD or LLN-based definition brings both definitions closer to expert panel diagnosis of COPD, and to daily clinical practice.</t>
  </si>
  <si>
    <t>Risk of elevated resting heart rate on the development of type 2 diabetes in patients with clinically manifest vascular diseases.</t>
  </si>
  <si>
    <t>Bemelmans, Remy H H; Wassink, Annemarie M J; van der Graaf, Yolanda; Nathoe, Hendrik M; Vernooij, Joris W P; Spiering, Wilko; Visseren, Frank L J; ,</t>
  </si>
  <si>
    <t>european journal of endocrinology</t>
  </si>
  <si>
    <t>https://pubmed.ncbi.nlm.nih.gov/22285702</t>
  </si>
  <si>
    <t>Sympathetic nerve activation is causally related to insulin resistance as both a cause and a consequence. Resting heart rate (RHR) reflects sympathetic nerve activity. We investigated the effect of RHR on the incidence of type 2 diabetes mellitus (T2DM) in patients with clinically manifest vascular diseases. Data were used from the second manifestations of arterial disease (SMART) study: a prospective cohort study of patients with clinically manifest vascular diseases (n=3646). RHR was obtained using an electrocardiogram. Patients were followed up for incident type 2 diabetes (n=289) during a median period of 5.5 (interquartile range 3.2-8.4) years. The relation between RHR and incident T2DM was estimated by Cox proportional hazard analysis. As age was an effect modifier (P=0.048), analyses were stratified for age. Patients in quartile 4 (Q4) of RHR had a 65% increased risk of T2DM compared with those in Q1 (reference; hazard ratios (HR), 1.65; 95% confidence interval (95% CI), 1.15-2.36) adjusted for age, gender, smoking, estimated glomerular filtration rate, systolic blood pressure, location of vascular disease, and antihypertensive medication. Every 10 beats per minute (bpm) increase in RHR increased the risk for T2DM with 10% (HR, 1.10; 95% CI, 1.00-1.21) in the total population. This risk was particularly high in subjects aged 55-63 years (per 10 bpm: HR, 1.22; 95% CI, 1.04-1.43) and was independent of the location of vascular disease and beta-blocker use. Increased RHR, an indicator of sympathetic nerve activity, is associated with an increased risk for T2DM in patients with manifest vascular diseases, particularly in middle-aged patients.</t>
  </si>
  <si>
    <t>Increased age, high body mass index and low HDL-C levels are related to an echolucent carotid intima-media: the METEOR study.</t>
  </si>
  <si>
    <t>Peters, S A E; Lind, L; Palmer, M K; Grobbee, D E; Crouse, J R; O'Leary, D H; Evans, G W; Raichlen, J; Bots, M L; den Ruijter, H M; ,</t>
  </si>
  <si>
    <t>https://pubmed.ncbi.nlm.nih.gov/22172243</t>
  </si>
  <si>
    <t>Echolucent plaques are related to a higher cardiovascular risk. Studies to investigate the relationship between echolucency and cardiovascular risk in the early stages of atherosclerosis are limited. We studied the relationship between cardiovascular risk factors and echolucency of the carotid intima-media in low-risk individuals. Data were analysed from the Measuring Effects on Intima-Media Thickness: an Evaluation of Rosuvastatin (METEOR) study, a randomized placebo-controlled trial including 984 individuals which showed that rosuvastatin attenuated the rate of change of carotid intima-media thickness (CIMT). In this post hoc analysis, duplicate baseline ultrasound images from the far wall of the left and right common carotid arteries were used for the evaluation of the echolucency of the carotid intima-media, measured by grey-scale median (GSM) on a scale of 0-256. Low GSM values reflect echolucent, whereas high values reflect echogenic structures. The relationship between baseline GSM and cardiovascular risk factors was evaluated using linear regression models. Mean baseline GSM (± SD) was 84 ± 29. Lower GSM of the carotid intima-media was associated with older age, high body mass index (BMI) and low levels of high-density lipoprotein cholesterol (HDL-C) [beta -4.49, 95% confidence interval (CI) -6.50 to -2.49; beta -4.51, 95% CI -6.43 to -2.60; beta 2.45, 95% CI 0.47 to 4.42, respectively]. Common CIMT was inversely related to GSM of the carotid intima-media (beta -3.94, 95% CI -1.98 to -5.89). Older age, high BMI and low levels of HDL-C are related to echolucency of the carotid intima-media. Hence, echolucency of the carotid intima-media may be used as a marker of cardiovascular risk profile to provide more information than thickness alone.</t>
  </si>
  <si>
    <t>Testosterone, SHBG and differential white blood cell count in middle-aged and older men.</t>
  </si>
  <si>
    <t>Brand, Judith S; van der Schouw, Yvonne T; Dowsett, Mitch; Folkerd, Elizabeth; Luben, Robert N; Wareham, Nicholas J; Khaw, Kay-Tee</t>
  </si>
  <si>
    <t>https://pubmed.ncbi.nlm.nih.gov/22221653</t>
  </si>
  <si>
    <t>Low-grade chronic inflammation is increasingly being implicated in cardiovascular disease (CVD) etiology and may represent an alternative pathway through which testosterone and sex hormone-binding globulin (SHBG) influence CVD risk. We examined the associations between endogenous testosterone, SHBG and total and differential white blood cell (WBC) counts in men. Cross-sectional study of 2418 men aged 40-78 years from the Norfolk population of European Prospective Investigation into Cancer (EPIC-Norfolk) who had no history of CVD or cancer and complete data on sex hormones (total testosterone (TT), SHBG and free testosterone (FT)) and WBC counts. Associations between sex hormones and WBC counts were assessed using linear regression models. Higher SHBG and TT levels were associated with lower WBC counts. After adjustment for age, BMI, smoking, physical activity and diabetes status, total WBC count decreased by 0.163 (95% CI -0.236; -0.091) and 0.102 (-0.170; -0.034) per standard deviation (SD) increase in SHBG and TT respectively. Associations of SHBG and TT with total WBC count were mainly accounted for by a lower granulocyte count (β coefficient=-0.132 (-0.194; -0.070) per SD increase in SHBG and β coefficient=-0.104 (-0.161; -0.046) per SD increase in TT). No associations between FT and total and differential WBC counts were found. Endogenous TT and SHBG levels are inversely associated with total WBC and granulocyte count in middle-aged and older men. Even though the underlying mechanism and causal directionality requires further exploration, these results support a link between hormonal status and low-grade inflammation.</t>
  </si>
  <si>
    <t>Development and validation of clinical prediction models: marginal differences between logistic regression, penalized maximum likelihood estimation, and genetic programming.</t>
  </si>
  <si>
    <t>Janssen, Kristel J M; Siccama, Ivar; Vergouwe, Yvonne; Koffijberg, Hendrik; Debray, T P A; Keijzer, Maarten; Grobbee, Diederick E; Moons, Karel G M</t>
  </si>
  <si>
    <t>https://pubmed.ncbi.nlm.nih.gov/22214734</t>
  </si>
  <si>
    <t>Many prediction models are developed by multivariable logistic regression. However, there are several alternative methods to develop prediction models. We compared the accuracy of a model that predicts the presence of deep venous thrombosis (DVT) when developed by four different methods. We used the data of 2,086 primary care patients suspected of DVT, which included 21 candidate predictors. The cohort was split into a derivation set (1,668 patients, 329 with DVT) and a validation set (418 patients, 86 with DVT). Also, 100 cross-validations were conducted in the full cohort. The models were developed by logistic regression, logistic regression with shrinkage by bootstrapping techniques, logistic regression with shrinkage by penalized maximum likelihood estimation, and genetic programming. The accuracy of the models was tested by assessing discrimination and calibration. There were only marginal differences in the discrimination and calibration of the models in the validation set and cross-validations. The accuracy measures of the models developed by the four different methods were only slightly different, and the 95% confidence intervals were mostly overlapped. We have shown that models with good predictive accuracy are most likely developed by sensible modeling strategies rather than by complex development methods.</t>
  </si>
  <si>
    <t>Angiotensin-converting enzyme and progression of white matter lesions and brain atrophy--the SMART-MR study.</t>
  </si>
  <si>
    <t>Jochemsen, Hadassa M; Geerlings, Mirjam I; Grool, Anne M; Vincken, Koen L; Mali, Willem Ptm; van der Graaf, Yolanda; Muller, Majon</t>
  </si>
  <si>
    <t>https://pubmed.ncbi.nlm.nih.gov/22214784</t>
  </si>
  <si>
    <t>High levels of angiotensin-converting-enzyme (ACE) may increase the risk of dementia through blood pressure elevation and subsequent development of cerebral small-vessel disease. However, high ACE levels may also decrease this risk through amyloid degradation which prevents brain atrophy. Within the SMART-MR study, a prospective cohort study among patients with symptomatic atherosclerotic disease, serum ACE levels were measured at baseline and a 1.5 Tesla brain MRI was performed at baseline and after on average (range) 3.9 (3.0-5.8) years of follow-up in 682 persons (mean age 58 ± 10 years). Brain segmentation was used to quantify total, deep, and periventricular white matter lesion (WML) volume, and total brain, cortical gray matter and ventricular volume (%ICV). Lacunar infarcts were rated visually. Regression analyses were used to examine the prospective associations between serum ACE and brain measures. Patients with the highest serum ACE levels (&gt;43.3 U/L) had borderline significantly more progression of deep WML volumes than patients with the lowest ACE levels (&lt;21.8 U/L); mean difference (95% CI) in change was 0.20 (-0.02; 0.43) %ICV. On the contrary, patients with the highest serum ACE levels had significantly less progression of cortical brain atrophy than patients with the lowest ACE levels; mean difference (95% CI) in change was 0.78 (0.21; 1.36) %ICV. Serum ACE was not associated with subcortical atrophy, periventricular WML, or lacunar infarcts. Our results show that higher ACE activity is associated with somewhat more progression of deep WML volume, but with less progression of cortical brain atrophy. This suggests both detrimental and beneficial effects of high ACE levels on the brain.</t>
  </si>
  <si>
    <t>Depressive symptoms, antidepressant use, and brain volumes on MRI in a population-based cohort of old persons without dementia.</t>
  </si>
  <si>
    <t>Geerlings, Mirjam I; Brickman, Adam M; Schupf, Nicole; Devanand, Davangere P; Luchsinger, José A; Mayeux, Richard; Small, Scott A</t>
  </si>
  <si>
    <t>https://pubmed.ncbi.nlm.nih.gov/22377782</t>
  </si>
  <si>
    <t>We examined whether late-life depression, including depressive symptoms and antidepressant use, was associated with smaller total brain volume, smaller hippocampal volume, and larger white matter hyperintensity (WMH) volume in a large community-based cohort of old persons without dementia. Within the Washington/Hamilton Height-Inwood Columbia Aging Project (WHICAP), a community-based cohort study in northern Manhattan, 630 persons without dementia (mean age 80 years, SD = 5) had volumetric measures of the total brain, hippocampus, and WMH at 1.5 Tesla MRI and data on current depression, defined as a score of 4 or higher on the 10-item Center for Epidemiologic Studies-Depression (CES-D) scale, or use of antidepressants. Multiple linear regression analyses adjusted for age, gender, ethnicity, education, cardiovascular disease history, and MRI parameters showed that subjects with current depression had smaller relative total brain volume (B = -0.86%; 95% CI -1.68 to -0.05%; p &lt; 0.05), smaller relative hippocampal volume (B = -0.07 ml; 95% CI -0.14 to 0.00 ml; p = 0.05), and larger relative WMH volume (natural logtransformed B = 0.19 ml; 95% CI 0.02 to 0.35 ml; p &lt; 0.05). When examined separately, antidepressant use was significantly associated with smaller total brain, smaller hippocampal, and larger WMH volume, while high CES-D scores were not significantly associated with any of the brain measures, although the direction of association was similar as for antidepressant use. With the caveat that analyses were cross-sectional and we had no formal diagnosis of depression, our findings suggest that in this community-based sample of old persons without dementia, late-life depression is associated with more brain atrophy and more white matter lesions, which was mainly driven by antidepressant use.</t>
  </si>
  <si>
    <t>Search for breast cancer biomarkers in fractionated serum samples by protein profiling with SELDI-TOF MS.</t>
  </si>
  <si>
    <t>Opstal-van Winden, Annemieke W J; Beijnen, Jos H; Loof, Arnoud; van Heerde, Waander L; Vermeulen, Roel; Peeters, Petra H M; van Gils, Carla H</t>
  </si>
  <si>
    <t>journal of clinical laboratory analysis</t>
  </si>
  <si>
    <t>https://pubmed.ncbi.nlm.nih.gov/24833528</t>
  </si>
  <si>
    <t>Many high-abundant acute phase reactants have been previously detected as potential breast cancer biomar-kers. However, they are unlikely to be specific for breast cancer. Cancer-specific biomarkers are thought to be among the lower abundant proteins. We aimed to detect lower abundant discriminating proteins by performing serum fractionation by strong anion exchange chromatography preceding protein profiling with SELDI-TOF MS. In a pilot study, we tested the different fractions resulting from fractionation, on several array types. Fraction 3 on IMAC30 and Fraction 6 on Q10 yielded the most discriminative proteins and were used for serum protein profiling of 73 incident breast cancer cases and 73 matched controls. Eight peaks showed statistically significantly different intensities between cases and controls (P⧁0.05), and had less than 10% chance to be a false-positive finding. Seven of these were tentatively identified as apolipoprotein C-II (m/z 8,909), oxidized apolipoprotein C-II (m/z 8,925), apolipoprotein C-III (m/z 8,746), fragment of coagulation factor XIIIa (m/z 3,959), heterodimer of apolipoprotein A-I and apolipoprotein A-II (m/z 45,435), hemoglobin B-chain (m/z 15,915), and post-translational modified hemoglobin (m/z 15,346). By extensive serum fractionation, we detected many more proteins than in previous studies without fractionation. However, discriminating proteins were still high abundant. Results indicate that either lower abundant proteins are less distinctive, or more rigorous fractionation and selective protein depletion, or a more sensitive assay, are needed to detect lower abundant discriminative proteins.</t>
  </si>
  <si>
    <t>[The Dutch Cancer Society Cancer Risk Test].</t>
  </si>
  <si>
    <t>Elias, Sjoerd G; Grooters, Hilda G; Bausch-Goldbohm, R A Sandra; van den Brandt, Piet A; Kampman, Ellen; van Leeuwen, Flora E; Peeters, Petra H M; de Vries, Esther; Wigger, Stefan; Kiemeney, L A L M Bart</t>
  </si>
  <si>
    <t>https://pubmed.ncbi.nlm.nih.gov/22617076</t>
  </si>
  <si>
    <t>The Dutch Cancer Society developed the 'KWF Kanker Risico Test' (Cancer Risk Test) to improve the information available to the Dutch population regarding cancer risk factors. This Internet test, based under licence on the American 'Your Disease Risk' test, informs users about risk factors for 12 common types of cancer. The test provides an estimate of individual risk of a specific type of cancer and gives specific lifestyle advice that could lower that risk. This paper describes the development of the test, how it works, and its strengths and limitations.</t>
  </si>
  <si>
    <t>Diagnostic management of chronic obstructive pulmonary disease.</t>
  </si>
  <si>
    <t>Broekhuizen, B D L; Sachs, A P E; Hoes, A W; Verheij, T J M; Moons, K G M</t>
  </si>
  <si>
    <t>https://pubmed.ncbi.nlm.nih.gov/22271808</t>
  </si>
  <si>
    <t>Detection of early chronic obstructive pulmonary disease (COPD) in patients presenting with respiratory symptoms is recommended; however, diagnosing COPD is difficult because a single gold standard is not available. The aim of this article is to review and interpret the existing evidence, theories and consensus on the individual parts of the diagnostic work-up for COPD. Relevant articles are discussed under the subheadings: history taking, physical examination, spirometry and additional lung function assessment. Wheezing, cough, phlegm and breathlessness on exertion are suggestive signs for COPD. The diagnostic value of the physical examination is limited, except for auscultated pulmonary wheezing or reduced breath sounds, increasing the probability of COPD. Spirometric airflow obstruction after bronchodilation, defined as a lowered ratio of the forced volume in one second to the forced vital capacity (FEV1/FVC ratio), is a prerequisite, but can only confirm COPD in combination with suggestive symptoms. Different thresholds are being recommended to define low FEV1/FVC, including a fixed threshold, and one varying with gender and age; however, the way physicians interpret these thresholds in their assessment is not well known. Body plethysmography allows a more complete assessment of pulmonary function, providing results on the total lung capacity and the residual volume and is indicated when conventional spirometry results are inconclusive. Chest radiography has no diagnostic value for COPD but is useful to exclude alternative diagnoses such as heart failure or lung cancer. Extensive history taking is of key importance in diagnosing COPD.</t>
  </si>
  <si>
    <t>[Tailored breast cancer screening with ultrasound and MRI?].</t>
  </si>
  <si>
    <t>van Gils, Carla H; Veldhuis, Wouter B; Peeters, Petra H M</t>
  </si>
  <si>
    <t>https://pubmed.ncbi.nlm.nih.gov/22971434</t>
  </si>
  <si>
    <t>The ACRIN 6666 trial has shown that the addition of ultrasound or MRI to mammography screening detects more breast cancers in women with dense breasts and at least one other breast cancer risk factor. This higher detection yield is accompanied by an increase in false-positive findings. Unfortunately, this study was not randomized into groups with and without the addition of ultrasound and MRI. It is therefore impossible to investigate if the improved detection rate also results in a smaller number of interval tumours which would be the best indication of the ultimate goal - a decrease in breast cancer mortality. Before any new and costly imaging is added to the breast cancer screening program, it is necessary to investigate if this will not merely increase the detection of indolent tumours. If additional imaging is implemented too hastily it will be hard to turn it back, and impossible to assess it in a randomized study.</t>
  </si>
  <si>
    <t>[Heart failure with preserved ejection fraction: Diastolic heart failure].</t>
  </si>
  <si>
    <t>Rutten, Frans H; Cramer, Maarten-Jan M; Paulus, Walter J</t>
  </si>
  <si>
    <t>https://pubmed.ncbi.nlm.nih.gov/23134752</t>
  </si>
  <si>
    <t>Heart failure with preserved ejection fraction (HF-PEF) is part of the 'heart-failure spectrum', but differs pathophysiologically from heart failure with reduced ejection fraction (HF-REF). Metabolic abnormalities in HF-PEF cause intrinsic stiffness of the cardiac myocyte and alternation of the collagen turn-over in the extracellular matrix of the heart. HF-PEF is most often present in elderly women with a history of hypertension, diabetes mellitus or metabolic syndrome, and obesity. Signs of fluid retention are often not present on physical examination in patients with HF-PEF. The most notable echocardiographic abnormalities seen in HF-PEF are an enlarged left atrium with hypertrophy, reduced left ventricular relaxation and elevated filling pressures. Co-morbidly and advanced age are largely determinant for mortality, which in HF-PEF is somewhat lower than in HF-REF. Evidence-based drug therapy for HF-PEF is currently lacking; ongoing studies are evaluating medications other than the well-established drugs used to treat HF-REF.</t>
  </si>
  <si>
    <t>[Summary of the Dutch College of General Practitioners (NHG) practice guideline on 'Diverticulitis'].</t>
  </si>
  <si>
    <t>de Wit, Niek J; Berger, Marjolein Y; Vogelenzang, Rogier; Wetzels, Raymond V; van Rijn-van Kortenhof, Nathalie M M; Opstelten, Wim; Goudswaard, A N Lex</t>
  </si>
  <si>
    <t>https://pubmed.ncbi.nlm.nih.gov/22296900</t>
  </si>
  <si>
    <t>The NHG practice guideline on 'Diverticulitis' provides general practitioners with directions on the diagnosis and treatment of uncomplicated and complicated diverticulitis. Diverticulitis is primarily a clinical diagnosis which can be supported by assessment of CRP. Uncomplicated diverticulitis is strongly suspected if the patient reports the development of persistent sharp, stabbing pain in the lower left abdomen within a couple of days; if there is pressure or rebound tenderness only in the lower left abdomen; and if there are no alarm signals. Alarm signals of complicated diverticulitis are: guarded muscle response, signs of intestinal obstruction, locally palpable resistance, rectal loss of blood, hypotension, and high fever. The policy for uncomplicated diverticulitis is waiting without specific measures, provided that the general practitioner monitors the course actively. There is no indication for antibiotics in patients with uncomplicated diverticulitis. Patients with signs of complicated diverticulitis or with persisting symptoms should be referred.</t>
  </si>
  <si>
    <t>[Experimental treatment versus scientific research: data collection is not fundamentally different].</t>
  </si>
  <si>
    <t>van Delden, J J M Hans</t>
  </si>
  <si>
    <t>https://pubmed.ncbi.nlm.nih.gov/23031245</t>
  </si>
  <si>
    <t>The authors of a recent article in the Nederlands Tijdschrift voor Geneeskunde (Dutch Journal of Medicine) suggest that experimental treatment should only be performed if the effects and side effects are monitored and described systematically, and a report is published. I believe this may intuitively be the right thing to do, but that there are nevertheless many problems. It would become impossible to differentiate experimental treatment from scientific research, resulting in problems concerning the informed consent of the patient, for example. Their approach would imply that more assessments are necessary for studying the effects of an experimental treatment than there would be in a standard treatment context. These measurements can only be performed with the informed consent of the patient. But if the patient refuses to consent, he or she will not receive the experimental treatment. This situation seriously compromises the voluntary status of informed consent. Therefore, more discussion is needed before this proposal is adopted.</t>
  </si>
  <si>
    <t>[Research in palliative care; is something better than nothing?].</t>
  </si>
  <si>
    <t>https://pubmed.ncbi.nlm.nih.gov/22357311</t>
  </si>
  <si>
    <t>How strictly should we apply the rules of good clinical research, when the research in question is performed with terminally ill patients? Recently, a retrospective study into the effectiveness of radiotherapy for sialorrhoea in patients with a degenerative disease, such as amyotrophic lateral sclerosis, was published in the Nederlands Tijdschrift voor Geneeskunde(Dutch Journal of Medicine). This commentary defends the position that in palliative care sometimes having weak scientific evidence is better than having nothing. Here, the need of the patient and the intention of the physician are 2 ethically relevant issues that need to be taken into account. If there is at least some evidence to believe an intervention is beneficial for the patient, this is a strong reason to provide it. And if such intervention can only be studied in a methodologically suboptimal way, then it is better to have that information, albeit not perfect, than none at all. This is not a justification of weak studies as such. If possible, palliative care should be as evidence-based as all other types of medical care. However, when the circumstances make methodologically perfect research impossible, it is better to act on weak evidence than on none at all.</t>
  </si>
  <si>
    <t>[Removal from the Dutch healthcare professionals register: considerations taken into account by the disciplinary tribunal from 2006 to 2011].</t>
  </si>
  <si>
    <t>Oomen, Robert J A; Biesaart, Monique C I H</t>
  </si>
  <si>
    <t>https://pubmed.ncbi.nlm.nih.gov/23218032</t>
  </si>
  <si>
    <t>Investigation into the considerations taken into account by the central and regional disciplinary tribunals for the health service (CTG and RTG) in cases where a doctor was permanently removed from the national professional register. Retrospective study of jurisprudence and literature. A search was carried out for jurisprudential cases in which doctors were removed from the professional register during the period January 2006-December 2011, using the following sources: the websites of the disciplinary tribunals, the Dutch Government Gazette (Staatscourant) and two journals concerned with healthcare law. The verdicts were analysed, general statistical records were kept and categories for the consideration were set up on the basis of short, characteristic quotations from the verdicts. These verdicts were subsequently re-examined and divided into these categories. A total of 34 verdicts concerning 13 different physicians were found in the study period. There were 17 verdicts from the RTGs and 16 verdicts from the CTG. One verdict was pronounced by the Medical Supervisory Board (CMT). In 12 cases the final verdict was permanent removal from the professional register. In one case the CTG imposed a lower sanction than that earlier imposed by the RTG. The most common considerations taken into account by removal from the professional register were the combination of medical-technical errors, incomplete and/or inaccurate maintenance of patient records and the doctor's attitude towards his or her own actions. Removal from the professional register is rarely imposed. In most cases, an accumulation of obvious errors is involved. Improper sexual behaviour is also punished severely. Acting in accordance with professional medical standards, adequate medical record-keeping and self-reflection are important factors in the prevention of this sanction.</t>
  </si>
  <si>
    <t>Parental smoking and vascular damage in their 5-year-old children.</t>
  </si>
  <si>
    <t>Geerts, Caroline C; Bots, Michiel L; van der Ent, Cornelis K; Grobbee, Diederick E; Uiterwaal, Cuno S P M</t>
  </si>
  <si>
    <t>https://pubmed.ncbi.nlm.nih.gov/22201150</t>
  </si>
  <si>
    <t>The relation between smoke exposure in early life, the prenatal period in particular, and the vascular development of young children is largely unknown. Data from the birth cohort participating in the WHISTLER-Cardio study were used to relate the smoking of parents during pregnancy to subsequent vascular properties in their children. In 259 participating children who turned 5 years of age, parental smoking data were updated and children's carotid artery intima-media thickness (CIMT) and arterial wall distensibility were measured by using ultrasonography. Children of mothers who had smoked throughout pregnancy had 18.8 μm thicker CIMT (95% confidence interval [CI] 1.1, 36.5, P = .04) and 15% lower distensibility (95% CI -0.3, -0.02, P = .02) after adjustment for child's age, maternal age, gender, and breastfeeding. The associations were not found in children of mothers who had not smoked in pregnancy but had smoked thereafter. The associations were strongest if both parents had smoked during pregnancy, with 27.7 μm thicker CIMT (95% CI 0.2, 55.3) and 21% lower distensibility (95% CI -0.4, -0.03). Exposure of children to parental tobacco smoke during pregnancy affects their arterial structure and function in early life.</t>
  </si>
  <si>
    <t>Dealing with missing outcome data in randomized trials and observational studies.</t>
  </si>
  <si>
    <t>Groenwold, Rolf H H; Donders, A Rogier T; Roes, Kit C B; Harrell, Frank E; Moons, Karel G M</t>
  </si>
  <si>
    <t>https://pubmed.ncbi.nlm.nih.gov/22262640</t>
  </si>
  <si>
    <t>Although missing outcome data are an important problem in randomized trials and observational studies, methods to address this issue can be difficult to apply. Using simulated data, the authors compared 3 methods to handle missing outcome data: 1) complete case analysis; 2) single imputation; and 3) multiple imputation (all 3 with and without covariate adjustment). Simulated scenarios focused on continuous or dichotomous missing outcome data from randomized trials or observational studies. When outcomes were missing at random, single and multiple imputations yielded unbiased estimates after covariate adjustment. Estimates obtained by complete case analysis with covariate adjustment were unbiased as well, with coverage close to 95%. When outcome data were missing not at random, all methods gave biased estimates, but handling missing outcome data by means of 1 of the 3 methods reduced bias compared with a complete case analysis without covariate adjustment. Complete case analysis with covariate adjustment and multiple imputation yield similar estimates in the event of missing outcome data, as long as the same predictors of missingness are included. Hence, complete case analysis with covariate adjustment can and should be used as the analysis of choice more often. Multiple imputation, in addition, can accommodate the missing-not-at-random scenario more flexibly, making it especially suited for sensitivity analyses.</t>
  </si>
  <si>
    <t>Prediction models for the risk of cardiovascular disease in patients with type 2 diabetes: a systematic review.</t>
  </si>
  <si>
    <t>van Dieren, S; Beulens, J W J; Kengne, A P; Peelen, L M; Rutten, G E H M; Woodward, M; van der Schouw, Y T; Moons, K G M</t>
  </si>
  <si>
    <t>https://pubmed.ncbi.nlm.nih.gov/22184101</t>
  </si>
  <si>
    <t>A recent overview of all CVD models applicable to diabetes patients is not available. To review the primary prevention studies that focused on the development, validation and impact assessment of a cardiovascular risk model, scores or rules that can be applied to patients with type 2 diabetes. Systematic review. Medline was searched from 1966 to 1 April 2011. A study was eligible when it described the development, validation or impact assessment of a model that was constructed to predict the occurrence of cardiovascular disease in people with type 2 diabetes, or when the model was designed for use in the general population but included diabetes as a predictor. A standardized form was sued to extract all data of the CVD models. 45 prediction models were identified, of which 12 were specifically developed for patients with type 2 diabetes. Only 31% of the risk scores has been externally validated in a diabetes population, with an area under the curve ranging from 0.61 to 0.86 and 0.59 to 0.80 for models developed in a diabetes population and in the general population, respectively. Only one risk score has been studied for its effect on patient management and outcomes. 10% of the risk scores are advocated in national diabetes guidelines. Many cardiovascular risk scores are available that can be applied to patients with type 2 diabetes. A minority of these risk scores has been validated and tested for its predictive accuracy, with only a few showing a discriminative value of ≥0.80. The impact of applying these risk scores in clinical practice is almost completely unknown, but their use is recommended in various national guidelines.</t>
  </si>
  <si>
    <t>Early diagnostic protein biomarkers for breast cancer: how far have we come?</t>
  </si>
  <si>
    <t>Opstal-van Winden, Annemieke W J; Vermeulen, Roel C H; Peeters, Petra H M; Beijnen, Jos H; van Gils, Carla H</t>
  </si>
  <si>
    <t>https://pubmed.ncbi.nlm.nih.gov/22179926</t>
  </si>
  <si>
    <t>Many studies have used surface-enhanced laser desorption/ionization time-of-flight mass spectrometry or matrix-assisted laser desorption/ionization time-of-flight mass spectrometry to search for blood-based proteins that are related to the presence of breast cancer. We review the biomarkers discovered or targeted measured by these methods and discuss the strengths and weaknesses of these studies. We highlight two proteins that were most often related to breast cancer: C3a des-arginine anaphylatoxin (C3adesArg) (molecular weight: 8,938 Da) and fragments of inter-alpha trypsin inhibitor heavy chain H4 (ITIH4). In addition, we elaborate on three important methodological aspects related to these studies: protein identification, specificity of the markers, and disease heterogeneity. Finally, we propose some points to be addressed in future studies. These include the use of other analytical measurement techniques, need of protein identification, the importance of identical sample handling protocols for cases and controls, and the stratification of the results according to molecular subtypes and stages of breast cancer. Ultimately this may lead to the discovery of new and valid breast cancer specific biomarkers.</t>
  </si>
  <si>
    <t>How to deal with measures of association: a short guide for the clinician.</t>
  </si>
  <si>
    <t>Knol, M J; Algra, A; Groenwold, R H H</t>
  </si>
  <si>
    <t>https://pubmed.ncbi.nlm.nih.gov/22156574</t>
  </si>
  <si>
    <t>When reading medical literature as a clinician, many different measures of association are presented. To judge whether results of studies can be applied to clinical practice, it is essential to understand and to be able to interpret the measure of association reported in the article. In this paper, we will present how to deal with the most commonly used measures of association including the risk and rate difference, number needed to treat, risk and rate ratio, hazard ratio and odds ratio. By means of examples, we will discuss the different measures of association for the three main study designs used in clinical research: randomized controlled trial, observational cohort study and case-control study.</t>
  </si>
  <si>
    <t>Overestimation of risk ratios by odds ratios in trials and cohort studies: alternatives to logistic regression.</t>
  </si>
  <si>
    <t>Knol, Mirjam J; Le Cessie, Saskia; Algra, Ale; Vandenbroucke, Jan P; Groenwold, Rolf H H</t>
  </si>
  <si>
    <t>https://pubmed.ncbi.nlm.nih.gov/22158397</t>
  </si>
  <si>
    <t>Managing pulmonary embolism using prognostic models: future concepts for primary care.</t>
  </si>
  <si>
    <t>Geersing, Geert-Jan; Oudega, Ruud; Hoes, Arno W; Moons, Karel G M</t>
  </si>
  <si>
    <t>https://pubmed.ncbi.nlm.nih.gov/22143233</t>
  </si>
  <si>
    <t>Estimating the attributable mortality of ventilator-associated pneumonia from randomized prevention studies.</t>
  </si>
  <si>
    <t>Melsen, Wilhelmina G; Rovers, Maroeska M; Koeman, Mirelle; Bonten, Marc J M</t>
  </si>
  <si>
    <t>https://pubmed.ncbi.nlm.nih.gov/21765351</t>
  </si>
  <si>
    <t>To assess the attributable mortality of ventilator-associated pneumonia using results from randomized controlled trials on ventilator-associated pneumonia prevention. A systematic search was performed in PubMed, Embase, Web of Science, and Cochrane Library from their inception until July 2010. In addition, a reference and related article search was performed. Randomized ventilator-associated pneumonia prevention studies in which all patients were mechanically ventilated and from which ventilator-associated pneumonia and mortality rates of intervention and control group could be extracted were included. Fifty-three papers were identified describing 58 comparisons. Statistical significant reductions in ventilator-associated pneumonia incidences were reported in 20 of the 58 comparisons, whereas none of these trials reported a significant reduction of mortality. Pooled estimates of the relative risk reductions of both ventilator-associated pneumonia and mortality were calculated and the attributable mortality was estimated as the ratio between the relative risk reductions of mortality and ventilator-associated pneumonia. Effects of study quality, diagnostic methods used, and effectiveness of preventing ventilator-associated pneumonia on the mortality rate of ventilator-associated pneumonia were assessed in subgroup analyses. The overall attributable mortality of ventilator-associated pneumonia was estimated as 9%. In subgroup analyses, the attributable mortality varied between 3% and 17%. Based on the results of 58 randomized studies on ventilator-associated pneumonia prevention, the attributable mortality rate of ventilator-associated pneumonia was estimated to be 9% and ranged between 3% and 17% in subgroup analyses. Together with the results of other recent studies, there is cumulative evidence that the attributable mortality resulting from ventilator-associated pneumonia is approximately 10%.</t>
  </si>
  <si>
    <t>Recent life events pose greatest risk for onset of major depressive disorder during mid-life.</t>
  </si>
  <si>
    <t>Stegenga, Bauke T; Nazareth, Irwin; Grobbee, Diederick E; Torres-González, Francisco; Svab, Igor; Maaroos, Heidi-Ingrid; Xavier, Miguel; Saldivia, Sandra; Bottomley, Christian; King, Michael; Geerlings, Mirjam I</t>
  </si>
  <si>
    <t>https://pubmed.ncbi.nlm.nih.gov/22119082</t>
  </si>
  <si>
    <t>The authors examined an additive model for the association of life events and age with onset of major depressive disorder (MDD) and whether the combination of life events and age posed greater risk than the sum of their independent effects. Data were used from a prospective cohort study of 10,045 general practice attendees (PredictD). We included those without MDD at baseline (N=8293). We examined age divided into tertiles and into 10 year groups. Life events were assessed at baseline using the List of Threatening Life Experiences Questionnaire and categorized according to type. Main outcome measure was onset of DSM-IV MDD at 6 or 12 months of follow-up. The authors calculated Relative Excess Risks due to Interaction (RERI). 6910 persons (83.3%) had a complete follow-up, of whom 589 (8.5%) had an onset of MDD (166 younger, 254 middle aged and 169 older). The combined effect of personal problems (RERI=1.30; 95% CI 0.29 to 2.32), events in family or friends (RERI=1.23; 95% CI 0.28 to 2.19), or problems with law (RERI=1.57; 95% CI 0.33 to 2.82) and middle age was larger than the sum of individual effects. Lower response to recruitment in the UK and the Netherlands. Recent life events carry the largest risk of onset of MDD in mid-life. Understanding the different vulnerability to life events according to age may help to indicate groups at a particular risk and assist in preventive strategies.</t>
  </si>
  <si>
    <t>The diagnostic value of physical examination and additional testing in primary care patients with suspected heart failure.</t>
  </si>
  <si>
    <t>Kelder, Johannes C; Cramer, Maarten J; van Wijngaarden, Jan; van Tooren, Rob; Mosterd, Arend; Moons, Karel G M; Lammers, Jan W; Cowie, Martin R; Grobbee, Diederick E; Hoes, Arno W</t>
  </si>
  <si>
    <t>https://pubmed.ncbi.nlm.nih.gov/22104551</t>
  </si>
  <si>
    <t>Early diagnosis of nonacute heart failure is crucial because prompt initiation of evidence-based treatment can prevent or slow down further progression. To diagnose new-onset heart failure in primary care is challenging. This is a cross-sectional diagnostic accuracy study with external validation. Seven hundred twenty-one consecutive patients suspected of new-onset heart failure underwent standardized diagnostic work-up including chest x-ray, spirometry, ECG, N-terminal pro-B-type natriuretic peptide (NT-proBNP) measurement, and echocardiography in specially equipped outpatient diagnostic heart failure clinics. The presence of heart failure was determined by an outcome panel using the initial clinical data and 6-month follow-up data, blinded to biomarker data. Of the 721 patients, 207 (28.7%) had heart failure. The combination of 3 items from history (age, coronary artery disease, and loop diuretic use) plus 6 from physical examination (pulse rate and regularity, displaced apex beat, rales, heart murmur, and increased jugular vein pressure) showed independent diagnostic value (c-statistic 0.83). NT-proBNP was the most powerful supplementary diagnostic test, increasing the c-statistic to 0.86 and resulting in net reclassification improvement of 69% (P&lt;0.0001). A simplified diagnostic rule was applied to 2 external validation datasets, resulting in c- statistics of 0.95 and 0.88, confirming the results. In this study, we estimated the quantitative diagnostic contribution of elements of the history and physical examination in the diagnosis of heart failure in primary care outpatients, which may help to improve clinical decision making. The largest additional quantitative diagnostic contribution to those elements was provided by measurement of NT-proBNP. For daily practice, a diagnostic rule was derived that may be useful to quantify the probability of heart failure in patients with new symptoms suggestive of heart failure.</t>
  </si>
  <si>
    <t>Improvements in risk stratification for the occurrence of cardiovascular disease by imaging subclinical atherosclerosis: a systematic review.</t>
  </si>
  <si>
    <t>Peters, Sanne A E; den Ruijter, Hester M; Bots, Michiel L; Moons, Karel G M</t>
  </si>
  <si>
    <t>https://pubmed.ncbi.nlm.nih.gov/22095617</t>
  </si>
  <si>
    <t>Imaging for subclinical atherosclerosis on top of conventional risk factor assessment may improve risk prediction for the occurrence of cardiovascular disease events in asymptomatic individuals. To systematically review the available evidence on this issue. PubMed MEDLINE was systematically searched on 7 September 2011. Studies were included that evaluated the added value of flow mediated dilation (FMD), carotid intima-media thickness (CIMT), carotid plaques and/or coronary artery calcification (CAC) scoring in the prediction of risk for developing fatal or non-fatal cardiovascular events. Data on general study characteristics and the added predictive performance of imaging markers in terms of discrimination, calibration and (re)classification were extracted. 25 studies were selected that provided information on added predictive value of FMD (n=2), CIMT (n=12), carotid plaques (n=6) and/or CAC (n=9). Heterogeneity existed across studies in the conventional risk models that were used and in the measurements of the imaging marker. The added predictive value, quantified by the difference in c-index, of FMD, CIMT, carotid plaques or CAC ranged from 0.00 to 0.01 for FMD, from 0.00 to 0.03 for CIMT, from 0.01 to 0.05 for carotid plaque and from 0.05 to 0.13 for CAC. The reported net reclassification improvement (NRI) by the imaging markers ranged from -1.4% to 12% for CIMT, 8% to 11% for carotid plaques, 14% to 25% for CAC and 29% for FMD). Although the definition of intermediate cardiovascular risk varied across studies, the NRI was the highest in those at intermediate cardiovascular risk. Published evidence on the added value of atherosclerosis imaging varies across the different markers, with limited evidence for FMD and considerable evidence for CIMT, carotid plaque and CAC. The added predictive value of additional screening may be primarily found in asymptomatic individuals at intermediate cardiovascular risk. Additional research in asymptomatic individuals is needed to quantify the cost effectiveness and impact of imaging for subclinical atherosclerosis on cardiovascular risk factor management and patient outcomes.</t>
  </si>
  <si>
    <t>Intensive multifactorial treatment and cognitive functioning in screen-detected type 2 diabetes--the ADDITION-Netherlands study: a cluster-randomized trial.</t>
  </si>
  <si>
    <t>Koekkoek, Paula S; Ruis, Carla; van den Donk, Maureen; Biessels, Geert Jan; Gorter, Kees J; Kappelle, L Jaap; Rutten, Guy E H M</t>
  </si>
  <si>
    <t>https://pubmed.ncbi.nlm.nih.gov/22093142</t>
  </si>
  <si>
    <t>To assess whether an intensive multifactorial treatment can reduce cognitive decrements and cognitive decline in screen-detected type 2 diabetes. The multinational ADDITION-study, a cluster-randomized parallel group trial in patients with screen-detected type 2 diabetes, compared the effectiveness of intensive multifactorial treatment (IT; lifestyle advice and strict regulation of metabolic parameters) with routine care (RC) on cardiovascular outcome. In The Netherlands randomization was stratified according to practice organization. Allocation was concealed from patients. The present study assessed the effect of IT on cognition through two neuropsychological assessments (NPA) on two occasions. The assessments took place three and six years after the start of the intervention. Non-diabetic controls served as reference group. The first NPA was performed in 183 patients (IT: 97; RC: 86) and 69 controls. The second NPA was performed in 135 patients (IT: 71; RC: 64) and 55 controls. Primary outcome was a composite score, including the domains memory, information-processing speed and attention and executive function. Comparisons between the treatment groups were performed with multi-level analyses. The first NPA showed no differences between the treatment groups (mean difference composite z-score: 0.00; 95%-CI -0.16 to 0.16; IT vs RC). Over the next three years cognitive decline in the diabetic groups was within the range of the reference group and did not differ between the treatment arms (difference decline between diabetic groups -0.12; -0.24 to 0.01; IT vs RC). Six years of IT in screen-detected type 2 diabetes had no benefit on cognitive functioning over RC.</t>
  </si>
  <si>
    <t>Algorithms to measure carotid intima-media thickness in trials: a comparison of reproducibility, rate of progression and treatment effect.</t>
  </si>
  <si>
    <t>Dogan, Soner; Plantinga, Yvonne; Crouse, John R; Evans, Gregory W; Raichlen, Joel S; O'Leary, Daniel H; Palmer, Mike K; Grobbee, Diederick E; Bots, Michiel L; ,</t>
  </si>
  <si>
    <t>https://pubmed.ncbi.nlm.nih.gov/21918474</t>
  </si>
  <si>
    <t>Current ultrasound protocols to measure carotid intima-media thickness (CIMT) in trials differ considerably. The best CIMT protocol would be one that combines high reproducibility, a large and precise estimate of the rate of CIMT progression and a large and precise estimate of the treatment effect. We performed a post-hoc analysis to determine the best algorithm for determining CIMT using data from the METEOR study, a randomized double-blind, placebo-controlled study of the effect of rosuvastatin on CIMT progression in 984 low coronary heart disease risk individuals with increased CIMT. CIMT information was collected from two walls (near and far wall), three segments (common carotid, bifurcation and internal carotid artery), five different angles (for the right carotid artery - 60, 90, 120, 150, and 180 degrees on the Meijer's carotid arc; for the left - 300, 270, 240, 210, and 180 degrees) of two sides (left and right carotid artery), resulting in possibly (2 × 3 × 5 × 2 =) 60 measurements. On the basis of combinations of these measurements, we built 66 different ultrasound protocols to estimate a CIMT for each individual (22 protocols for mean common CIMT, 44 protocols for mean maximum CIMT). For each protocol we assessed reproducibility [intraclass correlation (ICC), mean difference of duplicate scans], 2-year progression rate in the placebo group with its corresponding standard error and treatment effect (difference in CIMT progression between rosuvastatin and placebo) and its corresponding standard error. Data of duplicate ultrasound examinations at baseline and end of study were available for 688 participants (70% of 984). The ICC based on duplicate baseline examinations ranged from 0.81 to 0.95. CIMT progression rates in the placebo group ranged from 0.0046 to 0.0177 mm/year, with SE ranging from 0.00134 to 0.00337. Treatment effects ranged from 0.0141 to 0.0388 mm/year. The protocols with highest reproducibility, highest CIMT progression/precision ratio and highest treatment effect/precision ratio were those measuring both near and far wall for at least two angles. Ultrasound protocols that include CIMT measurements at multiple angles of both near and far wall give the best balance between reproducibility, rate of CIMT progression, treatment effect and their associated precision in this low-risk population with subclinical atherosclerosis.</t>
  </si>
  <si>
    <t>Antibiotic exposure and resistance development in Pseudomonas aeruginosa and Enterobacter species in intensive care units.</t>
  </si>
  <si>
    <t>Ong, David S Y; Jongerden, Irene P; Buiting, Anton G; Leverstein-van Hall, Maurine A; Speelberg, Ben; Kesecioglu, Jozef; Bonten, Marc J M</t>
  </si>
  <si>
    <t>https://pubmed.ncbi.nlm.nih.gov/21705892</t>
  </si>
  <si>
    <t>We quantified the association between antibiotic exposure and acquisition of antibiotic resistance in Pseudomonas aeruginosa and Enterobacter species in intensive care unit patients. Prospective cohort study. In 1,201 patients, respiratory tract colonization was determined through regular screening on admission, twice weekly, and on discharge. Primary outcome was the acquisition of antibiotic resistance in previous antibiotic sensitive P. aeruginosa and Enterobacter species, with acquisition attributable to cross-transmission excluded based on genotyping and epidemiologic linkage. Cox regression analysis, adjusted for covariates, was performed to calculate hazard ratios of patients exposed to antibiotics compared to patients not exposed to antibiotics. In total, 194 and 171 patients were colonized with P. aeruginosa and Enterobacter species, respectively. Two or more cultures per episode were available for 126 and 108 patients. For P. aeruginosa, ceftazidime exposure was associated with 6.3 acquired antibiotic resistance events per 100 days of exposure, whereas incidence rates were lower for ciprofloxacin, meropenem, and piperacillin-tazobactam. In multivariate analysis, meropenem, ciprofloxacin, and ceftazidime were significantly associated with risk of resistance development in P. aeruginosa (adjusted hazard ratio, 11.1; 95% confidence interval, 2.4-51.5 for meropenem; adjusted hazard ratio, 4.1; 95% confidence interval, 1.1-16.2 for ciprofloxacin; adjusted hazard ratio, 2.5; 95% confidence interval, 1.1-5.5 for ceftazidime). For Enterobacter, ceftriaxone and ciprofloxacin exposure were associated with most antibiotic resistance acquisitions. No significant associations were found in multivariate analysis. Meropenem exposure is associated with the highest risk of resistance development in P. aeruginosa. Increasing carbapenem use attributable to emergence of Gram-negative bacteria producing extended-spectrum β-lactamases will enhance antibiotic resistance in P. aeruginosa.</t>
  </si>
  <si>
    <t>Determinants of patient's and doctor's delay in diagnosis and treatment of colorectal cancer.</t>
  </si>
  <si>
    <t>Van Hout, Afke M G H; de Wit, Niek J; Rutten, Frans H; Peeters, Petra H M</t>
  </si>
  <si>
    <t>https://pubmed.ncbi.nlm.nih.gov/21941190</t>
  </si>
  <si>
    <t>Early detection and treatment is important for the management of colorectal cancer (CRC). To assess patient and doctor delay and their determinants. A retrospective observational study in a primary care setting concerning 197 patients with CRC. The time between initial symptoms and the onset of treatment was categorized into four periods. With multivariable logistic regression analysis, determinants of delay were investigated. The median time from onset of symptoms until the start of treatment was 138 days. Median time for the four periods to: first general practitioner consult, first specialist consult, histological diagnosis, and start treatment were 30, 14, 27, and 18 days, respectively. Rectal blood loss and weight loss were significantly related to patient delay, whereas psychiatric comorbidity was related to delay in referral by the general practitioner. For delay in histological diagnosis and start of definitive treatment no determinants were found. Delay was not associated with more advanced disease stages. There is considerable delay in the management of CRC, especially in time to consultation and time to onset of clinical treatment. Education among the general public about the importance of alarm symptoms and increasing efficiency of the diagnostic process in hospital setting are a key in improving CRC disease management.</t>
  </si>
  <si>
    <t>Highlights of the 2011 scientific sessions of the Congress of the Heart Failure Association of the European Society of Cardiology.</t>
  </si>
  <si>
    <t>future cardiology</t>
  </si>
  <si>
    <t>https://pubmed.ncbi.nlm.nih.gov/22050059</t>
  </si>
  <si>
    <t>The Annual Scientific Sessions of the Heart Failure Association of the European Society of Cardiology was held in Gothenburg, Sweden, 21-24 May 2011. Over 700 abstracts, along with many invited programs and several satellite programs were presented. Some of the late-breaking clinical trials are summarized here.</t>
  </si>
  <si>
    <t>Patient safety culture measurement in general practice. Clinimetric properties of 'SCOPE'.</t>
  </si>
  <si>
    <t>Zwart, Dorien L M; Langelaan, Maaike; van de Vooren, Rosalinde C; Kuyvenhoven, Marijke M; Kalkman, Cor J; Verheij, Theo J M; Wagner, Cordula</t>
  </si>
  <si>
    <t>https://pubmed.ncbi.nlm.nih.gov/22040087</t>
  </si>
  <si>
    <t>A supportive patient safety culture is considered to be an essential condition for improving patient safety. Assessing the current safety culture in general practice may be a first step to target improvements. To that end, we studied internal consistency and construct validity of a safety culture questionnaire for general practice (SCOPE) which was derived from a comparable questionnaire for hospitals (Dutch-HSOPS). The survey was conducted among caregivers of Dutch general practice as part of an ongoing quality accreditation process using a 46 item questionnaire. We conducted factor analyses and studied validity by calculating correlations between the subscales and testing the hypothesis that respondents' patient safety grade of their practices correlated with their scores on the questionnaire. Of 72 practices 294 respondents completed the questionnaire. Eight factors were identified concerning handover and teamwork, support and fellowship, communication openness, feedback and learning from error, intention to report events, adequate procedures and staffing, overall perceptions of patient safety and expectations and actions of managers. Cronbach's alpha of the factors rated between 0.64 and 0.85. The subscales intercorrelated moderately, except for the factor about intention to report events. Respondents who graded patient safety highly scored significantly higher on the questionnaire than those who did not. The SCOPE questionnaire seems an appropriate instrument to assess patient safety culture in general practice. The clinimetric properties of the SCOPE are promising, but future research should confirm the factor structure and construct of the SCOPE and delineate its responsiveness to changes in safety culture over time.</t>
  </si>
  <si>
    <t>Screening for type 2 diabetes. Lessons from the ADDITION-Europe study.</t>
  </si>
  <si>
    <t>van den Donk, M; Sandbaek, A; Borch-Johnsen, K; Lauritzen, T; Simmons, R K; Wareham, N J; Griffin, S J; Davies, M J; Khunti, K; Rutten, G E H M</t>
  </si>
  <si>
    <t>https://pubmed.ncbi.nlm.nih.gov/21679235</t>
  </si>
  <si>
    <t>To describe and compare attendance rates and the proportions of people identified with Type 2 diabetes mellitus in people with previously unknown diabetes who participated in screening programmes undertaken in general practice in the UK, Denmark and the Netherlands as part of the ADDITION-Europe study. In Cambridge, routine computer data searches were conducted to identify individuals aged 40-69 years at high risk of Type 2 diabetes using the Cambridge Diabetes Risk Score. In Denmark, the Danish Diabetes Risk Score was mailed to individuals aged 40-69 years, or completed by patients visiting their general practitice. In the Netherlands, the Hoorn Symptom Risk Questionnaire was mailed to individuals aged 50-69 years. In these three centres, high-risk individuals were invited to attend subsequent steps in the screening programme, including random blood glucose, HbA(1c) , fasting blood glucose and/or oral glucose tolerance test. In Leicester, eligible people aged 40-69 years were invited directly for an oral glucose tolerance test. In all centres, Type 2 diabetes was defined according to World Health Organization 1999 diagnostic criteria. Attendance rates ranged from 20.2% (oral glucose tolerance test in Leicester without pre-stratification) to 95.1% (random blood glucose in opportunistic screening in Denmark in high-risk people). The percentage of people with newly detected Type 2 diabetes from the target population ranged from 0.33% (Leicester) to 1.09% (the Netherlands). Screening for Type 2 diabetes was acceptable and feasible, but relatively few participants were diagnosed in all participating centres. Different strategies may be required to increase initial attendance and ensure completion of screening programmes.</t>
  </si>
  <si>
    <t>Mammographic density and breast cancer risk: the role of the fat surrounding the fibroglandular tissue.</t>
  </si>
  <si>
    <t>Lokate, Mariëtte; Peeters, Petra H M; Peelen, Linda M; Haars, Gerco; Veldhuis, Wouter B; van Gils, Carla H</t>
  </si>
  <si>
    <t>https://pubmed.ncbi.nlm.nih.gov/22030015</t>
  </si>
  <si>
    <t>Both the percent of mammographic density and absolute dense (fibroglandular) area are strong breast cancer risk factors. The role of non-dense (fat) breast tissue is not often investigated, but we hypothesize that this also influences risk. In this study we investigated the independent effects of dense and fat tissue, as well as their combined effect on postmenopausal breast cancer risk. We performed a nested case-control study within the EPIC-NL cohort (358 postmenopausal breast cancer cases and 859 postmenopausal controls). We used multivariate logistic regression analyses to estimate breast cancer odds ratios adjusted for body mass index and other breast cancer risk factors. Large areas of dense (upper (Q5) vs lower quintile (Q1): OR 2.8 95% CI 1.7 to 4.8) and fat tissue (Q5 vs Q1: OR 2.4; 95% CI 1.3 to 4.2) were independently associated with higher breast cancer risk. The combined measure showed that the highest risk was found in women with both a large (above median) area of dense and fat tissue. Fibroglandular and breast fat tissue have independent effects on breast cancer risk. The results indicate that the non-dense tissue, which represents the local breast fat, increases risk, even independent of body mass index (BMI). When studying dense breast tissue in relation to breast cancer risk, adjustment for non-dense tissue seems to change risk estimates to a larger extent than adjustment for BMI. This indicates that adjustment for non-dense tissue should be considered when studying associations between dense areas and breast cancer risk.</t>
  </si>
  <si>
    <t>Selective decontamination of the oral and digestive tract in surgical versus non-surgical patients in intensive care in a cluster-randomized trial.</t>
  </si>
  <si>
    <t>Melsen, W G; de Smet, A M G A; Kluytmans, J A J W; Bonten, M J M; ,</t>
  </si>
  <si>
    <t>https://pubmed.ncbi.nlm.nih.gov/22021072</t>
  </si>
  <si>
    <t>Selective digestive decontamination (SDD) and selective oropharyngeal decontamination (SOD) are effective in improving survival in patients under intensive care. In this study possible differential effects in surgical and non-surgical patients were investigated. This was a post hoc subgroup analysis of data from a cluster-randomized multicentre trial comparing three groups (SDD, SOD or standard care) to quantify effects among surgical and non-surgical patients. The primary study outcome was 28-day mortality rate. Duration of mechanical ventilation, duration of intensive care unit (ICU) and hospital length of stay, and bacteraemia rates were secondary outcomes. The subgroup analyses included a total of 2762 surgical and 3165 non-surgical patients. Compared with standard care, adjusted odds ratios (ORs) for mortality were comparable in SDD-treated surgical and non-surgical patients: 0·86 (95 per cent confidence interval 0·69 to 1·09; P = 0·220) and 0·85 (0·70 to 1·03; P = 0·095) respectively. However, duration of mechanical ventilation, ICU stay and hospital stay were significantly reduced in surgical patients who had SDD. SOD did not reduce mortality compared with standard treatment in surgical patients (adjusted OR 0·97, 0·77 to 1·22; P = 0·801); in non-surgical patients it reduced mortality (adjusted OR 0·77, 0·63 to 0·94; P = 0·009) by 16·6 per cent, representing an absolute mortality reduction of 5·5 per cent with number needed to treat of 18. Subgroup analysis found similar effects of SDD in reducing mortality in surgical and non-surgical ICU patients, whereas SOD reduced mortality only in non-surgical patients. The hypothesis-generating findings mandate investigation into mechanisms between different ICU populations.</t>
  </si>
  <si>
    <t>Gender differences in pre-hospital time delay and symptom presentation in patients suspected of acute coronary syndrome in primary care.</t>
  </si>
  <si>
    <t>Bruins Slot, Madeleine H E; Rutten, Frans H; van der Heijden, Geert J M G; Doevendans, Pieter A; Mast, E Gijs; Bredero, Ad C; Glatz, Jan F C; Hoes, Arno W</t>
  </si>
  <si>
    <t>https://pubmed.ncbi.nlm.nih.gov/22006039</t>
  </si>
  <si>
    <t>To describe gender differences in pre-hospital delay times and symptom presentation in patients suspected of acute coronary syndrome (ACS) in a primary care setting. Over 150 participating GPs included 298 consecutive patients suspected of ACS (52% female, mean age 66 years, 22% eventually diagnosed with ACS according to international guidelines) in a 28-month time period. Data on time from call for help until GP consultation (doctor delay) were prospectively collected, while the time from onset of symptoms until call for help (patient delay) was recorded by the GP at the time of arrival at the patient, together with patient characteristics, including age, sex, previous medical history, chest pain, radiation of chest pain and nausea/sweating. Median doctor delay was 45 [interquartile range (IQR) 20-55] minutes in women and 33 (IQR 26-72) minutes in men (P = 0.01). Median patient delay was 108 (IQR 39-348) minutes in women and 180 (IQR 48-396) minutes in men (P = 0.20). Women reported spreading chest pain more often than men (68% versus 57%, P = 0.06). Women diagnosed with ACS were older than men (mean 75 years versus 65 years, P &lt; 0.001). In patients suspected of ACS in primary care, no differences were found in patient delay, but doctor delay was longer in women than in men. Symptom presentation was largely similar between men and women, although women tended to report 'spreading' chest pain more often.</t>
  </si>
  <si>
    <t>Progression of White Matter Lesion Volume and Health-Related Quality of Life in Patients with Symptomatic Atherosclerotic Disease: The SMART-MR Study.</t>
  </si>
  <si>
    <t>Grool, Anne M; van der Graaf, Yolanda; Witkamp, Theo D; Vincken, Koen L; Mali, Willem P T M; Geerlings, Mirjam I</t>
  </si>
  <si>
    <t>journal of aging research</t>
  </si>
  <si>
    <t>https://pubmed.ncbi.nlm.nih.gov/22013526</t>
  </si>
  <si>
    <t>Objectives. Mechanisms influencing the course of physical and mental functioning after an atherosclerotic event are unclear. We examined effects of white matter lesion (WML) activity on changes in functioning in patients with symptomatic atherosclerotic disease. Methods. In 486 patients (58 ± 9 years) of the Second Manifestations of ARTerial disease-Magnetic Resonance (SMART-MR) study, volumetric WML measurements on 1.5T MRI were performed at baseline and 3.9 ± 0.4 years followup. Functioning was assessed with the modified Short-Form 12 (SF-12) questionnaire. Associations of WML progression with changes in functioning were adjusted for age, sex, and vascular risk factors. Results. Physical functioning (baseline: 44, 10th-90th percentile 29-55) improved, whereas mental functioning (baseline: 51, 10th-90th percentile 32-60) declined during followup. WML progression (highest quartile versus rest) contributed to a stronger decline in mental functioning (B = -1.76, 95% CI -3.11 to -0.42), but did not influence changes in physical functioning. Conclusions. Progression of WML volume contributes to a decline in mental functioning in patients with symptomatic atherosclerotic disease.</t>
  </si>
  <si>
    <t>Low fertility and the risk of type 2 diabetes in women.</t>
  </si>
  <si>
    <t>Elbers, Clara C; Onland-Moret, N Charlotte; Eijkemans, Marinus J C; Wijmenga, Cisca; Grobbee, Diederick E; van der Schouw, Yvonne T</t>
  </si>
  <si>
    <t>https://pubmed.ncbi.nlm.nih.gov/22002998</t>
  </si>
  <si>
    <t>Fertility problems are frequently followed by early menopause, and early menopause has been associated with increased risk of type 2 diabetes (T2D). Thus far, it is unknown whether low fertility is independently associated with future T2D risk. We assessed the association between measures of low fertility and T2D in the Prospect-European Prospective Investigation into Cancer and Nutrition (EPIC) cohort of 17,357 Dutch women, aged 49-70 years at baseline using Cox proportional hazards models, adjusted for various confounders. To investigate whether BMI and waist circumference influence the observed associations, analyses were additionally adjusted for these variables. At baseline, 332 women had T2D. During a mean follow-up of 9.1 ± 3.6 years, 535 T2D cases occurred. Out of 15,707 Prospect-EPIC women who wanted to get pregnant, 1940 consulted a physician for fertility problems and 700 remained childless. No relation was found between consulting a physician for fertility problems or nulliparity and T2D risk. Of all women who wanted to get pregnant, 3946 (25.1%) had one or more miscarriages, with an average of 1.4 (± 0.9) miscarriages and a maximum of 10 miscarriages. Women who had one or more miscarriage showed the same risk for T2D as women who had no miscarriage. Also, none of the other measures of low fertility were associated with increased risk for T2D. Generally, measures of low fertility were not independently associated with a risk of T2D in a cohort of 17 357 Dutch women.</t>
  </si>
  <si>
    <t>Extensive or restricted ultrasound protocols to measure carotid intima-media thickness: analysis of completeness rates and impact on observed rates of change over time.</t>
  </si>
  <si>
    <t>Peters, Sanne A E; den Ruijter, Hester M; Palmer, Mike K; Grobbee, Diederick E; Crouse, John R; O'Leary, Daniel H; Evans, Gregory W; Raichlen, Joel S; Bots, Michiel L; ,</t>
  </si>
  <si>
    <t>https://pubmed.ncbi.nlm.nih.gov/21982737</t>
  </si>
  <si>
    <t>Ultrasound protocols to measure carotid intima-media thickness (CIMT) vary considerably with regard to carotid sites and angles that are assessed. Measurements from the carotid bifurcation and internal carotid artery are thought to be affected by large numbers of missing data. Actual published quantification of completeness rates and the relation with cardiovascular risk factors, however, is scarce. Also, it is currently unknown whether extensive ultrasound protocols including assessment of the carotid bifurcation and internal carotid artery add information in detecting rate of change in CIMT induced by drug therapy. These issues were addressed in this study using data from Measuring Effects on Intima-Media Thickness: An Evaluation of Rosuvastatin (METEOR). In METEOR, carotid ultrasound examinations were performed twice before randomization, once each at 6, 12, and 18 months after randomization, and twice after 24 months of study treatment. B-mode ultrasound images were obtained from the near and far walls of the left and right common carotid artery, bifurcation, and internal carotid artery at five predefined angles. Completeness of CIMT data was assessed by carotid site and by angle. A site was considered complete when any of the five angles was measured. The relation between completeness at baseline and cardiovascular risk factors was assessed using logistic regression analyses. Ultrasound protocols with a reduced number of carotid sites and angles were retrospectively constructed, and differences in the rate of change in maximum CIMT between ultrasound protocols were compared. At each visit, CIMT measurements from all 12 carotid sites were available for &gt;94% of the participants. Incompleteness was the highest for near wall of the internal carotid artery and for the extreme angles (60° and 300°). Of 12 risk factors examined, higher body mass index was related to incompleteness. Ultrasound protocols with a reduced number of angles resulted in similar estimates for the differences in rate of change in maximum CIMT. However, reductions in the number of sites gave results in the same direction but with different magnitudes and larger standard errors. High levels of complete data can be obtained with extensive ultrasound protocols that include measurement from the carotid bifurcation and internal carotid artery. A high body mass index contributes to incompleteness of CIMT measurements. Extensive ultrasound protocols are required to obtain the highest precision to observe a treatment effect and to fully cover the degree of atherosclerotic burden.</t>
  </si>
  <si>
    <t>Hormone therapy and coronary heart disease risk by vasomotor menopausal symptoms.</t>
  </si>
  <si>
    <t>Gast, Gerrie-Cor M; Pop, Victor J M; Samsioe, Göran N; Grobbee, Diederick E; Nilsson, Peter M; Keyzer, Jules J; Wijnands-van Gent, Colette J M; van der Schouw, Yvonne T</t>
  </si>
  <si>
    <t>https://pubmed.ncbi.nlm.nih.gov/21978631</t>
  </si>
  <si>
    <t>We examined whether the association between hormone therapy (HT) use and coronary heart disease (CHD) risk differed between women with and without vasomotor symptoms (VMS). We used data from a Dutch (EPOS) and Swedish (WHILA) population-based sample of 8865 women, aged 46-64 years, and free of CHD, stroke, venous thrombosis/pulmonary embolism or cancer at baseline. Data on HT use, VMS and potential confounders were collected by questionnaires. CHD endpoints, obtained via registries. 252 CHD cases occurred during 10.3 years of follow-up. Neither for women with nor for women without flushing or (night) sweats ever HT use was associated with CHD risk, compared with never HT use. Among women with intense VMS, ever HT use borderline significantly decreased CHD risk compared with never HT use (HR 0.48 [95% CI 0.20-1.03]). Among women without intense VMS, ever HT use was associated with a borderline significant increased CHD risk (HR 1.28 [95% CI 0.96-1.70]; P for interaction=0.02). However, after multivariate adjustment, as compared to never HT use, ever HT use was not associated with risk of CHD among women with or without intense VMS. In both groups of women with and without VMS, HT use does not seem to be associated with the risk of CHD. Hence, our findings do not support the view that HT use increases the CHD risk among women with an indication, i.e. VMS, but this needs to be confirmed in specifically designed studies.</t>
  </si>
  <si>
    <t>Pharmacogenetics in randomized controlled trials: considerations for trial design.</t>
  </si>
  <si>
    <t>van der Baan, Frederieke H; Klungel, Olaf H; Egberts, Antoine C G; Leufkens, Hubert G; Grobbee, Diederick E; Roes, Kit C B; Knol, Mirjam J</t>
  </si>
  <si>
    <t>https://pubmed.ncbi.nlm.nih.gov/22008051</t>
  </si>
  <si>
    <t>Pharmacogenetic analyses of clinical trials aim to either detect whether a subgroup of patients identified by genetic characteristics responds differently to the treatment or to verify whether a proposed genotype-guided treatment is beneficial over standard care. This article describes three different trial designs, differing in the timing of randomization and genotyping. Each design has its own advantages, and the objectives and conditions under which each one is most suited are discussed.</t>
  </si>
  <si>
    <t>A comorbid anxiety disorder does not result in an excess risk of death among patients with a depressive disorder.</t>
  </si>
  <si>
    <t>Laan, Wijnand; Termorshuizen, Fabian; Smeets, Hugo M; Boks, Marco P M; de Wit, Niek J; Geerlings, Mirjam I</t>
  </si>
  <si>
    <t>https://pubmed.ncbi.nlm.nih.gov/21937123</t>
  </si>
  <si>
    <t>Several studies have demonstrated increased mortality associated with depression and with anxiety. Mortality due to comorbidity of two mental disorders may be even more increased. Therefore, we investigated the mortality among patients with depression, with anxiety and with both diagnoses. By linking the longitudinal Psychiatric Case Register Middle-Netherlands, which contains all patients of psychiatric services in the Utrecht region, to the death register of Statistics Netherlands, hazard ratio's of death were estimated overall and for different categories of death causes separately. We found an increased risk of death among patients with an anxiety disorder (N=6919): HR=1.45 (95%CI: 1.25-1.69), and among patients with a depression (N=14,778): HR=1.83, (95%CI: 1.72-1.95), compared to controls (N=103,824). The hazard ratios among both disorders combined (N=4260) were similar to those with only a depression: HR=1.91, (95% CI: 1.64-2.23). Among patients with a depression, mortality across all important disease-related categories of death causes (neoplasms, cardiovascular, respiratory, and other diseases) and due to suicide was increased, without an excess mortality in case of comorbid anxiety. The presented data are restricted to broad categories of patients in specialist services. No data on behavioral or intermediate factors were available. Although anxiety is associated with an increased risk of death, the presence of anxiety as comorbid disorder does not give an additional increase in the risk of death among patients with a depressive disorder. The increased mortality among patients with depression is not restricted to suicide and cardiovascular diseases, but associated with a broad range of death causes.</t>
  </si>
  <si>
    <t>APOE ε4 differentially influences change in memory performance depending on age. The SMART-MR study.</t>
  </si>
  <si>
    <t>Jochemsen, Hadassa M; Muller, Majon; van der Graaf, Yolanda; Geerlings, Mirjam I</t>
  </si>
  <si>
    <t>https://pubmed.ncbi.nlm.nih.gov/21908077</t>
  </si>
  <si>
    <t>The apolipoprotein E (APOE) gene may act differently in young and old persons, known as antagonistic pleiotropy. We therefore examined the prospective associations between the APOE ε4 allele and cognitive functioning, and the modifying effect of age, in 375 nondemented adults (mean age 57 ± 10 years; follow-up period 3.8 ± 0.2 years) with available data on APOE genotype and cognitive functioning, within the SMART-MR (Second Manifestations of ARTerial disease-Magnetic Resonance) cohort study. Neuropsychological tests assessing memory performance and executive functioning were performed at baseline and follow-up, and composite z-scores were calculated. Age significantly modified the association of APOE ε4 with change in memory performance (p interaction = 0.02). In persons ≤ 57 years (median split), an APOE ε4 allele was associated with an increase in immediate recall (B = 0.42; 95% confidence interval [CI], 0.17 to 0.66) and delayed recall (B = 0.37; 95% CI, 0.09 to 0.64), while in persons &gt; 57 years, an APOE ε4 allele was associated with decline in immediate recall (B = -0.25; 95% CI, -0.52 to 0.01). Our findings suggest that the APOE ε4 allele has a differential effect on change in verbal memory performance depending on age, consistent with the hypothesis of antagonistic pleiotropy.</t>
  </si>
  <si>
    <t>17α-hydroxyprogesterone caproate for the prevention of adverse neonatal outcome in multiple pregnancies: a randomized controlled trial.</t>
  </si>
  <si>
    <t>Lim, Arianne C; Schuit, Ewoud; Bloemenkamp, Kitty; Bernardus, Rob E; Duvekot, Johannes J; Erwich, Jan Jaap H M; van Eyck, Jim; Groenwold, Rolf H H; Hasaart, Tom H M; Hummel, Piet; Kars, Michael M; Kwee, Anneke; van Oirschot, Charlotte M; van Pampus, Mariëlle G; Papatsonis, Dimitri; Porath, Martina M; Spaanderman, Marc E; Willekes, Christine; Wilpshaar, Janine; Mol, Ben W J; Bruinse, Hein W</t>
  </si>
  <si>
    <t>https://pubmed.ncbi.nlm.nih.gov/21860279</t>
  </si>
  <si>
    <t>To estimate whether administration of 17α-hydroxyprogesterone caproate can prevent neonatal morbidity in multiple pregnancies by reducing the preterm birth rate. We conducted a multicenter, double-blind, placebo-controlled randomized trial in 55 obstetric clinics in the Netherlands. Women with a multiple pregnancy were randomized to weekly injections of either 250 mg 17α-hydroxyprogesterone caproate or placebo, starting between 16 and 20 weeks of gestation and continuing until 36 weeks of gestation. The main outcome measure was adverse neonatal outcome. Secondary outcome measures were gestational age at delivery and delivery before 28, 32, and 37 weeks of gestation. We randomized 671 women. A composite measure of adverse neonatal outcome was present in 110 children (16%) born to mothers in the 17α-hydroxyprogesterone caproate group, and in 80 children (12%) of mothers in the placebo group (relative risk [RR] 1.34; 95% confidence interval [CI] 0.95-1.89). The mean gestational age at delivery was 35.4 weeks for the 17α-hydroxyprogesterone caproate group and 35.7 weeks for the placebo group (P=.32). Treatment with 17α-hydroxyprogesterone caproate did not reduce the delivery rate before 28 weeks (6% in the 17α-hydroxyprogesterone caproate group compared with 5% in the placebo group, RR 1.04; 95% CI 0.56-1.94), 32 weeks (14% compared with 10%, RR 1.37; 95% CI 0.91-2.05), or 37 weeks of gestation (55% compared with 50%, RR 1.11; 95% CI 0.97-1.28). 17α-hydroxyprogesterone caproate does not prevent neonatal morbidity or preterm birth in multiple pregnancies. ISRCTN Register, www.isrctn.org, ISRCTN40512715.</t>
  </si>
  <si>
    <t>Randomized controlled trials of COX-2 inhibitors: an analysis of doses used and trends over time to investigate implications for comparative safety.</t>
  </si>
  <si>
    <t>Stefansdottir, Gudrun; De Bruin, Marie L; Knol, Mirjam J; Grobbee, Diederick E; Leufkens, Hubert G M</t>
  </si>
  <si>
    <t>https://pubmed.ncbi.nlm.nih.gov/21830840</t>
  </si>
  <si>
    <t>Naproxen, ibuprofen and diclofenac are frequently used as comparators in randomized controlled trials (RCTs) on the safety and efficacy of cyclooxygenase (COX)-2 inhibitors. Different comparator doses may influence the results of RCTs. It has been hypothesized that RCTs of COX-2 inhibitors where different doses were administered resulted in different conclusions about the cardiovascular safety of COX-2 inhibitors. High comparator doses may let COX-2 inhibitors look better in terms of safety, while low comparator doses may result in the opposite. The aim of the study was to compare doses of COX-2 inhibitors and comparator drugs used in RCTs, and to investigate dose changes over time. We searched the Cochrane Central Register of Controlled Trials, The Cochrane Library for published Cochrane reviews, Clinicaltrials.gov and PubMed, for RCTs between 1995 and 2009 in which celecoxib or rofecoxib were compared with naproxen, ibuprofen or diclofenac. All articles labelled as RCTs mentioning rofecoxib or celecoxib and one or more of the comparator drugs in the title and/or abstract were included. We extracted information on doses of both non-selective NSAIDs and selective COX-2 inhibitors used in the RCTs, and study year. The Mann-Whitney test was used to compare the difference in median dose in rofecoxib and celecoxib RCTs. Linear regression was performed to evaluate trends in dosage over time. For comparisons between COX-2-inhibitors, celecoxib trials after the 2004 market withdrawal of rofecoxib were excluded. Median defined daily dose (DDD) of celecoxib (2.00) was higher than the median DDD of rofecoxib (1.00; p &lt; 0.001), whereas non-selective NSAID doses were comparable in rofecoxib (2.00) and celecoxib (2.00; p = 0.988) studies. In both groups, the non-selective NSAID doses decreased over time (B [regression coefficient] = -0.07; p = 0.28, and B = -0.054; p = 0.09, respectively). In contrast, the DDDs of rofecoxib increased slightly over time (B = 0.037; p = 0.28), whereas the celecoxib DDDs decreased over time (B = -0.081; p = 0.09). In due course, the contrasts between DDDs of COX-2 inhibitors and non-selective NSAIDs converged, both in rofecoxib and celecoxib RCTs; therefore, doses have become more comparable in recent years because of differences in steepness of two decreasing dose trends in the case of celecoxib, and opposing dose trends in the case of rofecoxib. Although the dose trends over time differed for RCTs comparing rofecoxib and celecoxib with diclofenac, ibuprofen or naproxen, the results of our study do not support the hypothesis that dose trends influenced the decision to continue marketing celecoxib after the withdrawal of rofecoxib because the overall median DDD of celecoxib was substantially higher than the median DDD of rofecoxib, while non-selective NSAID DDDs were comparable.</t>
  </si>
  <si>
    <t>Searching for early breast cancer biomarkers by serum protein profiling of pre-diagnostic serum; a nested case-control study.</t>
  </si>
  <si>
    <t>Opstal-van Winden, Annemieke W J; Krop, Esmeralda J M; Kåredal, Monica H; Gast, Marie-Christine W; Lindh, Christian H; Jeppsson, Marina C; Jönsson, Bo A G; Grobbee, Diederick E; Peeters, Petra H M; Beijnen, Jos H; van Gils, Carla H; Vermeulen, Roel C H</t>
  </si>
  <si>
    <t>https://pubmed.ncbi.nlm.nih.gov/21871081</t>
  </si>
  <si>
    <t>Serum protein profiles have been investigated frequently to discover early biomarkers for breast cancer. So far, these studies used biological samples collected at or after diagnosis. This may limit these studies' value in the search for cancer biomarkers because of the often advanced tumor stage, and consequently risk of reverse causality. We present for the first time pre-diagnostic serum protein profiles in relation to breast cancer, using the Prospect-EPIC (European Prospective Investigation into Cancer and nutrition) cohort. In a nested case-control design we compared 68 women diagnosed with breast cancer within three years after enrollment, with 68 matched controls for differences in serum protein profiles. All samples were analyzed with SELDI-TOF MS (surface enhanced laser desorption/ionization time-of-flight mass spectrometry). In a subset of 20 case-control pairs, the serum proteome was identified and relatively quantified using isobaric Tags for Relative and Absolute Quantification (iTRAQ) and online two-dimensional nano-liquid chromatography coupled with tandem MS (2D-nanoLC-MS/MS). Two SELDI-TOF MS peaks with m/z 3323 and 8939, which probably represent doubly charged apolipoprotein C-I and C3a des-arginine anaphylatoxin (C3adesArg), were higher in pre-diagnostic breast cancer serum (p = 0.02 and p = 0.06, respectively). With 2D-nanoLC-MS/MS, afamin, apolipoprotein E and isoform 1 of inter-alpha trypsin inhibitor heavy chain H4 (ITIH4) were found to be higher in pre-diagnostic breast cancer (p &lt; 0.05), while alpha-2-macroglobulin and ceruloplasmin were lower (p &lt; 0.05). C3a(desArg) and ITIH4 have previously been related to the presence of symptomatic and/or mammographically detectable breast cancer. We show that serum protein profiles are already altered up to three years before breast cancer detection.</t>
  </si>
  <si>
    <t>Cardiovascular consequences of famine in the young.</t>
  </si>
  <si>
    <t>https://pubmed.ncbi.nlm.nih.gov/21868476</t>
  </si>
  <si>
    <t>Aims The developmental origins hypothesis proposes that undernutrition during foetal life, infancy, or childhood is associated with an increased risk of cardiovascular disease in adulthood. As data on postnatal developmental programming are scarce, we investigated whether exposure to undernutrition during childhood, adolescence, or young adulthood is related to coronary heart disease (CHD) and stroke in adult life. Methods and results We studied 7845 women from the Prospect-EPIC cohort who had been exposed at various degrees to the 1944-45 Dutch famine when they were aged between 0 and 21 years. We used Cox proportional hazard regression models to explore the effect of famine on the risk of CHD and stroke, overall and within exposure age categories (0-9, 10-17, ≥18 years). We adjusted for potential confounders, including age at famine exposure, smoking, and level of education as a proxy for socio-economic status. Overall, stronger famine exposure was associated with higher CHD risk. Among those who experienced the famine between ages 10 and 17 years, CHD risk was significantly higher among severely exposed women compared with unexposed women (HR 1.38; 95% CI 1.03-1.84), which only slightly attenuated after adjustment for confounding (HR 1.27; 95% CI 0.94-1.71). We observed a lower stroke risk among famine exposed women (HR 0.79; 95% CI 0.61-1.02). Adjustment for potential confounders produced similar results (HR 0.77; 95% CI 0.59-0.99). Conclusion Exposure to undernutrition during postnatal periods of development, including adolescence, may affect cardiovascular health in adult life.</t>
  </si>
  <si>
    <t>Does recognition of depression in primary care affect outcome? The PREDICT-NL study.</t>
  </si>
  <si>
    <t>Kamphuis, Marjolein H; Stegenga, Bauke T; Zuithoff, Nicolaas P A; King, Michael; Nazareth, Irwin; de Wit, Niek J; Geerlings, Mirjam I</t>
  </si>
  <si>
    <t>https://pubmed.ncbi.nlm.nih.gov/21859837</t>
  </si>
  <si>
    <t>Detection rates of depression in primary care are &lt;50%. Studies showed similar outcome after 12 months for recognized and unrecognized depression. Outcome beyond 12 months is less well studied. We investigated recognition of depression in primary care and its relation to outcome after 6, 12 and 39 months. Data were used from a prospective cohort study of 1293 consecutive general practice attendees (PREDICT-NL), who were followed up after 6 (n = 1236), 12 (n = 1179) and 39 (n = 752) months. We measured the presence and severity of major depressive disorder (MDD) according to DSM-IV criteria and Patient Health Questionnaire 9 (PHQ-9) and mental function with Short Form 12 (SF-12). Recognition of depression was assessed using international classification of primary care codes (P03 and P76) and Anatomical Therapeutic Chemical (N06A) codes from the GP records (6 months before/after baseline). At baseline, 170 (13%) of the participants had MDD, of whom 36% were recognized by their GP. The relative risk of being depressed after 39 months was 1.35 [95% confidence interval (CI) 0.7-2.7] for participants with recognized depression compared to unrecognized depression. At baseline, participants with recognized depression had more depressive symptoms (mean difference PHQ-9 2.7, 95% CI 1.6-3.9) and worse mental function (mean difference mental component summary -3.8, 95% CI -7.8 to 0.2) than unrecognized depressed participants. After 12 and 39 months, mean scores for both groups did not differ but were worse than those without depression. A minority of patients with MDD is recognized in primary care. Those who were unrecognized had comparable outcome after 12 and 39 months as participants with recognized depression.</t>
  </si>
  <si>
    <t>How do COPD patients respond to exacerbations?</t>
  </si>
  <si>
    <t>Trappenburg, Jaap C A; Schaap, David; Monninkhof, Evelyn M; Bourbeau, Jean; de Weert-van Oene, Gerdien H; Verheij, Theo J M; Lammers, Jan-Willem J; Schrijvers, Augustinus J P</t>
  </si>
  <si>
    <t>https://pubmed.ncbi.nlm.nih.gov/21854576</t>
  </si>
  <si>
    <t>Although timely treatment of COPD exacerbations seems clinically important, nearly half of these exacerbations remain unreported and subsequently untreated. Recent studies have investigated incidence and impact of failure to seek medical treatment during exacerbations. Yet, little is known about type and timing of other self-management actions in periods of symptom deterioration. The current prospective study aims at determining the relative incidence, timing and determinants of three types of patient responses. In a multicentre observational study, 121 patients (age 67 ± 11 years, FEV1pred. 48 ± 19) were followed for 6 weeks by daily diary symptom recording. Three types of action were assessed daily: planning periods of rest, breathing techniques and/or sputum clearing (type-A), increased bronchodilator use (type-B) and contacting a healthcare provider (type-C). Type-A action was taken in 70.7%, type-B in 62.7% and type C in 17.3% of exacerbations (n = 75). Smokers were less likely to take type-A and B actions. Type-C actions were associated with more severe airflow limitation and increased number of hospital admissions in the last year. Our study shows that most patients are willing to take timely self-management actions during exacerbations. Future research is needed to determine whether the low incidence of contacting a healthcare provider is due to a lack of self-management or healthcare accessibility.</t>
  </si>
  <si>
    <t>Mean common or mean maximum carotid intima-media thickness as primary outcome in lipid-modifying intervention studies.</t>
  </si>
  <si>
    <t>Dogan, Soner; Kastelein, Johannes Jacob Pieter; Grobbee, Diederick Egbertus; Bots, Michiel Leonardus</t>
  </si>
  <si>
    <t>journal of atherosclerosis and thrombosis</t>
  </si>
  <si>
    <t>https://pubmed.ncbi.nlm.nih.gov/21844660</t>
  </si>
  <si>
    <t>Carotid intima-media thickness (CIMT) measurements are used as a disease outcome in randomized controlled trials that assess the effects of lipid-modifying treatment. It is unclear whether common CIMT or mean maximum CIMT should be used as the primary outcome. We directly compared both measurements using aspects that are of great importance in deciding which is most favorable for use in clinical trials. A literature search was performed (PUBMED, up to March 31, 2008). Fifteen trials with lipid-modifying treatment were identified that had information on both outcome measures. Common CIMT and mean maximum CIMT were compared on reproducibility, strength of relation with LDL and HDL cholesterol and congruency of their results (harm/neutral/beneficial) with data from event trials. Findings showed that the reported reproducibility was high for both measurements, although a direct comparison was not possible. The relationship between the achieved LDL-C and HDL-C levels with CIMT progression was modest and showed no difference in magnitude between CIMT measurements. CIMT progression rates differed across carotid segments with the highest progression rates observed in the bifurcation segment. Treatment effects differed across carotid segments without a clear preference pattern. Trials using mean maximum CIMT progression more often (12 out of 15 studies) paralleled the findings of event trials in contrast to the mean common CIMT (11 out of 15 studies), a difference not reaching statistical significance. Based on the literature, with equal results for reproducibility (assumed), lipid relationship and congruency with event findings, but with treatment effects that differ across carotid segments that can not be predicted, the mean maximum CIMT as the primary outcome may be preferred in trials on the impact of lipid-modifying interventions. One advantage is that information on mean common CIMT can generally be obtained easily in protocols assessing mean maximum CIMT, but not the other way around.</t>
  </si>
  <si>
    <t>Location and progression of cerebral small-vessel disease and atrophy, and depressive symptom profiles: the Second Manifestations of ARTerial disease (SMART)-Medea study.</t>
  </si>
  <si>
    <t>Grool, A M; van der Graaf, Y; Mali, W P Th M; Witkamp, Th D; Vincken, K L; Geerlings, M I; ,</t>
  </si>
  <si>
    <t>https://pubmed.ncbi.nlm.nih.gov/21835088</t>
  </si>
  <si>
    <t>The 'vascular depression' hypothesis states that brain changes located in frontal-subcortical pathways increase vulnerability for specific depressive symptom profiles, but studies examining locations of small-vessel and degenerative changes with individual symptoms are scarce. We examined whether location and progression of white-matter lesions (WMLs), lacunar infarcts and atrophy were associated with motivational and mood symptoms in patients with symptomatic atherosclerotic disease. In 578 patients [63 (s.d.=8) years] of the Second Manifestations of ARTerial disease (SMART)-Medea study, volumes of WMLs and atrophy and visually rated infarcts were obtained with 1.5 T magnetic resonance imaging at baseline and after 3.9 (s.d.=0.4) years' follow-up. Depressive symptoms were assessed with Patient Health Questionnaire-9 at follow-up and categorized into motivational and mood symptoms. Regression analyses adjusted for age, gender, education, Mini-Mental State Examination, physical functioning, antidepressant use and vascular risk factors showed that location in mainly deep white-matter tracts and progression of WMLs were associated with symptoms of anhedonia, concentration problems, psychomotor retardation and appetite disturbance. Lacunar infarcts in deep white matter were associated with greater motivational [Incidence rate ratio (IRR) 1.7, 95% confidence interval (CI) 1.2-2.4] and mood (IRR 1.7, 95% CI 1.1-2.6) sumscores, and with symptoms of psychomotor retardation, energy loss and depressed mood; lacunar infarcts in the thalamus were associated with psychomotor retardation only. Cortical atrophy was associated with symptoms of anhedonia and appetite disturbance. Excluding patients with major depression did not materially change the results. Our findings suggest that disruption of frontal-subcortical pathways by small-vessel lesions leads to a symptom profile that is mainly characteristic of motivational problems, also in the absence of major depression.</t>
  </si>
  <si>
    <t>Manual or semi-automated edge detection of the maximal far wall common carotid intima-media thickness: a direct comparison.</t>
  </si>
  <si>
    <t>Peters, S A E; den Ruijter, H M; Palmer, M K; Grobbee, D E; Crouse, J R; O'Leary, D H; Evans, G W; Raichlen, J S; Lind, L; Bots, M L; ,</t>
  </si>
  <si>
    <t>https://pubmed.ncbi.nlm.nih.gov/21726301</t>
  </si>
  <si>
    <t>Automated edge detection is thought to be superior to manual edge detection in quantification of the far wall common carotid intima-media thickness (CIMT), yet published evidence making a direct comparison is not available. Data were used from the METEOR study, a randomized placebo-controlled trial among 984 individuals showing that rosuvastatin attenuated the rate of change of 2 year change in CIMT among low-risk individuals with subclinical atherosclerosis. For this post hoc analysis, CIMT images of the far wall of the common carotid artery were evaluated using manual and semi-automated edge detection and reproducibility, relation to cardiovascular risk factors, rates of change over time and effects of lipid-lowering therapy were assessed. Reproducibility was high for both reading methods. Direction, magnitude and statistical significance of risk factor relations were similar across methods. Rate of change in CIMT in participants assigned to placebo was 0.0066 mm per year (SE: 0.0027) for manually and 0.0072 mm per year (SE: 0.0029) for semi-automatically read images. The effect of lipid-lowering therapy on CIMT changes was -0.0103 mm per year (SE: 0.0032) for manual reading and -0.0111 mm per year (SE: 0.0034) for semi-automated reading. Manual and semi-automated readings of the maximal far wall of the common CIMT images both result in high reproducibility, show similar risk factor relations, rates of change and treatment effects. Hence, choices between semi-automated and manual reading software for CIMT studies likely should be based on logistical and cost considerations rather than differences in expected data quality when the choice is made to use far wall common CIMT measurements.</t>
  </si>
  <si>
    <t>Cigarette smoking and endogenous sex hormones in postmenopausal women.</t>
  </si>
  <si>
    <t>Brand, Judith S; Chan, Mei-Fen; Dowsett, Mitch; Folkerd, Elizabeth; Wareham, Nicholas J; Luben, Robert N; van der Schouw, Yvonne T; Khaw, Kay-Tee</t>
  </si>
  <si>
    <t>https://pubmed.ncbi.nlm.nih.gov/21832108</t>
  </si>
  <si>
    <t>Sex hormones play a key role in women's health, but little is known about lifestyle factors that influence their levels. The objective of the study was to investigate the relationship between cigarette smoking habits and endogenous sex hormone levels in postmenopausal women. This was a cross-sectional study among 2030 postmenopausal women aged 55-81 yr from the Norfolk population of the European Prospective Investigation into Cancer. All women were at least 1 yr postmenopausal and not currently using hormone replacement therapy. General linear models were used to examine the relationship between smoking habits and sex hormone levels. Among current smokers, the daily number of cigarettes smoked was associated with increased levels of testosterone (19-37%), free testosterone (19-34%), 17-hydroxprogesterone (17-22%), androstenedione (2-23%), SHBG (6-10%), and estradiol (-2 to 15%). Stratified analysis for body mass index revealed an interaction such that the association with SHBG was restricted to lean women, whereas a smoking-related increase in free estradiol was found only in overweight women. No clear dose-response relationship was observed for estrone, although its levels were highest in heavy smokers. Current smoking habit was associated with a larger difference in sex hormone levels than lifetime cigarette exposure as measured by pack-years. Among former smokers, sex hormones were at levels of never smokers within 1-2 yr of smoking cessation. Cigarette smoking is associated with higher circulating levels of androgens, estrogens, 17-hydroxprogesterone, and SHBG in postmenopausal women. The almost immediate lower levels with smoking cessation may indicate that hormone related disease risks could potentially be modified by changing smoking habits.</t>
  </si>
  <si>
    <t>Prediction of neonatal metabolic acidosis in women with a singleton term pregnancy in cephalic presentation.</t>
  </si>
  <si>
    <t>Westerhuis, Michelle E M H; Schuit, Ewoud; Kwee, Anneke; Zuithoff, Nicolaas P A; Groenwold, Rolf H H; Van Den Akker, Eline S A; Van Beek, Erik; Van Dessel, Hendrikus J H M; Drogtrop, Addy P; Van Geijn, Herman P; Graziosi, Guiseppe C M; Van Lith, Jan M M; Nijhuis, Jan G; Oei, S Guid; Oosterbaan, Herman P; Porath, Martina M; Rijnders, Robert J P; Schuitemaker, Nico W E; Wijnberger, Lia D E; Willekes, Christine; Wouters, Maurice G A J; Visser, Gerard H A; Mol, Ben Willem J; Moons, Karel G M</t>
  </si>
  <si>
    <t>https://pubmed.ncbi.nlm.nih.gov/21815125</t>
  </si>
  <si>
    <t>We sought to predict neonatal metabolic acidosis at birth using antepartum obstetric characteristics (model 1) and additional characteristics available during labor (model 2). In 5667 laboring women from a multicenter randomized trial that had a high-risk singleton pregnancy in cephalic presentation beyond 36 weeks of gestation, we predicted neonatal metabolic acidosis. Based on literature and clinical reasoning, we selected both antepartum characteristics and characteristics that became available during labor. After univariable analyses, the predictors of the multivariable models were identified by backward stepwise selection in a logistic regression analysis. Model performance was assessed by discrimination and calibration. To correct for potential overfitting, we (internally) validated the models with bootstrapping techniques. Of 5667 neonates born alive, 107 (1.9%) had metabolic acidosis. Antepartum predictors of metabolic acidosis were gestational age, nulliparity, previous cesarean delivery, and maternal diabetes. Additional intrapartum predictors were spontaneous onset of labor and meconium-stained amniotic fluid. Calibration and discrimination were acceptable for both models (c-statistic 0.64 and 0.66, respectively). In women with a high-risk singleton term pregnancy in cephalic presentation, we identified antepartum and intrapartum factors that predict neonatal metabolic acidosis at birth.</t>
  </si>
  <si>
    <t>Verification problems in diagnostic accuracy studies: consequences and solutions.</t>
  </si>
  <si>
    <t>de Groot, Joris A H; Bossuyt, Patrick M M; Reitsma, Johannes B; Rutjes, Anne W S; Dendukuri, Nandini; Janssen, Kristel J M; Moons, Karel G M</t>
  </si>
  <si>
    <t>https://pubmed.ncbi.nlm.nih.gov/21810869</t>
  </si>
  <si>
    <t>Primary care patients with heart failure in the last year of their life.</t>
  </si>
  <si>
    <t>Rutten, Frans H; Heddema, Wendelien S; Daggelders, Gerard J A; Hoes, Arno W</t>
  </si>
  <si>
    <t>https://pubmed.ncbi.nlm.nih.gov/21810902</t>
  </si>
  <si>
    <t>Quantitative information about the management of patients with advanced heart failure (HF) is scarce. To assess the management of primary care patients with HF in their last year of life. A retrospective observational study performed in 23 general practices in the Netherlands. The medical records of 399 patients with a diagnosis of HF and who died between 2001 and 2006 were scrutinized to review treatment and care in the year preceding death. The mean age at death was 82.3 (SD 8.8) years, and the median time between diagnosis and death was 48 months (range 3-285 months). In total, 55.9% died at home or home for the elderly, 32.6% in hospital and 11.5% in a nursing home or hospice. The mode of death was in 28% sudden death, in 23% progressive HF and in 49% others. During the last year of life, patients on average visited 0.4 times the cardiology outpatient clinic and needed on average 12.1 (range 0-53) home visits of the GP. At the end of life, 35% of all the patients received opioids, 7% haloperidol, 7% oxygen and 5% diuretics intravenously. Patients co-treated by a cardiologist received similar care, however, they used more HF drugs than patients managed solely by the GP. A minority of patients with advanced HF have a terminal phase and died of progressive HF. In the last year of life, the GP is the main provider of care.</t>
  </si>
  <si>
    <t>A health insurance company-initiated practice support intervention for optimizing acid-suppressing drug prescriptions in primary care.</t>
  </si>
  <si>
    <t>Smeets, Hugo M; Hoes, Arno W; Zuithoff, Nicolaas P A; van Dijk, Paul C M; van der Lee, Arnold P M; de Wit, Niek J</t>
  </si>
  <si>
    <t>https://pubmed.ncbi.nlm.nih.gov/21673577</t>
  </si>
  <si>
    <t>A health insurance-initiated programme to improve cost-effectiveness of acid-suppressing drugs (ASDs). To evaluate the effect of two different interventions of general practitioner support in reducing drug prescription. A sequential cluster randomized controlled trial with 90 participating general practitioners in a telephone support (TS) group or practice visit (PV) group. TS group received support in phase-1 (first 6 months), but served as control group in phase-2 (6-12 months period). PV group received no intervention in phase-1, serving as the control group for the TS group, but received support in phase-2. Prescription data were extracted from Agis Health Insurance Database. Outcomes were the proportion of responders to drug reduction and the number of defined daily dose (DDD). Differences in users and DDD were analysed using multilevel regression analysis. At baseline, 3424 patients used ASD chronically (211 DDDs, on average). The difference between TS and control groups among responders was 3.2% [95% confidence interval (CI): 0.8; 5.6] and relative risk was 1.26 (95% CI: 1.06; 1.51). The difference between PV and control groups was not relevant (0.4%, 95% CI: -1.99; 2.79 and relative risk: 1.01, 95% CI: 0.82; 1.20). The difference in DDD per patient was -3.0 (95% CI: -8.9; 2.9) and -5.82 (95% CI: -12.4; 0.73), respectively. This health insurance company-initiated intervention had a moderate effect on ASD prescription. In contrast to TS, PVs did not seem to reduce ASD prescription rates.</t>
  </si>
  <si>
    <t>Attenuation of rate of change in carotid intima-media thickness by lipid-modifying drugs: impact on clinical outcomes.</t>
  </si>
  <si>
    <t>american journal of cardiovascular drugs drugs devices and other interventions</t>
  </si>
  <si>
    <t>https://pubmed.ncbi.nlm.nih.gov/21657803</t>
  </si>
  <si>
    <t>Measurements of carotid intima-media thickness (CIMT) are widely used in clinical research as a measure of atherosclerosis. Many randomized controlled trials (RCTs) have been performed using the rate of change in CIMT as the primary endpoint to study the efficacy of lipid-modifying therapies. The main advantage of using CIMT over the use of cardiovascular events as a primary endpoint is the greater efficiency and feasibility. The underlying assumption for the use of CIMT in trials is that the rate of change in CIMT achieved by a therapy reflects a change in the risk for cardiovascular events. We therefore set out to assess the evidence showing whether the rate of change in CIMT induced by lipid-lowering therapies has an impact on clinical outcomes, by reviewing the available evidence based on a search of the PubMed database. Solid evidence from observational studies shows that increased CIMT relates to an increase in cardiovascular risk. RCTs consistently demonstrate that the annual rate of change in CIMT is favourably affected by lipid-modifying therapies. One study investigating the relationship between the rate of change in CIMT and clinical events has been published and showed a positive relationship between these two outcomes. A published meta-analysis based on pooled CIMT data from statin trials has shown a positive relationship between attenuated rate of change in CIMT after statin therapy and clinical outcomes. However, methodological issues question the validity of the meta-analytical approach. The consistent agreement between results from CIMT trials and event trials on the effects of lipid-modifying therapies, however, clearly supports the presence of a relationship between changes in CIMT and clinical endpoints. Therefore, although direct evidence is scarce, the data overall on whether the attenuation of rate of change in CIMT by lipid-lowering therapies impact on clinical outcomes are supportive.</t>
  </si>
  <si>
    <t>Cardiovascular prevention and international health: time for action.</t>
  </si>
  <si>
    <t>Browne, Joyce L; Grobbee, Diederick E</t>
  </si>
  <si>
    <t>european journal of cardiovascular prevention and rehabilitation official journal of the european society of cardiology working groups on epidemiology prevention and cardiac rehabilitation and exercise physiology</t>
  </si>
  <si>
    <t>https://pubmed.ncbi.nlm.nih.gov/23905187</t>
  </si>
  <si>
    <t>Effect of an action plan with ongoing support by a case manager on exacerbation-related outcome in patients with COPD: a multicentre randomised controlled trial.</t>
  </si>
  <si>
    <t>Trappenburg, Jaap C A; Monninkhof, Evelyn M; Bourbeau, Jean; Troosters, Thierry; Schrijvers, Augustinus J P; Verheij, Theo J M; Lammers, Jan-Willem J</t>
  </si>
  <si>
    <t>https://pubmed.ncbi.nlm.nih.gov/21785156</t>
  </si>
  <si>
    <t>An individualised action plan (AP) is a potentially effective method of helping patients with chronic obstructive pulmonary disease (COPD) to recognise and anticipate early exacerbation symptoms. This multicentre randomised controlled trial evaluates the hypothesis that individualised APs reduce exacerbation recovery time. Two hundred and thirty-three patients with COPD (age 65±10 years, forced expiratory volume in 1 s 56±21% predicted) were randomised to receive either an individualised AP (n=111) or care as usual (n=122). The AP provides individualised treatment prescriptions (pharmaceutical and non-pharmaceutical) related to a colour-coded symptom status to enhance an adequate response to periods of symptom deterioration (reinforced at 1 and 4 months). Exacerbation onset was defined using the Anthonisen symptom diary card algorithm. Every 3 days the Clinical COPD Questionnaire (CCQ) was assessed to evaluate the longitudinal course of health status. The primary outcome was health status recovery in the event of an exacerbation. During the 6-month follow-up period there was no difference in exacerbation rates and healthcare utilisation between the two groups. Cox-adjusted survival analysis including frailty showed enhanced health status recovery (HR 1.58; 95% CI 0.96 to 2.60) and reduced length of the exacerbation (HR 1.30; 95% CI 0.92 to 1.84). The mean difference in symptom recovery time was -3.68 days (95% CI -7.32 to -0.04). Mixed model repeated measure analysis showed that an AP decreased the impact of exacerbations on health status both in the prodromal and early post-onset periods. Between-group differences in CCQ scores were above the minimal clinically relevant difference of 0.4 points (3.0±0.7 vs. 3.4±0.9; p≤0.01). This study shows that an individualised AP, including ongoing support by a case manager, decreases the impact of exacerbations on health status and tends to accelerate recovery. APs can be considered a key component of self-management programmes in patients with COPD.</t>
  </si>
  <si>
    <t>The sex-specific effects of famine on the association between placental size and later hypertension.</t>
  </si>
  <si>
    <t>van Abeelen, A F M; de Rooij, S R; Osmond, C; Painter, R C; Veenendaal, M V E; Bossuyt, P M M; Elias, S G; Grobbee, D E; van der Schouw, Y T; Barker, D J P; Roseboom, T J</t>
  </si>
  <si>
    <t>placenta</t>
  </si>
  <si>
    <t>https://pubmed.ncbi.nlm.nih.gov/21742377</t>
  </si>
  <si>
    <t>People who had low birth weight are at increased risk of hypertension. This may reflect fetal programming by undernutrition. Placental size is also associated with hypertension. Maternal undernutrition during the Dutch famine reduced placental surface area. We examined whether maternal undernutrition altered the relationship between placental size and later hypertension. Retrospective cohort study among 860 subjects born in Amsterdam during 1943-47. 216 subjects were taking anti-hypertensive medication. Birth records included placental length and breadth from which we calculated its area. Among men who were not in utero during the famine hypertension was associated with a small placental surface area due to a small placental breadth, and with an oval-shaped surface. The OR for hypertension was 0.83 (95% CI 0.70 to 1.00) for a 40 cm(2) increase in surface area. Among men who were in utero during the famine hypertension was associated with a large placental surface area due to a large placental breadth, and with a round-shaped surface. The OR for hypertension was 1.34 (95% CI 0.99 to 1.80) for a 40 cm(2) increase in surface area. The associations between placental size and hypertension in men who were and were not in utero during the famine were significantly different (p values for interaction = 0.008 for placental surface area, 0.001 for the breadth and 0.01 for the difference in the two diameters). Among women hypertension was not associated with placental size. Our study provides the first direct evidence that changes in maternal diet during pregnancy alter the relationship between placental size and later hypertension among men but not women. We suggest that among men who were not in utero during the famine, hypertension was related to impaired implantation, whereas among men who were in utero during the famine it was related to compensatory expansion of the placental surface.</t>
  </si>
  <si>
    <t>Equipoise should be amended, not abandoned.</t>
  </si>
  <si>
    <t>van der Graaf, Rieke; van Delden, Johannes J M</t>
  </si>
  <si>
    <t>https://pubmed.ncbi.nlm.nih.gov/21746767</t>
  </si>
  <si>
    <t>Benjamin Freedman has argued in 1987 that before a controlled trial is started, there should be 'genuine uncertainty in the expert medical community about the preferred treatment'. Freedman's definition of the concept is widespread in clinical research, but has been controversial since its start. Over the past decade, the equipoise controversy has become increasingly complex. This article aims: (1) to identify and clarify the main points of contention in the equipoise controversy, and (2) to reconcile the opposing views by pointing at areas of overlap between proponents and opponents in the equipoise debate. We analyze the positions of the leading authors in the equipoise debate in the past decade. There is substantial overlap between the opponents and proponents of equipoise. Both should be able to accept the following answers to points of contention in the debate: (1) the therapeutic obligation can remain the basis for equipoise as long as it is conceived as an obligation to provide participants with competent care, (2) equipoise is grounded in a competent care and an epistemological dilemma, (3) equipoise does not as a rule prohibit placebo-controlled trials when proven effective treatment exists, (4) patient equipoise and individual physician equipoise are irrelevant, and (5) having to stop a trial is not always equivalent to disturbing equipoise. Clarification of these points of contention leads to a sharpened definition of equipoise: 'a state of genuine agnosticism or conflict in the expert medical community about the net preferred medically established procedure for the condition under study'. This definition asks of physician-researchers and members of IRBs to meet two conditions: (1) to genuinely evaluate to what extent a proposed randomized clinical trial solves a state of agnosticism or a knowledge conflict in the expert medical community and (2) to respect the standard of competent care, meaning that they consider whether the regular clinical standard from an all-things considered perspective is also the preferred standard in the research context. Equipoise is a specification of two general ethical principles for clinical research: scientific validity and a favorable risk benefit ratio. As a specification equipoise adds substance to these principles since they do not explicitly ask for the two conditions. Equipoise is a prima facie obligation rather than a morally authoritative principle for determining the acceptability of clinical trials. It needs to be balanced against other norms for clinical research. Violation of equipoise is therefore not always unethical. This study is limited to the context of randomized clinical trials. There is no decisive reason to give up on the equipoise requirement.</t>
  </si>
  <si>
    <t>Preventing Staphylococcus aureus bacteremia and sepsis in patients with Staphylococcus aureus colonization of intravascular catheters: a retrospective multicenter study and meta-analysis.</t>
  </si>
  <si>
    <t>Hetem, David J; de Ruiter, Susanne C; Buiting, Anton G M; Kluytmans, Jan A J W; Thijsen, Steven F; Vlaminckx, Bart J M; Wintermans, Robert G F; Bonten, Marc J M; Ekkelenkamp, Miquel B</t>
  </si>
  <si>
    <t>https://pubmed.ncbi.nlm.nih.gov/21694650</t>
  </si>
  <si>
    <t>Two previous studies in tertiary care hospitals identified Staphylococcus aureus colonization of intravascular (IV) catheters as a strong predictor of subsequent S. aureus bacteremia (SAB), even in the absence of clinical signs of systemic infection. Bacteremia was effectively prevented by timely antibiotic therapy. We conducted this study to corroborate the validity of these findings in non-university hospitals.Using the laboratory information management systems of the clinical microbiology departments in 6 Dutch hospitals, we identified patients who had IV catheters from which S. aureus was cultured between January 1, 2003, and December 31, 2008. Patients with demonstrated SAB between 7 days before catheter removal and 24 hours after catheter removal were excluded. We extracted clinical and demographic patient data from the patients' medical records. The primary risk factor was initiation of anti-staphylococcal antibiotic therapy within 24 hours, and the primary endpoint was SAB &gt;24 hours after IV catheter removal. Subsequently, we performed a systematic review and meta-analysis of all observational studies evaluating the effect of antibiotic therapy for S. aureus IV catheter tip colonization.In the current study, 18 of the 192 included patients developed subsequent SAB, which was associated with not receiving antibiotic therapy within 24 hours (odds ratio [OR], 4.2; 95% confidence interval [CI], 1.1-15.6) and with documented exit-site infection (OR, 3.3; 95% CI, 1.2-9.3). When we combined these results with results of a previous study in a university hospital, a third risk factor was also associated with subsequent SAB, namely corticosteroid therapy (OR, 2.9; 95% CI, 1.3-6.3). We identified 3 other studies, in addition to the present study, in a systematic review. In the meta-analysis of these studies, antibiotic therapy yielded an absolute risk reduction of 13.6% for subsequent SAB. The number needed to treat to prevent 1 episode of SAB was 7.4.We conclude that early initiation of antibiotic therapy for IV catheters colonized with S. aureus prevents subsequent SAB.</t>
  </si>
  <si>
    <t>Being a parent of a child with cancer throughout the end-of-life course.</t>
  </si>
  <si>
    <t>Kars, Marijke C; Grypdonck, Mieke H F; van Delden, Johannes J M</t>
  </si>
  <si>
    <t>oncology nursing forum</t>
  </si>
  <si>
    <t>https://pubmed.ncbi.nlm.nih.gov/21708521</t>
  </si>
  <si>
    <t>To elucidate parents' experiences when caring at home for their child with incurable cancer and to show how parents give meaning to their experiences throughout the end-of-life (EOL) phase. Interpretative qualitative study. Five academic pediatric oncology centers. 42 parents of 22 children with incurable cancer, cared for at home. An inductive thematic analysis of single and repeated open interviews using phenomenological techniques. Four EOL stages were identified: becoming aware of the inevitable death, making the child's life enjoyable, managing the change for the worse, and being with the dying child. The essence of parenting during those stages was captured by the notion of being meaningful to the child and preserving the parent-child relationship. Parents were able to cope better with the EOL phase and to sustain their parenting role because of their ability to postpone grief, enjoy their child's expressions of happiness, see the child's identity despite physical impairment, and enjoy the rewards they experienced from being there for their child. Parenting while losing a child brings parents to the point of an existential crisis. The child's deterioration forces parents to redefine their traditional parenting role. Although the way parents give meaning to their caregiving experience helps them cope, it can decrease their ability to acknowledge the child's needs. Nurses can help parents to face the reality of their child's situation and redefine their role accordingly, such as by providing information and alternative perceptions that fit the child's changed needs while preserving the parent-child relationship. Attention to signals indicating stress disorders is needed.</t>
  </si>
  <si>
    <t>Feedback of individual genetic results to research participants: in favor of a qualified disclosure policy.</t>
  </si>
  <si>
    <t>Bredenoord, Annelien L; Onland-Moret, N Charlotte; Van Delden, Johannes J M</t>
  </si>
  <si>
    <t>https://pubmed.ncbi.nlm.nih.gov/21538687</t>
  </si>
  <si>
    <t>This article discusses whether and when researchers have a moral obligation to feedback individual genetic research results. This unsettled debate has rapidly gained in urgency in view of the emergence of biobanks and the advances in next-generation sequencing technology, which has the potential to generate unequalled amounts of genetic data. This implies that the generation of many known and unknown genetic variants in individual participants of genetics/genomics research as intentionally or collaterally obtained byproducts is unavoidable. As we conclude that valid reasons exist to adopt a duty to return genetic research results, a qualified disclosure policy is proposed. This policy contains a standard default package, possibly supplemented with (one or more of) three additional packages. Whereas the default package, containing life-saving information of immediate clinical utility, should be offered routinely and mandatory to all research participants, offering (one of) the three additional packages is context-specific. Such a qualified disclosure policy in our opinion best balances the potential benefits of disclosure with the potential risks for research participants and the harms of unduly hindering biomedical research. We appeal to the genetics community to make a joint effort to further refine the packages and set thresholds for result selection.</t>
  </si>
  <si>
    <t>The psychiatric case register middle Netherlands.</t>
  </si>
  <si>
    <t>Smeets, Hugo M; Laan, Wijnand; Engelhard, Iris M; Boks, Marco P M; Geerlings, Mirjam I; de Wit, Niek J</t>
  </si>
  <si>
    <t>https://pubmed.ncbi.nlm.nih.gov/21714926</t>
  </si>
  <si>
    <t>The Psychiatric Case Register Middle Netherlands (PCR-MN) registers the mental healthcare consumption of over Dutch 760,000 inhabitants in the centre of the Netherlands. In 2010 the follow-up period was over ten years. In this paper we describe the content, aims and research potential of this case register. All mental healthcare institutions in the middle-western part of the province of Utrecht participate in the PCR-MN case register. All in- and out-patients treated in these institutions have been included in the database from the period 2000 to 2010. Diagnosis according to DSM-IV on axis I to IV, visits to in- and out-patient clinics and basic demographics are recorded. A major advantage of this register is the possibility to link patients anonymously from the PCR-MN cohort to other databases to analyze relationships with determinants and outcomes, such as somatic healthcare consumption, mortality, and demographics, which further increases the research potential The PCR-MN database has a large potential for scientific research because of its size, duration of follow-up and ability to link with additional databases, and is accessible for academic researchers.</t>
  </si>
  <si>
    <t>Is informed consent necessary for randomized Phase IV 'observational' drug studies?</t>
  </si>
  <si>
    <t>https://pubmed.ncbi.nlm.nih.gov/21741495</t>
  </si>
  <si>
    <t>This article addresses the question about whether informed consent (IC) can be waived in Phase IV randomized observational drug studies (P4RODSs). To do this, it was first necessary to establish that the term P4RODS is a contradiction precisely because randomization necessarily makes a study 'interventional', hence P4RIDS. Once this was established we argued that, based on the right and the harm principles, universally waiving IC in P4RIDS is ethically unjustifiable. Looking into public health and the nature of equipotent and bioequivalent drugs were also insufficient rationale to justify circumstantial waiving of IC. We conclude that IC can never be waived in P4RIDS, although an opt-out procedure in minimal risk studies could be ethically acceptable.</t>
  </si>
  <si>
    <t>Depression, anxiety and physical function: exploring the strength of causality.</t>
  </si>
  <si>
    <t>Stegenga, Bauke T; Nazareth, Irwin; Torres-González, Francisco; Xavier, Miguel; Svab, Igor; Geerlings, Mirjam I; Bottomley, Christian; Marston, Louise; King, Michael</t>
  </si>
  <si>
    <t>https://pubmed.ncbi.nlm.nih.gov/21693471</t>
  </si>
  <si>
    <t>Depression, anxiety and physical function may be bi-directionally related. We aim to estimate the strength of the longitudinal associations between depression, anxiety and physical function. Prospective cohort study of general practice attendees across Europe (N=4757) assessed at baseline, 6, 12 and 24 months. Main outcome measures were Diagnostic and Statistical Manual of Mental Disorders-IV major depression, Patient Health Questionnaire anxiety and Short Form 12 physical function. Complete-case analyses using random coefficient models and logistic regression models were performed. Those with depression (β=-1.90, 95% CI -3.42 to -0.39), anxiety (β=-4.12, 95% CI -5.39 to -2.86) or depression and anxiety (β=-5.74, 95% CI -7.38 to -4.10) had lower levels of physical function at baseline and over time compared with no diagnosis after adjustment for potential confounders. Physical function increased over time, but the rate of increase was not different between the groups. When compared with depression, those with anxiety (β=-2.22, 95% CI -4.08 to -0.36) or depression and anxiety (β=-3.83, 95% CI -5.95 to -1.71) had significantly lower levels of physical function at baseline. Lower levels of physical function at baseline were associated with onset of depression (OR 1.83, 95% CI 1.08 to 3.10) but even stronger with anxiety (OR 2.79, 95% CI 1.52 to 5.12) or depression and anxiety (OR 5.05, 95% CI 2.55 to 9.99) during 24 months compared with no dysfunction, after adjustment for potential confounders. It is essential to prevent lower levels of physical function as this is likely to lead to onset of depression and anxiety over time.</t>
  </si>
  <si>
    <t>Potential misinterpretation of treatment effects due to use of odds ratios and logistic regression in randomized controlled trials.</t>
  </si>
  <si>
    <t>Knol, Mirjam J; Duijnhoven, Ruben G; Grobbee, Diederick E; Moons, Karel G M; Groenwold, Rolf H H</t>
  </si>
  <si>
    <t>https://pubmed.ncbi.nlm.nih.gov/21698176</t>
  </si>
  <si>
    <t>In randomized controlled trials (RCTs), the odds ratio (OR) can substantially overestimate the risk ratio (RR) if the incidence of the outcome is over 10%. This study determined the frequency of use of ORs, the frequency of overestimation of the OR as compared with its accompanying RR in published RCTs, and we assessed how often regression models that calculate RRs were used. We included 288 RCTs published in 2008 in five major general medical journals (Annals of Internal Medicine, British Medical Journal, Journal of the American Medical Association, Lancet, New England Journal of Medicine). If an OR was reported, we calculated the corresponding RR, and we calculated the percentage of overestimation by using the formula . Of 193 RCTs with a dichotomous primary outcome, 24 (12.4%) presented a crude and/or adjusted OR for the primary outcome. In five RCTs (2.6%), the OR differed more than 100% from its accompanying RR on the log scale. Forty-one of all included RCTs (n = 288; 14.2%) presented ORs for other outcomes, or for subgroup analyses. Nineteen of these RCTs (6.6%) had at least one OR that deviated more than 100% from its accompanying RR on the log scale. Of 53 RCTs that adjusted for baseline variables, 15 used logistic regression. Alternative methods to estimate RRs were only used in four RCTs. ORs and logistic regression are often used in RCTs and in many articles the OR did not approximate the RR. Although the authors did not explicitly misinterpret these ORs as RRs, misinterpretation by readers can seriously affect treatment decisions and policy making.</t>
  </si>
  <si>
    <t>Added value of CAC in risk stratification for cardiovascular events: a systematic review.</t>
  </si>
  <si>
    <t>Peters, Sanne A E; Bakker, Marina; den Ruijter, Hester M; Bots, Michiel L</t>
  </si>
  <si>
    <t>https://pubmed.ncbi.nlm.nih.gov/21644944</t>
  </si>
  <si>
    <t>Identification of individuals at high risk for cardiovascular disease (CVD) is important to initiate adequate treatment and to prevent future events. Moreover, identification of low-risk individuals is important to refrain from unneeded therapy. Current risk prediction models do not accurately predict the risk of CVD in individuals, and new markers have been sought to improve the risk assessment in individuals. Coronary artery calcification (CAC) is a marker of atherosclerosis that might improve current risk assessment when added to traditional risk factors. We performed a systematic review on PubMed search (1 February 2011) on studies reporting on the added value of CAC in risk prediction in asymptomatic individuals. Of 39 publications on CAC and CVD, nine studies were carried out in asymptomatic individuals. All studies showed an increase in area under the curve ranging from 0.05 to 0.20 when CAC was added to the risk model. Four studies reported on improvements of individuals in low-, intermediate-, and high-risk categories. Addition of CAC to the risk model resulted in a net reclassification improvement ranging from 14% to 30%, meaning that CAC measurement reclassified a substantial proportion of individuals into correct risk categories. This improvement was most pronounced in those at intermediate Framingham risk. The available studies consistently showed that CAC scoring improves risk stratification in CVD risk categories when added to traditional risk factors only, especially among individuals at intermediate risk for CVD. Cost-effectiveness analyses together with a randomized controlled trial are needed before widespread introduction of CAC in clinical care.</t>
  </si>
  <si>
    <t>Effect of number of ultrasound examinations on the assessment of carotid intima-media thickness changes over time: the example of the METEOR study.</t>
  </si>
  <si>
    <t>Peters, Sanne A E; Palmer, Mike K; Grobbee, Diederick E; Crouse, John R; Evans, Gregory W; Raichlen, Joel S; Bots, Michiel L; ,</t>
  </si>
  <si>
    <t>https://pubmed.ncbi.nlm.nih.gov/21546878</t>
  </si>
  <si>
    <t>To evaluate the effect of the number and positioning during follow-up of ultrasound examinations on the rate of change in carotid intima-media thickness (CIMT) using METEOR (Measuring Effects on Intima-Media Thickness: an Evaluation of Rosuvastatin) as an example. METEOR was a randomized, placebo-controlled trial showing that rosuvastatin reduced progression of 2-year change in CIMT among low-risk patients with subclinical atherosclerosis. In the full METEOR protocol, ultrasound examinations were performed twice before randomization, once each at 6, 12, and 18 months after randomization, and then twice at the end of study at 24 months. For the present study, 17 study designs were retrospectively constructed with varying number and position of ultrasound examinations during the study. Differences in the rate of change in maximum CIMT between these study designs were compared. Variations in frequency of ultrasound visits gave results in the same direction and magnitude for the change in maximum CIMT for both groups (i.e. nonsignificant change for rosuvastatin and significant progression for placebo, and a significant difference between treatments). However, standard errors were larger when the number of exams reduced. This finding was consistent over different lengths of follow-up, sample sizes, and with CIMT measurements made on different locations. Protocols with different number and timing of ultrasound examinations minimally affect the direction and magnitude of treatment effects on the rate of change in CIMT. However, reductions in exam frequency increase standard errors of rates of change, suggesting larger sample sizes would be required to have the same level of statistical power.</t>
  </si>
  <si>
    <t>Clinical utility of three B-type natriuretic peptide assays for the initial diagnostic assessment of new slow-onset heart failure.</t>
  </si>
  <si>
    <t>Kelder, Johannes C; Cramer, Maarten J; Verweij, Wim M; Grobbee, Diederick E; Hoes, Arno W</t>
  </si>
  <si>
    <t>https://pubmed.ncbi.nlm.nih.gov/21872142</t>
  </si>
  <si>
    <t>In patients suspected of new slow-onset heart failure, data on the comparative diagnostic performance of automated B-type natriuretic peptide (BNP) assays are scarce. Two hundred patients referred to a heart failure outpatient diagnostic facility underwent standard diagnostic work-up including echocardiography. The reference standard for the diagnosis of heart failure was an expert panel conclusion. N-terminal pro-BNP on Elecsys and BNP on Axsym and Centaur machines were measured in a single batch. Data were available for 172 patients; 51 had heart failure (29.7%). All 3 tests had high c-statistic values. An intermediate-risk subset of 111 patients (34% with heart failure) was created by excluding patients with very high or very low probability based on history and physical examination, the subgroup most in need of an additional test. Applying different thresholds for ruling heart failure in or out, the positive predicted values in this "gray zone" group were 75%, 76%, and 72%, respectively, and the negative predictive values 83%, 71%, and 85%, with the remaining 50% of patients having ∼18% probability of heart failure. In practice, a valid diagnosis in patients suspected of slow-onset heart failure remains elusive for many in the absence of echocardiographic imaging.</t>
  </si>
  <si>
    <t>The use of plaque score measurements to assess changes in atherosclerotic plaque burden induced by lipid-lowering therapy over time: the METEOR study.</t>
  </si>
  <si>
    <t>Peters, Sanne A E; Dogan, Soner; Meijer, Rudy; Palmer, Mike K; Grobbee, Diederick E; Crouse, John R; O'Leary, Daniel H; Evans, Gregory W; Raichlen, Joel S; Bots, Michiel L</t>
  </si>
  <si>
    <t>https://pubmed.ncbi.nlm.nih.gov/21617330</t>
  </si>
  <si>
    <t>To evaluate whether plaque scoring measurements are able to track changes in atherosclerotic plaque burden over time and to study whether this is affected by lipid-lowering therapy. Data used were from METEOR (Measuring Effects on Intima-Media Thickness: an Evaluation Of Rosuvastatin), a randomized controlled trial of rosuvastatin 40 mg among 984 low-risk patients with modest carotid intima-media thickening (CIMT). In this analysis, duplicate ultrasound images from 12 carotid sites were collected at the baseline and end of the study from 495 European patients and were evaluated for plaque presence and severity. Plaques were scored from near and far walls of the 12 sites (0= none; 1= minimal; 2= moderate; 3= severe) and plaque scores (PS) were combined into two summary measures for each examination. The MeanMaxPS is the mean over the 12 carotid sites of the maximum score at each site and the MaxMaxPS reflects the most severe lesion at any site. Baseline MeanMaxPS and MaxMaxPS were 0.31 (SD: 0.20) and 1.15 (SD: 0.51), respectively. Changes in MeanMaxPS and MaxMaxPS significantly differed between rosuvastatin and placebo (mean difference: -0.03 [SE: 0.01; p =0.016] and -0.09 [SE: 0.04; p =0.027], respectively). In contrast to rosuvastatin, which demonstrated no change from the baseline, placebo showed significant progression in MeanMaxPS and MaxMaxPS (p =0.002; both). The plaque-scoring method proved capable of assessing the change in atherosclerotic plaque burden over time and proved useful to evaluate lipid-lowering in asymptomatic individuals with a low risk of cardiovascular disease and subclinical atherosclerosis.</t>
  </si>
  <si>
    <t>Genetic susceptibility to sporadic ovarian cancer: a systematic review.</t>
  </si>
  <si>
    <t>Braem, M G M; Schouten, L J; Peeters, P H M; van den Brandt, P A; Onland-Moret, N C</t>
  </si>
  <si>
    <t>biochimica et biophysica acta</t>
  </si>
  <si>
    <t>https://pubmed.ncbi.nlm.nih.gov/21641967</t>
  </si>
  <si>
    <t>Ovarian cancer is a highly lethal disease. Many researchers have, therefore, attempted to identify high risk populations. In this perspective, numerous genetic association studies have been performed to discover common ovarian cancer susceptibility variants. Accordingly, there is an increasing need to synthesize the evidence in order to identify true associations. A comprehensive and systematic assessment of all available data on genetic susceptibility to sporadic ovarian cancer was carried out. The evidence of statistically significant findings was evaluated based on the number of positive replications, the ratio of positive and negative studies, and the false-positive report probability (FPRP). The authors reviewed three genome-wide association studies (GWAS) and 147 candidate gene studies, published from 1990 to October 2010, including around 1100 genetic variants in more than 200 candidate genes and 20 intergenic regions. Genetic variants with the strongest evidence for an association with ovarian cancer include the rs2854344 in the RB1 gene and SNPs on chromosomes 9p22.2, 8q24, 2q31, and 19p13. Promising genetic pathways for ovarian cancer include the cell cycle, DNA repair, sex steroid hormone and oncogenic pathway. Concluding, this review shows that many genetic association studies have been performed, but only a few genetic variants show strong evidence for an association with ovarian cancer. More research is needed to elucidate causal genetic variants, taking into consideration gene-gene and gene-environment interactions, combined effects of common and rare variants, and differences between histological subtypes of this cancer.</t>
  </si>
  <si>
    <t>Asymmetrical distribution of atherosclerosis in the carotid artery: identical patterns across age, race, and gender.</t>
  </si>
  <si>
    <t>Tajik, Parvin; Meijer, Rudy; Duivenvoorden, Raphaël; Peters, Sanne A E; Kastelein, John J; Visseren, Frank J; Crouse, John R; Palmer, Mike K; Raichlen, Joel S; Grobbee, Diederick E; Bots, Michiel L</t>
  </si>
  <si>
    <t>https://pubmed.ncbi.nlm.nih.gov/21613319</t>
  </si>
  <si>
    <t>Small autopsy studies and clinical practice indicated that carotid atherosclerosis develops in an asymmetrical helical pattern coinciding with regions of low shear stress. We investigated the distribution of carotid atherosclerosis as determined by maximum carotid intima-media thickness (CIMT), to assess if we could confirm this atherosclerotic configuration across various populations with different cardiovascular risk. We used the individual baseline CIMT data from 3364 subjects from four recent international multicentre randomized controlled trials in which the carotid artery was systematically examined using the same ultrasound protocol and method to quantify CIMT. For each subject, circumferential information on the maximum CIMT of the left and right carotid arteries was obtained for the common carotid, bifurcation, and internal carotid artery segments. In each segment (common, bifurcation, internal), mixed modelling was used to study the differences in CIMT between angles, sides, gender, age, race, and studies. Each segment showed a different circumferential CIMT pattern. In all segments there were statistically significant differences between maximum CIMT across circumferential angles (p &lt; 0.001); on average CIMT was highest in the posteromedial wall of the bifurcation and internal carotid segments and in the anterolateral wall of the common carotid segment. This asymmetric circumferential pattern was found to be identical in men and women, in young and old age, in different race groups, and across the studies. We confirmed the asymmetrical helix-like distribution of atherosclerosis in the carotid arteries and expand the evidence by showing that the atherosclerotic configuration is similar across populations with different vascular risks and across gender, age, and race. This has implications for future design of carotid ultrasound studies, as the angle of insonation is an important predictor of maximum CIMT.</t>
  </si>
  <si>
    <t>Unrequested information from routine diagnostic chest CT predicts future cardiovascular events.</t>
  </si>
  <si>
    <t>Jacobs, Peter C; Gondrie, Martijn J; Mali, Willem P; Oen, Ayke L; Prokop, Mathias; Grobbee, Diederick E; van der Graaf, Yolanda</t>
  </si>
  <si>
    <t>https://pubmed.ncbi.nlm.nih.gov/21603881</t>
  </si>
  <si>
    <t>An increase in the number of CT investigations will likely result in a an increase in unrequested information. Clinical relevance of these findings is unknown. This is the first follow-up study to investigate the prognostic relevance of subclinical coronary (CAC) and aortic calcification (TAC) as contained in routine diagnostic chest CT in a clinical care population. The follow-up of 10,410 subjects (&gt;40 years) from a multicentre, clinical care-based cohort of patients included 240 fatal to 275 non-fatal cardiovascular disease (CVD) events (mean follow-up 17.8 months). Patients with a history of CVD were excluded. Coronary (0-12) and aortic calcification (0-8) were semi-quantitatively scored. We used Cox proportional-hazard models to compute hazard ratios to predict CVD events. CAC and TAC were significantly and independently predictive of CVD events. Compared with subjects with no calcium, the adjusted risk of a CVD event was 3.7 times higher (95% CI, 2.7-5.2) among patients with severe coronary calcification (CAC score ≥6) and 2.7 times higher (95% CI, 2.0-3.7) among patients with severe aortic calcification (TAC score ≥5). Subclinical vascular calcification on CT is a strong predictor of incident CVD events in a routine clinical care population.</t>
  </si>
  <si>
    <t>Lessons learnt from incidents reported by postgraduate trainees in Dutch general practice. A prospective cohort study.</t>
  </si>
  <si>
    <t>Zwart, Dorien L M; Heddema, Wendelien S; Vermeulen, Margit I; van Rensen, Elizabeth L J; Verheij, Theo J M; Kalkman, Cor J</t>
  </si>
  <si>
    <t>bmj quality safety</t>
  </si>
  <si>
    <t>https://pubmed.ncbi.nlm.nih.gov/21602562</t>
  </si>
  <si>
    <t>There is an inherent tension between allowing trainees in general practice (GP) to feel comfortable to report and learn from errors in a blame-free environment while still assuring high-quality and safe patient care. Unfortunately, little is known about the types and potential severity of incidents that may confront GP trainees. Furthermore, incident reporting by resident trainees is hindered by their concern that such transparency might result in more negative performance evaluations. To explore the number and nature of incidents that were reported by GP trainees and to determine whether there were differences between the reporters and non-reporters based on their performance evaluations. Prospective cohort study. Confidential and voluntary incident reporting was implemented in GP vocational training of the University Medical Center Utrecht, the Netherlands. Seventy-nine GP trainees were asked to report incidents over 6 months. Mixed methods were used to analyse the data. 24 trainees reported a total of 44 incidents. 23 incidents concerned the work process and 17 concerned problems with diagnosis or therapy. Three-quarters (34/44) of incidents were determined to be not specifically related to the inexperience of the GP trainees. While actual patient harm was determined to be minimal or absent in two-thirds of incidents (29/44), the potential for moderate, major, or catastrophic harm was 89% (39/44). Trainees performing best on their performance assessment in the domain of clinical expertise reported incidents more often (43% vs 18%, p&lt;0.03) than those who performed at a lower level. GP trainees rated highly by their faculty voluntarily reported incidents in the delivery of clinical care when given a safe, blame-free, and confidential reporting process. Most incidents were not found to be directly related to the inexperience of the trainee, but were caused by failing organisational processes in the healthcare delivery system. Moreover, the trainees who tended to report these incidents were those whose performance was highly evaluated in the domain of clinical expertise.</t>
  </si>
  <si>
    <t>Physical performance characteristics related to disability in older persons: a systematic review.</t>
  </si>
  <si>
    <t>https://pubmed.ncbi.nlm.nih.gov/21596497</t>
  </si>
  <si>
    <t>Progressive disability develops with older age in association with underlying disease, comorbidity and frailty. Physical performance characteristics are important to improve the physical condition of older persons and therefore may be able to prevent or delay the onset of (progressive) disability. However lack of understanding of the physiology and etiology of functional decline leading to disability causes a problem in the development of effective preventive interventions. The aim of the present review is to determine which physical performance characteristics are determinants of disability in the older general population. We searched systematically the electronic databases of PubMed (MEDLINE), CINAHL, Cochrane Library, Psychlit and Embase for cohort studies and randomized controlled trials assessing disability in the older general population. Outcomes of interest were handgrip strength, upper and lower extremity function, balance gait and physical activity. The searching strategy resulted in 22 studies included in the present systematic review. Although heterogeneity was present in the measurements of disability, consistent findings were shown for physical performance characteristics and disability. In general, a lower score of the physical performance characteristics was associated with a higher probability of (the development of) disability. The association for other aspects of gait (e.g. gait-step continuity, gait-step symmetry, path deviation and turning) and disability seems to be present, though the number of studies is limited. In the present systematic review, associations were found for hand grip strength, upper and lower body strength, gait speed, physical activity and the probability of disability.</t>
  </si>
  <si>
    <t>The incremental value of brachial flow-mediated dilation measurements in risk stratification for incident cardiovascular events: a systematic review.</t>
  </si>
  <si>
    <t>annals of medicine</t>
  </si>
  <si>
    <t>https://pubmed.ncbi.nlm.nih.gov/21585249</t>
  </si>
  <si>
    <t>Abstract Adequate risk assessment for cardiovascular disease (CVD) is essential as a guide to initiate drug treatment. Current methods based on traditional risk factors could be improved considerably. Although brachial flow-mediated dilation (FMD) predicts subsequent cardiovascular events, its predictive value on top of traditional risk factors is unknown. We performed a systematic review to evaluate the incremental predictive value of FMD on top of traditional risk factors in asymptomatic individuals. Using PubMed and reference tracking, three studies were identified that reported on the incremental value of FMD using change in the area under the curve (AUC). Two large cohort studies found no improvement in AUC when FMD was added to traditional risk prediction models, whereas one small case-control study found an improvement. One study used the net reclassification improvement (NRI) to assess whether FMD measurement leads to correct risk stratification in risk categories. Although this study did not find an improvement in AUC, the NRI was statistically significant. Based on the reclassification results of this study, FMD measurement might be helpful in risk prediction. Evidence supporting the use of FMD measurement in clinical practice for risk stratification for CVD on top of traditional risk factors is limited, and future studies are needed.</t>
  </si>
  <si>
    <t>Trigger factors and their attributable risk for rupture of intracranial aneurysms: a case-crossover study.</t>
  </si>
  <si>
    <t>Vlak, Monique H M; Rinkel, Gabriel J E; Greebe, Paut; van der Bom, Johanna G; Algra, Ale</t>
  </si>
  <si>
    <t>https://pubmed.ncbi.nlm.nih.gov/21546472</t>
  </si>
  <si>
    <t>Little is known about activities that trigger rupture of an intracranial aneurysm. Knowledge on what triggers aneurysmal rupture increases insight into the pathophysiology and facilitates development of prevention strategies. We therefore aimed to identify and quantify trigger factors for aneurysmal rupture and to gain insight into the pathophysiology. During a 3-year period, 250 patients with aneurysmal subarachnoid hemorrhage completed a structured questionnaire regarding exposure to 30 potential trigger factors in the period soon before subarachnoid hemorrhage (hazard period) and for usual frequency and intensity of exposure. We assessed relative risks (RR) of rupture after exposure to triggers with the case-crossover design comparing exposure in the hazard period with the usual frequency of exposure. Additionally, we calculated population-attributable risks. Eight triggers increased the risk for subarachnoid hemorrhage: coffee consumption (RR, 1.7; 95% CI, 1.2-2.4), cola consumption (RR, 3.4; 95% CI,1.5-7.9), anger (RR, 6.3; 95% CI, 4.6-25), startling (RR, 23.3; 95% CI, 4.2-128), straining for defecation (RR, 7.3; 95% CI, 2.9-19), sexual intercourse (RR, 11.2; 95% CI, 5.3-24), nose blowing (RR, 2.4; 95% CI, 1.3-4.5), and vigorous physical exercise (RR, 2.4; 95% CI, 1.2-4.2). The highest population-attributable risks were found for coffee consumption (10.6%) and vigorous physical exercise (7.9%). We identified and quantified 8 trigger factors for aneurysmal rupture. All triggers induce a sudden and short increase in blood pressure, which seems a possible common cause for aneurysmal rupture. Some triggers are modifiable, and further studies should assess whether reduction of exposure to these factors or measures preventing sudden increase in blood pressure decrease the risk of rupture in patients known to have an intracranial aneurysm.</t>
  </si>
  <si>
    <t>Associations of endogenous testosterone and SHBG with glycated haemoglobin in middle-aged and older men.</t>
  </si>
  <si>
    <t>Brand, Judith S; Wareham, Nicholas J; Dowsett, Mitch; Folkerd, Elizabeth; van der Schouw, Yvonne T; Luben, Robert N; Khaw, Kay-Tee</t>
  </si>
  <si>
    <t>https://pubmed.ncbi.nlm.nih.gov/21158891</t>
  </si>
  <si>
    <t>Low circulating levels of testosterone and sex-hormone-binding globulin (SHBG) are associated with increased cardiovascular risk in men. This association may be partially mediated through changes in glucose metabolism, but relatively few data are available on the relationship between sex hormones and markers of long-term glycaemia. We assessed the associations of endogenous testosterone and SHBG with glycated haemoglobin (HbA(1c) ) in men. Cross-sectional study of 1292 men from the Norfolk population of European Prospective Investigation into Cancer (EPIC-Norfolk). Glycated haemoglobin, total testosterone (TT) and SHBG levels were measured, and free testosterone (FT) levels were calculated. Multiple linear regression models were used to assess the associations of TT, SHBG and FT with HbA(1c). Men with diabetes had lower testosterone and SHBG levels. In non-diabetic men, HbA(1c) levels were inversely associated with TT and calculated FT independently of age, body mass index, smoking, alcohol consumption and physical activity. The adjusted change in HbA(1c) was 0·055 (95% CI 0·025; 0·085) per standard deviation (SD) decrease in TT and 0·041 (95% CI 0·010; 0·073) per SD decrease in calculated FT, respectively. SHBG levels were inversely associated with HbA(1c) after multivariable adjustment (β = 0·038 per SD decrease (95% CI 0·004; 0·071)). In middle-aged and older men, low endogenous testosterone and SHBG levels are associated with glycaemia, even below the threshold for diabetes. Further studies are needed to determine the effects of interventions that raise testosterone levels in men having increased HbA(1c) and subnormal testosterone levels.</t>
  </si>
  <si>
    <t>Intensive glucose control and risk of cancer in patients with type 2 diabetes.</t>
  </si>
  <si>
    <t>Stefansdottir, G; Zoungas, S; Chalmers, J; Kengne, A P; Knol, M J; Leufkens, H G M; Patel, A; Woodward, M; Grobbee, D E; De Bruin, M L</t>
  </si>
  <si>
    <t>https://pubmed.ncbi.nlm.nih.gov/21509444</t>
  </si>
  <si>
    <t>Type 2 diabetes has been associated with an increased risk of cancer. This study examines the effect of more vs less intensive glucose control on the risk of cancer in patients with type 2 diabetes. All 11,140 participants from the Action in Diabetes and Vascular Disease: Preterax and Diamicron-MR Controlled Evaluation (ADVANCE) trial (ClinicalTrials.gov NCT00145925) were studied. Cancer incidence and cancer mortality was compared in groups randomised to intensive or standard glucose control. Information on events during follow-up was obtained from serious adverse event reports and death certificates. HRs (95% CI) were calculated for all cancers, all solid cancers, cancer deaths and site-specific cancers. After a median follow-up of 5 years, 363 and 337 cancer events were reported in the intensive and standard control groups, respectively (incidence 1.39/100 person-years [PY] and 1.28/100 PY; HR 1.08 [95% CI 0.93-1.26]). The incidences of all solid cancers and cancer deaths were 1.25/100 PY and 0.55/100 PY in the intensive group and 1.15/100 PY and 0.63/100 PY in the standard group (HR 1.09[95% CI 0.93–1.27] for solid cancers, and 0.88 [0.71–1.10] for cancer death) [corrected].Across all the major organ systems studied, no significant differences in the cancer incidences were observed in the intensive and standard control groups. More intensive glucose control achieved with a regimen that included greater use of gliclazide, insulin, metformin and other agents, did not affect the risk of cancer events or death in patients with type 2 diabetes.</t>
  </si>
  <si>
    <t>Quantifying the added value of BNP in suspected heart failure in general practice: an individual patient data meta-analysis.</t>
  </si>
  <si>
    <t>Kelder, Johannes C; Cowie, Martin R; McDonagh, Theresa A; Hardman, Suzanna M C; Grobbee, Diederick E; Cost, Bernard; Hoes, Arno W</t>
  </si>
  <si>
    <t>https://pubmed.ncbi.nlm.nih.gov/21478382</t>
  </si>
  <si>
    <t>Diagnosing early stages of heart failure with mild symptoms is difficult. B-type natriuretic peptide (BNP) has promising biochemical test characteristics, but its diagnostic yield on top of readily available diagnostic knowledge has not been sufficiently quantified in early stages of heart failure. To quantify the added diagnostic value of BNP for the diagnosis of heart failure in a population relevant to GPs and validate the findings in an independent primary care patient population. Individual patient data meta-analysis followed by external validation. The additional diagnostic yield of BNP above standard clinical information was compared with ECG and chest x-ray results. Derivation was performed on two existing datasets from Hillingdon (n=127) and Rotterdam (n=149) while the UK Natriuretic Peptide Study (n=306) served as validation dataset. Included were patients with suspected heart failure referred to a rapid-access diagnostic outpatient clinic. Case definition was according to the ESC guideline. Logistic regression was used to assess discrimination (with the c-statistic) and calibration. Of the 276 patients in the derivation set, 30.8% had heart failure. The clinical model (encompassing age, gender, known coronary artery disease, diabetes, orthopnoea, elevated jugular venous pressure, crackles, pitting oedema and S3 gallop) had a c-statistic of 0.79. Adding, respectively, chest x-ray results, ECG results or BNP to the clinical model increased the c-statistic to 0.84, 0.85 and 0.92. Neither ECG nor chest x-ray added significantly to the 'clinical plus BNP' model. All models had adequate calibration. The 'clinical plus BNP' diagnostic model performed well in an independent cohort with comparable inclusion criteria (c-statistic=0.91 and adequate calibration). Using separate cut-off values for 'ruling in' (typically implying referral for echocardiography) and for 'ruling out' heart failure--creating a grey zone--resulted in insufficient proportions of patients with a correct diagnosis. BNP has considerable diagnostic value in addition to signs and symptoms in patients suspected of heart failure in primary care. However, using BNP alone with the currently recommended cut-off levels is not sufficient to make a reliable diagnosis of heart failure.</t>
  </si>
  <si>
    <t>Carotid intima–media thickness: a suitable alternative for cardiovascular risk as outcome?</t>
  </si>
  <si>
    <t>Peters, Sanne A E; Grobbee, Diederick E; Bots, Michiel L</t>
  </si>
  <si>
    <t>https://pubmed.ncbi.nlm.nih.gov/21568017</t>
  </si>
  <si>
    <t>Surrogate markers for cardiovascular disease might be of great value in observational research, clinical trials, and clinical practice. Carotid intima-media thickness (CIMT) is probably the most commonly used marker for atherosclerotic disease as an alternative for cardiovascular morbidity and mortality. A suitable marker for atherosclerosis, however, should meet several criteria before it can be validly used. We reviewed the literature following a set of criteria for a surrogate marker. These include a comparison with a 'gold standard'; adequate reproducibility; cross-sectional relations with established risk factors and prevalent disease; relations with severity of atherosclerosis elsewhere in the arterial system; relations with the occurrence with future events; ability for a biomarker to change over time; ability to be affected by interventions over time; and relations between change over time in biomarker level and change in risk. A large number of studies from a variety of populations provide evidence for the validity of CIMT as a suitable measure of atherosclerotic disease. Data on the relation between change in CIMT and change in risk, however, is much sparser. CIMT progression meets the criteria of a surrogate for cardiovascular disease endpoints and may be considered as a valid alternative for cardiovascular events as outcome. Further studies should examine the association between changes in CIMT and changes in risk for future events.</t>
  </si>
  <si>
    <t>Location of cerebrovascular and degenerative changes, depressive symptoms and cognitive functioning in later life: the SMART-Medea study.</t>
  </si>
  <si>
    <t>Grool, Anne M; van der Graaf, Yolanda; Mali, Willem P T M; Geerlings, Mirjam I; ,</t>
  </si>
  <si>
    <t>https://pubmed.ncbi.nlm.nih.gov/21459931</t>
  </si>
  <si>
    <t>Depression and cognitive impairment are highly prevalent in later life and frequently co-occur. Structural changes in critical brain regions may underlie both conditions. The authors examined associations of infarcts, white-matter lesions (WML) and atrophy at different locations with depressive symptoms and cognitive functioning. Within the Second Manifestations of Arterial Disease-Memory, Depression and Aging (SMART-Medea) study, cross-sectional analyses were performed in 585 non-demented patients aged ≥50 years with symptomatic atherosclerotic disease. Volumetric measures of WML and atrophy were obtained with 1.5 T MRI; infarcts were rated visually. Depressive symptoms were assessed with the Patient Health Questionnaire-9 (score ≥6). z Scores of executive functioning, memory and processing speed were calculated. Analyses were adjusted for age, sex, education, intelligence, vascular disease, physical functioning and co-occurring brain changes. Depressive symptoms were present in 102 (17%) patients and were associated with poorer memory (B=-0.26, 95% CI -0.47 to -0.06). Large subcortical infarcts and lacunar infarcts in deep white-matter tracts were both associated with depressive symptoms (RR=2.66, 95% CI 1.28 to 5.54; RR=2.02, 95% CI 1.14 to 3.59) and poorer executive functioning and memory. Periventricular WML volume was associated with poorer executive functioning; cortical infarcts in the left hemisphere and media flow region, ventricular volume and cortical atrophy were associated with a slower processing speed. In this sample of non-demented older persons, subcortical infarcts contributed to an increased risk of depressive symptoms as well as cognitive impairment. This depended on location in projecting white-matter tracts, and not on infarct size.</t>
  </si>
  <si>
    <t>Low testosterone concentrations and the symptoms of testosterone deficiency according to the Androgen Deficiency in Ageing Males (ADAM) and Ageing Males' Symptoms rating scale (AMS) questionnaires.</t>
  </si>
  <si>
    <t>Emmelot-Vonk, M H; Verhaar, H J J; Nakhai-Pour, H R; Grobbee, D E; van der Schouw, Y T</t>
  </si>
  <si>
    <t>https://pubmed.ncbi.nlm.nih.gov/21138462</t>
  </si>
  <si>
    <t>First, to assess the association between the concentration of serum testosterone and the symptoms of testosterone deficiency according to two screening questionnaires. Second, to investigate the effects in elderly men with a low-normal testosterone concentration of testosterone supplementation over a period of 6 months on symptoms of testosterone deficiency according to the screening questionnaires. A total of 587 men between 60 and 80 years of age with an eligible serum testosterone measurement and completion of the screening questionnaires were included in the study. Of these 587 men, 237 men with testosterone levels &lt;13·7 nmol/l were included in a double-blind, randomized, placebo-controlled trial of testosterone supplementation. One hundred and sixty milligrams per day of oral testosterone undecanoate or a matching placebo for 6 months. The Androgen Deficiency in Ageing Males (ADAM) and the Ageing Males' Symptoms rating scale (AMS) questionnaires. There was no significant association between the total testosterone concentration and the scores on the two questionnaires. However, age was significantly associated with the scores on the ADAM (OR 1·14, 95% CI 1·05-1·23) and the AMS (OR 1·03, 95% CI 1·01-1·08) questionnaire. After supplementation with testosterone, there were no effects on the scores on the two questionnaires in the testosterone group compared with the placebo group. The findings do not support the use of the ADAM or AMS questionnaire in the evaluation of late-onset hypogonadism in ageing men. Moreover, 6 months of oral testosterone supplementation had no significant effect on scores of the ADAM and AMS questionnaire in this group of elderly men with low-normal testosterone levels.</t>
  </si>
  <si>
    <t>Statin treatment for primary prevention of vascular disease: whom to treat? Cost-effectiveness analysis.</t>
  </si>
  <si>
    <t>Greving, J P; Visseren, F L J; de Wit, G A; Algra, A</t>
  </si>
  <si>
    <t>https://pubmed.ncbi.nlm.nih.gov/21450800</t>
  </si>
  <si>
    <t>To assess the cost-effectiveness of low dose statins for primary prevention of vascular disease, incorporating current prices, non-adherence (reduced clinical efficacy while maintaining healthcare costs), and the results of the recently published JUPITER trial. Cost-effectiveness analysis using a Markov model. Sensitivity analyses and Monte Carlo simulation evaluated the robustness of the results. Primary care in The Netherlands. Hypothetical populations of men and women aged 45 to 75 years without a history of vascular disease at different levels of risk for vascular disease (myocardial infarction and stroke) over 10 years. Low dose statin treatment daily versus no treatment for 10 years. Number of fatal and nonfatal vascular events prevented, quality-adjusted life-years (QALYs), costs, and incremental cost-effectiveness ratios over 10 years. Over a 10-year period, statin treatment cost €35 000 (£30 000, $49 000) per QALY gained for men aged 55 years with a 10-year vascular risk of 10%. The incremental cost-effectiveness ratio improved as risk for vascular disease increased. The cost per QALY ranged from approximately €5000 to €125 000 when the 10-year vascular risk for men aged 55 years was varied from 25% to 5%. The incremental cost-effectiveness ratio slightly decreased with age after the level of vascular risk was specified. Results were sensitive to the costs of statin treatment, statin effectiveness, non-adherence, disutility of taking medication daily, and the time horizon of the model. In daily practice, statin treatment seemed not to be cost-effective for primary prevention in populations at low risk of vascular disease, despite low costs of generic drug pills. Adherence to statin treatment needs to be improved to enhance the cost-effectiveness of the use of statins for primary prevention.</t>
  </si>
  <si>
    <t>Markers for the non-invasive diagnosis of mesothelioma: a systematic review.</t>
  </si>
  <si>
    <t>van der Bij, S; Schaake, E; Koffijberg, H; Burgers, J A; de Mol, B A J M; Moons, K G M</t>
  </si>
  <si>
    <t>https://pubmed.ncbi.nlm.nih.gov/21448170</t>
  </si>
  <si>
    <t>Numerous markers have been evaluated to facilitate the non-invasive diagnostic work-up of mesothelioma. The purpose of this study was to conduct a structured review of the diagnostic performance of non-invasive marker tests for the detection of mesothelioma in patients with suspected mesothelioma. Studies on the diagnostic accuracy of serum and cytological markers published till 31 December 2009, available in either PUBMED or Embase, to detect or exclude the presence of mesothelioma were extracted. Study quality was assessed with use of the Quadas criteria. In total, 82 articles were included in this systemic review. Overall, quality of the incorporated studies to address our objective was poor. The most frequently studied immunohistochemical markers for cytological analysis were EMA, Ber-Ep4, CEA, and calretinin. The most frequently investigated serum marker was soluble mesothelin-related protein (SMRP). The markers CEA, Ber-EP4, and calretinin were most valuable in discriminating mesothelioma from other malignant diseases. Markers EMA and SMRP were most valuable in discriminating mesothelioma from non-malignant diseases. No marker performed well in discriminating between mesothelioma and all other diseases. Currently, there is only limited evidence to properly assess the value of non-invasive marker tests in the diagnosis of mesothelioma. Studies were of limited value to address our objective and results showed considerable unexplained study heterogeneity.</t>
  </si>
  <si>
    <t>Depression, hypothalamic pituitary adrenal axis, and hippocampal and entorhinal cortex volumes--the SMART Medea study.</t>
  </si>
  <si>
    <t>Gerritsen, Lotte; Comijs, Hannie C; van der Graaf, Yolanda; Knoops, Arnoud J G; Penninx, Brenda W J H; Geerlings, Mirjam I</t>
  </si>
  <si>
    <t>https://pubmed.ncbi.nlm.nih.gov/21439552</t>
  </si>
  <si>
    <t>Structural brain changes have often been found in major depressive disorder (MDD), and it is thought that hypothalamic-pituitary-adrenal (HPA) axis hyperactivity may explain this relation. We investigated the association of MDD and history of depression with hippocampal and entorhinal cortex volumes and whether HPA axis activity explained this association. In 636 participants with a history of atherosclerotic disease (mean age 62 ± 9 years, 81% male) from the second Manifestation of ARTerial disease-Memory depression and aging (SMART-Medea) study, a 12-month diagnosis of MDD and history of depression were assessed. Age of first depressive episode was classified into early-onset depression (&lt; 50 years) and late-onset depression (≥ 50 years). HPA axis regulation was assessed by four morning saliva samples, two evening samples, and one awakening sample after .5 mg dexamethasone. Hippocampus and entorhinal cortex volume were manually outlined on three-dimensional T1-weighted magnetic resonance images. General linear models adjusted for demographics, vascular risk, antidepressant use, and white matter lesions showed that ever having had MDD was associated with smaller hippocampal volumes but not with entorhinal cortex volumes. Remitted MDD was related to smaller entorhinal cortex volumes (p &lt; .05). Participants with early-onset depression had smaller hippocampal volumes than those who were never depressed (p &lt; .05), whereas participants with late-onset depression had smaller entorhinal cortex volumes (p &lt; .05). HPA axis activity did not explain these differences. We found differential associations of age of onset of depression on hippocampal and entorhinal cortex volumes, which could not be explained by alterations in HPA axis regulation.</t>
  </si>
  <si>
    <t>The (mis)use of overlap of confidence intervals to assess effect modification.</t>
  </si>
  <si>
    <t>Knol, Mirjam J; Pestman, Wiebe R; Grobbee, Diederick E</t>
  </si>
  <si>
    <t>https://pubmed.ncbi.nlm.nih.gov/21424218</t>
  </si>
  <si>
    <t>The furosemide diagnostic test in suspected slow-onset heart failure: popular but not useful.</t>
  </si>
  <si>
    <t>Kelder, Johannes C; Cramer, Maarten J; Rutten, Frans H; Plokker, H W; Grobbee, Diederick E; Hoes, Arno W</t>
  </si>
  <si>
    <t>https://pubmed.ncbi.nlm.nih.gov/21372044</t>
  </si>
  <si>
    <t>Early, slow-onset heart failure is difficult to diagnose from just signs and symptoms. The physician needs ancillary diagnostic tests. The 'loop-diuretic test' or 'furosemide test', characterized as weight loss and alleviation of symptoms after a short course of a loop-diuretic, could be a candidate. The furosemide test is not formally mentioned in the guidelines and no evidence could be found in the literature. We asked general practitioners (GPs) about their actual use of the furosemide test and studied the diagnostic accuracy in patients with suspected heart failure. General practitioners completed a questionnaire about their use of the furosemide test. We then performed a diagnostic accuracy study among a representative and consecutive sample of patients suspected of new, slow-onset heart failure by the GP and who were referred to the rapid access heart failure diagnostic facility of one hospital. All patients underwent a standardized diagnostic work-up including echocardiography. The reference standard for the diagnosis of heart failure was the decision of an expert panel. Forty of the 54 GPs had actually used the furosemide test in the past year and 70% considered the test to be useful. Forty seven patients underwent the furosemide test and 12 (25%) were diagnosed with heart failure. None of the effects of the test (weight loss, alleviation of symptoms) was significantly associated with heart failure. We cannot support the use of the furosemide test as an ancillary diagnostic test in patients suspected of new, slow-onset heart failure.</t>
  </si>
  <si>
    <t>Adjusting for differential-verification bias in diagnostic-accuracy studies: a Bayesian approach.</t>
  </si>
  <si>
    <t>de Groot, Joris A H; Dendukuri, Nandini; Janssen, Kristel J M; Reitsma, Johannes B; Bossuyt, Patrick M M; Moons, Karel G M</t>
  </si>
  <si>
    <t>https://pubmed.ncbi.nlm.nih.gov/21228702</t>
  </si>
  <si>
    <t>In studies of diagnostic accuracy, the performance of an index test is assessed by verifying its results against those of a reference standard. If verification of index-test results by the preferred reference standard can be performed only in a subset of subjects, an alternative reference test could be given to the remainder. The drawback of this so-called differential-verification design is that the second reference test is often of lesser quality, or defines the target condition in a different way. Incorrectly treating results of the 2 reference standards as equivalent will lead to differential-verification bias. The Bayesian methods presented in this paper use a single model to (1) acknowledge the different nature of the 2 reference standards and (2) make simultaneous inferences about the population prevalence and the sensitivity, specificity, and predictive values of the index test with respect to both reference tests, in relation to latent disease status. We illustrate this approach using data from a study on the accuracy of the elbow extension test for diagnosis of elbow fractures in patients with elbow injury, using either radiography or follow-up as reference standards.</t>
  </si>
  <si>
    <t>Body fat distribution and early arterial changes in healthy 5-year-old children.</t>
  </si>
  <si>
    <t>Geerts, Caroline C; Evelein, Annemieke M V; Bots, Michiel L; van der Ent, Cornelis K; Grobbee, Diederick E; Uiterwaal, Cuno S P M</t>
  </si>
  <si>
    <t>https://pubmed.ncbi.nlm.nih.gov/21355815</t>
  </si>
  <si>
    <t>It is unknown at what age overweight starts to takes its toll on the vasculature. We studied the relation between body size measures and vascular characteristics in healthy 5-year-old children. In 306 5-year-old children from an on-going birth cohort, body size characteristics were measured, including sonographic measurement of abdominal fat. Ultrasonographic measurements of the carotid artery were performed to obtain intima-media thickness (CIMT), arterial wall distensibility, and elastic modulus (EM). Increased body-weight was related to thicker CIMT (linear regression coefficient 2.25 μm/kg; P = 0.003), increased EM (2.73 kPa/kg; P = 0.01), and lower distensibility (-1.23 MPa(-1)/kg; P = 0.03). Similar relations were found for increased BMI with CIMT and EM. Increased intra-abdominal fat was related to thicker CIMT (9.19 μm/cm; P = 0.02), and increased waist circumference with thicker CIMT (2.17 μm/cm; P = 0.02), lower distensibility (-1.70 MPa(-1)/cm; P = 0.01), and higher EM (2.77 kPa/cm; P = 0.02), independent of BMI. For the first time it is demonstrated that increased general body mass and particularly waist circumference and intra-abdominal fat are related to thicker and stiffer arteries already early in life.</t>
  </si>
  <si>
    <t>Change in abdominal obesity and risk of coronary calcification.</t>
  </si>
  <si>
    <t>Sabour, Siamak; Grobbee, Diederick E; Prokop, Mathias; van der Schouw, Yvonne T; Bots, Michiel L</t>
  </si>
  <si>
    <t>https://pubmed.ncbi.nlm.nih.gov/21297113</t>
  </si>
  <si>
    <t>A prospective follow-up study was conducted to examine the relationship between 9&amp;emsp14;year change in abdominal obesity and risk of coronary artery calcification (CAC). Data on coronary risk factors for 573 postmenopausal women were collected at baseline (1993-1997) and follow-up (2002-2004). At follow-up, the women underwent a multidetector CT to assess coronary calcium using the Agatston score. Markers of abdominal obesity were waist and hip circumference, waist-to-hip ratio (WHR) and body mass index. Compared to subjects whose waist circumference remained below the median at both occasions, those with a waist above the median had a 1.5-fold (95% CI 1.0 to 2.3) increased risk of CAC. Women whose waist rose over the 9&amp;emsp14;year period had a 2.2-fold (95% CI 1.1 to 4.2) increased risk of CAC, whereas women whose WHR became lower had a non-significant 1.5-fold increased risk of CAC (95% CI 0.7 to 3.0). In contrast, change in body mass index or hip circumference was not related to risk of CAC. This study supports the existing evidence that persistent abdominal obesity, as well as an increase in abdominal fat, relates to an increased risk of coronary atherosclerosis.</t>
  </si>
  <si>
    <t>Estimating measures of interaction on an additive scale for preventive exposures.</t>
  </si>
  <si>
    <t>Knol, Mirjam J; VanderWeele, Tyler J; Groenwold, Rolf H H; Klungel, Olaf H; Rovers, Maroeska M; Grobbee, Diederick E</t>
  </si>
  <si>
    <t>https://pubmed.ncbi.nlm.nih.gov/21344323</t>
  </si>
  <si>
    <t>Measures of interaction on an additive scale (relative excess risk due to interaction [RERI], attributable proportion [AP], synergy index [S]), were developed for risk factors rather than preventive factors. It has been suggested that preventive factors should be recoded to risk factors before calculating these measures. We aimed to show that these measures are problematic with preventive factors prior to recoding, and to clarify the recoding method to be used to circumvent these problems. Recoding of preventive factors should be done such that the stratum with the lowest risk becomes the reference category when both factors are considered jointly (rather than one at a time). We used data from a case-control study on the interaction between ACE inhibitors and the ACE gene on incident diabetes. Use of ACE inhibitors was a preventive factor and DD ACE genotype was a risk factor. Before recoding, the RERI, AP and S showed inconsistent results (RERI = 0.26 [95%CI: -0.30; 0.82], AP = 0.30 [95%CI: -0.28; 0.88], S = 0.35 [95%CI: 0.02; 7.38]), with the first two measures suggesting positive interaction and the third negative interaction. After recoding the use of ACE inhibitors, they showed consistent results (RERI = -0.37 [95%CI: -1.23; 0.49], AP = -0.29 [95%CI: -0.98; 0.40], S = 0.43 [95%CI: 0.07; 2.60]), all indicating negative interaction. Preventive factors should not be used to calculate measures of interaction on an additive scale without recoding.</t>
  </si>
  <si>
    <t>Cost-effectiveness of targeted screening for hepatitis C in The Netherlands.</t>
  </si>
  <si>
    <t>Helsper, C W; Borkent-Raven, B A; de Wit, N J; van Essen, G A; Bonten, M J M; Hoepelman, A I M; Janssen, M P; de Wit, G A</t>
  </si>
  <si>
    <t>https://pubmed.ncbi.nlm.nih.gov/21324216</t>
  </si>
  <si>
    <t>On account of the serious complications of hepatitis C virus (HCV) infection and the improved treatment possibilities, the need to improve HCV awareness and case-finding is increasingly recognized. To optimize a future national campaign with this objective, three pilot campaigns were executed in three regions in The Netherlands. One campaign was aimed at the general population, a second (similar) campaign was extended with a support programme for primary care and a third campaign was specifically aimed at hard-drug users. Data from the pilot campaigns were used to build a mathematical model to estimate the incremental cost-effectiveness ratio of the different campaigns. The campaign aimed at the general public without support for primary care did not improve case-finding and was therefore not cost-effective. The similar campaign accompanied by additional support for primary care and the campaign aimed at hard-drug users emerged as cost-effective interventions for identification of HCV carriers.</t>
  </si>
  <si>
    <t>The association between breastfeeding and the cardiovascular system in early childhood.</t>
  </si>
  <si>
    <t>Evelein, Annemieke M V; Geerts, Caroline C; Visseren, Frank L J; Bots, Michiel L; van der Ent, Cornelis K; Grobbee, Diederick E; Uiterwaal, Cuno S P M</t>
  </si>
  <si>
    <t>https://pubmed.ncbi.nlm.nih.gov/21310835</t>
  </si>
  <si>
    <t>Breastfeeding is suggested to have beneficial effects on children's health and future health status. However, its cardiovascular effects in childhood and possibly later in life remain largely unclear. The aim of the present study was to determine the cardiovascular effects of exclusive breastfeeding in early childhood. We used the ongoing WHeezing Illnesses STudy LEidsche Rijn (WHISTLER) birth cohort to obtain data on infant feeding. In the first 306 children who were 5 y of age, ultrasonographic measurements of the carotid artery were performed to obtain carotid intima-media thickness (CIMT), distensibility, and elastic modulus. At 5 y of age, children who had been exclusively breastfed in infancy for 3 to 6 mo had a CIMT that was 21.1 μm greater than that of exclusively formula-fed children (95% CI: 5.0, 37.2 μm; P = 0.01, adjusted for confounders). CIMT was not significantly different between children exclusively breastfed for either &lt;3 or &gt;6 mo and formula-fed children. In addition, no significant differences in carotid stiffness were observed between groups. The duration of exclusive breastfeeding in infancy is related to properties of the carotid arterial wall at the age of 5 y, as shown by the greater CIMT in children who were exclusively breastfed for 3 to 6 mo. This relation was independent of early growth in infancy and current cardiovascular disease risk factors. The choice of infant feeding appears to have an effect on the vascular system already in early childhood.</t>
  </si>
  <si>
    <t>Filial obligations to elderly parents: a duty to care?</t>
  </si>
  <si>
    <t>Stuifbergen, Maria C; Van Delden, Johannes J M</t>
  </si>
  <si>
    <t>https://pubmed.ncbi.nlm.nih.gov/20922568</t>
  </si>
  <si>
    <t>A continuing need for care for elderly, combined with looser family structures prompt the question what filial obligations are. Do adult children of elderly have a duty to care? Several theories of filial obligation are reviewed. The reciprocity argument is not sensitive to the parent-child relationship after childhood. A theory of friendship does not offer a correct parallel for the relationship between adult child and elderly parent. Arguments based on need or vulnerability run the risk of being unjust to those on whom a needs-based claim is laid. To compare filial obligations with promises makes too much of parents' expectations, however reasonable they may be. The good of being in an unchosen relationship seems the best basis for filial obligations, with an according duty to maintain the relationship when possible. We suggest this relationship should be maintained even if one of the parties is no longer capable of consciously contributing to it. We argue that this entails a duty to care about one's parents, not for one's parents. This implies that care for the elderly is not in the first place a task for adult children.</t>
  </si>
  <si>
    <t>Vasomotor menopausal symptoms are associated with increased risk of coronary heart disease.</t>
  </si>
  <si>
    <t>https://pubmed.ncbi.nlm.nih.gov/21127438</t>
  </si>
  <si>
    <t>Emerging evidence suggests that women with vasomotor menopausal symptoms (VMS) may have an adverse cardiovascular disease (CVD) risk profile. We investigated whether VMS are related to an increased risk of future coronary heart disease (CHD) and whether possible associations can be explained by CVD risk factors. Data used were from a Dutch and Swedish population-based sample of 10,787 women enrolled between 1995 and 2000, aged 46 to 64 years, and free of CVD at baseline. Data on VMS were collected by questionnaires. Body mass index and blood pressure were measured in all women, and total cholesterol levels were measured in a subgroup of the population. Multivariable Cox regression models were used to analyze the data. After a mean ± SD follow-up period of 10.3 ± 2.1 years, 303 women were diagnosed with CHD. Symptoms of flushing were not associated with risk of CHD. However, the presence of night sweats was associated with a significantly modest increased risk of CHD, with a multivariable-adjusted hazard ratio of 1.33 (95% CI, 1.05-1.69). This association was attenuated but not eliminated after correction for body mass index, blood pressure, and total cholesterol (hazard ratio, 1.25; 95% CI, 0.99-1.58). Women with menopausal symptoms of night sweats have a significantly moderately increased risk of CHD, which cannot be totally explained by the levels of CVD risk factors.</t>
  </si>
  <si>
    <t>Coronary heart disease mortality trends in the Netherlands 1972-2007.</t>
  </si>
  <si>
    <t>Vaartjes, I; O'Flaherty, M; Grobbee, D E; Bots, M L; Capewell, S</t>
  </si>
  <si>
    <t>https://pubmed.ncbi.nlm.nih.gov/21282134</t>
  </si>
  <si>
    <t>Coronary heart disease (CHD) mortality has steadily declined since the early 1970s in the Netherlands. However, in some Western countries the rate of decline in younger groups may be starting to plateau or even rise. To examine trends in age-specific CHD mortality rates among Dutch adults from 1972 to 2007, with a particular focus on recent trends for the younger age groups Data for all CHD deaths (1972-2007) in the Netherlands were grouped by year, sex, age. A joinpoint regression was fitted to each age-sex-group to detect points in time at which significant changes in the trends occur. For every time period, the linear slope of the trend, p value, observed number of deaths, CHD mortality rates and change in the CHD mortality rate were calculated. Between 1972 and 2007, the age-adjusted CHD mortality rates decreased overall by 76% in both men and women. In men (35-54&amp;emsp14;years), the change in CHD mortality rate in the period 1980-1993 was -0.53 but attenuated in period 1993-1999: -0.16. In women (35-54&amp;emsp14;years) the decline likewise attenuated to -0.44 in period 1979-1989: and -0.05 in period 1989-2000. After 1999-2000, CHD mortality rate further declined in both men (period 1999-2007: -0.46) and women (period 2000-2007: -0.38). Evidence from several Western countries suggests that among young adults (&lt; 55 years), CHD mortality rates are levelling out. In this study, similar attenuation of the decline in CHD mortality among young adults in the Netherlands has been observed. Furthermore, this is the first study to observe a subsequent increase in the pace of decline after a period of flattening. In order to better explain these encouraging changes in CHD mortality rates, a detailed analysis of recent changes in cardiovascular risk factors and treatments is now urgently required.</t>
  </si>
  <si>
    <t>Diagnosing acute coronary syndrome in primary care: comparison of the physicians' risk estimation and a clinical decision rule.</t>
  </si>
  <si>
    <t>Bruins Slot, M H E; Rutten, F H; van der Heijden, G J M G; Geersing, G J; Glatz, J F C; Hoes, A W</t>
  </si>
  <si>
    <t>https://pubmed.ncbi.nlm.nih.gov/21239470</t>
  </si>
  <si>
    <t>Diagnosing acute coronary syndrome (ACS) in a primary care setting poses a diagnostic dilemma for physicians. We directly compared the diagnostic accuracy of a clinical decision rule (CDR) based on history taking and physical examination in suspected ACS with the risk estimates of the attending GP. In a prospective multicenter study, patients suspected of ACS were included by the GP. GPs were asked to estimate the probability (0%-100%) of the presence of ACS. GPs collected patient data, but they were not aware of the CDR and did not score the patient accordingly. Two hundred and ninety-eight patients were included (52% female, mean age 66 years, 22% ACS). The area under the receiver operating characteristic (ROC) curve (AUC) was 0.75 [95% confidence interval (CI) 0.68-0.82] for the GP risk estimate and 0.66 (95% CI 0.58-0.73) for the CDR. There was an agreement between the risk estimation of the GP and a CDR in 51% and the prevalence of ACS in predefined low-, intermediate- and high-risk groups was similar for the GP and CDR estimates. In the low-risk group, according to the GP, four patients (8.2%) suffered an ACS. These four patients were all identified by the decision rule as high risk. The GP classified patients as ACS or no ACS more adequately than the CDR, judged by the AUC. However, the use of a CDR in patients that are considered at low risk for ACS by the GP could reduce the amount of missed myocardial infarctions.</t>
  </si>
  <si>
    <t>Cardiogenetic screening of first-degree relatives after sudden cardiac death in the young: a population-based approach.</t>
  </si>
  <si>
    <t>Hendrix, Anneke; Borleffs, C Jan Willem; Vink, Aryan; Doevendans, Pieter A F M; Wilde, Arthur A; van Langen, Irene M; van der Smagt, Jasper J; Bots, Michiel L; Mosterd, Arend</t>
  </si>
  <si>
    <t>https://pubmed.ncbi.nlm.nih.gov/21227947</t>
  </si>
  <si>
    <t>To investigate the yield of cardiogenetic screening of relatives of young sudden cardiac death (SCD) and sudden unexplained death (SUD) victims in a population-based setting. A population-based study was carried out between 2000 and 2006. Records of the hospital, death declaration certificates, and resuscitation records were reviewed for SCD and SUD cases (1-40 years). Information on autopsy results and cardiogenetic screening of the victims' first-degree relatives was collected. Relatives were invited for additional cardiogenetic screening when this had not yet been performed. The search led to 16 cases of SCD/SUD and 4 cases of aborted SCD/SUD. Causes of SCD/SUD were myocardial infarction (n = 3), arrhythmogenic right ventricular cardiomyopathy (ARVC) (n = 2), long-QT syndrome (n = 1), hypertrophic cardiomyopathy (n = 2), left ventricular hypertrophy due to aortic stenosis (n = 1), and unknown cause of death (n = 7). Causes of aborted SCD/SUD were myocardial infarction (n = 2), idiopatic ventricular fibrillation (n = 1), and the Brugada syndrome (n = 1). The cardiogenetic screening of 37 relatives of 12 victims led to a diagnosis of Brugada syndrome in 3 relatives and the suspicion of ARVC in 2 relatives. The yield of screening of these relatives was 14% (95% confidence interval: 3-25%). In the usual care, relatives of (aborted) SCD and SUD victims are often not referred for cardiogenetic screening. Screening is often not performed according to a systematic approach, and the detection rate of inherited diseases in relatives of (aborted) SCD and SUD victims in a population-based setting, although substantial, is lower than expected based on previous studies.</t>
  </si>
  <si>
    <t>Turning 18 with congenital heart disease: prediction of infective endocarditis based on a large population.</t>
  </si>
  <si>
    <t>Verheugt, Carianne L; Uiterwaal, Cuno S P M; van der Velde, Enno T; Meijboom, Folkert J; Pieper, Petronella G; Veen, Gerrit; Stappers, Jan L M; Grobbee, Diederick E; Mulder, Barbara J M</t>
  </si>
  <si>
    <t>https://pubmed.ncbi.nlm.nih.gov/21217144</t>
  </si>
  <si>
    <t>The risk of infective endocarditis (IE) in adults with congenital heart disease is known to be increased, yet empirical risk estimates are lacking. We sought to predict the occurrence of IE in patients with congenital heart disease at the transition from childhood into adulthood. We identified patients from the CONCOR national registry for adults with congenital heart disease. Potential predictors included patient characteristics, and complications and interventions in childhood. The outcome measure was the occurrence of IE up to the age of 40 and 60. A prediction model was derived using the Cox proportional hazards model and bootstrapping techniques. The model was transformed into a clinically applicable risk score. Of 10 210 patients, 233 (2.3%) developed adult-onset IE during 220 688 patient-years. Predictors of IE were gender, main congenital heart defect, multiple heart defects, and three types of complications in childhood. Up to the age of 40, patients with a low predicted risk (&lt;3%) had an observed incidence of less than 1%; those with a high predicted risk (≥3%) had an observed incidence of 6%. The model also yielded accurate predictions up to the age of 60. Among young adult patients with congenital heart disease, the use of six simple clinical parameters can accurately predict patients at relatively low or high risk of IE. After confirmation in other cohorts, application of the prediction model may lead to individually tailored medical surveillance and educational counselling, thus averting IE or enabling timely detection in adult patients with congenital heart disease.</t>
  </si>
  <si>
    <t>Feasibility of centre-based incident reporting in primary healthcare: the SPIEGEL study.</t>
  </si>
  <si>
    <t>Zwart, Dorien L M; Steerneman, Anke H M; van Rensen, Elizabeth L J; Kalkman, Cor J; Verheij, Theo J M</t>
  </si>
  <si>
    <t>https://pubmed.ncbi.nlm.nih.gov/21209136</t>
  </si>
  <si>
    <t>To evaluate the feasibility of a locally implemented incident-reporting procedure (IRP) in primary healthcare centres after 1 year. Five primary healthcare centres caring for more than 43000 patients in The Netherlands. GPs, medical nurses, physiotherapists, pharmacists, pharmacist assistants and trainees reported incidents (a total of 117 employees). An IRP was implemented in which participants were encouraged to report all incidents. In addition, dedicated 'reporting weeks' were introduced that emphasised reporting of minor incidents and near misses. In every centre, an IRP committee analysed the reported incidents in order to initiate improvements when necessary. Frequency and nature of reported incidents, number of incidents analysed by the IRP committees and number of improvements implemented. In addition, the authors studied the actual implementation of the IRP and the acceptability as experienced by participants. A total of 476 incidents were reported during a 9-month reporting period. Of all incidents, 62% were reported in a reporting week, and most were process-related. Possible harm for patients was none or small in 87% of the reported incidents. IRP committees analysed 84 incidents and found 230 root causes. All participating centres had initiated improvement projects as a result of reported incidents. Most interviewees considered the IRP feasible, but several practical, professional and personal barriers to implementation of the IRP were identified. The implementation of a centre-based IRP in primary care is feasible. Reporting weeks enhance the willingness to report.</t>
  </si>
  <si>
    <t>Diagnostic value of oral prednisolone test for chronic obstructive pulmonary disorders.</t>
  </si>
  <si>
    <t>Broekhuizen, Berna D L; Sachs, Alfred P E; Moons, Karel G M; Cheragwandi, Samir A A; Damsté, Hendrik E J Sinninghe; Wijnands, Giel J A; Verheij, Theo J M; Hoes, Arno W</t>
  </si>
  <si>
    <t>https://pubmed.ncbi.nlm.nih.gov/21403135</t>
  </si>
  <si>
    <t>We wanted to determine the diagnostic value of an oral prednisolone test for chronic obstructive pulmonary disorders. Two hundred thirty-three patients with cough for longer than 14 days, without known chronic obstructive pulmonary disease (COPD) or asthma, participated in a diagnostic study in Dutch primary care between 2006 and 2009. These patients used a 14-day prednisolone test of 30 mg/d and recorded before-after bronchodilator measurements of forced expiratory volume in 1 second (FEV(1)). An expert panel determined the presence or absence of COPD and asthma based on an extensive diagnostic workup. The proportion of responders to the prednisolone test (increased FEV(1) exceeding 200 mL or 12% of baseline) per diagnosis group was compared, and the diagnostic value of the test was quantified by logistic regression and analysis of the area under the receiver operating characteristic curve (ROC area). In patients with COPD, 23% (14 of 61) responded to the test; in patients with asthma 4% (1 of 25) responded; in patients with asthma and COPD, 7% (1 of 14) responded; and in those without asthma or COPD, 11% (14 of 133) responded. Being a responder was, unexpectedly, associated with COPD (OR = 2.4; 95% confidence interval [CI], 1.1-5.2). After multivariate analysis, adjusting for age, sex, and smoking, the OR = 2.0 (95% CI, 0.8-5.0) and the ROC area did not increase (0.78; 95% CI, 0.72-0.85 vs 0.79; 95% CI, 0.72-0.85). A response to a prednisolone test was suggestive of COPD, but added no diagnostic value to more easily obtainable characteristics.</t>
  </si>
  <si>
    <t>Healthcare epidemiology: Ventilator-associated pneumonia: preventing the inevitable.</t>
  </si>
  <si>
    <t>https://pubmed.ncbi.nlm.nih.gov/21148529</t>
  </si>
  <si>
    <t>Ventilator-associate pneumonia (VAP) is the most common nosocomial infection in patients in intensive care units (ICU). Because of its association with unwanted clinical outcomes, preventive measures have been studied intensively in the past 25 years. Unfortunately, a large amount of clinical trials yielded disappointingly few clear-cut answers. Furthermore, because of the difficulties in reliably diagnosing VAP, we should be very reluctant in embracing measures that have been associated with VAP reductions in small-sized studies, but with no benefits on patient outcome documented in sufficiently powered well-designed trials. Only topical antimicrobial prophylaxis (either alone in the oropharynx or in combination with intestinal decontamination) has been demonstrated to improve patient outcome resulting from prevention of VAP. However, this was demonstrated in not-so-average circumstances-in ICUs with extremely low levels of antibiotic resistance. Despite the obvious challenges with using antibiotics as preventive measures, careful evaluation of these strategies in settings with higher drug-resistance levels is now justified, and future studies should be designed to demonstrate outcome benefits rather than reductions in VAP rates.</t>
  </si>
  <si>
    <t>The prognostic value of vascular diameter measurements on routine chest computed tomography in patients not referred for cardiovascular indications.</t>
  </si>
  <si>
    <t>Gondrie, Martijn J A; van der Graaf, Yolanda; Jacobs, Peter C; Buckens, Stan C F M; Mali, Willem P Th M; ,</t>
  </si>
  <si>
    <t>journal of computer assisted tomography</t>
  </si>
  <si>
    <t>https://pubmed.ncbi.nlm.nih.gov/22082545</t>
  </si>
  <si>
    <t>The aim of the study was to investigate whether diameter measurements of the thoracic aorta and the heart can be used as prognostic markers for future cardiovascular disease. Following a case-cohort design, a total of 10,410 patients undergoing chest computed tomography were followed up for a mean period of 17 months. The ones with a cardiovascular indication were excluded. Diameter measurements were evaluated with Cox proportional hazard analysis. Five hundred fifteen incident cardiovascular events occurred during follow-up. The heart (hazard ratio [HR], 1.04; 95% confidence interval [CI], 1.03-1.06) and ascending thoracic (HR, 1.002; 95% CI, 1.001-1.004) diameter showed an exponential prognostic effect beyond a threshold diameter of, respectively, 11 and 30 mm; the descending aortic diameter (HR, 1.04; 95% CI, 1.01-1.13) and cardiothoracic ratio (HR, 1.06; 95% CI, 1.04-1.08) showed linear prognostic effects beyond, respectively, 25 and 0.45 mm. Intrathoracic diameter measurements can be used as markers to predict cardiovascular events in patients not referred for that disease outcome.</t>
  </si>
  <si>
    <t>[Attrition and poor performance in general practice training: age, competence and knowledge play a role].</t>
  </si>
  <si>
    <t>Vermeulen, Margit I; Kuyvenhoven, Marijke M; Zuithoff, N P A Peter; van der Graaf, Yolanda; Pieters, H M Ron</t>
  </si>
  <si>
    <t>https://pubmed.ncbi.nlm.nih.gov/21527050</t>
  </si>
  <si>
    <t>To investigate which determinants are related to poor performance and forced attrition in the first year residency in general practice (GP). Observational retrospective cohort study. We collected data relating to personal characteristics such as age, sex and clinical experience from residents who started the GP training in Utrecht, the Netherlands, in the period March 2005-August 2007. We also collected competence scores from the domains 'medical expertise', 'doctor-patient communication' and 'professionalism', as well as scores on a national GP knowledge test. The outcome measures were 'poor performance' and 'forced attrition'. Multivariate logistic regression was used to analyse correlations between personal characteristics, competence scores on the 3 domains and knowledge scores in the first trimester on the one hand and poor performance or forced attrition on the other. 215 residents started the GP training. In the first trimester a quarter of the residents had an insufficient score in 1 or more of the domains. Competence scores were mutually correlated, but did not correlate with the knowledge score. 18 residents showed poor performance and 3 were forced to stop their training. Poor performance and forced attrition were correlated with age (adjusted odds ratio (OR): 1.1; 95% CI: 1.0-1.3), insufficient knowledge (adjusted OR: 8.9; 3.0-26.3) and medical expertise (adjusted OR: 2.1; 1.1-4.0) at the beginning of the training. Age, insufficient knowledge of general practice, and insufficient competence in the domain of 'medical expertise' at the beginning of the training are risk factors for poor performance by residents and attrition from their GP training.</t>
  </si>
  <si>
    <t>β-blockers and their mortality benefits: underprescribed in heart failure and chronic obstructive pulmonary disease.</t>
  </si>
  <si>
    <t>https://pubmed.ncbi.nlm.nih.gov/21174509</t>
  </si>
  <si>
    <t>This article discusses the most recent insights into the actions of β-blockers on the heart and lungs, highlighting that β-blockers should have a place in the treatment of patients with chronic obstructive pulmonary disease (COPD), especially in those with coexisting cardiovascular disease or arterial hypertension. Practical studies clearly show underutilization of β-blockers in patients with heart failure and COPD, which seems to be caused by an unnecessary fear for adverse effects on the lungs, and the 'outdated' adverse effects mentioned on instruction leaflets.</t>
  </si>
  <si>
    <t>[Remarkable results with candesartan].</t>
  </si>
  <si>
    <t>https://pubmed.ncbi.nlm.nih.gov/21504640</t>
  </si>
  <si>
    <t>Comments on: Eklind-Cervenka M, Benson L, Dahlstrom U, Edner M, Rosenqvist M, Lund L. Association of candesartan vs losartan with all-cause mortality in patients with heart failure. JAMA 2011;305:175-82. In a large observational study in 30,254 patients with heart failure (with and without reduced ejection fraction) from a Swedish registry, the prescription of candesartan vs losartan was associated with a lower mortality risk after correction for confounding by the propensity scores method (HR 0.70, 95% CI 0.61-0.81; p &lt; 0.001). We conclude that this study should not change clinical practice, as several alternative explanations for this result should be considered. Firstly, lower drug adherence in everyday practice as compared with that in RCTs has a greater effect on results with losartan as it has a higher sensitivity to a missed dose than candesartan does. Secondly, 'low' dose losartan was compared to 'high' dose candesartan (non-equipotential dosages). Both of the factors mentioned above could have resulted in insufficient angiotensin receptor blocking by losartan as compared with candesartan, and are related to the inadequate use of losartan. In addition, adjustments for confounding in this observational study cannot be evaluated properly. Finally, there was considerable (selective) loss-to-follow-up, which could also have led to bias. Head-to-head comparisons of drugs should be done with equipotential dosages in an RCT, not in an observational study.</t>
  </si>
  <si>
    <t>Reporting of treatment effects from randomized trials: a plea for multivariable risk ratios.</t>
  </si>
  <si>
    <t>Groenwold, Rolf H H; Moons, Karel G M; Peelen, Linda M; Knol, Mirjam J; Hoes, Arno W</t>
  </si>
  <si>
    <t>https://pubmed.ncbi.nlm.nih.gov/21195797</t>
  </si>
  <si>
    <t>Clinicians are typically interested in the effects of medical interventions that apply to individual patients. Such individual effects are conditional effects rather than marginal (or population averaged) effects. When considering odds ratios, conditional (adjusted) and marginal (crude) effects may differ, even in a randomized trial with perfectly balanced baseline covariates, due to non-collapsibility of the odds ratio. Using a numerical example, we explained this phenomenon of non-collapsibility of the odds ratio and showed that the difference between conditional and marginal odds ratios depends on the strength of the association between a third (stratifying) variable and the outcome, as well as on the distribution of this stratifying variable in the trial population. Risk ratios are not affected by non-collapsibility and therefore, conditional and marginal risk ratios are the same when adjusting for well balanced baseline covariates in randomized trials. Reports on randomized trials should more often include treatment effects that are expressed as risk ratios rather than odds ratios. When odds ratios are used, adjustment for baseline covariates should be considered, also when these are well-balanced between the treatment groups.</t>
  </si>
  <si>
    <t>Disclosure of individual genetic data to research participants: the debate reconsidered.</t>
  </si>
  <si>
    <t>Bredenoord, Annelien L; Kroes, Hester Y; Cuppen, Edwin; Parker, Michael; van Delden, Johannes J M</t>
  </si>
  <si>
    <t>trends in genetics tig</t>
  </si>
  <si>
    <t>https://pubmed.ncbi.nlm.nih.gov/21190750</t>
  </si>
  <si>
    <t>Despite extensive debate, there is no consensus on whether individual genetic data should be disclosed to research participants. The emergence of whole-genome sequencing methods is increasingly generating unequalled amounts of genetic data, making the need for a clear feedback policy even more urgent. In this debate two positions can be broadly discerned: a restrictive disclosure policy ('no feedback except life-saving data') and an intermediate policy of qualified disclosure ('feedback if the results meet certain conditions'). We explain both positions and present the principal underlying arguments. We suggest that the debate should no longer address whether genetic research results should be returned, but instead how best to make an appropriate selection and how to strike a balance between the possible benefits of disclosure and the harms of unduly hindering biomedical research.</t>
  </si>
  <si>
    <t>The impact of using different symptom-based exacerbation algorithms in patients with COPD.</t>
  </si>
  <si>
    <t>Trappenburg, J C A; van Deventer, A C; Troosters, T; Verheij, T J M; Schrijvers, A J P; Lammers, J-W J; Monninkhof, E M</t>
  </si>
  <si>
    <t>https://pubmed.ncbi.nlm.nih.gov/21177839</t>
  </si>
  <si>
    <t>Not all exacerbations are captured by reliance on healthcare contacts. Symptom-based exacerbation definitions have shown to provide more adequate measures of exacerbation rates, severity and duration. However, no consensus has been reached on what is the most useful method and algorithm to identify these events. This article provides an overview of the existing symptom-based definitions and tests the hypothesis that differences in exacerbation characteristics depend on the algorithms used. We systematically reviewed symptom-based methods and algorithms used in the literature, and quantified the impact of the four most referenced algorithms on exacerbation-related outcome using an existing chronic obstructive pulmonary disease (COPD) cohort (n = 137). We identified 51 studies meeting our criteria using 14 widely varying symptom algorithms to define onset, severity and recovery. The most (71%) frequently referenced algorithm (modified Anthonisen) identified an incidence rate of 1.7 episodes·patient-yr⁻¹ (95% CI 1.4-2.1), while for requiring only one major or two major symptoms this was 1.9 episodes·patient-yr⁻¹ (95% CI 1.6-2.3) and 1.5 episodes·patient-yr⁻¹ (95% CI 0.6-1.0), respectively. Studies were generally lacking methods to enhance validity and accuracy of symptom recording. This review revealed large inconsistencies in definitions, methods and accuracy to define symptom-based COPD exacerbations. We demonstrated that minor changes in symptom criteria substantially affect incidence rates, clustering type and classification of exacerbations.</t>
  </si>
  <si>
    <t>Correcting for partial verification bias: a comparison of methods.</t>
  </si>
  <si>
    <t>de Groot, Joris A H; Janssen, Kristel J M; Zwinderman, Aeilko H; Bossuyt, Patrick M M; Reitsma, Johannes B; Moons, Karel G M</t>
  </si>
  <si>
    <t>https://pubmed.ncbi.nlm.nih.gov/21109454</t>
  </si>
  <si>
    <t>A common problem in diagnostic research is that the reference standard has not been carried out in all patients. This partial verification may lead to biased accuracy measures of the test under study. The authors studied the performance of multiple imputation and the conventional correction method proposed by Begg and Greenes under a range of different situations of partial verification. In a series of simulations, using a previously published deep venous thrombosis data set (n = 1292), the authors set the outcome of the reference standard to missing based on various underlying mechanisms and by varying the total number of missing values. They then compared the performance of the different correction methods. The results of the study show that when the mechanism of missing reference data is known, accuracy measures can easily be correctly adjusted using either the Begg and Greenes method, or multiple imputation. In situations where the mechanism of missing reference data is complex or unknown, we recommend using multiple imputation methods to correct. These methods can easily apply for both continuous and categorical variables, are readily available in statistical software and give reliable estimates of the missing reference data.</t>
  </si>
  <si>
    <t>The Patient Health Questionnaire-9 for detection of major depressive disorder in primary care: consequences of current thresholds in a crosssectional study.</t>
  </si>
  <si>
    <t>Zuithoff, Nicolaas P A; Vergouwe, Yvonne; King, Michael; Nazareth, Irwin; van Wezep, Manja J; Moons, Karel G M; Geerlings, Mirjam I</t>
  </si>
  <si>
    <t>https://pubmed.ncbi.nlm.nih.gov/21144018</t>
  </si>
  <si>
    <t>There is a need for brief instruments to ascertain the diagnosis of major depressive disorder. In this study, we present the reliability, construct validity and accuracy of the PHQ-9 and PHQ-2 to detect major depressive disorder in primary care. Cross-sectional analyses within a large prospective cohort study (PREDICT-NL). Data was collected in seven large general practices in the centre of the Netherlands. 1338 subjects were recruited in the general practice waiting room, irrespective of their presenting complaint. The diagnostic accuracy (the area under the ROC curve and sensitivities and specificities for various thresholds) was calculated against a diagnosis of major depressive disorder determined with the Composite International Diagnostic Interview (CIDI). The PHQ-9 showed a high degree of internal consistency (ICC = 0.88) and test-retest reliability (correlation = 0.94). With respect to construct validity, it showed a clear association with functional status measurements, sick days and number of consultations. The discriminative ability was good for the PHQ-9 (area under the ROC curve = 0.87, 95% CI: 0.84-0.90) and the PHQ-2 (ROC area = 0.83, 95% CI 0.80-0.87). Sensitivities at the recommended thresholds were 0.49 for the PHQ-9 at a score of 10 and 0.28 for a categorical algorithm. Adjustment of the threshold and the algorithm improved sensitivities to 0.82 and 0.84 respectively but the specificity decreased from 0.95 to 0.82 (threshold) and from 0.98 to 0.81 (algorithm). Similar results were found for the PHQ-2: the recommended threshold of 3 had a sensitivity of 0.42 and lowering the threshold resulted in an improved sensitivity of 0.81. The PHQ-9 and the PHQ-2 are useful instruments to detect major depressive disorder in primary care, provided a high score is followed by an additional diagnostic work-up. However, often recommended thresholds for the PHQ-9 and the PHQ-2 resulted in many undetected major depressive disorders.</t>
  </si>
  <si>
    <t>Systematic review: diagnostic accuracy of clinical decision rules for venous thromboembolism in elderly.</t>
  </si>
  <si>
    <t>Siccama, R N; Janssen, K J M; Verheijden, N A F; Oudega, R; Bax, L; van Delden, J J M; Moons, K G M</t>
  </si>
  <si>
    <t>https://pubmed.ncbi.nlm.nih.gov/21130902</t>
  </si>
  <si>
    <t>Physicians committed to the care of elderly patients, are challenged with the diagnosis of venous thromboembolism (VTE: deep venous thrombosis and pulmonary embolism) due to a higher incidence, co-morbidities masking signs and symptoms and burdening referrals. Clinical decision rules (CDRs) have been developed and implemented for VTE. Yet, until now, no study has evaluated the existing evidence of the diagnostic accuracy of CDRs for VTE in elderly. To assess the effect of increasing age on diagnostic accuracy of CDRs for VTE in elderly. A computerized systematic search was performed in Medline and Embase from 1950 to 2010. After checking reference lists and field experts, all key journals were hand searched. After review of 1538 eligible citations, nine articles were included and critically appraised on methodological quality by two reviewers using the QUADAS criteria. Data on age subgroups, type of CDRs, sensitivity, specificity, safety, efficiency and the prevalence of deep venous thrombosis (DVT) and pulmonary embolism (PE) were extracted. Although sensitivity and safety of the CDRs for VTE in elderly remained high, the specificity and efficiency decreased substantially in older age groups. A limited number of studies met our inclusion criteria. Possible referral bias due to inclusion of relatively high risk elderly patients. This diagnostic review demonstrates an increase of prevalence of PE with age and a strong decrease of specificity and efficiency for CDRs of VTE in older patients. Moreover, due to referral bias the decrease in specificity in the elderly may even be underestimated. Although the safety of CDRs for VTE is high, adapting these rules for elderly is much needed to make them more efficient for aged patients.</t>
  </si>
  <si>
    <t>A prediction model for left ventricular mass in patients at high cardiovascular risk.</t>
  </si>
  <si>
    <t>Meijs, Matthijs F L; Vergouwe, Yvonne; Cramer, Maarten J M; Vonken, Evert-Jan A; Velthuis, Birgitta K; Verton, David J; van der Graaf, Yolanda; Visseren, Frank L; Mali, Willem P; Doevendans, Pieter A; Bots, Michiel L; ,</t>
  </si>
  <si>
    <t>https://pubmed.ncbi.nlm.nih.gov/20814310</t>
  </si>
  <si>
    <t>Left ventricular (LV) mass has a continuous relation with cardiovascular risk, and regression of LV mass induced by pharmacological treatment is associated with improved prognosis. Therefore, early identification of patients with a large LV mass is desired. We developed a model to predict LV mass in individual hypertensives at high cardiovascular risk. We analyzed data of 536 hypertensives with symptomatic extracardiac atherosclerotic disease or marked risk factors for atherosclerosis from a cross-sectional study in a tertiary referral center. LV mass was measured by cardiac MRI. We developed the prediction rule with multivariable linear regression analysis and stepwise backward elimination. Internal validation was assessed with bootstrap sampling to obtain an estimate of model performance (R²) that may be expected for new patients. Important predictors for LV mass included sex, height, body mass index, systolic blood pressure, and previous aneurysm of the abdominal aorta. R² of the prediction model was 45% after internal validation, which was considerably higher than the R² of previously reported models (range 1-38%). Addition of electrocardiography data showed limited improvement of the model performance (R²=47%). We present a prediction model for LV mass in hypertensives at high cardiovascular risk. After external validation, this model may be used in clinical practice to estimate LV mass for early identification of large LV mass. The predictions of the model may support appropriate medical care in the prevention of cardiovascular disease.</t>
  </si>
  <si>
    <t>Heart-type fatty acid-binding protein in the early diagnosis of acute myocardial infarction: a systematic review and meta-analysis.</t>
  </si>
  <si>
    <t>Bruins Slot, Madeleine H E; Reitsma, J B; Rutten, Frans H; Hoes, Arno W; van der Heijden, Geert J M G</t>
  </si>
  <si>
    <t>https://pubmed.ncbi.nlm.nih.gov/21088120</t>
  </si>
  <si>
    <t>To determine the accuracy of heart-type fatty acid-binding protein (H-FABP) as a new and early cardiac biomarker in the early diagnosis of acute myocardial infarction (AMI). The introduction of early and safe biomarkers could lead to (a) a large reduction in unnecessary hospital referrals of patients suspected of, but not, having AMI and (b) an earlier start of treatment in patients with AMI. Diagnostic meta-analysis. Hospital and pre-hospital. Consecutive patients suspected of having AMI. A summary estimate for sensitivity and specificity was calculated using the bivariate random-effects approach, and covariate analysis was used to examine sources of heterogeneity between studies. A systematic search yielded 16 studies (3709 patients, prevalence of AMI 13-74%, male gender 49-84%, median age 64-76 years). The summary estimate was 84% (95% CI 76% to 90%) for sensitivity and 84% (95% CI 76% to 89%) for specificity. Covariate analyses revealed that the use of troponin in the reference standard for AMI (as opposed to creatine kinase or creatine kinase-myocardial band) had a significant impact on sensitivity. H-FABP does not fulfil the requirements needed for a safe and early diagnosis of AMI when used as a stand-alone test. Sound diagnostic studies examining the additional role of H-FABP combined with clinical findings and other diagnostic tests are needed to further clarify a potential future role for this cardiac biomarker.</t>
  </si>
  <si>
    <t>Trends in vascular risk factors and medication use in patients with various manifestations of vascular diseases or type 2 diabetes mellitus from 1996 to 2007: the Second Manifestations of ARTerial disease study.</t>
  </si>
  <si>
    <t>Vlek, Anne; Visseren, Frank; Algra, Ale; Soedamah-Muthu, Sabita; Moll, Frans; Doevendans, Pieter; Kappelle, Jaap; van der Graaf, Yolanda; ,</t>
  </si>
  <si>
    <t>https://pubmed.ncbi.nlm.nih.gov/20300000</t>
  </si>
  <si>
    <t>To investigate time trends in vascular risk factors and medication use for patients referred to a vascular specialist with manifest vascular disease or type 2 diabetes mellitus (DM2). Change in risk factor profile and medication use at referral over a 12-year period was evaluated and compared between patients with coronary heart disease, cerebrovascular disease, peripheral arterial disease, abdominal aortic aneurysm, and DM2, who participated in the Second Manifestations of ARTerial disease study in the period of 1996-2007. A total of 4731 patients were included (mean age 59±11 years, 75% male) in the period 1996-2007. Obesity (body mass index ≥30 kg/m²) prevalence increased from 14 to 24%, and no change in smoking behavior was observed. The prevalence of hyperlipidemia (total cholesterol ≥4.5 mmol/l or low-density lipoprotein cholesterol ≥2.5 mmol/l) at referral declined from 92% in 1996-1997 to 45% in 2006-2007. The proportion of patients with blood pressure above 140/90 mmHg decreased from 66 to 51%. The use of lipid-lowering, blood pressure-lowering, and antithrombotic medication at referral increased over the observation period. An improvement in risk factor profile was seen in patients referred with manifest vascular disease or DM2 over a 12-year period. Nevertheless, the prevalence of modifiable risk factors is still high leaving patients at elevated vascular risk.</t>
  </si>
  <si>
    <t>Antipsychotic prophylaxis is needed after remission from a first psychotic episode in schizophrenia patients: results from an aborted randomised trial.</t>
  </si>
  <si>
    <t>Boonstra, Geartsje; Burger, Huibert; Grobbee, Diederick E; Kahn, René S</t>
  </si>
  <si>
    <t>international journal of psychiatry in clinical practice</t>
  </si>
  <si>
    <t>https://pubmed.ncbi.nlm.nih.gov/22121861</t>
  </si>
  <si>
    <t>To assess the effect of withdrawal of antipsychotic treatment on relapse risk in remitted first-episode schizophrenia patients. First-episode 1-year stable and remitted outpatients with a schizophrenic disorder were randomly allocated to continuation of their antipsychotic regimen for at least 6 months (N = 9), or gradual withdrawal (N = 11). Primary outcome was the difference in cumulative relapse-free survival at 9 months. Recruitment was terminated prematurely on 26 October 2005. The cumulative relapse-free survival was 88% (SE = 0.12) in the continuation and 18% (SE = 0.12) in the discontinuation group (P = 0.001) at 9 months follow-up. Discontinuation of antipsychotic medication markedly increases the risk of relapse in stable remitted first-episode schizophrenia patients. In future studies the topics of safety monitoring and sampling of patients should receive extra attention.</t>
  </si>
  <si>
    <t>The dynamics of mortality in follow-up time after an acute myocardial infarction, lower extremity arterial disease and ischemic stroke.</t>
  </si>
  <si>
    <t>Vaartjes, Ilonca; van Dis, Ineke; Grobbee, Diederick E; Bots, Michiel L</t>
  </si>
  <si>
    <t>https://pubmed.ncbi.nlm.nih.gov/21106115</t>
  </si>
  <si>
    <t>Most studies providing data on survival in patients with atherosclerosis only address a single disease site: heart, brain or legs. Therefore, our objective was to determine risk of death after first hospital admission for atherosclerotic disease located at different sites. A nationwide cohort of patients hospitalized for the first time for acute myocardial infarction (AMI), peripheral arterial disease of the lower extremities (PAD) or ischemic stroke was identified through linkage of national registers. The mortality rate in AMI patients was compared to mortality rate in ischemic stroke and PAD patients by estimating relative risks (with 95%CI). Cox's proportional hazard models were used to estimate sex differences in risk of death. Case fatality was high for ischemic stroke patients (men:21.0%, women:23.8%) and AMI patients (men:12.7%, women:20.9%) though low for PAD patients (men:2.4%, women:3.5%). The five-year risk of death was similar for male AMI compared to PAD patients (men: RR1.04; 95%CI 0.98-1.11). The risk of death for ischemic stroke patients remained the highest though the differences with AMI and PAD patients attenuated. The dynamics of mortality over follow-up time clearly differ between atherosclerotic diseases, located at different vascular beds. The risk of death increases considerably over follow-up time for PAD patients, and 5 years after first hospital admission the differences in risks of death between AMI- and PAD patients and between AMI- and ischemic stroke patients have largely attenuated. Clinicians should be aware of these dynamics of mortality over follow-up time to provide optimal secondary prevention treatment.</t>
  </si>
  <si>
    <t>External validation of the UK Prospective Diabetes Study (UKPDS) risk engine in patients with type 2 diabetes.</t>
  </si>
  <si>
    <t>van Dieren, S; Peelen, L M; Nöthlings, U; van der Schouw, Y T; Rutten, G E H M; Spijkerman, A M W; van der A, D L; Sluik, D; Boeing, H; Moons, K G M; Beulens, J W J</t>
  </si>
  <si>
    <t>https://pubmed.ncbi.nlm.nih.gov/21076956</t>
  </si>
  <si>
    <t>Treatment guidelines recommend the UK Prospective Diabetes Study (UKPDS) risk engine for predicting cardiovascular risk in patients with type 2 diabetes, although validation studies showed moderate performance. The methods used in these validation studies were diverse, however, and sometimes insufficient. Hence, we assessed the discrimination and calibration of the UKPDS risk engine to predict 4, 5, 6 and 8 year cardiovascular risk in patients with type 2 diabetes. The cohort included 1,622 patients with type 2 diabetes. During a mean follow-up of 8 years, patients were followed for incidence of CHD and cardiovascular disease (CVD). Discrimination and calibration were assessed for 4, 5, 6 and 8 year risk. Discrimination was examined using the c-statistic and calibration by visually inspecting calibration plots and calculating the Hosmer-Lemeshow χ(2) statistic. The UKPDS risk engine showed moderate to poor discrimination for both CHD and CVD (c-statistic of 0.66 for both 5 year CHD and CVD risks), and an overestimation of the risk (224% and 112%). The calibration of the UKPDS risk engine was slightly better for patients with type 2 diabetes who had been diagnosed with diabetes more than 10 years ago compared with patients diagnosed more recently, particularly for 4 and 5 year predicted CVD and CHD risks. Discrimination for these periods was still moderate to poor. We observed that the UKPDS risk engine overestimates CHD and CVD risk. The discriminative ability of this model is moderate, irrespective of various subgroup analyses. To enhance the prediction of CVD in patients with type 2 diabetes, this model should be updated.</t>
  </si>
  <si>
    <t>Ethics of modifying the mitochondrial genome.</t>
  </si>
  <si>
    <t>Bredenoord, A L; Dondorp, W; Pennings, G; De Wert, G</t>
  </si>
  <si>
    <t>https://pubmed.ncbi.nlm.nih.gov/21071569</t>
  </si>
  <si>
    <t>Recent preclinical studies have shown the feasibility of specific variants of nuclear transfer to prevent mitochondrial DNA disorders. Nuclear transfer could be a valuable reproductive option for carriers of mitochondrial mutations. A clinical application of nuclear transfer, however, would entail germ-line modification, more specifically a germ-line modification of the mitochondrial genome. One of the most prominent objections against germ-line modification is the fear that it would become possible to alter 'essential characteristics' of a future person, thereby possibly violating the child's right to an open future. As only the nuclear DNA would contain the ingredients for individual characteristics, modification of the mtDNA is often considered less controversial than modification of the nuclear DNA. This paper discusses the tenability of this dichotomy. After having clarified the concept of germ-line modification, it argues that modification of the mtDNA is not substantively different from modification of the nuclear DNA in terms of its effects on the identity of the future person. Subsequently the paper assesses how this conclusion affects the moral evaluation of nuclear transfer to prevent mtDNA disorders. It concludes that the moral acceptability of germ-line modification does not depend on whether it alters the identity of the future child-all germ-line modifications do-but on whether it safeguards the child's right to an open future. If nuclear transfer to prevent mtDNA disorders becomes safe and effective, then dismissing it because it involves germ-line modification is unjustified.</t>
  </si>
  <si>
    <t>The association of incidentally detected heart valve calcification with future cardiovascular events.</t>
  </si>
  <si>
    <t>Gondrie, Martijn J A; van der Graaf, Yolanda; Jacobs, Peter C; Oen, Ay L; Mali, Willem P Th M; ,</t>
  </si>
  <si>
    <t>https://pubmed.ncbi.nlm.nih.gov/21058039</t>
  </si>
  <si>
    <t>This study aims to investigate the prognostic value of incidental aortic valve calcification (AVC), mitral valve calcification (MVC) and mitral annular calcification (MAC) for cardiovascular events and non-rheumatic valve disease in particular on routine diagnostic chest CT. The study followed a case-cohort design. 10410 patients undergoing chest CT were followed for a median period of 17 months. Patients referred for cardiovascular disease were excluded. A random sample of 1285 subjects and the subjects who experienced an endpoint were graded for valve calcification by three reviewers. Cox-proportional hazard analysis was performed to evaluate the prognostic value. 515 cardiovascular events were ascertained. Compared with patients with no valve calcification, patients with severe AVC, MVC or MAC had respectively 2.03 (1.48-2.78), 2.08 (1.04-4.19) and 1.53 (1.13-2.08) increased risks of experiencing an event during follow-up. For valve endpoints the hazard ratios were respectively 14.57 (5.19-40.53), 8.78 (2.33-33.13) and 2.43 (1.18-4.98). Incidental heart valve calcification, detected on routine chest CT is an independent predictor of future cardiovascular events. The study emphasises how incidental imaging findings can contribute to clinical care. It is a step in the process of composing an evidence-based approach in the reporting of incidental subclinical findings.</t>
  </si>
  <si>
    <t>Ethics of mitochondrial gene replacement: from bench to bedside.</t>
  </si>
  <si>
    <t>Bredenoord, Annelien L; Braude, Peter</t>
  </si>
  <si>
    <t>https://pubmed.ncbi.nlm.nih.gov/21059727</t>
  </si>
  <si>
    <t>The natural course and outcome of major depressive disorder in primary care: the PREDICT-NL study.</t>
  </si>
  <si>
    <t>Stegenga, Bauke T; Kamphuis, Marjolein H; King, Michael; Nazareth, Irwin; Geerlings, Mirjam I</t>
  </si>
  <si>
    <t>https://pubmed.ncbi.nlm.nih.gov/21057769</t>
  </si>
  <si>
    <t>To examine the natural course and outcome of major depressive disorder (MDD) in primary care over 39 months. Prospective cohort study of 1,338 consecutive attendees with follow-up after 6, 12, and 39 months with DSM-IV MDD using the Composite International Diagnostic Interview (CIDI). We measured severity of depressive symptoms (Patient Health Questionnaire 9), somatic symptoms (Patient Health Questionnaire 15), and mental and physical function (Short Form 12, mental and physical component summary). Analysis of variance and random coefficient models were performed. At baseline, 174 people (13%) had MDD of which 17% had a chronic and 40% had a fluctuating course, while 43% remitted. Patients with chronic courses had more severe depressive symptoms (mean difference 6.54; 95% CI 4.38-8.70), somatic symptoms (mean difference 3.31; 95% CI 1.61-5.02), and greater mental dysfunction (mean difference -10.49; 95% CI -14.42 to -6.57) at baseline than those who remitted from baseline, independent of age, sex, level of education, presence of a chronic disease, and a lifetime history of depression. Although 43% of patients with MDD attending primary care recover, this leaves a majority of patients (57%) who have a chronic or intermittent course. Chronic courses are associated with higher levels of depressive symptoms and somatic symptoms and greater mental dysfunction at baseline.</t>
  </si>
  <si>
    <t>Age- and gender-specific risk of death after first hospitalization for heart failure.</t>
  </si>
  <si>
    <t>Vaartjes, I; Hoes, A W; Reitsma, J B; de Bruin, A; Grobbee, D E; Mosterd, A; Bots, M I</t>
  </si>
  <si>
    <t>https://pubmed.ncbi.nlm.nih.gov/20969758</t>
  </si>
  <si>
    <t>Hospitalization for heart failure (HF) is associated with high-in-hospital and short- and long-term post discharge mortality. Age and gender are important predictors of mortality in hospitalized HF patients. However, studies assessing short- and long-term risk of death stratified by age and gender are scarce. A nationwide cohort was identified (ICD-9 codes 402, 428) and followed through linkage of national registries. The crude 28-day, 1-year and 5-year mortality was computed by age and gender. Cox regression models were used for each period to study sex differences adjusting for potential confounders (age and comorbidities). 14,529 men, mean age 74 ± 11 years and 14,524 women, mean age 78 ± 11 years were identified. Mortality risk after admission for HF increased with age and the risk of death was higher among men than women. Hazard ratio's (men versus women and adjusted for age and co-morbidity) were 1.21 (95%CI 1.14 to 1.28), 1.26 (95% CI 1.21 to 1.31), and 1.28 (95%CI 1.24 to 1.31) for 28 days, 1 year and 5 years mortality, respectively. This study clearly shows age- and gender differences in short- and long-term risk of death after first hospitalization for HF with men having higher short- and long-term risk of death than women. As our study population includes both men and women from all ages, the estimates we provide maybe a good reflection of 'daily practice' risk of death and therefore be valuable for clinicians and policymakers.</t>
  </si>
  <si>
    <t>Non-fasting lipids and risk of cardiovascular disease in patients with diabetes mellitus.</t>
  </si>
  <si>
    <t>van Dieren, S; Nöthlings, U; van der Schouw, Y T; Spijkerman, A M W; Rutten, G E H M; van der A, D L; Sluik, D; Weikert, C; Joost, H G; Boeing, H; Beulens, J W J</t>
  </si>
  <si>
    <t>https://pubmed.ncbi.nlm.nih.gov/20959955</t>
  </si>
  <si>
    <t>The aim of this study was to examine the effect of postprandial time on the associations and predictive value of non-fasting lipid levels and cardiovascular disease risk in participants with diabetes. This study was conducted among 1,337 participants with diabetes from the Dutch and German (Potsdam) contributions to the European Prospective Investigation into Cancer and Nutrition. At baseline, total cholesterol, LDL- and HDL-cholesterol and triacylglycerol concentrations were measured and the ratio of total cholesterol/HDL-cholesterol was calculated. Participants were followed for incidence of cardiovascular disease. Lipid concentrations changed minimally with increasing postprandial time, except for triacylglycerol which was elevated just after a meal and declined over time (1.86 at 0.1 h to 1.33 at &gt;6 h, p for trend &lt;0.001). During a mean follow-up of 8 years, 116 cardiovascular events were documented. After adjustment for potential confounders, triacylglycerol (HR for third tertile compared with first tertile (HR(t)₃(to)₁), 1.73 [95% CI 1.04, 2.87]), HDL-cholesterol (HR(t)₃(to)₁, 0.41 [95% CI 0.23, 0.72]) and total cholesterol/HDL-cholesterol ratio (HR(t)₃(to)₁, 1.65 [95% CI 0.95, 2.85]) were associated with cardiovascular disease, independent of postprandial time. Cardiovascular disease risk prediction using the UK Prospective Diabetes Study risk engine was not affected by postprandial time. Postprandial time did not affect associations between lipid concentrations and cardiovascular disease risk in patients with diabetes, nor did it influence prediction of cardiovascular disease. Therefore, it may not be necessary to use fasting blood samples to determine lipid concentrations for cardiovascular disease risk prediction in patients with diabetes.</t>
  </si>
  <si>
    <t>Volumetric breast density from full-field digital mammograms and its association with breast cancer risk factors: a comparison with a threshold method.</t>
  </si>
  <si>
    <t>Lokate, Mariëtte; Kallenberg, Michiel G J; Karssemeijer, Nico; Van den Bosch, Maurice A A J; Peeters, Petra H M; Van Gils, Carla H</t>
  </si>
  <si>
    <t>https://pubmed.ncbi.nlm.nih.gov/20921336</t>
  </si>
  <si>
    <t>Breast density, a strong breast cancer risk factor, is usually measured on the projected breast area from film screen mammograms. This is far from ideal, as breast thickness and technical characteristics are not taken into account. We investigated whether volumetric density measurements on full-field digital mammography (FFDM) are more strongly related to breast cancer risk factors than measurements with a computer-assisted threshold method. Breast density was measured on FFDMs from 370 breast cancer screening participants, using a computer-assisted threshold method and a volumetric method. The distribution of breast cancer risk factors among quintiles of density was compared between both methods. We adjusted for age and body mass index (BMI) with linear regression analysis. High percent density was strongly related to younger age, lower BMI, nulliparity, late age at first delivery and pre/perimenopausal status, to the same extent with both methods (all P &lt; 0.05). Similarly strong relationships were seen for the absolute dense area but to a lesser extent for absolute dense volume. A larger dense volume was only significantly associated with late age at menopause, use of menopausal hormone therapy, and, in contrast to the other methods, high BMI. Both methods related equally well to known breast cancer risk factors. Despite its alleged higher precision, the volumetric method was not more strongly related to breast cancer risk factors. This is in agreement with other studies. The definitive relationship with breast cancer risk still needs to be investigated.</t>
  </si>
  <si>
    <t>Self-medication with antibiotics in Europe: a case for action.</t>
  </si>
  <si>
    <t>Grigoryan, Larissa; Monnet, Dominique L; Haaijer-Ruskamp, Flora M; Bonten, Marc J M; Lundborg, Stålsby; Verheij, Theo J M</t>
  </si>
  <si>
    <t>current drug safety</t>
  </si>
  <si>
    <t>https://pubmed.ncbi.nlm.nih.gov/20615180</t>
  </si>
  <si>
    <t>Unlike most other drugs that only affect individual patients if used incorrectly for self-medication, misused antibiotics add to the global risk of increased spread of bacterial resistance. This review focuses on self-medication with antibiotics in Europe and its determinants. High prevalence of self-medication with antibiotics has been repeatedly found in Southern and Eastern European countries that also report high levels of antibiotic resistance. Despite being illegal, over the counter dispensation of systemic antibiotics occurs in several European Union Member States. A second major source of self-medication is the availability of "leftover" antibiotics which results from either patient non-compliance or dispensation of a larger number of tablets than needed for one single course. The potentially modifiable factors associated with self-medication are: availability of antibiotics without prescription, pack-based antibiotic dispensing system, misconceptions of the general public about the efficacy of antibiotics for minor illnesses and prescribing of antibiotics for minor ailments by physicians. Measures that may reduce and prevent self-medication include dispensation of exact tablet quantities in pharmacies as already implemented e.g. in the UK, Netherlands, the Czech Republic and the United States, and enforcement of existing laws prohibiting over-the-counter sales of antibiotics. Such measures should be embedded in a general policy to change the culture of antibiotic use by improving awareness of the general public and professionals about antibiotics and the risks associated with their use as well as reducing misconceptions about the need for antibiotics for minor ailments.</t>
  </si>
  <si>
    <t>Diagnostic classification in patients with suspected deep venous thrombosis: physicians' judgement or a decision rule?</t>
  </si>
  <si>
    <t>Geersing, Geert-Jan; Janssen, Kristel J; Oudega, Ruud; van Weert, Henk; Stoffers, Henri; Hoes, Arno; Moons, Karel; ,</t>
  </si>
  <si>
    <t>https://pubmed.ncbi.nlm.nih.gov/20883623</t>
  </si>
  <si>
    <t>Clinical decision rules can aid in referral decisions for ultrasonography in patients suspected of having deep venous thrombosis (DVT), but physicians are not always convinced of their usefulness and rely on their own judgement. To compare the performance of a clinical decision rule with the probability of DVT presence as estimated by GPs. Cross-sectional survey. Primary care practices in The Netherlands. GPs (n = 300) estimated the probability of the presence of DVT (range 0-100%) and calculated the score for the clinical decision rule in 1028 consecutive patients with suspected DVT. The clinical decision rule uses a threshold of three points and so, for the GP estimates, thresholds were introduced at 10% and 20%. If scores were below these estimates, it was not considered necessary to refer patients for further examination. Differences between the clinical decision rule and the GP estimates were calculated; this is discrimination (c-statistic) and classification of patients. Data of 1002 patients were eligible for analysis. DVT was observed in 136 (14%) patients. Both the clinical decision rule and GP estimates had good discriminative power (c-statistic of 0.80 and 0.82 respectively). Fewer patients were referred when using the clinical decision rule compared with a referral decision based on GP estimates: 51% versus 79% and 65% (thresholds at 10% and 20% respectively). Both strategies missed a similar and low proportion of patients who did have DVT (range 1.4-2.0%). In patients suspected of DVT both GP estimates and a clinical decision rule can safely discriminate in patients with and without DVT. However, fewer patients are referred for ultrasonography when GPs rely on a clinical decision rule to guide their decision making.</t>
  </si>
  <si>
    <t>Optimisation of the diagnostic strategy for suspected deep-vein thrombosis in primary care.</t>
  </si>
  <si>
    <t>Janssen, Kristel J M; van der Velde, Eit F; Ten Cate, Arina J; Prins, Martin H; van Weert, Henk C P M; Stoffers, H E Jelle H; Büller, Harry R; Oudega, Ruud; Hoes, Arno W; Toll, Diane B; Moons, Karel G M</t>
  </si>
  <si>
    <t>https://pubmed.ncbi.nlm.nih.gov/20886183</t>
  </si>
  <si>
    <t>Recently, a diagnostic score was developed to safely exclude deep-vein thrombosis (DVT) in primary care. A large prospective study, in which general practitioners used this diagnostic score to decide which patients needed referral, revealed that the number of referrals for ultrasound measurements was reduced by almost 50%, at the cost of an acceptably low risk (1.4%, 95% confidence interval [CI] 0.6% to 2.9%) of venous thromboembolic events in non-referred patients. However, simple adjustments to the diagnostic score (so-called updating) might further improve the accuracy; i.e. reduce the proportion of missed diagnoses (safety) or increase the proportion of patients who do not need to be referred (efficiency). We applied two updating methods to determine whether adjusting the weights of the predictors or adding new predictors could further improve the accuracy of the diagnostic score. The weights of the predictors did not need to be adjusted, but inclusion of 'history of DVT' and 'prolonged travelling' significantly added predictive value (p-values 0.014 and 0.023, respectively). However, adding these predictors to the diagnostic score did not improve the safety and efficiency: at equal safety (1.4% missed diagnoses among the non-referred patients), the efficiency was lower (43.5%, 95% CI 40.4% to 46.6% compared to 49.4%, 95% CI 46.3% to 52.5%). The diagnostic score for excluding DVT in primary care has good accuracy in its original form and could not be improved by including additional predictors. This suggests that the original diagnostic score can be used to safely exclude clinically suspected DVT in primary care.</t>
  </si>
  <si>
    <t>Cardiovascular disease: prediction with ancillary aortic findings on chest CT scans in routine practice.</t>
  </si>
  <si>
    <t>Gondrie, Martijn J A; Mali, Willem P T M; Jacobs, Peter C; Oen, Ay L; van der Graaf, Yolanda; ,</t>
  </si>
  <si>
    <t>https://pubmed.ncbi.nlm.nih.gov/20876722</t>
  </si>
  <si>
    <t>To predict cardiovascular disease (CVD) in a clinical care population by using prevalent subclinical ancillary aortic findings detected on chest computed tomographic (CT) images. The study was approved by the medical ethics committee of the primary participating facility and the institutional review boards of all other participating centers. From a total of 6975 patients who underwent diagnostic contrast material-enhanced chest CT for noncardiovascular indications, a representative sample population of 817 patients plus 347 patients who experienced a cardiovascular event during a mean follow-up period of 17 months were assigned visual scores for ancillary aortic abnormalities--on a scale of 0-8 for calcifications, a scale of 0-4 for plaques, a scale of 0-4 for irregularities, and a scale of 0-1 for elongation. Four Cox proportional hazard models incorporating different sum scores for the aortic abnormalities plus age, sex, and chest CT indication were compared for discrimination and calibration. The prediction model that performed best was chosen and externally validated. Each aortic abnormality was highly predictive, and all models performed well (c index range, 0.70-0.72; goodness-of-fit P value range, .45-.76). The prediction model incorporating the sum score for aortic calcifications was chosen owing to its good performance (c index, 0.72; goodness-of-fit P = .47) and its applicability to nonenhanced CT scanning. Validation of this model in an external data set also revealed good performance (c index, 0.71; goodness-of-fit P = .25; sensitivity, 46%; specificity, 76%). A derived prediction model incorporating ancillary aortic findings detected on routine diagnostic CT images complements established risk scores and may help to identify patients at high risk for CVD. Timely application of preventative measures may ultimately reduce the number or severity of CVD events.</t>
  </si>
  <si>
    <t>Testosterone, sex hormone-binding globulin and the metabolic syndrome: a systematic review and meta-analysis of observational studies.</t>
  </si>
  <si>
    <t>Brand, Judith S; van der Tweel, Ingeborg; Grobbee, Diederick E; Emmelot-Vonk, Marielle H; van der Schouw, Yvonne T</t>
  </si>
  <si>
    <t>https://pubmed.ncbi.nlm.nih.gov/20870782</t>
  </si>
  <si>
    <t>Accumulating evidence suggests a sex-dependent role of circulating testosterone in the metabolic syndrome (MetS). We conducted a meta-analysis of observational studies (PubMed and EMBASE-1 May 2010) relating MetS to determinants of testosterone status [total testosterone (TT), free testosterone (FT) and sex hormone-binding globulin (SHBG)]. A total of 52 studies were identified, comprising 22 043 men and 7839 women and presenting relative risk (RR) estimates or hormone levels for subjects with and without MetS. Endogenous TT and FT levels were lower in men with MetS [TT mean difference = -2.64 nmol/l, 95% confidence interval (CI) -2.95 to -2.32; FT standardized mean difference = -0.26 pmol/l, 95% CI -0.39 to -0.13] and higher in women with MetS (TT mean difference = 0.14 nmol/l, 95% CI 0.07-0.20; FT standardized mean difference = 0.52 pmol/l, 95% CI 0.33-0.71) compared with those without. Similarly, men with higher TT levels had a lower MetS risk (RR estimate = 0.38, 95% CI 0.28-0.50) whereas higher TT levels increased the risk of MetS in women (RR estimate = 1.68, 95% CI 1.15-2.45). In both sexes, higher SHBG levels were associated with a reduced risk (men: RR estimate = 0.29, 95% CI 0.21-0.41; women: RR estimate = 0.30, 95% CI 0.21-0.42). This meta-analysis supports the presence of a sex-dependent association between testosterone and MetS: TT and FT levels are lower in men with MetS, whereas they are higher in women with MetS. There are no indications for a sex-specific association between SHBG and MetS. In both men and women, MetS is associated with lower SHBG levels.</t>
  </si>
  <si>
    <t>Detecting exacerbations using the Clinical COPD Questionnaire.</t>
  </si>
  <si>
    <t>Trappenburg, Jaap C A; Touwen, Irene; de Weert-van Oene, Gerdien H; Bourbeau, Jean; Monninkhof, Evelyn M; Verheij, Theo J M; Lammers, Jan-Willem J; Schrijvers, Augustinus J P</t>
  </si>
  <si>
    <t>https://pubmed.ncbi.nlm.nih.gov/20846428</t>
  </si>
  <si>
    <t>Early treatment of COPD exacerbations has shown to be important. Despite a non-negligible negative impact on health related quality of life, a large proportion of these episodes is not reported (no change in treatment). Little is known whether (low burden) strategies are able to capture these unreported exacerbations. The Clinical COPD Questionnaire (CCQ) is a short questionnaire with great evaluative properties in measuring health status. The current explorative study evaluates the discriminative properties of weekly CCQ assessment in detecting exacerbations. In a multicentre prospective cohort study, 121 patients, age 67.4 ± 10.5 years, FEV1 47.7 ± 18.5% pred were followed for 6 weeks by daily diary card recording and weekly CCQ assessment. Weeks were retrospectively labeled as stable or exacerbation (onset) weeks using the Anthonisen symptom diary-card algorithm. Change in CCQ total scores are significantly higher in exacerbation-onset weeks, 0.35 ± 0.69 compared to -0.04 ± 0.37 in stable weeks (p &lt; 0.001). Performance of the Δ CCQ total score discriminating between stable and exacerbation onset weeks was sufficient (area under the ROC curve 0.75). At a cut off point of 0.2, sensitivity was 62.5 (50.3-73.4), specificity 82.0 (79.3-84.4), and a positive and negative predictive value of 43.5 (35.0-51.0) and 90.8 (87.8-93.5), respectively. Using this cut off point, 22 (out of 38) unreported exacerbations were detected while 39 stable patients would have been false positively 'contacted'. Weekly CCQ assessment is a promising, low burden method to detect unreported exacerbations. Further research is needed to validate discriminative performance and practical implications of the CCQ in detecting exacerbations in daily care.</t>
  </si>
  <si>
    <t>Analysis of low frequency bleeding data: the association of joint bleeds according to baseline FVIII activity levels.</t>
  </si>
  <si>
    <t>den Uijl, I E M; Fischer, K; Van Der Bom, J G; Grobbee, D E; Rosendaal, F R; Plug, I</t>
  </si>
  <si>
    <t>https://pubmed.ncbi.nlm.nih.gov/20825504</t>
  </si>
  <si>
    <t>Many studies in the field of haemophilia and other coagulation deficiencies require analyses of bleeding frequencies. In haemophilia, the association of bleeding frequency with factor VIII (FVIII) activity levels is known from experience, but significant results are lacking. Bleeding frequencies in haemophilia are highly skewed count data, with large proportions of zeros. Both the skewness and the high amount of zeros pose a problem for standard (linear) modelling techniques. This study investigated the optimal analysing strategy for bleeding data by using the association of residual clotting factor level and number of joint bleeds in moderate and mild patients treated on demand as example. In total, 433 patients with moderate (27%) and mild (73%) haemophilia A treated on demand were included in this study. One year of self-reported data on joint bleed frequency and baseline clotting factor activity were analysed using Poisson, negative binomial, zero-inflated Poisson, and zero-inflated negative binomial distributions. Multivariate regression analysis using negative binomial distribution provided the optimum data analytical strategy. This model showed 18% reduction [Rate ratio (RR) 0.82; 95%confidence interval (CI) 0.77-0.86] of bleeding frequency with every IU dL(-1) increase in residual FVIII activity. The actual association is expected to be higher because of exclusion (30 out of 463 patients) of patients on prophylaxis (baseline FVIII levels 0.01-0.06 IU mL(-1)). The best way to analyse low frequency bleeding data is using a negative binomial distribution.</t>
  </si>
  <si>
    <t>Ultrasound protocols to measure carotid intima-media thickness in trials; comparison of reproducibility, rate of progression, and effect of intervention in subjects with familial hypercholesterolemia and subjects with mixed dyslipidemia.</t>
  </si>
  <si>
    <t>Dogan, Soner; Duivenvoorden, Raphaël; Grobbee, Diederick E; Kastelein, John J P; Shear, Charles L; Evans, Greg W; Visseren, Frank L; Bots, Michiel L; ,</t>
  </si>
  <si>
    <t>https://pubmed.ncbi.nlm.nih.gov/20645885</t>
  </si>
  <si>
    <t>Current ultrasound protocols to measure carotid intima-media thickness (CIMT) in trials rather differ. The ideal protocol combines high reproducibility with a high precision in the measurement of the rate of change in CIMT over time and with a precise estimate of a treatment effect. To study these aspects, a post-hoc analysis was performed using data from two randomized double-blind, placebo-controlled trials: one among 872 subjects with familial hypercholesterolemia (FH) and the other among 752 subjects with mixed dyslipidemia (MD), respectively. Participants were randomized to torcetrapib or placebo on top of optimal atorvastatin therapy. CIMT information was collected from the left and right carotid artery from two walls (the near and far wall) of three segments (common carotid, bifurcation, and internal carotid artery) at four different angles (right: 90, 120, 150, and 180 degrees on Meijer's carotid arc; left: 270, 240, 210, and 180 degrees, respectively). Based on combinations of these measurements, 60 different protocols were constructed to estimate a CIMT measure per participant (20 protocols for mean common CIMT, 40 protocols for mean maximum CIMT). For each protocol we assessed reproducibility (intra-class correlation coefficient (ICC), mean difference of duplicate base-line scans); 2-year progression rate in the atorvastatin group with its standard error (SE); and treatment effect (difference in rate of change in CIMT between torcetrapib and placebo) with its SE. Reproducibility: ICC ranged from 0.77 to 0.91 among FH patients and from 0.68 to 0.86 among MD patients. CIMT progression rates ranged from -0.0030 to 0.0020 mm/year in the FH trial and from 0.00084 to 0.01057 mm/year in the MD trial, with SE ranging from 0.00054 to 0.00162 and from 0.00083 to 0.00229, respectively. The difference in CIMT progression rate between treatment arms ranged from -0.00133 to 0.00400 mm/year in the FH trial and from -0.00231 to 0.00486 mm/year in the MD trial. The protocol with the highest reproducibility, highest CIMT progression/precision ratio, and the highest treatment effect/precision ratio were those measuring mean common CIMT with measurements of the near and far wall at multiple angles. When the interest is in the mean maximum CIMT, protocols using multiple segments and angles performed the best. Our findings support the position that the number and specific combination of segments, angles, and walls interrogated are associated with differences in reproducibility, magnitude, and precision of progression of CIMT over time, and treatment effect. The best protocols were mean common CIMT protocols in which both the near and far walls are measured at multiple angles.</t>
  </si>
  <si>
    <t>External validity of risk models: Use of benchmark values to disentangle a case-mix effect from incorrect coefficients.</t>
  </si>
  <si>
    <t>Vergouwe, Yvonne; Moons, Karel G M; Steyerberg, Ewout W</t>
  </si>
  <si>
    <t>https://pubmed.ncbi.nlm.nih.gov/20807737</t>
  </si>
  <si>
    <t>Various performance measures related to calibration and discrimination are available for the assessment of risk models. When the validity of a risk model is assessed in a new population, estimates of the model's performance can be influenced in several ways. The regression coefficients can be incorrect, which indeed results in an invalid model. However, the distribution of patient characteristics (case mix) may also influence the performance of the model. Here the authors consider a number of typical situations that can be encountered in external validation studies. Theoretical relations between differences in development and validation samples and performance measures are studied by simulation. Benchmark values for the performance measures are proposed to disentangle a case-mix effect from incorrect regression coefficients, when interpreting the model's estimated performance in validation samples. The authors demonstrate the use of the benchmark values using data on traumatic brain injury obtained from the International Tirilazad Trial and the North American Tirilazad Trial (1991-1994).</t>
  </si>
  <si>
    <t>Initiation of antipsychotic treatment by general practitioners. a case-control study.</t>
  </si>
  <si>
    <t>Boonstra, Geartsje; Grobbee, Diederick E; Hak, Eelko; Kahn, René S; Burger, Huibert</t>
  </si>
  <si>
    <t>https://pubmed.ncbi.nlm.nih.gov/20807291</t>
  </si>
  <si>
    <t>Antipsychotics are approved treatment for severe conditions and have serious side effects. Antipsychotics are often prescribed off-label. Although a substantial proportion of antipsychotics are prescribed in primary care, it is largely unknown what motivates the general practitioner (GP) to initiate antipsychotic treatment. Therefore, we sought to examine the relation between pre-defined, licensed as well as off-label, reasons for antipsychotic treatment and the initiation of this treatment by the GP as well as report registration and incidence of antipsychotic treatment in general practice. In a case-control study, 723 patients selected from an electronic database and with a new antipsychotic prescription were compared with 3615 controls receiving any other new prescription. Using logistic regression, six pre-defined categories of International Classification of Primary Care (ICPC) codes ('psychosis', 'depression and anxiety', 'sleeping disorders', 'acute stress and surmenage', 'dementia' and 'somatic indications') were associated with initiating antipsychotic treatment. All, including off-label, categories were significantly related to initiating antipsychotic treatment. The incidence of initiating antipsychotic therapy was 1.28 per 1000 persons per year (95% confidence interval: 1.09, 1.48). GPs registered an ICPC code in 50% and prescribed typical antipsychotics in 90% of the cases. Prescription of atypical antipsychotics increased almost threefold over the study period. The results suggest that GPs prescribe antipsychotics off-label. Despite serious side effects and relatively infrequent occurrence in Dutch general practices, GPs seem imprecise in underpinning and registrating the initiation of antipsychotic treatment. GPs increasingly prescribe atypical antipsychotics although the prescription of typical antipsychotics still dominates.</t>
  </si>
  <si>
    <t>Striking increases in carotid artery wall thickness in healthy subjects.</t>
  </si>
  <si>
    <t>Meijer, Rudy; Störk, Stefan; Evans, Gregory W; Grobbee, Diederick E; Bots, Michiel L</t>
  </si>
  <si>
    <t>https://pubmed.ncbi.nlm.nih.gov/20720415</t>
  </si>
  <si>
    <t>Atherosclerosis has long been thought to develop over time in a linear manner from gradual wall thickening to advanced thick lesions. However, evidence has emerged indicating a phasic rather than linear progression with time. A major reason for this non-linear pattern appears to be the occurrence of hemorrhages in the arterial wall, although data on this issue are still scarce. We studied the occurrence of temporarily impressive thickenings of the carotid arterial wall in a cohort of healthy postmenopausal women who were followed up for 3 years with regular carotid ultrasound examinations. The women were the European participants of a randomized placebo-controlled trial into the effect of hormone replacement therapy on progression of carotid intima-media thickness (CIMT). For a period of 3 years, the women underwent a standardized carotid ultrasound protocol every 6 months. Common, bifurcation and internal carotid segments were scanned on both sides, stored on videotape, and the near and far wall CIMT was measured on defined angles and segments, also in areas of plaque. Adverse events were routinely recorded. At the completion of the study, all segment-specific measurements were evaluated for outliers. Images were retrieved from videotape and evaluated whether the outlier resulted from a real morphological change or 'measurement error'. The 509 healthy postmenopausal women, free from previous symptomatic cardiovascular disease, underwent 3,812 carotid ultrasound scans during the study, and 44,924 carotid segments were evaluated. In 203 segments of 188 participants outliers were observed. True morphological changes were found in 12 participants, equivalent to a 3-year risk of 2.4%. These changes did not give rise to clinical symptoms. In the 6 women of whom we had follow-up measurements, the changes were reversed within 6-12 months. We observed acute increases in CIMT among 2.4% of healthy postmenopausal European women followed for 3 years. When assuming these were the result of vessel wall hemorrhages, our findings add to the body of evidence suggesting that vessel wall hemorrhages contribute to atherosclerosis development and also appear to occur clinically silent.</t>
  </si>
  <si>
    <t>Serum degradome markers for the detection of breast cancer.</t>
  </si>
  <si>
    <t>van Winden, Annemieke W J; van den Broek, Irene; Gast, Marie-Christine W; Engwegen, Judith Y M N; Sparidans, Rolf W; van Dulken, Eric J; Depla, Annekatrien C T M; Cats, Annemieke; Schellens, Jan H M; Peeters, Petra H M; Beijnen, Jos H; van Gils, Carla H</t>
  </si>
  <si>
    <t>journal of proteome research</t>
  </si>
  <si>
    <t>https://pubmed.ncbi.nlm.nih.gov/20557135</t>
  </si>
  <si>
    <t>Many proteins have been proposed as potential biomarkers for breast cancer. Yet, validation of their discriminative value using quantitative methods has scarcely been performed. In this study, we investigated the discriminative value of six peptides that were previously proposed to be generated by breast cancer specific exoproteases: bradykinin, des-Arg(9)-bradykinin, Hyp(3)-bradykinin, and fragments of fibrinogen alpha-chain (Fib-alpha ([605-629])), complement component 4a (C4a ([1337-1350])), and interalpha trypsin inhibitor heavy chain 4 (ITIH4 ([666-687])). Their absolute serum concentrations were measured with a completely validated liquid chromatography-tandem mass spectrometric assay (LC-MS/MS) and compared between 62 newly diagnosed breast cancer patients and 62 controls matched for age and sample storage duration. Both ITIH4 ([666-687]) and des-Arg(9)-bradykinin showed statistically significantly higher median concentrations in breast cancer samples than in matched control samples. Additionally, we analyzed serum samples collected after surgical removal of the tumor, in which median ITIH4 ([666-687]) and des-Arg(9)-bradykinin concentrations were significantly decreased and not statistically significantly different from concentrations in the controls anymore. In a combined analysis, ITIH4 (666-687]) and des-Arg(9)-bradykinin independently contributed to the discrimination between cases and controls. In this study, we confirmed that the exoprotease breakdown peptides, ITIH4 (666-687]) and des-Arg(9)-bradykinin, differed between breast cancer cases and controls, supporting the potential of degradome markers for the diagnosis of breast cancer.</t>
  </si>
  <si>
    <t>Carbohydrate quantity and quality and risk of type 2 diabetes in the European Prospective Investigation into Cancer and Nutrition-Netherlands (EPIC-NL) study.</t>
  </si>
  <si>
    <t>Sluijs, Ivonne; van der Schouw, Yvonne T; van der A, Daphne L; Spijkerman, Annemieke M; Hu, Frank B; Grobbee, Diederick E; Beulens, Joline W</t>
  </si>
  <si>
    <t>https://pubmed.ncbi.nlm.nih.gov/20685945</t>
  </si>
  <si>
    <t>Carbohydrate quantity and quality may play an important role in the development of type 2 diabetes. We investigated the associations of dietary glycemic load (GL), glycemic index (GI), carbohydrate, and fiber intake with the incidence of type 2 diabetes. A prospective cohort study was conducted in 37,846 participants of the EPIC-NL (European Prospective Investigation into Cancer and Nutrition-Netherlands) study, aged 21-70 y at baseline and free of diabetes. Dietary intake was assessed with the use of a validated food-frequency questionnaire. Incident diabetes cases were mainly self-reported and verified against general practitioner records. During a mean follow-up of 10 y, 915 incident diabetes cases were documented. Dietary GL was associated with an increased diabetes risk after adjustment for age, sex, established diabetes risk factors, and dietary factors [hazard ratio (HR) per SD increase: 1.27; 95% CI: 1.11, 1.44; P &lt; 0.001] [corrected]. GI tended to increase diabetes risk (HR: 1.08; 95% CI: 1.00, 1.17; P = 0.05). Dietary fiber was inversely associated with diabetes risk (HR: 0.92; 95% CI: 0.85, 0.99; P &lt; 0.05), whereas carbohydrate intake was associated with increased diabetes risk (HR: 1.15; 95% CI: 1.01, 1.32; P &lt; 0.05). Of the carbohydrate subtypes, only starch was related to increased diabetes risk [HR: 1.25 (1.07, 1.46), P &lt; 0.05]. All associations became slightly stronger after exclusion of energy misreporters. Diets high in GL, GI, and starch and low in fiber were associated with an increased diabetes risk. Both carbohydrate quantity and quality seem to be important factors in diabetes prevention. Energy misreporting contributed to a slight attenuation of associations.</t>
  </si>
  <si>
    <t>Ascertainment and verification of diabetes in the EPIC-NL study.</t>
  </si>
  <si>
    <t>Sluijs, I; van der A, D L; Beulens, J W J; Spijkerman, A M W; Ros, M M; Grobbee, D E; van der Schouw, Y T</t>
  </si>
  <si>
    <t>https://pubmed.ncbi.nlm.nih.gov/20739736</t>
  </si>
  <si>
    <t>The objectives of this study were to describe in detail the ascertainment and verification of prevalent and incident diabetes in the Dutch contributor to the European Prospective Investigation into Cancer and Nutrition (EPIC-NL cohort) and to examine to what extent ascertained diabetes agreed with general practitioner (GP) and pharmacy records. In total, 40,011 adults, aged 21 to 70 years at baseline, were included. Diabetes was ascertained via self-report, linkage to registers of hospital discharge diagnoses (HDD) and a urinary glucose strip test. Ascertained diabetes cases were verified against GP or pharmacist information using mailed questionnaires. At baseline, 795 (2.0%) diabetes cases were ascertained, and 1494 (3.7%) during a mean follow-up of ten years. The majority was ascertained via self-report only (56.7%), or self-report in combination with HDD (18.0%). After verification of ascertained diabetes cases, 1532 (66.9%) [corrected] were defined as having diabetes , 495 (21.6%) as non-diabetic individuals, and 262 (11.5%) as uncertain. Of the 1538 cases ascertained by self-report, 1350 (positive predictive value: 87.8%) were confirmed by GP or pharmacist. Cases ascertained via self-report in combination with HDD were most often confirmed (334 (positive predictive value: 96.0%)). Two out of three ascertained diabetes cases were confirmed to have been diagnosed with diabetes by their GP or pharmacist. Diabetes cases ascertained via self-report in combination with HDD had the highest confirmation.</t>
  </si>
  <si>
    <t>A health insurance company-initiated multifaceted intervention for optimizing acid-suppressing drug prescriptions in primary care: a randomized controlled trial.</t>
  </si>
  <si>
    <t>Smeets, Hugo M; de Wit, Niek J; Zuithoff, Nicolaas P A; van Dijk, Paul C M; van der Lee, Arnold P M; Hoes, Arno W</t>
  </si>
  <si>
    <t>archives of internal medicine</t>
  </si>
  <si>
    <t>https://pubmed.ncbi.nlm.nih.gov/20660848</t>
  </si>
  <si>
    <t>To evaluate the effectiveness of a health insurance company-initiated intervention strategy aimed at optimizing acid-suppressing drug (ASD) prescriptions in primary care. In a cluster randomized controlled trial design, 112 primary care physician (PCP) peer review groups (993 PCPs) in the central region of the Netherlands were randomized. The PCPs in the intervention group received an ASD prescription optimization protocol, a list of their patients taking ASDs frequently on a long-term basis, and financial compensation for additional consultations with these patients. The PCPs in the control group did not receive any of these interventions. Prescription data on 23 433 patients were extracted from the database of the regional health insurance company. The main outcome measures were the proportion of patients who reduced ASD consumption by more than 50% and changes in annual volume and costs of ASD prescriptions. Differences in ASD reduction and in volume were analyzed applying multilevel regression analyses. At baseline, 2.4% of the patients (n = 967 506) of the participating practices used ASDs frequently on a long-term basis (&gt;180 daily defined doses [DDDs] annually). During the 6-month intervention, 14.1% of the patients in the intervention group reduced ASD consumption compared with 13.7% in the control group (adjusted relative risk, 1.04; 95% confidence interval [CI], 0.97-1.11). Changes in intervention and control group in mean volume of ASD prescription per patient were similar (beta = 0.33 for DDD; 95% CI -3.00 to 3.60). A health insurance company-initiated multifaceted intervention, including practical tools and financial incentives, did not alter ASD prescription practice in primary care. More tailored interventions, including patient-targeted initiatives, are required to optimize ASD prescription.</t>
  </si>
  <si>
    <t>Opinions of patients with type 2 diabetes about responsibility, setting targets and willingness to take medication. A cross-sectional survey.</t>
  </si>
  <si>
    <t>Gorter, Kees J; Tuytel, Gerwi J; de Leeuw, Rob R; Bensing, Jozien M; Rutten, Guy E H M</t>
  </si>
  <si>
    <t>https://pubmed.ncbi.nlm.nih.gov/20655164</t>
  </si>
  <si>
    <t>To assess opinions and their determinants of patients with type 2 diabetes about responsibility for managing their diabetes, setting treatment targets and willingness taking medication. Questionnaire survey carried out in general practices and outpatient clinics across the Netherlands. opinions about responsibility, targets and medication. Multinomial logistic regression analysis. Data of 994 consecutive persons were analysed (mean age 65 years; 54% males). Of these 62% agreed to take responsibility for their diabetes. In the opinion of 89% the setting of targets should be by or in cooperation with their physician or nurse and 40% were willing to take tablets until all targets were attained. Patients who perceived dysfunction by barriers to activity did not agree to take responsibility (OR 3.68; 1.65-8.19). Patients with complications preferred to set targets in cooperation with their physician or nurse (OR 1.98; 1.03-3.80). Males were more willing to take tablets until all targets were attained (OR 1.62; 1.17-2.25). Not all patients want to take responsibility for their diabetes or taking all necessary tablets, especially those with barriers to activity or complications. Doctors and nurses should ask for patients' opinions about responsibility and treatment goals before starting education.</t>
  </si>
  <si>
    <t>Unlocking pathogen genotyping information for public health by mathematical modeling.</t>
  </si>
  <si>
    <t>Kretzschmar, Mirjam; Gomes, M Gabriela M; Coutinho, Roel A; Koopman, James S</t>
  </si>
  <si>
    <t>trends in microbiology</t>
  </si>
  <si>
    <t>https://pubmed.ncbi.nlm.nih.gov/20638846</t>
  </si>
  <si>
    <t>Molecular typing and mathematical modeling have gone through rapid development in the past decade. Both offer new insights into the epidemiology of infectious diseases, thereby contributing to a better understanding of transmission dynamics. Infectious disease surveillance and control benefit from the optimum use of these techniques. In this paper, we review recent developments and propose methods to integrate pathogen ecology and molecular evolution based on their common dependence on the underlying host contact patterns.</t>
  </si>
  <si>
    <t>The scope of costs in alcohol studies: Cost-of-illness studies differ from economic evaluations.</t>
  </si>
  <si>
    <t>van Gils, Paul F; Hamberg-van Reenen, Heleen H; van den Berg, Matthijs; Tariq, Luqman; de Wit, G Ardine</t>
  </si>
  <si>
    <t>https://pubmed.ncbi.nlm.nih.gov/20602804</t>
  </si>
  <si>
    <t>Alcohol abuse results in problems on various levels in society. In terms of health, alcohol abuse is not only an important risk factor for chronic disease, but it is also related to injuries. Social harms which can be related to drinking include interpersonal problems, work problems, violent and other crimes. The scope of societal costs related to alcohol abuse in principle should be the same for both economic evaluations and cost-of-illness studies. In general, economic evaluations report a small part of all societal costs. To determine the cost- effectiveness of an intervention it is necessary that all costs and benefits are included. The purpose of this study is to describe and quantify the difference in societal costs incorporated in economic evaluations and cost-of-illness studies on alcohol abuse. To investigate the economic costs attributable to alcohol in cost-of-illness studies we used the results of a recent systematic review (June 2009). We performed a PubMed search to identify economic evaluations on alcohol interventions. Only economic evaluations in which two or more interventions were compared from a societal perspective were included. The proportion of health care costs and the proportion of societal costs were estimated in both type of studies. The proportion of healthcare costs in cost-of-illness studies was 17% and the proportion of societal costs 83%. In economic evaluations, the proportion of healthcare costs was 57%, and the proportion of societal costs was 43%. The costs included in economic evaluations performed from a societal perspective do not correspond with those included in cost-of-illness studies. Economic evaluations on alcohol abuse underreport true societal cost of alcohol abuse. When considering implementation of alcohol abuse interventions, policy makers should take into account that economic evaluations from the societal perspective might underestimate the total effects and costs of interventions.</t>
  </si>
  <si>
    <t>The potential yield of ECG screening of hypertensive patients: the Utrecht Health Project.</t>
  </si>
  <si>
    <t>Scheltens, Tjarda; de Beus, Margriet F; Hoes, Arno W; Rutten, Frans H; Numans, Mattijs E; Mosterd, Arend; Kors, Jan A; Grobbee, Diederick E; Bots, Michiel L</t>
  </si>
  <si>
    <t>https://pubmed.ncbi.nlm.nih.gov/20574251</t>
  </si>
  <si>
    <t>Several guidelines for hypertension and cardiovascular risk management recommend an ECG in hypertensive patients to improve risk prediction. We estimated the prevalence of clinically relevant ECG abnormalities and the number needed to screen (NNS) with a routine ECG to prevent the occurrence of one death in the next 10 years conditional on adequate treatment and follow-up. The study population consisted of 866 hypertensive participants recruited from the Utrecht Health Project (UHP), a dynamic population study in Utrecht. Baseline measurements included an ECG and the risk factors that enable a Systematic COronary Risk Evaluation (SCORE) risk estimation for each participant. ECGs were interpreted using Modular ECG Analysis System for computerized recognition of ECG abnormalities. NNS to prevent one death was computed by the reciprocal of the prevalence of the ECG abnormalities multiplied by number needed to treat to prevent one death when the ECG abnormality is managed according to the prevailing clinical guidelines. The population consisted of 54.2% men with a mean age of 53.2 years (SD 11.5). The prevalence of ECG abnormalities was 17.6 [n = 95% confidence interval (CI) 15.0-20.1]. Prevalence of atrial fibrillation or prior myocardial infarction was 2.1% (95%CI 1.1-3.0) and of other ECG abnormalities related to increased cardiovascular disease risk 15.4% (95%CI 13.1-17.9). NNS to prevent one death from cardiovascular disease within 10 years was estimated at 260 (95%CI 220-308). Our findings support the existing recommendations to routinely record an ECG in unselected hypertensive patients as the prevalence of relevant abnormalities is considerable and NNS to prevent one death is lower than that in other widely accepted tests.</t>
  </si>
  <si>
    <t>Undetected chronic obstructive pulmonary disease and asthma in people over 50 years with persistent cough.</t>
  </si>
  <si>
    <t>Broekhuizen, Berna D L; Sachs, Alfred P E; Hoes, Arno W; Moons, Karel G M; van den Berg, Jan W K; Dalinghaus, Willem H; Lammers, Ernst; Verheij, Theo J M</t>
  </si>
  <si>
    <t>https://pubmed.ncbi.nlm.nih.gov/20594438</t>
  </si>
  <si>
    <t>Chronic obstructive pulmonary disease (COPD) and asthma are underdiagnosed in primary care. To determine how often COPD or asthma are present in middle-aged and older patients who consult their GP for persistent cough. A cross-sectional study in 353 patients older than 50 years, visiting their GP for persistent cough and not known to have COPD or asthma. General practice in the Netherlands. All participants underwent extensive diagnostic work-up, including symptoms, signs, spirometry, and body plethysmography. All results were studied by an expert panel to diagnose or exclude COPD and/or asthma. The reproducibility of the panel diagnosis was assessed by calculation of Cohen's kappa statistic in a sample of 41 participants. Of the 353 participants, 102 (29%, 95% confidence interval [CI] = 24 to 34%) were diagnosed with COPD. In 14 of these 102 participants, both COPD and asthma were diagnosed (4%, 95% CI = 2 to 7%). Asthma (without COPD) was diagnosed in 23 (7%, 95% CI = 4 to 10%) participants. Mean duration of cough was 93 days (median 40 days). The reproducibility of the expert panel was good (Cohen's kappa = 0.90). In patients aged over 50 years who consult their GP for persistent cough, undetected COPD or asthma is frequently present.</t>
  </si>
  <si>
    <t>Toward a "post-posthuman dignity area" in evaluating emerging enhancement technologies.</t>
  </si>
  <si>
    <t>Bredenoord, Annelien L; van der Graaf, Rieke; van Delden, Johannes J M</t>
  </si>
  <si>
    <t>https://pubmed.ncbi.nlm.nih.gov/20582833</t>
  </si>
  <si>
    <t>Tea and coffee consumption and cardiovascular morbidity and mortality.</t>
  </si>
  <si>
    <t>de Koning Gans, J Margot; Uiterwaal, Cuno S P M; van der Schouw, Yvonne T; Boer, Jolanda M A; Grobbee, Diederick E; Verschuren, W M Monique; Beulens, Joline W J</t>
  </si>
  <si>
    <t>https://pubmed.ncbi.nlm.nih.gov/20562351</t>
  </si>
  <si>
    <t>To examine the associations of coffee and tea consumption with risk of morbidity and mortality of stroke and coronary heart disease (CHD) and with all-cause mortality. Coffee and tea consumption were assessed with a validated food-frequency questionnaire, and 37 514 participants were observed for 13 years for the occurrence of cardiovascular morbidity and mortality. A U-shaped association between coffee and CHD was found, with the lowest hazard ratio (HR [95% CI]) for 2.1 to 3.0 cups per day (0.79 [0.65 to 0.96]; P(trend)=0.01). Tea was inversely associated with CHD, with the lowest HR (95% CI) for more than 6.0 cups per day (0.64 [0.46 to 0.90]; P(trend)=0.02). No associations between tea or coffee and stroke were found (P(trend)=0.63 and P(trend)=0.32, respectively). Although not significant, coffee slightly reduced the risk for CHD mortality (HR, 0.64; 95% CI, 0.37 to 1.11; P(trend)=0.12) for 3.1 to 6.0 cups per day. A U-shaped association between tea and CHD mortality was observed, with an HR of 0.55 (95% CI, 0.31 to 0.97; P(trend)=0.03) for 3.1 to 6.0 cups per day. Neither coffee nor tea was associated with stroke (P(trend)=0.22 and P(trend)=0.74, respectively) and all-cause mortality (P(trend)=0.33 and P(trend)=0.43, respectively). High tea consumption is associated with a reduced risk of CHD mortality. Our results suggest a slight risk reduction for CHD mortality with moderate coffee consumption and strengthen the evidence on the lower risk of CHD with coffee and tea consumption.</t>
  </si>
  <si>
    <t>Differential PilA pilus assembly by a hospital-acquired and a community-derived Enterococcus faecium isolate.</t>
  </si>
  <si>
    <t>Hendrickx, Antoni P A; Schapendonk, Claudia M E; van Luit-Asbroek, Miranda; Bonten, Marc J M; van Schaik, Willem; Willems, Rob J L</t>
  </si>
  <si>
    <t>microbiology reading england</t>
  </si>
  <si>
    <t>https://pubmed.ncbi.nlm.nih.gov/20542929</t>
  </si>
  <si>
    <t>Pili are hair-like structures protruding from the cell envelope of bacterial cells. Here, we describe the conditional and differential display of PilA-type pili, and PilE and PilF proteins, encoded from pilin gene cluster 1 at the surface of a hospital-acquired Enterococcus faecium bloodstream isolate (E1165) and a community-derived stool isolate (E1039), at two different temperatures. Both strains have virtually identical pilA gene clusters, as determined by sequencing. Western blotting and transmission immunoelectron microscopy revealed that PilA and PilF assembled into high-molecular-mass pilus-like structures at 37 degrees C in the E1165 strain, whereas PilE was not produced at either of the temperatures used; at 21 degrees C, PilA and PilF were cell-wall-anchored proteins. In contrast, in strain E1039, PilA, PilE and PilF pilin proteins were found to be displayed as cell-wall-anchored proteins at 37 degrees C only, and they were not associated with pilus-like structures. The discrepancy in pilus assembly between E1039 and E1165 cannot be explained by differences in expression of the genes encoding the predicted sortases in the pilA gene cluster, as these had similar expression levels in both strains at 21 and 37 degrees C. Double-labelling electron microscopy revealed that PilA formed the pilus backbone in E1165, and PilF the minor subunit which was distributed along the PilA pilus shaft and positioned at the tip; however, it was deposited as a cell-wall-anchored protein in a pilA isogenic mutant. The differential deposition of surface proteins from pilin gene cluster 1 and differences in pilus assembly in the two strains suggest a complex post-transcriptional regulatory mechanism of pilus biogenesis in E. faecium.</t>
  </si>
  <si>
    <t>The duty to treat in the context of an influenza pandemic.</t>
  </si>
  <si>
    <t>van der Weijden, C P; Bredenoord, A L; van Delden, J J M</t>
  </si>
  <si>
    <t>https://pubmed.ncbi.nlm.nih.gov/20554067</t>
  </si>
  <si>
    <t>The recent influenza pandemic proved that an influenza pandemic is no longer a future scenario. It may urge health care workers to undergo certain or even large risks. According to the WHO as well as commentators, a strong case can be made for adopting a duty to treat during a disease outbreak. Many current professional codes of ethics, however, fail to provide explicit guidance sufficient to set policy or assure the public in the event of an infectious disease outbreak. This paper aims to assess whether there is a duty to treat in the case of an influenza pandemic. As we conclude that there are valid reasons that support the duty to treat in this specific context, we will subsequently explore its scope and limits.</t>
  </si>
  <si>
    <t>Intranasal corticosteroid monotherapy in acute rhinosinusitis: an evidence-based case report.</t>
  </si>
  <si>
    <t>Venekamp, Roderick P; Sachs, Alfred P E; Bonten, Marc J M; Verheij, Theo J M; van der Heijden, Geert J M G; Rovers, Maroeska M</t>
  </si>
  <si>
    <t>https://pubmed.ncbi.nlm.nih.gov/20493346</t>
  </si>
  <si>
    <t>In this evidence-based case report we studied the clinical question: Does intranasal corticosteroid (INCS) monotherapy reduce time to recovery in adults with acute noncomplicated rhinosinusitis? The search yielded 490 papers, of which only two were relevant and had a high validity regarding our clinical question.</t>
  </si>
  <si>
    <t>Rationale and design of the CAREFUL study : The yield of CARdiogenetic scrEening in First degree relatives of sudden cardiac and UnexpLained death victims &lt;45 years.</t>
  </si>
  <si>
    <t>Hendrix, A; van der Werf, C; Bots, M L; Birnie, E; van der Smagt, J J; Borleffs, C J W; Vink, A; van Weert, H C; Doevendans, P A F M; Wilde, A A M; Mosterd, A; van Langen, I M</t>
  </si>
  <si>
    <t>https://pubmed.ncbi.nlm.nih.gov/20657673</t>
  </si>
  <si>
    <t>Background. Sudden cardiac death (SCD) in the young (1-45 years) is a strong risk factor for the presence of inherited cardiac diseases in surviving first-degree relatives. Postmortem investigation of the victim and cardiogenetic evaluation of the first-degree relatives is indicated to detect inherited cardiac diseases and treat relatives at an early stage to prevent SCD. In the Netherlands, postmortem investigation is often not performed and relatives of SCD and sudden unexplained death (SUD) victims are rarely evaluated for inherited cardiac diseases.Methods. A prospective population-based follow-up study carried out in two intervention regions and two control regions. In the intervention regions a comprehensive intervention (stimulate autopsy and storage of victims DNA and the referral of first-degree relatives for cardiogenetic evaluation) is applied in a 'top down' and 'bottom up' mode. In each region, young sudden death victims are registered and for all cases performance of autopsy and evaluation of relatives in a cardiogenetics outpatient clinic will be determined.Expected results. The study will provide information on the incidence of sudden death in the young and the proportion of diagnosed inherited cardiac diseases. Moreover, the additional value of the introduction of two different preventive strategies directed at early detection of inherited cardiac diseases in first-degree relatives to usual care will be evaluated. Conclusion. The CAREFUL study will help to set a new standard of care in the evaluation of young sudden death victims and their relatives to identify the presence of inherited cardiac diseases, in order to prevent sudden death. (Neth Heart J 2010;18:286-90.).</t>
  </si>
  <si>
    <t>Regional differences in incidence of sudden cardiac death in the young.</t>
  </si>
  <si>
    <t>Hendrix, A; Vaartjes, I; Mosterd, A; Reitsma, J B; Doevendans, P A; Grobbee, D E; Bots, M L</t>
  </si>
  <si>
    <t>https://pubmed.ncbi.nlm.nih.gov/20558861</t>
  </si>
  <si>
    <t>Observational data on sudden cardiac death (SCD) in the young are scarce, but the SCD incidence of this study is to examine regional differences in SCD incidence within a population among young individuals (&lt;40 years) and to assess whether regional incidences are associated with socio-economic status (SES ). SCD cases aged &lt;40 years were identified in 12 provinces of the Netherlands by using death certificates recorded by Statistics Netherlands during 1996-2006. Regional incidence estimates were standardised for age to the Dutch population and assessed for two age categories; 1-29 years and 30-39 years. Regional SCD incidence was related to regional SES with a Spearman correlation coefficient. The nationwide incidence of SCD at ages 1 to 40 years was 1.6 (95% CI 1.5 to 1.7) per 100,000 person-years and the incidence increased substantially after 30 years of age. Significant differences in regional incidences were assessed for both age categories (1-29 and 30-39 years). Although in the population aged 1-29 years significant differences were found in the SCD incidence between regions, no relation could be found with SES . In men aged 30-39 years, the incidence of SCD was inversely related to SES ; a low socio-economic status was associated with a relatively high incidence of SCD. Between regions, statistically significant differences in SCD incidence exist in young individuals. The nationwide incidence of SCD increased substantially after 30 years of age and was inversely related to SES in men aged 30-39 years.</t>
  </si>
  <si>
    <t>Beta-blockers may reduce mortality and risk of exacerbations in patients with chronic obstructive pulmonary disease.</t>
  </si>
  <si>
    <t>Rutten, Frans H; Zuithoff, Nicolaas P A; Hak, Eelko; Grobbee, Diederick E; Hoes, Arno W</t>
  </si>
  <si>
    <t>https://pubmed.ncbi.nlm.nih.gov/20498416</t>
  </si>
  <si>
    <t>Physicians avoid the use of beta-blockers in patients with chronic obstructive pulmonary disease (COPD) and concurrent cardiovascular disease because of concerns about adverse pulmonary effects. We assessed the long-term effect of beta-blocker use on survival and exacerbations in patients with COPD. An observational cohort study using data from the electronic medical records of 23 general practices in the Netherlands. The data included standardized information about daily patient contacts, diagnoses, and drug prescriptions. In total, the study included 2230 patients 45 years and older with an incident or prevalent diagnosis of COPD between 1996 and 2006. The mean (SD) age of the patients with COPD was 64.8 (11.2) years at the start of the study, and 53% of the patients were male. During a mean (SD) follow-up of 7.2 (2.8) years, 686 patients (30.8%) died and 1055 (47.3%) had at least 1 exacerbation of COPD. The crude and adjusted hazard ratios with Cox regression analysis of beta-blocker use for mortality were 0.70 (95% confidence interval [CI], 0.59-0.84) and 0.68 (95% CI, 0.56-0.83), respectively. The crude and adjusted hazard ratios for exacerbation of COPD were 0.73 (95% CI, 0.63-0.83) and 0.71 (95% CI, 0.60-0.83), respectively. The adjusted hazard ratios with the propensity score methods were even lower. Subgroup analyses revealed that patients with COPD but without overt cardiovascular disease had similar results. Treatment with beta-blockers may reduce the risk of exacerbations and improve survival in patients with COPD, possibly as a result of dual cardiopulmonary protective properties.</t>
  </si>
  <si>
    <t>Effects of a multi-faceted program to increase influenza vaccine uptake among health care workers in nursing homes: A cluster randomised controlled trial.</t>
  </si>
  <si>
    <t>Looijmans-van den Akker, I; van Delden, J J M; Verheij, Th J M; van der Sande, M A B; van Essen, G A; Riphagen-Dalhuisen, J; Hulscher, M E; Hak, E</t>
  </si>
  <si>
    <t>https://pubmed.ncbi.nlm.nih.gov/20580740</t>
  </si>
  <si>
    <t>Despite the recommendation of the Dutch association of nursing home physicians (NVVA) to be immunized against influenza, vaccine uptake among HCWs in nursing homes remains unacceptably low. Therefore we conducted a cluster randomised controlled trial among 33 Dutch nursing homes to assess the effects of a systematically developed multi-faceted intervention program on influenza vaccine uptake among HCWs. The intervention program resulted in a significantly higher, though moderate, influenza vaccine uptake among HCWs in nursing homes. To take full advantage of this measure, either the program should be adjusted and implemented over a longer time period or mandatory influenza vaccination should be considered.</t>
  </si>
  <si>
    <t>High cumulative incidence of cancer in patients with cardio-renal-anaemia syndrome.</t>
  </si>
  <si>
    <t>Schroten, Nicolas F; van der Putten, Karien; Rutten, Frans H; Diepenbroek, Adry; Mosterd, Arend; Gaillard, Carlo A J M</t>
  </si>
  <si>
    <t>https://pubmed.ncbi.nlm.nih.gov/20495204</t>
  </si>
  <si>
    <t>The combination of chronic kidney disease (CKD), chronic heart failure (HF), and anaemia, the so-called cardio-renal-anaemia syndrome (CRA) is associated with dysregulation of erythropoietin levels and inflammation. Both have been associated with the development of cancer. This study aimed to determine the cumulative incidence of cancer in patients with CRA, as compared with anaemic CKD and control patients. Patients aged &lt;80 years who attended the nephrology or cardiology outpatient clinics between March 2006 and November 2007 were eligible for inclusion in this retrospective case-control study if haemoglobin &lt;8.1 mmol/L (13 g/dL) and serum creatinine &gt;80 mmol/L (0.90 mg/dL). Medical records dating back to 1996 were reviewed. The relationship between cancer and CRA, chronic HF, CKD, and anaemia was analysed using logistic regression analysis. Data from 1087 patients were reviewed. We identified 348 patients with both CKD and anaemia, of whom 132(38.3%) had CRA. The control group included 264 patients attending the hypertension outpatient clinic. Patients with CRA had a 19% cumulative incidence of cancer compared with 11% for patients with anaemia, CKD and no chronic HF, and 11% in the control group. The odds ratio (OR) for cancer was 1.8(95% CI 1.0-3.2) for the CRA group compared with the control group. Chronic HF was an independent risk factor for cancer after correction for age and gender (adjusted OR 2.0; 95% CI 1.2-3.3, P = 0.007). The cumulative incidence of cancer among patients with CRA is high compared with controls and to anaemic CKD patients without chronic HF. Chronic HF was an independent risk factor for cancer. These results stress the importance of clarifying the mechanisms involved in the development of cancer in CRA.</t>
  </si>
  <si>
    <t>Risk of recurrent acute lower urinary tract infections and prescription pattern of antibiotics in women with and without diabetes in primary care.</t>
  </si>
  <si>
    <t>Gorter, Kees J; Hak, Eelko; Zuithoff, Nicolaas P A; Hoepelman, Andy I M; Rutten, Guy E H M</t>
  </si>
  <si>
    <t>https://pubmed.ncbi.nlm.nih.gov/20462975</t>
  </si>
  <si>
    <t>Women with diabetes have an increased risk of urinary tract infections (UTIs), especially recurrences. Aim. To investigate diabetes characteristics associated with the risk of recurrent lower UTIs and the antibiotic prescription pattern. In an exploratory retrospective study involving 7063 women aged&gt;or=30 years, we studied the incidence of recurrent UTI (relapses and reinfection) in women with (n=340) and without diabetes (n=6618). Multivariable logistic regression and multilevel multinomial logistic analyses were used to determine the adjusted associations between diabetes characteristics and recurrent UTI [odds ratio (OR); 95% confidence interval (CI)] and the influence of diabetes on the pattern of antibiotic prescriptions for UTI, respectively. Relapses and reinfections were reported in 7.1% and 15.9% of women with diabetes versus 2.0% and 4.1% of women without diabetes. There was an independent higher risk of recurrent UTI in women with diabetes compared with women without diabetes (OR 2.0; 95% CI 1.4-2.9). Women taking oral blood glucose-lowering medication (OR 2.1; 95% CI 1.2-3.5) or insulin (OR 3.0; 95% CI 1.7-5.1) or who had had diabetes for &gt;or=5 years (OR 2.9; 95% CI 1.9-4.4) or who had retinopathy (OR 4.1; 95% CI 1.9-9.1) were at risk of recurrent UTI. The pattern of antibiotic prescriptions for UTI was not influenced by diabetes. Women with diabetes&gt;or=5 years or with glucose-lowering medication or with retinopathy have an increased risk of recurrent UTI. Diabetes itself does not seem to influence the antibiotic prescription pattern. Research focusing on effective antibiotic treatment of UTI in women at risk of recurrence is needed and may help limit the development of antibiotic resistance.</t>
  </si>
  <si>
    <t>Towards a more efficient diabetes control in primary care: six-monthly monitoring compared with three-monthly monitoring in type 2 diabetes - The EFFIMODI trial. Design of a randomised controlled patient-preference equivalence trial in primary care.</t>
  </si>
  <si>
    <t>Wermeling, Paulien R; van den Donk, Maureen; Gorter, Kees J; Ardine de Wit, G; van der Graaf, Yolanda; Rutten, Guy Ehm</t>
  </si>
  <si>
    <t>https://pubmed.ncbi.nlm.nih.gov/20459820</t>
  </si>
  <si>
    <t>Scientific evidence for the frequency of monitoring of type 2 diabetes patients is lacking. If three-monthly control in general practice could be reduced to six-monthly control in some patients, this would on the one hand reduce the use of medical services including involvement of practice nurses, and thus reduce costs, and on the other hand alleviate the burden of people with type 2 diabetes. The goal of this study is to make primary diabetes care as efficient as possible for patients and health care providers. Therefore, we want to determine whether six-monthly monitoring of well-controlled type 2 diabetes patients in primary care leads to equivalent cardiometabolic control compared to the generally recommended three-monthly monitoring. The study is a randomised controlled patient-preference equivalence trial. Participants are asked if they prefer three-monthly (usual care) or six-monthly diabetes monitoring. If they do not have a preference, they are randomised to a three-monthly or six-monthly monitoring group. Patients are eligible for the study if they are between 40 and 80 years old, diagnosed with type 2 diabetes more than one year ago, treated by a general practitioner, not on insulin treatment, and with HbA1c &lt; or = 7.5%, systolic blood pressure &lt; or = 145 mmHg and total cholesterol &lt; or = 5.2 mmol/l. The intervention group (six-monthly monitoring) will receive the same treatment with the same treatment targets as the control group (three-monthly monitoring). The intervention period will last one and a half year. After the intervention, the three-monthly and six-monthly monitoring groups are compared on equivalence of cardiometabolic control. Secondary outcome measures are HbA1c, blood pressure, cholesterol level, Body Mass Index, smoking behaviour, physical activity, loss of work due to illness, health status, diabetes-specific distress, satisfaction with treatment and adherence to medications. We will use intention-to-treat analysis with repeated measures. For outcomes that have only baseline and final measurements, we will use ANCOVA. Depending on the results, a cost-minimisation analysis or an incremental cost-effectiveness analysis will be done. This study will provide valuable information on the most efficient control frequency of well-controlled type 2 diabetes patients in primary care.</t>
  </si>
  <si>
    <t>Menstrual cycle characteristics and risk of coronary heart disease and type 2 diabetes.</t>
  </si>
  <si>
    <t>Gast, Gerrie-Cor M; Grobbee, Diederick E; Smit, Henriette A; Bueno-de-Mesquita, H Bas; Samsioe, Göran N; van der Schouw, Yvonne T</t>
  </si>
  <si>
    <t>https://pubmed.ncbi.nlm.nih.gov/20451189</t>
  </si>
  <si>
    <t>In a prospective cohort study, we observed that women with a history of irregular cycles have a 28% increased coronary heart disease risk and tended to have a higher type 2 diabetes risk as compared with women who had a regular cycle length of 27 to 29 days. This association could not be explained by metabolic risk factors or altered hormone levels.</t>
  </si>
  <si>
    <t>Alcohol consumption and risk of recurrent cardiovascular events and mortality in patients with clinically manifest vascular disease and diabetes mellitus: the Second Manifestations of ARTerial (SMART) disease study.</t>
  </si>
  <si>
    <t>Beulens, J W J; Algra, A; Soedamah-Muthu, S S; Visseren, F L J; Grobbee, D E; van der Graaf, Y; ,</t>
  </si>
  <si>
    <t>https://pubmed.ncbi.nlm.nih.gov/20537650</t>
  </si>
  <si>
    <t>This study investigated the relation between alcohol consumption and specific vascular events and mortality in a high risk population of patients with clinical manifestations of vascular disease and diabetes. Patients with clinically manifest vascular disease or diabetes (n=5447) from the SMART study were followed for cardiovascular events and mortality. Alcohol consumption was assessed with a baseline questionnaire and analysed in relation with coronary heart disease (CHD), amputations, stroke, and all-cause and vascular death. After a follow up of 4.7 years, we documented 363 cases of CHD, 187 cases of stroke, 79 amputations and 641 cases of all-cause death, of which 382 were vascular. In multivariate-adjusted models, alcohol consumption was inversely associated with CHD (p(linear trend)=0.007) and stroke (p(linear trend)=0.051) with respective hazard ratios of 0.39 (95%CI: 0.20-0.76) and 0.67 (0.31-1.46) for consuming 10-20 drinks/week compared with abstainers. We observed significant U-shaped associations between alcohol consumption and amputations (p(quadratic trend)=0.001), all-cause death (p(quadratic trend)=0.001) and vascular death (p(quadratic trend)=0.013). Hazard ratios for consuming 10-20 drinks/week were 0.29 (0.07-1.30) for amputations, 0.40 (0.24-0.69) for all-cause death and 0.34 (0.16-0.71) for vascular death compared with abstainers. Similar associations were observed for red wine consumption only. Moderate alcohol consumption (1-2 drinks/day) is not only associated with a reduced risk of vascular and all-cause death in a high risk patients with clinical manifestations of vascular disease, but also with reduced risks of non-fatal events like CHD, stroke and possibly amputations.</t>
  </si>
  <si>
    <t>Behavioral changes after a 1-yr exercise program and predictors of maintenance.</t>
  </si>
  <si>
    <t>Hertogh, Emmy M; Vergouwe, Yvonne; Schuit, A Jantine; Peeters, Petra H M; Monninkhof, Evelyn M</t>
  </si>
  <si>
    <t>https://pubmed.ncbi.nlm.nih.gov/19996989</t>
  </si>
  <si>
    <t>Public health strategies attempt to stimulate participation in physical activity, aiming at permanent behavior change. We assessed the sustained effect of participating in an exercise program on physical activity behavior 1 yr after completion of the program. Furthermore, we aimed to identify factors that predict sustained exercise participation. Previously low-active, postmenopausal women originally participating in an exercise intervention study (the Sex Hormones and Physical Exercise study) were recontacted 1 yr after finishing the study. Their current level of physical activity was assessed by the Modified Baecke Questionnaire. MET-hours per week spent on at least moderate-intensity activities were calculated and used to assess compliance to the international physical activity recommendation. Multivariable linear regression analysis was applied to investigate which factors predict a higher level of physical activity in the intervention group 1 yr after the study. Participation in the Sex Hormones and Physical Exercise study resulted in an increased level of physical activity in both the intervention (median at baseline and at 12 months = 4.9 and 19.8 MET x h x wk(-1), respectively) and the control groups (median at baseline and at 12 months = 4.3 and 5.8 MET x h x wk(-1), respectively). Although the intervention group did not maintain the high physical activity level achieved during the study, 1 yr later they remained more active than the control group (median = 12.1 and 7.9 MET x h x wk(-1), respectively, P = 0.04). Age, baseline activity, and employment were the strongest predictors of the physical activity level in the intervention group 1 yr after finishing the study. Sustained changes in physical activity behavior in previously low-active postmenopausal women are feasible after participation in a 1-yr exercise program.</t>
  </si>
  <si>
    <t>The influence of a period of caloric restriction due to the Dutch famine on breast density.</t>
  </si>
  <si>
    <t>Haars, Gerco; van Gils, Carla H; Elias, Sjoerd G; Lokate, Mariëtte; van Noord, Paul A H; Peeters, Petra H M</t>
  </si>
  <si>
    <t>https://pubmed.ncbi.nlm.nih.gov/19739115</t>
  </si>
  <si>
    <t>Recently, we showed that short, intense caloric restriction due to the Dutch famine increased breast cancer risk in women and influenced the hormonal- and IGF-system. These systems may also affect breast density, which is one of the strongest risk factors for breast cancer. We examined the influence of the Dutch famine on breast density, using mammograms of 1,035 women. Breast size, dense and non-dense tissue and the relative density were measured on a continuous scale. Mean density was compared between three groups of ascending levels of famine-exposure. Results were adjusted for known determinants of breast density and stratified by age at exposure. There were no overall, significant differences by exposure. In unexposed compared to severely exposed women, means varied from 124 cm(2) to 121 cm(2) (p(trend) = 0.50) for breast size, from 23.4 to 21.8 cm(2) (p(trend) = 0.48) for amount of dense tissue, from 87.7 to 85.4 cm(2) (p(trend) = 0.55) for non-dense tissue and from 22.8 to 22.3% (p(trend) = 0.78) for relative density. Only among women who were younger than 10 years during the famine was the amount of non-dense tissue significantly lower with higher exposure, with 53.1 cm(2) for severely exposed compared to 77.8 cm(2) (p(trend) = 0.03) for unexposed. This group also appeared to have smaller breasts with more absolute and relative density, but not statistically significant. We observed no overall effect on breast density in women severely exposed to a short, intense caloric restriction. However, in women exposed before puberty, the non-dense area was smaller and density tended to be higher.</t>
  </si>
  <si>
    <t>The impact of varicella zoster virus: chronic pain.</t>
  </si>
  <si>
    <t>Opstelten, Wim; McElhaney, Janet; Weinberger, Birgit; Oaklander, Anne Louise; Johnson, Robert W</t>
  </si>
  <si>
    <t>https://pubmed.ncbi.nlm.nih.gov/20510265</t>
  </si>
  <si>
    <t>Herpes zoster (HZ) is a common condition that affects all age groups and both immunocompetent and immunocompromised individuals. However, it mainly impacts elderly and immunocompromised people and is associated with important and sometimes permanent detriment to quality of life and activities of daily living. Age-related decline in cell-mediated immunity (CMI) permits reactivation of varicella zoster virus (VZV) from latency. The risk of developing post-herpetic neuralgia (PHN) can be predicted using epidemiologically identified risk factors, thus indicating which patients may benefit most from protection by appropriate means, including vaccination. Despite increasing knowledge of the pathology causing PHN, the management modalities for acute HZ pain and PHN remain inadequate. Public, and probably physician, understanding of HZ and its complications is poor, potentially leading to low utilisation of HZ vaccination and delayed presentation for treatment.</t>
  </si>
  <si>
    <t>Adjuvant aspirin therapy reduces symptoms of schizophrenia spectrum disorders: results from a randomized, double-blind, placebo-controlled trial.</t>
  </si>
  <si>
    <t>Laan, Wijnand; Grobbee, Diederick E; Selten, Jean-Paul; Heijnen, Cobi J; Kahn, René S; Burger, Huibert</t>
  </si>
  <si>
    <t>the journal of clinical psychiatry</t>
  </si>
  <si>
    <t>https://pubmed.ncbi.nlm.nih.gov/20492850</t>
  </si>
  <si>
    <t>Inflammatory processes may play a role in the pathophysiology of schizophrenia. The aim of this study was to determine the efficacy of adjuvant treatment with aspirin (acetylsalicylic acid) in schizophrenia spectrum disorders. This randomized, double-blind, placebo-controlled study was conducted between May 2004 and August 2007. Seventy antipsychotic-treated inpatients and outpatients from 10 psychiatric hospitals in The Netherlands with a DSM-IV-diagnosed schizophrenia spectrum disorder were included. Patients were randomized to adjuvant treatment with aspirin 1000 mg/d or placebo. During a 3-month follow-up, psychopathology was assessed with the Positive and Negative Syndrome Scale (PANSS). Other assessments included cognitive tests and immune function. The primary efficacy outcome was the change in total PANSS score. Secondary outcomes were changes in the PANSS subscales and cognitive test results. Mixed-effect models showed a 4.86-point (95% CI, 0.91 to 8.80) and 1.57-point (95% CI, 0.06 to 3.07) larger decrease in the aspirin group compared to the placebo group on the total and positive PANSS score, respectively. Similar but not statistically significant results were observed for the other PANSS subscale scores. Treatment efficacy on total PANSS score was substantially larger in patients with the more altered immune function (P = .018). Aspirin did not significantly affect cognitive function. No substantial side effects were recorded. Aspirin given as adjuvant therapy to regular antipsychotic treatment reduces the symptoms of schizophrenia spectrum disorders. The reduction is more pronounced in those with the more altered immune function. Inflammation may constitute a potential new target for antipsychotic drug development. controlled-trials.com Identifier: ISRCTN27745631.</t>
  </si>
  <si>
    <t>The global burden of diabetes and its complications: an emerging pandemic.</t>
  </si>
  <si>
    <t>van Dieren, Susan; Beulens, Joline W J; van der Schouw, Yvonne T; Grobbee, Diederick E; Neal, Bruce</t>
  </si>
  <si>
    <t>https://pubmed.ncbi.nlm.nih.gov/20489418</t>
  </si>
  <si>
    <t>The number of patients with type 2 diabetes is increasing rapidly in both developed and developing countries around the world. The emerging pandemic is driven by the combined effects of population ageing, rising levels of obesity and inactivity, and greater longevity among patients with diabetes that is attributable to improved management. The vascular complications of type 2 diabetes account for the majority of the social and economic burden among patients and society more broadly. This review summarizes the burden of type 2 diabetes, impaired glucose tolerance, and their vascular complications. It is projected that by 2025 there will be 380 million people with type 2 diabetes and 418 million people with impaired glucose tolerance. Diabetes is a major global cause of premature mortality that is widely underestimated, because only a minority of persons with diabetes dies from a cause uniquely related to the condition. Approximately one half of patients with type 2 diabetes die prematurely of a cardiovascular cause and approximately 10% die of renal failure. Global excess mortality attributable to diabetes in adults was estimated to be 3.8 million deaths.</t>
  </si>
  <si>
    <t>Prevalence of asymptomatic carotid artery stenosis in the general population: an individual participant data meta-analysis.</t>
  </si>
  <si>
    <t>de Weerd, Marjolein; Greving, Jacoba P; Hedblad, Bo; Lorenz, Matthias W; Mathiesen, Ellisiv B; O'Leary, Daniel H; Rosvall, Maria; Sitzer, Matthias; Buskens, Erik; Bots, Michiel L</t>
  </si>
  <si>
    <t>https://pubmed.ncbi.nlm.nih.gov/20431077</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</si>
  <si>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(&gt; or =50%) and severe carotid stenosis (&gt; or =70%). Prevalence of moderate asymptomatic carotid stenosis ranged from 0.2% (95% CI, 0.0% to 0.4%) in men aged &lt;50 years to 7.5% (5.2% to 10.5%) in men aged &gt; or =80 years. For women, this prevalence increased from 0% (0% to 0.2%) to 5.0% (3.1% to 7.5%). Prevalence of severe asymptomatic carotid stenosis ranged from 0.1% (0.0% to 0.3%) in men aged &lt;50 years to 3.1% (1.7% to 5.3%) in men aged &gt; or =80. For women, this prevalence increased from 0% (0.0% to 0.2%) to 0.9% (0.3% to 2.4%). The prevalence of severe asymptomatic carotid stenosis in the general population ranges from 0% to 3.1%, which is useful information in the discussion on the cost-effectiveness of screening.</t>
  </si>
  <si>
    <t>Dietary phylloquinone and menaquinones intakes and risk of type 2 diabetes.</t>
  </si>
  <si>
    <t>Beulens, Joline W J; van der A, Daphne L; Grobbee, Diederick E; Sluijs, Ivonne; Spijkerman, Annemieke M W; van der Schouw, Yvonne T</t>
  </si>
  <si>
    <t>https://pubmed.ncbi.nlm.nih.gov/20424220</t>
  </si>
  <si>
    <t>To investigate whether dietary phylloquinone and menaquinones intakes are related to risk of type 2 diabetes. We used data from a prospective cohort study in 38,094 Dutch men and women, aged 20-70 years. Dietary phylloquinone and menaquinones intakes were assessed using a validated food frequency questionnaire. Diabetes case patients were ascertained mainly via self-report and verified against medical records. During 10.3 years of follow-up, 918 incident cases of diabetes were documented. In a multivariate model adjusting for diabetes risk factors and dietary factors, phylloquinone intake tended to be associated (P = 0.08) with a reduced risk of type 2 diabetes with a hazard ratio (HR) of 0.81 (95% CI 0.66-0.99) for the highest versus the lowest quartile. For menaquinones intake, a linear, inverse association (P = 0.038) with risk of type 2 diabetes was observed with an HR of 0.93 (0.87-1.00) for each 10-microg increment in the multivariate model. This study shows that both phylloquinone and menaquinones intakes may be associated with a reduced risk of type 2 diabetes.</t>
  </si>
  <si>
    <t>The emerging burden of hospital admissions of adults with congenital heart disease.</t>
  </si>
  <si>
    <t>Verheugt, Carianne L; Uiterwaal, Cuno S P M; van der Velde, Enno T; Meijboom, Folkert J; Pieper, Petronella G; Sieswerda, Gertjan Tj; Plokker, Herbert W M; Grobbee, Diederick E; Mulder, Barbara J M</t>
  </si>
  <si>
    <t>https://pubmed.ncbi.nlm.nih.gov/20406765</t>
  </si>
  <si>
    <t>To assess the extent and the characteristics of hospital admissions in registered adult patients with congenital heart disease. Observational cohort study. The Netherlands. 5798 adult patients with congenital heart disease from the Dutch CONCOR national registry linked to the Dutch National Medical Registration (Prismant). All hospital admissions from the years 2001 up until 2006. During 28 990 patient-years, 2908 patients (50%) were admitted to hospital. Median age at admission was 39 years (range 18-86 years); 46% were male. Admission rate in CONCOR patients was high among all ages (range 11-68%) and exceeded that of the general Dutch population two to three times; this difference was most pronounced in the older age groups. Altogether there were 8916 admissions, 5411 (61%) of which were for cardiovascular indications. Among cardiovascular admissions, referrals for arrhythmias were most common (31%). Of 4926 interventions, 2459 (50%) were cardiovascular, most often reparative interventions or cardioversion (53%). Most non-cardiovascular admissions were obstetric. Among defects, univentricular heart and tricuspid atresia had the highest incidence and duration of admission. Healthcare utilisation in registered and medically supervised adult patients with congenital heart disease is high and increases with age. Admission rates are at least two times higher than in the general population, and most marked in the older age groups. With the ageing of this population, a major increase in healthcare utilisation is imminent in the near future. Timely preparation of healthcare resources is crucial to sustain optimal care.</t>
  </si>
  <si>
    <t>Vasomotor symptoms, estradiol levels and cardiovascular risk profile in women.</t>
  </si>
  <si>
    <t>Gast, Gerrie-Cor M; Samsioe, Göran N; Grobbee, Diederick E; Nilsson, Peter M; van der Schouw, Yvonne T</t>
  </si>
  <si>
    <t>https://pubmed.ncbi.nlm.nih.gov/20400247</t>
  </si>
  <si>
    <t>We investigated whether menopausal vasomotor symptoms (VMS) are related to an adverse cardiovascular risk profile. Furthermore, we examined the association between estradiol levels and VMS, and whether an association between VMS and cardiovascular risk factors can be explained by estradiol levels. We used data from a Swedish population-based sample of 5857 women, aged 50-64 years. Data on VMS and potential confounders were collected by questionnaires. Body mass index (BMI), waist hip ratio (WHR), glucose, blood pressure, lipid profile and estradiol levels were measured. Symptoms of flushing/sweats were reported by 55% and sweats by 31% of all women. Estradiol concentrations were significantly lower in women with VMS. After multivariate adjustment, women with symptoms of sweats had a statistically significantly higher BMI, waist hip ratio, total cholesterol level, LDL level, triglycerides level, glucose level, systolic and diastolic blood pressure. These patterns did not change after correction for estradiol. The associations between flushing/sweats combined and cardiovascular risk factors were less pronounced. Women with VMS have a less favorable cardiovascular risk profile. Although estradiol levels were significantly lower among women with VMS, the increased cardiovascular risk profile cannot be explained by circulating estradiol levels.</t>
  </si>
  <si>
    <t>Awareness of hypertension: will it bring about a healthy lifestyle?</t>
  </si>
  <si>
    <t>Scheltens, T; Beulens, J W; Verschuren, W M M; Boer, J M; Hoes, A W; Grobbee, D E; Bots, M L</t>
  </si>
  <si>
    <t>https://pubmed.ncbi.nlm.nih.gov/20393503</t>
  </si>
  <si>
    <t>Guidelines for cardiovascular disease prevention recommend a non-pharmacological approach to reduce cardiovascular risk in those with elevated blood pressure. We assessed guideline adherence in hypertensives. This study was performed in the European Investigation into Cancer and Nutrition-NL cohort, consisting of 40,011 subjects. From 1993 to 1997, participants completed questionnaires (disease history, lifestyle and diet), a physical examination was performed and blood samples were drawn. Differences in proportions of guideline targets met between aware and unaware hypertensives were studied. Of 8779 hypertensive subjects, 90% was aware of their hypertension. They more often adhered to guidelines than unaware hypertensive subjects with respect to intake of polyunsaturated fat:saturated fat (38.6% vs 33.2%), fibres (40.6% vs 34.2%), body mass index &lt;27 kg m(-2) (53.8% vs 46.5%) and alcohol (79.7% vs 72.6%). Despite statistical significance, the magnitude of these differences was small. Our study suggests that prevalence of a healthy lifestyle according to the recommendations in guidelines is slightly better in subjects aware of hypertension. There seems to be ample room for improvement in implementing the guidelines. Probably, patient tailored interventions and a multisiciplinary and multimodality approach can support this improvement.</t>
  </si>
  <si>
    <t>Diabetes Care Protocol: effects on patient-important outcomes. A cluster randomized, non-inferiority trial in primary care.</t>
  </si>
  <si>
    <t>Cleveringa, F G W; Minkman, M H; Gorter, K J; van den Donk, M; Rutten, G E H M</t>
  </si>
  <si>
    <t>https://pubmed.ncbi.nlm.nih.gov/20536517</t>
  </si>
  <si>
    <t>The Diabetes Care Protocol (DCP) combines task delegation, intensification of diabetes treatment and feedback. It reduces cardiovascular risk in Type 2 diabetes (T2DM) patients. This study determines the effects of DCP on patient-important outcomes. A cluster randomized, non-inferiority trial, by self-administered questionnaires in 55 Dutch primary care practices: 26 practices DCP (1699 patients), 26 usual care (1692 patients). T2DM patients treated by their general practitioner were included. Main outcome was the 1-year between-group difference in Diabetes Health Profile (DHP-18) total score. DHP-18 subscales, general perceived health [Medical Outcomes Study 36-Items Short Form Health Survey (SF-36), Euroqol 5 Dimensions (EQ-5D) and Euroqol visual analogue scale (EQ-VAS)], treatment satisfaction (Diabetes Treatment Satisfaction Questionnaire; DTSQ status) and psychosocial self-efficacy (Diabetes Empowerment Scale Short Form; DES-SF). Per protocol (PP) and intention-to-treat (ITT) analyses were performed: non-inferiority margin Delta=-2%. At baseline 2333 questionnaires were returned and 1437 1 year thereafter. Comparing DCP with usual care, DHP-18 total score was non-inferior: PP -0.88 (95% CI -1.94 to 0.12), ITT -0.439 (95% CI -1.01 to 0.08), SF-36 'health change' improved: PP 3.51 (95% CI 1.23 to 5.82), ITT 1.91 (95% CI 0.62 to 3.23), SF-36 'social functioning' was inconclusive: PP-1.57 (95% CI-4.3 to 0.72), ITT-1.031 (95% CI-2.52 to -0.25). Other DHP and SF-36 scores were inconsistent or non-inferior. DHP-18 'disinhibited eating' was significantly worse in PP analyses. For EQ-5D/EQ-VAS, DTSQ and DES-SF, no significant between-group differences were found. DCP does not seem to influence health status negatively, therefore diabetes care providers should not shrink from intensified treatment. However, they should take possible detrimental effects on 'social functioning' and 'disinhibited eating' into account.</t>
  </si>
  <si>
    <t>Age of mother and grandmother in relation to a subject's breast cancer risk.</t>
  </si>
  <si>
    <t>de Haan, M C; Michels, K B; Peeters, P H M; van Noord, P A H; Hennekam, F A M; van der Schouw, Y T</t>
  </si>
  <si>
    <t>https://pubmed.ncbi.nlm.nih.gov/20354520</t>
  </si>
  <si>
    <t>On theoretical grounds, the age of the grandmother and the age of the mother at delivery of her daughter may affect the breast cancer risk of the granddaughter. We used the data relating to the Diagnostic Research Mamma-carcinoma cohort (DOM (Diagnostisch Onderzoek Mammacarcinoom) 3), which comprises a population-based sample of 12 178 women aged 41-63 years at enrolment in 1982-85 and followed up until 2000. During follow-up 340 postmenopausal breast cancer cases were identified. To these we applied a case-cohort design together with a random sample from the baseline cohort (n=1826). Of these study participants, we were able to retrieve the birth dates of 998 mothers (309 cases, 689 controls), and for 547 of these we also retrieved the birth dates of the grandmothers (197 cases, 350 controls). A weighted Cox proportional hazards model was used to estimate the hazard ratios (HRs) for the effect of the age of the grandmother and the age of the mother on the breast cancer risk of the index women, while adjusting for potential confounders. Compared with the reference group aged 25-29.9 years, the group with the lowest maternal age (&lt;25 years) had an age-adjusted HR of 0.77 (95% CI 0.19-3.12) and the group with the highest maternal age (&gt; or = 40 years) had an age-adjusted HR of 1.58 (95% CI 0.01-267.81), P-value for trend=0.62. Compared with the same reference group, the group with the lowest grandmaternal age (&lt;25 years) had an age-adjusted HR of 0.53 (95% CI 0.24-1.17) and the group with the highest grandmaternal age (&gt; or = 40 years) had an age-adjusted HR of 7.29 (95% CI 1.20-44.46), P for trend=0.04. The associations did not change significantly after additional adjustment for various risk factors for breast cancer, neither for maternal age nor for grandmaternal age. This study does not suggest a major role of maternal age at delivery or grandmaternal age at delivery of the mother for the (grand)daughters' breast cancer risk.</t>
  </si>
  <si>
    <t>Unpredictable bias when using the missing indicator method or complete case analysis for missing confounder values: an empirical example.</t>
  </si>
  <si>
    <t>Knol, Mirjam J; Janssen, Kristel J M; Donders, A Rogier T; Egberts, Antoine C G; Heerdink, E Rob; Grobbee, Diederick E; Moons, Karel G M; Geerlings, Mirjam I</t>
  </si>
  <si>
    <t>https://pubmed.ncbi.nlm.nih.gov/20346625</t>
  </si>
  <si>
    <t>Missing indicator method (MIM) and complete case analysis (CC) are frequently used to handle missing confounder data. Using empirical data, we demonstrated the degree and direction of bias in the effect estimate when using these methods compared with multiple imputation (MI). From a cohort study, we selected an exposure (marital status), outcome (depression), and confounders (age, sex, and income). Missing values in "income" were created according to different patterns of missingness: missing values were created completely at random and depending on exposure and outcome values. Percentages of missing values ranged from 2.5% to 30%. When missing values were completely random, MIM gave an overestimation of the odds ratio, whereas CC and MI gave unbiased results. MIM and CC gave under- or overestimations when missing values depended on observed values. Magnitude and direction of bias depended on how the missing values were related to exposure and outcome. Bias increased with increasing percentage of missing values. MIM should not be used in handling missing confounder data because it gives unpredictable bias of the odds ratio even with small percentages of missing values. CC can be used when missing values are completely random, but it gives loss of statistical power.</t>
  </si>
  <si>
    <t>Missing covariate data in medical research: to impute is better than to ignore.</t>
  </si>
  <si>
    <t>Janssen, Kristel J M; Donders, A Rogier T; Harrell, Frank E; Vergouwe, Yvonne; Chen, Qingxia; Grobbee, Diederick E; Moons, Karel G M</t>
  </si>
  <si>
    <t>https://pubmed.ncbi.nlm.nih.gov/20338724</t>
  </si>
  <si>
    <t>We compared popular methods to handle missing data with multiple imputation (a more sophisticated method that preserves data). We used data of 804 patients with a suspicion of deep venous thrombosis (DVT). We studied three covariates to predict the presence of DVT: d-dimer level, difference in calf circumference, and history of leg trauma. We introduced missing values (missing at random) ranging from 10% to 90%. The risk of DVT was modeled with logistic regression for the three methods, that is, complete case analysis, exclusion of d-dimer level from the model, and multiple imputation. Multiple imputation showed less bias in the regression coefficients of the three variables and more accurate coverage of the corresponding 90% confidence intervals than complete case analysis and dropping d-dimer level from the analysis. Multiple imputation showed unbiased estimates of the area under the receiver operating characteristic curve (0.88) compared with complete case analysis (0.77) and when the variable with missing values was dropped (0.65). As this study shows that simple methods to deal with missing data can lead to seriously misleading results, we advise to consider multiple imputation. The purpose of multiple imputation is not to create data, but to prevent the exclusion of observed data.</t>
  </si>
  <si>
    <t>Basal hypothalamic pituitary adrenal axis activity and hippocampal volumes: the SMART-Medea study.</t>
  </si>
  <si>
    <t>Knoops, Arnoud J G; Gerritsen, Lotte; van der Graaf, Yolanda; Mali, Willem P Th M; Geerlings, Mirjam I</t>
  </si>
  <si>
    <t>https://pubmed.ncbi.nlm.nih.gov/20299006</t>
  </si>
  <si>
    <t>It has frequently been hypothesized that high levels of glucocorticoids have deleterious effects on the hippocampus and increase risk for cognitive decline and dementia, but no large-scale studies in humans have examined the direct relation between hippocampal volumes and hypothalamic-pituitary-adrenal axis activity. Cross-sectional analyses within the Second Manifestations of ARTerial disease-Magnetic Resonance (SMART)-Medea study, an ancillary study to the SMART-MR study on brain changes on magnetic resonance imaging (MRI) among patients with arterial disease. In 575 patients (mean age 62 +/- 9 years), diurnal cortisol rhythm was assessed with six saliva samples, collected at awakening; at 30, 45, and 60 min thereafter; and at 10 pm and 11 pm. A low dose of dexamethasone (.5 mg) was administered at 11 pm, and saliva was sampled the next morning at awakening. Volumetric measurements of the hippocampus were performed on a three-dimensional fast field echo T1-weighted scan with isotropic voxels. Mean total relative hippocampal volume was 6.0 +/- .7 mL. Linear regression analyses, adjusted for age, sex, vascular risk factors, and global brain atrophy showed that participants with higher evening levels and higher awakening levels after dexamethasone had smaller hippocampal volumes [B per SD (4.2) increase = -.09 mL; 95% confidence interval -.15 to -.03 mL and B per SD (2.5) increase = -.07 mL; 95% confidence interval -.13 to -.01 mL, respectively]. The awakening response was not significantly associated with hippocampal volumes. In this population, higher evening cortisol levels and reduced suppression after dexamethasone were associated with smaller hippocampal volumes, independent of total brain volume. The cortisol response after awakening was not associated with hippocampal volume.</t>
  </si>
  <si>
    <t>Completeness of carotid intima media thickness measurements depends on body composition: the RADIANCE 1 and 2 trials.</t>
  </si>
  <si>
    <t>Dogan, Soner; Duivenvoorden, Raphaël; Grobbee, Diederick E; Kastelein, John J P; Shear, Charles L; Evans, Gregory W; Visseren, Frank L; Bots, Michiel L; ,</t>
  </si>
  <si>
    <t>https://pubmed.ncbi.nlm.nih.gov/20228610</t>
  </si>
  <si>
    <t>Ultrasound protocols to measure carotid intima media thickness (CIMT) differ considerably with regard to the inclusion of the number of carotid segments and angles used. Detailed information on the completeness of CIMT information is often lacking in published reports, and at most, overall percentages are presented. We therefore decided to study the completeness of CIMT measurements and its relation with vascular risk factors using data from two CIMT intervention studies: one among familial hypercholesterolemia (FH) patients, the Rating Atherosclerotic Disease change by Imaging With A New CETP Inhibitor (RADIANCE 1), and one among mixed dyslipidemia (MD) patients, the Rating Atherosclerotic Disease change by Imaging With A New CETP Inhibitor (RADIANCE 2). We used baseline ultrasound scans from the RADIANCE 1 (n=872) and RADIANCE 2 (n=752) studies. CIMT images were recorded for 12 artery-wall combinations (near and far walls of the left and right common carotid artery (CCA), bifurcation (BIF) and internal carotid artery (ICA) segments) at 4 set angles, resulting in 48 possible measurements per patient. The presence or absence of CIMT measurements was assessed per artery-wall combination and per angle. The relation between completeness and patient characteristics was evaluated with logistic regression analysis. In 89% of the FH patients, information on CIMT could be obtained on all twelve carotid segments, and in 7.6%, eleven segments had CIMT information (nearly complete 96.6%). For MD patients this was 74.6% and 17.9%, respectively (nearly complete: 92.5%). Increased body mass index and increased waist circumference were significantly (p=0.01) related to less complete data in FH patients. For MD patients, relations were seen with increased waist circumference (p&lt;0.01). Segment-specific data indicated that in FH patients, completeness was less for the near wall of the left (96%) and right internal carotid artery (94%) as compared to other segments (all &gt;98%). In MD patients, completeness was lower for the near wall of both the right and left carotid arteries: 86.0% and 90.8%, respectively, as compared to other segments (all &gt;97%). With the current ultrasound protocols it is possible to obtain a very high level of completeness. Apart from the population studied, body mass index and waist circumference are important in achieving complete CIMT measurements.</t>
  </si>
  <si>
    <t>A support programme for primary care leads to substantial improvements in the effectiveness of a public hepatitis C campaign.</t>
  </si>
  <si>
    <t>Helsper, Charles W; van Essen, Gerrit A; Bonten, Marc J M; de Wit, Niek J</t>
  </si>
  <si>
    <t>https://pubmed.ncbi.nlm.nih.gov/20223833</t>
  </si>
  <si>
    <t>Because of its lack of clinical signs, the detection of hepatitis C virus (HCV) infection in the Netherlands remains suboptimal. Therefore, the Dutch Health Council proposed an HCV campaign aimed to inform the general public and motivate people at risk to seek medical advice. Because knowledge and awareness of HCV infection is low among primary care workers, the implementation of a support programme for primary care complementary to a HCV campaign seems appropriate. To evaluate the added value of a support programme for primary care complementary to a public HCV campaign. We performed a non-randomized controlled intervention study. In two similar regions, a public HCV campaign was organized. In the intervention region, an additional support for primary care was provided by means of brochures, short courses and informative visits. In the intervention region, the proportional increase in anti-HCV tests was 3.02 (57-172 tests). In the control region, this increase was 1.36 (86-118 tests). In the intervention region, the increase in positive anti-HCV tests was 1.7% (95% confidence interval (CI): -0.2% to -3.7%). In the control region, this number decreased by 0.9% (95% CI: -4.1% to 2.3%). The addition of primary care practice support leads to considerable improvements in medical consciousness regarding HCV infection in primary care. Even though the positive effect on case finding cannot be indisputably demonstrated due to low prevalence, our results indicate such a positive effect. Therefore, future campaigns aimed at hepatitis C should invariably implement additional support for primary care to improve diagnostic uptake and optimize case finding.</t>
  </si>
  <si>
    <t>C-reactive protein lowering with rosuvastatin in the METEOR study.</t>
  </si>
  <si>
    <t>Peters, S A E; Palmer, M K; Grobbee, D E; Crouse, J R; O'Leary, D H; Raichlen, J S; Bots, M L</t>
  </si>
  <si>
    <t>https://pubmed.ncbi.nlm.nih.gov/20412373</t>
  </si>
  <si>
    <t>In addition to its LDL-C-lowering effects, statin treatment reduces the level of C-reactive protein (CRP). Long-term data on this effect in low-risk populations are limited. Furthermore, whether the CRP reduction is a consequence of LDL-C lowering or occurs independently remains unclear. We studied these aspects in the Measuring Effects on intima media Thickness: an Evaluation Of Rosuvastatin (METEOR) study, a randomized placebo-controlled trial amongst 984 low-risk subjects. METEOR is a randomized placebo-controlled trial that evaluated the effect of 40 mg of rosuvastatin on 2-year change in carotid intima media thickness (CIMT) amongst 984 low-risk patients (10-year Framingham risk &lt; 10%) with modest CIMT (CIMT &gt; or = 1.2 and &lt; 3.5 mm) and elevated LDL-C. CRP levels were measured at baseline and after 2 years of treatment. Median baseline CRP was 1.4 mg L(-1). Rosuvastatin lowered CRP significantly compared with placebo: -36% in the rosuvastatin group versus no change in the placebo group. There was no relation between change in CRP and change in LDL-C (Spearman correlation: 0.08; SE: 0.04). Stratified analyses showed that the CRP-lowering effect was present amongst all strata of baseline characteristics, including baseline lipids and CRP levels. However, the magnitude of CRP reduction was larger amongst women and participants older than 60 years. Rosuvastatin (40 mg) lowers CRP independently from its effects on LDL-C in low-risk subjects with normal baseline CRP levels and modest CIMT.</t>
  </si>
  <si>
    <t>Are recently identified genetic variants regulating BMI in the general population associated with anorexia nervosa?</t>
  </si>
  <si>
    <t>Brandys, Marek K; van Elburg, Annemarie A; Loos, Ruth J F; Bauer, Florianne; Hendriks, Judith; van der Schouw, Yvonne T; Adan, Roger A H</t>
  </si>
  <si>
    <t>american journal of medical genetics part b neuropsychiatric genetics the official publication of the international society of psychiatric genetics</t>
  </si>
  <si>
    <t>https://pubmed.ncbi.nlm.nih.gov/19746409</t>
  </si>
  <si>
    <t>The influence of body mass index (BMI) on susceptibility to anorexia nervosa (AN) is not clear. Recently published genome-wide association (GWA) studies of the general population identified several variants influencing BMI. We genotyped these variants in an AN sample to test for association and to investigate a combined effect of BMI-increasing alleles (as determined in the original GWA studies) on the risk of developing the disease. Individual single nucleotide polymorphisms (SNPs) were tested for association with AN in a sample of 267 AN patients and 1,636 population controls. A logistic regression for the combined effect of BMI-increasing alleles included 225 cases and 1,351 controls. We found no significant association between individual SNPs and AN. The analysis of a combined effect of BMI-increasing alleles showed absence of association with the investigated condition. The percentages of BMI-increasing alleles were equal between cases and controls. This study found no evidence that genetic variants regulating BMI in the general population are significantly associated with susceptibility to AN.</t>
  </si>
  <si>
    <t>Mortality in adult congenital heart disease.</t>
  </si>
  <si>
    <t>Verheugt, Carianne L; Uiterwaal, Cuno S P M; van der Velde, Enno T; Meijboom, Folkert J; Pieper, Petronella G; van Dijk, Arie P J; Vliegen, Hubert W; Grobbee, Diederick E; Mulder, Barbara J M</t>
  </si>
  <si>
    <t>https://pubmed.ncbi.nlm.nih.gov/20207625</t>
  </si>
  <si>
    <t>Mortality in adults with congenital heart disease is known to be increased, yet its extent and the major mortality risks are unclear. The Dutch CONCOR national registry for adult congenital heart disease was linked to the national mortality registry. Cox's regression was used to assess mortality predictors. Of 6933 patients, 197 (2.8%) died during a follow-up of 24 865 patient-years. Compared with the general national population, there was excess mortality, particularly in the young. Median age at death was 48.8 years. Of all deaths, 77% had a cardiovascular origin; 45% were due to chronic heart failure (26%, age 51.0 years) or sudden death (19%, age 39.1 years). Age predicted mortality, as did gender, severity of defect, number of interventions, and number of complications [hazard ratio (HR) range 1.1-5.9, P &lt; 0.05]. Several complications predicted all-cause mortality beyond the effects of age, gender, and congenital heart disease severity, i.e. endocarditis, supraventricular arrhythmias, ventricular arrhythmias, conduction disturbances, myocardial infarction, and pulmonary hypertension (HR range 1.4-3.1, P &lt; 0.05). These risks were similar in patients above and below 40 years of age. Almost all complications predicted death due to heart failure (HR range 2.0-5.1, P &lt; 0.05); conduction disturbances and pulmonary hypertension predicted sudden death (HR range 2.0-4.7, P &lt; 0.05). Mortality is increased in adults with congenital heart disease, particularly in the young. The vast majority die from cardiovascular causes. Mortality risk, particularly by heart failure, is increased by virtually all complications. Complications are equally hazardous in younger as in older patients.</t>
  </si>
  <si>
    <t>Effectiveness of a hospital-based vascular screening programme (SMART) for risk factor management in patients with established vascular disease or type 2 diabetes: a parallel-group comparative study.</t>
  </si>
  <si>
    <t>Brouwer, B G; Visseren, F L J; Algra, A; van Bockel, J H; Bollen, E L E M; Doevendans, P A; Greving, J P; Kappelle, L J; Moll, F L; Pijl, H; Romijn, J A; van der Wall, E E; van der Graaf, Y</t>
  </si>
  <si>
    <t>https://pubmed.ncbi.nlm.nih.gov/20337856</t>
  </si>
  <si>
    <t>Modification of vascular risk factors is effective in reducing mortality and morbidity in patients with symptomatic atherosclerosis; however, it is difficult to achieve and maintain. The aim of the Risk management in Utrecht and Leiden Evaluation (RULE) study was to assess risk factor status after referral in patients with established vascular disease or type 2 diabetes who took part in the multidisciplinary hospital-based vascular screening programme, Second Manifestations of ARTerial disease, compared with a group who did not participate in such a programme. Patients with type 2 diabetes, coronary artery disease, cerebrovascular disease or peripheral arterial disease referred by general practitioners to the medical specialist at the University Medical Center (UMC) Utrecht (a setting with a vascular screening programme of systematic screening of risk factors followed by treatment advice) and the Leiden UMC (a setting without such a screening programme), were enrolled in the study. Blood pressure, levels of lipids, glucose and creatinine, weight, waist circumference and smoking status were measured in patients 12-18 months after referral to the two hospitals. A total of 604 patients were treated in the setting with a vascular screening programme and 566 in the setting without such a programme; 70% of all patients were male, with a mean age of 61 +/- 10 years. Amongst screened patients, systolic blood pressure [2.5 mmHg, 95% confidence interval (CI) 0.3-4.6] and the level of LDL cholesterol (0.3 mmol L(-1), 95% CI 0.2-0.4) were lower compared with the group that received usual care, after a median of 16 months from referral. Systematic screening of risk factors, followed by evidence-based, tailored treatment advice contributed to slightly better risk factor reduction in patients with established vascular disease or type 2 diabetes. However, a large proportion of patients did not reach the treatment goals according to (inter)national guidelines. Systematic screening of vascular risk factors alone is not enough for adequate risk factor management in high-risk patients.</t>
  </si>
  <si>
    <t>Noncompliance in lifestyle intervention studies: the instrumental variable method provides insight into the bias.</t>
  </si>
  <si>
    <t>Hertogh, Emmy M; Schuit, A Jantine; Peeters, Petra H M; Monninkhof, Evelyn M</t>
  </si>
  <si>
    <t>https://pubmed.ncbi.nlm.nih.gov/20189770</t>
  </si>
  <si>
    <t>In lifestyle intervention trials, participants of the control group often change their behavior despite the request to maintain their usual lifestyle pattern. These changes in the control group and changes in addition to the intended in the intervention group can lead to undesirable confounding effects. We address several considerations for study design to prevent noncompliance or minimize its effects. Furthermore, we demonstrate how the instrumental variable method can give insight into the extent of bias introduced by noncompliance in randomized trials, within the context of the Sex Hormones and Physical Exercise study. Noncompliance can be prevented by measures taken in the design phase of a study, for example, limited duration of the study, clear recommendations, power calculation, intensity of the intervention, involvement of the control group, waiting-list control group, and single-consent design nested within an observational study. When nevertheless noncompliance does occur, the instrumental variable method estimates the intervention effect of treatment among the compliers. Noncompliance can seriously affect validity of lifestyle trial results. Its occurrence should be prevented by taking measures during the design phase of a study. The instrumental variable method can give insight into confounding by noncompliance in randomized trials.</t>
  </si>
  <si>
    <t>Lack of self perception of illness in children with asthma: the real reason for referral?</t>
  </si>
  <si>
    <t>Sachs, Alfred P E</t>
  </si>
  <si>
    <t>primary care respiratory journal journal of the general practice airways group</t>
  </si>
  <si>
    <t>https://pubmed.ncbi.nlm.nih.gov/20104372</t>
  </si>
  <si>
    <t>Monitoring training progress during exercise training in cancer survivors: a submaximal exercise test as an alternative for a maximal exercise test?</t>
  </si>
  <si>
    <t>May, Anne M; van Weert, Ellen; Korstjens, Irene; Hoekstra-Weebers, Josette E; van der Schans, Cees P; Zonderland, Maria L; Mesters, Ilse; van den Borne, Bart; Ros, Wynand J</t>
  </si>
  <si>
    <t>archives of physical medicine and rehabilitation</t>
  </si>
  <si>
    <t>https://pubmed.ncbi.nlm.nih.gov/20298823</t>
  </si>
  <si>
    <t>To examine the use of a submaximal exercise test in detecting change in fitness level after a physical training program, and to investigate the correlation of outcomes as measured submaximally or maximally. A prospective study in which exercise testing was performed before and after training intervention. Academic and general hospital and rehabilitation center. Cancer survivors (N=147) (all cancer types, medical treatment completed &gt; or =3 mo ago) attended a 12-week supervised exercise program. A 12-week training program including aerobic training, strength training, and group sport. Outcome measures were changes in peak oxygen uptake (Vo(2)peak) and peak power output (both determined during exhaustive exercise testing) and submaximal heart rate (determined during submaximal testing at a fixed workload). The Vo(2)peak and peak power output increased and the submaximal heart rate decreased significantly from baseline to postintervention (P&lt;.001). Changes in submaximal heart rate were only weakly correlated with changes in Vo(2)peak and peak power output. Comparing the participants performing submaximal testing with a heart rate less than 140 beats per minute (bpm) versus the participants achieving a heart rate of 140 bpm or higher showed that changes in submaximal heart rate in the group cycling with moderate to high intensity (ie, heart rate &gt; or =140 bpm) were clearly related to changes in VO(2)peak and peak power output. For the monitoring of training progress in daily clinical practice, changes in heart rate at a fixed submaximal workload that requires a heart rate greater than 140 bpm may serve as an alternative to an exhaustive exercise test.</t>
  </si>
  <si>
    <t>The European EUCCLID pilot study on care and complications in an unselected sample of people with type 2 diabetes in primary care.</t>
  </si>
  <si>
    <t>Gorter, Kees J; Wens, Johan; Khunti, Kamlesh; Claramunt, Xavier Cos; Topsever, Pinar; Drivsholm, Thomas; Jenum, Anne Karen; Berkhout, Christophe; Khalangot, Mykola; Goldfracht, Margalit; Rurik, Imre; Lionis, Christos; Rutten, Guy E H M</t>
  </si>
  <si>
    <t>https://pubmed.ncbi.nlm.nih.gov/20167551</t>
  </si>
  <si>
    <t>European studies on quality of diabetes care in an unselected primary care diabetes population are scarce. To test the feasibility of the set-up and logistics of a cross-sectional EUropean study on Care and Complications in patients with type 2 diabetes (T2DM) in Primary Care (EUCCLID) in 12 European countries. One rural and one urban practice from each country participated. The central coordinating centre randomly selected five patients from each practice. Patient characteristics were assessed including medical history, anthropometric measures, quality indicators, UKPDS-risk engine, psychological and general well-being. We included 103 participants from 22 GPs in 11 countries. Central data and laboratory samples were successfully collected. Of the participants 54% were female, mean age was 66 years and mean duration of diabetes was 9.6 years. Besides, 18% were using insulin, 31% had a history of cardiovascular disease, mean HbA1c was 7.1% (range 6.6-8.0), mean systolic blood pressure was 133.7 mmHg (range 126.1-144.4) and mean total cholesterol was 4.9 mmol/l (range 4.0-6.2). A European study on care and complications in a random selection of people with T2DM is feasible. There are large differences in indicators of metabolic control and wellbeing between countries.</t>
  </si>
  <si>
    <t>Common genetic variation of insulin-like growth factor-binding protein 1 (IGFBP-1), IGFBP-3, and acid labile subunit in relation to serum IGF-I levels and mammographic density.</t>
  </si>
  <si>
    <t>Taverne, Cornelia W; Verheus, Martijn; McKay, James D; Kaaks, Rudolf; Canzian, Federico; Grobbee, Diederick E; Peeters, Petra H M; van Gils, Carla H</t>
  </si>
  <si>
    <t>https://pubmed.ncbi.nlm.nih.gov/20155489</t>
  </si>
  <si>
    <t>Mammographic density is strongly related to increased breast cancer risk. Accumulating evidence indicates that a role for the IGF-pathway in mammographic density and breast cancer development. Here, we investigate whether common genetic variation in this pathway influences insulin-like growth factor-I (IGF-I) levels and mammographic density. In 1,916 premenopausal women within the Prospect-EPIC cohort, we examined associations of 14 haplotype tagging SNPs in the ALS, IGFBP1, and IGFBP3 genes with IGF-I circulating levels and mammographic density. In 657 women, who became postmenopausal during follow-up, we investigated how these SNPs were related with the decrease in density over menopause. Linear regression models were used for statistical analysis. None of the ALS or IGFBP3 SNPs were statistically significantly associated with IGF-I levels or mammographic density. The CC genotype for rs1908751 (IGFBP1) was associated with lower levels of IGF-I (110.9 ng/ml) compared to the CT/TT genotypes (115.7 ng/ml) (P = 0.04). Women with the CC genotype also had lower percent density, although not statistically significantly (P = 0.12). Women carrying the AA genotype for rs1995051 (IGFBP1) showed that borderline significantly lower IGF-I levels (P = 0.06) and significantly lower mammographic density (40.3% compared to 43.5% in the GG/GA genotypes; P = 0.05). No relationships were found for any of the SNPs in relation with changes in breast density over menopause. These findings suggest that common genetic variation in the IGFBP1 gene is weakly related to IGF-I levels and mammographic density. Our results do not provide support for such a role of genetic variants in the IGFBP3 and ALS genes.</t>
  </si>
  <si>
    <t>Association study of single nucleotide polymorphisms on chromosome 19q13 with abdominal aortic aneurysm.</t>
  </si>
  <si>
    <t>Baas, Annette F; Medic, Jelena; van't Slot, Ruben; de Vries, Jean-Paul P M; van Sambeek, Marc R H M; Geelkerken, Bob H; Boll, Bart P; Grobbee, Diederick E; Wijmenga, Cisca; Ruigrok, Ynte M; Blankensteijn, Jan D</t>
  </si>
  <si>
    <t>angiology</t>
  </si>
  <si>
    <t>https://pubmed.ncbi.nlm.nih.gov/20156811</t>
  </si>
  <si>
    <t>Abdominal aortic aneurysm (AAA) is a complex disorder in which environmental and genetic factors play a role in pathogenesis. Linkage to 2 adjacent loci on 19q13 in familiar AAA was previously demonstrated. We studied whether genetic variation within these regions predisposes to AAA. Common genetic variants in the described regions on 19q13 were analyzed using tag single nucleotide polymorphisms (SNPs) in a Dutch case-control population. Single nucleotide polymorphism genotyping was performed in a 2-stage approach. In stage 1, 615 SNPs were genotyped in 376 AAA patients and 648 controls. In stage 2, 8 SNPs of stage 1 with a P value &lt; .015 were genotyped in a second independent cohort of 360 cases and 376 controls. No differences in allele frequencies were observed. Our findings suggest that there are no common AAA predisposing SNPs within the 19q13 loci. Hence, the genetic basis of familiar and sporadic AAA may differ.</t>
  </si>
  <si>
    <t>Criteria for scientific evaluation of novel markers: a perspective.</t>
  </si>
  <si>
    <t>Moons, Karel G M</t>
  </si>
  <si>
    <t>https://pubmed.ncbi.nlm.nih.gov/20133890</t>
  </si>
  <si>
    <t>Alcohol consumption and risk of cardiovascular disease among hypertensive women.</t>
  </si>
  <si>
    <t>Bos, Sarah; Grobbee, Diederick E; Boer, Jolanda M A; Verschuren, W Monique; Beulens, Joline W J</t>
  </si>
  <si>
    <t>https://pubmed.ncbi.nlm.nih.gov/20051869</t>
  </si>
  <si>
    <t>This study investigated the relation between alcohol consumption and the risk of cardiovascular disease (CVD) among 10 530-hypertensive women from the EPIC-NL cohort. Alcohol consumption was assessed using a validated food-frequency questionnaire and participants were followed for occurrence of CVD. During 9.4 years follow-up, we documented 580 coronary heart disease (CHD) events and 254 strokes, 165 of which were ischemic. An inverse association (Ptrend=0.009) between alcohol consumption and risk of CHD was observed with a multivariate-adjusted hazard ratio of 0.72 (95% confidence interval: 0.52-1.01) for those consuming 70-139.9 g alcohol/week compared to lifetime abstainers. Of different beverages, only red wine consumption was associated with a reduced risk of CHD. A U-shaped relation (P=0.08) was observed for total stroke with a hazard ratio of 0.65 (0.44-0.95) for consuming 5-69.9 g alcohol/week compared with lifetime abstainers. Similar results were observed for ischemic stroke with a hazard ratio of 0.56 (0.35-0.89) for consuming of 5-69.9 g alcohol/week. We conclude that moderate alcohol consumption is associated with a reduced risk of CHD among hypertensive women. Light alcohol consumption tended to be related to a lower risk of stroke. Current guidelines for alcohol consumption in the general population also apply to hypertensive women.</t>
  </si>
  <si>
    <t>Testosterone, SHBG and cardiovascular health in postmenopausal women.</t>
  </si>
  <si>
    <t>Brand, J S; van der Schouw, Y T</t>
  </si>
  <si>
    <t>international journal of impotence research</t>
  </si>
  <si>
    <t>https://pubmed.ncbi.nlm.nih.gov/20090761</t>
  </si>
  <si>
    <t>Cardiovascular disease (CVD) affects men and women differently with women having a lower incidence and later onset of disease. Research has recently refocused interest on the cardiovascular role of androgens. The purpose of this review is to summarize the evidence available on the association between testosterone and cardiovascular health in postmenopausal women. Published studies relating testosterone and sex hormone-binding globulin (SHBG) to CVD and its risk factors were reviewed. Studies included in this review suggest that increased androgenicity, characterized by high testosterone and low SHBG levels, is associated with an adverse CVD risk factor profile in postmenopausal women. However, evidence for an association with cardiovascular events is lacking and it is uncertain whether the observed associations with endogenous testosterone have clinical implications regarding the use of postmenopausal testosterone therapy. Large-scale, longitudinal studies relating testosterone and SHBG levels to cardiovascular risk factors and endpoints are needed to determine the temporal relationship between androgenicity and cardiovascular risk and to ascertain the long-term efficacy and safety of testosterone therapy in postmenopausal women.</t>
  </si>
  <si>
    <t>Age-related changes in hypothalamic-pituitary-adrenal axis activity in patients with manifest arterial disease.</t>
  </si>
  <si>
    <t>Knoops, Arnoud J G; van der Graaf, Yolanda; Mali, Willem P Th M; Geerlings, Mirjam I</t>
  </si>
  <si>
    <t>endocrine</t>
  </si>
  <si>
    <t>https://pubmed.ncbi.nlm.nih.gov/20963575</t>
  </si>
  <si>
    <t>Reports on age-related changes of hypothalamic-pituitary-adrenal (HPA) axis activity are equivocal. In addition, subtle changes in HPA axis activity are associated with cardiovascular risk factors. This study evaluates the effect of age in a large sample of patients with arterial disease on several parts of the circadian rhythm of the HPA axis. Within the Second Manifestations of Arterial Disease-Magnetic Resonance (SMART-MR) study, a prospective cohort study among patients with manifest arterial disease, cross-sectional analyses were performed in 419 patients (age 63 ± 9 years). Circadian cortisol rhythm was assessed with six saliva samples, collected at awakening and 30, 45, and 60 min thereafter and at 10 and 11 pm. Furthermore, a low dose of dexamethasone (0.5 mg) was administered at 11 pm, and saliva was sampled the next morning to test the cortisol suppression. Linear regression analyses adjusted for sex, awakening time, workday, smoking, blood pressure, BMI, diabetes mellitus, and dyslipidemia showed that older age was associated with a blunted cortisol awakening response. Per year increase, the rise (β = -0.15 nmol/l; 95%CI -0.25 to -0.05) and diurnal pattern (β = -0.14 nmol/l; 95%CI -0.25 to -0.02) decreased. Furthermore, older age was associated with higher evening levels (β log transformed = 0.01; 95%CI 0.01-0.02) and higher mean cortisol after dexamethasone (β log transformed = 0.01; 95%CI 0.002-0.02). In patients with arterial disease, HPA axis activity showed reduced variability with older age, independent of cardiovascular risk factors.</t>
  </si>
  <si>
    <t>The intracranial aneurysm susceptibility genes HSPG2 and CSPG2 are not associated with abdominal aortic aneurysm.</t>
  </si>
  <si>
    <t>Baas, Annette F; Medic, Jelena; van't Slot, Ruben; de Vries, Jean-Paul P M; van Sambeek, Marc R H M; Verhoeven, Eric L G; Boll, Bart P; Grobbee, Diederick E; Wijmenga, Cisca; Blankensteijn, Jan D; Ruigrok, Ynte M</t>
  </si>
  <si>
    <t>https://pubmed.ncbi.nlm.nih.gov/20053631</t>
  </si>
  <si>
    <t>A genetic variant on chromosome 9p21 associates with abdominal aortic aneurysm (AAA) and intracranial aneurysm (IA), indicating that despite the differences in pathology there are shared genetic risk factors. We investigated whether the IA susceptibility genes heparan sulfate proteoglycan 2 (HSPG2) and chondroitin sulfate proteoglycan 2 (CSPG2) associate with AAA as well. Using tag single nucleotide polymorphisms (SNPs), all common variants were analyzed in a Dutch AAA case-control population in a 2-stage genotyping approach. In stage 1, 12 tag SNPs in HSPG2 and 22 tag SNPs in CSPG2 were genotyped in 376 patients and 648 controls. Genotyping of significantly associated SNPs was replicated in a second independent cohort of 360 cases and 376 controls. In stage 1, no HSPG2 SNPs and 1 CSPG2 SNP associated with AAA (rs2652106, P = .019). Association of this SNP was not replicated (P = .342). Our findings demonstrate that, in contrast to IA, HSPG2 and CSPG2 do not associate with AAA.</t>
  </si>
  <si>
    <t>Leisure-time physical activity and risk of type 2 diabetes in patients with established vascular disease or poorly controlled vascular risk factors.</t>
  </si>
  <si>
    <t>Brouwer, B G; van der Graaf, Y; Soedamah-Muthu, S S; Wassink, A M J; Visseren, F L J; ,</t>
  </si>
  <si>
    <t>https://pubmed.ncbi.nlm.nih.gov/20047771</t>
  </si>
  <si>
    <t>To investigate the effect of leisure-time physical activity on the incidence of type 2 diabetes (T2DM) in patients with manifest arterial disease, or poorly controlled risk factors. We examined 3940 patients with manifest arterial disease, hypertension or hyperlipidemia, aged 55.2+/-12.2 years. Leisure-time physical activity was measured by a questionnaire and metabolic equivalent (MET) hours per week (h/wk) were calculated. Incident T2DM was evaluated by a specific diabetes questionnaire. Most patients (65%) were physically inactive (0METh/wk), 12% were insufficiently physically active (0-10.5METh/wk) and 23% were sufficiently physically active (&gt;or=10.5METh/wk). During a mean follow-up of 4.7 years, 194 (5%) incident cases of T2DM occurred. Sufficiently physically active patients had a lower incidence of diabetes (hazard ratio (HR) 0.55, 95% confidence interval (CI) 0.37-0.83). Patients who were physically active and not-obese (BMI&lt;30kg/m(2)) were at the lowest risk for developing T2DM (HR 0.18, 95% CI 0.12-0.28) compared with patients who were physically inactive and obese. Leisure-time physical activity is associated with a decreased risk of T2DM in patients with manifest arterial disease, or poorly controlled risk factors. The combination of physical activity and non-obesity is associated with an even lower risk of the development of type 2 diabetes than the sum of their independent, protective effect.</t>
  </si>
  <si>
    <t>Prediction model for hypertension in pregnancy in nulliparous women using information obtained at the first antenatal visit.</t>
  </si>
  <si>
    <t>Nijdam, Marie-Elise; Janssen, Kristel J M; Moons, Karel G M; Grobbee, Diederick E; van der Post, Joris A; Bots, Michiel L; Franx, Arie</t>
  </si>
  <si>
    <t>https://pubmed.ncbi.nlm.nih.gov/19907344</t>
  </si>
  <si>
    <t>To develop a prediction model for the occurrence of hypertension in pregnancy using clinical variables obtained routinely at the antenatal booking visit prior to 16 weeks gestation. We studied 2334 nulliparous pregnant women participating in two population-based prospective cohort studies. Potential predictors included maternal age, blood pressure, body weight, height, previous miscarriage and smoking history, assessed at the visit booking prior to 16 weeks gestation. The outcome measure was the development of hypertension before 36 weeks of gestation. A prediction model was derived from the regression model using discrimination, calibration, bootstrapping approaches and transformed into a prediction model usable in clinical practice. One hundred and forty-one of 2334 women (6.0%) developed hypertension. Main predictors were systolic and diastolic blood pressure, and weight. The area under the receiver operating characteristic curve of the model was 0.78, 95% confidence interval (CI) 0.75-0.82. Among women with a very low score (19% of the population) the risk of hypertension was 0.5%. In those with a high score (13% of the population) the risk was 22.9%. Among nulliparous and initially normotensive women, the use of three simple clinical variables obtained routinely at the antenatal booking visit prior to 16 weeks, can accurately identify women at very low and very high risk of becoming hypertensive before 36 weeks of gestation. When confirmed in recent cohorts, application of the prediction model may lead to a reduction in frequency of antenatal visits for low-risk and increased surveillance for high-risk women.</t>
  </si>
  <si>
    <t>Preferences and opinions of patients with Type 2 diabetes on education and self-care: a cross-sectional survey.</t>
  </si>
  <si>
    <t>Gorter, K J; Tuytel, G H; de Leeuw, J R J; van der Bijl, J J; Bensing, J M; Rutten, G E H M</t>
  </si>
  <si>
    <t>https://pubmed.ncbi.nlm.nih.gov/20121894</t>
  </si>
  <si>
    <t>To assess the preferences of patients with Type 2 diabetes regarding self-care activities and diabetes education. Questionnaire survey carried out in general practices and outpatient clinics across the Netherlands. preferred setting for education, preferred educator, and preferred and most burdensome self-care activity. Multinomial logistic regression analysis assessed associations between outcomes and patient characteristics, preferences and opinions. Data of 994 consecutive individuals were analysed (mean 65 years; 54% male; 97% Caucasian; 21% low education level; 80% primary care). Of these, 19% thought they had poor to average glycaemic control, 61% thought they were over-weight and 32% thought they took too little exercise. Eighty per cent of respondents preferred diabetes education during regular diabetes check-ups. Patients taking insulin preferred education to be given by nurses [odds ratio (OR) 2.45; 95% confidence interval (CI) 1.21-4.96]. Individuals who thought their health to be poor/average preferred education to be given by doctors (OR 1.65; 95% CI 1.08-2.53). Physical exercise was the preferred self-care activity of those who thought they took too little exercise (OR 1.97; 95% CI 1.32-2.93) but was preferred less by patients with mobility problems (OR 0.65; 95% CI 0.43-0.97). Patients with eating disinhibition reported keeping to a healthy diet (OR 4.63; 3.00-7.16) and taking medication (OR 1.66; 95% CI 1.09-2.52) as the most burdensome self-care activities. Age was not an independent determinant of any preference. When providing education for patients with newly diagnosed Type 2 diabetes, healthcare providers should consider making a tailored education plan, irrespective of the patient's age.</t>
  </si>
  <si>
    <t>[Detection of metabolic syndrome by self-measurement of waist circumference].</t>
  </si>
  <si>
    <t>den Engelsen, Corine; van den Donk, Maureen; Gorter, Kees J; Salomé, Philippe L; Bobbink, Inge W G; Rutten, Guy E H M</t>
  </si>
  <si>
    <t>https://pubmed.ncbi.nlm.nih.gov/20456761</t>
  </si>
  <si>
    <t>Determination of both the feasibility and the result in terms of cardiovascular risk factors of self-measurement of waist circumference by apparently healthy people. We also investigated the prevalence of metabolic syndrome in a population of patients aged 20-69 years in IJsselstein, the Netherlands. Cross-sectional survey. All patients aged 20-69 years in the care of a group of General Practitioners (GPs) in IJsselstein, the Netherlands, who were not known to have diabetes, hypertension or dyslipidaemia (n = 11,862), received a tape measure and instructions by mail with the request to measure their waist circumference. Those with an increased waist circumference (&gt; 88 and &gt; 102 cm for women and men, respectively) were invited to undergo investigations to determine whether they conformed to the NCEP ATP III criteria for metabolic syndrome. The prevalence of metabolic syndrome was determined by a combination of these results with file studies of those with already known risk factors for cardiac and vascular disease. The total response rate was 62%. The intraclass correlation between the waist circumference measured by the respondents and by the investigators was 0.80 (p &lt; 0.05). 473 new cases of metabolic syndrome were detected among 1721 persons with an increased waist circumference on self-measurement, 40 % in people younger than 45 years. The total prevalence among those aged 20-69 years in IJsselstein was 15.5%. Only 39% of the people with the metabolic syndrome were already known to have risk factors. A GP initiated screening system for metabolic syndrome, in which self-measurement of waist circumference was the first step, proved to be feasible and reliable. A substantial group of people aged less than 45 years and at increased cardiovascular risk were also detected using this method of population screening.</t>
  </si>
  <si>
    <t>[Practice guideline on extremely premature birth: too little room for parents to decide].</t>
  </si>
  <si>
    <t>https://pubmed.ncbi.nlm.nih.gov/20977808</t>
  </si>
  <si>
    <t>The new practice guideline on the treatment of extremely premature infants is discussed. The guideline advises to actively treat all children born after 24 0/7 weeks of gestation. Although there is some evidence supporting this view, it is argued that the guideline is incomplete as decisions about the treatment of such newborn infants can only be made after discussion with the parents. The guideline should also have taken into account the ethical and legal aspects of the issue. It is therefore concluded that the guideline itself is immature and premature.</t>
  </si>
  <si>
    <t>Action Plan to enhance self-management and early detection of exacerbations in COPD patients; a multicenter RCT.</t>
  </si>
  <si>
    <t>Trappenburg, Jaap C A; Koevoets, Lieselotte; de Weert-van Oene, Gerdien H; Monninkhof, Evelyn M; Bourbeau, Jean; Troosters, Thierry; Verheij, Theo J M; Lammers, Jan-Willem J; Schrijvers, Augustinus J P</t>
  </si>
  <si>
    <t>https://pubmed.ncbi.nlm.nih.gov/20040088</t>
  </si>
  <si>
    <t>Early detection of exacerbations by COPD patients initiating prompt interventions has shown to be clinically relevant. Until now, research failed to identify the effectiveness of a written individualized Action Plan (AP) to achieve this. The current multicenter, single-blind RCT with a follow-up period of 6 months, evaluates the hypothesis that individualized AP's reduce exacerbation recovery time. Patients are included from regular respiratory nurse clinics and allocated to either usual care or the AP intervention. The AP provides individualized treatment prescriptions (pharmaceutical and non-pharmaceutical) related to a color coded symptom status (reinforcement at 1 and 4 months). Although usually not possible in self-management trials, we ensured blinding of patients, using a modified informed consent procedure in which patients give consent to postponed information. Exacerbations in both study arms are defined using the Anthonisen symptom diary-card algorithm. The Clinical COPD Questionnaire (CCQ) is assessed every 3-days. CCQ-recovery time of an exacerbation is the primary study outcome. Additionally, healthcare utilization, anxiety, depression, treatment delay, and self-efficacy are assessed at baseline and 6 months. We aim at including 245 COPD patients from 7 hospitals and 5 general practices to capture the a-priori sample size of at least 73 exacerbations per study arm. This RCT identifies if an AP is an effective component of self-management in patients with COPD and clearly differentiates from existing studies in its design, outcome measures and generalizability of the results considering that the study is carried out in multiple sites including general practices.</t>
  </si>
  <si>
    <t>Pharmacological dependency in chronic treatment of gastroesophageal reflux disease: a randomized controlled clinical trial.</t>
  </si>
  <si>
    <t>van der Velden, A W; de Wit, N J; Quartero, A O; Grobbee, D E; Numans, M E</t>
  </si>
  <si>
    <t>https://pubmed.ncbi.nlm.nih.gov/20029208</t>
  </si>
  <si>
    <t>Despite evidence of the overuse of acid suppressive medication for gastroesophageal reflux disease (GERD), a transfer to noncontinuous therapy after long-term treatment proves difficult. To quantify the effect of blinded dosage reduction after long-term therapy on symptom control and quality of life while assessing pharmacological and placebo needs. Primary care patients with a history of GERD and long-term treatment were randomized to daily placebo with pantoprazole rescue (n = 141) or daily pantoprazole with placebo rescue (n = 62) upon relief after 4 weeks pantoprazole 20 mg. The number of rescue tablets, symptom control and generic quality of life were analyzed. Measured from the daily placebo arm, 19% of the patients terminated treatment, 33% managed with 2-6 tablets/week, 38% needed a daily dosage and 10% needed more than a daily dosage in the long run. At these final dosages, symptom control and quality of life were dosage-independent and, furthermore, equal to values of patients on fixed daily pantoprazole. A temporal decrease in well-being was seen in 24% of the patients. A significant placebo response is apparent in long-term users of acid suppressive medication and pharmacological dependency is overestimated. Despite their history of long-term treatment, the majority of GERD patients can be switched from daily to on-demand treatment without impairing symptom control and quality of life.</t>
  </si>
  <si>
    <t>Effect of nutritional counselling and nutritional plus exercise counselling in overweight adults: a randomized trial in multidisciplinary primary care practice.</t>
  </si>
  <si>
    <t>Molenaar, Esther A; van Ameijden, Erik J C; Vergouwe, Yvonne; Grobbee, Diederick E; Numans, Mattijs E</t>
  </si>
  <si>
    <t>https://pubmed.ncbi.nlm.nih.gov/20026554</t>
  </si>
  <si>
    <t>To compare the effects of nutritional counselling with nutritional plus exercise counselling on body weight and waist circumference in overweight adults in a multidisciplinary primary care setting. One hundred and thirty-four overweight adults (body mass index 28-35) were randomly assigned to individual counselling sessions by a dietician (D) or counselling sessions by a dietician plus physiotherapist (D + E) during 6 months with one follow-up session at 12 months. Outcomes were assessed at baseline, 6 and 12 months. Difference in changes of outcome measures between groups were analysed using generalized estimating equations. Weight reduced from baseline to 6 months in D [-2.2 (-3.1 to -1.4) kg] and D + E [-3.0 (-4.0 to -2.0) kg] and was sustained at 12 months [-2.0 (-3.1 to -1.4) kg and -3.1 (-4.5 to -1.6) kg, respectively]. The reduction in weight did not significantly differ between D and D + E (P = 0.48). In both groups, waist circumference decreased from baseline to 6 months [-2.1 (-3.3 to -0.8) cm for D; -3.7 (-5.1 to -2.3) cm for D + E] and was sustained at 12 months [-2.1 (-3.5 to -0.7) cm and -4.2 (-6.0 to -2.5) cm, respectively]. Participants in D + E tended to decrease their waist circumference more than those in D (P = 0.14). Nutritional counselling by a dietician resulted in modest reductions in weight and waist circumference in overweight adults, which were sustained up to 12 months. Adding exercise counselling by a physiotherapist did not significantly enhance the effect on body weight. Exercise counselling may, however, further improve waist circumference.</t>
  </si>
  <si>
    <t>Cardiovascular risk factor assessment after pre-eclampsia in primary care.</t>
  </si>
  <si>
    <t>Nijdam, Marie-Elise; Timmerman, Monique R; Franx, Arie; Bruinse, Hein W; Numans, Mattijs E; Grobbee, Diederick E; Bots, Michiel L</t>
  </si>
  <si>
    <t>https://pubmed.ncbi.nlm.nih.gov/19995418</t>
  </si>
  <si>
    <t>Pre-eclampsia is associated with an increased risk of development of cardiovascular disease later in life. It is not known how general practitioners in the Netherlands care for these women after delivery with respect to cardiovascular risk factor management. Review of medical records of 1196 women in four primary health care centres, who were registered from January 2000 until July 2007 with an International Classification of Primary Care (ICPC) code indicating pregnancy. Records were searched for indicators of pre-eclampsia. Of those who experienced pre-eclampsia and of a random sample of 150 women who did not, the following information on cardiovascular risk factor management after pregnancy was extracted from the records: frequency and timing of blood pressure, cholesterol and glucose measurements--and vascular diagnoses. Additionally the sensitivity and specificity of ICPC coding for pre-eclampsia were determined. 35 women experienced pre-eclampsia. Blood pressure was more often checked after pregnancy in these women than in controls (57.1% vs. 12.0%, p&lt;0.001). In 50% of the cases blood pressure was measured within 3 months after delivery with no further follow-up visit. A check for glucose and cholesterol levels was rare, and equally frequent in PE and control women. 20% of the previously normotensive women in the PE group had hypertension at one or more occasions after three months post partum versus none in the control group. The ICPC coding for pre-eclampsia showed a sensitivity of 51.4% and a specificity of 100.0%. Despite the evidence of increased risk of future cardiovascular disease in women with a history of pre-eclampsia, follow-up of these women is insufficient and undeveloped in primary care in the Netherlands.</t>
  </si>
  <si>
    <t>Parental experience at the end-of-life in children with cancer: 'preservation' and 'letting go' in relation to loss.</t>
  </si>
  <si>
    <t>Kars, Marijke C; Grypdonck, Mieke H F; de Korte-Verhoef, Maria C; Kamps, Willem A; Meijer-van den Bergh, Esther M M; Verkerk, Marian A; van Delden, Johannes J M</t>
  </si>
  <si>
    <t>https://pubmed.ncbi.nlm.nih.gov/19956979</t>
  </si>
  <si>
    <t>For children with incurable cancer death usually is anticipated and preceded by a phase of palliative care. Despite recognition that parents have difficulty adapting to a palliative perspective there is little insight into this process. This study explored, from a parental perspective, the process parents go through when cure is no longer a possibility. A multicenter study using qualitative research was undertaken during the EoL phase. One-time and repeated open interviews were conducted with 44 parents of 23 children with incurable cancer. Feelings of loss play a prominent role during the EoL phase. Dealing with loss is a process of stepwise relinquishing that becomes manifest in an internal struggle between preservation and letting go. Preservation means that parents try to maintain the child's status quo. Letting go means parents give up their resistance to loss in service of their child's well-being. Although the relative measure of each changes over time, parents have great difficulty making the transition because it implies a change in source of control. A timely completion of this transition positively influences the child's well-being as well as the evaluation of enacted parenthood. For parents the essence of the palliative process is not to accept death but to deal with the loss of their child. Although the need to avoid loss and gain control by means of preservation is fully understandable, the study indicated that parents who made the transition to letting go had an increased receptiveness of their child's real situation and needs.</t>
  </si>
  <si>
    <t>Carotid intima-media thickness measurement in cardiovascular screening programmes.</t>
  </si>
  <si>
    <t>Plantinga, Yvonne; Dogan, Soner; Grobbee, Diederick E; Bots, Michiel L</t>
  </si>
  <si>
    <t>https://pubmed.ncbi.nlm.nih.gov/19752735</t>
  </si>
  <si>
    <t>Support for the notion that a carotid intima-media thickness (CIMT) measurement is useful in individual cardiovascular risk prediction in addition to a risk function may come from studies showing that for an individual a high or low CIMT measurement leads to a correct shift from one to another risk category and this shift is followed by different treatment consequences. We set out to systematically review the published evidence by performing a PubMed search (2 March 2009). Out of 50 publications on CIMT and future events, 31 reported on the relation in the correct domain, [i.e. those free from symptomatic vascular disease or diabetes mellitus in which assessment of risk using a risk function (e.g. Framingham or SCORE) to base initiation of drug treatment upon is recommended]. Most studies reported relative risks (or equivalents) for the entire population only, and no information on relative risks within certain risk categories that may be of use to reclassify individuals based on combination of absolute and relative risks. No data on potential shifts of participants was presented. Eight studies specifically focused on the added value of CIMT in risk prediction. In seven studies the area under the curve (AUC) of a receiver operating characteristic was used to assess improvements in risk prediction. These analyses showed that addition of a CIMT measurement to established risk factors led to small and sometimes significant improvements in the AUC. However, change in AUC should not be the only parameter to rely on to judge the appropriateness of CIMT in risk stratification. In one study (n = 242), evidence was presented in participants with an intermediate Framingham risk score, a CIMT measurement above the 60th (men) and 80th (women) percentile of age-specific normal CIMT values, shifted participants above the threshold for initiation of drug therapy. Yet, the study was based on 24 events, and no information was presented on the proportion of participants correctly shifted. At present it seems that the published evidence to quantitatively support the use of a CIMT measurement to help in risk stratification on top of a risk function is limited.</t>
  </si>
  <si>
    <t>Personality characteristics and hypothalamic-pituitary-adrenal axis regulation in older persons.</t>
  </si>
  <si>
    <t>Gerritsen, Lotte; Geerlings, Mirjam I; Bremmer, Marijke A; Beekman, Aartjan T F; Deeg, Dorly J H; Penninx, Brenda W J H; Comijs, Hannie C</t>
  </si>
  <si>
    <t>https://pubmed.ncbi.nlm.nih.gov/20104064</t>
  </si>
  <si>
    <t>To investigate the cross-sectional association between personality characteristics and hypothalamic-pituitary-adrenal (HPA) axis regulation in older persons. The study sample consisted of 1,150 participants (mean age 74.8 +/- 7.1 years, 48% male) from the population-based Longitudinal Aging Study Amsterdam. HPA axis activity was measured with salivary cortisol collected after awakening and late in the evening. Outcome measures were awakening and evening cortisol levels (natural log transformed) and the diurnal pattern of cortisol. Determinants were scores on questionnaires assessing neuroticism, mastery, and self-esteem. Multiple linear regression analyses adjusted for potential confounders did not show significant associations between any of the personality characteristics and any of the cortisol measures. On evening cortisol, a significant interaction was observed between neuroticism and age (B = -0.001; T = -2.50, df = 1,139; p value = 0.01). After stratification in two age groups, the authors observed that high levels of neuroticism were associated with elevated levels of evening cortisol in subjects aged &lt;75 years (B = 0.02; 95% confidence interval: 0.01-0.03; T = 2.15, df = 630, p = 0.03) but not in subjects aged 75 years or older. The findings of this large population-based study of older persons suggest that the personality characteristics mastery and self-esteem are not associated with HPA axis regulation as measured with salivary awakening and evening cortisol. However, high neuroticism may be associated with elevated levels of evening cortisol in the younger old but not in the older old.</t>
  </si>
  <si>
    <t>Beliefs on mandatory influenza vaccination of health care workers in nursing homes: a questionnaire study from the Netherlands.</t>
  </si>
  <si>
    <t>Looijmans-van den Akker, Ingrid; Marsaoui, Badyr; Hak, Eelko; van Delden, Johannes J M</t>
  </si>
  <si>
    <t>https://pubmed.ncbi.nlm.nih.gov/20121988</t>
  </si>
  <si>
    <t>To assess whether nursing homes (NHs) made organizational improvements to increase influenza vaccination rates in healthcare workers (HCWs) and to quantify the beliefs of NH administrators on the arguments used in favor of implementation of mandatory influenza vaccination of HCWs. Anonymous questionnaire study. Dutch NHs. Dutch NH administrators. Influenza vaccination rates in NH residents and NH HCWs, organizational aspects of influenza vaccination of HCWs, and agreement of respondents with arguments in favor of implementation of mandatory influenza vaccination in HCWs. Of the 310 distributed questionnaires, 185 were returned (response rate 59.7%). The average vaccination rate in NH HCWs was 18.8% and in NH residents was 91.6%. In all, 126 (68.1%) NHs had a written policy, 161 (87.0%) actively requested that their employees be immunized, and 161 (87.0%) offered information to HCWs in any way. Despite the fact that the majority of NH administrators (&gt;69%) agreed with all arguments in favor of implementation of mandatory influenza vaccination, only a minority (24.3%) agreed that mandatory vaccination should be implemented if voluntary vaccination fails to reach sufficient vaccination rates. Despite the low vaccination rate of NH HCWs, most NH administrators did not support mandatory influenza vaccination of NH HCWs.</t>
  </si>
  <si>
    <t>Early and late life events and salivary cortisol in older persons.</t>
  </si>
  <si>
    <t>Gerritsen, L; Geerlings, M I; Beekman, A T F; Deeg, D J H; Penninx, B W J H; Comijs, H C</t>
  </si>
  <si>
    <t>https://pubmed.ncbi.nlm.nih.gov/19939325</t>
  </si>
  <si>
    <t>It has been hypothesized that stressful life events are associated with changes in hypothalamic-pituitary-adrenal (HPA) axis regulation, which increases susceptibility to psychiatric disorders. We investigated the association of early and late life events with HPA axis regulation in older persons. Within the Longitudinal Aging Study Amsterdam (LASA) 1055 participants (47% male), aged 63-93 years, collected saliva within 30 min after waking and late in the evening. Early and late life events were assessed during a home interview. The associations between life events and cortisol levels were examined using linear regression and analysis of covariance with adjustments for demographics, cardiovascular risk factors and depressive symptoms. Within our sample, the median morning and evening cortisol levels were 15.0 nmol/l [interdecile range (10-90%): 7.4-27.0 nmol/l] and 2.8 nmol/l (10-90%: 1.5-6.3 nmol/l), respectively. Persons who reported early life events showed lower levels of natural log-transformed morning cortisol [B=-0.10, 95% confidence interval (CI) -0.17 to -0.04] and flattened diurnal variability of cortisol (B=-1.06, 95% CI -2.05 to -0.08). Those reporting two or more late life events showed higher levels of natural log-transformed morning cortisol (B=0.10, 95% CI 0.02-0.18) and higher diurnal variability (B=1.19, 95% CI 0.05-2.33). No associations were found with evening cortisol. The results of this large population-based study of older persons suggest a differential association of early and late life events with HPA axis regulation; early life events were associated with a relative hypo-secretion of morning cortisol and flattened diurnal variability, while late life events were associated with elevated secretion of morning cortisol and high diurnal variability of cortisol.</t>
  </si>
  <si>
    <t>Cost-effectiveness of the diabetes care protocol, a multifaceted computerized decision support diabetes management intervention that reduces cardiovascular risk.</t>
  </si>
  <si>
    <t>Cleveringa, Frits G W; Welsing, Paco M J; van den Donk, Maureen; Gorter, Kees J; Niessen, Louis W; Rutten, Guy E H M; Redekop, William K</t>
  </si>
  <si>
    <t>https://pubmed.ncbi.nlm.nih.gov/19933991</t>
  </si>
  <si>
    <t>The Diabetes Care Protocol (DCP), a multifaceted computerized decision support diabetes management intervention, reduces cardiovascular risk of type 2 diabetic patients. We performed a cost-effectiveness analysis of DCP from a Dutch health care perspective. A cluster randomized trial provided data of DCP versus usual care. The 1-year follow-up patient data were extrapolated using a modified Dutch microsimulation diabetes model, computing individual lifetime health-related costs, and health effects. Incremental costs and effectiveness (quality-adjusted life-years [QALYs]) were estimated using multivariate generalized estimating equations to correct for practice-level clustering and confounding. Incremental cost-effectiveness ratios (ICERs) were calculated and cost-effectiveness acceptability curves were created. Stroke costs were calculated separately. Subgroup analyses examined patients with and without cardiovascular disease (CVD+ or CVD- patients, respectively). Excluding stroke, DCP patients lived longer (0.14 life-years, P = NS), experienced more QALYs (0.037, P = NS), and incurred higher total costs (euro 1,415, P = NS), resulting in an ICER of euro 38,243 per QALY gained. The likelihood of cost-effectiveness given a willingness-to-pay threshold of euro 20,000 per QALY gained is 30%. DCP had a more favorable effect on CVD+ patients (ICER = euro 14,814) than for CVD- patients (ICER = euro 121,285). Coronary heart disease costs were reduced (euro-587, P &lt; 0.05). DCP reduces cardiovascular risk, resulting in only a slight improvement in QALYs, lower CVD costs, but higher total costs, with a high cost-effectiveness ratio. Cost-effective care can be achieved by focusing on cardiovascular risk factors in type 2 diabetic patients with a history of CVD.</t>
  </si>
  <si>
    <t>Dietary supplementation with cis-9,trans-11 conjugated linoleic acid and aortic stiffness in overweight and obese adults.</t>
  </si>
  <si>
    <t>Sluijs, Ivonne; Plantinga, Yvonne; de Roos, Baukje; Mennen, Louise I; Bots, Michiel L</t>
  </si>
  <si>
    <t>https://pubmed.ncbi.nlm.nih.gov/19923377</t>
  </si>
  <si>
    <t>Animal studies suggest that dietary cis-9,trans-11 (c9,t11) conjugated linoleic acid (CLA) may inhibit or regress the development of atherosclerosis. The effect of CLA on atherosclerosis has not been assessed in humans. We investigated the effect of c9,t11 CLA supplementation on aortic pulse wave velocity (a marker of atherosclerosis) and on cardiovascular risk factors in overweight and obese but otherwise apparently healthy subjects. In a double-blind, randomized, placebo-controlled, parallel-group trial, we randomly assigned 401 subjects, aged 40-70 y and with a body mass index (in kg/m(2)) &gt; or = 25, to receive either 4 g CLA/d (2.5 g c9,t11 CLA/d and 0.6 g trans-10,cis-12 CLA/d) or placebo supplements for 6 mo. Aortic pulse wave velocity, blood pressure, anthropometric characteristics, and concentrations of fasting lipid, glucose, insulin, and C-reactive protein were measured before and after supplementation. During the intervention, mean (+/-SE) pulse wave velocity did not change in the c9,t11 CLA group (Delta0.00 +/- 0.07) compared with the placebo group (Delta0.09 +/- 0.06). There was no effect of c9,t11 CLA supplementation on blood pressure, body composition, insulin resistance, or concentrations of lipid, glucose, and C-reactive protein. This study does not support an antiatherosclerotic effect or an effect on cardiovascular risk factors of c9,t11 CLA. This trial was registered at www.clinicaltrials.gov as NCT00706745.</t>
  </si>
  <si>
    <t>Brain volumes and cerebrovascular lesions on MRI in patients with atherosclerotic disease. The SMART-MR study.</t>
  </si>
  <si>
    <t>Geerlings, Mirjam I; Appelman, Auke P A; Vincken, Koen L; Algra, Ale; Witkamp, Theo D; Mali, Willem P T M; van der Graaf, Yolanda; ,</t>
  </si>
  <si>
    <t>https://pubmed.ncbi.nlm.nih.gov/19945704</t>
  </si>
  <si>
    <t>To estimate brain volumes, white matter lesion (WML) volume and asymptomatic infarcts on MRI in a large cohort of patients with atherosclerotic disease. Within the SMART-MR (Second Manifestations of ARTerial disease-Magnetic Resonance) study, a prospective cohort study on determinants and course of brain changes on MRI, cross-sectional analyses were performed in 1044 patients (mean age 58+/-10 years, 80% male) with coronary artery disease, cerebrovascular disease, peripheral arterial disease, or abdominal aortic aneurysm. Brain segmentation was used to quantify volumes of cortical gray matter, white matter, sulcal and ventricular cerebrospinal fluid, and WML. All volumes were expressed relative to intracranial volume. Brain infarcts were rated visually and distinctions were made between cortical infarcts, large subcortical infarcts, lacunar infarcts, and infarcts in the cerebellum and brainstem. With older age a nonlinear (quadratic) decrease in total brain volume was observed and a nonlinear increase in ventricular volume and WML. Cortical gray matter volume showed a linear decrease with age and was stronger in men than in women. WML volumes also increased more strongly in men than in women, while ventricular volume decrease showed no sex difference. Silent brain infarcts were present in 14% of men and women, and increased to 24% of subjects aged 65 years or older. In a population with atherosclerotic diseases, decrease in brain volumes with increasing age is comparable with findings from the general population. However, vascular pathology on MRI, as indicated by white matter lesions and silent brain infarcts may be more common.</t>
  </si>
  <si>
    <t>Gender differences in risk factors for coronary heart disease.</t>
  </si>
  <si>
    <t>Tan, Yen Y; Gast, Gerrie-Cor M; van der Schouw, Yvonne T</t>
  </si>
  <si>
    <t>https://pubmed.ncbi.nlm.nih.gov/19897327</t>
  </si>
  <si>
    <t>Coronary heart disease (CHD), traditionally considered a male disease, is also a major threat to women. This review article addresses independent risk factors for CHD that are specific for women as well as non-gender-specific risk factors and how their effects differ between men and women. Although polycystic ovary syndrome (PCOS) in women is associated with an adverse metabolic risk profile, current evidence regarding future risk of CHD is conflicting. Preeclampsia is consistently associated with higher risk of CHD later in life. Menopause is associated with an increased risk of CHD, and the earlier the onset of menopause, the larger the risk. Existing data on postmenopausal hormone therapy (HT) was inconclusive with regard to possible protection when HT is initiated close to menopause in young peri- or postmenopausal women. Evidence on use of low-dose oral contraceptives strongly suggests no increased risk of CHD. Although levels of physical inactivity are similar for men and women, the higher prevalences of hypertension, diabetes, and obesity in older women portends a greater risk in women than in men. Additionally, risk factors like smoking, hypertriglyceridemia and low high-density lipoprotein cholesterol levels have greater impact in women than in men. This review indicates that acknowledgement of non-gender-specific risk factors in addition to those that are unique to women would help optimize diagnosis, treatment and earlier prevention of CHD in women. Further research is needed to ascertain if incorporating these gender-specific risks into a clinically used risk stratification model would change outcome in women.</t>
  </si>
  <si>
    <t>Progression to microalbuminuria in type 1 diabetes: development and validation of a prediction rule.</t>
  </si>
  <si>
    <t>Vergouwe, Y; Soedamah-Muthu, S S; Zgibor, J; Chaturvedi, N; Forsblom, C; Snell-Bergeon, J K; Maahs, D M; Groop, P-H; Rewers, M; Orchard, T J; Fuller, J H; Moons, K G M</t>
  </si>
  <si>
    <t>https://pubmed.ncbi.nlm.nih.gov/19908023</t>
  </si>
  <si>
    <t>Microalbuminuria is common in type 1 diabetes and is associated with an increased risk of renal and cardiovascular disease. We aimed to develop and validate a clinical prediction rule that estimates the absolute risk of microalbuminuria. Data from the European Diabetes Prospective Complications Study (n = 1115) were used to develop the prediction rule (development set). Multivariable logistic regression analysis was used to assess the association between potential predictors and progression to microalbuminuria within 7 years. The performance of the prediction rule was assessed with calibration and discrimination (concordance statistic [c-statistic]) measures. The rule was validated in three other diabetes studies (Pittsburgh Epidemiology of Diabetes Complications [EDC] study, Finnish Diabetic Nephropathy [FinnDiane] study and Coronary Artery Calcification in Type 1 Diabetes [CACTI] study). Of patients in the development set, 13% were microalbuminuric after 7 years. Glycosylated haemoglobin, AER, WHR, BMI and ever smoking were found to be the most important predictors. A high-risk group (n = 87 [8%]) was identified with a risk of progression to microalbuminuria of 32%. Predictions showed reasonable discriminative ability, with c-statistic of 0.71. The rule showed good calibration and discrimination in EDC, FinnDiane and CACTI (c-statistic 0.71, 0.79 and 0.79, respectively). We developed and validated a clinical prediction rule that uses relatively easily obtainable patient characteristics to predict microalbuminuria in patients with type 1 diabetes. This rule can help clinicians to decide on more frequent check-ups for patients at high risk of microalbuminuria in order to prevent long-term chronic complications.</t>
  </si>
  <si>
    <t>The impact of concurrent heart failure on prognosis in patients with chronic obstructive pulmonary disease.</t>
  </si>
  <si>
    <t>Boudestein, Laura C M; Rutten, Frans H; Cramer, Maarten J; Lammers, Jan Willem J; Hoes, Arno W</t>
  </si>
  <si>
    <t>https://pubmed.ncbi.nlm.nih.gov/19887495</t>
  </si>
  <si>
    <t>To compare prognosis in patients with chronic obstructive pulmonary disease (COPD) with or without concomitant heart failure. Patients aged 65 years or over with a general practitioner (GP)'s diagnosis of COPD but without a prior diagnosis of heart failure underwent an extensive diagnostic work-up including echocardiography and pulmonary function tests in the period 2001-03. An expert panel then confirmed the presence or absence of COPD according to the GOLD criteria and (previously undiagnosed) heart failure according to the criteria of the ESC heart failure guidelines. This cohort of 405 patients was followed up for a mean duration of 4.2 (SD 1.4) years. The GP's electronic medical files relating to the participants, including any specialist letters, were scrutinized until April 2007 for information about drug use, exacerbations of COPD, pneumonia, hospitalizations, death, and cause of death. The mean age of patients at the start of the study was 73.0 (SD 5.3) years, and 54% were male. The presence of newly detected heart failure significantly increased all-cause mortality independent of gender, age, history of ischaemic heart disease, hypertension, diabetes mellitus, atrial fibrillation, smoking, and cardiovascular drug use at baseline (adjusted hazard ratio, 2.1; 95% confidence interval, 1.2-3.6; P = 0.01). Heart failure is a strong independent predictor of all-cause mortality in patients with a diagnosis of COPD.</t>
  </si>
  <si>
    <t>Visual rating of the hippocampus in non-demented elders: Does it measure hippocampal atrophy or other indices of brain atrophy? The SMART-MR study.</t>
  </si>
  <si>
    <t>Knoops, Arnoud J G; van der Graaf, Yolanda; Appelman, Auke P A; Gerritsen, Lotte; Mali, Willem P Th M; Geerlings, Mirjam I</t>
  </si>
  <si>
    <t>hippocampus</t>
  </si>
  <si>
    <t>https://pubmed.ncbi.nlm.nih.gov/19253411</t>
  </si>
  <si>
    <t>Visual rating of hippocampal atrophy is often used to differentiate between normal aging and Alzheimer's disease. We investigated whether two visual rating scales of hippocampal atrophy were related to hippocampal volumes, and if visual rating was related to global, cortical and subcortical brain atrophy in persons without dementia. Within the SMART-MR study, a prospective cohort study among patients with manifest arterial disease, medial temporal lobe atrophy was qualitatively rated in 95 participants without dementia (mean age 62 +/- 10 years) using two visual rating scales: the medial temporal lobe (MTA) score was rated on coronal oriented images and the perihippocampal cerebrospinal fluid (HCSF) score was rated on axial oriented images. Hippocampal volume assessed by manual segmentation on a 3-dimensional FFE T1-weighted MR image. Automated segmentation was used to quantify volumes of brain tissue and cerebrospinal fluid. Total brain volume, gray matter volume, and ventricular volume were divided by intracranial volume to obtain brain parenchymal fraction (BPF), gray matter fraction (GMF) and ventricular fraction (VF). Using ANOVA, crude hippocampal volumes were smaller with increasing MTA and HSCF scores as were hippocampal volumes normalized for intracranial volume (P &lt; 0.05). However, hippocampal volumes normalized for total brain size were not smaller with increasing MTA or HSCF scores (P = 0.33 and P = 0.49). Also, with increasing visual rating scores, BPF was smaller and VF was larger (P &lt; 0.001), and the GMF decreased with increasing HCSF score (P = 0.008). In this nondemented population, visual rating of the medial temporal lobe reflects hippocampal atrophy as well as global and subcortical atrophy.</t>
  </si>
  <si>
    <t>Refill adherence and polypharmacy among patients with type 2 diabetes in general practice.</t>
  </si>
  <si>
    <t>van Bruggen, Rykel; Gorter, Kees; Stolk, Ronald P; Zuithoff, Peter; Klungel, Olaf H; Rutten, Guy E H M</t>
  </si>
  <si>
    <t>https://pubmed.ncbi.nlm.nih.gov/19623570</t>
  </si>
  <si>
    <t>Non-adherence is considered a major barrier to better outcomes of diabetes care. A relationship has been established between polypharmacy and patients' adherence. This study aims to investigate the occurrence of polypharmacy and non-adherence in general practice, their mutual relationship and the association between adherence and the intermediate outcomes of diabetes care. We used the baseline and follow-up data of a randomised controlled trial (RCT) that compared usual care with care in accordance with a locally adapted national guideline. This study took place in the Netherlands and involved 30 general practices and 1283 patients. We obtained a complete medication profile of all participants and calculated the number of prescribed drugs and the adherence indices (AI) for oral blood glucose, blood pressure and cholesterol lowering drugs. Patients with an adherence index &lt; 0.8 were considered non-adherent. Clustering at practice level and case-mix were taken into account. Approximately 80% of the participating patients demonstrated an adherence index &gt;or= 0.8 for oral blood glucose, blood pressure and cholesterol lowering drugs. In the intervention group, increase of drug prescriptions exceeded that of controls (1.1 +/- 2.0 vs. 0.6 +/- 1.5, p &lt; 0.001, adjusted p &lt; 0.05). There was evidence of an inverse relationship between the number of drugs that had been prescribed during the last 6 months of the study and patients' adherence to blood pressure lowering medications (adjusted OR 0.84, 95%CI 0.78-0.91). After one year, HbA1c and total cholesterol levels were significantly lower in adherent patients. During the intervention the mean number of drug prescriptions increased in both the study groups. This did not result in a lower adherence to blood glucose and cholesterol lowering medications. Given the relationship between the number of medications and patients' adherence to blood pressure lowering drugs, it may be wise to discuss adherence before prescribing multiple drug regimens.</t>
  </si>
  <si>
    <t>The need to explicate the ethical evaluation tools to avoid ethical inflation.</t>
  </si>
  <si>
    <t>https://pubmed.ncbi.nlm.nih.gov/19882462</t>
  </si>
  <si>
    <t>Salivary cortisol, APOE-ε4 allele and cognitive decline in a prospective study of older persons.</t>
  </si>
  <si>
    <t>Gerritsen, Lotte; Comijs, Hannie C; Deeg, Dorly J H; Penninx, Brenda W J H; Geerlings, Mirjam I</t>
  </si>
  <si>
    <t>https://pubmed.ncbi.nlm.nih.gov/19879666</t>
  </si>
  <si>
    <t>We determined whether salivary cortisol levels were associated with cognitive decline at follow-up in older persons and whether this association was modified by the APOE-ε4 allele. Within the Longitudinal Aging Study Amsterdam (LASA), a population-based prospective cohort study, 911 persons (74.5±7.2 years, 46.4% male) collected salivary cortisol in the morning and late in the evening. At baseline and after 4 years of follow-up, global cognitive functioning, verbal memory performance, and processing speed were assessed. The longitudinal associations between cortisol measures and cognitive decline were estimated using linear mixed models, adjusted for potential confounders and the modifying role of the APOE-ε4 allele was examined. Lower morning cortisol levels, higher evening cortisol levels, and flattened diurnal variability of cortisol levels were associated with increased risk for memory decline in APOE-ε4 carriers but not in non-carriers. Our findings suggest that in this older non-demented population APOE-ε4 carriers may be more vulnerable to the potential detrimental effect of hypothalamic-pituitary-adrenal axis dysfunction on verbal memory performance.</t>
  </si>
  <si>
    <t>Coffee and tea intake and risk of breast cancer.</t>
  </si>
  <si>
    <t>Bhoo Pathy, Nirmala; Peeters, Petra; van Gils, Carla; Beulens, Joline W J; van der Graaf, Yolanda; Bueno-de-Mesquita, Bas; Bulgiba, Awang; Uiterwaal, Cuno S P M</t>
  </si>
  <si>
    <t>https://pubmed.ncbi.nlm.nih.gov/19847643</t>
  </si>
  <si>
    <t>Known risk factors account for about 10-15% of breast cancer incidence suggesting that lifestyle exposures are crucial in its etiology. Previous epidemiological studies on the association between coffee and tea consumption and breast cancer risk have been inconsistent. We investigated the association of coffee and tea consumption with the risk of breast cancer among women in EPIC-NL cohort, a population-based prospective cohort in Netherlands with 27,323 participants. Exposure was measured by a validated food frequency questionnaire, and the outcome was verified by direct linkage with the Netherlands Cancer Registry. A total of 681 invasive primary breast cancers were diagnosed in 9.6 years of follow-up. Coffee intake increased the risk of breast cancer by more than twofold as compared to non-consumers (HR; 2.25, 95% CI; 1.30-3.90). This association did not hold after multivariate adjustment which resulted in a HR of 1.17, 95% CI; 0.65-2.12. After adjustment to breast cancer risk factors and lifestyle, no association was observed between intake of coffee or tea and risk of breast cancer across all categories of intake. These results were also not altered by body mass index (BMI). Coffee and tea consumption does not seem to be related to the risk of breast cancer in women.</t>
  </si>
  <si>
    <t>Gender differences in mortality after hospital admission for stroke.</t>
  </si>
  <si>
    <t>Vaartjes, I; Reitsma, J B; Berger-van Sijl, M; Bots, M L</t>
  </si>
  <si>
    <t>https://pubmed.ncbi.nlm.nih.gov/19844096</t>
  </si>
  <si>
    <t>Differences between men and women in stroke symptoms, management and disability have been reported to be unfavorable for women. Yet, studies into differences between men and women in survival after a stroke yielded inconsistent results. We investigated whether gender was associated with all-cause mortality after hospital admission for stroke. A nationwide cohort of patients with a first admission for stroke and stroke subtypes was identified through linkage of national registers. Age- and gender-specific mortality risks were quantified for 28-day case-fatality, 1-year and 5-year periods. Cox regression models were used to adjust for potential confounding factors. We identified 30,675 stroke patients (15,925 women, 14,750 men). In ischemic-stroke patients, 28-day case-fatality, 1-year and 5-year mortality risk (hazard ratio (HR) 0.90; 95% confidence interval (CI) 0.85 to 0.95, HR 0.88; 95% CI 0.84 to 0.92, HR 0.84; 95% CI 0.81 to 0.88, respectively) and in intracerebral-hemorrhage patients, 1-year and 5-year mortality risks (HR 0.92; 95% CI 0.86 to 0.99) were lower for women compared to men after adjustment for age and previous admissions for cardiovascular diseases or diabetes mellitus. In subarachnoid hemorrhage patients, no differences between men and women in crude and adjusted mortality risks were observed. When all stroke types were combined, differences in mortality risk between men and women were seen, and appeared to differ by age (increased risk in young women, lower risk in older women). Women have lower 28-day case-fatality and long-term mortality risks after an ischemic stroke and lower 1-year and 5-year mortality risks after an intracerebral hemorrhage compared to men, whereas no differences in mortality risks were found for subarachnoid hemorrhage.</t>
  </si>
  <si>
    <t>Dietary intake of total, animal, and vegetable protein and risk of type 2 diabetes in the European Prospective Investigation into Cancer and Nutrition (EPIC)-NL study.</t>
  </si>
  <si>
    <t>Sluijs, Ivonne; Beulens, Joline W J; van der A, Daphne L; Spijkerman, Annemieke M W; Grobbee, Diederick E; van der Schouw, Yvonne T</t>
  </si>
  <si>
    <t>https://pubmed.ncbi.nlm.nih.gov/19825820</t>
  </si>
  <si>
    <t>Dietary recommendations are focused mainly on relative dietary fat and carbohydrate content in relation to diabetes risk. Meanwhile, high-protein diets may contribute to disturbance of glucose metabolism, but evidence from prospective studies is scarce. We examined the association among dietary total, vegetable, and animal protein intake and diabetes incidence and whether consuming 5 energy % from protein at the expense of 5 energy % from either carbohydrates or fat was associated with diabetes risk. A prospective cohort study was conducted among 38,094 participants of the European Prospective Investigation into Cancer and Nutrition (EPIC)-NL study. Dietary protein intake was measured with a validated food frequency questionnaire. Incident diabetes was verified against medical records. During 10 years of follow-up, 918 incident cases of diabetes were documented. Diabetes risk increased with higher total protein (hazard ratio 2.15 [95% CI 1.77-2.60] highest vs. lowest quartile) and animal protein (2.18 [1.80-2.63]) intake. Adjustment for confounders did not materially change these results. Further adjustment for adiposity measures attenuated the associations. Vegetable protein was not related to diabetes. Consuming 5 energy % from total or animal protein at the expense of 5 energy % from carbohydrates or fat increased diabetes risk. Diets high in animal protein are associated with an increased diabetes risk. Our findings also suggest a similar association for total protein itself instead of only animal sources. Consumption of energy from protein at the expense of energy from either carbohydrates or fat may similarly increase diabetes risk. This finding indicates that accounting for protein content in dietary recommendations for diabetes prevention may be useful.</t>
  </si>
  <si>
    <t>Manual B-mode versus automated radio-frequency carotid intima-media thickness measurements.</t>
  </si>
  <si>
    <t>Dogan, Soner; Plantinga, Yvonne; Dijk, Joke M; van der Graaf, Yolanda; Grobbee, Diederick E; Bots, Michiel L; ,</t>
  </si>
  <si>
    <t>https://pubmed.ncbi.nlm.nih.gov/19801303</t>
  </si>
  <si>
    <t>Carotid intima-media thickness (CIMT) serves as an indicator of atherosclerosis and cardiovascular risk. Manual measurements of B-mode ultrasound images are the most applied method. Automated measurements with radiofrequency (RF) ultrasound have been suggested as an alternative. The aim of this study was to compare these methods in terms of risk-factor relations and associations with future events. Data from participants of the Second Manifestations of Arterial Disease (SMART) study were used. Far wall common CIMT was measured online with manual B-mode and automated RF ultrasound. Measurements were performed by a group of 6 sonographers. Risk-factor information was obtained. All participants were followed for the occurrence of vascular events (mean follow-up, 2.1 years). CIMT was related to risk factors with linear regression models and to future events with Cox proportional-hazards models. Data were available for 2,146 participants. Agreement between the methods was modest (intraclass correlation coefficient = 0.34). Risk-factor relations with age and systolic blood pressure were stronger for B-mode than for RF ultrasound. Association with future events was better for B-mode than for RF ultrasound (vascular death, 1.27 vs 1.00; ischemic stroke, 1.45 vs 1.03). In participants with CIMT &lt; 0.9 mm (without plaque), the intraclass correlation between the measures was 0.50. In addition, in that subgroup, RF ultrasound showed a stronger association with future events than B-mode ultrasound (all events, 1.59 vs 1.09; vascular death, 1.72 vs 0.93; coronary ischemic events, 1.65 vs 1.05). The preference for either B-mode or RF measurements may be driven by the type of study population, the expected presence of local atherosclerotic abnormalities, and the main aim of the study (assessing risk factors or events). However, in this study, as in many others, the B-mode approach was shown to be robust in risk-factor relations and the prediction of events.</t>
  </si>
  <si>
    <t>Sudden death in persons younger than 40 years of age: incidence and causes.</t>
  </si>
  <si>
    <t>Vaartjes, Ilonca; Hendrix, Anneke; Hertogh, Emmy M; Grobbee, Diederick E; Doevendans, Pieter A; Mosterd, Arend; Bots, Michiel L</t>
  </si>
  <si>
    <t>https://pubmed.ncbi.nlm.nih.gov/19587604</t>
  </si>
  <si>
    <t>The problem of sudden death in the young is currently debated and measures for prevention are being evaluated worldwide. Information on the incidence and causes of sudden (cardiac) death in the young (1-40 years) is essential for the development of these preventive strategies. Incidence estimates and causes of death were determined using death certificate data of out-of-hospital sudden deaths recorded by Statistics Netherlands from 1996 to 2006. To define sudden death, International Classification of Diseases codes were selected based on a systematic review of the literature assessing the most common causes of sudden death in the young. The incidence of sudden death was 2.07 (2.06-2.07 per 100 000 person-years). The incidence was higher for men (2.86 per 100 000 person-years) than for women (1.24 per 100 000 person-years) and increased by age. The majority of sudden deaths was of cardiac origin. Sudden cardiac death incidence was 1.62 (1.61-1.62 per 100 000 person-years). In 9% the cause of death remained unexplained. The incidence of sudden death in the young is 2.07 per 100 000 person-years. Treatable cardiac causes (such as coronary atherosclerosis and inherited cardiac diseases) are often underlying for the sudden death. This information is helpful in the development of preventive strategies.</t>
  </si>
  <si>
    <t>Ventilator-associated pneumonia and mortality: a systematic review of observational studies.</t>
  </si>
  <si>
    <t>https://pubmed.ncbi.nlm.nih.gov/19885994</t>
  </si>
  <si>
    <t>To determine the attributable mortality of ventilator-associated pneumonia in a systematic review and meta-analysis of observational studies. Ventilator-associated pneumonia is generally believed to increase the mortality of patients. This notion is predominantly based on the results of observational studies. We performed a systematic search strategy using PubMed, Web of Science, and Embase from their inception through February 2007. In addition, a reference and related article search was performed. Studies were included if they reported mortality rates of patients with and without ventilator-associated pneumonia. Fifty-two studies with a total of 17,347 patients met the inclusion criteria. Pooling of all studies resulted in relative risk of 1.27 (95% Confidence Interval = 1.15-1.39), but heterogeneity was considerable (I2 statistic = 69%). The origin of heterogeneity could not be explained by differences in study design, study quality, and diagnostic approach. However, heterogeneity was limited for studies investigating only trauma patients (I2 = 1.3%) or patients with acute respiratory distress syndrome (I2 = 0%), with estimated relative risk of 1.09 (95% Confidence Interval = 0.87-1.37) among trauma patients and 0.86 (95% Confidence Interval = 0.72-1.04) among patients with acute respiratory distress syndrome. There is no evidence of attributable mortality due to ventilator-associated pneumonia in patients with trauma or acute respiratory distress syndrome. However, in other nonspecified patient groups, there is evidence for attributable mortality due to ventilator-associated pneumonia, but this could not be quantified due to heterogeneity in study results. More detailed studies, allowing subgroup analyses, are needed to determine the attributable mortality of ventilator-associated pneumonia in these patient populations.</t>
  </si>
  <si>
    <t>Comparing coronary artery calcium and thoracic aorta calcium for prediction of all-cause mortality and cardiovascular events on low-dose non-gated computed tomography in a high-risk population of heavy smokers.</t>
  </si>
  <si>
    <t>Jacobs, Peter C; Prokop, Mathias; van der Graaf, Yolanda; Gondrie, Martijn J; Janssen, Kristel J; de Koning, Harry J; Isgum, Ivana; van Klaveren, Rob J; Oudkerk, Matthijs; van Ginneken, Bram; Mali, Willem P</t>
  </si>
  <si>
    <t>https://pubmed.ncbi.nlm.nih.gov/19875116</t>
  </si>
  <si>
    <t>Coronary artery calcium (CAC) and thoracic aorta calcium (TAC) can be detected simultaneously on low-dose, non-gated computed tomography (CT) scans. CAC has been shown to predict cardiovascular (CVD) and coronary (CHD) events. A comparable association between TAC and CVD events has yet to be established, but TAC could be a more reproducible alternative to CAC in low-dose, non-gated CT. This study compared CAC and TAC as independent predictors of all-cause mortality and cardiovascular events in a population of heavy smokers using low-dose, non-gated CT. Within the NELSON study, a population-based lung cancer screening trial, the CT screen group consisted of 7557 heavy smokers aged 50-75 years. Using a case-cohort study design, CAC and TAC scores were calculated in a total of 958 asymptomatic subjects who were followed up for all-cause death, and CVD, CHD and non-cardiac events (stroke, aortic aneurysm, peripheral arterial occlusive disease). We used Cox proportional-hazard regression to compute hazard ratios (HRs) with adjustment for traditional cardiovascular risk factors. A close association between the prevalence of TAC and increasing levels of CAC was established (p&lt;0.001). Increasing CAC and TAC risk categories were associated with all-cause mortality (p for trend=0.01 and 0.001, respectively) and CVD events (p for trend &lt;0.001 and 0.03, respectively). Compared with the lowest quartile (reference category), multivariate-adjusted HRs across categories of CAC were higher (all-cause mortality, HR: 9.13 for highest quartile; CVD events, HR: 4.46 for highest quartile) than of TAC scores (HR: 5.45 and HR: 2.25, respectively). However, TAC is associated with non-coronary events (HR: 4.69 for highest quartile, p for trend=0.01) and CAC was not (HR: 3.06 for highest quartile, p for trend=0.40). CAC was found to be a stronger predictor than TAC of all-cause mortality and CVD events in a high-risk population of heavy smokers scored on low-dose, non-gated CT. TAC, however, is stronger associated with non-cardiac events than CAC and could prove to be a preferred marker for these events.</t>
  </si>
  <si>
    <t>Association of white matter lesions and lacunar infarcts with executive functioning: the SMART-MR study.</t>
  </si>
  <si>
    <t>Geerlings, Mirjam I; Appelman, Auke P A; Vincken, Koen L; Mali, Willem P T M; van der Graaf, Yolanda; ,</t>
  </si>
  <si>
    <t>https://pubmed.ncbi.nlm.nih.gov/19783584</t>
  </si>
  <si>
    <t>The authors investigated the association of white matter lesions and lacunar infarcts with cognitive performance and whether brain atrophy mediates these associations. Within the Second Manifestations of Arterial Disease-Magnetic Resonance study (2001-2005, the Netherlands), cross-sectional analyses of 522 patients were performed (mean age, 57 years (standard deviation, 10); 76% male). Brain segmentation was used to quantify volumes of brain tissue, cerebrospinal fluid, and white matter lesions. Infarcts were rated visually. Brain volume, ventricular volume, and gray matter volume were divided by intracranial volume to obtain indicators of brain atrophy. Neuropsychological tests assessing executive functioning and memory were performed, and scores were transformed into z scores. The authors used linear regression analyses, adjusted for age, sex, education, intelligence, and vascular risk factors, to investigate the association of white matter lesions and number of lacunar infarcts with cognitive performance. A 1-standard-deviation higher volume of white matter lesions (beta = -0.12, 95% confidence interval: -0.20, -0.04) and the presence of &gt;or=2 lacunar infarcts (beta = -0.48, 95% confidence interval: -0.87, -0.09) were associated with worse executive functioning. These associations remained after adjusting for brain atrophy. Both were not associated with worse memory. Results suggest that subcortical ischemic vascular lesions are associated with decreased executive functioning, but not with memory functioning, independent of brain atrophy.</t>
  </si>
  <si>
    <t>Blood pressure and progression of cerebral atrophy in patients with vascular disease.</t>
  </si>
  <si>
    <t>Vlek, Anneloes L M; Visseren, Frank L J; Kappelle, L Jaap; Geerlings, Mirjam I; Vincken, Koen L; Mali, Willem P Th M; van der Graaf, Yolanda; ,</t>
  </si>
  <si>
    <t>https://pubmed.ncbi.nlm.nih.gov/19745819</t>
  </si>
  <si>
    <t>Cerebral atrophy on brain magnetic resonance imaging (MRI) has been associated with vascular risk factors including hypertension. Progression of cerebral atrophy and its risk factors have not been studied in vascular disease patients. This study aimed to assess the progression of cerebral atrophy and to evaluate possible associations with blood pressure (BP) in patients with pre-existing vascular disease. A total of 331 patients with manifest vascular disease from the Second Manifestations of ARTerial Disease (SMART) Study underwent baseline and follow-up MRI scanning (mean follow-up 4.1 +/- 0.3 years). The annual change in brain and ventricular volume was calculated with an automated quantitative volumetric method. Associations between BP and change in brain and ventricular volumes and between BP and the occurrence of lacunar infarcts were analyzed. At baseline mean age was 58 +/- 9 years and mean BP was 138/80 mm Hg. Mean annual decrease in brain tissue volume was 6.5 +/- 3.8 ml and mean annual increase in ventricular volume was 1.0 +/- 1.0 ml. There was no association observed between BP and annual change in brain or ventricular volume, but a clear association was found between BP and incident lacunar infarcts (odds ratio 1.57; 1.11-2.22 per s.d. increase in systolic BP (SBP)). The magnitude of changes in brain tissue and ventricular volume in patients with vascular disease was comparable to the physiological changes described in normal people at a much higher age. Progression of cerebral atrophy in this population may be associated with advanced physiological aging, but is probably not caused by elevated BP.</t>
  </si>
  <si>
    <t>Blood pressure and decline in kidney function in patients with atherosclerotic vascular disease: a cohort study.</t>
  </si>
  <si>
    <t>Vlek, Anne L M; van der Graaf, Yolanda; Braam, Branko; Moll, Frans L; Nathoe, Hendrik M; Visseren, Frank L J; ,</t>
  </si>
  <si>
    <t>american journal of kidney diseases the official journal of the national kidney foundation</t>
  </si>
  <si>
    <t>https://pubmed.ncbi.nlm.nih.gov/19733947</t>
  </si>
  <si>
    <t>Increased blood pressure generally is associated with kidney function decrease. We evaluated the rate of kidney function decrease, the effect of blood pressure on kidney function deterioration, and the possible interaction with albuminuria in patients with vascular disease. Prospective cohort study. 745 patients with vascular disease from the Second Manifestations of Arterial Disease (SMART) Study. Blood pressure, hypertension presence, albuminuria (albumin-creatinine ratio &gt; 27 mg/g). Rate of kidney function decrease, calculated from the difference between 2 estimated glomerular filtration rate (eGFR) values divided by the individual follow-up time. Participants underwent vascular screening at baseline and after a mean follow-up of 4.5 +/- 1.0 years. Rate of kidney function decrease was expressed as annual decrease in eGFR. Linear regression analysis was used to evaluate the relation between blood pressure and eGFR decrease. Mean baseline eGFR was 79.3 +/- 16.3 mL/min/1.73 m(2), and mean annual decrease in eGFR was 1.00 +/- 2.71 mL/min/1.73 m(2). In 35% of patients, eGFR was stable during follow-up. Albuminuria was present in 100 patients (median albumin-creatinine ratio, 58 mg/g). In patients without albuminuria, age-, sex-, and baseline eGFR-adjusted annual eGFR decrease was 0.86 mL/min/1.73 m(2), whereas this was 1.89 mL/min/1.73 m(2) in patients with albuminuria (P &lt; 0.05). In the presence of albuminuria, higher blood pressure was associated with greater eGFR decrease (beta = 1.29; 95% CI, 0.73-1.85 for systolic blood pressure and beta = 3.86; 95% CI, 2.34-5.38 for hypertension presence). In patients without albuminuria, no association was found between blood pressure and kidney function decrease (beta = 0.15; 95% CI, -0.05 to 0.36 for systolic blood pressure and beta = 0.12; 95% CI, -0.28 to 0.52 for hypertension presence; P for interaction term &lt; 0.05). Participants might reflect a healthier subgroup of patients with vascular disease. Creatinine was measured only twice. Kidney function decrease in patients with vascular disease is considerable. Blood pressure is a strong risk factor for eGFR decrease in patients with vascular disease and albuminuria.</t>
  </si>
  <si>
    <t>Oropharyngeal decontamination in intensive care patients: less is not more.</t>
  </si>
  <si>
    <t>Derde, Lennie P G; Bonten, Marc J M</t>
  </si>
  <si>
    <t>https://pubmed.ncbi.nlm.nih.gov/19735585</t>
  </si>
  <si>
    <t>Ventilator-associated pneumonia (VAP) is a common cause of morbidity, antibiotic use, increased length of stay and, possibly, increased mortality in ICU patients. Colonization of the oropharyngeal cavity with potentially pathogenic micro-organisms is instrumental in the pathogenesis of VAP, and selective oropharyngeal decontamination (SOD) with antibiotics (AB-SOD) or antiseptics, such as chlorhexidine gluconate (CHX-SOD), has been associated with reduced incidences of VAP. In a recent issue of Critical Care Scannapieco and colleagues investigated differences in oropharyngeal colonization between mechanically ventilated patients receiving oropharyngeal decontamination with 0.12% CHX-SOD either once or twice daily compared to placebo. CHX-SOD was associated with a reduction in Staphylococcus aureus colonization, but the study was underpowered to demonstrate a reduction in VAP incidence. We urgently need well-designed and adequately powered studies to evaluate the potential benefits of CHX-SOD on patient outcome in ICUs.</t>
  </si>
  <si>
    <t>Definitions of exacerbations: does it really matter in clinical trials on COPD?</t>
  </si>
  <si>
    <t>Effing, Tanja W; Kerstjens, Huib A M; Monninkhof, Evelyn M; van der Valk, Paul D L P M; Wouters, Emiel F M; Postma, Dirkje S; Zielhuis, Gerhard A; van der Palen, Job</t>
  </si>
  <si>
    <t>https://pubmed.ncbi.nlm.nih.gov/19736196</t>
  </si>
  <si>
    <t>Many definitions of COPD exacerbations are reported. The choice for a definition determines the number of exacerbations observed. However, the effect of different definitions on the effect sizes of randomized controlled trials is unclear. This article provides an overview of the large variation of definitions of COPD exacerbations from the literature. Furthermore, the effect of using different definitions on effect sizes (relative risk and hazard ratio) was investigated in a randomized controlled discontinuation trial of inhaled corticosteroids. The following definitions were applied: (1) unscheduled medical attention, (2) a course of oral corticosteroids/antibiotics, (3) deterioration in two major or one major and one minor symptom according to Anthonisen (referenced later), (4) a change in one or more symptoms, (5) a change in two or more symptoms, and (6) a combination of numbers 2 and 4. Relative risks for the exacerbation rate ranged from 1.19 to 1.49, and hazard ratios for time to first exacerbation ranged from 1.36 to 1.84 for the various definitions, varying from nonsignificant to significant. Because the definition of a COPD exacerbation has an impact on the effect size of interventions, there is an urgent need for concerted attempts to reach agreement on a definition of an exacerbation. Also, the exact definition to be used in a study should be specified in the protocol.</t>
  </si>
  <si>
    <t>Improved care of type 2 diabetes patients as a result of the introduction of a practice nurse: 2003-2007.</t>
  </si>
  <si>
    <t>den Engelsen, Corine; Soedamah-Muthu, Sabita S; Oosterheert, Nastasja J A; Ballieux, Mireille J P; Rutten, Guy E H M</t>
  </si>
  <si>
    <t>https://pubmed.ncbi.nlm.nih.gov/19726260</t>
  </si>
  <si>
    <t>The main objective is to examine the effect of the introduction of a practice nurse (PN) on the quality of type 2 diabetes care. Retrospective cohort study in 397 type 2 diabetes patients recruited from five general practices in the Netherlands. Measurements were performed in 2003, 2005 and 2007, to estimate the effects before (2003) and after the introduction of the PN (2005) as well as the changed diabetes guidelines (2007). Process measures indicated whether measurements of HbA(1c), systolic blood pressure, lipid profile, funduscopy, foot examination and annual check-ups were carried out. Outcome measures comprised actual levels of HbA(1c), systolic blood pressure, lipid levels and BMI. All process measures - except performance of funduscopy - improved significantly. Mean HbA(1c) decreased from 6.8% to 6.5% (2003-2007: ns, 2005-2007: p&lt;0.01), mean LDL-cholesterol from 3.2 to 2.7 mmol/L (p&lt;0.0001) and mean total cholesterol/HDL-cholesterol ratio from 4.5 to 3.7 (p&lt;0.0001). For systolic blood pressure, the number of patients reaching targets increased considerably in 2007. Analyses for both study populations at different time points as well as for patients present at all time points showed comparable results. Delegating diabetes care to a PN leads to significant improvements in diabetes care. General practitioners should seriously consider close collaboration with PNs to delegate diabetes care tasks.</t>
  </si>
  <si>
    <t>Conflating scientific with clinical considerations.</t>
  </si>
  <si>
    <t>https://pubmed.ncbi.nlm.nih.gov/19998198</t>
  </si>
  <si>
    <t>Coffee and tea consumption and risk of type 2 diabetes.</t>
  </si>
  <si>
    <t>van Dieren, S; Uiterwaal, C S P M; van der Schouw, Y T; van der A, D L; Boer, J M A; Spijkerman, A; Grobbee, D E; Beulens, J W J</t>
  </si>
  <si>
    <t>https://pubmed.ncbi.nlm.nih.gov/19727658</t>
  </si>
  <si>
    <t>The aim of this study was to examine the association of consumption of coffee and tea, separately and in total, with risk of type 2 diabetes and which factors mediate these relations. This research was conducted as part of the Dutch Contribution to the European Prospective Investigation into Cancer and Nutrition, which involves a prospective cohort of 40,011 participants with a mean follow-up of 10 years. A validated food-frequency questionnaire was used to assess coffee and tea consumption and other lifestyle and dietary factors. The main outcome was verified incidence of type 2 diabetes. Blood pressure, caffeine, magnesium and potassium were examined as possible mediating factors. During follow-up, 918 incident cases of type 2 diabetes were documented. After adjustment for potential confounders, coffee and tea consumption were both inversely associated with type 2 diabetes, with hazard ratios of 0.77 (95% CI 0.63-0.95) for 4.1-6.0 cups of coffee per day (p for trend = 0.033) and 0.63 (95% CI: 0.47-0.86) for &gt;5.0 cups of tea per day (p for trend = 0.002). Total daily consumption of at least three cups of coffee and/or tea reduced the risk of type 2 diabetes by approximately 42%. Adjusting for blood pressure, magnesium, potassium and caffeine did not attenuate the associations. Drinking coffee or tea is associated with a lowered risk of type 2 diabetes, which cannot be explained by magnesium, potassium, caffeine or blood pressure effects. Total consumption of at least three cups of coffee or tea per day may lower the risk of type 2 diabetes.</t>
  </si>
  <si>
    <t>Long-term survival after initial hospital admission for peripheral arterial disease in the lower extremities.</t>
  </si>
  <si>
    <t>Vaartjes, I; de Borst, G J; Reitsma, J B; de Bruin, A; Moll, F L; Grobbee, D E; Bots, M L</t>
  </si>
  <si>
    <t>https://pubmed.ncbi.nlm.nih.gov/19715567</t>
  </si>
  <si>
    <t>As the population ages, peripheral arterial disease (PAD) in the lower extremities will become a larger public health problem. Awareness in patients as well clinicians of the high risk of morbidity and mortality is important but seems currently low. Insights in absolute mortality risks following admission for PAD in the lower extremities can be useful to improve awareness as they are easy to interpret. A nationwide cohort of 4,158 patients with an initial admission for PAD in the lower extremities was identified through linkage of the national hospital and population register in 1997 and 2000. Over 60% of 4,158 patients were men. 28 days, 1 year and 5 year mortality risk were 2.4%, 10.3% and 31.0% for men and 3.5%, 10.4% and 27.4% for women. Coronary heart disease and stroke were frequent cause of death. Five years mortality risk was higher for men compared to women (HR 1.36, 95% CI 1.21-1.53). In conclusion, our findings demonstrate that, 5 year mortality risk is high, especially in men and comparable to that of patients admitted for acute myocardial infarction or ischemic stroke. Though, in general population the awareness of the severity of PAD in the lower extremities is significantly lower than that for any other cardiovascular disease and it seems that cardiovascular risk factor management for prevention in PAD patients is very modest.</t>
  </si>
  <si>
    <t>Instrumental variables in influenza vaccination studies: mission impossible?!</t>
  </si>
  <si>
    <t>Groenwold, Rolf H H; Hak, Eelko; Klungel, Olaf H; Hoes, Arno W</t>
  </si>
  <si>
    <t>https://pubmed.ncbi.nlm.nih.gov/19695007</t>
  </si>
  <si>
    <t>Unobserved confounding has been suggested to explain the effect of influenza vaccination on mortality reported in several observational studies. An instrumental variable (IV) is strongly related to the exposure under study, but not directly or indirectly (through other variables) with the outcome. Theoretically, analyses using IVs to control for both observed and unobserved confounding may provide unbiased estimates of influenza vaccine effects. We assessed the usefulness of IV analysis in influenza vaccination studies. Information on patients aged 65 years and older from the computerized Utrecht General Practitioner (GP) research database over seven influenza epidemic periods was pooled to estimate the association between influenza vaccination and all-cause mortality among community-dwelling elderly. Potential IVs included in the analysis were a history of gout, a history of orthopaedic morbidity, a history of antacid medication use, and GP-specific vaccination rates. Using linear regression analyses, all possible IVs were associated with vaccination status: risk difference (RD) 7.8% (95% confidence interval [CI] 3.6%; 12.0%), RD 2.8% (95% CI 1.7%; 3.9%), RD 8.1% (95% CI 6.1%; 10.1%), and RD 100.0% (95% CI 89.0%; 111.0%) for gout, orthopaedic morbidity, antacid medication use, and GP-specific vaccination rates, respectively. Each potential IV, however, also appeared to be related to mortality through other observed confounding variables (notably age, sex, and comorbidity). The potential IVs studied did not meet the necessary criteria, because they were (indirectly) associated with the outcome. These variables may, therefore, not be suited to assess unconfounded influenza vaccine effects through IV analysis.</t>
  </si>
  <si>
    <t>Cognitive function and risks of cardiovascular disease and hypoglycaemia in patients with type 2 diabetes: the Action in Diabetes and Vascular Disease: Preterax and Diamicron Modified Release Controlled Evaluation (ADVANCE) trial.</t>
  </si>
  <si>
    <t>de Galan, B E; Zoungas, S; Chalmers, J; Anderson, C; Dufouil, C; Pillai, A; Cooper, M; Grobbee, D E; Hackett, M; Hamet, P; Heller, S R; Lisheng, L; MacMahon, S; Mancia, G; Neal, B; Pan, C Y; Patel, A; Poulter, N; Travert, F; Woodward, M; ,</t>
  </si>
  <si>
    <t>https://pubmed.ncbi.nlm.nih.gov/19688336</t>
  </si>
  <si>
    <t>The relationship between cognitive function, cardiovascular disease and premature death is not well established in patients with type 2 diabetes. We assessed the effects of cognitive function in 11,140 patients with type 2 diabetes who participated in the Action in Diabetes and Vascular Disease: Preterax and Diamicron Modified Release Controlled Evaluation (ADVANCE) trial. Furthermore, we tested whether level of cognitive function altered the beneficial effects of the BP-lowering and glycaemic-control regimens in the trial. Cognitive function was assessed using the Mini Mental State Examination at baseline, and defined by scores 28-30 ('normal', n = 8,689), 24-27 ('mild dysfunction', n = 2,231) and &lt;24 ('severe dysfunction', n = 212). Risks of major cardiovascular events, death and hypoglycaemia and interactions with treatment were assessed using Cox proportional hazards analysis. Relative to normal function, both mild and severe cognitive dysfunction significantly increased the multiple-adjusted risks of major cardiovascular events (HR 1.27, 95% CI 1.11-1.46 and 1.42, 95% CI 1.01-1.99; both p &lt; 0.05), cardiovascular death (1.41, 95% CI 1.16-1.71 and 1.56, 95% CI 0.99-2.46; both p &lt;or= 0.05) and all-cause death (1.33, 95% CI 1.16-1.54 and 1.50, 95% CI 1.06-2.12; both p &lt; 0.03). Severe, but not mild, cognitive dysfunction increased the risk of severe hypoglycaemia (HR 2.10, 95% CI 1.14-3.87; p = 0.018). There was no evidence of heterogeneity of treatment effects on cardiovascular outcomes in subgroups defined by cognitive function at baseline. Cognitive dysfunction is an independent predictor of clinical outcomes in patients with type 2 diabetes, but does not modify the effects of BP lowering or glucose control on the risks of major cardiovascular events. ClinicalTrials.gov NCT00145925.</t>
  </si>
  <si>
    <t>Effect of exercise on postmenopausal sex hormone levels and role of body fat: a randomized controlled trial.</t>
  </si>
  <si>
    <t>Monninkhof, Evelyn M; Velthuis, Miranda J; Peeters, Petra H M; Twisk, Jos W R; Schuit, Albertine J</t>
  </si>
  <si>
    <t>https://pubmed.ncbi.nlm.nih.gov/19687339</t>
  </si>
  <si>
    <t>To examine the effects of a 1-year exercise intervention on sex hormone levels in postmenopausal women and whether any effects are mediated by changes in body fat composition. We randomly assigned 189 sedentary postmenopausal women (age 50 to 69 years, body mass index of 22 to 40 kg/m(2)) to an exercise intervention (n = 96) or a control group (n = 93). The intervention combined aerobic and strength training and comprised supervised group sessions and home-based exercises (a total of 2.5 h/wk). Between-group differences in sex hormone levels (at baseline and 4 and 12 months) were examined with generalized estimating equations. In total, 183 women (97%) completed the study. Overall, the exercise intervention did not result in favorable effects on sex hormone levels. Among women who lost more than 2% body fat, declines in all estrogens were not significantly different between exercisers and controls. Androgen levels decreased significantly in the exercise group who lost body fat compared with their peers in the control group. Furthermore, this study confirmed that fat loss was significantly associated with declines in postmenopausal estrogen levels. Although not significant, a similar trend was observed for the androgens. This study confirms that fat loss is associated with changes in postmenopausal sex hormone levels and suggests that exercise may be effective in inducing favorable changes in these hormones.</t>
  </si>
  <si>
    <t>Modeling the effects of influenza vaccination of health care workers in hospital departments.</t>
  </si>
  <si>
    <t>van den Dool, C; Bonten, M J M; Hak, E; Wallinga, J</t>
  </si>
  <si>
    <t>https://pubmed.ncbi.nlm.nih.gov/19686690</t>
  </si>
  <si>
    <t>Nowadays health care worker (HCW) vaccination is widely recommended. Although the benefits of this strategy have been demonstrated in long-term care settings, no studies have been performed in regular hospital departments. We adapt a previously developed model of influenza transmission in a long-term care nursing home department to study the effects of HCW vaccination in hospital wards. We study both the effectiveness and efficiency in reducing the hazard rates of influenza virus infection for patients. Most scenarios under study show a similar or higher impact of hospital HCW vaccination than has been predicted for the long-term care nursing home department. Therefore, it seems justified to extend the recommendations for HCW vaccination, based on results in the long-term care setting, to short-term care settings as well.</t>
  </si>
  <si>
    <t>Excluding venous thromboembolism using point of care D-dimer tests in outpatients: a diagnostic meta-analysis.</t>
  </si>
  <si>
    <t>Geersing, G J; Janssen, K J M; Oudega, R; Bax, L; Hoes, A W; Reitsma, J B; Moons, K G M</t>
  </si>
  <si>
    <t>https://pubmed.ncbi.nlm.nih.gov/19684102</t>
  </si>
  <si>
    <t>To review the evidence on the diagnostic accuracy of the currently available point of care D-dimer tests for excluding venous thromboembolism. Systematic review of research on the accuracy of point of care D-dimer tests, using bivariate regression to examine sources of variation and to estimate sensitivity and specificity. Studies on the diagnostic accuracy of point of care D-dimer tests published between January 1995 and September 2008 and available in either Medline or Embase. Review methods The analysis included studies that compared point of care D-dimer tests with predefined reference criteria for venous thromboembolism, enrolled consecutive outpatients, and allowed for construction of a 2x2 table. 23 studies (total number of patients 13 959, range in mean age 38-65 years, range of venous thromboembolism prevalence 4-51%) were included in the meta-analysis. The studies reported two qualitative point of care D-dimer tests (SimpliRED D-dimer (n=12) and Clearview Simplify D-dimer (n=7)) and two quantitative point of care D-dimer tests (Cardiac D-dimer (n=4) and Triage D-dimer (n=2)). Overall sensitivity ranged from 0.85 (95% confidence interval 0.78 to 0.90) to 0.96 (0.91 to 0.98) and overall specificity from 0.48 (0.33 to 0.62) to 0.74 (0.69 to 0.78). The two quantitative tests Cardiac D-dimer and Triage D-dimer scored most favourably. In outpatients suspected of venous thromboembolism, point of care D-dimer tests can contribute important information and guide patient management, notably in low risk patients (that is, those patients with a low score on a clinical decision rule).</t>
  </si>
  <si>
    <t>Association of the TGF-beta receptor genes with abdominal aortic aneurysm.</t>
  </si>
  <si>
    <t>Baas, A F; Medic, J; van 't Slot, R; de Kovel, C G; Zhernakova, A; Geelkerken, R H; Kranendonk, S E; van Sterkenburg, S M; Grobbee, D E; Boll, A P; Wijmenga, C; Blankensteijn, J D; Ruigrok, Y M</t>
  </si>
  <si>
    <t>https://pubmed.ncbi.nlm.nih.gov/19672284</t>
  </si>
  <si>
    <t>Abdominal aortic aneurysm (AAA) is a multifactorial condition. The transforming growth factor beta (TGF-beta) pathway regulates vascular remodeling and mutations in its receptor genes, TGFBR1 and TGFBR2, cause syndromes with thoracic aortic aneurysm (TAA). The TGF-beta pathway may be involved in aneurysm development in general. We performed an association study by analyzing all the common genetic variants in TGFBR1 and TGFBR2 using tag single nucleotide polymorphisms (SNPs) in a Dutch AAA case-control population in a two-stage genotyping approach. In stage 1, analyzing 376 cases and 648 controls, three of the four TGFBR1 SNPs and nine of the 28 TGFBR2 SNPs had a P&lt;0.07. Genotyping of these SNPs in an independent cohort of 360 cases and 376 controls in stage 2 confirmed association (P&lt;0.05) for the same allele of one SNP in TGFBR1 and two SNPs in TGFBR2. Joint analysis of the 736 cases and 1024 controls showed statistically significant associations of these SNPs, which sustained after proper correction for multiple testing (TGFBR1 rs1626340 OR 1.32 95% CI 1.11-1.56 P=0.001 and TGFBR2 rs1036095 OR 1.32 95% CI 1.12-1.54 P=0.001 and rs4522809 OR 1.28 95% CI 1.12-1.46 P=0.0004). We conclude that genetic variations in TGFBR1 and TGFBR2 associate with AAA in the Dutch population. This suggests that AAA may develop partly by similar defects as TAA, which in the future may provide novel therapeutic options.</t>
  </si>
  <si>
    <t>Blood pressure and white matter lesions in patients with vascular disease: the SMART-MR study.</t>
  </si>
  <si>
    <t>Vlek, A L M; Visseren, F L J; Kappelle, L J; Witkamp, T D; Vincken, K L; Mali, W P; van der Graaf, Y; ,</t>
  </si>
  <si>
    <t>current neurovascular research</t>
  </si>
  <si>
    <t>https://pubmed.ncbi.nlm.nih.gov/19534721</t>
  </si>
  <si>
    <t>White matter lesions (WML) are a frequent finding on brain magnetic resonance imaging scans. Elevated blood pressure (BP) is consistently identified as risk factor for WML. However, it is unknown whether BP still is associated with WML in patients with manifest vascular disease. The aim of this cross-sectional study was to investigate associations between BP and WML in patients with manifest vascular disease. A total of 1030 patients with vascular disease (cerebrovascular disease (23%), coronary heart disease (59%), peripheral arterial disease (23%), abdominal aortic aneurysm (9%)) from the Second Manifestations of Arterial Disease study were included. WML volume was calculated using an automated quantitative volumetric method and subsequently divided into quartiles. We investigated associations between BP and WML and examined whether relations between BP and WML were modified by the localization of the symptomatic site or presence of diabetes. Participants had a mean age of 58.7 years. Median volume of WML was 1.70 ml. Mean BP was 141/82 mmHg and 69% suffered hypertension. No significant associations between systolic BP, diastolic BP, mean arterial pressure (MAP) or hypertension presence and moderate or large WML volumes were present. The relation between BP and WML was not modified by the localization of vascular disease or diabetes presence. Among patients with manifest vascular disease, BP was not associated with the presence of WML, irrespective of the presence of diabetes or the localization of vascular disease.</t>
  </si>
  <si>
    <t>Effects of blood pressure lowering and intensive glucose control on the incidence and progression of retinopathy in patients with type 2 diabetes mellitus: a randomised controlled trial.</t>
  </si>
  <si>
    <t>Beulens, J W J; Patel, A; Vingerling, J R; Cruickshank, J K; Hughes, A D; Stanton, A; Lu, J; McG Thom, S A; Grobbee, D E; Stolk, R P; ,; ,</t>
  </si>
  <si>
    <t>https://pubmed.ncbi.nlm.nih.gov/19633827</t>
  </si>
  <si>
    <t>The aim of the present study was to investigate the effect of blood pressure lowering and intensive glucose control on the incidence and progression of retinopathy in type 2 diabetic patients. The Action in Diabetes and Vascular Disease: Preterax and Diamicron MR Controlled Evaluation (ADVANCE) Retinal Measurements study, a substudy of ADVANCE, is a randomised (using a central, computer-based procedure) controlled 2 x 2 factorial trial comprising a double-blind comparison of blood pressure lowering with perindopril-indapamide vs placebo, and an open comparison of standard vs intensive glucose control targeting a HbA(1c) of &lt; or = 6.5% in 1,602 diabetic patients from ADVANCE centres with access to retinal cameras conducted from 2001 to 2008. At baseline and the final visit, seven-field stereoscopic retinal photographs were taken and graded by blinded readers (gradeable baseline and final photographs from 1,241 patients). Progression of &gt; or =2 steps in the Early Treatment of Diabetic Retinopathy Study classification (using the eye with worst grading) was the primary outcome. Retinopathy progressed in 59 (4.8%) patients and developed in 128 (10.3%) patients over 4.1 years. Fewer patients on blood pressure-lowering treatment (n = 623) experienced incidence or progression of retinopathy compared with patients on placebo (n = 618), but the difference was not significant (OR 0.78; 95% CI 0.57-1.06; p = 0.12). Blood pressure-lowering treatment reduced the occurrence of macular oedema (OR 0.50; 95% CI 0.29-0.88; p = 0.016) and arteriovenous nicking compared with placebo (OR 0.60; 95% CI 0.38-0.94; p = 0.025). Compared with standard glucose control (n = 611), intensive glucose control (n = 630) did not reduce (p = 0.27) the incidence and progression of retinopathy (OR 0.84; 95% CI 0.61-1.15). Lower, borderline significant risks of microaneurysms, hard exudates and macular oedema were observed with intensive glucose control, adjusted for baseline retinal haemorrhages. These effects of the two treatments were independent and additive. Adverse events in the ADVANCE study are reported elsewhere. Blood pressure lowering or intensive glucose control did not significantly reduce the incidence and progression of retinopathy, although consistent trends towards a benefit were observed, with significant reductions in some lesions observed with both interventions. ClinicalTrials.gov ID no. NCT00145925. Grants from Servier and the National Health and Medical Research Council of Australia.</t>
  </si>
  <si>
    <t>Total cerebral blood flow and hippocampal volume in patients with arterial disease. The SMART-MR study.</t>
  </si>
  <si>
    <t>Knoops, Arnoud Jan Gilbert; van der Graaf, Yolanda; Appelman, Auke Peter Adriaan; Mali, Willem Petrus Theodorus Maria; Geerlings, Mirjam Irene</t>
  </si>
  <si>
    <t>https://pubmed.ncbi.nlm.nih.gov/19675562</t>
  </si>
  <si>
    <t>It has been suggested that compared with other brain tissues, the hippocampus in particular is vulnerable to chronic hypoperfusion. We investigated whether total parenchymal cerebral blood flow (pCBF) was associated with hippocampal atrophy, and also whether this relationship was modified by white matter lesions (WMLs). In a cross-sectional analysis within the SMART-MR (Second Manifestations of ARTerial disease-magnetic resonance) study, which is a cohort study among patients with arterial disease, total CBF (tCBF) and hippocampal volume were assessed in 392 patients (mean age: 62+/-9 years, 84% men). Total CBF was expressed in per 100 mL brain volume for obtaining pCBF. Manual volumetric measurements of the hippocampus were carried out on a three-dimensional fast field-echo T1-weighted magnetic resonance imaging scan with isotropic voxels. Automated brain segmentation was used to quantify volumes of the WML and the total brain. A linear regression analysis showed that reduced pCBF was not associated with smaller hippocampal volume after adjustments were made for age and sex. The association attenuated further after additional adjustments were made for vascular risk factors, lacunar infarcts, and WMLs (beta=0.01 mL per s.d. decrease in pCBF; 95% confidence interval: -0.06 to 0.08). The association was not modified by WML (P-value for interaction term pCBF*WML=0.84). We found no evidence of the fact that lower parenchymal blood flow contributes to the neurodegeneration of the hippocampus in a population of patients with arterial disease.</t>
  </si>
  <si>
    <t>Development and validation of a prediction model with missing predictor data: a practical approach.</t>
  </si>
  <si>
    <t>Vergouwe, Yvonne; Royston, Patrick; Moons, Karel G M; Altman, Douglas G</t>
  </si>
  <si>
    <t>https://pubmed.ncbi.nlm.nih.gov/19596181</t>
  </si>
  <si>
    <t>To illustrate the sequence of steps needed to develop and validate a clinical prediction model, when missing predictor values have been multiply imputed. We used data from consecutive primary care patients suspected of deep venous thrombosis (DVT) to develop and validate a diagnostic model for the presence of DVT. Missing values were imputed 10 times with the MICE conditional imputation method. After the selection of predictors and transformations for continuous predictors according to three different methods, we estimated regression coefficients and performance measures. The three methods to select predictors and transformations of continuous predictors showed similar results. Rubin's rules could easily be applied to estimate regression coefficients and performance measures, once predictors and transformations were selected. We provide a practical approach for model development and validation with multiply imputed data.</t>
  </si>
  <si>
    <t>Recurrence up to 3.5 years after antibiotic treatment of acute otitis media in very young Dutch children: survey of trial participants.</t>
  </si>
  <si>
    <t>Bezáková, Natália; Damoiseaux, Roger A M J; Hoes, Arno W; Schilder, Anne G M; Rovers, Maroeska M</t>
  </si>
  <si>
    <t>https://pubmed.ncbi.nlm.nih.gov/19567910</t>
  </si>
  <si>
    <t>To determine the long term effects of antibiotic treatment for acute otitis media in young children. Prospective three year follow-up study within the framework of a primary care based, double blind, randomised, placebo controlled trial. 53 general practices in the Netherlands. 168 children aged 6 months to 2 years with acute otitis media. Amoxicillin 40 mg/kg/day in three doses compared with placebo. Recurrence of acute otitis media; referral to secondary care; ear, nose, and throat surgery. Acute otitis media recurred in 63% (47/75) of children in the amoxicillin group and in 43% (37/86) of the placebo group (risk difference 20%, 95% confidence interval 5% to 35%); 30% (24/78 amoxicillin; 27/89 placebo) of children in both groups were referred to secondary care, and 21% (16/78) of the amoxicillin group compared with 30% (27/90) of the placebo group had ear, nose, and throat surgery (risk difference -9%, -23% to 4%). Recurrent acute otitis media occurred more often in the children originally treated with amoxicillin. This is another argument for judicious use of antibiotics in children with acute otitis media. Trial registration Netherlands Trial Register NTR1426.</t>
  </si>
  <si>
    <t>Lifetime endogenous estrogen exposure and electrocardiographic frontal T axis changes in postmenopausal women.</t>
  </si>
  <si>
    <t>Atsma, Femke; van der Schouw, Yvonne T; Grobbee, Diederick E; Kors, Jan A; Bartelink, Marie-Louise E L</t>
  </si>
  <si>
    <t>https://pubmed.ncbi.nlm.nih.gov/19570627</t>
  </si>
  <si>
    <t>The protective effect of endogenous estrogens in cardiovascular disease may in part originate from effects of circulating estrogens on the electrophysiological properties of the myocardium. The aim of this study was to investigate the relation between reproductive factors and the electrocardiographic frontal T axis in postmenopausal women. Cohort study. The study was conducted at the University Medical Center Utrecht. In total, 998 postmenopausal women were included. Information of women's reproductive life was obtained by a questionnaire. Electrocardiographic frontal T axes were categorized as normal (25-65 degrees) or abnormal (-180 degrees to 24 degrees and 66-180 degrees). Logistic regression analysis was used to assess the relationship between reproductive factors and the frontal T axis. Moreover, the effect of the lifetime cumulative number of menstrual cycles, a composite measure of all reproductive factors, on the frontal T axis was investigated. The mean age was 66.0 (+/-5.6) years and 15.3% had T-axes abnormalities. Later menopausal age decreased the risk on frontal T-axis abnormalities; the multivariable adjusted odds ratio was 0.97 (95% CI: 0.94-0.99) per year increasing menopause. For the lifetime cumulative number of menstrual cycles the age-adjusted odds ratio was 0.84 (95% CI: 0.75-0.99) per 100 menstrual cycles increase. Later age at menopause and increasing lifetime cumulative number of menstrual cycles decreased the risk on frontal T-axis changes. This supports the view that estrogens may protect against ventricular repolarization disturbances.</t>
  </si>
  <si>
    <t>A clinical prediction rule for detecting major depressive disorder in primary care: the PREDICT-NL study.</t>
  </si>
  <si>
    <t>Zuithoff, Nicolaas P A; Vergouwe, Yvonne; King, Michael; Nazareth, Irwin; Hak, Eelko; Moons, Karel G M; Geerlings, Mirjam I</t>
  </si>
  <si>
    <t>https://pubmed.ncbi.nlm.nih.gov/19546117</t>
  </si>
  <si>
    <t>Major depressive disorder often remains unrecognized in primary care. Development of a clinical prediction rule using easily obtainable predictors for major depressive disorder in primary care patients. A total of 1046 subjects, aged 18-65 years, were included from seven large general practices in the center of The Netherlands. All subjects were recruited in the general practice waiting room, irrespective of their presenting complaint. Major depressive disorder according to Diagnostic and Statistical Manual of Mental Disorders, Fourth Text Revision edition criteria was assessed with the Composite International Diagnostic Interview. Candidate predictors were gender, age, educational level, being single, number of presented complaints, presence of non-somatic complaints, whether a diagnosis was assigned, consultation rate in past 12 months, presentation of depressive complaints or prescription of antidepressants in past 12 months, number of life events in past 6 months and any history of depression. The first multivariable logistic regression model including only predictors that require no confronting depression-related questions had a reasonable degree of discrimination (area under the receiver operating characteristic curve or concordance-statistic (c-statistic) = 0.71; 95% Confidence Interval (CI): 0.67-0.76). Addition of three simple though more depression-related predictors, number of life events and history of depression, significantly increased the c-statistic to 0.80 (95% CI: 0.76-0.83). After transforming this second model to an easily to use risk score, the lowest risk category (sum score &lt; 5) showed a 1% risk of depression, which increased to 49% in the highest category (sum score &gt; or = 30). A clinical prediction rule allows GPs to identify patients-irrespective of their complaints-in whom diagnostic workup for major depressive disorder is indicated.</t>
  </si>
  <si>
    <t>Prognosis and prognostic research: application and impact of prognostic models in clinical practice.</t>
  </si>
  <si>
    <t>Moons, Karel G M; Altman, Douglas G; Vergouwe, Yvonne; Royston, Patrick</t>
  </si>
  <si>
    <t>https://pubmed.ncbi.nlm.nih.gov/19502216</t>
  </si>
  <si>
    <t>The feasibility of a self-management education program for patients with type 2 diabetes mellitus: Do the perceptions of patients and educators match?</t>
  </si>
  <si>
    <t>Kerssen, Anneloes; Goudswaard, Alex N; Quartel, Marije; Zuithoff, Nicolaas P A; Rutten, Guy E H M</t>
  </si>
  <si>
    <t>https://pubmed.ncbi.nlm.nih.gov/19501034</t>
  </si>
  <si>
    <t>To compare the feasibility experienced by patients with type 2 diabetes mellitus in a self-management educational program to the hindrance assessed by the educator of the program. Twenty-five type 2 diabetes patients on maximally tolerated oral hypoglycaemic agents followed a 6-month educational program consisting of five components: background, medication, physical exercise, nutrition and blood glucose self-monitoring. Medication was unchanged during the study. Outcome measures were feasibility encountered by the patient, hindrance observed by the educator and HbA(1c)-level. The feasibility encountered by patients was significantly related to the hindrance assessed by the educators (rho 0.756, p&lt;0.001). Feasibility increased significantly for three components but not for physical exercise and nutritional advice. Mean HbA(1c)-level decreased from 8.2+/-1.1% before onset of the program to 7.2+/-1.3% 6 weeks after termination of the program. Feasibility experienced by the patients matched the hindrance noticed by the educators. This might have led to an increase in patients' self-efficacy, which in turn gives an improvement in self-management and glycaemic control.</t>
  </si>
  <si>
    <t>Glucocorticosteroids associated with a decreased risk of psychosis.</t>
  </si>
  <si>
    <t>Laan, Wijnand; Smeets, Hugo; de Wit, Niek J; Kahn, René S; Grobbee, Diederick E; Burger, Huibert</t>
  </si>
  <si>
    <t>journal of clinical psychopharmacology</t>
  </si>
  <si>
    <t>https://pubmed.ncbi.nlm.nih.gov/19440085</t>
  </si>
  <si>
    <t>The hypothesis that chronic inflammation may play a role in psychosis receives increasing attention. In this study, we aim to investigate whether the use of steroidal anti-inflammatory drugs is associated with a decreased risk of psychosis.A longitudinal nested case-control study was performed investigating the association of glucocorticosteroid (GCS) consumption with a new diagnosis of a psychotic disorder. Significantly reduced odds ratios of 0.52 (95% confidence interval, 0.36-0.75) were found for GCS in men only (odds ratio in women, 0.84 [95% confidence interval, 0.590-1.20]). Similar risk reductions were present for the inhaled and systemic GCSs. A dose-response relationship was present. Our finding of an inverse relation between GCS consumption and new psychotic episodes may promote further research into inflammation in schizophrenia.</t>
  </si>
  <si>
    <t>Cohort profile: the EPIC-NL study.</t>
  </si>
  <si>
    <t>Beulens, Joline W J; Monninkhof, Evelyn M; Verschuren, W M Monique; van der Schouw, Yvonne T; Smit, Jet; Ocke, Marga C; Jansen, Eugene H J M; van Dieren, Susan; Grobbee, Diederick E; Peeters, Petra H M; Bueno-de-Mesquita, H Bas</t>
  </si>
  <si>
    <t>https://pubmed.ncbi.nlm.nih.gov/19483199</t>
  </si>
  <si>
    <t>Which determinants should be targeted to increase influenza vaccination uptake among health care workers in nursing homes?</t>
  </si>
  <si>
    <t>Looijmans-van den Akker, I; van Delden, J J M; Verheij, Th J M; van Essen, G A; van der Sande, M A B; Hulscher, M E; Hak, E</t>
  </si>
  <si>
    <t>https://pubmed.ncbi.nlm.nih.gov/19450642</t>
  </si>
  <si>
    <t>Although health care workers (HCWs) have been recommended to be immunized against influenza, vaccine uptake remains low. So far, research on determinants of influenza vaccination among HCWs has been limited by design, population or theoretical framework. Therefore we conducted a questionnaire study in Dutch nursing homes to assess which demographical, behavioural and organisational determinants were associated with influenza vaccine uptake among HCWs. We were able to accurately predict vaccine uptake based on a 13-item prediction model including two demographical, nine behavioural and two organisational determinants developed with data from 1,125 respondents (response rate 60%). To further increase influenza vaccine uptake, implementation programs should target these determinants.</t>
  </si>
  <si>
    <t>Cardiovascular disease prevention in women: Impact of dietary interventions.</t>
  </si>
  <si>
    <t>Hoekstra, Tiny; Beulens, Joline W J; van der Schouw, Yvonne T</t>
  </si>
  <si>
    <t>https://pubmed.ncbi.nlm.nih.gov/19307070</t>
  </si>
  <si>
    <t>In Western countries, cardiovascular disease is the leading cause of death in women. Prevalence of risk factors and clinical presentation are different in men and women and it is important to take these differences into account in both prevention and treatment. A healthy diet can substantially reduce cardiovascular risk. This article summarises the evidence of the effects of dietary interventions in women and discuss gender differences where data are available. For a number of specific dietary factors, there is some evidence of gender-specific effects. However, overall risk estimates are not very different from the ones observed in men, and, at this stage, the evidence is insufficient to advocate gender-specific dietary guidelines. Thus a heart-healthy diet is the same for both men and women. However, dietary advice might be more effective in women because of their stronger beliefs in the values of healthy eating. More efforts are needed to further increase awareness of cardiovascular risk and the benefits of a healthy diet. Thus, dietary counselling should be an integral part of the cardiovascular risk management in women.</t>
  </si>
  <si>
    <t>The diagnostic value of history and physical examination for COPD in suspected or known cases: a systematic review.</t>
  </si>
  <si>
    <t>Broekhuizen, Berna D L; Sachs, Alfred P E; Oostvogels, Rimke; Hoes, Arno W; Verheij, Theo J M; Moons, Karel G M</t>
  </si>
  <si>
    <t>https://pubmed.ncbi.nlm.nih.gov/19423699</t>
  </si>
  <si>
    <t>According to current guidelines, spirometry should be performed in patients suspected of chronic obstructive pulmonary disease (COPD) by the results of history taking and physical examination. However, little is known about the diagnostic value of patient history and physical examination for COPD. To review the existing evidence on the diagnostic value of history taking and physical examination in recognizing COPD in patients suspected of COPD. A systematic literature search was performed in electronic medical databases. Studies were included after using defined inclusion and exclusion criteria and judged on their methodological quality by using the Quality Assessment of Diagnostic Accuracy Studies criteria. A formal meta-analysis was not performed because all studied items of history and physical examination were investigated in only in a maximum of three studies. Six studies were included. The history items dyspnoea, wheezing, previous consultation for wheezing or cough, self-reported COPD, age and smoking and the physical examination items wheezing, forced expiratory time, laryngeal height and prolonged expiration were found to have diagnostic value for COPD. These items were studied in maximally three studies and study population studies were heterogenic. The reference test for COPD in five of the six studies concerned obstructive lung disease in general and not COPD. There is insufficient evidence to assess the value of history taking and physical examination for diagnosing COPD.</t>
  </si>
  <si>
    <t>Unexpected lower prevalence of depression in patients with diabetes: selection bias in a waiting room population.</t>
  </si>
  <si>
    <t>Knol, Miriam J; Heerdink, Eibert R; Egberts, Antoine C G; Grobbee, Diederick E; Geerlings, Mirjam I</t>
  </si>
  <si>
    <t>https://pubmed.ncbi.nlm.nih.gov/19289958</t>
  </si>
  <si>
    <t>We initially studied the association between diabetes and depression in general practice attendees. Subsequently, we investigated whether our findings were influenced by selection bias. Unexpectedly, the prevalence of depression was lower in diabetes patients (4%) than in subjects without diabetes (14%). To explore the possibility of selection bias, we first described the selection process from the general population to our study population and provided prevalence data of diabetes and depression in the different populations based on literature and our data. Second, we performed a sensitivity analysis and described possible reasons for selection. Third, we studied the association between other chronic diseases and depression. These analyses suggested that the lower prevalence of depression in diabetes patients was due to selection bias. Visiting the general practitioner for a control visit seemed to play a role in this selection process. This study illustrated the potential for selection bias in a waiting room population. The degree of bias depended on the exposure under study.</t>
  </si>
  <si>
    <t>Risk indicators for development of headache during dipyridamole treatment after cerebral ischaemia of arterial origin.</t>
  </si>
  <si>
    <t>Halkes, P H A; van Gijn, J; Kappelle, L J; Koudstaal, P J; Algra, A; ,</t>
  </si>
  <si>
    <t>https://pubmed.ncbi.nlm.nih.gov/19289481</t>
  </si>
  <si>
    <t>A considerable proportion of patients discontinue dipyridamole therapy because of headache. Risk indicators for the development of dipyridamole induced headache were identified by means of an exploratory analysis of data from the European/Australasian Stroke Prevention in Reversible Ischaemia Trial (ESPRIT) and the Second European Stroke Prevention Study (ESPS 2). In ESPRIT, dipyridamole induced headache was significantly associated with female sex, absence of hypertension and non-smoking (area under the receiver operator characteristic (ROC) curve 0.63 (95% CI 0.58 to 0.68)) and in ESPS 2 with female sex and absence of ischaemic lesions on imaging (area under the ROC curve 0.64 (95% CI 0.59 to 0.69)).</t>
  </si>
  <si>
    <t>Prognosis of primary care patients aged 80 years and older with lower respiratory tract infection.</t>
  </si>
  <si>
    <t>van de Nadort, Christiana; Smeets, Hugo M; Bont, Jettie; Zuithoff, N Peter A; Hak, Eelko; Verheij, Theo J M</t>
  </si>
  <si>
    <t>https://pubmed.ncbi.nlm.nih.gov/19341546</t>
  </si>
  <si>
    <t>Predictors for a complicated course of a lower respiratory tract infection (LRTI) episode among patients aged &gt; or =80 years are unknown. To determine prognostic factors for hospital admission or death within 30 days after first onset of LRTI among primary care patients aged &gt; or =80 years. Retrospective cohort study. Utrecht General Practitioner Research Network. Data were obtained using the computerised database of the research network over the years 1997 to 2003. Multivariable logistic regression analysis was applied to estimate the independent association of predictors with 30-day hospitalisation or death. In all, 860 episodes of LRTI were observed in 509 patients; 13% of patients were hospitalised or died within 30 days. Type of LRTI, diabetes, use of oral glucocorticoids, use of antibiotics in the previous month, and hospitalisation in the previous 12 months were independently associated with the combined outcome. Patients with insulin-dependent diabetes mellitus had a greater risk of 30-day hospitalisation or death compared with patients with non-insulin-dependent diabetes. Independent of age, serious comorbidity - notably the presence of insulin-dependent diabetes or exacerbation of chronic obstructive pulmonary disease requiring oral glucocorticoids - increases the risk for complications, including hospital admissions, in patients aged &gt; or =80 years with an LRTI.</t>
  </si>
  <si>
    <t>The justificatory power of moral experience.</t>
  </si>
  <si>
    <t>van Thiel, G J M W; van Delden, J J M</t>
  </si>
  <si>
    <t>https://pubmed.ncbi.nlm.nih.gov/19332580</t>
  </si>
  <si>
    <t>A recurrent issue in the vast amount of literature on reasoning models in ethics is the role and nature of moral intuitions. In this paper, we start from the view that people who work and live in a certain moral practice usually possess specific moral wisdom. If we manage to incorporate their moral intuitions in ethical reasoning, we can arrive at judgements and (modest) theories that grasp a moral experience that generally cannot be found outside the practice. Reflective equilibrium (RE) provides a framework for balancing moral intuitions, ethical principles and general theories. Nevertheless, persisting problems associated with the use of intuitions need to be addressed. One is the objection that moral intuitions lack the credibility necessary to guide moral reasoning. Ethicists have tried to solve this problem by formulating criteria to separate the "bad" intuitions from the "good" ones at the beginning of the reasoning process. We call this the credible input-justified outcome strategy. An example is the appeal to the common morality by Beauchamp and Childress. We think this approach is unsuccessful. As an alternative, we outline the good reasoning-justified outcome strategy. It connects to a variant of RE in which intuitions from different sources are incorporated. We argue that the elements of RE have different levels of justificatory power at the start of reasoning. In our strategy, each element can gain or lose justificatory power when it is tested in a reasoning process that meets several criteria.</t>
  </si>
  <si>
    <t>Dietary carotenoid intake is associated with lower prevalence of metabolic syndrome in middle-aged and elderly men.</t>
  </si>
  <si>
    <t>Sluijs, Ivonne; Beulens, Joline W J; Grobbee, Diederick E; van der Schouw, Yvonne T</t>
  </si>
  <si>
    <t>https://pubmed.ncbi.nlm.nih.gov/19321578</t>
  </si>
  <si>
    <t>Carotenoids have antioxidant properties. Little is known about the relation of dietary carotenoid intake on metabolic syndrome risk. We examined whether dietary carotenoid intake was associated with metabolic syndrome and metabolic syndrome risk factors. We conducted a population-based, cross-sectional study in 374 men aged 40-80 y. Intakes of beta-carotene, alpha-carotene, beta-cryptoxanthin, lycopene, lutein, and zeaxanthin were estimated using a validated FFQ. Presence of metabolic syndrome was determined using fasting serum glucose, triglyceride, and HDL-cholesterol concentrations, waist circumference, and systolic and diastolic blood pressure. Metabolic syndrome was present in 22% of the men. After adjustment for confounders, total carotenoid and lycopene intakes were inversely associated with presence of metabolic syndrome [relative risk (RR) quartile 4 vs. quartile 1 (95% CI) 0.42 (0.20-0.87), P-trend 0.02; and 0.55 (0.28-1.11), P-trend 0.01, respectively]. For beta-carotene, a decreased risk was observed for each quartile of intake compared with the first [RR quartile 4 vs. quartile 1 (95% CI) 0.58 (0.33-1.02)]. Higher total carotenoid, beta-carotene, alpha-carotene, and lycopene intakes were associated with lower waist circumferences and visceral and subcutaneous fat mass. Higher lycopene intake was related to lower serum triglyceride concentrations. In conclusion, higher total carotenoid intakes, mainly those of beta-carotene and lycopene, were associated with a lower prevalence of metabolic syndrome and with lower measures of adiposity and serum triglyceride concentrations in middle-aged and elderly men.</t>
  </si>
  <si>
    <t>Cost-effectiveness of preventive treatment of intracranial aneurysms: new data and uncertainties.</t>
  </si>
  <si>
    <t>Greving, Jacoba P; Rinkel, Gabriël J E; Buskens, Erik; Algra, Ale</t>
  </si>
  <si>
    <t>https://pubmed.ncbi.nlm.nih.gov/19299311</t>
  </si>
  <si>
    <t>Previous modeling studies on treatment of unruptured intracranial aneurysms largely disregarded detailed data on treatment risks and omitted several factors that could influence cost-effectiveness. We performed a cost-effectiveness analysis of surgical and endovascular treatment of unruptured aneurysms for different rupture rates and life expectancies, and assessed the influence of excess mortality risks in these persons, de novo development of aneurysms, and utility of awareness of having an untreated aneurysm, and also identified important factors for which data are lacking. We used a Markov model to compare surgical, endovascular, and no treatment of unruptured intracranial aneurysms. Inputs for the model were taken mainly from meta-analyses. Direct medical costs were derived from Dutch cost studies and expressed in 2005 Euros. We performed sensitivity analyses to evaluate model robustness. For 50-year-old patients, treatment of unruptured aneurysms is cost-effective for all rupture rate scenarios between 0.3% and 3.5%/year. In 70-year-old patients, treatment is not cost-effective in men with rupture rates &lt; or =1%/year and women with rupture rates &lt; or =0.5%/year. With lower utility of awareness of an untreated aneurysm, the cost-effectiveness of treatment strongly increased. The effect of excess mortality risks on the incremental cost-effectiveness ratios was modest. The risk of formation of new aneurysms had no relevant impact. Patients' life expectancy, risk of rupture, and utility of awareness of an untreated aneurysm mainly define cost-effectiveness. However, important uncertainties remain on the rupture risk according to size and location of the aneurysm and on the utility of awareness of untreated aneurysm. More data on these factors are needed to define and individualize cost-effectiveness analyses.</t>
  </si>
  <si>
    <t>Dealing with missing predictor values when applying clinical prediction models.</t>
  </si>
  <si>
    <t>Janssen, Kristel J M; Vergouwe, Yvonne; Donders, A Rogier T; Harrell, Frank E; Chen, Qingxia; Grobbee, Diederick E; Moons, Karel G M</t>
  </si>
  <si>
    <t>https://pubmed.ncbi.nlm.nih.gov/19282357</t>
  </si>
  <si>
    <t>Prediction models combine patient characteristics and test results to predict the presence of a disease or the occurrence of an event in the future. In the event that test results (predictor) are unavailable, a strategy is needed to help users applying a prediction model to deal with such missing values. We evaluated 6 strategies to deal with missing values. We developed and validated (in 1295 and 532 primary care patients, respectively) a prediction model to predict the risk of deep venous thrombosis. In an application set (259 patients), we mimicked 3 situations in which (1) an important predictor (D-dimer test), (2) a weaker predictor (difference in calf circumference), and (3) both predictors simultaneously were missing. The 6 strategies to deal with missing values were (1) ignoring the predictor, (2) overall mean imputation, (3) subgroup mean imputation, (4) multiple imputation, (5) applying a submodel including only the observed predictors as derived from the development set, or (6) the "one-step-sweep" method. We compared the model's discriminative ability (expressed by the ROC area) with the true ROC area (no missing values) and the model's estimated calibration slope and intercept with the ideal values of 1 and 0, respectively. Ignoring the predictor led to the worst and multiple imputation to the best discrimination. Multiple imputation led to calibration intercepts closest to the true value. The effect of the strategies on the slope differed between the 3 scenarios. Multiple imputation is preferred if a predictor value is missing.</t>
  </si>
  <si>
    <t>Intervention with educational outreach at large scale to reduce antibiotics for respiratory tract infections: a controlled before and after study.</t>
  </si>
  <si>
    <t>Smeets, H M; Kuyvenhoven, M M; Akkerman, A E; Welschen, I; Schouten, G P; van Essen, G A; Verheij, T J M</t>
  </si>
  <si>
    <t>https://pubmed.ncbi.nlm.nih.gov/19258441</t>
  </si>
  <si>
    <t>A multiple intervention targeted to reduce antibiotic prescribing with an educational outreach programme had proven to be effective in a randomized controlled trial in 12 peer review groups, demonstrating 12% less prescriptions for respiratory tract infections. To assess the effectiveness of a multiple intervention in primary care at a large scale. A controlled before and after study in 2006 and 2007 was designed. Participants were from general practices within a geographically defined area in the middle region of The Netherlands. Participants were GPs in 141 practices in 25 peer review groups. A control group of GP practices from the same region, matched for type of practice and mean volume of antibiotic prescribing. The multiple intervention consisted of the following elements: (i) group education meeting and communication training; (ii) monitoring and feedback on prescribing behaviour; (iii) group education for GPs and pharmacists assistants and (iv) patient education material. The main outcome measures are as follows: (i) number of antibiotic prescriptions per 1000 patients per GP and (ii) number of second-choice antibiotics, obtained from claims data from the regional health insurance company. The associations between predictors and outcome measurements were assessed by means of a multiple regression analyses. At baseline, the number of antibiotic prescriptions per 1000 patients was slightly higher in the intervention group than in the control group (184 versus 176). In 2007, the number of prescriptions had increased to 232 and 227, respectively, and not differed between intervention and control group. The implementation of an already proven effective multiple intervention strategy at a larger scale showed no reduction of antibiotic prescription rates. The failure might be attributed to a less tight monitoring of intervention and audit. Inserting practical tools in the intervention might be more successful and should be studied.</t>
  </si>
  <si>
    <t>Intensive lipid lowering may reduce progression of carotid atherosclerosis within 12 months of treatment: the METEOR study.</t>
  </si>
  <si>
    <t>Bots, M L; Palmer, M K; Dogan, S; Plantinga, Y; Raichlen, J S; Evans, G W; O'Leary, D H; Grobbee, D E; Crouse, J R; ,</t>
  </si>
  <si>
    <t>https://pubmed.ncbi.nlm.nih.gov/19298496</t>
  </si>
  <si>
    <t>In several statin trials, vascular event rates for treatment groups begin to separate 1 year after commencement of treatment. For atherosclerosis progression, the temporal sequence of the effect has not been defined. We used data from the Measuring Effects on intima media Thickness: an Evaluation Of Rosuvastatin (METEOR) trial to determine the earliest time point at which significant differences in atherosclerosis progression rates could be detected after initiation of statin therapy. The METEOR trial was a double-blind, randomized placebo-controlled trial that studied the effect of LDL-C lowering with 40 mg rosuvastatin on the rate of change of carotid intima media thickness (CIMT) measured by B-mode ultrasound amongst 984 low risk subjects. Ultrasound assessments were made at baseline and every 6 months up to 2 years. Rosuvastatin treatment was associated with a 49% reduction in LDL-C-C, a 34% reduction in total cholesterol, an 8.0% increase in HDL-C and a 16% reduction in triglycerides (all P &lt; 0.0001 compared with placebo). The difference in rate of mean maximum CIMT progression between the rosuvastatin and placebo groups (based on near and far wall measurements from both left and right common carotid and internal carotid segments and carotid bifurcation) was not statistically significant after 6 months (0.0023 mm year(-1) and 0.0106 mm year(-1), respectively P = 0.34). After 12 months, CIMT progression rates were significantly different between the groups: 0.0032 mm year(-1) and 0.0133 mm year(-1) in the rosuvastatin-treated and placebo-treated groups, respectively (P = 0.049). This divergence grew with further follow-up: -0.0009 mm year(-1) and 0.0131 mm year(-1) after 18 months (P &lt; 0.001) and -0.0014 mm year(-1) and 0.0131 mm year(-1) after 24 months of treatment (P &lt; 0.001). Results were stronger for the mean common CIMT progression (based on near and far wall measurements from both left and right common carotid segments). Aggressive LDL-C lowering seems to exert its beneficial effect on atherosclerosis progression during the first 12 months of treatment. This parallels the timing of event reduction seen in clinical trials and suggests that the efficacy of lipid lowering treatment on CIMT progression can be evaluated in trials with a duration of 1 year, given sufficient sample size, high precision of measurements and a treatment effect comparable to that seen in METEOR.</t>
  </si>
  <si>
    <t>When one depends on the other: reporting of interaction in case-control and cohort studies.</t>
  </si>
  <si>
    <t>Knol, Mirjam J; Egger, Matthias; Scott, Pippa; Geerlings, Mirjam I; Vandenbroucke, Jan P</t>
  </si>
  <si>
    <t>https://pubmed.ncbi.nlm.nih.gov/19034025</t>
  </si>
  <si>
    <t>Interaction refers to the situation in which the effect of 1 exposure on an outcome differs across strata of another exposure. We did a survey of epidemiologic studies published in leading journals to examine how interaction is assessed and reported. We selected 150 case-control and 75 cohort studies published between May 2001 and May 2007 in leading general medicine, epidemiology, and clinical specialist journals. Two reviewers independently extracted data on study characteristics. Of the 225 studies, 138 (61%) addressed interaction. Among these, 25 (18%) presented no data or only a P value or a statement of statistical significance; 40 (29%) presented stratum-specific effect estimates but no meaningful comparison of these estimates; and 58 (42%) presented stratum-specific estimates and appropriate tests for interaction. Fifteen articles (11%) presented the individual effects of both exposures and also their joint effect or a product term, providing sufficient information to interpret interaction on an additive and multiplicative scale. Reporting was poorest in articles published in clinical specialist articles and most adequate in articles published in general medicine journals, with epidemiology journals in an intermediate position. A majority of articles reporting cohort and case-control studies address possible interactions between exposures. However, in about half of these, the information provided was unsatisfactory, and only 1 in 10 studies reported data that allowed readers to interpret interaction effects on an additive and multiplicative scale.</t>
  </si>
  <si>
    <t>Clarifying appeals to dignity in medical ethics from an historical perspective.</t>
  </si>
  <si>
    <t>Van Der Graaf, Rieke; Van Delden, Johannes Jm</t>
  </si>
  <si>
    <t>https://pubmed.ncbi.nlm.nih.gov/19161568</t>
  </si>
  <si>
    <t>Over the past few decades the concept of (human) dignity has deeply pervaded medical ethics. Appeals to dignity, however, are often unclear. As a result some prefer to eliminate the concept from medical ethics, whereas others try to render it useful in this context. We think that appeals to dignity in medical ethics can be clarified by considering the concept from an historical perspective. Firstly, on the basis of historical texts we propose a framework for defining the concept in medical debates. The framework shows that dignity can occur in a relational, an unconditional, a subjective and a Kantian form. Interestingly, all forms relate to one concept since they have four features in common: dignity refers, in a restricted sense, to the 'special status of human beings'; it is based on essential human characteristics; the subject of dignity should live up to it; and it is a vulnerable concept, it can be lost or violated. We argue that being explicit about the meaning of dignity will prevent dignity from becoming a conversation-stopper in moral debate. Secondly, an historical perspective on dignity shows that it is not yet time to dispose of dignity in medical ethics. At least Kantian and relational dignity can be made useful in medical ethics.</t>
  </si>
  <si>
    <t>What is the best standard for the standard of care in clinical research?</t>
  </si>
  <si>
    <t>https://pubmed.ncbi.nlm.nih.gov/19247887</t>
  </si>
  <si>
    <t>During the past decennium, one of the main issues discussed in research ethics has been focused on the care that should be provided to the control group in a clinical trial. This discussion is also called the standard of care debate. Current international research ethics guidelines contain a wide variety of standards for the standard of care--including the provision of the highest attainable, the best available, the best current, a proven, and an established effective treatment. In this article, we systematically review the currently used standards and argue that none of the current standards is adequate to serve as a universal standard for the standard of care. Alex London has made a substantial proposal for a universal standard, but universally adopting his standard is problematic. In this article, we propose a revised version of London's standard.</t>
  </si>
  <si>
    <t>Prevalence of asymptomatic carotid artery stenosis according to age and sex: systematic review and metaregression analysis.</t>
  </si>
  <si>
    <t>de Weerd, Marjolein; Greving, Jacoba P; de Jong, Anne W F; Buskens, Erik; Bots, Michiel L</t>
  </si>
  <si>
    <t>https://pubmed.ncbi.nlm.nih.gov/19246704</t>
  </si>
  <si>
    <t>In the discussion on the value of population-wide screening for asymptomatic carotid artery stenosis (ACAS), reliable prevalence estimates are crucial. We set out to provide reliable age- and sex-specific prevalence estimates of ACAS through a systematic literature review and meta-regression analysis. We searched PubMed and EmBase until December 2007 for studies that reported the prevalence of ACAS in a population free of symptomatic carotid artery disease. Data were extracted with use of a standardized form on participants' characteristics, assessment method, study quality, and prevalence estimates for moderate (&gt;or=50% stenosis) and severe (&gt;or=70% stenosis) ACAS. Metaregression was used to investigate sources of heterogeneity. Forty studies fulfilled the inclusion criteria. There was considerable variation among studies with respect to demographics, methods of grading stenosis, and stenosis cutoff point used. The pooled prevalence of moderate stenosis was 4.2% (95% CI, 3.1% to 5.7%). Prevalence of moderate stenosis among people age &lt;70 years was 4.8% (95% CI, 3.1% to 7.3%) in men and 2.2% (95% CI, 0.9% to 4.9%) in women. Among those &gt;or=70 years, prevalence increased to 12.5% (95% CI, 7.4% to 20.3%) in men and to 6.9% (95% CI, 4.0% to 11.5%) in women. Metaregression showed that both age and sex significantly affected the prevalence of moderate stenosis. No contribution of study size, publication year, geographic region, assessment method, and study quality was found. The pooled prevalence of severe stenosis was 1.7% (95% CI, 0.7% to 3.9%). Prevalence of moderate stenosis increases with age in both men and women, but men at all ages have the higher prevalence estimates. The number of studies that allowed meaningful data synthesis of severe stenosis was limited.</t>
  </si>
  <si>
    <t>Prognosis and prognostic research: what, why, and how?</t>
  </si>
  <si>
    <t>Moons, Karel G M; Royston, Patrick; Vergouwe, Yvonne; Grobbee, Diederick E; Altman, Douglas G</t>
  </si>
  <si>
    <t>https://pubmed.ncbi.nlm.nih.gov/19237405</t>
  </si>
  <si>
    <t>A useful relationship between epidemiology and queueing theory: the distribution of the number of infectives at the moment of the first detection.</t>
  </si>
  <si>
    <t>Trapman, Pieter; Bootsma, Martinus Christoffel Jozef</t>
  </si>
  <si>
    <t>https://pubmed.ncbi.nlm.nih.gov/19233215</t>
  </si>
  <si>
    <t>In this paper we establish a relation between the spread of infectious diseases and the dynamics of so called M/G/1 queues with processor sharing. The relation between the spread of epidemics and branching processes, which is well known in epidemiology, and the relation between M/G/1 queues and birth death processes, which is well known in queueing theory, will be combined to provide a framework in which results from queueing theory can be used in epidemiology and vice versa. In particular, we consider the number of infectious individuals in a standard SIR epidemic model at the moment of the first detection of the epidemic, where infectious individuals are detected at a constant per capita rate. We use a result from the literature on queueing processes to show that this number of infectious individuals is geometrically distributed.</t>
  </si>
  <si>
    <t>Metabolic syndrome and vascular risk in patients with peripheral arterial occlusive disease.</t>
  </si>
  <si>
    <t>Vlek, Anne L M; van der Graaf, Yolanda; Sluman, Maayke A; Moll, Frans L; Visseren, Frank L J; ,</t>
  </si>
  <si>
    <t>https://pubmed.ncbi.nlm.nih.gov/19223144</t>
  </si>
  <si>
    <t>Peripheral arterial occlusive disease (PAOD) is associated with a high risk of cardiovascular events. The metabolic syndrome is a frequent condition among patients with manifest vascular disease, but the influence of the metabolic syndrome on cardiovascular events in patients with PAOD is unknown. Also, progression and regression of the metabolic syndrome after follow-up are not extensively studied. The study population consisted of 461 patients with symptomatic PAOD from the Second Manifestations of Arterial Disease study (SMART). Patients underwent vascular screening at baseline and after a mean follow-up of 5.5 +/- 1.3 years. Hazard ratios (HRs) for vascular events according to metabolic syndrome status (updated National Cholesterol Education Program [NCEP] criteria) were calculated using Cox regression analysis. The course of the metabolic syndrome during follow-up and the influence of body mass index (BMI) on development or disappearance of the syndrome were assessed. During follow-up, 91 first vascular events were recorded. Cumulative 3-year survival free from vascular events was 84.7% in metabolic syndrome patients compared to 92.1% in participants without the syndrome. The metabolic syndrome was associated with an increased risk of vascular events (HR 1.51; 1.01-2.30, age- and gender-adjusted). During follow-up, 128 patients died or were lost to follow-up, and of 333 remaining patients, 221 participated in follow-up measurements. The metabolic syndrome disappeared in 16% of patients and was incident in 14% of patients during follow-up. Waist circumference increased with 10 +/- 8 cm in those developing the syndrome. A BMI decrease of 1 kg/m(2) significantly decreased the risk of metabolic syndrome development by 23% (odds ratio [OR] 0.77; 0.62-0.96), and increased the chance to revert to a non-metabolic syndrome state by 32% (OR 1.32; 1.03-1.71). The metabolic syndrome is associated with a 1.5-fold increase in risk of vascular events in PAOD patients. Weight control reduces metabolic syndrome incidence and increases metabolic syndrome resolution during follow-up.</t>
  </si>
  <si>
    <t>Identifying people with metabolic syndrome in primary care by screening with a mailed tape measure: a survey of 14,000 people in the Netherlands.</t>
  </si>
  <si>
    <t>van den Donk, Maureen; Bobbink, Inge W G; Gorter, Kees J; Salomé, Philippe L; Rutten, Guy E H M</t>
  </si>
  <si>
    <t>https://pubmed.ncbi.nlm.nih.gov/19463483</t>
  </si>
  <si>
    <t>To determine the feasibility of population-based screening for metabolic syndrome (MetS) in primary care with self-measurement of waist circumference (WC) as first step, and the prevalence of MetS in a Dutch city. A survey of 14,000 people on the list of primary care physicians in the city of IJsselstein. All adults between 20 and 70 years on July 1st, 2006 were asked to measure their WC using a mailed tape measure. Participants with a high WC (&gt;88/102 cm for women/men) were invited for assessment of other factors defining MetS. For patients already known with cardiovascular risk factors, these data were collected from medical records. 11,862 subjects were invited, of whom 6843 (58%) measured their WC. 2004 had a WC&gt;88/102 cm and 1721 participated in all examinations. In 473 MetS was detected. The sensitivity of the screening was 77%, the negative predictive value 96%. The prevalence of MetS, including patients known with cardiovascular risk factors, was 15.5%. A primary care physician-driven population screening with self-measurement of WC can identify adults with MetS. The estimated prevalence of MetS is 15.5%. This procedure creates possibilities for targeted screening, prevention and treatment of people who are at increased cardiovascular risk.</t>
  </si>
  <si>
    <t>Incidence and antibiotic prescription rates for common infections in patients with diabetes in primary care over the years 1995 to 2003.</t>
  </si>
  <si>
    <t>Venmans, L M A J; Hak, E; Gorter, K J; Rutten, G E H M</t>
  </si>
  <si>
    <t>https://pubmed.ncbi.nlm.nih.gov/19208491</t>
  </si>
  <si>
    <t>To assess changes in incidence and in antibiotic prescription rates for infections of the lower respiratory tract (LRTI) and urinary tract (UTI) in patients with diabetes (DM) over the years 1995 to 2003. This was a retrospective cohort study as part of the University Medical Center Utrecht General Practitioners Research Network. We included patients with DM aged &gt; or = 45 years. We assessed incidence and antibiotic prescription rates for LRTI and UTI. Incidence rates were calculated as episodes per 1000 person-years. Antibiotic prescription rates were calculated per 100 episodes of LRTI and UTI. The study population increased over the years 1995 to 2003. The male-to-female ratio and mean age of the study population remained constant over these years. The incidence rate for LRTI remained stable (13%; p=0.442), and for UTI the incidence rate increased by 40% (p=0.037). Antibiotic prescription rates increased in LRTI by 60% (p&lt;0.001) and in cystitis by 15% (p=0.029). Incidence rates for UTI and antibiotic prescription rates for LRTI in diabetes have increased over the years 1995 to 2003. In particular, attention should be paid to the increasing use of antibiotics in DM patients with LRTI.</t>
  </si>
  <si>
    <t>A simple method to adjust clinical prediction models to local circumstances.</t>
  </si>
  <si>
    <t>Janssen, Kristel J M; Vergouwe, Yvonne; Kalkman, Cor J; Grobbee, Diederick E; Moons, Karel G M</t>
  </si>
  <si>
    <t>canadian journal of anaesthesia journal canadien danesthesie</t>
  </si>
  <si>
    <t>https://pubmed.ncbi.nlm.nih.gov/19247740</t>
  </si>
  <si>
    <t>Clinical prediction models estimate the risk of having or developing a particular outcome or disease. Researchers often develop a new model when a previously developed model is validated and the performance is poor. However, the model can be adjusted (updated) using the new data. The updated model is then based on both the development and validation data. We show how a simple updating method may suffice to update a clinical prediction model. A prediction model that preoperatively predicts the risk of severe postoperative pain was developed with multivariable logistic regression from the data of 1944 surgical patients in the Academic Medical Center Amsterdam, the Netherlands. We studied the predictive performance of the model in 1,035 new patients, scheduled for surgery at a later time in the University Medical Center Utrecht, the Netherlands. We assessed the calibration (agreement between predicted risks and the observed frequencies of an outcome) and discrimination (ability of the model to distinguish between patients with and without postoperative pain). When the incidence of the outcome is different, all predicted risks may be systematically over- or underestimated. Hence, the intercept of the model can be adjusted (updating). The predicted risks were systematically higher than the observed frequencies, corresponding to a difference in the incidence of postoperative pain between the development (62%) and validation set (36%). The updated model resulted in better calibration. When a clinical prediction model in new patients does not show adequate performance, an alternative to developing a new model is to update the prediction model with new data. The updated model will be based on more patient data, and may yield better risk estimates.</t>
  </si>
  <si>
    <t>["Father would have never wanted this". Substituted judgement from family members about the treatment of Wilson disease patients].</t>
  </si>
  <si>
    <t>Westendorp, G Wouter; van Delden, J J M</t>
  </si>
  <si>
    <t>https://pubmed.ncbi.nlm.nih.gov/19271449</t>
  </si>
  <si>
    <t>Physical activity and endogenous sex hormone levels in postmenopausal women: a cross-sectional study in the Prospect-EPIC Cohort.</t>
  </si>
  <si>
    <t>van Gils, Carla H; Peeters, Petra H M; Schoenmakers, Micha C J; Nijmeijer, Rian M; Onland-Moret, N Charlotte; van der Schouw, Yvonne T; Monninkhof, Evelyn M</t>
  </si>
  <si>
    <t>https://pubmed.ncbi.nlm.nih.gov/19190137</t>
  </si>
  <si>
    <t>The protective effect of physical activity on breast cancer risk might be mediated by sex hormone levels. In this study, we examined the association between usual physical activity and plasma levels of estrogens, androgens, dehydroepiandrosterone sulphate (DHEAS), and sex hormone binding globulin (SHBG) in postmenopausal women. We conducted a cross-sectional study among 806 postmenopausal women participating in the Prospect-EPIC study. Usual physical activity was assessed using a short questionnaire and summarized into a simple, validated four-level index. This index combines occupational physical activity with time spent on cycling and sporting. Levels of estrone, estradiol, androstenedione, DHEAS, testosterone, and SHBG were measured in plasma. General linear models were used to examine the association between usual physical activity and sex hormone levels, adjusted for confounders. We observed an inverse association between physical activity and estradiol levels (free: inactive, 0.26 pg/mL; active, 0.23 pg/mL; P-trend = 0.045; total: inactive, 8.8 pg/mL; active, 8.0 pg/mL; P-trend = 0.08) and a positive association between physical activity and SHBG (inactive, 15.1 nmol/L; active, 19.3 nmol/L; P-trend = 0.05). These associations could largely be explained by the effects of sporting. We also observed a positive association between physical activity and DHEAS (inactive, 352.4 ng/mL; active, 460.3 ng/mL; P-trend = 0.01). Our results are in accordance with the hypothesis that usual physical activity decreases estradiol levels and increases SHBG. We also found that high levels of physical activity are associated with high levels of DHEAS. Furthermore, our results suggest that vigorous forms of physical activity influence sex hormone levels most.</t>
  </si>
  <si>
    <t>Cost-effectiveness of additional hepatitis B virus nucleic acid testing of individual donations or minipools of six donations in the Netherlands.</t>
  </si>
  <si>
    <t>Borkent-Raven, B A; Janssen, M P; van der Poel, C L; de Wit, G A; Bonsel, G J; van Hout, B A</t>
  </si>
  <si>
    <t>https://pubmed.ncbi.nlm.nih.gov/19389213</t>
  </si>
  <si>
    <t>To further reduce the risk of hepatitis B virus (HBV) transmission by blood transfusion, nucleic acid testing (NAT) can be employed. The aim of this study is to estimate the incremental cost-effectiveness ratio (ICER) in the Netherlands of employing a triplex NAT assay aimed at HBV nucleic acid detection in individual donations (ID-NAT) or in minipools of 6 donations (MP-6-NAT), compared to a triplex NAT assay in minipools of 24 donations (MP-24-NAT). A mathematical model was made of the whole transfusion chain from donors to recipients of blood in the Netherlands. The annual number of avoided HBV transmissions was estimated with the window-period incidence model. The natural history of a HBV infection in recipients is described by a Markov model. The ICER of adding HBV MP-6-NAT or HBV ID-NAT in the Netherlands is Euro303,218 (95% confidence interval [CI], Euro233,001-Euro408,388) and Euro518,995 (95% CI, Euro399,359-Euro699,120) per quality-adjusted life-year, respectively. The ICER strongly correlates with the age of transfusion recipients. The cost-effectiveness of additional HBV NAT is limited by the limited loss of life caused by HBV transmission. Despite a higher effectiveness, HBV ID-NAT is less cost-effective than MP-6-NAT due to higher costs. A future equivalent participation of immigrants from HBV-endemic countries in the donor base renders HBV NAT only slightly more cost-effective.</t>
  </si>
  <si>
    <t>A high menaquinone intake reduces the incidence of coronary heart disease.</t>
  </si>
  <si>
    <t>Gast, G C M; de Roos, N M; Sluijs, I; Bots, M L; Beulens, J W J; Geleijnse, J M; Witteman, J C; Grobbee, D E; Peeters, P H M; van der Schouw, Y T</t>
  </si>
  <si>
    <t>https://pubmed.ncbi.nlm.nih.gov/19179058</t>
  </si>
  <si>
    <t>Vitamin K dependent proteins have been demonstrated to inhibit vascular calcification. Data on the effect of vitamin K intake on coronary heart disease (CHD) risk, however, are scarce. To examine the relationship between dietary vitamins K(1) and K(2) intake, and its subtypes, and the incidence of CHD. We used data from the Prospect-EPIC cohort consisting of 16,057 women, enrolled between 1993 and 1997 and aged 49-70 years, who were free of cardiovascular diseases at baseline. Intake of vitamin K and other nutrients was estimated with a food frequency questionnaire. Multivariate Cox proportional hazards models were used to analyse the data. After a mean+/-SD follow-up of 8.1+/-1.6 years, we identified 480 incident cases of CHD. Mean vitamin K(1) intake was 211.7+/-100.3 microg/d and vitamin K(2) intake was 29.1+/-12.8 microg/d. After adjustment for traditional risk factors and dietary factors, we observed an inverse association between vitamin K(2) and risk of CHD with a Hazard Ratio (HR) of 0.91 [95% CI 0.85-1.00] per 10 microg/d vitamin K(2) intake. This association was mainly due to vitamin K(2) subtypes MK-7, MK-8 and MK-9. Vitamin K(1) intake was not significantly related to CHD. A high intake of menoquinones, especially MK-7, MK-8 and MK-9, could protect against CHD. However, more research is necessary to define optimal intake levels of vitamin K intake for the prevention of CHD.</t>
  </si>
  <si>
    <t>Is centralization of ovarian cancer care warranted? A cost-effectiveness analysis.</t>
  </si>
  <si>
    <t>Greving, Jacoba P; Vernooij, Flora; Heintz, A Peter M; van der Graaf, Yolanda; Buskens, Erik</t>
  </si>
  <si>
    <t>https://pubmed.ncbi.nlm.nih.gov/19176236</t>
  </si>
  <si>
    <t>To evaluate the cost-effectiveness of tertiary referral care for ovarian cancer patients in the Netherlands. We collected clinical and registry data on 1077 newly diagnosed ovarian cancer patients treated from 1996-2003 in a random sample of Dutch hospitals. Decision modelling was used to compare the cost-effectiveness of treatment in general hospitals, semi-specialized hospitals, and tertiary care centers. The actual direct medical costs of ovarian cancer treatment were evaluated. Long-term outcomes in terms of costs, quality-adjusted life-years (QALYs), and incremental costs per QALY gained were estimated. To assess uncertainty, multivariable sensitivity analyses and scenario analyses were performed. Treatment of ovarian cancer patients in semi-specialized hospitals costs on average euro882 more than in general hospitals (95% confidence interval -720 to 2462) and yields 0.12 additional QALYs (95% CI 0.02 to 0.22), resulting in an incremental cost-effectiveness ratio (ICER) of euro7135. Patients treated in tertiary care centers incurred again higher costs (euro10,591, 95% CI 8757 to 12,480) and also higher QALYs (0.10, 95% CI 0 to 0.21), resulting in an ICER of euro102,642 compared to semi-specialized hospitals. If the optimal debulking rate in tertiary care centers would increase to 70%, costs could drop below euro30,000 per QALY. Current treatment of ovarian cancer patients in semi-specialized hospital settings is a cost-effective strategy, while treatment in tertiary care centers becomes only cost-effective when better surgical results would be achieved.</t>
  </si>
  <si>
    <t>Validation of previously identified serum biomarkers for breast cancer with SELDI-TOF MS: a case control study.</t>
  </si>
  <si>
    <t>van Winden, Annemieke W J; Gast, Marie-Christine W; Beijnen, Jos H; Rutgers, Emiel J Th; Grobbee, Diederick E; Peeters, Petra H M; van Gils, Carla H</t>
  </si>
  <si>
    <t>bmc medical genomics</t>
  </si>
  <si>
    <t>https://pubmed.ncbi.nlm.nih.gov/19152674</t>
  </si>
  <si>
    <t>Serum protein profiling seems promising for early detection of breast cancer. However, the approach is also criticized, partly because of difficulties in validating discriminatory proteins. This study's aim is to validate three proteins previously reported to be discriminative between breast cancer cases and healthy controls. These proteins had been identified as a fragment of inter-alpha trypsin inhibitor H4 (4.3 kDa), C-terminal-truncated form of C3a des arginine anaphylatoxin (8.1 kDa) and C3a des arginine anaphylatoxin (8.9 kDa). Serum protein profiles of 48 breast cancer patients and 48 healthy controls were analyzed with surface-enhanced laser desorption/ionization time-of-flight mass spectrometry (SELDI-TOF MS). Differences in protein intensity between breast cancer cases and controls were measured with the Mann-Whitney U test and adjusted for confounding in a multivariate logistic regression model. Four peaks, with mass-to-charge ratio (m/z) 4276, 4292, 8129 and 8941, were found that were assumed to represent the previously reported proteins. M/z 4276 and 4292 were statistically significantly decreased in breast cancer cases compared to healthy controls (p &lt; 0.001). M/z 8941 was decreased in breast cancer cases (p &lt; 0.001) and m/z 8129 was not related with breast cancer (p = 0.87). Adjustment for sample preparation day, sample storage duration and age did not substantially alter results. M/z 4276 and 4292 both represented the previously reported 4.3 kDa protein and were both decreased in breast cancer patients, which is in accordance with the results of most previous studies. M/z 8129 was in contrast with previous studies not related with breast cancer. Remarkably, m/z 8941 was decreased in breast cancer cases whereas in previous studies it was increased. Differences in patient populations and pre-analytical sample handling could have contributed to discrepancies. Further research is needed before we can conclude on the relevance of these proteins as breast cancer biomarkers.</t>
  </si>
  <si>
    <t>Insulin therapy in type 2 diabetes: what is the evidence?</t>
  </si>
  <si>
    <t>van Avendonk, Mariëlle J P; Rutten, Guy E H M</t>
  </si>
  <si>
    <t>https://pubmed.ncbi.nlm.nih.gov/19175375</t>
  </si>
  <si>
    <t>To systematically review the literature regarding insulin use in patients with type 2 diabetes mellitus A Medline and Embase search was performed to identify randomized controlled trials (RCT) published in English between 1 January 2000 and 1 April 2008, involving insulin therapy in adults with type 2 diabetes mellitus. The RCTs must comprise at least glycaemic control (glycosylated haemoglobin (HbA1c), postprandial plasma glucose and /or fasting blood glucose (FBG)) and hypoglycaemic events as outcome measurements. The Pubmed search resulted in 943 hits; the Embase search gave 692 hits. A total of 116 RCTs were selected by title or abstract. Eventually 78 trials met the inclusion criteria. The studies were very diverse and of different quality. They comprised all possible insulin regimens with and without combination with oral medication. Continuing metformin and/or sulphonylurea after start of therapy with basal long-acting insulin results in better glycaemic control with less insulin requirements, less weight gain and less hypoglycaemic events. Long-acting insulin analogues in combination with oral medication are associated with similar glycaemic control but fewer hypoglycaemic episodes compared with NPH insulin. Most of the trials demonstrated better glycaemic control with premix insulin therapy than with a long-acting insulin once daily, but premix insulin causes more hypoglycaemic episodes. Analogue premix provides similar HbA1c, but lower postprandial glucose levels compared with human premix, without increase in hypoglycaemic events or weight gain. Drawing conclusions from the limited number of studies concerning basal-bolus regimen seems not possible. Some studies showed that rapid-acting insulin analogues frequently result in a better HbA1c or postprandial glucose without increase of hypoglycaemia than regular human insulin. A once-daily basal insulin regimen added to oral medication is an ideal starting point. All next steps, from one to two or even more injections per day should be taken very carefully and in thorough deliberation with the patient, who has to comply with such a regimen for many years.</t>
  </si>
  <si>
    <t>Antidepressant use before and after initiation of diabetes mellitus treatment.</t>
  </si>
  <si>
    <t>Knol, M J; Geerlings, M I; Grobbee, D E; Egberts, A C G; Heerdink, E R</t>
  </si>
  <si>
    <t>https://pubmed.ncbi.nlm.nih.gov/19130036</t>
  </si>
  <si>
    <t>Although current literature suggests an association between diabetes and depression, the direction of the association is unclear. We examined the temporal association between diabetes and depression by studying antidepressant and benzodiazepine use around the initiation of diabetes treatment. From a pharmacy registry database we selected 49,593 diabetic patients and a random sample of non-diabetic individuals (n = 154,441), all &gt;40 years old. Antidepressant and benzodiazepine use was calculated for the 7 years before and 7 years after the index date. The index date in diabetes patients was defined as the date of initiation of diabetes medication. A random index date was assigned to non-diabetic individuals. Time-specific incidence rate ratios of antidepressant and benzodiazepine use were calculated for intervals of 1 year, 3 months and 1 month. Antidepressant and benzodiazepine use was increased 2 months before and 3 months after the initiation of diabetes treatment compared with non-diabetic individuals. The strongest increase in incidence of antidepressant and benzodiazepine use was seen in the month after initiation of diabetes treatment with incidence rate ratios of 2.4 (95% CI 2.0-3.0) and 3.4 (95% CI 3.0-3.8) respectively, after adjustment for age, sex and Chronic Disease Score. The increased incidence of antidepressant and benzodiazepine use may be a consequence of the burden of disease, of starting with diabetes medication or of being diagnosed with diabetes. Our findings could also reflect earlier detection by their physician.</t>
  </si>
  <si>
    <t>Ultrasound protocols to measure carotid intima-media thickness: a post-hoc analysis of the OPAL study.</t>
  </si>
  <si>
    <t>Dogan, S; Plantinga, Y; Evans, G W; Meijer, R; Grobbee, D E; Bots, M L; ,</t>
  </si>
  <si>
    <t>https://pubmed.ncbi.nlm.nih.gov/19210144</t>
  </si>
  <si>
    <t>Ultrasound protocols to measure carotid intima-media thickness (CIMT) differ in the number of carotid walls, segments and angles measured. No published evidence is available to help decide which approach is best, i.e. the most reproducible and providing the largest CIMT progression rate measured with highest precision. We compared different ultrasound protocols in a post-hoc analysis in the 'Osteoporosis Prevention and Arterial effects of tiboLone' (OPAL) study, a 3-year randomized controlled trial among healthy postmenopausal women. Based on combinations of 60 CIMT measurements per participant (two sides, two walls, three segments, five angles), 66 theoretical protocols were constructed. Each protocol was assessed and ranked on: (1) reproducibility (intra-class correlation (ICC), mean difference of duplicate scans) and (2) CIMT progression rate and its precision (standard error) in the placebo group. Duplicate scans at baseline and end of study were available for 675 women (89% of 759 subjects). ICC ranged from 0.69 to 0.88. Mean difference in CIMT of duplicate scans and its standard deviation, ranged from 0.0010 to 0.0137 mm and from 0.0561 to 0.1770, respectively. CIMT rate of progression ranged from -0.0001 to 0.0113 mm/year. The protocols with highest reproducibility and highest CIMT progression-precision were mean common CIMT protocols measuring both near and far wall at &gt; or = 2 angles. The mean maximum protocol measuring three segments at &gt; or = 2 angles performed best, yet with lower estimates as for common CIMT protocols. In healthy middle-aged subjects mean common CIMT protocols that include measurements at both near and far walls at multiple (&gt; or = 2) angles provide highest reproducibility combined with largest estimates of CIMT progression measured with high precision and are to be recommended in this population.</t>
  </si>
  <si>
    <t>[Too many coronary intervention centres in the Netherlands].</t>
  </si>
  <si>
    <t>https://pubmed.ncbi.nlm.nih.gov/19860927</t>
  </si>
  <si>
    <t>The Dutch Minister of Health's decision to expand the number of specialised treatment centres for percutaneous cardiac interventions (PCI) will reduce the volume per centre and per cardiologist. Hospitals and cardiologists have overestimated their adherence region and this will result in too few interventions per cardiologist to allow them to maintain their skills and guarantee optimal quality. Several studies show that there is a strong relationship between volume and complications. In acute PCI, experienced cardiologists have 42% (95% CI: 0.39-0.86) less mortality than their less experienced colleagues. The minister has defended his policy by stating that quality of care is the responsibility of cardiologists, directors of hospitals and health insurance companies. However, the branch is not able to control the distribution of complicated interventions. Although they know that there is a strong relation between the number of interventions and outcome they refuse to accept this and ignore the importance of forming strong alliances and collaborative networks.</t>
  </si>
  <si>
    <t>GORD patients on chronic acid suppressive medication: a population-average psychological state.</t>
  </si>
  <si>
    <t>van der Velden, Alike; De Wit, Niek; Quartero, A Otto; Grobbee, Diederick E; Numans, Mattijs E</t>
  </si>
  <si>
    <t>scandinavian journal of gastroenterology</t>
  </si>
  <si>
    <t>https://pubmed.ncbi.nlm.nih.gov/18819038</t>
  </si>
  <si>
    <t>Incidence and mortality of cardiovascular disease in postmenopausal women world-wide and relevance for preventive strategies.</t>
  </si>
  <si>
    <t>van der Schouw, Y T</t>
  </si>
  <si>
    <t>https://pubmed.ncbi.nlm.nih.gov/19811232</t>
  </si>
  <si>
    <t>World-wide, cardiovascular disease is mainly seen as a male problem, whereas breast cancer is considered to be the most important chronic disease in women. However, cardiovascular disease is the largest single cause of death also in women, accounting for approximately one-third of the mortality, while breast cancer is responsible for less than 5% of the mortality. Physicians and women are equally unaware of these numbers. From a public health viewpoint, morbidity might be even more important, given the fact that therapeutic strategies have improved in the last decades, and disease fatality has been decreasing. In this contribution, the mortality and disability-adjusted life-years of cardiovascular disease world-wide will be summarized, and the relevance for prevention and the specific issues relevant to postmenopausal women will be discussed.</t>
  </si>
  <si>
    <t>Long-term results of heart transplantation for end-stage valvular heart disease.</t>
  </si>
  <si>
    <t>Tjang, Yanto Sandy; van der Heijden, Geert J M G; Tenderich, Gero; Körfer, Reiner; Grobbee, Diederick E</t>
  </si>
  <si>
    <t>journal of cardiac surgery</t>
  </si>
  <si>
    <t>https://pubmed.ncbi.nlm.nih.gov/19740302</t>
  </si>
  <si>
    <t>In general, heart transplantation for patients with heart failure improves survival. However, the outcomes of heart transplantation for patients with end-stage valvular heart disease are less well reported. This is a substantial group of patients, many of whom have had previous cardiac surgery. They therefore may be considered a subgroup with a poor prognosis. This study reports on the outcomes of heart transplantation for patients with end-stage valvular heart disease. From March 1989 to December 2004, 75 consecutive adult heart transplantations were performed for end-stage valvular heart disease. Clinical characteristics were retrieved from a computerized database. The early mortality risk in heart transplantation for end-stage valvular heart disease was 13%, compared to 8% for other indications (p = 0.12). The main causes of early death were rejection (20%) and right ventricular failure (20%). The total follow-up time was 415 patient-years. During the follow-up, another 23 patients died (55/1000 patient-years of late mortality rate), mostly due to infection (43%) and multiorgan failure (22%). Multivariable analysis demonstrated that increased waiting time to heart transplantation correlated with increased survival (HR = 0.998, p = 0.04). The survival at 1, 5, 10, and 15 years was 70%, 64%, 56%, and 46% compared to 78%, 68%, 53%, and 41% for other indications, respectively (p = 0.5). The outcomes of heart transplantation for patients with end-stage valvular heart disease are similar to those for other patients. Apparently, the longer the waiting time to heart transplantation the better the outcome becomes.</t>
  </si>
  <si>
    <t>Response to open peer commentaries on "What is the best standard for the standard of care in clinical research?".</t>
  </si>
  <si>
    <t>https://pubmed.ncbi.nlm.nih.gov/19998101</t>
  </si>
  <si>
    <t>Vasomotor symptoms are associated with a lower bone mineral density.</t>
  </si>
  <si>
    <t>Gast, Gerrie-Cor M; Grobbee, Diederick E; Pop, Victor J M; Keyzer, Jules J; Wijnands-van Gent, Colette J M; Samsioe, Göran N; Nilsson, Peter M; van der Schouw, Yvonne T</t>
  </si>
  <si>
    <t>https://pubmed.ncbi.nlm.nih.gov/19034053</t>
  </si>
  <si>
    <t>The severity of vasomotor symptoms has been hypothesized to be linked to a lower bone mineral density (BMD). We examined whether women with vasomotor symptoms are different from women without symptoms with regard to BMD. We used data from a population-based sample of 5,600 women, aged 46 to 57 years and free from bone diseases, who participated in the first cross-sectional part of the Eindhoven Perimenopausal Osteoporosis Study between 1994 and 1995. Questionnaires at baseline were used to collect data on vasomotor symptoms and potential confounders. At baseline, BMD of the lumbar spine was measured using dual energy x-ray absorptiometry. Linear regression analysis was used to analyze the data. Flushing was reported by 39% of all women, and night sweats, by 38% of all women. The average BMD was 1.01 +/- 0.14 g/cm and decreased with increasing frequency of flushing (P for trend &lt; 0.0001) and night sweats (P for trend = 0.03). After multivariate adjustments for age, body mass index, menopause status, smoking, education, exercise, and hormone use, women with the highest frequency of symptoms had a 0.022 g/cm (95% CI, -0.03 to -0.01) lower BMD compared with asymptomatic women. Women who reported having the highest frequency of night sweats had a 0.011 g/cm (95% CI, -0.02 to -0.001) lower BMD compared with women with no symptoms of night sweats. Our findings show that vasomotor symptoms are associated with reduced bone density. It could be hypothesized that women with vasomotor symptoms might be more susceptible to the beneficial effects of estrogens, possibly by neutralizing the effect of estrogen fluctuations. Further research is needed to extend these findings to other estrogen-sensitive end organs.</t>
  </si>
  <si>
    <t>Insulin therapy in type 2 diabetes is no longer a secondary care activity in the Netherlands.</t>
  </si>
  <si>
    <t>van Avendonk, Mariëlle J P; Gorter, Kees J; van den Donk, Maureen; Rutten, Guy E H M</t>
  </si>
  <si>
    <t>https://pubmed.ncbi.nlm.nih.gov/19095513</t>
  </si>
  <si>
    <t>Because Dutch health care organisations did want to establish well-defined diabetes shared care groups, we investigated the organisation of insulin therapy in general practice in the Netherlands and assessed factors that were associated with providing insulin therapy in type 2 diabetes (DM2) patients. Questionnaire to half of the Dutch general practitioners (GPs) (n=3848). We compared GPs who both start insulin treatment and monitor the dosages with those who always refer patients requiring insulin therapy or only monitor insulin dosages. Total response was 42% (n=1621). 67% of the GPs start insulin therapy in patients with DM2, especially male GPs and those above the age of 40, as well as GPs working in a health centre and those working together with a practice nurse. GPs working in urban regions less often start insulin. The most often mentioned barriers for starting and/or monitoring insulin therapy are lack of knowledge of insulin therapy, lack of time and insufficient financial incentives. This nation-wide overview shows that insulin therapy is no longer a secondary care based activity. However, there is still need to enlarge the practice staff and to overcome the perceived skills deficit.</t>
  </si>
  <si>
    <t>Three years follow-up of screen-detected diabetic and non-diabetic subjects: who is better off? The ADDITION Netherlands study.</t>
  </si>
  <si>
    <t>Janssen, Paul G H; Gorter, Kees J; Stolk, Ronald P; Akarsubasi, Mehmet; Rutten, Guy E H M</t>
  </si>
  <si>
    <t>https://pubmed.ncbi.nlm.nih.gov/19087327</t>
  </si>
  <si>
    <t>People with non-diabetic hyperglycaemia might be at risk of lacking adequate control for cardiovascular risk factors. Our aim was to determine the extent of health care utilization and provision in primary care and to evaluate the risk of cardiovascular disease in persons with an elevated risk score in a stepwise diabetes screening programme. A total of 56,978 non-diabetic patients, aged 50-70 years, from 79 practices in the Netherlands were invited to participate in a screening programme starting with a questionnaire. Those with an elevated score, underwent further glucose testing. Screened participants with type 2 diabetes (n = 64), impaired glucose tolerance (IGT) (n = 62), impaired fasting glucose (IFG) (n = 86), and normal glucose tolerance (NGT) (n = 142) were compared after three years regarding use of medication, care provider encounters and occurrence of CVD. In all glucose regulation categories cardiovascular medication was prescribed more frequently during follow-up with the strongest increase in diabetic patients. Number of practice visits was higher in diabetic patients compared to those in the other categories. Glucose, lipids, and blood pressure were measured most frequently in diabetic patients. Numbers of cardiovascular events in participants with NGT, IFG, IGT and diabetes were 16.7, 32.6, 17.3 and 15.7 per 1,000 person-years (non significant), respectively. After three years of follow-up, screened non-diabetic participants with an elevated risk score had cardiovascular event rates comparable with diabetic patients. Screened non-diabetic persons are at risk of lacking optimal control for cardiovascular risk factors while screen-detected diabetic patients were controlled adequately.</t>
  </si>
  <si>
    <t>Multiple imputation to correct for partial verification bias revisited.</t>
  </si>
  <si>
    <t>de Groot, J A H; Janssen, K J M; Zwinderman, A H; Moons, K G M; Reitsma, J B</t>
  </si>
  <si>
    <t>https://pubmed.ncbi.nlm.nih.gov/18752256</t>
  </si>
  <si>
    <t>Partial verification refers to the situation where a subset of patients is not verified by the reference (gold) standard and is excluded from the analysis. If partial verification is present, the observed (naive) measures of accuracy such as sensitivity and specificity are most likely to be biased. Recently, Harel and Zhou showed that partial verification can be considered as a missing data problem and that multiple imputation (MI) methods can be used to correct for this bias. They claim that even in simple situations where the verification is random within strata of the index test results, the so-called Begg and Greenes (B&amp;G) correction method underestimates sensitivity and overestimates specificity as compared with the MI method. However, we were able to demonstrate that the B&amp;G method produces similar results as MI, and that the claimed difference has been caused by a computational error. Additional research is needed to better understand which correction methods should be preferred in more complex scenarios of missing reference test outcome in diagnostic research.</t>
  </si>
  <si>
    <t>[Medical microbiology laboratories in Dutch hospitals: essential for safe patient care].</t>
  </si>
  <si>
    <t>https://pubmed.ncbi.nlm.nih.gov/19137961</t>
  </si>
  <si>
    <t>The Netherlands Health Care Inspectorate investigated the quality of medical microbiology laboratories in Dutch hospitals. By and large the laboratories fulfilled the requirements for appropriate care, although some processes were unsatisfactory and some were insufficiently formalised. In the Netherlands, laboratories for medical microbiology are integrated within hospitals and medical microbiologists are responsible for the diagnostic processes as well as for co-treatment of patients, infection prevention and research. This integrated model contrasts to the more industrialised model in many other countries, where such laboratories are physically distinct from hospitals with a strong focus on diagnostics. The Inspectorate also concludes that the current position of medical microbiology in Dutch hospitals is necessary for patient safety and that outsourcing of these facilities is considered unacceptable.</t>
  </si>
  <si>
    <t>Clinically relevant diagnostic research in primary care: the example of B-type natriuretic peptides in the detection of heart failure.</t>
  </si>
  <si>
    <t>Kelder, Johannes C; Rutten, Frans H; Hoes, Arno W</t>
  </si>
  <si>
    <t>https://pubmed.ncbi.nlm.nih.gov/19052156</t>
  </si>
  <si>
    <t>With the emergence of novel diagnostic tests, e.g. point-of-care tests, clinically relevant empirical evidence is needed to assess whether such a test should be used in daily practice. With the example of the value of B-type natriuretic peptides (BNP) in the diagnostic assessment of suspected heart failure, we will discuss the major methodological issues crucial in diagnostic research; most notably the choice of the study population and the data analysis with a multivariable approach. BNP have been studied extensively in the emergency care setting, and also several studies in the primary care are available. The usefulness of this test when applied in combination with other readily available tests is still not adequately addressed in the relevant patient domain, i.e. those who are clinically suspected of heart failure by their GP. Future diagnostic research in primary care should be targeted much more at answering the clinically relevant question 'Is it useful to add this (new) test to the other tests I usually perform, including history taking and physical examination, in patients I suspect of having a certain disease'.</t>
  </si>
  <si>
    <t>Nationwide incidence of first stroke and TIA in the Netherlands.</t>
  </si>
  <si>
    <t>Vaartjes, I; Reitsma, J B; de Bruin, A; Berger-van Sijl, M; Bos, M J; Breteler, M M B; Grobbee, D E; Bots, M L</t>
  </si>
  <si>
    <t>https://pubmed.ncbi.nlm.nih.gov/19049548</t>
  </si>
  <si>
    <t>Information on incidence of stroke is important for developing and maintaining public health strategies in primary and secondary prevention. Nationwide data on the incidence of stroke are scarce and absent for the Netherlands. New cases of first stroke and stroke subtypes in the Dutch population in 2000 were identified through linkage of national registers and included hospitalized patients for first stroke and out-of-hospital deaths from first stroke. The number of non-fatal, non-hospitalized stroke patients was estimated based on data from the Rotterdam study, a population based cohort. We identified 26,556 patients with a first stroke (20,798 hospitalized patients, 5758 out-of-hospital deaths). The number of non-fatal, non-hospitalized first stroke patients was estimated to be 12,255. Extrapolation of the data to the total Dutch population led to an overall estimate of approximately 41,000 patients with a first stroke. Stroke incidence increased with age and was higher in men than in women, except in the lowest (&lt; 45 years) and highest age group (&gt; 85 years). The present study provides for the first time incidence estimates of first stroke (hospitalized patients, out-of hospital deaths and non-fatal, non-hospitalized patients) based upon virtually the entire Dutch population.</t>
  </si>
  <si>
    <t>Parental smoking and vascular damage in young adult offspring: is early life exposure critical? The atherosclerosis risk in young adults study.</t>
  </si>
  <si>
    <t>Geerts, Caroline C; Bots, Michiel L; Grobbee, Diederick E; Uiterwaal, Cuno S P M</t>
  </si>
  <si>
    <t>https://pubmed.ncbi.nlm.nih.gov/19020316</t>
  </si>
  <si>
    <t>Our purpose was to study the association between familial and particularly fetal tobacco smoke exposure and vascular damage in young adulthood. From a cohort of 732 young adults, birth data were collected and in young adulthood ultrasound measurement of common carotid artery intima-media thickness (CIMT) was performed. Data on parental smoking were obtained by standardized questionnaires. Twenty-nine percent of the mothers smoked during pregnancy. Offspring of mothers who smoked had 13.4 microm thicker CIMT (95% CI: 5.5, 21.3; P=0.001) than offspring of mothers who did not smoke in pregnancy. Adjustment for known CIMT risk factors (participant's age, gender, BMI, pulse pressure, and LDL-cholesterol) yielded no change (9.4 microm, 95% CI: 1.9, 16.3, P=0.01) nor did adjustment for current smoking of parents (10.6 microm, 95% CI: 0.4 to 20.8, P=0.04), for participants' current smoking and pack-years (11.5 microm, 95% CI: 3.5 to 19.4, P=0.004) or for parental socioeconomic status (SES; 13.0 microm, 95% CI: 5.0, 21.1, P=0.002). Thicker CIMT was associated with exclusive paternal smoking in pregnancy, somewhat stronger with exclusive maternal smoking and strongest with both parents smoking (P (linear trend)=0.001). Offspring of particularly mothers who smoked an above median number of cigarettes in pregnancy had thicker CIMT than those smoking less than median or no cigarettes (P (linear trend) &lt;0.0001). Permanent vascular damage is partly attributable to familial tobacco smoke exposure, an association that might be initiated in gestation.</t>
  </si>
  <si>
    <t>Psychopathology is associated with dyspeptic symptom severity in primary care patients with a new episode of dyspepsia.</t>
  </si>
  <si>
    <t>Mujakovic, S; de Wit, N J; van Marrewijk, C J; Fransen, G A J; Laheij, R J F; Muris, J W; Samsom, M; Grobbee, D E; Jansen, J B M J; Knottnerus, J A; Numans, M E</t>
  </si>
  <si>
    <t>alimentary pharmacology therapeutics</t>
  </si>
  <si>
    <t>https://pubmed.ncbi.nlm.nih.gov/19053982</t>
  </si>
  <si>
    <t>Personality and psychiatric disorders are reported to be more common in dyspeptic patients with severe complaints, but it remains unclear whether this association exists for patients with mild and moderate dyspepsia. To study the association between dyspeptic symptom severity and psychopathology, major life events and coping ability in patients with a new episode of dyspepsia. METHODS; Dyspeptic symptom severity was measured using the validated eight symptom Veldhuyzen van Zanten questionnaire. Psychopathology was measured using the Symptom Check List-90 (SCL 90). Major life events were measured with a modified version of the Social Readjustment Rating Scale (SRRS). Coping styles were measured by a short version of the Utrecht Coping Questionnaire, distinguishing six coping styles. Linear regression was used to assess the relationship between dyspepsia symptom severity and psychological factors. In all, 664 patients with a new episode of uninvestigated dyspepsia, aged &gt;18 years were included. Dyspeptic symptom severity was positively correlated with the presence of depression (P &lt; 0.01), somatization symptoms (P &lt; 0.01), use of an active coping style (P &lt; 0.01) and negatively correlated with age (P &lt; 0.01). Primary care patients consulting with dyspepsia have higher levels of depression and somatization especially at younger age. An active coping style is associated with dyspepsia symptom severity.</t>
  </si>
  <si>
    <t>[Considerable comorbidity in overweight adults: results from the Utrecht Health Project].</t>
  </si>
  <si>
    <t>Molenaar, E A; Numans, M E; van Ameijden, E J C; Grobbee, D E</t>
  </si>
  <si>
    <t>https://pubmed.ncbi.nlm.nih.gov/19051798</t>
  </si>
  <si>
    <t>To determine the association between overweight, physical and mental health conditions and health-related quality of life in an adult community population upon entering a new primary care practice. Cross-sectional study. Baseline data from 4825 participants (mean age: 39 years; 55% women) in the Utrecht Health Project; a dynamic primary care population study with a response rate of over 50%, were used to determine and compare the prevalence of diagnosed medical conditions, complaints and quality of life between individuals of normal weight (BMI 18.5-&lt; 25 kg/m2) and those who were overweight (BMI 25-&lt; 30 kg/m2) or obese (BMI &gt; or = 30 kg/m2). Normal weight was used as the reference category. Overweight individuals were approximately twice as likely to have cardiovascular risk factors and had a 20-60% increased risk of back pain, arthrosis, migraine, dyspepsia and respiratory symptoms than those of normal weight. Obese individuals were almost twice to four times more likely to have these conditions and were additionally at increased risk of obstructive pulmonary disease, cardiovascular disease and arthritis (range of odds ratios (ORs): 1.9-3.3). Somatization and reduced physical well-being were more common among both overweight (ORs: 1.2-1.5) and obese (ORs: 1.7-3.7) individuals, whereas only obese individuals demonstrated a 30-50% increased risk of mental health conditions and reduced mental well-being. Overweight was associated with a broad range of physical and mental health conditions and a reduced health-related quality of life. Routine measurement of BMI upon entering a primary care practice is relatively simple and may contribute to the identification of individuals at high risk of comorbidity.</t>
  </si>
  <si>
    <t>Determinants of non-compliance with herpes zoster vaccination in the community-dwelling elderly.</t>
  </si>
  <si>
    <t>Opstelten, Wim; van Essen, Gerrit A; Hak, Eelko</t>
  </si>
  <si>
    <t>https://pubmed.ncbi.nlm.nih.gov/18996427</t>
  </si>
  <si>
    <t>As part of a series of studies on vaccine acceptance, we assessed determinants of compliance of the community-dwelling elderly with herpes zoster (HZ) vaccination in an existing influenza vaccination program. General practitioners (GPs) sent out a questionnaire to 1778 patients aged &gt; or =65 years, and offered them free HZ vaccination simultaneously with the yearly influenza vaccination. In all, 690 patients (39%) were vaccinated against HZ; 1349 patients (76%) accepted influenza vaccination. Determinants of non-compliance with HZ vaccination were perceived lack of recommendation by the GP, unwillingness to comply with the doctor's advice, perception of low risk of contracting HZ, perception of short pain duration of HZ, and the opinion that vaccinations weaken one's natural defenses. The same determinants were associated with non-compliance with both vaccinations, but objections in general towards vaccination, a high education and difficulties to visit GPs were also important. Uptake of HZ vaccination was rather low and more data on (cost-)effectiveness might encourage GPs to offer HZ vaccination to their patients.</t>
  </si>
  <si>
    <t>Validation, updating and impact of clinical prediction rules: a review.</t>
  </si>
  <si>
    <t>Toll, D B; Janssen, K J M; Vergouwe, Y; Moons, K G M</t>
  </si>
  <si>
    <t>https://pubmed.ncbi.nlm.nih.gov/19208371</t>
  </si>
  <si>
    <t>To provide an overview of the research steps that need to follow the development of diagnostic or prognostic prediction rules. These steps include validity assessment, updating (if necessary), and impact assessment of clinical prediction rules. Narrative review covering methodological and empirical prediction studies from primary and secondary care. In general, three types of validation of previously developed prediction rules can be distinguished: temporal, geographical, and domain validations. In case of poor validation, the validation data can be used to update or adjust the previously developed prediction rule to the new circumstances. These update methods differ in extensiveness, with the easiest method a change in model intercept to the outcome occurrence at hand. Prediction rules -- with or without updating -- showing good performance in (various) validation studies may subsequently be subjected to an impact study, to demonstrate whether they change physicians' decisions, improve clinically relevant process parameters, patient outcome, or reduce costs. Finally, whether a prediction rule is implemented successfully in clinical practice depends on several potential barriers to the use of the rule. The development of a diagnostic or prognostic prediction rule is just a first step. We reviewed important aspects of the subsequent steps in prediction research.</t>
  </si>
  <si>
    <t>[Care of patients with type 2 diabetes mellitus in primary care].</t>
  </si>
  <si>
    <t>Rutten, G E H M</t>
  </si>
  <si>
    <t>https://pubmed.ncbi.nlm.nih.gov/19055137</t>
  </si>
  <si>
    <t>Over the past 20 years, delivery ofdiabetes care in the Netherlands has shifted from secondary to primary care. Currently over 75% of all patients with type 2 diabetes mellitus are being treated by a diabetes team in general practice. Since 2000 both national and international publications have been describing the organisation and quality of primary diabetes care in the Netherlands. Apart from 4 large-scale diabetes projects in the areas of Zwolle, Hoorn, Maastricht and Breda, primary diabetes care is organised in various ways. At the end of 2005 a questionnaire sent to a representative group of 1621 general practitioners revealed that 95% kept a computerised diabetes register, one out of three practices delegated tasks to a diabetes service, and 20% of the practices had a shared care protocol with specialists. 2 out of 3 practices ran a diabetes clinic in which 2 out of 3 a practice nurse was involved. The results of 9 projects are known. 3 projects concern cross-sectional findings of disease management organisations, 6 concern general practices which were not participating in a diabetes project at the time of measurement, and 2 are clinical trials. Most of these measurements yielded representative data. They show that mean HbA(1C) levels &lt; 7%, mean systolic blood pressure of about 143 mmHg, and mean cholesterol levels of about 4.5 mmol/l are achievable. With logistic support, regular check-ups of fundus and feet are achieved in 9 out of 10 patients. No special organisational model has proved to be superior. A correct assessment of quality of care indicators should take into account the heterogeneity of type 2 diabetes mellitus, as well as the socio-economic status and the ethnicity of the patient population.</t>
  </si>
  <si>
    <t>The effects of influenza vaccination of health care workers in nursing homes: insights from a mathematical model.</t>
  </si>
  <si>
    <t>van den Dool, Carline; Bonten, Marc J M; Hak, Eelko; Heijne, Janneke C M; Wallinga, Jacco</t>
  </si>
  <si>
    <t>https://pubmed.ncbi.nlm.nih.gov/18959470</t>
  </si>
  <si>
    <t>Annual influenza vaccination of institutional health care workers (HCWs) is advised in most Western countries, but adherence to this recommendation is generally low. Although protective effects of this intervention for nursing home patients have been demonstrated in some clinical trials, the exact relationship between increased vaccine uptake among HCWs and protection of patients remains unknown owing to variations between study designs, settings, intensity of influenza seasons, and failure to control all effect modifiers. Therefore, we use a mathematical model to estimate the effects of HCW vaccination in different scenarios and to identify a herd immunity threshold in a nursing home department. We use a stochastic individual-based model with discrete time intervals to simulate influenza virus transmission in a 30-bed long-term care nursing home department. We simulate different levels of HCW vaccine uptake and study the effect on influenza virus attack rates among patients for different institutional and seasonal scenarios. Our model reveals a robust linear relationship between the number of HCWs vaccinated and the expected number of influenza virus infections among patients. In a realistic scenario, approximately 60% of influenza virus infections among patients can be prevented when the HCW vaccination rate increases from 0 to 1. A threshold for herd immunity is not detected. Due to stochastic variations, the differences in patient attack rates between departments are high and large outbreaks can occur for every level of HCW vaccine uptake. The absence of herd immunity in nursing homes implies that vaccination of every additional HCW protects an additional fraction of patients. Because of large stochastic variations, results of small-sized clinical trials on the effects of HCW vaccination should be interpreted with great care. Moreover, the large variations in attack rates should be taken into account when designing future studies.</t>
  </si>
  <si>
    <t>Long-term effects on cancer survivors' quality of life of physical training versus physical training combined with cognitive-behavioral therapy: results from a randomized trial.</t>
  </si>
  <si>
    <t>May, Anne M; Korstjens, Irene; van Weert, Ellen; van den Borne, Bart; Hoekstra-Weebers, Josette E H M; van der Schans, Cees P; Mesters, Ilse; Passchier, Jan; Grobbee, Diederick E; Ros, Wynand J G</t>
  </si>
  <si>
    <t>https://pubmed.ncbi.nlm.nih.gov/18953578</t>
  </si>
  <si>
    <t>We compared the effect of a 12-week group-based multidisciplinary self-management rehabilitation program, combining physical training (twice weekly) and cognitive-behavioral therapy (once weekly) with the effect of 12-week group-based physical training (twice weekly) on cancer survivors' quality of life over a 1-year period. One hundred forty-seven survivors [48.8 +/- 10.9 years (mean +/- SD), all cancer types, medical treatment &gt; or = 3 months ago] were randomly assigned to either physical training (PT, n = 71) or to physical training plus cognitive-behavioral therapy (PT + CBT, n = 76). Quality of life and physical activity levels were measured before and immediately after the intervention and at 3- and 9-month post-intervention using the European Organization for Research and Treatment of Cancer Quality of Life Questionnaire C30 questionnaire and the Physical Activity Scale for the Elderly, respectively. Multilevel linear mixed-effects models revealed no differential pattern in change of quality of life and physical activity between PT and PT + CBT. In both PT and PT + CBT, quality of life and physical activity were significantly and clinically relevantly improved immediately following the intervention and also at 3- and 9-month post-intervention compared to pre-intervention (p &lt; 0.001). Self-management physical training had substantial and durable positive effects on cancer survivors' quality of life. Participants maintained physical activity levels once the program was completed. Combining physical training with our cognitive-behavioral intervention did not add to these beneficial effects of physical training neither in the short-term nor in the long-term. Physical training should be implemented within the framework of standard care for cancer survivors.</t>
  </si>
  <si>
    <t>Estimation of cardiovascular risk: a comparison between the Framingham and the SCORE model in people under 60 years of age.</t>
  </si>
  <si>
    <t>Scheltens, Tjarda; Verschuren, W M Monique; Boshuizen, Hendriek C; Hoes, Arno W; Zuithoff, Nicolaas P; Bots, Michiel L; Grobbee, Diederick E</t>
  </si>
  <si>
    <t>https://pubmed.ncbi.nlm.nih.gov/18756178</t>
  </si>
  <si>
    <t>The Framingham Heart Study risk model has been used in the majority of cardiovascular risk management guidelines. Recently, a new model based on the SCORE system has been proposed. We compared both risk models with regard to their ability to predict cardiovascular mortality in the Netherlands. Cohort study. In a Dutch cohort study of 39 719 persons, three properties of the risk models were investigated: discriminating ability (ranking persons in order of risks, expressed in area under the curve); calibrating ability (prediction of events compared with actual events expressed in goodness of fit); and the number of persons assigned to treatment according to the guideline. The discriminative ability of both models was similar: the area under the curve of Framingham was 0.86 and of SCORE 0.85. Calibration of both functions was inadequate. The goodness of fit of the SCORE model was 35 and of the Framingham model 64, whereas a goodness of fit less than 20 is considered acceptable. Using the Dutch guideline treatment threshold of 10% mortality risk, the SCORE risk function assigned 0.4% of the population to drug treatment where the Framingham function assigned 0.7%. The findings of this study show that both the SCORE and the Framingham model function have a good discriminative ability but are insufficient in predicting absolute risks. SCORE assigned fewer participants to treatment than Framingham. If a new risk model is implemented in treatment guidelines, comparison with the model in use and evaluation of calibrating features is needed.</t>
  </si>
  <si>
    <t>Expression of two distinct types of pili by a hospital-acquired Enterococcus faecium isolate.</t>
  </si>
  <si>
    <t>Hendrickx, Antoni P A; Bonten, Marc J M; van Luit-Asbroek, Miranda; Schapendonk, Claudia M E; Kragten, Angela H M; Willems, Rob J L</t>
  </si>
  <si>
    <t>https://pubmed.ncbi.nlm.nih.gov/18832326</t>
  </si>
  <si>
    <t>Surface filamentous structures designated pili, and implicated in virulence, have been found on the surfaces of several Gram-positive pathogens. This work describes the conditional expression of two phenotypically distinct pilus-like structures, designated PilA and PilB, on the surface of a hospital-adapted Enterococcus faecium bloodstream isolate. E. faecium is an emerging Gram-positive opportunistic pathogen that can cause severe disease, particularly in immunocompromised patients. Expression of PilA- and PilB-type pili was analysed during different phases of growth in broth culture. During growth, PilA and PilB pilin subunits were expressed around the cross-wall in early-exponential-phase cells. Polymerization and migration of short PilB-type pili towards the poles occurred in cells from the exponential phase and long polymerized pili were expressed at the poles of cells grown to stationary phase. In contrast, PilA-type pili were not expressed in broth culture, but only when cells were grown on solid media. Furthermore, surface expression of the PilA- and PilB-type pili was regulated in a temperature-dependent manner, as polymerization of two distinct types of pili at the surface only occurred when cells were grown at 37 degrees C; no pili were observed on cells grown at 21 degrees C. Hospital-aquired E. faecium isolates were specifically enriched in pilin gene clusters, suggesting that conditional expression of pili may contribute to E. faecium pathogenesis.</t>
  </si>
  <si>
    <t>Rationale and design of CAPITA: a RCT of 13-valent conjugated pneumococcal vaccine efficacy among older adults.</t>
  </si>
  <si>
    <t>Hak, E; Grobbee, D E; Sanders, E A M; Verheij, T J M; Bolkenbaas, M; Huijts, S M; Gruber, W C; Tansey, S; McDonough, A; Thoma, B; Patterson, S; van Alphen, A J; Bonten, M J M</t>
  </si>
  <si>
    <t>https://pubmed.ncbi.nlm.nih.gov/18990781</t>
  </si>
  <si>
    <t>The burden of community-acquired pneumonia (CAP) among the elderly is high and has increased over the last decades. Streptococcus pneumoniae is the most common cause of CAP and in 10% the infection may be fatal. Although the 23-valent polysaccharide pneumococcal vaccine (23vPS) is considered effective in the prevention of invasive pneumococcal disease in the elderly population, the evidence is mainly from nonrandomised observational studies and effects on the occurrence of pneumonia have not been demonstrated. Conjugated pneumococcal vaccines which also stimulate T-cell dependent immune responses induced antibody responses in elderly persons which are similar to those induced by a primary series of 7-valent conjugated pneumococcal vaccine (7vPnC) in infants, and the response appeared similar or superior for all vaccine serotypes to that induced by 23vPS. The primary objective of the planned trial entitled CAPITA (Community Acquired Pneumonia Immunization Trial in Adults) is to establish the efficacy of a 13-valent PnC vaccine in the prevention of a first episode of vaccine-serotype specific pneumococcal CAP in 85,000 community-dwelling adult persons aged 65 years and older. This is a parallel group, randomised, placebo-controlled trial, with a 1:1 random allocation to vaccine or placebo vaccine. The occurrence of the primary outcome of vaccine-serotype specific (VT)-CAP will be established in hospitals on the basis of three sets of criteria: (1) a clinical definition of CAP; (2) independent interpretation of chest radiograph consistent with pneumonia: and (3) determination of S. pneumonia serotype. the trial will be critical to determine the position of conjugate pneumococcal vaccines in the prevention of pneumococcal disease.</t>
  </si>
  <si>
    <t>Soy protein containing isoflavones and mammographic density in a randomized controlled trial in postmenopausal women.</t>
  </si>
  <si>
    <t>Verheus, Martijn; van Gils, Carla H; Kreijkamp-Kaspers, Sanne; Kok, Linda; Peeters, Petra H M; Grobbee, Diederick E; van der Schouw, Yvonne T</t>
  </si>
  <si>
    <t>https://pubmed.ncbi.nlm.nih.gov/18843004</t>
  </si>
  <si>
    <t>The relatively high dietary intake of soy in Asian countries has been hypothesized to, at least partly, explain the lower breast cancer incidence patterns in these countries compared with the Western world. The aim of the present study was to determine the effect of daily soy supplementation on mammographic density, one of the strongest known risk factors for breast cancer. A double-blind, randomized, controlled trial was conducted to compare the effects of soy protein intake containing 99 mg isoflavones daily with intake of milk protein (placebo) for the duration of 1 year. Two hundred and two Dutch postmenopausal women ages 60 to 75 years were randomized. Mammographic density was assessed using a quantitative computer-assisted method on digitized mammograms. Equol producer status was assessed in plasma provided at the final visit (soy group) or after a 3-day challenge with soy after the trial was finished (placebo group). A total of 175 women completed the baseline visits and at least one follow-up visit and were included in the intention-to-treat analyses. For 126 women, both pre- and post-trial mammograms were available. Mammographic density decreased in both study arms, but the decrease did not differ significantly between intervention and placebo groups. Equol producer status did not modify the results. The results of this trial do not support the hypothesis that a diet high in soy protein among postmenopausal women decreases mammographic density.</t>
  </si>
  <si>
    <t>The risk of severe postoperative pain: modification and validation of a clinical prediction rule.</t>
  </si>
  <si>
    <t>Janssen, Kristel J M; Kalkman, Cor J; Grobbee, Diederick E; Bonsel, Gouke J; Moons, Karel G M; Vergouwe, Yvonne</t>
  </si>
  <si>
    <t>https://pubmed.ncbi.nlm.nih.gov/18806049</t>
  </si>
  <si>
    <t>Recently, a prediction rule was developed to preoperatively predict the risk of severe pain in the first postoperative hour in surgical inpatients. We aimed to modify the rule to enhance its use in both surgical inpatients and outpatients (ambulatory patients). Subsequently, we prospectively tested the modified rule in patients who underwent surgery later in time and in another hospital (external validation). The rule was originally developed from the data of 1395 adult inpatients. We modified the rule with the data of 549 outpatients who underwent surgery between 1997 and 1999 in the same center (Academic Medical Center Amsterdam, The Netherlands). Furthermore, we tested the performance of the modified rule in 1035 in- and outpatients who underwent surgery in 2004, in the University Medical Center Utrecht, The Netherlands (external validation). Performance was quantified by the rule's calibration (agreement between observed frequencies and predicted risks) and discrimination (ability to distinguish between patients at high and low risk). Modification of the original rule to enhance prediction in outpatients included reclassification of the predictor "type of surgery," addition of the predictor "surgical setting" (ambulatory surgery: yes/no) and addition of interaction terms between surgical setting and the other predictors. One-third of the patients in the Utrecht cohort reported severe postoperative pain (36%), compared to 62% of the patients in the Amsterdam cohort. The distribution of most predictors was similar in the two cohorts, although the patients in the Utrecht cohort were slightly older, more often underwent ambulatory surgery and had large expected incision sizes less often than patients in the Amsterdam cohort. The modified prediction rule showed good calibration, when an adjusted intercept was used for the lower incidence in the Utrecht cohort. The discrimination was reasonable (area under the Receiver Operating Characteristic curve 0.65 [95% confidence interval 0.57-0.73]). A previously developed prediction rule to predict severe postoperative pain was modified to allow use in both inpatients and outpatients. By validating the rule in patients who underwent surgery several years later in another hospital, it was shown that the rule could be generalized in time and place. We demonstrated that, instead of deriving new prediction rules for new populations, a simple adjustment may be enough to recalibrate prediction rules for new populations. This is in line with the perception that external validation and updating of prediction rules is a continuing and multistage process.</t>
  </si>
  <si>
    <t>Predictors of adverse events after endovascular abdominal aortic aneurysm repair: A meta-analysis of case reports.</t>
  </si>
  <si>
    <t>Schlösser, Felix Jv; Jmg van der Heijden, Geert; van der Graaf, Yolanda; Moll, Frans L; Verhagen, Hence Jm</t>
  </si>
  <si>
    <t>journal of medical case reports</t>
  </si>
  <si>
    <t>https://pubmed.ncbi.nlm.nih.gov/23158207</t>
  </si>
  <si>
    <t>Endovascular abdominal aortic aneurysm repair is a life-saving intervention. Nevertheless, complications have a major impact. We review the evidence from case reports for risk factors of complications after endovascular abdominal aortic aneurysm repair. We selected case reports from PubMed reporting original data on adverse events after endovascular abdominal aortic aneurysm repair. Extracted risk factors were: age, sex, aneurysm diameter, comorbidities, re-interventions, at least one follow-up visit being missed or refusal of a re-intervention by the patient. Extracted outcomes were: death, rupture and (non-)device-related complications.In total 113 relevant articles were selected. These reported on 173 patients. A fatal outcome was reported in 15% (N = 26) of which 50% came after an aneurysm rupture (N = 13). Non-fatal aneurysm rupture occurred in 15% (N = 25). Endoleaks were reported in 52% of the patients (N = 90). In half of the patients with a rupture no prior endoleak was discovered during follow-up. In 83% of the patients one or more re-interventions were performed (N = 143). Mortality was higher among women (risk ratio 2.9; 95% confidence interval 1.4 to 6.0), while the presence of comorbidities was strongly associated with both ruptures (risk ratio 1.6; 95% confidence interval 0.9 to 2.9) and mortality (risk ratio 2.1; 95% confidence interval 1.0 to 4.7). Missing one or more follow-up visits (≥1) or refusal of a re-intervention by the patient was strongly related to both ruptures (risk ratio 4.7; 95% confidence interval 3.1 to 7.0) and mortality (risk ratio 3.8; 95% confidence interval 1.7 to 8.3). Female gender, the presence of comorbidities and at least one follow-up visit being missed or refusal of a re-intervention by the patient appear to increase the risk for mortality after endovascular abdominal aortic aneurysm repair. Larger aneurysm diameter, higher age and multimorbidity at the time of surgery appear to increase the risk for rupture and other complications after endovascular abdominal aortic aneurysm repair. These risk factors deserve further attention in future studies.</t>
  </si>
  <si>
    <t>Combined task delegation, computerized decision support, and feedback improve cardiovascular risk for type 2 diabetic patients: a cluster randomized trial in primary care.</t>
  </si>
  <si>
    <t>Cleveringa, Frits G W; Gorter, Kees J; van den Donk, Maureen; Rutten, Guy E H M</t>
  </si>
  <si>
    <t>https://pubmed.ncbi.nlm.nih.gov/18796619</t>
  </si>
  <si>
    <t>The Diabetes Care Protocol combines task delegation (a practice nurse), computerized decision support, and feedback every 3 months. We studied the effect of the Diabetes Care Protocol on A1C and cardiovascular risk factors in type 2 diabetic patients in primary care. In a cluster randomized trial, mean changes in cardiovascular risk factors between the intervention and control groups after 1 year were calculated by generalized linear models. Throughout the Netherlands, 26 intervention practices included 1,699 patients and 29 control practices 1,692 patients. The difference in A1C change was not significant, whereas total cholesterol, LDL cholesterol, and blood pressure improved significantly more in the intervention group. The 10-year coronary heart disease risk estimate of the UK Prospective Diabetes Study improved 1.4% more in the intervention group. Delegation of routine diabetes care to a practice nurse combined with computerized decision support and feedback did not improve A1C but reduced cardiovascular risk in type 2 diabetes patients.</t>
  </si>
  <si>
    <t>The angiotensinogen gene M235T polymorphism and development of preeclampsia/eclampsia: a meta-analysis and meta-regression of observational studies.</t>
  </si>
  <si>
    <t>Zafarmand, Mohammad Hadi; Nijdam, Marie-Elise; Franx, Arie; Grobbee, Diederick E; Bots, Michiel L</t>
  </si>
  <si>
    <t>https://pubmed.ncbi.nlm.nih.gov/18698203</t>
  </si>
  <si>
    <t>The angiotensinogen gene M235T polymorphism is related to an increased risk of hypertension. Hypertension and pregnancy-induced hypertension have been suggested to share common etiologic factors. We examined whether this mutation also increases the risk of preeclampsia/eclampsia. Pubmed/Medline, Web of Science and EMBASE were searched and a hand search of bibliographies was conducted. In all, 17 studies (including 1446 cases and 3829 controls) published in English between 1993 and October 2006 on the association of angiotensinogen gene M235T polymorphism with preeclampsia/eclampsia were selected. The overall odds ratio (OR) under a random effects model revealed that individuals homozygous for the T allele were 1.62 times more likely to develop preeclampsia/eclampsia [95% confidence interval (CI), 1.12 to 2.33; P = 0.01) compared to individuals homozygous for the M allele. The relation in Caucasians (OR = 1.99; 95% CI, 1.18-3.36; P = 0.01) was similar to that in East Asian populations (OR = 1.74; 95% CI, 0.92-3.28; P = 0.09), although the latter was not statistically significant due to lower numbers of studies. Under additive, recessive and dominant genetic models positive associations were also found. A meta-regression analysis showed that ethnic background was a significant source of between-study heterogeneity (P = 0.04) but design of the study, study size and Hardy-Weinberg equilibrium deviation were not. There was a low probability of publication bias. Our meta-analysis expands the findings on hypertension by showing that the presence of the T allele of the angiotensinogen gene is associated with an increased risk to develop preeclampsia/eclampsia.</t>
  </si>
  <si>
    <t>The effect of group cohesion on rehabilitation outcome in cancer survivors.</t>
  </si>
  <si>
    <t>May, Anne M; Duivenvoorden, Hugo J; Korstjens, Irene; van Weert, Ellen; Hoekstra-Weebers, Josette E H M; van den Borne, Bart; Mesters, Ilse; van der Schans, Cees P; Ros, Wynand J G</t>
  </si>
  <si>
    <t>https://pubmed.ncbi.nlm.nih.gov/18095262</t>
  </si>
  <si>
    <t>Group-based physical training interventions have been shown to be effective in increasing quality of life in cancer survivors. Until now, however, the impact of cohesion within the group on intervention outcome has not been investigated. We examined self-reported individual group cohesion ratings collected in the first half of a 12-week rehabilitation programme for cancer survivors (N=132). Four dimensions of group cohesion were measured, i.e. the bond with the group as whole, the bond with other members, cooperation within the group and the instrumental value. Quality of life, physical functioning and fatigue were assessed before and after the intervention using the European Organization for Research and Treatment of Cancer Quality of Life Questionnaire-C30. Linear multiple multivariate regression analysis was conducted to explore the relationship between group cohesion and intervention outcome. The relationship between group cohesion and outcome was significantly modified by gender. Higher ratings of cooperation within the group predicted better post-intervention quality of life and physical functioning and less fatigue in men, and better quality of life and physical functioning in women. Additionally, women who reported a stronger bond with other members showed a lower quality of life after the intervention. No relationship was found between the instrumental value and the outcome variables. Some dimensions of group cohesion seem to be associated with intervention outcome. The underlying mechanisms need to be unravelled.</t>
  </si>
  <si>
    <t>Implementation of locally adapted guidelines on type 2 diabetes.</t>
  </si>
  <si>
    <t>van Bruggen, Rykel; Gorter, Kees J; Stolk, Roland P; Verhoeven, Rob P; Rutten, Guy E H M</t>
  </si>
  <si>
    <t>https://pubmed.ncbi.nlm.nih.gov/18718886</t>
  </si>
  <si>
    <t>To assess the effects of a facilitator enhanced multifaceted intervention to implement a locally adapted guideline on the shared care for people with type 2 diabetes. During 1 year a cluster-randomized trial was performed in 30 general practices. In the intervention group, nurse facilitators enhanced guideline implementation by analysing barriers to change, introducing structured care, training practice staff and giving performance feedback. Targets for HbA1c%, systolic blood pressure as well as indications for angiotensin converting enzyme/angiotensin receptor blocking agent prescription differed from the national guidelines. In the control group, GPs were asked to continue the care for people with diabetes as usually. Generalized estimating equations were used to control for the clustered design of the study. In the intervention group, more people were seen on a 3-monthly basis (88% versus 69%, P &lt; 0.001) and more blood pressure and bodyweight measurements were performed every 3 months (blood pressure 83% versus 66%, P &lt; 0.001 and bodyweight 78.9% versus 48.5%, P &lt; 0.001). Apart from a marginal difference in mean cholesterol, differences in HbA1c%, blood pressure, body mass index and treatment satisfaction were not significant. Multifaceted implementation of locally adapted shared care guidelines did improve the process of diabetes care but hardly changed intermediate outcomes. In the short term, local adaptation of shared care guidelines does not improve the cardiovascular risks of people with type 2 diabetes.</t>
  </si>
  <si>
    <t>The ethics of mandatory vaccination against influenza for health care workers.</t>
  </si>
  <si>
    <t>van Delden, J J M; Ashcroft, R; Dawson, A; Marckmann, G; Upshur, R; Verweij, M F</t>
  </si>
  <si>
    <t>https://pubmed.ncbi.nlm.nih.gov/18722495</t>
  </si>
  <si>
    <t>Vaccination of health care workers (HCW) in long-term care results in indirect protection of patients who are at high-risk for influenza. The voluntary uptake of influenza vaccination among HCW is generally low. We argue that institutions caring for frail elderly have the responsibility to implement voluntary programmes for vaccination against influenza of HCW. When uptake falls short a mandatory programme may be justified. The main justification stems from the duty of care givers not to harm one's patient when one knows there is a significant risk of harm and the intervention to reduce this chance has a favourable balance of benefit over burdens and risks.</t>
  </si>
  <si>
    <t>The association of depression with cardiovascular mortality is partly explained by health status. The FINE Study.</t>
  </si>
  <si>
    <t>Kamphuis, Marjolein H; Geerlings, Mirjam I; Giampaoli, Simona; Nissinen, Aulikki; Grobbee, Diederick E; Kromhout, Daan</t>
  </si>
  <si>
    <t>https://pubmed.ncbi.nlm.nih.gov/18694600</t>
  </si>
  <si>
    <t>Depression is associated with an increased risk of cardiovascular diseases (CVD) and cardiovascular mortality. We investigated to what extent subjective health status explained the apparent association between depressive symptoms and cardiovascular mortality in older European men. Data were used from the population-based prospective Finland, Italy and the Netherlands Elderly (FINE) Study. Depressive symptoms were measured with the Zung Self-rating Depression Scale in 909 men, aged 70-90 years, free of CVD and diabetes in 1990. Subjective health status was estimated with a single question on self-rated health and with a standardized questionnaire about activities of daily living. Cardiovascular mortality was determined during ten years of follow-up. At baseline, poor self-rated health and more disability in activities of daily living were both associated with more depressive symptoms using multiple linear regression analysis. Prospectively men who reported to be unhealthy or with moderate to severe disability had an approximately 2.5 times higher risk of cardiovascular mortality using Cox regression analysis. An increase in depressive symptoms by one standard deviation was associated with an increased risk of cardiovascular mortality (HR 1.37; 95% CI 1.21-1.56). A substantial part of this association was explained by self-rated health and disability (proportion explained 0.32; 95% CI 0.09-0.55). However, a significant risk of depressive symptoms on cardiovascular mortality remained (HR 1.25; 95% CI 1.09-1.43) after adjustment for subjective health status. Health status is based on subjective measures. In older men, subjective health status explains a considerable part of the association between depression and risk of cardiovascular mortality.</t>
  </si>
  <si>
    <t>Growth rates of intracranial aneurysms: exploring constancy.</t>
  </si>
  <si>
    <t>Koffijberg, Hendrik; Buskens, Erik; Algra, Ale; Wermer, Marieke J H; Rinkel, Gabriel J E</t>
  </si>
  <si>
    <t>https://pubmed.ncbi.nlm.nih.gov/18671627</t>
  </si>
  <si>
    <t>The annual rate of rupture of intracranial aneurysms is often assumed to be constant, but it is unknown whether this assumption is true. Recent case reports have suggested that aneurysms grow fast in a short period of time. The authors of the present report investigated the plausibility of a constant growth rate for intracranial aneurysms. Assuming a constant aneurysm growth rate within an individual and varying rates between individuals, a hypothetical cohort was simulated. Individuals with high growth rates will display aneurysm formation and rupture at a young age; such persons disappear early from the hypothetical cohort. As a result the mean lesion growth rate varies over time. In hypothetical cohorts with different initial mean growth rates, the authors calculated age-specific incidence rates (per 100,000 person-years) of subarachnoid hemorrhage and compared these rates with population-based data on the incidence of subarachnoid hemorrhage (per 100,000 person-years). A hypothetical cohort with a mean initial growth rate of 0.18 mm/year reproduced most closely the incidence rates observed in the population. However, even for this most plausible hypothetical cohort, age-specific incidence rates in the model differed substantially and statistically significantly from those observed in the population. Based on the results of this study, it is unlikely that intracranial aneurysms in general grow at a constant time-independent rate. The authors hypothesized that the actual growth process is irregular and discontinuous, which results in periods with and without aneurysm growth and with high and low risks of rupture.</t>
  </si>
  <si>
    <t>Prediction of complicated lower respiratory tract infections in older patients with diabetes.</t>
  </si>
  <si>
    <t>Venmans, Leonie M A J; Bont, Jettie; Gorter, Kees J; Verheij, Theo J M; Rutten, Guy E H M; Hak, Eelko</t>
  </si>
  <si>
    <t>https://pubmed.ncbi.nlm.nih.gov/18682019</t>
  </si>
  <si>
    <t>Patients with diabetes have an elevated risk of developing complicated lower respiratory tract infections (LRTIs). However, up until now, GPs have not had the tools to assess individual risks. To assess the applicability of an existing prediction rule for complicated LRTI among patients with diabetes. Retrospective cohort study. The Utrecht GP Research Network. An existing rule that was used estimates the risk of 30-day hospitalisation or death following an episode of LRTI. Predictors were exacerbation of chronic obstructive pulmonary disease, or pneumonia, increasing age, heart failure, number of hospitalisations in the previous year, use of antibiotics in the previous month, diabetes medication, and prednisone use. Discriminative capacity of the rule was estimated in patients with diabetes. Other potential predictors from the original study were examined, to test for a potentially improved model. Of 445 episodes of LRTI in patients with diabetes, 68 had an outcome of hospitalisation or death within 30 days of diagnosis of LRTI (15.3%). Results showed good reliability of the model (goodness of fit test P=0.16) and discriminative properties (area under the receiver operating characteristic curve: 0.79, 95% confidence interval=0.73 to 0.86). No other predictors could be added. Patients with a lower-risk assignment (score&lt;or=2) had a probability of 5.2%, and those with higher risks (score&gt;or=7) had a probability of 36.6% for the composite endpoint of hospitalisation or death within 30 days of diagnosis of LRTI. The use of a prediction rule may help GPs to assess the risk of hospitalisation or death in patients with diabetes who have an episode of LRTI.</t>
  </si>
  <si>
    <t>Prognostic value of micrometastases in sentinel lymph nodes of patients with breast carcinoma: a cohort study.</t>
  </si>
  <si>
    <t>Gobardhan, P D; Elias, S G; Madsen, E V E; Bongers, V; Ruitenberg, H J M; Perre, C I; van Dalen, T</t>
  </si>
  <si>
    <t>https://pubmed.ncbi.nlm.nih.gov/18653702</t>
  </si>
  <si>
    <t>The prognostic meaning and thus indication for adjuvant therapy of lymphogenic micrometastases in breast cancer patients is still under debate. From 1999 to 2007, 703 patients with (c)T(1-2)N(0) breast cancer underwent surgery including sentinel lymph node biopsy. Examination of sentinel lymph nodes consisted of hematoxylin and eosin and immunohistochemistry staining following serial sectioning of the sentinel node. Patients were divided into four groups: (p)N(0) (n=423), (p)N(1micro) (n=81), (p)N(1a) (n=130) and (p)N(&gt;or=1b) (n=69). Median follow-up was 40 months. At the end of follow-up, 53 patients had died and 64 had recurrent disease. Compared with (p)N(0) and following adjustment for possible confounders, including adjuvant systemic treatment, overall survival was not significantly different for (p)N(1micro) while significantly worse for (p)N(1a) and (p)N(&gt;or=1b) {hazard ratio (HR) [95% confidence interval (CI)]: 0.59 [0.14-2.58], 4.31 [1.85-10.01], 10.66 [4.04-28.14], respectively}. Likewise, disease-free survival was not significantly different for (p)N(1micro) and worse for (p)N(1a) and (p)N(&gt;or=1b) (HR [95% CI]: 1.43 [0.67-3.02], 2.79 [1.37-5.66], 7.13 [3.27-15.54], respectively). Distant metastases were more commonly observed in the (p)N(1micro) than in the (p)N(0) group, but still not as common as in the (p)N(1a) or (p)N(&gt;or=1b) group (HR [95% CI]: 4.85 [1.79-13.18], 10.34 [3.82-28.00], 23.25 [7.88-68.56], respectively). Although the risk of distant metastases was higher in patients in the (p)N(1micro) than in the (p)N(0) group, no statistically significant differences were observed in overall or disease-free survival between (p)N(0) and (p)N(1micro). Micrometastatic lymph node involvement in itself should not be an indication for adjuvant chemotherapy in breast cancer patients.</t>
  </si>
  <si>
    <t>Advantages of the nested case-control design in diagnostic research.</t>
  </si>
  <si>
    <t>Biesheuvel, Cornelis J; Vergouwe, Yvonne; Oudega, Ruud; Hoes, Arno W; Grobbee, Diederick E; Moons, Karel G M</t>
  </si>
  <si>
    <t>https://pubmed.ncbi.nlm.nih.gov/18644127</t>
  </si>
  <si>
    <t>Despite its benefits, it is uncommon to apply the nested case-control design in diagnostic research. We aim to show advantages of this design for diagnostic accuracy studies. We used data from a full cross-sectional diagnostic study comprising a cohort of 1295 consecutive patients who were selected on their suspicion of having deep vein thrombosis (DVT). We draw nested case-control samples from the full study population with case:control ratios of 1:1, 1:2, 1:3 and 1:4 (per ratio 100 samples were taken). We calculated diagnostic accuracy estimates for two tests that are used to detect DVT in clinical practice. Estimates of diagnostic accuracy in the nested case-control samples were very similar to those in the full study population. For example, for each case:control ratio, the positive predictive value of the D-dimer test was 0.30 in the full study population and 0.30 in the nested case-control samples (median of the 100 samples). As expected, variability of the estimates decreased with increasing sample size. Our findings support the view that the nested case-control study is a valid and efficient design for diagnostic studies and should also be (re)appraised in current guidelines on diagnostic accuracy research.</t>
  </si>
  <si>
    <t>Predictors of improved quality of life 1 year after pacemaker implantation.</t>
  </si>
  <si>
    <t>van Eck, J W Martijn; van Hemel, Norbert M; van den Bos, Arjan; Taks, William; Grobbee, Diederick E; Moons, Karel G M</t>
  </si>
  <si>
    <t>https://pubmed.ncbi.nlm.nih.gov/18760131</t>
  </si>
  <si>
    <t>Patient's health-related quality of life (HRQoL) of pacemaker (PM) patients has increasingly become an important issue of health care evaluation. Currently, knowledge of pacing performance and technology is more or less outlined. However, determinants of poor or good HRQoL of paced patients require further elucidation. The purpose of this study is to determine the HRQoL 1 year after PM implantation and predictors of differences in HRQoL between pre- and post-PM implantation. We quantified the mean differences between HRQoL before implantation (baseline) and 1 year later, assessed with the generic Medical Outcomes Survey 36-Item Short-Form Survey and EuroQol (EQ5D), and the PM patient-specific AQUAREL (Assessment of QUality of life And RElated events) questionnaires, in 501 consecutively included patients in the Dutch multicenter longitudinal FOLLOWPACE cohort study. Multivariable linear regression modeling was then performed to determine predictive factors of the HRQoL 1 year after implantation. The HRQoL of the patients increased markedly in the first year after implantation. Seventy percent of the patients considered their health improved, whereas 11% experienced a complete recovery in HRQoL. The most important predictors for improved HRQoL after 1 year were HRQoL at baseline, age, presence of cardiac comorbidities, and atrial fibrillation with slow ventricular response as indication for chronic pacing. In most patients receiving a PM, HRQoL increased in the first year after PM implantation. Knowledge of the predictors of this increase may aid physicians to timely differentiate between patients who most likely will benefit most from PM implantation in terms of HRQoL.</t>
  </si>
  <si>
    <t>High dietary menaquinone intake is associated with reduced coronary calcification.</t>
  </si>
  <si>
    <t>Beulens, Joline W J; Bots, Michiel L; Atsma, Femke; Bartelink, Marie-Louise E L; Prokop, Matthias; Geleijnse, Johanna M; Witteman, Jacqueline C M; Grobbee, Diederick E; van der Schouw, Yvonne T</t>
  </si>
  <si>
    <t>https://pubmed.ncbi.nlm.nih.gov/18722618</t>
  </si>
  <si>
    <t>Dietary vitamin K is thought to decrease risk of cardiovascular disease by reducing coronary calcification, but inconsistent results are reported. This may be due to different effects of vitamin K(1) (phylloquinone) and vitamin K(2) (menaquinone, MK), but few studies included both. We investigated the association of intake of phylloquinone and menaquinone, including its subtypes (MK4-MK10), with coronary calcification in a cross-sectional study among 564 post-menopausal women. Phylloquinone and menaquinone intake was estimated using a food-frequency questionnaire. Sixty-two percent (n=360) of the women had coronary calcification based on 1.5-mm thick slices. Phylloquinone intake was not associated with coronary calcification with a relative risk (RR) of 1.17 (95%-confidence interval: 0.96-1.42; p(trend)=0.11) of the highest versus lowest quartile. Menaquinone intake was associated with decreased coronary calcification with an RR of 0.80 (95%-CI: 0.65-0.98; p(trend)=0.03). This study shows that high dietary menaquinone intake, but probably not phylloquinone, is associated with reduced coronary calcification. Adequate menaquinone intakes could therefore be important to prevent cardiovascular disease.</t>
  </si>
  <si>
    <t>A pilot-study to identify the feasibility of an Internet-based coaching programme for changing the vascular risk profile of high-risk patients.</t>
  </si>
  <si>
    <t>Goessens, Bertine M B; Visseren, Frank L J; de Nooijer, Jascha; van den Borne, Hubertus W; Algra, Ale; Wierdsma, Judith; van der Graaf, Yolanda; ,</t>
  </si>
  <si>
    <t>https://pubmed.ncbi.nlm.nih.gov/18639410</t>
  </si>
  <si>
    <t>To evaluate the feasibility of a web-based coaching programme for vascular risk factor treatment, to describe the patterns of use and to measure changes in risk factors. Patients with a clinical manifestation of arterial disease and Internet access were asked to participate in the nurse-led Internet-based risk factor management programme. At the first clinic visit, a personalized action plan was made for the treatment of risk factors. Patients were instructed on communication with a specialized nurse through Internet and encouraged to enter self-measured risk factor levels at their personalized website. The nurse practitioner replied on working days and gave feedback, support, and recommendations on lifestyle and medical treatment. After 6 months, risk factors were re-measured. Fifty patients participated, 70% were overweight, 64% had hypertension, 42% hyperlipidemia, and 24% smoked at baseline. During 6 months, the log-in average at the individual website was 35 times per patient (1.3 log-ins/week); while the nurse practitioner logged-in at the overall website 23 times/week. The website was hardly used by five patients. Most e-mail messages were sent by patients for hypertension (211 times) and obesity (203 times), whereas the nurse practitioner sent nearly twice as many e-mail messages for hypertension (400 times) and obesity (455 times). The level of most risk factors decreased and the fraction of achieved treatment goals increased (blood pressure from 36 to 58%, LDL-cholesterol from 58 to 64%, glucose from 64 to 82%). A web-based vascular risk factor intervention programme is feasible; it is frequently used by patients and suitable to decrease the level of several risk factors. It has the promise of being an efficacious intervention for risk factor sanitation in patients with symptomatic vascular disease. An Internet-based individualised risk management programme could make patients aware of their self-management capability and may contribute to risk factor reduction.</t>
  </si>
  <si>
    <t>A clinical prediction rule for urinary tract infections in patients with type 2 diabetes mellitus in primary care.</t>
  </si>
  <si>
    <t>Venmans, L M A J; Gorter, K J; Rutten, G E H M; Schellevis, F G; Hoepelman, A I M; Hak, E</t>
  </si>
  <si>
    <t>https://pubmed.ncbi.nlm.nih.gov/18631426</t>
  </si>
  <si>
    <t>We aimed to develop a prediction rule for urinary tract infections (UTIs) in patients with type 2 diabetes mellitus (DM2). A 12-month prospective cohort study was conducted in patients with DM2 aged &gt; or = 45 years to predict the occurrence of recurrent UTIs in women and lower UTIs in men. Predictors for recurrent UTI in women (n=81, 2%) and lower UTIs in men (n=93, 3%) were age, number of general practitioner (GP) visits, urinary incontinence, cerebrovascular disease or dementia. In women, renal disease was an additional predictor. The optimism [corrected] corrected area under the receiver-operating curve (AUC) was 0.79 (95% CI 0.74-0.83) for women and 0.75 (95% CI 0.70-0.80) for men. Using a cut-off score of 4, women with a lower risk assignment had a probability of 0.3% for the outcome. For a cut-off score of 6, women with a higher risk assignment had a probability of 5.8%. For men these figures were 0.8 and 7.1 for a cut-off score of 2 and 4, respectively. Simple variables can be used for the risk stratification of patients.</t>
  </si>
  <si>
    <t>Alcohol consumption and risk of microvascular complications in type 1 diabetes patients: the EURODIAB Prospective Complications Study.</t>
  </si>
  <si>
    <t>Beulens, J W J; Kruidhof, J S; Grobbee, D E; Chaturvedi, N; Fuller, J H; Soedamah-Muthu, S S</t>
  </si>
  <si>
    <t>https://pubmed.ncbi.nlm.nih.gov/18626626</t>
  </si>
  <si>
    <t>The aim of this study was to investigate the association between alcohol consumption and risk of microvascular complications (retinopathy, neuropathy, nephropathy) in type 1 diabetes mellitus patients in the EURODIAB Prospective Complications Study. The EURODIAB Prospective Complications Study is a follow-up study including 3,250 type 1 diabetes mellitus patients from 16 different European countries. We investigated the cross-sectional association between moderate alcohol consumption and risk of retinopathy, neuropathy and nephropathy among 1,857 of these patients. We documented 304 cases of proliferative retinopathy, 660 cases of neuropathy and 157 cases of nephropathy (macroalbuminuria). Alcohol consumption was associated with risk of proliferative retinopathy, neuropathy and macroalbuminuria in a U-shaped fashion. Moderate consumers (30-70 g alcohol per week) had a lower risk of microvascular complications with odds ratios of 0.60 (95% CI 0.37-0.99) for proliferative retinopathy, 0.61 (0.41-0.91) for neuropathy and 0.36 (0.18-0.71) for macroalbuminuria in multivariate-adjusted models. These results were similar when excluding patients who had been advised to drink less alcohol because of their health. The relation was most pronounced for alcohol consumption from wine. Drinking frequency was significantly, inversely associated with risk of neuropathy, but a similar trend was visible for proliferative retinopathy and macroalbuminuria. Alcohol consumption was not associated with occurrence of ketoacidosis or hypoglycaemic attacks. Consistent with its effects on macrovascular complications, moderate alcohol consumption is associated with a lower risk of all microvascular complications among type 1 diabetes patients.</t>
  </si>
  <si>
    <t>Alcohol consumption, mediating biomarkers, and risk of type 2 diabetes among middle-aged women.</t>
  </si>
  <si>
    <t>Beulens, Joline W J; Rimm, Eric B; Hu, Frank B; Hendriks, Henk F J; Mukamal, Kenneth J</t>
  </si>
  <si>
    <t>https://pubmed.ncbi.nlm.nih.gov/18628567</t>
  </si>
  <si>
    <t>The purpose of this study was to investigate whether adiponectin concentrations and biomarkers of inflammation, endothelial dysfunction, and insulin resistance mediate the association between alcohol consumption and diabetes. In a nested case-control study of 705 women with incident diabetes and 787 matched control subjects, we examined the adjusted relationship between baseline alcohol consumption and risk of diabetes before and after adjustment for markers of inflammation/endothelial dysfunction (C-reactive protein, vascular cell adhesion molecule-1, intercellular adhesion molecule-1, E-selectin, tumor necrosis factor-alpha receptor 2, and interleukin-6), fasting insulin, and adiponectin concentrations. Alcohol consumption was associated with a decreased risk of diabetes (odds ratio per 12.5 g/day increment in alcohol use 0.58; 95% CI 0.49-0.69; P &lt; 0.001). Adjustment for BMI attenuated the association by 25%. None of the markers of inflammation or fasting insulin appeared to account for &gt;2% of the observed relationship. Without adjustment for BMI, these biomarkers individually explained slightly more of the association, but &lt;10% in all cases. Adiponectin accounted for 25% in a fully adjusted model and for 29% without adjustment for BMI. In this population of women, alcohol consumption was inversely associated with risk of type 2 diabetes. Adiponectin appeared to be a mediator of this association, but circulating biomarkers of inflammation, endothelial dysfunction, and fasting insulin did not explain this association. These results suggest that further research is needed into the potentially mediating roles of other biomarkers affected by alcohol consumption.</t>
  </si>
  <si>
    <t>Maintenance treatment for GERD: residual symptoms are associated with psychological distress.</t>
  </si>
  <si>
    <t>https://pubmed.ncbi.nlm.nih.gov/18617743</t>
  </si>
  <si>
    <t>The aim of this study was to explore determinants of residual reflux symptoms among patients with gastroesophageal reflux disease (GERD) despite maintenance treatment with acid suppressive medication (ASM). Primary care GERD patients on chronic ASM were classified as symptom-free (55%) or symptomatic (45%) according to the impact of their residual reflux symptoms (QolRad). They were compared with respect to lifestyle (BMI, alcohol, smoking, physical exercise), compliance (daily ASM dosage), disease history, psychological factors (SCL-90) and quality of life (SF-36). None of the investigated lifestyle factors, nor dosage and disease history were related to residual symptoms. However, symptomatic patients differed from patients with relief on all psychological and quality of life dimensions. In a multiple logistic regression model somatization, hostility, mental health, body pain, as well as gender were independently associated with residual symptoms; the derived ROC curve had an AUC of 0.78. The majority of GERD patients is symptom-free on chronic ASM; they display a healthy psychological state and high quality of life. Residual symptoms however, are associated with psychological distress and lower quality of life. Recognition of this subgroup might hold the key to improving long-term management of gastroesophageal reflux.</t>
  </si>
  <si>
    <t>The M235T variant of the angiotensinogen gene is related to development of self-reported hypertension during pregnancy: the Prospect-EPIC cohort study.</t>
  </si>
  <si>
    <t>Zafarmand, Mohammad Hadi; Franx, Arie; Sabour, Siamak; van der Schouw, Yvonne T; Grobbee, Diederick E; de Leeuw, Peter W; Bots, Michiel L</t>
  </si>
  <si>
    <t>hypertension research official journal of the japanese society of hypertension</t>
  </si>
  <si>
    <t>https://pubmed.ncbi.nlm.nih.gov/18957799</t>
  </si>
  <si>
    <t>Angiotensinogen gene (AGT) M235T polymorphism is associated with an increased risk of hypertension. It is unknown whether this mutation also leads to an increased risk of development of high blood pressure (BP) in pregnancy. The aim of this study was to investigate the association of this polymorphism with elevated blood pressure during pregnancy in a population of healthy Dutch women. We studied a randomly selected sample of 1,736 middle-aged women who participated in a prospective cohort study of 17,357 Dutch women. After excluding those who had never been pregnant or those with missing data, 429 women with and 921 women without a history of elevated BP during pregnancy remained for further analyses. History of hypertension in pregnancy was assessed using a questionnaire, and confirmed cases varied in severity from mild blood pressure elevation to pre-eclampsia. Individuals with the TT genotype were more likely to have had a history of elevated BP during pregnancy than those with the MM genotype (odds ratio [OR] = 1.43; 95% confidence interval [CI], 1.02-2.01; p = 0.04). In heterozygote individuals (MT) an increased risk was found, which did not reach statistical significance (OR = 1.24; 95% CI, 0.96-1.60; p = 0.11). Under both dominant and additive genetic models, the M235T polymorphism was associated with a history of elevated blood pressure during pregnancy, with ORs of 1.29 (95% CI, 1.01-1.64; p = 0.04) and 1.20 (95% CI, 1.02-1.42; p = 0.03), respectively. The findings of this study among Caucasian Dutch women, aged 49 to 70 years, demonstrated that the presence of the T allele of the M235T polymorphism in the AGT is associated with self-reported hypertensive disorders in pregnancy.</t>
  </si>
  <si>
    <t>The M235T polymorphism in the AGT gene and CHD risk: evidence of a Hardy-Weinberg equilibrium violation and publication bias in a meta-analysis.</t>
  </si>
  <si>
    <t>Zafarmand, Mohammad Hadi; van der Schouw, Yvonne T; Grobbee, Diederick E; de Leeuw, Peter W; Bots, Michiel L</t>
  </si>
  <si>
    <t>https://pubmed.ncbi.nlm.nih.gov/18575631</t>
  </si>
  <si>
    <t>The M235T polymorphism in the AGT gene has been related to an increased risk of hypertension. This finding may also suggest an increased risk of coronary heart disease (CHD). A case-cohort study was conducted in 1,732 unrelated middle-age women (210 CHD cases and 1,522 controls) from a prospective cohort of 15,236 initially healthy Dutch women. We applied a Cox proportional hazards model to study the association of the polymorphism with acute myocardial infarction (AMI) (n = 71) and CHD. In the case-cohort study, no increased risk for CHD was found under the additive genetic model (hazard ratio [HR] = 1.20; 95% confidence interval [CI], 0.86 to 1.68; P = 0.28). This result was not changed by adjustment (HR = 1.17; 95% CI, 0.83 to 1.64; P = 0.38) nor by using dominant, recessive and pairwise genetic models. Analyses for AMI risk under the additive genetic model also did not show any statistically significant association (crude HR = 1.14; 95% CI, 0.93 to 1.39; P = 0.20). To evaluate the association, a comprehensive systematic review and meta-analysis were undertaken of all studies published up to February 2007 (searched through PubMed/MEDLINE, Web of Science and EMBASE). The meta-analysis (38 studies with 13284 cases and 18722 controls) showed a per-allele odds ratio (OR) of 1.08 (95% CI, 1.01 to 1.15; P = 0.02). Moderate to large levels of heterogeneity were identified between studies. Hardy-Weinberg equilibrium (HWE) violation and the mean age of cases were statistically significant sources of the observed variation. In a stratum of non-HWE violation studies, there was no effect. An asymmetric funnel plot, the Egger's test (P = 0.066), and the Begg-Mazumdar test (P = 0.074) were all suggestive of the presence of publication bias. The pooled OR of the present meta-analysis, including our own data, presented evidence that there is an increase in the risk of CHD conferred by the M235T variant of the AGT gene. However, the relevance of this weakly positive overall association remains uncertain because it may be due to various residual biases, including HWE-violation and publication biases.</t>
  </si>
  <si>
    <t>Cardiovascular magnetic resonance imaging to identify left-sided chronic heart failure in stable patients with chronic obstructive pulmonary disease.</t>
  </si>
  <si>
    <t>Rutten, Frans H; Vonken, Evert J; Cramer, Maarten J; Moons, Karel G; Velthuis, Birgitta B; Prakken, Niek H; Lammers, Jan W; Grobbee, Diederick E; Mali, Willem P; Hoes, Arno W</t>
  </si>
  <si>
    <t>https://pubmed.ncbi.nlm.nih.gov/18760133</t>
  </si>
  <si>
    <t>Although cardiovascular magnetic resonance imaging (CMR) is well established, its diagnostic accuracy in identifying chronic heart failure (CHF) in patients with chronic obstructive pulmonary disease (COPD) has not yet been quantified. Participants were recruited from a cohort of 405 patients aged &gt;or=65 years, with mild to moderate and stable COPD. In this population, 83 (20.5%) patients had a new diagnosis of CHF, all left-sided, established by an expert panel using all available diagnostic information, including echocardiography. In a nested case-control study design, 37 consecutive COPD patients with newly detected CHF (cases) and a random sample of 41 of the remaining COPD patients (controls) received additional CMR measurements. The value of CMR in diagnosing heart failure was quantified using univariable and multivariable logistic modeling in combination with area under the receiver operating characteristic curves (ROC-area). Combination of CMR measurements of left ventricular ejection fraction, indexed left and right atrial volume, and left ventricular end-systolic dimensions provided high added diagnostic value beyond clinical items (ROC-area 0.91) for identifying CHF. Left-sided measurements of CMR and echocardiography correlated well, including ejection fraction. Right ventricular mass divided by right ventricular end-diastolic volume was higher in COPD patients with CHF than in those without concomitant CHF. Easily assessable morphologic and volume-based CMR measurements have excellent capacities to identify previously unknown left-sided chronic heart failure in mild to moderate COPD patients. There seems to be an adaptive tendency to concentric right ventricular hypertrophy in COPD patients with left-sided CHF.</t>
  </si>
  <si>
    <t>Is pacifier use a risk factor for acute otitis media? A dynamic cohort study.</t>
  </si>
  <si>
    <t>Rovers, Maroeska M; Numans, Mattijs E; Langenbach, Esther; Grobbee, Diederick E; Verheij, Theo Jm; Schilder, Anne Gm</t>
  </si>
  <si>
    <t>https://pubmed.ncbi.nlm.nih.gov/18562333</t>
  </si>
  <si>
    <t>Recently, the use of a pacifier has been identified as a risk factor for acute otitis media (AOM). The studies performed so far, however, suffer from methodological limitations. To study whether pacifier use increases the risk of AOM. Four hundred and ninety-five children between the ages of 0 and 4 years followed from 2000 to 2005 in a dynamic population study in the Leidsche Rijn residential area in Utrecht, The Netherlands. At baseline, the parents of these children filled out a questionnaire regarding pacifier use and potential confounders. AOM was diagnosed by GPs according to the International Classification of Primary Care coding system. Odds ratios (ORs) and 95% confidence intervals (CIs) were calculated. Of the 216 children that used a pacifier at baseline, 76 (35%) developed at least one episode of AOM, and of the 260 children that did not use a pacifier, 82 (32%) developed at least one AOM episode; for recurrent AOM, these figures were 33 (16%) versus 27 (11%), respectively. The adjusted ORs for pacifier use and AOM and recurrent AOM were 1.3 (95% CI 0.9-1.9) and 1.9 (95% CI 1.1-3.2), respectively. Pacifier use appears to be a risk factor for recurrent AOM. Parents should be informed about the possible negative effects of using a pacifier once their child has been diagnosed with AOM to avoid recurrent episodes.</t>
  </si>
  <si>
    <t>Antibiotics for respiratory, ear and urinary tract disorders and consistency among GPs.</t>
  </si>
  <si>
    <t>Ong, David S Y; Kuyvenhoven, Marijke M; van Dijk, Liset; Verheij, Theo J M</t>
  </si>
  <si>
    <t>https://pubmed.ncbi.nlm.nih.gov/18544602</t>
  </si>
  <si>
    <t>To describe specific diagnoses for which systemic antibiotics are prescribed, to assess adherence of antibiotic choice to national guidelines and to assess consistency among general practitioners (GPs) in prescribed volumes of antibiotics for respiratory, ear and urinary tract disorders. The cross-sectional study included 174 GPs from 89 general practices. Data were derived from the Second Dutch National Survey of General Practice (DNSGP-2) in 2001. Outcome measures were the antibiotic prescriptions for respiratory, ear and urinary tract disorders defined according to the International Classification of Primary Care codes, the percentage of first-choice antibiotics complying with national guidelines and the number of antibiotic prescriptions per 1000 patients per GP per year. The most antibiotics for respiratory tract infection (RTI) were prescribed for acute bronchitis (25%), sinusitis (22%) and acute upper RTI (14%). The most antibiotics were prescribed for acute otitis media (77% of ear disorders) and cystitis (95% of urinary tract disorders). First-choice antibiotics were prescribed in approximately 75% of the cases, whereas macrolides and amoxicillin/clavulanate (second-choice antibiotics) were prescribed in approximately 25%, especially in lower RTIs. The correlations (Spearman rho) between prescribed volumes for the three main groups of disorders varied from 0.39 to 0.67. GPs were consistent in prescribing antibiotics for the three groups of diseases. Improvement strategies should focus on the management of acute upper RTIs and acute bronchitis and also on the use of amoxicillin/clavulanate and macrolides, these being mostly second-choice antibiotics in national guidelines.</t>
  </si>
  <si>
    <t>Dipyridamole plus aspirin versus aspirin alone in secondary prevention after TIA or stroke: a meta-analysis by risk.</t>
  </si>
  <si>
    <t>Halkes, P H A; Gray, L J; Bath, P M W; Diener, H-C; Guiraud-Chaumeil, B; Yatsu, F M; Algra, A</t>
  </si>
  <si>
    <t>https://pubmed.ncbi.nlm.nih.gov/18535024</t>
  </si>
  <si>
    <t>To study the effect of combination therapy with aspirin and dipyridamole (A+D) over aspirin alone (ASA) in secondary prevention after transient ischaemic attack (TIA) or minor stroke of presumed arterial origin and to perform subgroup analyses to identify patients that might benefit most from secondary prevention with A+D. The previously published meta-analysis of individual patient data was updated with data from ESPRIT (n = 2,739); trials without data on the comparison of A+D versus ASA were excluded. A meta-analysis was performed using Cox regression, including several subgroup analyses and following baseline risk stratification. A total of 7612 patients (five trials) were included in the analyses, 3800 allocated to A+D and 3812 to ASA alone. The trial-adjusted hazard ratio (HR) for the composite event of vascular death, non-fatal myocardial infarction and non-fatal stroke was 0.82 (95% confidence interval (CI) 0.72 to 0.92). HRs did not differ in subgroup analyses based on age, sex, qualifying event, hypertension, diabetes, previous stroke, ischaemic heart disease, aspirin dose, type of vessel disease and dipyridamole formulation, nor across baseline risk strata as assessed with two different risk scores. A+D were also more effective than ASA alone in preventing recurrent stroke; HR 0.78 (95% CI 0.68 to 0.90). The combination of aspirin and dipyridamole is more effective than aspirin alone in patients with TIA or ischaemic stroke of presumed arterial origin in the secondary prevention of stroke and other vascular events. This superiority was found in all subgroups and was independent of baseline risk.</t>
  </si>
  <si>
    <t>Cardiovascular events and all-cause mortality by albuminuria and decreased glomerular filtration rate in patients with vascular disease.</t>
  </si>
  <si>
    <t>Vlek, A L M; van der Graaf, Y; Spiering, W; Algra, A; Visseren, F L J; ,</t>
  </si>
  <si>
    <t>https://pubmed.ncbi.nlm.nih.gov/18522685</t>
  </si>
  <si>
    <t>Albuminuria and decreased estimated glomerular filtration rate (eGFR) are associated with increased cardiovascular risk, but do not necessarily coexist and have different pathophysiological mechanisms. This study aims to evaluate separate and combined effects of decreased eGFR and albuminuria on the occurrence of vascular diseases and mortality in patients with vascular disease. Prospective cohort study. University Medical Center Utrecht, the Netherlands. 2600 patients with vascular disease were followed for vascular events, vascular and all-cause mortality. Cox regression analysis was used to calculate hazard ratios (HRs) according to eGFR (MDRD) and albuminuria (albumin-to-creatinine ratio &gt;3 mg mmol(-1)). In this population, 14.0% had albuminuria, 15.6% had eGFR &lt;60 ml min(-1) 1.73 m(-2) and 5.2% had both. Nonalbuminuric decreased eGFR and albuminuria with normal eGFR generated moderately increased risks on all outcomes. eGFR &lt;60 ml min(-1) 1.73 m(-2) without albuminuria mainly influenced the risk of vascular events (HR 1.50; 1.05-2.15) whilst albuminuria with eGFR &gt;or=60 ml min(-1) 1.73 m(-2) principally affected all-cause mortality (HR 1.53; 1.04-2.26). The combination of eGFR &lt;60 ml min(-1) 1.73 m(-2) and albuminuria was associated with an increased risk for vascular events (HR 2.27; 1.54-3.34), vascular mortality (HR 2.22; 1.40-3.52) and all-cause mortality (HR 1.84; 1.25-2.69). Comparable results were found in additional analyses amongst 759 diabetic patients. The combination of decreased eGFR with albuminuria is associated with the highest risks of vascular events, vascular and all-cause mortality in patients with vascular diseases. To adequately estimate vascular risk associated with impaired renal function, both eGFR and urinary albumin should be considered.</t>
  </si>
  <si>
    <t>Influence of antidepressants on glycaemic control in patients with diabetes mellitus.</t>
  </si>
  <si>
    <t>Knol, M J; Derijks, H J; Geerlings, M I; Heerdink, E R; Souverein, P C; Gorter, K J; Grobbee, D E; Egberts, A C G</t>
  </si>
  <si>
    <t>https://pubmed.ncbi.nlm.nih.gov/18449949</t>
  </si>
  <si>
    <t>Anecdotal evidence suggests that antidepressants (ADs) may complicate glycaemic control. The objective of this longitudinal study was to investigate the influence of ADs on glycaemic control within diabetes patients. From the pharmacy registry database PHARMO, we selected insulin users who did not use oral antidiabetics. The study population comprised: 133 patients with at least 12 months insulin use before and 6 months during an AD episode, including 56 patients with an additional 6 months of insulin use after the AD episode; 180 patients with 24 months insulin use without an AD episode. Glycaemic control was measured as the amount of insulin used, which was calculated intra-individually in 3-month periods. We stratified for selective serotonin reuptake inhibitors (SSRIs) and tricyclic antidepressants (TCAs). Mean age (s.d.) of the subjects was 53.9 (19) years; 46.9% were men. Overall, the amount of insulin used did not change during or after AD use. No-AD users showed an increase of 16% in amount of insulin used over a period of 2 years (p &lt; 0.001). SSRI users showed a decrease of 13% in amount of insulin used during the AD episode (p = 0.029), while no change was seen in TCA users. Notable was the large intra- and interindividual variation in amount of insulin used across all groups. Overall, AD use did not influence glycaemic control in diabetes patients. The tendency for a difference between SSRIs and TCAs is suggestive for a pharmacologic effect of ADs rather than a general effect of depression on glycaemic control.</t>
  </si>
  <si>
    <t>Aggressive vascular surgery in asymptomatic patients is a bad idea.</t>
  </si>
  <si>
    <t>van der Graaf, Y</t>
  </si>
  <si>
    <t>https://pubmed.ncbi.nlm.nih.gov/18446773</t>
  </si>
  <si>
    <t>Being there: parenting the child with acute lymphoblastic leukaemia.</t>
  </si>
  <si>
    <t>Kars, Marijke C; Duijnstee, Mia S H; Pool, Aart; van Delden, Johannes J M; Grypdonck, Mieke H F</t>
  </si>
  <si>
    <t>https://pubmed.ncbi.nlm.nih.gov/18482117</t>
  </si>
  <si>
    <t>To gain insight into the lived experience of parenting a child with leukaemia during treatment. Diagnosis of leukaemia in children leads to an existential shock for parents and a reversal of normal family life. Today, in the Netherlands, after diagnosis, children stay at home most of the time. Therefore, their parents face considerable responsibilities for administering home-based treatment and for the support of their child during illness and treatment. A grounded theory study was undertaken at a Dutch University Hospital and involved one-time individual in-depth interviews with 12 mothers and 11 fathers (n = 23) of 12 children. 'Being there', was identified as the core concept. It means: 'I'll be there for you; I will never let you down'. 'Being there' is described as a parental response to the perceived vulnerability of the child and the parental need to give meaning to parenthood. It serves two purposes: protection and preservation. Protection means guarding the child against the negative aspects of illness and treatment. Preservation refers to the way parents influence the child's perception of his/her life, thus contributing to his/her coping and willingness to undergo treatment, to maximise the chances for survival. Six aspects were identified: a trusting relationship, presence, emotional support, advocacy, routines and rituals and effacing oneself. The concept provides a theoretical frame for parenting the child with cancer. It clarifies the actions and reactions of parents and increases insight into the underlying force that enables parents to provide continuing care despite their personal burden. The concept offers an essential insight into parenting the child with acute lymphoblastic leukaemia and has relevance for nursing practice and education. Understanding of the concept would improve the ability to understand, communicate and work pro-actively in partnership with parents.</t>
  </si>
  <si>
    <t>Impact of recipient's age on heart transplantation outcome.</t>
  </si>
  <si>
    <t>https://pubmed.ncbi.nlm.nih.gov/18498818</t>
  </si>
  <si>
    <t>The shortage of donor hearts stimulates the debate whether heart transplantation is justified for older recipients. We studied the effect of recipient's age on heart transplantation outcome in a large cohort of recipients. Between March 1989 and December 2004, 1262 adult recipients underwent heart transplantation. Recipients were divided into two groups: 540 recipients aged younger than 55 years and 722 aged 55 years or older. The overall 30-day mortality risk was 9%, at 6% for recipients younger than 55, and 10% for recipients 55 years or older (p = 0.005). Rejection, multiorgan failure, infection, and right heart failure dominated the causes of early death in both groups. The 1-, 5-, 10-, and 15-year survival was 84%, 75%, 60%, and 50%, respectively, for recipients younger than 55 years, and 73%, 63%, 48%, and 35%, respectively, for recipients aged 55 years and older (p &lt; 0.001). The mortality rate for those who survived the first month was 58/1000 patient-years. The main causes for late mortality were cardiac allograft vasculopathy, rejection, and infection for recipients younger than 55 years; and infection, malignancies, and rejection for recipients aged 55 years or older. Both the crude and adjusted hazard ratio increased with increasing recipient's age. The outcome of heart transplantation in older recipients is less favorable than in younger recipients. The decision to offer heart transplantation to recipients older than 55 years should be considered cautiously.</t>
  </si>
  <si>
    <t>Cost-effectiveness of aspirin treatment in the primary prevention of cardiovascular disease events in subgroups based on age, gender, and varying cardiovascular risk.</t>
  </si>
  <si>
    <t>Greving, Jacoba P; Buskens, Erik; Koffijberg, Hendrik; Algra, Ale</t>
  </si>
  <si>
    <t>https://pubmed.ncbi.nlm.nih.gov/18506010</t>
  </si>
  <si>
    <t>Aspirin is effective for the primary prevention of cardiovascular events, but it remains unclear for which subgroups of individuals aspirin is beneficial. We assessed the cost-effectiveness of aspirin separately for men and women of different ages with various levels of cardiovascular disease risk. A Markov model was developed to predict the number of cardiovascular events prevented, quality-adjusted life-years, and costs over a 10-year period. Event rates were taken from Dutch population data, and the relative effectiveness of aspirin was taken from a gender-specific meta-analysis. Sensitivity analyses and Monte Carlo simulations were conducted to evaluate the robustness of the results. In 55-year-old persons, aspirin prevented myocardial infarctions in men (127 events per 100,000 person-years) and ischemic strokes in women (17 events per 100,000 person-years). Aspirin implies a net investment and a quality-adjusted life-year gain in men 55 years of age; the incremental cost-effectiveness ratio was 111,949 euros per quality-adjusted life-year (1 euro=$1.27 as of June 2007). Aspirin was cost-effective for 55- and 65-year-old men with moderate cardiovascular risk and men 75 years of age (10-year cardiovascular disease risk &gt;10%). Conversely, aspirin was beneficial for women 65 years of age with high cardiovascular risk and women 75 years of age with moderate cardiovascular risk (10-year cardiovascular disease risk &gt;15%). Results were sensitive to drug treatment costs, effectiveness of aspirin treatment, and utility of taking aspirin. Aspirin treatment for primary prevention is cost-effective for men with a 10-year cardiovascular disease risk of &gt;10% and for women with a risk of &gt;15%. This occurs much later in life for women than men. Therefore, opportunities for the primary prevention of aspirin seem limited in women, and a differentiated preventive strategy seems warranted.</t>
  </si>
  <si>
    <t>Validity of the modified Baecke questionnaire: comparison with energy expenditure according to the doubly labeled water method.</t>
  </si>
  <si>
    <t>Hertogh, Emmy M; Monninkhof, Evelyn M; Schouten, Evert G; Peeters, Petra Hm; Schuit, Albertine J</t>
  </si>
  <si>
    <t>https://pubmed.ncbi.nlm.nih.gov/18505554</t>
  </si>
  <si>
    <t>In epidemiological research, physical activity is usually assessed by questionnaires. Questionnaires are suitable for large study populations since they are relatively inexpensive and not very time consuming. However, questionnaire information is by definition subjective and prone to recall bias, especially among elderly subjects. The Modified Baecke Questionnaire, developed by Voorrips and coworkers, measures habitual physical activity in the elderly. The questionnaire includes questions on household activities, sports, and leisure time activities, over a time period of one year. The Modified Baecke Questionnaire results in a score to classify people as high, moderate, or low in daily physical activity, based on tertiles. The validity of the Modified Baecke Questionnaire score was assessed among 21 elderly men and women using the doubly labeled water method as the reference criterion. This method is considered to be the gold standard for measuring energy expenditure in free-living individuals. Energy expenditure on physical activity is estimated by the ratio of total energy expenditure measured by the doubly labeled water method and resting metabolic rate measured by indirect calorimetry. This ratio is called the physical activity ratio. The Spearman correlation coefficient between the questionnaire score and the physical activity ratio (PAR) was 0.54 (95% CI 0.22-0.66). Correct classification by the questionnaire occurred in 71% of participants who were in the lowest tertile of PAR, in 14% of participants in the middle tertile, and in 43% of participants in the highest tertile. Subjects were not wrongly classified in an opposite tertile. The validity of the Modified Baecke Questionnaire is fair-to-moderate. This study shows that the questionnaire can correctly classify individuals as low or high active, but does a poor job for moderately active individuals.</t>
  </si>
  <si>
    <t>Relation of epicardial and pericoronary fat to coronary atherosclerosis and coronary artery calcium in patients undergoing coronary angiography.</t>
  </si>
  <si>
    <t>Gorter, Petra M; de Vos, Alexander M; van der Graaf, Yolanda; Stella, Pieter R; Doevendans, Pieter A; Meijs, Matthijs F L; Prokop, Mathias; Visseren, Frank L J</t>
  </si>
  <si>
    <t>https://pubmed.ncbi.nlm.nih.gov/18678291</t>
  </si>
  <si>
    <t>Fat surrounding coronary arteries might aggravate coronary artery disease (CAD). We investigated the relation between epicardial adipose tissue (EAT) and pericoronary fat and coronary atherosclerosis and coronary artery calcium (CAC) in patients with suspected CAD and whether this relation is modified by total body weight. This was a cross-sectional study of 128 patients with angina pectoris (61 +/- 6 years of age) undergoing coronary angiography. EAT volume and pericoronary fat thickness were measured with cardiac computed tomography. Severity of coronary atherosclerosis was assessed by the number of stenotic (&gt; or =50%) coronary vessels; extent of CAC was determined by the Agatston score. Patients were stratified for median total body weight (body mass index [BMI] 27 kg/m(2)). Overall, EAT and pericoronary fat were not associated with severity of coronary atherosclerosis and extent of CAC. In patients with low BMI, those with multivessel disease had increased EAT volume (100 vs 67 cm(3), p = 0.04) and pericoronary fat thickness (9.8 vs 8.4 mm, p = 0.06) compared with those without CAD. Also, patients with severe CAC had increased EAT volume (108.0 vs 69 cm(3), p = 0.02) and pericoronary fat thickness (10.0 vs 8.2 mm, p value = 0.01) compared with those with minimal/absent CAC. In conclusion, EAT and pericoronary fat were not associated with severity of coronary atherosclerosis and CAC in patients with suspected CAD. However, in those with low BMI, increased EAT and pericoronary fat were related to more severe coronary atherosclerosis and CAC. Fat surrounding coronary arteries may be involved in the process of coronary atherosclerosis, although this is different for patients with low and high BMIs.</t>
  </si>
  <si>
    <t>[Influenza vaccination in the elderly: effectiveness not in doubt].</t>
  </si>
  <si>
    <t>Hak, E; Opstelten, W; Looijmans-van den Akker, I; Knottnerus, J A</t>
  </si>
  <si>
    <t>https://pubmed.ncbi.nlm.nih.gov/18552059</t>
  </si>
  <si>
    <t>In a recent review the effectiveness of influenza vaccination in the elderly was brought into question. Selection bias, which would occurr if healthy people were more likely to be vaccinated than their infirm peers, and the use of non-specific outcomes, such as death from all causes, were considered to have contributed to the effectiveness of the vaccine as to morbidity and mortality being overestimated. However, a recent study has shown that even when potential bias and residual confounding were addressed, influenza vaccination was associated with a significant reduction in the risk of influenza-related morbidity and mortality among community-dwelling elderly persons. Direct estimates of influenza-related morbidity were hampered by delayed and insufficiently sensitive diagnostics. Excess studies, however, comparing morbidity and mortality during periods with and without influenza predominance, present reliable indirect estimates in favour of vaccination. While the vaccination rate of high-risk subjects in The Netherlands is traditionally high, the age limit for influenza vaccination was lowered from 65 to 60 in 2008, taking into account influenza-related morbidity and mortality in healthy people aged 60 to 65 years and the undisputed effectiveness of vaccination against influenza.</t>
  </si>
  <si>
    <t>Alpha-adducin Gly460Trp variant increases the risk of stroke in hypertensive Dutch women.</t>
  </si>
  <si>
    <t>https://pubmed.ncbi.nlm.nih.gov/18458162</t>
  </si>
  <si>
    <t>The Gly460Trp variant of the alpha-adducin gene has been associated with renal sodium retention and salt-sensitive hypertension. Independent of blood pressure, salt sensitivity has been related to cerebrovascular events. We studied the risk of stroke, coronary heart disease (CHD), and myocardial infarction (MI) associated with the alpha-adducin variant and examined the extent to which this risk is modified by the presence of hypertension. We performed a case-cohort study in a prospective cohort of 15,236 initially healthy Dutch women. We applied a Cox proportional hazards model with an estimation procedure adapted for case-cohort designs to study the relation of the polymorphism and CHD (n=210), MI (n=71), any stroke (n=74), and ischemic stroke (n=49). Subjects with the Gly460Trp variant had a 2.8 times higher risk of stroke (95% confidence intervals [CI] 1.3 to 5.8) under the dominant genetic model, which did not attenuate after adjustment. The same pattern was found under per-allele comparison. Risk of ischemic stroke in the variant allele carriers was 3.9 times higher than in subjects with the common genotype (95% CI 1.7 to 8.6) using dominant inheritance model. The same patterns were found under per-allele comparison. CHD and MI were not related to the variant. The risk of ischemic stroke was more pronounced among women with systolic hypertension (10.9; 95% CI 3.6 to 31.5). The findings in this prospective study in a population based cohort of Dutch women strongly suggest that presence of the alpha-adducin Gly460Trp polymorphism increases the risk of stroke. This risk is particularly elevated in the presence of systolic hypertension.</t>
  </si>
  <si>
    <t>Variations in the uncoupling protein-3 gene are associated with specific obesity phenotypes.</t>
  </si>
  <si>
    <t>van Abeelen, Annet F M; de Krom, Mariken; Hendriks, Judith; Grobbee, Diederick E; Adan, Roger A H; van der Schouw, Yvonne T</t>
  </si>
  <si>
    <t>https://pubmed.ncbi.nlm.nih.gov/18426825</t>
  </si>
  <si>
    <t>Uncoupling protein 3 (UCP-3) uncouples oxidative metabolism from ATP synthesis, resulting in the production of heat instead of energy storage. Single nucleotide polymorphisms (SNPs) in UCP-3 might result in a reduced function or expression of UCP-3 and therefore lead to an increased capacity to store energy as fat. We conducted a population-based, cross-sectional single-center study among 400 Dutch men between 40 and 80 years. Seven SNPs in the UCP-3 gene were genotyped by means of an allele-specific real-time TaqMan PCR. Linear regression analyses were performed to examine the independent effects of these SNPs on obesity phenotypes. We found a significant association between homozygosity for the minor allele of rs647126, rs1685356, and rs2075577 and an increase in body mass index (BMI; P=0.033, P=0.016, and P=0.019 respectively). Heterozygosity for rs1685354 was associated with a significant decrease in visceral fat mass (P=0.030). Our results suggest that genetic variations in the UCP-3 gene are associated with an increase in BMI. A plausible mechanism by which these SNPs lead to an increase in BMI is that due to these SNPs, the UCP-3 activity might be decreased. As a result, uncoupling activity may also decrease, which will lead to an increase in body weight and BMI.</t>
  </si>
  <si>
    <t>Routine follow-up after pacemaker implantation: frequency, pacemaker programming and professionals in charge.</t>
  </si>
  <si>
    <t>van Eck, Jacob W M; van Hemel, Norbert M; de Voogt, Willem G; Meeder, Joan G; Spierenburg, Hans A; Crommentuyn, Har; Keijzer, Rens; Grobbee, Diederick E; Moons, Karel G M; ,</t>
  </si>
  <si>
    <t>https://pubmed.ncbi.nlm.nih.gov/18420650</t>
  </si>
  <si>
    <t>To describe current evidence of the frequency, contents, and involved professionals of the routine follow-up visits in patients who have received a pacemaker (PM). The multicentre FOLLOWPACE study prospectively collected data during implantation and follow-up of 1526 patients who received a PM for the first time. A total of 4914 follow-up visits were studied. Mean follow-up was 394 days with a mean of 3.2 visits per patient. At all follow-up visits, the battery condition was tested in &gt;93%, the stimulation threshold in &gt;91%, and sensing in &gt;87%. The pacemaker parameters as stimulation and sensing thresholds, lead impedances, and percentages of pacing remained stable over time, but these values did depend on the lead location, lead fixation, and pulse duration. The majority of PM (re-)programming was performed during implantation and/or shortly before hospital discharge (50%). PM re-programming during follow-up was most frequently performed by the PM technician alone (95%). Crucial PM parameters are regularly checked. Re-programming of PM parameters declined during the first year after PM implantation. The majority of PM checks were carried out by the PM technician, indicating the major influence of the allied professional on the quality and safety of the pacing therapy.</t>
  </si>
  <si>
    <t>The association between erectile dysfunction and cardiovascular risk in men with Type 2 diabetes in primary care: it is a matter of age.</t>
  </si>
  <si>
    <t>Cleveringa, Frits G W; Meulenberg, Margriet G G; Gorter, Kees J; van den Donk, Maureen; Rutten, Guy E H M</t>
  </si>
  <si>
    <t>https://pubmed.ncbi.nlm.nih.gov/18413203</t>
  </si>
  <si>
    <t>Erectile dysfunction (ED) prevalence is usually based on questionnaires, too elaborate for daily practice. The single question for ED prevalence is unknown. Literature reports an independent association between ED and both cardiovascular disease (CVD) and diabetes. Whether routinely asking men with Type 2 diabetes (DM2) about ED identifies those at elevated risk for CVD is unknown. We assessed cardiovascular risk of DM2 men with ED. This was a cross-sectional study in primary care. During annual check-up, the practice nurse asked 1823 DM2 men: "Do you have erection problems? Yes/no." ED prevalence rate was calculated. Age, medication, and other known factors associated with ED and/or CVD were used in univariate analysis (odds ratio [OR], Student's t test, and Mann-Whitney test). This revealed confounding variables used in the multivariable analysis. The association between ED and history of cardiovascular disease (HCVD) was assessed by logistic regression analysis. In patients with no HCVD, we assessed the association between ED and 10-year United Kingdom Prospective Diabetes Study (UKPDS) coronary heart disease risk by linear regression analysis. The prevalence of ED in DM2 patients was 41.3%. There was no independent association between ED and HCVD [adjusted OR, 1.2 (95% CI, 0.9-1.5)]. The 10-year UKPDS CHD risk difference between men with and without ED was 5.9% (95% CI, 3.2-8.7), but after adjustment for age, this association disappeared [adjusted risk difference, 0.6% (95% CI, -1.5 to 2.7)]. The ED prevalence rate assessed by a single question was comparable to that assessed by questionnaires. ED neither did independently relate to patients' cardiovascular history nor to cardiovascular risk.</t>
  </si>
  <si>
    <t>Heart-type Fatty acid-binding protein in Acute Myocardial infarction Evaluation (FAME): background and design of a diagnostic study in primary care.</t>
  </si>
  <si>
    <t>Bruins Slot, Madeleine H E; van der Heijden, Geert J M G; Rutten, Frans H; van der Spoel, Onno P; Mast, E Gijs; Bredero, Ad C; Doevendans, Pieter A; Glatz, Jan F C; Hoes, Arno W</t>
  </si>
  <si>
    <t>https://pubmed.ncbi.nlm.nih.gov/18412949</t>
  </si>
  <si>
    <t>Currently used biomarkers for cardiac ischemia are elevated in blood plasma after a delay of several hours and therefore unable to detect acute coronary syndrome (ACS) in a very early stage. General practitioners (GPs), however, are often confronted with patients suspected of ACS within hours after onset of complaints. This ongoing study aims to evaluate the added diagnostic value beyond clinical assessment for a rapid bedside test for heart-type fatty-acid binding protein (H-FABP), a biomarker that is detectable as soon as one hour after onset of ischemia. Participating GPs perform a blinded H-FABP rapid bedside test (Cardiodetect) in patients with symptoms suggestive of ACS such as chest pain or discomfort at rest. All patients, whether referred to hospital or not, undergo electrocardiography (ECG) and venapunction for a plasma troponin test within 12-36 hours after onset of complaints. A final diagnosis will be established by an expert panel consisting of two cardiologists and one general practitioner (blinded to the H-FABP test result), using all available patient information, also including signs and symptoms. The added diagnostic value of the H-FABP test beyond history taking and physical examination will be determined with receiver operating characteristic curves derived from multivariate regression analysis. Reasons for presenting the design of our study include the prevention of publication bias and unacknowledged alterations in the study aim, design or data-analysis. To our knowledge this study is the first to assess the diagnostic value of H-FABP outside a hospital-setting. Several previous hospital-based studies showed the potential value of H-FABP in diagnosing ACS. Up to now however it is unclear whether these results are equally promising when the test is used in primary care. The first results are expected in the end of 2008.</t>
  </si>
  <si>
    <t>History of depression, depressive symptoms, and medial temporal lobe atrophy and the risk of Alzheimer disease.</t>
  </si>
  <si>
    <t>Geerlings, M I; den Heijer, T; Koudstaal, P J; Hofman, A; Breteler, M M B</t>
  </si>
  <si>
    <t>https://pubmed.ncbi.nlm.nih.gov/18391157</t>
  </si>
  <si>
    <t>Depression may increase risk for Alzheimer disease (AD), but it is not clear whether this risk is mediated by structural brain changes. We determined whether history of depressive episodes and presence of depressive symptoms were associated with smaller hippocampal and amygdalar volumes and with increased risk for incident AD. Within the Rotterdam Scan Study 503 persons, aged 60-90 years at baseline and without dementia, reported their history of depressive episodes. Depressive symptoms were assessed with the Center for Epidemiologic Studies Depression Scale. Volumetric assessment of the hippocampus and amygdala was performed using three-dimensional MRI. All subjects were followed for an average of 6 years for development of AD, diagnosed according to National Institute of Neurological and Communicative Disorders and Stroke-Alzheimer's Disease and Related Disorders Association criteria. A total of 134 subjects (26.6%) reported a history of depression (88 reported an onset &lt;60 years and 46 a late onset). Multiple linear regression analyses did not reveal a significant association with hippocampal or amygdalar volume for any of the depression parameters. During follow-up, 33 persons developed AD. Cox regression analyses showed that subjects with early onset depression had an increased risk for AD (HR 3.76; 95% CI 1.41 to 10.06), independent of hippocampal and amygdalar volume, whereas this risk was 2.34 (95% CI 0.82 to 6.69) in subjects with a late-onset depression. Depressive symptoms at baseline were not associated with increased risk for AD. History of depression, and particularly an early onset, but not presence of depressive symptoms increased the risk for Alzheimer disease. This risk was not mediated by smaller hippocampal or amygdalar volumes.</t>
  </si>
  <si>
    <t>Menopausal complaints are associated with cardiovascular risk factors.</t>
  </si>
  <si>
    <t>https://pubmed.ncbi.nlm.nih.gov/18391100</t>
  </si>
  <si>
    <t>It has been hypothesized that women with vasomotor symptoms differ from those without with respect to cardiovascular risk factors or responses to exogenous hormone therapy. We studied whether the presence and extent of menopausal complaints are associated with cardiovascular risk profile. Data were used from a population-based sample of 5523 women, aged 46 to 57 years, enrolled between 1994 and 1995. Data on menopausal complaints and potential confounders were collected by questionnaires. Total cholesterol, systolic and diastolic blood pressures, and body mass index were measured. Linear and logistic regression analyses were used to analyze the data. Night sweats were reported by 38% and flushing by 39% of women. After multivariate adjustment, women with complaints of flushing had a 0.27-mmol/L (95% CI: 0.15 to 0.39) higher cholesterol level, a 0.60-kg/m(2) (95% CI: 0.35 to 0.84) higher BMI, a 1.59-mm Hg (95% CI: 0.52 to 2.67) higher systolic blood pressure, and a 1.09-mm Hg (95% CI: 0.48 to 1.69) higher diastolic blood pressure compared with asymptomatic women. Flushing was also associated with hypercholesterolemia (odds ratio: 1.52; 95% CI: 1.25 to 1.84) and hypertension (OR: 1.20; 95% CI: 1.07 to 1.34). Results were similar for complaints of night sweating. The findings support the view that menopausal complaints are associated with a less favorable cardiovascular risk profile. These findings substantiate the view that differences in the presence of menopausal symptoms as a reason for using hormone therapy could explain discrepant findings between observational research and trials.</t>
  </si>
  <si>
    <t>Poor health-related quality of life of patients with indication for chronic cardiac pacemaker therapy.</t>
  </si>
  <si>
    <t>van Eck, J W Martijn; van Hemel, Norbert M; Kelder, Johannes C; van den Bos, Arjan A; Taks, William; Grobbee, Diederick E; Moons, Karel G M; ,</t>
  </si>
  <si>
    <t>pacing and clinical electrophysiology pace</t>
  </si>
  <si>
    <t>https://pubmed.ncbi.nlm.nih.gov/18373768</t>
  </si>
  <si>
    <t>Studies on health-related quality of life (HRQoL) of patients awaiting pacemaker (PM) implantation are scarce, or executed in specific patient subgroups (regarding age or specific cardiac rhythm disorders). The purpose of this study was to systematically assess the HRQoL in a large unselected cohort of patients with a conventional indication for PM therapy. Pre-PM implantation HRQoL (measured with the SF-36 questionnaire, completed at hospital admission) of 818 consecutive Dutch patients included in the FOLLOWPACE study was compared with the HRQoL in a sample of the general Dutch population, and with several cohorts of patients with other conditions. Linear regression analysis was performed to analyze determinants of this HRQoL. Almost all SF-36 subscale scores were substantially and significantly lower in the PM patients compared to the general population, with P-values &lt; 0.001 in all SF-36 subscales except for "pain" and "general health perception." In the PM patients, presence of comorbidities, gender, and age were significantly associated with the overall physical component summary score (mean 38.8 +/- 27 standard deviation) whereas the overall mental component summary score (46.8 +/- 27.0) was associated with gender and age. The HRQoL of patients before first PM implantation is significantly lower than that of a general population and also various other patient populations. Physicians should be aware of this unfavorable condition and keep the time interval between the diagnosis of a cardiac rhythm disorder requiring PM implantation and the implantation procedure as short as possible.</t>
  </si>
  <si>
    <t>Symptoms of influenza virus infection in hospitalized patients.</t>
  </si>
  <si>
    <t>van den Dool, C; Hak, E; Wallinga, J; van Loon, A M; Lammers, J W J; Bonten, M J M</t>
  </si>
  <si>
    <t>https://pubmed.ncbi.nlm.nih.gov/18462143</t>
  </si>
  <si>
    <t>During influenza outbreaks, fever and cough are the most accurate symptoms in predicting influenza virus infection in the community. To determine the usefulness of fever, cough, and other symptoms for diagnosing influenza virus infection in hospitalized patients. Prospective cohort study. Three wards (pulmonology, internal medicine and infectious diseases, and geriatrics) of a tertiary care hospital in the Netherlands. All patients staying in the wards during peak national influenza activity in the 2005-2006 and 2006-2007 influenza seasons. During peak influenza activity, the presence of fever, cough, and/or other symptoms possibly associated with influenza was monitored for all patients, and nose and throat swab samples were taken twice weekly for virologic analysis. Of 264 patients, 23 (9%) tested positive for influenza virus. The positive predictive value of fever and cough for the diagnosis of influenza virus infection was 23% (95% confidence interval, 0%-62%), and the sensitivity was 35% (95% confidence interval, 11%-58%). The combination of symptoms with the highest positive predictive value (40%) was that of cough, chills, and obstructed nose or coryza. The combination of cough and chills or fever had the highest sensitivity (60%). None of the combinations of symptoms had both a positive predictive value and a sensitivity higher than 40%. Both the sensitivity and the positive predictive value of fever, cough, and/or other symptoms for the diagnosis of influenza virus infection in hospitalized patients are low. The use of these common symptoms for treatment decisions and infection control management will probably be insufficient to contain a nosocomial outbreak, because many influenza cases will remain unidentified.</t>
  </si>
  <si>
    <t>Antibiotics in Dutch general practice: nationwide electronic GP database and national reimbursement rates.</t>
  </si>
  <si>
    <t>Akkerman, Annemiek E; Kuyvenhoven, Marijke M; Verheij, Theo J M; van Dijk, Liset</t>
  </si>
  <si>
    <t>https://pubmed.ncbi.nlm.nih.gov/17929333</t>
  </si>
  <si>
    <t>In order to assess whether different databases generate information which can be reliable compared with each other, this study aimed to assess to which degree prescribing rates for systemic antibiotics from a nationwide electronic general practitioner (GP) database correspond with national reimbursement rates, and to investigate for which indications antibiotics are prescribed. Nationwide GP prescribing data were collected from the Second Dutch National Survey of General Practice (DNSGP-2) based on 90 general practices serving 358 008 patients in 2001. Dutch national reimbursement rates for GPs were derived from claims data of the Dutch Drug Information System/Health Care Insurance Board (GIP/CVZ) from 2001. We calculated antibiotic prescribing rates per 1000 patients/inhabitants for each database, and these rates were compared for the total rates and according to antibiotic subgroups. Indications for which GPs prescribed antibiotics were described. In national reimbursement data, 339 antibiotic prescriptions per 1000 inhabitants were prescribed by GPs, while the nationwide GP database showed 255 prescriptions per 1000 patients (75% coverage with reimbursement rates). The nationwide GP database showed high volumes of sulphonamides &amp; trimethoprim, and small volumes of macrolides and quinolones. Half of the prescriptions (48%) were prescribed for respiratory diseases, a quarter (26%) for urinary diseases and 7% for ear diseases. GPs voluntarily participating in a research network prescribe less antibiotics than Dutch GPs in general, and are cautious in prescribing newer and more broad-spectrum antibiotics. This point has to be taken into account when databases will be compared with each other.</t>
  </si>
  <si>
    <t>[Echographic screening of the abdominal aorta in older men is not useful].</t>
  </si>
  <si>
    <t>https://pubmed.ncbi.nlm.nih.gov/18461893</t>
  </si>
  <si>
    <t>Aneurysm of the abdominal aorta (AAA) is a normal symptom of old age, the prevalence and chance of rupture of which are highly exaggerated, and which very seldom leads to death. The result of screening is that many men (5%) are medicalised unjustly and exposed to the severe risks of a surgical intervention. The mortality during open surgery is 5-6%. Screening has no effect on the total mortality.</t>
  </si>
  <si>
    <t>Burden and rates of treatment and control of cardiovascular disease risk factors in obesity: the Framingham Heart Study.</t>
  </si>
  <si>
    <t>Molenaar, Esther A; Hwang, Shih-Jen; Vasan, Ramachandran S; Grobbee, Diederick E; Meigs, James B; D'Agostino, Ralph B; Levy, Daniel; Fox, Caroline S</t>
  </si>
  <si>
    <t>https://pubmed.ncbi.nlm.nih.gov/18375414</t>
  </si>
  <si>
    <t>Obesity is associated with an increased risk for cardiovascular disease (CVD). We sought to determine rates of treatment and control of CVD risk factors among normal weight, overweight, and obese individuals in a community-based cohort. Participants free of CVD (n = 6,801; mean age 49 years; 54% women) from the Framingham Offspring and Third Generation cohorts who attended the seventh Offspring examination (1998-2001) or first Third Generation (2002-2005) examination were studied. Obese participants with hypertension were more likely to receive antihypertensive treatment (62.3%) than normal weight (58.7%) or overweight (59.0%) individuals (P = 0.002), but no differences in hypertension control across BMI subgroups among participants with hypertension were observed (36.7% [normal weight], 37.3% [overweight], and 39.4% [obese]; P = 0.48). Rates of lipid-lowering treatment were higher among obese participants with elevated LDL cholesterol (39.5%) compared with normal weight (34.2%) or overweight (36.4%) participants (P = 0.02), but control rates among those with elevated LDL cholesterol did not differ across BMI categories (26.7% [normal weight], 26.0% [overweight], and 29.2% [obese]; P = 0.11). There were no differences in diabetes treatment among participants with diabetes across BMI groups (69.2% [normal weight], 50.0% [overweight], 55.0% [obese]; P = 0.54), but obese participants with diabetes were less likely to have fasting blood glucose &lt;126 mg/dl (15.7%) compared with normal weight (30.4%) or overweight (20.7%) participants (P = 0.02). These findings emphasize the suboptimal rates of treatment and control of CVD risk factors among overweight and obese individuals.</t>
  </si>
  <si>
    <t>Elevated blood pressure and electrocardiographic frontal T axis and spatial QRS-T angle changes in postmenopausal women.</t>
  </si>
  <si>
    <t>Atsma, Femke; Bartelink, Marie-Louise E L; van der Schouw, Yvonne T; Kors, Jan A; Grobbee, Diederick E</t>
  </si>
  <si>
    <t>https://pubmed.ncbi.nlm.nih.gov/18353347</t>
  </si>
  <si>
    <t>Frontal T axis and spatial QRS-T angle are both measures of disturbances in ventricular repolarization and depolarization. We determined whether increased blood pressure is a risk factor for changes in these parameters in postmenopausal women free of left ventricular hypertrophy. This cross-sectional study included 969 women. A standard 12-lead electrocardiogram (ECG) was recorded, and frontal T axes and spatial QRS-T angles were computed from vectorcardiography. Logistic regression analysis was used to assess the relationship between systolic and diastolic blood pressures on the one hand and both ECG parameters on the other. Odds ratios were 1.08 (95% confidence interval [CI], 0.99-1.18) and 1.12 (95% CI, 1.03-1.23) per 10 mm Hg systolic blood pressure for frontal T axis and QRS-T angle, respectively. These values were 1.05 (95% CI, 0.95-1.16) and 1.12 (95% CI, 1.02-1.23) per 5 mm Hg diastolic blood pressure for frontal T-axis and QRS-T angle, respectively. Elevated blood pressure may lead to ventricular depolarization and repolarization disturbances before overt ECG left ventricular hypertrophy has developed.</t>
  </si>
  <si>
    <t>Pulse pressure amplification and risk of cardiovascular disease.</t>
  </si>
  <si>
    <t>Nijdam, Marie-Elise; Plantinga, Yvonne; Hulsen, Hans T; Bos, Willem J W; Grobbee, Diederick E; van der Schouw, Yvonne T; Bots, Michiel L</t>
  </si>
  <si>
    <t>https://pubmed.ncbi.nlm.nih.gov/18369358</t>
  </si>
  <si>
    <t>Whether pulse pressure amplification (PPA) relates to established markers of cardiovascular risk is unknown. The purpose of this study was to investigate the relationship between PPA and cardiovascular risk factors and cardiovascular risk in a population-based sample of 40- to 80-year old men. A cross-sectional, single-center study was performed in 400 men aged 40-80 years. PPA was calculated as a ratio (brachial pulse pressure/central pulse pressure). Detailed information on vascular risk factors was obtained. Aortic pulse wave velocity (PWV) and common carotid intima-media thickness (CIMT), as markers of vascular risk, were measured. We calculated the absolute 10-year risk of coronary heart disease using the Framingham risk score. Regression analysis was used to evaluate the relations under study. In models adjusted for age, mean arterial pressure (MAP), heart rate, and height, significant inverse relations with PPA were found for waist-to-hip ratio, triglycerides, smoking, pack-years, and hypertension. Furthermore, an increased PPA was significantly inversely related to aortic PWV, common CIMT, and history of symptomatic vascular disease. Finally, the Framingham risk score decreased with increasing PPA. Our study shows that a higher PPA reflects a lower vascular risk in men between 40 and 80 years of age, as shown by a better cardiovascular risk profile, a reduced PWV, common CIMT, and a lower Framingham risk of coronary heart disease.</t>
  </si>
  <si>
    <t>Treatment of herpes zoster.</t>
  </si>
  <si>
    <t>Opstelten, Wim; Eekhof, Just; Neven, Arie Knuistingh; Verheij, Theo</t>
  </si>
  <si>
    <t>canadian family physician medecin de famille canadien</t>
  </si>
  <si>
    <t>https://pubmed.ncbi.nlm.nih.gov/18337531</t>
  </si>
  <si>
    <t>To review the evidence regarding treatment of herpes zoster (HZ) in the short-term, focusing on the prevention of postherpetic neuralgia (PHN). The evidence relating to treatment of HZ is derived mainly from randomized controlled trials (level I evidence). Antiviral drugs might have some effect on the severity of acute pain and on the duration of skin lesions. Corticosteroids also alleviate acute pain. Oral antiviral medication reduces the risk of eye complications in patients with ophthalmic HZ. There is no convincing evidence that antiviral medication reduces the risk of PHN. Some studies, however, have shown that famciclovir and valacyclovir shorten the duration of PHN. The effectiveness of amitriptyline or cutaneous and percutaneous interventions in preventing PHN has not been proven. Oral antiviral drugs should be prescribed to elderly HZ patients with high risk of PHN. Moreover, these drugs should be prescribed to all patients at the first signs of ophthalmic HZ, irrespective of age or severity of symptoms.</t>
  </si>
  <si>
    <t>Is there a need for dietary measures to further reduce LDL cholesterol in patients with type II diabetes mellitus on statin therapy?</t>
  </si>
  <si>
    <t>Winters, Stephanie M; Visser, Hannah; Steerneman, Anke H M; Thomas, Gregory; Bots, Michiel L; van der Heijden, Geert J</t>
  </si>
  <si>
    <t>https://pubmed.ncbi.nlm.nih.gov/18684421</t>
  </si>
  <si>
    <t>To study the need for dietary measures to further reduce LDL cholesterol in patients with type 2 diabetes mellitus on statin therapy. A Pubmed, Embase, CINAHL and Cochrane library search was performed to identify relevant articles. After critical appraisal six articles were ranked according to relevance, validation and level of evidence. There were no studies performed among type II diabetics. Among patients with hypercholesterolaemia, diet led to an additional LDL reduction from 0.20 to 0.88 mmol/l, translating into 23% reduction in vascular risk. We recommend a low-fat diet on top of statin therapy in patients with type 2 diabetes mellitus assuming that effects found in hypercholesterolaemic patients also apply to type 2 diabetics.</t>
  </si>
  <si>
    <t>Multi Detector-Row Computed Tomography (MDCT) had excellent reproducibility of coronary calcium measurements.</t>
  </si>
  <si>
    <t>Sabour, S; Atsma, F; Rutten, A; Grobbee, D E; Mali, W; Prokop, M; Bots, M L</t>
  </si>
  <si>
    <t>https://pubmed.ncbi.nlm.nih.gov/18471661</t>
  </si>
  <si>
    <t>To assess reproducibility of coronary calcium measurements with Multi Detector-Row Computed Tomography (MDCT) imaging and to evaluate whether different measurement protocols, slice thickness, and cardiovascular risk factors affect inter and intra-observer reproducibility. In a cross-sectional design, the study population comprised 199 healthy postmenopausal women. Coronary calcium was assessed using a 16-MDCT (Philips Mx 8000 IDT 16). Images were made using 1.5 and 3.0mm slice thicknesses. To assess inter and intra-observer reproducibility, the images were read by two observers. One observer read the images of 52 subjects twice. The Agatston score, a volume, and a mass measurement were used to quantify coronary calcium. Reproducibility was determined by estimation of mean, absolute, and relative differences between scores of the observers and by estimation of intraclass correlation coefficients (ICC). 60.3% participants (n=120) had a positive calcium score. Median Agatston score for the first observer was 2.20 with a range of 0-2,019. The reproducibility of coronary calcium measurements between and within observers was excellent with ICC of &gt;0.95, and small mean, absolute, and relative differences. Reproducibility findings were similar for 1.5mm slices as for 3.0mm slices, and equal for Agatston, volume, and mass measurements. Reproducibilility of coronary calcium measurement using MDCT is excellent, irrespective of slice thickness and type of calcium parameter.</t>
  </si>
  <si>
    <t>Effect of metabolic syndrome or type II diabetes mellitus on the occurrence of recurrent vascular events in hypertensive patients.</t>
  </si>
  <si>
    <t>Vlek, A L M; van der Graaf, Y; Spiering, W; Visseren, F L J; ,</t>
  </si>
  <si>
    <t>https://pubmed.ncbi.nlm.nih.gov/18273039</t>
  </si>
  <si>
    <t>Patients with hypertension and manifest vascular disease are at high risk for recurrent cardiovascular diseases. It is unknown if the metabolic syndrome further increases the risk in these patients. This study aims to quantify the effect of metabolic syndrome and type II diabetes on cardiovascular events in hypertensive patients with vascular disease. A total of 2,196 hypertensive patients with vascular disease (cerebrovascular disease (34%), coronary heart disease (50%), peripheral arterial disease (28%), abdominal aortic aneurysm (13%)) from the Second Manifestations of Arterial Disease study were followed for up to 10 years (mean 3.9 years) for death, stroke and myocardial infarction. Age and sex adjusted hazard ratios (HR) were calculated for hypertensive patients with metabolic syndrome but without diabetes (n=775) and for hypertensive patients with type II diabetes (n=381), compared to merely hypertensive patients (n=1,040). Forty-nine percent had metabolic syndrome (NCEP ATPIII definition) and 17% had type II diabetes. Metabolic syndrome predicted vascular death (HR 1.41, 95% confidence interval (CI) 1.01-1.98), stroke (HR 1.36, 95% CI 0.85-2.16) and myocardial infarction (HR 1.40, 95% CI 0.97-2.01). Type II diabetes accounted for even higher risks of vascular end points (HR 1.41-1.64). The effect of metabolic syndrome on future events could not be explained by the presence of type II diabetes. Even in high-risk patients with hypertension and vascular disease, presence of metabolic syndrome or type II diabetes identifies patients at high risk for future cardiovascular events. Identifying metabolic syndrome patients may direct therapy focusing on treatment of insulin resistance by reducing weight and increasing physical activity.</t>
  </si>
  <si>
    <t>A new diagnostic rule for deep vein thrombosis: safety and efficiency in clinically relevant subgroups.</t>
  </si>
  <si>
    <t>Toll, D B; Oudega, R; Vergouwe, Y; Moons, K G M; Hoes, A W</t>
  </si>
  <si>
    <t>https://pubmed.ncbi.nlm.nih.gov/18212131</t>
  </si>
  <si>
    <t>Recently, a new, simple diagnostic rule was introduced to enable GPs to safely refrain from referring a considerable proportion of the patients suspected of having deep vein thrombosis (DVT). The rule (which includes seven patient history and physical examination items plus the result of a D-dimer test) discriminates 'very low' risk patients (not to be referred) from patients with an increased risk of DVT (to be referred). However, the rule's 'efficiency' (proportion of patients designated by the rule as very low risk) and safety (DVT prevalence among these very low risk patients) may change according to patient characteristics. To test the rule's safety and efficiency in clinically relevant subgroups; i.e. across three age groups, in men and women, and in patients with and without a history of DVT, separately. We retrospectively analysed data of 2086 primary care patients suspected of DVT, in whom all rule items and the result of the reference ('gold') standard (compression ultrasonography) were collected. The rule's efficiency decreased with age from 38.1% in the relatively young (&lt;50 years) compared to 9.8% in patients aged &gt; or =70 years. The percentage of DVT among the very low risk patients was &lt;1.5% in all subgroups. The low efficiency in the elderly could be improved without compromising the safety by increasing the D-dimer threshold. The rule can safely exclude DVT in primary care patients suspected of DVT, irrespective of age, gender and history of DVT.</t>
  </si>
  <si>
    <t>Adverse reactions to simultaneous influenza and pneumococcal conjugate vaccinations in children: randomized double-blind controlled trial.</t>
  </si>
  <si>
    <t>Jansen, Angelique G S C; Sanders, Elisabeth A M; Smulders, Sara; Hoes, Arno W; Hak, Eelko</t>
  </si>
  <si>
    <t>https://pubmed.ncbi.nlm.nih.gov/18221474</t>
  </si>
  <si>
    <t>In a randomized double-blind controlled trial, the safety was assessed of simultaneous administration of influenza and pneumococcal conjugate vaccines in children with previous physician-diagnosed respiratory tract infections. In total, 579 children aged 18-72 months were assigned to receive simultaneous intramuscular influenza and pneumococcal heptavalent conjugate vaccinations (IV + PV), influenza and placebo vaccinations (IV + plac) or control hepatitis B and placebo vaccinations (HepB + plac) in separate extremities. Local and systemic adverse events were recorded in parental diaries for 7 days after vaccination. No immediate adverse reactions were recorded. In most children local adverse reactions disappeared 2 days after vaccination. Local and systemic reactions were more prevalent (30% and 10% more) in the IV + PV group compared with the IV + plac and HepB + plac group. These results are important for designing future vaccination schedules.</t>
  </si>
  <si>
    <t>Attitude of Dutch hospital personnel towards influenza vaccination.</t>
  </si>
  <si>
    <t>Van den Dool, C; Van Strien, A M; den Akker, I Looijmans-Van; Bonten, M J M; Sanders, E A; Hak, E</t>
  </si>
  <si>
    <t>https://pubmed.ncbi.nlm.nih.gov/18262689</t>
  </si>
  <si>
    <t>In 2007, the Dutch Health Council recommended influenza vaccination of all institutional healthcare workers (HCWs). In this questionnaire study largely based on the health belief model we assessed the attitude and intentions of hospital personnel towards such vaccination. We sent out 220 questionnaires to medical personnel and nurses of departments of the University Medical Center Utrecht, The Netherlands. Only one-third of the 112 responders (response rate of 51%) reported a positive intention to comply with the national recommendation. Factors associated with a positive intention were the awareness of a HCW's responsibility not to harm patients, the belief to have a high risk of influenza infection and confidence in vaccine efficacy. Physicians were more likely than nurses and other staff to have a positive intention. Education is needed to convince hospital personnel about influenza vaccination.</t>
  </si>
  <si>
    <t>Comparison of methods of handling missing data in individual patient data meta-analyses: an empirical example on antibiotics in children with acute otitis media.</t>
  </si>
  <si>
    <t>Koopman, Laura; van der Heijden, Geert J M G; Grobbee, Diederick E; Rovers, Maroeska M</t>
  </si>
  <si>
    <t>https://pubmed.ncbi.nlm.nih.gov/18184640</t>
  </si>
  <si>
    <t>What is the influence of various methods of handling missing data (complete case analyses, single imputation within and over trials, and multiple imputations within and over trials) on the subgroup effects of individual patient data meta-analyses? An empirical data set was used to compare these five methods regarding the subgroup results. Logistic regression analyses were used to determine interaction effects (regression coefficients, standard errors, and p values) between subgrouping variables and treatment. Stratified analyses were performed to determine the effects in subgroups (rate ratios, rate differences, and their 95% confidence intervals). Imputation over trials resulted in different regression coefficients and standard errors of the interaction term as compared with imputation within trials and complete case analyses. Significant interaction effects were found for complete case analyses and imputation within trials, whereas imputation over trials often showed no significant interaction effect. Imputation of missing data over trials might lead to bias, because association of covariates might differ across the included studies. Therefore, despite the gain in statistical power, imputation over trials is not recommended. In the authors' empirical example, imputation within trials appears to be the most appropriate approach of handling missing data in individual patient data meta-analyses.</t>
  </si>
  <si>
    <t>Improved physical fitness of cancer survivors: a randomised controlled trial comparing physical training with physical and cognitive-behavioural training.</t>
  </si>
  <si>
    <t>May, Anne M; Van Weert, Ellen; Korstjens, Irene; Hoekstra-Weebers, Josette E H M; Van Der Schans, Cees P; Zonderland, Maria L; Mesters, Ilse; Van Den Borne, Bart; Ros, Wynan D J G</t>
  </si>
  <si>
    <t>https://pubmed.ncbi.nlm.nih.gov/17917819</t>
  </si>
  <si>
    <t>We compared the effect of a group-based 12-week supervised exercise programme, i.e. aerobic and resistance exercise, and group sports, with that of the same programme combined with cognitive-behavioural training on physical fitness and activity of cancer survivors. One hundred and forty seven cancer survivors (all cancer types, medical treatment &gt;or=3 months ago)were randomly assigned to physical training (PT, n=71) or PT plus cognitive-behavioural training (PT+CBT, n=76). Maximal aerobic capacity, muscle strength and physical activity were assessed at baseline and post-intervention. Analyses using multilevel linear mixed-effects models showed that cancer survivors' physical fitness increased significantly in PT and PT+CBT from baseline to post-intervention. Changes did not differ between PT and PT+CBT. Physical fitness of cancer survivors was improved following an intensive physical training programme. Adding a structured cognitive-behavioural intervention did not enhance the effect.</t>
  </si>
  <si>
    <t>Peroxisome proliferator-activated receptor gamma-2 P12A polymorphism and risk of acute myocardial infarction, coronary heart disease and ischemic stroke: a case-cohort study and meta-analyses.</t>
  </si>
  <si>
    <t>vascular health and risk management</t>
  </si>
  <si>
    <t>https://pubmed.ncbi.nlm.nih.gov/18561518</t>
  </si>
  <si>
    <t>The alanine allele of P12A polymorphism in PPARG gene in a few studies has been associated with a reduced or increased risk of acute myocardial infarction (AMI). Yet, the risk relation has not been confirmed, and data on ischemic stroke (IS) is scarce. We therefore investigated the role of this polymorphism on occurrence of AMI, coronary heart disease (CHD) and IS. We performed a case-cohort study in 15,236 initially healthy Dutch women and applied a Cox proportional hazards model to study the relation of the P12A polymorphism and AMI (n = 71), CHD (n = 211), and IS (n = 49) under different inheritance models. In addition, meta-analyses of published studies were performed. Under the dominant inheritance model, carriers of the alanine allele compared with those with the more common genotype were not at increased or decreased risk of CHD (hazard ratio [HR] = 0.82; 95% confidence interval [CI], 0.58 to 1.17) and of IS (HR = 1.03; 95% CI, 0.14 to 7.74). In addition no relations were found under the recessive and additive models. Our meta-analyses corroborated these findings by showing no significant association. For AMI we found a borderline significant association under dominant (HR = 0.49; 95% CI, 0.26 to 0.94), and additive (HR = 0.51; 95% CI, 0.26 to 1.00) models which could be due to chance, because of small cases in this subgroup. The meta-analysis did not show any association between the polymorphism and risk of AMI under the different genetic models. Our study in healthy Dutch women in combination with the meta-analyses of previous reports does not provide support for a role of P12A polymorphism in PPARG gene in MI and CHD risk. Also our study shows that the polymorphism has no association with IS risk.</t>
  </si>
  <si>
    <t>Reproductive factors, metabolic factors, and coronary artery calcification in older women.</t>
  </si>
  <si>
    <t>Atsma, Femke; Bartelink, Marie-Louise E L; Grobbee, Diederick E; Rutten, Annemarieke; Bots, Michiel L; Prokop, Matthias; van der Schouw, Yvonne T</t>
  </si>
  <si>
    <t>https://pubmed.ncbi.nlm.nih.gov/18779678</t>
  </si>
  <si>
    <t>Metabolic disturbances may explain the increased cardiovascular risk associated with reproductive factors. This cohort study investigated the relationship between reproductive factors and coronary artery calcification in elderly women and whether this relationship could be explained by metabolic disturbances. In total, 568 postmenopausal women were included in this cross-sectional study. Information about the women's reproductive life was obtained by a questionnaire. Metabolic factors were measured during a single visit. Coronary artery calcification was assessed with a multislice computed tomography scanner and dichotomized as absent or present. Logistic regression analysis was used to assess the relationship between reproductive factors and coronary artery calcification. Crude and multivariate adjusted odds ratios (ORs) with corresponding 95% confidence intervals (CIs) were calculated. In addition, ORs were adjusted for several metabolic and cardiovascular risk factors. The mean age was 66.9 (+/- 5.5) years. Women with a history of irregular menstrual cycle lengths, as opposed to women with a history of regular menstrual cycles (26-30 d), had an increased risk of coronary artery calcification; multivariate-adjusted OR = 2.73 (95%CI: 1.24-5.98). Four or more pregnancies, compared with never pregnant, yielded an multivariate-adjusted OR of 1.89 (95% CI: 1.00-3.58). Having four children or more, compared with having no children, yielded a multivariate-adjusted OR of 1.97 (95% CI: 1.00-3.89). Adjustment for metabolic factors and other cardiovascular risk factors did not fully explain theses relationships. Multigravidity (more than four pregnancies), multiparity (more than four births), and irregular menstrual cycle lengths were related to an increased risk of coronary artery disease. These associations could not be explained by metabolic abnormalities.</t>
  </si>
  <si>
    <t>T64A polymorphism in beta3-adrenergic receptor gene (ADRB3) and coronary heart disease: a case-cohort study and meta-analysis.</t>
  </si>
  <si>
    <t>Zafarmand, M H; van der Schouw, Y T; Grobbee, D E; de Leeuw, P W; Bots, M L</t>
  </si>
  <si>
    <t>https://pubmed.ncbi.nlm.nih.gov/18088254</t>
  </si>
  <si>
    <t>A missense mutation of the human ADRB3 gene replacing tryptophan with arginine at codon 64 (Trp64Arg) has been related to obesity, insulin resistance, earlier onset of noninsulin-dependent diabetes mellitus and hypertension. These findings may also suggest an increased risk of coronary heart disease (CHD). We therefore investigated the role of this polymorphism on the occurrence of acute myocardial infarction (AMI) and CHD in a population of healthy Dutch women. We performed a case-cohort study in a prospective cohort of 15,236 initially healthy Dutch women. We applied a Cox proportional hazards model with an estimation procedure adapted for case-cohort designs to study the relationship between the polymorphism and AMI (n = 71) and CHD (n = 211). In addition, a meta-analysis of published studies was performed using a random effect model. Using the dominant model, carriers of the arginine allele (n = 222) compared to those with the more common genotype (n = 1508) were not at increased risk of AMI (hazard ratio = 1.60; 95% CI, 0.86-2.96) and for CHD (HR = 1.36; 95% CI, 0.92-2.02). We did not find any relationship using recessive and additive models, either. Our meta-analysis corroborated these findings by showing no significant association between the polymorphism and risk of CHD using different genetic models. Our study in combination with a meta-analysis of previous reports do not provide support for a role of missense mutation replacing tryptophan with arginine at codon 64 (Trp64Arg) at the human ADRB3 gene in CHD risk.</t>
  </si>
  <si>
    <t>The impact of Type 2 diabetes and microalbuminuria on future cardiovascular events in patients with clinically manifest vascular disease from the Second Manifestations of ARTerial disease (SMART) study.</t>
  </si>
  <si>
    <t>Soedamah-Muthu, S S; Visseren, F L J; Algra, A; van der Graaf, Y; ,</t>
  </si>
  <si>
    <t>https://pubmed.ncbi.nlm.nih.gov/18199132</t>
  </si>
  <si>
    <t>Type 2 diabetes mellitus and microalbuminuria are important risk factors for cardiovascular disease (CVD). Whether these two complications are important and independent risk factors for future CVD events in a high-risk population with clinically manifest vascular disease is unknown. The objectives of this study were to examine the impact of Type 2 diabetes and microalbuminuria on future CVD events. Patients with clinically manifest vascular disease (coronary, cerebral and peripheral vascular disease) from the Second Manifestation of Arterial disease study were followed up for 4 years. Data obtained from 1996-2006 were analysed. At baseline, there were 804 patients with Type 2 diabetes mellitus (mean age 60 years) and 2983 patients without. Incident CVD (n = 458) was defined as hospital-verified myocardial infarction, stroke, vascular death and the composite of these vascular events. Both Type 2 diabetes [hazard ratio (HR) 1.42, 95% confidence interval (CI) 1.16, 1.75] and microalbuminuria (HR 1.86, 95% CI 1.49, 2.33) increased the risk of new cardiovascular events in univariate analyses. From multivariable models, presence of diabetes remained significantly and independently related to incident CVD (HR 1.42, 95% CI 1.11, 1.80). Presence of microalbuminuria also remained significantly independently related to incident CVD (HR 1.38, 95% CI 1.07, 1.77). In diabetes-stratified analyses, the effect of microalbuminuria on CVD risk was observed only in patients with diabetes. In microalbuminuria-stratified analyses, the significant and independent effect of diabetes on CVD risk was shown only in the non-microalbuminuric group. In this high-risk population, both microalbuminuria and Type 2 diabetes are important and independent risk factors for future CVD.</t>
  </si>
  <si>
    <t>Do characteristics of practices and general practitioners influence the yield of diabetes screening in primary care? The ADDITION Netherlands study.</t>
  </si>
  <si>
    <t>Janssen, Paul G H; Gorter, Kees J; Stolk, Ronald P; Rutten, Guy E H M</t>
  </si>
  <si>
    <t>https://pubmed.ncbi.nlm.nih.gov/18609249</t>
  </si>
  <si>
    <t>To investigate whether the yield of population-based diabetes screening is influenced by characteristics of the general practitioner (GP) and the practice. Cross-sectional study. Seventy-nine general practices in the south-western region of the Netherlands. From 2002 to 2004, 56 978 people were screened for diabetes. GPs completed a questionnaire containing items on the GP (age, gender, employment, special interest in diabetes, providing insulin therapy) and the practice (setting, location, number of patients from ethnic minority groups, specific diabetes clinic, involvement of practice assistant, practice nurse or diabetes nurse in diabetes care). The ratio screen-detected diabetic patients/known diabetic patients per practice (SDM/KDM) and the number of detected diabetic patients per practice adjusted for practice size and age distribution (SDM per standardized practice). The yield of screening per practice varied widely. Higher age of the GP (regression coefficient 0.20; 95% confidence interval, CI 0.07-0.34), urban location (-4.60; 95% CI -6.41 to -2.78) and involvement of the practice assistant (2.27; 95% CI 0.49-4.06) were independently associated with SDM/KDM. Using the other outcome variable, results were similar. Additionally, cooperation with a diabetes nurse was associated with a lower yield. A lower yield of screening, reflecting a lower prevalence of undiagnosed diabetes, was found in practices of younger GPs and in urban practices. A lower yield was not associated with an appropriate practice organization regarding diabetes care nor with a specialty of the GP in diabetes. The wide variation in the yield of screening stresses the importance of a screening programme in each general practice.</t>
  </si>
  <si>
    <t>No added value of age at menopause and the lifetime cumulative number of menstrual cycles for cardiovascular risk prediction in postmenopausal women.</t>
  </si>
  <si>
    <t>Atsma, Femke; van der Schouw, Yvonne T; Grobbee, Diederick E; Hoes, Arno W; Bartelink, Marie-Louise E L</t>
  </si>
  <si>
    <t>https://pubmed.ncbi.nlm.nih.gov/18063146</t>
  </si>
  <si>
    <t>The aim of the present study was to investigate the added value of age at menopause and the lifetime cumulative number of menstrual cycles in cardiovascular risk prediction in postmenopausal women. This study included 971 women. The ankle-arm index was used as a proxy for cardiovascular morbidity and mortality. The ankle-arm index was calculated for each leg by dividing the highest ankle systolic blood pressure by the highest brachial systolic blood pressure. A cut-off value of 0.95 was used to differentiate between low and high risk women. Three cardiovascular risk models were constructed. In the initial model all classical predictors for cardiovascular disease were investigated. This model was then extended by age at menopause or the lifetime cumulative number of menstrual cycles to test their added value for cardiovascular risk prediction. Differences in discriminative power between the models were investigated by comparing the area under the receiver operating characteristic (ROC) curves. The mean age was 66.0 (+/-5.6) years. The 6 independent predictors for cardiovascular disease were age, systolic blood pressure, total to HDL cholesterol ratio, current smoking, glucose level, and body mass index &gt; or =30 kg/m(2). The ROC area was 0.69 (0.64-0.73) and did not change when age at menopause or the lifetime cumulative number of menstrual cycles was added. The findings in this study among postmenopausal women did not support the view that age at menopause or a refined estimation of lifetime endogenous estrogen exposure would improve cardiovascular risk prediction as approximated by the ankle-arm index.</t>
  </si>
  <si>
    <t>[Moderate alcohol consumption may be recommended for the prevention of heart attacks].</t>
  </si>
  <si>
    <t>Beulens, J W J; Bots, M L; Grobbee, D E</t>
  </si>
  <si>
    <t>https://pubmed.ncbi.nlm.nih.gov/18225791</t>
  </si>
  <si>
    <t>Numerous population studies have consistently demonstrated a lower risk ofheart attacks as a result of moderate alcohol consumption, especially in the presence of an increased cardiovascular risk. Nevertheless, this association is still considered to be controversial, probably as a result ofthe negative effects of excessive consumption. This does not mean that moderate alcohol consumption may not be recommended for the prevention of heart attacks in the relevant segments of the population.</t>
  </si>
  <si>
    <t>Common genetic variation in the IGF-1 gene, serum IGF-I levels and breast density.</t>
  </si>
  <si>
    <t>Verheus, Martijn; McKay, James D; Kaaks, Rudolf; Canzian, Federico; Biessy, Carine; Johansson, Mattias; Grobbee, Diederick E; Peeters, Petra H M; van Gils, Carla H</t>
  </si>
  <si>
    <t>https://pubmed.ncbi.nlm.nih.gov/18064566</t>
  </si>
  <si>
    <t>High breast density is one of the strongest known risk factors for developing breast cancer. Insulin-like growth factor I (IGF-I) is a strong mitogen and has been suggested to increase breast cancer risk by increasing the amount of dense tissue in the female breast. We wanted to investigate the effect of common variation in the IGF-1 gene on serum IGF-I levels and on breast density. Mammograms and blood samples of 1,928 premenopausal participants of the Dutch Prospect-EPIC cohort were collected at baseline. Using a haplotype tagging approach, 16 single nucleotide polymorphisms (SNP) from three blocks covering the IGF-1 gene were genotyped in all study participants. Breast density was assessed using a quantitative computer-assisted method. For a subgroup of women, who went through menopause within 5 years after recruitment (n=656), premenopausal IGF-I levels and additionally postmenopausal breast density were determined. False positive report probabilities (FPRP) for statistically significant relations were calculated using the Wacholder method. The minor alleles of five SNPs in block 3 were significantly associated with elevated levels of IGF-I (rs9989002, rs2033178, rs7136446, rs978458, rs6220; P-values: 0.01-0.04). The same SNPs were related with modestly higher percent breast density before menopause and-in the subgroup of women that became postmenopausal during follow-up-with a modestly higher percent breast density after menopause. The most significant result, i.e. the relation between rs6220 and IGF-I levels, had an FPRP&lt;0.5 assuming prior probabilities of 0.01 and higher. Common genetic variation in the IGF-1 gene is related to circulating levels of IGF-I, but the relationship with breast density is indecisive.</t>
  </si>
  <si>
    <t>Short-term effects of an educational program on health-seeking behavior for infections in patients with type 2 diabetes: a randomized controlled intervention trial in primary care.</t>
  </si>
  <si>
    <t>Venmans, Leonie M A J; Gorter, Kees J; Hak, Eelko; Rutten, Guy E H M</t>
  </si>
  <si>
    <t>https://pubmed.ncbi.nlm.nih.gov/18056887</t>
  </si>
  <si>
    <t>The aim of this study was to assess the short-term effects of an educational program on (determinants of) self-reported health-seeking behavior for infections of the urinary tract (UTIs) and lower respiratory tract (LRTIs) in patients with type 2 diabetes. In a randomized controlled trial, 1,124 patients with type 2 diabetes aged between 44 and 85 years participated. The intervention consisted of a multifaceted educational program with an interactive meeting, a leaflet, a Web site, and a consultation with the diabetes care provider. The program focused on the needs of patients, apparent from a prior focus group and questionnaire study. The primary outcome measure was an indicator of health-seeking behavior for UTIs and LRTIs, defined as the proportion of participants with a positive score on at least seven of nine determinants, six from the Health Belief Model and the additional three domains of knowledge, need for information, and intention. The primary outcome was measured with questionnaires at baseline and after 5 months. Complete outcome data were available for 468 intervention group patients and 472 control group patients. In all, 68% of the intervention group patients attended the meeting. At baseline, 28% of the participants from the intervention group had a positive score on seven of the nine determinants, compared with 27% from the control group. After the educational program, these percentages were 53 and 32%, respectively (P &lt; 0.001). Our educational program positively influenced determinants of health-seeking behavior for common infections in patients with type 2 diabetes.</t>
  </si>
  <si>
    <t>Autonomic dysfunction: a link between depression and cardiovascular mortality? The FINE Study.</t>
  </si>
  <si>
    <t>Kamphuis, Marjolein H; Geerlings, Mirjam I; Dekker, Jacqueline M; Giampaoli, Simona; Nissinen, Aulikki; Grobbee, Diederick E; Kromhout, Daan</t>
  </si>
  <si>
    <t>https://pubmed.ncbi.nlm.nih.gov/18043302</t>
  </si>
  <si>
    <t>Depression is associated with an increased risk of cardiovascular diseases (CVD) in vascular patients as well as in the general population. We investigated whether autonomic dysfunction could explain this relationship. The Finland, Italy and The Netherlands Elderly (FINE) Study is a prospective cohort study. Depressive symptoms were measured with the Zung Self-rating Depression Scale in 870 men, aged 70-90 years, free of CVD and diabetes in 1990. Resting heart rate was determined from a 15-30-s resting electrocardiogram in The Netherlands and Italy and as pulse rate in Finland. In addition, in The Netherlands, heart-rate variability (HRV) and QTc interval were determined. At baseline, depressive symptoms were associated with an increase in resting heart rate, and nonsignificantly with low HRV and prolonged QTc interval. After 10 years of follow-up, 233 (27%) men died from CVD. Prospectively, an increase in resting heart rate with 1 SD was associated with an increased risk of cardiovascular mortality [hazard ratio (HR), 1.22; 95% confidence interval (CI), 1.08-1.38]. In addition, low HRV (HR, 0.78; 95% CI, 0.61-1.01) and prolonged QTc interval (HR, 1.28; 95% CI, 1.06-1.53) per SD were associated with cardiovascular mortality. The increased risk of depressive symptoms for cardiovascular mortality (HR, 1.38; 95% CI, 1.21-1.58) did not change after adjustments for several indicators of autonomic dysfunction. This study suggests that mild depressive symptoms are associated with autonomic dysfunction in elderly men. The increased risk of cardiovascular mortality with increasing magnitude of depressive symptoms could, however, not be explained by autonomic dysfunction.</t>
  </si>
  <si>
    <t>Incidence of first acute myocardial infarction in the Netherlands.</t>
  </si>
  <si>
    <t>Koek, H L; de Bruin, A; Gast, A; Gevers, E; Kardaun, J W P F; Reitsma, J B; Grobbee, D E; Bots, M L</t>
  </si>
  <si>
    <t>https://pubmed.ncbi.nlm.nih.gov/18079566</t>
  </si>
  <si>
    <t>To study the incidence of first acute myocardial infarction (AMi) in the Netherlands. We recently showed that AMi patients can be followed longitudinally within dutch national medical registrations in a valid way. This makes it possible to provide nationwide incidence estimates of first AMi in the Netherlands. New cases of first AMi in the dutch population in 2000 were identified through linkage of the national hospital discharge register, the population register and the cause of death statistics and included hospitalised first Ami patients and out-of-hospital deaths from first AMi. 31,777 patients with a first AMi were identified. The incidence (per 100,000 persons per year) increased from 2 in men aged &lt;30 years to 2996 in men aged &gt; or = 90 years. Corresponding figures for women ranged from 1 to 2226. The incidence was higher in men than in women in all age groups, but the male-to-female ratio decreased after the age of 50-59 year. Of all first AMI patients, 40% died before being admitted to a hospital. The proportion of non-hospitalised AMI patients increased with age in men after the age of 50-59 years. Within the age groups the proportion of out-of-hospital deaths was similar for men and women. Our study provides the first nationwide incidence estimates of first AMI in the Netherlands. Expected differences in incidence with regard to age and gender were shown. The large proportion of out-of-hospital deaths reinforces the importance of primary prevention AMI.</t>
  </si>
  <si>
    <t>Updating methods improved the performance of a clinical prediction model in new patients.</t>
  </si>
  <si>
    <t>Janssen, K J M; Moons, K G M; Kalkman, C J; Grobbee, D E; Vergouwe, Y</t>
  </si>
  <si>
    <t>https://pubmed.ncbi.nlm.nih.gov/18083464</t>
  </si>
  <si>
    <t>Ideally, clinical prediction models are generalizable to other patient groups. Unfortunately, they perform regularly worse when validated in new patients and are then often redeveloped. While the original prediction model usually has been developed on a large data set, redevelopment then often occurs on the smaller validation set. Recently, methods to update existing prediction models with the data of new patients have been proposed. We used an existing model that preoperatively predicts the risk of severe postoperative pain (SPP) to compare five updating methods. The model was tested and updated with a set of 752 new patients (274 [36] with SPP). We studied the discrimination (ability to distinguish between patients with and without SPP) and calibration (agreement between the predicted risks and observed frequencies of SPP) of the five updated models in 283 other patients (100 [35%] with SPP). Simple recalibration methods improved the calibration to a similar extent as revision methods that made more extensive adjustments to the original model. Discrimination could not be improved by any of the methods. When the performance is poor in new patients, updating methods can be applied to adjust the model, rather than to develop a new model.</t>
  </si>
  <si>
    <t>No increased incidence of diabetes in antidepressant users.</t>
  </si>
  <si>
    <t>Knol, Mirjam J; Geerlings, Mirjam I; Egberts, Antoine C G; Gorter, Kees J; Grobbee, Diederick E; Heerdink, Eibert R</t>
  </si>
  <si>
    <t>international clinical psychopharmacology</t>
  </si>
  <si>
    <t>https://pubmed.ncbi.nlm.nih.gov/17917558</t>
  </si>
  <si>
    <t>This study investigated whether the association between depression and diabetes was influenced by the presence of chronic somatic disease. To distinguish between depression and other psychosocial complaints, we studied the onset of diabetes in antidepressant (AD) users and benzodiazepine (BD) users, respectively. From the PHARMO database, which includes complete drug prescription data, we identified subjects using (i) no ADs and no BDs; (ii) AD but no BD; (iii) BD but no AD; and (iv) AD and BD. A total of 60 516 individuals (age: 45.5+/-17 years; 42.1% men) were followed from their first prescription for AD or BD until end of registration or a first prescription for antidiabetic drugs. The crude incidence rate in AD but no BD users was not increased compared with no AD and no BD users. After adjustment for age, sex and chronic diseases, the hazard ratios (95% confidence interval) were 1.05 (0.88-1.26) for AD but no BD users, 1.21 (1.02-1.43) for BD but no AD users and 1.37 (1.12-1.68) for AD and BD users compared with no AD and no BD users. We did not find an increased risk of diabetes in individuals using ADs. The association between BD use and diabetes was partly explained by chronic somatic comorbidity.</t>
  </si>
  <si>
    <t>Oral testosterone supplementation and chronic low-grade inflammation in elderly men: a 26-week randomized, placebo-controlled trial.</t>
  </si>
  <si>
    <t>Nakhai-Pour, Hamid Reza; Grobbee, Diederick E; Emmelot-Vonk, Marielle H; Bots, Michiel L; Verhaar, Harald J J; van der Schouw, Yvonne T</t>
  </si>
  <si>
    <t>https://pubmed.ncbi.nlm.nih.gov/18035098</t>
  </si>
  <si>
    <t>To determine the effect of oral testosterone supplementation on systemic low-grade inflammation measured by high-sensitive C-reactive protein (hs-CRP) in aging men with low testosterone levels. Two hundred thirty-seven men aged 60 to 80 years with a testosterone level of &lt;13.7 nmol/L (below the 50th percentile of the population distribution) were recruited into a double-blind randomized placebo-controlled trial. Participants were randomized to either 4 capsules of 40 mg testosterone undecanoate (Andriol Testocaps, NV Organon, Oss, The Netherlands) or placebo daily for 26 weeks. Serum levels of hs-CRP were measured at baseline and at 26 weeks using a near-infrared particle immunoassay of the Synchron LX System (Beckman Coulter, Fullteron, CA). The median baseline hs-CRP level was 1.95 mg/L (0.30-6.43) in the testosterone group compared with 1.90 mg/L (0.40-5.91) in the placebo group. After 26 weeks of testosterone supplementation therapy, the 2 intervention groups were not statistically significantly different (median hs-CRP 2.20 vs 2.00 mg/L, interquartile range 0.40-6.54 vs 0.50-5.70, P = .36). In subgroup analysis, neither baseline testosterone level, nor age, nor baseline CRP-level modified the effect of testosterone supplementation on CRP levels. Oral testosterone undecanoate supplementation, in dosage of 160 mg daily for 26 weeks, does not increase hs-CRP levels in elderly men.</t>
  </si>
  <si>
    <t>B-type natriuretic peptide assays for detecting heart failure in the elderly: same value as those in the younger?</t>
  </si>
  <si>
    <t>https://pubmed.ncbi.nlm.nih.gov/17963872</t>
  </si>
  <si>
    <t>Establishing a diagnosis of heart failure in elderly patients is notoriously difficult, especially in those who experience slowly progressive breathlessness, have multiple co-morbidity, and when, as in primary care echocardiography is not routinely (or readily) available. B-type natriuretic peptides measurements are useful in the diagnostic assessment of such patients, although the evidence in the very old (i.e. those aged 75 years and over) is less clear than for younger patients. Conflicting results in literature regarding B-type natriuretic peptides are mainly caused by differences in assays, the applied 'gold standard' for heart failure, and the population studied. Moreover, there is no consensus as to whether similar cut-off points should be applied across age-groups. Numerous studies showed that plasma levels of B-type natriuretic peptide are elevated in the elderly, including the 'healthy' ones. Age-related myocardial fibrosis and subtle diastolic dysfunction that are not detectable by current techniques, and reduced renal clearance have been suggested as reasons for this phenomenon. Importantly, B-type natriuretic peptides are not specific for heart failure, but reflect haemodynamic myocardial stress independent of the underlying pathology, and thus are more 'markers' of the general cardiac state. Cut-points differ widely when comparing studies in patients with acute versus chronic dyspnoea. In patients with acute dyspnoea age-dependent cut-points should be used, while in patients with chronic dyspnoea (that is, slowly progressive breathlessness) at least thresholds below which heart failure can be excluded seem rather independent of age. Especially in the primary care setting where elderly patients with slowly progressive dyspnoea are investigated, the excellent exclusionary capacities of B-type natriuretic peptides are of great help to select those that require echocardiography to establish or eventually reject a diagnosis of heart failure.</t>
  </si>
  <si>
    <t>Low yield of population-based screening for Type 2 diabetes in the Netherlands: the ADDITION Netherlands study.</t>
  </si>
  <si>
    <t>Janssen, P G H; Gorter, K J; Stolk, R P; Rutten, G E H M</t>
  </si>
  <si>
    <t>https://pubmed.ncbi.nlm.nih.gov/17962235</t>
  </si>
  <si>
    <t>About 10 years ago, it was estimated that half of all people with diabetes were unrecognized. Since then, according to the national guidelines, case finding for diabetes in general practice has become common in the Netherlands, resulting in a substantial increase of the prevalence of known diabetes. Nevertheless, the need for population-based screening is advocated, especially by the national federation of diabetes patients. To evaluate the efficiency of population-based screening for Type 2 diabetes. From 2002 to 2004, we performed a four-step screening procedure [questionnaire, random glucose measurement, fasting glucose measurement and oral glucose tolerance test (OGTT)] and a three-step procedure (without random glucose measurement) in 79 general practices in the southwestern region of the Netherlands. A total of 56 978 non-diabetic subjects, aged 50-70 years, were asked to complete the questionnaire. Those with a score above threshold underwent further glucose testing. Eventually, 586 participants (1.0%) were diagnosed with Type 2 diabetes (in four-step procedure 285 subjects and in three-step procedure 301). Impaired glucose regulation was assessed in 1011 participants (1.8%). Dropout rate in the screening programme among participants who should undergo an OGTT was 23.4%. The risk score was higher if glucose metabolism was more disturbed. In the Netherlands, the yield of population-based screening is low. The dropout among high-risk individuals was high. Given the decreasing prevalence of undiagnosed diabetes and the possibility of opportunistic screening on a continuous basis, opportunistic screening for diabetes might be more appropriate than population-based screening. Further research on this topic is needed.</t>
  </si>
  <si>
    <t>Short- and long-term mortality after acute myocardial infarction: comparison of patients with and without diabetes mellitus.</t>
  </si>
  <si>
    <t>Koek, H L; Soedamah-Muthu, S S; Kardaun, J W P F; Gevers, E; de Bruin, A; Reitsma, J B; Bots, M L; Grobbee, D E</t>
  </si>
  <si>
    <t>https://pubmed.ncbi.nlm.nih.gov/17926133</t>
  </si>
  <si>
    <t>Aims To compare short- and long-term mortality after a first acute myocardial infarction (AMI) in patients with and without diabetes mellitus. Methods and results A nationwide cohort of 2,018 diabetic and 19,547 nondiabetic patients with a first hospitalized AMI in 1995 was identified through linkage of the national hospital discharge register and the population register. Follow-up for mortality lasted until the end of 2000. At 28 days and 5 years respectively, absolute mortality risks were 18 and 53% in diabetic men, 12 and 31% in nondiabetic men, 22 and 58% in diabetic women, and 19 and 42% in nondiabetic women. Crude mortality was significantly higher in diabetic patients than in nondiabetic patients in both men (28-day hazard ratio (HR) 1.55; 95% confidence interval (CI) 1.32-1.81, 5-year HR 2.01; 95% CI 1.84-2.21) and women (28-day HR 1.19; 95% CI 1.03-1.37, 5-year HR 1.53; 95% CI 1.40-1.67). After multivariate adjustment, risk differences became nonsignificant at 28 days, but diabetes was still associated with a significantly higher long-term mortality in both men (28-day HR 1.16; 95% CI 0.99-1.36, 5-year HR 1.49; 95% CI 1.36-1.64) and women (28-day HR 1.12; 95% CI 0.97-1.28, 5-year HR 1.39; 95% CI 1.27-1.52). The interaction between diabetes mellitus and gender did not reach significance in the analyses. Conclusion Our findings in an unselected cohort covering a complete nation show a significantly higher long-term mortality after a first acute myocardial infarction in diabetic patients. Yet, short-term mortality is not significantly higher in diabetic patients. Risks appear to be equally elevated in men and women.</t>
  </si>
  <si>
    <t>Physical inactivity, depression, and risk of cardiovascular mortality.</t>
  </si>
  <si>
    <t>Kamphuis, Marjolein H; Geerlings, Mirjam I; Tijhuis, Marja A R; Giampaoli, Simona; Nissinen, Aulikki; Grobbee, Diederick E; Kromhout, Daan</t>
  </si>
  <si>
    <t>https://pubmed.ncbi.nlm.nih.gov/17909394</t>
  </si>
  <si>
    <t>Studies indicate that depression may increase risk of cardiovascular disease (CVD) in addition to classical risk factors. One of the hypotheses to explain this relation is that depressed subjects become physically inactive. We set out to determine the role of physical inactivity in the relation between depressive symptoms and cardiovascular mortality. Data were used from the population-based prospective Finland, Italy, and the Netherlands Elderly (FINE) Study. Depressive symptoms were measured with the Zung Self-Rating Depression Scale in 909 elderly men, aged 70-90 yr, free of CVD and diabetes at baseline in 1990. Physical activity was assessed with a questionnaire for retired men. Hazard ratios (HR) for 10-yr cardiovascular mortality were calculated, adjusting for demographics and cardiovascular risk factors. At baseline, men with more depressive symptoms were less physically active (722 min.wk; 95% confidence interval (CI), 642-802) than men with few depressive symptoms (919 min.wk; 95% CI, 823-1015). During 10 yr of follow-up, 256 (28%) men died from CVD. The adjusted HR of cardiovascular mortality for a decrease of 30 min.d in physical activity was 1.09 (95% CI, 1.04-1.14). An increase in depressive symptoms with one standard deviation was associated with a higher cardiovascular mortality risk (HR = 1.42; 95% CI, 1.26-1.60). After additional adjustment for physical activity the risk decreased (9%), but an independent risk remained (HR = 1.37; 95% CI, 1.21-1.56). The excess risk on cardiovascular mortality attributable to the combined effect of depressive symptoms with inactivity was 1.47 (95% CI, -0.17 to 3.11). In the present study, the increased risk of depressive symptoms on cardiovascular mortality could not be explained by physical inactivity. However, our results suggest that depressive symptoms and physical inactivity may interact to increase cardiovascular mortality risk.</t>
  </si>
  <si>
    <t>Task delegation and computerized decision support reduce coronary heart disease risk factors in type 2 diabetes patients in primary care.</t>
  </si>
  <si>
    <t>Cleveringa, Frits G W; Gorter, Kees J; van den Donk, Maureen; Pijman, Peter L W; Rutten, Guy E H M</t>
  </si>
  <si>
    <t>https://pubmed.ncbi.nlm.nih.gov/17931055</t>
  </si>
  <si>
    <t>Reducing cardiovascular risk in patients with diabetes mellitus type 2 (DM2) is important in diabetes care. However, treating patients according to clinical guidelines appears to be difficult. Delegating routine tasks to a practice nurse combined with computerized decision support systems (CDSS) may be helpful. The objective was to study the effectiveness of practice nurse-managed CDSS for diabetes care on improving cardiovascular risk factors in DM2 patients. In 113 primary care practices (n = 7,893 DM2 patients) across the Netherlands, the diabetes care protocol (DCP) was assessed in a before-after study, lasting 1 year. All practices implemented DCP, which is characterized by delegation of routine tasks in diabetes care to a practice nurse, software that supports diabetes management, medical decisions, and benchmarking (CDSS). All DM2 patients treated by their primary care physician were asked to attend the program. Primary outcome was the percentage of patients achieving treatment targets: hemoglobin A1c (HbA1c) &lt;or=7%, blood pressure &lt;or= 150/85 mm Hg, and total cholesterol &lt;or= 5 mmol/L. The percentage of DM2 patients who achieved targets increased significantly, from 60.6% to 66.5% for HbA1c, from 48.7% to 61.9% for blood pressure, and from 47.4 % to 60.6% for total cholesterol. The percentage of patients achieving all three targets increased from 15.3% to 26.9% (all P &lt; 0.01). Delegating routine tasks in diabetes care to a practice nurse combined with CDSS and benchmarking helps achieve treatment goals for HbA1c, blood pressure, and cholesterol and reduce cardiovascular risk of DM2 patients in primary care.</t>
  </si>
  <si>
    <t>Diagnostic labelling as determinant of antibiotic prescribing for acute respiratory tract episodes in general practice.</t>
  </si>
  <si>
    <t>van Duijn, Huug J; Kuyvenhoven, Marijke M; Tiebosch, Hanneke M; Schellevis, François G; Verheij, Theo J M</t>
  </si>
  <si>
    <t>https://pubmed.ncbi.nlm.nih.gov/17883832</t>
  </si>
  <si>
    <t>Next to other GP characteristics, diagnostic labelling (the proportion of acute respiratory tract (RT) episodes to be labelled as infections) probably contributes to a higher volume of antibiotic prescriptions for acute RT episodes. However, it is unknown whether there is an independent association between diagnostic labelling and the volume of prescribed antibiotics, or whether diagnostic labelling is associated with the number of presented acute RT episodes and consequently with the number of antibiotics prescribed per patient per year. Data were used from the Second Dutch National Survey of General Practice (DNSGP-2) with 163 GPs from 85 Dutch practices, serving a population of 359,625 patients. Data over a 12 month period were analysed by means of multiple linear regression analysis. Main outcome measure was the volume of antibiotic prescriptions for acute RT episodes per 1,000 patients. The incidence was 236.9 acute RT episodes/1,000 patients. GPs labelled about 70% of acute RT episodes as infections, and antibiotics were prescribed in 41% of all acute RT episodes. A higher incidence of acute RT episodes (beta 0.67), a stronger inclination to label episodes as infections (beta 0.24), a stronger endorsement of the need of antibiotics in case of white spots in the throat (beta 0.11) and being male (beta 0.11) were independent determinants of the prescribed volume of antibiotics for acute RT episodes, whereas diagnostic labelling was not correlated with the incidence of acute RT episodes. Diagnostic labelling is a relevant factor in GPs' antibiotic prescribing independent from the incidence of acute RT episodes. Therefore, quality assurance programs and postgraduate courses should emphasise to use evidence based prognostic criteria (e.g. chronic respiratory co-morbidity and old age) as an indication to prescribe antibiotics in stead of single inflammation signs or diagnostic labels.</t>
  </si>
  <si>
    <t>The effect of leisure-time physical activity on the presence of metabolic syndrome in patients with manifest arterial disease. The SMART study.</t>
  </si>
  <si>
    <t>Brouwer, Beate G; Visseren, Frank L J; van der Graaf, Yolanda; ,</t>
  </si>
  <si>
    <t>https://pubmed.ncbi.nlm.nih.gov/18035088</t>
  </si>
  <si>
    <t>Physical activity can influence insulin sensitivity and metabolic syndrome (MetS) independent of weight loss. Therefore, we investigated the independent effect of leisure-time physical activity on the prevalence of MetS and insulin resistance in patients with manifest arterial disease and the role of body fat and fat distribution on this relationship. Data were collected from the Second Manifestations of ARTerial disease study, an ongoing prospective cohort study of patients with manifest vascular disease or vascular risk factors at the University Medical Center Utrecht. Data of 1097 patients, mean age 58.3 +/- 10.4 years, with clinically manifest arterial disease were used. Information on leisure-time physical activity (sporting or other physical exercise) during the past year was collected using a questionnaire. Patients were classified according to the time spent doing leisure-time physical activities: 0 metabolic equivalent (MET)/h per week (64%), 1.0 to 14.9 MET/h per week (16%), and &gt;15.0 MET/h per week (20%). The prevalence of MetS was markedly lower (20%) in physically active patients (&gt;15 MET/h per week active) than in physically inactive patients (36%; odds ratio [OR] 0.50, 95% confidence interval [CI] 0.33-0.75) after adjustment for age, sex, body mass index, and smoking. After adjustment for age, sex, waist circumference, and smoking, the OR of having MetS remained essentially the same (OR 0.59, 95% CI 0.38-0.90). Patients who were active (&gt;15 MET/h per week active) had a considerable lower risk of insulin resistance (homeostasis model assessment determined insulin resistance &gt;2.38) than inactive patients (OR 0.40, 95% CI 0.25-0.64) after adjustment for age, sex, body mass index, and smoking. Patients with manifest arterial disease who are physically active are less likely to have MetS and insulin resistance than physically inactive patients, although body weight is comparable between the groups.</t>
  </si>
  <si>
    <t>Acute myocardial infarction incidence and hospital mortality: routinely collected national data versus linkage of national registers.</t>
  </si>
  <si>
    <t>Koek, Huberdina L; Kardaun, Jan W P F; Gevers, Evelien; de Bruin, Agnes; Reitsma, Joannes B; Grobbee, Diederick E; Bots, Michiel L</t>
  </si>
  <si>
    <t>https://pubmed.ncbi.nlm.nih.gov/17828438</t>
  </si>
  <si>
    <t>To compare levels of and trends in incidence and hospital mortality of first acute myocardial infarction (AMI) based on routinely collected hospital morbidity data and on linked registers. Cases taken from routine hospital data are a mix of patients with recurrent and first events, and double counting occurs when cases are admitted for an event several times during 1 year. By linkage of registers, recurrent events and double counts can be excluded. In 1995 and 2000, 28,733 and 25,864 admissions for AMI were registered in the Dutch national hospital discharge register. Linkage with the population register yielded 21,565 patients with a first AMI in 1995 and 20,414 in 2000. In 1995 and 2000, the incidence based on the hospital register was higher than based on the linked registers in men (22% and 23% higher) and women (18% and 20% higher). In both years, hospital mortality based on the hospital register and on linked registers was similar. The decline in incidence between 1995 and 2000 was comparable whether based on standard hospital register data or linked data (18% and 20% in men, 15% and 17% in women). Similarly, the decline in hospital mortality was comparable using either approach (11% and 9% in both men and women). Although the incidence based on routine hospital data overestimates the actual incidence of first AMI based on linked registers, hospital mortality and trends in incidence and hospital mortality are not changed by excluding recurrent events and double counts. Since trends in incidence and hospital mortality of AMI are often based on national routinely collected data, it is reassuring that our results indicate that findings from such studies are indeed valid and not biased because of recurrent events and double counts.</t>
  </si>
  <si>
    <t>Design of the sex hormones and physical exercise (SHAPE) study.</t>
  </si>
  <si>
    <t>Monninkhof, Evelyn M; Peeters, Petra H M; Schuit, Albertine J</t>
  </si>
  <si>
    <t>https://pubmed.ncbi.nlm.nih.gov/17767724</t>
  </si>
  <si>
    <t>Physical activity has been associated with a decreased risk for breast cancer. The biological mechanism(s) underlying the association between physical activity and breast cancer is not clear. Most prominent hypothesis is that physical activity may protect against breast cancer through reduced lifetime exposure to endogenous hormones either direct, or indirect by preventing overweight and abdominal adiposity. In order to get more insight in the causal pathway between physical activity and breast cancer risk, we designed the Sex Hormones and Physical Exercise (SHAPE) study. Purpose of SHAPE study is to examine the effects of a 1-year moderate-to-vigorous intensity exercise programme on endogenous hormone levels associated with breast cancer among sedentary postmenopausal women and whether the amount of total body fat or abdominal fat mediates the effects. In the SHAPE study, 189 sedentary postmenopausal women, aged 50-69 years, are randomly allocated to an intervention or a control group. The intervention consists of an 1-year moderate-to-vigorous intensity aerobic and strength training exercise programme. Participants allocated to the control group are requested to retain their habitual exercise pattern. Primary study parameters measured at baseline, at four months and at 12 months are: serum concentrations of endogenous estrogens, endogenous androgens, sex hormone binding globuline and insuline. Other study parameters include: amount of total and abdominal fat, weight, BMI, body fat distribution, physical fitness, blood pressure and lifestyle factors. This study will contribute to the body of evidence relating physical activity and breast cancer risk and will provide insight into possible mechanisms through which physical activity might be associated with reduced risk of breast cancer in postmenopausal women.</t>
  </si>
  <si>
    <t>Systematic review of the effects of chronic disease management on quality-of-life in people with chronic obstructive pulmonary disease.</t>
  </si>
  <si>
    <t>Niesink, A; Trappenburg, J C A; de Weert-van Oene, G H; Lammers, J W J; Verheij, T J M; Schrijvers, A J P</t>
  </si>
  <si>
    <t>https://pubmed.ncbi.nlm.nih.gov/17804213</t>
  </si>
  <si>
    <t>Chronic disease management for patients with chronic obstructive pulmonary disease (COPD) may improve quality, outcomes and access to care. To investigate effectiveness of chronic disease management programmes on the quality-of-life of people with COPD. Medline and Embase (1995-2005) were searched for relevant articles, and reference lists and abstracts were searched for controlled trials of chronic disease management programmes for patients with COPD. Quality-of-life was assessed as an outcome parameter. Two reviewers independently reviewed each paper for methodological quality and extracted the data. We found 10 randomized-controlled trials comparing chronic disease management with routine care. Patient populations, health-care professionals, intensity, and content of the intervention were heterogeneous. Different instruments were used to assess quality of life. Five out of 10 studies showed statistically significant positive outcomes on one or more domains of the quality of life instruments. Three studies, partly located in primary care, showed positive results. All chronic disease management projects for people with COPD involving primary care improved quality of life. In most of the studies, aspects of chronic disease management were applied to a limited extent. Quality of randomized-controlled trials was not optimal. More research is needed on chronic disease management programmes in patients with COPD across primary and secondary care.</t>
  </si>
  <si>
    <t>Estimating interaction on an additive scale between continuous determinants in a logistic regression model.</t>
  </si>
  <si>
    <t>Knol, Mirjam J; van der Tweel, Ingeborg; Grobbee, Diederick E; Numans, Mattijs E; Geerlings, Mirjam I</t>
  </si>
  <si>
    <t>https://pubmed.ncbi.nlm.nih.gov/17726040</t>
  </si>
  <si>
    <t>To determine the presence of interaction in epidemiologic research, typically a product term is added to the regression model. In linear regression, the regression coefficient of the product term reflects interaction as departure from additivity. However, in logistic regression it refers to interaction as departure from multiplicativity. Rothman has argued that interaction estimated as departure from additivity better reflects biologic interaction. So far, literature on estimating interaction on an additive scale using logistic regression only focused on dichotomous determinants. The objective of the present study was to provide the methods to estimate interaction between continuous determinants and to illustrate these methods with a clinical example. and results From the existing literature we derived the formulas to quantify interaction as departure from additivity between one continuous and one dichotomous determinant and between two continuous determinants using logistic regression. Bootstrapping was used to calculate the corresponding confidence intervals. To illustrate the theory with an empirical example, data from the Utrecht Health Project were used, with age and body mass index as risk factors for elevated diastolic blood pressure. The methods and formulas presented in this article are intended to assist epidemiologists to calculate interaction on an additive scale between two variables on a certain outcome. The proposed methods are included in a spreadsheet which is freely available at: http://www.juliuscenter.nl/additive-interaction.xls.</t>
  </si>
  <si>
    <t>The EUCCLID study: proposed European study on care and complications in people with type 2 diabetes in primary care.</t>
  </si>
  <si>
    <t>Bobbink, Inge W G; Gorter, Kees J; Rutten, Guy E H M; Wens, Johan; Claramunt, Xavier Cos; Topsever, Pinar; Khunti, Kamlesh; ,</t>
  </si>
  <si>
    <t>https://pubmed.ncbi.nlm.nih.gov/18632039</t>
  </si>
  <si>
    <t>The EUCCLID study aims to compare the quality of type 2 diabetes (DM2) care and the prevalence of complications in primary care DM2 patients in Europe. A cross-sectional survey consisting of three parallel studies: (1) study on actual clinical practice; (2) study on patient's perspective of diabetes care; (3) study on general practitioner's perspective of diabetes care. Patients will be randomly selected from a list of all patients known to the participating GPs with DM2 for whom the GP is the main diabetes care provider. Exclusion criteria will include people with type 1 diabetes mellitus, diabetes of pregnancy, serious mental illness, unable to complete a questionnaire in national language or unable to give written informed consent. Approximately 12,000 patients will be included. Participants will have a detailed medical history and anthropometric measurements, blood and urine will be collected and questionnaires will be taken. Endpoints will include quality indicators of clinical DM2 care, prevalence of diabetic complications, knowledge, attitudes, barriers and behaviour affecting good control in DM2 patients, quality of life and patients' satisfaction with diabetes care. We will also determine primary care physician's attitudes, behaviour and perception of barriers to deliver effective diabetes care.</t>
  </si>
  <si>
    <t>Acceptability and effects of an educational leaflet on infections in type 2 diabetes patients: a randomized controlled trial in primary care.</t>
  </si>
  <si>
    <t>Venmans, Leonie M A J; Gorter, Kees J; Baard, Kim P; Rutten, Guy E H M; Hak, Eelko</t>
  </si>
  <si>
    <t>https://pubmed.ncbi.nlm.nih.gov/18632034</t>
  </si>
  <si>
    <t>To determine the acceptability of an educational leaflet regarding the prevention and treatment of infections of the lower respiratory tract (LRTIs) and urinary tract (UTIs) and to determine the effects of the leaflet on knowledge and attitude of DM2 patients in primary care. In a randomized controlled intervention trial 200 DM2 patients enlisted in two practices, one urban and one rural, from the Utrecht general practitioners Research Network (HNU) were selected. Per practice, 50 patients were randomly assigned to the intervention group and 50 to the control group. The intervention was a leaflet on diabetes and LRTIs and UTIs based on the results of focus group interviews. The leaflet was sent to the patients homes. The outcome measures were acceptability of the leaflet and differences in knowledge and attitude, measured by a questionnaire. The mean age was 68 years and 55% was male. There were no substantial differences in characteristics between the two groups. Among the intervention group, the leaflet was appreciated as understandable (100%) and inviting (79%). Compared to the control group, specific knowledge and attitude did not substantially differ. Patients in the intervention group had a slightly more positive attitude about 'being attentive to signs indicating pneumonia' (median difference, 1 point; p=.003) and they also answered 'UTI is mostly caused by a bacteria' more often correctly (risk difference, 18%; 95% CI, 4-33%, p=.016). A leaflet on prevention and treatment of LRTIs and UTIs is considered acceptable among DM2 patients, but a multi-faceted educational approach may be needed to improve health behavioral determinants.</t>
  </si>
  <si>
    <t>ACE inhibition and endothelial function: main findings of PERFECT, a sub-study of the EUROPA trial.</t>
  </si>
  <si>
    <t>Bots, M L; Remme, W J; Lüscher, T F; Fox, K M; Bertrand, M; Ferrari, R; Simoons, M L; Grobbee, D E; ,</t>
  </si>
  <si>
    <t>cardiovascular drugs and therapy</t>
  </si>
  <si>
    <t>https://pubmed.ncbi.nlm.nih.gov/17657599</t>
  </si>
  <si>
    <t>ACE inhibition results in secondary prevention of coronary artery disease (CAD) through different mechanisms including improvement of endothelial dysfunction. The Perindopril-Function of the Endothelium in Coronary artery disease Trial (PERFECT) evaluated whether long-term administration of perindopril improves endothelial dysfunction. PERFECT is a 3-year double blind randomised placebo controlled trial to determine the effect of perindopril 8 mg once daily on brachial artery endothelial function in patients with stable CAD without clinical heart failure. Endothelial function in response to ischaemia was assessed using ultrasound. Primary endpoint was difference in flow-mediated vasodilatation (FMD) assessed at 36 months. In 20 centers, 333 patients randomly received perindopril or matching placebo. Ischemia-induced FMD was 2.7% (SD 2.6). In the perindopril group FMD went from 2.6% at baseline to 3.3% at 36 months and in the placebo group from 2.8 to 3.0%. Change in FMD after 36 month treatment was 0.55% (95% confidence interval -0.36, 1.47; p = 0.23) higher in perindopril than in placebo group. The rate of change in FMD per 6 months was 0.14% (SE 0.05, p = 0.02) in perindopril and 0.02% (SE 0.05, p = 0.74) in placebo group (0.12% difference in rate of change p = 0.07). Perindopril resulted in a modest, albeit not statistically significant, improvement in FMD.</t>
  </si>
  <si>
    <t>Impact of randomized trials comparing conventional and endovascular abdominal aortic aneurysm repair on clinical practice.</t>
  </si>
  <si>
    <t>Baas, Annette F; Grobbee, Diederick E; Blankensteijn, Jan D</t>
  </si>
  <si>
    <t>https://pubmed.ncbi.nlm.nih.gov/17696629</t>
  </si>
  <si>
    <t>To report a retrospective study into the effects of trials on clinical decision-making regarding abdominal aortic aneurysm (AAA) patients suitable for both conventional open (OR) and endovascular aneurysm repair (EVAR). A questionnaire was sent to 1400 Dutch surgeons and trainees. Interviewees had to choose between OR and EVAR for AAA patients with and without comorbidity. Specifically, their preferences before and after the publication of 2 randomized trials (EVAR-1 and DREAM) were polled. Of the 524 (37%) questionnaires returned, 223 (43%) respondents treated AAA patients. Before publication of the trials, 160 (72%) preferred OR for the patient without comorbidity and 169 (76%) preferred EVAR for the patient with comorbidity. In total, 72 (32%) respondents changed their preference after the trials were published; however, there was no overall major shift. Focusing on the different cases revealed that the OR preference was significantly enhanced for the patient without comorbidity (p&lt;0.01), while the EVAR preference was significantly enhanced for the patient with comorbidity (p&lt;0.05). The randomized trials have not induced major overall changes in surgical decision-making for AAA patients suitable for both EVAR and OR.</t>
  </si>
  <si>
    <t>A systematic review of analytical methods used to study subgroups in (individual patient data) meta-analyses.</t>
  </si>
  <si>
    <t>Koopman, Laura; van der Heijden, Geert J M G; Glasziou, Paul P; Grobbee, Diederick E; Rovers, Maroeska M</t>
  </si>
  <si>
    <t>https://pubmed.ncbi.nlm.nih.gov/17884593</t>
  </si>
  <si>
    <t>To determine whether individual patient data meta-analyses (IPDMA) are used to perform subgroup analyses and to study whether the analytical methods regarding subgroup analyses differ between IPDMA and conventional meta-analyses (CMA). IPDMA were identified with a comprehensive literature search, subsequently, CMA on similar research questions were traced. Methods for studying subgroups were compared for IPDMA and CMA that were matched with respect to domain, type of treatment, and outcome measure. Of all 171 identified IPDMA and 102 CMA, 80% and 45% presented subgroup analyses, respectively. For 35 IPDMA and 37 "matched" CMA, subgroup analytic methods could be compared. The number of performed subgroup analyses did not differ between IPDMA and CMA. Both IPDMA and CMA often do not report adequate information on methods of analyses. Interaction tests were often not performed in IPDMA (69%) and individual patient data was often not directly modelled (74%). Many IPDMA performed subgroup analyses, but overall treatment effects were more emphasized than subgroup effects. To study subgroups, a wide variety of analytical methods was used in both IPDMA and CMA. In general, the use and reporting of appropriate methods for subgroup analyses should be promoted. Recommendations for improvement of methods of analyses are provided.</t>
  </si>
  <si>
    <t>Tobacco smoke exposure of pregnant mothers and blood pressure in their newborns: results from the wheezing illnesses study Leidsche Rijn birth cohort.</t>
  </si>
  <si>
    <t>Geerts, Caroline C; Grobbee, Diederick E; van der Ent, Cornelis K; de Jong, Brita M; van der Zalm, Marieke M; van Putte-Katier, Nienke; Kimpen, Jan L L; Uiterwaal, Cuno S P M</t>
  </si>
  <si>
    <t>https://pubmed.ncbi.nlm.nih.gov/17664395</t>
  </si>
  <si>
    <t>There is evidence to suggest that exposure of pregnant women to tobacco smoke is related to higher childhood blood pressure in their offspring. It is not well known whether this association is set in utero or by shared postnatal environments. The objective of this study was to assess the association between tobacco smoke exposure of pregnant mothers and blood pressure and heart rate of their newborns. In an unselected birth cohort, blood pressure and heart rate were measured in 456 infants at approximately 2 months of age. Smoking exposure of mothers in pregnancy was obtained by questionnaire. Of 456 mothers whose infants had blood pressure measured, 363 (79.6%) were not exposed to tobacco smoke in pregnancy, 63 (13.8%) did not smoke in pregnancy but were exposed by others, and 30 (6.6%) smoked. Infant offspring of mothers who had smoked during pregnancy had 5.4 mm Hg (95% CI: 1.2 to 9.7; P=0.01) higher systolic blood pressure levels than offspring of mothers who were not exposed to tobacco smoke in pregnancy, taking account of birth weight, infant age, gender, nutrition, and age of mother. No associations were found between maternal exposure to tobacco smoke in pregnancy and diastolic blood pressure. A positive association between maternal exposure to tobacco smoke and heart rate was largely explained by confounding. It can be concluded that maternal exposure to tobacco smoke in pregnancy has a substantial increasing effect on systolic blood pressure in early infancy.</t>
  </si>
  <si>
    <t>Predictors of mortality after aortic valve replacement.</t>
  </si>
  <si>
    <t>Tjang, Yanto Sandy; van Hees, Yvonne; Körfer, Reiner; Grobbee, Diederick E; van der Heijden, Geert J M G</t>
  </si>
  <si>
    <t>https://pubmed.ncbi.nlm.nih.gov/17658266</t>
  </si>
  <si>
    <t>Aortic valve replacement (AVR) is recommended as a standard surgical procedure for aortic valve disease. Still the evidence for commonly claimed predictors of post-AVR prognosis, in particular mortality, appears scant. This systematic review reports on the evidence for predictors of post-AVR mortality, and may be helpful in pre-surgical risk-stratification. In PubMed, we searched for original reports of post-AVR follow-up studies. We assessed the quality of study design and methods with a standardized checklist. Data of the reported predictors of mortality and outcomes were extracted. Twenty-eight studies met our inclusion criteria. Sixteen studies were considered of high quality. There is strong evidence that the risk of early mortality is increased by emergency surgery, while the risk of late mortality is increased with older age and preoperative atrial fibrillation. There is moderate evidence that the risk of early mortality is increased by older age, aortic insufficiency, coronary artery disease, longer cardiopulmonary bypass time, reduced left ventricular ejection fraction (LV-EF), infective endocarditis, hypertension, mechanical valves, preoperative pacing, dialysis-dependent renal failure and valve size; and that the risk for late mortality is increased by emergency surgery and urgency of the operation. There is little evidence for high New York Heart Association class, concomitant coronary artery bypass graft and many other commonly claimed risk factors for post-AVR mortality. The reported evidence on predictors of post-AVR mortality will help for pre-surgical risk-stratification, i.e. to discern patients at high or low risk for early and late post-AVR mortality. Future prognostic studies should take the evidence from this review into account and should focus on derivation of a predictive model for post-AVR survival.</t>
  </si>
  <si>
    <t>No intention to comply with influenza and pneumococcal vaccination: behavioural determinants among smokers and non-smokers.</t>
  </si>
  <si>
    <t>Looijmans-van den Akker, I; van den Heuvel, P M; Verheij, Th J M; van Delden, J J M; van Essen, G A; Hak, E</t>
  </si>
  <si>
    <t>https://pubmed.ncbi.nlm.nih.gov/17706756</t>
  </si>
  <si>
    <t>Smoking increases the risk for influenza and pneumococcal disease, but vaccination uptake is lower among smokers than non-smokers. We therefore aimed to determine reasons for not complying with vaccination among smokers and non-smokers. In 2005 a self-administered questionnaire was sent to a random sample of Dutch patients (n=4,000) assessing medical, social and behavioural determinants. Independent factors associated with not complying with influenza and pneumococcal vaccination among smokers and non-smokers were assessed by multivariate logistic regression analysis. In all, 1,725 of 4,000 patients returned the questionnaire (response rate: 43%), 426 (25%) were smokers. Among smokers self-reported flu vaccine uptake was 42% and among non-smokers 52% among both only 0,2% received both vaccines. Most important predictors of not complying in smokers and non-smokers were patient's beliefs not to be susceptible to disease (odds ratio (OR) 4.0, 95% confidence interval (CI): 2.0, 8.0 and OR 2.8, CI: 2.0, 3.9), finding it difficult to go to the GP for vaccination (OR 2.5, CI: 1.3, 4.8 and OR 1.8, CI: 1.3, 2.6) and being against vaccination (OR 2.4 CI: 1.3, 4.4 and OR 1.8, CI: 1.3, 2.6), respectively. There are no substantial differences in determinants associated with not complying with influenza and pneumococcal vaccination between smokers and non-smokers but there is a trend towards stronger associations in smokers.</t>
  </si>
  <si>
    <t>Torcetrapib and carotid intima-media thickness in mixed dyslipidaemia (RADIANCE 2 study): a randomised, double-blind trial.</t>
  </si>
  <si>
    <t>Bots, Michiel L; Visseren, Frank L; Evans, Gregory W; Riley, Ward A; Revkin, James H; Tegeler, Charles H; Shear, Charles L; Duggan, William T; Vicari, Ralph M; Grobbee, Diederick E; Kastelein, John J; ,</t>
  </si>
  <si>
    <t>https://pubmed.ncbi.nlm.nih.gov/17630038</t>
  </si>
  <si>
    <t>Patients with mixed dyslipidaemia have raised triglycerides, low high-density lipoprotein (HDL) cholesterol, and high low-density lipoprotein (LDL) cholesterol. Augmentation of HDL cholesterol by inhibition of the cholesteryl ester transfer protein (CETP) could benefit these patients. We aimed to investigate the effect of the CETP inhibitor, torcetrapib, on carotid atherosclerosis progression in patients with mixed dyslipidaemia. We did a randomised double-blind trial at 64 centres in North America and Europe. 752 eligible participants completed an atorvastatin-only run-in period for dose titration, after which they all continued to receive atorvastatin at the titrated dose. 377 of these patients were randomly assigned to receive 60 mg of torcetrapib per day and 375 to placebo. We made carotid ultrasound images at baseline and at 6-month intervals for 24 months. The primary endpoint was the yearly rate of change in the maximum intima-media thickness of 12 carotid segments. Analysis was restricted to 683 patients who had at least one dose of treatment and had at least one follow-up carotid intima-media measurement; they were analysed as randomised. Mean follow-up for these patients was 22 (SD 4.8) months. This trial is registered with ClinicalTrials.gov, number NCT00134238. The change in maximum carotid intima-media thickness was 0.025 (SD 0.005) mm per year in patients given torcetrapib with atorvastatin and 0.030 (0.005) mm per year in those given atorvastatin alone (difference -0.005 mm per year, 95% CI -0.018 to 0.008, p=0.46). Patients in the combined-treatment group had a 63.4% relative increase in HDL cholesterol (p&lt;0.0001) and an 17.7% relative decrease in LDL cholesterol (p&lt;0.0001), compared with controls. Systolic blood pressure increased by 6.6 mm Hg in the combined-treatment group and 1.5 mm Hg in the atorvastatin-only group (difference 5.4 mm Hg, 95% CI 4.3-6.4, p&lt;0.0001). Although torcetrapib substantially raised HDL cholesterol and lowered LDL cholesterol, it also increased systolic blood pressure, and did not affect the yearly rate of change in the maximum intima-media thickness of 12 carotid segments. Torcetrapib showed no clinical benefit in this or other studies, and will not be developed further.</t>
  </si>
  <si>
    <t>Polytomous logistic regression analysis could be applied more often in diagnostic research.</t>
  </si>
  <si>
    <t>Biesheuvel, C J; Vergouwe, Y; Steyerberg, E W; Grobbee, D E; Moons, K G M</t>
  </si>
  <si>
    <t>https://pubmed.ncbi.nlm.nih.gov/18177785</t>
  </si>
  <si>
    <t>Physicians commonly consider the presence of all differential diagnoses simultaneously. Polytomous logistic regression modeling allows for simultaneous estimation of the probability of multiple diagnoses. We discuss and (empirically) illustrate the value of this method for diagnostic research. We used data from a study on the diagnosis of residual retroperitoneal mass histology in patients presenting with nonseminomatous testicular germ cell tumor. The differential diagnoses include benign tissue, mature teratoma, and viable cancer. Probabilities of each diagnosis were estimated with a polytomous logistic regression model and compared with the probabilities estimated from two consecutive dichotomous logistic regression models. We provide interpretations of the odds ratios derived from the polytomous regression model and present a simple score chart to facilitate calculation of predicted probabilities from the polytomous model. For both modeling methods, we show the calibration plots and receiver operating characteristics curve (ROC) areas comparing each diagnostic outcome category with the other two. The ROC areas for benign tissue, mature teratoma, and viable cancer were similar for both modeling methods, 0.83 (95% confidence interval [CI]=0.80-0.85) vs. 0.83 (95% CI=0.80-0.85), 0.78 (95% CI=0.75-0.81) vs. 0.78 (95% CI=0.75-0.81), and 0.66 (95% CI=0.61-0.71) vs. 0.64 (95% CI=0.59-0.69), for polytomous and dichotomous regression models, respectively. Polytomous logistic regression is a useful technique to simultaneously model predicted probabilities of multiple diagnostic outcome categories. The performance of a polytomous prediction model can be assessed similarly to a dichotomous logistic regression model, and predictions by a polytomous model can be made with a user-friendly method. Because the simultaneous consideration of the presence of multiple (differential) conditions serves clinical practice better than consideration of the presence of only one target condition, polytomous logistic regression could be applied more often in diagnostic research.</t>
  </si>
  <si>
    <t>Is co-morbidity taken into account in the antibiotic management of elderly patients with acute bronchitis and COPD exacerbations?</t>
  </si>
  <si>
    <t>Bont, Jettie; Hak, Eelko; Birkhoff, Christine E; Hoes, Arno W; Verheij, Theo J M</t>
  </si>
  <si>
    <t>https://pubmed.ncbi.nlm.nih.gov/17602175</t>
  </si>
  <si>
    <t>Guidelines on acute lower respiratory tract infections recommend restrictive use of antibiotics, however, in patients with relevant co-morbid conditions treatment with antibiotics should be considered. Presently, it is unknown whether GPs adhere to these guidelines and target antibiotic treatment more often at patients with risk-elevating conditions. We assessed whether in elderly primary care patients with acute bronchitis or exacerbations of chronic pulmonary disease (COPD), antibiotics are more often prescribed to patients with risk-elevating co-morbid conditions. Using the Utrecht GP research database, we analysed 2643 episodes in patients of 65 years of age or older with a GP-diagnosed acute bronchitis or exacerbation of COPD. Multivariable logistic regression analysis was applied to determine independent determinants of antibiotic use. Antibiotic prescribing rates were high in both acute bronchitis (84%) and in exacerbations of COPD (53%). In acute bronchitis, only age was an independent determinant of antibiotic use [odds ratio (OR) 1.03, 95% confidence interval (CI) 1.003-1.048], whereas in exacerbations of COPD antibiotics were more often prescribed to male patients (OR 1.3, 95% CI 1.0-1.5), patients with diabetes (OR 1.7, 95% CI 1.1-2.4) and heart failure (OR 1.3, 95% CI 1.0-1.7). Dutch GPs prescribe antibiotics in the majority of elderly patients with acute bronchitis and in half of the episodes of exacerbations of COPD. Tailoring their antibiotic treatment according to the presence or absence of high-risk co-morbid conditions could help GPs in improving antibiotic use in patients with respiratory tract infections in primary care.</t>
  </si>
  <si>
    <t>C-reactive protein and aortic stiffness and wave reflection in middle-aged and elderly men from the community.</t>
  </si>
  <si>
    <t>Nakhai-Pour, H R; Grobbee, D E; Bots, M L; Muller, M; van der Schouw, Y T</t>
  </si>
  <si>
    <t>https://pubmed.ncbi.nlm.nih.gov/17597799</t>
  </si>
  <si>
    <t>High plasma C-reactive protein (hs-CRP) levels and arterial stiffness are risk factors for cardiovascular diseases. Pulse wave velocity (PWV) and augmentation index (AIx) have been found to be elevated in patients with vascular inflammation, diabetes mellitus, hypertension, hypercholesterolemia and in smokers. We investigated the relation of high-sensitivity CRP (hs-CRP) with aortic stiffness in 362 men. The levels of hs-CRP were measured using a nephelometric method. Aortic PWV and AIx were assessed from carotid-femoral segment and radial artery waveforms with the use of the SphygmoCor device. In the crude model, aortic PWV increased significantly with increasing serum hs-CRP levels; PWV increased by 2.48 m/s (95% CI 1.58; 3.38) in the fifth compared to the first quintile of hs-CRP. In the adjusted model, the PWV increased by 0.84 m/s (95% CI 0.13; 1.55) in the fifth quintile compared to the first quintile (P-value was 0.02). In the crude model, AIx increased significantly with increasing serum hs-CRP levels; AIx increased by 7.17% (95% CI 3.72; 10.62) in the fifth versus the first quintile. Adjusted for confounders, AIx remained 4.57% (95% CI 1.32; 7.82) higher in the fifth compared to the first quintile (P-value for trend was &lt;0.01). More adjustment for subclinical atherosclerosis attenuated the beta-coefficient for PWV (difference 0.71 m/s (95% CI 0.01; 1.41), but not for AIx (4.60% (95% CI 1.34; 7.85)). In summary, low-grade inflammation seems to be independently related to increase of aortic artery stiffness over and above traditional risk factors and atherosclerosis.</t>
  </si>
  <si>
    <t>Circulating homocysteine and large arterial stiffness and thickness in a population-based sample of middle-aged and elderly men.</t>
  </si>
  <si>
    <t>https://pubmed.ncbi.nlm.nih.gov/17597801</t>
  </si>
  <si>
    <t>Elevated plasma homocysteine (tHcy) is considered as a risk factor for cardiovascular events, and has been associated with arterial stiffness and subclinical atherosclerosis in subjects with classical cardiovascular risk factors. The aim of this study is to investigate the association of plasma tHcy with functional and structural changes in the large arteries by measuring aortic pulse-wave velocity (PWV) and carotid artery intima-media thickness (CIMT). In a population-based sample of 376 middle-aged and elderly men, tHcy levels were measured by using fluorescence polarization immunoassay. Aortic stiffness was assessed non-invasively by measuring carotid-femoral PWV with the use of applanation tonometry. CIMT was measured by ultrasonography. We used multivariate linear regression analysis with the log-transformed value of tHcy as the determinant, and aortic PWV and CIMT as outcomes. In the univariate model, PWV increased with increasing tHcy concentration; PWV increased by 2.64 m/s (95% confidence interval (CI) 1.74; 3.54) per unit change in log tHcy. After adjustment for confounders, no statistically significant association remained; PWV increased by 0.42 m/s (95% CI -0.27; 1.11) per unit change in log tHcy. Furthermore, in the univariate model, CIMT increased significantly with increasing tHcy concentration; CIMT increased by 0.19 mm (95% CI 0.11; 0.26) per unit increase log tHcy. This association was attenuated and did not remain significant after additional adjustment for age and cardiovascular confounders (beta=0.06 (95% CI -0.01; 0.13)). The results of this study do not support the presence of an independent relationship between circulating tHcy levels and large artery stiffness and thickness.</t>
  </si>
  <si>
    <t>High dietary glycemic load and glycemic index increase risk of cardiovascular disease among middle-aged women: a population-based follow-up study.</t>
  </si>
  <si>
    <t>Beulens, Joline W J; de Bruijne, Leonie M; Stolk, Ronald P; Peeters, Petra H M; Bots, Michiel L; Grobbee, Diederick E; van der Schouw, Yvonne T</t>
  </si>
  <si>
    <t>https://pubmed.ncbi.nlm.nih.gov/17601539</t>
  </si>
  <si>
    <t>The goal of this work was to assess whether high dietary glycemic load and glycemic index are associated with an increased risk of cardiovascular disease (CVD). The associations of dietary glycemic index and glycemic load with risk of CVD are not well established, particularly in populations consuming modest glycemic load diets. Moreover, risk may differ between lean and overweight subjects. Associations of glycemic index and glycemic load with incident CVD were examined in a prospective cohort of 15,714 Dutch women age 49 to 70 years without diabetes or CVD. Dietary glycemic index and glycemic load were calculated using the glycemic index, carbohydrate content, and frequency of intake of individual foods. During 9 +/- 2 years of follow-up, 556 cases of coronary heart disease (CHD) and 243 cases of cerebrovascular accident (CVA) occurred. Dietary glycemic load (mean = 100; SD = 17) was associated with increased risk of CVD, adjusted for CVD risk factors and dietary variables, with a hazard ratio (HR) for the highest against lowest quartile of 1.47 (95% confidence interval [CI] 1.04 to 2.09; p(trend) = 0.03). Similar results were observed for dietary glycemic index with a corresponding HR of 1.33 (95% CI 1.07 to 1.67; p(trend) = 0.02). Glycemic load tended to be associated with both CHD (HR 1.44; 95% CI 0.95 to 2.19; p(trend) = 0.14) and CVA (HR 1.55; 95% CI 0.81 to 2.97; p(trend) = 0.10), but glycemic index only with CHD (HR 1.44; 95% CI 1.10 to 1.89; p(trend) = 0.01). Among overweight women (body mass index &gt;25 kg/m2), glycemic load was associated with CVD (1.78; 95% CI 1.11 to 2.85; p(trend) = 0.04), but not among normal weight women (p(interaction) = 0.19). Body mass index did not modify the association of glycemic index with CVD. Among women consuming modest glycemic load diets, high dietary glycemic load and glycemic index increase the risk of CVD, particularly for overweight women.</t>
  </si>
  <si>
    <t>Incidence and predictors of in-hospital events after first implantation of pacemakers.</t>
  </si>
  <si>
    <t>van Eck, J W M; van Hemel, N M; Zuithof, P; van Asseldonk, J P M; Voskuil, T L H M; Grobbee, D E; Moons, K G M</t>
  </si>
  <si>
    <t>https://pubmed.ncbi.nlm.nih.gov/17556376</t>
  </si>
  <si>
    <t>Despite an annual rise in the numbers of patients receiving their first pacemaker (PM), the risks of the implantation procedure remains unclear. The purpose of this prospective study is to estimate the incidence of in-hospital events after first PM implantation and to determine the predictors of these events. Patients with conventional pacing diagnosis were included in the Dutch multicentre FOLLOWPACE PM registry that prospectively documented patients' prognosis and quality of life, and PM events after first implantation. From these registry characteristics, implantation data and in-hospital findings were analysed as potential predictors for events in a sample of 1198 patients. In 111 patients studied, at least one serious in-hospital event occurred (incidence 10.1%, 95%CI: 8.9-12.3). Six variables, i.e. a lower body mass index, presence of heart failure in medical history, main indication for implantation, vena subclavia use for venous access, active atrial lead fixation, and the implantation of a dual chamber system, were found to be independent predictors of events after first PM implantation. The overall multivariable model yielded an ROC area of 0.65 (95%CI: 0.60-0.70). This large prospective multicentre study identified six variables as independent predictors for serious in-hospital events after first implantation. This may assist the implanting cardiologist and surgeon to identify patients at higher risk, during and immediately after PM implantation.</t>
  </si>
  <si>
    <t>Menstruation during and after caloric restriction: the 1944-1945 Dutch famine.</t>
  </si>
  <si>
    <t>Elias, Sjoerd G; van Noord, Paulus A H; Peeters, Petra H M; den Tonkelaar, Isolde; Kaaks, Rudolf; Grobbee, Diederick E</t>
  </si>
  <si>
    <t>https://pubmed.ncbi.nlm.nih.gov/17544416</t>
  </si>
  <si>
    <t>To investigate the relation between exposure to the 1944-45 Dutch famine and concurrent and subsequent menstrual disturbances. Cohort study. Doorlopend Onderzoek Mammacarcinoom breast cancer screening project, Utrecht, the Netherlands. Between 1983 and 1986, approximately 12,500 women (born 1911-41) reported their individual famine experiences. Irregular menstruation during the famine; time to regular menses after menarche, and menstrual patterns in adulthood after childhood famine. The famine had a direct impact on menstruation. The odds ratio (OR) of concurrent irregular menses in severely versus unexposed women was 8.85 (95% confidence interval [CI], 7.31-10.70). Women exposed to severe famine before menarche were 1.51 (95% CI, 1.15-1.98) times more likely to experience irregular menses for a prolonged time after menarche compared with the unexposed. This association was stronger in women with an early menarche. When the menstrual pattern was assessed in adulthood by menstrual diaries, a nonsignificant tendency of increased irregularity (OR, 1.13; 95% CI, 0.82-1.54) and regular but long menstrual cycles (OR, 1.41; 95% CI, 0.89-2.23) was observed in women exposed to severe famine. Famine relates to concurrent menstrual irregularity, and exposure in childhood seems to affect the subsequent menstrual pattern.</t>
  </si>
  <si>
    <t>Dietary intake of B(6-9-12) vitamins, serum homocysteine levels and their association with depressive symptoms: the Zutphen Elderly Study.</t>
  </si>
  <si>
    <t>Kamphuis, M H; Geerlings, M I; Grobbee, D E; Kromhout, D</t>
  </si>
  <si>
    <t>https://pubmed.ncbi.nlm.nih.gov/17538543</t>
  </si>
  <si>
    <t>Low B-vitamin status and high levels of serum homocysteine are found in depressed inpatients, but results of population-based studies of this association are inconclusive. We investigated whether a low dietary intake of B(6-9-12) vitamins and high levels of serum homocysteine are associated with depressive symptoms in elderly men. The study sample included a total of 332 men aged 70-90 years who were free from cardiovascular diseases and diabetes at baseline in 1990. Depressive symptoms were measured with the Zung Self-rating Depression Scale at baseline in 1990 and dietary factors with the crosscheck dietary history method in 1985 and 1990. Serum levels of homocysteine were obtained in 1985. Multiple linear and logistic regression analyses were performed. Dietary intake of folate (-1.19, 95% CI -2.03; -0.36) and vitamin B(6) (-2.09, 95% CI -2.92; -1.26) per standard deviation increase was associated with lower levels of serum homocysteine, while vitamin B(12) was not associated with serum homocysteine. Intake of folate, vitamin B(6), vitamin B(12) and levels of serum homocysteine were not related to depressive symptoms. Our results do not support the hypothesis that a low dietary intake of B(6-9-12) vitamins and high levels of serum homocysteine are related to depression in healthy elderly men.</t>
  </si>
  <si>
    <t>Lifetime cumulative number of menstrual cycles and serum sex hormone levels in postmenopausal women.</t>
  </si>
  <si>
    <t>Chavez-MacGregor, Mariana; van Gils, Carla H; van der Schouw, Yvonne T; Monninkhof, Evelyn; van Noord, Paulus A H; Peeters, Petra H M</t>
  </si>
  <si>
    <t>https://pubmed.ncbi.nlm.nih.gov/18274909</t>
  </si>
  <si>
    <t>Lifetime cumulative number of menstrual cycles is related to breast cancer risk. The aim of this study is to investigate the relation between this index and serum sex hormone levels in postmenopausal women. Cross-sectional study including 860 naturally postmenopausal Dutch participants of the European Prospective Investigation into Cancer and Nutrition. Lifetime cumulative number of menstrual cycles was computed using questionnaire data on ages at menarche and menopause, number of pregnancies, breastfeeding, oral contraceptive use (OC) and regularity pattern. Measurements of hormones included estrone (E1), estradiol (E2), andostrenedione, testosterone, sex-hormone binding globulin (SHBG) and dehydroepiandrostenedione sulfate (DHEAS). The relation between the lifetime cumulative number of menstrual cycles and hormone levels was assessed using analysis of covariance. Relations between reproductive characteristics and hormone levels were also studied. Adjustments for characteristics at blood collection included age, years since menopause, BMI, hormone replacement therapy use, OC use, smoking habits, alcohol intake and physical activity were done. Lifetime cumulative number of cycles was related with SHBG; participants in the lowest category had higher SHBG levels. For the separate characteristics, DHEAS and androstenedione increased significantly with increasing age at menarche, while androstenedione and testosterone decreased with increasing age at menopause. For the parity characteristics, SHBG levels increased according to the number of live births. Lifetime cumulative number menstrual cycles was related only to SHBG. Therefore, free levels of estrogens or androgens may be related to this number of menstrual cycles estimate, reflecting lifetime exposure to ovarian hormones.</t>
  </si>
  <si>
    <t>Shared and delegated systems are not quick remedies for improving diabetes care: a systematic review.</t>
  </si>
  <si>
    <t>van Bruggen, J A R; Gorter, K J; Stolk, R P; Rutten, G E H M</t>
  </si>
  <si>
    <t>https://pubmed.ncbi.nlm.nih.gov/18632021</t>
  </si>
  <si>
    <t>Type 2 diabetes is an important, chronic condition notorious for its costly and disabling complications. Nowadays, enhanced cooperation is expected to improve the quality of diabetes care and reduce risks for chronically ill patients. It is, however, questionable whether this assumption is evidence based. Using a structured literature search, we selected systematic reviews, randomised controlled trials (RCTs) and other effect evaluations regarding the sharing and allocation of diabetes care. We selected 22 studies to include in this review. The process of care improved in all studies investigating this quality aspect. HbA1c improved in seven reviews and in five other studies. All included reviews and four RCTs were unable to demonstrate a positive effect on blood pressure. Total cholesterol improved in two reviews and five other studies. The sharing and allocation of diabetes care leads to significant reduction in HbA1c and improves the process of care. However, this improvement has not as yet led to better cardiovascular risk management. For a number of reasons, a truly accurate estimation of the results of shared and allocated diabetes care within the Dutch diabetes care system is not possible.</t>
  </si>
  <si>
    <t>Variations in plasma phytoestrogen concentrations in European adults.</t>
  </si>
  <si>
    <t>Peeters, Petra H M; Slimani, Nadia; van der Schouw, Yvonne T; Grace, Philip B; Navarro, Carmen; Tjonneland, Anne; Olsen, Anja; Clavel-Chapelon, Francoise; Touillaud, Marina; Boutron-Ruault, Marie-Christine; Jenab, Mazda; Kaaks, Rudolf; Linseisen, Jakob; Trichopoulou, Antonia; Trichopoulos, Dimitrios; Dilis, Vardis; Boeing, Heiner; Weikert, Cornelia; Overvad, Kim; Pala, Valeria; Palli, Domenico; Panico, Salvatore; Tumino, Rosario; Vineis, Paolo; Bueno-de-Mesquita, H Bas; van Gils, Carla H; Skeie, Guri; Jakszyn, Paula; Hallmans, Goran; Berglund, Goran; Key, Tim J; Travis, Ruth; Riboli, Elio; Bingham, Sheila A</t>
  </si>
  <si>
    <t>https://pubmed.ncbi.nlm.nih.gov/17449595</t>
  </si>
  <si>
    <t>Dietary phytoestrogens may play a role in chronic disease occurrence. The aim of our study was to assess the variability of plasma concentrations in European populations. We included 15 geographical regions in 9 European countries (Denmark, France, Germany, Greece, Italy, Spain, Sweden, The Netherlands, and UK) and a 16th region, Oxford, UK, where participants were recruited from among vegans and vegetarians. All subjects were participants of the European Prospective Investigation into Cancer and Nutrition (EPIC). Plasma concentrations of 3 isoflavones (daidzein, genistein, and glycitein), 2 metabolites of daidzein [O-desmethylangolensin (O-DMA) and equol] and 2 mammalian lignans (enterodiol and enterolactone) were measured in 1414 participants. We computed geometric means for each region and used multivariate regression analysis to assess the influence of region, adjusted for gender, age, BMI, alcohol intake, smoking status, and laboratory batch. Many subjects had concentrations below the detection limit [0.1 microg/L (0.4 nmol/L)] for glycitein (80%), O-DMA (73%) and equol (62%). Excluding subjects from Oxford, UK, the highest concentrations of isoflavones were in subjects from the Netherlands and Cambridge, UK [2-6 microg/L (7-24 nmol/L); P &lt; 0.05], whereas concentrations for lignans were highest in Denmark [8 microg/L (27 nmol/L); P &lt; 0.05]. Isoflavones varied 8- to 13-fold, whereas lignans varied 4-fold. In the vegetarian/vegan cohort of Oxford, concentrations of isoflavones were 5-50 times higher than in nonvegetarian regions. Region was the most important determinant of plasma concentrations for all 7 phytoestrogens. Despite the fact that plasma concentrations of phytoestrogens in Europe were low compared with Asian populations, they varied substantially among subjects from the 16 different regions.</t>
  </si>
  <si>
    <t>Epilepsy surgery in tuberous sclerosis: a systematic review.</t>
  </si>
  <si>
    <t>Jansen, Floor E; van Huffelen, Alexander C; Algra, Ale; van Nieuwenhuizen, Onno</t>
  </si>
  <si>
    <t>epilepsia</t>
  </si>
  <si>
    <t>https://pubmed.ncbi.nlm.nih.gov/17484753</t>
  </si>
  <si>
    <t>Tuberous sclerosis complex (TSC) is often associated with intractable epilepsy. Although epilepsy surgery has gained interest in recent years uncertainties exist about which patients are good surgical candidates. A systematic review of the available literature has been undertaken to assess the overall outcome of epilepsy surgery and identify risk factors of seizure recurrence. We searched MEDLINE, Embase, and bibliographies of reviews and book chapters to identify articles published in English since 1960. Twenty-five articles, describing postoperative seizure outcome and type of surgery in 177 TSC patients, were included in this study. Seizure outcome was analyzed both as seizure freedom and good outcome, including patients with &gt;90% seizure reduction. Seizure freedom was achieved in 101 patients (57%). Seizure frequency was improved by &gt; 90% in 32 patients (18%). Moderate or severe intellectual disability (IQ &lt; 70) (RR 1.8; 95% CI 1.2-2.8) and the presence of tonic seizures (RR 1.7; 95 % CI 1.2-2.4) were related to seizure recurrence. A relation between multiple seizures types with early onset, multiple cortical tubers and multifocal epileptogenicity, and poor outcome is not supported by this systematic analysis. Although there is considerable variation among studies reviewed here, the literature suggests that resective surgery may offer benefit in a selected population of TSC patients with drug-resistant epilepsy.</t>
  </si>
  <si>
    <t>Dietary phytoestrogen intake and cognitive function in older women.</t>
  </si>
  <si>
    <t>Kreijkamp-Kaspers, Sanne; Kok, Linda; Grobbee, Diederick E; de Haan, Edward H F; Aleman, André; van der Schouw, Yvonne T</t>
  </si>
  <si>
    <t>https://pubmed.ncbi.nlm.nih.gov/17522362</t>
  </si>
  <si>
    <t>Aging is associated with a decline in cognitive function; we explored the possible influence of dietary phytoestrogens on this decline. We conducted a cross-sectional study in 301 Dutch women aged 60-75 years. Dietary isoflavone and lignan intake was assessed with a food-frequency questionnaire covering habitual diet in the year preceding enrolment. The endpoints were cognitive function measured in three domains: memory, processing capacity and speed, and executive function. Data were analyzed using linear regression models, after adjusting for confounders. No association between dietary isoflavone intake and cognitive function was found. High lignan intake was associated with a better performance in processing capacity and speed, and in executive function (p for trend over quartiles =.01 and.02, respectively). This finding calls for further research to elucidate the relatively underexplored role of lignans within the range of phytoestrogens.</t>
  </si>
  <si>
    <t>Depressive symptoms in subjects with diagnosed and undiagnosed type 2 diabetes.</t>
  </si>
  <si>
    <t>Knol, Mirjam J; Heerdink, Eibert R; Egberts, Antoine C G; Geerlings, Mirjam I; Gorter, Kees J; Numans, Mattijs E; Grobbee, Diederick E; Klungel, Olaf H; Burger, Huibert</t>
  </si>
  <si>
    <t>https://pubmed.ncbi.nlm.nih.gov/17470664</t>
  </si>
  <si>
    <t>To investigate if disturbed glucose homeostasis or known diagnosis of diabetes was associated with depressive symptoms. The reason for the increased prevalence of depression in patients with Type 2 diabetes mellitus (DM2) is unknown. Within the Utrecht Health Project, an ongoing longitudinal study among inhabitants of a residential area of a large city in The Netherlands, 4747 subjects (age: 39.4 +/- 12.5 years) were classified into four mutually exclusive categories: normal fasting plasma glucose (FPG) (&lt;5.6 mmol/l), impaired FPG (&gt; or =5.6 and &lt;7.0 mmol/l), undiagnosed DM2 (FPG &gt; or =7.0 mmol/l), and diagnosed DM2. Presence of depressive symptoms was defined as a score of &gt; or =25 on the depression subscale of the Symptom Check List (SCL-90) or self-reported use of antidepressants. Diagnosed DM2 was associated with an increased risk of depressive symptoms (odds ratio (OR) = 1.69; 95% confidence interval (CI) 1.06-2.72) after adjustment for demographic and lifestyle variables. Additional adjustment for number of chronic diseases reduced the OR to 1.36 (95% CI 0.83-2.23). Impaired fasting glucose and undiagnosed DM2 were not associated with depressive symptoms. Our findings suggest that disturbed glucose homeostasis is not associated with depressive symptoms. The increased prevalence of depressive symptoms among patients with diagnosed DM2 suggests that depressive symptoms might be a consequence of the burden of diabetes. The number of chronic diseases seems to explain part of the association between DM2 and depressive symptoms.</t>
  </si>
  <si>
    <t>Accelerated increase of arteriovenous fistula use in haemodialysis centres: results of the multicentre CIMINO initiative.</t>
  </si>
  <si>
    <t>Huijbregts, Henricus J T A M; Bots, Michiel L; Moll, Frans L; Blankestijn, Peter J; ,</t>
  </si>
  <si>
    <t>https://pubmed.ncbi.nlm.nih.gov/17452409</t>
  </si>
  <si>
    <t>In the Netherlands, arteriovenous fistulas (AVFs) are used in 60-65% of the haemodialysis patients and this compares poorly with the European average. A multicentre guidelines implementation programme, CIMINO, was initiated aiming at increasing the use of AVFs. Physicians and dialysis staff in 11 participating centres (N=1092 vascular accesses) were strongly and repeatedly advised to adhere to current guidelines with extra attention for pre-operative duplex examination and salvaging of failing and failed fistulae. Specially appointed access nurses prospectively registered all created vascular accesses using an internet-linked database. In 22 other centres (N=1566 accesses), the CIMINO programme was not offered and they were considered the control group. On 1 January 2006, average follow-up time of the CIMINO group and the control group were 13.3 months and 34.1 months, respectively. A total of 598 new vascular accesses (77% AVFs) were created in the CIMINO group. Prevalent AVF use increased from 58.5% (range: 31-79%) to 62.7% (range: 45-83%) in the CIMINO group and from 65.5% (range: 31-91%) to 67.3% (range: 42-91%) in the control group. The increase in AVF use per year was significantly quicker than in the control group (P&lt;0.05). Use of untunnelled catheters decreased whereas that of tunnelled catheters increased. This initiative shows that a multicentre guidelines implementation programme results in an accelerated increase of AVF use in comparison with a time control group. These data suggest that the choice of access placement depends predominantly on centre-specific factors.</t>
  </si>
  <si>
    <t>Inter-scan reproducibility of coronary calcium measurement using Multi Detector-Row Computed Tomography (MDCT).</t>
  </si>
  <si>
    <t>Sabour, Siamak; Rutten, A; van der Schouw, Y T; Atsma, F; Grobbee, D E; Mali, W P; Bartelink, M E L; Bots, M L; Prokop, M</t>
  </si>
  <si>
    <t>https://pubmed.ncbi.nlm.nih.gov/17427036</t>
  </si>
  <si>
    <t>To assess inter-scan reproducibility of coronary calcium measurements obtained from Multi Detector-Row CT (MDCT) images and to evaluate whether this reproducibility is affected by different measurement protocols, slice thickness, cardiovascular risk factors and/or technical variables. Cross-sectional study with repeated measurements. The study population comprised 76 healthy women. Coronary calcium was assessed in these women twice in one session using 16-MDCT (Philips Mx 8000 IDT 16). Images were reconstructed with 1.5 mm slice thickness and 3.0 mm slice thickness. The 76 repeated scans were scored. The Agatston score, a volume measurement and a mass measurement were assessed. Reproducibility was determined by estimation of mean, absolute, relative difference, the weighted kappa value for agreement and the Intra-class correlation coefficient (ICCC). Fifty-five participants (72.4%) had a coronary calcification of more than zero in Agatston (1.5 mm slice thickness). The reproducibility of coronary calcium measurements between scans in terms of ranking was excellent with Intra-class correlation coefficients of &gt;0.98, and kappa values above 0.80. The absolute difference in calcium score between scans increased with increasing calcium levels, indicating that measurement error increases with increasing calcium levels. However, no relation was found between the mean difference in scores and calcium levels, indicating that the increase in measurement error is likely to result in random misclassification in calcium score. Reproducibility results were similar for 1.5 mm slices and for 3.0 mm slices, and equal for Agatston, volume and mass measurements. Inter-scan reproducibilility of measurement of coronary calcium using images from MDCT is excellent, irrespective of slice thickness and type of calcium parameter.</t>
  </si>
  <si>
    <t>Prevention of glucocorticoid induced osteoporosis with alendronate or alfacalcidol: relations of change in bone mineral density, bone markers, and calcium homeostasis.</t>
  </si>
  <si>
    <t>Jacobs, Johannes W G; de Nijs, Ron N J; Lems, Willem F; Geusens, Piet P M M; Laan, Roland F J; Huisman, Anne-Margriet; Algra, Ale; Buskens, Erik; Hofbauer, Lorenz C; Oostveen, Ans C M; Bruyn, George A W; Dijkmans, Ben A C; Bijlsma, Johannes W J</t>
  </si>
  <si>
    <t>https://pubmed.ncbi.nlm.nih.gov/17407214</t>
  </si>
  <si>
    <t>To explore the relation of changes in measures of bone turnover and changes in bone mineral density (BMD) of the lumbar spine and total hip over 18 months in a double-blinded, randomized trial, comparing the effect of alfacalcidol (101 patients) versus alendronate (100 patients) on BMD in patients who recently started treatment with glucocorticoids for various rheumatic diseases. Associations between changes in serum procollagen type I C-propeptide (P1CP), fasting urine N-terminal telopeptide of type I collagen (NTx), serum calcium, parathyroid hormone (PTH), osteocalcin, and change from baseline in BMD over 18 months were explored with regression and correlation analyses. In both treatment groups, there was a statistically significant decrease in NTx. In the alfacalcidol group there was also a significant increase in P1CP and osteocalcin, in contrast to the alendronate group, but BMD in the alfacalcidol decreased versus an increase in the alendronate group (p &lt; 0.001). In neither treatment group were changes in biochemical measures correlated with the change in BMD, with the exception of a negative correlation in the alendronate group between changes in total hip BMD and NTx. Use of alendronate resulted in an increased PTH in 27 patients, but the increase in BMD of these patients was not statistically significantly different compared to patients taking alendronate with normal PTH levels. Changes in BMD were not associated with changes in bone measures, with the exception of NTx in the alendronate group. For the patient taking glucocorticoids in clinical practice, the value of serial assessment of bone markers is low; changes in markers are no substitute for changes in BMD. ClinicalTrials.gov number: NCT00138983.</t>
  </si>
  <si>
    <t>Screen detected subjects with type 2 diabetes and impaired glucose tolerance have more adverse cardiovascular risk than subjects with impaired fasting glucose especially when they are obese: the ADDITION Netherlands study.</t>
  </si>
  <si>
    <t>https://pubmed.ncbi.nlm.nih.gov/18632022</t>
  </si>
  <si>
    <t>To determine cardiovascular risk of screen detected subjects with type 2 diabetes (T2DM), impaired glucose tolerance (IGT) and impaired fasting glucose (IFG). To examine whether BMI is an effect modifier regarding the relation between level of glucose regulation and cardiovascular risk factors. From 2002 to 2003, 29,251 persons, aged 50-70 years, participated in a population-based diabetes screening programme. Diagnosis was based on the 1999 WHO criteria. Characteristics were assessed of 285 subjects with T2DM, 175 with IGT and 218 with IFG. IFG did not resemble IGT and T2DM regarding weight and blood pressure. BMI (kg/m2) was 27.3+/-4.4, 29.5+/-5.7, 30.7+/-5.6 in IFG, IGT, DM, respectively; systolic blood pressure (mmHg) 150+/-25, 161+/-24, 162+/-23; diastolic blood pressure (mmHg) 84+/-12, 89+/-12, 90+/-11. The poorer the glycaemic control, the worse levels of BMI, blood pressure and lipids. When BMI was higher, cardiovascular risk factors were more adverse, especially in subjects with diabetes. Subjects with IFG had lower blood pressure and weight than subjects with IGT and T2DM suggesting IFG is a condition with less risk to develop cardiovascular diseases. Effect modification by BMI was found.</t>
  </si>
  <si>
    <t>Predicting postherpetic neuralgia in elderly primary care patients with herpes zoster: prospective prognostic study.</t>
  </si>
  <si>
    <t>Opstelten, Wim; Zuithoff, Nicolaas P A; van Essen, Gerrit A; van Loon, Anton M; van Wijck, Albert J M; Kalkman, Cornelis J; Verheij, Theo J M; Moons, Karel G M</t>
  </si>
  <si>
    <t>https://pubmed.ncbi.nlm.nih.gov/17379412</t>
  </si>
  <si>
    <t>Postherpetic neuralgia (PHN) is the most frequent complication of herpes zoster (HZ) and difficult to treat. Timely identification of high-risk HZ-patients enables physicians to focus on PHN prevention. To assess which simple to measure factors are independent predictors of PHN, and whether psychosocial and serological/virological parameters have additional predictive value, a prospective cohort study in primary care was conducted. We included 598 elderly (&gt;50 years) consecutive patients with acute HZ (rash &lt;7 days) below sixth cervical dermatome. At baseline demographic, clinical (e.g., duration and severity of pain and rash), psychological (Pain Cognition List [PCL] and Spielberger's Anxiety Inventory), serological (VZV-antibodies) and virological (viremia presence) variables were measured. Blood tests were performed in a random subset of 218 patients. Primary outcome was significant pain (VAS &gt;30 on 0-100 scale) after three months. The final prediction model obtained from multivariable logistic regression was (internally) validated using bootstrapping techniques, and adjusted for optimism. Forty-six (7.7%) patients developed PHN. Independent predictors were age (odds ratio [OR]=1.08 per year), acute pain severity (OR=1.02 per unit), presence of severe rash (OR=2.31), and rash duration before consultation (OR=0.78 per day): area under receiver-operating-characteristic curve [ROC area]=0.77 (95% CI: 0.71-0.82). Of the five PCL scores, only factor V ('trust in healthcare') was an additional predictor (OR=1.01 per unit), though it increased the ROC area with only 0.01 to 0.78. The Spielberger's anxiety scores and serological and virological variables were no additional predictors. Thus, four simple variables can help physicians to timely identify elderly HZ-patients at risk of PHN.</t>
  </si>
  <si>
    <t>C-reactive protein is independently associated with glucose but not with insulin resistance in healthy men.</t>
  </si>
  <si>
    <t>Niehoff, Anne G; van Haeften, Timon W; Onland-Moret, N Charlotte; Elbers, Clara C; Wijmenga, Cisca; van der Schouw, Yvonne T</t>
  </si>
  <si>
    <t>https://pubmed.ncbi.nlm.nih.gov/17372148</t>
  </si>
  <si>
    <t>Asymptomatic carotid artery stenosis and the risk of new vascular events in patients with manifest arterial disease: the SMART study.</t>
  </si>
  <si>
    <t>Goessens, Bertine M B; Visseren, Frank L J; Kappelle, L Jaap; Algra, Ale; van der Graaf, Yolanda</t>
  </si>
  <si>
    <t>https://pubmed.ncbi.nlm.nih.gov/17363718</t>
  </si>
  <si>
    <t>The frequency of asymptomatic carotid artery stenosis (CAS) increases with age from 0.5% in individuals below 50 years of age to 5% to 10% in individuals over 65 years of age in the general population. Its prognostic value has been examined in the general population but less often in patients with clinical manifestations of arterial disease other than retinal or cerebral ischemia. We examined the relationship between asymptomatic CAS and the risk of subsequent events in this specific group of patients. This study involved 2684 consecutive patients with clinical manifestations of arterial disease or type 2 diabetes mellitus, but without a history of cerebral ischemia, enrolled in the SMART study (Second Manifestations of ARTerial disease). The degree of asymptomatic CAS was assessed with Duplex scanning and defined on the basis of the blood flow velocity patterns at baseline in both carotid arteries. None of the patients underwent carotid endarterectomy or endovascular intervention. During the follow-up period, vascular events (vascular death, ischemic stroke, and myocardial infarction) were documented in detail. Data were analyzed with Cox proportional hazards regression and adjusted for age, gender, and classic vascular risk factors. Asymptomatic CAS of 50% or greater was present in 221 (8%) patients. During a mean follow up of 3.6 years (SD=2.3), a first vascular event occurred in 253 patients (9%). The cumulative incidence rate for the composite of subsequent vascular events after 5 years was 12.3% (95% CI=10.7 to 13.9), for cerebral infarction 2.2% (95% CI=1.4 to 2.8), and for myocardial infarction 8.0% (95% CI=6.6 to 9.4). Adjusted for age and gender, asymptomatic CAS of 50% or greater was related to a higher risk of subsequent vascular events (hazard ratio=1.5, 95% CI=1.1 to 2.1), in particular of vascular death (hazard ratio=1.8, 95% CI=1.2 to 2.6). After additional adjustment for vascular risk factors, the hazard ratios remained essentially the same. Asymptomatic carotid artery stenosis is an independent predictor of vascular events, especially vascular death, in patients with clinical manifestations of arterial disease or type 2 diabetes but without a history of cerebral ischemia.</t>
  </si>
  <si>
    <t>Comparison of B-type natriuretic peptide assays for identifying heart failure in stable elderly patients with a clinical diagnosis of chronic obstructive pulmonary disease.</t>
  </si>
  <si>
    <t>Rutten, Frans H; Cramer, Maarten-Jan M; Zuithoff, Nicolaas P A; Lammers, Jan-Willem J; Verweij, Wim; Grobbee, Diederick E; Hoes, Arno W</t>
  </si>
  <si>
    <t>https://pubmed.ncbi.nlm.nih.gov/17347037</t>
  </si>
  <si>
    <t>To compare the ability of different B-type natriuretic peptide (BNP) assays to identify heart failure in stable elderly patients with a diagnosis of chronic obstructive pulmonary disease (COPD). 200 patients aged &gt;or=65 years with COPD according to their general practitioner and without known heart failure, underwent a diagnostic work-up. The final diagnosis of heart failure was established by a panel using the diagnostic principles of the European Society of Cardiology. All available diagnostic results, including echocardiography, but not BNP or NT-proBNP measurements, were used. The ability of different B-type natriuretic peptide assays to identify heart failure was estimated using the area under the receiver operating characteristic curves (ROC-area). The ROC-areas did not differ significantly between the various assays of NT-proBNP and BNP, and ranged from 0.68 (95%CI 0.60-0.73) to 0.73 (95%CI 0.64-0.81). For NT-proBNP the age- and gender-independent 'optimal' cut-point was 15 pmol/l (125 pg/ml) and for BNP 10 pmol/l (35 pg/ml). All assays were much better at excluding than detecting heart failure. All assays of B-type natriuretic peptide showed reasonable and comparable accuracy in recognising heart failure. At 'optimal' cut-points, all assays performed better at excluding than detecting new cases of heart failure in this population.</t>
  </si>
  <si>
    <t>Innate handedness and disease-specific mortality in women.</t>
  </si>
  <si>
    <t>Ramadhani, Made K; Elias, Sjoerd G; van Noord, Paulus A H; Grobbee, Diederick E; Peeters, Petra H M; Uiterwaal, Cuno S P M</t>
  </si>
  <si>
    <t>https://pubmed.ncbi.nlm.nih.gov/17202907</t>
  </si>
  <si>
    <t>Left-handedness has been reported to be associated with reduced life expectancy, but the evidence is far from conclusive. We studied the association between innate handedness and total mortality, as well as cause-specific mortality, in a cohort of 12,178 middle-aged Dutch women who were followed for almost 13 years. The relation between handedness and mortality was analyzed using Cox regression in a case-cohort approach, in which a random sample of 1500 women was used to represent person-years under observation for the entire cohort. During a median follow-up of 12.6 years, 252 women died. Hazard ratios comparing left-handed women with other women were 1.4 for all-cause mortality (95% confidence interval = 0.9-2.0), 1.7 for total cancer mortality (1.0-2.7), 2.0 for breast cancer mortality (0.8-4.6), 4.6 for colorectal cancer mortality (1.5-14.3), 1.3 mortality from diseases of the circulatory system (0.5-3.3), and 3.7 for cerebrovascular mortality (1.1-12.1), after adjusting for potential confounders (socioeconomic status, age, body mass index, and cigarette smoking status at study recruitment). Left-handedness is associated with higher mortality in women.</t>
  </si>
  <si>
    <t>Premenopausal insulin-like growth factor-I serum levels and changes in breast density over menopause.</t>
  </si>
  <si>
    <t>Verheus, Martijn; Peeters, Petra H M; Kaaks, Rudolf; van Noord, Paulus A H; Grobbee, Diederick E; van Gils, Carla H</t>
  </si>
  <si>
    <t>https://pubmed.ncbi.nlm.nih.gov/17372240</t>
  </si>
  <si>
    <t>A high proportion of glandular and stromal tissue in the breast (percentage breast density) is a strong risk factor for breast cancer development. Insulin-like growth factor-I (IGF-I) is hypothesized to influence breast cancer risk by increasing breast density. We studied the relation between premenopausal circulating IGF-I levels and premenopausal and postmenopausal, absolute nondense and dense area, and percentage breast density as well as changes in these measures over menopause. Mammograms and blood samples of 684 premenopausal participants of the Prospect-European Prospective Investigation into Cancer and Nutrition cohort were collected at baseline. A second mammogram of these women was collected after they became postmenopausal. Premenopausal IGF-I levels were measured in serum. Premenopausal and postmenopausal breast measures were assessed using a computer-assisted method. Mean values of breast measures were calculated for quartiles of serum IGF-I using linear regression analysis. Women with higher premenopausal IGF-I levels showed a slightly smaller decrease in dense area over menopause (-12.2 cm2 in the highest versus -12.9 cm2 in the lowest quartile; P trend = 0.58) and, at the same time, a smaller increase in the nondense (fat) area (P trend = 0.09). Due to the changes over menopause, high premenopausal IGF-I serum levels were associated with lower nondense area (P trend = 0.05), somewhat higher dense area (P trend = 0.66), and consequently higher percentage breast density (P trend = 0.02) after menopause. Women with higher premenopausal IGF-I levels have a smaller increase in nondense area and also a slightly smaller decrease in absolute dense area during menopause, resulting in higher breast density after menopause.</t>
  </si>
  <si>
    <t>Serum IGF-I, its major binding protein (IGFBP-3) and epithelial ovarian cancer risk: the European Prospective Investigation into Cancer and Nutrition (EPIC).</t>
  </si>
  <si>
    <t>Peeters, Petra H M; Lukanova, Annekatrin; Allen, Naomi; Berrino, Franco; Key, Tim; Dossus, Laure; Rinaldi, Sabina; van Gils, Carla H; Bueno-de-Mesquita, H Bas; Boeing, Heiner; Schulz, Mandy; Chang-Claude, Jenny; Linseisen, Jakob; Panico, Salvatore; Sacerdote, Carlotta; Palli, Domenico; Tumino, Rosario; Trichopoulou, Antonia; Trichopolos, Dimitrios; Bamia, Christina; Larranaga, Nerea; Ardanaz, Eva; Pera, Guillem; Quirós, J Ramón; Martínez-García, Carmen; Navarro, Carmen; Bingham, Sheila A; Khaw, Kay-Tee; Clavel, Françoise; Tjonneland, Anne; Olsen, Anja; Overvad, Kim; Tetsche, Mette S; Lund, Eiliv; Lundin, Eva; Berglund, Göran; Riboli, Elio; Kaaks, R</t>
  </si>
  <si>
    <t>endocrinerelated cancer</t>
  </si>
  <si>
    <t>https://pubmed.ncbi.nlm.nih.gov/17395977</t>
  </si>
  <si>
    <t>We set out to study the relationship between circulating levels of IGF-I and its major binding protein (IGFBP-3) in relation to ovarian cancer risk. We conducted a case-control study nested within the European Prospective Investigation into Cancer and Nutrition. Levels of IGF-I and IGFBP-3 were measured in prediagnostic serum samples of 214 women who subsequently developed ovarian cancer, and 388 matched control subjects. Conditional logistic regression models were used to estimate relative risks of ovarian cancer by tertiles of IGF-I and IGFBP-3 levels. For all women, there was no association between the circulating IGF-I or IGFBP-3 levels and the risk of ovarian cancer. However, among women diagnosed with ovarian cancer aged 55 or younger, the relative risk was higher in the middle or top tertiles of serum IGF-I, when compared with women in the lowest tertile (odds ratios (OR) = 1.8 (95%CI 0.7-4.3) and OR = 2.4 (95%CI 0.9-6.4); P(trend) = 0.08) respectively. These results were adjusted for body mass index, previous hormone use, fertility problems, and parity. Restricting the analysis to women who were premenopausal at blood donation, relative risks for ovarian cancer diagnosed before age 55 were higher (OR = 5.1 (95%CI 1.5-18.2) and OR = 5.6 (95%CI 1.5-20.8) respectively, for second and third tertiles; P(trend) = 0.02). Adjustment for serum IGFBP-3 levels only slightly attenuated relative risk estimates. Relations between IGFBP-3 and ovarian cancer before age 55 were in the same direction as for IGF-I, but less strong and statistically not significant. In women aged over 55, there was no association between serum IGF-I or IGFBP-3 and ovarian cancer risk. Our results suggest that the circulating levels of IGF-I may play a potentially important role in the development of ovarian cancer in women of a pre- or perimenopausal age.</t>
  </si>
  <si>
    <t>Association of endogenous sex hormone with C-reactive protein levels in middle-aged and elderly men.</t>
  </si>
  <si>
    <t>Nakhai Pour, Hamid Reza; Grobbee, Diederick E; Muller, Majon; van der Schouw, Yvonne T</t>
  </si>
  <si>
    <t>https://pubmed.ncbi.nlm.nih.gov/17302874</t>
  </si>
  <si>
    <t>In women, postmenopausal oestrogen supplementation increases levels of systemic markers of inflammation, which are important predictors of coronary heart disease (CHD) risk. Whether endogenous sex hormone levels in men are also related to systemic subclinical inflammation is still unknown. We tested the hypothesis that higher endogenous sex hormones levels within the physiological range may be associated with systemic subclinical inflammation. Circulating sex hormone and high-sensitivity C-reactive protein (hs-CRP) levels were determined in 400 apparently healthy men aged between 40 and 80 years. We used multivariate linear regression analysis with the various sex hormones as determinant, and natural log hs-CRP as outcome. Higher levels of total as well as bioavailable oestradiol (E2) were associated with increased natural log hs-CRP levels, which remained statistically significant after adjustment for age and cardiovascular risk factors. Natural log hs-CRP was 0.26 mg/l higher [95% confidence interval (CI) -0.02 to 0.54] in the fourth than in the first quartile of total E2; the P-value for linear trend was 0.05. For bioavailable E2, the difference in natural log hs-CRP between the fourth and the first quartile was 0.30 mg/l (95% CI 0.03-0.56; P-value for linear trend 0.04). After adjustment for age and cardiovascular risk factors, physiological levels of total (TT) or bioavailable testosterone or dehydroepiandrosterone sulfate (DHEAS) were not associated with hs-CRP. Endogenous total and bioavailable E2 levels are significantly associated with CRP among middle-aged and elder men.</t>
  </si>
  <si>
    <t>Coffee intake and incidence of hypertension.</t>
  </si>
  <si>
    <t>Uiterwaal, Cuno S P M; Verschuren, W M Monique; Bueno-de-Mesquita, H Bas; Ocké, Marga; Geleijnse, Johanna M; Boshuizen, Hendriek C; Peeters, Petra H M; Feskens, Edith J M; Grobbee, Diederick E</t>
  </si>
  <si>
    <t>https://pubmed.ncbi.nlm.nih.gov/17344492</t>
  </si>
  <si>
    <t>The long-term longitudinal evidence for a relation between coffee intake and hypertension is relatively scarce. The objective was to assess whether coffee intake is associated with the incidence of hypertension. This study was conducted on a cohort of 2985 men and 3383 women who had a baseline visit and follow-up visits after 6 and 11 y. Baseline coffee intake was ascertained with questionnaires and categorized into 0, &gt;0-3, &gt;3-6, and &gt;6 cups/d. Hypertension was defined as a mean systolic blood pressure (SBP) &gt;or=140 mm Hg over both follow-up measurements, a mean diastolic blood pressure (DBP) &gt;or=90 mm Hg over both follow-up measurements, or the use of antihypertensive medication at any follow-up measurement. Coffee abstainers at baseline had a lower risk of hypertension than did those with a coffee intake of &gt;0-3 cups/d [odds ratio (OR): 0.54; 95% CI: 0.31, 0.92]. Women who drank &gt;6 cups/d had a lower risk than did women who drank &gt;0-3 cups/d (OR: 0.67; 95% CI: 0.46, 0.98). Subjects aged &gt;or=39 y at baseline had 0.35 mm Hg (95% CI: -0.59, -0.11 mm Hg) lower SBP per cup intake/d and 0.11 mm Hg lower DBP (95% CI: -0.26, 0.03 mm Hg) than did those aged &lt;39 y at baseline, although the difference in DBP was not statistically significant. Coffee abstinence is associated with a lower hypertension risk than is low coffee consumption. An inverse U-shaped relation between coffee intake and risk of hypertension was observed in the women.</t>
  </si>
  <si>
    <t>[The practice guideline 'Hearing impairment' (first revision) from the Dutch College of General Practitioners; a response from the perspective of general practice].</t>
  </si>
  <si>
    <t>Verheij, T J M</t>
  </si>
  <si>
    <t>https://pubmed.ncbi.nlm.nih.gov/17378298</t>
  </si>
  <si>
    <t>The new guidelines on hearing loss from the Dutch College of General Practitioners are well stated and supported by clearly described evidence. Rightfully so, new screening methods for detecting hearing loss in young infants are included in the guidelines. However, these new techniques may generate many false-positive test results, notably in children with a low risk ofhearing impairment. The general practitioner should inform parents about these adverse effects of screening. Another important role for the general practitioner is in the detection of relevant hearing loss in the elderly, especially in those who show signs of depression and cognitive impairment.</t>
  </si>
  <si>
    <t>Postmenopausal hormone therapy and changes in mammographic density.</t>
  </si>
  <si>
    <t>van Duijnhoven, Fränzel J B; Peeters, Petra H M; Warren, Ruth M L; Bingham, Sheila A; van Noord, Paulus A H; Monninkhof, Evelyn M; Grobbee, Diederick E; van Gils, Carla H</t>
  </si>
  <si>
    <t>https://pubmed.ncbi.nlm.nih.gov/17312333</t>
  </si>
  <si>
    <t>Hormone therapy (HT) use has been associated with an increased breast cancer risk. We explored the underlying mechanism further by determining the effects of HT on mammographic density, a measure of dense tissue in the breast and a consistent breast cancer risk factor. A total of 620 HT users and 620 never users from the Dutch Prospect-European Prospective Investigation into Cancer and Nutrition (EPIC) cohort and 175 HT users and 161 never users from the United Kingdom EPIC-Norfolk cohort were included. For HT users, one mammogram before and one mammogram during HT use was included. For never users, mammograms with similar time intervals were included. Mammographic density was assessed using a computer-assisted method. Changes in density were analyzed using linear regression. The median time between mammograms was 3.0 years and the median duration of HT use was 1 year. The absolute mean decline in percent density was larger in never users (7.3%) than in estrogen therapy users (6.4%; P = .22) and combined HT users (3.5%; P &lt; .01). The effect of HT appeared to be high in a small number of women, whereas most women were unaffected. Our results suggest that HT use, and especially estrogen and progestin use, slows the changes from dense patterns to more fatty patterns that are normally seen in women with increasing age. Given that it is postulated that lifetime cumulative exposure to high density may be related to breast cancer risk, a delay in density decline in HT users potentially could explain their increased breast cancer risk.</t>
  </si>
  <si>
    <t>Analysis of case-cohort data: a comparison of different methods.</t>
  </si>
  <si>
    <t>Onland-Moret, N Charlotte; van der A, Daphne L; van der Schouw, Yvonne T; Buschers, Wim; Elias, Sjoerd G; van Gils, Carla H; Koerselman, Jeroen; Roest, Mark; Grobbee, Diederick E; Peeters, Petra H M</t>
  </si>
  <si>
    <t>https://pubmed.ncbi.nlm.nih.gov/17346608</t>
  </si>
  <si>
    <t>The case-cohort design combines the advantages of a prospective cohort study and the efficiency of a case-control design. Usually a Cox proportional-hazards model is used for the analyses. However, adaptation of the model is necessary because of the sampling. We compared three methods that were proposed in the literature, which differ in weighting of study subjects: Prentice's, Barlow's, and Self and Prentice's method. In a cohort of 17,357 women we studied the relationship between body mass index and cardiovascular disease (n=821) with varying subcohort sizes (sampling fraction=0.005, 0.01, 0.05, 0.10, 0.15). Even with a sampling fraction of 0.01, all three methods showed identical estimates and standard errors (SE). With sampling fractions &gt;or=0.10, results of the case-cohort analyses were similar to the full-cohort analyses. With simulations, the three methods provided different results if the full cohort is small (&lt;1,250 subjects, subcohort=10%, 8% failures) or if the subcohort size was smaller than 15% (full cohort of 1,000 observations, 8% failures). The difference between the methods did not change with the number of failures or with different effect sizes. In the above-mentioned situations, the effect estimates and SE of Prentice's method most resembled the estimates of the full-cohort estimates.</t>
  </si>
  <si>
    <t>High blood pressure in pregnancy and coronary calcification.</t>
  </si>
  <si>
    <t>Sabour, Siamak; Franx, Arie; Rutten, Annemarieke; Grobbee, Diederick E; Prokop, Mathias; Bartelink, Marie-Louise; van der Schouw, Yvonne T; Bots, Michiel L</t>
  </si>
  <si>
    <t>https://pubmed.ncbi.nlm.nih.gov/17283250</t>
  </si>
  <si>
    <t>A considerable proportion of pregnant women develop high blood pressure in pregnancy. Although it is assumed that this condition subsides after pregnancy, many of these women develop the metabolic syndrome later in life and are at increased risk to develop coronary heart disease. Atherosclerosis development is considered in between risk factors and occurrence of vascular symptoms. We set out to cross-sectionally study the relation of high blood pressure during pregnancy with risk of coronary calcification. The study population was composed 491 healthy postmenopausal women selected from a population-based cohort study. Information on high blood pressure during pregnancy was obtained using a questionnaire. Between 2004 and 2005, the women underwent a multidetector computed tomography (Philips Mx 8000 IDT 16) to assess coronary calcium. The Agatston score, volume, and mass measurements were used to quantify coronary calcium. A total of 30.7% of the women reported to have had high blood pressure in pregnancy. Body mass index (odds ratio [OR]: 1.05; 95% CI: 1.01 to 1.09) and diastolic blood pressure (OR: 1.03; 95% CI: 1.01 to 1.05) were significantly related to a history of high blood pressure in pregnancy. Age was significantly related to increased coronary calcification. Women with a history of high blood pressure during pregnancy had a 57% increased risk of having coronary calcification compared with those women without this condition (OR: 1.57; 95% CI: 1.04 to 2.37). After adjusting for age, the relation did not change (OR: 1.64; 95% CI: 1.07 to 2.53). We concluded that high blood pressure during pregnancy is associated with an increased risk of coronary calcification later in life.</t>
  </si>
  <si>
    <t>Carotid intima-media thickness and coronary atherosclerosis: weak or strong relations?</t>
  </si>
  <si>
    <t>Bots, Michiel L; Baldassarre, Damiano; Simon, Alain; de Groot, Eric; O'Leary, Daniel H; Riley, Ward; Kastelein, John J; Grobbee, Diederick E</t>
  </si>
  <si>
    <t>https://pubmed.ncbi.nlm.nih.gov/17277033</t>
  </si>
  <si>
    <t>Measurement of change in carotid intima-media thickness (CIMT) has been proposed as an alternative for the occurrence of cardiovascular (CV) events in the assessment of therapeutic interventions. Nevertheless, criticism has been voiced based on observations indicating a weak relation between CIMT and coronary atherosclerosis as well as on the virtual absence of data showing that progression of CIMT indeed predicts coronary artery disease (CAD) and stroke. We set out to review the evidence on these issues by performing a literature search on these topics. Of the 34 studies on the relation of CIMT with coronary atherosclerosis, as assessed by angiography (n=33) or intravascular ultrasound (n=1), 30 showed a modest positive relationship; the magnitude of which was similar to that found in autopsy studies. Of all studies on CIMT and future CV events (n=18), 17 showed graded positive relationships. At present, only one study has provided evidence on the relation of change in CIMT and future CV events, showing an increased risk with CIMT progression. The paucity of data on progression and future CV risk is partly attributable to time windows required to complete these studies. The modest relation between CIMT and coronary atherosclerosis most likely reflects variability in atherosclerosis development between the vascular beds rather than limitations of CIMT measurements. Additional data on the relation between change in CIMT and future CV events is required and currently is in progress.</t>
  </si>
  <si>
    <t>Low levels of adiponectin predict worsening of arterial morphology and function.</t>
  </si>
  <si>
    <t>Störk, Stefan; Bots, Michiel L; Angerer, Peter; von Schacky, Clemens; Grobbee, Diederick E; Angermann, Christiane E; Seufert, Jochen</t>
  </si>
  <si>
    <t>https://pubmed.ncbi.nlm.nih.gov/17239889</t>
  </si>
  <si>
    <t>Adipocytokines are under investigation as mediators of cardiovascular risk. In 142 non-diabetic postmenopausal women, we investigated whether plasma levels of adiponectin and leptin are associated with changes in carotid intima-media thickness (IMT) and distensibility as assessed by high-resolution ultrasound. Adiponectin but not leptin correlated weakly with baseline measures of IMT and distensibility. After 12 months, carotid IMT showed a significant progression [0.023 mm (95% CI, 0.014-0.031 mm)] whereas stiffness was unaltered. A threshold was identified for the relation of adiponectin with both progression of IMT and stiffness. Age-adjusted adiponectin levels in the lowest quartile versus second to fourth quartile were related to progression of IMT (odds ratio, 2.99; 95% CI, 1.81-5.09) and stiffness (odds ratio, 1.71; 95% CI, 1.19-4.07). Adjustment for possible confounding factors and intermediates weakened this association only to a minor degree. No such associations were observed for leptin. We conclude that low levels of adiponectin are associated with adverse changes in morphology and function of central arteries over time independently of other cardiovascular risk factors in postmenopausal non-diabetic women.</t>
  </si>
  <si>
    <t>Increasing levels of TNFalpha are associated with increased brain perfusion.</t>
  </si>
  <si>
    <t>van Laar, Peter Jan; van Raamt, A Fleur; van der Grond, Jeroen; Mali, Willem P T M; van der Graaf, Yolanda; Hendrikse, Jeroen; ,</t>
  </si>
  <si>
    <t>https://pubmed.ncbi.nlm.nih.gov/17222850</t>
  </si>
  <si>
    <t>Recent reports of animal models have shown that growth factors have stimulating effect on brain perfusion via the development of blood vessels. However, studies on the effect of growth factors on brain perfusion in humans are lacking. The aim of our study was to prospectively investigate in humans the relation between growth factors and brain perfusion. We analyzed circulating levels of vascular endothelial growth factor (VEGF), granulocyte-macrophage colony-stimulating growth factor (GM-CSF), tumor necrosis factor alpha (TNFalpha) and basic fibroblast growth factor (bFGF) in 121 consecutive patients (99 men and 22 women, age 58+/-10 years) who were enrolled in a prospective cohort study of patients with symptomatic atherosclerotic disease. In all patients regional cerebral blood flow (rCBF; in mL/min/100g) measurements were performed with arterial spin labeling magnetic resonance imaging. Cerebrovascular risk factors were assessed by means of a questionnaire and physical, ultrasonographic and laboratory examination. Increasing levels of TNFalpha were significantly associated with a higher rCBF (beta=7.0; 95% confidence interval 0.7; 13.9), independent of the presence of cerebrovascular risk factors. No significant association was found for VEGF, GM-CSF and bFGF. Increasing levels of TNFalpha are associated with increased rCBF, independent of the presence of cerebrovascular risk factors.</t>
  </si>
  <si>
    <t>A prediction rule for elderly primary-care patients with lower respiratory tract infections.</t>
  </si>
  <si>
    <t>Bont, J; Hak, E; Hoes, A W; Schipper, M; Schellevis, F G; Verheij, T J M</t>
  </si>
  <si>
    <t>https://pubmed.ncbi.nlm.nih.gov/17215313</t>
  </si>
  <si>
    <t>Prognostic scores for lower respiratory tract infections (LRTI) have been mainly derived in a hospital setting. The current authors have developed and validated a prediction rule for the prognosis of acute LRTI in elderly primary-care patients. Data including demographics, medication use, healthcare use and comorbid conditions from 3,166 episodes of patients aged &gt; or =65 yrs visiting the general practitioner (GP) with LRTI were collected. Multiple logistic regression analysis was used to construct a predictive model. The main outcome measure was 30-day hospitalisation or death. The Second Dutch Survey of GPs was used for validation. The following were independent predictors of 30-day hospitalisation or death: increasing age; previous hospitalisation; heart failure; diabetes; use of oral glucocorticoids; previous use of antibiotics; a diagnosis of pneumonia; and exacerbation of chronic obstructive pulmonary disease. A prediction rule based on these variables showed that the outcome increased directly with increasing scores: 3, 10 and 31% for scores of &lt;2 points, 3-6 and &gt; or =7 points, respectively. Corresponding figures for the validation cohort were 3, 11 and 26%, respectively. This simple prediction rule can help the primary-care physician to differentiate between high- and low-risk patients. As a possible consequence, low-risk patients may be suitable for home treatment, whereas high-risk patients might be monitored more closely in a homecare or hospital setting. Future studies should assess whether information on signs and symptoms can further improve this prediction rule.</t>
  </si>
  <si>
    <t>Prediction of complicated urinary tract infections in patients with type 2 diabetes: a questionnaire study in primary care.</t>
  </si>
  <si>
    <t>Venmans, Leonie M A J; Sloof, Marian; Hak, Eelko; Gorter, Kees J; Rutten, Guy E H M</t>
  </si>
  <si>
    <t>https://pubmed.ncbi.nlm.nih.gov/17203360</t>
  </si>
  <si>
    <t>Relatively few data are available to predict a complicated course of community-acquired complicated urinary tract infections (UTIs) in patients with diabetes type 2 (DM2). The aim of this study was to assess predictors for a complicated course of UTIs in DM2 patients in primary care. We conducted a cross-sectional questionnaire study among DM2 patients aged over 45 years as part of an educational trial. The combined outcome measure was a complicated course of UTI, defined as a self-reported episode of acute pyelonephritis, prostatitis or recurrent cystitis in the 12 months before the trial. Patients with an outcome were all verified by review of medical records. A prediction model was derived with multivariable logistic regression analysis. Of the 1151 trial participants, 94 (8%) had a self-reported community-acquired complicated course of UTIs and 62 (66%) of these were medically-attended. Independent predictors for a complicated course were age above 60 years (adjusted odds ratio (OR): 1.74; 95% confidence interval (CI): 0.99-3.03), chronic use of antibiotics (adjusted OR: 5.50; 95% CI: 2.31-13.08), more than 6 physician contacts in previous year (adjusted OR: 3.60; 95% CI: 2.00-6.49), hospitalization in previous year (adjusted OR: 1.36; 95% CI: 1.00-1.85), renal disease (adjusted OR: 4.92; 95% CI: 1.59-15.18) and incontinence of urine (adjusted OR: 3.78; 95% CI: 1.93-7.38). Area under the receiver-operating curve was 0.72 (95% CI: 0.66-0.78). Analysis according to medically attended complicated UTIs did not change our findings. Easily obtainable predictors from medical history can be used to accurately predict a complicated course of UTIs in DM2 patients.</t>
  </si>
  <si>
    <t>Plasma phytoestrogens and subsequent breast cancer risk.</t>
  </si>
  <si>
    <t>Verheus, Martijn; van Gils, Carla H; Keinan-Boker, Lital; Grace, Philip B; Bingham, Sheila A; Peeters, Petra H M</t>
  </si>
  <si>
    <t>https://pubmed.ncbi.nlm.nih.gov/17200150</t>
  </si>
  <si>
    <t>Phytoestrogens are plant compounds that are structurally and functionally similar to mammalian estrogens. By competing for estrogen receptors, phytoestrogens possibly inhibit binding of the more potent endogenous estrogens and decrease their potential effects on breast cancer risk. We investigated the association between plasma phytoestrogen levels and breast cancer risk in a prospective manner. We performed a nested case-control study within the Prospect cohort, one of the two Dutch cohorts participating in the European Prospective Investigation into Cancer and Nutrition. A total of 383 women (87 pre- or perimenopausal women [mean age, 52 years] and 296 postmenopausal women [mean age, 59 years]) who developed breast cancer were selected as case subjects and were matched to 383 controls, on date of blood sampling. Plasma levels of isoflavones (daidzein, genistein, glycitein, O-desmethylangolensin, and equol) and lignans (enterodiol and enterolactone) were measured. The isotope dilution liquid chromatography/tandem mass-spectrometry method incorporating triply 13C-labeled standards was used for all analyses. Breast cancer odds ratios were calculated for tertiles of phytoestrogen plasma levels using conditional logistic regression analysis. For genistein, the risk estimate for the highest versus the lowest tertile was 0.68 (95% CI, 0.47 to 0.98). Similar protective effects, although not statistically significant, were seen for the other isoflavones. Lignan levels did not appear to be related to breast cancer risk. Results were the same in pre- or perimenopausal women, and in postmenopausal women. High genistein circulation levels are associated with reduced breast cancer risk in the Dutch population. No effects of lignans on breast cancer risk were observed.</t>
  </si>
  <si>
    <t>Clinical diagnosis of herpes zoster in family practice.</t>
  </si>
  <si>
    <t>Opstelten, Wim; van Loon, Anton M; Schuller, Margje; van Wijck, Albert J M; van Essen, Gerrit A; Moons, Karel G M; Verheij, Theo J M</t>
  </si>
  <si>
    <t>https://pubmed.ncbi.nlm.nih.gov/17664496</t>
  </si>
  <si>
    <t>Family physicians usually diagnose herpes zoster on clinical grounds only, possibly resulting in false-positive diagnoses and unnecessary treatment. We wanted to determine the positive predictive value of the physicians' judgment in diagnosing herpes zoster and to assess the applicability of dried blood spot analysis for diagnosis of herpes zoster in family practice. Our study population consisted of 272 patients older than 50 years with herpes zoster (rash for less than 7 days). Dried blood spot samples were collected from all patients and sent by mail to the laboratory. Baseline measurements included clinical signs (localization, severity, and duration of rash) and symptoms (duration and severity of pain). Varicella-zoster virus antibodies were determined at baseline and 5 to 10 days later. Multivariate logistic regression was used to assess independent associations between clinical variables and serological confirmation of herpes zoster. Dried blood spot analysis was possible in 260 patients (96%). In 236 the diagnosis of herpes zoster was confirmed serologically (positive predictive value of clinical judgment 90.8%; 95% confidence interval, 87.3%-94.3%). Independent clinical variables for serologically confirmed herpes zoster were severity and duration of rash at first examination. Family physicians have good clinical judgment when diagnosing herpes zoster in older patients. Dried blood spot analysis is a logistically convenient method for serological investigation of patients in family practice, but it is rarely needed for diagnosing herpes zoster.</t>
  </si>
  <si>
    <t>No relationship between circulating levels of sex steroids and mammographic breast density: the Prospect-EPIC cohort.</t>
  </si>
  <si>
    <t>Verheus, Martijn; Peeters, Petra H M; van Noord, Paulus A H; van der Schouw, Yvonne T; Grobbee, Diederick E; van Gils, Carla H</t>
  </si>
  <si>
    <t>https://pubmed.ncbi.nlm.nih.gov/17692133</t>
  </si>
  <si>
    <t>High breast density is associated with increased breast cancer risk. Epidemiologic studies have shown an increase in breast cancer risk in postmenopausal women with high levels of sex steroids. Hence, sex steroids may increase postmenopausal breast cancer risk via an increase of breast density. The objective of the present study was to study the relation between circulating oestrogens and androgens as well as sex hormone binding globulin (SHBG) in relation to breast density. We conducted a cross-sectional study among 775 postmenopausal women, using baseline data of a random sample of the Prospect-EPIC study. Prospect-EPIC is one of two Dutch cohorts participating in the European Prospective Investigation into Cancer and Nutrition, and women were recruited via a breast cancer screening programme. At enrolment a nonfasting blood sample was taken and a mammogram was made. Oestrone, oestradiol, dehydroepiandrosterone sulfate, androstenedione, testosterone and SHBG levels were measured, using double-antibody radioimmunoassays. Concentrations of free oestradiol and free testosterone were calculated from the measured oestradiol, testosterone and SHBG levels Mammographic dense and nondense areas were measured using a semiquantitative computerized method and the percentage breast density was calculated. Mean breast measures for quintiles of hormone or SHBG levels were estimated using linear regression analyses. Both oestrogens and testosterone were inversely related with percent breast density, but these relationships disappeared after adjustment for BMI. None of the sex steroids or SHBG was associated with the absolute measure of breast density, the dense area. The results of our study do not support the hypothesis that sex steroids increase postmenopausal breast cancer risk via an increase in breast density.</t>
  </si>
  <si>
    <t>Physical activity and breast cancer: a systematic review.</t>
  </si>
  <si>
    <t>Monninkhof, Evelyn M; Elias, Sjoerd G; Vlems, Femke A; van der Tweel, Ingeborg; Schuit, A Jantine; Voskuil, Dorien W; van Leeuwen, Flora E; ,</t>
  </si>
  <si>
    <t>https://pubmed.ncbi.nlm.nih.gov/17130685</t>
  </si>
  <si>
    <t>Many epidemiologic studies have found an association between physical activity and breast cancer risk, although this has not been a consistent finding.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There is evidence for an inverse association between physical activity and breast cancer risk. The evidence is stronger for postmenopausal breast cancer than for premenopausal breast cancer.</t>
  </si>
  <si>
    <t>The course of vascular risk factors and the occurrence of vascular events in patients with symptomatic peripheral arterial disease.</t>
  </si>
  <si>
    <t>Goessens, Bertine M B; van der Graaf, Yolanda; Olijhoek, Jobien K; Visseren, Frank L J; ,</t>
  </si>
  <si>
    <t>https://pubmed.ncbi.nlm.nih.gov/17210381</t>
  </si>
  <si>
    <t>Previous studies have documented an undertreatment of vascular risk factors, and patients with symptomatic peripheral arterial disease (PAD) are at increased risk of recurrent vascular events. We examined which baseline variables are related to future vascular events, investigated the course of vascular risk factors, and compared the number of vascular risk factors at baseline and at follow-up to determine whether risk factor management could be further improved. This study involved 461 patients with Fontaine classification II to IV who were enrolled in the SMART study (Second Manifestations of ARTerial disease) from September 1996 to December 2000. Patients underwent a standardized screening program for risk factors and were invited for a follow-up measurement during September 2003 to March 2005, after a mean follow-up of 5.5 years (SD, 1.3 years). In the interim period between baseline and follow-up measurement, patients received usual care. During follow-up, vascular events (mortality, ischemic stroke, and myocardial infarction) and PAD-related events (vascular surgery, interventions, and amputations) were documented in detail. In 2739 person-years of follow-up, 91 vascular events occurred, resulting in a 29.1% (95% confidence interval [CI], 22.8%-35.4%) cumulative incidence proportion of recurrent vascular events. Older age, increased homocysteine levels, impaired renal function, and a history of coronary heart disease at baseline were related to an increased risk of new vascular events. Of the 461 patients, 108 patients died, 20 patients were lost to follow-up, and 333 patients were eligible for follow-up measurement, in which 221 (66%) patients wished to participate. In 8 of the 221 patients, a nonfatal vascular event occurred during follow-up. The prevalence of hypertension increased from 51% to 70% (95% CI, 10%-28%), the prevalence of obesity increased from 54% to 67% (95% CI, 3%-21%), and the prevalence of diabetes mellitus increased from 8% to 16% (95% CI, 2%-14%). At follow-up, fewer patients were current smokers (59% to 37%; 95% CI, -13% to -31%), and fewer patients had increased lipid levels (96% to 73%; 95% CI, -29% to -16%). Medication use increased in all drug categories during follow-up. Age, increased homocysteine levels, impaired renal function, and a history of coronary heart disease were independent risk factors for vascular events in patients with symptomatic PAD. The prevalence of most risk factors, except for smoking and hyperlipidemia, increased over a 5.5-year period even though medication use increased over the same period.</t>
  </si>
  <si>
    <t>Identification of patients at high risk of noncompliance in substance dependence treatment.</t>
  </si>
  <si>
    <t>de Weert-van Oene, G H; Burger, H; Grobbee, D E; Schrijvers, A J P</t>
  </si>
  <si>
    <t>european addiction research</t>
  </si>
  <si>
    <t>https://pubmed.ncbi.nlm.nih.gov/17356278</t>
  </si>
  <si>
    <t>Noncompliance in substance dependence treatment seriously threatens its effectiveness. Pretreatment identification of those at the highest risk allows targeting of specific compliance enhancing interventions to those who may benefit most from it. In a cohort of 292 patients entering a 30-day treatment program for substance abuse treatment, several potential predictors of noncompliance were recorded before treatment. Compliance was registered when treatment was discontinued before the 30th day. Logistic regression was used to identify independent predictors of noncompliance and the area under the receiver-operating characteristic (ROC) curve was quantified to assess their joint predictive value. Mean age was 35 years, 80% were male. During follow-up 31% became noncompliant. Independent predictors of noncompliance were male gender, less than 10 years of education, severity of medical and drug problems, and behavioral intention to comply with treatment. The area under the ROC curve was 0.70 (95% CI: 0.64-0.76). In conclusion, noncompliance in a substance abuse treatment program can be predicted using five easy to assess patient characteristics. These results may be useful in preventing noncompliant behavior early in treatment by motivational counseling strategies.</t>
  </si>
  <si>
    <t>[Treatment of patients with herpes zoster by epidural injection of steroids and local anaesthetics: less pain after 1 month, but no effect on long-term postherpetic neuralgia--a randomised trial].</t>
  </si>
  <si>
    <t>Opstelten, W; van Wijck, A J M; Moons, K G M; van Essen, G A; Stolker, R J; Kalkman, C J; Verheij, Th J M</t>
  </si>
  <si>
    <t>https://pubmed.ncbi.nlm.nih.gov/17205943</t>
  </si>
  <si>
    <t>To assess the effectiveness of a single epidural injection of steroids and local anaesthetics, as a supplement to the standard treatment, for the prevention ofpostherpetic neuralgia in older patients with herpes zoster. Open randomised trial. In the period September 2001-February 2004, 598 patients, aged &gt; 50 years, with acute herpes zoster (rash for &lt; 7 days) below dermatome C6, were randomly assigned to receive either standard therapy (oral antiviral agents and analgesics) alone or standard therapy plus an additional single epidural injection of 80 mg methylprednisolone and 10 mg bupivacaine. The primary endpoint was the proportion of patients with zoster-associated pain one month after inclusion. The presence and severity of zoster-associated pain at other time points were secondary endpoints. At one month, pain was reported by 137 (48%) patients in the injection group versus 164 (58%) in the control group (relative risk; RR: 0.83; 95% CI: 0.71-0.97; p = 0.02). After three months, these values were 58 (21%) and 63 (24%), respectively (RR: 0.89; 95% CI: 0.65-1-21; p = 0.47), and at 6 months: 39 (15%) and 44 (17%) (RR: 0.85; 95% CI: 0.57-1-13; p = 0.43). No subgroups were detectable in which the relative risk for pain at one month after inclusion substantially differed from the overall estimate. At one month, the median severity of pain in the injection group was 2 (on a 100-points scale) versus 6 in the control group (p = 0.02). At later follow-up, there was no longer any statistically significant difference in the severity of pain between the two groups. No patient had major adverse events related to the epidural injection. A single epidural injection of steroids and local anaesthetics in the acute phase of herpes zoster resulted in a modest decrease in zoster-associated pain in the first month. This treatment did not, however, prevent long-term postherpetic neuralgia.</t>
  </si>
  <si>
    <t>A randomized, controlled trial for risk factor reduction in patients with symptomatic vascular disease: the multidisciplinary Vascular Prevention by Nurses Study (VENUS).</t>
  </si>
  <si>
    <t>Goessens, Bertine M B; Visseren, Frank L J; Sol, Berna G M; de Man-van Ginkel, Janneke M; van der Graaf, Yolanda; ,</t>
  </si>
  <si>
    <t>https://pubmed.ncbi.nlm.nih.gov/17143135</t>
  </si>
  <si>
    <t>Patients with manifest vascular disease are at high risk of a new vascular event or death. Modification of classical risk factors is often not successful. We determined whether the extra care of a nurse practitioner could be beneficial to the cardiovascular risk profile of high-risk patients. We conducted a randomized, controlled trial based on the Zelen design. Two hundred and thirty-six patients with manifestations of a vascular disease and who had two or more modifiable vascular risk factors were pre-randomized to receive treatment by a nurse practitioner plus usual care or usual care alone. After 1 year, risk factors were remeasured. The primary endpoint was achievement of treatment goals for blood pressure, lipid, glucose and homocysteine levels, body mass index, and smoking. Of the pre-randomized patients, 95 of 119 (80%) in the intervention group and 80 of 117 (68%) in the control group participated in the study. After a mean follow-up of 14 months, the patients in the intervention group achieved significantly more treatment goals than did the patients in the control group (systolic blood pressure 63 versus 37%, total cholesterol 79 versus 61%, low density lipoprotein-cholesterol 88 versus 67%, and body mass index 38 versus 24%). Medication use was increased in both groups and no differences were found in patients' quality of life (SF-36) at follow-up. Treatment delivered by nurse practitioners, in addition to a vascular risk factor screening and prevention program, resulted in a better management of vascular risk factors than usual care alone in vascular patients after 1-year follow-up.</t>
  </si>
  <si>
    <t>Depression and cardiovascular mortality: a role for n-3 fatty acids?</t>
  </si>
  <si>
    <t>Kamphuis, Marjolein H; Geerlings, Mirjam I; Tijhuis, Marja A R; Kalmijn, Sandra; Grobbee, Diederick E; Kromhout, Daan</t>
  </si>
  <si>
    <t>https://pubmed.ncbi.nlm.nih.gov/17158437</t>
  </si>
  <si>
    <t>Recent studies indicate that depression plays an important role in the occurrence of cardiovascular diseases (CVDs). The underlying mechanisms are not well understood. We investigated whether dietary intake of the n-3 fatty acids (FAs) eicosapentaenic acid and docosahexaenoic acid could explain the relation between depressive symptoms and cardiovascular mortality. The Zutphen Elderly Study is a prospective cohort study conducted in the Netherlands. Depressive symptoms were measured in 1990 with the Zung Self-rating Depression Scale in 332 men aged 70-90 y and free from CVD and diabetes. Dietary factors were assessed with a cross-check dietary history method in 1990. Mortality data were collected between 1990 and 2000. Logistic and Cox regression analyses were performed, with adjustment for demographics and CVD risk factors. Compared with a low intake (x: 21 mg/d), a high intake (x: 407 mg/d) of n-3 FAs was associated with fewer depressive symptoms [odds ratio: 0.46; 95% CI: 0.22, 0.95; P for trend = 0.04] at baseline and no significant reduced risk of 10-y CVD mortality [hazard ratio (HR): 0.88; 95% CI: 0.51, 1.50]. The adjusted HR for an increase in depressive symptoms with 1 SD for CVD mortality was 1.28 (95% CI: 1.03, 1.57) and did not change after additional adjustment for the intake of n-3 FAs. An average intake of approximately 400 mg n-3 FA/d may reduce the risk of depression. Our results, however, do not support the hypothesis that the intake of n-3 FAs explains the relation between depression and CVD.</t>
  </si>
  <si>
    <t>Are patient characteristics helpful in recognizing mild COPD (GOLD I) in daily practice?</t>
  </si>
  <si>
    <t>Geijer, Roeland M M; Sachs, Alfred P E; Verheij, Theo J M; Lammers, Jan-Willem J; Salomé, Philippe L; Hoes, Arno W</t>
  </si>
  <si>
    <t>https://pubmed.ncbi.nlm.nih.gov/17118864</t>
  </si>
  <si>
    <t>To determine whether in a high-risk group of middle-aged male current smokers, patient characteristics are useful to recognize mild COPD (GOLD stage I). In a cross-sectional study spirometry was performed according to the American Thoracic Society criteria. COPD was defined according to the GOLD criteria for COPD. Primary care. Male smokers, aged 40-65 years, without documented lung disease in the population at large. Medical records were scrutinized to collect patient characteristics. Multiple logistic regression analysis was used to identify independent determinants of mild COPD. A total of 567 subjects participated. COPD, defined by a FEV1/FVC ratio &lt; 0.7, was detected in 170 subjects (30.0%, 95% CI 26.2-33.9%). In 149 subjects (26.3%; 22.7-30.1%) COPD was mild (GOLD stage I) and in 21 subjects (3.7%; 2.3-5.6%) moderate (GOLD stage II). Only age and cough were independently associated with the presence of mild COPD. The ability of these determinants to discriminate between subjects with or without mild COPD was relatively poor (ROC area 0.65). Therefore no prediction rule was developed. Our results indicate that patient characteristics are not helpful to recognize mild COPD (GOLD stage I) in middle-aged male smokers.</t>
  </si>
  <si>
    <t>Serum sex hormone and plasma homocysteine levels in middle-aged and elderly men.</t>
  </si>
  <si>
    <t>Nakhai Pour, Hamid Reza; Grobbee, Diederick E; Muller, Majon; Emmelot-Vonk, Marielle; van der Schouw, Yvonne T</t>
  </si>
  <si>
    <t>https://pubmed.ncbi.nlm.nih.gov/17132759</t>
  </si>
  <si>
    <t>To investigate whether circulating levels of testosterone (total, bioavailable), estradiol (total, bioavailable), and DHEA sulfate (DHEAS) are associated with fasting plasma homocysteine (tHcy) levels in middle-aged and elderly men. A population-based sample of 400 independently living men between 40 and 80 years of age in a cross-sectional study. Total testosterone, sex hormone binding globulin (SHBG), and total estradiol were measured by RIA methods and bioavailable testosterone and estradiol were calculated. DHEAS was measured using an immunometric technique. Fasting homocysteine was measured by fluorescence polarization immunoassay. Anthropometric characteristics were also measured and two standardized questionnaires completed, including life-style factors and diet. Linear regression analysis adjusted for age, body mass index (BMI), creatinine clearance, and mean visceral fat was used to assess the association of endogenous sex hormones and fasting plasma homocysteine levels. After adjustment for age, BMI, creatinine clearance, and mean visceral fat no statistically significant association was observed between testosterone (total, bioavailable), DHEAS, and estradiol (total, bioavailable)levels with natural log tHcy (beta = -2 x 10(-3); 95% confidence intervals (CI) -9 x 10(-3); 5 x 10(-3)), (beta = -4 x 10(-3); 95% CI -18 x 10(-3); 9 x 10(-3)), (beta = 3 x 10(-3); 95% CI -6 x 10(-3); 12 x 10(-3)), (beta = -9.3 x 10(-5); 95% CI -1 x 10(-3); 1 x 10(-3)), and (beta = 0.00; 95% CI -3 x 10(-3); 2 x 10(-3)) respectively. Additional adjustment for smoking, alcohol intake, daily physical activity, diabetes mellitus, and hypertension did not change these findings. The results of our study do not support a direct role for circulating sex hormone levels in the regulation of fasting plasma tHcy concentrations in middle-aged and elderly men.</t>
  </si>
  <si>
    <t>Awareness, treatment and control of hypertension: the 'rule of halves' in an era of risk-based treatment of hypertension.</t>
  </si>
  <si>
    <t>Scheltens, T; Bots, M L; Numans, M E; Grobbee, D E; Hoes, A W</t>
  </si>
  <si>
    <t>https://pubmed.ncbi.nlm.nih.gov/17136106</t>
  </si>
  <si>
    <t>Detection, treatment and control of high blood pressure in many populations are insufficient. We reported current prevalence, awareness, treatment and control of hypertension in the Netherlands and compared the findings with other studies. Furthermore, we related actual treatment of hypertension to estimated absolute 10-year cardiovascular risk, as according to current guidelines on this subject, initiation of blood pressure-lowering treatment depends on the level of cardiovascular risk. The Utrecht Health Project is a prospective cohort study in a suburb of Utrecht. Information on medical history, life style and measurements of blood pressure, cholesterol and glucose of the first 4950 participants of the study was obtained. Cardiovascular risks were calculated using the Framingham risk function. Prevalence of hypertension was 23.3%. Among those with hypertension, 33.7% was aware of the condition. Of those aware, 59.4% was treated. Of those treated, 41.9% had blood pressure below the recommended level. In half of those aware of their hypertension, and a calculated cardiovascular risk less than 10%, treatment of hypertension was started unnecessary. Of those aware of their hypertension with a calculated cardiovascular 10 years risk exceeding the treatment threshold of 20%, treatment was absent in 33.6%. Awareness and control of hypertension are still inadequate in the Netherlands and comparable with other European countries. Management of hypertension is too often not risk-based despite recommendations in guidelines on prevention of cardiovascular diseases available since 2000.</t>
  </si>
  <si>
    <t>Non-steroidal anti-inflammatory drugs and the risk of psychosis.</t>
  </si>
  <si>
    <t>Laan, W; Selten, Jean-Paul; Grobbee, D E; Smeets, H; Kahn, René S; Burger, Huibert</t>
  </si>
  <si>
    <t>european neuropsychopharmacology the journal of the european college of neuropsychopharmacology</t>
  </si>
  <si>
    <t>https://pubmed.ncbi.nlm.nih.gov/17097858</t>
  </si>
  <si>
    <t>The objective of the current research was to examine the relation between non-steroidal anti-inflammatory drugs (NSAID) use and risk of psychosis. To this end we performed a longitudinal case-control study using prescription data from a Dutch health insurance company. Men aged 25 years or over and women aged 30 years or over were excluded to prevent inclusion of non-incident cases. This resulted in eighty-two cases and 359 randomly selected controls from the same population. The overall relative risk of incident antipsychotic use for NSAID users, adjusted for age and prescription frequency, was 0.80 (95% CI: 0.48-1.33). After stratification for gender the risk of psychosis was significantly lower (59%) in male NSAID users only. The relative risks for male and female subjects were 0.41 (95% CI: 0.17-0.97) and 1.31 (95% CI: 0.65-2.64), respectively. These results suggest that in men NSAIDs may lower the risk of psychosis.</t>
  </si>
  <si>
    <t>Carotid intima-media thickness as a surrogate marker for cardiovascular disease in intervention studies.</t>
  </si>
  <si>
    <t>Bots, Michiel L</t>
  </si>
  <si>
    <t>https://pubmed.ncbi.nlm.nih.gov/17076979</t>
  </si>
  <si>
    <t>Cardiovascular trials using clinical endpoints to assess efficacy typically require follow-up of large numbers of participants for 3-5 years. This disadvantage has encouraged the search for well-validated surrogate markers for cardiovascular disease (CVD). These markers may provide earlier indications of efficacy in trials involving fewer participants. One approach gaining interest in recent years is the measurement of atherosclerotic progression, a major underlying cause of CVD. This review article aims to further substantiate the evidence supporting the use of measurement of carotid intima-media thickness (CIMT) as a surrogate marker for atherosclerosis and cardiovascular risk. CIMT has consistently been related to future CVD events in population studies. CIMT is significantly related with other markers for CVD risk, such as elevated levels of risk factors and presence of atherosclerosis in the coronary arteries. Furthermore, almost all lipid-lowering trials and a large number of blood pressure lowering trials have consistently shown a reduction in progression of CIMT. In addition, the ultrasound technique for measuring CIMT is safe and highly reproducible. Thus, CIMT may be used as a surrogate endpoint in clinical trials to enable the benefits of new therapies or regimens to be more rapidly translated into clinical practice.</t>
  </si>
  <si>
    <t>Added value of a physician-and-nurse-directed heart failure clinic: results from the Deventer-Alkmaar heart failure study.</t>
  </si>
  <si>
    <t>de la Porte, Pieta W F Bruggink-André; Lok, Dirk J A; van Veldhuisen, Dirk J; van Wijngaarden, Jan; Cornel, Jan H; Zuithoff, Nicolaas P A; Badings, Erik; Hoes, Arno W</t>
  </si>
  <si>
    <t>https://pubmed.ncbi.nlm.nih.gov/17065182</t>
  </si>
  <si>
    <t>To determine whether an intensive intervention at a heart failure (HF) clinic by a combination of a clinician and a cardiovascular nurse, both trained in HF, reduces the incidence of hospitalisation for worsening HF and/or all-cause mortality (primary end point) and improves functional status (including left ventricular ejection fraction, New York Heart Association (NYHA) class and quality of life) in patients with NYHA class III or IV. Two regional teaching hospitals in The Netherlands. 240 patients were randomly allocated to the 1-year intervention (n = 118) or usual care (n = 122). The intervention consisted of 9 scheduled patient contacts-at day 3 by telephone, and at weeks 1, 3, 5, 7 and at months 3, 6, 9 and 12 by a visit-to a combined, intensive physician-and-nurse-directed HF outpatient clinic, starting within a week after hospital discharge from the hospital or referral from the outpatient clinic. Verbal and written comprehensive education, optimisation of treatment, easy access to the clinic, recommendations for exercise and rest, and advice for symptom monitoring and self-care were provided. Usual care included outpatient visits initialized by individual cardiologists in the cardiology departments involved and applying the guidelines of the European Society of Cardiology. During the 12-month study period, the number of admissions for worsening HF and/or all-cause deaths in the intervention group was lower than in the control group (23 vs 47; relative risk (RR) 0.49; 95% confidence interval (CI) 0.30 to 0.81; p = 0.001). There was an improvement in left ventricular ejection fraction (LVEF) in the intervention group (plus 2.6%) compared with the usual care group (minus 3.1%; p = 0.004). Patients in the intervention group were hospitalised for a total of 359 days compared with 644 days for those in the usual care group. Beneficial effects were also observed on NYHA classification, prescription of spironolactone, maximally reached dose of beta-blockers, quality of life, self-care behaviour and healthcare costs. A heart failure clinic involving an intensive intervention by both a clinician and a cardiovascular nurse substantially reduces hospitalisations for worsening HF and/or all-cause mortality and improves functional status, while decreasing healthcare costs, even in a country with a primary-care-based healthcare system.</t>
  </si>
  <si>
    <t>Acetylsalicylic acid as an adjuvant therapy for schizophrenia.</t>
  </si>
  <si>
    <t>Laan, Wijnand; Selten, Jean-Paul; Kahn, René S; Huisman, Anne-Margriet; Heijnen, Cobi J; Grobbee, Diederick E; Burger, Huibert</t>
  </si>
  <si>
    <t>https://pubmed.ncbi.nlm.nih.gov/17059588</t>
  </si>
  <si>
    <t>Findings from both epidemiological and basic research point to the possibility that NSAIDS impede the deterioration in schizophrenia. To study the efficacy of acetylsalicylic acid we will perform a randomized placebo controlled double-blind add-on trial of 80 inpatients and outpatients with schizophrenia, schizophreniform or schizoaffective disorder. Patients will be 1:1 randomized to either 3 months 1000 mg acetylsalicylic acid per day or 3 months placebo, in addition to their regular antipsychotic treatment. All patients will receive pantoprazole treatment for gastroprotection. The outcomes of this study are 3-month change in psychotic and negative symptom severity, cognitive function, and several immunological parameters. This trial may (1) yield a new (adjuvant) therapy for schizophrenia and (2) add to the knowledge on the pathogenesis of this major psychiatric disorder.</t>
  </si>
  <si>
    <t>Development and validation of MIX: comprehensive free software for meta-analysis of causal research data.</t>
  </si>
  <si>
    <t>Bax, Leon; Yu, Ly-Mee; Ikeda, Noriaki; Tsuruta, Harukazu; Moons, Karel G M</t>
  </si>
  <si>
    <t>https://pubmed.ncbi.nlm.nih.gov/17038197</t>
  </si>
  <si>
    <t>Meta-analysis has become a well-known method for synthesis of quantitative data from previously conducted research in applied health sciences. So far, meta-analysis has been particularly useful in evaluating and comparing therapies and in assessing causes of disease. Consequently, the number of software packages that can perform meta-analysis has increased over the years. Unfortunately, it can take a substantial amount of time to get acquainted with some of these programs and most contain little or no interactive educational material. We set out to create and validate an easy-to-use and comprehensive meta-analysis package that would be simple enough programming-wise to remain available as a free download. We specifically aimed at students and researchers who are new to meta-analysis, with important parts of the development oriented towards creating internal interactive tutoring tools and designing features that would facilitate usage of the software as a companion to existing books on meta-analysis. We took an unconventional approach and created a program that uses Excel as a calculation and programming platform. The main programming language was Visual Basic, as implemented in Visual Basic 6 and Visual Basic for Applications in Excel 2000 and higher. The development took approximately two years and resulted in the 'MIX' program, which can be downloaded from the program's website free of charge. Next, we set out to validate the MIX output with two major software packages as reference standards, namely STATA (metan, metabias, and metatrim) and Comprehensive Meta-Analysis Version 2. Eight meta-analyses that had been published in major journals were used as data sources. All numerical and graphical results from analyses with MIX were identical to their counterparts in STATA and CMA. The MIX program distinguishes itself from most other programs by the extensive graphical output, the click-and-go (Excel) interface, and the educational features. The MIX program is a valid tool for performing meta-analysis and may be particularly useful in educational environments. It can be downloaded free of charge via http://www.mix-for-meta-analysis.info or http://sourceforge.net/projects/meta-analysis.</t>
  </si>
  <si>
    <t>The value of clinical findings and D-dimer tests in diagnosing deep vein thrombosis in primary care.</t>
  </si>
  <si>
    <t>Oudega, Ruud; Hoes, Arno W; Toll, Diane B; Moons, Karel G M</t>
  </si>
  <si>
    <t>seminars in thrombosis and hemostasis</t>
  </si>
  <si>
    <t>https://pubmed.ncbi.nlm.nih.gov/17024594</t>
  </si>
  <si>
    <t>In primary care, the physician has to decide which patients with a suspicion of deep vein thrombosis (DVT) have to be referred for further diagnostic work-up. Accurate referral is of utmost importance because unrecognized and therefore untreated DVT may cause pulmonary embolism. The classic clinical findings are not sufficiently accurate for the diagnosis of DVT. The majority of the referred patients, 70 to 80%, do not have DVT and this puts a burden on both patients and health care budgets. Diagnosis in primary care is different from that in secondary care caused by the referral mechanism or spectrum difference. Diagnostic tests derived in secondary care, therefore, cannot simply be generalized to primary-care patients. The well-known diagnostic rule for DVT, the Wells rule, does not adequately rule out DVT in primary-care patients. A proper diagnostic rule for use in primary care is lacking; therefore, we investigated the data of 1,295 patients in primary care suspected of having DVT. We developed and validated a simple diagnostic decision rule to exclude the presence of DVT safely in primary care. Independent diagnostic indicators of the presence of DVT were male gender, oral contraceptive use, presence of malignancy, recent surgery, absence of leg trauma, vein distension, calf circumference difference, and D-dimer test result. Application of this rule could reduce the number of referrals by at least 23%, whereas only 0.7% of the patients with a DVT would not be referred. A diagnosis strategy is given, together with a practical flow diagram.</t>
  </si>
  <si>
    <t>Rationale and design of the AdRem study: evaluating the effects of blood pressure lowering and intensive glucose control on vascular retinal disorders in patients with type 2 diabetes mellitus.</t>
  </si>
  <si>
    <t>Stolk, Ronald P; Vingerling, Johannes R; Cruickshank, J Kennedy; Hughes, Alun D; Stanton, Alice; Juming, Lu; Patel, Anushka; Thom, Simon A McG; Grobbee, Diederick E; ,</t>
  </si>
  <si>
    <t>https://pubmed.ncbi.nlm.nih.gov/17030155</t>
  </si>
  <si>
    <t>The ADVANCE Retinal Measurements (AdRem) Study is a large intervention study evaluating the effects of target driven intensive glucose control and placebo controlled blood pressure lowering on retinal vascular changes. AdRem is a sub-study of the ADVANCE Study (Action in Diabetes and Vascular disease), a 2x2 factorial randomized controlled trial with an ACE inhibitor-diuretic combination (perindopril-indapamide) and a gliclazide MR-based regimen in patients with type 2 diabetes mellitus. The AdRem study is based on seven-field stereoscopic retinal photographs of both eyes. These are taken within 3 months after randomization in ADVANCE (baseline), at the biennial and at the final visit. The primary outcome is progression of two or more steps in ETDRS classification. Secondary outcomes include progression of retinal vascular lesions and distortion of retinal vascular geometry. Retinal photographs are made on film and digitized at a central laboratory. The AdRem study uses fully digitized quality control and grading. Between August 2002 and January 2004 1978 patients were included in the AdRem study, from 39 centers in 14 countries. Approximately 85% comply with the strict AdRem quality requirements. Publication of the results is expected in early 2008. The AdRem study is designed to provide reliable evidence on the effects of intensive glucose control and blood pressure lowering on both diabetic retinopathy and abnormalities of retinal vasculature in patients with type 2 diabetes mellitus.</t>
  </si>
  <si>
    <t>Deep vein thrombosis in primary care: possible malignancy?</t>
  </si>
  <si>
    <t>Oudega, Ruud; Moons, Karel G M; Karel Nieuwenhuis, H; van Nierop, Fred L; Hoes, Arno W</t>
  </si>
  <si>
    <t>https://pubmed.ncbi.nlm.nih.gov/16954002</t>
  </si>
  <si>
    <t>The increased prevalence of unrecognised malignancy in patients with deep vein thrombosis (DVT) has been well established in secondary care settings. However, data from primary care settings, needed to tailor the diagnostic workup, are lacking. To quantify the prevalence of unrecognised malignancy in primary care patients who have been diagnosed with DVT. Prospective follow-up study. All primary care physicians affiliated/associated with a non-teaching hospital in a geographically circumscribed region participated in the study. A total of 430 consecutive patients without known malignancy, but with proven DVT were included in the study and compared with a control group of 442 primary care patients, matched according to age and sex. Previously unrecognised, occult malignancy was considered present if a new malignancy was diagnosed within 2 years following DVT diagnosis (DVT group) or inclusion in the control group. Patients with DVT were categorised in to those with unprovoked idiopathic DVT and those with risk factors for DVT (that is, secondary DVT). During the 2-year follow-up period, a new malignancy was diagnosed 3.6 times more often in patients with idiopathic DVT than in the control group (2-year incidence: 7.4% and 2.0%, respectively). The incidence in patients with secondary DVT was 2.6%; only slightly higher than in control patients. Unrecognised malignancies are more common in both primary and secondary care patients with DVT than in the general population. In particular, patients with idiopathic DVT are at risk and they could benefit from individualised case-finding to detect malignancy.</t>
  </si>
  <si>
    <t>Endogenous sex hormones, cognitive decline, and future dementia in old men.</t>
  </si>
  <si>
    <t>Geerlings, Mirjam I; Strozyk, Dorothea; Masaki, Kamal; Remaley, Alan T; Petrovitch, Helen; Ross, G Webster; White, Lon R; Launer, Lenore J</t>
  </si>
  <si>
    <t>annals of neurology</t>
  </si>
  <si>
    <t>https://pubmed.ncbi.nlm.nih.gov/16865684</t>
  </si>
  <si>
    <t>To estimate the association of endogenous levels of bioavailable testosterone and estradiol with risk for cognitive decline and dementia in old men. Within the population-based, prospective Honolulu-Asia Aging Study, 2,974 men, aged 71 to 93 years, without dementia were reexamined 3 times over an average of 6 years for development of dementia and cognitive decline. Cognitive decline was measured with the Cognitive Abilities Screening Instrument. Incident dementia was diagnosed according to standard criteria. A total of 134 men experienced development of Alzheimer's disease (AD; including 40 cases with contributing cerebrovascular disease) and 44 experienced development of vascular dementia. Adjusting for age and other covariates, testosterone was not associated with risk for dementia (using Cox regression analyses) or cognitive decline (using random coefficient analyses). However, higher levels of estradiol were associated with risk for AD (hazard ratio per standard deviation increase, 1.25; 95% confidence interval, 1.05-1.47) and AD with cerebrovascular disease (hazard ratio, 1.19; 95% confidence interval, 1.02-1.38). Also, compared with the lowest tertile of estradiol, men in the middle and highest tertile of estradiol had 0.24 and 0.28 points lower Cognitive Abilities Screening Instrument scores, respectively, for each year increase in age. In old men, endogenous testosterone levels are not associated with risk for cognitive decline and AD, whereas higher estrogen levels increase risk for cognitive decline and AD.</t>
  </si>
  <si>
    <t>Incidence and determinants of moderate COPD (GOLD II) in male smokers aged 40-65 years: 5-year follow up.</t>
  </si>
  <si>
    <t>Geijer, Roeland M M; Sachs, Alfred P E; Verheij, Theo J M; Salomé, Philippe L; Lammers, Jan-Willem J; Hoes, Arno W</t>
  </si>
  <si>
    <t>https://pubmed.ncbi.nlm.nih.gov/16953996</t>
  </si>
  <si>
    <t>Chronic obstructive pulmonary disease (COPD) is a major health problem with an estimated prevalence of 10-15% among smokers. The incidence of moderate COPD, as defined by the Global Initiative for Chronic Obstructive Lung Disease (GOLD), is largely unknown. To determine the cumulative incidence of moderate COPD (forced expiratory volume in 1 second/forced vital capacity ratio [FEV1/FVC] &lt;0.7 and FEV1 &lt;80% predicted) and its association with patient characteristics in a cohort of male smokers. Prospective cohort study. The city of IJsselstein, a small town in the Netherlands. Smokers aged 40-65 years who were registered with local GPs, participated in a study to identify undetected COPD. Baseline measurements were taken in 1998 of 399 smokers with normal spirometry (n = 292) or mild COPD (FEV1/FVC &lt;0.7 and FEV1 &gt;or=80% predicted, n = 107) and follow-up measurements were conducted in 2003. After a mean follow-up of 5.2 years, 33 participants developed moderate COPD (GOLD II). This showed an estimated cumulative incidence of 8.3% (95% CI = 5.8 to 11.4) and a mean annual incidence of 1.6%. No participant developed severe airflow obstruction. The risk of developing moderate COPD in smokers with baseline mild COPD (GOLD I) was five times higher than in those with baseline normal spirometry (one in five versus one in 25). In a cohort of middle-aged male smokers, the estimated cumulative incidence of moderate COPD (GOLD II) over 5 years was relatively high (8.3%). Age, childhood smoking, cough, and one or more GP contacts for lower respiratory tract problems were independently associated with incident moderate COPD.</t>
  </si>
  <si>
    <t>Short- and long-term prognosis after acute myocardial infarction in men versus women.</t>
  </si>
  <si>
    <t>Koek, Huiberdina L; de Bruin, Agnes; Gast, Fred; Gevers, Evelien; Kardaun, Jan W P F; Reitsma, Johannes B; Grobbee, Diederick E; Bots, Michiel L</t>
  </si>
  <si>
    <t>https://pubmed.ncbi.nlm.nih.gov/17027558</t>
  </si>
  <si>
    <t>The prevailing view is that women have a higher early mortality after acute myocardial infarction (AMI) than men, but several studies have shown no differences. Further, long-term differences have not been addressed widely. The present study examined gender differences in short- and long-term prognoses after AMI in The Netherlands. A nationwide cohort of 21,565 patients with a first hospitalized AMI in 1995 was identified through linkage of the National Hospital Discharge Register and the population register. Crude short- and long-term mortalities were significantly higher in women than in men (28-day hazard ratio [HR] 1.70, 95% confidence interval [CI] 1.58 to 1.82; 5-year HR 1.52, 95% CI 1.46 to 1.59). After adjustment for age, the risk difference was attenuated at 28 days and even reversed at 5 years in favor of women (28-day HR 1.11, 95% CI 1.03 to 1.20; 5-year HR 0.94, 95% CI 0.90 to 0.99). When differences in other covariates were also taken into account, the risk differences remained virtually the same. To account for differences in reperfusion procedures, we repeated the analyses in 1,176 patients who underwent acute reperfusion therapy (angioplasty/thrombolysis). Comparable, but not statistically significant, gender differences were observed (28-day HR 1.06, 95% CI 0.65 to 1.74; 5-year HR 0.82, 95% CI 0.62 to 1.08). In conclusion, our findings in an unselected cohort covering a complete nation indicate that the worse short- and long-term prognoses after an AMI in women compared with men may largely be explained by differences in age, whereas differences in co-morbidity, origin, infarct location, and reperfusion therapy seem to contribute little.</t>
  </si>
  <si>
    <t>Progenitor marker CD133 mRNA is elevated in peripheral blood of cancer patients with bone metastases.</t>
  </si>
  <si>
    <t>Mehra, Niven; Penning, Maarten; Maas, Jolanda; Beerepoot, Laurens V; van Daal, Nancy; van Gils, Carla H; Giles, Rachel H; Voest, Emile E</t>
  </si>
  <si>
    <t>https://pubmed.ncbi.nlm.nih.gov/16914572</t>
  </si>
  <si>
    <t>We examined whether RNA expression of CD133, a surface molecule expressed on progenitors from hematopoietic and endothelial lineages, and CD146, a pan-endothelial marker, are increased in the blood of cancer patients and whether these factors correlate with patient characteristics and are predictive factors of survival. We developed a real-time quantification method (nuclear acid sequence-based amplification) to determine expression of CD146 and CD133 mRNA in the peripheral blood mononuclear cells of 131 progressive cancer patients, 37 healthy volunteers, and 5 patients who received granulocyte colony-stimulating factor. Overall survival and other clinicopathologic variables were obtained. Cox proportional hazards studies were done. We show that patients with metastatic disease have a significant increase in CD133 mRNA (P = 0.03), specifically patients with bone metastasis (P &lt; 0.001). Cancer patients with high CD133 mRNA expression, using a defined cutoff value, show a decreased survival compared with patients with low or undetectable CD133 expression (21% versus 45% cumulative survival, respectively, after 20 months; P = 0.01). Among patients with metastasis to the bone, cumulative survival was 22%, compared with 61% for patients with high or low CD133 levels (P = 0.004). Multivariate analysis showed that CD133 expression is an independent predictor for overall survival in patients with bone metastases. CD146 mRNA was not increased in patients with cancer, nor did it correlate with clinical variables or survival. CD133, but not CD146, mRNA expression is increased in cancer patients with metastatic disease, specifically with bone metastasis. In addition, CD133 mRNA expression seems to be an independent prognostic factor for overall survival.</t>
  </si>
  <si>
    <t>Comparison of routine care self-reported and biometrical data on hypertension and diabetes: results of the Utrecht Health Project.</t>
  </si>
  <si>
    <t>Molenaar, Esther A; Van Ameijden, Erik J C; Grobbee, Diederick E; Numans, Mattijs E</t>
  </si>
  <si>
    <t>https://pubmed.ncbi.nlm.nih.gov/16887835</t>
  </si>
  <si>
    <t>Information on the prevalence of diseases is commonly gathered by questionnaires. Although the method is relatively inexpensive and efficient as opposed to physical examinations, the validity of the information collected is often questioned. The objective of this study was to assess the value of biometrical data complementary to self-reported questionnaire information for estimating the prevalence of hypertension and diabetes in the population at large and to examine factors that affect the accuracy of self-reporting. Baseline data of 4950 adult participants of the Utrecht Health Project, a community-based prospective cohort study, were used to calculate sensitivity and specificity of self-reported hypertension and diabetes with the results of blood pressure measurements and blood glucose levels, corrected for current medication use, as the reference standard. Multivariate logistic regression analysis was performed to determine which participants' characteristics independently predicted the accuracy of self-reports. Overall sensitivity was 34.5% for self-reported data on hypertension and 58.9% for diabetes, while overall specificity was high for both conditions (96.4 and 99.4%, respectively). The agreement between self-reported and biometrical data was higher for diabetes than for hypertension and varied per subgroup. The use of self-reported data to estimate the prevalence of hypertension and diabetes may lead to underestimated prevalence estimates and biased associations with risk factors due to differential misclassification. Adding biometrical measurements to self-reported questionnaire information will assure the validity of the data. The magnitude of the additional value of biometrical data depends on the condition studied and the characteristics of the population under investigation.</t>
  </si>
  <si>
    <t>Double blind randomized placebo-controlled trial on the effects of testosterone supplementation in elderly men with moderate to low testosterone levels: design and baseline characteristics [ISRCTN23688581].</t>
  </si>
  <si>
    <t>Nakhai Pour, Hamid Reza; Emmelot-Vonk, Marielle H; Sukel-Helleman, Marja; Verhaar, Harald J J; Grobbee, Diederick E; van der Schouw, Yvonne T</t>
  </si>
  <si>
    <t>https://pubmed.ncbi.nlm.nih.gov/16887030</t>
  </si>
  <si>
    <t>In ageing men testosterone levels decline, while cognitive function, muscle and bone mass, sexual hair growth, libido and sexual activity decline and the risk of cardiovascular diseases increase. We set up a double-blind, randomized placebo-controlled trial to investigate the effects of testosterone supplementation on functional mobility, quality of life, body composition, cognitive function, vascular function and risk factors, and bone mineral density in older hypogonadal men. We recruited 237 men with serum testosterone levels below 13.7 nmol/L and ages 60-80 years. They were randomized to either four capsules of 40 mg testosterone undecanoate (TU) or placebo daily for 26 weeks. Primary endpoints are functional mobility and quality of life. Secondary endpoints are body composition, cognitive function, aortic stiffness and cardiovascular risk factors and bone mineral density. Effects on prostate, liver and hematological parameters will be studied with respect to safety. Measure of effect will be the difference in change from baseline visit to final visit between TU and placebo. We will study whether the effect of TU differs across subgroups of baseline waist girth (&lt; 100 cm vs. &gt; or = 100 cm; testosterone level (&lt; 12 versus &gt; or = 12 nmol/L), age (&lt; median versus &gt; or = median), and level of outcome under study (&lt; median versus &gt; or = median). At baseline, mean age, BMI and testosterone levels were 67 years, 27 kg/m2 and 10.72 nmol/L, respectively.</t>
  </si>
  <si>
    <t>Arterial blood flow to the brain in patients with vascular disease: the SMART Study.</t>
  </si>
  <si>
    <t>van Raamt, A Fleur; Appelman, Auke P A; Mali, Willem P T M; van der Graaf, Yolanda; ,</t>
  </si>
  <si>
    <t>https://pubmed.ncbi.nlm.nih.gov/16864675</t>
  </si>
  <si>
    <t>To retrospectively investigate which characteristics are related to total arterial blood flow to the brain in patients with symptomatic vascular disease. The study was approved by the ethics committee of the authors' institution, and written informed consent was obtained. The total volume flow rate (tVFR) values in the internal carotid arteries and the basilar artery in 636 patients (536 men, 100 women; mean age, 58 years) with symptomatic vascular disease were measured with two-dimensional phase-contrast magnetic resonance (MR) angiography. Reference tVFR values in the general population were obtained from previous research involving 158 subjects (73 men, 85 women; mean age, 60 years). A higher tVFR was found in patients with symptomatic vascular disease, but this association was statistically significant in only those patients in the 7th decade of life. The mean tVFR decreased with increasing age (-3.4 mL/min per year; 95% confidence interval [CI]: -4.3, -2.5). Diabetes (-27.6 mL/min; 95% CI: -52.6, -2.6) and increasing body mass index (BMI) (-2.8 mL/min per BMI unit; 95% CI: -5.3, -0.2) were associated with lower tVFR. Patients with vascular disease in a cerebral location had lower tVFR values (-39.7 mL/min; 95% CI: -65.1, -14.3) than did patients with symptomatic vascular disease elsewhere in the vascular tree. Patients with symptomatic vascular disease had slightly higher arterial blood flow to the brain compared with the general population. The tVFR decreased with increasing age and increasing BMI, and patients with diabetes had lower tVFR values than did those without diabetes. Patients with vascular disease in a cerebral location had lower tVFR values than did those with symptomatic vascular disease at other arterial sites.</t>
  </si>
  <si>
    <t>Chest radiography in general practice: indications, diagnostic yield and consequences for patient management.</t>
  </si>
  <si>
    <t>Speets, Anouk M; van der Graaf, Yolanda; Hoes, Arno W; Kalmijn, Sandra; Sachs, Alfred Pe; Rutten, Matthieu Jcm; Gratama, Jan Willem C; Montauban van Swijndregt, Alexander D; Mali, Willem Pthm</t>
  </si>
  <si>
    <t>https://pubmed.ncbi.nlm.nih.gov/16882374</t>
  </si>
  <si>
    <t>Chest radiography (CXR) is frequently performed in Western societies. There is insufficient knowledge of its diagnostic value in terms of changes in patient management decisions in primary care. To assess the influence of CXR on patient management in general practice. Prospective cohort study. Seventy-eight GPs and three general hospitals in the Netherlands. Patients (n = 792) aged &gt; or =18 years referred by their GPs for CXR were included. The main outcome was change in patient management assessed by means of questionnaires filled in by GPs before and after CXR. Mean age of the patients was 57.3+/-16.2 years and 53% were male. Clinically relevant abnormalities were found in 24% of the CXRs. Patient management changed in 60% of the patients following CXR. Main changes included: fewer referrals to a medical specialist (from 26 to 12%); reduction in initiation or change in therapy (from 24 to 15%); and more frequent reassurance (from 25 to 46%). However, this reassurance was not perceived as such in a quarter of these patients. A change in patient management occurred significantly more frequently in patients with complaints of cough (67%), those who exhibited abnormalities during physical examination (69%), or those with a suspected diagnosis of pneumonia (68%). Patient management by the GP changed in 60% of patients following CXR. CXR substantially reduced the number of referrals and initiation or change in therapy, and more patients were reassured by their GP. Thus, CXR is an important diagnostic tool for GPs and seems a cost-effective diagnostic test.</t>
  </si>
  <si>
    <t>Clinical effectiveness of first and repeat influenza vaccination in adult and elderly diabetic patients.</t>
  </si>
  <si>
    <t>Looijmans-Van den Akker, Ingrid; Verheij, Theo J M; Buskens, Erik; Nichol, Kristin L; Rutten, Guy E H M; Hak, Eelko</t>
  </si>
  <si>
    <t>https://pubmed.ncbi.nlm.nih.gov/16873778</t>
  </si>
  <si>
    <t>Influenza vaccine uptake remains low among the high-risk group of patients with diabetes, partly because of conflicting evidence regarding its potential benefits. We assessed the clinical effectiveness of influenza vaccination in adults with diabetes and specifically examined potential modification of effect by age and prior influenza vaccine uptake. The study was part of the Prevention of Influenza, Surveillance and Management (PRISMA) study, a nested case-control study conducted during the 1999-2000 influenza A epidemic, among 75,235 patients from primary care of any age recommended for vaccination. Among 9,238 adult patients with diabetes, 131 cases arose who were either hospitalized for diabetes dysregulation, acute respiratory disease, or cardiovascular disease and 61 cases who died, and we compared them with 1,561 control subjects. We evaluated the effect of (prior) influenza vaccination by means of logistic regression analysis controlling for age, sex, health insurance coverage, prior health care use, medication use, and comorbid conditions. Vaccination was associated with a 56% reduction in any complication (95% CI 36-70%), a 54% reduction in hospitalizations (26-71%), and 58% reduction in deaths (13-80%). Among study subjects aged 18-64 years, we observed somewhat higher reductions in the occurrence of any complication than among those aged &gt;65 years (72 vs. 39%). In first-time vaccinated subjects, the primary end point was reduced by 47% (0.2-72%), and in those who received vaccination in the year before, the reduction was 58% (4-81%). Adults with type 2 diabetes, like other individuals from recognized risk groups, benefit considerably from influenza vaccination, and no difference in vaccine effectiveness was observed between first-time and repeat vaccination.</t>
  </si>
  <si>
    <t>Carotid intima-media thickness and the risk of new vascular events in patients with manifest atherosclerotic disease: the SMART study.</t>
  </si>
  <si>
    <t>Dijk, Joke M; van der Graaf, Yolanda; Bots, Michiel L; Grobbee, Diederick E; Algra, Ale</t>
  </si>
  <si>
    <t>https://pubmed.ncbi.nlm.nih.gov/16835264</t>
  </si>
  <si>
    <t>Carotid intima-media thickness (CIMT) is an independent predictor of vascular events in the general population. Currently, little is known about the relationship between CIMT and new vascular events in patients with manifest arterial disease. We aimed to assess the strength of this relationship. The study was performed in the first consecutive 2374 patients with manifest arterial disease enrolled in the cohort study SMART (Second Manifestations of ARTerial disease), a cohort study among patients with manifest arterial disease or cardiovascular risk factors. Common CIMT was measured at baseline in both carotid arteries. Vascular events were vascular death, non-fatal myocardial infarction, or stroke, whichever occurred first. Adjusted for age and sex, an increase in common CIMT of 1 SD ( approximately 0.32 mm) was associated with the occurrence of vascular events [hazard ratio (HR) 1.18; 95% confidence interval (95% CI) 1.04-1.32]. Increasing CIMT was most strongly related to ischaemic stroke incidence (HR 1.35; 95% CI 1.16-1.59). Results were similar in the 2177 patients without large common carotid plaques (CIMT &lt;2 mm at all measurements sites). The findings were similar after additional adjustment for risk factors of CIMT and vascular risk. Common CIMT is associated with the occurrence of new vascular events, mostly for ischaemic stroke, in patients with manifest arterial disease. This relation does not appear to depend on the presence of plaques.</t>
  </si>
  <si>
    <t>Imputation of missing values is superior to complete case analysis and the missing-indicator method in multivariable diagnostic research: a clinical example.</t>
  </si>
  <si>
    <t>van der Heijden, Geert J M G; Donders, A Rogier T; Stijnen, Theo; Moons, Karel G M</t>
  </si>
  <si>
    <t>https://pubmed.ncbi.nlm.nih.gov/16980151</t>
  </si>
  <si>
    <t>To illustrate the effects of different methods for handling missing data--complete case analysis, missing-indicator method, single imputation of unconditional and conditional mean, and multiple imputation (MI)--in the context of multivariable diagnostic research aiming to identify potential predictors (test results) that independently contribute to the prediction of disease presence or absence. We used data from 398 subjects from a prospective study on the diagnosis of pulmonary embolism. Various diagnostic predictors or tests had (varying percentages of) missing values. Per method of handling these missing values, we fitted a diagnostic prediction model using multivariable logistic regression analysis. The receiver operating characteristic curve area for all diagnostic models was above 0.75. The predictors in the final models based on the complete case analysis, and after using the missing-indicator method, were very different compared to the other models. The models based on MI did not differ much from the models derived after using single conditional and unconditional mean imputation. In multivariable diagnostic research complete case analysis and the use of the missing-indicator method should be avoided, even when data are missing completely at random. MI methods are known to be superior to single imputation methods. For our example study, the single imputation methods performed equally well, but this was most likely because of the low overall number of missing values.</t>
  </si>
  <si>
    <t>Excluding deep vein thrombosis safely in primary care.</t>
  </si>
  <si>
    <t>Toll, D B; Oudega, R; Bulten, R J; Hoes, A W; Moons, K G M</t>
  </si>
  <si>
    <t>the journal of family practice</t>
  </si>
  <si>
    <t>https://pubmed.ncbi.nlm.nih.gov/16822449</t>
  </si>
  <si>
    <t>Our validated primary care rule safely excludes deep vein thrombosis in one-quarter of patients suspected of having the disease. We recommend the use of this rule by family practitioners.</t>
  </si>
  <si>
    <t>Effects of dehydroepiandrosterone and atamestane supplementation on frailty in elderly men.</t>
  </si>
  <si>
    <t>Muller, Majon; van den Beld, Annewieke W; van der Schouw, Yvonne T; Grobbee, Diederick E; Lamberts, Steven W J</t>
  </si>
  <si>
    <t>https://pubmed.ncbi.nlm.nih.gov/16804050</t>
  </si>
  <si>
    <t>It has been suggested that the age-related decline of androgens in men plays a distinct role in the development of several aspects of frailty. Therefore, hormone replacement might improve the course of frailty by increasing lean body mass and muscle strength, decreasing fat mass, and improving the subjective quality of life. The objective of the study was to assess whether hormone replacement with dehydroepiandrosterone (DHEA) and/or atamestane might improve the course of frailty. This was a double-blind, randomized, controlled trial. The study was conducted in the general community. Participants included 100 nonhospitalized, nondiseased, independently living men, aged 70 yr and over with low scores on strength tests. Seventeen participants did not complete the trial. Subjects were randomly assigned to one of four intervention arms: atamestane (100 mg/d) and placebo, DHEA (50 mg/d) and placebo, a combination of atamestane (100 mg/d) and DHEA (50 mg/d), or two placebo tablets for 36 wk. Physical frailty was measured by means of a specific test battery, including isometric grip strength, leg extensor power, and physical performance. The randomization was successful, and 83 (83%) men completed the intervention. There were no differences between the treatment arms and placebo group in any of the outcome measurements after intervention. The results of this double-blind, randomized trial do not support the hypothesis that hormone replacement with DHEA and/or atamestane might improve the course of frailty.</t>
  </si>
  <si>
    <t>The fetal variant of the circle of Willis and its influence on the cerebral collateral circulation.</t>
  </si>
  <si>
    <t>van Raamt, A Fleur; Mali, Willem P T M; van Laar, Peter Jan; van der Graaf, Yolanda</t>
  </si>
  <si>
    <t>https://pubmed.ncbi.nlm.nih.gov/16788293</t>
  </si>
  <si>
    <t>In a fetal-type posterior circle of Willis (FTP) there is an embryonic derivation of the posterior cerebral artery (PCA) from the internal carotid artery (ICA). Besides the fact that a larger area is thus dependent on the ICA, leptomeningeal vessels cannot develop between the anterior and posterior circulation. The tentorium namely prevents cerebellar vessels from connecting to the PCA territory. Therefore patients with an FTP could be more prone to develop vascular insufficiency. An overview of the literature is given. We propose to define a partial FTP, in which a small P1 segment between the basilar artery and the postcommunicating part of the PCA is present, and a full FTP, in which the P1 segment is absent. Whether a full FTP is a risk factor for stroke should be subject of further investigation.</t>
  </si>
  <si>
    <t>Using the outcome for imputation of missing predictor values was preferred.</t>
  </si>
  <si>
    <t>Moons, Karel G M; Donders, Rogier A R T; Stijnen, Theo; Harrell, Frank E</t>
  </si>
  <si>
    <t>https://pubmed.ncbi.nlm.nih.gov/16980150</t>
  </si>
  <si>
    <t>Epidemiologic studies commonly estimate associations between predictors (risk factors) and outcome. Most software automatically exclude subjects with missing values. This commonly causes bias because missing values seldom occur completely at random (MCAR) but rather selectively based on other (observed) variables, missing at random (MAR). Multiple imputation (MI) of missing predictor values using all observed information including outcome is advocated to deal with selective missing values. This seems a self-fulfilling prophecy. We tested this hypothesis using data from a study on diagnosis of pulmonary embolism. We selected five predictors of pulmonary embolism without missing values. Their regression coefficients and standard errors (SEs) estimated from the original sample were considered as "true" values. We assigned missing values to these predictors--both MCAR and MAR--and repeated this 1,000 times using simulations. Per simulation we multiple imputed the missing values without and with the outcome, and compared the regression coefficients and SEs to the truth. Regression coefficients based on MI including outcome were close to the truth. MI without outcome yielded very biased--underestimated--coefficients. SEs and coverage of the 90% confidence intervals were not different between MI with and without outcome. Results were the same for MCAR and MAR. For all types of missing values, imputation of missing predictor values using the outcome is preferred over imputation without outcome and is no self-fulfilling prophecy.</t>
  </si>
  <si>
    <t>Prediction of mortality risk in the elderly.</t>
  </si>
  <si>
    <t>Störk, Stefan; Feelders, Richard A; van den Beld, Annewieke W; Steyerberg, Ewout W; Savelkoul, Huub F J; Lamberts, Steven W J; Grobbee, Diederick E; Bots, Michiel L</t>
  </si>
  <si>
    <t>https://pubmed.ncbi.nlm.nih.gov/16750966</t>
  </si>
  <si>
    <t>Ways to predict the risk of cardiovascular (CV) events or all-cause mortality have largely been derived from populations in which old and very old subjects were underrepresented. We set out to estimate the incremental prognostic utility of inflammation and atherosclerosis markers in the prediction of all-cause and CV mortality in elderly men. In a prospective population-based cohort study, conventional CV risk factors were documented in 403 independently living elderly men. C-reactive protein (CRP) and interleukin (IL)-6 levels were measured. Carotid plaques were assessed by ultrasound. Analyses were performed with proportional hazards analyses, and bootstrapping was used for internal validation. Main outcome was CV and all-cause mortality occurring during 4 years of follow-up. Increasing tertiles of CRP, IL-6, and number of plaques were independently associated with all-cause and CV mortality. With information on age, carotid plaques, IL-6, and CRP yielded good discriminatory power for all-cause and CV mortality: area under the receiver operating characteristic curve (95% confidence interval), 0.76 (0.70-0.82) and 0.74 (0.68-0.80), respectively. Combined use of only IL-6 and plaque burden allowed identification of subjects with low and high mortality risk. The Framingham PROCAM and a Dutch Risk Function poorly predicted mortality risk, similar or worse than a model using age alone. In the old and very old, IL-6 and number of carotid plaques are powerful predictors of mortality risk in the years to come. Conventional risk scores seem to perform unsatisfactorily.</t>
  </si>
  <si>
    <t>Trends in doctor consultations, antibiotic prescription, and specialist referrals for otitis media in children: 1995-2003.</t>
  </si>
  <si>
    <t>Plasschaert, Astrid I O; Rovers, Maroeska M; Schilder, Anne G M; Verheij, Theo J M; Hak, Eelko</t>
  </si>
  <si>
    <t>https://pubmed.ncbi.nlm.nih.gov/16740826</t>
  </si>
  <si>
    <t>Reported trends regarding the incidence of otitis media and antibiotic prescription rates are inconsistent. Our goal was to assess changes in incidence of consultation rates, antibiotic prescription, and referral rates for otitis media in children over the years 1995-2003. A cohort study including all children aged 0 to 13 years within the research database of the Netherlands University Medical Center Utrecht Primary Care Network covering the period 1995-2003. Otitis media diagnoses were recorded according to the International Classification of Primary Care codes and antibiotic prescription according to the Anatomic Therapeutic Chemical Classification System codes. Otitis media incidence rates were calculated as episodes per 1000 person-years. Antibiotic prescription and referral rates were calculated per 100 otitis media episodes. From 1995 to 2003, the overall general practitioner consultation rates for acute otitis media and otitis media with effusion declined by 9% and 34%, respectively. In children aged 2 to 6 years and those aged 6 to 13 years, the incidence rates of acute otitis media and otitis media with effusion declined by 15% and 41% and 40% and 48%, respectively. In children &lt;2 years of age, the incidence rates of acute otitis media and otitis media with effusion increased by 46% and 66%, respectively. Antibiotic prescription rates for acute otitis media and otitis media with effusion increased by 45% and 25%, respectively. The referral rate for acute otitis media did not change, whereas the referral rate for otitis media with effusion increased by 45%. Consultation rates for otitis media have changed considerably over the last decade, and so have antibiotic prescriptions and specialist referrals. The rising antibiotic prescription rate for otitis media causes concern, because this may induce increasing medical costs and antibiotic resistance.</t>
  </si>
  <si>
    <t>Do-not-resuscitate decisions in six European countries.</t>
  </si>
  <si>
    <t>van Delden, Johannes J M; Löfmark, Rurik; Deliens, Luc; Bosshard, Georg; Norup, Michael; Cecioni, Riccardo; van der Heide, Agnes; ,</t>
  </si>
  <si>
    <t>https://pubmed.ncbi.nlm.nih.gov/16625128</t>
  </si>
  <si>
    <t>To study and compare the incidence and main background characteristics of do-not-resuscitate (DNR) decision making in six European countries. Retrospective. We studied DNR decisions simultaneously in Belgium (Flanders), Denmark, Italy (four regions), the Netherlands, Sweden, and Switzerland (German-speaking part). In each country, random samples of death certificates were drawn from death registries to which all deaths are reported. The deaths occurred between June 2001 and February 2002. Reporting physicians received a mailed questionnaire about the medical decision making that had preceded death. The response percentage was 75% for the Netherlands, 67% for Switzerland, 62% for Denmark, 61% for Sweden, 59% for Belgium, and 44% for Italy. The total number of deaths studied was 20,480. None. Measurements were frequency of DNR decisions, both individual and institutional, and patient involvement. Before death, an individual DNR decision was made in about 50-60% of all nonsudden deaths (Switzerland 73%, Italy 16%). The frequency of institutional decisions was highest in Sweden (22%) and Italy (17%) and lowest in Belgium (5%). DNR decisions are discussed with competent patients in 10-84% of cases. In the Netherlands patient involvement rose from 53% in 1990 to 84% in 2001. In case of incompetent patients, physicians bypassed relatives in 5-37% of cases. Except in Italy, DNR decisions are a common phenomenon in these six countries. Most of these decisions are individual, but institutional decisions occur frequently as well. In most countries, the involvement of patients in DNR decision making can be improved.</t>
  </si>
  <si>
    <t>Spurious systolic hypertension in young adults; prevalence of high brachial systolic blood pressure and low central pressure and its determinants.</t>
  </si>
  <si>
    <t>Hulsen, Hans T; Nijdam, Marie-Elise; Bos, Willem-Jan; Uiterwaal, Cuno S; Oren, Anath; Grobbee, Diederick E; Bots, Michiel</t>
  </si>
  <si>
    <t>https://pubmed.ncbi.nlm.nih.gov/16685201</t>
  </si>
  <si>
    <t>To investigate the prevalence and determinants of spurious systolic hypertension (SSH) in a population-based sample of young adults and estimate their 20-year risk of coronary heart disease. Seven hundred and fifty young adults (352 men and 398 women), aged 26-31 years, from the Atherosclerosis Risk in Young Adults study were studied. Blood pressure levels were measured twice and central (aortic) pressures were derived by applanation tonometry on the radial artery using a generalized transfer function. SSH was defined as brachial systolic blood pressure (SBP) &gt; or = 140 mmHg, brachial diastolic blood pressure (DBP) &lt; 90 mmHg, and central SBP &lt; 124 mmHg for men and &lt; 120 mmHg for women. The Framingham risk score was calculated. Analysis of variance models were used to compare SSH individuals with normotensive and hypertensive males for cardiovascular risk factors. SSH was diagnosed in 57 men (16.1%; 95% confidence interval, 12.3-20.0) versus only three women (8%; 95% confidence interval, 0-1.6). The female population was excluded from further analysis. Compared with normotensive males, SSH individuals were heavier (88.7 versus 81.8 kg, P &lt; 0.05) had a higher body mass index (25.8 versus 24.2 kg/m, P &lt; 0.01) and significantly higher brachial and central SBP, DBP, pulse pressure, and mean arterial pressure. They had significantly higher pulse pressure amplification. Twenty-year Framingham risk scores based on DBP did not differ significantly between SSH subjects and normotensive individuals (2.72 versus 2.10%, respectively). SSH is predominantly found among young adult men. Apart from weight and body mass index, no other cardiovascular risk factors differed significantly between subjects with SSH and normotension or hypertension. When calculating the 20-year risk of coronary heart disease based on brachial DBP, SSH individuals were at intermediate risk between normotensive and hypertensive participants, but differences were not statistically significant.</t>
  </si>
  <si>
    <t>Improving the quality and clinical relevance of diagnostic studies.</t>
  </si>
  <si>
    <t>Rutten, Frans H; Moons, Karel G M; Hoes, Arno W</t>
  </si>
  <si>
    <t>https://pubmed.ncbi.nlm.nih.gov/16690669</t>
  </si>
  <si>
    <t>Coronary collateral circulation: the effects of smoking and alcohol.</t>
  </si>
  <si>
    <t>Koerselman, Jeroen; de Jaegere, Peter P Th; Verhaar, Marianne C; Grobbee, Diederick E; van der Graaf, Yolanda; ,</t>
  </si>
  <si>
    <t>https://pubmed.ncbi.nlm.nih.gov/16696984</t>
  </si>
  <si>
    <t>The presence or absence of coronary collaterals is of vital importance during acute ischemia. Smoking and alcohol have been suggested to play a role, but data are scarce. We examined the extent to which smoking and alcohol use affect the presence of coronary collateral circulation. Cross-sectional study in 242 patients, admitted for elective PTCA. Smoking was defined as past or current. Pack years were calculated and categorized into never-smokers (reference-category): &lt;10, 10-19, 20-29, and &gt;or=30 pack years. Alcohol consumption was defined as past or current, and categorized into never-users (reference-category): &lt;1, 1-10, 11-20, and &gt;or=21 units per week (UPW). Collaterals were graded with Rentrop's classification. Coronary collateral presence was defined as Rentrop-grade &gt;or=1. Current smoking (odds ratio (OR) 4.17; 95% confidence interval (CI) 1.79-9.71) was positively associated, while pack years of smoking was not related. Current alcohol intake showed a J-shaped tendency with coronary collateral presence, while past moderate alcohol consumption was inversely associated (OR 0.19; 95% CI 0.04-0.98). Smoking and (to some extent) alcohol use are associated with collateral presence. The results support the view that life-style factors may affect the formation of coronary collaterals in patients with ischemic cardiac disease.</t>
  </si>
  <si>
    <t>Umbilical coiling index in normal and complicated pregnancies.</t>
  </si>
  <si>
    <t>de Laat, Monique W M; Franx, Arie; Bots, Michiel L; Visser, Gerard H A; Nikkels, Peter G J</t>
  </si>
  <si>
    <t>https://pubmed.ncbi.nlm.nih.gov/16648410</t>
  </si>
  <si>
    <t>To estimate the relation between undercoiling and overcoiling of the umbilical cord and adverse pregnancy outcome. Umbilical cords and hospital records of 885 patients were studied in a cross-sectional study design. The umbilical coiling index was determined as the number of complete coils divided by the length of the cord in centimeters, blinded for pregnancy outcome. Obstetric history and pregnancy outcome of each patient were obtained from hospital records, blinded for the umbilical coiling index. Odds ratios and their 95% confidence intervals were calculated to evaluate associations between undercoiling and overcoiling and adverse pregnancy outcome, using multiple logistic regression. Undercoiling (umbilical coiling index below the 10th percentile, using references values from uncomplicated pregnancies) was associated with fetal death (odds ratio [OR] 3.35, 95% confidence interval [CI] 1.48-7.63), spontaneous preterm delivery (OR 2.16, 95% CI 1.34-3.48), trisomies (OR 5.79, 95% CI 2.07-16.24), low Apgar score at 5 minutes (OR 3.14, 95% CI 1.47-6.70), velamentous cord insertion (OR 3.00, 95% CI 1.16-7.76), single umbilical artery (OR 3.68, 95% CI 1.26-10.79), and dextral coiling (OR 1.80, 95% CI 1.02-3.17). Overcoiling (umbilical coiling index above the 90th percentile) was associated with asphyxia (OR 4.16, 95% CI 1.30-13.36), umbilical arterial pH &lt; 7.05 (OR 2.91, 95% CI 1.05-8.09), small for gestational age infants (OR 2.10, 95% CI 1.01-4.36), trisomies (OR 9.26, 95% CI 2.84-30.2), single umbilical artery (OR 8.25, 95% CI 2.60-26.12), and sinistral coiling (OR 4.30, 95% CI 1.52-12.2). Undercoiling and overcoiling of the umbilical cord are associated with increased risk for adverse perinatal outcome.</t>
  </si>
  <si>
    <t>Increased occurrence of left-handedness after severe childhood bacterial meningitis: support for the pathological left-handedness hypothesis.</t>
  </si>
  <si>
    <t>Ramadhani, Made K; Koomen, Irene; Grobbee, Diederick E; van Donselaar, Cees A; Marceline van Furth, A; Uiterwaal, Cuno S P M</t>
  </si>
  <si>
    <t>neuropsychologia</t>
  </si>
  <si>
    <t>https://pubmed.ncbi.nlm.nih.gov/16643966</t>
  </si>
  <si>
    <t>The hypothesis that brain damage during infancy causes pathological left-handedness was tested by assessing handedness in 182 survivors of childhood non-Hemophilus influenza type b bacterial meningitis in the Netherlands (mean age of 9.7 years). These children were selected randomly after clustering them into those with or without parental report on academic and behavioural problems. Medical records were obtained from the hospitals, while handedness and neurodevelopmental outcome were assessed at school age. Logistic regression analysis was used to study the relationship between a severity score of bacterial meningitis and handedness. Fifteen percent were left-handed. Severity of childhood bacterial meningitis was related to left-handedness (Odds ratio (OR) 6.2, 95% confidence interval (CI) 2.0-18.6 for those with a total severity score above the median as compared to those below). Compared to non-left-handed children, left-handed children had lower IQ (mean difference -6.6, 95% CI -12 to -1.2), tended to have lower vocabulary scores on WISC-r (-1.0, -2.1 to 0), and lower Beery scores on visual-motor integration (-4.9, -10.1 to 0.4). Left-handed children also tended to have more combined academic and behavioural limitations (OR 2.7, 95% CI 0.9-8.6), lower manual speed of the dominant hand (mean difference -9 taps, p &lt; 0.05) and better manual steadiness in the non-dominant hand (mean difference of contact's time -2.7 s, p &lt; 0.05). Left-handed post-meningitic children generally have worse neurodevelopmental outcome than non-left-handed survivors. Our results support the role of early life brain damage in left-handedness.</t>
  </si>
  <si>
    <t>Heart disease risk determines menopausal age rather than the reverse.</t>
  </si>
  <si>
    <t>Kok, Helen S; van Asselt, Kristel M; van der Schouw, Yvonne T; van der Tweel, Ingeborg; Peeters, Petra H M; Wilson, Peter W F; Pearson, Peter L; Grobbee, Diederick E</t>
  </si>
  <si>
    <t>https://pubmed.ncbi.nlm.nih.gov/16697313</t>
  </si>
  <si>
    <t>The purpose of this study was to investigate whether a harmful cardiovascular risk profile accelerates menopause. Women with an early menopause are at an increased risk of cardiovascular disease. Although increased cardiovascular risk has been proposed as consequence of menopause, the alternative hypothesis, that increased premenopausal cardiovascular risk promotes early menopause, needs to be examined. We used data from the Framingham Heart Study cohort. This study started in 1948 and has followed up participants biennially since then. Women who were premenopausal at study entry and who reached natural menopause after at least two examination rounds were included in the study (n = 695). Premenopausal age-independent levels of serum total cholesterol, relative weight, blood pressure, and Framingham risk score were determined, as well as premenopausal changes in cholesterol, body weight, and blood pressure. A higher premenopausal serum total cholesterol level was statistically significantly associated with an earlier age at menopause, as were increases in total serum cholesterol, relative weight, and blood pressure in the premenopausal period. A decrease in total serum cholesterol during premenopause was statistically significantly associated with later age at menopause. Decreasing blood pressure was associated with a later menopausal age, but this association was not statistically significant. A decrease in relative weight was associated with a significant earlier age at menopause. Each 1% higher premenopausal Framingham risk score was associated with a decrease in menopausal age of 1.8 years (95% confidence interval -2.72 to -0.92). The findings support the view that heart disease risk determines age at menopause. This offers a novel explanation for the inconsistent findings on cardiovascular disease rate and its relationship to menopausal age and effects of hormone replacement therapy.</t>
  </si>
  <si>
    <t>Non-transferrin-bound iron and risk of coronary heart disease in postmenopausal women.</t>
  </si>
  <si>
    <t>van der A, Daphne L; Marx, Joannes J M; Grobbee, Diederick E; Kamphuis, Marjolein H; Georgiou, Niki A; van Kats-Renaud, J Henny; Breuer, William; Cabantchik, Z Ioav; Roest, Mark; Voorbij, Hieronymus A M; van der Schouw, Yvonne T</t>
  </si>
  <si>
    <t>https://pubmed.ncbi.nlm.nih.gov/16618820</t>
  </si>
  <si>
    <t>Epidemiological studies aimed at correlating coronary heart disease (CHD) with serum ferritin levels have thus far yielded inconsistent results. We hypothesized that a labile iron component associated with non-transferrin-bound iron (NTBI) that appears in individuals with overt or cryptic iron overload might be more suitable for establishing correlations with CHD. We investigated the relation of NTBI, serum iron, transferrin saturation, and serum ferritin with risk of CHD and acute myocardial infarction (AMI). The cohort used comprised a population-based sample of 11 471 postmenopausal women aged 49 to 70 years at enrollment in 1993 to 1997. During a median follow-up of 4.3 years (quartile limits Q1 to Q3: 3.3 to 5.4), 185 CHD events were identified, including 66 AMI events. We conducted a case-cohort study using all CHD cases and a random sample from the baseline cohort (n=1134). A weighted Cox proportional hazards model was used to estimate hazard ratios for tertiles of iron variables in relation to CHD and AMI. Adjusted hazard ratios of women in the highest NTBI tertile (range 0.38 to 3.51) compared with the lowest (range -2.06 to -0.32) were 0.84 (95% confidence interval 0.61 to 1.16) for CHD and 0.47 (95% confidence interval 0.31 to 0.71) for AMI. The results were similar for serum iron, transferrin saturation, and serum ferritin. Our results show no excess risk of CHD or AMI within the highest NTBI tertile compared with the lowest but rather seem to demonstrate a decreased risk. Additional studies are warranted to confirm our findings.</t>
  </si>
  <si>
    <t>Depressive symptoms as risk factor of cardiovascular mortality in older European men: the Finland, Italy and Netherlands Elderly (FINE) study.</t>
  </si>
  <si>
    <t>Kamphuis, Marjolein H; Kalmijn, Sandra; Tijhuis, Marja A R; Geerlings, Mirjam I; Giampaoli, Simona; Nissinen, Aulikki; Grobbee, Diederick E; Kromhout, Daan</t>
  </si>
  <si>
    <t>https://pubmed.ncbi.nlm.nih.gov/16575273</t>
  </si>
  <si>
    <t>Depressive symptoms have been suggested to increase the risk of cardiovascular diseases, but this may reflect reversed causality. We investigated to what extent depressive symptoms are a true risk factor for cardiovascular mortality in elderly men. The Finland, Italy and Netherlands Elderly (FINE) study is a prospective cohort study conducted in Finland, Italy and The Netherlands. Depressive symptoms were measured with the Zung self-rating Depression Scale in 799 elderly men, aged 70-90 years, free from cardiovascular diseases. Using Cox models, hazard ratios (HRs) were calculated for specific cardiovascular mortality endpoints. The analyses were adjusted for potential confounders, stratified on country and repeated after exclusion of men who died from cardiovascular diseases up to 5 years after baseline. During 10-years of follow-up 224 (28%) men died from cardiovascular diseases. The adjusted hazard for a five-point increase in depressive symptoms was 1.15 [95% confidence interval (CI) 1.08-1.23] for cardiovascular mortality. This risk was stronger for mortality from stroke (HR 1.35; 95% CI 1.19-1.53) and heart failure (HR 1.16; 95% CI 1.00-1.35) in comparison with mortality from coronary heart disease (HR 1.08; 95% CI 0.97-1.20) and other degenerative heart diseases (HR 1.06; 95% CI 0.91-1.23). Exclusion of men who died from cardiovascular diseases within 5 years after baseline did not change the strength of the associations. There were no significant differences in HRs between northern and southern Europe. This study provides further and more convincing prospective evidence for depressive symptoms as a risk factor for cardiovascular mortality in elderly men.</t>
  </si>
  <si>
    <t>Homocysteine level and cognitive function in patients with arterial disease: the second manifestations of ARTerial Disease Study.</t>
  </si>
  <si>
    <t>van Raamt, A Fleur; Kalmijn, Sandra; Mali, Willem P Th M; van Zandvoort, Martine J E; van der Graaf, Yolanda; ,</t>
  </si>
  <si>
    <t>https://pubmed.ncbi.nlm.nih.gov/16686865</t>
  </si>
  <si>
    <t>To assess the relationship between total plasma homocysteine (tHcy) level and cognitive function in patients with manifest arterial disease. Cross-sectional. Patients with symptomatic cerebrovascular disease, cardiovascular disease, peripheral arterial disease, or abdominal aortic aneurysm included in the Second Manifestations of ARTerial disease study, a single-center, longitudinal study with an extensive screening program at baseline. Three hundred forty-five consecutively included patients, mean age 59. The patients underwent an extensive neuropsychological test. The cognitive domains assessed were memory, executive function, attention, and visuoperception and construction. Each raw score was transformed into standardized z-scores, and a sum score for global cognitive function was determined. Risk factors and vascular damage were measured in detail. Linear regression showed that elevated levels of tHcy were related to lower global cognitive function (beta=-0.065, 95% confidence interval (CI)=-0.116 to -0.013) and, more specifically, lower performance on memory (beta=-0.078, 95% CI=-0.155 to -0.002), attention (beta=-0.079, 95% CI=-0.163 to -0.005), and visuoperception and construction (beta=-0.125, 95% CI=-0.236 to -0.014) per standard deviation increase in tHcy (SD=6.4 mol/L), after adjustment for age, sex, educational level, extent of atherosclerosis, and location of vascular disease. Silent cerebral infarcts did not influence this relationship. A relationship was found between tHcy levels and cognitive function that was independent of extent and location of arterial disease. The results suggest that vascular mechanisms are not responsible for the relationship between tHcy and cognitive function.</t>
  </si>
  <si>
    <t>Mannheim consensus on carotid intima-media thickness: opposite and complementary points of view.</t>
  </si>
  <si>
    <t>Meijer, Rudy; Grobee, Diederick E; Bots, Michiel L</t>
  </si>
  <si>
    <t>https://pubmed.ncbi.nlm.nih.gov/16549909</t>
  </si>
  <si>
    <t>Heart failure and chronic obstructive pulmonary disease: An ignored combination?</t>
  </si>
  <si>
    <t>Rutten, Frans H; Cramer, Maarten-Jan M; Lammers, Jan-Willem J; Grobbee, Diederick E; Hoes, Arno W</t>
  </si>
  <si>
    <t>https://pubmed.ncbi.nlm.nih.gov/16531114</t>
  </si>
  <si>
    <t>To quantify the prevalence of heart failure and left ventricular systolic dysfunction (LVSD) in chronic obstructive pulmonary disease (COPD) patients and vice versa. Further, to discuss diagnostic and therapeutic implications of the co-existence of both syndromes. We performed a Medline search from 1966 to March 2005. The reported prevalence of LVSD among COPD patients varied considerably, with the highest prevalence (10-46%) among those with an exacerbation. One single study assessed the prevalence of heart failure in COPD patients. A prevalence of 21% of previously unknown heart failure was reported in patients with a history of COPD or asthma. We did not find any report on COPD in heart failure or LVSD patients. Diagnosing heart failure in COPD patients or vice versa is complicated by overlap in signs and symptoms, and diminished diagnostic value of additional investigations. In general, pulmonary and heart failure 'drug cocktails' can be administered safely to patients with concomitant COPD and heart failure, although (short acting) beta2-adrenoreceptor agonists and digitalis have potentially deleterious effects on cardiac and pulmonary function, respectively. Although knowledge about the prevalence of concomitant heart failure in COPD patients and vice versa is scarce, it seems that the combined presence is rather common. In view of diagnostic and therapeutic implications, more attention should be paid to the concomitant presence of both syndromes in clinical practice and research.</t>
  </si>
  <si>
    <t>[Increased risk of infection in patients with diabetes mellitus type 1 or 2].</t>
  </si>
  <si>
    <t>Muller, L M A J; Gorter, K J; Hak, E; Goudzwaard, W L; Schellevis, F G; Hoepelman, I M; Rutten, G E H M</t>
  </si>
  <si>
    <t>https://pubmed.ncbi.nlm.nih.gov/16566419</t>
  </si>
  <si>
    <t>To determine the risk of common infections in patients with diabetes mellitus type 1 (DM1) or type 2 (DM2). Prospective controlled study. In a 12-month prospective cohort study as part of the Second Dutch National Survey of General Practice, 705 adult DM1 and 6,712 DM2 patients were compared with 18,911 control patients who had hypertension without diabetes. Outcome measures were medically-attended episodes of infections of the respiratory tract, urinary tract, skin and mucous membranes. Multivariate and multinomial logistic regression analysis was applied to determine independent risks of infections and their recurrence in patients with diabetes compared to controls. Upper respiratory-tract infections were as common in diabetes patients as in controls. Diabetes patients had a higher risk of lower respiratory-tract infections (DM2: odds ratio (OR): 1.30; 95% CI: 1.11-1.52), urinary-tract infections (DM1: OR: 1.56; 95% CI: 1.13-2.15; DM2: OR: 1.21; 95% CI: 1.07-1.38), bacterial skin or mucous-membrane infections (DM1: OR: 1.48; 95% CI: 1.01-2.15; DM2: OR: 1.32; 95% CI: 1.13-1.55) and mycotic skin or mucous-membrane infections (DM2: OR: 1.41; 95% CI: 1.24-1.61). The risk of recurrence of these common infections was seen to be increased. Patients with type-1 and type-2 diabetes are at increased risk of lower respiratory-tract infections, urinary-tract infections and skin or mucous-membrane infections.</t>
  </si>
  <si>
    <t>Influence of estrogen receptor alpha and progesterone receptor polymorphisms on the effects of hormone therapy on mammographic density.</t>
  </si>
  <si>
    <t>van Duijnhoven, Fränzel J B; Peeters, Petra H M; Warren, Ruth M L; Bingham, Sheila A; Uitterlinden, André G; van Noord, Paulus A H; Monninkhof, Evelyn M; Grobbee, Diederick E; van Gils, Carla H</t>
  </si>
  <si>
    <t>https://pubmed.ncbi.nlm.nih.gov/16537702</t>
  </si>
  <si>
    <t>Postmenopausal hormone therapy increases mammographic density, a strong breast cancer risk factor, but effects vary across women. We investigated whether the effect of hormone therapy use is modified by polymorphisms in the estrogen receptor (ESR1) and progesterone receptor (PGR) genes in the Dutch Prospect-EPIC and the English EPIC-Norfolk cohorts. Information on hormone therapy use was obtained through questionnaires at recruitment and after 5 years. Blood samples were collected and consecutive mammograms were available through breast cancer screening programs. For 795 hormone therapy users, one mammogram before and a second mammogram during hormone therapy use was included. For 781 never hormone therapy users, mammograms with similar time intervals were included. Mammographic density was assessed using a computer-assisted method. Changes in density were analyzed using linear regression. A statistically significant difference in percentage density change between hormone therapy users and never users was seen in women with the ESR1 PvuII Pp or pp genotype (2.24%; P &lt; 0.01), but not in those with the PP genotype (0.90%; P = 0.47). Similarly, effects of hormone therapy on percentage density were observed in women with the ESR1 XbaI Xx or xx genotype (2.20%; P &lt; 0.01), but not in those with the XX genotype (-0.65%; P = 0.70). Also, effects were seen in women with the PGR +331 GG genotype (2.04%; P &lt; 0.01), but not in those with the GA or AA genotype (0.98%; P = 0.53). The PGR PROGINS polymorphism did not seem to make women more susceptible to the effects of hormone therapy use. In conclusion, our results suggest that specific polymorphisms in the ESR1 and PGR genes may make women more susceptible to the effects of hormone therapy use on mammographic density.</t>
  </si>
  <si>
    <t>Physical activity in relation to mammographic density in the dutch prospect-European prospective investigation into cancer and nutrition cohort.</t>
  </si>
  <si>
    <t>Suijkerbuijk, Karijn P M; Van Duijnhoven, Fränzel J B; Van Gils, Carla H; Van Noord, Paulus A H; Peeters, Petra H M; Friedenreich, Christine M; Monninkhof, Evelyn M</t>
  </si>
  <si>
    <t>https://pubmed.ncbi.nlm.nih.gov/16537701</t>
  </si>
  <si>
    <t>Evidence accumulates that physical inactivity is one of the few modifiable risk factors for breast cancer. The mechanism through which physical inactivity affects breast cancer risk is not clear. The study aim was to investigate the association between physical activity and breast density because mammographic density is strongly associated with breast cancer risk. We did a cross-sectional study in 620 women, of ages 49 to 68 years and participants of the Dutch Prospect-European Prospective Investigation into Cancer and Nutrition cohort. A self-administered questionnaire was used to obtain information on duration and intensity of physical activity (recreational, household, and occupational) during the year preceding study recruitment. A total activity index (inactive, moderately inactive, moderately active, and active) was estimated by combining all activity types. Percent and absolute breast density were determined on screening mammograms using a computer-aided method. Multivariate linear regression was used to examine the association between physical activity and breast density. Mean percent density was 35.3% [95% confidence interval (95% CI), 31.8-38.8] for the inactive category compared with 36.1% (95% CI, 33.0-39.2) for the active category. Mean absolute density values for the inactive and active category were 45.8 cm(2) (95% CI, 40.9-50.7) and 42.6 cm(2) (95% CI, 38.3-47.0), respectively. Subgroup analysis for postmenopausal women showed similar results, as did separate analyses for recreational and household activity. The result does not support a relation between current physical activity and mammographic density in postmenopausal women.</t>
  </si>
  <si>
    <t>Screening for asymptomatic cardiovascular disease with noninvasive imaging in patients at high-risk and low-risk according to the European Guidelines on Cardiovascular Disease Prevention: the SMART study.</t>
  </si>
  <si>
    <t>Goessens, Bertine M B; Visseren, Frank L J; Algra, Ale; Banga, Jan-Dirk; van der Graaf, Yolanda; ,</t>
  </si>
  <si>
    <t>https://pubmed.ncbi.nlm.nih.gov/16520167</t>
  </si>
  <si>
    <t>To assess the prevalence of atherosclerotic risk factors and to investigate the added value of noninvasive imaging in detecting asymptomatic cardiovascular diseases in patients at low risk and high risk according to the European Guidelines on Cardiovascular Disease Prevention. In the vascular screening program of the University Medical Center Utrecht, patients aged 18 to 79 years who had recently received a diagnosis of manifest vascular disease (coronary heart disease, cerebrovascular disease, abdominal aortic aneurysm, or peripheral arterial disease [PAD]) or had a risk factor (hypertension, hyperlipidemia, or diabetes mellitus) were assessed for atherosclerotic risk factors and (other) arterial diseases by noninvasive means. The European guidelines were applied to quantify the number of high-risk patients. Eighty-eight percent of 3950 patients were considered to be at high-risk. More than 80% had hyperlipidemia, approximately 50% had hypertension, 21% had diabetes mellitus, and 31% were current smokers. An asymptomatic reduced ankle-brachial index (&lt; or = 0.90) was most frequently observed in patients with cerebrovascular disease (21%); an asymptomatic abdominal aortic aneurysm (&gt; or = 3.0 cm) in patients with PAD (5%) or cerebrovascular disease (5%); and an asymptomatic carotid stenosis (&gt; or = 50%) in patients with PAD (15%). On the basis of noninvasive measurements, 73 (13%) of 545 patients initially considered as low risk were reclassified as high risk. This study confirmed a high prevalence and clustering of modifiable atherosclerotic risk factors in high-risk patients. The yield of noninvasive vascular measurements was relatively low but identified a sizable number of high-risk patients. Standard screening for asymptomatic atherosclerotic disease identified a limited number of vascular abnormalities that necessitated immediate medical attention in patients already identified as high-risk patients.</t>
  </si>
  <si>
    <t>Role of genetic analyses in cardiology: part II: heritability estimation for gene searching in multifactorial diseases.</t>
  </si>
  <si>
    <t>van Asselt, Kristel M; Kok, Helen S; van der Schouw, Yvonne T; Peeters, Petra H M; Pearson, Peter L; Grobbee, Diederick E</t>
  </si>
  <si>
    <t>https://pubmed.ncbi.nlm.nih.gov/16505191</t>
  </si>
  <si>
    <t>Relations between body composition, functional and hormonal parameters and quality of life in healthy postmenopausal women.</t>
  </si>
  <si>
    <t>Lebrun, Corinne E I; van der Schouw, Yvonne T; de Jong, Frank H; Pols, Huibert A P; Grobbee, Diederick E; Lamberts, Steven W J</t>
  </si>
  <si>
    <t>https://pubmed.ncbi.nlm.nih.gov/16497451</t>
  </si>
  <si>
    <t>To investigate whether body composition, functional status and serum hormone levels are associated with quality of life in healthy postmenopausal women. A cross-sectional study among 402 women aged 56-73 years, 8-30 years postmenopausal. Quality of life (QoL) was assessed using the questionnaire on life satisfaction (QLS), with two modules directed at general factors (QLS-general) and health factors (QLS-health). Muscle strength was measured using dynamometry. Functional ability was estimated by physical performance (PPS), physical activity during the preceding year, and impairment in activities of daily living (ADL). Bone mineral density, lean mass and fat mass were assessed by dual-energy X-ray absorptiometry. Fasting levels of serum oestradiol, oestrone, and sex hormone-binding globulin (SHBG), testosterone, cortisol, androstenedione, DHEA and DHEAS, insulin-like growth factor (IGF-1), its binding proteins (IGFBP-1 and -3) and insulin, were determined. Both QLS modules did not decrease with age. The major positive predictor of QLS-general module was the presence of a partner. Higher physical performance and higher educational level of participants' partners were significantly related to higher QLS-general, while smoking and presence of co-morbidities were significantly associated with a lower QLS-general. The determinants studied were mostly related to the QLS-health module, the major negative predictor of QLS-health being the presence of co-morbidities, followed by physical activity, physical performance and grip strength. Higher educational level of participants was related with higher QLS-health module, while higher BMI, fat mass and presence of disability were associated with significantly lower QLS-health. No consistent relation was found between serum levels of hormones measured and both QLS modules. The most important and specific determinant for psychological well-being was having a partner. Physical and psychological well-being are further strongly associated in this population of healthy postmenopausal women below 75 years of age, while increasing fat mass was related to decreased well-being. Our results suggest that in elderly and late postmenopausal women hormonal factors do not predict quality of life.</t>
  </si>
  <si>
    <t>Cardiovascular disease and cognitive performance in middle-aged and elderly men.</t>
  </si>
  <si>
    <t>Muller, M; Grobbee, D E; Aleman, A; Bots, M; van der Schouw, Y T</t>
  </si>
  <si>
    <t>https://pubmed.ncbi.nlm.nih.gov/16488420</t>
  </si>
  <si>
    <t>Decline of cognitive function with age may be due, in part, to atherosclerotic changes. The aim of the present study was to determine the relative contribution of cardiovascular disease (CVD) to cognitive functioning in middle-aged and elderly men. In a cross-sectional study, cognitive tests were administered to 400 independently living men aged 40-80 years. Compound scores were calculated for memory function, processing capacity/speed, and executive function. The MMSE was used as a measure of global cognitive function. Carotid intima-media thickness, pulse wave velocity and ankle brachial blood pressure index were assessed as measures of sub-clinical CVD. The adjusted association of sub-clinical and prevalent CVD with neuropsychological test scores in the total group and in subgroups was assessed by linear regression analysis. Increased IMT was associated with lower scores on memory performance, and increased PWV was associated with lower scores on processing capacity and executive functioning. Compared with subjects with no CVD, both sub-clinical and prevalent cardiovascular diseases were related to a lower memory performance, beta's (95% CI) were -0.45 (-0.83, -0.07) and -0.45 (-0.84, 0.01), respectively. These associations were present in both middle-aged and elderly men. Furthermore, we observed that for subjects who had sub-clinical or prevalent cardiovascular disease the distribution of MMSE-scores was shifted toward lower values; the distributions were statistically different (p=0.003). The results of this study support a relation of sub-clinical CVD with cognitive functioning in middle-aged and elderly men. These results suggest that actions to prevent cognitive decline by preventing atherosclerosis should be taken before middle age.</t>
  </si>
  <si>
    <t>Incidence of GP-diagnosed respiratory tract infections according to age, gender and high-risk co-morbidity: the Second Dutch National Survey of General Practice.</t>
  </si>
  <si>
    <t>Hak, E; Rovers, M M; Kuyvenhoven, M M; Schellevis, F G; Verheij, T J M</t>
  </si>
  <si>
    <t>https://pubmed.ncbi.nlm.nih.gov/16464869</t>
  </si>
  <si>
    <t>Figures on GP-diagnosed respiratory tract infections (RTI) are outdated because of demographic changes and increase in co-morbid conditions, respiratory vaccination programmes and change in illness behaviour. To determine the incidence of RTI in patients presenting to the GP according to age, gender and common high-risk co-morbidity in primary care. In the Second Dutch National Survey of General Practice 90 computerized general practices with 358,008 patients recorded all consecutive patient contact by use of the ICPC coding system in a year. Incidences were calculated using the mid-year population in the denominator and RTI episodes as the nominator. In all, 4.2% of the patient population were diagnosed with RTI with an incidence rate of 144 per 1000 person-years. Upper RTI were more common in children of 0-4 years than in other year-cohorts [392 versus 80 per 1000; relative risk 4.9, 95% confidence interval (95% CI) 4.8-5.0]. An U-shape association was observed between age and lower RTI (78 and 70 per 1000 in children and persons aged 75 years or over, respectively, versus 23 per 1000 in other age-categories). Females had slightly higher incidence rates of URTI (relative risk 1.4, 95% CI 1.35-1.45) and similar rates for LRTI. Patients with chronic medical conditions as pulmonary and cardiac disease, and diabetes. A small proportion of the patient population present themselves to the GP with a RTI. RTI are more common among children, elderly persons and patients with pulmonary and cardiac disease, and diabetes of the ICPC coding system.</t>
  </si>
  <si>
    <t>Do recommended high-risk adults benefit from a first influenza vaccination?</t>
  </si>
  <si>
    <t>Hak, E; Buskens, E; Nichol, K L; Verheij, T J M</t>
  </si>
  <si>
    <t>https://pubmed.ncbi.nlm.nih.gov/16480796</t>
  </si>
  <si>
    <t>It is unknown whether a first influenza vaccination protects high-risk adults from severe morbidity and mortality during influenza epidemics. As part of the PRISMA nested case-control study, we aimed to evaluate the effectiveness of first-time and repeat influenza vaccinations in adult persons recommended for vaccination aged between 18 and 64 years during the 1999-2000 influenza A epidemic. After adjustments, 69% of hospitalizations for acute respiratory or cardiovascular disease or death were prevented in first-time vaccinees (95% percent confidence interval [95% CI]: 8-90%). The corresponding figure in persons who were vaccinated before was 85% (95% CI: 36-96%). Adult persons with high-risk medical conditions can substantially benefit from a first and repeat influenza vaccination prior to an epidemic.</t>
  </si>
  <si>
    <t>The effect of tibolone and continuous combined conjugated equine oestrogens plus medroxyprogesterone acetate on progression of carotid intima-media thickness: the Osteoporosis Prevention and Arterial effects of tiboLone (OPAL) study.</t>
  </si>
  <si>
    <t>Bots, Michiel L; Evans, Gregory W; Riley, Ward; McBride, Karen H; Paskett, Electra D; Helmond, Frans A; Grobbee, Diederick E; ,</t>
  </si>
  <si>
    <t>https://pubmed.ncbi.nlm.nih.gov/16415304</t>
  </si>
  <si>
    <t>At the time of the design of the Osteoporosis Prevention and Arterial effects of tiboLone (OPAL) study in 1996, oral hormone therapy (HT) was assumed to reduce cardiovascular risk. The evidence mainly came from the effects of combined conjugated equine oestrogens plus medroxyprogesterone acetate (CEE/MPA) therapy. Other HT regimes had not been studied widely. Tibolone, a selective tissue oestrogenic activity regulator, has several effects on cardiovascular risk factors, one of which is HDL lowering. Because the overall effect of tibolone on cardiovascular risk was unknown, the OPAL study was designed. The OPAL study was a three-arm, randomized, placebo-controlled, double-blind study to determine the effect of tibolone (2.5 mg daily) and of CEE/MPA (0.625/2.5 mg daily) over 3 years on progression of carotid intima-media thickness (CIMT) in 866 healthy post-menopausal women. The women were recruited from six US and five European centres. The primary outcome was change in mean common CIMT. Annual common CIMT progression rates in the tibolone and CEE/MPA groups were higher than in the placebo group: 0.0077 mm [95% confidence interval (CI) 0.0051-0.0103] in the tibolone group, 0.0074 mm (0.0048-0.0099) in the CEE/MPA group, and 0.0035 mm (0.009-0.0061) in the placebo group. The differences with placebo (0.0042 mm/year for tibolone and 0.0039 mm/year for CEE/MPA) were statistically significant. HDL cholesterol increased in CEE/MPA group and was lowered in the tibolone group. Both tibolone and CEE/MPA showed increased progression of common CIMT. Translation of the increased common CIMT progression of the CEE/MPA group into cardiovascular disease risk could not fully explain the observed increased cardiovascular risk as observed in the Women's Health Initiative study. This suggests that the net effect of tibolone and CEE/MPA on cardiovascular events may depend on the combined effects on the arterial wall, clotting factors, and possibly inflammation.</t>
  </si>
  <si>
    <t>Distraction from randomization in diagnostic research.</t>
  </si>
  <si>
    <t>Biesheuvel, Cornelis J; Grobbee, Diederick E; Moons, Karel G M</t>
  </si>
  <si>
    <t>https://pubmed.ncbi.nlm.nih.gov/16386925</t>
  </si>
  <si>
    <t>The ultimate goal of medical care, including diagnostic testing, is to improve patient outcome. Accordingly, it has been advocated widely that when establishing a test's diagnostic accuracy, the impact of the test on patient outcome subsequently must be quantified. When studying patient outcome in medical research, the use of randomized comparisons comes into perspective. In our view, randomized studies often are not necessary to validly estimate the effect of the diagnostic test on patient outcome. Results of cross-sectional diagnostic studies, combined with results from therapeutic studies, often will suffice.</t>
  </si>
  <si>
    <t>Hemoglobin and atherosclerosis in patients with manifest arterial disease. The SMART-study.</t>
  </si>
  <si>
    <t>Dijk, J M; Wangge, G; Graaf, Y van der; Bots, M L; Grobbee, D E; Algra, A; ,</t>
  </si>
  <si>
    <t>https://pubmed.ncbi.nlm.nih.gov/16388808</t>
  </si>
  <si>
    <t>Decreased hemoglobin levels are known to be associated with an increased risk of coronary mortality and morbidity. This is largely thought to result from the development of left ventricular hypertrophy. Similar remodeling mechanisms of the vessel wall that may result in atherosclerosis are likely to be present. We studied whether hemoglobin levels are related to different vascular indicators of atherosclerosis. This cross-sectional study was performed in the first consecutive 2514 patients with manifest arterial disease enrolled in the SMART-study (Second Manifestations of ARTerial disease). The relation of hemoglobin levels with common carotid IMT (CIMT), presence of a&gt;/=50% internal carotid artery stenosis (ICAS) and prevalent peripheral arterial disease (PAD) was assessed with linear and logistic regression analyses. Each mmol/l increase in hemoglobin was associated with a lower CIMT (-0.03 mm [95% CI: -0.04; -0.01]) and a lower prevalence of &gt;/=50% ICAS (odds ratio: 0.84 [95% CI: 0.73; 0.97]) after adjustment for age, gender and potential confounders. Hemoglobin was not related to prevalence of peripheral arterial disease (1.02 [95% CI: 0.89; 1.16]). This study shows that in patients with manifest arterial disease, increasing hemoglobin levels are associated with reduced severity of atherosclerosis.</t>
  </si>
  <si>
    <t>Birth size and coronary heart disease risk score in young adulthood. The Atherosclerosis Risk in Young Adults (ARYA) study.</t>
  </si>
  <si>
    <t>Vos, L E; Oren, A; Bots, M L; Gorissen, W H M; Grobbee, D E; Uiterwaal, C S P M</t>
  </si>
  <si>
    <t>https://pubmed.ncbi.nlm.nih.gov/16450204</t>
  </si>
  <si>
    <t>Data of the Atherosclerosis Risk in Young Adults (ARYA) study were used to investigate the association between birth size and the absolute risk for coronary heart disease in healthy young adults. The cohort study comprises 750 (46.9% men) subjects born between 1970 and 1973. Birth characteristics were obtained from school health records. At young adulthood, blood pressure, anthropometry and fasting lipid levels were measured. Questionnaires were taken about smoking and diabetes. The young adult 10-year risk for coronary heart disease was calculated using the Framingham risk score. The overall 10-year risk for coronary heart disease was 1.6% (standard deviation (SD) 1.9), 3.0% (SD 1.9) in men and 0.3% (SD 0.2) in women. Using linear regression it was shown that a SD lower birth weight (=0.54 kg) was associated with 0.1% greater risk in the overall population (95% confidence interval (CI): -0.19, -0.004). Similarly, a lower ponderal index at birth was associated with an 0.11% higher risk (95% CI: -0.21, -0.002). These relations were stronger in men. Lower birth length was related with an increased risk in women (-0.02% risk/SD birth length; 95% CI: -0.04, 0.0001). These results suggest that small birth size is associated with an increased risk score for coronary artery disease in young adulthood.</t>
  </si>
  <si>
    <t>Determinants of daily insulin use in Type 1 diabetes.</t>
  </si>
  <si>
    <t>Muis, Marian J; Bots, Michiel L; Bilo, Henk J G; Hoogma, Roel P L M; Hoekstra, Joost B L; Grobbee, Diederick E; Stolk, Ronald P</t>
  </si>
  <si>
    <t>https://pubmed.ncbi.nlm.nih.gov/17070438</t>
  </si>
  <si>
    <t>Insulin need for a given degree of glucose control varies markedly among individuals. We examined which factors determine daily insulin use in patients with Type 1 diabetes. A cross-sectional study was performed in 416 patients. Clinical parameters, medication use, physical activity, smoking, alcohol consumption, and laboratory parameters were determined. Body mass index and waist circumference were positively related to daily insulin use (2.3 U/kg/m(2), 95% CI=1.9-2.7 and 0.8 U/cm, 95% CI=0.6-0.9, adjusted for age and sex). Age, female sex, and duration of diabetes were inversely related to daily insulin dose. There was an increase of 3.6 U of insulin per mmol/l triglycerides (95% CI=1.04-6.2) and a decrease of 5.9 U of insulin per mmol/l high-density lipoprotein cholesterol (95% CI=-10.0 to -1.8), adjusted for age, sex, and weight. For blood pressure-lowering drugs, the strongest relation was found for thiazide diuretics (difference of 7.1 U insulin/day, 95% CI=0.2-14.2, adjusted for age, sex, and weight). The use of an insulin pump and physical activity were related to lower daily insulin need: -8.7 U/day (95% CI=-11.8 to -5.5) and -1.7 U/day per activity score unit (95% CI=-3.2 to -0.2), respectively, adjusted for age, sex, and weight. Smoking was related to an increased need of 5.3 U/day (95% CI=1.5-9.0), adjusted for age, sex, and weight. Our results show that components of the metabolic syndrome are positively related to daily insulin use. Also, decreased physical activity, smoking, and the use of blood pressure-lowering drugs, which influence insulin sensitivity, are associated with an increased insulin need. These findings suggest that the presence of insulin resistance in Type 1 diabetes or "double diabetes" plays a key role in determining daily insulin need.</t>
  </si>
  <si>
    <t>FOLLOWPACE study: a prospective study on the cost-effectiveness of routine follow-up visits in patients with a pacemaker.</t>
  </si>
  <si>
    <t>van Eck, J W M; van Hemel, N M; Grobbee, D E; Buskens, E; Moons, K G M</t>
  </si>
  <si>
    <t>https://pubmed.ncbi.nlm.nih.gov/16627411</t>
  </si>
  <si>
    <t>This communication describes the design of the FOLLOWPACE study. The overall aim of FOLLOWPACE is to quantify the cost-effectiveness of routine follow-up visits in patients with a pacemaker (PM). Specific aims are (i) to quantify the incidence of complications and the quality of life 1 year after PM implantation; (ii) to quantify which baseline characteristics measured during implantation are predictors of the occurrence of complications and quality of life after 1 year; (iii) to determine the added predictive value of follow-up measurements to improve the efficiency of follow-up and to demonstrate which follow-up measurements are redundant. FOLLOWPACE is a prospective, observational, prognostic cohort study. About 40 PM centres in the Netherlands will participate to include about 2,500 patients. Each patient aged &gt;or=18 receiving a PM for the first time is eligible. At baseline, i.e. time of implantation, all potential predictors of complications and quality of life after 1 year are documented. After implantation, follow-up visits will be carried out conforming with routine care, usually three in the first year. At these visits, other potential prognostic predictors will be documented. Primary outcome is the incidence of PM- or cardiac complications at 1 year. Secondary outcome parameters are quality of life and costs after 1 year. This study will lead to definition of a more efficient routine follow-up schedule for patients with a PM, aiming to reduce time and energy while preserving the safety of pacing therapy and the prognosis of the patient. The study will ultimately provide evidence-based guidelines for PM follow-up including knowledge of the responsibilities of cardiologists, technicians, and representatives of PM manufacturers.</t>
  </si>
  <si>
    <t>Validating and updating a prediction rule for neurological sequelae after childhood bacterial meningitis.</t>
  </si>
  <si>
    <t>Biesheuvel, Cornelis J; Koomen, Irene; Vergouwe, Yvonne; Van Furth, Marceline; Oostenbrink, Rianne; Moll, Henriëtte A; Grobbee, Diederick E; Moons, Karel G M</t>
  </si>
  <si>
    <t>scandinavian journal of infectious diseases</t>
  </si>
  <si>
    <t>https://pubmed.ncbi.nlm.nih.gov/16338834</t>
  </si>
  <si>
    <t>Recently, a prediction rule for developing neurological sequelae after childhood bacterial meningitis was developed on a small derivation set. Before implementing in practice a prediction rule must first be tested in new patients (external validation). Our aim was to study the external validity of this rule and, if necessary, to update the rule. The prediction rule was tested on newly available data (validation set) by assessing the rule's calibration and discrimination. We updated the prediction rule by adding extra predictors and re-estimating the regression coefficients of the original predictors in the combined datasets. The rule showed poor agreement between predicted risks and observed frequencies. The ROC area was 0.65 (95% CI 0.57-0.72), which was statistically significantly lower than in the derivation set (0.87 (0.78-0.96)), p-value&lt;0.01. The updated prediction rule showed adequate performance in the combined data sets; the ROC area was 0.77 (95% CI 0.72-0.82). Further study of the generalizability of this updated rule may stimulate application in clinical practice.</t>
  </si>
  <si>
    <t>Predictors of risk of intracerebral haemorrhage in patients with a history of TIA or minor ischaemic stroke.</t>
  </si>
  <si>
    <t>Ariesen, M J; Algra, A; Warlow, C P; Rothwell, P M; ,</t>
  </si>
  <si>
    <t>https://pubmed.ncbi.nlm.nih.gov/16361603</t>
  </si>
  <si>
    <t>We developed a model identifying patients with previous cerebral ischaemia at increased risk of intracerebral haemorrhage (ICH). Based on data from eight cohorts, 107 ICHs were found to have occurred among 12 648 patients. Multivariate Cox regression analysis identified the following predictors: age (&gt; or = 60 years, hazard ratio (HR) 2.07), blood glucose level (&gt; or = 7 mmol/l, HR 0.33), systolic blood pressure (&gt; or = 140 mm Hg, HR 2.17), and antihypertensive drugs (HR 1.53). The highest risk quartile was associated with five times more ICHs than the lowest quartile.</t>
  </si>
  <si>
    <t>Fat mass rather than muscle strength is the major determinant of physical function and disability in postmenopausal women younger than 75 years of age.</t>
  </si>
  <si>
    <t>Lebrun, Corinne E I; van der Schouw, Yvonne T; de Jong, Frank H; Grobbee, Diederick E; Lamberts, Steven W</t>
  </si>
  <si>
    <t>https://pubmed.ncbi.nlm.nih.gov/16735945</t>
  </si>
  <si>
    <t>Few studies have investigated the relationships between body composition, functional ability, and age-related disability in postmenopausal women. We investigated the relative role of fat mass, lean mass, and muscle strength in the development of disability in a group of healthy postmenopausal women younger than 75 years. We performed a cross-sectional study among 396 independently living women aged 56-73 years, randomly selected between 8 and 30 years after menopause. Lean mass and fat mass were assessed by dual-energy x-ray absorptiometry. Muscle strength (grip and leg extensors) was assessed using dynamometry. Functional ability was estimated by Physical Performance Score, physical activity during the preceding year, and impairment in activities of daily living. Of the participants, 43.7 % were overweight (25 &gt; or = BMI &lt; 30 kg/m2), and 17.7% were obese (BM I &gt; or = 30 kg/m2). Higher muscle strength was observed with increasing lean body mass, and participants with higher muscle strength scored better in the physical performance score and activities of daily living. Higher fat mass was significantly associated with a lower physical performance score, lower physical activity, and a higher frequency of disability. Increasing fat mass was associated with increasing lean mass and decreasing lean/fat ratio. The increase in lean mass and muscle strength associated with higher fat mass was mainly localized in the legs. Our results support the role of fat mass as the primary risk marker for disability, which might later accelerate by the age-related decrease in lean mass and the development of sarcopenia after the age of 75 years.</t>
  </si>
  <si>
    <t>HFE genotypes and dietary heme iron: no evidence of strong gene-nutrient interaction on serum ferritin concentrations in middle-aged women.</t>
  </si>
  <si>
    <t>van der A, Daphne L; Peeters, Petra H M; Grobbee, Diederick E; Roest, Mark; Voorbij, Hieronymus A M; van der Schouw, Yvonne T</t>
  </si>
  <si>
    <t>https://pubmed.ncbi.nlm.nih.gov/16399493</t>
  </si>
  <si>
    <t>Hereditary hemochromatosis (HH) is a disorder characterized by inappropriately high intestinal iron absorption. In populations of Northern European descent, HH is most commonly caused by mutations (C282Y/H63D) in the HFE gene. We investigated the effects of dietary heme iron intake and HFE mutations on serum ferritin concentrations in a population-based random sample of 1611 women aged &gt;50 years using analysis of covariance (ANCOVA). Higher heme iron intake was associated with significantly higher serum ferritin concentrations (P(trend) &lt; 0.001). Also, women with the compound or C282Y homozygous genotype had significantly higher serum ferritin concentrations (geometric mean 115.2 microg/L (95% CI 81.4-162.9 microg/L) than women carrying normal alleles (geometric mean 76.6 microg/L (95% CI 72.5-80.9 microg/L). We observed the highest serum ferritin concentrations among postmenopausal women who are compound heterozygous or C282Y homozygous, and who consume relatively high amounts of heme iron (geometric mean 183.9 microg/L (95% CI 97.2-347.8 microg/L). Even when there are currently no clinical signs, women with the compound or C282Y homozygous genotype may still be at risk for developing iron overload sometime after menopause.</t>
  </si>
  <si>
    <t>Postmenopausal status and early menopause as independent risk factors for cardiovascular disease: a meta-analysis.</t>
  </si>
  <si>
    <t>Atsma, Femke; Bartelink, Marie-Louise E L; Grobbee, Diederick E; van der Schouw, Yvonne T</t>
  </si>
  <si>
    <t>https://pubmed.ncbi.nlm.nih.gov/16645540</t>
  </si>
  <si>
    <t>Loss of ovarian function and subsequent deficiency of endogenous estrogens is suggested to enhance cardiovascular disease risk and related death after menopause. The aim was to obtain valid estimates of the cardiovascular disease risk associated with postmenopausal status and early menopause. A literature search of observational studies was performed using PubMed and EMBASE (1966 to May 1, 2004). Eighteen studies on postmenopausal status and age at menopause in relation to cardiovascular disease were selected. Six studies investigated menopausal status, nine studies investigated menopausal age, and three studied both. General variance-based methods were used to pool relative risk estimates and corresponding 95% confidence intervals. Stratification was performed for study design, type of menopause, outcome, and adjustment for age and smoking. The pooled relative risk estimate for postmenopausal versus premenopausal status and cardiovascular disease was 1.36 (95% CI, 1.15-1.60). In the stratified analysis, the pooled effect was 0.96 (95% CI, 0.77-1.21) after controlling for age and smoking. The pooled effect of bilateral oophorectomy on cardiovascular disease was 2.62 (95% CI, 2.05-3.35). For early menopause and cardiovascular disease, with the menopausal age category containing 50 years as a reference, the pooled relative risk estimate was 1.25 (95% CI, 1.15-1.35). In the stratified analysis, the pooled effect was 1.38 (95% CI, 1.21-1.58) after controlling for age and smoking. The pooled effect of bilateral oophorectomy on cardiovascular disease was 4.55 (95% CI, 2.56-8.01). Overall, there was no convincing relationship between postmenopausal status and cardiovascular disease. However, there was a modest effect of early menopause on cardiovascular disease. The effect was more pronounced for women with an artificial menopause than for women with a natural menopause.</t>
  </si>
  <si>
    <t>Dutch iliac stent trial: long-term results in patients randomized for primary or selective stent placement.</t>
  </si>
  <si>
    <t>Klein, Willemijn M; van der Graaf, Yolanda; Seegers, Jan; Spithoven, Johannes H; Buskens, Erik; van Baal, Jeff G; Buth, Jaap; Moll, Frans L; Overtoom, Tim T C; van Sambeek, Marc R H M; Mali, Willem P T M</t>
  </si>
  <si>
    <t>https://pubmed.ncbi.nlm.nih.gov/16371580</t>
  </si>
  <si>
    <t>To determine long-term results of the prospective Dutch Iliac Stent Trial. The study protocol was approved by local institutional review boards. All patients gave written informed consent. Two hundred seventy-nine patients (201 men, 78 women; mean age, 58 years) with iliac artery disease were randomly assigned to undergo primary stent placement (143 patients) or percutaneous transluminal angioplasty (PTA) with selective stent placement in cases in which the residual mean pressure gradient was greater than 10 mm Hg across the treated site (136 patients). Before and at 3, 12, and 24 months and 5-8 years after treatment, all patients underwent assessment, which included duplex ultrasonography (US), ankle-brachial index (ABI) measurement, Fontaine classification of symptoms, and completion of the Rand 36-Item Health survey for quality-of-life assessment. Treatment was considered successful for symptoms if symptoms increased at least one Fontaine grade, for ABI if ABI increased more than 0.10, for patency if peak systolic velocity ratio at duplex US was less than 2.5, and for quality of life if the RAND 36-Item Health Survey score increased more than 15 points. Effects of both treatments on symptoms, quality of life, patency, and ABI were compared by using survival analyses. Patients who underwent PTA and selective stent placement had better improvement of symptoms (hazard ratio [HR], 0.8; 95% confidence limits [CLs]: 0.6, 1.0) than did patients treated with primary stent placement, whereas ABI (HR, 0.9; 95% CLs: 0.7, 1.3), iliac patency (HR, 1.3; 95% CLs: 0.8, 2.1), and score for quality of life for nine survey dimensions did not support a difference between treatment groups. Patients treated with PTA and selective stent placement in the iliac artery had a better outcome for symptomatic success compared with patients treated with primary stent placement, whereas data about iliac patency, ABI, and quality of life did not support a difference between groups.</t>
  </si>
  <si>
    <t>[The practice guideline 'CVA' from the Dutch College of General Practitioners; a response from the perspective of general practice].</t>
  </si>
  <si>
    <t>https://pubmed.ncbi.nlm.nih.gov/16398161</t>
  </si>
  <si>
    <t>The practice guideline from the Dutch College of General Practitioners regarding the diagnosis, treatment and follow-up of a patient with a cerebrovascular accident recommends the patient's referral to a so-called 'stroke-unit'. Thrombolysis within 3 hours after the onset of a stroke should be reconsidered, although its effectiveness remains disputable. The guideline does not explicitly address the GP's responsibility for secondary prevention. The role of the GP in the process of rehabilitation and follow-up in the years after the CVA is described in detail. In so doing, this phase gets the attention it deserves.</t>
  </si>
  <si>
    <t>Alcohol consumption and risk of type 2 diabetes among older women.</t>
  </si>
  <si>
    <t>Beulens, Joline W J; Stolk, Ronald P; van der Schouw, Yvonne T; Grobbee, Diederick E; Hendriks, Henk F J; Bots, Michiel L</t>
  </si>
  <si>
    <t>https://pubmed.ncbi.nlm.nih.gov/16306557</t>
  </si>
  <si>
    <t>This study aimed to investigate the relation between alcohol consumption and type 2 diabetes among older women. Between 1993 and 1997, 16,330 women aged 49-70 years and free from diabetes were enrolled in one of the Dutch Prospect-EPIC (European Prospective Study Into Cancer and Nutrition) cohorts and followed for 6.2 years (range 0.1-10.1). At enrollment, women filled in questionnaires and blood samples were collected. During follow-up, 760 cases of type 2 diabetes were documented. A linear inverse association (P = 0.007) between alcohol consumption and type 2 diabetes risk was observed, adjusting for potential confounders. Compared with abstainers, the hazard ratio for type 2 diabetes was 0.86 (95% CI 0.66-1.12) for women consuming 5-30 g alcohol per week, 0.66 (0.48-0.91) for 30-70 g per week, 0.91 (0.67-1.24) for 70-140 g per week, 0.64 (0.44-0.93) for 140-210 g per week, and 0.69 (0.47-1.02) for &gt;210 g alcohol per week. Beverage type did not influence this association. Lifetime alcohol consumption was associated with type 2 diabetes in a U-shaped fashion. Our findings support the evidence of a decreased risk of type 2 diabetes with moderate alcohol consumption and expand this to a population of older women.</t>
  </si>
  <si>
    <t>Multidisciplinary vascular screening program modestly improves the medical treatment of vascular risk factors.</t>
  </si>
  <si>
    <t>Goessens, B M B; Visseren, F L J; Olijhoek, J K; Eikelboom, B C; van der Graaf, Y</t>
  </si>
  <si>
    <t>https://pubmed.ncbi.nlm.nih.gov/16453088</t>
  </si>
  <si>
    <t>This study investigated whether recommendations given to the treating vascular specialist and the GP by a multidisciplinary team of vascular specialists concerning the medical treatment of risk factors, based on international guidelines, led to an increased medication use in a high-risk population. Data were obtained from 618 patients enrolled in the SMART study, an ongoing single-center prospective cohort study of patients referred to the University Medical Center Utrecht for atherosclerotic vascular diseases. All patients underwent a vascular screening and their physicians received recommendations concerning the medical treatment of newly detected or not yet sufficiently treated vascular risk factors. After a median follow-up of 29 months, questionnaires about medication use were sent to 618 patients; 534 (86%) questionnaires were returned. Actual use of medication was compared with medical treatment recommendation given at baseline. The proportion of patients on antihypertensive medication with hypertension (&gt; or =140/90 mmHg) and not diagnosed with coronary heart disease increased from 56% to 68% (95% confidence interval (95% CI) 2 - 23). The frequency of lipid-lowering medication use increased substantially from 47% to 69% (95% CI 17 - 28). The frequency of glucose-lowering medication use increased slightly from 11% to 14% (95% CI 1 - 7). The use of folic acid increased from 2% to 14% (95% CI 9 - 15) in patients with hyperhomocysteinaemia. Medical treatment recommendations, formulated by a multidisciplinary team, led to a significant increase in medication use. The increase is marginal compared with trends in medication use without this intervention in usual care.</t>
  </si>
  <si>
    <t>The estrogen receptor alpha gene and breast cancer risk (The Netherlands).</t>
  </si>
  <si>
    <t>Onland-Moret, N Charlotte; van Gils, Carla H; Roest, Mark; Grobbee, Diederick E; Peeters, Petra H M</t>
  </si>
  <si>
    <t>https://pubmed.ncbi.nlm.nih.gov/16215870</t>
  </si>
  <si>
    <t>In this study we aimed to investigate whether the PvuII, XbaI and B-variant polymorphisms in the estrogen receptor alpha gene (ER-alpha) are associated with an increased risk of breast cancer in postmenopausal women, and whether the effect of high estradiol (E2) levels on breast cancer risk is altered by these polymorphisms. The selection of these polymorphisms was based on previously published associations with osteoporosis and spontaneous abortions. The effect of the three polymorphisms on breast cancer risk was studied using a case-cohort design nested within a large population-based cohort study (n = 9349) in the Netherlands (the DOM-cohort). In total 380 incident breast cancer cases and a subcohort of 422 women were genotyped by RFLP or ASO hybridization methods. Women with the PvuII pp genotype had a 1.5 times non significant increased risk of breast cancer (95% CI: 0.94-2.42; p(trend) = 0.09) compared to women with the PP genotype. The Pp or pp genotype in combination with high E2 levels raised breast cancer risk significantly when compared to women with low E2 levels and the PP genotype (RR=2.26; 95% CI: 1.24-4.13). This interaction was statistically significant on the multiplicative scale (p = 0.01). The XbaI genotype (RR(xx versus XX) = 1.19; 95% CI: 0.73-1.95) and the B' allele (RR(BB'+B'B' versus BB) = 0.87; 95% CI: 0.56-1.33) were not associated with breast cancer risk. The results of this study suggest that the PvuII polymorphism in the ER-alpha, or another mutation in linkage disequilibrium with PvuII, in combination with high E2 levels increases breast cancer risk in postmenopausal women.</t>
  </si>
  <si>
    <t>Recognising heart failure in elderly patients with stable chronic obstructive pulmonary disease in primary care: cross sectional diagnostic study.</t>
  </si>
  <si>
    <t>Rutten, Frans H; Moons, Karel G M; Cramer, Maarten-Jan M; Grobbee, Diederick E; Zuithoff, Nicolaas P A; Lammers, Jan-Willem J; Hoes, Arno W</t>
  </si>
  <si>
    <t>https://pubmed.ncbi.nlm.nih.gov/16321994</t>
  </si>
  <si>
    <t>To determine which clinical variables provide diagnostic information in recognising heart failure in primary care patients with stable chronic obstructive pulmonary disease (COPD) and whether easily available tests provide added diagnostic information. Cross sectional diagnostic study. 51 primary care practices. 1186 patients aged &gt; or = 65 years with COPD diagnosed by their general practitioner who did not have a diagnosis of heart failure confirmed by a cardiologist. Independent diagnostic variables for concomitant heart failure in primary care patients with stable COPD. 405 patients (34% of eligible patients) underwent a systematic diagnostic investigation, which resulted in 83 (20.5%) receiving a new diagnosis of concomitant heart failure. Independent clinical variables for concomitant heart failure were a history of ischaemic heart disease, high body mass index, laterally displaced apex beat, and raised heart rate (area under the receiver operating characteristic curve (ROC area) 0.70, 95% confidence interval 0.64 to 0.76). Addition of measurement of N-terminal pro-brain natriuretic peptide (NT-proBNP) to the reduced "clinical model" had the largest added diagnostic value, with a significant increase of the ROC area to 0.77 (0.71 to 0.83), followed by electrocardiography (0.75, 0.69 to 0.81). C reactive protein and chest radiography had limited added value. A simplified diagnostic model consisting of the four independent clinical variables plus NT-proBNP and electrocardiography was developed. A limited number of items easily available from history and physical examination, with addition of NT-proBNP and electrocardiography, can help general practitioners to identify concomitant heart failure in individual patients with stable COPD.</t>
  </si>
  <si>
    <t>Antiplatelet drugs in the secondary prevention after stroke: differential efficacy in large versus small vessel disease? A subgroup analysis from ESPS-2.</t>
  </si>
  <si>
    <t>Ariesen, Marie-José; Algra, Ale; Kappelle, L Jaap</t>
  </si>
  <si>
    <t>https://pubmed.ncbi.nlm.nih.gov/16306466</t>
  </si>
  <si>
    <t>Arterial disease resulting in cerebral ischemia can be classified into large vessel disease (LVD) and small vessel disease (SVD). We assessed whether antiplatelet drugs were more efficacious in large than in small vessel cerebrovascular disease. Individual patient data of the second European Stroke Prevention Study (n=6602), in which patients with a previous transient ischemic attack or ischemic stroke were randomized to aspirin, dipyridamole, their combination, or placebo, were reanalyzed. Type of vessel disease was classified according to clinical symptoms or physical examination. Presence of a lacunar syndrome was considered typical for SVD and evidence of cortical dysfunction for LVD. Vascular events (nonfatal stroke, nonfatal myocardial infarction, nonfatal other vascular event, or vascular death) were taken as outcome. Cox regression analyses were performed. A total of 419 first vascular events occurred in 2600 patients with SVD and 367 in 1816 patients with LVD (mean follow-up 1.7 years). For aspirin versus placebo, the hazard ratio (HR) was 0.86 (95% CI, 0.66 to 1.11) in patients with SVD and 0.80 (95% CI, 0.61 to 1.06) in those with LVD (Pinteraction=0.74). For dipyridamole versus placebo, the HR was 0.86 (95% CI, 0.67 to 1.12) in patients with SVD and 0.90 (95% CI, 0.68 to 1.19) in patients with LVD (Pinteraction=0.84). Similar observations were made for the outcome stroke only. Our findings do not concur with the hypothesis that aspirin, dipyridamole, or the combination may be especially effective in preventing vascular events in patients with previous cerebral ischemia that was caused by LVD compared with SVD.</t>
  </si>
  <si>
    <t>Noninvasive arterial measurements of vascular damage in healthy young adults: relation to coronary heart disease risk.</t>
  </si>
  <si>
    <t>Van Trijp, Marijke J C A; Uiterwaal, Cuno S P M; Bos, Willem J W; Oren, Anath; Grobbee, Diederick E; Bots, Michiel L</t>
  </si>
  <si>
    <t>https://pubmed.ncbi.nlm.nih.gov/16305824</t>
  </si>
  <si>
    <t>There is an increasing interest in noninvasive measurements of early structural or functional changes in large arteries such as pulse wave velocity (PWV), carotid intima-media thickness (CIMT), and augmentation index (AIx). These measurements may be applied in etiologic or prognostic research. The role of the AIx as a marker of cardiovascular risk has not fully been established. Our aim was to study whether AIx is related to coronary heart disease (CHD) risk and to compare the strength of the relations of AIx, PWV, and CIMT with cardiovascular risk in healthy young adults. Our study included 224 men and 273 women (mean age 28 years, range 27-30 years) from the Atherosclerosis Risk in Young Adults (ARYA) study. Cardiovascular risk profile was determined and CHD risk was estimated using the Framingham risk score. AIx, PWV and CIMT were measured using standard methods. Data were analyzed in strata of gender using linear regression models. In men, PWV and CIMT were most strongly related to CHD risk. The increase in CHD risk per standard deviation increase in measurement was 0.24%/m/s, 95% CI (0.01;0.33) and 0.32%/mm, 95% CI (0.08;0.55), whereas the AIx was not significantly related to CHD risk (0.09 %/% 95% CI [-0.15;0.33]). In women, AIx, PWV, and CIMT were weakly but significantly related to CHD risk; there was no clear difference between the measurements. In young men, PWV and CIMT are better measures of CHD risk than AIx. In women, AIx, PWV and CIMT estimate CHD risk equally well.</t>
  </si>
  <si>
    <t>Measurements of breast density: no ratio for a ratio.</t>
  </si>
  <si>
    <t>Haars, Gerco; van Noord, Paulus A H; van Gils, Carla H; Grobbee, Diederick E; Peeters, Petra H M</t>
  </si>
  <si>
    <t>https://pubmed.ncbi.nlm.nih.gov/16284389</t>
  </si>
  <si>
    <t>Breast density, as visible on mammograms, is generally assessed as the occupied percentage of the breast and is a risk factor for breast cancer. Various studies have looked into the causation and alteration of relative density but the relation of a determinant with a relative measure does not allow a direct etiologic interpretation. It was our goal to compare the effects of known determinants on relative density and the absolute amounts of dense and nondense tissues. We measured the absolute and relative densities in a population of 418 postmenopausal women participating in a breast cancer screening program. The occupied surface area was calculated after manually tracing the contours of the tissues on digitized mammograms. Information on determinants was available through physical examination and questionnaires. Data were analyzed by multivariate linear regression. Age and parity were found to decrease the amount of dense tissue and the ages at menarche and menopause were found to increase it (R(2) = 13%). The amount of nondense tissue was increased by higher body mass index (BMI), age, and parity (R(2) = 43%). Relative density was affected by a combination of these factors (R(2) = 29%) with directionalities of effects that are comparable to those of dense tissue. However, the magnitudes of these effects were the resultant of the effects on dense and nondense tissues. The influence of BMI on relative density was completely due to an effect on nondense tissue. Although relative density is a relevant prognostic factor, inferences about the etiology of breast density should be made on the basis of absolute measures.</t>
  </si>
  <si>
    <t>Polymorphisms in the estrogen receptor alpha gene and mammographic density.</t>
  </si>
  <si>
    <t>van Duijnhoven, Fränzel J B; Bezemer, Irene D; Peeters, Petra H M; Roest, Mark; Uitterlinden, André G; Grobbee, Diederick E; van Gils, Carla H</t>
  </si>
  <si>
    <t>https://pubmed.ncbi.nlm.nih.gov/16284392</t>
  </si>
  <si>
    <t>The presence of the PvuII or the XbaI polymorphism in the estrogen receptor alpha gene (ESR1, 6q25) has been related to breast cancer risk; however, results are not fully consistent. To further elucidate this relation, we examined these polymorphisms in relation with mammographic density, a measure of dense tissue in the breast, which is strongly associated with breast cancer risk. For this study, 620 participants aged 49 to 68 years were selected from the Prospect-European Prospective Investigation into Cancer and Nutrition cohort. Blood samples, lifestyle- and medical questionnaire data and mammograms were available for these women. Genotyping was done using the TaqMan PCR assay and mammographic density was assessed using a computer-assisted method. Means of mammographic density were compared by ESR1 genotypes and haplotypes. The percentage density was higher in women with one or two copies of the PvuII p allele (means for Pp and pp are 37% and 36%, respectively) than in those with the PP genotype (32%, P(trend) = 0.09). Women with one or two copies of the XbaI x allele had higher mean percentage density (Xx and xx, 36% and 37%, respectively) than those with the XX genotype (31%, P(trend) &lt; 0.01). Haplotype 1 (px) was associated with increased density, whereas haplotype 2 (PX) was associated with decreased density, both suggesting an allele-dose effect (P(trend) = 0.08 and &lt;0.01, respectively). Similar associations were found with absolute density (P(trend) &lt; 0.01). The findings of this study support the view that ESR1 polymorphisms may affect breast cancer risk through differences in breast density.</t>
  </si>
  <si>
    <t>Soy isoflavones, body composition, and physical performance.</t>
  </si>
  <si>
    <t>Kok, Linda; Kreijkamp-Kaspers, Sanne; Grobbee, Diederick E; Lampe, Johanna W; van der Schouw, Yvonne T</t>
  </si>
  <si>
    <t>https://pubmed.ncbi.nlm.nih.gov/16186072</t>
  </si>
  <si>
    <t>Physiologic changes, occurring during the process of aging, can have serious health consequences, such as increased risk of chronic disease and disability. Decline in estradiol levels after menopause is hypothesized to contribute to this risk. Thus, hormone therapy (HT) might prevent or delay those changes. However, HT has serious side effects and alternative approaches are needed. We performed a 12-month double-blind randomized trial comparing soy protein containing 99mg isoflavones (aglycone weights) with milk protein (placebo) daily in 202 postmenopausal women aged 60-75 years. Endpoints were body composition, and physical performance. Randomization resulted in reasonable well-balanced groups, 153 (76%) women completed the trial. Compliance was good (plasma genistein levels 55 +/- 101 and 1259 +/- 1610 nmol/L for placebo and soy group, respectively). The changes in the endpoints during the intervention period among the two intervention groups were analyzed. Body mass index (BMI) and waist-to-hip ratio did not change during intervention. Handgrip strength at the final visit was slightly worse in the soy group compared to the placebo group (-0.45 kg (95% C.I.: -2.5, 1.6 kg; p = 0.7), but this difference was not statistically significant. Self-reported functional status, mobility and physical performance, all slightly improved during intervention but there were no differences between the groups. The results of the present trial do not support the view that soy isoflavones have favorable effects on body composition and physical performance in postmenopausal women.</t>
  </si>
  <si>
    <t>Best reproducibility of the ankle-arm index was calculated using Doppler and dividing highest ankle pressure by highest arm pressure.</t>
  </si>
  <si>
    <t>https://pubmed.ncbi.nlm.nih.gov/16291473</t>
  </si>
  <si>
    <t>To investigate which method of ankle-arm index (AAI) measurement in terms of selected arteries and blood pressure devices yields the highest reproducibility. In this cross-sectional study, duplicate AAI measurements were obtained at the right and left side in 320 postmenopausal women. Analyses were done as proposed by Bland and Altman and intraclass correlation coefficients were calculated. The mean and standard deviation (SD) of the first and second systolic blood pressure (SBP) measurement separately did not differ from the mean and SD of the duplicate SBP measurements averaged. Coefficients of repeatability and intraclass correlation coefficients were comparable when the ankle SBP was measured in the posterior tibial artery or dorsalis pedis artery. Coefficients of repeatability as well as the intraclass correlation were better when the SBP in the brachial artery was measured with Doppler than with Dinamap. To achieve the best reproducibility and smallest systematic difference in the AAI, single SBP measurements should be obtained by Doppler in the brachial artery, posterior tibial artery and dorsalis pedis artery. The AAI should be calculated for each foot separately by dividing the highest ankle SBP by the highest arm SBP.</t>
  </si>
  <si>
    <t>Alcohol and arterial wave reflections in middle aged and elderly men.</t>
  </si>
  <si>
    <t>van Trijp, M J C A; Bos, W J W; van der Schouw, Y T; Muller, M; Grobbee, D E; Bots, M L</t>
  </si>
  <si>
    <t>https://pubmed.ncbi.nlm.nih.gov/16178880</t>
  </si>
  <si>
    <t>Augmentation index (AIx) is a measure of arterial wave reflection, providing information on the workload of the heart. and is a possible marker for cardiovascular disease risk. The relation of alcohol consumption with cardiovascular disease (CVD) risk is U-shaped with a protective effect of moderate alcohol consumption. The relation of alcohol consumption level with AIx has not been widely investigated, which prompted this study of the relation of alcohol consumption with AIx in a population-based cohort of men aged 40-80 years. Three hundred and seventy-four men (mean age 60.5 years) participated in this cross-sectional study. Alcohol consumption and smoking habits were determined through a validated questionnaire. Fasting blood samples were drawn and analyzed for glucose and lipid levels and AIx was estimated by radial applanation tonometry using the SphygmoCor Device. The resultant data were analyzed using linear regression models. Age, height, heart rate, blood pressure, packyears, current smoking, presence of CVD and hypertension were independently related to AIx. The relation of alcohol consumption with AIx was U-shaped, with a significantly lower AIx in the group drinking 4-8 glasses/week (difference = -2.91%, 95% CI [-5.65; -0.18]) relative to those drinking 0-3 glasses/week. Additional adjustment for current smoking did not change this relationship, but adjustment for pulse wave velocity attenuated the relation. In a population-based cohort of men aged 40-80 years the relation of alcohol consumption level with AIx was U-shaped, further expanding the evidence for vascular protective effects of moderate alcohol intake.</t>
  </si>
  <si>
    <t>The role of work-related and personal factors in diabetes self-management.</t>
  </si>
  <si>
    <t>Weijman, Iris; Ros, Wynand J G; Rutten, Guy E H M; Schaufeli, Wilmar B; Schabracq, Marc J; Winnubst, Jacques A M</t>
  </si>
  <si>
    <t>https://pubmed.ncbi.nlm.nih.gov/16198222</t>
  </si>
  <si>
    <t>The aim of this study was to investigate how factors in the workplace and personal factors are related to the frequency with which people with diabetes perform self-management activities and the degree to which they do or do not experience the performing of self-management activities as a burden. Two hundred and ninety-two employees with insulin-treated diabetes completed questionnaires on socio-demographic and illness-related background variables, work experience, diabetes self-efficacy, social support outside of work, coping styles and self-management activities. The results indicate that employees who reported a high workload were more likely to perceive injecting insulin as a burden. The level of social support was positively related to the frequency of dietary self-management in type 2 diabetes and negatively related to the sense of being burdened by dietary self-management in type 1 diabetes. With respect to personal factors, we found that a diabetes avoidance coping style was associated particularly with infrequent blood glucose monitoring and a high sense of being burdened by blood glucose monitoring. Individuals with a low level of self-efficacy were more likely to perceive all types of self-management activities as a burden. These results may guide health professionals when counseling individuals with diabetes.</t>
  </si>
  <si>
    <t>Rationale and design of the prevention of respiratory infections and management in children (PRIMAKid) study: a randomized controlled trial on the effectiveness and costs of combined influenza and pneumococcal vaccination in pre-school children with recurrent respiratory tract infections.</t>
  </si>
  <si>
    <t>Schönbeck, Y; Sanders, E A M; Hoes, A W; Schilder, A G M; Verheij, Th J M; Hak, E</t>
  </si>
  <si>
    <t>https://pubmed.ncbi.nlm.nih.gov/16005552</t>
  </si>
  <si>
    <t>Health and economic burden of recurrent respiratory tract infections (RTIs) in early childhood is considerable. A systematic review of licensed influenza and pneumococcal vaccines showed substantial efficacy in children, but the health-economic impact of such vaccines among pre-school children with recurrent RTIs is unknown. We therefore, designed a double-blind randomized controlled trial to determine the effectiveness and costs of a combined influenza and pneumococcal vaccination program among a primary care based cohort of children with recurrent episodes of RTI aged between 18 and 72 months. We will enroll 690 children over three consecutive years (2003--2005) who will be randomly allocated to receive vaccinations against influenza and pneumococcal disease, influenza alone or hepatitis B in a similar schedule. Follow up by parental diaries, tympanic temperature measurements, questionnaires and interviews is planned until May 2006. Primary outcome is number of febrile RTIs. Other outcomes include duration and severity of RTI episodes, medical consumption, safety and costs.</t>
  </si>
  <si>
    <t>Use of hormones in the menopausal transition period in the Netherlands between 1993 and 1997.</t>
  </si>
  <si>
    <t>van Duijnhoven, Fränzel J B; van Gils, Carla H; Bezemer, Irene D; Peeters, Petra H M; van der Schouw, Yvonne T; Grobbee, Diederick E</t>
  </si>
  <si>
    <t>https://pubmed.ncbi.nlm.nih.gov/16198516</t>
  </si>
  <si>
    <t>To describe the patterns and to assess the indicators of hormone use during the menopausal transition period in a Dutch population. Between 1993 and 1997, 17,357 women aged 49-70 years participated in the Prospect-EPIC (European Prospective Investigation into Cancer and Nutrition) cohort and filled out an extensive questionnaire, which included information about hormone use during menopausal transition and other medical and lifestyle characteristics. Patterns of hormone use were described and various characteristics were evaluated as indicators of current hormone use by logistic regression. Overall, 13% of women were current hormone users, which was highest in the 49-54 age group (19%). Hysterectomized women and older non-hysterectomized women mainly used unopposed estrogen therapy (ET), whereas younger non-hysterectomized women mainly used oral contraceptives or combined estrogen+progestogen therapy. Of all ever users, 61% used hormones for more than 1 year and 28% for more than 5 years. The most important indicators of hormone use for women without a surgical menopause were age, alcohol use, smoking, parity, ever use of oral contraceptives and family history of breast cancer. For women with a surgical menopause age, parity, ever use of oral contraceptives, diastolic blood pressure and the number of removed ovaries were the most relevant indicators. The frequency of hormone use during menopausal transition in the Netherlands is low compared to other western countries, but the duration of use is quite long. Hormone use seems to be largely determined by factors that are known to affect endogenous estrogen levels.</t>
  </si>
  <si>
    <t>Innate left handedness and risk of breast cancer: case-cohort study.</t>
  </si>
  <si>
    <t>https://pubmed.ncbi.nlm.nih.gov/16186135</t>
  </si>
  <si>
    <t>Non-invasively measured structural and functional arterial characteristics and coronary heart disease risk in middle aged and elderly men.</t>
  </si>
  <si>
    <t>van Trijp, Marijke J C A; Bos, Willem J W; van der Schouw, Yvonne T; Muller, Majon; Grobbee, Diederick E; Bots, Michiel L</t>
  </si>
  <si>
    <t>https://pubmed.ncbi.nlm.nih.gov/16168418</t>
  </si>
  <si>
    <t>In cardiovascular (CV) epidemiology, interest increases in studying etiologic and prognostic implications of early structural or functional changes of the large arteries. Examples of such measurements are pulse wave velocity (PWV), carotid intima-media thickness (CIMT) and augmentation index (AIx). PWV and CIMT are established markers of CV risk whereas the role of AIx as indicator of risk has not fully been established. Therefore, our aim was to relate AIx to CV risk and to compare the magnitude of relations of PWV, CIMT and AIx to CV risk. Two hundred and ninty-nine men free from cardiovascular disease (mean age 59.2 years), participated in this cross-sectional study. Cardiovascular risk profile was determined and 10-year coronary heart disease risk was estimated using the Framingham risk score (FRS). PWV, CIMT and AIx were measured and data were analyzed using linear regression models. PWV and CIMT were strongest related to FRS whereas AIx showed the weakest relation. Ten-year coronary heart disease risk increased 6.24%, 95% confidence interval (CI) [5.11;7.37] per standard deviation (S.D.) increase in PWV, 6.39% [5.24;7.54] per S.D. increase in CIMT and 2.50% [1.19;3.80] per S.D. increase in AIx. In middle aged and elderly men AIx is related to CV risk. However, compared with AIx, PWV and CIMT seem better markers of cardiovascular risk.</t>
  </si>
  <si>
    <t>Determinants of antibiotic overprescribing in respiratory tract infections in general practice.</t>
  </si>
  <si>
    <t>Akkerman, Annemiek E; Kuyvenhoven, Marijke M; van der Wouden, Johannes C; Verheij, Theo J M</t>
  </si>
  <si>
    <t>https://pubmed.ncbi.nlm.nih.gov/16155062</t>
  </si>
  <si>
    <t>To assess determinants of antibiotic overprescribing in patients with sinusitis, tonsillitis and bronchitis in Dutch general practice. A total of 146 general practitioners (GPs) from The Netherlands included all patients with sinusitis, tonsillitis and bronchitis during a 4 week period in the winter of 2002/2003, and recorded patient characteristics, clinical presentation and management. Overprescribing of antibiotics was assessed using the recommendations of the Dutch national guidelines as a benchmark. In almost 50% of all 1469 respiratory tract infection (RTI) consultations (694/1469), the antibiotic prescribing decisions were in accordance with the recommendations of the Dutch national guidelines. Overprescribing was highest in tonsillitis and bronchitis [71% (168/238) and 63% (415/656), respectively], while in sinusitis this was only 22% (128/575). Underprescribing was seen in 1% (3/238), 3% (17/656) and 8% (44/575), respectively. Patients who received an antibiotic prescription that was not in accordance with the guidelines had more inflammation signs such as fever (ORs 2.08, 2.18 and 3.04, for sinusitis, tonsillitis and bronchitis, respectively), were more severely ill according to their GP (ORs 2.37, 1.87 and 1.42, respectively), and their GP assumed more often that they expected an antibiotic (ORs 1.95, 1.70 and 2.11, respectively), compared with those who did not receive an antibiotic prescription. GPs overestimate symptoms and probably patients' expectations when indicating antibiotic therapy in RTI cases in daily practice. Correct interpretation of combinations of symptoms for antibiotic treatment should be emphasized, combined with adopting more patient-centred consulting skills to rationalize the prescribing of antibiotics.</t>
  </si>
  <si>
    <t>Age at menarche in relation to adult height: the EPIC study.</t>
  </si>
  <si>
    <t>Onland-Moret, N C; Peeters, P H M; van Gils, C H; Clavel-Chapelon, F; Key, T; Tjønneland, A; Trichopoulou, A; Kaaks, R; Manjer, J; Panico, S; Palli, D; Tehard, B; Stoikidou, M; Bueno-De-Mesquita, H B; Boeing, H; Overvad, K; Lenner, P; Quirós, J R; Chirlaque, M D; Miller, A B; Khaw, K T; Riboli, E</t>
  </si>
  <si>
    <t>https://pubmed.ncbi.nlm.nih.gov/16107566</t>
  </si>
  <si>
    <t>In the last two centuries, age at menarche has decreased in several European populations, whereas adult height has increased. It is unclear whether these trends have ceased in recent years or how age at menarche and height are related in individuals. In this study, the authors first investigated trends in age at menarche and adult height among 286,205 women from nine European countries by computing the mean age at menarche and height in 5-year birth cohorts, adjusted for differences in socioeconomic status. Second, the relation between age at menarche and height was estimated by linear regression models, adjusted for age at enrollment between 1992 and 1998 and socioeconomic status. Mean age at menarche decreased by 44 days per 5-year birth cohort (beta = -0.12, standard error = 0.002), varying from 18 days in the United Kingdom to 58 days in Spain and Germany. Women grew 0.29 cm taller per 5-year birth cohort (standard error = 0.007), varying from 0.42 cm in Italy to 0.98 cm in Denmark. Furthermore, women grew approximately 0.31 cm taller when menarche occurred 1 year later (range by country: 0.13-0.50 cm). Based on time trends, more recent birth cohorts have their menarche earlier and grow taller. However, women with earlier menarche reach a shorter adult height compared with women who have menarche at a later age.</t>
  </si>
  <si>
    <t>Long-term prognosis of acute otitis media in infancy: determinants of recurrent acute otitis media and persistent middle ear effusion.</t>
  </si>
  <si>
    <t>Damoiseaux, Roger A M J; Rovers, Maroeska M; Van Balen, Frank A M; Hoes, Arno W; de Melker, Ruut A</t>
  </si>
  <si>
    <t>https://pubmed.ncbi.nlm.nih.gov/16107490</t>
  </si>
  <si>
    <t>Children under 2 years of age with acute otitis media are known to have a relatively poor prognosis. The objective of this study was to assess whether known determinants for recurrent acute otitis media and persistent middle ear effusion after an episode of acute otitis media during childhood also apply to children under 2 years. prospective study of 210 children under 2, with identification of potential prognostic determinants. Univariate and multivariate logistic regression analyses were applied to evaluate which parameters independently contributed to the prediction of both outcome measures (recurrent acute otitis media and persistent middle ear effusion). A prognostic function was developed, and the area under the receiving operating characteristic (ROC) was used to estimate the predictive ability of the prognostic models. children under 2 years of age with an episode of acute otitis media in family practice. recurrent acute otitis media and persistent middle ear effusion. For the outcome recurrent acute otitis media data from 210 children were used and winter season, male sex, passive smoking and persistent symptoms for more than 10 days at presentation were independent prognostic determinants. For the outcome persistent middle ear effusion data from 190 children were used and winter season, bilateral disease at entry, a sibling history of recurrent acute otitis media, and a previous episode of acute otitis media independently predicted the outcome. No sufficiently discriminatory prognostic model could be constructed for either outcome measure. Prediction of recurrent acute otitis media or persistent middle ear effusion in individual young children remains poor.</t>
  </si>
  <si>
    <t>Effect size estimates of lifestyle and dietary changes on all-cause mortality in coronary artery disease patients: a systematic review.</t>
  </si>
  <si>
    <t>Iestra, J A; Kromhout, D; van der Schouw, Y T; Grobbee, D E; Boshuizen, H C; van Staveren, W A</t>
  </si>
  <si>
    <t>https://pubmed.ncbi.nlm.nih.gov/16087812</t>
  </si>
  <si>
    <t>Guidelines for lifestyle and dietary modification in patients with coronary artery disease (CAD) are mainly supported by evidence from general population studies. CAD patients, however, differ from the general population in age (older) and treatment with preventive drugs. This review seeks to provide evidence for a prognostic benefit of lifestyle and dietary recommendations from studies in CAD patients. A literature search was performed on the effect of lifestyle and dietary changes on mortality in CAD patients. Prospective cohort studies and randomized controlled trials of patients with established CAD were included if they reported all-causes mortality and had at least 6 months of follow-up. The effect estimates of smoking cessation (relative risk [RR], 0.64; 95% CI, 0.58 to 0.71), increased physical activity (RR, 0.76; 95% CI, 0.59 to 0.98), and moderate alcohol use (RR, 0.80; 95% CI, 0.78 to 0.83) were studied most extensively. For the 6 dietary goals, data were too limited to provide reliable effect size estimates. Combinations of dietary changes were associated with reduced mortality (RR, 0.56; 95% CI, 0.42 to 0.74). Available studies show convincingly the health benefits of lifestyle changes in CAD patients. Effect estimates of combined dietary changes look promising. Future studies should confirm these findings and assess the contribution of the individual dietary factors.</t>
  </si>
  <si>
    <t>Cumulative genetic defects in carcinogen metabolism may increase breast cancer risk (The Netherlands).</t>
  </si>
  <si>
    <t>van der Hel, Olga L; Bueno-de-Mesquita, H Bas; van Gils, Carla H; Roest, Mark; Slothouber, Barbara; Grobbee, Diederick E; Peeters, Petra H M</t>
  </si>
  <si>
    <t>https://pubmed.ncbi.nlm.nih.gov/16049806</t>
  </si>
  <si>
    <t>Variants in the metabolic genes NAT1, NAT2, GSTM1 or GSTT1, may cause differences in individual detoxifying capacity of possible carcinogens. We examined the cumulative effect of putative at risk genotypes on breast cancer risk and we examined the extent to which these polymorphisms modify the association between smoking and breast cancer. A case cohort study was conducted in the DOM cohort with 676 breast cancer cases and a random sample of 669 individuals. No effect of the NAT1, NAT2 or GSTM1 genotypes on breast cancer risk was observed. However, women with GSTT1 null genotype had a 30% increased breast cancer risk compared to women with GSTT1 present (RR = 1.30 (95% confidence interval (CI) 1.04-1.64)). Smoking did not influence breast cancer risk nor did genetic variations in NAT1, NAT2 or GSTM1 in combination with smoking. Compared to women who never smoked with GSTT1 present, women with GSTT1 null genotype and who formerly smoked showed an increased breast cancer risk (RR = 2.55 (95% CI 1.10-5.90)), but current smokers who smoked 20 cigarettes or more per day did not (RR = 1.06 (95% CI 0.51-2.18)). Increasing numbers of putative at risk genotypes increased breast cancer risk in a dose dependent manner (p for trend 0.01). The risk was more than doubled in women with all four risk genotypes, RR = 2.45 (95% CI 1.24-4.86), compared to women with zero putative at risk genotypes. In conclusion, the results of this study suggest that presence of three or more putative at risk genotypes increases breast cancer risk.</t>
  </si>
  <si>
    <t>Prognostic significance of coronary collaterals in patients with coronary heart disease having percutaneous transluminal coronary angioplasty.</t>
  </si>
  <si>
    <t>Koerselman, Jeroen; de Jaegere, Peter P T; Verhaar, Marianne C; Grobbee, Diederick E; van der Graaf, Yolanda; ,</t>
  </si>
  <si>
    <t>https://pubmed.ncbi.nlm.nih.gov/16054465</t>
  </si>
  <si>
    <t>We examined the presence and extent of coronary collaterals as a prognostic determinant of cardiovascular outcome in a prospective case-cohort study of 655 patients admitted for elective coronary angioplasty. In patients with ischemic heart disease, the angiographic presence of coronary collaterals may mark an unfavorable prognosis, particularly in relatively high-risk patients.</t>
  </si>
  <si>
    <t>The 1944-1945 Dutch famine and subsequent overall cancer incidence.</t>
  </si>
  <si>
    <t>Elias, Sjoerd G; Peeters, Petra H M; Grobbee, Diederick E; van Noord, Paulus A H</t>
  </si>
  <si>
    <t>https://pubmed.ncbi.nlm.nih.gov/16103448</t>
  </si>
  <si>
    <t>Caloric restriction seems to be the most potent dietary intervention to protect against a variety of cancers in animals. We investigated whether overall cancer risk is affected in humans after exposure to a brief famine, followed by a period of abundance. We used data of approximately 15,000 women who were exposed at various degrees to the 1944-1945 Dutch famine at ages between 2 and 33 years. Between 1983 and 1986, these women were asked about their individual experiences of famine exposure ("absent," "moderate," or "severe exposure"). During follow-up until January 2000, 1,602 new cancer cases were identified by the regional cancer registry. We assessed the relation between famine and total cancer risk by weighted Cox regression models, in which a 15% random sample was used to represent person-years lived in the entire cohort. In these models, we adjusted for potential confounders. Overall cancer risk was increased in women having been severely famine exposed compared with women having been unexposed (hazard ratio, 1.25; 95% confidence interval, 1.01-1.55). Exclusion of breast cancer cases from our analyses showed that this increase in risk was largely driven by the previously reported increase in breast cancer risk: women who were severely exposed to the famine were at a 1.12 (95% confidence interval, 0.87-1.43) times increased risk of non-breast cancer compared with the unexposed. In conclusion, we found no indications that this brief famine has affected overall cancer risk, exclusive of breast cancer. Counteracting increased caloric intake following the famine, however, may have obscured any relation.</t>
  </si>
  <si>
    <t>Cardiac ischemic score determines the presence of coronary collateral circulation.</t>
  </si>
  <si>
    <t>Koerselman, Jeroen; de Jaegere, Peter P Th; Verhaar, Marianne C; Grobbee, Diederick E; der Graaf, Yolanda van; ,</t>
  </si>
  <si>
    <t>https://pubmed.ncbi.nlm.nih.gov/16189621</t>
  </si>
  <si>
    <t>The presence of coronary collaterals is of vital importance during acute ischemia, however, marked interindividual variability exists. We examined the extent to which the burden of cardiac ischemia, expressed as a cardiac ischemic score, affects coronary collateral presence. Cross-sectional study in 244 patients, admitted for elective coronary angioplasty. Collaterals were graded with Rentrop's classification. Coronary collateral presence was defined as Rentrop-grade &gt; or =1. The cardiac ischemic score (range 0-4) was calculated by adding 1 point for each of the following four clinical factors present: angina pectoris on exertion, angina pectoris during emotions, previous myocardial infarction, and previous coronary intervention. These four clinical factors were chosen because they can be easily assessed in every patient. We used logistic regression with adjustment for gender, age, hypertension, diabetes mellitus, and hyperlipidemia. The extent of the cardiac ischemic score (odds ratio 1.8 per score-point; 95% confidence interval 1.3-2.5) was strongly associated with coronary collateral presence. Additional adjustment for multivessel coronary disease left the relation essentially unchanged. Also, if the definition of collateral presence was limited to Rentrop-grade 2 and 3, results were effectively the same. The extent of the cardiac ischemic score determines the presence of coronary collaterals, and may provide a new index for simple assessment of collateral vascular development.</t>
  </si>
  <si>
    <t>Analysis of under- and overprescribing of antibiotics in acute otitis media in general practice.</t>
  </si>
  <si>
    <t>https://pubmed.ncbi.nlm.nih.gov/16033803</t>
  </si>
  <si>
    <t>To assess clinical determinants of under- and overprescribing of antibiotics according to the Dutch national guideline for patients with acute otitis media (AOM) in general practice. A total of 146 general practitioners (GPs) from the Netherlands included all patients with AOM during a 4 week period in winter, and recorded patient characteristics, clinical presentation and management. Under- and overprescribing of antibiotics in AOM was assessed using the Dutch national guideline. A total of 458 AOM consultations were recorded. In seven out of 10 consultations (310/439; excluding 19 consultations in which patients were referred to secondary care), antibiotic prescribing decisions were according to the national guideline. In 11% of all consultations (50/439), there was underprescribing and in 18% (79/439) there was overprescribing. Patients with an antibiotic indication but without an antibiotic prescription (underprescribing; n=50) had more short-term symptoms (OR: 0.93), relatively few inflammation signs (OR: 0.47) and were less severely ill (OR: 0.30), compared with patients with an antibiotic indication and an antibiotic prescription (n=167). Patients without an antibiotic indication but with an antibiotic prescription (overprescribing; n=79) were more often younger than 24 months (OR: 0.34), more severely ill (OR: 3.30) and expected more often an antibiotic as perceived by their GP (OR: 2.11), compared with patients without an antibiotic indication and without an antibiotic prescription (n=143). Clinical determinants which are stated as criteria for antibiotic treatment of AOM in the Dutch national guideline were recognized by GPs as important items, but were frequently given too much weight.</t>
  </si>
  <si>
    <t>The Wells rule does not adequately rule out deep venous thrombosis in primary care patients.</t>
  </si>
  <si>
    <t>Oudega, Ruud; Hoes, Arno W; Moons, Karel G M</t>
  </si>
  <si>
    <t>https://pubmed.ncbi.nlm.nih.gov/16027451</t>
  </si>
  <si>
    <t>Using data from secondary care outpatients, Wells and colleagues developed a diagnostic rule to estimate the probability of the presence of deep venous thrombosis (DVT). The accuracy of the Wells rule has not been properly validated for use in primary care patients in whom DVT is suspected. To validate the diagnostic accuracy of the Wells rule, with and without D-dimer testing, in a primary care setting. Cross-sectional study with prospective data collection from 1 January 2002 to 1 March 2003. 110 primary care practices in a circumscribed geographic region in The Netherlands. 1295 consecutive patients who consulted their primary care physician about symptoms suggestive of DVT. All patients underwent history-taking and physical examination to calculate the Wells rule score, and D-dimer testing. Repeated leg ultrasonography was the reference standard to determine the true presence or absence of DVT. In the primary care setting, 12.0% of patients in the low-risk group had DVT; the original study by Wells and colleagues reported a rate of 3% among such patients. When combined with negative results on a D-dimer test, the Wells rule yielded a prevalence of DVT of 2.9% in the lowest-risk group, whereas the prevalence was 0.9% in the original study. Patients with previous DVT were included, and the diagnostic reference standard was different from that used in Wells and colleagues' original study. The Wells rule, alone or in combination with D-dimer testing, does not guarantee accurate estimation of risk in primary care patients in whom DVT is suspected.</t>
  </si>
  <si>
    <t>Managing ophthalmic herpes zoster in primary care.</t>
  </si>
  <si>
    <t>Opstelten, Wim; Zaal, Michel J W</t>
  </si>
  <si>
    <t>https://pubmed.ncbi.nlm.nih.gov/16020856</t>
  </si>
  <si>
    <t>Genetic studies to identify genes underlying menopausal age.</t>
  </si>
  <si>
    <t>Kok, Helen S; van Asselt, Kristel M; van der Schouw, Yvonne T; Peeters, Petra H M; Wijmenga, Cisca</t>
  </si>
  <si>
    <t>https://pubmed.ncbi.nlm.nih.gov/16024548</t>
  </si>
  <si>
    <t>Menopausal age is important as a retrospective marker for ovarian senescence, an early menopausal age is associated with an increased risk of cardiovascular diseases and osteoporosis, whereas a later menopausal age has been associated with an increased risk of breast cancer. The worldwide average for age at natural menopause is approximately 51 years and is more or less normally distributed with a range roughly between 40 and 60 years. Environmental factors explain only a small part of the variance and it has been proposed that genetic factors are the main source of variation. Menopausal age may be considered a continuous complex trait. Complex traits are defined as traits that are influenced by both multiple genetic and environmental factors. A category of complex traits comprises those that are measured on a continuous scale. The genomic loci that make up the genetic component are called 'quantitative trait loci' or QTLs. The first linkage study on menopausal age suggests that the involvement of the X-chromosome may not be limited to premature ovarian failure (POF), but may influence the broader spectrum of menopausal age. A potentially new locus for variation in menopausal age was allocated to chromosome 9. Further studies need to identify new candidate genes to help unravel the pathophysiology of menopausal age. It is becoming increasingly clear that, in any speciality, it should be acknowledged that genetic factors are involved in many traits and that uncovering these factors may provide insight into pathogenesis and ultimately advance prevention and treatment of disease. In this review we discuss methods and basic principles of gene finding for such traits, exemplified by menopausal age as phenotype. Furthermore, we give an overview of the state of the art of candidate gene studies and linkage studies.</t>
  </si>
  <si>
    <t>Do herpes zoster patients receive antivirals? A Dutch National Survey in General Practice.</t>
  </si>
  <si>
    <t>Opstelten, Wim; van Essen, Gerrit A; Moons, Karel G M; van Wijck, Albert J M; Schellevis, François G; Kalkman, Cornelis J; Verheij, Theo J M</t>
  </si>
  <si>
    <t>https://pubmed.ncbi.nlm.nih.gov/16006497</t>
  </si>
  <si>
    <t>The main complications of herpes zoster (HZ) are postherpetic neuralgia and, in case of HZ ophthalmicus, eye disorders. Antiviral treatment may modify the course of disease and reduce the risk of complications. To assess which doctors' and patients' characteristics were related to prescription of antiviral therapy for HZ. Ninety general practices (358 008 patients) in The Netherlands registered all patient contacts in a database for one year as part of the Second Dutch National Survey of General Practice. The present study used ICPC code S70 to search that database for patients with a new diagnosis of HZ. The full-text medical records of the selected patients were then reviewed and the potential determinants for the prescription of antiviral drugs (including characteristics of patients, GPs, and practices) analysed using multilevel logistic regression modelling. Of the 1129 patients diagnosed with HZ (incidence 3.2/1000 patients/year), 22.5% received antiviral drugs. Independent determinants for prescription of antiviral therapy were age [45-54 years: adjusted odds ratio (OR) 2.9 (95% CI 1.6-5.0); 55-64 years: OR 4.2 (95% CI 2.4-7.6); 65-74 years: OR 5.1 (95% CI 2.7-9.6); &gt; or =75 years: OR 8.1 (95% CI 4.4-15.1)], ophthalmic localisation of the shingles (OR 3.2, 95% CI 1.6-6.7), and the presence of asthma/COPD (OR 1.6, 95% CI 1.0-2.6). GPs who reported to strongly adhere to professional guidelines prescribe more frequently antiviral drugs (OR 1.9, 95% CI 1.2-3.1). A minority of HZ patients were prescribed antiviral treatment. Increasing age, ophthalmic localisation, presence of asthma/COPD, and adherence to professional guidelines were factors favouring prescription. More information on the determinants of GPs' treatment decisions is necessary for successful implementation of HZ guidelines.</t>
  </si>
  <si>
    <t>Serum ferritin is a risk factor for stroke in postmenopausal women.</t>
  </si>
  <si>
    <t>van der A, Daphne L; Grobbee, Diederick E; Roest, Mark; Marx, Joannes J M; Voorbij, Hieronymus A; van der Schouw, Yvonne T</t>
  </si>
  <si>
    <t>https://pubmed.ncbi.nlm.nih.gov/16002760</t>
  </si>
  <si>
    <t>Iron is an essential element for the human body. It has, however, been suggested that excessive iron stores may increase the risk of vascular disease. So far, epidemiologic studies on stroke are sparse. We studied the association between iron status and stroke risk in a population-based cohort of 11 471 Dutch postmenopausal women between 49 and 70 years of age. Women were included between 1993 and 1997 and followed up until January 1, 2000, for cerebrovascular events. We conducted a case-cohort study by using all stroke cases (n=63) and a random sample of the baseline cohort (n=1134). Serum ferritin, serum iron, and transferrin saturation were measured as markers of iron status. A weighted Cox proportional-hazards model was used to estimate crude and multivariate-adjusted hazard ratios for tertiles of different iron parameters in relation to stroke. In a multivariate model, the highest tertile of serum ferritin concentration was associated with an increased risk of stroke (hazard ratio [HR], 1.45; 95% confidence interval [CI], 0.87 to 2.42) compared with the lowest tertile. For ischemic stroke, the increase was more pronounced (HR, 2.23; 95% CI, 1.05 to 4.73) and reached statistical significance. Neither serum iron nor transferrin saturation was associated with an increased stroke risk. However, higher serum ferritin concentrations in postmenopausal women are associated with an increased risk of ischemic stroke.</t>
  </si>
  <si>
    <t>Age at menopause, cause-specific mortality and total life expectancy.</t>
  </si>
  <si>
    <t>Ossewaarde, Marlies E; Bots, Michiel L; Verbeek, André L M; Peeters, Petra H M; van der Graaf, Yolanda; Grobbee, Diederick E; van der Schouw, Yvonne T</t>
  </si>
  <si>
    <t>https://pubmed.ncbi.nlm.nih.gov/15951675</t>
  </si>
  <si>
    <t>A later menopause has been associated with a decreased cardiovascular risk but with an increased risk for breast and endometrial cancer. The net effect on mortality is unclear. We determined the association of age at menopause with longevity and with the balance between cardiovascular and cancer mortality. We analyzed data from a breast cancer screening cohort comprising 12,134 postmenopausal women followed for an average of 17 years. We used Cox proportional hazards models and life tables to calculate the life expectancy of an average Dutch woman at age 50. During 204,024 person-years, there were 2607 deaths, of which 963 were due to cardiovascular diseases and 812 due to cancer. Ischemic heart disease risk decreased with a later menopause (hazard ratio [HR] = 0.98 per year; 95% confidence interval = 0.96-0.99), but the risk of fatal uterine or ovarian cancer increased (1.07 per year; 1.01-1.12). A later menopause was associated with longer overall survival; HR for total mortality was 0.98 per year (0.97-0.99). Life expectancy in women with menopause after age 55 was 2.0 years longer than those with menopause before age 40. Adjustment for potential confounders did not materially change the results. Age-adjusted mortality is reduced 2% with each increasing year of age at menopause. In particular, ischemic heart disease mortality is 2% lower. Although the risk of death from uterine or ovarian cancer is increased by 5%, the net effect of a later menopause is an increased lifespan.</t>
  </si>
  <si>
    <t>Ruling out deep venous thrombosis in primary care. A simple diagnostic algorithm including D-dimer testing.</t>
  </si>
  <si>
    <t>Oudega, Ruud; Moons, Karel G M; Hoes, Arno W</t>
  </si>
  <si>
    <t>https://pubmed.ncbi.nlm.nih.gov/16113804</t>
  </si>
  <si>
    <t>In primary care, the physician has to decide which patients have to be referred for further diagnostic work-up. At present, only in 20% to 30% of the referred patients the diagnosis DVT is confirmed. This puts a burden on both patients and health care budgets. The question arises whether the diagnostic work-up and referral of patients suspected of DVT in primary care could be more efficient. A simple diagnostic decision rule developed in primary care is required to safely exclude the presence of DVT in patients suspected of DVT, without the need for referral. In a cross-sectional study, we investigated the data of 1295 consecutive patients consulting their primary care physician with symptoms suggestive of DVT, to develop and validate a simple diagnostic decision rule to safely exclude the presence of DVT. Independent diagnostic indicators of the presence of DVT were male gender, oral contraceptive use, presence of malignancy, recent surgery, absence of leg trauma, vein distension, calf difference and D-dimer test result. Application of this rule could reduce the number of referrals by at least 23% while only 0.7% of the patients with a DVT would not be referred. We conclude that by using eight simple diagnostic indicators from patient history, physical examination and the result of D-dimer testing, it is possible to safely rule out DVT in a large number of patients in primary care, reducing unnecessary patient burden and health care costs.</t>
  </si>
  <si>
    <t>High cumulative insulin exposure: a risk factor of atherosclerosis in type 1 diabetes?</t>
  </si>
  <si>
    <t>https://pubmed.ncbi.nlm.nih.gov/15939071</t>
  </si>
  <si>
    <t>Since insulin therapy might have an atherogenic effect, we studied the relationship between cumulative insulin dose and atherosclerosis in type 1 diabetes. We have focused on patients with type 1 diabetes instead of type 2 diabetes to minimise the effect of insulin resistance as a potential confounder. An observational study was performed in 215 subjects with type 1 diabetes treated with multiple insulin injection therapy. Atherosclerosis was assessed by measurement of carotid intima-media thickness (CIMT). The cumulative dose of regular insulin showed a positive and significant relation with CIMT: increase of 21 microm in CIMT per S.D. of insulin use (95% CI: 8-35 adjusted for gender and age), which remained unchanged after adjustment for duration of diabetes, HbA1c, BMI, pulse pressure, physical activity and carotid lumen diameter. A similar relation was found for intermediate-acting insulin: 15.5 microm per S.D. (2-29), which was no longer present after further adjustment. These findings provide evidence that a high cumulative dose of regular insulin is a risk factor for atherosclerosis.</t>
  </si>
  <si>
    <t>Is the association between flow-mediated dilation and cardiovascular risk limited to low-risk populations?</t>
  </si>
  <si>
    <t>Witte, Daniel R; Westerink, Jan; de Koning, Eelco J; van der Graaf, Yolanda; Grobbee, Diederick E; Bots, Michiel L</t>
  </si>
  <si>
    <t>https://pubmed.ncbi.nlm.nih.gov/15963397</t>
  </si>
  <si>
    <t>The aim of this research was to study whether the relation between endothelial function measured by flow-mediated dilation (FMD) of the brachial artery and cardiovascular risk factors is affected by the baseline cardiovascular risk. Flow-mediated dilation of the brachial artery is widely used as a measure of endothelial function. Relations between FMD and most cardiovascular risk factors have been described. We performed a meta-regression analysis of 211 selected articles (399 populations) reporting on FMD and cardiovascular risk factors. Mean values of FMD; age; proportion of men; proportion of smokers; blood pressure; lipids; glucose; and the presence of diabetes mellitus, of hyperlipidemia, and of hypertension were retrieved from the articles. The 10-year risk of coronary heart disease (CHD) for each population was estimated based on the Framingham risk score. The relation between FMD and cardiovascular risk factors was assessed within each risk category by linear regression analysis, adjusting for age and gender, and weighted for the study size. A relation between FMD and cardiovascular risk factors was most clear in the category with lowest baseline risk (below 2.8% per decade). In populations with low baseline risk, for each % increase in Framingham risk, FMD decreased by 1.42% (95% confidence interval: 0.65 to 2.19). In medium- and high-risk populations, FMD was not related to risk (-0.02% [-0.27 to 0.22] and 0.06% [-0.02 to 0.13], respectively). These findings were independent of differences in brachial lumen diameter and technical aspects of the FMD measurement. Only in populations at low risk, endothelial function measured by FMD is related to the principal cardiovascular risk factors, and to the estimated 10-year risk of CHD.</t>
  </si>
  <si>
    <t>Prevalence of undetected persistent airflow obstruction in male smokers 40-65 years old.</t>
  </si>
  <si>
    <t>Geijer, Roeland M M; Sachs, Alfred P E; Hoes, Arno W; Salomé, Philippe L; Lammers, Jan-Willem J; Verheij, Theo J M</t>
  </si>
  <si>
    <t>https://pubmed.ncbi.nlm.nih.gov/15964866</t>
  </si>
  <si>
    <t>Airflow obstruction in smokers is often diagnosed relatively late. Earlier detection of airflow obstruction and smoking cessation may result in significant health gain. To determine the prevalence of previously undetected persistent airflow obstruction according to WHO/GOLD criteria in male smokers aged 40 to 65 years and its correlation with age, smoking history and the presence of coughing. In a cross-sectional study among 805 male smokers aged 40-65 years spirometry was performed according to ATS recommendations. In participants with low lung function (FEV1 &lt; 85% predicted) a bronchodilator test was performed. In 702 participants [mean age 50 years (SD 6.6), mean number of pack years 24.7 (SD 9.6)] with acceptable spirometric curves, previously undetected airflow obstruction was found in 210 subjects (29.9%; 95% CI 26.5-33.4): mild airflow obstruction (GOLD stage 1) in 182 subjects (25.9%; 22.7-29.3) and moderate airflow obstruction (GOLD stage 2) in 28 (4.0%; 2.7-5.7). In the older age group (&gt;55 years) airflow obstruction (GOLD 1 or higher) was found in 45% versus 21% in the youngest age group (40-44 years). In subjects with &gt; or =30 pack years the prevalence of airflow obstruction was 45% versus 20% among those with &lt;20 pack years. In smokers reporting coughing the prevalence was 47% versus 25% in those not reporting this symptom. The prevalence of undetected persistent airflow obstruction in middle-aged smokers is high. Targeted screening therefore, especially in smokers aged 40-65 years needs to be considered.</t>
  </si>
  <si>
    <t>Determinants of prescribing of second-choice antibiotics for upper and lower respiratory tract episodes in Dutch general practice.</t>
  </si>
  <si>
    <t>van Duijn, Huug J; Kuyvenhoven, Marijke M; Schellevis, François G; Verheij, Theo J M</t>
  </si>
  <si>
    <t>https://pubmed.ncbi.nlm.nih.gov/15961433</t>
  </si>
  <si>
    <t>The aim of this study was to assess the association between general practitioners' (GPs') characteristics and the volume of second-choice antibiotics for acute respiratory tract (RT) episodes by GPs. Morbidity and antibiotic prescription data originated from the Second Dutch National Survey of General Practice (DNSGP-2). GPs' characteristics, including professional activities and views on RT symptoms and antibiotics, were measured by a written questionnaire. Multiple regression was carried out to assess associations between possible determinants and volume of second-choice antibiotic prescriptions. In approximately 39% of acute RT episodes antibiotics were prescribed, with one-quarter being second-choice antibiotics, relatively more frequently in lower than in upper RT episodes: 30 versus 19%. GPs who were more frequently consulted by patients with RT episodes (beta = 0.29; 95% CI 0.13-0.41), who labelled RT episodes more as diagnoses than as symptoms (beta = 0.27; 95% CI 0.15-0.42), who less frequently used national GP guidelines (beta = -0.17; 95% CI -0.31 to -0.03) and who were more inclined to prescribe new drugs (beta = 0.26; 95% CI 0.13-0.40), prescribed more second-choice antibiotics. Given the growing number of prescriptions of second-choice antibiotics, it is important to implement professional guidelines in daily practice, while training in being reluctant to prescribe new drugs and being alert to the marketing activities of pharmaceutical companies should be started in the medical curriculum.</t>
  </si>
  <si>
    <t>Increased risk of common infections in patients with type 1 and type 2 diabetes mellitus.</t>
  </si>
  <si>
    <t>Muller, L M A J; Gorter, K J; Hak, E; Goudzwaard, W L; Schellevis, F G; Hoepelman, A I M; Rutten, G E H M</t>
  </si>
  <si>
    <t>https://pubmed.ncbi.nlm.nih.gov/16007521</t>
  </si>
  <si>
    <t>Clinical data on the association of diabetes mellitus with common infections are virtually lacking, not conclusive, and often biased. We intended to determine the relative risks of common infections in patients with type 1 and type 2 diabetes mellitus (DM1 and DM2, respectively). In a 12-month prospective cohort study conducted as part of the Second Dutch National Survey of General Practice, we compared 705 adult patients who had DM1 and 6712 adult patients who had DM2 with 18,911 control patients who had hypertension without diabetes. Outcome measures were medically attended episodes of infection of the respiratory tract, urinary tract, and skin and mucous membranes. We applied multivariable and polytomous logistic regression analysis to determine independent risks of infections and their recurrences in patients with diabetes, compared with control patients. Upper respiratory infections were equally common among patients with diabetes and control patients. Patients with diabetes had a greater risk of lower respiratory tract infection (for patients with DM1: adjusted odds ratio [AOR], 1.42 [95% confidence interval {CI}, 0.96-2.08]; for patients with DM2: AOR, 1.32 [95% CI, 1.13-1.53]), urinary tract infection (for patients with DM1: AOR, 1.96 [95% CI, 1.49-2.58]; for patients with DM2: AOR, 1.24 [95% CI, 1.10-1.39]), bacterial skin and mucous membrane infection (for patients with DM1: AOR, 1.59 [95% CI, 1.12-2.24]; for patients with DM2: AOR, 1.33 [95% CI, 1.15-1.54]), and mycotic skin and mucous membrane infection (for patients with DM1: AOR, 1.34 [95% CI, 0.97-1.84]; for patients with DM2: AOR, 1.44 [95% CI, 1.27-1.63]). Risks increased with recurrences of common infections. Patients with DM1 and DM2 are at increased risk for lower respiratory tract infection, urinary tract infection, and skin and mucous membrane infection. Studies are warranted into management of such infections in patients with diabetes.</t>
  </si>
  <si>
    <t>Childhood exposure to the 1944-1945 Dutch famine and subsequent female reproductive function.</t>
  </si>
  <si>
    <t>Elias, Sjoerd G; van Noord, Paulus A H; Peeters, Petra H M; den Tonkelaar, Isolde; Grobbee, Diederick E</t>
  </si>
  <si>
    <t>https://pubmed.ncbi.nlm.nih.gov/15932913</t>
  </si>
  <si>
    <t>Childhood caloric restriction may lead to permanent changes in the hypothalamo-pituitary-gonadal axis, which could lead to impaired female reproductive ability. We assessed the effect of childhood exposure to the 1944-1945 Dutch famine on subsequent female reproductive function. This was a population-based cohort study in Utrecht, The Netherlands. Between 1983 and 1985, 6030 women born between 1932-1941 were classified by questionnaire according to their famine exposure experiences. Dates of marriage, first and second childbirth, and information on a medical reason for having no children or fewer children than wanted were available from questionnaires, as well as ages and type of menopause. Severe famine exposure during childhood significantly decreased chances of first and second childbirth at any given time after marriage or first childbirth [adjusted hazard ratios (HR) 0.86, 95% confidence interval (CI) 0.76-0.96; and HR 0.87, 95% CI 0.78-0.97, respectively). Risk of a medical reason for having no or fewer children than wanted was increased in the severely exposed (odds ratio 1.88; 95% CI 1.29-2.74), as was the risk of a surgical menopause (HR 1.53; 95% CI 1.27-1.84). Our findings support the presence of longstanding modest effects of childhood famine exposure on reproductive function in women.</t>
  </si>
  <si>
    <t>Alcohol consumption and augmentation index in healthy young men: the ARYA study.</t>
  </si>
  <si>
    <t>van Trijp, Marijke J C A; Beulens, Joline W J; Bos, Willem J W; Uiterwaal, Cuno S P M; Grobbee, Diederick E; Hendriks, Henk F J; Bots, Michiel L</t>
  </si>
  <si>
    <t>https://pubmed.ncbi.nlm.nih.gov/15925738</t>
  </si>
  <si>
    <t>Light-to-moderate alcohol consumption is associated with a decreased risk of ischemic cardiovascular disease, whereas increased alcohol intake is related to hypertension and intracerebral hemorrhage. We studied the effect of alcohol consumption on the augmentation index (AIx), a measure of arterial wave reflection in a population of healthy young men. Three hundred twenty-nine men (mean age 28 years) from the Atherosclerosis Risk in Young Adults study (ARYA-study) were studied. The level of alcohol consumption and risk factors for cardiovascular disease were determined. The AIx was estimated by radial applanation tonometry using a Sphygmocor device. The relation between alcohol intake level and AIx was determined using linear regression models. There was a positive graded relation between alcohol intake and AIx. Subjects who did not drink, who drank 1 to 2 glasses/d, or who drank &gt; or =3 glasses of alcohol/d had, respectively, a -0.6% (95% confidence interval [CI] -4.2, 3.0), 0.2% (95% CI -2.6, 2.9), and 3.4% (95% CI 0.2, 6.7) difference in AIx compared with very light drinkers (&lt;1 glass/d). After adjustment for current smoking, body mass index and HDL-cholesterol, those consuming &gt;3 glasses/d had a 3.29% (95% confidence interval CI 0.01, 6.7) higher AIx compared with those consuming &lt;1 glass/d. In a population of healthy young men, the heaviest drinkers had a significantly higher AIx. This finding supports the evidence that increased alcohol consumption is related to vascular damage at young age.</t>
  </si>
  <si>
    <t>Applicability and relevance of models that predict short term outcome after intracerebral haemorrhage.</t>
  </si>
  <si>
    <t>Ariesen, M J; Algra, A; van der Worp, H B; Rinkel, G J E</t>
  </si>
  <si>
    <t>https://pubmed.ncbi.nlm.nih.gov/15897508</t>
  </si>
  <si>
    <t>Several models for prediction of short term outcome after intracerebral haemorrhage (ICH) have been published, however, these are rarely used in clinical practice for treatment decisions. This study was conducted to identify current models for prediction of short term outcome after ICH and to evaluate their clinical applicability and relevance in treatment decisions. MEDLINE was searched from 1966 to June 2003 and studies were included if they met predefined criteria. Regression coefficients of multivariate models were extracted. Two neurologists independently evaluated the models for applicability in clinical practice. To assess clinical relevance and accuracy of each model, in a validation series of 122 patients the proportion with a &gt;or=95% probability of death or poor outcome and the actual 30 day case fatality in these patients were calculated. Receiver operator characteristic (ROC) curves were computed for assessment of discriminatory power. A total of 18 prognostic models were identified, of which 14 appeared easy to apply. In the validation series, the proportion of patients with a &gt;or=95% probability of death or poor outcome ranged from 0% to 43% (median 23%). The 30 day case fatality in these patients ranged from 75% to 100% (median 93%). The area under the ROC curves ranged from 0.81 to 0.90. Most models are easy to apply and can generate a high probability of death or poor outcome. However, only a small proportion of patients have such a high probability, and 30 day case fatality is not always correctly predicted. Therefore, current models have limited relevance in triage, but can be used to estimate the chances of survival of individual patients.</t>
  </si>
  <si>
    <t>Neurodevelopmental treatment after stroke: a comparative study.</t>
  </si>
  <si>
    <t>Hafsteinsdóttir, T B; Algra, A; Kappelle, L J; Grypdonck, M H F; ,</t>
  </si>
  <si>
    <t>https://pubmed.ncbi.nlm.nih.gov/15897499</t>
  </si>
  <si>
    <t>Neurodevelopmental treatment (NDT) is a rehabilitation approach increasingly used in the care of stroke patients, although no evidence has been provided for its efficacy. To investigate the effects of NDT on the functional status and quality of life (QoL) of patients with stroke during one year after stroke onset. 324 consecutive patients with stroke from 12 Dutch hospitals were included in a prospective, non-randomised, parallel group study. In the experimental group (n = 223), nurses and physiotherapists from six neurological wards used the NDT approach, while conventional treatment was used in six control wards (n = 101). Functional status was assessed by the Barthel index. Primary outcome was "poor outcome", defined as Barthel index &lt;12 or death after one year. QoL was assessed with the 30 item version of the sickness impact profile (SA-SIP30) and the visual analogue scale. At 12 months, 59 patients (27%) in the NDT group and 24 (24%) in the non-NDT group had poor outcome (corresponding adjusted odds ratio = 1.7 (95% confidence interval, 0.8 to 3.5)). At discharge the adjusted odds ratio was 0.8 (0.4 to 1.5) and after six months it was 1.6 (0.8 to 3.2). Adjusted mean differences in the two QoL measures showed no significant differences between the study groups at six or 12 months after stroke onset. The NDT approach was not found effective in the care of stroke patients in the hospital setting. Health care professionals need to reconsider the use of this approach.</t>
  </si>
  <si>
    <t>Higher dietary intake of lignans is associated with better cognitive performance in postmenopausal women.</t>
  </si>
  <si>
    <t>Franco, Oscar H; Burger, Huibert; Lebrun, Corinne E I; Peeters, Petra H M; Lamberts, Steven W J; Grobbee, Diederick E; Van Der Schouw, Yvonne T</t>
  </si>
  <si>
    <t>https://pubmed.ncbi.nlm.nih.gov/15867302</t>
  </si>
  <si>
    <t>Data on the relation between phytoestrogens and cognitive function are still sparse. The purpose of this study was to examine the relation between the dietary intake of phytoestrogens and cognitive function in healthy postmenopausal women consuming a Western diet. We conducted a community-based survey among 394 postmenopausal women. Isoflavone and lignan intake was calculated from a validated FFQ. Cognitive function was evaluated using the Mini-Mental State Examination (MMSE). Data were analyzed using logistic regression with intact cognitive function defined as a score &gt;/= 26 as the outcome variable. After adjustment for confounders, increasing dietary lignans intake was associated with better performance on the MMSE [OR and (95%CI): 1.49 (0.94-2.38)]. Results were most pronounced in women who were 20-30 y postmenopausal [2.02 (1.11-3.71)]. Isoflavone intake was not related to cognitive function. From our results we conclude that higher dietary intake of lignans is associated with better cognitive function in postmenopausal women.</t>
  </si>
  <si>
    <t>Decline in incidence of hospitalisation for acute myocardial infarction in the Netherlands from 1995 to 2000.</t>
  </si>
  <si>
    <t>https://pubmed.ncbi.nlm.nih.gov/15863523</t>
  </si>
  <si>
    <t>To study the change in incidence of hospitalisation for a first acute myocardial infarction (AMI) in the Netherlands from 1995 to 2000. Patients hospitalised with their first AMI in the Netherlands in 1995 and 2000 were identified through linkage of the national hospital discharge register and the population register. 21,565 patients hospitalised for their first AMI in 1995 and 19,058 patients hospitalised for their first AMI in 2000 were identified. In both years, the age specific incidence of hospitalisation for a first AMI was higher in men than in women and increased with age (up to 90 years). In both men and women, the age standardised incidence was lower in 2000 than in 1995, a decline of 19% (95% confidence interval 17% to 21%) and 17% (95% confidence interval 14% to 19%), respectively. Our study provides the first nationwide incidence estimates of first AMI in the Netherlands. From 1995 to 2000, the risk of AMI declined considerably.</t>
  </si>
  <si>
    <t>Unrecognized heart failure in elderly patients with stable chronic obstructive pulmonary disease.</t>
  </si>
  <si>
    <t>Rutten, Frans H; Cramer, Maarten-Jan M; Grobbee, Diederick E; Sachs, Alfred P E; Kirkels, Johannes H; Lammers, Jan-Willem J; Hoes, Arno W</t>
  </si>
  <si>
    <t>https://pubmed.ncbi.nlm.nih.gov/15860516</t>
  </si>
  <si>
    <t>To establish the prevalence of unrecognized heart failure in elderly patients with a diagnosis of chronic obstructive pulmonary disease, in a stable phase of their disease. In a cross-sectional study, patients &gt;/=65 years of age, classified as having chronic obstructive pulmonary disease by their general practitioner and not known with a cardiologist-confirmed diagnosis of heart failure, were invited to our out-patient clinic. Four hundred and five participants underwent an extensive diagnostic work-up, including medical history and physical examination, followed by chest radiography, electrocardiography, echocardiography, and pulmonary function tests. As reference (i.e. 'gold') standard the consensus opinion of an expert panel was used. The panel based the diagnosis of heart failure on all available results from the diagnostic assessment, guided by the diagnostic principles of the European Society of Cardiology (ESC) for heart failure (i.e., symptoms and echocardiographic systolic and/or diastolic dysfunction). The diagnosis of chronic obstructive pulmonary disease was based on the diagnostic criteria of the Global Initiative (GOLD) for chronic obstructive pulmonary disease. Of 405 participating patients with a diagnosis of chronic obstructive pulmonary disease, 83 (20.5%, 95% CI 16.7-24.8) had previously unrecognized heart failure (42 patients systolic, 41 'isolated' diastolic, and none right-sided heart failure). In total, 244 (60.2%) patients had chronic obstructive pulmonary disease according to the GOLD criteria and 50 (20.5%, 95% CI 15.6-26.1) patients combined with unrecognized heart failure. Unrecognized heart failure is very common in elderly patients with stable chronic obstructive pulmonary disease. Closer co-operation among general practitioners, pulmonologists, and cardiologists is necessary to improve detection and adequate treatment of heart failure in this large patient population.</t>
  </si>
  <si>
    <t>Menopausal complaints, oestrogens, and heart disease risk: an explanation for discrepant findings on the benefits of post-menopausal hormone therapy.</t>
  </si>
  <si>
    <t>van der Schouw, Yvonne T; Grobbee, Diederick E</t>
  </si>
  <si>
    <t>https://pubmed.ncbi.nlm.nih.gov/15860515</t>
  </si>
  <si>
    <t>There is a large discrepancy between the findings of observational and experimental studies on the effects of post-menopausal hormone therapy (HT) and coronary heart disease risk. Observational studies, mainly comprising peri-menopausal women, report risk reductions up to 30-50%, whereas the experimental studies, comprising elderly women, do not show coronary protection. Suggested explanations are methodological differences, such as confounding or healthy user bias, incomplete capture of early events, the stage of atherosclerosis at the start of HT, formulation or dose of HT, or early susceptibility to thrombotic events. We propose that the presence of climacteric complaints determines the susceptibility to hormone replacement therapy. Climacteric complaints are the main indication for HT in the population, whereas in the clinical trials women with climacteric complaints were either explicitly excluded or comprised only a minority of the total randomized population. There is some, albeit circumstantial evidence to support this hypothesis. Women with climacteric complaints of sweating not only appear to have lower levels of serum oestradiol, but also lose more bone than women without climacteric complaints. Consequently, sweating episodes may indicate potential benefits from HT. It has also been reported that hot flushes during menopause correlate with a higher level of oxidative stress and an increased cardiovascular reactivity to stressful situations. We suggest epidemiological approaches to test our hypothesis.</t>
  </si>
  <si>
    <t>Risk of major haemorrhage in patients after infrainguinal venous bypass surgery: therapeutic consequences? The Dutch BOA (Bypass Oral Anticoagulants or Aspirin) Study.</t>
  </si>
  <si>
    <t>Ariesen, M J; Tangelder, M J D; Lawson, J A; Eikelboom, B C; Grobbee, D E; Algra, A; ,</t>
  </si>
  <si>
    <t>https://pubmed.ncbi.nlm.nih.gov/15996602</t>
  </si>
  <si>
    <t>The beneficial effect of oral anticoagulants after infrainguinal venous bypass surgery is compromised by bleeding complications. We developed a model to identify patients, treated with anticoagulation, at risk of major haemorrhage and estimated whether this complication could have been prevented if patients had received aspirin. Randomised clinical trial. Data of patients who participated in the Dutch Bypass Oral Anticoagulation or Aspirin Study were reanalysed using Cox regression. After infrainguinal bypass surgery these patients were randomised to oral anticoagulants (n = 1326) or aspirin (n = 1324). Predictors of major haemorrhage for patients on oral anticoagulants were increased systolic blood pressure (&gt; or = 140 mmHg, hazard ratio [HR] 1.62), age &gt; or = 75 years (HR 2.77) and diabetes mellitus (HR 1.60). If the 345 patients in the highest risk quartile had received aspirin, major haemorrhages would have been reduced from 46 to 22, with no major changes in ischemic events and graft occlusions. In the subgroup with venous bypasses major haemorrhages would have been reduced from 27 to 13, at the cost of seven more ischemic events (mostly fatal) and 17 more graft occlusions. Treating patients at highest risk of major haemorrhage with aspirin instead of oral anticoagulants would have resulted in a reduction of non-fatal haemorrhages, but for venous bypasses this reduction was outweighed by an increase in ischemic events and graft occlusions. We still recommend treatment with oral anticoagulants after peripheral venous bypass surgery.</t>
  </si>
  <si>
    <t>Lower birth weight predicts metabolic syndrome in young adults: the Atherosclerosis Risk in Young Adults (ARYA)-study.</t>
  </si>
  <si>
    <t>Ramadhani, Made K; Grobbee, Diederick E; Bots, Michiel L; Castro Cabezas, Manuel; Vos, Lydia E; Oren, Anath; Uiterwaal, Cuno S P M</t>
  </si>
  <si>
    <t>https://pubmed.ncbi.nlm.nih.gov/16326169</t>
  </si>
  <si>
    <t>To study the relationship between intrauterine growth and the metabolic syndrome, particularly fasting serum lipids in young adulthood. Seven hundred and forty-four young adults aged 26-31 years participated in the ARYA birth cohort. Birth characteristics were available from charts kept by the Municipal Health Service, Utrecht, The Netherlands. Adult medical history and lifestyle information were assessed by questionnaires. Adult anthropometry, blood pressure, fasting plasma glucose, total cholesterol, HDL-cholesterol, triglycerides were measured, and LDL-cholesterol was calculated. Subjects in the lower tertiles of birth weight (1250-3209 and 3210-3649 g) had higher risks for metabolic syndrome than those in the highest birth weight tertile (3650-5500 g): odds ratio, 1.8; 95% confidence interval (CI) 1.0-3.5 and 1.4; 0.7-2.7, respectively; p for trend = 0.064, adjusted for gender, cardiovascular disease family history and current education. Birth weight was inversely related to systolic blood pressure (linear regression coefficient, -1.9 mmHg/kg birth weight; 95% CI -3.4 to -0.3) and to (log) triglycerides in mmol/L (-0.03/kg birth weight; 95% CI -0.06 to -0.01), adjusted for gender, current body mass index and current education. Birth weight showed inverse relations to diastolic blood pressure, serum glucose, total and LDL cholesterol and positive relations to waist circumference and HDL cholesterol levels, although not statistically significant. Birth length and ponderal index were not related to the metabolic syndrome or lipid profiles. Lower birth weight indicates a higher risk for metabolic syndrome in young adults, particularly through higher serum triglycerides and higher systolic blood pressure.</t>
  </si>
  <si>
    <t>Views on respiratory tract symptoms and antibiotics of Dutch general practitioners, practice staff and patients.</t>
  </si>
  <si>
    <t>https://pubmed.ncbi.nlm.nih.gov/16731314</t>
  </si>
  <si>
    <t>To explore views on respiratory tract symptoms (cough, sore throat and earache) and antibiotics of GPs, practice staff, and patients. In a nationwide study, 181 GPs, 204 practice staff members and 1250 patients from 90 practices participated by answering 14 items relating to views on respiratory tract symptoms and antibiotics in a written questionnaire. Differences in means were compared. Patients more than GPs endorsed the seriousness of respiratory tract symptoms, the need to consult a GP, the need to prescribe antibiotics, and the ability of antibiotics to speed up recovery. GPs were more than patients convinced of the self-limiting character of respiratory tract symptoms and of the fact that antibiotics have side effects. Practice staff took a middle ground in most of these views. Differences between GPs, practice staff and patients must be taken into account when exploring patients' complaints and advising on treatment. Education and knowledge programmes for practice staff might be advocated.</t>
  </si>
  <si>
    <t>Measurement of flow-mediated dilatation of the brachial artery is affected by local elastic vessel wall properties in high-risk patients.</t>
  </si>
  <si>
    <t>Witte, Daniel R; van der Graaf, Yolanda; Grobbee, Diederick E; Bots, Michiel L; ,</t>
  </si>
  <si>
    <t>https://pubmed.ncbi.nlm.nih.gov/16159605</t>
  </si>
  <si>
    <t>To assess whether the validity of endothelial function measurement by flow-mediated dilatation (FMD) is affected by local brachial artery stiffness (distensibility coefficient; DC) and arterial wall thickness (intima-media thickness, IMT). FMD measurement relies on assessment of arterial diameter change. Increased IMT and decreased DC might physically limit dilatation of the brachial artery in spite of healthy endothelium. DC, IMT and FMD of the brachial artery were simultaneously measured in 349 patients with advanced atherosclerosis or cardiovascular risk factors. The relations between FMD and age, and FMD and current smoking were regarded as a proxy for the relation between FMD and true endothelial function. The relations between FMD and age, and FMD and smoking, were significantly modified by brachial artery DC. No modification was found for IMT. The interaction terms were statistically significant (p=0.03 and 0.04, respectively). The relation between FMD and age, and FMD and smoking was progressively more pronounced in patients with more elastic arteries. The results of our study indicate that increased arterial stiffness may interfere with valid measurement of FMD and that patients with stiff arteries may be considered for exclusion from analyses involving FMD to ensure its validity.</t>
  </si>
  <si>
    <t>Carotid stiffness and the risk of new vascular events in patients with manifest cardiovascular disease. The SMART study.</t>
  </si>
  <si>
    <t>Dijk, Joke M; Algra, Ale; van der Graaf, Yolanda; Grobbee, Diederick E; Bots, Michiel L; ,</t>
  </si>
  <si>
    <t>https://pubmed.ncbi.nlm.nih.gov/15824075</t>
  </si>
  <si>
    <t>To study whether arterial stiffness is related to risk of new vascular events in patients with manifest arterial disease and to examine whether this relation varies between patients who differ with respect to baseline vascular risk, arterial stiffness, or systolic blood pressure (SBP). The study was performed in the first consecutive 2183 patients with manifest arterial disease enrolled in the SMART study (Second Manifestations of ARTerial disease), a cohort study among patients with manifest arterial disease or cardiovascular risk factors. Common carotid distension (i.e. the change in carotid diameter in systole relative to diastole) was measured at baseline by ultrasonography. With the distension, several stiffness parameters were determined. In the entire cohort, none of the carotid artery stiffness parameters was related to the occurrence of vascular events. However, decreased stiffness was related to decreased vascular risk in subjects with low baseline SBP. The relation of carotid stiffness with vascular events did not differ between tertiles of baseline risk and carotid stiffness. Carotid artery stiffness is no independent risk factor for vascular events in patients with manifest arterial disease. However, in patients with low SBP, decreased carotid stiffness may indicate a decreased risk of vascular events.</t>
  </si>
  <si>
    <t>Cyp17, urinary sex steroid levels and breast cancer risk in postmenopausal women.</t>
  </si>
  <si>
    <t>https://pubmed.ncbi.nlm.nih.gov/15824149</t>
  </si>
  <si>
    <t>Endogenous sex hormones play an important role in the etiology of breast cancer. Polymorphisms in genes encoding for enzymes involved in steroidogenesis may therefore play a role in breast cancer risk. Cytochrome P450c17alpha (Cyp17) functions at key branch points in human steroidogenesis. A T--&gt;C transition (A1 and A2 allele) in the 5' untranslated region may be associated with increased expression of Cyp17. Using a case-cohort design, we studied the effects of the A2 allele on endogenous sex hormone levels and breast cancer risk within a large population-based cohort (n = 9,349) in the Netherlands (the DOM-cohort). Cyp17 genotype was determined in 335 incident postmenopausal breast cancer cases, which occurred after follow-up (median time to follow-up, 19 years) of the entire cohort, and in a random sample of 373 women (subcohort). Concentrations of estrone (E1), estradiol (E2), testosterone, 5alpha-androstane-3alpha, 17beta-diol (3alphaD), and creatinine were measured in first-morning urine samples. Only among women with body mass index (BMI) &lt; 25 kg/m2 was the A2A2 genotype associated with higher levels of E1, E2, and 3alphaD compared with a group of women with either the A1A1 or the A1A2 genotype (e.g., geometric means of E(1) in ng/mg(creatinine): A2A2, 2.23; A1A1/A1A2, 1.47; P = 0.03). Adjusted breast cancer rate ratios for women with the A1A2 or A2A2 genotype compared with women with the A1A1 genotype were 0.96 (0.68-1.37) and 0.80 (0.47-1.35), respectively. These results did not differ between women with low and high BMI. In conclusion, this paper shows that women with low BMI and the A2A2 genotype had higher endogenous sex steroid levels compared with women with the A1A1 genotype. However, these increased sex steroid levels are not translated into an increased breast cancer risk in these women.</t>
  </si>
  <si>
    <t>Postmenopausal breast cancer risk and cumulative number of menstrual cycles.</t>
  </si>
  <si>
    <t>Chavez-MacGregor, Mariana; Elias, Sjoerd G; Onland-Moret, N Charlotte; van der Schouw, Yvonne T; Van Gils, Carla H; Monninkhof, Evelyn; Grobbee, Diederick E; Peeters, Petra H M</t>
  </si>
  <si>
    <t>https://pubmed.ncbi.nlm.nih.gov/15824146</t>
  </si>
  <si>
    <t>To explore whether the lifetime cumulative number of menstrual cycles, as an index for total exposure to endogenous estrogens, and the number of menstrual cycles until a first full-term pregnancy (FFTP), are associated with breast cancer risk in postmenopausal women. Population-based study with data from the Prospect-European Prospective Investigation into Cancer and Nutrition study. Naturally menopausal participants were eligible (n = 6,718). The cumulative number of menstrual cycles was computed in 6,031 (90%) women. We calculated the number of cycles until FFTP among parous participants. The number of menstrual cycles was impossible to compute in women who reported to be always irregular; therefore, we added the "always irregular" category in the analysis. During the 46,746 person-years of follow-up, 168 breast cancer cases were identified. Cox regression models were used and adjustments were made to account for potential confounders. Even when our data does not show a clear linear gradient, we observed an increased breast cancer risk in women with a higher number of cumulative menstrual cycles in their lifetime. Using &lt; or = 415 cycles as reference, the hazard ratio for the irregular group, 416-453, 454-490, and &gt; or = 491 cycles was 1.11 (.56, 2.19), 1.88 (1.14, 3.12), 1.74 (1.05, 2.87), and 1.80 (1.09, 2.96), respectively. Although not statistically significant, and of less magnitude, the risk estimates for the number of cycles before FFTP showed the same tendency. Among women who underwent natural menopause, a higher number of menstrual cycles in lifetime, reflecting a longer exposure to endogenous estrogens, is associated with an increased breast cancer risk.</t>
  </si>
  <si>
    <t>Frequency and perceived burden of diabetes self-management activities in employees with insulin-treated diabetes: relationships with health outcomes.</t>
  </si>
  <si>
    <t>https://pubmed.ncbi.nlm.nih.gov/15811566</t>
  </si>
  <si>
    <t>We explored the relationship between frequency and perceived burden of different self-management activities and HbA1c%, symptoms of diabetes, fatigue, depression, and quality of life in 292 employees between 30 and 60 years of age with insulin-treated diabetes. Participants completed questionnaires that assess self-management and health-related variables. t-Tests were performed for type 1 (DM1) and type 2 diabetes (DM2) separately to compare the mean health scores of individuals who frequently or infrequently perform self-management activities and who do or do not perceive this as a burden. Participants frequently perform their self-management activities, particularly injection of insulin (96.1%), following dietary guidelines (70.8%) and eating regularly (65.6%). Dietary self-management is most often seen as a burden (70.4%), while injecting insulin is seen as least burdensome (12.8%). The perceived burden of self-management is more strongly related to health than the frequency of self-management. Frequency of self-management especially relates to HbA1c% in DM1. People with DM2 who frequently follow the dietary guidelines have more positive health outcomes. Participants who perceive dietary self-management and injecting insulin as a burden have more negative health outcomes. Because different relationships were found between frequency and perceived burden of self-management and health indicators, both aspects should be assessed and considered separately when evaluating self-management and examining patient's health.</t>
  </si>
  <si>
    <t>Prognostic factors for serious morbidity and mortality from community-acquired lower respiratory tract infections among the elderly in primary care.</t>
  </si>
  <si>
    <t>Hak, E; Bont, J; Hoes, A W; Verheij, T J M</t>
  </si>
  <si>
    <t>https://pubmed.ncbi.nlm.nih.gov/15805127</t>
  </si>
  <si>
    <t>Uncertainty about the prognosis of lower respiratory tract infections (LRTI) hinders optimal management in primary care. We determined prognostic factors for a severe complicated course of LRTI among elderly patients in primary care. In a retrospective clinical database study we examined 455 patients with a first LRTI episode; 226 with physician-diagnosed acute bronchitis or lung exacerbations and 229 with pneumonia. Multivariate logistic regression analysis was used to assess independent associations of the potential predictors with the endpoint. Occurrence of the combined endpoint 30-day home-treated complications from LRTI (4.4%) or hospitalisation (4.6%), or all-cause mortality (5.3%) was 14.3%. In a logistic regression model, increasing age [odds ratio (OR) 1.04; 95% confidence interval (95% CI) 1.00-1.08], male sex (OR 3.12; 95% CI 1.66-5.87), heart failure (OR 5.14; 95% CI 2.33-11.34), stroke or dementia (OR 3.36; 95% CI 1.18-9.58), use of antidepressants or benzodiazepines (OR 1.89; 95% CI 1.02-3.52) and a diagnosis of pneumonia (OR 4.24; 95% CI 2.17-8.28) were independent predictors. GPs need to be aware of readily available prognostic factors that can be used in primary care to complement physical examination and laboratory data in LRTI to guide preventive and therapeutic management decisions.</t>
  </si>
  <si>
    <t>Endogenous sex hormone levels and cognitive function in aging men: is there an optimal level?</t>
  </si>
  <si>
    <t>Muller, M; Aleman, A; Grobbee, D E; de Haan, E H F; van der Schouw, Y T</t>
  </si>
  <si>
    <t>https://pubmed.ncbi.nlm.nih.gov/15753424</t>
  </si>
  <si>
    <t>To determine whether endogenous sex hormone levels are associated with cognitive functioning in men. Cognitive performance was assessed in 400 independently living men between ages 40 and 80 in a population-based cross-sectional study. Compound scores were calculated for memory function, processing capacity/speed, and executive function. The Mini-Mental State Examination was used as a measure of global cognitive function. The adjusted association of testosterone (T) and estradiol (E2) (total, bioavailable) with neuropsychological test scores in the total group and in subgroups was assessed by linear and logistic regression analysis. Curvilinear associations were observed between T and memory performance and processing capacity/speed, suggesting optimal sex hormone levels. No association between E2 and cognitive functioning was found. After the population was subdivided into four age decades, a linear association of T with cognitive functioning in the oldest age category remained. No association was found in the other age decades. Lower bioavailable T levels were associated with lower scores on processing capacity/speed and executive function; beta (95% CI) values were 0.36 (0.07 to 0.66) and 0.17 (-0.01 to 0.35). Similar results were observed for total T. Higher testosterone (T) levels are associated with better cognitive performance in the oldest age category. Apparent curvilinear associations between T and certain cognitive functions in men suggest an optimal hormone level for particular cognitive tasks and are explained by linear associations in the oldest age category.</t>
  </si>
  <si>
    <t>Common carotid intima-media thickness and risk of acute myocardial infarction: the role of lumen diameter.</t>
  </si>
  <si>
    <t>Bots, Michiel L; Grobbee, Diederick E; Hofman, Albert; Witteman, Jacqueline C M</t>
  </si>
  <si>
    <t>https://pubmed.ncbi.nlm.nih.gov/15746451</t>
  </si>
  <si>
    <t>It has been argued that lumen diameter of the common carotid artery should be taken into account in analyses on common carotid intima-media thickness (CIMT) and cardiovascular risk. Yet, no published report has dealt with this issue in detail. In the Rotterdam study baseline ultrasound images of the carotid arteries were made. During follow-up of 8.2 years, 656 new acute myocardial infarctions (AMI) occurred. Regression analysis was used to study myocardial infarction relation to right (or left) common CIMT with various adjustments for right-, or left-sided lumen diameter. Lumen adjustment was made by (1) a simple adjustment in a regression equation; (2) using the CIMT-to-lumen ratio; (3) using arterial mass, calculated as ({pix[(lumen+near wall CIMT+far wall CIMT)/2]2}-[pix(lumen/2)2]). AMI disease risk increased per standard deviation increase in common CIMT (0.177 mm): hazard ratio (HR) 1.28 (95% CI, 1.19 to 1.37). When lumen diameter was taken into account the HR was 1.26 (95% CI, 1.18 to 1.35). The HR for the CIMT-to-lumen ratio was 1.18 (95% CI, 1.11 to 1.27) and for arterial mass 1.28 (95% CI, 1.19 to 1.37). Additional analyses indicated that the CIMT-to-lumen ratio at lower CIMT levels appears to reflect arterial remodelling rather than risk of cardiovascular disease. We conclude that using the CIMT-to-lumen ratio yields the weakest associations. Other approaches for adjustment for common carotid lumen diameter do not affect the magnitude or precision of the association of common CIMT to risk of AMI. When the interest is in risk relations the preference goes to either CIMT or arterial mass measurement.</t>
  </si>
  <si>
    <t>Clinical effectiveness of influenza vaccination in persons younger than 65 years with high-risk medical conditions: the PRISMA study.</t>
  </si>
  <si>
    <t>Hak, Eelko; Buskens, Erik; van Essen, Gerrit A; de Bakker, Dinny H; Grobbee, Diederick E; Tacken, Margot A J B; van Hout, Ben A; Verheij, Theo J M</t>
  </si>
  <si>
    <t>https://pubmed.ncbi.nlm.nih.gov/15710789</t>
  </si>
  <si>
    <t>Influenza vaccination has consistently been shown to prevent all-cause death and hospitalizations during influenza epidemics among seniors. However, such benefits have not yet been demonstrated among younger individuals with high-risk medical conditions. In the present study, we evaluated the effectiveness of influenza vaccine in persons recommended for vaccination of any age during an epidemic. We conducted a case-control study during the 1999-2000 influenza A epidemic nested in a cohort of 75,227 primary care patients. End points were all-cause mortality and episodes of hospitalizations or general practitioner (GP) visits for influenza, pneumonia, other acute respiratory disease, acute otitis media, myocardial infarction, heart failure, and stroke. The effectiveness of vaccination was evaluated by means of logistic regression analysis with adjustments for age, sex, prior health care use, medication use, and comorbid conditions. Among high-risk children and adolescents younger than 18 years (n=5933; 8% of the study population), 1 death, 3 hospitalizations for pneumonia, and 160 GP visits occurred. After adjustments, 43% (95% confidence interval [CI], 10%-64%) of visits were prevented. Among high-risk adults aged between 18 and 64 years (n=24 928; 33% of the study population), 47 deaths, 23 hospitalizations, and 363 GP visits occurred. After adjustments, vaccination prevented 78% of deaths (95% CI, 39%-92%), 87% of hospitalizations (95% CI, 39%-97%), and 26% of GP visits (95% CI, 7%-47%). Among elderly persons (n=44 366; 59% of the study population), 272 deaths and 166 hospitalizations occurred, and after adjustments the vaccine prevented these end points by 50% (95% CI, 23%-68%) and 48% (95% CI, 7%-71%), respectively. Persons with high-risk medical conditions of any age can substantially benefit from annual influenza vaccination during an epidemic.</t>
  </si>
  <si>
    <t>Average blood pressure and cardiovascular disease-related mortality in middle-aged women.</t>
  </si>
  <si>
    <t>van Trijp, Marijke J C A; Grobbee, Diederick E; Peeters, Petra H M; van Der Schouw, Yvonne T; Bots, Michiel L</t>
  </si>
  <si>
    <t>https://pubmed.ncbi.nlm.nih.gov/15752947</t>
  </si>
  <si>
    <t>The aim of this study was to assess which average blood pressure (BP) component (ie, systolic BP [SBP], diastolic BP [DBP], pulse pressure [PP], or mean arterial pressure [MAP]), is most strongly related to cardiovascular disease (CVD)-related mortality and to evaluate whether the strength of the relation varies with follow-up time. This was a prospective cohort study. The studied cohort comprised a population of postmenopausal women (n = 7813) between the ages of 49 and 66 years of age, of whom four BP measurements were available, obtained at four different time points. Average BP, ie, the mean of the four measurements divided by the standard deviation, was entered in Cox proportional hazards models to facilitate direct comparison. Hazard ratios (HR) were calculated adjusted for age, body mass index, presence of diabetes mellitus, smoking habit, and use of BP-lowering medication. In addition analyses were repeated in strata of follow-up time (10, 15, and 20 years). During a mean follow-up of 13.1 years, 463 CVD-related deaths occurred. For SBP and MAP the highest HR for CVD mortality were found; however, the confidence intervals (CI) overlapped (SBP: HR = 1.43, 95% CI = 1.30 to 1.58; DBP: HR = 1.35, 95% CI = 1.23 to 1.50; PP: HR = 1.30, 95% CI = 1.19 to 1.42; MAP: HR = 1.43, 95% CI = 1.30 to 1.58). Analyses in strata of follow-up time did not show a difference in strength of the associations with increasing follow-up time. In this prospective follow-up study of postmenopausal women, SBP and MAP seemed to be strongest related with CVD-related death; however the CI of the HR overlapped.</t>
  </si>
  <si>
    <t>Insulin treatment and cardiovascular disease; friend or foe? A point of view.</t>
  </si>
  <si>
    <t>Muis, M J; Bots, M L; Grobbee, D E; Stolk, R P</t>
  </si>
  <si>
    <t>https://pubmed.ncbi.nlm.nih.gov/15660727</t>
  </si>
  <si>
    <t>Several observational studies have shown that higher insulin levels are associated with an increased risk of cardiovascular disease. If higher endogenous insulin levels are causally related to cardiovascular disease, one might expect an increased risk of cardiovascular disease in patients treated with insulin, as this results in high circulating insulin levels. Such risk elevation might counteract the benefits of tight glucose control. Our objective was to explore the relationship between insulin therapy and cardiovascular disease in Type 1 and Type 2 diabetes mellitus using information from available literature. Several experimental studies in animals and humans support the presence of a harmful effect of insulin on the vascular endothelium. In prospective follow-up studies increased insulin dosage was associated with increased risks of cardiovascular disease, although confounding by indication could not be excluded. Randomized controlled trials in diabetic patients, comparing conventional with intensive glucose-lowering treatment, although showing a reduction in microvascular disease, showed no significant difference in the incidence of cardiovascular disease. The results with respect to exposure to insulin are, however, difficult to interpret due to insufficient information on exposure to insulin levels as well as confounding by glycaemic control and body mass index. In addition, these studies were not designed to address the question whether higher insulin use relates to increased cardiovascular risk. Published research provides conflicting evidence as to whether exposure to high levels of exogenous insulin in diabetes mellitus affects the risk of cardiovascular disease. The currently available studies have a number of serious methodological restraints that limit accurate interpretation and conclusions in this area.</t>
  </si>
  <si>
    <t>Prescribing antibiotics for respiratory tract infections by GPs: management and prescriber characteristics.</t>
  </si>
  <si>
    <t>https://pubmed.ncbi.nlm.nih.gov/15720932</t>
  </si>
  <si>
    <t>Due to clinical and non-clinical factors, considerable variation exists in the prescribing of antibiotics for respiratory tract infections (RTIs) by GPs based in the Netherlands. To assess, in patients with RTIs in Dutch general practice: the prescribing rates of antibiotics; the relationship between GP characteristics and antibiotic prescribing; and the type of antibiotics prescribed. Descriptive and prognostic. Eighty-four GPs in the middle region of the Netherlands. All patient consultations for RTIs were registered by 84 GPs during 3 weeks in autumn and winter 2001 and 2002. In addition, all GPs completed a questionnaire related to individual and practice characteristics. The mean proportion of consultations in which GPs prescribed antibiotics was 33% (95% CI = 29 to 35%) of all RTIs. This proportion varied from 21% for patients with upper RTIs or an exacerbation of asthma/COPD, to about 70% when patients had sinusitis-like complaints or pneumonia. Amoxycillin and doxycycline were the most frequently prescribed antibiotics, while 17% of the antibiotics prescribed were macrolides. Multiple linear regression analysis showed that the longer GPs had practised, the more frequently they prescribed antibiotics, especially in combination with relatively little knowledge about RTIs or the less time GPs felt they had available per patient. The final model, with seven factors, explained 29% of the variance of antibiotic prescribing. The prescribing behaviour of Dutch GPs might be improved with regard to choice of type and indication of antibiotics.</t>
  </si>
  <si>
    <t>Endogenous sex hormones and metabolic syndrome in aging men.</t>
  </si>
  <si>
    <t>Muller, Majon; Grobbee, Diederick E; den Tonkelaar, Isolde; Lamberts, Steven W J; van der Schouw, Yvonne T</t>
  </si>
  <si>
    <t>https://pubmed.ncbi.nlm.nih.gov/15687322</t>
  </si>
  <si>
    <t>Sex hormone levels in men change during aging. These changes may be associated with insulin sensitivity and the metabolic syndrome. We studied the association between endogenous sex hormones and characteristics of the metabolic syndrome in 400 independently living men between 40 and 80 yr of age in a cross-sectional study. Serum concentrations of lipids, glucose, insulin, total testosterone (TT), SHBG, estradiol (E2), and dehydroepiandrosterone sulfate (DHEA-S) were measured. Bioavailable testosterone (BT) was calculated using TT and SHBG. Body height, weight, waist-hip circumference, blood pressure, and physical activity were assessed. Smoking and alcohol consumption was estimated from self-report. The metabolic syndrome was defined according to the National Cholesterol Education Program definition, and insulin sensitivity was calculated by use of the quantitative insulin sensitivity check index. Multiple logistic regression analyses showed an inverse relationship according to 1 sd increase for circulating TT [odds ratio (OR) = 0.43; 95% confidence interval (CI), 0.32-0.59], BT (OR = 0.62; 95% CI, 0.46-0.83), SHBG (OR = 0.46; 95% CI, 0.33-0.64), and DHEA-S (OR = 0.76; 95% CI, 0.56-1.02) with the metabolic syndrome. Each sd increase in E2 levels was not significantly associated with the metabolic syndrome (OR = 1.16; 95% CI, 0.92-1.45). Linear regression analyses showed that higher TT, BT, and SHBG levels were related to higher insulin sensitivity; beta-coefficients (95% CI) were 0.011 (0.008-0.015), 0.005 (0.001-0.009), and 0.013 (0.010-0.017), respectively, whereas no effects were found for DHEA-S and E2. Estimates were adjusted for age, smoking, alcohol consumption, and physical activity score. Further adjustment for insulin levels and body composition measurements attenuated the estimates, and the associations were similar in the group free of cardiovascular disease and diabetes. Higher testosterone and SHBG levels in aging males are independently associated with a higher insulin sensitivity and a reduced risk of the metabolic syndrome, independent of insulin levels and body composition measurements, suggesting that these hormones may protect against the development of metabolic syndrome.</t>
  </si>
  <si>
    <t>Impact of anesthesia management characteristics on severe morbidity and mortality.</t>
  </si>
  <si>
    <t>Arbous, M Sesmu; Meursing, Anneke E E; van Kleef, Jack W; de Lange, Jaap J; Spoormans, Huub H A J M; Touw, Paul; Werner, Frans M; Grobbee, Diederick E</t>
  </si>
  <si>
    <t>https://pubmed.ncbi.nlm.nih.gov/15681938</t>
  </si>
  <si>
    <t>Quantitative estimates of how anesthesia management impacts perioperative morbidity and mortality are limited. The authors performed a study to identify risk factors related to anesthesia management for 24-h postoperative severe morbidity and mortality. A case-control study was performed of all patients undergoing anesthesia (1995-1997). Cases were patients who either remained comatose or died during or within 24 h of undergoing anesthesia. Controls were patients who neither remained comatose nor died during or within 24 hours of undergoing anesthesia. Data were collected by means of a questionnaire, the anesthesia and recovery form. Odds ratios were calculated for risk factors, adjusted for confounders. The cohort comprised 869,483 patients; 807 cases and 883 controls were analyzed. The incidence of 24-h postoperative death was 8.8 (95% confidence interval, 8.2-9.5) per 10,000 anesthetics. The incidence of coma was 0.5 (95% confidence interval, 0.3-0.6). Anesthesia management factors that were statistically significantly associated with a decreased risk were: equipment check with protocol and checklist (odds ratio, 0.64), documentation of the equipment check (odds ratio, 0.61), a directly available anesthesiologist (odds ratio, 0.46), no change of anesthesiologist during anesthesia (odds ratio, 0.44), presence of a full-time working anesthetic nurse (odds ratio, 0.41), two persons present at emergence (odds ratio, 0.69), reversal of anesthesia (for muscle relaxants and the combination of muscle relaxants and opiates; odds ratios, 0.10 and 0.29, respectively), and postoperative pain medication as opposed to no pain medication, particularly if administered epidurally or intramuscularly as opposed to intravenously. Mortality after surgery is substantial and an association was established between perioperative coma and death and anesthesia management factors like intraoperative presence of anesthesia personnel, administration of drugs intraoperatively and postoperatively, and characteristics of delivered intraoperative and postoperative anesthetic care.</t>
  </si>
  <si>
    <t>Prospective study on usual dietary phytoestrogen intake and cardiovascular disease risk in Western women.</t>
  </si>
  <si>
    <t>van der Schouw, Yvonne T; Kreijkamp-Kaspers, Sanne; Peeters, Petra H M; Keinan-Boker, Lital; Rimm, Eric B; Grobbee, Diederick E</t>
  </si>
  <si>
    <t>https://pubmed.ncbi.nlm.nih.gov/15687135</t>
  </si>
  <si>
    <t>Phytoestrogens have been suggested to lower cardiovascular disease risk, but existing research focused on non-Western high intake levels and on risk factors. We investigated whether habitual low phytoestrogen intake is associated with manifest cardiovascular disease risk. Between 1993 and 1997, 16,165 women 49 to 70 years old and free from cardiovascular disease were enrolled in the Dutch Prospect-EPIC cohort (European Prospective study Into Cancer and nutrition) and followed up for a median period of 75 months. At enrollment, women filled in questionnaires on chronic disease risk factors and nutrition. Intake of phytoestrogens was estimated using the food frequency questionnaire covering regular dietary intake of 178 food items in the year before enrollment. Cox regression analysis was used to estimate hazard ratios of cardiovascular disease for quartiles of phytoestrogen intake adjusted for age at intake, body mass index, smoking, physical activity, hypertension, hypercholesterolemia, use of hormone replacement therapy, menopausal status, and intake of total energy, total fiber, vegetables, fruit, and alcohol. In total, 372 women experienced a coronary event (CHD) (International Classification of Diseases, Ninth Revision, Clinical Modification [ICD-9], 410 to 414, 427.5) and 147 women a cerebrovascular event (CVD) (ICD-9, 430 to 438) during follow-up. Overall, neither isoflavones nor lignans were associated with decreased cardiovascular disease risk. When stratifying for ever versus never smokers, CHD risk decreased with increasing lignan intake for ever smokers. Our results do not support the presence of a protective effect of higher intake of phytoestrogens in low doses on cardiovascular disease risk, although a small risk reduction with higher lignan intake cannot be excluded for smokers.</t>
  </si>
  <si>
    <t>Consumption of vegetables and fruits and risk of breast cancer.</t>
  </si>
  <si>
    <t>van Gils, Carla H; Peeters, Petra H M; Bueno-de-Mesquita, H Bas; Boshuizen, Hendriek C; Lahmann, Petra H; Clavel-Chapelon, Françoise; Thiébaut, Anne; Kesse, Emmanuelle; Sieri, Sabina; Palli, Domenico; Tumino, Rosario; Panico, Salvatore; Vineis, Paolo; Gonzalez, Carlos A; Ardanaz, Eva; Sánchez, Maria-José; Amiano, Pilar; Navarro, Carmen; Quirós, José R; Key, Timothy J; Allen, Naomi; Khaw, Kay-Tee; Bingham, Sheila A; Psaltopoulou, Theodora; Koliva, Maria; Trichopoulou, Antonia; Nagel, Gabriële; Linseisen, Jakob; Boeing, Heiner; Berglund, Göran; Wirfält, Elisabet; Hallmans, Göran; Lenner, Per; Overvad, Kim; Tjønneland, Anne; Olsen, Anja; Lund, Eiliv; Engeset, Dagrun; Alsaker, Elin; Norat, Teresa; Kaaks, Rudolf; Slimani, Nadia; Riboli, Elio</t>
  </si>
  <si>
    <t>https://pubmed.ncbi.nlm.nih.gov/15644545</t>
  </si>
  <si>
    <t>The intake of vegetables and fruits has been thought to protect against breast cancer. Most of the evidence comes from case-control studies, but a recent pooled analysis of the relatively few published cohort studies suggests no significantly reduced breast cancer risk is associated with vegetable and fruit consumption. To examine the relation between total and specific vegetable and fruit intake and the incidence of breast cancer. Prospective study of 285,526 women between the ages of 25 and 70 years, participating in the European Prospective Investigation Into Cancer and Nutrition (EPIC) study, recruited from 8 of the 10 participating European countries. Participants completed a dietary questionnaire in 1992-1998 and were followed up for incidence of cancer until 2002. Relative risks for breast cancer by total and specific vegetable and fruit intake. Analyses were stratified by age at recruitment and study center. Relative risks were adjusted for established breast cancer risk factors. During 1,486,402 person-years (median duration of follow-up, 5.4 years), 3659 invasive incident breast cancer cases were reported. No significant associations between vegetable or fruit intake and breast cancer risk were observed. Relative risks for the highest vs the lowest quintile were 0.98 (95% confidence interval [CI], 0.84-1.14) for total vegetables, 1.09 (95% CI , 0.94-1.25) for total fruit, and 1.05 (95% CI , 0.92-1.20) for fruit and vegetable juices. For 6 specific vegetable subgroups no associations with breast cancer risk were observed either. Although the period of follow-up is limited for now, the results suggest that total or specific vegetable and fruit intake is not associated with risk for breast cancer.</t>
  </si>
  <si>
    <t>Limited value of patient history and physical examination in diagnosing deep vein thrombosis in primary care.</t>
  </si>
  <si>
    <t>https://pubmed.ncbi.nlm.nih.gov/15640292</t>
  </si>
  <si>
    <t>Properly ruling in or out deep vein thrombosis (DVT) is important because of the risk of developing pulmonary embolism if untreated and the risk of bleeding when treated with anticoagulants. In primary care, the diagnosis in suspected DVT is non-specific and the physician has to decide which patients to refer for further diagnostic work-up on the basis of patient history and physical examination alone. To quantify which (combination of) items from patient history and physical examination contribute to the diagnosis of DVT in primary care. A cross-sectional study design was chosen and the setting was all primary care physicians adherent to three local hospitals. 1325 consecutive patients consulting their primary care physician with symptoms suggestive of DVT were included. We studied 1325 patients with suspected DVT. The prevalence of thrombosis (assessed by means of compression ultrasonography) in these patients was 29%. Multivariate regression analysis of 17 candidate predictors resulted in nine independent predictors of DVT: male gender, duration of symptoms, malignancy, immobilization, leg trauma, pain when walking, oedema, calf circumference and dilated veins. The predictive value of the combination of the nine independent variables was low, reflected in the ROC area (as a combination of the sensitivity and specificity) of this model of 0.68. The low discriminative value was also exhibited in the numbers of DVT in the different risk categories. For example, in the low-risk group, the probability of DVT was still 15%. The diagnostic performance of patient history and physical examination was similar (and thus poor) in all clinically relevant subgroups. Patient history and physical examination in patients suspected of DVT are of limited value for the primary care setting to identify patients with a low or high probability of DVT and thus in the decision to refer for further diagnostic work-up.</t>
  </si>
  <si>
    <t>A meta-analysis of excess cardiac mortality on Monday.</t>
  </si>
  <si>
    <t>Witte, D R; Grobbee, D E; Bots, M L; Hoes, A W</t>
  </si>
  <si>
    <t>https://pubmed.ncbi.nlm.nih.gov/16080587</t>
  </si>
  <si>
    <t>Available evidence suggests a peak in the incidence of cardiovascular events on Mondays compared to other days of the week. The exact magnitude of the excess risk and the role of age and gender, however, remain unclear. To quantify the excess risk associated with the Monday peak in cardiovascular mortality and to explore the role of age and gender. A meta-analysis of available published studies reporting on weekly patterns in incidence of myocardial infarction and sudden cardiac death was performed. Reports based on routinely collected data from population statistics (n = 5) generally reported a lower odds ratio (OR) of an event on Monday than studies with a confirmed diagnosis (n = 16). The pooled OR estimate based on population statistics was 1.04 (95%CI: 1.03; 1.05), whereas the pooled OR estimate based on confirmed diagnoses was 1.19 (95%CI: 1.17; 1.21). Subgroup analysis yielded an OR of 1.19 (95%CI: 1.07; 1.31) for men and 1.15 (95%CI: 0.99; 1.32) for women. Odds ratios for patients younger than 65 years of age and 65 or older were 1.22 (95%CI: 1.09; 1.36) and 1.16 (95%CI: 1.07; 1.27), respectively. The differences between subgroup odds ratios were not statistically significant. The incidence of sudden cardiac death is markedly increased on Monday, similar for men and women, and for subjects below and above 65 years of age.</t>
  </si>
  <si>
    <t>Dietary phytoestrogens and plasma lipids in Dutch postmenopausal women; a cross-sectional study.</t>
  </si>
  <si>
    <t>Kreijkamp-Kaspers, Sanne; Kok, Linda; Bots, Michiel L; Grobbee, Diederick E; van der Schouw, Yvonne T</t>
  </si>
  <si>
    <t>https://pubmed.ncbi.nlm.nih.gov/15585205</t>
  </si>
  <si>
    <t>Isoflavone supplementation in high doses is associated with plasma lipid, glucose and insulin levels. Little is known about the effects of intake within the range of western diets on these endpoints. We conducted a population-based cross-sectional study in 301 women aged 60-75 years. Dietary isoflavone and lignan intake was assessed with a food frequency questionnaire covering habitual diet during the year preceding enrollment. The outcome measures were total cholesterol, LDL-cholesterol, HDL-cholesterol, triglycerides, Lp(a), fasting glucose and insulin levels. Data were analysed using linear regression and logistic regression models. In the analyses we adjusted for a wide range of potential confounders. High intake of isoflavones was associated with lower Lp(a) levels (tertile three versus tertile one: odds ratio 0.36, 95% CI 0.16; 0.80). No relation was found between blood levels and the other plasma lipids, glucose or insulin was found. The results of this study suggest that an effect of dietary phytoestrogen intake at low levels on plasma lipid levels is of limited magnitude. It is premature to advise postmenopausal women with low phytoestrogen intake to change their diet towards a phytoestrogen rich diet with the sole aim to prevent cardiovascular disease.</t>
  </si>
  <si>
    <t>Excess cardiac mortality on Monday: the importance of gender, age and hospitalisation.</t>
  </si>
  <si>
    <t>https://pubmed.ncbi.nlm.nih.gov/16080586</t>
  </si>
  <si>
    <t>Available evidence suggests a peak in the incidence of cardiovascular events on Mondays compared to other days of the week. The underlying mechanism may be summarised as naturally occurring rhythmic fluctuations in human physiology, and socially determined rhythms in human behaviour. Change in these rhythms may lead to attenuation of the peak on Mondays. To quantify the excess risk associated with the Monday peak in cardiovascular mortality and to explore the role of age, gender and hospitalisation. Details on time and cause of all deaths which occurred in the city of Rotterdam between November 21, 1988 and November 21, 1990 were obtained by sending a questionnaire to the physician who signed the death certificate. We studied the weekly distribution of 1828 confirmed cases of sudden cardiac death, for the group as a whole and in subgroups according to gender, age (&lt; 65 years/65 years) and hospitalisation. The odds ratio (OR) of sudden cardiac death on Monday compared to other days of the week was 1.20 (95% CI: 1.06-1.36). The excess mortality due to the Monday peak amounted to 4.9 per 1000 deaths. The Monday peak was more pronounced in non-hospitalised (OR: 1.25; 95% CI: 1.08-1.44) than in hospitalised patients (OR: 1.06; 95% CI: 0.83-1.37), in men (OR: 1.25; 95% CI: 1.06-1.48) than in women (OR: 1.14; 95% CI: 0.95-1.36), and in those younger than 65 (OR: 1.29; 95% CI: 0.95-1.74) compared to those aged 65 years or over (OR: 1.18; 95% CI: 1.03-1.35). Yet, the confidence limits overlap. The incidence of sudden cardiac death is markedly increased on Monday, more pronounced in non-hospitalised patients. Our results may point to the relevance of naturally occurring rhythmic fluctuations in human physiology, and socially determined rhythms in human behaviour as underlying mechanism.</t>
  </si>
  <si>
    <t>Randomized controlled trial of the effects of soy protein containing isoflavones on vascular function in postmenopausal women.</t>
  </si>
  <si>
    <t>Kreijkamp-Kaspers, Sanne; Kok, Linda; Bots, Michiel L; Grobbee, Diederick E; Lampe, Johanna W; van der Schouw, Yvonne T</t>
  </si>
  <si>
    <t>https://pubmed.ncbi.nlm.nih.gov/15640479</t>
  </si>
  <si>
    <t>The incidence of cardiovascular disease increases after menopause, possibly because of the decline in estrogen. Soy protein, a rich source of estrogen-like isoflavones, is hypothesized to improve vascular function. The objective of this study was to investigate whether supplementation with soy protein, a rich source of estrogen-like isoflavones, improves vascular function. We performed a 12-mo double-blind randomized trial to compare the effects of soy protein containing 99 mg isoflavones/d (aglycone weights) with those of milk protein (placebo) on blood pressure and endothelial function in 202 postmenopausal women aged 60-75 y. Changes in endothelial function during the intervention were not significantly different between the soy and the placebo groups. After the intervention, systolic blood pressure increased in the soy group significantly more than it did in the placebo group; the difference in change was 4.3 mm Hg (95% CI: 0.3, 8.4 mm Hg; P = 0.04) for systolic blood pressure, but only 2.0 mm Hg (95% CI: -0.74, 4.71 mm Hg; P = 0.15) for diastolic blood pressure. In the soy group only, systolic and diastolic blood pressure decreased and endothelial function improved in the equol producers, whereas systolic and diastolic blood pressure increased and endothelial function deteriorated in the equol nonproducers. The results of this trial do not support the hypothesis that soy protein containing isoflavones have beneficial effects on vascular function in older postmenopausal women. Whether certain subgroups of women (eg, equol producers) do benefit from the intervention remains to be elucidated.</t>
  </si>
  <si>
    <t>The Utrecht Health Project: optimization of routine healthcare data for research.</t>
  </si>
  <si>
    <t>Grobbee, Diederick E; Hoes, Arno W; Verheij, Theo J M; Schrijvers, Augustinus J P; van Ameijden, Erik J C; Numans, Mattijs E</t>
  </si>
  <si>
    <t>https://pubmed.ncbi.nlm.nih.gov/15921047</t>
  </si>
  <si>
    <t>Research on the impact of changes in healthcare policy, developments in community and public health and determinants of health and disease during lifetime may effectively make use of routine healthcare data. These data, however, need to meet minimal criteria for quality and completeness. Research opportunities are further improved when routine data are supplemented with a standardized 'baseline' assessment of the full population. This formed the basis for a new study initiated in a newly developed large residential area in Leidsche Rijn, part of the city of Utrecht, the Netherlands. All new inhabitants are invited by their general practitioner to participate in the Utrecht Health Project (UHP). Informed consent is obtained and an individual health profile (IHP) is made by dedicated research nurses. The IHP is the starting point for the UHP research database as well as for the primary care electronic medical records. Follow-up data are collected through continuous linkage with the computerized medical files recorded by the general practitioners. UHP staff in each practice takes care of quality management of registration as well as data handling. Currently, over 60% of invited new residents in the area have given informed consent with participation steadily increasing. The Utrecht Health Project combines key elements of traditional epidemiologic cohort studies with the current power of routine electronic medical record keeping in primary care. The research approach optimizes routine health care data for use in scientific research.</t>
  </si>
  <si>
    <t>A randomized, placebo-controlled trial on the effects of soy protein containing isoflavones on quality of life in postmenopausal women.</t>
  </si>
  <si>
    <t>https://pubmed.ncbi.nlm.nih.gov/15668601</t>
  </si>
  <si>
    <t>Postmenopausal estrogen decline is implicated in several age-related physical and psychological changes in women, including decreases in perceived quality of life (QoL). A number of trials with hormone therapy showed beneficial effects of the intervention on parameters of quality of life. However, because of known or suspected serious side-effects of conventional hormone therapy there is a need for alternatives. We conducted a double-blind randomized placebo-controlled trial with soy protein, containing 52 mg genistein, 41 mg daidzein, and 6 mg glycitein (aglycone weights), or milk protein (placebo) daily for 1 year. For this trial, we recruited 202 postmenopausal women aged 60 to 75 years. At baseline and at final visit, participants filled in the Short Form of 36 questions (SF-36), the Questionnaire on Life Satisfaction Modules (QLS(M)), and the Geriatric Depression Scale (GDS). For the placebo group scores on all dimensions of the SF-36 and the QLS(M) decreased during the intervention year, except for the dimension "role limitations caused by physical problems." The soy group showed increases on two dimensions of the SF-36 ("social functioning" and "role limitations caused by physical problems") and on one dimension of the QLS(M). There were however no statistically significant differences in changes of scores between the two intervention groups. For the GDS similarly, no significant differences were found between the groups. In conclusion, the findings in this randomized trial do not support the presence of a marked effect of soy protein substitution on quality of life (health status, life satisfaction, and depression) in elderly postmenopausal women.</t>
  </si>
  <si>
    <t>Influenza and pneumococcal vaccination as a model to assess C-reactive protein response to mild inflammation.</t>
  </si>
  <si>
    <t>Posthouwer, D; Voorbij, H A M; Grobbee, D E; Numans, M E; van der Bom, J G</t>
  </si>
  <si>
    <t>https://pubmed.ncbi.nlm.nih.gov/15530681</t>
  </si>
  <si>
    <t>This study was set up to examine whether an influenza vaccine or an influenza vaccine in combination with pneumococcal vaccine can be used as a model to study responses to mild stimulation of the inflammatory system. In this study, 19 subjects received the influenza vaccine, 20 subjects the combination of influenza and pneumococcal vaccine. CRP and prothrombin fragment 1 and 2 (F1+2) were measured at baseline, and two times after vaccination. Influenza vaccination increased CRP by 0.20 mg/L, and influenza in combination with pneumococcal vaccine increased CRP by 0.60 mg/L. F1+2 increased 0.15 nmol/L after the combined vaccination; an increase in response to the influenza vaccination was not statistically significant. Our findings show that the influenza vaccine alone as well as the combination of the influenza and pneumococcal vaccine increases CRP-levels with a peak 2 days after vaccination.</t>
  </si>
  <si>
    <t>Assessment of flow-mediated vasodilatation (FMD) of the brachial artery: effects of technical aspects of the FMD measurement on the FMD response.</t>
  </si>
  <si>
    <t>Bots, Michiel L; Westerink, Jan; Rabelink, Ton J; de Koning, Eelco J P</t>
  </si>
  <si>
    <t>https://pubmed.ncbi.nlm.nih.gov/15618057</t>
  </si>
  <si>
    <t>The ability to assess endothelial function non-invasively with B-mode ultrasound has lead to its widespread application in a variety of studies. However, the absolute values obtained using this approach vary considerably across studies. We studied whether technical aspects of the methodology can explain the wide variety in absolute values across studies. A literature search was performed to identify published reports on flow-mediated vasodilatation (FMD) of the brachial artery published between 1992 and 2001. Information on type of equipment (wall track/B-mode), location of the measurement (antecubital fossa/upper arm), occlusion site (lower/upper arm), occlusion duration (min), and occlusion pressure was extracted. Patient characteristics were also extracted. For the healthy populations, mean FMD varied from 0.20 to 19.2%; for the coronary heart disease (CHD) patients FMD varied from -1.3 to 14%; for subjects with diabetes mellitus FMD varied from 0.75 to 12%. Compared with occlusion at the upper arm, lower arm occlusion was related to decreased FMD (mean difference in FMD -2.47%; 95% CI 0.55-4.39). An occlusion duration of &gt; or =4.5 min was related to an increased FMD compared with an occlusion time of &lt; or =4 min (mean difference 1.30%; 95% CI 0.35-2.46). These findings were adjusted for other technical aspects of the methodology and for differences in risk factors between populations. Mean FMD differs widely between studies. There is a great overlap between populations (healthy, CHD, diabetics). Our findings suggest that the technical aspects of the measurements, the location, and the duration of the occlusion may explain some of these differences, whereas type of equipment, location of the measurement, and occlusion pressure do not.</t>
  </si>
  <si>
    <t>Determinants of augmentation index in young men: the ARYA study.</t>
  </si>
  <si>
    <t>van Trijp, M J C A; Bos, W J W; Uiterwaal, C S P M; Oren, A; Vos, L E; Grobbee, D E; Bots, M L</t>
  </si>
  <si>
    <t>https://pubmed.ncbi.nlm.nih.gov/15606725</t>
  </si>
  <si>
    <t>There is an increasing interest in the augmentation index (AIx), the proportion of the central pulse pressure resulting from peripheral arterial wave reflection, which has been related to cardiovascular disease risk and mortality. Most of the data on the AIx have been collected in patients with established cardiovascular disease. In contrast, data in the young are scarce. However, as AIx might be used to evaluate cardiovascular disease risk already at an early age, we aimed to study determinants of AIx in a population of healthy young men. Three hundred and thirty males (mean age of 28 years) of the Atherosclerosis Risk in Young Adults study (ARYA-study) were studied in this cross sectional, population-based study. Anthropometrics and risk factors for cardiovascular disease were determined and AIx was estimated by radial applanation tonometry. The data were analysed using linear regression models. Augmentation index was associated with age, height (inverse), heart rate (inverse) and mean arterial pressure (positive). After adjustment for these determinants, smoking (beta = 0.31%/pack years, 95% CI [0.06; 0.55]) and LDL-cholesterol (beta = 1.28%/(mmol L(-1)), 95% CI [0.04; 2.51]) were statistically significant related to AIx. This study among young adult males shows that smoking and LDL-cholesterol are positively related to AIx. These findings support the view that AIx may be used as a marker for early vascular damage and cardiovascular disease risk.</t>
  </si>
  <si>
    <t>Penalized maximum likelihood estimation to directly adjust diagnostic and prognostic prediction models for overoptimism: a clinical example.</t>
  </si>
  <si>
    <t>Moons, K G M; Donders, A Rogier T; Steyerberg, E W; Harrell, F E</t>
  </si>
  <si>
    <t>https://pubmed.ncbi.nlm.nih.gov/15617952</t>
  </si>
  <si>
    <t>There is growing interest in developing prediction models. The accuracy of such models when applied in new patient samples is commonly lower than estimated from the development sample. This may be because of differences between the samples and/or because the developed model was overfitted (too optimistic). Various methods, including bootstrapping techniques exist for afterwards shrinking the regression coefficients and the model's discrimination and calibration for overoptimism. Penalized maximum likelihood estimation (PMLE) is a more rigorous method because adjustment for overfitting is directly built into the model development, instead of relying on shrinkage afterwards. PMLE has been described mainly in the statistical literature and is rarely applied to empirical data. Using empirical data, we illustrate the use of PMLE to develop a prediction model. The accuracy of the final PMLE model will be contrasted with the final models derived by ordinary stepwise logistic regression without and with shrinkage afterwards. The potential advantages and disadvantages of PMLE over the other two strategies are discussed. PMLE leads to smaller prediction errors, provides for model reduction to a user-defined degree, and may differently shrink each predictor for overoptimism without sacrificing much discriminative accuracy of the model. PMLE is an easily applicable and promising method to directly adjust clinical prediction models for overoptimism.</t>
  </si>
  <si>
    <t>Alcohol and endogenous sex steroid levels in postmenopausal women: a cross-sectional study.</t>
  </si>
  <si>
    <t>Onland-Moret, N Charlotte; Peeters, Petra H M; van der Schouw, Yvonne T; Grobbee, Diederick E; van Gils, Carla H</t>
  </si>
  <si>
    <t>https://pubmed.ncbi.nlm.nih.gov/15572431</t>
  </si>
  <si>
    <t>Breast cancer risk increases with increased levels of alcohol consumption, potentially through an effect on sex hormone levels. In a cross-sectional study among Dutch participants (n = 17,357) of the European Prospective Investigation into Cancer and Nutrition conducted in Utrecht, The Netherlands (Prospect-EPIC), we investigated the relation between alcohol intake and estrogen and androgen levels. Alcohol intake was calculated from a food frequency questionnaire. Women were included if they were postmenopausal, had donated a blood sample, and did not use hormone replacement therapy or oral contraceptives at the time of blood donation (n = 1093). Women who consumed more than 25 g of alcohol per day had higher levels of estrone (P(trend) = 0.001), estradiol (P(trend) = 0.03), dehydroepiandrosterone sulfate (P(trend) = 0.18), and higher estrone/estradiol (P(trend) = 0.14) and estrone/androstenedione (P(trend) = 0.06) ratios, compared with nondrinkers. Levels of androstenedione, testosterone, and SHBG did not differ between women who consumed alcohol and nondrinkers. Furthermore, there were no differences in the free androgen index or estradiol to testosterone ratio. In conclusion, levels of estrogens and dehydroepiandrosterone sulfate are higher in women who consume more alcohol. This finding supports the hypothesis that alcohol use may increase breast cancer risk at least partially through an effect on sex steroid levels.</t>
  </si>
  <si>
    <t>Dietary haem iron and coronary heart disease in women.</t>
  </si>
  <si>
    <t>van der A, Daphne L; Peeters, Petra H M; Grobbee, Diederick E; Marx, Joannes J M; van der Schouw, Yvonne T</t>
  </si>
  <si>
    <t>https://pubmed.ncbi.nlm.nih.gov/15618055</t>
  </si>
  <si>
    <t>A role for iron in the risk of ischaemic heart disease has been supported by in vitro and in vivo studies. We investigated whether dietary haem iron intake is associated with coronary heart disease (CHD) risk in a large population-based cohort of middle-aged women. We used data of 16 136 women aged 49-70 years at recruitment between 1993 and 1997. Follow-up was complete until 1 January 2000 and 252 newly diagnosed CHD cases were documented. Cox proportional hazards analysis was used to estimate hazard ratios of CHD for quartiles of haem iron intake, adjusted for cardiovascular and nutritional risk factors. We stratified by the presence of additional cardiovascular risk factors, menstrual periods, and antioxidant intake to investigate the possibility of effect modification. High dietary haem iron intake was associated with a 65% increase in CHD risk [hazard ratio (HR)=1.65; 95% confidence interval (CI): 1.07-2.53], after adjustment for cardiovascular and nutritional risk factors. This risk was not modified by additional risk factors, menstruation, or antioxidant intake. The results indicate that middle-aged women with a relatively high haem iron intake have an increased risk of CHD.</t>
  </si>
  <si>
    <t>Antibiotic prescribing for respiratory tract infections in Dutch primary care in relation to patient age and clinical entities.</t>
  </si>
  <si>
    <t>Akkerman, Annemiek E; van der Wouden, Johannes C; Kuyvenhoven, Marijke M; Dieleman, Jeanne P; Verheij, Theo J M</t>
  </si>
  <si>
    <t>https://pubmed.ncbi.nlm.nih.gov/15546973</t>
  </si>
  <si>
    <t>To obtain detailed information on current prescribing rates of antibiotics for respiratory tract infections (RTIs) in Dutch general practice and its relation with age and respiratory tract clinical entities. We assessed the mean proportion of antibiotics prescribed for RTIs per age group, contact-based and population-based using all patient contacts concerning RTIs in the year 2000 selected from the IPCI database, containing information on general practice consultations of 235,290 patients. In one-third of all contacts concerning RTIs, antibiotics were prescribed, with much variation between age groups and clinical entities. For children (0-15 years) and the elderly (over 75 years), the lowest contact-based percentages of prescribed antibiotics for RTIs were found, while population-based, children of age 0-5 years received far more antibiotics for RTIs. High prescribing rates were seen in patients with sinusitis-like complaints (67%) or pneumonia (78%), whereas low rates were found for patients with upper RTIs (16%). Potential over-prescribing of antibiotics for RTIs occurs in the age group 31-65 years, not in children and the elderly, and in patients with upper RTIs, sinusitis and most likely acute bronchitis (contact-based). The management of these subgroups of patients should be addressed in quality assurance programmes. Children and the elderly visit the GP much more often than adults, which can be explained by more frequent (children) or more severe (elderly) RTI morbidity, but in proportion they do not receive more antibiotics.</t>
  </si>
  <si>
    <t>No association of estrogen receptor alpha and cytochrome P450c17alpha polymorphisms with age at menopause in a Dutch cohort.</t>
  </si>
  <si>
    <t>Kok, Helen S; Onland-Moret, N Charlotte; van Asselt, Kristel M; van Gils, Carla H; van der Schouw, Yvonne T; Grobbee, Diederick E; Peeters, Petra H M</t>
  </si>
  <si>
    <t>https://pubmed.ncbi.nlm.nih.gov/15539439</t>
  </si>
  <si>
    <t>Age at menopause is under strong genetic control. So far, genetic variations of only one gene, the PvuII polymorphism of the estrogen receptor alpha (ERalpha) gene, have been shown to be associated with age at onset of menopause. This study aims to investigate whether PvuII, XbaI and B-variant polymorphisms of the ERalpha gene, and the MspAI polymorphism of the cytochrome P450c17alpha (CYP17) gene are associated with age at menopause in a Dutch cohort. DNA was isolated from urine samples of 385 Caucasian women with natural menopause and the genotypes of the four polymorphisms were determined. A questionnaire was used for background characteristics. The genotypes of PvuII, XbaI, MspAI were obtained by PCR restriction fragment length polymorphism analysis. The B-variant was determined with an allele-specific oligonucleotide hybridization method. Two-sided t-tests were performed to assess the association between the four polymorphisms and menopausal age. The PvuII and XbaI polymorphisms were analysed separately as well as in a combined score. The results show that none of the polymorphisms independently, nor the combined genotypes for PvuII and XbaI, were associated with age at natural menopause. No evidence was found for a relationship between common variants of the ERalpha gene and the CYP17 gene with age at natural menopause.</t>
  </si>
  <si>
    <t>Heritability of menopausal age in mothers and daughters.</t>
  </si>
  <si>
    <t>van Asselt, Kristel M; Kok, Helen S; Pearson, Peter L; Dubas, Judith S; Peeters, Petra H M; Te Velde, Egbert R; van Noord, Paulus A H</t>
  </si>
  <si>
    <t>https://pubmed.ncbi.nlm.nih.gov/15533358</t>
  </si>
  <si>
    <t>To determine the heritability of age at natural menopause from mother-daughter pairs. Two-generation families were selected to study heritability of menopausal age. Subjects were drawn from a population-based study. One hundred sixty-four mother-daughter pairs with a natural menopausal age. None. The heritability of age at natural menopause estimated by a random-effects model. A heritability of 44% (95% confidence interval, 36%, 50%) was estimated. This study confirms that heritable components largely determine the natural age at menopause. Reasons for the differences between heritability estimates based on sibling pairs and parent-child comparisons are discussed.</t>
  </si>
  <si>
    <t>Neuropsychology of academic and behavioural limitations in school-age survivors of bacterial meningitis.</t>
  </si>
  <si>
    <t>Koomen, Irene; van Furth, A Marceline; Kraak, Miriam A C; Grobbee, Diederick E; Roord, John J; Jennekens-Schinkel, Aag</t>
  </si>
  <si>
    <t>https://pubmed.ncbi.nlm.nih.gov/15540632</t>
  </si>
  <si>
    <t>Neuropsychological impairments possibly underlying academic and/or behavioural limitations were studied in 149 school-age survivors of bacterial meningitis, 68 with and 81 without academic and/or behavioural limitations. Academic limitations affected mathematics, reading, and writing. Behavioural limitations were inferred from scores in the clinical range on the Child Behaviour Checklist. These children had been selected from a cohort of 674 children (57% males) who had recovered from non-Haemophilus influenzae type B bacterial meningitis and who had a mean age at infection of 2 years 4 months (range 1mo to 9y 5mo). They had neither 'complex onset' meningitis, prior cognitive or behavioural problems, nor severe disease sequelae. They were assessed with standardized assessment methods a mean of 7.8 years (range 4 to 10.4) after meningitis. Children with limitations (32% of the cohort) performed generically poorly on measures of cognitive functioning, speed, and motor steadiness, rather than having impairments in specific neuropsychological domains. The presence of two or more minor neurological signs was more frequent in the group with than in the group without limitations (30% versus 9%); this may explain the relatively poor speed and motor steadiness of the group with limitations.</t>
  </si>
  <si>
    <t>Insulin monotherapy versus combinations of insulin with oral hypoglycaemic agents in patients with type 2 diabetes mellitus.</t>
  </si>
  <si>
    <t>Goudswaard, A N; Furlong, N J; Rutten, G E H M; Stolk, R P; Valk, G D</t>
  </si>
  <si>
    <t>https://pubmed.ncbi.nlm.nih.gov/15495054</t>
  </si>
  <si>
    <t>It is unclear whether patients with type 2 diabetes who have poor glycaemic control despite maximal oral hypoglycaemic agents (OHAs) should be commenced on insulin as monotherapy, or insulin combined with oral hypoglycaemic agents (insulin-OHA combination therapy). To assess the effects of insulin monotherapy versus insulin-OHA combinations therapy. Eligible studies were identified by searching MEDLINE, EMBASE, and The Cochrane Library. Date of last search: May 2004. Randomised controlled trials (RCTs) with 2 months minimum follow-up duration comparing insulin monotherapy (all schemes) with insulin-OHA combination therapy. Data extraction and assessment of study quality were undertaken by three reviewers in pairs. Twenty RCTs (mean trial duration 10 months) including 1,811 participants, with mean age 59.8 years and mean known duration of diabetes 9.6 years. Overall, study methodological quality was low. Twenty-eight comparisons in 20 RCTs were ordered according to clinical considerations. No studies assessed diabetes-related morbidity, mortality or total mortality. From 13 studies (21 comparisons), sufficient data were extracted to calculate pooled effects on glycaemic control. Insulin-OHA combination therapy had statistically significant benefits on glycaemic control over insulin monotherapy only when the latter was applied as a once-daily injection of NPH insulin. Conversely, twice-daily insulin monotherapy (NPH or mixed insulin) provided superior glycaemic control to insulin-OHA combination therapy regimens where insulin was administered as a single morning injection. In more conventional comparisons, regimens utilising OHAs with bedtime NPH insulin provided comparable glycaemic control to insulin monotherapy (administered as twice daily, or multiple daily injections). Overall, insulin-OHA combination therapy was associated with a 43% relative reduction in total daily insulin requirement compared to insulin monotherapy. Of the 14 studies (22 comparisons) reporting hypoglycaemia, 13 demonstrated no significant difference in the frequency of symptomatic or biochemical hypoglycaemia between insulin and combination therapy regimens. No significant differences in quality of life related issues were detected. Combination therapy with bedtime NPH insulin resulted in statistically significantly less weight gain compared to insulin monotherapy, provided metformin was used +/-sulphonylurea. In all other comparisons no significant differences with respect to weight gain were detected. Bedtime NPH insulin combined with oral hypoglycaemic agents provides comparable glycaemic control to insulin monotherapy and is associated with less weight gain if metformin is used.</t>
  </si>
  <si>
    <t>Cerebral hemodynamic responses to blood pressure manipulation in severely head-injured patients in the presence or absence of intracranial hypertension.</t>
  </si>
  <si>
    <t>Cremer, Olaf L; van Dijk, Gert W; Amelink, Gerrit J; de Smet, Anne Marie G A; Moons, Karel G M; Kalkman, Cornelis J</t>
  </si>
  <si>
    <t>https://pubmed.ncbi.nlm.nih.gov/15385378</t>
  </si>
  <si>
    <t>The management of cerebral perfusion pressure (CPP) remains a controversial issue in the critical care of severely head-injured patients. Recently, it has been proposed that the state of cerebrovascular autoregulation should determine individual CPP targets. To find optimal perfusion pressure, we pharmacologically manipulated CPP in a range of 51 mm Hg (median; 25th-75th percentile, 48-53 mm Hg) to 108 mm Hg (102-112 mm Hg) on Days 0, 1, and 2 after severe head injury in 13 patients and studied the effects on intracranial pressure (ICP), autoregulation capacity, and brain tissue partial pressure of oxygen. Autoregulation was expressed as a static rate of regulation for 5-mm Hg CPP intervals based on middle cerebral artery flow velocity. When ICP was normal (26 occasions), there were no major changes in the measured variables when CPP was altered from a baseline level of 78 mm Hg (74-83 mm Hg), indicating that the brain was within autoregulation limits. Conversely, when intracranial hypertension was present (11 occasions), CPP reduction to less than 77 mm Hg (73-82 mm Hg) further increased ICP, decreased the static rate of regulation, and decreased brain tissue partial pressure of oxygen, whereas a CPP increase improved these variables, indicating that the brain was operating at the lower limit of autoregulation. We conclude that daily trial manipulation of arterial blood pressure over a wide range can provide information that may be used to optimize CPP management.</t>
  </si>
  <si>
    <t>Prevention of infection in the intensive care unit.</t>
  </si>
  <si>
    <t>https://pubmed.ncbi.nlm.nih.gov/15385752</t>
  </si>
  <si>
    <t>Infections remain an important threat for critically ill patients, and the emergence of antibiotic resistance is increasingly hampering successful treatment. In this review, new aspects of the diagnosis and prevention of ventilator-associated pneumonia and of strategies of antibiotic use to limit the development and spread of resistance are described. Prevention of ventilator-associated pneumonia is cost effective, but the most optimal preventive measure (or set of measures) remains controversial. There is growing evidence that antibiotic prophylaxis reduces the occurrence of ventilator-associated pneumonia and improves patient outcome. Moreover, antibiotic use can be reduced by increasing the specificity of diagnosing ventilator-associated pneumonia and by limiting the duration of antibiotic treatment. Recent developments in diagnosis, treatment, and prevention of ventilator-associated pneumonia and strategies to reduce emergence of antibiotic resistance have been reviewed. Whether changes in antibiotic policy will reduce the emergence of antibiotic resistance remains to be determined. In this area, methodologic problems that have been overlooked in many studies have been addressed recently. These issues must be clarified to provide reliable data on the effects of interventions in hospital settings.</t>
  </si>
  <si>
    <t>alpha-Tocopherol levels in plasma in new-onset, insulin-dependent diabetes mellitus.</t>
  </si>
  <si>
    <t>Muis, Marian J; Stolk, Ronald P; Princen, Hans M G; Van Dam, P S; Dikkeschei, L D; Grobbee, Diederick E; Bilo, Henk J G</t>
  </si>
  <si>
    <t>https://pubmed.ncbi.nlm.nih.gov/15522571</t>
  </si>
  <si>
    <t>BACKGROUND: Diabetic complications have been related to increased oxidative stress. Plasma antioxidant levels may be affected by hyperglycemia-induced oxidative stress as well as by insulin therapy. We evaluated the immediate effect of insulin treatment and improved metabolic control on the important antioxidant alpha-tocopherol plasma (vitamin E) levels in new-onset, insulin-dependent diabetes mellitus. METHODS: The study was performed in 15 consecutive patients, aged 20-67 years, with new-onset diabetes mellitus requiring acute insulin treatment. Plasma alpha-tocopherol levels were measured before the start of intensive insulin treatment and monthly for 6 months thereafter. Simultaneously, we studied plasma malondialdehyde (MDA) as a reflection of lipid peroxidation. In addition, comparisons were made to a nondiabetic reference group. RESULTS: Baseline alpha-tocopherol levels did not differ from those in nondiabetic subjects. alpha-Tocopherol decreased significantly, from 33.5+/-12.1 mumol/l before treatment to 28.11+/-6.85 mumol/l (-16%) after 1 month of insulin therapy (p&lt;0.04) to 26.6+/-7.03 mumol/l (-20%) after 3 months of insulin therapy (p&lt;0.02). This trend did not change after adjusting for variations in cholesterol levels. After 6 months, alpha-tocopherol was no longer decreased compared to baseline levels (29.6+/-7.4 mumol/l). MDA concentrations at baseline were significantly higher in the diabetic patients (3.79+/-2.91 mumol/l) than in the nondiabetic subjects (1.57+/-0.21 mumol/l, p=0.006). MDA concentrations decreased significantly following the start of insulin treatment. CONCLUSIONS: Patients with new-onset, insulin-dependent diabetes mellitus have alpha-tocopherol levels that are similar to those in normal subjects. Insulin treatment and/or improved metabolic control cause a significant decrease in alpha-tocopherol levels during the first months.</t>
  </si>
  <si>
    <t>The suicidal process; prospective comparison between early and later stages.</t>
  </si>
  <si>
    <t>Neeleman, Jan; de Graaf, Ron; Vollebergh, Wilma</t>
  </si>
  <si>
    <t>https://pubmed.ncbi.nlm.nih.gov/15465575</t>
  </si>
  <si>
    <t>Mechanisms contributing to suicidal behaviour may differ according to how far individuals have progressed through the suicidal process. Lifetime and subsequent 12-month cumulative incidences were obtained of death ideation, death wishes, suicide contemplation and deliberate self-harm in a survey (n=5618) of Dutch adults. Mokken's scale analysis was used to examine whether these were compatible with underlying lifetime and 12-month severity dimensions of suicidality. Sociodemographic details and personality traits, 12-month occurrence of negative life events, hopelessness and CIDI-generated DSM-III-R diagnoses were obtained. Ordered logistic regression was used to examine whether the effects of these on the 12-month incidence of suicidality differed by individuals' prior lifetime history of suicidality. Mental illness was more strongly associated with 12-months' suicidality in the presence (ordered logistic regression coefficient 0.80, 95% confidence interval 0.48-1.12) than the absence of previous suicidality (0.49 [0.25-0.74]). The reverse obtained for negative life events (0.18 [0.08-0.29] vs. 0.40 [0.33-0.48], respectively) and a number of sociodemographic risk factors. Female gender was a risk factor for 12-months' suicidality (0.47 [0.28-0.66]) only when it was first-onset. Completed suicides were not recorded. Self-report of lifetime suicidal behaviour may be biased. Environmental influences on suicidal behaviour are most pronounced early in the suicidal process which, after it has progressed, becomes more autonomous and intricately linked with mental illness and depression in particular. Men progress through the suicidal process faster than women. Management of suicidal behaviour depends on the stage of the process the person is at.</t>
  </si>
  <si>
    <t>The unfeasibility of requests for euthanasia in advance directives.</t>
  </si>
  <si>
    <t>https://pubmed.ncbi.nlm.nih.gov/15467074</t>
  </si>
  <si>
    <t>In April 2002 a new law regarding euthanasia came into effect in The Netherlands. This law holds that euthanasia remains a criminal offence unless it is (1) performed by a physician who (2) acts according to six specified rules of due care and (3) reports the case to a review committee. The six rules of due care are similar to those of the previous regulation and are largely based on jurisprudence. Completely new, however, is the article concerning a competent patient who has written an advance directive requesting euthanasia under certain circumstances. The law stipulates that a physician may act according to that written request, as long as he or she fulfils all other rules of due care. The author defends the view that these requests are neither feasible nor ethically justifiable, and presents both moral and practical arguments for this, claiming that for consistency reasons one cannot act on the basis of a written statement and fulfil the other rules of due care at the same time. The author also examines a difficult case of a demented, severely depressed woman who had written a living will requesting euthanasia before she became demented.</t>
  </si>
  <si>
    <t>Atherosclerotic disease regression with statins: studies using vascular markers.</t>
  </si>
  <si>
    <t>Grobbee, Diederick E; Bots, Michiel L</t>
  </si>
  <si>
    <t>https://pubmed.ncbi.nlm.nih.gov/15301899</t>
  </si>
  <si>
    <t>Vascular imaging techniques enable identification of atherosclerosis in the sub-clinical phase and allow assessment of interventions to modify disease progression. Angiography has limited utility for tracking the progression of atherosclerosis because of its invasive nature, limited sensitivity for detecting early lesions and relatively low interscan reproducibility. Intravascular ultrasound (IVUS)an electron beam computed tomography (EBCT) are more sensitive and reproducible; however, available data on their ability for tracking disease progression are few. Measurement of carotid intima media thickness (CIMT) by B-mode ultrasound is a well-validated procedure for this application. In comparison with angiography, CIMT demonstrates greater sensitivity for detecting early atherosclerosis and lipid-rich plaques that are vulnerable to rupture. Continued validation and development of imaging techniques, such as magnetic resonance imaging (MRI), will facilitate the assessment of atherosclerosis progression in intervention studies. Stains are effective low-density lipoprotein cholesterol (LDL-C) lowering agents, and imaging studies have demonstrated their ability to slow progression and promote regression of atherosclerosis. The benefits of therapy on atherosclerosis regression appear to extend to soft atherosclerotic plaques that are still developing and treatment effects are independent of baseline LDL-C level. Hence, imaging studies support early intervention with statins in coronary heart disease patients, irrespective of lipid level.</t>
  </si>
  <si>
    <t>Heritable aspects of dysplastic breast glandular tissue (DY).</t>
  </si>
  <si>
    <t>Haars, G; van Noord, P A H; van Gils, C H; Peeters, P H M; Grobbee, D E</t>
  </si>
  <si>
    <t>https://pubmed.ncbi.nlm.nih.gov/15377839</t>
  </si>
  <si>
    <t>Breast parenchymal patterns, as visible on mammograms, are determined by the relative amount of radio-dense, glandular dysplastic tissue DY). High percentages of DY are related to higher breast cancer risk. Previous studies reported heritable influences on DY of 32-67%, depending on the family relationship that was studied. depending on the family relationship that was studied. We assessed heritability in 466 sister-, 25 dizygotic twin- and 26 monozygotic twin-pairs participating in a population-based breast cancer screening program; the DOM project (Diagnostic Investigation Mamma Carcinoma). The heritability was estimated for non-twin sisters, dizygotic and monozygotic twins seperately by computing correlations between siblings from the dichotomous DY-score (high risk versus low risk). This was done using methods based on the number of shared genes per sibtype. Heritability estimates were 38, 34 and 88% for sisters, dizygotic twins and monozygotic twins respectively. Heritability estimates from models that combine monozygotic twins with dizygotic twins or sisters indicated that combine monozygotic twins with dizygotic twins or sisters indicated that dominant gene effects, genetic interactions or gene-environment effects could be involved. Parity appeared to have an effect on the heritabile influence with estimates ranging from 90% in sisters that were both nulliparous, to 2% in sisterpairs discordant for nulliparity. These result indicate a substantial genetic influence on DY, but with a possible modifying ability of other factors, such as parity.</t>
  </si>
  <si>
    <t>Current smoking at menopause rather than duration determines the onset of natural menopause.</t>
  </si>
  <si>
    <t>van Asselt, Kristel M; Kok, Helen S; van Der Schouw, Yvonne T; Grobbee, Diederick E; te Velde, Egbert R; Pearson, Peter L; Peeters, Petra H M</t>
  </si>
  <si>
    <t>https://pubmed.ncbi.nlm.nih.gov/15308964</t>
  </si>
  <si>
    <t>Smoking has frequently been associated with early menopause. However, studies of this association have been inconclusive with regard to duration and intensity of smoking. A major problem in analyzing the effect of smoking duration on menopausal age is that both exposure and outcome are age-dependent. We calculated age-specific rates for categories of smoking duration and subsequently computed the rate ratios for occurrence of menopause. We were thus able to model the effect of smoking duration on 2 time scales without assumptions of linearity. We used data from a Dutch population-based cohort comprising 5544 women age 49-70 years who had experienced natural menopause. The rate ratio (RR) for occurrence of menopause was increased in women who smoked in the year of menopause (RR = 1.41; 95% confidence interval = 1.32-1.50). The rate ratio of former smokers was similar to women who never smoked (0.95; 0.89-1.02). Prolonged exposure of smoking did not materially affect the risk of menopause, although the daily number of cigarettes currently smoked could increase the risk. Perimenopausal smoking is apparently more important than smoking history in explaining an earlier age of onset of menopause among women who smoke.</t>
  </si>
  <si>
    <t>Lower respiratory tract infections: not only less antibiotic prescriptions but also more evidence, please.</t>
  </si>
  <si>
    <t>https://pubmed.ncbi.nlm.nih.gov/16701652</t>
  </si>
  <si>
    <t>A nested case-control study of influenza vaccination was a cost-effective alternative to a full cohort analysis.</t>
  </si>
  <si>
    <t>Hak, E; Wei, F; Grobbee, D E; Nichol, K L</t>
  </si>
  <si>
    <t>https://pubmed.ncbi.nlm.nih.gov/15504630</t>
  </si>
  <si>
    <t>In the absence of trial results that are applicable to the target population, nested case-control studies might be an alternative to full-cohort analysis. We compared relative and absolute estimates of associations in an influenza vaccine study using both designs. Data from elderly persons enrolled during six consecutive influenza seasons were used (147,551 person-periods). The endpoints "hospitalization for pneumonia or influenza" (P&amp;I) or "death" were used combined and separately to define three types of cases. Controls for the case-control samples were randomly selected from the remainder of the total cohort at different ratios (1:1 to 1:4). Logistic regression analysis was used to assess adjusted vaccine effectiveness (VE). Sampling fractions were used to determine the number needed to treat to prevent one outcome. Receiver-operator-curve analysis was conducted to estimate the area under the curve (AUC) as a measure of discriminative capacity of the prognostic model. In all, 978 P and I hospitalizations and 1,339 deaths were observed. The adjusted estimates of relative estimates (VE, AUC) and their corresponding 95% confidence intervals were virtually the same using both study designs, notably when the case-control ratio was high (1:4). A nested case-control design can provide valid and precise estimates of associations and is a cost-effective alternative for full-cohort analysis.</t>
  </si>
  <si>
    <t>Imaging of carotid arteries in symptomatic patients: cost-effectiveness of diagnostic strategies.</t>
  </si>
  <si>
    <t>Buskens, Erik; Nederkoorn, Paul J; Buijs-Van Der Woude, Tineke; Mali, Willem P T M; Kappelle, L Jaap; Eikelboom, Bert C; Van Der Graaf, Yolanda; Hunink, M G Myriam</t>
  </si>
  <si>
    <t>https://pubmed.ncbi.nlm.nih.gov/15333770</t>
  </si>
  <si>
    <t>To assess the cost-effectiveness of noninvasive imaging strategies in patients who have had a transient ischemic attack (TIA) or minor stroke and are suspected of having significant carotid artery stenosis. From 1997 through 2000, 350 patients were included in a multicenter blinded consecutive cohort study. The sensitivities and specificities of duplex ultrasonography (US), magnetic resonance (MR) angiography, and these two examinations combined were estimated by using digital subtraction angiography (DSA) as the reference standard. The actual costs (from a societal perspective) of performing imaging and endarterectomy were estimated. The survival, quality of life, and costs associated with stroke were based on data reported in the literature. Markov modeling was used to predict long-term outcomes. Subsequently, a decision model was used to calculate costs, quality-adjusted life-years (QALYs), and incremental costs per QALY gained for 62 examination-treatment strategies. Extensive sensitivity analyses were performed. Duplex US had 88% sensitivity and 76% specificity with use of conventional cutoff criteria. MR angiography had comparable values: 92% sensitivity and 76% specificity. Combined concordant duplex US and MR angiography had superior diagnostic performance: 96% sensitivity and 80% specificity. Duplex US alone was the most efficient strategy. Adding MR angiography led to a marginal increase in QALYs gained but at prohibitive costs (cost-effectiveness ratio &gt; 1 500 000 per QALY gained). Performing DSA owing to discordant duplex US and MR angiographic findings and to confirm duplex US and MR angiographic findings led to extra costs and QALY loss owing to complications. Sensitivity analyses revealed that duplex US as a stand-alone examination remained the preferred strategy while estimates and assumptions were varied across plausible ranges. Duplex US performed without additional imaging is cost-effective in the selection of symptomatic patients suitable for endarterectomy. Adding MR angiography increases effectiveness slightly at disproportionately high costs, whereas DSA is inferior because of associated complications.</t>
  </si>
  <si>
    <t>Carotid stiffness indicates risk of ischemic stroke and TIA in patients with internal carotid artery stenosis: the SMART study.</t>
  </si>
  <si>
    <t>Dijk, Joke M; van der Graaf, Yolanda; Grobbee, Diederick E; Bots, Michiel L; ,</t>
  </si>
  <si>
    <t>https://pubmed.ncbi.nlm.nih.gov/15331793</t>
  </si>
  <si>
    <t>Patients with a carotid artery stenosis, including those with an asymptomatic or moderate stenosis, have a considerable risk of ischemic stroke. Identification of risk factors for cerebrovascular disease in these patients may improve risk profiling and guide new treatment strategies. We cross-sectionally investigated whether carotid stiffness is associated with previous ischemic stroke or transient ischemic attack (TIA) in patients with a carotid artery stenosis of at least 50%. Patients were selected from the Second Manifestations of ARTerial disease (SMART) study, a cohort study among patients with manifest vascular disease or vascular risk factors. Arterial stiffness, measured as change in lumen diameter of the common carotid arteries during the cardiac cycle, forms part of the vascular screening performed at baseline. The first 420 participants with a stenosis of minimally 50% in at least 1 of the internal carotid arteries measured by duplex scanning were included in this study. Logistic regression analysis was used to determine the relation between arterial stiffness and previous ischemic stroke or TIA. The risk of ischemic stroke or TIA in the highest quartile (stiffest arteries) relative to the lowest quartile was 2.1 (95% CI, 1.1 to 4.1). These findings were adjusted for age, sex, systolic blood pressure, minimal diameter of the carotid artery, and degree of carotid artery stenosis. In patients with a &gt;/=50% carotid artery stenosis, increased common carotid stiffness is associated with previous ischemic stroke and TIA. Measurement of carotid stiffness may improve selection of high-risk patients eligible for carotid endarterectomy and may guide new treatment strategies.</t>
  </si>
  <si>
    <t>Effectiveness of a multiple intervention to reduce antibiotic prescribing for respiratory tract symptoms in primary care: randomised controlled trial.</t>
  </si>
  <si>
    <t>Welschen, Ineke; Kuyvenhoven, Marijke M; Hoes, Arno W; Verheij, Theo J M</t>
  </si>
  <si>
    <t>https://pubmed.ncbi.nlm.nih.gov/15297305</t>
  </si>
  <si>
    <t>To assess the effectiveness of a multiple intervention aimed at reducing antibiotic prescription rates for symptoms of the respiratory tract in primary care. Randomised controlled trial. Twelve peer review groups including 100 general practitioners with their collaborating pharmacists in the region of Utrecht, Netherlands. The intervention consisted of group education meetings, with a consensus procedure on indication for and type of antibiotics and with training in communication skills; monitoring and feedback on prescribing behaviour; group education for assistants of general practitioners and pharmacists; and education material for patients. The control group did not receive any of these elements. Antibiotic prescription rates for acute symptoms of the respiratory tract and patients' satisfaction. 89 general practitioners completed the study (89%). At baseline, prescription rates for antibiotics for respiratory tract symptoms did not differ between intervention and control group (27% v 29%, respectively). After nine months, the prescription rates in the intervention group fell to 23%, whereas the control group's rose to 37% (mean difference in change -12%, 95% confidence interval -18.9% to -4.0%). Multilevel analysis confirmed the results of the unadjusted analysis (intervention effect -10.7%, -20.3% to -1.0%). Patients' satisfaction was high and did not differ in the two groups at baseline or after the intervention. A multiple intervention reduced prescribing rates of antibiotics for respiratory tract symptoms while maintaining a high degree of satisfaction among patients. Further research should focus on the sustainability and cost effectiveness of this intervention.</t>
  </si>
  <si>
    <t>Erectile dysfunction in primary care: prevalence and patient characteristics. The ENIGMA study.</t>
  </si>
  <si>
    <t>de Boer, B J; Bots, M L; Lycklama a Nijeholt, A A B; Moors, J P C; Pieters, H M; Verheij, Th J M</t>
  </si>
  <si>
    <t>https://pubmed.ncbi.nlm.nih.gov/14961062</t>
  </si>
  <si>
    <t>The availability of adequate treatment for erectile dysfunction (ED) triggers studies into the prevalence of ED in the general population. Yet, previous studies showed different prevalence estimates partly due to differences in patient selection, in (unclear) definitions of ED and in assessment. ENIGMA has been designed to study the prevalence of ED in the general population of The Netherlands, using the WHO definition with a description of the way of assessment. In all, 5721 mail surveys were sent to all men, aged 18 y and older in 12 general practices in The Netherlands. A total of 5601 were included in the study and 2117 (38%) were completed. A total of 38% of the men reported to have ever had some kind of erectile problem. The prevalence of ED was 17% (6% mild, 4% moderate and 7% complete). Age, diabetes, cardiovascular diseases, penile disorders, irradiation in the pelvic region, relational problems, fear for failure, surmenage, medication use and regular consumption of alcohol were independently related to ED. Men with ED were less content with their (sexual) life and had less confidence in sexual performance. Presence of ED was negatively related to affected happiness in life. ED is commonly found in men and is related to age, medication, comorbidity and lifestyle factors. Men with ED perceive a lower quality of (sex)life. Doctors should be aware of the presence of ED and its consequences in patients.</t>
  </si>
  <si>
    <t>Diabetes, employment and fatigue-related complaints: a comparison between diabetic employees, "healthy" employees, and employees with other chronic diseases.</t>
  </si>
  <si>
    <t>Weijman, Iris; Kant, Ijmert; Swaen, Gerard M; Ros, Wynand J G; Rutten, Guy E H M; Schaufeli, Wilmar B; Schabracq, Marc J; Winnubst, Jacques A M</t>
  </si>
  <si>
    <t>journal of occupational and environmental medicine</t>
  </si>
  <si>
    <t>https://pubmed.ncbi.nlm.nih.gov/15300135</t>
  </si>
  <si>
    <t>The work situation and fatigue-related complaints of employees with diabetes (N = 141) were compared with "healthy" employees (N = 8946) and employees with other chronic diseases (N = 1883). Baseline data from a Dutch Cohort Study on Fatigue at Work were used to test differences in background variables, work characteristics, lifestyle factors, and fatigue-related complaints. Odds ratios were calculated for prolonged fatigue, the need for recovery, burnout, and psychological distress. Results showed that employees with diabetes work more daytime hours and work less overtime than the other groups. If they have no comorbidity, they are no more likely to report fatigue-related complaints than "healthy" employees, except for a depressed mood. Comorbidity (the presence of one or more additional chronic diseases) is associated with increased fatigue-related complaints. Therefore, this group will need special attention from professionals.</t>
  </si>
  <si>
    <t>Initiation of glucose-lowering therapy in Type 2 diabetes mellitus patients in general practice.</t>
  </si>
  <si>
    <t>Spoelstra, J A; Stolk, R P; Klungel, O H; Erkens, J A; Rutten, G E H M; Leufkens, H G M; Grobbee, D E</t>
  </si>
  <si>
    <t>https://pubmed.ncbi.nlm.nih.gov/15270794</t>
  </si>
  <si>
    <t>The purpose of this study was to investigate which factors determine the initiation of glucose-lowering therapy in patients with Type 2 diabetes mellitus in general practice and their future glycaemic control. All incident Type 2 diabetic patients in the general practices in a Dutch middle-sized town from 1994 to 2000 were identified. Factors associated with initiation of glucose-lowering therapy were obtained from clinical files and examined by Cox's regression analyses. Using anova, the associations between clinical characteristics at diagnosis and future glycaemic control were investigated. In total, 603 newly diagnosed patients with Type 2 diabetes mellitus were included in the study. In the first month following diagnosis, 319 (53%) started with oral therapy. One, two and three years after diagnosis of diabetes, the cumulative incidences were 71% (95% CI 66-73%), 75% (71-79%) and 81% (77-84%), respectively. Age, gender, body weight, blood pressure, history of cardiovascular disease or total serum cholesterol values were not associated with time to start of drug therapy. An increased plasma glucose level at diagnosis was strongly related to faster initiation of drug therapy and worse future glycaemic control. Immediate initiation of glucose-lowering medication was not related to future glycaemic control. This study shows that the initial severity of diabetes, assessed by the degree of hyperglycaemia at time of diagnosis, is a major factor in determining the time to start of glucose-lowering drugs and the likelihood of achieving target levels of glycaemic control in the future, independent of glucose-lowering strategy. Therefore, patients with high glucose levels at diagnosis need close monitoring from the beginning of their disease.</t>
  </si>
  <si>
    <t>Effect of soy protein containing isoflavones on cognitive function, bone mineral density, and plasma lipids in postmenopausal women: a randomized controlled trial.</t>
  </si>
  <si>
    <t>Kreijkamp-Kaspers, Sanne; Kok, Linda; Grobbee, Diederick E; de Haan, Edward H F; Aleman, André; Lampe, Johanna W; van der Schouw, Yvonne T</t>
  </si>
  <si>
    <t>https://pubmed.ncbi.nlm.nih.gov/15238592</t>
  </si>
  <si>
    <t>Postmenopausal estrogen therapy has been posited to have some beneficial effects on aging processes, but its use has risks. Isoflavones, estrogenlike compounds naturally occurring in plant foods, might confer positive effects with fewer adverse effects. To investigate whether soy protein with isoflavones improves cognitive function, bone mineral density, and plasma lipids in postmenopausal women. Double-blind, randomized, placebo-controlled trial of 202 healthy postmenopausal women aged 60 to 75 years, recruited from a population-based sample in the Netherlands, conducted between April 2000 and September 2001. Participants were randomly assigned to receive 25.6 g of soy protein containing 99 mg of isoflavones (52 mg genistein, 41 mg daidzein, and 6 mg glycetein or total milk protein as a powder on a daily basis for 12 months. Cognitive function was assessed using the following instruments: dementia, Mini-Mental State Examination; memory, Rey Auditory Verbal Learning Test, immediate recall, delayed recall, and recognition, the Digit Span forward and reversed, and the Doors test; complex attention tasks, Digit Symbol Substitution and Trailmaking, A1, A2, and B; and verbal skills, Verbal Fluency A and N, animals and occupations, and the Boston Naming Task. Bone mineral density of the hip and lumbar spine was assessed using dual-energy x-ray absorptiometry scanning. Lipid assessment included lipoprotein(a), total cholesterol, low-density lipoprotein, high-density lipoprotein, and triglycerides. A total of 175 women completed the baseline and at least 1 postintervention analysis and were included in the modified intent-to-treat analysis. Adherence was good (median plasma genistein levels, 17.2 and 615.1 nmol/L for placebo and soy group, respectively). Cognitive function, bone mineral density, or plasma lipids did not differ significantly between the groups after a year. This double-blind randomized trial does not support the hypothesis that the use of soy protein supplement containing isoflavones improves cognitive function, bone mineral density, or plasma lipids in healthy postmenopausal women when started at the age of 60 years or later.</t>
  </si>
  <si>
    <t>Carotid artery plaque burden, stiffness, and mortality risk in elderly men: a prospective, population-based cohort study.</t>
  </si>
  <si>
    <t>Störk, Stefan; van den Beld, Annewieke W; von Schacky, Clemens; Angermann, Christiane E; Lamberts, Steven W J; Grobbee, Diederick E; Bots, Michiel L</t>
  </si>
  <si>
    <t>https://pubmed.ncbi.nlm.nih.gov/15238459</t>
  </si>
  <si>
    <t>Indicators of carotid atherosclerosis may confer additional prognostic value and guide clinicians in cardiovascular risk assessment. Carotid artery morphology (plaque burden) and function (stiffness indexes) as predictors of all-cause and cardiovascular mortality were prospectively evaluated in elderly men. Cardiovascular risk profile was measured in 367 independently living men (mean+/- SD age, 78+/-4 years). The number of carotid plaques was assessed by B-mode ultrasound, and arterial stiffness was quantified with a wall tracker system. During 48 months of follow-up, 70 deaths (28 cardiovascular) occurred. The total number of carotid plaques was the parameter most closely related to prognosis. In the age-adjusted multivariate Cox model, all-cause mortality was predicted by number of plaques (hazard ratio [HR] per 1-unit increase, 1.35; 95% confidence interval [CI], 1.12 to 1.64). Predictors of cardiovascular mortality in the respective model were number of plaques (HR, 1.18; 95% CI, 1.04 to 1.33) and Young's elastic modulus (HR, 1.68; 95% CI, 1.26 to 2.26). Number of plaques improved the prognostic utility in any prognosis model when added to commonly available cardiovascular risk information. In contrast, stiffness indexes offered no consistent additive value. In elderly men, carotid artery plaque burden is a strong independent predictor of all-cause and cardiovascular mortality in the years to come. The additional value of carotid artery stiffness measurements as a pathophysiologically related entity appears to be limited in this age group and, if anything, confined to cardiovascular mortality risk.</t>
  </si>
  <si>
    <t>Dietary phytoestrogens and vascular function in postmenopausal women: a cross-sectional study.</t>
  </si>
  <si>
    <t>https://pubmed.ncbi.nlm.nih.gov/15201555</t>
  </si>
  <si>
    <t>To investigate the effects of low levels of intake of phytoestrogens in Western habitual diet on vascular function. A cross-sectional study. A population-based study. A total of 301 postmenopausal women aged 60-75 years living in The Netherlands. DETERMINANT: Dietary phytoestrogen intake as assessed using a food frequency questionnaire covering the year prior to enrollment. Blood pressure, hypertension, endothelial function and ankle brachial index. The median isoflavone intake was 0.2 mg in the lowest tertile and 11.4 mg in the highest tertile. Median lignan intake was 0.8 and 2.2 mg, respectively. No associations were found for higher intake of isoflavones, systolic and diastolic blood pressures, ankle-arm blood pressure index, endothelial function or hypertension. For lignans no association was found for ankle-arm blood pressure index or endothelial function, but we did observe lower systolic and diastolic blood pressures and a lower prevalence of hypertension (systolic blood pressure difference T3-T1, -11.2 mmHg, 95% confidence interval = -17.8 to -4.5, P for trend = 0.001; diastolic blood pressure difference T3-T1, -3.6 mmHg, 95% confidence interval = -7.8 to 0.6, P for trend = 0,08; and prevalence of hypertension, odds ratio T3 versus T1 = 0.41, 95% confidence interval = 0.22-0.76, P for trend over tertiles = 0.004). The results of this study suggest a protective effect of dietary lignan intake on blood pressure and hypertension, even at low levels.</t>
  </si>
  <si>
    <t>Body mass index and short-term weight change in relation to mortality in Dutch women after age 50 y.</t>
  </si>
  <si>
    <t>Maru, Shoko; van der Schouw, Yvonne T; Gimbrère, Charles H F; Grobbee, Diederick E; Peeters, Petra H M</t>
  </si>
  <si>
    <t>https://pubmed.ncbi.nlm.nih.gov/15213053</t>
  </si>
  <si>
    <t>The question of whether weight loss increases a person's longevity is important given the high prevalence of obesity and the large number of people trying to lose weight in industrialized countries. This study assessed the effect of body mass index (BMI) and weight change (within 1 y of baseline) on subsequent mortality. This prospective cohort study had a median follow-up of 17 y. Subjects were 8100 women aged 50-66 y who participated in a population-based breast cancer-screening project in the Netherlands between 1974 and 1977. Weight and height were measured during the first and second screening visits. All women were followed until 1996 for causes of death. Cox proportional hazard analyses were conducted for mortality from all causes (n = 1269), cardiovascular disease (CVD; n = 402), and cancer (n = 492). During follow-up we observed a statistically significant increased risk of mortality from all causes (hazard ratio: 1.4; 95% CI: 1.2, 1.6), cardiovascular disease, and cancer for women in the highest quartile of BMI (in kg/m(2)), &gt; or =27.77. Mortality from all causes, CVD, and cancer did not increase significantly in women with a weight gain of &gt; or =15%. Weight loss was also not significantly related to mortality from all causes, CVD, and cancer. Mortality was highest for women in the highest BMI quartile (&gt; or =27.77). Extreme weight gain or weight loss within 1 y was not statistically significantly associated with subsequent higher mortality.</t>
  </si>
  <si>
    <t>Meta-analysis on the effect of off-pump coronary bypass surgery.</t>
  </si>
  <si>
    <t>van der Heijden, Geert J M G; Nathoe, Hendrik M; Jansen, Erik W L; Grobbee, Diederick E</t>
  </si>
  <si>
    <t>https://pubmed.ncbi.nlm.nih.gov/15200983</t>
  </si>
  <si>
    <t>To assess the effect of conventional coronary artery bypass surgery (CABG) compared to the off-pump procedure (OPCAB). Based on randomised trials found in PubMed and Science Citation Index, an overall odds ratio and 95% confidence interval was calculated for the combined endpoint of mortality, stroke and myocardial infarction. The 18 randomised trials included 1584 patients (783 OPCAB, 801 CABG). The odds ratio was 0.73 (95% CI=0.26; 2.04) at 2-week post-surgery, 0.75 (0.39; 1.42) at 1-month post-surgery, 0.55 (0.28; 1.08) at 3-month post-surgery, and 0.66 (0.38; 1.15) at 1-year post-surgery. The outcome of this meta-analysis shows favourable results for OPCAB for the combined endpoint of mortality, stroke and myocardial infarction at short and long term follow-up. However, none of the risk reductions reach statistical significance at the conventional level. Based on our results OPCAB appears to be equivalent to CABG.</t>
  </si>
  <si>
    <t>Indicators for the total duration of premenopausal endogenous estrogen exposure in relation to BMD.</t>
  </si>
  <si>
    <t>Hagemans, Maria L C; van der Schouw, Yvonne T; de Kleijn, Miriam J J; van Staveren, Wija A; Pop, Victor J M; Leusink, Geraline L; Grobbee, Diederick E</t>
  </si>
  <si>
    <t>https://pubmed.ncbi.nlm.nih.gov/15229200</t>
  </si>
  <si>
    <t>Previous studies have shown that age at menopause is an important indicator of duration of endogenous estrogen exposure. The present study investigates whether combining more information on reproductive factors is useful in estimating individual total duration of exposure to endogenous estrogens. Bone mineral density (BMD) was used as operational outcome. The study population consisted of 3476 white women living in Eindhoven, The Netherlands, aged 46-57 years, either pre- (n = 2420) or postmenopausal (n = 1056). BMD of the lumbar spine was measured by dual X-ray absorptiometry. Information on reproductive factors was obtained with questionnaires. The number of reproductive years explained 4.8% of the variance in BMD, while age at menopause alone accounted for 3.6%. Duration of lactation or oral contraceptive use did not add to the proportion of variance explained. The effect of reproductive years on BMD was stronger in older women. No significant associations with BMD were found for other reproductive variables. The number of miscarriages in premenopausal women (beta = 0.00760, SE = 0.00357, P = 0.03) explained only 0.16% of the variance in BMD. We conclude that it is not necessary to use more reproductive factors besides age at menopause and menarche in determining total duration of endogenous estrogen exposure.</t>
  </si>
  <si>
    <t>Genetic programming outperformed multivariable logistic regression in diagnosing pulmonary embolism.</t>
  </si>
  <si>
    <t>Biesheuvel, Cornelis J; Siccama, Ivar; Grobbee, Diederick E; Moons, Karel G M</t>
  </si>
  <si>
    <t>https://pubmed.ncbi.nlm.nih.gov/15246123</t>
  </si>
  <si>
    <t>Genetic programming is a search method that can be used to solve complex associations between large numbers of variables. It has been used, for example, for myoelectrical signal recognition, but its value for medical prediction as in diagnostic and prognostic settings, has not been documented. We compared genetic programming and the commonly used logistic regression technique in the development of a prediction model using empirical data from a study on diagnosis of pulmonary embolism. Using part (67%) of the data, we developed and internally validated (using bootstrapping techniques) a diagnostic prediction model by genetic programming and by logistic regression, and compared both on their predictive ability in the remaining data (validation set). In the validation set, the area under the ROC curve of the genetic programming model was significantly larger (0.73; 95%CI: 0.64-0.82) than that of the logistic regression model (0.68; 0.59-0.77). The calibration of both models was similar, indicating a similar amount of overoptimism. Although the interpretation of a genetic programming model is less intuitive and this is the first empirical study quantifying its value for medical prediction, genetic programming seems a promising technique to develop prediction rules for diagnostic and prognostic purposes.</t>
  </si>
  <si>
    <t>Impact of various questionnaires on the prevalence of erectile dysfunction. The ENIGMA-study.</t>
  </si>
  <si>
    <t>https://pubmed.ncbi.nlm.nih.gov/14973534</t>
  </si>
  <si>
    <t>The prevalence estimates of erectile dysfunction (ED) vary considerably across studies. These differences may be attributed to used definitions of ED. Quantitative data on the effect of different definitions of ED on the prevalence are lacking, because precise information on the used definition and questionnaire is often absent. Aim of this study was to quantify the effect of using different questionnaires for ED on the prevalence estimates. In all, 5721 mail surveys on sexual problems and ED were sent to all men (aged &gt;18 y) in 12 general practices in the middle of the Netherlands of which 2117 were completed. The questionnaire contained Enigma (WHO), International Index of Erectile Function (IIEF), Cologne Erectile Inventory (KEED) and one question (Boxmeer, Krimpen). The prevalence of ED based on the various questionnaires and the effect of these questionnaires on risk factor relationships was compared. IIEF gave the highest age specific and overall ED prevalence, KEED the lowest. The difference in prevalence was 16.8%. The agreement (kappa coefficient) between the various ED definitions varied from 0.52 (IIEF &amp; KEED) to 0.95 (Enigma &amp; Boxmeer). The number of risk factor relations were similar for the Dutch studies, reduced for the IIEF and KEED. This study provides evidence that differences in questionnaires to assess ED have a considerable effect on the (age specific) prevalence estimates and little on the risk factor relations. The number of questions of the survey appears not to be responsible for differences in the prevalence of ED and risk factor relations, however they affect the response rate. Uniform use is strongly recommended, since a 'golden standard' for ED assessment (by questionnaire) is lacking. A short questionnaire with one or two questions is recommended for example the one from the Boxmeer-study. These data may be used to adjust (age-specific) prevalence rates comparing ED prevalence in the open population across studies.</t>
  </si>
  <si>
    <t>Increased arterial stiffness is independently related to cerebrovascular disease and aneurysms of the abdominal aorta: the Second Manifestations of Arterial Disease (SMART) Study.</t>
  </si>
  <si>
    <t>Dijk, J M; van der Graaf, Y; Grobbee, D E; Banga, J D; Bots, M L; ,</t>
  </si>
  <si>
    <t>https://pubmed.ncbi.nlm.nih.gov/15143289</t>
  </si>
  <si>
    <t>Arterial stiffness is a risk factor for stroke and myocardial infarction. We investigated whether carotid arterial stiffness is related to other localizations of manifest arterial disease. Carotid artery stiffness was measured by ultrasonography as the change in diameter in systole relative to the diastolic diameter in patients enrolled in the Second Manifestations of Arterial Disease (SMART) Study, a cohort study among patients with manifest cardiovascular disease or cardiovascular risk factors. The first consecutive 1561 patients with manifest cardiovascular disease were classified in 4 categories: cerebrovascular disease, coronary artery disease, peripheral artery disease, or aneurysm of the abdominal aorta (AAA). Differences in arterial stiffness among the categories were studied by linear regression analyses. Patients with coronary artery disease as single diagnosis (n=482) served as reference group. Patients with cerebrovascular disease (arterial distension -42.0 microm [95% CI, -57.2 to -26.8]) and those with an AAA (-64.4 microm [95% CI, -84.8 to -44.0]) had an increased carotid stiffness compared with the reference group. Adjustment for confounders attenuated the relations, which remained statistically significant (-34.2 microm [95% CI, -47.8 to -20.7] and -33.2 microm [95% CI, -51.8 to -14.6], respectively). Our study suggests that increased arterial stiffness is important in the pathophysiology of especially cerebrovascular disease and AAA. That the differences in arterial stiffness between disease categories attenuated after adjustment for important risk factors but remained significant suggests that besides being an element in the causal pathway, arterial stiffness is also a risk factor for cardiovascular disease itself.</t>
  </si>
  <si>
    <t>Long-term effects of self-management education for patients with Type 2 diabetes taking maximal oral hypoglycaemic therapy: a randomized trial in primary care.</t>
  </si>
  <si>
    <t>Goudswaard, A N; Stolk, R P; Zuithoff, N P A; de Valk, H W; Rutten, G E H M</t>
  </si>
  <si>
    <t>https://pubmed.ncbi.nlm.nih.gov/15089797</t>
  </si>
  <si>
    <t>Education is an essential part of the management of patients with Type 2 diabetes, but the long-term effects are unclear and not well investigated in primary care. Fifty-four patients (39-75 years) treated with maximal dosages of oral hypoglycaemic agents, needing to start insulin (HbA(1c)&gt; or = 7.0%), were randomly allocated to a 6-month educational programme by a diabetes nurse (DN group) or usual care (UC group). Main outcome measures were HbA(1c), number of patients with HbA(1c) &lt; 7.0%, and number of patients treated with insulin 18 months after baseline. Six weeks after the intervention HbA(1c) levels had improved from 8.2 (1.1) to 7.2 (1.3) in the DN group, and from 8.8 (1.5) to 8.4 (1.7) in the UC group. Adjusted for baseline values, at 6 weeks HbA(1c) improved 0.7% (95% confidence interval 0.1, 1.4) more in DN than in UC. Of the patients in DN, 60% reached HbA(1c) &lt; 7.0% compared with 17% in UC (P &lt; 0.01). However, at 18 months there were no significant differences for HbA(1c), number of patients with HbA(1c) &lt; 7.0%, or number treated with insulin. Education was effective in improving glycaemic control and in delaying the need for insulin therapy in patients treated with maximal oral hypoglycaemic therapy. The reduced effect after 1 year was probably due to the discontinuation of the educational programme. Short-term education should not be offered without regular reinforcements integrated into standard diabetes care.</t>
  </si>
  <si>
    <t>Antipsychotic drugs may worsen metabolic control in type 2 diabetes mellitus.</t>
  </si>
  <si>
    <t>Spoelstra, José A; Stolk, Ronald P; Cohen, Dan; Klungel, Olav H; Erkens, Joëlle A; Leufkens, Hubertus G M; Grobbee, Diederick E</t>
  </si>
  <si>
    <t>https://pubmed.ncbi.nlm.nih.gov/15163254</t>
  </si>
  <si>
    <t>Several studies have indicated that type 2 diabetes mellitus is more common among schizophrenic patients than in the general population. In this study, we investigated whether the use of antipsychotic drugs in patients with diabetes leads to worsening of glycemic control. In this cohort study, patients with newly diagnosed type 2 diabetes were selected from the PHARMO Record Linkage System, which comprises pharmacy records for all 320000 residents of 6 Dutch cities. In total, we identified 2585 patients with incident cases of type 2 diabetes who began treatment with oral hypoglycemic agents between 1991 and 1997 and had a medication history of at least 2 years after diagnosis of diabetes. A change in treatment from oral hypoglycemic agents alone to insulin therapy (with or without continuation of oral hypoglycemic agents) was considered a proxy for deterioration of beta-cell function. We compared the incidence of initiation of insulin therapy between users and nonusers of antipsychotic drugs by performing a Cox proportional hazards model analysis. We found an increased risk for initiation of insulin therapy at 2 years after diagnosis of diabetes in users of antipsychotics compared with nonusers; the relative hazard (hazard ratio) was 2.0 (95% CI = 1.2 to 3.3), which did not change after adjustment for potential confounders. The risk decreased in the years after diagnosis of diabetes. It seems that use of antipsychotics by patients with type 2 diabetes mellitus is associated with initiation of insulin therapy (i.e., "secondary failure"), especially in the first 2 years of the disease.</t>
  </si>
  <si>
    <t>Endogenous sex hormones and progression of carotid atherosclerosis in elderly men.</t>
  </si>
  <si>
    <t>Muller, Majon; van den Beld, Annewieke W; Bots, Michiel L; Grobbee, Diederick E; Lamberts, Steven W J; van der Schouw, Yvonne T</t>
  </si>
  <si>
    <t>https://pubmed.ncbi.nlm.nih.gov/15096452</t>
  </si>
  <si>
    <t>The burden of atherosclerosis especially afflicts the increasing older segment of the population. Recent evidence has emphasized a protective role of endogenous sex hormones in the development of atherosclerosis in aging men. We studied the association between endogenous sex hormones and progression of atherosclerosis in 195 independently living elderly men. Participants underwent measurements of carotid intima-media thickness (IMT) at baseline in 1996 and again in 2000. At baseline, serum concentrations of testosterone (total and free) and estradiol (total and free E2) were measured. Serum free testosterone concentrations were inversely related to the mean progression of IMT of the common carotid artery after adjustment for age (beta=-3.57; 95% CI, -6.34 to -0.80). Higher serum total and free E2 levels were related to progression of IMT of the common carotid artery after adjustment for age (beta=0.38; 95% CI, -0.11 to 0.86; and beta=0.018; 95% CI, -0.002 to 0.038, respectively). These associations were independent of body mass index, waist-to-hip ratio, presence of hypertension and diabetes, smoking, and serum cholesterol levels Low free testosterone levels were related to IMT of the common carotid artery in elderly men independently of cardiovascular risk factors.</t>
  </si>
  <si>
    <t>Decision guidelines for prophylactic replacement of Björk-Shiley convexo-concave heart valves: impact on clinical practice.</t>
  </si>
  <si>
    <t>van Gorp, M J; Steyerberg, E W; Van der Graaf, Y</t>
  </si>
  <si>
    <t>https://pubmed.ncbi.nlm.nih.gov/15078796</t>
  </si>
  <si>
    <t>Because of risk of outlet strut fracture, prophylactic replacement should be considered for Björk-Shiley convexo-concave (BScc) valve recipients. We assessed the effects of epidemiological and decision-analytic guidelines on actual BScc valve replacement. We performed a retrospective cohort study including all 2263 Dutch BScc patients with a mean follow-up of 11.3 years (range, 0 to 23 years). Outcomes were outlet strut fracture, mortality, and BScc valve replacement. For the surviving patients in 1992 (n=1330), we calculated the expected differences in life expectancy (LE) with and without BScc valve replacement according to decision guidelines developed in 1992. Differences in LE were compared with actual replacements. During 8 years of follow-up, there were 494 deaths (40%), and 11 patients had suffered outlet strut fracture. Of 1330 patients, 96 (10%) had undergone BScc valve replacement, particularly in years after introduction of initial and updated guidelines. One hundred seventeen patients (9%) had an estimated gain in LE after BScc valve replacement. These patients were more likely to undergo replacement than patients with an estimated loss of LE (hazard ratio, 6.6; 95% CI, 4.4 to 10; P&lt;0.0001). A loss in LE after reoperation was predicted for 8 of 11 patients who experienced outlet strut fracture after guidelines were available. Valve replacement for BScc heart valve patients was largely in concordance with guidelines in the Netherlands. Individualized guidelines that are based on high-quality epidemiological data and are updated and implemented rigorously can influence clinical practice in complex decision problems.</t>
  </si>
  <si>
    <t>Breast cancer risk after caloric restriction during the 1944-1945 Dutch famine.</t>
  </si>
  <si>
    <t>https://pubmed.ncbi.nlm.nih.gov/15069116</t>
  </si>
  <si>
    <t>Data from animal models suggest that caloric restriction may reduce the risk of breast cancer, although not all dietary regimens produce similar effects. We examined whether caloric restriction imposed as a consequence of the 1944-1945 Dutch famine reduced the risk of breast cancer in women participating in a Dutch breast cancer screening program. Between 1983 and 1986, approximately 15 000 women, aged 2 to 33 years during the 1944-1945 Dutch famine, responded to a questionnaire about their famine experience. A famine exposure score, graded as absent, moderate, or severe exposure, was derived from answers regarding hunger, cold, and weight loss. During follow-up until January 2000, 585 women with incident breast cancer were identified by the regional cancer registry. The relationship between famine exposure and breast cancer risk was assessed by weighted Cox regression models, in which person-years lived for the entire cohort was extrapolated from data from a random sample of 15% of the cohort. Women who were severely exposed to the famine had a statistically significantly higher risk of breast cancer (hazard ratio [HR] = 1.48, 95% confidence interval [CI] = 1.09 to 2.01) than women who were not exposed. Women who were moderately exposed to the famine had a 13% increased risk of breast cancer (HR = 1.13, 95% CI = 0.92 to 1.38; P(trend) = 0.016). The association between famine exposure and breast cancer risk was stronger for women who were exposed between the ages of 2 and 9 years (severely exposed versus unexposed: HR = 2.01, 95% CI = 0.92 to 4.41) than for women who were exposed at older ages. The risk of breast cancer was increased in women who were severely exposed to a short but severe famine decades earlier. This result is compatible with data from the few animal studies investigating effects of short-term, transient caloric restriction.</t>
  </si>
  <si>
    <t>Prevalence of the metabolic syndrome in patients with coronary heart disease, cerebrovascular disease, peripheral arterial disease or abdominal aortic aneurysm.</t>
  </si>
  <si>
    <t>Gorter, Petra M; Olijhoek, Jobien K; van der Graaf, Yolanda; Algra, Ale; Rabelink, Ton J; Visseren, Frank L J; ,</t>
  </si>
  <si>
    <t>https://pubmed.ncbi.nlm.nih.gov/15064114</t>
  </si>
  <si>
    <t>Metabolic syndrome patients are at increased risk for developing cardiovascular morbidity and mortality. The increasing prevalence of the metabolic syndrome in various asymptomatic populations has been well documented, however, limited information is available about the prevalence in manifest atherosclerotic vascular disease patients. The aim of this study is to determine the overall and gender-specific prevalence of the metabolic syndrome and its components in these patients. This cross-sectional survey of 1117 patients, aged 18-80 years, mean age 60+/-10 years, comprised patients with coronary heart disease (n=527), cerebrovascular disease (n=258), peripheral arterial disease (n=232) or abdominal aortic aneurysm (n=100). Metabolic syndrome was defined by Adult Treatment Panel III. The prevalence of the metabolic syndrome in the study population was 46%: 58% in PAD patients, 41% in CHD patients, 43% in CVD patients and 47% in AAA patients. Overall, women had a higher prevalence than men (56% versus 43%). Age did not influence the metabolic syndrome prevalence; crude odds ratios (crude OR) 1.00 (95% CI: 0.99-1.02). Our results demonstrate a high prevalence of the metabolic syndrome in patients with manifest atherosclerotic vascular disease. Screening for metabolic syndrome in patients with high risk for new vascular incidents may identify patients with even higher vascular risk and may direct anti-atherosclerotic treatment in order to prevent new vascular incidents in the same or another vascular bed.</t>
  </si>
  <si>
    <t>GSTM1 null genotype, red meat consumption and breast cancer risk (The Netherlands).</t>
  </si>
  <si>
    <t>van der Hel, Olga L; Peeters, Petra H M; Hein, David W; Doll, Mark A; Grobbee, Diederick E; Ocké, Marga; Bueno de Mesquita, H Bas</t>
  </si>
  <si>
    <t>https://pubmed.ncbi.nlm.nih.gov/15090724</t>
  </si>
  <si>
    <t>We studied whether polymorphisms in N-acetyltransferase 1 and 2 and Glutathione S-transferase M1 and T1 genes modify the association between meat consumption and breast cancer. A nested case control was conducted in a Dutch prospective cohort. Breast cancer cases (229) and controls (264) were frequency matched on age, town and menopausal status. There is no relation between any type of meat consumption ( i.e., total meat, processed meat, fresh meat, red meat and white meat) and breast cancer risk. Neither presence of NAT1 or NAT2 rapid genotype, or GSTT1 null genotype, alone or in combination with meat consumption affects breast cancer risk. Absence of GSTM1 shows 46% increased breast cancer risk (OR = 1.46 (95% confidence interval, 95% CI = 1.02-2.09)). When stratifying according to combined 'GSTM1 genotype-meat consumption' categories, breast cancer risk is slightly increased with consumption of red meat both in women with genotype GSTM1 presence (OR = 1.49 and 1.75 for intermediate and high versus low consumption) and in GSTM1 null genotype (OR = 1.18 and 1.02). These increases are statistically not significant. In postmenopausal women a suggestion of an effect of red meat consumption is observed: effects are slightly stronger, although still not statistically significant and without a clear dose-response relation: OR = 1.79 (95% CI = 0.92-3.50) and 1.46 (1.46 (95% CI = 0.76-2.82) for intermediate and high compared to low red meat consumption respectively. Reliable evaluation of interaction is not possible due to the small number of cancers. GSTM1 null genotype increases breast cancer risk. Red meat consumption slightly increases breast cancer risk, but the relation is not statistically significant and GSTM1, NAT1, NAT2 and GSTT1 polymorphisms do not modify this relation.</t>
  </si>
  <si>
    <t>Estrogen, inflammation and cardiovascular risk in women: a critical appraisal.</t>
  </si>
  <si>
    <t>Störk, Stefan; van der Schouw, Yvonne T; Grobbee, Diederick E; Bots, Michiel L</t>
  </si>
  <si>
    <t>trends in endocrinology and metabolism tem</t>
  </si>
  <si>
    <t>https://pubmed.ncbi.nlm.nih.gov/15036252</t>
  </si>
  <si>
    <t>The widely shared enthusiasm about the cardioprotective potential of estrogenic compounds has come to an abrupt halt since randomized trials failed to show a cardiovascular risk reduction in postmenopausal women. This was unexpected because observational studies had strongly suggested that hormone replacement therapy would reduce the incidence of cardiovascular disease. Inflammatory activity is considered central in atherogenesis and atherosclerosis progression. Thus, parts of the striking discrepancy between observational and randomized data have been attributed to an estrogen-mediated adverse effect on inflammation. Here, we review the current clinical evidence with respect to the inflammation-modulating effects of different estrogenic compounds as one potential explanatory factor for these divergent findings. We conclude that it is still unclear whether estrogen-modulated inflammation is an important biological factor determining clinical outcome or a mere epiphenomenon.</t>
  </si>
  <si>
    <t>Test research versus diagnostic research.</t>
  </si>
  <si>
    <t>Moons, Karel G M; Biesheuvel, Cornee J; Grobbee, Diederick E</t>
  </si>
  <si>
    <t>https://pubmed.ncbi.nlm.nih.gov/14981027</t>
  </si>
  <si>
    <t>Age at natural menopause is not linked with the follicle-stimulating hormone receptor region: a sib-pair study.</t>
  </si>
  <si>
    <t>Kok, Helen S; van Asselt, Kristel M; Peeters, Petra H M; van der Schouw, Yvonne T; Grobbee, Diederick E; Pearson, Peter L; Wijmenga, Cisca</t>
  </si>
  <si>
    <t>https://pubmed.ncbi.nlm.nih.gov/15037410</t>
  </si>
  <si>
    <t>Studies have shown that age at natural menopause is heritable. Mutations in the FSH-receptor have been identified in women with premature ovarian failure (POF) and the FSH-receptor gene may, therefore, be considered a candidate gene for (early) menopausal age. This study investigates whether there is linkage between genetic markers in the FSH-receptor region and (early) age at menopause using a sib-pair design. Sib-pair based linkage analysis. Sister pairs and their first-degree family members from The Netherlands. The inclusion criteria for a family were natural menopause in upper or lower tail of the distribution of menopausal age in at least two sisters. A total of 126 families with at least one sib-pair were included in this study. Six polymorphic markers encompassing the FSH-receptor gene were genotyped. None. Single point and multipoint logarithm of the odds (LOD) scores. None of the markers showed evidence in favor of linkage with overall age at natural menopause or early age at natural menopause. Possibly, age at natural menopause in the more or less normal range is not part of the spectrum of phenotypes determined by mutations in the FSH-receptor gene. Alternatively, our results might be explained by genetic heterogeneity in the left tail of the distribution of menopausal age. This can limit the chance of finding a genetic locus, especially if this factor has a modest contribution to the phenotype.</t>
  </si>
  <si>
    <t>Silent brain infarcts in patients with manifest vascular disease.</t>
  </si>
  <si>
    <t>Giele, Janneke L P; Witkamp, Theo D; Mali, Willem P T M; van der Graaf, Yolanda; ,</t>
  </si>
  <si>
    <t>https://pubmed.ncbi.nlm.nih.gov/14963273</t>
  </si>
  <si>
    <t>Silent infarcts are frequently found on MRIs of brains of healthy elderly persons (aged &gt;60 years). The purpose of this study was to investigate the prevalence and determinants of silent infarcts in a population of patients with clinically manifest vascular disease. To detect silent infarcts, MR images were made in 308 participants of the Second Manifestations of ARTerial disease (SMART) study (mean age, 58 years) without prior stroke or transient ischemic attack. These are patients referred to the University Medical Center Utrecht because of atherosclerotic vascular disease. Risk factors were assessed by questionnaire and by physical, ultrasonographic, and laboratory examinations. Silent infarcts were found in 51 patients (17%). Most infarcts (62%) were located in white matter, 20% in basal ganglia, 14% in brain stem and cerebellum, and 4% in cortical area. Categorical determinants for presence of silent infarct(s) that remained (borderline) significant after adjustment for age were hypertension (odds ratio [OR]=2.2; 95% CI, 1.2 to 4.2), abdominal aortic aneurysm (OR=2.4; 95% CI, 0.9 to 6.4), severe renal failure (OR=7.3; 95% CI, 2.1 to 25.2), and hyperhomocysteinemia (OR=2.6; 95% CI, 1.1 to 5.9). Patients with manifest vascular disease are at risk for silent infarcts at a younger age. In particular, patients with the aforementioned risk factors should be considered for treatment or (secondary) prevention.</t>
  </si>
  <si>
    <t>Long term consequences of the 1944-1945 Dutch famine on the insulin-like growth factor axis.</t>
  </si>
  <si>
    <t>Elias, Sjoerd G; Keinan-Boker, Lital; Peeters, Petra H M; Van Gils, Carla H; Kaaks, Rudolf; Grobbee, Diederick E; Van Noord, Paulus A H</t>
  </si>
  <si>
    <t>https://pubmed.ncbi.nlm.nih.gov/14696131</t>
  </si>
  <si>
    <t>The insulin-like growth factor axis is highly responsive to nutritional status and may be involved as one of the underlying mechanisms through which caloric restriction could affect cancer risk. High levels of circulating insulin-like growth factor (IGF)-I, or IGF-I relative to IGF binding protein (IGFBP)-3 have been related to various human cancer types. In a group of 87 postmenopausal women, we found that childhood exposure to the 1944-1945 Dutch famine was associated with increased plasma levels of IGF-I and IGFBP-3, whereas IGFBP-1 and -2 levels were weakly decreased. These results are opposite to immediate responses seen under starvation and we hypothesize that this could indicate a permanent overshoot upon improvement of nutritional status after the famine.</t>
  </si>
  <si>
    <t>Risk of intracerebral hemorrhage in patients with arterial versus cardiac origin of cerebral ischemia on aspirin or placebo: analysis of individual patient data from 9 trials.</t>
  </si>
  <si>
    <t>Ariesen, M J; Algra, A; Koudstaal, P J; Rothwell, P M; van Walraven, C; ,; ,; ,; ,; ,; ,; ,</t>
  </si>
  <si>
    <t>https://pubmed.ncbi.nlm.nih.gov/14764931</t>
  </si>
  <si>
    <t>Patients who are anticoagulated after cerebral ischemia have a 19-fold-higher risk of intracerebral hemorrhage (ICH) if they had an arterial rather than a cardiac source. To determine whether this excess risk of ICH was due to the underlying disease (cerebral ischemia of arterial versus cardiac origin) or whether it depended on the antithrombotic regimen, we studied the risk of ICH in arterial versus cardiac origin of cerebral ischemia in patients who received aspirin or no antithrombotic drugs. Individual patient data of patients who received aspirin or placebo after cerebral ischemia were obtained from 9 clinical trials. Presence of atrial fibrillation was considered evidence of a cardiac source. Otherwise, events were considered of arterial origin. Cox proportional-hazards modeling was used for univariate and multivariate analyses. Fifty-four ICHs occurred in 16 625 patient-years in the aspirin-treated patients, and 7 ICHs occurred in 4317 patient-years in those on placebo. After multivariate adjustment for age, sex, current smoking, history of hypertension and diabetes, and aspirin dose (aspirin-treated patients only), the hazard ratio for ICH in patients with an arterial versus a cardiac source was 0.74 (95% confidence interval, 0.30 to 1.82) for aspirin-treated patients and 4.34 (95% confidence interval, 0.35 to 54) for placebo-randomized patients. Our findings do not confirm the previous finding of an excess risk of ICH in patients with cerebral ischemia of arterial origin. Therefore, it seems that having cerebral ischemia of arterial origin by itself is not associated with an increased risk of ICH, but only in combination with high-intensity anticoagulation.</t>
  </si>
  <si>
    <t>Linkage analysis of extremely discordant and concordant sibling pairs identifies quantitative trait loci influencing variation in human menopausal age.</t>
  </si>
  <si>
    <t>van Asselt, Kristel M; Kok, Helen S; Putter, Hein; Wijmenga, Cisca; Peeters, Petra H M; van der Schouw, Yvonne T; Grobbee, Diederick E; te Velde, Egbert R; Mosselman, Sietse; Pearson, Peter L</t>
  </si>
  <si>
    <t>https://pubmed.ncbi.nlm.nih.gov/14872408</t>
  </si>
  <si>
    <t>Age at natural menopause may be used as parameter for evaluating the rate of ovarian aging. Environmental factors determine only a small part of the large variation in menopausal age. Studies have shown that genetic factors are likely to be involved in variation in menopausal age. To identify quantitative-trait loci for this trait, we performed a genomewide linkage study with age at natural menopause as a continuous quantitative phenotype in Dutch sister pairs, through use of a selective sampling scheme. A total of 165 families were ascertained using extreme selected sampling and were genotyped for 417 markers. Data were analyzed by Haseman-Elston regression and by an adjusted variance-components analysis. Subgroup analyses for early and late menopausal age were conducted by Haseman-Elston regression. In the adjusted variance-components analysis, 12 chromosomes had a LOD score of &gt; or =1.0. Two chromosomal regions showed suggestive linkage: 9q21.3 (LOD score 2.6) and Xp21.3 (LOD score 3.1). Haseman-Elston regression showed rather similar locations of the peaks but yielded lower LOD scores. A permutation test to obtain empirical P values resulted in a significant peak on the X chromosome. To our knowledge, this is the first study to attempt to identify loci responsible for variability in menopausal age and in which several chromosomal regions were identified with suggestive and significant linkage. Although the finding of the region on the X chromosome comes as no surprise, because of its widespread involvement in premature ovarian failure, the definition of which particular gene is involved is of great interest. The region on chromosome 9 deserves further consideration. Both findings require independent confirmation.</t>
  </si>
  <si>
    <t>Interventions to prevent postherpetic neuralgia: cutaneous and percutaneous techniques.</t>
  </si>
  <si>
    <t>Opstelten, Wim; van Wijck, Albert J M; Stolker, Robert J</t>
  </si>
  <si>
    <t>https://pubmed.ncbi.nlm.nih.gov/14736581</t>
  </si>
  <si>
    <t>Dietary phytoestrogens and breast cancer risk.</t>
  </si>
  <si>
    <t>Keinan-Boker, Lital; van Der Schouw, Yvonne T; Grobbee, Diederick E; Peeters, Petra H M</t>
  </si>
  <si>
    <t>https://pubmed.ncbi.nlm.nih.gov/14749235</t>
  </si>
  <si>
    <t>A high intake of phytoestrogens, particularly isoflavones, has been suggested to decrease breast cancer risk. Results from human studies are inconclusive. We investigated the association between phytoestrogen intake and breast cancer risk in a large prospective study in a Dutch population with a habitually low phytoestrogen intake. The study population consisted of 15 555 women aged 49-70 y who constituted a Dutch cohort of the European Prospective Investigation into Cancer and Nutriton (EPIC; 1993-1997). Data concerning habitual dietary intake in the preceding year were obtained by using a validated food-frequency questionnaire. The content of isoflavones and lignans in relevant food items was estimated through a literature search, the use of food-composition tables, and contact with experts. Newly diagnosed breast cancer cases up to 1 January 2001 were identified through linkage with the Comprehensive Cancer Center Middle Netherlands. Hazard ratios for the disease were estimated by Cox proportional hazard analysis for quartiles of isoflavone and lignan intake. Associations were adjusted for known breast cancer risk factors and daily energy intake. A total of 280 women were newly diagnosed with breast cancer during follow-up. The median daily intakes of isoflavones and lignans were 0.4 (interquartile range: 0.3-0.5) and 0.7 (0.5-0.8) mg/d, respectively. Relative to the respective lowest intake quartiles, the hazard ratios for the highest intake quartiles for isoflavones and lignans were 1.0 (95% CI: 0.7, 1.5) and 0.7 (0.5, 1.1), respectively. Tests for trend were nonsignificant. In Western populations, a high intake of isoflavones or mammalian lignans is not significantly related to breast cancer risk.</t>
  </si>
  <si>
    <t>Dietary intake of fatty acids and fish in relation to cognitive performance at middle age.</t>
  </si>
  <si>
    <t>Kalmijn, S; van Boxtel, M P J; Ocké, M; Verschuren, W M M; Kromhout, D; Launer, L J</t>
  </si>
  <si>
    <t>https://pubmed.ncbi.nlm.nih.gov/14745067</t>
  </si>
  <si>
    <t>To examine the associations of fatty acid and fish intake with cognitive function. Data are from a cross-sectional population-based study among 1,613 subjects ranging from 45 to 70 years old. From 1995 until 2000, an extensive cognitive battery was administered and compound scores were constructed for memory, psychomotor speed, cognitive flexibility (i.e., higher order information processing), and overall cognition. A self-administered food-frequency questionnaire was used to assess habitual food consumption. The risk of impaired cognitive function (lowest 10% of the compound score) according to the energy adjusted intake of fatty acids was assessed with logistic regression, adjusting for age, sex, education, smoking, alcohol consumption, and energy intake. Marine omega-3 polyunsaturated fatty acids (PUFA) (eicosapentaenoic acid and docosahexaenoic acid) were inversely related to the risk of impaired overall cognitive function and speed (per SD increase: OR = 0.81, 95% CI 0.66 to 1.00 and OR = 0.72, 95% CI 0.57 to 0.90). Results for fatty fish consumption were similarly inverse. Higher dietary cholesterol intake was significantly associated with an increased risk of impaired memory and flexibility (per SD increase: OR = 1.27, 95% CI 1.02 to 1.57 and OR = 1.26, 95% CI 1.01 to 1.57). Per SD increase in saturated fat intake, the risk of impaired memory, speed, and flexibility was also increased, although not significantly. Fatty fish and marine omega-3 PUFA consumption was associated with a reduced risk and intake of cholesterol and saturated fat with an increased risk of impaired cognitive function in this middle-aged population.</t>
  </si>
  <si>
    <t>The PINE study: rationale and design of a randomised comparison of epidural injection of local anaesthetics and steroids versus care-as-usual to prevent postherpetic neuralgia in the elderly [ISRCTN32866390].</t>
  </si>
  <si>
    <t>Opstelten, Wim; Van Wijck, Albert JM; Van Essen, Gerrit A; Buskens, Erik; Bak, Annette AA; Kalkman, Cornelis J; Verheij, Theo JM; Moons, Karel GM</t>
  </si>
  <si>
    <t>bmc anesthesiology</t>
  </si>
  <si>
    <t>https://pubmed.ncbi.nlm.nih.gov/15005813</t>
  </si>
  <si>
    <t>BACKGROUND: Postherpetic neuralgia (PHN) is by far the most common complication of herpes zoster (HZ) and one of the most intractable pain disorders. Since PHN is seen most often in the elderly, the number of patients with this disorder is expected to increase in our ageing society. PHN may last for months to years and has a high impact on the quality of life. The results of PHN treatment are rather disappointing. Epidural injection of local anaesthetics and steroids in the acute phase of HZ is a promising therapy for the prevention of PHN. Since randomised trials on the effectiveness of this intervention are lacking, the PINE (Prevention by epidural Injection of postherpetic Neuralgia in the Elderly) study was set up. The PINE study compares the effectiveness and cost-effectiveness of a single epidural injection of local anaesthetics and steroids during the acute phase of HZ with that of care-as-usual (i.e. antivirals and analgesics) in preventing PHN in elderly patients. METHODS / DESIGN: The PINE study is an open, multicenter clinical trial in which 550 elderly (age &gt;/= 50 yr.) patients who consult their general practitioner in the acute phase of HZ (rash &lt; 7 days) are randomised to one of the treatment groups. The primary clinical endpoint is the presence of HZ-related pain one month after the onset of the rash. Secondary endpoints include duration and severity of pain, re-interventions aiming to treat the existing pain, side effects, quality of life, and cost-effectiveness. CONCLUSION: The PINE study is aimed to quantify the (cost-) effectiveness of a single epidural injection during the acute phase of HZ on the prevention of PHN.</t>
  </si>
  <si>
    <t>Björk-Shiley convexoconcave valves: susceptibility artifacts at brain MR imaging and mechanical valve fractures.</t>
  </si>
  <si>
    <t>van Gorp, Maarten J; van der Graaf, Yolanda; de Mol, Bas A J M; Bakker, Chris J G; Witkamp, Theo D; Ramos, Lino M P; Mali, Willem P T M</t>
  </si>
  <si>
    <t>https://pubmed.ncbi.nlm.nih.gov/14739310</t>
  </si>
  <si>
    <t>To assess the relationship between heart valve history and susceptibility artifacts at magnetic resonance (MR) imaging of the brain in patients with Björk-Shiley convexoconcave (BSCC) valves. MR images of the brain were obtained in 58 patients with prosthetic heart valves: 20 patients had BSCC valve replacements, and 38 had other types of heart valves. Two experienced neuroradiologists determined the presence or absence of susceptibility artifacts in a consensus reading. Artifacts were defined as characteristic black spots that were visible on T2*-weighted gradient-echo MR images. The statuses of the 20 explanted BSCC valves-specifically, whether they were intact or had an outlet strut fracture (OSF) or a single-leg fracture (SLF)-had been determined earlier. Number of artifacts seen at brain MR imaging was correlated with explanted valve status, and differences were analyzed with nonparametric statistical tests. Significantly more patients with BSCC valves (17 [85%] of 20 patients) than patients with other types of prosthetic valves (18 [47%] of 38 patients) had susceptibility artifacts at MR imaging (P =.005). BSCC valve OSFs were associated with a significantly higher number of artifacts than were intact BSCC valves (P =.01). No significant relationship between SLF and number of artifacts was observed. Susceptibility artifacts at brain MR imaging are not restricted to patients with BSCC valves. These artifacts can be seen on images obtained in patients with various other types of fractured and intact prosthetic heart valves.</t>
  </si>
  <si>
    <t>Design and baseline characteristics of a trial on health effects of soy protein with isoflavones in postmenopausal women.</t>
  </si>
  <si>
    <t>Kok, Linda; Kreijkamp-Kaspers, Sanne; Grobbee, Diederick E; van der Schouw, Yvonne T</t>
  </si>
  <si>
    <t>https://pubmed.ncbi.nlm.nih.gov/14706762</t>
  </si>
  <si>
    <t>This study is a double-blind, randomized, placebo-controlled trial to assess the effects of high amounts of phytoestrogens on bone mineral density, cardiovascular diseases, cognitive function, performance in activities of daily life and well being. Participants were healthy postmenopausal women, aged 60-75 years. Between March and September 2000, 202 women were recruited, and, after completion of the baseline measurements, randomized to either soy protein, containing 99 mg naturally occurring isoflavones or placebo (milk protein) daily for 1 year. Analysis of the endpoints will be based on the difference between baseline measurements and measurements at the end of the intervention period with group allocation as independent variable.</t>
  </si>
  <si>
    <t>Urinary endogenous sex hormone levels in postmenopausal women after caloric restriction in young adulthood.</t>
  </si>
  <si>
    <t>Elias, S G; Onland-Moret, N C; Peeters, P H M; Rinaldi, S; Kaaks, R; Grobbee, D E; Van Noord, P A H</t>
  </si>
  <si>
    <t>https://pubmed.ncbi.nlm.nih.gov/14710216</t>
  </si>
  <si>
    <t>We investigated whether the 1944-1945 Dutch famine has affected postmenopausal sex hormone concentrations with data from 163 women (young adults during the famine). Urinary sex hormone concentrations showed modest elevations with increasing famine exposure. Effects were absent in parous women, but more pronounced in women who had never given birth.</t>
  </si>
  <si>
    <t>[Trends in cardiovascular morbidity and mortality in the Netherlands, 1980-2000].</t>
  </si>
  <si>
    <t>Koek, H L; Grobbee, D E; Bots, M L</t>
  </si>
  <si>
    <t>https://pubmed.ncbi.nlm.nih.gov/14750452</t>
  </si>
  <si>
    <t>To describe and interpret trends in cardiovascular morbidity and mortality among the Dutch population from 1980 to 2000, in particular the decline in hospital admissions for cardiovascular disease during the second half of the 1990s. Descriptive. An analysis of trends in hospital admissions and cardiovascular mortality for the period 1980 to 2000 was performed using Dutch hospital admissions and mortality data, specified according to age and sex. These data were taken from the National Medical Register of hospital admissions maintained by Prismant and from the national statistics on the causes of mortality maintained by Statistics Netherlands. Since the 1970s, the mortality due to cardiovascular diseases has gradually declined. The age-adjusted mortality has declined by 36% for men and 33% for women. The decline is evident for both acute and chronic diseases. After an initial increase, hospital admission rates for cardiovascular disease showed a marked decline during the second half of the 1990s. The age-adjusted hospital admission rate has declined by 15% for men and 13% for women. This decline was seen in all age groups and for both acute and chronic diseases. The recent decrease in hospital admissions for cardiovascular disease during the second half of the 1990s appears mainly to be the consequence of a shift from hospital admissions to day care and outpatients' clinics.</t>
  </si>
  <si>
    <t>Birth weight and carotid intima-media thickness: new perspectives from the atherosclerosis risk in young adults (ARYA) study.</t>
  </si>
  <si>
    <t>Oren, Anath; Vos, Lydia E; Uiterwaal, Cuno S P M; Gorissen, Wim H M; Grobbee, Diederick E; Bots, Michiel L</t>
  </si>
  <si>
    <t>https://pubmed.ncbi.nlm.nih.gov/14664774</t>
  </si>
  <si>
    <t>Although intrauterine growth retardation (IUGR) is associated with increased risk of cardiovascular disease (CVD) in adult life, it is unclear whether the relationship is present at younger ages. Furthermore, current debate suggests that postnatal factors might be at least as important as prenatal conditions. The authors investigated whether low birth weight leads to an increased risk of subclinical atherosclerosis in a population-based sample of 750 Dutch men and women, aged 27 to 30 years. Information about birth characteristics was available from the original charts of the Municipal Health Service, Utrecht, The Netherlands. Cardiovascular risk factors were evaluated by a questionnaire. The extent of atherosclerosis, assessed by carotid intima-media thickness (CIMT), was measured in both common carotid arteries. Overall, birth weight was not related to common CIMT. However, in the lowest tertile of birth length an inverse association between birth weight and common CIMT was observed. Moreover, low birth weight was significantly associated with increased common CIMT in those who showed exaggerated postnatal growth. These findings suggest that low birth weight is only associated with increased common CIMT in young adulthood in those who experienced severe IUGR and in those who showed exaggerated postnatal growth.</t>
  </si>
  <si>
    <t>Patient characteristics do not predict poor glycaemic control in type 2 diabetes patients treated in primary care.</t>
  </si>
  <si>
    <t>Goudswaard, Alex N; Stolk, Ronald P; Zuithoff, Peter; Rutten, Guy E H M</t>
  </si>
  <si>
    <t>https://pubmed.ncbi.nlm.nih.gov/15330126</t>
  </si>
  <si>
    <t>Many diabetic patients in general practice do not achieve good glycaemic control. The aim of this study was to assess which characteristics of type 2 diabetes patients treated in primary care predict poor glycaemic control (HbA1c &gt; or = 7%). Data were collected from the medical records. 1641 patients were included who had mean HbA1c 7.1(SD 1.7)% , and 42% had HbA1c &gt; or = 7%. On univariate analysis younger age; longer duration of diabetes; higher levels of blood glucose at diagnosis; most recent fasting blood glucose (FBG), total cholesterol, and triglyceride; higher body mass index (BMI); treatment with oral hypoglycaemic agents (OHA); treatment with insulin; more GP-visits for diabetes in the last year; and lower educational level were associated with poor control. Both in multiple linear regression and in multiple logistic regression higher levels of FBG (odds ratio (OR): = 1.6, 95% confidence interval (CI): 1.49, 1.70), treatment with OHA (OR: 2.1, 95% CI: 1.41, 3.04), treatment with insulin (OR: 7.2, 95% CI: 4.18, 12.52), lower educational level (OR: 1.26, 95% CI: 1.01, 1.56) were independently associated with poor levels of HbA1c. When FBG levels were excluded from the model, higher blood glucose at diagnosis, higher values for triglyceride and total cholesterol, and younger age predicted poor glycaemic control, but these variables explained only 15% of the variation in HbA1c. In conclusion prediction of poor glycaemic control from patient characteristics in diabetic patients in general practice is hardly possible. FBG appeared to be a strong predictor of HbA1c, which underlines the usefulness of this simple test in daily diabetes care. The worse metabolic control in those treated with either OHA or insulin suggests that current treatment regimes might be not sufficiently applied to reach the targets of care. Providers of diabetes care should be attentive to patients with lower educational level.</t>
  </si>
  <si>
    <t>Epidemiology in the right direction: the importance of descriptive research.</t>
  </si>
  <si>
    <t>https://pubmed.ncbi.nlm.nih.gov/15469029</t>
  </si>
  <si>
    <t>Alcohol consumption in relation to aortic stiffness and aortic wave reflections: a cross-sectional study in healthy postmenopausal women.</t>
  </si>
  <si>
    <t>Sierksma, Aafje; Lebrun, Corinne E I; van der Schouw, Yvonne T; Grobbee, Diederick E; Lamberts, Steven W J; Hendriks, Henk F J; Bots, Michiel L</t>
  </si>
  <si>
    <t>https://pubmed.ncbi.nlm.nih.gov/14656732</t>
  </si>
  <si>
    <t>Moderate alcohol consumption has been postulated to be cardioprotective. Such an effect might be reflected in large-artery properties, such as arterial stiffness and wave reflections. Three hundred seventy-one healthy postmenopausal women aged 50 to 74 years were sampled from a population-based study. Alcohol intake was calculated from a standardized questionnaire. Applanation tonometry was applied to assess the augmentation index and aortic pulse-wave velocity. Those drinking 1 to 3, 4 to 9, 10 to 14, and 15 to 35 glasses of alcoholic beverages per week had a 0.044 (95% CI -0.47 to 0.56), -0.085 (95% CI -0.59 to 0.43), -0.869 (95% CI -1.44 to -0.29), and -0.225 (95% CI -0.98 to 0.53) m/s difference in mean pulse-wave velocity compared with nondrinkers, respectively, which indicates a J-shaped relationship. Adjustment for potential confounders of pulse-wave velocity or alcohol intake did not materially change the strength of the association. Adjustment for HDL further attenuated the relationship. The augmentation index was not related to alcohol consumption when adjustments were made for physiological determinants such as age, height, and ejection duration. Among postmenopausal women, alcohol consumption is inversely associated with pulse-wave velocity. This supports the presence of a decreased risk of cardiovascular disease with moderate alcohol consumption, which may be mediated in part by HDL cholesterol.</t>
  </si>
  <si>
    <t>The Osteoporosis Prevention and Arterial effects of tiboLone (OPAL) study: design and baseline characteristics.</t>
  </si>
  <si>
    <t>Bots, Michiel L; Evans, Gregory W; Riley, Ward; Meijer, Rudy; McBride, Karen H; Paskett, Electra D; Helmond, Frans A; Grobbee, Diederick E; ,</t>
  </si>
  <si>
    <t>controlled clinical trials</t>
  </si>
  <si>
    <t>https://pubmed.ncbi.nlm.nih.gov/14662281</t>
  </si>
  <si>
    <t>The Osteoporosis Prevention and Arterial effects of tiboLone (OPAL) trial is a three-arm, randomized, placebo-controlled, double-blind study to determine the effect of tibolone 2.5 mg (Org OD 14) and continuous combined conjugated equine estrogens plus medroxyprogesterone acetate (0.625 mg/2.5 mg respectively) on progression of intima-media thickness of the carotid arteries and bone mineral density of the lumbar vertebrae and proximal femur in postmenopausal women. A total of 866 healthy postmenopausal women were recruited in six U.S. centers and five European centers. Duplicate carotid ultrasound examinations of the common carotid artery, the carotid bifurcation, and the internal carotid artery were performed at baseline. Single measurements of bone mineral density of the lumbar vertebrae and proximal femur were obtained at baseline. After randomization, ultrasound examinations were repeated every 6 months for 36 months following baseline, with a duplicate examination at the end of the study. Bone mineral density was measured every 12 months throughout the trial. The primary outcome is change in mean common carotid intima-media thickness (CIMT), defined as the average of the intima-media thickness measurements performed circumferentially at predefined angles for the near and far wall of 10-mm segments of the right and left distal common carotid arteries. Unique new features of the OPAL study are the specifically developed OPAL ultrasound protocol, yielding highly reproducible CIMT measurements, and the use of two experienced core laboratories for CIMT readings (one in the United States and one in Europe) with one common quality assurance and control program. The OPAL study is a large, placebo-controlled trial evaluating the effects of tibolone, as well as one of the first large randomized studies to determine the effects of continuous combined estrogen-progestin therapy on carotid atherosclerosis in healthy postmenopausal women. The OPAL study results are expected to complement other studies on atherosclerosis progression in healthy postmenopausal women.</t>
  </si>
  <si>
    <t>Endogenous sex hormones in men aged 40-80 years.</t>
  </si>
  <si>
    <t>Muller, Majon; den Tonkelaar, Isolde; Thijssen, Jos H H; Grobbee, Diederick E; van der Schouw, Yvonne T</t>
  </si>
  <si>
    <t>https://pubmed.ncbi.nlm.nih.gov/14641001</t>
  </si>
  <si>
    <t>To determine the relationship between aging, life-style factors and health-related factors and endogenous sex hormone levels. Cross-sectional study of 400 independently living men between 40 and 80 Years of age. After exclusion of subjects who were not physically or mentally able to visit the study center, 400 men were randomly selected from a population-based sample. Total testosterone (TT), bioavailable testosterone (BT) (i.e. not bound to sex hormone-binding globulin (SHBG)), SHBG, estradiol (E(2)) and dehydroepiandrosterone-sulfate (DHEA-S) were investigated for their relationship with age, body mass index (BMI), waist circumference, smoking, physical activity and general health status. Multivariate models using ANCOVA analyses were used to examine the contribution of life-style factors to sex hormone variability. TT, BT and DHEA-S decreased with age; 0.2, 0.7 and 1.2%/Year respectively. SHBG showed an increase with age of 1.1%/Year. No changes with age were found for E(2). General health status modified the association of TT and SHBG with age (P interaction 0.10 and 0.002 respectively). Increased BMI and waist circumference were associated with decreased TT, BT, SHBG and DHEA-S and increased E(2) (all P&lt;0.01). Current smoking, lower alcohol intake and a higher physical activity score were associated with higher TT and SHBG levels. This study showed the important determinants of sex hormones were age, BMI, waist circumference, smoking, general health status and physical activity. Furthermore, it can be concluded that general health status modified the effect between sex hormones and age. For future observational studies it should be taken into account that the above-mentioned determinants may alter the association between sex hormones and diseases and related conditions.</t>
  </si>
  <si>
    <t>Clinical efficacy of three common treatments in acute otitis externa in primary care: randomised controlled trial.</t>
  </si>
  <si>
    <t>van Balen, Frank A M; Smit, W Martijn; Zuithoff, Nicolaas P A; Verheij, Theo J M</t>
  </si>
  <si>
    <t>https://pubmed.ncbi.nlm.nih.gov/14630756</t>
  </si>
  <si>
    <t>To compare the clinical efficacy of ear drops containing acetic acid, corticosteroid and acetic acid, and steroid and antibiotic in acute otitis externa in primary care. Randomised controlled trial. 79 general practices, Netherlands. 213 adults with acute otitis externa. duration of symptoms (days) according to patient diaries. Secondary outcome: cure rate according to general practitioner completed questionnaires and recurrence of symptoms between days 21 and 42. Symptoms lasted for a median of 8.0 days (95% confidence interval 7.0 to 9.0) in the acetic acid group, 7.0 days (5.8 to 8.3) in the steroid and acetic acid group, and 6.0 days (5.1 to 6.9) in the steroid and antibiotic group. The overall cure rates at seven, 14, and 21 days were 38%, 68%, and 75%, respectively. Compared with the acetic acid group, significantly more patients were cured in the steroid and acetic acid group and steroid and antibiotic group at day 14 (odds ratio 2.4, 1.1 to 5.3, and 3.5, 1.6 to 7.7, respectively) and day 21 (5.3, 2.0 to 13.7, and 3.9, 1.7 to 9.1, respectively). Recurrence of symptoms between days 21 and 42 occurred in 29% (50/172) of patients and was seen significantly less in the steroid and acetic acid group (0.3, 0.1 to 0.7) and steroid and antibiotic group (0.4, 0.2 to 1.0) than in the acetic acid group. Ear drops containing corticosteroids are more effective than acetic acid ear drops in the treatment of acute otitis externa in primary care. Steroid and acetic acid or steroid and antibiotic ear drops are equally effective.</t>
  </si>
  <si>
    <t>Side of brain infarction and long-term risk of sudden death in patients with symptomatic carotid disease.</t>
  </si>
  <si>
    <t>Algra, Ale; Gates, Peter C; Fox, Allan J; Hachinski, Vladimir; Barnett, Henry J M; ,</t>
  </si>
  <si>
    <t>https://pubmed.ncbi.nlm.nih.gov/14631091</t>
  </si>
  <si>
    <t>Current publications suggest increased risk of sudden death in experimental animals with acute right insular lesions and in patients with recent right-sided brain infarction, particularly if the insula is involved. Using 3 different time definitions, we related long-term risk of sudden death to presence and side of brain infarction on the baseline brain scan and handedness in 2885 patients with symptomatic carotid disease. In 1295 patients without brain infarction, 5-year risk of sudden death was 5.3% (24-hour definition); in those with left-sided infarction (n=471), 8.8%; in those with right-sided infarction (n=477), 6.0%; and in those with bilateral infarction (n=535), 9.7%. After accounting for differences of other risk factors (eg, previous myocardial infarction) in Cox regression, adjusted hazard ratios (HRs) compared with no infarction were as follows: left-sided HR, 1.45 (95% confidence interval [CI], 1.00 to 2.10); right-sided HR, 0.96 (95% CI, 0.62 to 1.47); and bilateral HR, 1.40 (95% CI, 0.98 to 2.00). Insular infarction occurred in 41 patients; none died suddenly. Left-handed or ambidextrous patients (n=183) had a lower risk of sudden death than right-handers; the adjusted HR for left-handed or ambidextrous patients was 0.24 (95% Cl, 0.07 to 0.70). These results were essentially the same for the 10- and 60-minute definitions of sudden death. In the long-term, left-sided, not right-sided, brain infarction is associated with increased risk of sudden death. Left-handed or ambidextrous patients have a lower risk of sudden death than right-handed patients, suggesting a role for the brain.</t>
  </si>
  <si>
    <t>Carotid intima-media thickness measurements in intervention studies: design options, progression rates, and sample size considerations: a point of view.</t>
  </si>
  <si>
    <t>Bots, Michiel L; Evans, Gregory W; Riley, Ward A; Grobbee, Diederick E</t>
  </si>
  <si>
    <t>https://pubmed.ncbi.nlm.nih.gov/14615619</t>
  </si>
  <si>
    <t>Carotid intima-media thickness (CIMT) measurements are currently widely used in randomized controlled trials (RCTs) to study the efficacy of interventions. In designing a RCT with CIMT as a primary outcome, several ultrasound options may be considered. We discuss the various options and provide a pooled estimate of CIMT progression. In addition, we quantify the effect of these choices on the sample size for a RCT. To estimate the average CIMT progression rate, we performed a pooled analysis using CIMT progression rates of control groups from published RCTs. The pros and cons of the following ultrasound options are discussed: which arterial segments may be studied; whether near and far wall CIMT measurements should be performed; whether a single image (1 angle of interrogation) or multiple images (more angles of interrogation) should be used; whether a manual or an automated edge detection reading system should be used; and whether images should be read in a random fashion or in batches. The pooled analysis showed an annual rate of change in mean common CIMT of 0.0147 mm (95% CI, 0.0122 to 0.0173) and in mean maximum CIMT of 0.0176 mm (95% CI, 0.0149 to 0.0203). Given the current evidence together with our experience with recently developed ultrasound protocols, we favor the use of mean maximum CIMT rather than mean common CIMT as the primary outcome measure in RCTs designed to evaluate the efficacy of pharmacological and nonpharmacological interventions in carotid artery atherosclerosis.</t>
  </si>
  <si>
    <t>Change in body mass index from adolescence to young adulthood and increased carotid intima-media thickness at 28 years of age: the Atherosclerosis Risk in Young Adults study.</t>
  </si>
  <si>
    <t>Oren, A; Vos, L E; Uiterwaal, C S P M; Gorissen, W H M; Grobbee, D E; Bots, M L</t>
  </si>
  <si>
    <t>international journal of obesity and related metabolic disorders journal of the international association for the study of obesity</t>
  </si>
  <si>
    <t>https://pubmed.ncbi.nlm.nih.gov/14574350</t>
  </si>
  <si>
    <t>Obesity has become a major health problem in Western societies by increasing the risk of atherosclerosis and cardiovascular disease. Although data on tracking of body mass index (BMI) are available, little is known about the impact of weight change over time on the development of vascular damage. To evaluate the relationship between adolescent BMI as well as change in BMI from adolescence into young adulthood and cardiovascular risk, as estimated by common carotid intima-media thickness (CIMT). Cohort study. A total of 750 healthy young adults, aged 27-30 y, who attended secondary school in Utrecht, the Netherlands. Data on adolescent weight, height, blood pressure and puberty stage were available from the original school health records of the Municipal Health Service. At young adulthood, a questionnaire on cardiovascular risk factors was completed and fasting blood sample was drawn and common CIMT was measured. One standard deviation (s.d.) increase in adolescent BMI was associated with 2.3 microm [95% confidence interval (CI): 1.3; 3.3] increase in mean common CIMT in young adults after adjustment for gender, adolescent age, adolescent blood pressure, puberty stage and lumen diameter. Further adjustment for adult cardiovascular risk factors did not change the relationship (linear regression coefficient=2.1 microm/s.d.; 95% CI: 1.0; 3.1). Adjustment for adult BMI attenuated the association (linear regression coefficient=0.9 microm/s.d.; 95% CI: -0.3; 2.2) as the majority of overweight and obese adolescents remained overweight or became obese young adults. Subjects who remained in the upper BMI distribution from adolescence into young adulthood had a significantly higher common CIMT compared to those who showed relative weight loss over time (mean difference 14.7 mum; P&lt;0.001). These latter showed similar CIMT values as individuals with constant low BMI. Adolescent BMI predicts cardiovascular risk, as estimated by common CIMT in young adulthood. Individuals who experience the largest increase in BMI and those who remain overweight over time have the thickest common CIMT.</t>
  </si>
  <si>
    <t>Does a routinely measured blood pressure in young adolescence accurately predict hypertension and total cardiovascular risk in young adulthood?</t>
  </si>
  <si>
    <t>Vos, Lydia E; Oren, Anath; Bots, Michiel L; Gorissen, Wim H M; Grobbee, Diederick E; Uiterwaal, Cuno S</t>
  </si>
  <si>
    <t>https://pubmed.ncbi.nlm.nih.gov/14597845</t>
  </si>
  <si>
    <t>It is insufficiently known if routine blood pressure (BP) measurement by school doctors has added predictive value for later hypertension and cardiovascular risk. To assess whether screening of BP in adolescence has additional predictive value to already routinely collected indicators of later hypertension and cardiovascular risk. In the Dutch city of Utrecht, routine BPs and anthropometry were collected from school health records of 750 adolescents. In The Hague, standardized repeated BP measurements and anthropometry were available for 262 adolescents. Of both cohorts, 998 now young adults were recently re-examined. Predictors of adult hypertension, systolic blood pressure (SBP) &gt; or = 140 mmHg and/or diastolic blood pressure (DBP) &gt; or = 90 mmHg) and 10-year cardiovascular risk were analysed by logistic regression and area under receiver operator characteristics curve (AUC). A total of 167 young adults had hypertension. Single adolescent SBP and DBP predicted hypertension: odds ratio (OR) 1.04 per mmHg [95% confidence interval (CI): 1.03-1.06], OR 1.02 (1.00-1.04), respectively, but with little discriminative power. Gender, adolescent body mass index (BMI) and age combined predicted hypertension: AUC 0.71 (0.67-0.75), which slightly improved by adding SBP: AUC 0.74 (0.70-0.77); difference in AUC 0.03 (0.002-0.06). SBP exclusively predicted hypertension within men: OR 1.03 (1.01-1.04), AUC: 0.59 (0.53-0.65), and within women: OR 1.08 (1.05-1.11), AUC 0.74 (0.67-0.82). However, an adolescent BP of &gt; or = 120 mmHg did not efficiently detect hypertensive men, while it detected 57.9% of hypertensive women. Only young adult men had meaningful 10-year cardiovascular risks, which only SBP predicted: OR risk score &gt; 95th percentile 1.04 (1.02-1.07), AUC 0.67 (0.60-0.75). A single routine BP measurement in adolescent girls efficiently predicts young adult hypertension. In adolescent boys, BP predicts young adult 10-year cardiovascular risk.</t>
  </si>
  <si>
    <t>The V89L polymorphism in the 5-alpha-reductase type 2 gene and risk of breast cancer.</t>
  </si>
  <si>
    <t>van Gils, Carla H; Onland-Moret, N Charlotte; Roest, Mark; van Noord, Paulus A H; Peeters, Petra H M</t>
  </si>
  <si>
    <t>https://pubmed.ncbi.nlm.nih.gov/14652280</t>
  </si>
  <si>
    <t>Women with high androgen levels appear to be at increased risk for breast cancer. The 5-alpha-reductase type 2 enzyme (SRD5A2) is an important mediator of local androgen actions. The SRD5A2 gene contains a polymorphism leading to a valine to leucine change in codon 89 (V89L). The Leu allele has been associated with lower SRD5A2 activity and might be protective for breast cancer. At the same time, among breast cancer patients, the Leu allele has been associated with lower prostate-specific antigen expression, indicating poor prognosis. Within a cohort of breast cancer screening participants in the Netherlands (DOM-cohort) we examined whether the V89L polymorphism is associated with the risk and prognosis of breast cancer. We studied 295 postmenopausal breast cancer cases and a randomly selected reference group from the baseline cohort (n = 382). The genotype distribution in the reference group was: VV 52%; VL 40%; and LL 8%. Compared with women with the VV genotype, adjusted breast cancer rate ratios for women with VL and LL genotypes were 1.5 (95% confidence interval = 1.0-2.2) and 1.1 (95% confidence interval = 0.5-2.1), respectively. Compared with breast cancer patients with VV or VL genotypes, those with the LL genotype showed larger tumors (proportion with size &gt; 2 cm is 26 versus 55%, respectively; P = 0.07), a higher frequency of positive lymph nodes (28 versus 55%, respectively; P = 0.09), and a higher tumor-node-metastasis stage (proportion with stage III/IV: 6 versus 25%, respectively; P = 0.04). The LL genotype is also associated with shorter survival than the VV and VL genotypes (P = 0.10). In conclusion, our findings do not provide evidence for an important role of the V89L polymorphism in the etiology of breast cancer. However, in breast cancer patients, the LL genotype may be associated with unfavorable prognosis.</t>
  </si>
  <si>
    <t>Endogenous sex hormones and cardiovascular disease in men.</t>
  </si>
  <si>
    <t>Muller, Majon; van der Schouw, Yvonne T; Thijssen, Jos H H; Grobbee, Diederick E</t>
  </si>
  <si>
    <t>https://pubmed.ncbi.nlm.nih.gov/14602729</t>
  </si>
  <si>
    <t>Unlike women, men do not experience an abrupt reduction in endogenous sex hormone production. It has, however, become clear that an age-associated decrease in the levels of (bioactive) sex hormones does occur. Whether endogenous sex hormones have an impact on cardiovascular disease has for many years remained largely unknown, but during the last decade more attention has been drawn to the importance of testosterone, estrogens, and adrenal androgens in etiology, prevention, and treatment of male cardiovascular disease. The purpose of this article is to summarize the evidence currently available on the association between endogenous sex hormones and cardiovascular disease in males. Published studies dealing with the relationship between circulating levels of sex hormones and cardiovascular disease in males were reviewed. The studies reviewed in this article suggest that circulating endogenous sex hormones and estrogens have a neutral or beneficial effect on cardiovascular disease in men.</t>
  </si>
  <si>
    <t>Clinical pulmonary infection score for ventilator-associated pneumonia: accuracy and inter-observer variability.</t>
  </si>
  <si>
    <t>Schurink, Carolina A M; Nieuwenhoven, Christianne A Van; Jacobs, Jan A; Rozenberg-Arska, Maja; Joore, Hans C A; Buskens, Erik; Hoepelman, Andy I M; Bonten, Marc J M</t>
  </si>
  <si>
    <t>https://pubmed.ncbi.nlm.nih.gov/14566455</t>
  </si>
  <si>
    <t>Although quantitative microbiological cultures of samples obtained by bronchoscopy are considered the most specific tool for diagnosing ventilator-associated pneumonia, this labor-intensive invasive technique is not widely used. The Clinical Pulmonary Infection Score (CPIS), a diagnostic algorithm that relies on easily available clinical, radiographic, and microbiological criteria, could be an attractive alternative for diagnosing ventilator-associated pneumonia. Initially, the CPIS scoring system was validated upon 40 quantitative cultures of bronchoalveolar lavage fluid from 28 patients, and only few other studies have evaluated this scoring system since then. Therefore, little is known about the accuracy of this score. We compared the scores of a slightly adjusted CPIS with results from quantitative cultures of bronchoalveolar lavage fluid in 99 consecutive patients with suspicion of ventilator-associated pneumonia, using growth of &gt; or =10(4) cfu/ml in bronchoalveolar lavage fluid as a cut-off for diagnosing ventilator-associated pneumonia. In addition, the CPIS were calculated for 52 patients by two different intensivists to determine the inter-observer variability. Ventilator-associated pneumonia was diagnosed in 69 (69.6%) patients. When using a CPIS &gt;5 as diagnostic cutoff, the sensitivity of the score was 83% and its specificity was 17%. The area under the Receiver Operating Characteristic curve was 0.55. The level of agreement for prospectively measured Clinical Pulmonary Infection Score (&lt; or =6 and &gt;6) was poor (kappa =0.16). When compared to quantitative cultures of bronchoalveolar lavage fluid, the CPIS has a low sensitivity and specificity for diagnosing ventilator-associated pneumonia with considerable inter-observer variability.</t>
  </si>
  <si>
    <t>Effect of second- and third-generation oral contraceptives on the protein C system in the absence or presence of the factor VLeiden mutation: a randomized trial.</t>
  </si>
  <si>
    <t>Kemmeren, Jeanet M; Algra, Ale; Meijers, Joost C M; Tans, Guido; Bouma, Bonno N; Curvers, Joyce; Rosing, Jan; Grobbee, Diederick E</t>
  </si>
  <si>
    <t>https://pubmed.ncbi.nlm.nih.gov/14551147</t>
  </si>
  <si>
    <t>A plausible mechanism to explain thrombotic risk differences associated with the use of second- and third-generation oral contraceptives (OCs), particularly in carriers of factor V(Leiden), is still lacking. In a double-blind trial, 51 women without and 35 women with factor V(Leiden) were randomized to either a second- (30 microg ethinylestradiol/150 microg levonorgestrel) or third- (30 microg ethinylestradiol/150 microg desogestrel) generation OC. After 2 cycles of use and a wash-out of 2 cycles, the participants continued with the corresponding progestagen-only preparation. Hemostatic variables that probe the activity of the anticoagulant protein C system were determined. Compared with levonorgestrel, desogestrel-containing OCs significantly decreased protein S and increased activated protein C (APC) resistance in both groups. OCs with desogestrel had the most pronounced effects in carriers of factor V(Leiden). Progestagen-only preparations caused changes of anticoagulant parameters opposite to those of combined OCs, which in a number of cases were more pronounced with levonorgestrel. Our data show that progestagens in combined OCs counteract the thrombotic effect of the estrogen component. The higher thrombotic risk associated with third-generation OCs compared with second-generation OCs may be explained by the fact that desogestrel appeared less antithrombotic than levonorgestrel, especially in women with factor V(Leiden).</t>
  </si>
  <si>
    <t>Clinical prediction rule for 30-day mortality in Björk-Shiley convexo-concave valve replacement.</t>
  </si>
  <si>
    <t>van Gorp, M J; Steyerberg, E W; Kallewaard, M; van der Graaf, Y</t>
  </si>
  <si>
    <t>https://pubmed.ncbi.nlm.nih.gov/14568633</t>
  </si>
  <si>
    <t>We aimed to develop a clinical prediction rule for 30-day mortality in patients undergoing Björk-Shiley convexo-concave (BScc) valve replacement, based on primary valve implantation procedures. We studied 30-day mortality in 2,263 patients who received a BScc valve between 1979 and 1985 in The Netherlands. A logistic regression model was constructed and internally validated with bootstrapping techniques. Predictors for mortality were emergency operation, coronary artery disease, mitral or double-valve replacement, BScc implant being a reoperation, endocarditis, poor left ventricular function, age, concomitant tricuspid valve plasty, and aortic root replacement. The area under the receiver operating characteristic curve (AUC) for the predicted probability of death was 0.76 (95% CI 0.72-0.80). The model calibrated well, and had adequate discriminative ability in 195 BScc valve patients who underwent explantation, including 53 prophylactic explantations (AUC 0.81, 95% CI 0.73-0.89). A prediction rule derived from BScc valve implantation data performed well in patients undergoing explantation. Because the model provides accurate individualized estimates of the risk of mortality after reoperation, it may be helpful for decision making in patients with BScc valves.</t>
  </si>
  <si>
    <t>Hyperhomocysteinemia and risk for peripheral arterial occlusive disease in young women.</t>
  </si>
  <si>
    <t>van den Bosch, Maurice A A J; Bloemenkamp, Daisy G M; Mali, Willem P Th M; Kemmeren, Jeanet M; Tanis, Bea C; Algra, Ale; Rosendaal, Frits R; van der Graaf, Yolanda</t>
  </si>
  <si>
    <t>https://pubmed.ncbi.nlm.nih.gov/14560229</t>
  </si>
  <si>
    <t>Few studies to date have examined the relationship between hyperhomocysteinemia and peripheral arterial occlusive disease (PAOD) in young women. In this study we assessed hyperhomocysteinemia as a risk factor for PAOD in young women. In addition, we evaluated the effect of joint exposure to hyperhomocysteinemia and traditional risk factors. Two hundred twenty women, ages 18 to 49 years, with PAOD and 629 healthy women (control group) from a population-based case-control study filled out the same structured questionnaire and donated venous blood samples for determination of plasma homocysteine levels. Hyperhomocysteinemia was defined as nonfasting total plasma homocysteine level above the 90th percentile of the control range. Young women with hyperhomocysteinemia had a 2.5-fold (95% confidence interval [CI], 1.7-3.9) increased risk for PAOD. When presence of hyperhomocysteinemia was combined with presence of a traditional risk factor, relative risk strongly increased in smokers (odds ratio [OR], 18.9; 95% CI, 8.3-42.9) and in women with hypertension (OR, 10.3; 95% CI, 5.4-19.8), hypercholesterolemia (OR, 8.5; 95% CI, 4.2-17.1), and diabetes (OR, 8.9; 95% CI, 1.7-46.9). Hyperhomocysteinemia is a risk factor for PAOD in young women. There is a strong synergistic effect between hyperhomocysteinemia and all traditional vascular risk factors. Our findings may have implications for risk management in these young women.</t>
  </si>
  <si>
    <t>Soluble intercellular adhesion molecule 1 and flow-mediated dilatation are related to the estimated risk of coronary heart disease independently from each other.</t>
  </si>
  <si>
    <t>Witte, D R; Broekmans, W M R; Kardinaal, A F M; Klöpping-Ketelaars, I A A; van Poppel, G; Bots, M L; Kluft, C; Princen, J M G</t>
  </si>
  <si>
    <t>https://pubmed.ncbi.nlm.nih.gov/12957693</t>
  </si>
  <si>
    <t>Flow mediated dilatation (FMD) of the brachial artery and soluble intercellular adhesion molecule 1 (sICAM-1) are measures of distinct functions of the endothelium, reflecting nitric oxide (NO)-mediated and pro-inflammatory status, respectively. The comparative value of the two measures in relation to cardiovascular risk is unknown. To study and quantify the relation between these two measures, and their relative value in relation to the risk of coronary heart disease as estimated by the Framingham risk function. We performed a single centre population-based study of 85 men and 81 women, aged 18-73 years. Endothelial function was assessed biochemically by sICAM-1 and functionally by FMD. In addition traditional cardiovascular risk factors, CRP, leukocyte count, homocysteine and fibrinogen were determined. Analyses were performed with multivariate linear regression, adjusted for age, gender, and CRP. Median sICAM-1 levels were 217.0 microg/l (interquartile range: 174.0-348.5). Mean FMD was 4.5% (S.D.: 3.9). The regression coefficient for the association between sICAM-1 and FMD was -3.3 microg/l (95% CI: -6.0;-0.6) per percentage rise in FMD, after adjustment for age, gender, smoking, oral contraceptives (OC) use, classical risk factors and CRP. After adjustment for CRP and sICAM-1, the estimated risk of coronary heart disease in the next 10 years varied from 1.55% (95%CI: 0.89; 2.70) in the highest quintile of FMD to 3.92% (95% CI: 2.23; 6.92) in the lowest quintile. For sICAM-1, estimated risk, adjusted for FMD and CRP varied from 1.50% (95%CI: 0.85; 2.64) in the lowest quintile of sICAM-1 to 4.15% (95%CI: 2.35; 7.34) in the highest quintile. P-values for trends were 0.02 and 0.01 for quintiles of FMD and quintiles of sICAM-1, respectively. These findings indicate that sICAM-1 and FMD are related in healthy individuals, independently of cardiovascular risk factors and CRP, and that they are both related to the estimated risk of coronary heart disease, independently of each other.</t>
  </si>
  <si>
    <t>Outpatient antibiotic prescriptions from 1992 to 2001 in the Netherlands.</t>
  </si>
  <si>
    <t>Kuyvenhoven, Marijke M; van Balen, Frank A M; Verheij, Theo J M</t>
  </si>
  <si>
    <t>https://pubmed.ncbi.nlm.nih.gov/12951333</t>
  </si>
  <si>
    <t>Although Dutch outpatient antibiotic prescription rates are low compared with other European countries, continuing to scrutinize trends in outpatient antibiotic use is important in order to identify possible increases in antibiotic use or inappropriate increases in the use of particular classes of antibiotics. We assessed the volume of Dutch outpatient antibiotic prescriptions from 1992 to 2001 by calculating the mean number of outpatient antibiotic prescriptions (indicating the number of times physicians decide to prescribe an antibiotic agent) per 1000 patients insured by the Dutch Sickness Fund per year, according to subgroups (narrow-spectrum penicillins, broad-spectrum penicillins, tetracyclines, macrolides, sulphonamides and trimethoprim, and quinolones). Data were obtained from the Dutch Drug Information Project/Health Care Insurance Board. The total volume of outpatient antibiotic prescriptions in 2001 was 394 prescriptions per 1000 patients insured by the Dutch Sickness Fund. Overall, the rates were stable between 1992 and 2001, with small variations across years, but with marked differences in volumes within antibiotic groups across these years: a decrease in prescribing of narrow-spectrum penicillins (-29%), amoxicillin (-23%), tetracycline (-24%), doxycycline (-19%) and trimethoprim and derivatives (-45%) was accompanied by an increase in prescribing of co-amoxiclav (+85%), macrolides (+110%) and quinolones (+86%). The international trend of a decline in the use of narrow-spectrum and older penicillins and prescribing more broad-spectrum and new chemotherapeutics was shown to exist in a low prescribing country, The Netherlands. Therefore, inappropriate antibiotic prescribing should remain prominent on the research agenda in intervention studies in order to improve the appropriate selection of antibiotic class and to reduce the prescription of antibiotics.</t>
  </si>
  <si>
    <t>Circulating levels of insulin-like growth factor I, its binding proteins -1,-2, -3, C-peptide and risk of postmenopausal breast cancer.</t>
  </si>
  <si>
    <t>Keinan-Boker, Lital; Bueno De Mesquita, H Bas; Kaaks, Rudolf; Van Gils, Carla H; Van Noord, Paul A H; Rinaldi, Sabina; Riboli, Elio; Seidell, Jaap C; Grobbee, Diederick E; Peeters, Petra H M</t>
  </si>
  <si>
    <t>https://pubmed.ncbi.nlm.nih.gov/12794762</t>
  </si>
  <si>
    <t>Higher levels of circulating Insulin-like Growth Factor (IGF)-I may be associated with higher risks for premenopausal breast cancer. We investigate the associations between circulating levels of IGF-I, its binding proteins (IGFBPs) -1, -2, -3, C-peptide and postmenopausal breast cancer. This is a prospective study nested in 2 Dutch cohorts. The study population included women who were postmenopausal at baseline. Breast cancer cases were identified through linkage with cancer registries. Controls were matched to cases by cohort, age, date of blood donation and place of residence. In total, 149 breast cancer cases and 333 healthy controls were included. Plasma levels of IGF-I, IGFBP-1, -2, -3 and C-peptide were measured by radioimmunoassays. Estimates of the relative risk for breast cancer associated with the quartiles of the peptides' circulating levels were obtained by conditional logistic regression. Models were adjusted for BMI, age at menarche and age at first full-term delivery. For IGF-I, the adjusted OR (95% CI) of the top vs. bottom quartile was 1.1 (0.6; 2.1); for IGFBP-1 it was 0.7 (0.3; 1.3); for IGFBP-2, 1.1 (0.5; 2.4); for IGFBP-3, 1.6 (0.7; 3.5), for C-peptide, 1.3 (0.7; 2.7) and for IGF-I/IGFBP-3 ratio, 1.0 (0.5; 1.8). Our data do not support an association between postmenopausal circulating levels of IGF-I, IGFBP-1, -2, -3, C-peptide and postmenopausal breast cancer.</t>
  </si>
  <si>
    <t>The finding of invasive cancer after a preoperative diagnosis of ductal carcinoma-in-situ: causes of ductal carcinoma-in-situ underestimates with stereotactic 14-gauge needle biopsy.</t>
  </si>
  <si>
    <t>Hoorntje, Lidewij E; Schipper, Marguerite E I; Peeters, Petra H M; Bellot, Frank; Storm, Remmert K; Borel Rinkes, Inne H M</t>
  </si>
  <si>
    <t>https://pubmed.ncbi.nlm.nih.gov/12900365</t>
  </si>
  <si>
    <t>For the evaluation of nonpalpable lesions of the breast, image-guided 14-gauge automated needle biopsy is increasingly replacing wire-localized excision. When ductal carcinoma-in-situ (DCIS) is diagnosed at core biopsy, invasive cancer is found in approximately 17% of excision specimens. These so-called DCIS underestimates pose a problem for patients and surgeons, because they generally cause extension of treatment. We evaluated DCIS underestimates in detail to assess reasons for missing the invasive component at core biopsy. This evaluation also included a histological comparison with true DCIS (DCIS at core biopsy and excision). Between 1997 and 2000, DCIS was diagnosed at 14-gauge needle biopsy in 255 patients. In 41 cases (16%), invasive cancer was found at excision. We performed a thorough histopathological and radiological review of all these DCIS underestimates, including a histological comparison with core biopsy specimens of 32 true DCIS cases. We assessed the main reason for missing the invasive component at core biopsy. Causes for DCIS underestimates were categorized into "mainly radiological" (n = 20), "mainly histopathological" (n = 15), and "histological disagreements" (n = 6). High-grade DCIS and periductal inflammation in core biopsies made a DCIS underestimate 2.9 and 3.3 times more likely, respectively. A variety of radiological and histopathological reasons contribute to the DCIS underestimate rate. Approximately half of these are potentially avoidable.</t>
  </si>
  <si>
    <t>A 2-step strategy to reduce the need for methionine-loading tests to diagnose hyperhomocysteinemia.</t>
  </si>
  <si>
    <t>van de Laak, Marielle F; Grobbee, Diederick E; van der Griend, Rene; de Valk, Harold W; Algra, Ale; Banga, Jan-Dirk; van der Graaf, Yolanda; ,</t>
  </si>
  <si>
    <t>the journal of laboratory and clinical medicine</t>
  </si>
  <si>
    <t>https://pubmed.ncbi.nlm.nih.gov/12960959</t>
  </si>
  <si>
    <t>An increased plasma homocysteine level may increase the risk of cardiovascular disease. The methionine-loading test is commonly used to detect additional subjects with hyperhomocysteinemia who have normal fasting levels of homocysteine but increased post-methionine-load levels. We developed a 2-step strategy to restrict the methionine-loading test to those subjects with intermediate fasting homocysteine levels to confirm the presence of hyperhomocysteinemia. Hyperhomocysteinemia was defined as a fasting plasma homocysteine level of 16.3 micro mol/L or greater in women and 18.8 micro mol/L or greater in men or an increase in plasma homocysteine level after methionine loading of more than 42.3 micro mol/L for both sexes. From the results in 201 patients, 50 years and younger, with manifest atherosclerosis who underwent a methionine-loading test, we derived cutoff points to define an intermediate group of patients who required a methionine-loading test for hyperhomocysteinemia to be ruled out. These cutoff points were validated in a different population of 275 cardiovascular patients of similar age. The prevalence of hyperhomocysteinemia was 30% in the derivation population and 24% in the validation population. To achieve a sensitivity of 90% in diagnosing hyperhomocysteinemia, we set cutoff points of 11.3 and 9.4 micro mol/L for men and women, respectively. When these cutoff points are applied, it is possible to avoid performing the methionine-loading test in 50% to 75% of subjects tested. With a 2-step strategy to diagnose hyperhomocysteinemia, a sensitivity of 90% for the diagnosis of hyperhomocysteinemia can be achieved, and the need for the methionine-loading test is reduced substantially, with 50% to 75% of subjects no longer needing it.</t>
  </si>
  <si>
    <t>Heterozygosity for the Cys282Tyr mutation in the HFE gene and the risk of colorectal cancer (Netherlands).</t>
  </si>
  <si>
    <t>van der A, Daphne L; van der Hel, Olga; Roest, Mark; van der Schouw, Yvonne T; van Gils, Carla H; Marx, Joannes J M; van Noord, Paulus A H; Peeters, Petra H M</t>
  </si>
  <si>
    <t>https://pubmed.ncbi.nlm.nih.gov/12948285</t>
  </si>
  <si>
    <t>Heterozygosity for the Cys282Tyr transition in the HFE-gene is associated with slightly increased iron levels and may therefore be a potential risk factor for colorectal cancer. We studied the relationship between Cys282Tyr-heterozygosity and colorectal cancer using a case-control design. The 240 colorectal cancer cases and 635 controls in our study were derived from a prospective cohort study of 12,242 postmenopausal women, who were invited for an experimental breast cancer screening program in Utrecht, The Netherlands. The women were age 51-69 at time of inclusion and were followed for a period of 20 years. HFE genotyping was performed by PCR and allele-specific oligonucleotide (ASO) hybridization. The risk of colorectal cancer was higher for women who were heterozygous for the Cys282Tyr mutation, than for those who were Cys282Tyr-wildtypes, although this was not statistically significant (Age-adjusted OR = 1.2, 95% CI: 0.6-2.2). Cys282Tyr-heterozygotes who smoked seemed to be at higher risk of colorectal cancer, although the p-value for interaction was not significant (p-value 0.42). The Cys282Tyr mutation is not associated with an increased risk for colorectal cancer in postmenopausal women, although in combination with smoking a slightly increased risk cannot be excluded.</t>
  </si>
  <si>
    <t>How to ADVANCE prevention of cardiovascular complications in type 2 diabetes.</t>
  </si>
  <si>
    <t>metabolism clinical and experimental</t>
  </si>
  <si>
    <t>https://pubmed.ncbi.nlm.nih.gov/12939736</t>
  </si>
  <si>
    <t>Patients suffering from type 2 diabetes are at increased risk of macrovascular and microvascular disease. This review assesses the available evidence for hypertension and hyperglycemia as risk factors for vascular disease in type 2 diabetes mellitus. Several studies showing a benefit of antihypertensive treatment and glucose-lowering therapy on the prevention of macrovascular and microvascular disease are discussed. However, questions remain concerning the overall balance of benefits and risks of intensive target-driven blood pressure and blood glucose control in type 2 diabetes. More well-powered intervention and prevention studies are therefore needed to provide the necessary reliable evidence to answer these questions. The Action in Diabetes and Vascular disease: PreterAx and DiamicroN modified release Controlled Evaluation (ADVANCE) study is discussed as a trial designed to resemble clinical practice that promises to provide answers concerning the value conferred by blood pressure-lowering therapy and intensive glucose control therapy in type 2 diabetes patients at high risk for cardiovascular disease.</t>
  </si>
  <si>
    <t>Sex hormones and male health: effects on components of the frailty syndrome.</t>
  </si>
  <si>
    <t>Muller, Majon; Grobbee, Diederick E; Thijssen, Jos H H; van den Beld, Annewieke W; van der Schouw, Yvonne T</t>
  </si>
  <si>
    <t>https://pubmed.ncbi.nlm.nih.gov/12890594</t>
  </si>
  <si>
    <t>Physicians are seeing an increasing number of older male patients with chronic diseases and conditions. However, the potential relevance of low levels of circulating endogenous androgens in connection with these diseases and conditions is generally poorly understood. Research findings have suggested that androgens play a distinct role in bone metabolism, body composition such as muscle and fat mass and fat distribution, cognitive functioning, mood and well being. The aim of this paper is to summarize the currently available data on the association between endogenous androgens and the intermediate or clinically manifest indicators of chronic conditions in men that might contribute to the phenomenon "frailty". The evidence that reductions in endogenous androgens play a role in age-related health problems is circumstantial. Therefore, large-scale randomized trials are needed to establish whether aging males with low serum androgen levels benefit from androgen supplementation.</t>
  </si>
  <si>
    <t>[Prediction of cardiovascular disease on the basis of blood pressure measurements more reliable with systolic than with diastolic measurement].</t>
  </si>
  <si>
    <t>van Trijp, M J; Grobbee, D E; Hoes, A W; Bots, M L</t>
  </si>
  <si>
    <t>https://pubmed.ncbi.nlm.nih.gov/12908348</t>
  </si>
  <si>
    <t>To find an answer in the literature to the question of which blood pressure parameter (systolic, diastolic or pulse pressure) best predicts cardiovascular disease and whether the magnitude of the association of the parameter varies with age. Structured literature review. Pubmed was searched for prospective cohort studies concerning the predictive power of two or more blood-pressure components (in particular pulse pressure). Seven relevant articles were found. Systolic blood pressure was found to be a powerful predictor for cardiovascular disease at every age, while pulse pressure was found to be the weakest predictor. The predictive power of diastolic pressure was intermediate, and decreased with age whereas that of pulse pressure increased with age. Systolic blood pressure was the best predictor for cardiovascular disease, whereas the role of diastolic pressure appeared to be limited.</t>
  </si>
  <si>
    <t>Carotid artery stenosis: accuracy of contrast-enhanced MR angiography for diagnosis.</t>
  </si>
  <si>
    <t>Nederkoorn, Paul J; Elgersma, Otto E H; van der Graaf, Yolanda; Eikelboom, Bert C; Kappelle, L Jaap; Mali, Willem P T M</t>
  </si>
  <si>
    <t>https://pubmed.ncbi.nlm.nih.gov/12869686</t>
  </si>
  <si>
    <t>To assess accuracy of contrast material-enhanced magnetic resonance (MR) angiography as compared with three-dimensional (3D) time-of-flight (TOF) MR angiography and reference digital subtraction angiography (DSA) in diagnosis of carotid artery stenosis. Enhanced and 3D TOF MR angiography and DSA were performed in 51 consecutive patients suspected of having carotid artery stenosis at duplex ultrasonography. Stenoses were measured by two independent observers blinded to clinical information and other test results. Pearson correlation coefficients were used, and kappa for interobserver variabilities was estimated. Sensitivity and specificity of enhanced and 3D TOF MR angiography were calculated and compared with those of DSA. Pearson correlation coefficients were 0.94 (P &lt;.01) for enhanced angiography versus DSA, 0.92 (P &lt;.01) for 3D TOF angiography versus DSA, and 0.93 (P &lt;.01) for enhanced versus 3D TOF angiography for observer 1 and 0.94 (P &lt;.01), 0.95 (P &lt;.01), and 0.94 (P &lt;.01), respectively, for observer 2. kappa statistics were 0.81 for enhanced angiography, 0.79 for 3D TOF angiography, and 0.78 for DSA. Stenosis measurements of observer 1 at enhanced MR angiography, with inclusion of carotid arteries on the symptomatic side only, compared with those of DSA yielded a sensitivity of 90% (95% CI: 68%, 99%) and a specificity of 77% (95% CI: 55%, 92%). 3D TOF angiography yielded a sensitivity of 86% (95% CI: 67%, 97%) and a specificity of 73% (95% CI: 50%, 89%) compared with those of DSA. For observer 2, sensitivity and specificity for enhanced angiography were 91% (95% CI: 70%, 99%) and 76% (95% CI: 52%, 91%), respectively, and 90% (95% CI: 68%, 99%) and 77% (95% CI: 51%, 92%), respectively, for 3D TOF angiography. Accuracy of enhanced MR angiography in diagnosis of severe stenosis is similar to that of 3D TOF MR angiography.</t>
  </si>
  <si>
    <t>Risk factors for intracerebral hemorrhage in the general population: a systematic review.</t>
  </si>
  <si>
    <t>Ariesen, M J; Claus, S P; Rinkel, G J E; Algra, A</t>
  </si>
  <si>
    <t>https://pubmed.ncbi.nlm.nih.gov/12843354</t>
  </si>
  <si>
    <t>Although data on some risk factors for intracerebral hemorrhage (ICH) already are beyond doubt, for other factors, the evidence is less clear. We performed a systematic overview of case-control and cohort studies on risk factors for ICH. We searched MEDLINE, LILACS, EXTRAMED, and Pascal from 1966 to 2001 to identify studies. Studies were included if they met predefined methodological criteria. When possible, 2x2 tables were extracted and combined with the Mantel-Haenszel method. Summary odds ratios (ORs) were calculated for case-control studies, and summary relative risks (RRs) were found for cohort studies and for case-control and cohort studies combined. Fourteen case-control and 11 cohort studies were identified. We could not always combine the results of case-control and cohort studies. In cohort studies, the crude RR for age (every 10-year increase) was 1.97 (95% confidence interval [CI], 1.79 to 2.16). In case-control studies, the crude OR for high alcohol intake was 3.36 (95% CI, 2.21 to 5.12) and for hypertension was 3.68 (95% CI, 2.52 to 5.38). Two cohort studies showed an increasing risk of ICH with increasing degree of hypertension. In cohort and case-control studies combined, the crude RR for sex (male versus female) was 3.73 (95% CI, 3.28 to 4.25); for current smoking, 1.31 (95% CI, 1.09 to 1.58); and for diabetes, 1.30 (95% CI, 1.02 to 1.67). Risk factors for ICH appeared to be age, male sex, hypertension, and high alcohol intake. High cholesterol tends to be associated with a lower risk of ICH. We could not assess whether these risk factors are independent.</t>
  </si>
  <si>
    <t>Adolescent blood pressure and blood pressure tracking into young adulthood are related to subclinical atherosclerosis: the Atherosclerosis Risk in Young Adults (ARYA) study.</t>
  </si>
  <si>
    <t>Vos, Lydia E; Oren, Anath; Uiterwaal, Cuno; Gorissen, Wim H M; Grobbee, Diederick E; Bots, Michiel L</t>
  </si>
  <si>
    <t>https://pubmed.ncbi.nlm.nih.gov/12850388</t>
  </si>
  <si>
    <t>Increased blood pressure (BP) in young adulthood is associated with cardiovascular morbidity and mortality. Longitudinal studies of patients at young ages are, however, limited. Our aim was to study the relationships of adolescent BP and tracking of BP into young adulthood with subclinical atherosclerosis, as assessed by carotid intima-media thickness (CIMT), at the age of 28 years. The Atherosclerosis Risk in Young Adults (ARYA) study comprises of a community-based sample of 750 subjects aged 27 to 30 years. In the 352 men and 398 women, at least one BP measurement was recorded at a mean age of 13 years in school health records. Recently, all participants completed a questionnaire on cardiovascular risk factors, had a fasting blood sample drawn, and underwent an ultrasound examination of both common carotid arteries to assess CIMT. Linear regression showed that adolescent systolic BP was associated with thickening of the intima-media (an increase of 7.5 microm in CIMT per standard deviation increase in systolic BP; 95% CI 4.3 to 10.6). Similar relations were found for pulse pressure and mean arterial pressure. When sex, age, and body mass index at adolescence and young adulthood and adult BP were taken into account, the relations attenuated, but for pulse pressure they remained statistically significant. Furthermore, subjects who tracked in the highest systolic BP and pulse pressure levels from adolescence into young adulthood showed the thickest CIMT. Our findings strengthen the notion that elevated BP at adolescence and a relative increase in BP from adolescence to adulthood unfavorably affect cardiovascular risk, as indicated by increased CIMT.</t>
  </si>
  <si>
    <t>Functional health and well-being of relatively young women with peripheral arterial disease is decreased but stable after diagnosis.</t>
  </si>
  <si>
    <t>Bloemenkamp, Daisy G M; Mali, Willem P Th M; Tanis, Bea C; van den Bosch, Maurice A A J; Kemmeren, Jeanet M; Algra, Ale; van der Graaf, Yolanda</t>
  </si>
  <si>
    <t>https://pubmed.ncbi.nlm.nih.gov/12844098</t>
  </si>
  <si>
    <t>This study was undertaken to investigate the extent to which health-related quality of life (HQOL) is reduced in young women with peripheral arterial disease (PAD) compared with age-matched and gender-matched control subjects. Moreover, potential determinants of HQOL in young women with PAD were studied, ie, traditional cardiovascular risk factors, location of stenosis and time since diagnosis. This was a population-based case-control study. Subjects were 208 young (&lt;50 years) women with PAD diagnosed at angiography and 471 population-based age-matched and gender-matched control subjects. All participants completed the RAND-36 questionnaire, which produces a HQOL profile. The questionnaire contains 36 items that assess 8 domains of HQOL. Each domain is given a mean score ranging from 0 to 100, with higher scores indicative of better quality of life. PAD had a deleterious effect on HQOL in young women. Ability to deal with the physical requirements of daily life was affected, and physical capabilities limited activity to a considerable extent. Mean differences observed for 2 domains, ie, Physical functioning and Role-physical, were -25.1 (95% confidence interval [CI], -28.8,-21.4) and -22.5 (95% CI, -28.9,-16.0). Within the group of young women with PAD, HQOL did not depend on age, smoking, hypercholesterolemia, or education. However, women with hyperglycemia, hypertension, or increased body mass index scored lower on 1 or more domains of RAND-36. Location of stenosis was also related to HQOL; patients with more proximal stenosis scored slightly higher on the domain Physical functioning, compared with women with more distal stenosis. Time (0-10 years) between diagnosis (1990-1999) and when RAND-36 was filled out (2000) is related to score on the Mental health domain; score increases over time. Scores on the other 7 domains of HQOL showed no significant relation to duration of disease. Quality of life in young women with PAD was statistically significant diminished for all domains of RAND-36 in comparison with HQOL in healthy age-matched control subjects. HQOL of patients with recently diagnosed PAD is comparable to that of patients in whom the diagnosis was made several years previously. Effective therapy might stabilize, albeit not improve, quality of life in this specific patient population.</t>
  </si>
  <si>
    <t>Improving glycaemic control in patients with Type 2 diabetes mellitus without insulin therapy.</t>
  </si>
  <si>
    <t>Goudswaard, A N; Stolk, R P; de Valk, H W; Rutten, G E H M</t>
  </si>
  <si>
    <t>https://pubmed.ncbi.nlm.nih.gov/12823234</t>
  </si>
  <si>
    <t>In general practice at least 30% of those with Type 2 diabetes do not achieve good glycaemic control. We studied the effect of improving oral glucose-lowering medication in a primary care setting in patients treated with oral hypoglycaemic agents without satisfactory glycaemic control. We provided flowcharts to general practitioners and outreach visits by trained facilitators, who checked adherence to the protocol. Fifty-two Dutch general practices with 2140 Type 2 diabetes mellitus (DM) patients recruited 288 patients &lt; or = 75 years old inadequately controlled (HbA1c &gt;7%) by diet or oral medication. Outcome measures were decrease of HbA1c, number of patients with HbA1c &lt; or = 7%, and non-compliance rate. After a mean of 3.3 consultations over 14 weeks, 209 patients were following the protocol fully with a reduction in HbA1c from 8.7% to 6.7% (P&lt;0.001). One hundred and fifty-eight patients (55%) achieved HbA1c &lt; or =7%, and 51 (18%) persisted with HbA1c &gt;7% unless fasting blood glucose &lt; or =7 mmol/l (n=18) or a maximum of medication (n=33). Seventy-nine patients (27%) did not adhere to the protocol, mostly due to loss of motivation and non-attendance. A simple flowchart and relatively little support by trained facilitators results in improved glycaemic control.</t>
  </si>
  <si>
    <t>NAT2 slow acetylation and GSTM1 null genotypes may increase postmenopausal breast cancer risk in long-term smoking women.</t>
  </si>
  <si>
    <t>van der Hel, Olga L; Peeters, Petra H M; Hein, David W; Doll, Mark A; Grobbee, Diederick E; Kromhout, Daan; Bueno de Mesquita, H Bas</t>
  </si>
  <si>
    <t>pharmacogenetics</t>
  </si>
  <si>
    <t>https://pubmed.ncbi.nlm.nih.gov/12835615</t>
  </si>
  <si>
    <t>N-acetyltransferase (NAT) 1 and 2 and glutathione S-transferase (GST) M1 and T1 are phase II enzymes that are important for activation and detoxification of carcinogenic heterocyclic and aromatic amines, as present in cigarette smoke. We studied whether genetic polymorphisms in these genes modifies the relationship between smoking and breast cancer. A nested case-control study was conducted among participants in a Dutch prospective cohort. Breast cancer cases (n=229) and controls (n=264) were frequency-matched on age, menopausal status and residence. Compared to never smoking, smoking 20 cigarettes or more per day increased breast cancer risk statistically significant only in postmenopausal women [odds ratio (OR)=2.17; 95% confidence interval (CI) 1.04-4.51]. Neither NAT1 slow genotype, or GSTT1 null genotype, alone or in combination with smoking, affected breast cancer risk. However, compared to individuals with rapid NAT2 genotype, women with the very slow acetylator genotype (NAT2*5), who smoked for 20 years showed an increased breast cancer risk (OR=2.29; 95% CI 1.06-4.95). Similarly, the presence of GSTM1 null genotype combined with high levels of cigarette smoking (OR=3.00; 95% CI 1.46-6.15) or long duration (OR=2.53; 95% CI 1.24-5.16), increased rates of breast cancer. The combined effect of GSTM1 null genotype and smoking high doses was most pronounced in postmenopausal women (OR=6.78; 95% CI 2.31-19.89). In conclusion, our results provide support for the view that women who smoke and who have a genetically determined reduced inactivation of carcinogens (GSTM1 null genotype or slow NAT2 genotype (especially very slow NAT2 genotype)) are at increased risk of breast cancer.</t>
  </si>
  <si>
    <t>No modifying effect of NAT1, GSTM1, and GSTT1 on the relation between smoking and colorectal cancer risk.</t>
  </si>
  <si>
    <t>van der Hel, Olga L; Bueno de Mesquita, H Bas; Roest, Mark; Slothouber, Barbara; van Gils, Carla; van Noord, Paulus A H; Grobbee, Diederick E; Peeters, Petra H M</t>
  </si>
  <si>
    <t>https://pubmed.ncbi.nlm.nih.gov/12869413</t>
  </si>
  <si>
    <t>Sensitivity and specificity should be de-emphasized in diagnostic accuracy studies.</t>
  </si>
  <si>
    <t>Moons, Karel G M; Harrell, Frank E</t>
  </si>
  <si>
    <t>academic radiology</t>
  </si>
  <si>
    <t>https://pubmed.ncbi.nlm.nih.gov/12809422</t>
  </si>
  <si>
    <t>Preoperative risk factors of intraoperative hypothermia in major surgery under general anesthesia.</t>
  </si>
  <si>
    <t>Moons, Karel G M; van Klei, Wilton; Kalkman, Cornelis J</t>
  </si>
  <si>
    <t>https://pubmed.ncbi.nlm.nih.gov/12761031</t>
  </si>
  <si>
    <t>Diagnosis and management of heart failure: a questionnaire among general practitioners and cardiologists.</t>
  </si>
  <si>
    <t>Rutten, Frans H; Grobbee, Diederick E; Hoes, Arno W</t>
  </si>
  <si>
    <t>https://pubmed.ncbi.nlm.nih.gov/12798833</t>
  </si>
  <si>
    <t>Differences between general practitioners and cardiologists in diagnosis and management of heart failure: a survey in every-day practice.</t>
  </si>
  <si>
    <t>https://pubmed.ncbi.nlm.nih.gov/12798832</t>
  </si>
  <si>
    <t>Data on diagnosis and management of heart failure in every-day care are scarce. To compare general practitioners' and cardiologists' diagnostic work-up and management of patients with (suspected) heart failure. In a cross-sectional survey we studied a sample of 103 files of patients coded as heart failure in primary care (31 general practices), and 99 files of out-patients coded as heart failure from 9 hospitals in the Netherlands. We defined patients as heart failure "GP patients", when they were managed by a general practitioner without co-treatment of a cardiologist. Patients managed in general practice were older (mean age 79 years (S.D. 8.5) and more often female than "cardiology patients" (mean age 64 years (S.D. 11.7)). Ischaemic heart disease (31 vs. 57%) was more prevalent in "cardiology patients". Additional investigations such as chest radiography (51% vs. 84%), electrocardiography (39% vs. 100%), and (Doppler-) echocardiography (12% vs. 97%) were performed more often in "cardiology patients". Most patients received diuretics (85% vs.79%). Angiotensin converting enzyme inhibitors (40% vs. 76%), beta-blockers (9% vs. 30%), spironolactone (11% vs. 32%), and angiotensin-II-antagonists (6% vs. 13%) were prescribed much more often to "cardiology patients". General practitioners more often treat elderly, female patients with heart failure than cardiologists. General practitioners use less additional investigations and prescribe less potentially beneficial medication, compared to cardiologists. Population characteristics only partly explain these differences, suggesting that the physician's attitude has an important bearing on the uptake of treatment.</t>
  </si>
  <si>
    <t>Fatigue in employees with diabetes: its relation with work characteristics and diabetes related burden.</t>
  </si>
  <si>
    <t>Weijman, I; Ros, W J G; Rutten, G E H M; Schaufeli, W B; Schabracq, M J; Winnubst, J A M</t>
  </si>
  <si>
    <t>https://pubmed.ncbi.nlm.nih.gov/12782754</t>
  </si>
  <si>
    <t>To examine the relations between work characteristics as defined by the Job Demand-Control-Support model (JDCS) (that is, job demands, decision latitude, and social support), diabetes related burden (symptoms, seriousness of disease, self care activities, and disease duration), and fatigue in employees with diabetes mellitus. Employees (n = 292) aged 30-60 years, with insulin treated diabetes, filled in self administered questionnaires that assess the above mentioned components of the JDCS model and diabetes related burdens. Both work and diabetes related factors are related to fatigue in employees with diabetes. Regression analyses revealed that work characteristics explain 19.1% of the variance in fatigue; lack of support, and the interaction of job demands and job control contribute significantly. Diabetes related factors explain another 29.0% of the variance, with the focus on diabetes related symptoms and the burden of adjusting insulin dosage to circumstances. Fatigue is more severe in case of lack of social support at work, high job demands in combination with a lack of decision latitude, more burden of adjusting insulin dosage to circumstances, and more diabetic symptoms. Furthermore, regression analysis revealed that diabetic symptoms and the burden of adjusting the insulin dosage to circumstances are especially relevant in combination with high job demands. Both diabetes and work should be taken into consideration-by (occupational) physicians as well as supervisors-in the communication with people with diabetes.</t>
  </si>
  <si>
    <t>Does the beneficial effect of HRT on endothelial function depend on lipid changes.</t>
  </si>
  <si>
    <t>Ossewaarde, Marlies E; Bots, Michiel L; van der Schouw, Yvonne T; de Kleijn, Miriam J J; Wilmink, Hanneke W; Bak, Annette A A; Planellas, Juan; Banga, Jan Dirk; Grobbee, Diederick E</t>
  </si>
  <si>
    <t>https://pubmed.ncbi.nlm.nih.gov/12753943</t>
  </si>
  <si>
    <t>To determine whether improvement in endothelial function of the brachial artery observed in women treated with hormone replacement therapy (HRT) may be explained by changes in lipid profile or blood pressure, information was used obtained in a single-centre, randomised, double blind, placebo-controlled trial. Hundred-and-five healthy postmenopausal women, aged 50-65 years, were treated with 0.625 mg conjugated equine estrogens (CEE) combined with 2.5 mg medroxyprogesterone acetate (MPA) (CEE+MPA), 2.5 mg tibolone or placebo for 3 months. At baseline and after 3 months, endothelial function was assessed using flow-mediated dilatation (FMD) and nitro glycerine-mediated dilatation (NMD). Furthermore, lipids were measured. Multivariate linear regression analysis was applied to address the research question. Treatment with CEE+MPA resulted in an improvement in FMD of 2.0% (95% CI: -0.1; 4.1). CEE/MPA reduced total cholesterol with 13% (95% CI: -18%; -7%), LDL-cholesterol with 23% (95% CI: -30%; -15%) and lipoprotein(a) (Lp(a)) with 14% (95% CI: -26%; -2%). The magnitude of the relation of CEE/MPA with endothelial function was attenuated to from 2.0 to 1.6% when change in Lp(a) was taken into account. Adjustments for other lipids or blood pressure did not attenuate the association. The improvement in endothelial function in postmenopausal women treated with CEE+MPA appears to be partially mediated by change in Lp(a), and apparently not by changes in other lipids.</t>
  </si>
  <si>
    <t>Coronary collaterals: an important and underexposed aspect of coronary artery disease.</t>
  </si>
  <si>
    <t>Koerselman, Jeroen; van der Graaf, Yolanda; de Jaegere, Peter P Th; Grobbee, Diederick E</t>
  </si>
  <si>
    <t>https://pubmed.ncbi.nlm.nih.gov/12756191</t>
  </si>
  <si>
    <t>Urinary endogenous sex hormone levels and the risk of postmenopausal breast cancer.</t>
  </si>
  <si>
    <t>Onland-Moret, N C; Kaaks, R; van Noord, P A H; Rinaldi, S; Key, T; Grobbee, D E; Peeters, P H M</t>
  </si>
  <si>
    <t>https://pubmed.ncbi.nlm.nih.gov/12778067</t>
  </si>
  <si>
    <t>To assess the relation between urinary endogenous sex steroid levels and the risk of postmenopausal breast cancer, a nested case-cohort study was conducted within a large cohort (the DOM cohort) in the Netherlands (n=9,349). Until the end of follow-up (1 January 1996), 397 postmenopausal breast cancer cases were identified and a subcohort of 424 women was then taken from all eligible women. Women using hormones were excluded, leaving 364 breast cancer cases and 382 women in the subcohort for the analyses. Concentrations of oestrone, oestradiol, testosterone, 5alpha-androstane-3alpha, 17beta-diol and creatinine were measured in first morning urine samples, which had been stored since enrolment at -20 degrees C. A Cox proportional Hazards model was used, with Barlow's adjustment for case-cohort sampling, to estimate breast cancer risk in quartiles of each of the, creatinine corrected, hormone levels, the lowest quartile being the reference group. Women with higher levels of all four of the hormones were at increased risk for postmenopausal breast cancer (highest vs lowest quartile: incidence rate ratio for oestrone (IRR(oestrone)=2.5, 95% CI: 1.6-3.8; IRR(oestradiol)=1.5, 95% CI: 1.0-2.3; IRR(testosterone)=1.6, 95% CI: 1.0-2.4; IRR(5alpha-androstane-3alpha, 17beta-diol)=1.7, 95% CI: 1.1-2.7). In conclusion, women with higher excretion levels of both oestrogens and androgens have an increased risk of breast cancer.</t>
  </si>
  <si>
    <t>Treatment with hormone replacement therapy lowers remnant lipoprotein particles in healthy postmenopausal women: results from a randomized trial.</t>
  </si>
  <si>
    <t>Ossewaarde, M E; Dallinga-Thie, G M; Bots, M L; van der Schouw, Y T; Rabelink, T J; Grobbee, D E; Westerveld, H T</t>
  </si>
  <si>
    <t>https://pubmed.ncbi.nlm.nih.gov/12713450</t>
  </si>
  <si>
    <t>Recent evidence indicates that remnant lipoprotein particles (RLPs) may play a role in atherosclerosis. Remnant lipoprotein particles have been suggested to be the most atherogenic particles among the triglyceride-rich lipoproteins. In particular, these triglyceride-rich particles were identified as an independent risk factor for cardiovascular diseases (CVD) in women. Postmenopausal hormone replacement therapy (HRT) beneficially affects lipid profile, although total triglyceride levels often increase. Evidence on the effects of HRT on RLPs is limited. We determined whether 3 months' treatment of postmenopausal women with Tibolone or conjugated oestrogens combined with medroxyprogesterone acetate (CEE + MPA) affects RLP-cholesterol (RLP-C). One hundred and five healthy postmenopausal women were randomized to either 2.5 mg of Tibolone, 0.625 mg of CEE + 2.5 mg of MPA or placebo. At baseline and after 3 months the lipid profile was determined. For assessment of RLP-C we used an immunoseparation-based method. Treatment with CEE + MPA significantly reduced RLP-C (-0.03 mmol L-1, P-value = 0.01) and appeared to increase triglycerides (0.15 mmol L-1, P-value = 0.20) compared with placebo. Tibolone did not significantly change RLP-C (-0.01 mmol L-1, P-value = 0.35) and significantly decreased triglycerides (-0.35 mmol L-1, P-value = 0.004). Treatment of postmenopausal women with conjugated oestrogens and medroxyprogesterone acetate reduced RLP-C, without a reduction in total triglycerides, whereas Tibolone did affect triglyceride levels, but not RLP-C. These observations may be relevant for explaining the effect of HRT on cardiovascular risk in healthy postmenopausal women.</t>
  </si>
  <si>
    <t>Conventional influenza vaccination is not associated with complications in working-age patients with asthma or chronic obstructive pulmonary disease.</t>
  </si>
  <si>
    <t>Hak, E; Hoes, A W; Grobbee, D E; Lammers, J W J; van Essen, G A; van Loon, A M; Verheij, T J M</t>
  </si>
  <si>
    <t>https://pubmed.ncbi.nlm.nih.gov/12697573</t>
  </si>
  <si>
    <t>By using a nested case-control design, the authors studied the effectiveness of the influenza vaccine in reducing severe and fatal complications in 4,241 and 5,966 primary care, working-age patients aged 18-64 years who had asthma or chronic obstructive pulmonary disease during the 1998-1999 and 1999-2000 influenza epidemics in the Netherlands. Patients developing fatal or nonfatal exacerbations of lung disease, pneumonia, congestive heart failure, or myocardial infarction during either epidemic were considered cases. For each case, four age- and sex-matched controls were randomly sampled, and patient records were reviewed. Conditional logistic regression and propensity scores were used to assess vaccine effectiveness after adjustment for confounding factors. In seasons one and two, respectively, 87% (47/54) and 85% (171/202) of the cases and 74% (155/210) and 75% (575/766) of the controls had been vaccinated. After adjustments, vaccination was not associated with reductions in complications (season one: odds ratio = 0.95, 95% confidence interval (CI): 0.26, 3.48; season two: odds ratio = 1.07, 95% CI: 0.59, 1.96; pooled odds ratio = 1.07, 95% CI: 0.63, 1.80). Because influenza vaccination appeared not to be associated with a clinically relevant reduction in severe morbidity, other measures need to be explored.</t>
  </si>
  <si>
    <t>Duplex ultrasound and magnetic resonance angiography compared with digital subtraction angiography in carotid artery stenosis: a systematic review.</t>
  </si>
  <si>
    <t>Nederkoorn, Paul J; van der Graaf, Yolanda; Hunink, M G Myriam</t>
  </si>
  <si>
    <t>https://pubmed.ncbi.nlm.nih.gov/12690221</t>
  </si>
  <si>
    <t>The purpose of this work was to review and compare published data on the diagnostic value of duplex ultrasonography (DUS), MR angiography (MRA), and conventional digital subtraction angiography (DSA) for the diagnosis of carotid artery stenosis. We performed a systematic review of published studies retrieved through PUBMED, from bibliographies of review papers, and from experts. The English-language medical literature was searched for studies that met the selection criteria: (1) The study was published between 1994 and 2001; (2) MRA and/or DUS was performed to estimate the severity of carotid artery stenosis; (3) DSA was used as the standard of reference; and (4) the absolute numbers of true positives, false negatives, true negatives, and false positives were available or derivable for at least one definition of disease (degree of stenosis). Sixty-three publications on duplex, MRA, or both were included in the analysis, yielding the test results of 64 different patient series on DUS and 21 on MRA. For the diagnosis of 70% to 99% versus &lt;70% stenosis, MRA had a pooled sensitivity of 95% (95% CI, 92 to 97) and a pooled specificity of 90% (95% CI, 86 to 93). These numbers were 86% (95% CI, 84 to 89) and 87% (95% CI, 84 to 90) for DUS, respectively. For recognizing occlusion, MRA yielded a sensitivity of 98% (95% CI, 94 to 100) and a specificity of 100% (95% CI, 99 to 100), and DUS had a sensitivity of 96% (95% CI, 94 to 98) and a specificity of 100% (95% CI, 99 to 100). A multivariable summary receiver-operating characteristic curve (ROC) analysis for diagnosing 70% to 99% stenosis demonstrated that the type of MR scanner predicted the performance of MRA, whereas the presence of verification bias predicted the performance of DUS. For diagnosing occlusion, no significant heterogeneity was found for MRA; for DUS, the presence of verification bias and type of DUS scanner were explanatory variables. MRA had a significantly better discriminatory power than DUS in diagnosing 70% to 99% stenosis (regression coefficient, 1.6; 95% CI, 0.37 to 2.77). No significant difference was found in detecting occlusion (regression coefficient, 0.73; 95% CI, -2.06 to 3.51). These results suggest that MRA has a better discriminatory power compared with DUS in diagnosing 70% to 99% stenosis and is a sensitive and specific test compared with DSA in the evaluation of carotid artery stenosis. For detecting occlusion, both DUS and MRA are very accurate.</t>
  </si>
  <si>
    <t>Design of the Dutch prevention of influenza, surveillance and management (PRISMA) study.</t>
  </si>
  <si>
    <t>Hak, E; van Loon, S; Buskens, E; van Essen, G A; de Bakker, D; Tacken, M A J B; van Hout, B A; Grobbee, D E; Verheij, Th J M</t>
  </si>
  <si>
    <t>https://pubmed.ncbi.nlm.nih.gov/12639495</t>
  </si>
  <si>
    <t>Rationale and design of a study on the cost-effectiveness of the Dutch influenza vaccination campaign are described. During two influenza epidemics, about 75,000 primary care patients recommended for influenza vaccination are included. Cases have fatal or non-fatal influenza, pneumonia, otitis media, acute respiratory disease (ARD), heart failure, myocardial infarction, depression or diabetes dysregulation. Per case four controls are sampled, frequency matched on age and high-risk co-morbidity (&lt;18 years, 18-64, &gt;/=65 healthy, &gt;/=65 with co-morbidity). Baseline and outcome data are retrieved from patient records. During the 1999-2000 influenza A epidemic 5891 (7.9%) high-risk children, 24,848 (33.2%) high-risk adults aged 18-64 years, 18,484 (24.7%) elderly with co-morbidity and 25,527 (34.1%) healthy elderly had been included. The mortality rate was 5.2 per 1000 and 2035 non-fatal outcome events were recorded (incidence rate 27.2/1000).</t>
  </si>
  <si>
    <t>Ultrasound measurements of intraabdominal fat estimate the metabolic syndrome better than do measurements of waist circumference.</t>
  </si>
  <si>
    <t>Stolk, Ronald P; Meijer, Rudy; Mali, Willem P T M; Grobbee, Diederick E; van der Graaf, Yolanda; ,</t>
  </si>
  <si>
    <t>https://pubmed.ncbi.nlm.nih.gov/12663283</t>
  </si>
  <si>
    <t>We recently developed an ultrasound technique to estimate intraabdominal fat (IAF). This method is more accurate than measurement of waist and hip circumferences and is simpler and less expensive than computed tomography or magnetic resonance imaging. We compared the associations of ultrasound and waist-circumference (WC) measurements of IAF with other components of the metabolic syndrome. IAF was determined in 600 consecutive participants in the Secondary Manifestations of Arterial Disease (SMART) study. The mean (+/- SD) age was 56.1 +/- 12.6 y, 30.0% of participants were women, and the mean body mass index (BMI; in kg/m2) was 26.6+/- 4.1. IAF increased with age (ultrasound: r = 0.28; WC: r = 0.25; P &lt; 0.001 for both). Higher IAF, as measured by ultrasound but not by WC, was independently associated with higher metabolic risk factors. The correlation coefficients between IAF measured by ultrasound and plasma glucose, total cholesterol, HDL cholesterol, and triacylglycerol were 0.13, 0.16, -0.13, and 0.25, respectively (all P &lt; 0.001; adjusted for age, sex, and BMI). The corresponding coefficients for IAF measured by WC were 0.17 (P &lt; 0.001) and 0.01, -0.06, and 0.05 (all NS). These results confirm the findings of computed tomography and magnetic resonance imaging investigations. When IAF is measured by ultrasound, the associations are more pronounced than when WC measurements are used and are independent of BMI. This suggests that IAF can be more reliably assessed by ultrasound measurements than by WC measurements.</t>
  </si>
  <si>
    <t>Quality of recording of data from patients with type 2 diabetes is not a valid indicator of quality of care. A cross-sectional study.</t>
  </si>
  <si>
    <t>Goudswaard, Alex N; Lam, Kahnh; Stolk, Ronald P; Rutten, Guy E H M</t>
  </si>
  <si>
    <t>https://pubmed.ncbi.nlm.nih.gov/12651792</t>
  </si>
  <si>
    <t>The quality of recording of clinical data in diabetes care in general practices is very variable. It has been suggested that better recording leads to improved glycaemic control. The purpose of this study was to assess the completeness of recording by GPs of data from type 2 diabetes patients; to compare recorded and missing data; and to investigate the association between completeness and glycaemic control. A cross-sectional survey was carried out in 52 general practices. Medical records were scrutinized for the presence of 11 variables. Examining patients through an active approach completed incomplete records. We compared recorded and unrecorded items. Completeness of recording was determined at both patient and practice levels. Fifty-two general practices with 1641 type 2 diabetes patients cared for by the GP participated. The frequency of absence of any particular item ranged from 20 to 70%. Weight, systolic blood pressure and HbA(1c) were slightly lower in patients with those items missing on their files, and more such patients were non-smokers (P &lt; 0.05). The percentage of patients with unrecorded variables that exceeded target values ranged from 39 to 75. Neither at practice level nor at patient level was any association between the completeness of the data recording and HbA(1c) found. Records often were incomplete, which hampers a systematic approach to care of diabetic patients. However, the lack of association between completeness of data recording and control of glycaemia indicates that improved recording is not a valid indicator of good quality of care.</t>
  </si>
  <si>
    <t>Rapid N-acetyltransferase 2 imputed phenotype and smoking may increase risk of colorectal cancer in women (Netherlands).</t>
  </si>
  <si>
    <t>van der Hel, Olga L; Bueno de Mesquita, H Bas; Sandkuijl, Lodewijk; van Noord, Paul A H; Pearson, Peter L; Grobbee, Diederick E; Peeters, Petra H M</t>
  </si>
  <si>
    <t>https://pubmed.ncbi.nlm.nih.gov/12814209</t>
  </si>
  <si>
    <t>The relationship between smoking and colorectal cancer risk and whether such effect is modified by variations in the NAT2 genotype is investigated. In the prospective DOM (Diagnostisch Onderzoek Mammacarcinoom; 27,722 women) cohort follow-up from 1976 until 1987 revealed 54 deaths due to colon or rectal cancer, and follow-up from 1987 to 01-01-1996 revealed 204 incident colorectal cancer cases. A random sample (n = 857) from the baseline cohort was used as controls. Four NAT2 restriction fragment length polymorphisms (RFLPs) were analysed using DNA extracted from urine samples. Rapid or slow acetylator phenotype status was attributed to individuals. Smoking may increase the risk for colon cancer (RR = 1.36, 95% CI 0.97-1.92) as well as for rectal cancer (RR = 1.31, 95% CI 0.76-2.25), although not statistically significant. Rapid NAT2 acetylation did not increase colorectal cancer risk, but in combination with smoking the risk was statistically significant increased, compared to women who had a slow NAT2 imputed phenotype and never smoked (RR = 1.56, 95% CI 1.03-2.37). For colon cancer, but not for rectal cancer the increased risk was statistically significant (RR = 1.67, 95% CI, 1.05-2.67 versus RR = 1.30 95% CI 0.63-2.68). Our study points to smoking as a risk factor for colon and rectal cancer and, in addition, especially in women with rapid NAT2 imputed phenotype.</t>
  </si>
  <si>
    <t>Plasma and urinary sex hormones are differently related to lipids in healthy postmenopausal women.</t>
  </si>
  <si>
    <t>Ossewaarde, Marlies E; Bots, Michiel L; van der Schouw, Yvonne T; Thijssen, Jos H H; Westerveld, H Tineke; de Jong, Frank H; Grobbee, Diederick E</t>
  </si>
  <si>
    <t>https://pubmed.ncbi.nlm.nih.gov/12648881</t>
  </si>
  <si>
    <t>Endogenous sex hormones can be measured in plasma and urine. We determined the extent to which these two methods provide different information on hormonal status by relating them to lipid profile in postmenopausal women. Thirty healthy postmenopausal women collected one 24-h urine sample and a blood sample was taken. Urinary estrone (UE), plasma estrone (PE) and serum lipids were measured. Sex hormone levels were measured with specific radioimmunoassays. Linear regression analysis was used to determine associations between estrone levels and lipids. Results are presented as beta-coefficients in mmol/l per standard deviation (SD) of endogenous estrone levels, adjusted for body mass index (BMI) and smoking (95% confidence interval). A stratified analysis for obese (BMI&gt; or =27 kg/m(2)) versus lean women was performed. Mean levels of endogenous sex hormones were (SD): PE, 90.1 pmol/l (37.3); and UE, 7757 pmol/24 h (2659). PE showed significant associations with HDL-cholesterol (0.18 mmol/l, 95% CI: 0.06; 0.30), triglycerides (-0.25 mmol/l, 95% CI: -0.49; -0.009) and very-low-density-lipoprotein (VLDL-cholesterol) (-0.11 mmol/l, 95% CI: -0.22; -0.003), but not with total and low-density-lipoprotein (LDL-cholesterol). UE was inversely associated with total (-0.41 mmol/l, 95% CI: -0.85; 0.02) and LDL-cholesterols (-0.42 mmol/l, 95% CI: -0.83; -0.005), but not with HDL-cholesterol, triglycerides and VLDL-cholesterol. All associations appeared to be stronger in lean women. Both plasma and UE levels appear to be associated to serum lipids in healthy postmenopausal women. However, this relation appears to be different for estrone levels in plasma and urine. Depending on the research question, either blood samples or urine samples may be preferred.</t>
  </si>
  <si>
    <t>Total and cause specific mortality among Swedish women with cosmetic breast implants: prospective study.</t>
  </si>
  <si>
    <t>Koot, V C M; Peeters, P H M; Granath, F; Grobbee, D E; Nyren, O</t>
  </si>
  <si>
    <t>https://pubmed.ncbi.nlm.nih.gov/12623911</t>
  </si>
  <si>
    <t>Black holes on MR images of the brain of patients with Björk-Shiley heart valves: additional observation in three cases.</t>
  </si>
  <si>
    <t>van Gorp, Maarten J; de Mol, Bas A J M; Bakker, Chris J G; van der Graaf, Yolanda; Mali, Willem P T M</t>
  </si>
  <si>
    <t>https://pubmed.ncbi.nlm.nih.gov/12637306</t>
  </si>
  <si>
    <t>We report the cases of three patients with Björk-Shiley convexo-concave heart valves with unusual black holes shown on cerebral MR images. For two patients, these findings were associated with fracture of the Björk-Shiley convexo-concave heart valve, and for the third, with worn surfaces on the heart valve. Susceptibility changes shown by MR imaging suggest the possibility that these black holes may be associated with microscopic metallic particles, although, the exact cause of these black holes remains undetermined.</t>
  </si>
  <si>
    <t>Meta-analysis of sero-epidemiologic studies of the relation between Chlamydia pneumoniae and atherosclerosis: does study design influence results?</t>
  </si>
  <si>
    <t>Bloemenkamp, Daisy G M; Mali, Willem P Th M; Visseren, Frank L J; van der Graaf, Yolanda</t>
  </si>
  <si>
    <t>https://pubmed.ncbi.nlm.nih.gov/12660662</t>
  </si>
  <si>
    <t>The results of sero-epidemiologic studies of the relation between Chlamydia pneumoniae and atherogenesis vary considerably. A meta-analysis was performed to calculate the overall odds ratio (OR) and to identify potential sources of variability. The MEDLINE database was searched from January 1997 to December 2000 for studies describing the seroprevalence of IgG antibodies to C pneumoniae in relation to clinically manifest atherosclerosis. Data extracted included 1) the study design used, 2) the number of included patients, 3) the type of disease (or end point), 4) the number of control subjects, 5) the type of control subjects, 6) the follow-up duration, 7) the crude and adjusted ORs (and 95% CI), and 8) the extent of adjustment for potential confounders. Thirty-eight studies were included in the meta-analysis. The overall OR was 1.6 (95% CI 1.3-2.0). The overall OR of cross-sectional case-control studies (2.0, 95% CI 1.5-2.6) was higher than that of prospective (nested) case-control studies (1.1, 95% CI 0.8-1.4). Moreover, the duration of follow-up in prospective studies was inversely related to the strength of the relation (beta = -0.04, 95% CI -0.08, -0.01). Adjustment of risk estimates for potentially confounding factors did not influence the strength of the relation. The relation between C pneumoniae and clinically manifest atherosclerosis is not durable. This probably is due to a lack of causality, although results may have been influenced by the design of the component studies.</t>
  </si>
  <si>
    <t>The RATIO study: oral contraceptives and the risk of peripheral arterial disease in young women.</t>
  </si>
  <si>
    <t>Van Den Bosch, M A A J; Kemmeren, J M; Tanis, B C; Mali, W P Th M; Helmerhorst, F M; Rosendaal, F R; Algra, A; Van Der Graaf, Y</t>
  </si>
  <si>
    <t>https://pubmed.ncbi.nlm.nih.gov/12871447</t>
  </si>
  <si>
    <t>With regard to oral contraceptives, much research has concentrated on venous thrombosis and on the coronary and cerebral forms of atherosclerotic disease, while peripheral arterial disease (PAD) has received little attention. In this case-control study, we assessed oral contraceptive use and the risk of PAD in young women using a population-based case-control study. The women were 18-49 years of age, and had been admitted to a collaborating hospital between January 1990 and October 1995, and had a diagnosis of PAD. Participants were patients with PAD (n = 152), and control women (n = 925), identified by random digit dialing. The diagnosis of PAD was based almost exclusively on intra-arterial angiography. Patients and control subjects filled out the same structured questionnaire, which included questions on medical history, cardiovascular risk factors, and contraceptive use. The adjusted odds ratio for PAD in women using any type of oral contraceptives vs. no use, was 3.8 (95% CI 2.4-5.8). When first generation oral contraceptive use was compared with no use, the odds ratio was 8.7 (95% CI 3.6-21.3). For second and third generation oral contraceptives, the adjusted odds ratios (compared with non-users) were 2.6 (95% CI 1.4-4.9) and 3.0 (95% CI 1.4-6.6), respectively. This is the first study on oral contraceptive use and PAD in humans. All types of oral contraceptives were associated with an increased risk of PAD.</t>
  </si>
  <si>
    <t>Subfertility reflects accelerated ovarian ageing.</t>
  </si>
  <si>
    <t>Kok, Helen S; van Asselt, Kristel M; van der Schouw, Yvonne T; Grobbee, Diederick E; te Velde, Egbert R; Pearson, Peter L; Peeters, Petra H M</t>
  </si>
  <si>
    <t>https://pubmed.ncbi.nlm.nih.gov/12615839</t>
  </si>
  <si>
    <t>The aim of the study was to explore the extent to which accelerated ovarian ageing may lead to subfertility early in reproductive life and eventually cause early menopause. The population studied (n = 2393) never used oral contraceptives, hormone replacement therapy or an intrauterine device. Logistic regression analyses were performed using age at menopause as proxy for accelerated ovarian ageing. Measures of ovarian ageing and subfertility were menstrual cycle irregularity, ever consulted a physician for fertility problems, nulliparity, uniparity, miscarriage(s) and time interval &gt;5 years between birth of first and second child. For every 5 years later menopause, the probability of reporting menstrual cycle irregularity was reduced by 26% (OR = 0.74, 95% CI: 0.63-0.86); the probability of ever consulting a physician for fertility problems was reduced by 18% (OR = 0.82, 95% CI: 0.71-0.95); the probability of staying nulliparous was reduced by 22% (OR = 0.78, 95% CI: 0.64-0.96); the probability of being uniparous was reduced by 22% (OR = 0.78, 95% CI: 0.66-0.91); the probability of having a miscarriage was reduced by 11% (OR = 0.89, 95% CI: 0.79-1.01); the probability of a large time interval between birth of first two children was reduced by 27% (OR = 0.73, 95% CI: 0.61-0.89). Fertility problems are frequently followed by early menopause. The findings support the view that both are an expression of accelerated ovarian ageing.</t>
  </si>
  <si>
    <t>A relation between blood pressure and stiffness of joints and skin.</t>
  </si>
  <si>
    <t>Uiterwaal, Cuno S P M; Grobbee, Diederick E; Sakkers, Ralph J B; Helders, Paul J M; Bank, Ruud A; Engelbert, Raoul H H</t>
  </si>
  <si>
    <t>https://pubmed.ncbi.nlm.nih.gov/12606890</t>
  </si>
  <si>
    <t>Blood pressure, particularly pulse pressure, is associated with arterial wall stiffness, but little is known about its relation to stiffness of other parts of the body. We examined the extent to which blood pressure levels in young healthy children are related to stiffness of various tissues. In November 2000, we studied 95 healthy prepubertal children (41 boys and 54 girls, within age range 8-10 years) from two primary schools in the city of Zeist, The Netherlands. Systolic and diastolic blood pressure and pulse pressure were analyzed in relation to various tissue indicators of stiffness, including active joint mobility and skin extensibility. All results were adjusted for age, sex, body height, body weight and muscle strength as possible confounders. Diastolic blood pressure was lower with increased active joint mobility (multivariate generalized linear regression coefficient = -4.5 mmHg per standard deviation [SD] joint mobility; 95% confidence interval [CI] = -7.8 to -1.2). Pulse pressure was lower with increased skin extensibility (-3.2 mmHg per SD skin extensibility; CI = -5.2 to -1.1), through a higher diastolic blood pressure (2.0 mmHg per SD skin extensibility; CI = 0.2-3.9) and possibly lower systolic blood pressure (-0.8 mmHg per SD skin extensibility; CI = -3.5 to 1.9). These associations were mutually independent. Additional adjustment for reported musculoskeletal problems or physical activity levels did not materially change the findings. Our findings support the hypothesis that constitutional stiffness of body tissues may be associated with blood pressure levels and eventually cardiovascular risk.</t>
  </si>
  <si>
    <t>Refill compliance in type 2 diabetes mellitus: a predictor of switching to insulin therapy?</t>
  </si>
  <si>
    <t>Spoelstra, José A; Stolk, Ronald P; Heerdink, Eibert R; Klungel, Olaf H; Erkens, Joëlle A; Leufkens, Hubert G M; Grobbee, Diederick E</t>
  </si>
  <si>
    <t>https://pubmed.ncbi.nlm.nih.gov/12642975</t>
  </si>
  <si>
    <t>To assess whether switching to insulin therapy in patients with type 2 diabetes mellitus is associated with medication refill compliance of oral hypoglycemic agents. The PHARMO Record Linkage System was used as data source for this study. Patients with newly treated type 2 diabetes mellitus were defined as subjects in whom oral hypoglycemic therapy was initiated between 1991 and 1998. We performed a matched case-control study in this cohort. Cases were patients who switched to insulin therapy. Date of switching in the case was defined as the index date. Controls were subjects still on oral therapy on the index date, matched on duration of diabetes and calendar time. We measured the medication refill compliance in the year starting 18 months before the index date and calculated various compliance indices. In total, 411 cases and 411 matched controls were identified. Cases suffered more often from more severe comorbidity and used a higher number of oral hypoglycemic agents and concomitant non-diabetic drugs. The overall compliance rate did not differ significantly between cases and controls, the adjusted odds ratio (OR) was 1.3 (CI 95% 0.6-2.8). After performing multivariate logistic regression modeling, age at onset of diabetes, gender, comedication, combination therapy, and daily dosage frequency, were independently related to switching. We were unable to confirm the hypothesis that noncompliance with treatment is more prevalent in patients with secondary failure. Other variables, like comorbidity and disease-related factors seem to play a more important role in switching to insulin therapy.</t>
  </si>
  <si>
    <t>Adolescent blood pressure does not predict aortic stiffness in healthy young adults. The Atherosclerosis Risk in Young Adults (ARYA) study.</t>
  </si>
  <si>
    <t>Oren, Anath; Vos, Lydia E; Uiterwaal, Cuno S; Gorissen, Wim H; Grobbee, Diederick E; Bots, Michiel L</t>
  </si>
  <si>
    <t>https://pubmed.ncbi.nlm.nih.gov/12569262</t>
  </si>
  <si>
    <t>Increased arterial stiffness has been shown to be a good predictor of cardiovascular morbidity and mortality and to be associated with an adverse cardiovascular risk profile. To evaluate the relationship between adolescent blood pressure and aortic stiffness in 524 healthy young adults aged 27-30 years, as a means of investigating early determinants of arterial stiffness. General community. We studied 524 healthy young adults, aged 27-30 years, who attended secondary school in Utrecht, The Netherlands. Data on adolescent weight, height, blood pressure and stage of puberty were available from the original school health records of the Municipal Health Service. At young adulthood, a questionnaire on cardiovascular risk factors was completed and a fasting blood sample was drawn. Arterial stiffness, assessed by carotid-femoral pulse wave velocity (PWV). Adolescent blood pressure did not predict aortic PWV at young adulthood (linear regression coefficient 0.03 m/s per 10 mmHg increase in systolic blood pressure; 95% confidence interval 0.09 to 0.14). Repeated analysis in a subgroup (n = 199) for whom two adolescent blood pressure measurements were averaged showed stronger (2-19x) associations with adult PWV, although these were not significant. Adolescent blood pressure did not predict arterial stiffness in healthy young adults. Measurement error in the baseline blood readings (regression to the mean phenomenon) may partly explain the lack of association in our study. Further studies should confirm our results in order to enable better understanding of the role of adolescent blood pressure in the aetiology of vascular damage.</t>
  </si>
  <si>
    <t>Is treatment of atrial fibrillation in primary care based on thromboembolic risk assessment?</t>
  </si>
  <si>
    <t>Rutten, Frans H; Hak, Eelko; Stalman, Wim A B; Verheij, Theo J M; Hoes, Arno W</t>
  </si>
  <si>
    <t>https://pubmed.ncbi.nlm.nih.gov/12509365</t>
  </si>
  <si>
    <t>Antithrombotic treatment in atrial fibrillation should be guided by the risk of thromboembolic events. Although practice studies have shown underutilization of antithrombotics, it is not clear whether physicians make use of thromboembolic risk stratification in their treatment decisions, as recommended in current guidelines. The aim of the present study was to assess which clinical determinants influence coumarin and aspirin prescription in patients with atrial fibrillation in primary care. In a cross-sectional study of 15 computerized general practices covering 38 000 patients in The Netherlands, we identified patients with atrial fibrillation using several search algorithms. Determinants of antithrombotic therapy were assessed using polytomous logistic regression analysis. A total of 247 patients with atrial fibrillation were identified among 10 335 patients aged 55 years or over (prevalence 2.4%). Mean age was 77 years (range 55-95); 51% were male. Overall, 52% of the patients used coumarin and 27% used aspirin. About 50% of patients were also treated by a cardiologist. Referred patients were prescribed coumarin more often (63% versus 35%, P &lt; 0.001). Prior stroke/transient ischaemic attack or systemic embolism [adjusted odds ratio (OR) 5.3, 95% confidence interval (CI) 1.1-24.8], and chronic heart failure (adjusted OR 2.1, 95% CI 0.8-5.1) were independent determinants for coumarin prescription. These associations were less strong for aspirin prescription. However, other established risk factors for future thromboembolic events, such as hypertension and diabetes mellitus, did not lead to higher prescription rates. In contrast, several factors not associated with thromboembolic events, such as chronic (versus paroxysmal) atrial fibrillation (adjusted OR 3.7, 95% CI 1.7-8.2) and longstanding (versus recent) diagnosis (adjusted OR 2.2, 95% CI 1.1-4.5), were also associated with higher coumarin prescription. These results illustrate that physicians' decisions about initiating antithrombotic therapy in atrial fibrillation are not evidence based. They are guided partly by thromboembolic risk stratification, but also by factors insignificant for thromboembolic risk.</t>
  </si>
  <si>
    <t>Are Russians different than other Europeans in their relation of risk factors to cardiovascular disease risk.</t>
  </si>
  <si>
    <t>Koek, Huiberdina L; Bots, Michiel L; Grobbee, Diederick E</t>
  </si>
  <si>
    <t>https://pubmed.ncbi.nlm.nih.gov/14561042</t>
  </si>
  <si>
    <t>Dipyridamole for preventing stroke and other vascular events in patients with vascular disease.</t>
  </si>
  <si>
    <t>De Schryver, E L L M; Algra, A; van Gijn, J</t>
  </si>
  <si>
    <t>https://pubmed.ncbi.nlm.nih.gov/12535415</t>
  </si>
  <si>
    <t>Patients with transient ischaemic attacks (TIA) and minor ischaemic strokes are at risk of serious vascular events (death from all vascular causes, non-fatal stroke, or non-fatal myocardial infarction). Their risk of vascular events lies between 4 and 11 percent per year. Aspirin only, in a daily dose of 30 mg or more, offers only modest protection in such patients: it reduces the incidence of major vascular events by 13 percent. In a single trial, adding dipyridamole (an alternative antiplatelet agent) to aspirin was associated with a 22 percent reduction in the risk of major vascular events compared with aspirin alone. However, a systematic review of all trials of antiplatelet agents by the Antithrombotic Trialists' Collaboration showed that, in high risk patients, there was virtually no difference between the aspirin-dipyridamole combination and aspirin alone. We therefore sought to assess the effects of dipyridamole in more detail. 1) To assess the efficacy of dipyridamole versus control in the secondary prevention of vascular events in patients with vascular disease in the presence and absence of other antiplatelet drugs. 2) To assess the safety of dipyridamole versus control in the secondary prevention of vascular events in patients with vascular disease in the presence and absence of other antiplatelet drugs. The Cochrane Stroke Group Trials Register was searched and other relevant Cochrane Groups were contacted to search their specialised registers (last search 29 April 2002). In addition the Cochrane Controlled Trials Register, MEDLINE and EMBASE were searched and Dutch manufacturers of dipyridamole were contacted to identify further published and unpublished studies. Randomised long term secondary prevention trials with concealed treatment allocation, treatment for &gt; 1 month, starting within 6 months after presentation of a arterial vascular disease were selected (coronary artery disease, myocardial infarction, angina pectoris, retinopathy, nephropathy, peripheral arterial disease, stroke, TIA, amaurosis fugax). Therapy consisted of dipyridamole in any dose in the presence or absence of other antiplatelet drugs compared with no drug or an antiplatelet drug(s) other than dipyridamole (control group). Two reviewers selected trials which met the inclusion criteria and extracted details of randomisation methods, blinding of treatments and assessments, whether intention-to-treat analysis was possible from the published data, whether treatment groups were comparable with regard to major prognostic factors, the number of patients who were excluded or lost to follow-up, definition of outcome events, and entry and exclusion criteria. The methodological quality of each trial was assessed by the two reviewers on the basis of these extracted data. In addition, dose and type of antiplatelet treatments, duration of follow-up and the numbers of defined outcome events were recorded. Data published by the Antithrombotic Trialists' Collaboration were used. The remaining data were independently extracted by the same two reviewers and cross checked. Data were analysed according to the intention-to-treat principle. Relative and absolute risk reductions were calculated by means of the statistical software provided by the Cochrane Collaboration (RevMan). Twenty-six trials were included, with a total of 19842 patients, among whom 1399 vascular deaths and 3085 fatal and non-fatal vascular events occurred during follow-up. Compared with control, dipyridamole had no clear effect on vascular death (RR 1.02, 95% CI 0.90 to 1.17). This result was not influenced by the dose of dipyridamole or type of presenting vascular disease. Compared with control, dipyridamole appeared to reduce the risk of vascular events (RR 0.90, 95% CI 0.83 to 0.98), but this effect was only statistically significant due to a single large trial in patients presenting with cerebral ischaemia (6602 patients). Comparing dipyridamole plus aspirin with aspirin alone: there was no clear difference in vascular death, the RR was 1.03 (95% CI 0.87 to 1.22); the combination was associated with fewer vascular events with an RR of 0.90 (95% CI 0.80 to 1.00). Combination treatment of dipyridamole and aspirin compared with placebo had an RR of 0.89 (95% CI 0.79 to 1.01) for vascular death and an RR of 0.74 (95% CI 0.68 to 0.80) for vascular events. This review found that, for patients who presented with arterial vascular disease, there was no evidence that dipyridamole, in the presence or absence of an other antiplatelet drug (chiefly aspirin) reduced the risk of vascular death, though it may reduce the risk of further vascular events. However, this benefit was found in only a single large trial and only in patients presenting after cerebral ischaemia. There was no evidence that dipyridamole alone was more efficacious than aspirin. Further trials comparing the effects of the combination of dipyridamole with aspirin with aspirin alone are justified.</t>
  </si>
  <si>
    <t>Gestational age and birth weight in relation to aortic stiffness in healthy young adults: two separate mechanisms?</t>
  </si>
  <si>
    <t>Oren, Anath; Vos, Lydia E; Bos, Willem-Jan W; Safar, Michel E; Uiterwaal, Cuno S P M; Gorissen, Wim H M; Grobbee, Diederick E; Bots, Michiel L</t>
  </si>
  <si>
    <t>https://pubmed.ncbi.nlm.nih.gov/12517688</t>
  </si>
  <si>
    <t>Impaired vascular development due to intrauterine growth retardation and postnatal-induced vascular damage by an unfavorable cardiovascular risk profile may both cause stiffer arteries in later decades. Of 524 young adults, participating in the Atherosclerosis Risk in Young Adults (ARYA) study, data on birth characteristics were obtained from the original medical records of the Municipal Health Service and the extent of aortic stiffness was assessed using carotid-femoral pulse wave velocity (PWV). The PWV showed an inverse trend with gestational age (linear regression coefficient (beta) = -0.07 m/sec per 1 week; P =.064) whereas it was positively related to birth weight (beta = 0.33 m/sec per 1 kg; P =.020), adjusted for blood pressure (BP), gender, age, and each other. After exclusion of the 26 prematurely born infants, the association with gestational age was attenuated (beta = -0.03 m/sec per 1 week; P =.582), whereas the relation with birth weight hardly changed (beta = 0.30 m/sec per 1 kg; P =.041). In an analysis in which we excluded the 26 subjects with diabetic mothers the birth weight-PWV relation was attenuated (beta = 0.21 m/sec per 1 kg; P =.169). Our findings suggest that prematurity drives the relation of gestational age and PWV, whereas risk of impaired glucose tolerance drives the relation of birth weight and PWV. We hypothesized that two separate mechanisms might be involved in the development of arterial stiffness in healthy young adults.</t>
  </si>
  <si>
    <t>Is asthma in 2-12 year-old children associated with physician-attended recurrent upper respiratory tract infections?</t>
  </si>
  <si>
    <t>Hak, Eelko; Rovers, Maroeska M; Sachs, Alfred P E; Stalman, Wim A B; Verheij, Theo J M</t>
  </si>
  <si>
    <t>https://pubmed.ncbi.nlm.nih.gov/14561050</t>
  </si>
  <si>
    <t>In a prevalence study, we evaluated whether recurrent physician-attended URTI episodes are more common in asthmatic children as compared to age- and gender-matched controls. URTI proneness, defined as &gt; or = 5 episodes of rhinitis/pharyngitis, sinusitis, laryngitis/tracheitis or otitis media in a 24-month period, was more common in asthmatics than controls (adjusted odds ratio 2.5, 95% confidence interval: 1.1-6.1). As a consequence, antibiotic prescriptions and referrals to hospitals occurred more frequently among asthmatics than controls.</t>
  </si>
  <si>
    <t>Statin treatment and progression of atherosclerotic plaque burden.</t>
  </si>
  <si>
    <t>drugs</t>
  </si>
  <si>
    <t>https://pubmed.ncbi.nlm.nih.gov/12678574</t>
  </si>
  <si>
    <t>Atherosclerosis is a progressive systemic disorder that, in the initial stages, is often asymptomatic. The measurement of atherosclerotic burden using imaging techniques enables the clinical benefits of lipid-modifying therapies to be assessed in early atherosclerosis and facilitates more rapid evaluation of interventions in clinical trials compared with the measurement of clinical outcome. The effect of HMG-CoA reductase inhibitors, commonly referred to as 'statins', on disease progression has been assessed in a number of imaging studies both in patients with established coronary heart disease (CHD) and in those with subclinical atherosclerosis. Statins slow plaque progression and, in early atherosclerosis, they have been demonstrated to promote regression of atherosclerotic lesions. The benefits of statin therapy on soft atherosclerotic plaques that are still developing support the use of vascular measures to detect subclinical atherosclerosis, and the subsequent early intervention with statin therapy. Moreover, given that the effects of statins on atherosclerosis progression are evident even in normocholesterolaemic patients at increased risk of developing CHD, early intervention with statin therapy may be effective in preventing CHD, irrespective of lipid level.</t>
  </si>
  <si>
    <t>Sudden death.</t>
  </si>
  <si>
    <t>advances in neurology</t>
  </si>
  <si>
    <t>https://pubmed.ncbi.nlm.nih.gov/12760186</t>
  </si>
  <si>
    <t>The Atherosclerosis Risk in Young Adults (ARYA) study: rationale and design.</t>
  </si>
  <si>
    <t>Oren, A; Vos, L E; Uiterwaal, C S P M; Bak, A A A; Gorissen, W H W; Grobbee, D E; Bots, M L</t>
  </si>
  <si>
    <t>https://pubmed.ncbi.nlm.nih.gov/12952149</t>
  </si>
  <si>
    <t>Despite recent advances in treatment, cardiovascular disease (CVD) is still health problem number one in western societies. Aiming at specific prevention strategies for high-risk individuals and shifting the available prevention programs towards younger age groups might increase the success of primary prevention. However, before addressing age-specific prevention programs, more insight in the determinants of early vascular damage and increased cardiovascular risk is warranted as well as insight in determinants increased cardiovascular risk, including vascular damage, at an early age. The Atherosclerosis Risk in Young Adults (ARYA) study was specifically designed to address this issue. The ARYA study started off with studies evaluating (1) whether it is possible to predict cardiovascular risk at young adulthood by routinely measured adolescent data, and (2) evaluating the role of birth characteristics and adolescent characteristics to the development of vascular damage at young adulthood. The ARYA study comprises of two cohorts of young adults. The Utrecht cohort includes 750 young adults, aged 27-30 years. The Hague-cohort includes 261 young adults born between 1963 and 1968. Data on birth characteristics, growth in early infancy as well as adolescent anthropometry, blood pressure, lipids, body mass index were obtained from the original medical records of the Municipal Health Service. In 1999/2001, the extent of subclinical vascular damage was measured using carotid wall thickness and aortic stiffness. Also, data on adult cardiovascular risk profile, bone density and central blood pressure were assessed, fasting blood was drawn and timed overnight urine samples were collected. The ARYA study is aimed to provide data on early determinants of cardiovascular risk, including vascular damage, at an early age. This knowledge enhances the understanding of atherosclerosis development and CVD risk and is needed to improve the available primary prevention programs.</t>
  </si>
  <si>
    <t>Factor V Leiden mutation accelerates the onset of natural menopause.</t>
  </si>
  <si>
    <t>van Asselt, Kristel M; Kok, Helen S; Peeters, Petra H M; Roest, Mark; Pearson, Peter L; te Velde, Egbert R; Grobbee, Diederick E; van der Schouw, Yvonne T</t>
  </si>
  <si>
    <t>https://pubmed.ncbi.nlm.nih.gov/14501610</t>
  </si>
  <si>
    <t>Smoking is consistently associated with a younger age for menopause. Although this may be because of the direct toxic effects of tobacco smoke on follicles, we hypothesize that there may also be a relationship between smoking and a vascular origin of early menopausal onset. Several lifestyle factors have been investigated, but never factors of the clotting cascade. The objective of this study, then, was to determine the effect of factor V Leiden mutation and smoking with respect to age at menopause. Data were used from a subset of 373 postmenopausal participants of a Dutch population-based cohort, born between 1911 and 1925. All women had experienced natural menopause, without use of hormone replacement therapy. Female carriers of the factor V Leiden mutation (n = 14) reported the onset of menopause at an earlier age than noncarriers (n = 359; difference, 3.1 years; 95% CI: 0.3, 5.9). Smoker carriers (n = 5) were 4.3 years younger at menopause than smoker noncarriers (n = 92; 95% CI: 0.9,7.6). In nonsmokers, this relationship was less strong. We found that the factor V Leiden mutation was related, but not statistically significant, to an earlier age at menopause; smoking possibly enhances this effect. The mutation can be one of the genetic determinants of menopausal age operating through a vascular mechanism.</t>
  </si>
  <si>
    <t>Phytoestrogens and breast cancer risk. Review of the epidemiological evidence.</t>
  </si>
  <si>
    <t>Peeters, P H M; Keinan-Boker, L; van der Schouw, Y T; Grobbee, D E</t>
  </si>
  <si>
    <t>https://pubmed.ncbi.nlm.nih.gov/12602916</t>
  </si>
  <si>
    <t>Phytoestrogens are natural plant substances. The three main classes are isoflavones, coumestans, and lignans. Phytoestrogens have anticarcinogenic potential, but they have also significant estrogenic properties. For an evaluation of the effect of phytoestrogens on breast cancer risk we reviewed the analytical epidemiological data. A total of 18 studies were included. Up to now, there are 13 studies that have assessed the direct relation between the individual dietary intake of soy products and the risk of breast cancer. Overall, results do not show protective effects, with the exception maybe for women who consume phytoestrogens at adolescence or at very high doses. Only four of these 13 studies are prospective, and none of them found statistically significant breast cancer reductions. Four studies assessed urinary isoflavones excretion in relation to breast cancer. Three of these are case control studies, where excretion was measured after breast cancer occurrence and thus seriously limiting causal interpretation of the results. The only prospective study with urinary measurements before breast cancer occurrence was done in a Dutch postmenopausal population and showed a non-significant breast cancer risk reduction for high excretion. Three studies measured enterolactone (lignan): two case control studies reported a preventive effect on breast cancer risk, but the only prospective study did not . In conclusion, few prospective studies (n = 5) were done to assess the effects of phytoestrogens on breast cancer risk. None of them found protective effects. However, these prospective studies did not focus on 'age at consumption', which seems to be important based on results from dietary case control studies done so far.</t>
  </si>
  <si>
    <t>Prevention comes of age?</t>
  </si>
  <si>
    <t>Bonneux, Luc G A; van Hout, Ben A; van Delden, Johannes J M; Grobbee, Diederick E</t>
  </si>
  <si>
    <t>https://pubmed.ncbi.nlm.nih.gov/14758865</t>
  </si>
  <si>
    <t>Carotid intima-media thickness, arterial stiffness and risk of cardiovascular disease: current evidence.</t>
  </si>
  <si>
    <t>Bots, Michiel L; Dijk, Joke M; Oren, Anath; Grobbee, Diederick E</t>
  </si>
  <si>
    <t>https://pubmed.ncbi.nlm.nih.gov/12473847</t>
  </si>
  <si>
    <t>Over recent decades the interest in cardiovascular epidemiology has broadened from studies on causes and consequences of elevated cardiovascular risk factors to include research on causes and consequences of atherosclerosis and associated arterial wall abnormalities. One of the underlying reasons was that established cardiovascular risk factors were insufficiently accurate in identifying those individuals who will suffer from cardiovascular disease in the future and measures of subclinical atherosclerosis may enhance the precision of these predictions and thus enable better-tailored medical care to be provided. The usefulness of measuring subclinical atherosclerosis is conditional on evidence that presence of subclinical atherosclerosis confers an increased risk of cardiovascular disease and that favourable changes in subclinical atherosclerosis parallel reductions in risk. We aimed at providing an overview of epidemiological data on carotid intima-media thickness (CIMT) and arterial stiffness measurements and their relation to risk of cardiovascular disease. We reviewed the published epidemiological data. CIMT is a good indicator of cardiovascular risk and provides a graded measure of vascular damage: no clear CIMT level above which the cardiovascular risk appears to increase considerably The evidence for arterial stiffness, assessed as carotid distensibility or aortic pulse wave velocity, as an indicator for risk of cardiovascular disease is restricted to subjects with either hypertension or end-stage renal disease or based on small studies in renal transplant patients and elderly. Evidence to indicate that information on carotid intima-media thickness or arterial stiffness, additional to established cardiovascular risk factors, helps to distinguish subjects into those with a high and those with a low absolute risk of cardiovascular disease is limited, but needed. Also, information on the direct comparison of both arterial stiffness measures in their ability to predict cardiovascular disease is needed.</t>
  </si>
  <si>
    <t>Confounding by indication in non-experimental evaluation of vaccine effectiveness: the example of prevention of influenza complications.</t>
  </si>
  <si>
    <t>Hak, E; Verheij, Th J M; Grobbee, D E; Nichol, K L; Hoes, A W</t>
  </si>
  <si>
    <t>https://pubmed.ncbi.nlm.nih.gov/12461118</t>
  </si>
  <si>
    <t>Randomised allocation of vaccine or placebo is the preferred method to assess the effects of the vaccine on clinical outcomes relevant to the individual patient. In the absence of phase 3 trials using clinical end points, notably post-influenza complications, alternative non-experimental designs to evaluate vaccine effects or safety are often used. The application of these designs may, however, lead to invalid estimates of vaccine effectiveness or safety. As patients with poor prognosis are more likely to be immunised, selection for vaccination is confounded by patient factors that are also related to clinical end points. This paper describes several design and analytical methods aimed at limiting or preventing this confounding by indication in non-experimental studies. In short, comparison of study groups with similar prognosis, restriction of the study population, and statistical adjustment for dissimilarities in prognosis are important tools and should be considered. Only if the investigator is able to show that confounding by indication is sufficiently controlled for, results of a non-experimental study may be of use to direct an evidence based vaccine policy.</t>
  </si>
  <si>
    <t>Soy product consumption in 10 European countries: the European Prospective Investigation into Cancer and Nutrition (EPIC) study.</t>
  </si>
  <si>
    <t>Keinan-Boker, L; Peeters, P H M; Mulligan, A A; Navarro, C; Slimani, N; Mattisson, I; Lundin, E; McTaggart, A; Allen, N E; Overvad, K; Tjønneland, A; Clavel-Chapelon, F; Linseisen, J; Haftenberger, M; Lagiou, P; Kalapothaki, V; Evangelista, A; Frasca, G; Bueno-de-Mesquita, H B; van der Schouw, Y T; Engeset, D; Skeie, G; Tormo, M J; Ardanaz, E; Charrondière, U R; Riboli, E</t>
  </si>
  <si>
    <t>https://pubmed.ncbi.nlm.nih.gov/12639228</t>
  </si>
  <si>
    <t>The aim of this study was to describe the variation of soy product intake in 10 European countries by using a standardised reference dietary method. A subsidiary aim was to characterise the pattern of soy consumption among a sub-group of participants with a habitual health-conscious lifestyle (HHL), i.e. non-meat eaters who are fish eaters, vegetarians and vegans. A 24-hour dietary recall interview (24-HDR) was conducted among a sample (5-12%) of all cohorts in the European Prospective Investigation into Cancer and Nutrition (EPIC). Study participants totalled 35 955 after exclusion of subjects younger than 35 or older than 74 years of age. Soy products were subdivided into seven sub-groups by similarity. Distribution of consumption and crude and adjusted means of intake were computed per soy product group across countries. Intake of soy products was also investigated among participants with an HHL. In total, 195 men and 486 women reported consuming soy products in the 24-HDR interview. Although soy product intake was generally low across all countries, the highest intake level was observed in the UK, due to over-sampling of a large number of participants with an HHL. The most frequently consumed soy foods were dairy substitutes in the UK and France and beans and sprouts among mid-European countries. For both genders, the sub-group of soy dairy substitutes was consumed in the highest quantities (1.2 g day-1 for men; 1.9 g day-1 for women). Participants with an HHL differed substantially from others with regard to demographic, anthropometric and nutritional factors. They consumed higher quantities of almost all soy product groups. Consumption of soy products is low in centres in Western Europe. Soy dairy substitutes are most frequently consumed. Participants with an HHL form a distinct sub-group with higher consumptions of fruit, vegetables, legumes, cereals and soy products compared with the other participants.</t>
  </si>
  <si>
    <t>Arterial stiffness in postmenopausal women: determinants of pulse wave velocity.</t>
  </si>
  <si>
    <t>Lebrun, Corinne E I; van der Schouw, Yvonne T; Bak, Annette A A; de Jong, Frank H; Pols, Huibert A P; Grobbee, Diederick E; Lamberts, Steven W J; Bots, Michiel L</t>
  </si>
  <si>
    <t>https://pubmed.ncbi.nlm.nih.gov/12409954</t>
  </si>
  <si>
    <t>OBJECTIVE To investigate the degree and potential cardiovascular determinants of arterial stiffness, assessed by aortic pulse wave velocity (PWV) measurements, and to relate arterial stiffness to absolute 10-12-year risks of stroke, coronary heart disease and death, as estimated by available risk functions, in postmenopausal women. METHOD We performed a cross-sectional study among 385 postmenopausal women, aged 50-74 years, sampled from the general population. Arterial stiffness was assessed non-invasively by measurement of aortic PWV using applanation tonometry. Information on health was obtained by medical history, registration of current medication, and physical examination. Height, weight, waist and hip circumferences, fasting glucose, total and high-density lipoprotein (HDL) cholesterol, triglycerides, resting blood pressure, and heart rate were measured. Three risk scores were used to estimate, for each individual, the absolute risk of stroke, coronary heart disease, and death within 10-12 years as a function of their cardiovascular risk factor profile. The relationship between PWV and these risk scores was subsequently determined. RESULTS Significant positive relationships with PWV were found for body mass index, fasting glucose, diabetes mellitus, and triglycerides in analyses adjusted for age, mean arterial blood pressure, and heart rate. Height and HDL cholesterol were inversely related to PWV. The risks of stroke, coronary heart disease, and death increased with increasing PWV in a linear graded manner. CONCLUSIONS This cross-sectional study among postmenopausal women provides evidence that most of the established cardiovascular risk factors are determinants of aortic PWV. Increased PWV marks an increased risk of stroke, coronary heart disease, and death within 10-12 years.</t>
  </si>
  <si>
    <t>High salt intake early in life: does it increase the risk of hypertension?</t>
  </si>
  <si>
    <t>Geleijnse, Johanna M; Grobbee, Diederick E</t>
  </si>
  <si>
    <t>https://pubmed.ncbi.nlm.nih.gov/12409942</t>
  </si>
  <si>
    <t>The 4G5G polymorphism in the gene for PAI-1 and the circadian oscillation of plasma PAI-1.</t>
  </si>
  <si>
    <t>van der Bom, Johanna G; Bots, Michiel L; Haverkate, Frits; Kluft, Cornelis; Grobbee, Diederick E</t>
  </si>
  <si>
    <t>https://pubmed.ncbi.nlm.nih.gov/12406875</t>
  </si>
  <si>
    <t>Plasminogen activator inhibitor type I (PAI-1) antigen concentrations follow a circadian oscillation peaking in the morning. Some individuals show no apparent circadian rhythm, while others show up to a 10-fold variation in PAI-1 over 24 hours. Results from experimental studies suggest that a polymorphism in the promoter of the gene for PAI-1 (4G5G) directly influences the circadian expression of the PAI-1 gene. We studied whether the diurnal variation of PAI-1 antigen differs for the genotypes of the 4G5G polymorphism. A population-based, cross-sectional study was performed among 263 subjects selected from the Rotterdam Study, a population-based cohort of 7983 men and women aged 55 years and older. The 4G allele was associated with a more pronounced circadian expression of PAI-1 antigen. Morning PAI-1 antigen concentrations were 79 ng/mL (95% confidence interval [CI], 68-92) in subjects homozygous for 4G, 62 ng/mL (95% CI, 54-72) in heterozygous subjects, and 59 ng/mL (95% CI, 49-71) in subjects homozygous for 5G. While respective PAI-1 antigen concentrations in the afternoon were 40 ng/mL (95% CI, 33-49), 41 ng/mL (95% CI, 37-47), and 40 ng/mL (95% CI, 49-71). These findings suggest that the morning increase in PAI-1 antigen concentration is more pronounced among subjects homozygous for the 4G allele compared with the morning increase among the other genotypes. Additionally, these findings show that homozygosity for the 4G allele is associated with increased PAI-1 levels during the morning only.</t>
  </si>
  <si>
    <t>Novel risk factors for peripheral arterial disease in young women.</t>
  </si>
  <si>
    <t>Bloemenkamp, Daisy G M; van den Bosch, Maurice A A J; Mali, Willem P Th M; Tanis, Bea C; Rosendaal, Frits R; Kemmeren, Jeanet M; Algra, Ale; Visseren, Frank L J; van der Graaf, Yolanda</t>
  </si>
  <si>
    <t>https://pubmed.ncbi.nlm.nih.gov/12427494</t>
  </si>
  <si>
    <t>To investigate traditional and novel risk factors (homocysteine and C-reactive protein levels, and exposure to infections) for peripheral arterial disease in young women. In a multicenter, population-based, case-control study, 212 young women (mean [+/- SD] age, 48.2 +/- 7.0 years) with peripheral arterial disease and 475 healthy control women (mean age, 45.5 +/- 8.1 years) completed a standardized questionnaire and provided blood samples. Peripheral arterial disease was angiographically confirmed if a stenotic lesion (more than 50% reduction of the lumen) was present in at least one major peripheral artery. Hyperhomocysteinemia was defined as a nonfasting plasma homocysteine level exceeding the 90th percentile of the control group. History of infectious diseases was determined by questionnaire. Elevated C-reactive protein levels were associated with an increased likelihood of peripheral arterial disease (odds ratio [OR] = 3.9; 95% confidence interval [CI]: 1.8 to 8.5 for women in the third quartile; OR = 3.1; 95% CI: 1.4 to 6.8 for women in the fourth quartile; both comparisons with women in the first quartile). Hyperhomocysteinemia was not associated with a significantly increased risk of peripheral arterial disease (OR = 1.6; 95% CI: 0.9 to 3.0). A history of chickenpox, shingles, mumps, pneumonia, chronic bronchitis, peptic ulcer, or periodontitis was independently related to peripheral arterial disease, with adjusted odds ratios varying from 1.7 (95% CI: 1.0 to 3.1) for mumps to 3.4 (95% CI: 1.5 to 7.7) for peptic ulcer. The risk of peripheral arterial disease increased with the number of these infections; exposure to five or more infections increased the odds 3.7-fold (95% CI: 1.7 to 8.2). This association was not affected by the level of C-reactive protein. Our results do not support a strong relation between homocysteine and peripheral arterial disease in young women. However, an elevated C-reactive protein level and several types of symptomatic infection were associated with peripheral arterial disease.</t>
  </si>
  <si>
    <t>Prospective cohort study of routine use of risk assessment scales for prediction of pressure ulcers.</t>
  </si>
  <si>
    <t>Schoonhoven, Lisette; Haalboom, Jeen R E; Bousema, Mente T; Algra, Ale; Grobbee, Diederick E; Grypdonck, Maria H; Buskens, Erik; ,</t>
  </si>
  <si>
    <t>https://pubmed.ncbi.nlm.nih.gov/12376437</t>
  </si>
  <si>
    <t>To evaluate whether risk assessment scales can be used to identify patients who are likely to get pressure ulcers. Prospective cohort study. Two large hospitals in the Netherlands. 1229 patients admitted to the surgical, internal, neurological, or geriatric wards between January 1999 and June 2000. Occurrence of a pressure ulcer of grade 2 or worse while in hospital. 135 patients developed pressure ulcers during four weeks after admission. The weekly incidence of patients with pressure ulcers was 6.2% (95% confidence interval 5.2% to 7.2%). The area under the receiver operating characteristic curve was 0.56 (0.51 to 0.61) for the Norton scale, 0.55 (0.49 to 0.60) for the Braden scale, and 0.61 (0.56 to 0.66) for the Waterlow scale; the areas for the subpopulation, excluding patients who received preventive measures without developing pressure ulcers and excluding surgical patients, were 0.71 (0.65 to 0.77), 0.71 (0.64 to 0.78), and 0.68 (0.61 to 0.74), respectively. In this subpopulation, using the recommended cut-off points, the positive predictive value was 7.0% for the Norton, 7.8% for the Braden, and 5.3% for the Waterlow scale. Although risk assessment scales predict the occurrence of pressure ulcers to some extent, routine use of these scales leads to inefficient use of preventive measures. An accurate risk assessment scale based on prospectively gathered data should be developed.</t>
  </si>
  <si>
    <t>Overestimation of carotid artery stenosis with magnetic resonance angiography compared with digital subtraction angiography.</t>
  </si>
  <si>
    <t>Nederkoorn, Paul J; Elgersma, Otto E H; Mali, Willem P Th M; Eikelboom, Bert C; Kappelle, L Jaap; van der Graaf, Yolanda</t>
  </si>
  <si>
    <t>https://pubmed.ncbi.nlm.nih.gov/12368742</t>
  </si>
  <si>
    <t>Three-dimensional time-of-flight (3D TOF) magnetic resonance angiography (MRA) is generally considered to overestimate the degree of stenosis in the internal carotid artery (ICA) in comparison with the reference standard intraarterial digital subtraction angiography (DSA). We evaluated whether the degree of stenosis was more accurately assessed with 3D TOF MRA if corresponding projections on MRA and DSA were compared instead of comparison of maximal stenosis at MRA with maximal stenosis at DSA. From February 1997 to December 1999, we included 186 symptomatic and 17 asymptomatic consecutive patients suspected of having carotid artery stenosis on the basis of clinical presentation and screening with duplex ultrasound scan examination. All patients subsequently underwent DSA and MRA imaging. From each ICA, 12 maximum intensity projections with 3D TOF MRA and two or three projections with DSA were obtained. First, we compared the maximal stenosis at MRA with the maximal stenosis at DSA. Subsequently, we used the stenosis at MRA measured on the projection corresponding with the DSA projection that showed the maximal stenosis. For both strategies, the mean differences in stenosis and sensitivity and specificity for assessment of severe stenosis (70% to 99%) were calculated and compared. The MRA and DSA images of 354 ICAs could be compared. The sensitivity and specificity of MRA with the projection that showed the maximal stenosis were 92.6% (95% CI, 85.3% to 97.0%) and 82.7% (95% CI, 78.1% to 87.3%), respectively. The sensitivity and specificity with the MRA projection, corresponding with the DSA projection showing the maximal stenosis, were 88.3% (95% CI, 81.8% to 94.8%) and 89.6% (95% CI, 85.9% to 93.3%), respectively. The mean difference between maximal stenosis at MRA and DSA was 7.5% (95% CI, 5.2% to 9.9%). The mean difference between stenosis at MRA and DSA in corresponding projections was 0.4% (95% CI, -2.0% to 2.7%). If corresponding MRA and intraarterial DSA projections are compared, 3D TOF MRA does not overestimate carotid stenosis.</t>
  </si>
  <si>
    <t>Herpes zoster and postherpetic neuralgia: incidence and risk indicators using a general practice research database.</t>
  </si>
  <si>
    <t>Opstelten, Wim; Mauritz, Jan W; de Wit, Niek J; van Wijck, Albert J M; Stalman, Wim A B; van Essen, Gerrit A</t>
  </si>
  <si>
    <t>https://pubmed.ncbi.nlm.nih.gov/12356697</t>
  </si>
  <si>
    <t>Postherpetic neuralgia (PHN) is a frequent complication of herpes zoster (HZ). Treatment results of this severe and long-lasting pain syndrome are often disappointing. From the point of view of possible prevention and early treatment, it is important to identify HZ patients who have an increased risk of developing PHN. Our goals were to determine the incidence of HZ and PHN in a primary care population and to identify risk indicators for the occurrence of PHN. A search for HZ and PHN was conducted in a general practice research database, comprising 22 general practices and representing 49 000 people, over a 5-year period. Potential risk indicators were analysed using multivariate logistic regression. A total of 837 patients had been diagnosed with HZ [incidence 3.4/1000 patients/year, 95% confidence interval (CI) 2.9-3.9]. The risk of developing PHN 1 month after the start of the zoster rash was 6.5% (95% CI 4.9-8.3). This risk was 11.7% (95% CI 8.5-14.9) for patients aged &gt; or =55 years. Independent risk indicators for the occurrence of PHN were age [55-74 years, adjusted odds ratio (OR) 4.2, 95% CI 1.8-9.7; &gt;75 years, OR 10.7, 95% CI 4.6-25.1] and ophthalmic localization (OR 2.3, 95% CI 1.0-4.6). The risk of developing PHN increases with age. Preventive strategies should focus on patients with herpes zoster aged &gt;55 years and with ophthalmic localization.</t>
  </si>
  <si>
    <t>Increased pregnancy loss in young women with aortoiliac disease.</t>
  </si>
  <si>
    <t>van den Bosch, Maurice A A J; Mali, Willem P Th M; Bloemenkamp, Daisy G M; Eikelboom, Bert C; Kemmeren, Jeanet M; Tanis, Bea C; Algra, Ale; Rosendaal, Frits R; van der Graaf, Yolanda</t>
  </si>
  <si>
    <t>https://pubmed.ncbi.nlm.nih.gov/12119201</t>
  </si>
  <si>
    <t>During clinical evaluation of young women with peripheral arterial occlusive disease, we were surprised by the high prevalence of pregnancy loss in women with segmental stenosis confined to the aortoiliac segment. We wondered if increased occurrence of miscarriage is the result of high expression of vascular and obstetrical risk factors in these patients, or if it is related to localization of disease. In a case-control study designed to investigate risk factors for peripheral arterial occlusive disease in young women, we assessed the risk of miscarriage in these patients according to level of obstruction. A total of 202 female patients, aged 18-49 years and 466 healthy control women from a population based case-control study, donated venous blood samples and filled out a structured questionnaire concerning classical cardiovascular risk factors and obstetrical history. In all patients, diagnosis of peripheral arterial occlusive disease was confirmed by intra-arterial angiography. Patients were classified into two groups: those with and those without stenosis of the aortoiliac segment (aortoiliac disease). In 77 of the 202 patients (38%) with peripheral arterial occlusive disease, the obstruction was confined to the aortoiliac segment. The occurrence of miscarriage was high (42%) in young women with aortoiliac disease. Compared to healthy controls, the risk of miscarriage increased 3-fold (OR 3.1; 95% CI 1.8-5.6) in these patients. Adjustment for obstetrical and vascular risk factors did not affect the risk estimate. This is the first study that identifies aortoiliac disease as a risk factor for pregnancy loss in young women. The risk of miscarriage is increased 3-fold in women with aortoiliac disease. The presence of vascular and obstetrical risk factors did not affect the strength of the association. Pregnancy loss could be the first sign of insufficient aortic circulation in these patients.</t>
  </si>
  <si>
    <t>[Population screening for uterine cervix cancer: the negative effects of insufficient knowledge as to what is normal and abnormal].</t>
  </si>
  <si>
    <t>https://pubmed.ncbi.nlm.nih.gov/12224477</t>
  </si>
  <si>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</si>
  <si>
    <t>[Possibilities and limitations of genetic research; an advisory report from the Advisory Council on Health Research].</t>
  </si>
  <si>
    <t>Grobbee, D E</t>
  </si>
  <si>
    <t>https://pubmed.ncbi.nlm.nih.gov/12224478</t>
  </si>
  <si>
    <t>The Raad voor Gezondheidsonderzoek [Advisory Council on Health Research] has issued a report entitled 'New applications of genetic information in health care: which knowledge is needed?' The report is limited to areas where research is likely to have consequences within the relatively short time-span of a few years. These include genetics in diagnostics and screening, pharmacogenetics, and certain inherited diseases in adult age. Complex diseases such as multifactorial ones are not addressed. The report provides a useful overview of the prospects and problems in genetic research and how it will be applied in the years to come. Societal consequences of genetic research are also discussed. To enhance the understanding of complex diseases, epidemiological studies with long-term follow-up that combine genetic data with other data are essential. At the same time, potential privacy risks should be acknowledged and scientists should take extreme care in collecting, handling and analysing such data. The Netherlands Federation of Societies for Medical Research has produced guidelines which researchers should follow when carrying out their research.</t>
  </si>
  <si>
    <t>Higher usual dietary intake of phytoestrogens is associated with lower aortic stiffness in postmenopausal women.</t>
  </si>
  <si>
    <t>van der Schouw, Yvonne T; Pijpe, Anouk; Lebrun, Corinne E I; Bots, Michiel L; Peeters, Petra H M; van Staveren, Wija A; Lamberts, Steven W J; Grobbee, Diederick E</t>
  </si>
  <si>
    <t>https://pubmed.ncbi.nlm.nih.gov/12171794</t>
  </si>
  <si>
    <t>Phytoestrogens have been postulated to protect against cardiovascular diseases, but few studies have focused on the effect of Western dietary phytoestrogen intake. Four hundred three women with natural menopause either between 1987 and 1989 or between 1969 and 1979 were selected from the baseline data of the PROSPECT study (n=17 395). Isoflavone and lignan intake was calculated from a food-frequency questionnaire. Aortic stiffness was noninvasively assessed by pulse-wave velocity measurement of the aorta. Linear regression analysis was used. After adjustment for age, body mass index, smoking, physical activity, mean arterial pressure, follow-up time, energy intake, dietary fiber intake, glucose, and high density lipoprotein cholesterol, increasing dietary isoflavone intake was associated with decreased aortic stiffness: -0.51 m/s (95% CI -1.00 to -0.03, fourth versus first quartile, P for trend=0.07). Increasing dietary intake of lignans was also associated with decreased aortic pulse-wave velocity: -0.42 m/s (95% CI -0.93 to 0.11, fourth versus first quartile, P for trend=0.06). Results were most pronounced in older women: for isoflavones, -0.94 m/s (95% CI -1.65 to -0.22, P for trend=0.02), and for lignans, -0.80 m/s (95% CI -1.85 to -0.05), fourth versus first quartile. The results of our study support the view that phytoestrogens have a protective effect on the risk of atherosclerosis and arterial degeneration through an effect on arterial walls, especially among older women.</t>
  </si>
  <si>
    <t>Preoperative diagnosis of carotid artery stenosis: accuracy of noninvasive testing.</t>
  </si>
  <si>
    <t>Nederkoorn, Paul J; Mali, Willem P Th M; Eikelboom, Bert C; Elgersma, Otto E H; Buskens, Erik; Hunink, M G Myriam; Kappelle, L Jaap; Buijs, Pieter C; Wüst, Aloys F J; van der Lugt, Aad; van der Graaf, Yolanda</t>
  </si>
  <si>
    <t>https://pubmed.ncbi.nlm.nih.gov/12154253</t>
  </si>
  <si>
    <t>Carotid endarterectomy has been shown to be beneficial in symptomatic patients with a severe stenosis (70% to 99%) of the internal carotid artery (ICA). Digital subtraction angiography (DSA) is the standard of reference in the diagnosis of carotid artery stenosis but has a relatively high complication rate. In a diagnostic study we investigated the accuracy of noninvasive testing compared with DSA. In a prospective diagnostic study we performed duplex ultrasound (DUS), magnetic resonance angiography (MRA), and DSA on 350 consecutive symptomatic patients. Stenoses were measured with the observers blinded for clinical information and other test results. Separate and combined test results of DUS and MRA were compared with the reference standard DSA. Only the stenosis measurements of the arteries on the symptomatic side were included in the analyses. DUS analyzed with previously defined criteria resulted in a sensitivity of 87.5% (95% CI, 82.1% to 92.9%) and a specificity of 75.7% (95% CI, 69.3% to 82.2%) in identifying severe ICA stenosis (70% to 99%). Stenosis measurements on MRA yielded a sensitivity of 92.2% (95% CI, 86.2% to 96.2%) and a specificity of 75.7% (95% CI, 68.6% to 82.5%). When we combined MRA and DUS results, agreement between these 2 modalities (84% of patients) gave a sensitivity of 96.3% (95% CI, 90.8% to 99.0%) and a specificity of 80.2% (95% CI, 73.1% to 87.3%) for identifying severe stenosis. MRA showed a slightly better accuracy than DUS in the diagnosis of carotid artery stenosis. To achieve the best accuracy, however, both tests should be performed subsequently.</t>
  </si>
  <si>
    <t>The relation between Helicobacter pylori and atherosclerosis cannot be explained by a high homocysteine concentration.</t>
  </si>
  <si>
    <t>Bloemenkamp, D G M; Mali, W P Th M; Tanis, B C; Rosendaal, F R; van den Bosch, M A A J; Kemmeren, J M; Algra, A; Visseren, F L J; van der Graaf, Y</t>
  </si>
  <si>
    <t>https://pubmed.ncbi.nlm.nih.gov/12190953</t>
  </si>
  <si>
    <t>Recent studies have suggested that a chronic infection with Helicobacter pylori might be an independent risk factor for atherosclerosis. However, a direct role in atherogenesis is not plausible, since the bacterium has not been isolated from atherosclerotic lesions. An indirect mechanism that could link H. pylori with atherosclerosis might be through an increase in plasma homocysteine concentration caused by deficiencies of vitamin B12 and folate in plasma. In 150 female patients with peripheral arterial disease (PAD) and in 412 healthy control women from a nation-wide population-based case-control study, blood samples were collected to determine the antibody titre against H. pylori and to measure plasma homocysteine, folate and vitamin B12 levels. First, the odds ratio for PAD in women with a positive antibody titre against H. pylori was calculated and adjusted for homocysteine level. Secondly, mean concentrations of vitamin B12, folate and homocysteine were compared in healthy controls with a positive or negative antibody titre against H. pylori. Thirdly, the relation between H. pylori and PAD in individuals with a normal or high homocysteine level was investigated. A positive immunoglobulin G antibody titre against H. pylori was found in 42% of the PAD patients and in 27% of the controls. The age- and socio-economic-status (SES) adjusted odds ratio for PAD was 1.5 (95%CI; 1.0-2.2). Additional adjustment for homocysteine plasma concentration did not essentially change the odds ratio. Secondly, among the healthy controls, the homocysteine plasma concentration did not depend on the immunoglobulin G titre, neither did the folate plasma concentration. The concentration of vitamin B12 was slightly higher in women with a positive titre. Thirdly, H. pylori infection was a risk factor for PAD in subjects with a normal homocysteine concentration [OR 2.0 (95%CI 1.3-3.1)]. This study shows a relationship between a positive immunoglobulin G antibody titre against H. pylori and PAD in young women. Moreover, this study does not support the hypothesis that H. pylori infection is related to atherosclerosis via an increase in plasma homocysteine concentration.</t>
  </si>
  <si>
    <t>Validation of a clinical prediction rule to reduce preoperative type and screen procedures.</t>
  </si>
  <si>
    <t>van Klei, W A; Moons, K G M; Rheineck-Leyssius, A T; Kalkman, C J; Rutten, C L G; Knape, J T A; Grobbee, D E</t>
  </si>
  <si>
    <t>https://pubmed.ncbi.nlm.nih.gov/12378656</t>
  </si>
  <si>
    <t>We have developed a prediction rule for the occurrence of perioperative red blood cell transfusion to help to reduce the number of unnecessary preoperative type and screen procedures. We evaluated the robustness of this prediction rule in patients from another hospital. The rule was retrospectively applied to 1282 consecutive patients ('validation set') who underwent similar surgical procedures to the patients in the derivation study. The outcome was similarly defined as any allogeneic transfusion on the day of surgery or during the first postoperative day. The predictive value of the rule was assessed using a Receiver Operating Characteristic curve (ROC) and compared with the results of the derivation study. Subsequently, the number of correctly predicted transfusions was compared. The patient characteristics did not differ between the two sets, except for the incidence of transfusion (derivation study: 18%; present study: 8%). In the validation set, the ROC area of the prediction rule was 0.78 (95% confidence intervals [CI]: 0.73-0.82), which was within the CI of the ROC area found in the derivation study (0.75; 95% CI: 0.72-0.79). In total, 35% of the type and screen procedures could be omitted (derivation study: 50%), with 13% missed transfused patients (derivation study: 20%). After comparing the results of this validation study with that of the derivation study, the prediction rule was robust and may work in other clinics as well.</t>
  </si>
  <si>
    <t>Risk indicators for pressure ulcers during surgery.</t>
  </si>
  <si>
    <t>Schoonhoven, Lisette; Defloor, Tom; van der Tweel, Ingeborg; Buskens, Erik; Grypdonck, Maria H F</t>
  </si>
  <si>
    <t>applied nursing research anr</t>
  </si>
  <si>
    <t>https://pubmed.ncbi.nlm.nih.gov/12173167</t>
  </si>
  <si>
    <t>Patients undergoing surgery are prone to develop pressure ulcers during surgery. The aim of this study was to identify pressure ulcer risk indicators in patients undergoing surgery which lasted more than four hours. A prospective follow-up study was conducted in 208 patients. Data on presence or absence of pressure ulcers and risk indicators were collected preoperatively, during surgery, and postoperatively. The results show that of the many indicators recorded, the only predictor of pressure ulcers was length of surgery. Because it is not possible to influence the length of the surgery, prevention should primarily be aimed at decreasing pressure and shearing forces during surgery.</t>
  </si>
  <si>
    <t>Human papillomavirus and the long-term risk of cervical neoplasia.</t>
  </si>
  <si>
    <t>van der Graaf, Yolanda; Molijn, Anco; Doornewaard, Heleen; Quint, Wim; van Doorn, Leen-Jan; van den Tweel, Jan</t>
  </si>
  <si>
    <t>https://pubmed.ncbi.nlm.nih.gov/12117707</t>
  </si>
  <si>
    <t>The risk of cervical neoplasia for women with normal Papanicolaou smears was calculated for those whose smears were human papillomavirus (HPV) positive and those whose smears were HPV negative. Data on 347 cases and controls were analyzed in a population-based, nested case-control study. Cases (n = 77) were women who participated in the Utrecht screening program (1976-1984) in the Netherlands and who developed cervical intraepithelial neoplasia 3 or microinvasive or invasive squamous cervical cancer after having a negative smear (1980-1986). Controls (n = 270) were matched on age (+/-5 years) and follow-up period. DNA was isolated from the Papanicolaou smears and was tested for the presence of HPV DNA by using the ultrasensitive broad-spectrum, general short-fragment polymerase chain reaction. HPV was found in 55 (71%) of the baseline smears of the 77 cases and in 31 (11%) of those of the 270 controls. The age-adjusted odds ratios for developing cervical intraepithelial neoplasia or microinvasive or invasive cervical cancer were 19.2 (95 percent confidence interval (CI): 10.3, 35.7) for HPV positivity in general, 5.4 (95% CI: 1.5, 19.5) for infection with low-risk HPV genotypes, 24.0 (95% CI: 12.4, 46.4) for high-risk HPV genotypes, and 104.8 (95% CI: 29.5, 372.7) for HPV type 16.</t>
  </si>
  <si>
    <t>Aspirin and coumadin after acute coronary syndromes (the ASPECT-2 study): a randomised controlled trial.</t>
  </si>
  <si>
    <t>van Es, Robert F; Jonker, Jan J C; Verheugt, Freek W A; Deckers, Jaap W; Grobbee, Diederick E; ,</t>
  </si>
  <si>
    <t>https://pubmed.ncbi.nlm.nih.gov/12126819</t>
  </si>
  <si>
    <t>Antiplatelet treatment with aspirin and oral anticoagulants reduces recurrence of ischaemic events after myocardial infarction. We aimed to investigate which of these drugs is more effective in the long term after acute coronary events, and whether the combination of aspirin and oral anticoagulants offers greater benefit than either of these agents alone, without excessive risk of bleeding. In a randomised open-label trial in 53 sites, we randomly assigned 999 patients to low-dose aspirin, high-intensity oral anticoagulation, or combined low-dose aspirin and moderate intensity oral anticoagulation. Patients were followed up for a maximum of 26 months. The primary composite endpoint was first occurrence of myocardial infarction, stroke, or death. The primary endpoint was reached in 31 (9%) of 336 patients on aspirin, in 17 (5%) of 325 on anticoagulants (hazard ratio 0.55 [95% CI 0.30-1.00], p=0.0479), and in 16 (5%) of 332 on combination therapy (0.50 [0.27-0.92], p=0.03). Major bleeding was recorded in three (1%) patients on aspirin, three (1%) on anticoagulants (1.03 [0.21-5.08], p=1.0), and seven (2%) on combination therapy (2.35 [0.61-9.10], p=0.2). Frequency of minor bleeding was 5%, 8% (1.68 [0.92-3.07], p=0.20), and 15% (3.13 [1.82-5.37], p=&lt;0.0001), in the three groups, respectively. 164 patients permanently discontinued the study drug. Analyses were done by intention to treat. In patients recently admitted with acute coronary events, treatment with high-intensity oral anticoagulants or aspirin with medium-intensity oral anticoagulants was more effective than aspirin on its own in reduction of subsequent cardiovascular events and death.</t>
  </si>
  <si>
    <t>Aggressive lipid lowering does not improve endothelial function in type 2 diabetes: the Diabetes Atorvastatin Lipid Intervention (DALI) Study: a randomized, double-blind, placebo-controlled trial.</t>
  </si>
  <si>
    <t>van Venrooij, Francine V; van de Ree, Marcel A; Bots, Michiel L; Stolk, Ronald P; Huisman, Menno V; Banga, J D; ,</t>
  </si>
  <si>
    <t>https://pubmed.ncbi.nlm.nih.gov/12087021</t>
  </si>
  <si>
    <t>Endothelial dysfunction is considered an important early marker of atherosclerosis and cardiovascular risk and is currently used as a surrogate end point for cardiovascular risk in clinical trials. Type 2 diabetic patients show a characteristic dyslipidemia. Aggressive lipid lowering might be an effective method to improve endothelial function in these patients. A randomized, double-blind, placebo-controlled trial was completed to study the effect of 30 weeks' administration of atorvastatin 10 mg and 80 mg on endothelial function, as assessed by B-mode ultrasound of the brachial artery, in 133 patients with type 2 diabetes without a history of cardiovascular disease. Patients with diabetes and diabetic dyslipidemia had considerable endothelium-dependent and endothelium-independent dysfunction; mean flow-mediated vasodilation (SD) was 3.16% (3.56), and mean response on sublingual nitroglycerin was 6.58% (6.04). Despite substantial lowering of all atherogenic lipid parameters, no improvement of endothelium-dependent vasodilatation was found (P &gt; 0.8). We observed considerable baseline endothelium-dependent and endothelium-independent dysfunction in patients with diabetes and diabetic dyslipidemia without a history of cardiovascular disease. Aggressive lipid lowering by administration of atorvastatin, resulting in substantial improvement of the lipid profile, did not reverse endothelial dysfunction.</t>
  </si>
  <si>
    <t>Chlamydia pneumoniae, Helicobacter pylori and cytomegalovirus infections and the risk of peripheral arterial disease in young women.</t>
  </si>
  <si>
    <t>Bloemenkamp, Daisy G M; Mali, Willem P Th M; Tanis, Bea C; Rosendaal, Frits R; van den Bosch, Maurice A A J; Kemmeren, Jeanet M; Algra, Ale; Ossewaarde, Jacobus M; Visseren, Frank L J; van Loon, Anton M; van der Graaf, Yolanda</t>
  </si>
  <si>
    <t>https://pubmed.ncbi.nlm.nih.gov/12048133</t>
  </si>
  <si>
    <t>Sero-epidemiological case control studies have observed positive relations between infections with Chlamydia pneumoniae, Helicobacter pylori or cytomegalovirus (CMV) and the occurrence of coronary artery disease (CAD) and stroke. Moreover, positive relations between 'infection burden' and CAD and the role of inflammation have recently been described. However, the relations between infection, inflammation and the occurrence of peripheral arterial disease (PAD) have not been reported so far. We performed a multi-centre population-based case-control study, using serum samples of 228 young female PAD patients and 643 control women to determine IgG antibody titres and C-reactive protein. The odds ratios for PAD in women with serological evidence for infection with C. pneumoniae, H. pylori or CMV were 2.0 (95% CI; 1.3-3.1), 1.6 (95% CI; 1.1-2.2) and 1.6 (95% CI; 1.1-2.3), respectively. The cumulative number of infections was positively related to the risk of PAD; the odds ratio was 1.5 (95% CI; 1.0-2.4), 2.7 (95% CI; 1.6-4.4) and 3.5 (95% CI; 1.5-8.1) for women with one, two or three infections, respectively. This increased risk, related to the 'infection burden', was found again in the subgroup of women with a high CRP level, but not in the subgroup with a low CRP level. Infections might be a causal component in the development of PAD. The risk of PAD is not only related to a single pathogen in particular, but also to the cumulative number of infections. The positive relation between 'infection burden' and PAD was only found in women with a high CRP level, which indicates that inflammation might be involved in the process that leads to PAD.</t>
  </si>
  <si>
    <t>Effect of second- and third-generation oral contraceptives on fibrinolysis in the absence or presence of the factor V Leiden mutation.</t>
  </si>
  <si>
    <t>Kemmeren, J M; Algra, A; Meijers, J C M; Bouma, B N; Grobbee, D E</t>
  </si>
  <si>
    <t>blood coagulation fibrinolysis an international journal in haemostasis and thrombosis</t>
  </si>
  <si>
    <t>https://pubmed.ncbi.nlm.nih.gov/12138364</t>
  </si>
  <si>
    <t>Third-generation oral contraceptives (OC) have been associated with an increased risk of venous thrombosis compared with second-generation OC. To find an explanation for this increased risk, the effect of a second- and third-generation OC and of the progestagens used in these pills on several fibrinolytic parameters was studied in the absence or presence of the factor V Leiden mutation. In a single-center, double-blind trial, 51 women without and 35 women with the factor V Leiden mutation were randomized to either a second-generation (30 microg ethinylestradiol/150 microg levonorgestrel) or a third-generation (30 microg ethinylestradiol/150 microg desogestrel) oral contraceptive. After two menstrual cycles of use and a wash-out period of two cycles, the participants received the corresponding progestagen-only preparation containing 150 microg levonorgestrel or 150 microg desogestrel. D-Dimers, thrombin-activatable fibrinolysis inhibitor (TAFI) and the clot lysis time in the absence (LYSmin) or the presence (LYSplus) of a blocking anti-factor XI antibody were determined in plasmas of the participating women, and the mean difference in changes between the OC were calculated. Both combined OC induced increased plasma levels of D-dimers and TAFI, and induced a prolongation of LYSplus, whereas LYSmin hardly changed. Virtually no changes in fibrinolytic parameters were observed for the progestagen-only preparations. No differential effects between levonorgestrel- and desogestrel-containing OC were found in women without factor V Leiden. Women with the mutation on levonorgestrel-containing OC showed an increased LYSplus compared with desogestrel containing OC (3.9; 95% confidence interval, 0.1-7.7). When using progestagen-only preparations, no differential effect on the fibrinolytic parameters were found, except for non-carriers on levonorgestrel who showed a reduced LYSmin compared with non-carriers on desogestrel (-4.0; 95% confidence interval, -7.8 to -0.2). In conclusion, the effect of oral contraceptives on fibrinolytic parameters is largely independent of the type of progestagen. The increased fibrinolytic activity during OC use appears to be induced by the estrogen component and may be counteracted by increased TAFI activation. This may result in an enhanced downregulation of fibrinolysis.</t>
  </si>
  <si>
    <t>Intima media thickness as a surrogate marker for generalised atherosclerosis.</t>
  </si>
  <si>
    <t>Bots, Michiel L; Grobbee, D Egbertus</t>
  </si>
  <si>
    <t>https://pubmed.ncbi.nlm.nih.gov/12652104</t>
  </si>
  <si>
    <t>Vascular markers of atherosclerotic burden allow atherosclerosis to be studied in the sub-clinical phase of the disease, and facilitate the assessment of new therapies for modifying coronary heart disease (CHD) risk factors. B-mode ultrasound enables non-invasive, direct visualization of the arterial wall. The intima media thickness of the carotid artery (CIMT) quantified using this technique, is a reliable marker of atherosclerotic burden. Furthermore, it demonstrates greater sensitivity in detecting early atherosclerosis compared with angiography. The validity of ultrasonographically-determined CIMT as a surrogate marker of atherosclerotic disease has been established; CIMT is positively associated with the incidence of coronary events, relates to atherosclerotic disease elsewhere in the arterial system and has common risk factors to the development of CHD. Furthermore, ultrasonographically-determined CIMT demonstrates good inter- and intra-observer reproducibility making it suitable for tracking the progression or regression of atherosclerotic disease over time. The validity of CIMT as a vascular marker of atherosclerosis progression has been demonstrated in clinical trials. Intervention studies have shown that modification of CHD risk factors can significantly reduce progression of CIMT. Hence, B-mode ultrasonography is being used increasingly to elucidate the efficacy of new therapies, enabling the benefits of treatment to be established more rapidly and with fewer patients compared with clinical outcome trials.</t>
  </si>
  <si>
    <t>When should we remain blind and when should our eyes remain open in diagnostic studies?</t>
  </si>
  <si>
    <t>Moons, Karel G M; Grobbee, Diederick E</t>
  </si>
  <si>
    <t>https://pubmed.ncbi.nlm.nih.gov/12160909</t>
  </si>
  <si>
    <t>Incidence of pressure ulcers due to surgery.</t>
  </si>
  <si>
    <t>Schoonhoven, Lisette; Defloor, Tom; Grypdonck, Maria H F</t>
  </si>
  <si>
    <t>https://pubmed.ncbi.nlm.nih.gov/12100644</t>
  </si>
  <si>
    <t>Patients undergoing surgery are prone to develop pressure ulcers during the surgical procedure. The aim of the study was to gain insight into the problem by describing the incidence, clinical features and progression of pressure ulcers and closed pressure ulcers in patients undergoing surgery lasting more than 4 hours. A prospective follow-up study was conducted in a university hospital in the Netherlands. Two-hundred and eight patients from nine surgical specialities were included in the study. The skin of patients was observed the evening before surgery and, if the patient's condition allowed it, directly postoperatively and subsequently daily for 14 days or until discharge, whichever occurred first. When patients developed a pressure ulcer they were observed daily until discharge or until the pressure ulcer had healed. The size and colour of the lesion, stage and skin condition were described every day. In addition, data were collected concerning the operation, postoperative period, and general characteristics. Forty-four patients (21.2%) developed 70 pressure ulcers in the first 2 days following surgery. Twenty-one pressure ulcers deteriorated in the days following surgery. More than half (52.9%) of the lesions developed on the heels, and 15.7% developed in the sacral area. Twenty-five patients (12%) were impaired by the lesions they developed. None of the patients in the study developed closed pressure ulcers. Pressure ulcer development during a surgical procedure is a serious problem. Therefore, preventive measures should be taken during surgery and the first few days afterwards, until the patient is able to mobilize independently.</t>
  </si>
  <si>
    <t>Factors associated with switching from oral hypoglycaemic agents to insulin therapy.</t>
  </si>
  <si>
    <t>Spoelstra, J A; Stol, R P; de Bruyne, M C; Erkens, J A; Herings, R M C; Leufkens, H G M; Grobbee, D E</t>
  </si>
  <si>
    <t>https://pubmed.ncbi.nlm.nih.gov/12365467</t>
  </si>
  <si>
    <t>The aim of our study was to determine which factors are associated with switching from oral hypoglycaemic agents to insulin therapy in patients with type 2 diabetes mellitus in general practice. Longitudinal, observational study in a Dutch general healthcare centre. All pharmacologically treated patients with type 2 diabetes mellitus were included (n = 152). Comorbidity, laboratory results and medication use were obtained from the general practitioners' files. A total of 31 (20.4%) patients switched from oral hypoglycaemic agents to insulin therapy; they were significantly younger at the onset of diabetes, 50.5 versus 57.7 years. Fasting blood glucose levels and HbA(1c) values were significantly higher after the switch compared with patients on oral treatment, 10.0 mmol/l versus 8.4 mmol/l and 8.8% versus 7.9%, respectively. Concerning comorbidity, they suffered more frequently from acute myocardial infarction, lipid disorders, depression, retinopathy and atrial fibrillation. Cardiovascular disease in general was more often present in patients who switched over to insulin, 77.4% versus 52.9% (OR 3.1; CI 1.2-7.6). Patients who switch over to insulin therapy are younger at diagnosis, suffer from more health problems besides diabetes, especially cardiovascular disease, and have worse metabolic control, compared with users of oral hypoglycaemic agents.</t>
  </si>
  <si>
    <t>[Cardiovascular risk factors. II. Signs of vascular damage: practical implications].</t>
  </si>
  <si>
    <t>Bots, M L; van der Bom, J G; de Bruyne, M C; Grobbee, D E</t>
  </si>
  <si>
    <t>https://pubmed.ncbi.nlm.nih.gov/12109307</t>
  </si>
  <si>
    <t>In recent years, an increasing amount of information has become available on new indicators of cardiovascular damage, their determinants and the value of these indicators in the prediction of the development of cardiovascular disease. These indicators include carotid intima-media thickness, ECG characteristics, endothelial function and the measurement of coronary calcium. These indicators are currently used predominantly in cardiovascular disease research. At present, only limited information is available as to whether these indicators are useful in clinical practice for estimating the absolute risk of cardiovascular disease in an individual. The relative value of these newer indicators compared to the routinely collected risk factor information such as medical history, lifestyle, anthropometric variables, blood pressure and lipids is also not yet well established. The recent Dutch guidelines for the initiation of treatment with blood pressure lowering and lipid lowering drugs as a function of the absolute risk of cardiovascular disease within 10 years for the individual patient point toward the urgent necessity for research in the area of new risk indicators of vascular damage.</t>
  </si>
  <si>
    <t>[Cardiovascular risk factors. I. Review of possible causes of heart and vascular diseases].</t>
  </si>
  <si>
    <t>van der Bom, J G; Bots, M L; Grobbee, D E</t>
  </si>
  <si>
    <t>https://pubmed.ncbi.nlm.nih.gov/12109306</t>
  </si>
  <si>
    <t>Despite the decline in the past 30 years in age-adjusted mortality, cardiovascular disease is still the most important cause of morbidity and mortality in the Western world and increasingly so in the non-Western world. The decreased mortality rate is attributed to increased knowledge of the risk factors, a concomitant healthier life style and improved treatment for the risk factors. It has been clearly demonstrated that increased serum levels of cholesterol, increased blood pressure, the presence of diabetes, physical inactivity and smoking increase the risk of cardiovascular disease. The role of estrogens, homocysteine, thrombotic and inflammatory factors is currently the subject of considerable research. It seems likely that a certain genetic constitution enhances the susceptibility to the effects of other risk factors. New candidate genes are being suggested daily. Until now, no clearly decisive results have been achieved in determining the relations between the investigated genetic polymorphisms and the occurrence of cardiovascular disease. The consumption of foodstuffs that are rich in anti-oxidants seems to reduce the risk of cardiovascular disease, but randomised research into the effects of anti-oxidants as food supplements suggests that this does not affect the development of cardiovascular disease.</t>
  </si>
  <si>
    <t>Carotid plaques increase the risk of stroke and subtypes of cerebral infarction in asymptomatic elderly: the Rotterdam study.</t>
  </si>
  <si>
    <t>Hollander, M; Bots, M L; Del Sol, A Iglesias; Koudstaal, P J; Witteman, J C M; Grobbee, D E; Hofman, A; Breteler, M M B</t>
  </si>
  <si>
    <t>https://pubmed.ncbi.nlm.nih.gov/12070116</t>
  </si>
  <si>
    <t>Few studies have quantified the relation between carotid plaques and stroke in asymptomatic patients, and limited data exist on the importance of location of plaques or the association with subtypes of cerebral infarction. We investigated the relationship between carotid plaques, measured at different locations, and risk of stroke and subtypes of cerebral infarction in a population-based study. Methods and Results- The study was based on the Rotterdam Study and included 4217 neurologically asymptomatic subjects aged 55 years or older. Presence of carotid plaques at 6 locations in the carotid arteries was assessed at baseline. Severity was categorized according to the number of affected sites. After a mean follow-up of 5.2 years, 160 strokes had occurred. Data were analyzed using Cox proportional hazards regression. Plaques increased the risk of stroke and cerebral infarction approximately 1.5-fold, irrespective of plaque location. Severe carotid plaques increased the risk of nonlacunar infarction in anterior (RR 3.2 [95% CI, 1.1 to 9.7]) but not in posterior circulation (RR 0.6 [95% CI, 0.1 to 4.9]). A &gt;10-fold increased risk of lacunar infarction was found in subjects with severe plaques (RR 10.8 [95% CI, 1.7 to 69.7]). No clear difference in risk estimates was seen between ipsilateral and contralateral infarction. Carotid plaques increase the risk of stroke and cerebral infarction, irrespective of their location. Plaques increase the risk of infarctions in the anterior but not in the posterior circulation. It is likely that carotid plaques in neurologically asymptomatic subjects are both markers of generalized atherosclerosis and sources of thromboemboli.</t>
  </si>
  <si>
    <t>Intake of dietary phytoestrogens by Dutch women.</t>
  </si>
  <si>
    <t>Boker, Lital Keinan; Van der Schouw, Yvonne T; De Kleijn, Miriam J J; Jacques, Paul F; Grobbee, Diederick E; Peeters, Petra H M</t>
  </si>
  <si>
    <t>https://pubmed.ncbi.nlm.nih.gov/12042453</t>
  </si>
  <si>
    <t>Higher consumption of phytoestrogens might be protective against certain chronic diseases. Accurate quantification of habitual phytoestrogen intake is important for assessing associations between phytoestrogens and risk for certain diseases. The aim of this study was to estimate dietary intake of phytoestrogens in Dutch middle-aged and elderly women and to describe their main sources. Women were recruited between 1993 and 1997 and aged 50-69 y at enrollment (Prospect-EPIC; n = 17,357). A detailed food frequency questionnaire referring to the preceding year was filled in at recruitment. A literature search was conducted to obtain data regarding content of the isoflavones daidzein, genistein, formononetin, biochanin A, the coumestan coumesterol and the lignans matairesinol and secoisolariciresinol in relevant food items. Concentrations of each phytoestrogen in each food item were subsequently grouped by seven categories; group scores were multiplied by daily intakes of food items and then summed across food items to produce for each participant a total daily intake score for each phytoestrogen. Approximately 75% of participants were postmenopausal at recruitment. The mean age was 57 y. Geometric means of daily intake of daidzein, genistein, formononetin, biochanin A, coumesterol, matairesinol and secoisolariciresinol were 0.15, 0.16, 0.08, 0.001, &lt;0.001, 0.07 and 0.93 mg, respectively. The main sources for isoflavones were peas and beans, nuts, grain products, coffee, tea and soy products. The main sources for coumestans were peas, beans and other vegetables. The main sources of lignans were grain products, fruit and alcoholic beverages (red and white wines). We conclude that intake levels of phytoestrogen in our study population are low; however, they are comparable with intake levels previously reported for other Western cohorts. In this population, phytoestrogen intake consisted largely of lignans.</t>
  </si>
  <si>
    <t>Quality and quantity of DNA isolated from frozen urine in population-based research.</t>
  </si>
  <si>
    <t>van der Hel, Olga L; van der Luijt, Rob B; Bueno de Mesquita, H B; van Noord, Paul A H; Slothouber, Barbara; Roest, Mark; van der Schouw, Yvonne T; Grobbee, Diederick E; Pearson, Peter L; Peeters, Petra H M</t>
  </si>
  <si>
    <t>analytical biochemistry</t>
  </si>
  <si>
    <t>https://pubmed.ncbi.nlm.nih.gov/12009697</t>
  </si>
  <si>
    <t>In several population-based studies in the past urine samples were collected and stored for future research. We set out to determine the reliability of using such samples for genotyping DNA markers in epidemiologic research. A source of DNA extracted from exfoliated nucleated cells in urine is provided by the DOM cohort, in which specimens were collected 15-25 years ago. We have examined the quality of the DNA in 48 of these samples by measuring the amount of DNA isolated and its ability to provide an adequate PCR template for amplicons of different lengths. MTHFR polymorphism was analyzed in 644 specimens to determine the inter- and intraobserver reproducibility. Although the DNA amount was variable, 26 to 89% of the samples, depending both on the length of the PCR amplicon and on PCR conditions, yielded a visible PCR product. The intra- and interobserver agreements were comparable (kappa 0.86 and 0.88, respectively). Our results demonstrate that frozen urine samples can be used for DNA typing studies in women after prolonged periods of storage, but with sometimes unpredictable results. Ultimately, the genotype success rate was 89.3%. Urine collection can be considered as a useful method of obtaining DNA in large cohort studies and other circumstances when blood samples cannot be obtained or have not been stored.</t>
  </si>
  <si>
    <t>PERindopril-Function of the Endothelium in Coronary Artery Disease Trial: the PERFECT study--sub study of EUROPA: rationale and design.</t>
  </si>
  <si>
    <t>Bots, Michiel L; Remme, Willem J; Lüscher, Tomas F; Grobbee, Diederick E; ,</t>
  </si>
  <si>
    <t>https://pubmed.ncbi.nlm.nih.gov/12374901</t>
  </si>
  <si>
    <t>ACE inhibition reduces morbidity and mortality among a variety of patients. Among mechanisms explaining these beneficial effects are the effects on the sympathetic system and on local vasodilating substances such as nitric oxide and bradykinins at the level of the endothelium. The PERFECT study was designed to verify the above mentioned pathophysiological concepts. The PERFECT study is a study nested within the EUROPA trial, a three year double-blind, multi-centre, placebo-controlled randomised study that aims at studying the effect of the ACE-inhibitor Perindopril on morbidity and mortality in over 12,000 patients with stable coronary artery disease without clinical heart failure. The PERFECT study is designed as a parallel group randomised placebo controlled trial to determine the effect of Perindopril (8 mg) on brachial artery endothelial function in patients with stable coronary artery disease without clinical heart failure. In the PERFECT study, B-mode ultrasonography of the brachial artery is used as a model for changes in the coronary arteries. Endothelial function in response to ischaemia (reactive hyperaemia) and to vasoconstriction (cold pressor test) is assessed. The ischemia test is used a model to assess the effects of ACE inhibition on nitric oxide/bradykinine mediated vasodilatatory response to ischaemia, whereas the cold pressor test is applied to assess the effect of ACE inhibition on the neurohormonal response. The recruitment for the PERFECT study started in May 1998 en was completed in June 1999. 345 patients were recruited in 20 European centers. The Vascular Imaging Center Utrecht, an ultrasound core laboratory, is performing the endothelial function measurements. The primary study outcomes are (1) percentage change in flow-mediated vasodilatation of the brachial artery between the 36 month measurement and the baseline measurement and (2) percentage change in neurohormonal mediated vasoconstriction of the brachial artery between the 36 month measurement and the baseline measurement. The size of the study allows detection of an absolute difference in FMD of 2.0% with a 90% power and a two-sided alpha of 5%. The findings of the PERFECT study may help to understand and explain the effects of ACE inhibition, in particular Perindopril, on cardiovascular morbidity and mortality.</t>
  </si>
  <si>
    <t>Risk of Arterial Thrombosis in Relation to Oral Contraceptives (RATIO) study: oral contraceptives and the risk of ischemic stroke.</t>
  </si>
  <si>
    <t>Kemmeren, Jeanet M; Tanis, Bea C; van den Bosch, Maurice A A J; Bollen, Edward L E M; Helmerhorst, Frans M; van der Graaf, Yolanda; Rosendaal, Frits R; Algra, Ale</t>
  </si>
  <si>
    <t>https://pubmed.ncbi.nlm.nih.gov/11988591</t>
  </si>
  <si>
    <t>Epidemiological studies have shown an increased risk of venous thrombosis in women taking third-generation oral contraceptives, ie, those containing the progestogens desogestrel or gestodene. This study assesses the risk of ischemic stroke with several types of oral contraceptives. A multicenter, population-based, case-control study was performed in 9 Dutch centers in women aged 18 to 49 years. Women with a first ischemic stroke were compared with control women without vascular diseases. The control subjects were recruited by random-digit dialing and were stratified by age, area of residence, and year of stroke. All patients and control subjects filled in a questionnaire about the use of oral contraceptives and risk factors for ischemic stroke. Odds ratios were adjusted for the stratification factors. Two hundred three women with an ischemic stroke and 925 control women were included. The risk of stroke in women using any type of oral contraceptives versus none was 2.3 (95% CI 1.6 to 3.3). Current users of first-generation oral contraceptives had an odds ratio of 1.7 (95% CI 0.7 to 4.4). Low-dose second-generation oral contraceptives increased the risk of stroke 2.4 times (95% CI 1.6 to 3.7), and third-generation oral contraceptives increased the risk of stroke 2.0 times (95% CI 1.2 to 3.5). The risk of stroke in women using third-generation oral contraceptives was not different from that in women using second-generation oral contraceptives (odds ratio 1.0, 95% CI 0.6 to 1.8). Third-generation oral contraceptives (containing desogestrel or gestodene) confer the same risk of first ischemic stroke as second-generation oral contraceptives (containing levonorgestrel).</t>
  </si>
  <si>
    <t>Diagnostic studies as multivariable, prediction research.</t>
  </si>
  <si>
    <t>Moons, K G M; Grobbee, D E</t>
  </si>
  <si>
    <t>https://pubmed.ncbi.nlm.nih.gov/11964426</t>
  </si>
  <si>
    <t>Clinical effectiveness of conventional influenza vaccination in asthmatic children.</t>
  </si>
  <si>
    <t>Smits, A J; Hak, E; Stalman, W A B; van Essen, G A; Hoes, A W; Verheij, Th J M</t>
  </si>
  <si>
    <t>https://pubmed.ncbi.nlm.nih.gov/12002538</t>
  </si>
  <si>
    <t>Influenza immunization rates among young asthmatics remain unsatisfactory due to persistent concern about the impact of influenza and the benefits of the vaccine. We assessed the effectiveness of the conventional inactivated trivalent sub-unit influenza vaccine in reducing acute respiratory disease in asthmatic children. We conducted a two-season retrospective cohort study covering the 1995-6 and 1996-7 influenza outbreaks in 22 computerized primary care practices in The Netherlands. In total, 349 patients aged between 0 and 12 years meeting clinical asthma-criteria were included; 14 children were lost to follow-up in the second season. The occurrence of physician-diagnosed acute respiratory disease episodes including influenza-like illness, pneumonia. bronchitis, bronchiolitis, asthma exacerbation and acute otitis media in vaccinated and unvaccinated children were compared after adjustments for age, prior health care and medication use. The occurrence of acute respiratory disease in unvaccinated children was 28% and 24% in the 1995-6 and 1996-7 season, respectively, and was highest in children under 6 years of age (43%). The overall pooled clinical vaccine effectiveness was 27% (95% confidence interval -7 to 51%, P = 0.11) after adjustments. A statistically higher vaccine protectiveness of 55% (95% CI 20-75%, P = 0.01) was observed among asthmatics under 6 years of age compared with -5% in older children (95% CI -81 to 39%). The occurrence of acute respiratory disease among asthmatic children during influenza epidemics is very high, notably in the youngest. Influenza vaccination may reduce morbidity in asthmatic infants and pre-school children. However, larger, preferably experimental, studies are needed to establish the benefits of vaccination, notably in older asthmatic children.</t>
  </si>
  <si>
    <t>Primary and secondary prevention in cardiovascular disease: an old-fashioned concept?</t>
  </si>
  <si>
    <t>van Venrooij, F V; Stolk, R P; Banga, J D; Erkelens, D W; Grobbee, D E</t>
  </si>
  <si>
    <t>https://pubmed.ncbi.nlm.nih.gov/11952880</t>
  </si>
  <si>
    <t>Is the concept of primary and secondary cardiovascular prevention an old-fashioned concept that needs to be re-defined? Discussion paper. Cardiovascular prevention means reduction of absolute risk for cardiovascular disease (CVD), irrespective of clinical stage. For the calculation of an individual probability to develop CVD all factors that contribute to the risk must be taken into account, including previous CVD events.</t>
  </si>
  <si>
    <t>Effect of rewarming speed during hypothermic cardiopulmonary bypass on cerebral pressure-flow relation.</t>
  </si>
  <si>
    <t>Diephuis, J C; Balt, J; van Dijk, D; Moons, K G M; Knape, J T A</t>
  </si>
  <si>
    <t>acta anaesthesiologica scandinavica</t>
  </si>
  <si>
    <t>https://pubmed.ncbi.nlm.nih.gov/11939919</t>
  </si>
  <si>
    <t>Cerebral blood flow is less dependent on arterial blood pressure during hypothermic cardiopulmonary bypass (CPB) compared to warm CPB. Fast rewarming has a more pronounced effect on cognitive performance in the elderly and causes an increased arterio-jugular oxygen content difference. We studied the effect of rewarming and rewarming speed on cerebral pressure-flow relation in adult patients undergoing elective coronary artery bypass surgery with mild hypothermic CPB. Fifty patients were randomly assigned to either a slow rewarming strategy (0.24 degrees C/min) or a fast rewarming strategy (0.5 degrees C/min). Cerebral pressure-flow relation was assessed by a transcranial Doppler derived index for cerebral pressure-flow relation (Pressure-flow Index, PFI). The effect of rewarming speed on cerebral pressure-flow relation was assessed by comparing the absolute PFI value after rewarming between the two treatment groups. The mean PFI decreased significantly from 0.73 (standard deviation: 0.28) before rewarming to 0.54 (0.35) after rewarming in the slow rewarming group and from 0.63 (0.29) to 0.48 (0.30) in the fast rewarming group. Absolute PFI after rewarming was not significantly different (mean PFI difference = 0.06; 95% CI = - 0.13; 0.26) between both rewarming strategies. Rewarming from mild hypothermic CPB might result in pressure-dependent cerebral blood flow velocity but rewarming speed did not aggravate the effect of rewarming on pressure-flow dependency.</t>
  </si>
  <si>
    <t>Foot ulceration and lower limb amputation in type 2 diabetic patients in dutch primary health care.</t>
  </si>
  <si>
    <t>Muller, Ilona Statius; de Grauw, Wim J C; van Gerwen, Willem H E M; Bartelink, Marie Louise; van Den Hoogen, Henk J M; Rutten, Guy E H M</t>
  </si>
  <si>
    <t>https://pubmed.ncbi.nlm.nih.gov/11874949</t>
  </si>
  <si>
    <t>To determine the incidence of foot ulceration and lower limb amputation in type 2 diabetic patients in primary health care. Data on type 2 diabetes were collected by the Nijmegen Monitoring Project between 1993 and 1998 as part of a study of chronic diseases. The records of all patients recorded as having diabetic foot problems and those who died, moved to a nursing home, or were under specialist care were included. The annual incidence of foot ulceration was defined as the number of type 2 diabetic patients per patient-year who developed a new foot ulcer. Incidence of lower limb amputation was similarly defined. Additional information was collected on treatment of foot ulcers. The study population of type 2 diabetic patients increased from 511 patient-years in 1993 to 665 in 1998. The annual incidence of foot ulceration varied between 1.2 and 3.0% (mean 2.1) per year; 25% of the patients had recurrent episodes. The annual incidence of lower limb amputation varied between 0.5 and 0.8% (mean 0.6). Ten of the 15 amputees died, and 12 of 52 (23%) patients with ulceration had a subsequent amputation or a previous history of amputation. In 35 of the 73 (48%) episodes of ulceration, only the family physician provided treatment. Patients with foot problems were older and had more cardiovascular disease, retinopathy, and absent peripheral pulses. The incidence of foot ulceration and lower limb amputation in type 2 diabetes is low; nevertheless, recurrence rates of ulceration and risk of amputation are high, with high mortality.</t>
  </si>
  <si>
    <t>Endogenous estrogen exposure and cardiovascular mortality risk in postmenopausal women.</t>
  </si>
  <si>
    <t>de Kleijn, Miriam J J; van der Schouw, Yvonne T; Verbeek, André L M; Peeters, Petra H M; Banga, Jan-Dirk; van der Graaf, Yolanda</t>
  </si>
  <si>
    <t>https://pubmed.ncbi.nlm.nih.gov/11836198</t>
  </si>
  <si>
    <t>In this study, the authors investigated whether combined information on reproductive factors has additive value to the single reproductive factor age at menopause for assessing endogenous estrogen exposure and cardiovascular mortality risk in postmenopausal women. They conducted a population-based cohort study that included 9,450 postmenopausal women from Nijmegen, the Netherlands, who were aged 35--65 years at enrollment in 1975, with a median follow-up of 20.5 years. A Cox proportional hazards model and Receiver Operating Curves were used to analyze the data. Women aged 52 years or more at menopause had an 18% reduction in cardiovascular mortality (hazard ratio = 0.82, 95% confidence interval (CI): 0.69, 0.98) compared with those aged 44 years or less. Women with more than 18 years of exposure to endogenous estrogen had a statistically significant 20% reduction in cardiovascular mortality (hazard ratio = 0.80, 95 percent CI: 0.67, 0.96) compared with those who had 13 years of exposure or less. The area under the curve of the Receiver Operating Curves for the two models was identical (area under the curve = 0.67, 95 percent CI: 0.66, 0.68). This study shows that age at menopause is related to cardiovascular disease mortality and that a newly developed composite measure of endogenous estrogen exposure does not add to the predictive value of age at menopause for cardiovascular mortality.</t>
  </si>
  <si>
    <t>Classifying the probability of urinary incontinence in psychogeriatric nursing home patients.</t>
  </si>
  <si>
    <t>Valk, M; Moons, K G M; Cools, H J M; Schrijvers, A J P</t>
  </si>
  <si>
    <t>https://pubmed.ncbi.nlm.nih.gov/14764312</t>
  </si>
  <si>
    <t>Urinary incontinence (UI) frequently occurs in psychogeriatric nursing home patients. In general the personnel involved in the care for these patients act on incontinence noted. Patients are not monitored or classified according to likelihood or severity of incontinence. This study was conducted to develop and validate a model for the classification of the likelihood of UI in demented nursing home patients. A multi-center cross-sectional study was conducted using data on clinical and functional status of 692 subjects. Subjects were subdivided in a Derivation set of 532 patients and a Validation set of 160 patients. The data were ascertained with questionnaires completed by physicians and nursing staff. All psychogeriatric wards (25) of four Dutch nursing homes were included. Using univariate logistic regression analysis on the derivation set we identified correlates of UI among 22 clinical and functional patient characteristics. Subsequently, we developed a classification model for prevalent UI, including independent patient characteristics by means of multivariable logistic regression. Next, we stratified patients into groups with varying likelihood's of UI based on the model developed. Subsequently, we transformed the model to an easy applicable classification rule for the identification of patient subgroups with high or low likelihood on UI. Finally, the rule was validated on the validation set. The independent multivariate factors associated with urinary incontinence were impaired ADL and mobility, diminished alertness and fecal impaction. After transforming the regression model to an easy classification rule, the scores ranged from 0 to 7. The area under the curve was 0.88 (95% Confidence Interval (CI): 0.85-0.91) in the derivation set. In the validation set a similar area under the curve was obtained (0.90 (95% CI: 0.85-0.95)). Among subjects with none of the associated factors the rule classified 0.5% as incontinent patients. In case all associated factors were present the proportion classified as incontinent increased to 91%. In conclusion, the developed classification rule provides means to stratifying nursing home patients according to their likelihood of being incontinent of urine.</t>
  </si>
  <si>
    <t>Effects of second and third generation oral contraceptives and their respective progestagens on the coagulation system in the absence or presence of the factor V Leiden mutation.</t>
  </si>
  <si>
    <t>https://pubmed.ncbi.nlm.nih.gov/11859850</t>
  </si>
  <si>
    <t>Compared to second generation, the use of third generation oral contraceptives has been associated with an increased risk of venous thrombosis especially in women with the factor V Leiden mutation. To find an explanation for these risk differences we investigated the effects of desogestrel- and levonorgestrel-containing oral contraceptives as well as their progestagens separately on the coagulation system in the absence or presence of the factor V Leiden mutation. In a single center, double blind trial, 51 women without and 35 women with the factor V Leiden mutation were randomized to either a second generation (30 microg ethinylestradiol/150 microg levonorgestrel) or a third generation (30 microg ethinylestradiol/150 microg desogestrel) oral contraceptive. After two cycles of use and a wash-out period of 2 menstrual cycles, the participants received the corresponding progestagen-only preparation containing 150 microg levonorgestrel or 150 microg desogestrel. In plasmas of the participating women fragment 1+2, factor V, VII, VIII, IX, X and XI were determined. Both combined oral contraceptives induced a decrease in factor V, whereas the levels of all other coagulant parameters increased. However, in women without the factor V Leiden mutation the effects of desogestrel-containing preparations were significantly different compared to levonorgestrel-containing oral contraceptives for factor V (-8.0; 95% CI -13.4 to -2.6), factor VII (26.8; 95% CI 15.5 to 38.0) and factor IX (-9.6; 95% CI -16.2 to -3.2). When these women used progestagen-only pills, a differential effect between desogestrel and levonorgestrel was only found for factor IX (-6.5; 95% CI -11.4 to -1.5). In carriers of the factor V Leiden mutation desogestrel-containing oral contraceptives induced more pronounced changes in factor V (-14.2; 95% CI -22.4 to -6.0) and factor VII (36.1; 95% CI 19.7 to 52.6) compared to levonorgestrel-containing oral contraceptives. Comparing desogestrel- and levonorgestrel-only, only for factor V a differential effect was found in these women (-9.5; 95% CI -18.3 to -0.6). It appears that desogestrel-containing oral contraceptives have a more pronounced effect on the coagulation system than levonorgestrel-containing oral contraceptives which may be explained by a less effective compensation of the thrombotic effect of ethinylestradiol by desogestrel.</t>
  </si>
  <si>
    <t>Prediction of stroke in the general population in Europe (EUROSTROKE): Is there a role for fibrinogen and electrocardiography?</t>
  </si>
  <si>
    <t>Moons, K G M; Bots, M L; Salonen, J T; Elwood, P C; Freire de Concalves, A; Nikitin, Y; Sivenius, J; Inzitari, D; Benetou, V; Tuomilehto, J; Koudstaal, P J; Grobbee, D E</t>
  </si>
  <si>
    <t>https://pubmed.ncbi.nlm.nih.gov/11815642</t>
  </si>
  <si>
    <t>To decide whether a person with certain characteristics should be given any kind of intervention to prevent a cardiovascular event, it would be helpful to classify subjects in low, medium and high risk categories. The study evaluated which well known cerebrovascular and cardiovascular correlates, in particular fibrinogen level and ECG characteristics, are able to predict the occurrence of stroke in men of the general population using data from three European cohorts participating in EUROSTROKE. EUROSTROKE is a collaborative project among ongoing European population based cohort studies and designed as a prospective nested case-control study. For each stroke case two controls were sampled. Strokes were classified according to MONICA criteria or reviewed by a panel of four neurologists. Complete data were available of 698 men (219 stroke events) from cohorts in Cardiff (84 cases/200 controls), Kuopio (74/148) and Rotterdam (61/131). Multivariable logistic regression modeling was used to evaluate which information from history, physical examination (for example, blood pressure), blood lipids, and fibrinogen and ECG measurements independently contributed to the prediction of stroke. The area under receiver operating characteristic curve (ROC area) was used to estimate the predictive ability of models. Independent predictors from medical history and physical examination were age, stroke history, medically treated hypertension, smoking, diabetes mellitus and diastolic blood pressure. The ROC area of this model was 0.69. After validating and transforming this model to an easy applicable rule, 40% of all future stroke cases could be predicted. Adding pulse rate, body mass index, blood lipids, fibrinogen level and ECG parameters did not improve the classification of subjects in low, medium and high risk. Results were similar when fibrinogen was dichotomised at the upper tertile or quintile. In the general male population the future occurrence of stroke may be predicted using easy obtainable information from medical history and physical examination. Measurement of pulse rate, body mass index, blood lipids, fibrinogen level and ECG characteristics do not contribute to the risk stratification of stroke and have no value in the screening for stroke in the general male population.</t>
  </si>
  <si>
    <t>Dietary intake of phytoestrogens is associated with a favorable metabolic cardiovascular risk profile in postmenopausal U.S.women: the Framingham study.</t>
  </si>
  <si>
    <t>de Kleijn, Miriam J J; van der Schouw, Yvonne T; Wilson, Peter W F; Grobbee, Diederick E; Jacques, Paul F</t>
  </si>
  <si>
    <t>https://pubmed.ncbi.nlm.nih.gov/11823590</t>
  </si>
  <si>
    <t>Hypertension, central obesity and dyslipidemia are associated with high cardiovascular risk. Estrogen therapy in women has beneficial effects on some of these metabolic cardiovascular risk factors. It is not known whether dietary estrogens have similar effects, especially in Western populations. We studied the association between dietary phytoestrogen intake and metabolic cardiovascular risk factors in postmenopausal women. For this purpose, 939 postmenopausal women participating in the Framingham Offspring Study were included in this cross-sectional study. Mean blood pressure, waist-hip ratio (WHR) and lipoprotein levels were determined in quartile categories of dietary phytoestrogen (isoflavones and lignans) intake, determined by a food-frequency questionnaire. In addition, a metabolic syndrome score was defined according to WHO criteria (range 0-6). The WHR was lower in women in the highest quartile of intake of lignans compared with the lowest [-0.017; 95% confidence interval (CI) -0.030 to -0.0016]. In the highest quartile of intake of isoflavones, plasma triglyceride levels were 0.16 mmol/L lower (95% CI, -0.30 to -0.02) compared with the lowest quartile of isoflavones; for lignan intake, this difference was 0.23 mmol/L (95% CI, -0.37 to -0.09). In the highest quartile of isoflavone intake, the mean cardiovascular risk factor metabolic score was 0.43 points lower (95% CI, -0.70 to -0.16) than the lowest quartile. The difference in this score between the extreme quartiles of intake of lignans was -0.55 points (95% CI, -0.82 to -0.28). In conclusion, high intake of phytoestrogens in postmenopausal women appears to be associated with a favorable metabolic cardiovascular risk profile.</t>
  </si>
  <si>
    <t>Age at menarche in relation to adult height in the EPIC cohort.</t>
  </si>
  <si>
    <t>Moret, N C; van Gils, C H; Peeters, P H M; ,</t>
  </si>
  <si>
    <t>iarc scientific publications</t>
  </si>
  <si>
    <t>https://pubmed.ncbi.nlm.nih.gov/12484194</t>
  </si>
  <si>
    <t>The 1944-1945 Dutch famine and age at natural menopause--the value and validity of individual exposure assessment.</t>
  </si>
  <si>
    <t>Elias, S G; Van Noord, P A H; Peeters, P H M; Den Tonkelaar, I; Grobbee, D E</t>
  </si>
  <si>
    <t>https://pubmed.ncbi.nlm.nih.gov/12484195</t>
  </si>
  <si>
    <t>Time-of-flight MR angiography of carotid artery stenosis: does a flow void represent severe stenosis?</t>
  </si>
  <si>
    <t>Nederkoorn, Paul J; van der Graaf, Yolanda; Eikelboom, Bert C; van der Lugt, Aad; Bartels, Lambertus W; Mali, Willem P T M</t>
  </si>
  <si>
    <t>https://pubmed.ncbi.nlm.nih.gov/12427639</t>
  </si>
  <si>
    <t>Time-of-flight (TOF) magnetic resonance angiography (MRA) is commonly used to visualize the carotid arteries; however, flow void artifacts can appear. Our purpose was to determine the frequency and diagnostic meaning of flow voids by using real patient data, as part of a larger study of MRA compared with the criterion standard, digital subtraction angiography (DSA). In 1997-2000, 390 consecutive patients with sonographic findings suggestive of carotid artery stenosis were included in this study. All patients subsequently underwent three-dimensional (3D) TOF MRA and conventional DSA. The frequency of flow void artifacts on 3D TOF MRA images were compared with stenosis measurements on DSA images. We recorded 107 flow voids (16%) during 3D TOF MRA of 662 carotid arteries. DSA images were available for comparison in 102 cases. The median percentage of stenosis in this subgroup of flow voids on MRA images was 80%, compared with measurements on DSA images according to the North American Symptomatic Carotid Endarterectomy Trial (NASCET) criteria. Stenoses ranged from 36% to 100% (occlusion). Three flow voids (2.9%) were in the 0-49% range; 11 (10.8%), in the 50-69% range; and 86 (84.3%), in the 70-99% range. Two flow voids (2.0%) represented occlusions. The positive predictive value of a flow void artifact for the presence of severe (70-99%) stenosis was 84.3% (95% CI: 77.3%, 91.4%). Flow void artifacts represented severe stenosis in most of the arteries. According to our data, the assumption that flow voids on 3D TOF MRA images represent severe stenosis is justified.</t>
  </si>
  <si>
    <t>Influenza vaccinations: who needs them and when?</t>
  </si>
  <si>
    <t>Hak, Eelko; Hoes, Arno W; Verheij, Theo J M</t>
  </si>
  <si>
    <t>https://pubmed.ncbi.nlm.nih.gov/12421099</t>
  </si>
  <si>
    <t>Influenza vaccination programmes should aim at reducing the burden from influenza among those who need it most. The primary aim of this literature review is to identify who should receive priority in influenza vaccination programmes. Risk factors for severe post-influenza complications include immune-related factors, such as ageing or the presence of immune-suppression, respiratory tract disease, proneness to exacerbation of concomitant high-risk disease, potential adverse effects associated with long-term drug use or residence in closed communities with high transmission rate. When given annually in autumn, inactivated trivalent influenza vaccines can reduce severe complications from influenza among persons aged 65 years or older by 30-60%. Among children aged less than 7 years, notably those with asthma, the occurrence of otitis media or acute respiratory disease is reduced by 20-75% with vaccination. In addition, vaccination of residents of long-term care facilities and their personnel leads to a 42% reduction in mortality among patients. However, uncertainty remains about whether influenza vaccination can reduce complications from influenza among the large group of older children and persons of working-age with high-risk disease. To further increase the impact of prevention strategies, the development and application of clinical prediction rules to estimate absolute risks of post-influenza complications should be studied in relation to optimal vaccine delivery strategies. Furthermore, adequately powered studies should be conducted to demonstrate possible effectiveness of vaccination in reducing post-influenza complications among older children and working-age adults.</t>
  </si>
  <si>
    <t>Phytoestrogens and breast cancer risk: review of the epidemiological evidence.</t>
  </si>
  <si>
    <t>https://pubmed.ncbi.nlm.nih.gov/12484200</t>
  </si>
  <si>
    <t>Determinants for the course of acute sinusitis in adult general practice patients.</t>
  </si>
  <si>
    <t>Stalman, W A; van Essen, G A; van der Graaf, Y</t>
  </si>
  <si>
    <t>postgraduate medical journal</t>
  </si>
  <si>
    <t>https://pubmed.ncbi.nlm.nih.gov/11723317</t>
  </si>
  <si>
    <t>Although the prognosis of acute sinusitis is important, little is known about it and the factors predicting its course in a general practice population. To determine the course of acute sinusitis and factors predicting it in adults in general practice. The prognostic value of demographic and clinical factors and the patient's emotional state, for example anxious or depressed, were determined prospectively by means of multivariate analysis. Resolution of facial pain, resumption of daily activities, and the patient's reported improvement. Factors with a significant predictive value were used to classify the patients into three different groups: quick, moderate, and slow recovery. The median time from enrollment to recovery was six (range percentile 25-75: 4-10) days in a population of 177 patients. Factors predictive of a prolonged clinical course were: female sex (hazard ratio (HR) 0.60; 95% confidence interval (CI) 0.42 to 0.83), history longer than 14 days before inclusion (HR 0.62; 95% CI 0.41 to 0.94), headache, cold, or cough as a reason for the encounter (HR 0.65; 95% CI 0.44 to 0.96), and absence of cervical adenopathy (HR 0.71; 95% CI 0.51 to 0.96). Antibiotic treatment did not influence the course of disease. The median time to recovery was three days for patients with a quick, five days for those with a moderate, and seven days for those with a slow recovery. In general practice acute sinusitis is mostly a self limiting disease. A limited number of characteristics are predictive of a (slightly) prolonged clinical course of acute sinusitis in general practice.</t>
  </si>
  <si>
    <t>Distal aortic diameter and peripheral arterial occlusive disease.</t>
  </si>
  <si>
    <t>van den Bosch, M A; van der Graaf, Y; Eikelboom, B C; Algra, A; Mali, W P; ,</t>
  </si>
  <si>
    <t>https://pubmed.ncbi.nlm.nih.gov/11743565</t>
  </si>
  <si>
    <t>Several studies have reported an association between abdominal aortic dilatation and peripheral arterial occlusive disease. Narrowing of aortic diameter, also called abdominal aortic hypoplasia, and peripheral arterial occlusive disease have received insufficient attention. Precise estimates of the relationship between aortic hypoplasia and peripheral arterial occlusive disease are lacking. In this study, we assessed the relationship between abdominal aortic diameter and peripheral arterial occlusive disease. In this cross-sectional study, we analyzed 1572 patients 18 to 79 years of age, newly referred to the vascular center of our hospital with clinically manifest atherosclerotic arterial disease or for treatment of cardiovascular risk factors. Diameter measurements were used to subdivide patients according to tertiles of abdominal aortic diameter. Peripheral arterial occlusive disease was assessed by adjusted Rose questionnaire, ankle-brachial pressure index, and the presence of gangrene or leg ulcers. Compared with patients with normal aortic diameter, peripheral arterial occlusive disease was twice as prevalent in patients at both ends of the aortic diameter spectrum. When the lowest tertile was compared with the middle tertile in male patients, the adjusted odds ratio was 1.7 (95% CI, 1.0-3.1). When the highest tertile was compared with the middle tertile, the adjusted odds ratio was 2.1 (95% CI, 1.2-3.4). Similar results were found in female patients. The adjusted odds ratio of lowest versus middle tertile was 2.4 (95% CI, 1.1-5.0) and 1.8 (95% CI, 0.8-4.0) when the highest tertile was compared with the middle tertile. The risk of peripheral arterial occlusive disease was increased in the lower and upper distribution of aortic diameter. Apparently, both patients with an aortic diameter too large and patients with an aortic diameter too small are prone to peripheral arterial occlusive disease. This is the first large study that shows that small aortic diameter is associated with peripheral arterial occlusive disease.</t>
  </si>
  <si>
    <t>Hormone replacement therapy and endothelial function. Results of a randomized controlled trial in healthy postmenopausal women.</t>
  </si>
  <si>
    <t>de Kleijn, M J; Wilmink, H W; Bots, M L; Bak, A A; van der Schouw, Y T; Planellas, J; Engelen, S; Banga, J D; Grobbee, D E</t>
  </si>
  <si>
    <t>https://pubmed.ncbi.nlm.nih.gov/11730815</t>
  </si>
  <si>
    <t>To compare the effects of 3 months treatment with tibolone (a single entity synthetic steroid hormone with estrogenic, progestanic and androgenic activities), or continuous combined conjugated equine estrogens (CEE) plus medroxyprogesterone acetate (MPA), with placebo, on endothelial function. A single center, randomized, double-blind, placebo-controlled study. Research center as part of the University Medical Center Utrecht. One hundred and five healthy postmenopausal women, sampled from the general population. Three months treatment with tibolone or CEE+MPA or placebo. At baseline and after 3 months, endothelial function was assessed non-invasively by measuring percent lumen diameter change in the brachial artery after reactive hyperemia and sublingual nitroglycerine spray. Results are presented as mean differences between treatment groups of endothelium dependent flow mediated dilatation (fmd) and endothelium independent nitroglycerine induced dilatation with 95% confidence intervals (95% CI). After treatment, there was a significant difference in mean fmd between the CEE+MPA group and the placebo group of 2.5% (95% CI: 0.3-4.6) while the tibolone group and the placebo group did not differ significantly (0.6%; 95% CI: 1.6-2.8). Nitroglycerine induced dilatation did not differ significantly between the groups. Hormone replacement therapy with CEE+MPA for 3 months increases endothelium dependent fmd of the brachial artery in healthy postmenopausal women. Tibolone did not alter fmd. The clinical significance of this improvement in fmd for cardiovascular disease risk needs to be established.</t>
  </si>
  <si>
    <t>Determinants of circulating insulin-like growth factor (IGF)-I and IGF binding proteins 1-3 in premenopausal women: physical activity and anthropometry (Netherlands).</t>
  </si>
  <si>
    <t>Voskuil, D W; Bueno de Mesquita, H B; Kaaks, R; van Noord, P A; Rinaldi, S; Riboli, E; Grobbee, D E; Peeters, P H</t>
  </si>
  <si>
    <t>https://pubmed.ncbi.nlm.nih.gov/11808715</t>
  </si>
  <si>
    <t>Epidemiologic studies suggest that subjects with elevated plasma concentrations of insulin-like growth factor (IGF)-I are at increased risk of developing cancer. The objective of our study was to assess whether cancer risk factors such as lack of physical activity, obesity, and central body fat distribution are associated with plasma levels of IGF-I and related proteins (i.e. IGF binding proteins 1-3 and C-peptide). A cross-sectional study was conducted in a population of 225 premenopausal women, aged 49-57, participating in the Prospect-EPIC study in the Netherlands. Plasma concentrations of IGF-I, IGFBP-1, IGFBP-2, IGFBP-3, and C-peptide were determined. On the day of blood collection height, weight, and waist and hip circumference were measured. Habitual physical activity was assessed using a validated self-administered questionnaire. Mean concentrations of plasma IGF-I, IGFBP-1, IGFBP-2, IGFBP-3, and C-peptide were 156.1, 14.3, 434.4, 3062, and 2.86 ng/ml, respectively. Women in the highest tertile for physical activity had lower plasma concentrations of IGF-I, IGFBP-3, and C-peptide, and higher concentrations of IGFBP-1 and IGFBP-2, as compared to women in the lowest tertile. However, these differences were not statistically significant. BMI and related measures were significantly inversely associated with IGFBP-1 and IGFBP-2, and positively with IGFBP-3 and C-peptide. Linear regression analyses showed that the non-significant association of physical activity with components of the plasma IGF system was further attenuated by adjusting for obesity and central body fat distribution. Our data suggest that an active lifestyle is not independently associated with the plasma IGF system. We did confirm that a lean body shape is associated with higher concentrations of IGFBP-1 and IGFBP-2, and possibly also with lower concentrations of IGF-I and IGFBP-3.</t>
  </si>
  <si>
    <t>Effect of second and third generation oral contraceptives on lipid metabolism in the absence or presence of the factor V Leiden mutation.</t>
  </si>
  <si>
    <t>Kemmeren, J M; Algra, A; Grobbee, D E</t>
  </si>
  <si>
    <t>https://pubmed.ncbi.nlm.nih.gov/11887980</t>
  </si>
  <si>
    <t>The effect of a second and third generation oral contraceptive and of the progestagens used in these pills on lipid metabolism was studied in the absence or presence of the factor V Leiden mutation. A single centre, double blind randomized trial. University Medical Centre. A total of 51 women without and 35 women with the factor V Leiden mutation. A second generation (30 microg ethinylestradiol/150 microg levonorgestrel) or a third generation (30 microg ethinylestradiol/l 50 microg desogestrel) oral contraceptive. After two cycles of use and a wash-out period of two cycles, the participants received the corresponding progestagen-only preparation containing 150 microg levonorgestrel or 150 microg desogestrel. Mean difference in changes between the treatment groups on total cholesterol, HDL, LDL, triglycerides and total/HDL cholesterol ratio. Compared with levonorgestrel, desogestrel-containing oral contraceptives caused in women without the factor V Leiden mutation significant changes in HDL (0.43; 95% confidence interval [CI] 0.25-0.61), LDL (-0.55; 95% CI -0.90 to -0.20), triglycerides (0.19; 95% CI 0.06-0.32) and total/ HDL cholesterol ratio (-0.87; 95% CI -1.21 to -0.53). When the progestagen-only preparations were used, differential changes were found for HDL (0.16; 95% CI 0.03-0.29), LDL (-0.31; 95% CI - 0.56 to -0.05) and total/HDL cholesterol ratio (-0.55; 95% CI -0.84 to -0.26). Desogestrel-only caused changes opposite to those of desogestrel-containing oral contraceptives. For cholesterol and triglycerides, this effect was also found for levonorgestrel-only in comparison with levonorgestrel-combined oral contraceptives. Levonorgestrel appeared to induce the effect on HDL. Almost all results were similar for women with the factor V Leiden mutation. It appears that desogestrel counteracts the effects of oestrogens to a lesser extent than levonorgestrel. Desogestrel-containing oral contraceptives have therefore a more favourable influence on cholesterol metabolism in comparison with levonorgestrel-containing oral contraceptives.</t>
  </si>
  <si>
    <t>[CBO guideline 'High blood pressure' (revision)].</t>
  </si>
  <si>
    <t>Grobbee, D E; Tuut, M K; Hoes, A W</t>
  </si>
  <si>
    <t>https://pubmed.ncbi.nlm.nih.gov/11715592</t>
  </si>
  <si>
    <t>The revised CBO guideline 'High blood pressure' details the present scientific knowledge about the detection, diagnosis and treatment of elevated blood pressure as well as the implementation of this knowledge in practice. For both systolic and diastolic increased blood pressure the risk of cardiovascular disease and mortality gradually increases. The blood pressure is considered to be elevated if the systolic pressure is &gt; or = 140 mmHg and/or the diastolic pressure is &gt; 90 mmHg. For individuals aged 60 years and over, without diabetes, familiar hypercholesterolaemia or overt cardiovascular disease, 160 mmHg is the cut-off value for elevated systolic pressure. Depending on age or blood pressure level, the diagnosis 'elevated blood pressure' is established after 3 or 5 measurements over a period of some weeks (3 measurements) to 6 months (5 measurements). Where elevated blood pressure is diagnosed, lifestyle recommendations should be considered first and only if these provide insufficient results should medicinal treatments be adopted. The indication area for treatment is laid down in the case of elevated blood pressure and an absolute cardiovascular risk of 20% per 10 years. When the absolute cardiovascular risk is between 10% and 20% per year, treatment may be considered. For treatment the target value is the same as the criterion for elevated blood pressure.</t>
  </si>
  <si>
    <t>Introducing a pneumococcal vaccine to an existing influenza immunization program: vaccination rates and predictors of noncompliance.</t>
  </si>
  <si>
    <t>Opstelten, W; Hak, E; Verheij, T J; van Essen, G A</t>
  </si>
  <si>
    <t>https://pubmed.ncbi.nlm.nih.gov/11690574</t>
  </si>
  <si>
    <t>Influenza vaccination has been recommended for all elderly people in The Netherlands since 1996, with greater than 80% compliance. It is unknown, however, if the addition of another vaccine to this immunization program will affect compliance. General practitioners offered a pneumococcal vaccine together with the yearly influenza vaccination to 3365 patients aged 65 years and older. A questionnaire was then mailed to a stratified sample (n = 972) of these patients. Factors associated with noncompliance with vaccination were assessed using polytomous logistic regression. A total of 2529 patients (75%) received the pneumococcal vaccine and 2812 (84%) received the influenza vaccine. Predictors of noncompliance with the pneumococcal vaccine were perceived lack of recommendation by the general practitioner (odds ratio [OR] = 4.6; 95% confidence interval [CI], 2.6 to 8.3) and fear of local side effects (OR = 2.8; 95% CI, 1.6 to 4.6). Predictors of noncompliance with both vaccinations also included unwillingness to comply with the doctor's advice (OR = 6.1; 95% CI, 2.4 to 15.4), the belief that vaccinations weaken one's natural defenses (OR = 2.7; 95% CI, 1.4 to 5.3) or that influenza is not dangerous (OR = 2.9; 95% CI, 1.5 to 5.4), and the fear of becoming sick from pneumococcal vaccination (OR = 2.9; 95% CI, 1.1 to 7.9). People who felt healthy, found it difficult to visit the doctor's office, had private medical insurance, or were younger than 75 years of age also had a greater risk of not being vaccinated. Introducing a pneumococcal vaccine to an existing influenza immunization program resulted in high pneumococcal and influenza vaccination rates. A wider diversity of patient characteristics and attitudes was present when neither vaccination was received.</t>
  </si>
  <si>
    <t>Early outcome after off-pump versus on-pump coronary bypass surgery: results from a randomized study.</t>
  </si>
  <si>
    <t>van Dijk, D; Nierich, A P; Jansen, E W; Nathoe, H M; Suyker, W J; Diephuis, J C; van Boven, W J; Borst, C; Buskens, E; Grobbee, D E; Robles De Medina, E O; de Jaegere, P P; ,</t>
  </si>
  <si>
    <t>https://pubmed.ncbi.nlm.nih.gov/11591611</t>
  </si>
  <si>
    <t>The use of cardiopulmonary bypass during coronary artery bypass surgery (CABG) has been associated with substantial morbidity. The recent introduction of cardiac stabilizers facilitates CABG without cardiopulmonary bypass (off-pump CABG), but it is unknown whether cardiac outcome after off-pump surgery is similar to that for the on-pump procedure. In a multicenter trial, 281 patients (mean age 61 years, SD 9 years) were randomly assigned to off-pump or on-pump CABG. In-hospital results and cardiac outcome and quality of life after 1 month are presented. Cardiac outcome was defined as survival free of stroke, myocardial infarction, and coronary reintervention. The mean numbers of distal anastomoses per patient were 2.4 (SD 1.0) and 2.6 (SD 1.1) in the off-pump and on-pump groups, respectively. Completeness of revascularization was similar in both groups. Blood products were needed during 3% of the off-pump procedures and 13% of the on-pump procedures (P&lt;0.01). Release of creatine kinase muscle-brain isoenzyme was 41% less in the off-pump group (P&lt;0.01). Otherwise, no differences in complications were found postoperatively. Off-pump patients were discharged 1 day earlier. At 1 month, operative mortality was zero in both groups, and quality of life had improved similarly. In both groups, 4% of the patients had recurrent angina. The proportions of patients surviving free of cardiovascular events were 93.0% in the off-pump group and 94.2% in the on-pump group (P=0.66). In selected patients, off-pump CABG is safe and yields a short-term cardiac outcome comparable to that of on-pump CABG.</t>
  </si>
  <si>
    <t>Effect of hormone replacement therapy on lipids in perimenopausal and early postmenopausal women.</t>
  </si>
  <si>
    <t>Ossewaarde, M E; Bots, M L; Bak, A A; Van Der Schouw, Y T; Witteman, J C; Planellas, J; Bennink, H J; Grobbee, D E</t>
  </si>
  <si>
    <t>https://pubmed.ncbi.nlm.nih.gov/11574180</t>
  </si>
  <si>
    <t>To determine the effects of oral sequential hormone replacement therapy (HRT) on lipid-profile in perimenopausal and early postmenopausal women. We performed a single-center, randomized, placebo-controlled trial. The trial was double blind with respect to 17beta-estradiol/desogestrel (17beta-E-D) and placebo and open with respect to conjugated estrogens/norgestrel (CEE-N). A total of 125 healthy perimenopausal and early postmenopausal women, aged 43-58 years, were recruited from the general population in Zoetermeer, the Netherlands. The intervention consisted of 6 months treatment with 1.5 mg 17beta-estradiol/0.15 mg desogestrel (n=53), 0.625 mg conjugated estrogens/0.15 mg norgestrel (n=36) or placebo (n=36). At baseline, cycle 1, 3 and 6, overnight fasting blood samples were obtained in which lipids were determined. We used linear regression analysis to calculate differences in mean change from baseline in lipids in the active treatment groups compared to placebo. In both treatment groups significant (P&lt;0.05) falls in low-density-lipoprotein (LDL)-cholesterol (17beta-E-D: -7.8% and CEE-N: -8.4%) and lipoprotein(a) (17beta-E-D: -11.7% and CEE-N: -28.3%) were found compared to placebo. Apolipoprotein A1 (17beta-E-D: 6.8% and CEE-N: 7.3%) and HDL-cholesterol (17beta-E-D: 6.4% and CEE-N: 8.0%) significantly increased compared to placebo. No significant changes were found in the other lipids. Mean changes from baseline in total cholesterol, LDL-cholesterol and apolipoprotein B were significantly more pronounced in postmenopausal women compared to perimenopausal women, adjustment for age-differences did not change the results. Treatment of perimenopausal and early postmenopausal women with 17beta-E-D or CEE-N changes their lipid-profile in a potentially anti-atherogenic direction. Changes appear to be more pronounced in postmenopausal women compared to perimenopausal women.</t>
  </si>
  <si>
    <t>Validity and reproducibility of ultrasonography for the measurement of intra-abdominal adipose tissue.</t>
  </si>
  <si>
    <t>Stolk, R P; Wink, O; Zelissen, P M; Meijer, R; van Gils, A P; Grobbee, D E</t>
  </si>
  <si>
    <t>https://pubmed.ncbi.nlm.nih.gov/11571598</t>
  </si>
  <si>
    <t>We studied the validity and reproducibility of a new abdominal ultrasound protocol for the assessment of intra-abdominal adipose tissue. Intra-abdominal adipose tissue was assessed by CT, MRI, anthropometry and ultrasonography on a single day. By ultrasonography the distance between peritoneum and lumbar spine was measured using a strict protocol, including the location of the measurements, pressure on the transducer and respiration. All measurements were repeated after 3 months. The study population consisted of 19 overweight patients with a body mass index (BMI) of 32.9 kg/m(2) (s.d. 3.7), intra-abdominal adipose tissue on CT 140.1 cm(2) (s.d. 55.9), and a mean ultrasound distance of 9.8 cm (s.d. 2.5). There was a strong association between the CT and ultrasonographic measures: Pearson correlation coefficient was 0.81 (P&lt;0.001). The correlation between ultrasound and waist circumference was 0.74 (P&lt;0.001), the correlation between CT and waist circumference was 0.57 (P=0.01). Ultrasound appeared a good method to diagnose intra-abdominal obesity: the area under the ROC curve was 0.98. During the follow-up period of 3 months, the patients lost on average almost 3 kg of body weight. The correlation coefficient between changes in intra-abdominal adipose tissue assessed by CT and ultrasound was 0.74 (P&lt;0.001). The correlation coefficient of the mean ultrasound distance assessed by two different sonographers at baseline was 0.94 (P&lt;0.001), the mean difference 0.4 cm (s.d. 0.9), and the coefficient of variation 5.4%, indicating good reproducibility of the ultrasound measurements. The results of this validation study show that abdominal ultrasound, using a strict protocol, is a reliable and reproducible method to assess the amount of intra-abdominal adipose tissue and to diagnose intra-abdominal obesity.</t>
  </si>
  <si>
    <t>Cost-effectiveness of oral anticoagulants versus aspirin in patients after infrainguinal bypass grafting surgery.</t>
  </si>
  <si>
    <t>Oostenbrink, J B; Tangelder, M J; Busschbach, J J; van Hout, B A; Buskens, E; Algra, A; Lawson, J A; Eikelboom, B C; ,</t>
  </si>
  <si>
    <t>https://pubmed.ncbi.nlm.nih.gov/11496277</t>
  </si>
  <si>
    <t>Several antithrombotic therapies are available for the treatment of patients with peripheral vascular diseases. It is unknown how quality of life and costs of treatment are influenced by different therapies. This study assessed the cost-effectiveness of oral anticoagulants versus aspirin in patients after infrainguinal bypass grafting surgery. Clinical outcome events and event-free survival were collected from 2650 patients in 77 centers who participated in the Dutch Bypass Oral anticoagulants or Aspirin trial. Approximately half the patients had critical ischemia; 60% received vein grafts, and 20% had femorocrural bypass grafts. A model that was primarily driven by clinical outcome events was used as a means of determining quality of life (EuroQol EQ-5D) and costs for each patient. The main outcome measure was the incremental health care costs in relation to the additional number of quality-adjusted life years and the additional number of event-free years. The mean costs during the 21 months of follow-up were epsilon 6875 per patient in the oral anticoagulants group versus epsilon 7072 in the aspirin group (difference, 197; 95% CI, -746 to 343). The event-free survival was 1.10 years in the group treated with oral anticoagulants versus 1.09 years in the group treated with aspirin (difference, 0.01; 95% CI, -0.07 to 0.08), whereas the corresponding quality-adjusted life years were 1.06 and 1.05, respectively (difference, 0.01; 95% CI, -0.03 to 0.06). Health care costs, event-free survival, and quality-adjusted life years in patients after infrainguinal bypass surgery were not different in patients treated with aspirin and patients treated with oral anticoagulants. The extra costs of monitoring patients treated with oral anticoagulants were limited and play no role in the decision for treatment.</t>
  </si>
  <si>
    <t>A reduction in type and screen: preoperative prediction of RBC transfusions in surgery procedures with intermediate transfusion risks.</t>
  </si>
  <si>
    <t>van Klei, W A; Moons, K G; Leyssius, A T; Knape, J T; Rutten, C L; Grobbee, D E</t>
  </si>
  <si>
    <t>https://pubmed.ncbi.nlm.nih.gov/11493498</t>
  </si>
  <si>
    <t>In many patients, a 'type and screen' procedure is routinely performed before surgery. However, most patients are not transfused after all. Can we predict, which surgical patients will and will not be transfused, to reduce the number of these investigations? We studied 1482 consecutive surgical patients with intermediate risk for transfusion. Multivariate logistic regression modelling and the area under the Receiver Operating Characteristic curve (ROC area) were used to quantify how well age, gender, surgical procedure, emergency or elective surgery and anaesthetic technique predicted transfusion, and whether the preoperative haemoglobin concentration had added predictive value. Gender, age &gt; or =70 yr, and type of surgery were independent predictors of transfusion, with a ROC area of 0.75 (95% CI: 0.72-0.79). Validating this model with an easily used prediction rule in a second patient population yielded a ROC area of 0.70 (95% CI: 0.63-0.77). With this rule type and screen could correctly be withheld in 35% of these patients. In the remaining 65% of the patients, a further reduction in type and screen investigations of 15% could be achieved using the preoperative haemoglobin concentration. Using a simple prediction rule, preoperative type and screen investigations in patients who have to undergo surgery procedures with intermediate transfusion risk can be avoided in about 50%. This may reduce patient burden and hospital costs (on average: 3 million US$ per 100 000 procedures).</t>
  </si>
  <si>
    <t>Third generation oral contraceptives and risk of venous thrombosis: meta-analysis.</t>
  </si>
  <si>
    <t>https://pubmed.ncbi.nlm.nih.gov/11463678</t>
  </si>
  <si>
    <t>To evaluate quantitatively articles that compared effects of second and third generation oral contraceptives on risk of venous thrombosis. Meta-analysis. Cohort and case-control studies assessing risk of venous thromboembolism among women using oral contraceptives before October 1995. Pooled adjusted odds ratios calculated by a general variance based random effects method. When possible, two by two tables were extracted and combined by the Mantel-Haenszel method. The overall adjusted odds ratio for third versus second generation oral contraceptives was 1.7 (95% confidence interval 1.4 to 2.0; seven studies). Similar risks were found when oral contraceptives containing desogestrel or gestodene were compared with those containing levonorgestrel. Among first time users, the odds ratio for third versus second generation preparations was 3.1 (2.0 to 4.6; four studies). The odds ratio was 2.5 (1.6 to 4.1; five studies) for short term users compared with 2.0 (1.4 to 2.7; five studies) for longer term users. The odds ratio was 1.3 (1.0 to 1.7) in studies funded by the pharmaceutical industry and 2.3 (1.7 to 3.2) in other studies. Differences in age and certainty of diagnosis of venous thrombosis did not affect the results. This meta-analysis supports the view that third generation oral contraceptives are associated with an increased risk of venous thrombosis compared with second generation oral contraceptives. The increase cannot be explained by several potential biases.</t>
  </si>
  <si>
    <t>Excessive urinary albumin levels are associated with future cardiovascular mortality in postmenopausal women.</t>
  </si>
  <si>
    <t>Roest, M; Banga, J D; Janssen, W M; Grobbee, D E; Sixma, J J; de Jong, P E; de Zeeuw, D; van Der Schouw, Y T</t>
  </si>
  <si>
    <t>https://pubmed.ncbi.nlm.nih.gov/11425768</t>
  </si>
  <si>
    <t>Microalbuminuria is an early predictor of cardiovascular morbidity and mortality, in both diabetic patients and hypertensive patients. Little is known about the relation of microalbuminuria to cardiovascular disease in women of the general population. We have studied the relation of urinary albumin levels to cardiovascular mortality in a cohort study of 12 239 postmenopausal women living in Utrecht, the Netherlands. The initial age was between 52 and 67 years. Women were followed on vital status between 1976 and 1995 (168 513 women-years). Albumin was determined in the urine of 561 cases and 557 controls. Data were analyzed by using a nested case-control design. The cardiovascular mortality rate (95% CI) for women who were in the highest quintile of urinary albumin levels was 13.2/1000 years (8.1 to 20.9) compared with 2.6/1000 years (2.3 to 3.1) in women without detectable urinary albumin. The age-adjusted rate ratio (95% CI) between these groups was 4.4 (2.6 to 7.6). This is the first large cohort study that confirms a predictive role of urinary albumin for the risk of future cardiovascular mortality independent of hypertension and diabetes. Our findings support the hypothesis that microalbuminuria is a reflection of vascular damage and a marker of early arterial disease in women from the general population.</t>
  </si>
  <si>
    <t>Neural network-based screening (NNS) in cervical cytology: no need for the light microscope?</t>
  </si>
  <si>
    <t>Kok, M R; van Der Schouw, Y T; Boon, M E; Grobbee, D E; Kok, L P; Schreiner-Kok, P G; van der Graaf, Y; Doornewaard, H; van den Tweel, J G</t>
  </si>
  <si>
    <t>diagnostic cytopathology</t>
  </si>
  <si>
    <t>https://pubmed.ncbi.nlm.nih.gov/11391826</t>
  </si>
  <si>
    <t>Neural network-based screening (NNS) of cervical smears can be performed as a so-called "hybrid screening method," in which parts of the cases are additionally studied by light microscope, and it can also be used as "pure" NNS, in which the cytological diagnosis is based only on the digital images, generated by the NNS system. A random enriched sample of 985 cases, in a previous study diagnosed by hybrid NNS, was drawn to be screened by pure NNS. This study population comprised 192 women with (pre)neoplasia of the cervix, and 793 negative cases. With pure NNS, more cases were recognized as severely abnormal; with hybrid NNS, more cases were cytologically diagnosed as low-grade. For a threshold value &gt; or = HSIL (high-grade squamous intraepithelial lesions), the areas under the receiver operating characteristic (ROC) curves (AUC) were 81% (95% CI, 75-88%) for pure NNS vs. 78% (95% CI, 75-81%) for hybrid NNS. For low-grade squamous intraepithelial lesions (LSIL), the AUC was significantly higher for hybrid NNS (81%; 95% CI, 77-85%) than for pure NNS (75%; 95% CI, 70-80%). Pure NNS provides optimized prediction of HSIL cases or negative outcome. For the detection of LSIL, light microscopy has additional value.</t>
  </si>
  <si>
    <t>Intake of dietary phytoestrogens is low in postmenopausal women in the United States: the Framingham study(1-4).</t>
  </si>
  <si>
    <t>de Kleijn, M J; van der Schouw, Y T; Wilson, P W; Adlercreutz, H; Mazur, W; Grobbee, D E; Jacques, P F</t>
  </si>
  <si>
    <t>https://pubmed.ncbi.nlm.nih.gov/11385074</t>
  </si>
  <si>
    <t>Many plants that are consumed contain phytoestrogens. Only a few published studies have examined the dietary intake of phytoestrogens in the general Western population. The potentially positive health effects of phytoestrogens might be of relevance to postmenopausal women. The aim of the present study was to estimate the intake of dietary isoflavones, coumestans and lignans by healthy Western postmenopausal women. For this purpose, we studied 964 postmenopausal, Caucasian women who participated in the Framingham Offspring Study and completed the Willett food-frequency questionnaire (FFQ). By searching the medical and agricultural literature and contacting experts, we identified food sources of phytoestrogens. The concentrations of the different isoflavones, coumestrol and lignans in each food in the FFQ were scored in seven categories and multiplied by the serving size of the food and the frequency of its consumption. The estimated daily median intake of the isoflavone daidzein was 39 microg (24-57 microg); of genistein, 70 microg (28-120 microg); of formononetin, 31 microg (13-44 microg); and of biochanin A, 6 microg (2-11 microg). Median total intake of isoflavones was 154 microg (99-235 microg). The main sources of isoflavones were beans and peas. The estimated daily intake of coumestans was 0.6 microg (0.2-1.7 microg), with broccoli as the main source. The estimated daily median intake of matairesinol was 19 microg (12-28 microg) and of secoisolariciresinol 560 microg (399-778 microg). The median total intake of lignans was 578 microg (416-796 microg). The main source of the lignans was fruits. The daily dietary intake of phytoestrogens in healthy postmenopausal Caucasian women in the United States is &lt;1 mg.</t>
  </si>
  <si>
    <t>Control of blood pressure in the ambulatory setting.</t>
  </si>
  <si>
    <t>Uiterwaal, C S; Grobbee, D E</t>
  </si>
  <si>
    <t>current opinion in nephrology and hypertension</t>
  </si>
  <si>
    <t>https://pubmed.ncbi.nlm.nih.gov/11342803</t>
  </si>
  <si>
    <t>Control of blood pressure still relies on conventional office or clinical blood pressure measurement using mercury sphygmomanometry. However, it has long been known that office measurement, even when repeated, does not fully reflect usual blood pressure. The additional use of ambulatory devices for prolonged periods of blood pressure measurement is now clinically feasible. Previous research has indicated that ambulatory blood pressure measurement is better than office measurement at predicting individual cardiovascular risk. Guidelines for clinical use of ambulatory blood pressure measurement and for quality control of devices are available. Ambulatory measurement has revealed characteristics of circadian rhythm and variability that are promising with regard both to improving our understanding of the aetiology of high blood pressure and to individual risk assessment. Some of the latest developments in research on ambulatory blood pressure measurement are discussed.</t>
  </si>
  <si>
    <t>How useful is selection based on alarm symptoms in requesting gastroscopy? An evaluation of diagnostic determinants for gastro-oesophageal malignancy.</t>
  </si>
  <si>
    <t>Numans, M E; van der Graaf, Y; de Wit, N J; de Melker, R A</t>
  </si>
  <si>
    <t>https://pubmed.ncbi.nlm.nih.gov/11336172</t>
  </si>
  <si>
    <t>To derive and evaluate diagnostic determinants of gastro-oesophageal malignancy as a means of helping family physicians select patients for 'open-access' gastroscopy. In this multicenter study, 861 consecutive patients were investigated with first-time gastroscopy (study population). Another 1153 patients were studied during the next 6 years (validation population). General practitioners registered symptoms relevant to malignancy and patient histories; the results of gastroscopies were received from the endoscopists. Univariate and multivariate analyses resulted in four relevant symptoms that were then compared with 'alarm symptoms' previously published in the literature. Receiver-operating characteristic analysis was used to evaluate the probability of finding malignancy using these two sets of symptoms. Positive answers regarding the symptoms, weight loss and dysphagia, together with negative answers on pain during the night and heartburn, predicted malignancy in the study population with an AUC (area under the curve) of 0.90. 'Alarm symptoms' performed less well in the study population (AUC 0.85), although reproducibility was better in the validation population (0.71 versus 0.63). If exclusion of malignancy had been chosen as the only valid reason for requesting gastroscopy, then pre-selection with the help of these symptoms would have reduced the number of requests by 10%. Thorough evaluation of 'classical' alarm symptoms in dyspeptic patients might help minimize unnecessary gastroscopy requests by GPs seeking a safe treatment decision.</t>
  </si>
  <si>
    <t>Methylenetetrahydrofolate reductase 677 C/T genotype and cardiovascular disease mortality in postmenopausal women.</t>
  </si>
  <si>
    <t>Roest, M; van der Schouw, Y T; Grobbee, D E; Tempelman, M J; de Groot, P G; Sixma, J J; Banga, J D</t>
  </si>
  <si>
    <t>https://pubmed.ncbi.nlm.nih.gov/11282795</t>
  </si>
  <si>
    <t>Methylenetetrahydrofolate reductase (MTHFR) is involved in the reduction of 5,10-methylenetetrahydrofolate to 5-methyltetrahydrofolate. A 677 C/T single nucleotide polymorphism localized in the MTHFR gene is associated with both thermolability and reduced activity of the enzyme and is associated with increased homocysteine levels. The authors investigated the relation between the MTHFR 677 C/T polymorphism and risk of cardiovascular disease mortality in a cohort study of 12,239 women initially aged 52--67 years with a maximum follow-up time of 18 years (1976--1995; 153,732 woman-years of follow-up). The cardiovascular disease mortality rate was highest among women with the MTHFR 677 CC wild-type genotype and lowest among MTHFR 677 TT homozygotes. In comparison with women with the 677 CC wild-type genotype, age-adjusted rate ratios were 0.7 (95% confidence interval: 0.5, 0.9) for 677 CT heterozygotes and 0.6 (95% confidence interval: 0.4, 1.0) for 677 TT homozygotes. The possibility that this relation is a chance finding must be considered, because the relation is weak and of borderline significance. However, it provides an important argument against the view that increased levels of homocysteine directly raise cardiovascular disease risk.</t>
  </si>
  <si>
    <t>Prognostic factors for influenza-associated hospitalization and death during an epidemic.</t>
  </si>
  <si>
    <t>Hak, E; Verheij, T J; van Essen, G A; Lafeber, A B; Grobbee, D E; Hoes, A W</t>
  </si>
  <si>
    <t>https://pubmed.ncbi.nlm.nih.gov/11357897</t>
  </si>
  <si>
    <t>To predict which patients with current high-risk disease in the community may benefit most from additional preventive or therapeutic measures for influenza, we determined prognostic factors for influenza-associated hospitalization and death in a general practice-based case-control study among this segment of the vaccine target population with high influenza vaccination rates. In 103 general practices followed during the 1996/7 influenza epidemic, cases were either hospitalized, or died due to influenza, bronchitis, pneumonia, diabetes, heart failure or myocardial infarction. Age- and gender-matched controls were randomly sampled from the remaining cohort. Information was collected by review of patient records. In total, 119 cases and 196 matched controls were included. Of the cases, 34, 25 and 4% were hospitalized for acute pulmonary and cardiac disease and diabetes, respectively, and 37% died. Multivariate conditional logistic regression analysis revealed that presence of chronic obstructive pulmonary disease, heart failure, previous hospitalization, high GP visiting rate and polypharmacy were independent prognostic factors. Several non-modifiable determinants can be used to ensure targeting additional preventive or therapeutic measures at the most vulnerable segment of the vaccine target group.</t>
  </si>
  <si>
    <t>Optimal oral anticoagulant intensity to prevent secondary ischemic and hemorrhagic events in patients after infrainguinal bypass graft surgery. Dutch BOA Study Group.</t>
  </si>
  <si>
    <t>Tangelder, M J; Algra, A; Lawson, J A; Hennekes, S; Eikelboom, B C</t>
  </si>
  <si>
    <t>https://pubmed.ncbi.nlm.nih.gov/11241122</t>
  </si>
  <si>
    <t>The purpose of this study was to determine the optimal intensity of oral anticoagulation in patients who participated in a randomized trial of oral anticoagulants or aspirin after infrainguinal bypass graft surgery. The distribution of patient-time spent in international normalized ratio (INR) classes of 0.5 INR unit was calculated assuming a linear change between successive measurements. INR-specific incidence rates of ischemic and hemorrhagic events were calculated as the ratio of the number of events at a certain INR category and the total patient-time spent in that class. The relationship between INR class and event rates was quantified by rate ratios calculated in a Poisson regression model. In 1326 patients (mean age, 69 years) 41,928 INR measurements were recorded in 1698 patient-years. Patients spent 50% of the total time within the target range of 3.0 to 4.5 INR. Most of the patient-time (60%) was spent between 2.5 and 3.5 INR. For each increasing class of 0.5 INR, the incidence of ischemic events (n = 154, INR data on event available in 49%) decreased by a factor of 0.97 (95% CI, 0.87-1.08). The incidence of major bleeding (n = 123, INR data on event available in 65%) increased significantly by a factor of 1.27 (95% CI, 1.19-1.34) for each increasing 0.5 INR category. The optimal target range was 3.0 to 4.0 INR, with an incidence of 3.8 events (0.9 ischemic and 2.9 hemorrhagic) per 100 patient-years. The target range of 3.0 to 4.0 INR is the optimal range of achieved anticoagulation intensity and is safe for the prevention of ischemic events in patients after infrainguinal bypass graft surgery.</t>
  </si>
  <si>
    <t>Activation products of the haemostatic system in coronary, cerebrovascular and peripheral arterial disease.</t>
  </si>
  <si>
    <t>van der Bom, J G; Bots, M L; Haverkate, F; Meijer, P; Hofman, A; Kluft, C; Grobbee, D E</t>
  </si>
  <si>
    <t>https://pubmed.ncbi.nlm.nih.gov/11246539</t>
  </si>
  <si>
    <t>To determine the presence of a 'hypercoagulable state' as assessed by indices of thrombin and plasmin generation and of the amount of fibrin that is lysed, in patients with stable coronary, cerebral and peripheral arterial disease a population-based cross-sectional study was performed. From a population-based cohort comprising 7983 men and women aged 55 years and over, we randomly selected 127 subjects with a history of myocardial infarction, 124 with a history of stroke and/or transient ischemic attack, 131 patients with peripheral arterial disease and 263 control subjects in the same age group without arterial disease. Subjects using anticoagulant drugs were not selected. F1+2, TAT, and PAP were not associated with a history of cardiovascular events, nor with peripheral arterial disease. In contrast, positive associations were found for D-Dimer. Mean D-Dimer level was 40 microg/l (95% CI 35, 44) in control subjects; 53 microg/l (47, 61) in those with a history of myocardial infarction and 51 microg/l (45, 58) in those with a history of stroke and or transient ischemic attack. D-Dimer increased gradually with increasing severity of peripheral atherosclerosis; a decrease in ankle/arm systolic blood pressure ratio of 0.1 was associated with an increase in D-Dimer of 3.9 microg/l (p&lt;0.01). This was more pronounced in subjects with higher F1+2, TAT and PAP concentration. In conclusion, the markers of onset of coagulation F1+2, TAT and PAP are not associated with the presence of arterial disease, but increased levels of these markers are necessary for the positive association between D-Dimer and arterial disease.</t>
  </si>
  <si>
    <t>A benefit/risk analysis of the prevention of brain ischaemia with anticoagulant drugs: when, how and whom to treat?</t>
  </si>
  <si>
    <t>Algra, A</t>
  </si>
  <si>
    <t>https://pubmed.ncbi.nlm.nih.gov/11244207</t>
  </si>
  <si>
    <t>This paper summarises the benefits and risks of anticoagulant treatment in patients who have had cerebral ischaemia. In patients with a cardiac source of embolism (in most studies atrial fibrillation), anticoagulation with a target intensity of an INR of 2.0--3.0 is the therapy of first choice. In the case of a contraindication to such treatment, aspirin and ibuprofen are safe, but less effective alternatives. In patients with cerebral ischaemia of presumed arterial origin, anticoagulation with an achieved intensity of 3.0--4.5 proved not to be safe. Results from trials with more moderate anticoagulation regimes are awaited.</t>
  </si>
  <si>
    <t>Oral anticoagulants versus antiplatelet therapy for preventing further vascular events after transient ischaemic attack or minor stroke of presumed arterial origin.</t>
  </si>
  <si>
    <t>Algra, A; de Schryver, E L; van Gijn, J; Kappelle, L J; Koudstaal, P J</t>
  </si>
  <si>
    <t>https://pubmed.ncbi.nlm.nih.gov/11687110</t>
  </si>
  <si>
    <t>Patients who are entered in clinical trials after a transient ischaemic attack (TIA) or non disabling ischaemic stroke have an annual risk of important vascular events (death from all vascular causes, non-fatal stroke, or non-fatal myocardial infarction) of between 4 and 11 percent. Aspirin, in a daily dose of 30mg or more, offers only modest protection after cerebral ischaemia: it reduces the incidence of major vascular events by 20 percent at most. Secondary prevention trials after myocardial infarction indicate that treatment with oral anticoagulants is associated with a risk reduction approximately twice that of treatment with antiplatelet therapy. 1) To compare the efficacy of oral anticoagulants and antiplatelet therapy in the secondary prevention of vascular events after cerebral ischaemia of presumed arterial origin. 2) To compare the safety of oral anticoagulants and antiplatelet therapy in the secondary prevention of vascular events after cerebral ischaemia of presumed arterial origin. This review draws on the search strategy developed for the Stroke Group as a whole. Relevant trials were identified in the Specialised Register of Controlled Trials (last searched: June 2000). Authors of published trials were contacted for further information and unpublished data. Randomised trials with concealed treatment allocation on long term (&gt; 6 months) secondary prevention after recent (&lt; 6 months) TIA or minor ischaemic stroke of presumed arterial origin were selected. The oral anticoagulant therapy was to be of specified intensity (by means of the International Normalised Ratio (INR)) with warfarin, phenprocoumon or acenocoumarol versus a single antiplatelet drug (or combination of antiplatelet agents). Two reviewers selected trials meeting the inclusion criteria and extracted details of randomisation methods, blinding of treatments and assessments, whether intention-to-treat analysis is possible from the published data, whether treatment groups are comparable with regard to major prognostic risk factors for outcomes, the number of patients who are excluded or lost to follow-up, definition of outcomes, and entry and exclusion criteria. The methodological quality of each trial was assessed by the two reviewers using these extracted data. In addition, target INR for anticoagulant treatment and dose and type of antiplatelet drug, duration of follow-up and the numbers of defined outcome events was recorded. The data were analysed according to the intention-to-treat principle. Subgroup analyses with treatment INR 2.1 - 3.6 versus INR 3.0 - 4.5 was performed. Relative and absolute risk reductions were calculated by means of the statistical software provided by the Cochrane Collaboration. Four trials, with a total of 1870 patients were selected. In the prevention of ischaemic stroke after cerebral ischaemia of presumed arterial origin, the available data do not allow a robust conclusion on whether anticoagulants (in any intensity) are more efficacious than antiplatelet therapy (low intensity anticoagulation RR 0.96, 95% CI 0.38 to 2.42, high intensity anticoagulation RR 1.02, 95% CI 0.49 to 2.13). Treatment with anticoagulation INR 2.1 - 3.6 does not give an importantly higher bleeding risk than treatment with antiplatelet agents (RR 1.19, 95% CI 0.59 to 2.41). It is clear that oral anticoagulants INR 3.0 - 4.5 are not safe, because they yield a higher risk of major bleeding complications (RR 9.0, 95% CI 3.9 to 21). For the secondary prevention of further vascular events after transient ischaemic attack or minor stroke of presumed arterial origin, there is insufficient evidence to justify the routine use of low intensity oral anticoagulants (INR 2.0 - 3.6). More intense anticoagulation (INR 3.0 - 4.5) is not safe and should not be used in this setting.</t>
  </si>
  <si>
    <t>Prospect-EPIC Utrecht: study design and characteristics of the cohort population. European Prospective Investigation into Cancer and Nutrition.</t>
  </si>
  <si>
    <t>Boker, L K; van Noord, P A; van der Schouw, Y T; Koot, N V; Bueno de Mesquita, H B; Riboli, E; Grobbee, D E; Peeters, P H</t>
  </si>
  <si>
    <t>https://pubmed.ncbi.nlm.nih.gov/12380720</t>
  </si>
  <si>
    <t>The European Prospective Investigation into Cancer and Nutrition (EPIC), which has been established in order to investigate the relations between nutrition and cancer, was initiated in 1990 and involves 10 European countries with heterogeneous dietary patterns and differing cancer incidence rates. This manuscript presents the design, recruitment and baseline characteristics of the Prospect-EPIC cohort co-ordinated in Utrecht, The Netherlands. The cohort is based on volunteers recruited among women participating in a regional breast cancer screening program. It comprises of 17,357 subjects aged 50-69 years at enrolment from Utrecht and vicinity, who have consented to participate in the study and its follow-up. Each participant filled out a general questionnaire and a food frequency questionnaire. Participants were also physically examined and have donated a blood sample. Participation rate was 34.5%. Blood samples were donated by most participants (97.5%) and detailed informed consents were obtained from 87.4% of participants. Mean age at enrolment was 57 years. Anthropometric, lifestyle and morbidity characteristics of the cohort population did not differ largely from those of similar study populations in The Netherlands. Based on the Prospect-EPIC population, we intend to conduct prospective total cohort, nested case-control or case-cohort studies, in order to investigate relations between consumption of certain food groups or nutrients and chronic diseases, including hormone dependant cancers such as breast, colon, endometrial and ovary cancers.</t>
  </si>
  <si>
    <t>Recurrent ischemia in symptomatic carotid occlusion: prognostic value of hemodynamic factors.</t>
  </si>
  <si>
    <t>Klijn, C J; Kappelle, L J; van Huffelen, A C; Visser, G H; Algra, A; Tulleken, C A; van Gijn, J</t>
  </si>
  <si>
    <t>https://pubmed.ncbi.nlm.nih.gov/11134377</t>
  </si>
  <si>
    <t>To identify hemodynamic factors that predict recurrence of ipsilateral cerebral ischemic events in patients with symptomatic carotid artery occlusion (CAO). The authors studied 117 consecutive patients with CAO and corresponding recent (&lt;/=6 months) ischemic symptoms of the brain or eye that were transient or at most mildly disabling. They determined, using Cox proportional hazards analysis, the prognostic value for recurrence of ipsilateral cerebral ischemic events of 1) clinical features believed to indicate hemodynamic compromise, 2) collateral blood flow pattern, and 3) transcranial Doppler CO(2)-reactivity. None of the 24 patients with symptoms of retinal ischemia alone had a recurrent cerebral ischemic event. In the 93 patients with cerebral ischemic symptoms on entry, recurrence of these symptoms was independently predicted by 1) the nature of the initial symptoms being of purported hemodynamic origin (limb-shaking, precipitation of symptoms by rising, exercise or low blood pressure, retinal claudication) (hazard ratio [HR] 3.8, 95% CI 1.5 to 9.5), 2) continuing symptoms after the CAO had been documented, but before inclusion in the study (HR 5.9, 95% CI 2.2 to 16.1), and 3) the presence of collateral blood flow via leptomeningeal vessels (HR 4.1, 95% CI 1.3 to 13.1). CO(2)-reactivity did not predict recurrence of cerebral ischemic events. Having cerebral in contrast to retinal ischemia, clinical features suggestive of hemodynamic compromise, continuing symptoms after demonstration of the CAO, and presence of leptomeningeal collaterals may help to identify patients with symptomatic CAO at high risk of future cerebral ischemia.</t>
  </si>
  <si>
    <t>Endogenous clotting factor activity and long-term outcome in patients with moderate haemophilia.</t>
  </si>
  <si>
    <t>Fischer, K; van der Bom, J G; Mauser-Bunschoten, E P; Roosendaal, G; Beek, F J; de Kleijn, P; Grobbee, D E; van den Berg, H M</t>
  </si>
  <si>
    <t>https://pubmed.ncbi.nlm.nih.gov/11154144</t>
  </si>
  <si>
    <t>In order to address the question of the optimum target level for prophylactic treatment of severe haemophilia patients, the association between endogenous clotting factor activity and outcome was studied in a cohort of 46 patients with moderate haemophilia. Data on treatment and outcome were collected annually. Median follow-up was 8.0 years (range 1-26). Median joint bleed frequency was 1 per year and median radiological score according to Pettersson was 1 point (max. 78) at the age of 25 years. One percent increase in clotting factor level was associated with a 4 months later onset of joint bleeds (95% Confidence Interval (CI): 2-6 months) and a 16% lower Pettersson score (95% CI: 3-27%). No statistically significant effect of clotting factor activity on joint bleed frequency could be demonstrated. These findings confirm that patients with moderate haemophilia experience only mild arthropathy, and provide evidence for a protective effect of higher clotting factor levels on joint damage.</t>
  </si>
  <si>
    <t>Homozygosity for 807 T polymorphism in alpha(2) subunit of platelet alpha(2)beta(1) is associated with increased risk of cardiovascular mortality in high-risk women.</t>
  </si>
  <si>
    <t>Roest, M; Banga, J D; Grobbee, D E; de Groot, P G; Sixma, J J; Tempelman, M J; van der Schouw, Y T</t>
  </si>
  <si>
    <t>https://pubmed.ncbi.nlm.nih.gov/11015342</t>
  </si>
  <si>
    <t>Platelet adhesion to collagen is the initial step in both hemostasis and thrombosis; this adhesion is mediated by alpha(2)beta(1) on the surface of platelet membranes. An 807 C to T single nucleotide exchange polymorphism close to the gene coding for the alpha(2) subunit of alpha(2)beta(1) is associated with the density of alpha(2)beta(1) on the platelet membrane. We studied the relation of the alpha(2)beta(1) 807 C/T genotype to cardiovascular mortality in a prospective cohort study of 12 239 women who were invited for the breast cancer screening program of Utrecht, the Netherlands. The initial age was between 52 and 67 years. Women were followed on vital status between 1976 and 1995 (168 513 women-years). Data were analyzed by using a nested case-control design. The alpha(2)beta(1) 807 C/T genotype was not associated with cardiovascular mortality in the total population: the rate ratio for cardiovascular mortality in 807 TT homozygotes compared with 807 CC wild types was 1.2 (95% CI 0.8 to 1.7). However, the alpha(2)beta(1) 807 T polymorphism was associated with an increased risk of cardiovascular mortality in women who smoked or in women who had indications of compromised endothelium, such as diabetes and microalbuminuria. In those who were exposed to &gt;/=2 of these factors, the risk ratio (95% CI) between alpha(2)beta(1) 807 TT homozygotes and 807 CC wild types was 14.1 (5.0 to 39.9). alpha(2)beta(1) 807 TT homozygosity, coding for increased alpha(2)beta(1) density on the platelet membrane, is associated with an increased risk of cardiovascular mortality in those women with indications of compromised endothelium.</t>
  </si>
  <si>
    <t>Electrocardiography in primary care; is it useful?</t>
  </si>
  <si>
    <t>Rutten, F H; Kessels, A G; Willems, F F; Hoes, A W</t>
  </si>
  <si>
    <t>https://pubmed.ncbi.nlm.nih.gov/10962122</t>
  </si>
  <si>
    <t>Little is known about the value of electrocardiography in primary care. To assess whether electrocardiography (ECG) is a useful instrument, in addition to history taking and physical examination, in that it changes the general practitioner's management of patients with suspected cardiovascular symptoms or disease. We performed a prospective study in a group practice of eight general practitioners in The Netherlands. During 2 years all ECGs that were recorded in these practices were studied. Two questionnaires were filled out by the general practitioners, one before and one after the ECG recording, to determine indication for electrocardiography, the general practitioner's anticipated management before and after ECG results, and the subjective usefulness according to the applying doctor. All ECGs were reviewed by an experienced general practitioner working in the group practice and later on by a cardiologist. In addition, all clinical information, including the 6 months follow-up period, was scrutinised by both the cardiologist and general practitioner to establish the patients' prognosis. A total of 301 ECGs was included in the analysis. Main indications for electrocardiography were chest pain (57%), and collapse or palpitation (30%). In 92 (30.6%; 95% CI 25.4-35.8) patients a change in management by the general practitioner occurred following the ECG results. Most prevalent changes were non-referral to a cardiologist, while referral was anticipated before the ECG results (34%), referral while the patient would not have been referred without ECG results (20%), and change in cardiovascular therapy (40%). In one of these cases only, this change could be considered unfavourable, since a subendocardial infarction, not detectable on the ECG, was missed. In patients with chest pain, a normal ECG (likelihood ratio (LR) 0.06) and an abnormal ECG (LR 13.3) were very useful to distinguish between patients likely or unlikely to experience cardiac events in the near future. The mean subjective usefulness, on a scale of 0-100, of the ECG evaluation according to the applying general practitioner was 77. 5 (S.D. 14.4). There was good agreement in ECG interpretation between the experienced general practitioner, the cardiologist and a second general practitioner. Electrocardiography in addition to history taking and physical examination, may be an important tool in primary care. It can reduce considerably the number of unnecessary referrals.</t>
  </si>
  <si>
    <t>[Evaluation of added value of diagnostic tests].</t>
  </si>
  <si>
    <t>Moons, K G; van der Graaf, Y</t>
  </si>
  <si>
    <t>https://pubmed.ncbi.nlm.nih.gov/10908955</t>
  </si>
  <si>
    <t>In the evaluation of diagnostic tests emphasis is placed on the evaluation of a particular diagnostic test in order to estimate it's sensitivity, specificity, or area under the 'receiver operating characteristic' curve (so called test research). This kind of test research is only useful in situations in which a diagnosis is set by one test (i.e. screening) and in the initial phases of test development for efficiency reasons. But, test research is not suitable to evaluate the clinical or added value of a test. The value of a diagnostic test can be evaluated on its value to discriminate between the presence and absence of a particular disease, to guide therapeutic decisions and to improve the prognosis of the patient. For evaluation of the added value of a diagnostic test within the diagnostic process, the study design should take into account the patient group in which the test will be applied in practice, the target disease of the test and the prior probability (prevalence) of the target disease in that population, the subsequent diagnostic stages and the reference test. In analysing the data it is calculated for each step of the diagnostic process how the test result changes the probability of presence or absence of the target disease.</t>
  </si>
  <si>
    <t>Phyto-oestrogens and cardiovascular disease risk.</t>
  </si>
  <si>
    <t>van der Schouw, Y T; de Kleijn, M J; Peeters, P H; Grobbee, D E</t>
  </si>
  <si>
    <t>https://pubmed.ncbi.nlm.nih.gov/11006924</t>
  </si>
  <si>
    <t>To present the currently available evidence on the cardiovascular benefits and risks associated with phyto-oestrogens. DATA-SYNTHESIS: Medline search from 1966-1999 updated with cross-check of references of papers with keywords such as phyto-oestrogens, isoflavones, lignans, genistein, daidzein, enterolactone, enterodiol, cardiovascular disease, cardiovascular disease risk factors. Phyto-oestrogens are plant chemicals divided into three main classes: isoflavones, coumestans, and lignans that display oestrogen-like activity due to their ability to bind to the oestrogen receptor. They are found in grains, beans, green vegetables, fruits, nuts, and grasses. Isoflavones are primarily found in soybeans and soy foods. For epidemiological studies of the relation between phyto-oestrogen intake and disease parameters, intake is estimated with several measures, such as biomarkers (concentrations in urine or blood) or dietary questionnaires, though the optimal method is not yet clear. Phyto-oestrogens are considered to act as selective oestrogen receptor modulators (SERM), exerting both oestrogen agonist and antagonist action. Supplementation with isolated soy protein containing the isoflavones genistein and daidzein reduces serum total and LDL-cholesterol and triglycerides in animals and in humans. Vascular reactivity might be improved by supplementation with isolated soy protein or isoflavones isolated from red clover. Studies on atherosclerosis in animals indicate a potential for risk reduction. Evidence in humans is still scanty. The little we know of the effects of regular dietary phyto-oestrogen intake comes from studies in which phyto-oestrogens were added to the usual diet. Most supplementation studies have been conducted with soy isoflavones, whereas the importance of lignans has not been determined, though they could be more important sources than isoflavones in Western populations. Research has been focused on risk factors. Studies of clinically manifest endpoints are urgently needed.</t>
  </si>
  <si>
    <t>Age at menopause, body mass index, and the risk of colorectal cancer mortality in the Dutch Diagnostisch Onderzoek Mammacarcinoom (DOM) cohort.</t>
  </si>
  <si>
    <t>van Wayenburg, C A; van der Schouw, Y T; van Noord, P A; Peeters, P H</t>
  </si>
  <si>
    <t>https://pubmed.ncbi.nlm.nih.gov/10784248</t>
  </si>
  <si>
    <t>We investigated whether age at menopause is associated with subsequent mortality from colorectal cancer along with the possible modification of this association by body mass index. Our data are from the Diagnostisch Onderzoek Mammacarcinoom cohort of 10,671 postmenopausal women in the Netherlands, enrolled between 1974 and 1977, with a median follow-up of 18 years. During this follow-up, 95 women died of colorectal cancer. Women 49 years of age or older at menopause showed a lower risk of colorectal cancer mortality compared with women younger than 49 at menopause. This protective effect, however, was found only among nonoverweight women (&lt; or =24 kg/m2), for whom the hazard ratio was 0.46 (95% confidence interval = 0.21-1.03). In larger women, the hazard ratio was 1.17 (95% confidence interval = 0.68-2.00).</t>
  </si>
  <si>
    <t>Management of type 2 diabetes: a challenge for patient and physician.</t>
  </si>
  <si>
    <t>van den Arend, I J; Stolk, R P; Krans, H M; Grobbee, D E; Schrijvers, A J</t>
  </si>
  <si>
    <t>https://pubmed.ncbi.nlm.nih.gov/10771372</t>
  </si>
  <si>
    <t>Type 2 diabetes mellitus is a chronic disease, associated with serious complications and co-morbidity and considerable costs. The number of people with diabetes mellitus is expected to increase with 40% in the next decade, due to prolonged life expectancy, the ageing of the population and developments in the health care sector, including more active screening strategies. The majority (40-60%) of type 2 diabetes patients in routine GP practice have a poor metabolic control (HbA1c &gt; 8% or fasting blood glucose &gt; 11 mmol/l). In this paper the obstacles in routine clinical practice for optimal type 2 diabetes care are discussed. Long-term complications are the major cause of morbidity and mortality in type 2 diabetes patients. Therefore, the primary aim of type 2 diabetes management is the prevention of complications, by lowering blood glucose levels and reducing the cardiovascular risk profile. An important component of type 2 diabetes management is an active role of the patient: diet, smoking habits, physical exercise and self-care behavior often need to change. In addition, the patient has to adhere to life long medical therapy. Motivating the patient for this active role is the challenge for health care providers. A complicating factor is that changes in lifestyle do not give immediate benefit for the patient, as the effects are seen in the reduction of the development of long-term complications. The cornerstones of health care to support active patient participation are: to guarantee the continuity of care, to integrate education in health care and to encourage the patient's attendance. It is the challenge for physicians to give type 2 diabetes patients the tools for active participation in the management of the disease.</t>
  </si>
  <si>
    <t>[Prevalence and treatment of hypercholesterolemia in patients with manifest vascular disease according to practice guidelines of the current cholesterol consensus].</t>
  </si>
  <si>
    <t>van de Laak, M F; van der Graaf, Y; Banga, J D; Simons, P C; Algra, A</t>
  </si>
  <si>
    <t>https://pubmed.ncbi.nlm.nih.gov/10778719</t>
  </si>
  <si>
    <t>To determine the prevalence of hypercholesterolaemia and the use of lipid-lowering medication in patients with a manifest vascular disease. Prospective, cross-sectional. In patients who visited the University Medical Centre Utrecht, the Netherlands, for the first time with a manifestation of atherosclerosis in the period 1 September 1996-15 November 1998, we determined by a single measurement of the cholesterol if they were eligible for lipid-lowering medication according to the cholesterol cut-off value mentioned in the new Dutch cholesterol guidelines (1998) of the Dutch Institute for Health Care Improvement. The study group comprised 737 patients: 539 (73%) males and 198 (27%) females, with a mean age of 62 year. 500 (68%) were eligible for lipid-lowering treatment. 66 patients (9%) were being treated according to the guidelines and in 106 (14%) the aim of a cholesterol lower than 5.0 mmol/1 was not reached despite cholesterol lowering medication. In 328 patients (45%) hyperlipidaemia was not treated pharmacologically. Two-thirds of the patients with manifest vascular disease had hypercholesterolaemia. Many of these patients were not yet being treated.</t>
  </si>
  <si>
    <t>Diagnostic accuracy of needle-localized open breast biopsy for impalpable breast disease.</t>
  </si>
  <si>
    <t>Verkooijen, H M; Peeters, P H; Pijnappel, R M; Koot, V C; Schipper, M E; Borel Rinkes, I H</t>
  </si>
  <si>
    <t>https://pubmed.ncbi.nlm.nih.gov/10718805</t>
  </si>
  <si>
    <t>Needle-localized open breast biopsy (NLBB) is considered the gold standard procedure for the diagnosis of impalpable breast disease. In an observational follow-up study the sensitivity and negative predictive value of this procedure was determined in a clinical population with long-term follow-up. Some 199 consecutive patients with a benign histological diagnosis on NLBB were followed for the occurrence of breast cancer, using information from the Dutch National Morbid-Anatomical Record Department. Based on a review of mammograms and histological slides, an expert panel decided whether the carcinomas detected during follow-up were newly developed, or were present already at the time of the NLBB. After a median follow-up of 60.5 months, seven carcinomas were detected. At panel review, six appeared to have been missed by NLBB. The sensitivity of NLBB was 99 per cent after 2 years of follow-up, but dropped to 96 per cent after 5 years. Similarly, the negative predictive value dropped from 99 per cent after 2 years to 94 per cent after 5 years of follow-up. NLBB is an accurate diagnostic procedure for the evaluation of impalpable breast disease. However, with longer follow-up the accuracy becomes lower than generally reported.</t>
  </si>
  <si>
    <t>Long-term survival after valve replacement with Björk-Shiley CC valves. Björk-Shiley Study Group.</t>
  </si>
  <si>
    <t>Kallewaard, M; Algra, A; Defauw, J; Grobbee, D; van der Graaf, Y</t>
  </si>
  <si>
    <t>https://pubmed.ncbi.nlm.nih.gov/11078274</t>
  </si>
  <si>
    <t>Information on the life expectancy of Bjork-Shiley convexo-concave (BScc) valve recipients is necessary when considering prophylactic replacement. However, little is known about the late results after valve replacement with BScc valves. We describe long-term survival and its determinants of the Dutch BScc cohort and compare mortality figures with those of the general population and those used in guidelines for prophylactic replacement. Follow-up was obtained on all Dutch BScc valve recipients (n = 2,264) (end of study 1996). Survival over a 15-year period and its determinants were described using the Kaplan-Meier product-limit method and Cox regression, respectively. Standardized mortality ratios (SMRs) were used to compare mortality rates of BScc valve recipients who survived at least 30 days after surgery with the Dutch population rates. Survival at 15 years for aortic, mitral, and double valve recipients was 55.0% (95% confidence interval [CI] 51.9 to 58.1), 40.8% (95% CI 37.1 to 44.4), and 38.6% (95% CI 33.2 to 43.9), respectively. The determinants of survival were patient, history, and procedure related. The SMR for all BScc valve recipients was 4.2 (95% CI 3.4 to 5.2) in the first year of follow-up, after which it decreased to 2.0 (95% CI 1.8 to 2.3) and remained constant until the 14th year. SMRs depended on time since implantation, age at the time of implantation, and position of the valve replaced. Most of life expectancy estimates in prophylactic replacement guidelines of BScc valves underrate the true survival estimates. Age, valve position, and time- specific risks of death after valvular surgery should be accounted for. Different excess mortality rates should be applied for patients from different age groups: the older the patient the lower the excess.</t>
  </si>
  <si>
    <t>Hypertension and breast cancer risk in a 19-year follow-up study (the DOM cohort). Diagnostic investigation into mammarian cancer.</t>
  </si>
  <si>
    <t>Peeters, P H; van Noord, P A; Hoes, A W; Fracheboud, J; Gimbrère, C H; Grobbee, D E</t>
  </si>
  <si>
    <t>https://pubmed.ncbi.nlm.nih.gov/10726709</t>
  </si>
  <si>
    <t>To investigate whether hypertension and the use of anti-hypertensive drugs are associated with breast cancer risk. This was a prospective study of 11, 011 women living in Utrecht, the Netherlands, aged 50-65 years at enrolment in a breast cancer screening project (DOM cohort). Women attended screening rounds between 1974 and 1985 at which blood pressure was measured and information on drug use and breast cancer risk factors was ascertained. Since 1974 (median follow-up time 19 years), information on breast cancer occurrence and death has been registered. Hypertension was defined as a systolic blood pressure &gt; 160 mmHg or a diastolic blood pressure &gt; 95 mmHg or current use of drugs for the indication hypertension. Cox's regression analysis was used to investigate the association between hypertension (treated or untreated) and subsequent breast cancer risk. Analyses were adjusted for age, body mass index, height, parity, familial breast cancer, smoking and oral contraceptive use. A total of 523 women were diagnosed with breast cancer. Hypertensive women experienced a statistically significant increased breast cancer risk of 23% (age-adjusted hazard ratio (HRa) = 1.23; 95% confidence interval (CI) 1.01 -1.49). After adjustment for all confounders, the increase was 14% (HR = 1.14; 95% CI 0.93-1.40). The decline in risk was mainly attributable to the effect of BMI. The risk was similar in treated (HR = 1.22; 95% CI 0.91-1.63) and untreated hypertensive women (HR = 1.13; 95% CI 0.91-1.40). These results do not support an association between hypertension and breast cancer, and if there is a link, it is likely to be positive and relatively small in size (+14%). This relation, if present, is not attributable to anti-hypertensive drugs, since the relation is also present in non-drug users.</t>
  </si>
  <si>
    <t>Osteoporosis and salt intake.</t>
  </si>
  <si>
    <t>Burger, H; Grobbee, D E; Drüeke, T</t>
  </si>
  <si>
    <t>https://pubmed.ncbi.nlm.nih.gov/10812587</t>
  </si>
  <si>
    <t>Recently, it has been hypothesized that salt intake may be related to the risk of osteoporosis. The aim of this review was to summarize the evidence for such relationship and to discuss possible mechanisms. We performed a review of the scientific literature on osteoporosis, particularly its etiology, and then focussed on studies addressing the relation between salt intake on the one hand, and calcium balance, bone resorption, bone mineral density and fractures on the other. Although a relation between high salt intake and increased bone loss is biologically plausible, the most pertinent studies relating salt intake to bone mineral density are only suggestive of high salt consumption as a risk factor for osteoporosis. Unfortunately, studies on fracture risk and salt intake are lacking. The relationship between salt intake and osteoporosis is still controversial. A possible relation between salt intake and fracture risk should be addressed in future studies.</t>
  </si>
  <si>
    <t>Calcium intake and blood pressure: an update.</t>
  </si>
  <si>
    <t>Geleijnse, J M; Grobbee, D E</t>
  </si>
  <si>
    <t>journal of cardiovascular risk</t>
  </si>
  <si>
    <t>https://pubmed.ncbi.nlm.nih.gov/10785870</t>
  </si>
  <si>
    <t>[Creative mathematics with clopidogrel; exaggeration of the preventive effect by manufacturer].</t>
  </si>
  <si>
    <t>Algra, A; van Gijn, J; Kappelle, L J; Koudstaal, P J; Stam, J; Vermeulen, M</t>
  </si>
  <si>
    <t>https://pubmed.ncbi.nlm.nih.gov/10608988</t>
  </si>
  <si>
    <t>A number of Dutch medical journals recently carried an advertisement stating that clopidogrel treatment reduced the number of ischaemic complications with 26%, compared with aspirin treatment. This is a miscalculation: the actual reduction is 0.51% in absolute rates, and 8.7% in relative terms. The error by Sanofi-Synthelabo arose by comparison of the event rates for clopidogrel (5.32%) as well as for aspirin (5.83%) with that in an imaginary placebo group (7.77%), yielding a reduction of ischaemic complications of 2.45% and 1.94% respectively; erroneous comparison of these two numbers leads to a difference of 26%.</t>
  </si>
  <si>
    <t>Use of maternal care in a rural area of Zimbabwe: a population-based study.</t>
  </si>
  <si>
    <t>van den Heuvel, O A; de Mey, W G; Buddingh, H; Bots, M L</t>
  </si>
  <si>
    <t>https://pubmed.ncbi.nlm.nih.gov/10577611</t>
  </si>
  <si>
    <t>Our aim was to determine the coverage of antenatal and delivery care and the determinants of non-compliance in a rural area of Zimbabwe in order to improve the quality and efficiency of maternal health care services. A community-based, cross-sectional study was carried out in the catchment area of Gutu Mission Hospital, in rural Zimbabwe, from January to June 1996. Two hundred and thirty-five women, aged 16 to 54 years, who had delivered a child in the past three years were interviewed on general characteristics (age, marital status, religion, education, work), obstetric history, use of family planning, pregnancy complications, number of antenatal visits, and use of maternity waiting shelters. Associations of these factors to non-use of antenatal care facilities and hospital delivery were studied. In the Gutu district, guidelines exist to identify women at high risk of complications during pregnancy and to indicate where women should give birth (hospital, rural clinic or at home). We evaluated which factors were important for non-compliance to these guidelines. The analyses were performed using a logistic regression model. Ninety-seven percent of the pregnant women attended the antenatal care facilities at least once. Seventy-three percent came at least five times or more. Belonging to certain religious groups proved to be the strongest explanatory factor for not attending antenatal care facilities. Use of maternity waiting shelters and complications during the pregnancy were important factors for hospital delivery, whereas unemployment and being without a husband were associated with deliveries outside the hospital. Identification as high risk of a complicated pregnancy by application of the existing guidelines was not associated with place of delivery. Delivery at a location that did not conform to the existing guidelines was associated with non-use of maternity waiting shelters, unemployment or being without a husband and use of traditional care. Our study showed a high attendance rate at antenatal care facilities in the Gutu District. By analyzing determinants of non-use of antenatal care facilities, of hospital delivery and of inappropriate location of delivery according to local guidelines, we identified certain risk factors which are suitable for modification and may help to improve antenatal and perinatal care in the Gutu District in Zimbabwe.</t>
  </si>
  <si>
    <t>Common carotid intima-media thickness in patients with peripheral arterial disease or abdominal aortic aneurysm: the SMART study. Second Manifestations of ARTerial disease.</t>
  </si>
  <si>
    <t>Simons, P C; Algra, A; Bots, M L; Banga, J D; Grobbee, D E; van der Graaf, Y</t>
  </si>
  <si>
    <t>https://pubmed.ncbi.nlm.nih.gov/10532680</t>
  </si>
  <si>
    <t>Evidence is emerging that the contribution of atherosclerosis to the development of abdominal aortic aneurysm may differ from that of other manifestations of arterial disease. B-mode ultrasound may be helpful in understanding the characteristics and factors that contribute to the development of different manifestations of arterial disease. We examined whether there is a difference in common carotid intima-media thickness (IMT), an indicator of generalized atherosclerosis, in patients with peripheral arterial disease (PAD) and abdominal aortic aneurysm (AAA). IMT of the left and right common carotid artery was measured in the first 172 patients (123 PAD and 49 AAA) enrolled in the Second Manifestations of ARTerial disease (SMART) study, a cohort study among patients with a manifestation of atherosclerotic vascular disease or risk factors for atherosclerosis. Mean IMT was 0.98 +/- 0.34 mm in patients with PAD and 0.91 +/- 0.20 mm in patients with AAA, with an age and sex adjusted mean difference of 0.18 mm (95% CI 0.08; 0.28). After additional adjustments for cardiovascular risk factors, the difference remained 0.11 mm (95% Cl 0.01; 0.21). Common carotid IMT in patients with AAA is on average smaller than in patients with PAD, independent of other determinants of IMT. These findings support the view that the development of AAA cannot completely be explained by atherosclerosis and is in part due to other pathophysiological mechanisms.</t>
  </si>
  <si>
    <t>Second manifestations of ARTerial disease (SMART) study: rationale and design.</t>
  </si>
  <si>
    <t>Simons, P C; Algra, A; van de Laak, M F; Grobbee, D E; van der Graaf, Y</t>
  </si>
  <si>
    <t>https://pubmed.ncbi.nlm.nih.gov/10608355</t>
  </si>
  <si>
    <t>The Second Manifestations of ARTerial disease (SMART) study is a single-centre prospective cohort study among patients, newly referred to the hospital with (1) clinically manifest atherosclerotic vessel disease, or (2) marked risk factors for atherosclerosis. The first objectives of the SMART study are to determine the prevalence of concomitant arterial disease at other sites, and risk factors in patients presenting with a manifestation of arterial disease or vascular risk factor and to study the incidence of future cardiovascular events and its predictors in these high-risk patients. At least 1000 patients, aged 18 to 80 years, will undergo baseline examinations, including a questionnaire on cardiovascular disease, height, weight and blood pressure measurements, blood tests for glucose, lipids, creatinine and homocysteine, urinary tests for microproteinuria, resting twelve-lead electrocardiogram, ultrasound scanning of the abdominal aorta, kidneys and the carotid arteries, measurements of common carotid intima-media thickness and arterial stiffness, and a treadmill test to assess atherosclerosis of the leg arteries. Abnormal findings are reported to the treating specialist and general practitioner with a treatment suggestion according to current practice guidelines. Recruitment and baseline examinations began in September 1996. All cohort members will be followed for clinical cardiovascular events for a minimum of three years. In the scope of secondary prevention, the study is expected to support the design of solid based screening and treatment programmes and evidence-based cardiovascular medicine to reduce morbidity and mortality, and improve quality of life, in high-risk patients.</t>
  </si>
  <si>
    <t>Reproductive history and cardiovascular disease risk in postmenopausal women: a review of the literature.</t>
  </si>
  <si>
    <t>de Kleijn, M J; van der Schouw, Y T; van der Graaf, Y</t>
  </si>
  <si>
    <t>https://pubmed.ncbi.nlm.nih.gov/10585171</t>
  </si>
  <si>
    <t>It is widely believed that oestrogen protects postmenopausal women from cardiovascular disease. It is unknown, however, whether reproductive history, which affects endogenous oestrogen levels during a woman's life, also influences cardiovascular disease risk in postmenopausal women. We present an overview of the studies which investigate the relationship between reproductive history and risk for cardiovascular disease in women. We conducted a Medline search of literature pertaining to age at menarche, age at menopause, parity and gravidity, breast-feeding, and length and regularity of the menstrual cycle in relation to cardiovascular diseases. Data extraction and synthesis were performed by comparing odds ratios and relative risks presented or calculated. Age at menarche was not found to influence cardiovascular disease risk, while menstrual cycle irregularity was associated with this risk. The studies pertaining to parity presented conflicting results: protection against as well as an increase in the risk of cardiovascular disease were found in parous women. Pregnancy loss appeared to be related to cardiovascular disease risk. Age at menopause proved to be the reproductive factor most clearly related to cardiovascular disease risk. Only menstrual cycle irregularity, pregnancy losses, and age at menopause are possibly related to cardiovascular disease risk in postmenopausal women. All reproductive factors need to be studied together in order to assess reproductive history in a proper manner. Research of this kind will be essential if we are to further increase our knowledge regarding the nature of the effects of endogenous oestrogen on cardiovascular disease.</t>
  </si>
  <si>
    <t>Heterozygosity for a hereditary hemochromatosis gene is associated with cardiovascular death in women.</t>
  </si>
  <si>
    <t>Roest, M; van der Schouw, Y T; de Valk, B; Marx, J J; Tempelman, M J; de Groot, P G; Sixma, J J; Banga, J D</t>
  </si>
  <si>
    <t>https://pubmed.ncbi.nlm.nih.gov/10491369</t>
  </si>
  <si>
    <t>Background-The genetic background of hereditary hemochromatosis (HH) is homozygosity for a cysteine-to-tyrosine transition at position 282 in the HFE gene. Heterozygosity for HH is associated with moderately increased iron levels and could be a risk factor for cardiovascular death. Methods and Results-We studied the relation between HH heterozygosity and cardiovascular death in a cohort study among 12 239 women 51 to 69 years of age residing in Utrecht, the Netherlands. Women were followed for 16 to 18 years (182 976 follow-up years). The allele prevalence of the HH gene in the reference group was 4.0 (95% CI 2.9 to 5.4). The mortality rate ratios for HH heterozygotes compared with wild types was 1.5 (95% CI 0.9 to 2.5) for myocardial infarction (n=242), 2.4 (95% CI 1.3 to 3. 5) for cerebrovascular disease (n=118), and 1.6 (95% CI 1.1 to 2.4) for total cardiovascular disease (n=530). The population-attributable risks of HH heterozygosity for myocardial infarction and cerebrovascular and total cardiovascular death were 3. 3%, 8.8%, and 4.0%, respectively. In addition, we found evidence for effect modification by hypertension and smoking. Conclusions-We found important evidence that inherited variation in iron metabolism is involved in cardiovascular death in postmenopausal women, especially in women already carrying classic risk factors.</t>
  </si>
  <si>
    <t>Carotid artery stenosis in patients with peripheral arterial disease: the SMART study. SMART study group.</t>
  </si>
  <si>
    <t>Simons, P C; Algra, A; Eikelboom, B C; Grobbee, D E; van der Graaf, Y</t>
  </si>
  <si>
    <t>https://pubmed.ncbi.nlm.nih.gov/10477645</t>
  </si>
  <si>
    <t>The prevalence of asymptomatic internal carotid artery stenosis (ICAS) in patients with peripheral arterial disease (PAD) and characteristics that are associated with ICAS were studied. We used data from the first 600 patients enrolled in the Second Manifestations of ARTerial disease (SMART) study, a single-center, prospective cohort study among patients referred with a manifestation of cardiovascular disease, diabetes mellitus, hypertension, or hyperlipidemia. Included in the analysis were 162 patients with PAD or a history of PAD, who were not known to have ICAS at the time of referral and who had no history of cerebrovascular symptoms or previous carotid endarterectomy. ICAS was detected with duplex scanning and defined as a peak systolic velocity more than 150 cm/s (diameter reduction 50% or higher) on at least one side. Cardiovascular risk factors were measured. Logistic regression analysis was performed to investigate associations between these characteristics and ICAS. The prevalence of previously unknown ICAS was 14%. A patient age of 67 years or older, body weight of 68 kg or less, and diastolic blood pressure of 75 mm Hg or lower were independently associated with ICAS. The Prevalence Of Icas In Patients With One Of These Characteristics (38% Of The Patients) Was 8%, In Those With Two Characteristics (21% Of The Patients) Was 32%, And In Those With Three Characteristics (6% Of The Patients) Was 50%. The prevalence of ICAS increases as much as 50% in patients who have PAD and the risk indicators of an age of 67 years or older, a body weight of 68 kg or less, and a diastolic blood pressure of 75 mm Hg or lower, and, therefore, these characteristics may be used as a means of increasing the likelihood of detecting ICAS.</t>
  </si>
  <si>
    <t>Continuous ST-segment monitoring associated with infarct size and left ventricular function in the GUSTO-I trial.</t>
  </si>
  <si>
    <t>Moons, K G; Klootwijk, P; Meij, S H; van Es, G A; Baardman, T; Lenderink, T; van den Brand, M; Habbema, J D; Grobbee, D E; Simoons, M L</t>
  </si>
  <si>
    <t>https://pubmed.ncbi.nlm.nih.gov/10467204</t>
  </si>
  <si>
    <t>The aim of this study was to evaluate whether in patients with myocardial infarction, the intensity and duration of myocardial ischemia as measured by continuous ST monitoring are associated with infarct size and residual left ventricular function. The analyses included patients with myocardial infarction, receiving thrombolytic therapy, who were enrolled in the electrocardiographic substudy of GUSTO-I, monitored by a vector-derived 12-lead electrocardiographic recording system, and in whom either infarct size (defined as cumulative release of alpha-hydroxybutyrate dehydrogenase activity per liter of plasma over a 72-hour period [Q(72)]) or left ventricular ejection fraction (LVEF) was determined. With the use of linear regression analysis, we investigated the association of various ST-trend characteristics with Q(72) (206 patients) and with LVEF (180 patients). A higher area under the ST trend since thrombolysis until 50% ST recovery and a higher area under recurrent ischemic episodes (ST reelevations) were significantly associated with a higher Q(72), whereas only a higher area under recurrent ischemic episodes was significantly associated with a lower LVEF. These associations remained after adjusting for other patient characteristics such as age, sex, infarct location, and time to treatment. These findings support the physiologic hypothesis that both the intensity and duration of myocardial ischemia (both reflected by the estimated areas under the ST-trend curve) determine myocardial damage and thus are associated with infarct size and ejection fraction in patients with acute myocardial infarction who receive thrombolytic therapy.</t>
  </si>
  <si>
    <t>Common carotid intima-media thickness and arterial stiffness: indicators of cardiovascular risk in high-risk patients. The SMART Study (Second Manifestations of ARTerial disease).</t>
  </si>
  <si>
    <t>Simons, P C; Algra, A; Bots, M L; Grobbee, D E; van der Graaf, Y</t>
  </si>
  <si>
    <t>https://pubmed.ncbi.nlm.nih.gov/10468526</t>
  </si>
  <si>
    <t>Common carotid intima-media thickness (IMT) and distensibility are markers of structural and functional vessel wall properties. Both parameters have been found in population-based studies to be associated with cardiovascular risk factors and prevalent cardiovascular disease. We investigated cross-sectionally whether IMT and distensibility are associated with cardiovascular risk in patients who already have vascular disease or atherosclerotic risk factors and evaluated the diagnostic ability of IMT and distensibility to discriminate between low- and high-risk patients. IMT and distensibility (change of diameter) of the left and right common carotid arteries were measured in the first 570 patients (537 for distensibility) enrolled in the Second Manifestations of ARTerial disease (SMART) study, a cohort study among patients with a manifestation of vascular disease or cardiovascular risk factors. Three risk scores were used to classify each patient's vascular risk. Areas under the curve (AUCs) of receiver-operating characteristic curves were calculated for IMT and distensibility after the patients were dichotomized on the median of the risk scores as the outcome. Risk scores increased nearly linearly with increasing IMT and decreasing distensibility. The AUCs for IMT predicting high-risk patients were 0.77, 0.73, and 0.77 based on the 3 risk scores. The AUCs for distensibility were 0. 65, 0.62, and 0.66. Common carotid IMT and distensibility are clear markers of cardiovascular risk in patients who already have vascular disease or atherosclerotic risk factors. IMT appears to discriminate between low- and high-risk patients better than distensibility.</t>
  </si>
  <si>
    <t>Hormone replacement therapy in perimenopausal women and 2-year change of carotid intima-media thickness.</t>
  </si>
  <si>
    <t>de Kleijn, M J; Bots, M L; Bak, A A; Westendorp, I C; Planellas, J; Coelingh Bennink, H J; Witteman, J C; Grobbee, D E</t>
  </si>
  <si>
    <t>https://pubmed.ncbi.nlm.nih.gov/10515677</t>
  </si>
  <si>
    <t>To assess the 2-year effects of a combined regimen of oral 17beta-estradiol and desogestrel (17betaE-D) and a sequential combination of conjugated equine estrogens and norgestrel (CEE-N) on common carotid intima-media thickness and end-diastolic lumen diameter in comparison to placebo in perimenopausal women. The study was a single center, randomized, group-comparative, double-blind study with respect to the 17betaE-D and placebo groups and open with respect to CEE-N. After cycle 6, the blind was broken and the trial was continued as an open trial for another 18 months for the active study arms. The study included 121 perimenopausal women recruited from the general population. Common carotid intima-media thickness and end-diastolic lumen diameter were measured at baseline and cycle 24 with B-mode ultrasonography. At cycle 24 small changes in intima-media thickness and lumen diameter were observed. Relative to placebo, changes in intima-media thickness were -0.009 mm [95% CI -0.045; 0.027] for 17betaE-D and -0.016 mm [95% CI -0.055; 0.024] for CEE-N. For end-diastolic lumen diameter the changes were -0.091 mm [95% CI -0.236; 0.055] and -0.125 mm [95% CI -0.820; 0.032] for 17betaE-D and CEE-N, respectively. In this study among perimenopausal women a significant effect of 17betaE-D and CEE-N on common carotid intima-media thickness and lumen diameter could not be demonstrated. Although the sample size of the present trial is too limited to provide definite conclusions, the direction of the effect is in agreement with evidence from earlier studies on the effects of hormone replacement therapy in postmenopausal women.</t>
  </si>
  <si>
    <t>Insulin resistance syndrome and left ventricular mass in an elderly population (The Rotterdam Study).</t>
  </si>
  <si>
    <t>Rheeder, P; Stolk, R P; Mosterd, A; Pols, H A; Hofman, A; Grobbee, D E</t>
  </si>
  <si>
    <t>https://pubmed.ncbi.nlm.nih.gov/10426349</t>
  </si>
  <si>
    <t>In a study of elderly men and women, age, body mass index, and systolic blood pressure (and in men, also glucose) were significant predictors of left ventricular mass. Postload insulin was not independently associated with left ventricular mass.</t>
  </si>
  <si>
    <t>Early age at menopause and breast cancer: are leaner women more protected? A prospective analysis of the Dutch DOM cohort.</t>
  </si>
  <si>
    <t>Monninkhof, E M; van der Schouw, Y T; Peeters, P H</t>
  </si>
  <si>
    <t>https://pubmed.ncbi.nlm.nih.gov/10517172</t>
  </si>
  <si>
    <t>To investigate the relationship between age at menopause, body mass index, and breast cancer risk, we used data from a prospective cohort study (DOM cohort) in the Netherlands. Participants in this breast cancer-screening project included 10,591 women living in Utrecht, aged 49-66 years at enrolment. During a median follow-up period of 19 years, women attended screening rounds at which anthropometric measurements were taken and questions were asked about menopausal status, age at menopause, medication use and other risk factors for breast cancer. Cox regression analysis was used to investigate the relationship between age at menopause and subsequent breast cancer risk. Breast cancer incidence decreased with an earlier age at menopause. Women with a menopausal age of 44 years or younger had a 34% lower risk of breast cancer, than women with a menopausal age over 54 years (hazard ratio is 0.66 (95% confidence interval 0.43-0.91)). The annual hazard of breast cancer incidence decreased by 2.6% per year reduction in age at menopause. The protective effect of an early age at menopause was stronger for women with a low body mass index (&lt; or = 27 kg/m2; reduction of 44%) than for women with a high body mass index (&gt;27 kg/m2; reduction of 24%), although this difference was not statistically significant (P for interaction = 0.58). This difference was most pronounced in women who had ever smoked. Adjustment for known breast cancer risk factors did not alter the crude risk estimates significantly. In conclusion, this study provides evidence of the protective effect of lower age at menopause on subsequent breast cancer risk. This protective effect may be even stronger in leaner women.</t>
  </si>
  <si>
    <t>Redundancy of single diagnostic test evaluation.</t>
  </si>
  <si>
    <t>Moons, K G; van Es, G A; Michel, B C; Büller, H R; Habbema, J D; Grobbee, D E</t>
  </si>
  <si>
    <t>https://pubmed.ncbi.nlm.nih.gov/10230838</t>
  </si>
  <si>
    <t>Diagnostic research and diagnostic practice frequently do not cohere. Studies commonly evaluate whether a single test discriminates between disease presence and absence, whereas in practice a test is always judged in the context of other information. This study illustrates drawbacks of single-test evaluation and discusses principles of diagnostic research. We used data on 140 patients suspected of pulmonary embolism who had an inconclusive ventilation-perfusion lung scan. We evaluated three tests: partial pressure of oxygen in arterial blood (PaO2), x-ray film of the thorax, and leg ultrasound. On the basis of single-test evaluations, ultrasound was most informative. Given a prior probability of 0.27, it had a much better combination of positive and negative predictive value (0.71 and 0.21, respectively) relative to thorax x-ray (0.33 and 0.11) and PaO2 (0.35 and 0.27). The combination of positive and negative likelihood ratio was also more promising for ultrasound (7.3 and 0.7) than for thorax x-ray (1.3 and 0.3) and PaO2 (1.3 and 0.9). As the tests are always performed after the history and physical, we judged their added value using multivariable logistic modeling with receiver operating characteristic (ROC) analyses. The ROC areas of the model, including history and physical, with additional PaO2, thorax x-ray, or ultrasound, were 0.75, 0.77, 0.81, and 0.81, respectively, which indicated similar added value of thorax x-ray and ultrasound. Application of the models to patient subgroups also yielded added predictive value for thorax x-ray film. Thus, the results of single-test evaluations may be very misleading. As no diagnosis is based on one test, single-test evaluations have limited value in diagnostic research and only have relevance in the context of screening and the initial phase of test development. Diagnostic research should always apply an approach of constructing, extending, and validating diagnostic models in agreement with routine clinical work-up using logistic regression analyses.</t>
  </si>
  <si>
    <t>Which manufacturing characteristics are predictors of outlet strut fracture in large sixty-degree Björk-Shiley convexo-concave mitral valves? The Björk-Shiley Study Group.</t>
  </si>
  <si>
    <t>Kallewaard, M; Algra, A; Defauw, J; van der Graaf, Y</t>
  </si>
  <si>
    <t>the journal of thoracic and cardiovascular surgery</t>
  </si>
  <si>
    <t>https://pubmed.ncbi.nlm.nih.gov/10096973</t>
  </si>
  <si>
    <t>Identification of predictors of outlet strut fracture is important for recipients of large (&gt;/=29 mm) 60-degree Björk-Shiley convexo-concave mitral valves when it comes to decision making on prophylactic explantation. An association between the manufacturing process of Björk-Shiley convexo-concave valves and the risk of fracture has been suggested. The aim of this study was to determine which items from the manufacturing records, in addition to known risk factors, were predictive of fracture of large 60-degree Björk-Shiley convexo-concave mitral valves. All Dutch recipients (n = 2264) of Björk-Shiley convexo-concave valves were followed up until fracture, death, reoperation, or end of the study (July 1, 1996). Information was abstracted from the manufacturing records of large 60-degree Björk-Shiley convexo- concave mitral valves (n = 655) in Dutch recipients and included items that described the manufacturing process and items for which an association with strut fracture had been suggested. Manufacturing records were available for 637 valves (97%), including 25 fractured valves. Multivariate analysis identified age at implantation (hazard ratio 0.95, 95% confidence interval 0.93-0.97), lot size (&lt;175 valves versus &gt;/=175 valves; hazard ratio 6.6, 95% confidence interval 2.2-20.1), number of hook deflection tests performed (0 or 1 versus &gt;/=2; hazard ratio 4.7, 95% confidence interval 1.4-16.2), number of disks that were used (1 versus &gt;/=2; hazard ratio 5.9, 95% confidence interval 1.9-18.5), and lot fracture percentage (hazard ratio 1.6, 95% confidence interval 1.4-1. 8) as independent predictors of fracture. Although the added predictive value of a model with these 5 variables was sizable compared with a model containing age only, it was only slightly better than a model with age, lot size, and lot fracture percentage. If the serial number of a large 60-degree Björk-Shiley convexo-concave mitral valve is known, manufacturing information can add significantly to the prediction of fracture. Information on lot size and lot fracture percentage should be made available to clinicians for risk assessment of prophylactic explantation.</t>
  </si>
  <si>
    <t>Factor V Arg506Gln mutation is not associated with cardiovascular mortality in older women.</t>
  </si>
  <si>
    <t>Roest, M; Banga, J D; Tempelman, M J; de Groot, P G; Grobbee, D E; Sixma, J J; van der Schouw, Y T</t>
  </si>
  <si>
    <t>https://pubmed.ncbi.nlm.nih.gov/10192314</t>
  </si>
  <si>
    <t>Factor V Arg506Gln is the most common genetic risk factor for venous thrombosis and is associated with myocardial infarction in young women, especially among smokers. The authors studied the relation of factor V Arg506Gln to cardiovascular mortality in older women in a prospective cohort study of 12,239 women, living in the city of Utrecht, who were initially aged between 52 and 67 years. Women were followed on vital status between 1976 and 1995 (168,513 years). The factor V Arg506Gln mutation was determined in urine samples of 524 women who died of cardiovascular disease and in a reference group of 517 women who did not. Data were analyzed using a nested case-referent analysis. Factor V Arg506Gln heterozygosity was not associated with the risk of mortality by myocardial infarction, cerebrovascular disease, and other cardiovascular disease, with respective rate ratios and 95% confidence intervals being 1.1 (0.5-2.3), 1.2 (0.5-3.1), and 0.6 (0.2-1.7). No evidence of association was found in subgroups of smokers and age. Factor V Arg506Gln is not a risk factor for cardiovascular mortality in older women. Discrepancies with other studies may be explained by different study populations, as age and sex may modify both the frequency of cardiovascular disease and the effect of its risk factors.</t>
  </si>
  <si>
    <t>[Roaming through methodology. XII. Pragmatic and pathophysiologic trials: a question of goal formulation].</t>
  </si>
  <si>
    <t>Algra, A; van der Graaf, Y</t>
  </si>
  <si>
    <t>https://pubmed.ncbi.nlm.nih.gov/10321260</t>
  </si>
  <si>
    <t>The design of clinical trials depends on the research question. In pragmatic trials the research question is: 'How do I treat patients with this disease?' In explanatory trials this question is: 'What is the mechanism of this new treatment?' Pragmatic trials are characterised by liberal patient selection, open treatment modalities corresponding with regular care, outcome measures considered from the patient's perspective and intention-to-treat analysis. In explanatory trials patient selection is strict and treatment is double-blind and pathophysiologically pure. Often proxy outcome measures are used and emphasis is on per protocol ('on treatment') analysis.</t>
  </si>
  <si>
    <t>Lumen reduction measurements of the internal carotid artery before and after Levovist enhancement: reproducibility and agreement with angiography.</t>
  </si>
  <si>
    <t>Elgersma, O E; van Leeuwen, M S; Meijer, R; Eikelboom, B C; van der Graaf, Y</t>
  </si>
  <si>
    <t>journal of ultrasound in medicine official journal of the american institute of ultrasound in medicine</t>
  </si>
  <si>
    <t>https://pubmed.ncbi.nlm.nih.gov/10082353</t>
  </si>
  <si>
    <t>Our aim was to assess reproducibility of three different lumen reduction measuring methods--North American Symptomatic Carotid Endarterectomy Trial, European Carotid Surgery Trial, and common carotid--using power Doppler and color Doppler sonography before and after Levovist enhancement. We included 20 symptomatic patients with mild or severe carotid disease. North American Symptomatic Carotid Endarterectomy Trial, European Carotid Surgery Trial, and common carotid measurements on longitudinal views and European Carotid Surgery Trial measurements on transverse views were performed. Examinations were repeated and the results compared to assess reproducibility of measurements. Correlation with angiography was obtained by calculating Pearson correlation coefficients. Reproducibility was significantly better (P &lt; 0.05) for European Carotid Surgery Trial and common carotid measurements (95% limits of agreement between -10% to 10% and -19% to 17%) as compared to North American Symptomatic Carotid Endarterectomy Trial measurements (95% limits of agreement between -11% to 21% and -21% to 23%). Variability of measurements after enhancement increased slightly (not significant) for both power and color Doppler sonography. Additionally, European Carotid Surgery Trial measurements, using nonenhanced power Doppler or color Doppler sonography, did not correlate significantly with angiography, whereas North American Symptomatic Carotid Endarterectomy Trial and common carotid measurements correlated well with angiography, particularly in power Doppler mode after enhancement (r = 0.88 and r = 0.82, respectively). We conclude that for lumen reduction measurements of the internal carotid artery with power and color Doppler sonography, the common carotid method is the only method that is reproducible and has good correlation with angiography, which slightly improves after Levovist enhancement.</t>
  </si>
  <si>
    <t>Socioeconomic differences in stroke among Dutch elderly women: the Rotterdam Study.</t>
  </si>
  <si>
    <t>van Rossum, C T; van de Mheen, H; Breteler, M M; Grobbee, D E; Mackenbach, J P</t>
  </si>
  <si>
    <t>https://pubmed.ncbi.nlm.nih.gov/9933271</t>
  </si>
  <si>
    <t>We sought to assess the association between socioeconomic status and the risk of stroke among elderly women. Methods--The association between socioeconomic status and stroke emerged in cross-sectional and longitudinal data on 4274 female participants of the Rotterdam Study, a prospective, population-based, follow-up study in the Netherlands among older subjects. A history of stroke was more common among women in lower socioeconomic strata. The same trend was observed for the relationship between the lowest socioeconomic groups and the incidence of stroke. Risk factors for stroke were not related to socioeconomic status in a consistent manner. Smoking, history of cardiovascular diseases, and overweight were more common in lower socioeconomic groups. However, socioeconomic differences in hypertension, antihypertensive drug use, prevalence of atrial fibrillation, and prevalence of left ventricular hypertrophy were not observed. The complex of established risk factors could only partly explain the association between socioeconomic status and stroke. There is a strong association among elderly women between socioeconomic status and stroke. The association could only partly be explained by known risk factors. Our findings indicate that not only the actual risk profile but also risk factors earlier in life may be of importance.</t>
  </si>
  <si>
    <t>Changes over time in optimal duplex threshold for the identification of patients eligible for carotid endarterectomy.</t>
  </si>
  <si>
    <t>Elgersma, O E; van Leersum, M; Buijs, P C; van Leeuwen, M S; van de Schouw, Y T; Eikelboom, B C; van der Graaf, Y</t>
  </si>
  <si>
    <t>https://pubmed.ncbi.nlm.nih.gov/9804647</t>
  </si>
  <si>
    <t>Two surgical trials established that carotid endarterectomy is beneficial to symptomatic patients who have a severe internal carotid artery (ICA) stenosis on angiograms. Duplex ultrasonography-derived hemodynamic parameters show a good correlation with angiography and are often used for detecting severe ICA stenoses. However, duplex performance is ultrasound machine and operator dependent. Over time both may change, possibly affecting duplex performance. We compared duplex performance of 2 time periods in 1 specific vascular laboratory using angiography as the gold standard. Consecutive patients who underwent both angiography and duplex examinations of the ICA were evaluated (first period, 60 patients; second period, 61 patients). Peak systolic velocity and several other hemodynamic parameters and ratios were analyzed by receiver operating characteristic curves in their ability to detect severe ICA stenoses. The optimal parameter and threshold were determined for each period. Subsequently, duplex test characteristics were compared after the optimal thresholds of both the first and the second periods were applied in the second period. In both periods peak systolic velocity of the ICA was the best test parameter; areas under the receiver operating characteristic curve were similar (0.957 and 0.954, respectively). However, the optimal threshold was different. The optimal threshold in the second period was 270 cm/s. When the optimal threshold of 210 cm/s of the first period was applied in the second period, test characteristics changed significantly. Sensitivity increased from 98% to 100%, and specificity decreased from 85% to 71% (P=0.004). The optimal threshold for detecting severe ICA stenoses with duplex ultrasonography in our laboratory changed over time. Individual laboratories should assess duplex accuracy regularly and adjust adopted criteria if necessary to keep diagnostic performance optimal.</t>
  </si>
  <si>
    <t>Effect of timing of blood pressure measurement in the assessment of arterial stiffness: the SMART Study.</t>
  </si>
  <si>
    <t>Simons, P C; Bots, M L; Algra, A; van Teeffelen, A S; van der Graaf, Y</t>
  </si>
  <si>
    <t>ultrasound in medicine biology</t>
  </si>
  <si>
    <t>https://pubmed.ncbi.nlm.nih.gov/10385950</t>
  </si>
  <si>
    <t>In the assessment of arterial stiffness, pulse pressure is measured. Presently, there is no consensus on how pulse pressure should be measured. Distensibility of the left and right common carotid arteries was measured noninvasively in 224 patients participating in the Second Manifestations of ARTerial disease (SMART) study. Blood pressure was recorded every 4 min, using a semiautomatic oscillometric device. Distensibility coefficients (DC) were calculated with pulse pressure obtained as an average of (A) all measurements during the session; (B) the second, third, and fourth measurement; (C) measurements before and after distensibility assessment; and (D) three measurements nearest to distensibility assessment. Associations of cardiovascular risk factors with the four calculated DCs were evaluated with linear regression analysis. DC estimates were slightly more precise with methods A and B than with C or D. The magnitude of the associations showed a slight trend to higher precision for methods A and B. Pulse pressures obtained as an average of all or the second, third, and fourth blood pressure measurements during an arterial stiffness measurement session yield slightly more precise estimates of DC. However, the differences between the methods are small; therefore, we suggest that pragmatic arguments dominate the choice between the methods.</t>
  </si>
  <si>
    <t>Diet and pravastatin in moderate hypercholesterolaemia: a randomized trial in 215 middle-aged men free from cardiovascular disease.</t>
  </si>
  <si>
    <t>Bak, A A; Huizer, J; Leijten, P A; Rila, H; Grobbee, D E</t>
  </si>
  <si>
    <t>https://pubmed.ncbi.nlm.nih.gov/9845852</t>
  </si>
  <si>
    <t>To evaluate the effect of diet and drug intervention separately and combined in the treatment of primary hypercholesterolemia. The study was conducted as a randomized, placebo-controlled factorial trial, double-blinded for drug intervention. Subjects were recruited from a population-based cholesterol screening programme. 215 middle-aged men with primary hypercholesterolemia, free from cardiovascular disease. Subjects were randomized to one of four intervention groups: (1) placebo and US National Cholesterol Education Program step 1 diet; (2) placebo and step 2 diet; (3) pravastatin 20 mg day-1 and step 1 diet; or (4) pravastatin 20 mg day-1 and step 2 diet. The intervention period was 6 months. Efficacy measurements included: serum total cholesterol, HDL cholesterol, triglycerides, apolipoproteins A1 and B. LDL cholesterol was calculated. For safety, values of ALAT, ASAT and CK were measured. In the group receiving the step 1 diet only, lipid values were stable during the study period. In the placebo group on the step 2 diet, total cholesterol decreased by 6.3% (0.47 mmol L-1 (95% CI: 0.28, 0.67)) during 6 months. In the group receiving both pravastatin and the step 1 diet, there was a mean reduction in serum total cholesterol of 19.4% (1.46 mmol L-1 (95% CI: 1.20, 1.72)). In the group treated with pravastatin and the step 2 diet, the 6 months of data show a reduction of 20.7% (1.55 mmol L-1 (95% CI: 1.30, 1.80)). If drug therapy with a HMG-CoA reductase inhibitor is considered necessary, a step 2 diet has no additional lipid-lowering effect compared with a step 1 diet in men with primary hypercholesterolaemia. However, favourable 'side-effects' of a lipid-lowering diet, such as weight loss and lowering of blood pressure, may still warrant a low-fat diet in these cases.</t>
  </si>
  <si>
    <t>An epidemic of heart failure? Recent evidence from Europe.</t>
  </si>
  <si>
    <t>Hoes, A W; Mosterd, A; Grobbee, D E</t>
  </si>
  <si>
    <t>https://pubmed.ncbi.nlm.nih.gov/9821002</t>
  </si>
  <si>
    <t>Recent evidence from studies based in the general population, general practice and hospital strongly suggest that an epidemic of heart failure is emerging in Europe. Notably, a further increase in the prevalence of the syndrome in the elderly is expected in the next decades. Importantly, current population-based studies suggest that the majority of men and women with left ventricular systolic dysfunction is asymptomatic. This finding, together with the beneficial effect of angiotensin-converting enzyme inhibition in these patients reported in randomized trials, will further fuel discussions regarding the potential of echocardiographic screening of large populations or high-risk patients. Moreover, the potential additive value of echocardiographic or neurohumoral assessments in general practice remains to be established. More clinical epidemiological studies are needed to facilitate optimization of diagnosing various stages of heart failure, as well as asymptomatic ventricular dysfunction.</t>
  </si>
  <si>
    <t>Likelihood of underreporting of outlet strut fracture from examination of the Dutch Björk-Shiley CC cohort.</t>
  </si>
  <si>
    <t>https://pubmed.ncbi.nlm.nih.gov/9761088</t>
  </si>
  <si>
    <t>The Dutch Björk-Shiley convexo-concave (BScc) cohort serves as a reference population on the risk of outlet strut fracture and is being used to formulate guidelines for prophylactic replacement. Fractures, however, may be undetected at death. The aim of this study was to quantify the degree of underestimation of strut fracture in the Dutch BScc cohort. Multivariate Cox regression analysis was used to assess the relative and absolute risk of death from different causes within 14 years. The unexplained "excess" mortality among 70 degrees BScc valve recipients was attributed to unreported fatal strut fractures and used to estimate its extent in this group, which then was extrapolated to the 60 degrees BScc valve recipients. For 70 degrees BScc valve recipients, the adjusted hazard ratio for death from all causes except strut fracture was 1.2 (95% confidence interval [CI] 1.0 to 1.5). The 14-year absolute risks for 70 degrees and 60 degrees BScc valve recipients were 44% and 37%, respectively. Among 70 degrees and 60 degrees BScc valve recipients, underreporting of fracture was estimated to be 25% (95% CI 0 to 49) and 26% (95% CI 0 to 52), respectively. Estimates based on sudden death and fatal congestive heart failure yielded essentially the same results. Thus, underreporting of fatal strut fracture in the Dutch BScc cohort is estimated to be approximately 25%. Hence, the risk and lethality of fracture of BScc valves are underestimated and indications for prophylactic replacement should be adjusted accordingly. For example, the advantage of valve replacement in a 40-year-old patient with a 29-mm 60 micro BScc mitral valve would almost double to 0.82 years.</t>
  </si>
  <si>
    <t>[Chronicle of a defective heart valve prosthesis].</t>
  </si>
  <si>
    <t>van der Graaf, Y; Kallewaard, M; Algra, A</t>
  </si>
  <si>
    <t>https://pubmed.ncbi.nlm.nih.gov/9763854</t>
  </si>
  <si>
    <t>The Björk-Shiley convexo-concave (BScc) strut fracture problem is about to enter its third decade. At present, valve carriers still face the risk of outlet strut fracture; a risk which does not seem to decline. The temporising attitude of the manufacturer has led to far more victims than would have been necessary but also the Food and Drug Administration, regulatory agencies outside the US and the medical community share responsibility for this problem.</t>
  </si>
  <si>
    <t>Hypertension, antihypertensive drugs, and mortality from cancer among women.</t>
  </si>
  <si>
    <t>Peeters, P H; van Noord, P A; Hoes, A W; Grobbee, D E</t>
  </si>
  <si>
    <t>https://pubmed.ncbi.nlm.nih.gov/9794734</t>
  </si>
  <si>
    <t>To investigate whether hypertension and the use of antihypertensive drugs are associated with mortality from cancer among women. A prospective study of 11075 women living in Utrecht, the Netherlands, aged 50-65 years at enrolment in a breast cancer screening project (DOM cohort). Women attended screening rounds between 1974 and 1985, during which blood pressure measurements were taken and information on drug use and smoking was ascertained. Since 1974 (median follow-up time 19 years) information on cause of death has been obtained from the patient's general practitioner. Hypertension was defined as a systolic blood pressure &gt; 160 mmHg, a diastolic blood pressure &gt; 95 mmHg, or current use of antihypertensive drugs. Cox regression analysis was used to investigate the association between hypertension (treated and untreated) and total and site-specific mortalities from cancer. The influences of systolic and diastolic blood pressures per 10 mmHg increase for women not using antihypertensive drugs were evaluated. Analyses were adjusted for age, smoking, and body mass index. In total, 704 women died of cancer and 1633 women left the study area. Hypertensive women had a greater than normal (not statistically significant) total risk of mortality from cancer [hazard ratio (HR) 1.10, 95% confidence interval (CI) 0.93-1.31]. Risks for treated and untreated hypertensive women were similar. Cancer-site-specific analyses revealed a statistically significantly lower mortality from gastrointestinal cancers among untreated hypertensive women (HR 0.64, 95% CI 0.44-0.93), whereas mortality from lung cancer was more prevalent among these women (HR 2.50, 95% CI 1.37-4.59). Mortality from lymphatic and hematopoietic cancers for drug-treated hypertensive women was greater than normal (HR 2.11, 95% CI 1.04-4.28), as was mortality from cancers of the uterus, cervix, and ovary (HR 1.80, 95% CI 1.00-3.26). These results support the hypothesis that, if there is a link between blood pressure and cancer, it is likely to be positive and relatively small (+10%); and applies also to nondrug-treated women. The relation may apply for some types of cancer, but not for others.</t>
  </si>
  <si>
    <t>Results of aortic screening in the brothers of patients who had elective aortic aneurysm repair.</t>
  </si>
  <si>
    <t>van der Graaf, Y; Akkersdijk, G J; Hak, E; Godaert, G L; Eikelboom, B C</t>
  </si>
  <si>
    <t>https://pubmed.ncbi.nlm.nih.gov/9667706</t>
  </si>
  <si>
    <t>Brothers of patients with an abdominal aortic aneurysm (AAA) are at high risk. In the present study brothers of patients who underwent elective AAA surgery were invited for aneurysm screening and the psychological consequences studied. All brothers over the age of 50 years were invited for abdominal ultrasonography. They were asked to complete a standard psychological well-being questionnaire both before, and 3 months after screening. Some 571 brothers were identified: 251 were dead, 35 lived abroad, 16 could not be contacted for other reasons, 46 refused to participate and 13 were already known to have an AAA. Some 210 subjects (37.8 per cent) accepted the offer of screening. A new AAA was detected in 26 (12.3 per cent, 95 per cent confidence interval 8-18 per cent) of the men screened resulting in an overall prevalence of 18 per cent (95 per cent confidence interval 13-26 per cent). Eight (3.8 per cent) aneurysms were 5 cm or more in diameter and elective surgery was performed in five patients (2.4 per cent). The psychological dimensions of well-being (depression, anxiety, energy, and positive well-being) had not changed significantly 3 months after screening. The prevalence of AAA in brothers of patients with AAA is far higher than in the overall male population of the same age. Screening does not seem to have a negative influence on psychological well-being.</t>
  </si>
  <si>
    <t>Clinical trials: study design and analysis.</t>
  </si>
  <si>
    <t>https://pubmed.ncbi.nlm.nih.gov/9639135</t>
  </si>
  <si>
    <t>To enable doctors to select the best therapeutic strategy, the value of the various options needs to be determined. The best approach to the evaluation of therapeutic effectiveness and side effects is a randomised clinical trial. Traditionally, such trials have been mainly conducted to evaluate new drugs. However, other medical interventions, such as surgical and radiological procedures and lifestyle changes, also require methodologically sound evaluation. In this article, some of the basic principles of the study design of randomised clinical trials will be discussed, such as study group comparability, treatment, data collection and statistical analysis, as well as issues relating to randomisation, outcome and blinding. Attention is also paid to some of the ethical aspects.</t>
  </si>
  <si>
    <t>Effects of nitrendipine and enalapril on left ventricular mass in patients with non-insulin-dependent diabetes mellitus and hypertension.</t>
  </si>
  <si>
    <t>Gerritsen, T A; Bak, A A; Stolk, R P; Jonker, J J; Grobbee, D E</t>
  </si>
  <si>
    <t>https://pubmed.ncbi.nlm.nih.gov/9797181</t>
  </si>
  <si>
    <t>To compare the effects of a calcium antagonist (nitrendipine) and an angiotensin converting enzyme inhibitor (enalapril) with those of placebo on left ventricular mass in patients with non-insulin-dependent diabetes mellitus and hypertension. A double-blind randomized, placebo-controlled trial. General practitioners referred patients to the trial physician. The study population comprised 121 patients with non-insulin-dependent diabetes mellitus. Inclusion criteria for blood pressure were diastolic blood pressure 90-115 mmHg and systolic blood pressure &lt; or = 200 mmHg, while subjects were not being administered blood-pressure-lowering drugs for 3 weeks. Patients were randomly allocated to receive nitrendipine (n = 40), enalapril (n = 40) or placebo (n = 41). The treatment period was 48 weeks. The effect of nitrendipine was defined as the difference in change in left ventricular mass index from baseline between nitrendipine treatment and placebo after 48 weeks of treatment. The effects of nitrendipine compared with that of enalapril and of enalapril compared with placebo were defined similarly. Left ventricular mass was measured by M-mode echocardiography. Use of nitrendipine and enalapril led to significant and almost identical reductions in systolic and diastolic blood pressures. During 48 weeks left ventricular mass index decreased by 5% for patients in the nitrendipine group (decrease by 12 g/m2, 95% confidence interval 1-23), remained about the same for patients in the enalapril group (decrease by 1 g/m2, 95% confidence interval decrease by 10 to increase by 9) and increased by 9% for patients in the placebo group (increase by 9 g/m2, 95% confidence interval 2-16). These results indicate that administration of nitrendipine to patients with non-insulin-dependent diabetes mellitus and hypertension reduces left ventricular mass index. Enalapril appears not to induce regression, but perhaps prevents progression with an effect that is intermediate between those of nitrendipine and placebo.</t>
  </si>
  <si>
    <t>Prophylactic replacement of Björk-Shiley convexo-concave valves at risk of strut fracture. Björk-Shiley Study Group.</t>
  </si>
  <si>
    <t>https://pubmed.ncbi.nlm.nih.gov/9535445</t>
  </si>
  <si>
    <t>Prophylactic replacement of Björk-Shiley convexo-concave valves (Shiley, Inc., Irvine, Calif.) has been advised for selected groups of patients. If prophylactic replacement is considered, risks of postoperative morbidity and mortality have to be weighed against benefits of replacement. Here we report the results of prophylactic replacement of Björk-Shiley convexo-concave valves at risk of strut fracture in The Netherlands. We reviewed medical records of 36 patients undergoing prophylactic replacement of their Björk-Shiley convexo-concave valves before August 1995. Replacement was judged to be prophylactic if the risk of strut fracture outweighed that of death from reoperation, or the patient wished to have the valve replaced although it was not recommended. The procedure was also considered to be prophylactic if a concomitant pathologic condition, not likely to require cardiac surgery in the near future, was present or if preoperative examination revealed an unexpected cardiac pathologic condition. Twenty-two 70-degree and 16 60-degree Björk-Shiley convexo-concave valves and one spherical valve were replaced (25 aortic and 14 mitral, including three double-valve replacements). Early mortality was 2.8% (1/36) (exact 95% confidence interval [CI] 0.1 to 14.5). Mean follow-up was 33 months. One- and 3-year survivals were 94% (95% CI 79% to 99%) and 91% (95% CI 74% to 97%), respectively. All three deaths were sudden. If special care is taken in selecting patients, the risk of prophylactic replacement is comparable to that of primary valve replacement. More data are needed to assess whether the risk of sudden death is possibly increased.</t>
  </si>
  <si>
    <t>Arterial calcification found on breast cancer screening mammograms and cardiovascular mortality in women: The DOM Project. Doorlopend Onderzoek Morbiditeit en Mortaliteit.</t>
  </si>
  <si>
    <t>Kemmeren, J M; van Noord, P A; Beijerinck, D; Fracheboud, J; Banga, J D; van der Graaf, Y</t>
  </si>
  <si>
    <t>https://pubmed.ncbi.nlm.nih.gov/9508100</t>
  </si>
  <si>
    <t>Breast arterial calcification (BAC) has been associated with diabetes and hypertension. This prompted the authors to study the relation between BAC and cardiovascular mortality in a cohort of 12,239 women aged 50-68 years who participated in a population-based breast cancer screening project (DOM Project) in Utrecht, the Netherlands, during the period 1975-1977. Mortality data from 16-19 years of follow-up were available. The occurrence of outcome events was compared in terms of hazard ratios. Cardiovascular risk factors, including age, diabetes mellitus, hypertension, parity, Quetelet index, and smoking, were studied to identify possible confounders. Arterial calcification was seen in 9% of the women. The hazard ratio for overall mortality was 1.29 (95% confidence interval 1.06-1.58) in women with BAC detected on screening mammograms in comparison with women without BAC after correction for the above-mentioned factors. An excess of all-cause mortality was found in diabetic women with BAC (hazard ratio = 1.74, 95% confidence interval 1.19-2.56), which was also present in subgroups of coronary mortality. These results indicate that BAC is associated with an increased risk of subsequent cardiovascular death in women over age 50 years and in diabetic women in particular.</t>
  </si>
  <si>
    <t>Dutch case-control study of anaesthesia-related morbidity and mortality. Rationale and methods.</t>
  </si>
  <si>
    <t>Arbous, M S; Grobbee, D E; van Kleef, J W; Meursing, A E</t>
  </si>
  <si>
    <t>https://pubmed.ncbi.nlm.nih.gov/9534640</t>
  </si>
  <si>
    <t>To date, anaesthesia-related mortality, morbidity and risk factors have almost exclusively been studied qualitatively rather than quantitatively. Therefore, knowledge of the relative risk associated with many anaesthesia-related factors is still lacking. Recently, a quantitative study of the determinants and prevention of morbidity and mortality in anaesthesia was started in the Netherlands. Its objective is to study severe peri-operative morbidity and mortality as a function of anaesthesia-related risk factors. The study is designed as a case-control study within a prospectively defined cohort. The cohort comprises all patients undergoing an anaesthetic procedure, either general, regional or a combination, in one of 61 hospitals between 1 January 1995 and 1 January 1997. A 'case' is a patient who dies within 24 h of undergoing an anaesthetic procedure or who remains comatose 24 h after an anaesthetic procedure. A 'control' patient is a randomly chosen patient who has undergone anaesthesia and is matched for gender and age. The present report discusses the study protocol.</t>
  </si>
  <si>
    <t>Methodological aspects of physical activity assessment in epidemiological studies.</t>
  </si>
  <si>
    <t>Pols, M A; Peeters, P H; Kemper, H C; Grobbee, D E</t>
  </si>
  <si>
    <t>https://pubmed.ncbi.nlm.nih.gov/9517875</t>
  </si>
  <si>
    <t>A range of epidemiological studies conducted over the past decades has produced strong support for the view that lack of physical activity is associated with increased risks of several chronic diseases, such as cardiovascular disease, diabetes mellitus, cancer, etc. Much is still unknown about the type and degree of activity that is required to influence the risk of specific diseases. Furthermore, physical activity can act as a confounder in relationships between other exposure variables (e.g. diet) and disease. Thus, the measurement of physical activity in epidemiological studies is of great importance. The questionnaire is the most frequently used method in epidemiological research. Before using a questionnaire on a large scale, validity and reproducibility should be assessed in a representative population. Some practical and methodological aspects of physical activity validation studies are described, together with the possible implications of the results.</t>
  </si>
  <si>
    <t>Psychological distress among recipients of Björk-Shiley convexo-concave valves: the impact of information.</t>
  </si>
  <si>
    <t>Kallewaard, M; Defauw, J; van der Graaf, Y</t>
  </si>
  <si>
    <t>https://pubmed.ncbi.nlm.nih.gov/9470874</t>
  </si>
  <si>
    <t>To establish whether there is more psychological distress among recipients of Björk-Shiley convexo-concave (BScc) valves than among recipients of other valves not known to fracture. Cross sectional study. 137 patients who received either a BScc valve or a Sorin Biomedical spherical valve during a randomised trial between 1982 and 1983 at St Antonius Hospital, Nieuwegein. Systematic notification of the risk of strut fracture in recipients of BScc valves was carried out at St Antonius Hospital in 1991. Psychological distress as assessed with the General Severity Index from the Symptom Checklist 90. Psychological distress between recipients of BScc and Sorin valves did not differ irrespective of whether the recipients knew their valve type. More recipients of BScc valves, however, knew their valve type and of problems associated with artificial heart valves. Information about an increased risk of strut fracture does not induce psychological distress among well informed recipients of BScc valves. All recipients of heart valves should be systematically informed about their valve type--for example, by issuing data cards with valve serial numbers and other relevant information.</t>
  </si>
  <si>
    <t>Confounding and indication for treatment in evaluation of drug treatment for hypertension.</t>
  </si>
  <si>
    <t>Grobbee, D E; Hoes, A W</t>
  </si>
  <si>
    <t>https://pubmed.ncbi.nlm.nih.gov/9374894</t>
  </si>
  <si>
    <t>[Low birth weight and risk of cardiovascular diseases].</t>
  </si>
  <si>
    <t>https://pubmed.ncbi.nlm.nih.gov/9380164</t>
  </si>
  <si>
    <t>An association between low birth weight and elevated triglyceride concentrations in later childhood was reported recently. The relationship with blood pressure was inconsistent. The relationship between birth weight and (risk factors for) late coronary disease can be explained by influences in early life or by other factor associated with low birth weight, such as socio-economic disadvantage. Several studies support the hypothesis that the intrauterine environment has an important effect on disease in later life.</t>
  </si>
  <si>
    <t>Menopause and cardiovascular disease.</t>
  </si>
  <si>
    <t>van der Graaf, Y; de Kleijn, M J; van der Schouw, Y T</t>
  </si>
  <si>
    <t>journal of psychosomatic obstetrics and gynaecology</t>
  </si>
  <si>
    <t>https://pubmed.ncbi.nlm.nih.gov/9219107</t>
  </si>
  <si>
    <t>Sudden cardiac death in patients with hypertension. An association with diuretics and beta-blockers?</t>
  </si>
  <si>
    <t>Hoes, A W; Grobbee, D E; Lubsen, J</t>
  </si>
  <si>
    <t>https://pubmed.ncbi.nlm.nih.gov/9113491</t>
  </si>
  <si>
    <t>The cornerstones of current antihypertensive treatment are diuretics and beta-blockers and the efficacy of these drugs in preventing cardiovascular disease is undisputed. This article focuses on the effect of these 2 drug classes on the incidence of sudden death. Numerous studies have shown that thiazide diuretics have a strong, dosage-dependent potassium-depleting effect, and it has been postulated that this may explain why the reduction in risk of coronary heart disease, observed in hypertension trials, was less pronounced than expected. In 7 trials that included sudden death as an end-point; a pooled risk-ratio of sudden death of 1.5 (95% confidence interval 1.1 to 2.0) was observed when non-potassium-sparing diuretics were compared with placebo. Two recent case-control studies have also strongly indicated that the use of thiazides increases the risk of sudden death. Evidence from trials using potassium-sparing diuretic combinations suggests that these may be better tolerated than thiazide monotherapy. Although it was suggested in the 2 recent case-control studies that recipients of beta-blockers are also at an increased risk of sudden death, further studies are required to confirm this finding, particularly since these drugs have several well-documented cardioprotective effects.</t>
  </si>
  <si>
    <t>[The clinical and psychological indicators of behavior in wearing a removable appliance].</t>
  </si>
  <si>
    <t>Bartsch, A; Witt, E; Dietz, I; Dietz, P</t>
  </si>
  <si>
    <t>fortschritte der kieferorthopadie</t>
  </si>
  <si>
    <t>https://pubmed.ncbi.nlm.nih.gov/8330814</t>
  </si>
  <si>
    <t>Compliance with wearing removable appliances cannot be determined directly from progress noted in the course of treatment. The orthodontist's judgement is influenced by many and varied observations and the evidence they yield is often unclear. We studied 104 orthodontic patients aged nine to 16 years using as data treatment records, provider and patient questionnaires, and oral hygiene indexes. In addition the Luescher psychological color test was administered to a subgroup and the duration of compliance wear was objectively measured. We found little consistency among different compliance indicators. Studying the patient's keeping of appointments, his oral hygiene habits, and appliance maintenance did not result in general conclusions pertaining to the patient's compliance with wearing the appliance. Only over a longer period it is possible to determine through clinical observation the patient's cooperation in his treatment. More promising on the other hand for better evaluating patient compliance behavior is the combination of information obtained clinically with the results obtained through psychological tests.</t>
  </si>
  <si>
    <t>Cardiovascular risk factors and increased carotid intima-media thickness in healthy young adults: the Atherosclerosis Risk in Young Adults (ARYA) Study.</t>
  </si>
  <si>
    <t>Oren, Anath; Vos, Lydia E; Uiterwaal, Cuno S P M; Grobbee, Diederick E; Bots, Michiel L</t>
  </si>
  <si>
    <t>https://pubmed.ncbi.nlm.nih.gov/12912713</t>
  </si>
  <si>
    <t>The relation between cardiovascular risk factors and extent of atherosclerosis in middle-aged and elderly populations is well established. Autopsy studies have suggested that similar associations may be present at a young age. We evaluated the relationship between conventional risk factors and increased carotid intima-media thickness (CIMT) in 750 healthy young adults, aged 27 to 30 years. All participants completed a questionnaire on cardiovascular risk factors, had a fasting blood sample drawn, and underwent an ultrasonographic examination of both common carotid arteries to assess common CIMT (CCIMT). Age (11.2 micro m/SD), body mass index (10.3 micro m/SD), pulse pressure (5.0 micro m/SD), sex (4.8 micro m/SD), and low-density lipoprotein cholesterol level (4.3 micro m/SD) were independent determinants of increased CCIMT in young adults (R2 = 0.36). Total pack-years of smoking, adjusted for age and sex, showed a linear trend with increased CCIMT (P =.02), which attenuated after further adjustment for body mass index. Common CIMT increased gradually and significantly with the number of cardiovascular risk factors present. The estimated absolute risk, based on the Framingham risk function, for development of coronary heart disease within 20 years was 2.5 times higher in individuals with mean CCIMT in the highest quartile compared with those in the lowest quartile of the distribution. An unfavorable cardiovascular risk profile is associated with a marked increase in CCIMT in young adulthood. Efforts to change modifiable risk factors early in life may retard atherosclerosis development and hence delay the onset of clinical cardiovascular disease later in life.</t>
  </si>
  <si>
    <t>Cardiovascular mortality in Dutch men during 1996 European football championship: longitudinal population study.</t>
  </si>
  <si>
    <t>Witte, D R; Bots, M L; Hoes, A W; Grobbee, D E</t>
  </si>
  <si>
    <t>https://pubmed.ncbi.nlm.nih.gov/11124170</t>
  </si>
  <si>
    <t>To investigate whether an important football match increases stress to such an extent that it triggers acute myocardial infarction and stroke. Longitudinal study of mortality around 22 June 1996 (the day the Dutch football team was eliminated from the European football championship). Mortality on 22 June was compared with the five days before and after the match and in the same period in 1995 and 1997. Netherlands. Dutch population aged 45 years or over in June 1996. All cause mortality and mortality due to coronary heart disease and stroke. Mortality from coronary heart disease and stroke was increased in men on the day of the match (relative risk 1.51, 95% confidence interval 1.08 to 2.09). No clear rise in mortality was observed for women (1.11, 0.80 to 1.56). Among men, about 14 excess cardiovascular deaths occurred on the day of the match. Important sporting events may provoke a sufficient level of stress to trigger symptomatic cardiovascular disease. The difference between men and women requires further investigation.</t>
  </si>
  <si>
    <t>Systemic corticosteroid therapy for acute sinusitis.</t>
  </si>
  <si>
    <t>Venekamp, Roderick P; Thompson, Matthew J; Rovers, Maroeska M</t>
  </si>
  <si>
    <t>https://pubmed.ncbi.nlm.nih.gov/25803348</t>
  </si>
  <si>
    <t>Are oral or parenteral corticosteroids associated with improved clinical outcomes in patients with acute sinusitis compared with placebo or nonsteroidal anti-inflammatory drugs (NSAIDs)? Oral corticosteroids combined with antibiotics may be associated with modest benefit for short-term relief of symptoms in adults with severe symptoms of acute sinusitis compared with antibiotics alone. Oral corticosteroids as monotherapy are not associated with improved clinical outcomes in adults with clinically diagnosed acute sinusitis.</t>
  </si>
  <si>
    <t>Use of a Symptom Diary on Oncology Wards: Effect on Symptom Management and Recommendations for Implementation.</t>
  </si>
  <si>
    <t>IJzerman-Korevaar, Margriet; de Graeff, Alexander; Heijckmann, Steffie; Zweers, Daniëlle; Vos, Bernard H; Hirdes, Marloes; Witteveen, Petronella O; Teunissen, Saskia C C M</t>
  </si>
  <si>
    <t>https://pubmed.ncbi.nlm.nih.gov/31990694</t>
  </si>
  <si>
    <t>Management of symptoms is essential in reducing the symptom burden of cancer patients. The effect of symptom diaries on symptom management to date has been evaluated only in ambulatory settings. The aims of this study were to identify the key facilitators for successful implementation of symptom diaries on oncology wards from patients' and professionals' perspectives and to evaluate implementation outcomes. In 2 cycles of action research, the Utrecht Symptom Diary (USD) was implemented on 3 oncology wards and a daycare unit. Key facilitators for implementation were identified by thematic coding of interviews. The effect of the implementation was evaluated in cycle II in a pretest-posttest design. We performed statistical tests (Mann-Whitney/t test/χ2) on Symptom Management Performance items in questionnaires and medical records. We interviewed 25 patients, 8 doctors, and 25 nurses. Seven key facilitators for implementation emerged. After implementation of the USD in cycle II, Symptom Management Performance was significantly (P &lt; .05) improved for patients (3/12 items, n = 33 pretest/26 posttest) and professionals (6/12 items, n = 21 pretest/19 posttest). Significantly more symptoms (P = .00), working hypotheses (P = .023), treatment plans (P = .00), and interventions (P = .00) were reported (n = 47 pretest/47 posttest). Implementation of the USD significantly improved symptom management in oncology wards. We recommend (1) using a diagnosis-specific diary; (2) making clear, individualized working-arrangements; (3) training professionals; (4) using the plan-do-check-act cycle; (5) acting multidisciplinary; (6) providing guidelines and training; and (7) assuring adequate information communications technology (ICT). Symptom diaries are increasingly used, but implementation is challenging. This study provides knowledge on their benefits and an evidence-based strategy for implementation with positive outcomes achieved in patient care.</t>
  </si>
  <si>
    <t>Coping Strategies of Adolescent and Young Adult Survivors of Childhood Cancer: A Qualitative Study.</t>
  </si>
  <si>
    <t>https://pubmed.ncbi.nlm.nih.gov/32740325</t>
  </si>
  <si>
    <t>Many adolescent and young adult (AYA) survivors of childhood cancer are dealing with late effects of the cancer and its treatment. The aim of this study was to explore how AYA survivors cope with their childhood cancer experience and its long-term consequences. This is a descriptive qualitative study in which 21 semistructured interviews with AYA survivors of childhood cancer were conducted. A thematic analysis was conducted by a multidisciplinary research team and supported by NVivo 10. Five coping strategies, which facilitated in living a normal life, of which some were developed during their cancer experience, were identified: (1) focusing on the "here and now," (2) refraining from discussing the cancer experience, (3) recalling and preserving positive memories, (4) redefining the impact positively, and (5) consolidating and preserving a sense of togetherness. Even long after completing treatment, the cancer experience remained deeply ingrained in AYA survivors' lives. Although they did not perceive their survivorship as a large problem in their current lives, coping with being a childhood cancer survivor did take effort. The deployment of specific coping strategies helped them to remain focused on the positive outlook in life and to deal with the long-term physical and psychosocial consequences of the cancer experience aimed at ultimately leading a normal life. This study emphasizes the current individual frame of reference of the AYA survivor as the point of departure for psychosocial support. Healthcare professionals are advised to acknowledge and respect the value and function of the AYA survivors' coping strategies used.</t>
  </si>
  <si>
    <t>Plasminogen activator inhibitor 4G polymorphism is associated with decreased risk of cerebrovascular mortality in older women.</t>
  </si>
  <si>
    <t>Roest, M; van der Schouw, Y T; Banga, J D; Tempelman, M J; de Groot, P G; Sixma, J J; Grobbee, D E</t>
  </si>
  <si>
    <t>https://pubmed.ncbi.nlm.nih.gov/10618306</t>
  </si>
  <si>
    <t>A common 4G allele of a 4G/5G polymorphism in the promoter region of the plasminogen activator inhibitor-1 (PAI-1) gene is associated with increased transcription of the PAI-1 protein, which may lead to decreased fibrinolysis. It has therefore been proposed as a candidate risk factor for myocardial infarction or stroke. We studied the relationship between PAI-1 4G/5G genotype and the risk of cardiovascular mortality in a prospective cohort study among 12 239 women initially aged between 52 and 67 years, with a maximum follow-up time of 18 years (153 732 follow-up years). PAI-1 4G/5G genotype was measured in DNA obtained from urine samples, which were collected at baseline, of 498 women who died of a cardiovascular disease and a random sample of 512 women from the same cohort who did not die of cardiovascular disease. The PAI-1 4G/5G genotype was not associated with risk of myocardial infarction or other cardiovascular mortality. However, PAI-1 4G4G homozygotes had a markedly reduced risk of cerebrovascular mortality compared with PAI-1 5G5G homozygotes: the relative risk was 0.4, with a 95% CI of 0.2 to 0.7, whereas the relative risk of cerebrovascular mortality in PAI-1 4G5G heterozygotes compared with PAI-1 5G5G homozygotes was 0.7, with a 95% CI of 0.4 to 1.1. These findings are suggestive of an important contribution of PAI-1 in cerebrovascular pathology, probably via pathways other than fibrinolysis. PAI-1 may protect against destabilization of the atherosclerotic plaque, or it may inhibit neurotoxicity of tissue plasminogen activator in the brain.</t>
  </si>
  <si>
    <t>Evaluating the Impact of Post-Esophagectomy Exercise on 2- and 5-Year Survival: Findings from the PERFECT Trial.</t>
  </si>
  <si>
    <t>Binyam, David; van Vulpen, J K; van Hillegersberg, R; Ruurda, J P; Nieuwenhuijzen, G A P; Kouwenhoven, E A; van der Wall, E; Groenendijk, R P R; van der Peet, D L; Rosman, C; Wijnhoven, B P L; van Berge Henegouwen, M I; van Laarhoven, H W M; Siersema, P D; May, Anne M; Hiensch, A E</t>
  </si>
  <si>
    <t>https://pubmed.ncbi.nlm.nih.gov/39293388</t>
  </si>
  <si>
    <t>Despite recent treatment advances, esophageal cancer still has poor survival and a high morbidity. Exploratory evidence suggests that exercise can reduce cancer-related mortality and recurrence rates. Here, we investigated the effects of an exercise intervention in the first year after esophagectomy on survival in participants of the Physical ExeRcise Following Esophageal Cancer Treatment (PERFECT)-trial. In the PERFECT-trial, esophageal cancer patients who had undergone esophagectomy were randomized to a 12-week exercise program (EX) or the control group (CG). We assessed 2- and 5-year (progression-free) survival. (Un)adjusted Cox Proportional-Hazards models were used to calculate hazard ratios (HRs) for comparison between the trial arms. Sensitivity analyses, excluding patients with events within the exercise intervention period, were performed. In total, 120 participants (EX = 61; CG = 59) were included in the PERFECT-trial. After 2-year follow-up, no significant difference in the risk of death or progression between EX and CG was found (adjusted HR = 1.65, 95% CI [0.75-3.63] and 1.38, 95% CI [0.76-2.50], respectively). After excluding patients with events during the intervention period (EX = 8; CG = 4), 2-year HRs for death (1.03, 95% CI [0.41-2.56]) and progression (1.26, 95% CI [0.64-2.48]) both decreased and remained insignificant. No significant effects were found on 5-year mortality (1.03, 95% CI [0.57-1.84]) and progression (1.21, 95% CI [0.72-2.04]) either. Sensitivity-analysis resulted in attenuated 5-year HRs for mortality (0.82, 95% CI [0.42-1.58]) and progression (1.08, 95% CI [0.61-1.92]). The results indicate no benefit of a 12-week exercise program in the first year post-esophagectomy on 2- and 5-year (progression-free) survival in esophageal cancer patients. The absence of beneficial effects may be explained by the relatively short exercise program, which was performed after treatment completion.</t>
  </si>
  <si>
    <t>Eight-year follow-up of patient-reported outcomes in patients with breast cancer participating in exercise studies during chemotherapy.</t>
  </si>
  <si>
    <t>Binyam, David; Naaktgeboren, Willeke R; Groen, Wim G; Aaronson, Neil K; Hiensch, Anouk E; van Harten, Wim H; Stuiver, Martijn M; May, Anne M</t>
  </si>
  <si>
    <t>https://pubmed.ncbi.nlm.nih.gov/39103710</t>
  </si>
  <si>
    <t>Numerous randomized controlled trials (RCTs) have shown beneficial exercise effects on fatigue, anxiety and depression and health-related quality of life (HRQoL) in breast cancer (BC) patients during and shortly after treatment. Here, we investigated the long-term effects of exercise during chemotherapy for BC on these outcomes. We invited participants of two highly comparable RCTs that investigated the effects of exercise (EX) (versus usual care (UC)) during chemotherapy in patients with non-metastatic BC (N = 357) to participate in an 8-year follow-up. In both trials, fatigue, anxiety and depression and HRQoL were assessed using the same questionnaires, at multiple timepoints. Linear mixed-effect models were used to compare study arms over time. In total, 156 participants (EX = 82; UC = 74) completed the follow-up questionnaires. EX reported comparable general (between-group difference 0.73, 95% confidence interval (- 0.35; 1.80), ES = 0.18) and physical fatigue (0.55 (- 0.55; 1.65), ES = 0.13), small but statistically significantly higher levels of anxiety (1.24 (0.47 to 2.00), ES = 0.39) and depression (1.10 (0.34; 1.85), ES = 0.38), significantly lower global HRQoL (- 5.99 (- 10.65; - 1.32), ES = 0.34) and comparable summary HRQoL (- 1.90 (- 4.70; 0.89), ES = 0.16) compared to UC. No long-term beneficial effects of exercise during chemotherapy on BC patients' fatigue, anxiety, depression or HRQoL were observed. The less favourable outcomes for mood and HRQoL that were observed 8 years after participation in an exercise intervention may be explained by selective loss-to-follow-up. The results highlight the need to incorporate strategies that promote physical activity maintenance after participation in an exercise programme to also counteract long-term detrimental side effects of cancer treatment.</t>
  </si>
  <si>
    <t>First-Line Systemic Treatment for Initially Unresectable Colorectal Liver Metastases: Post Hoc Analysis of the CAIRO5 Randomized Clinical Trial.</t>
  </si>
  <si>
    <t>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Hermans, John J; Molenaar, I Quintus; Grünhagen, Dirk J; de Valk, Bart; Haberkorn, Brigitte C M; Kerver, Emile D; Erdkamp, Frans; van Alphen, Robbert J; Mathijssen-van Stein, Daniëlle; Komurcu, Aysun; May, Anne M; Swijnenburg, Rutger-Jan; Punt, Cornelis J A; ,</t>
  </si>
  <si>
    <t>https://pubmed.ncbi.nlm.nih.gov/39570583</t>
  </si>
  <si>
    <t>In patients with colorectal cancer and unresectable liver-only metastases (CRLM), treatment with folinic acid, fluorouracil, and oxaliplatin (FOLFOX) plus irinotecan (FOLFOXIRI) and bevacizumab vs FOLFOX/folinic acid, fluorouracil, and irinotecan (FOLFIRI) plus bevacizumab increased progression-free survival, response, and R0/R1 resection/ablation rates, as well as toxic effects in RAS/BRAFV600E-variant and/or right-sided tumors. FOLFOX/FOLFIRI-panitumumab vs FOLFOX/FOLFIRI-bevacizumab increased response at the cost of more toxic effects in RAS/BRAFV600E wild-type, left-sided tumors. To present long-term outcomes of treatment with FOLFOXIRI plus bevacizumab vs FOLFOX/FOLFIRI plus bevacizumab and FOLFOX/FOLFIRI plus panitumumab vs FOLFOX/FOLFIRI + bevacizumab. The randomized phase 3 CAIRO5 trial included patients with initially unresectable CRLM in 46 Dutch centers and 1 Belgian center between November 2014 and January 2022. A liver expert panel repeatedly evaluated resectability. Patients with RAS/BRAFV600E-variant and/or right-sided tumors randomly received FOLFOX/FOLFIRI-bevacizumab (group 1) or FOLFOXIRI-bevacizumab (group 2), and those with RAS/BRAFV600E wild-type, left-sided tumors received FOLFOX/FOLFIRI-bevacizumab (group 3) or FOLFOX/FOLFIRI-panitumumab (group 4). Adjuvant chemotherapy (ACT) after complete local treatment was recommended but not standard. Overall survival (OS) was analyzed as a secondary outcome. Other outcomes were post hoc analyses. A total of 530 patients (327 male [62%] and 203 female individuals [38%]; median age, 62 [IQR, 54-69] years) were randomized: 148 in group 1, 146 in group 2, 118 in group 3, and 118 in group 4. The median OS in group 1 was 23.6 (95% CI, 20.1-27.5) vs 24.1 (95% CI, 21.0-30.9) months in group 2 (hazard ratio [HR], 0.90; 95% CI, 0.70-1.17; P = .44), and 39.9 (95% CI, 30.7-44.6) in group 3 vs 38.3 (95% CI, 35.3-51.3) months in group 4 (HR, 0.95; 95% CI, 0.68-1.32; P = .75). OS was longest after complete local treatment without early (≤6 months) recurrence (64.3 months; 95% CI, 57.6 to not reached) and salvage local treatment options after early recurrence (58.9; 95% CI, 47.3 to not reached), followed by patients without salvage local treatment after early recurrence (30.5; 95% CI, 24.4-33.4) and with incomplete local treatment (28.7; 95% CI, 25.9-38.3), and worst in patients with continued unresectability (18.3; 95% CI, 15.7-20.0). After confounder adjustment, ACT was associated with longer OS (HR, 0.66; 95% CI, 0.44-0.98) and relapse-free survival (HR, 0.65; 95% CI, 0.48-0.88) and less early recurrence without salvage local treatment (odds ratio, 0.46; 95% CI, 0.25-0.85). These results support using FOLFOX/FOLFIRI-bevacizumab for patients with initially unresectable CRLM irrespective of RAS/BRAFV600E status and tumor sidedness. Patients with complete local liver treatment with salvage local treatment in case of early recurrence had the longest OS. ACT might be considered for these patients. ClinicalTrials.gov NCT02162563.</t>
  </si>
  <si>
    <t>Global Health and Bioethics; General Practice and Nursing Science; Epidemiology and Health Economics</t>
  </si>
  <si>
    <t>Predicting Benefit From FOLFOXIRI Plus Bevacizumab in Patients With Metastatic Colorectal Cancer.</t>
  </si>
  <si>
    <t>Bond, Marinde J G; van Smeden, Maarten; Degeling, Koen; Cremolini, Chiara; Schmoll, Hans-Joachim; Antoniotti, Carlotta; Lonardi, Sara; Murgioni, Sabina; Rossini, Daniele; Ibach, Stefan; Koopman, Miriam; Swijnenburg, Rutger-Jan; Punt, Cornelis J A; May, Anne M; Kwakman, Johannes J M</t>
  </si>
  <si>
    <t>jco clinical cancer informatics</t>
  </si>
  <si>
    <t>https://pubmed.ncbi.nlm.nih.gov/39018510</t>
  </si>
  <si>
    <t>Patient outcomes may differ from randomized trial averages. We aimed to predict benefit from FOLFOXIRI versus infusional fluorouracil, leucovorin, and oxaliplatin/fluorouracil, leucovorin, and irinotecan (FOLFOX/FOLFIRI), both plus bevacizumab, in patients with metastatic colorectal cancer (mCRC). A Cox model with prespecified clinical, molecular, and laboratory variables was developed in 639 patients from the TRIBE2 trial for predicting 2-year mortality. Data from the CHARTA (n = 232), TRIBE1 (n = 504), and CAIRO5 (liver-only mCRC, n = 287) trials were used for external validation and heterogeneity of treatment effects (HTE) analysis. This involves categorizing patients into risk groups and assessing treatment effects across these groups. Performance was assessed by the C-index and calibration plots. The C-for-benefit was calculated to assess evidence for HTE. The c-for-benefit is specifically designed for HTE analysis. Like the commonly known c-statistic, it summarizes the discrimination of a model. Values over 0.5 indicate evidence for HTE. In TRIBE2, the overoptimism-corrected C-index was 0.66 (95% CI, 0.63 to 0.69). At external validation, the C-index was 0.69 (95% CI, 0.64 to 0.75), 0.68 (95% CI, 0.64 to 0.72), and 0.65 (95% CI, 0.65 to 0.66), in CHARTA, TRIBE1, and CAIRO5, respectively. Calibration plots indicated slight underestimation of mortality. The c-for-benefit indicated evidence for HTE in CHARTA (0.56, 95% CI, 0.48 to 0.65), but not in TRIBE1 (0.49, 95% CI, 0.44 to 0.55) and CAIRO5 (0.40, 95% CI, 0.32 to 0.48). Although 2-year mortality could be reasonably estimated, the HTE analysis showed that clinically available variables did not reliably identify which patients with mCRC benefit from FOLFOXIRI versus FOLFOX/FOLFIRI, both plus bevacizumab, across the three studies.</t>
  </si>
  <si>
    <t>Data Science and Biostatistics; Global Health and Bioethics; Epidemiology and Health Economics</t>
  </si>
  <si>
    <t>Prognostic value of total tumor volume in patients with colorectal liver metastases: A secondary analysis of the randomized CAIRO5 trial with external cohort validation.</t>
  </si>
  <si>
    <t>Michiel Zeeuw, J; Wesdorp, Nina J; Ali, Mahsoem; Bakker, Anne-Joëlle J J; Voigt, Kelly R; Starmans, Martijn P A; Roor, Joran; Kemna, Ruby; van Waesberghe, Jan Hein T M; van den Bergh, Janneke E; Nota, Irene M G C; Moos, Shira I; van Dieren, Susan; van Amerongen, Martinus J; Bond, Marinde J G; Chapelle, Thiery; van Dam, Ronald M; Engelbrecht, Marc R W; Gerhards, Michael F; van Gulik, Thomas M; Hermans, John J; de Jong, Koert P; Klaase, Joost M; Kok, Niels F M; Leclercq, Wouter K G; Liem, Mike S L; van Lienden, Krijn P; Quintus Molenaar, I; Patijn, Gijs A; Rijken, Arjen M; Ruers, Theo M; de Wilt, Johannes H W; Verpalen, Inez M; Stoker, Jaap; Grunhagen, Dirk J; Swijnenburg, Rutger-Jan; Punt, Cornelis J A; Huiskens, Joost; Verhoef, Cornelis; Kazemier, Geert</t>
  </si>
  <si>
    <t>https://pubmed.ncbi.nlm.nih.gov/38924855</t>
  </si>
  <si>
    <t>This study aimed to assess the prognostic value of total tumor volume (TTV) for early recurrence (within 6 months) and overall survival (OS) in patients with colorectal liver metastases (CRLM), treated with induction systemic therapy followed by complete local treatment. Patients with initially unresectable CRLM from the multicenter randomized phase 3 CAIRO5 trial (NCT02162563) who received induction systemic therapy followed by local treatment were included. Baseline TTV and change in TTV as response to systemic therapy were calculated using the CT scan before and the first after systemic treatment, and were assessed for their added prognostic value. The findings were validated in an external cohort of patients treated at a tertiary center. In total, 215 CAIRO5 patients were included. Baseline TTV and absolute change in TTV were significantly associated with early recurrence (P = 0.005 and P = 0.040, respectively) and OS in multivariable analyses (P = 0.024 and P = 0.006, respectively), whereas RECIST1.1 was not prognostic for early recurrence (P = 0.88) and OS (P = 0.35). In the validation cohort (n = 85), baseline TTV and absolute change in TTV remained prognostic for early recurrence (P = 0.041 and P = 0.021, respectively) and OS in multivariable analyses (P &lt; 0.0001 and P = 0.012, respectively), and showed added prognostic value over conventional clinicopathological variables (increase C-statistic, 0.06; 95 % CI, 0.02 to 0.14; P = 0.008). Total tumor volume is strongly prognostic for early recurrence and OS in patients who underwent complete local treatment of initially unresectable CRLM, both in the CAIRO5 trial and the validation cohort. In contrast, RECIST1.1 did not show prognostic value for neither early recurrence nor OS.</t>
  </si>
  <si>
    <t>Acute kidney injury in Staphylococcus aureus bacteraemia: a recurrent events analysis.</t>
  </si>
  <si>
    <t>Buis, David T P; van der Vaart, Thomas W; Mohan, Asna; Prins, Jan M; van der Meer, Jan T M; Bonten, Marc J M; Jakulj, Lily; van Werkhoven, Cornelis H; Sigaloff, Kim C E</t>
  </si>
  <si>
    <t>https://pubmed.ncbi.nlm.nih.gov/38925460</t>
  </si>
  <si>
    <t>To estimate risk factors for acute kidney injury (AKI) and the effect of AKI on mortality in Staphylococcus aureus bacteraemia, while taking into account recurrent AKI episodes, competing risks, time-varying variables, and time-varying effects. We performed an unplanned analysis using data from a multicentre cohort study of patients with Staphylococcus aureus bacteraemia (SAB). The primary outcome was cumulative incidence of AKI, according to Kidney Disease Improving Global Outcomes definitions. We included 453 patients in this study of whom 194 (43%) patients experienced one or more AKI episodes. Age (hazard ratio (HR) 1.013, 95% CI 1.001-1.024), Charlson comorbidity index (HR 1.07, 95% CI 1.01-1.14), prior chronic kidney disease (HR 1.76, 95% CI 1.28-2.42), septic shock (HR 3.28, 95% CI 2.31-4.66), persistent bacteraemia (HR 1.53, 95% CI 1.08-2.17), and vancomycin therapy (HR 1.80, 95% CI 1.05-3.09) were independently associated with AKI, but flucloxacillin, cefazolin, rifampicin, and aminoglycoside therapy were not. After adjustment for confounders and immortal time bias, AKI was associated with an increased risk of 90-day mortality (HR 4.26, 95% CI 2.91-6.23). The incidence of AKI in SAB is high and a substantial proportion of patients develop recurrent episodes of AKI after recovery. AKI is specifically linked to the use of vancomycin and not to anti-staphylococcal penicillins. The clinical outcome of patients with SAB complicated by AKI is worse than previously estimated.</t>
  </si>
  <si>
    <t>Global Health and Bioethics; Epidemiology and Health Economics</t>
  </si>
  <si>
    <t>Glycan-specific IgM is critical for human immunity to Staphylococcus aureus.</t>
  </si>
  <si>
    <t>Hendriks, Astrid; Kerkman, Priscilla F; Varkila, Meri R J; Haitsma Mulier, Jelle L G; Ali, Sara; Ten Doesschate, Thijs; van der Vaart, Thomas W; de Haas, Carla J C; Aerts, Piet C; Cremer, Olaf L; Bonten, Marc J M; Nizet, Victor; Liu, George Y; Codée, Jeroen D C; Rooijakkers, Suzan H M; van Strijp, Jos A G; van Sorge, Nina M</t>
  </si>
  <si>
    <t>https://pubmed.ncbi.nlm.nih.gov/39293400</t>
  </si>
  <si>
    <t>Staphylococcus aureus is a major human pathogen, yet the immune factors that protect against infection remain elusive. High titers of opsonic IgG antibodies, achieved in preclinical animal immunization studies, have consistently failed to provide protection in humans. Here, we investigate antibody responses to the conserved S. aureus surface glycan wall teichoic acid (WTA) and detect the presence of WTA-specific IgM and IgG antibodies in the plasma of healthy individuals. Functionally, WTA-specific IgM outperforms IgG in opsonophagocytic killing of S. aureus and protects against disseminated S. aureus bacteremia through passive immunization. In a clinical setting, patients with S. aureus bacteremia have significantly lower WTA-specific IgM but similar IgG levels compared to healthy controls. Importantly, low WTA-IgM levels correlate with disease mortality and impaired bacterial opsonization. Our findings may guide risk stratification of hospitalized patients and inform future design of antibody-based therapies and vaccines against serious S. aureus infection.</t>
  </si>
  <si>
    <t>Assessing accuracy of ChatGPT in response to questions from day to day pharmaceutical care in hospitals.</t>
  </si>
  <si>
    <t>van Nuland, Merel; Lobbezoo, Anne-Fleur H; van de Garde, Ewoudt M W; Herbrink, Maikel; van Heijl, Inger; Bognàr, Tim; Houwen, Jeroen P A; Dekens, Marloes; Wannet, Demi; Egberts, Toine; van der Linden, Paul D</t>
  </si>
  <si>
    <t>exploratory research in clinical and social pharmacy</t>
  </si>
  <si>
    <t>https://pubmed.ncbi.nlm.nih.gov/39050145</t>
  </si>
  <si>
    <t>The advent of Large Language Models (LLMs) such as ChatGPT introduces opportunities within the medical field. Nonetheless, use of LLM poses a risk when healthcare practitioners and patients present clinical questions to these programs without a comprehensive understanding of its suitability for clinical contexts. The objective of this study was to assess ChatGPT's ability to generate appropriate responses to clinical questions that hospital pharmacists could encounter during routine patient care. Thirty questions from 10 different domains within clinical pharmacy were collected during routine care. Questions were presented to ChatGPT in a standardized format, including patients' age, sex, drug name, dose, and indication. Subsequently, relevant information regarding specific cases were provided, and the prompt was concluded with the query "what would a hospital pharmacist do?". The impact on accuracy was assessed for each domain by modifying personification to "what would you do?", presenting the question in Dutch, and regenerating the primary question. All responses were independently evaluated by two senior hospital pharmacists, focusing on the availability of an advice, accuracy and concordance. In 77% of questions, ChatGPT provided an advice in response to the question. For these responses, accuracy and concordance were determined. Accuracy was correct and complete for 26% of responses, correct but incomplete for 22% of responses, partially correct and partially incorrect for 30% of responses and completely incorrect for 22% of responses. The reproducibility was poor, with merely 10% of responses remaining consistent upon regeneration of the primary question. While concordance of responses was excellent, the accuracy and reproducibility were poor. With the described method, ChatGPT should not be used to address questions encountered by hospital pharmacists during their shifts. However, it is important to acknowledge the limitations of our methodology, including potential biases, which may have influenced the findings.</t>
  </si>
  <si>
    <t>General Practice and Nursing Science; Epidemiology and Health Economics</t>
  </si>
  <si>
    <t>Search for the Exclusive W Boson Hadronic Decays W^{±}→π^{±}γ, W^{±}→K^{±}γ and W^{±}→ρ^{±}γ with the ATLAS Detector.</t>
  </si>
  <si>
    <t>https://pubmed.ncbi.nlm.nih.gov/39485985</t>
  </si>
  <si>
    <t>A search for the exclusive hadronic decays W^{±}→π^{±}γ, W^{±}→K^{±}γ, and W^{±}→ρ^{±}γ is performed using up to 140  fb^{-1} of proton-proton collisions recorded with the ATLAS detector at a center-of-mass energy of sqrt[s]=13  TeV. If observed, these rare processes would provide a unique test bench for the quantum chromodynamics factorization formalism used to calculate cross sections at colliders. Additionally, at future colliders, these decays could offer a new way to measure the W boson mass through fully reconstructed decay products. The search results in the most stringent upper limits to date on the branching fractions B(W^{±}→π^{±}γ)&lt;1.9×10^{-6}, B(W^{±}→K^{±}γ)&lt;1.7×10^{-6}, B(W^{±}→ρ^{±}γ)&lt;5.2×10^{-6} at 95% confidence level.</t>
  </si>
  <si>
    <t>Search for Light Long-Lived Particles in pp Collisions at sqrt[s]=13  TeV Using Displaced Vertices in the ATLAS Inner Detector.</t>
  </si>
  <si>
    <t>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t>
  </si>
  <si>
    <t>https://pubmed.ncbi.nlm.nih.gov/39485965</t>
  </si>
  <si>
    <t>A search for long-lived particles (LLPs) using 140  fb^{-1} of pp collision data with sqrt[s]=13  TeV recorded by the ATLAS experiment at the LHC is presented. The search targets LLPs with masses between 5 and 55 GeV that decay hadronically in the ATLAS inner detector. Benchmark models with LLP pair production from exotic decays of the Higgs boson and models featuring long-lived axionlike particles (ALPs) are considered. No significant excess above the expected background is observed. Upper limits are placed on the branching ratio of the Higgs boson to pairs of LLPs, the cross section for ALPs produced in association with a vector boson, and, for the first time, on the branching ratio of the top quark to an ALP and a u/c quark.</t>
  </si>
  <si>
    <t>Determination of the Relative Sign of the Higgs Boson Couplings to W and Z Bosons Using WH Production via Vector-Boson Fusion with the ATLAS Detector.</t>
  </si>
  <si>
    <t>https://pubmed.ncbi.nlm.nih.gov/39423379</t>
  </si>
  <si>
    <t>The associated production of Higgs and W bosons via vector-boson fusion is highly sensitive to the relative sign of the Higgs boson couplings to W and Z bosons. In this Letter, two searches for this process are presented, using 140  fb^{-1} of proton-proton collision data at sqrt[s]=13  TeV recorded by the ATLAS detector at the LHC. The first search targets scenarios with opposite-sign couplings of the W and Z bosons to the Higgs boson, while the second targets standard model-like scenarios with same-sign couplings. Both analyses consider Higgs boson decays into a pair of b quarks and W boson decays with an electron or muon. The data exclude the opposite-sign coupling hypothesis with a significance beyond 5σ, and the observed (expected) upper limit set on the cross section for vector-boson fusion WH production is 9.0 (8.7) times the standard model value at 95% confidence level.</t>
  </si>
  <si>
    <t>Combination of Searches for Higgs Boson Pair Production in pp Collisions at sqrt[s]=13  TeV with the ATLAS Detector.</t>
  </si>
  <si>
    <t>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t>
  </si>
  <si>
    <t>https://pubmed.ncbi.nlm.nih.gov/39303265</t>
  </si>
  <si>
    <t>This Letter presents results from a combination of searches for Higgs boson pair production using 126-140  fb^{-1} of proton-proton collision data at sqrt[s]=13  TeV recorded with the ATLAS detector. At 95% confidence level (CL), the upper limit on the production rate is 2.9 times the standard model (SM) prediction, with an expected limit of 2.4 assuming no Higgs boson pair production. Constraints on the Higgs boson self-coupling modifier κ_{λ}=λ_{HHH}/λ_{HHH}^{SM}, and the quartic HHVV coupling modifier κ_{2V}=g_{HHVV}/g_{HHVV}^{SM}, are derived individually, fixing the other parameter to its SM value. The observed 95% CL intervals are -1.2&lt;κ_{λ}&lt;7.2 and 0.6&lt;κ_{2V}&lt;1.5, respectively, while the expected intervals are -1.6&lt;κ_{λ}&lt;7.2 and 0.4&lt;κ_{2V}&lt;1.6 in the SM case. Constraints obtained for several interaction parameters within Higgs effective field theory are the strongest to date, offering insights into potential deviations from SM predictions.</t>
  </si>
  <si>
    <t>Studies of the Energy Dependence of Diboson Polarization Fractions and the Radiation-Amplitude-Zero Effect in WZ Production with the ATLAS Detector.</t>
  </si>
  <si>
    <t xml:space="preserve">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t>
  </si>
  <si>
    <t>https://pubmed.ncbi.nlm.nih.gov/39303233</t>
  </si>
  <si>
    <t>This Letter presents the first study of the energy dependence of diboson polarization fractions in WZ→ℓνℓ^{'}ℓ^{'}(ℓ,ℓ^{'}=e,μ) production. The dataset used corresponds to an integrated luminosity of 140  fb^{-1} of proton-proton collisions at a center-of-mass energy of 13 TeV recorded by the ATLAS detector. Two fiducial regions with an enhanced presence of events featuring two longitudinally polarized bosons are defined. A nonzero fraction of events with two longitudinally polarized bosons is measured with an observed significance of 5.3 standard deviations in the region with 100&lt;p_{T}^{Z}≤200  GeV and 1.6 standard deviations in the region with p_{T}^{Z}&gt;200  GeV, where p_{T}^{Z} is the transverse momentum of the Z boson. This Letter also reports the first study of the radiation-amplitude-zero effect. Events with two transversely polarized bosons are analyzed for the ΔY(ℓ_{W}Z) and ΔY(WZ) distributions defined respectively as the rapidity difference between the lepton from the W boson decay and the Z boson and the rapidity difference between the W boson and the Z boson. Significant suppression of events near zero is observed in both distributions. Unfolded ΔY(ℓ_{W}Z) and ΔY(WZ) distributions are also measured and compared to theoretical predictions.</t>
  </si>
  <si>
    <t>Case Report: A case suffered acute cerebral infarction after removal of temporary cardiac pacing lead which led to the perforation of interventricular septum.</t>
  </si>
  <si>
    <t>Zhang, Lu; Chen, Jiechu; Zhu, Kailun; Liu, Jianghai; Li, Guiyang; Chang, Dong; Li, Qiang</t>
  </si>
  <si>
    <t>https://pubmed.ncbi.nlm.nih.gov/39175635</t>
  </si>
  <si>
    <t>We report an elderly male patient with frequent episodes of dizziness due to a complete atrioventricular block who underwent temporary pacemaker insertion in a local hospital. After the implantation of a permanent pacemaker and removal of the temporary pacemaker lead, the patient developed sudden neurological symptoms, upon which an acute cerebellar infarction was diagnosed via head CT. We will discuss the adequacy of the periprocedural administration.</t>
  </si>
  <si>
    <t>Statistical Combination of ATLAS Run 2 Searches for Charginos and Neutralinos at the LHC.</t>
  </si>
  <si>
    <t>https://pubmed.ncbi.nlm.nih.gov/39094132</t>
  </si>
  <si>
    <t>Statistical combinations of searches for charginos and neutralinos using various decay channels are performed using 139  fb^{-1} of pp collision data at sqrt[s]=13  TeV with the ATLAS detector at the Large Hadron Collider. Searches targeting pure-wino chargino pair production, pure-wino chargino-neutralino production, or Higgsino production decaying via standard model W, Z, or h bosons are combined to extend the mass reach to the produced supersymmetric particles by 30-100 GeV. The depth of the sensitivity of the original searches is also improved by the combinations, lowering the 95% C.L. cross-section upper limits by 15%-40%.</t>
  </si>
  <si>
    <t>Combination of Measurements of the Top Quark Mass from Data Collected by the ATLAS and CMS Experiments at sqrt[s]=7 and 8 TeV.</t>
  </si>
  <si>
    <t>Hayrapetyan, A; Tumasyan, A; Adam, W; Andrejkovic, J W; Bergauer, T; Chatterjee, S; Damanakis, K; Dragicevic, M; Hussain, P S; Jeitler, M; Krammer, N; Li, A; Liko, D; Mikulec, I; Schieck, J; Schöfbeck, R; Schwarz, D; Sonawane, M; Templ, S; Waltenberger, W; Wulz, C-E; Darwish, M R; Janssen, T; Van Mechelen, P; Bols, E S; D'Hondt, J; Dansana, S; De Moor, A; Delcourt, M; El Faham, H; Lowette, S; Makarenko, I; Müller, D; Sahasransu, A R; Tavernier, S; Tytgat, M; Van Putte, S; Vannerom, D; Clerbaux, B; De Lentdecker, G; Favart, L; Hohov, D; Jaramillo, J; Khalilzadeh, A; Lee, K; Mahdavikhorrami, M; Malara, A; Paredes, S; Pétré, L; Postiau, N; Thomas, L; Vanden Bemden, M; Vander Velde, C; Vanlaer, P; De Coen, M; Dobur, D; Hong, Y; Knolle, J; Lambrecht, L; Mestdach, G; Rendón, C; Samalan, A; Skovpen, K; Van Den Bossche, N; van der Linden, J; Wezenbeek, L; Benecke, A; Bruno, G; Caputo, C; Delaere, C; Donertas, I S; Giammanco, A; Jaffel, K; Jain, Sa; Lemaitre, V; Lidrych, J; Mastrapasqua, P; Mon</t>
  </si>
  <si>
    <t>https://pubmed.ncbi.nlm.nih.gov/38996325</t>
  </si>
  <si>
    <t>A combination of fifteen top quark mass measurements performed by the ATLAS and CMS experiments at the LHC is presented. The datasets used correspond to an integrated luminosity of up to 5 and 20  fb^{-1} of proton-proton collisions at center-of-mass energies of 7 and 8 TeV, respectively. The combination includes measurements in top quark pair events that exploit both the semileptonic and hadronic decays of the top quark, and a measurement using events enriched in single top quark production via the electroweak t channel. The combination accounts for the correlations between measurements and achieves an improvement in the total uncertainty of 31% relative to the most precise input measurement. The result is m_{t}=172.52±0.14(stat)±0.30(syst)  GeV, with a total uncertainty of 0.33 GeV.</t>
  </si>
  <si>
    <t>Factors associated with pediatric ophthalmology follow-up adherence before and during the COVID-19 pandemic.</t>
  </si>
  <si>
    <t>Hekmatjah, Natan; Turner, Charis Hoppe; Mesfin, Yeabsira; Zhang, Li; Han, Ying; O'Brien, Kieran S; Oatts, Julius T</t>
  </si>
  <si>
    <t>journal of aapos the official publication of the american association for pediatric ophthalmology and strabismus</t>
  </si>
  <si>
    <t>https://pubmed.ncbi.nlm.nih.gov/38955242</t>
  </si>
  <si>
    <t>Studies describe poor follow-up among children in ophthalmology prior to the COVID-19 pandemic. Although the pandemic led to worse adherence for routine medical care in children, little information exists on pediatric ophthalmology follow-up adherence during COVID-19. The purpose of this study was to evaluate the effect of the COVID-19 pandemic on follow-up adherence for children with eye disease, and identified characteristics associated with follow-up adherence. In this single-center study, the medical records of 519 new pediatric (≤18 years of age) patients seen during January, April, August, and December 2019 and 2021 were reviewed retrospectively. Patients were classified into two groups: adherent (patients who followed up within 30 days of recommended appointment time) or less-adherent (patients who followed up &gt;30 days after recommended follow-up or never). Main outcome measure was patient adherence status. Follow-up adherence was similar before and during the COVID-19 pandemic (50.4% for 2019 and 49.6% for 2021 [P = 0.40]). Patients that were less likely to be adherent in both univariate and multivariable analyses included those with public insurance (adjusted OR = 0.63 [95% CI, 0.40-1.00]; P = 0.05), and those recommended to follow-up ≥3 months (adjusted OR ≤ 0.10; P &lt; 0.001). In addition, in univariate analysis, those who declined to self-report race (OR = 0.53 [95% CI, 0.29-0.95]; P = 0.04) and those seen by optometrists (OR = 0.42 [95% CI, 0.29-0.60]; P &lt; 0.001) were less likely to be adherent, while patients who traveled ≥177 miles to their provider were more likely to be adherent (OR = 2.88 [95% CI, 1.17-7.55]; P = 0.02). Follow-up adherence for childhood eye care was low but remained relatively stable before and during the COVID-19 pandemic; &gt;50% of children were less-adherent.</t>
  </si>
  <si>
    <t>Data Science and Biostatistics; Epidemiology and Health Economics</t>
  </si>
  <si>
    <t>Combination of Searches for Resonant Higgs Boson Pair Production Using pp Collisions at sqrt[s]=13  TeV with the ATLAS Detector.</t>
  </si>
  <si>
    <t>Aad, G; Aakvaag, E;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t>
  </si>
  <si>
    <t>https://pubmed.ncbi.nlm.nih.gov/38905640</t>
  </si>
  <si>
    <t>A combination of searches for a new resonance decaying into a Higgs boson pair is presented, using up to 139  fb^{-1} of pp collision data at sqrt[s]=13  TeV recorded with the ATLAS detector at the LHC. The combination includes searches performed in three decay channels: bb[over ¯]bb[over ¯], bb[over ¯]τ^{+}τ^{-}, and bb[over ¯]γγ. No excess above the expected Standard Model background is observed and upper limits are set at the 95% confidence level on the production cross section of Higgs boson pairs originating from the decay of a narrow scalar resonance with mass in the range 251 GeV-5 TeV. The observed (expected) limits are in the range 0.96-600 fb (1.2-390 fb). The limits are interpreted in the type-I two-Higgs-doublet model and the minimal supersymmetric standard model, and constrain parameter space not previously excluded by other searches.</t>
  </si>
  <si>
    <t>Search for Nearly Mass-Degenerate Higgsinos Using Low-Momentum Mildly Displaced Tracks in pp Collisions at sqrt[s]=13  TeV with the ATLAS Detector.</t>
  </si>
  <si>
    <t>https://pubmed.ncbi.nlm.nih.gov/38877905</t>
  </si>
  <si>
    <t>Higgsinos with masses near the electroweak scale can solve the hierarchy problem and provide a dark matter candidate, while detecting them at the LHC remains challenging if their mass splitting is O(1  GeV). This Letter presents a novel search for nearly mass-degenerate Higgsinos in events with an energetic jet, missing transverse momentum, and a low-momentum track with a significant transverse impact parameter using 140  fb^{-1} of proton-proton collision data at sqrt[s]=13  TeV collected by the ATLAS experiment. For the first time since LEP, a range of mass splittings between the lightest charged and neutral Higgsinos from 0.3 to 0.9 GeV is excluded at 95% confidence level, with a maximum reach of approximately 170 GeV in the Higgsino mass.</t>
  </si>
  <si>
    <t>The effect of BCG vaccination in the elderly on infectious and non-infectious immune-mediated diseases.</t>
  </si>
  <si>
    <t>Dulfer, Elisabeth A; Föhse, Konstantin; Taks, Esther J M; Moorlag, Simone J C F M; Koekenbier, Eva L; van de Maat, Josephine S; Ten Oever, Jaap; Hoogerwerf, Jacobien J; van Werkhoven, Cornelis H; Bonten, Marc J M; van Hylckama Vlieg, Astrid; Rosendaal, Frits R; Netea, Mihai G</t>
  </si>
  <si>
    <t>https://pubmed.ncbi.nlm.nih.gov/39515666</t>
  </si>
  <si>
    <t>Previous research has suggested beneficial heterologous effects of the Bacillus Calmette-Guérin (BCG) vaccine on non-mycobacterial infections and other immune-mediated diseases. During the COVID-19 pandemic, randomized controlled trials BCG-PRIME (n = 5349) and BCG-CORONA-ELDERLY (n = 1907) investigated the impact of BCG on SARS-CoV-2 infections in older individuals. We extended the follow-up in these studies by one year (BCG-Long Term study), to assess the overall effects of BCG vaccination on infectious and immune-mediated diseases in individuals aged over 60. Prior participants were invited to complete a one-year follow-up survey after their completion of the original trial. Data on vaccinations, hospital admissions, infectious episodes, and new medical diagnoses were collected and compared between BCG- and placebo-vaccinated participants. Variables of interest were combined with the previous trial databases and analyzed using relative risks (RR) and an adjusted Cox regression model accounting for participation probability. The response in the follow-up survey was 60%, including 4238 individuals in the final analysis (2317 had received BCG and 1921 placebo). Incidence and severity of infectious diseases and other diagnoses, including cardiovascular diseases and cancer, did not differ between the groups. The proportion of individuals hospitalized for cardiac arrhythmias after BCG was two-fold higher than reported after placebo (1.6% versus 0.8%, RR 2.0 (95% confidence interval 1.1-3.6)). Cardiac arrhythmia-related hospitalizations were primarily due to exacerbation of pre-existing arrhythmias. The results of the present study confirm that BCG has no relevant effect on non-mycobacterial infectious diseases and other immune-mediated diseases in a population of generally mycobacteria-naïve older Dutch individuals in the two years following vaccination. However, our study suggests that BCG may aggravate pre-existing cardiac arrhythmia, which warrants further investigation.</t>
  </si>
  <si>
    <t>The nationwide Dietary Intake after Diagnosis and Colorectal Cancer Outcomes (PLCRC-PROTECT) cohort: Study design, clinical characteristics and baseline health behaviors.</t>
  </si>
  <si>
    <t>Derksen, Jeroen W G; Smit, Karel C; Hoeven, Irene W F; Sijtsma, Femke P C; Koopman, Miriam; May, Anne M</t>
  </si>
  <si>
    <t>https://pubmed.ncbi.nlm.nih.gov/39662162</t>
  </si>
  <si>
    <t>The nationwide Dietary Intake After Diagnosis and Colorectal Cancer Outcomes (PROTECT) study is a prospective cohort study investigating how lifestyle-related factors including dietary intake and physical activity are associated with health-related quality of life (HRQoL), recurrence, and survival after a colorectal cancer (CRC) diagnosis. Patients participating in the Prospective Dutch Colorectal Cancer (PLCRC) cohort with newly diagnosed stage I to IV colorectal cancer were recruited for PROTECT shortly after diagnosis, between 2015 and 2022. While patient-reported quality of life, physical activity, and sedentary behavior, as well as body composition data are available from PLCRC, patient-reported measurements in PROTECT included anthropometrics, dietary intake, dietary supplement use, and taste and smell alterations. Clinical data was obtained from the Netherlands Cancer Registry. Patients returned baseline questionnaires after a median of 43 days (IQR: 28-59) after diagnosis. At diagnosis, the 974 participants' median age was 65 years (IQR: 58, 72), 59 % were male, 59 % had overweight/obesity, and 28 % stage I, 25 % stage II, 40 % stage III, and 6 % stage IV disease. Dietary supplements more frequently used were multivitamins (35 %), vitamin D (30 %), vitamin C (15 %), and magnesium (14 %). Around diagnosis, changes in taste ability were reported by 6 % of patients, while 2 % experienced changes in smell, and 16 % reported experiencing a dry mouthfeel. In total, 24 % adhered to ESPEN dietary guideline of ≥ 25 kCal/kg/day plus ≥ 1 gram protein/kg/day, while 45 % adhered to international physical activity guidelines. PROTECT is a unique nationwide cohort of CRC patients with a wealth of lifestyle-related data obtained through patient-reported measurements, of which baseline assessments were presented. PROTECT participants will be followed until deceased or lost to follow-up to collect all clinical outcome data. PROTECT will inform clinical and public health guidelines on physical activity and dietary patterns for improving CRC outcomes and survivorship.</t>
  </si>
  <si>
    <t>Reply - Letter to the editor entitled "Letter to editor regarding Dietary and lifestyle inflammation scores in relation to colorectal cancer recurrence and all-cause mortality: A longitudinal analysis".</t>
  </si>
  <si>
    <t>Wesselink, Evertine; Boshuizen, Hendriek C; van Lanen, Anne-Sophie; Kok, Dieuwertje E; Derksen, Jeroen W G; Smit, Karel C; de Wilt, Johannes H W; Koopman, Miriam; May, Anne M; Kampman, Ellen; van Duijnhoven, Fränzel J B</t>
  </si>
  <si>
    <t>https://pubmed.ncbi.nlm.nih.gov/39586153</t>
  </si>
  <si>
    <t>Reply - Letter to the editor entitled "Letter to editor - Dietary and lifestyle inflammation scores in relation to colorectal cancer recurrence and all-cause mortality: A longitudinal analysis".</t>
  </si>
  <si>
    <t>https://pubmed.ncbi.nlm.nih.gov/39566257</t>
  </si>
  <si>
    <t>Reply - Letter to editor entitled "Enhancing colorectal cancer survivorship: Integrating social work to optimize Dietary and lifestyle interventions".</t>
  </si>
  <si>
    <t>https://pubmed.ncbi.nlm.nih.gov/39348724</t>
  </si>
  <si>
    <t>Reply - Letter to the editor entitled "Oral health perspectives: The benefits of low-inflammatory diet and lifestyle".</t>
  </si>
  <si>
    <t>https://pubmed.ncbi.nlm.nih.gov/39342801</t>
  </si>
  <si>
    <t>Physical activity at diagnosis is associated with tumor downstaging after neoadjuvant chemoradiotherapy in patients with rectal cancer.</t>
  </si>
  <si>
    <t>Mast, I H; de Wilt, J H W; Duman, B; Smit, K C; Gootjes, E C; Vissers, P A J; Rütten, H; Nagtegaal, I D; Hopman, M T E; May, A M; Buffart, L M</t>
  </si>
  <si>
    <t>https://pubmed.ncbi.nlm.nih.gov/39265927</t>
  </si>
  <si>
    <t>Patients with rectal cancer are often treated with neoadjuvant chemoradiotherapy, followed by a waiting period and surgical resection. Good or complete response to neoadjuvant chemoradiotherapy might enable organ preservation, which highlights the need to increase response rates. Pre-clinical studies suggest that physical activity during neoadjuvant chemoradiotherapy may improve tumor downstaging. To investigate whether physical activity and physical functioning of patients with rectal cancer at diagnosis are associated with tumor downstaging after neoadjuvant chemoradiotherapy. Patients were included if they participated in the Dutch Prospective ColoRectal Cancer Cohort, a nationwide cohort providing an infrastructure for scientific research, and received neoadjuvant chemoradiotherapy for rectal cancer. Tumor downstaging was dichotomized into good/complete or moderate/poor downstaging. Physical activity (total physical activity, moderate-to-vigorous physical activity (MVPA), and Dutch physical activity guideline adherence) and physical functioning were assessed using questionnaires. Logistic regression analyses were performed to examine associations of physical activity and physical functioning with tumor downstaging, adjusted for relevant confounders. 268 patients (aged 62 ± 11 years, 33 % female) with rectal cancer were included. Patients with moderate (OR = 2.07; 95%CI = 1.07 - 4.07; p = 0.03) or high (OR = 2.05; 95%CI = 1.05 - 4.07; p = 0.04) levels of MVPA were more likely to have good/complete tumor downstaging than patients with low levels. No significant associations with tumor downstaging were found for total physical activity, Dutch physical activity guideline adherence, and physical functioning. We found augmented tumor downstaging in patients with rectal cancer with moderate or high levels of self-reported MVPA before the start of neoadjuvant chemoradiotherapy compared to patients with low levels.</t>
  </si>
  <si>
    <t>Dietary and lifestyle inflammation scores in relation to colorectal cancer recurrence and all-cause mortality: A longitudinal analysis.</t>
  </si>
  <si>
    <t>Wesselink, Evertine; Boshuizen, Hendriek C; van Lanen, Anne-Sophie; Kok, Dieuwertje E; Derksen, Jeroen W G; Smit, Karel C; de Wilt, Johannes H W; Koopman, Miriam; May, Anne M; Kampman, Ellen; van Duijnhoven, Fränzel J B; ,</t>
  </si>
  <si>
    <t>https://pubmed.ncbi.nlm.nih.gov/39094474</t>
  </si>
  <si>
    <t>The aim of this study was to longitudinally investigate dietary and lifestyle inflammation scores and their interaction in relation to risk of colorectal cancer (CRC) recurrence and all-cause mortality. Data of two prospective cohort studies among CRC survivors was used. Information about diet and/or lifestyle was available for 2739 individuals for at least one of the following time points: at diagnosis, six months after diagnosis and two years after diagnosis. The dietary and lifestyle inflammation scores (DIS and LIS) were used to evaluate the inflammatory potential of diet and lifestyle. Joint modelling, combining mixed models and Cox proportional hazards regression, were used to assess associations between DIS and LIS over time and CRC recurrence and all-cause mortality. Interactions between DIS and LIS were assessed using time-dependent Cox proportional hazard regression. The median follow-up time was 4.8 (IQR 2.9-6.9) years for recurrence and 5.7 (IQR 3.5-8.5) years for all-cause mortality, with 363 and 453 events, respectively. A higher DIS as well as LIS was associated with a higher risk of all-cause mortality (HR&lt;sub&gt;DIScontinuous&lt;/sub&gt; 1.09 95%CI 1.02; 1.15; HR&lt;sub&gt;LIScontinuous&lt;/sub&gt; 1.24 95%CI 1.05; 1.46). Individuals who were in the upper tertile of both DIS and LIS had the highest all-cause mortality risk (HR 1.62 95%CI 1.16; 2.28), compared to the individuals in the lowest tertile of both DIS and LIS. No consistent associations with recurrence were observed. A more pro-inflammatory diet and lifestyle was associated with a higher risk of all-cause mortality, but not recurrence, in CRC survivors.</t>
  </si>
  <si>
    <t>Use of automated assessment for determining associations of low muscle mass and muscle loss with overall survival in patients with colorectal cancer - A validation study.</t>
  </si>
  <si>
    <t>Smit, Karel C; Derksen, Jeroen W G; Kurk, Sophie A; Moeskops, Pim; Koopman, Miriam; Veldhuis, Wouter B; May, Anne M</t>
  </si>
  <si>
    <t>clinical nutrition espen</t>
  </si>
  <si>
    <t>https://pubmed.ncbi.nlm.nih.gov/38997109</t>
  </si>
  <si>
    <t>Low muscle mass and skeletal muscle mass (SMM) loss are associated with adverse patient outcomes, but the time-consuming nature of manual SMM quantification prohibits implementation of this metric in clinical practice. Therefore, we assessed the feasibility of automated SMM quantification compared to manual quantification. We evaluated both diagnostic accuracy for low muscle mass and associations of SMM (change) with survival in colorectal cancer (CRC) patients. Computed tomography (CT) images from CRC patients enrolled in two clinical studies were analyzed. We compared i) manual vs. automated segmentation of preselected slices at the third lumbar [L3] vertebra ("semi-automated"), and ii) manual L3-slice-selection + manual segmentation vs. automated L3-slice-selection + automated segmentation ("fully-automated"). Automated L3-selection and automated segmentation was performed with Quantib Body Composition v0.2.1. Bland-Altman analyses, within-subject coefficients of variation (WSCVs) and Intraclass Correlation Coefficients (ICCs) were used to evaluate the agreement between manual and automatic segmentation. Diagnostic accuracy for low muscle mass (defined by an established sarcopenia cut-off) was calculated with manual assessment as the "gold standard". Using either manual or automated assessment, Cox proportional hazard ratios (HRs) were used to study the association between changes in SMM (&gt;5% decrease yes/no) during first-line metastatic CRC treatment and mortality adjusted for prognostic factors. SMM change was also assessed separately in weight-stable (&lt;5%, i.e. occult SMM loss) patients. In total, 1580 CT scans were analyzed, while a subset of 307 scans were analyzed in the fully-automated comparison. Included patients (n = 553) had a mean age of 63 ± 9 years and 39% were female. The semi-automated comparison revealed a bias of -2.41 cm&lt;sup&gt;2&lt;/sup&gt;, 95% limits of agreement [-9.02 to 4.20], a WSCV of 2.25%, and an ICC of 0.99 (95% confidence intervals (CI) 0.97 to 1.00). The fully-automated comparison method revealed a bias of -0.08 cm&lt;sup&gt;2&lt;/sup&gt; [-10.91 to 10.75], a WSCV of 2.85% and an ICC of 0.98 (95% CI 0.98 to 0.99). Sensitivity and specificity for low muscle mass were 0.99 and 0.89 for the semi-automated comparison and 0.96 and 0.90 for the fully-automated comparison. SMM decrease was associated with shorter survival in both manual and automated assessment (n = 78/280, HR 1.36 [95% CI 1.03 to 1.80] and n = 89/280, HR 1.38 [95% CI 1.05 to 1.81]). Occult SMM loss was associated with shorter survival in manual assessment, but not significantly in automated assessment (n = 44/263, HR 1.43 [95% CI 1.01 to 2.03] and n = 51/2639, HR 1.23 [95% CI 0.87 to 1.74]). Deep-learning based assessment of SMM at L3 shows reliable performance, enabling the use of CT measures to guide clinical decision making. Implementation in clinical practice helps to identify patients with low muscle mass or (occult) SMM loss who may benefit from lifestyle interventions.</t>
  </si>
  <si>
    <t>Association of &lt;i&gt;Staphylococcus aureus&lt;/i&gt; Bacterial Load and Colonization Sites With the Risk of Postoperative &lt;i&gt;S. aureus&lt;/i&gt; Infection.</t>
  </si>
  <si>
    <t>Troeman, Darren P R; Hazard, Derek; van Werkhoven, Cornelis H W; Timbermont, Leen; Malhotra-Kumar, Surbhi; Wolkewitz, Martin; Ruzin, Alexey; Sifakis, Frangiscos; Harbarth, Stephan; Kluytmans, Jan A J W; ,</t>
  </si>
  <si>
    <t>https://pubmed.ncbi.nlm.nih.gov/39113829</t>
  </si>
  <si>
    <t>The independent effects of extranasal-only carriage, carriage at multiple bodily sites, or the bacterial load of colonizing &lt;i&gt;Staphylococcus aureus&lt;/i&gt; (SA) on the risk of developing SA surgical site infections and postoperative bloodstream infections (SA SSI/BSIs) are unclear. We aimed to quantify these effects in this large prospective cohort study. Surgical patients aged 18 years or older were screened for SA carriage in the nose, throat, or perineum within 30 days before surgery. SA carriers and noncarriers were enrolled in a prospective cohort study in a 2:1 ratio. Weighted multivariable Cox proportional hazard models were used to assess the independent associations between different measures of SA carriage and occurrence of SA SSI/BSI within 90 days after surgery. We enrolled 5004 patients in the study cohort; 3369 (67.3%) were SA carriers. 100 SA SSI/BSI events occurred during follow-up, and 86 (86%) of these events occurred in SA carriers. The number of colonized bodily sites (adjusted hazard ratio [aHR], 3.5-8.5) and an increasing SA bacterial load in the nose (aHR, 1.8-3.4) were associated with increased SA SSI/BSI risk. However, extranasal-only carriage was not independently associated with SA SSI/BSI (aHR, 1.5; 95% CI, 0.9-2.5). Nasal SA carriage was associated with an increased risk of SA SSI/BSI and accounted for the majority of SA infections. Higher bacterial load, as well as SA colonization at multiple bodily sites, further increased this risk.</t>
  </si>
  <si>
    <t>Single-cell Sequencing of Circulating Human Plasmablasts during Staphylococcus aureus Bacteremia.</t>
  </si>
  <si>
    <t>Kerkman, Priscilla F; de Vor, Lisanne; van der Vaart, Thomas W; Ten Doesschate, Thijs; Muts, Remy M; Depelteau, Jamie S; Scheepmaker, Lisette M; Ruyken, Maartje; de Haas, Carla J C; Aerts, Piet C; Marijnissen, Renoud J; Schuurman, Janine; Beurskens, Frank J; Gorlani, Andrea; Bardoel, Bart W; Rooijakkers, Suzan H M</t>
  </si>
  <si>
    <t>journal of immunology baltimore md</t>
  </si>
  <si>
    <t>https://pubmed.ncbi.nlm.nih.gov/39451041</t>
  </si>
  <si>
    <t>Staphylococcus aureus is the major cause of healthcare-associated infections, including life-threatening conditions as bacteremia, endocarditis, and implant-associated infections. Despite adequate antibiotic treatment, the mortality of S. aureus bacteremia remains high. This calls for different strategies to treat this infection. In past years, sequencing of Ab repertoires from individuals previously exposed to a pathogen emerged as a successful method to discover novel therapeutic monoclonal Abs and understand circulating B cell diversity during infection. In this paper, we collected peripheral blood from 17 S. aureus bacteremia patients to study circulating plasmablast responses. Using single-cell transcriptome gene expression combined with sequencing of variable heavy and light Ig genes, we retrieved sequences from &gt;400 plasmablasts revealing a high diversity with &gt;300 unique variable heavy and light sequences. More than 200 variable sequences were synthesized to produce recombinant IgGs that were analyzed for binding to S. aureus whole bacterial cells. This revealed four novel monoclonal Abs that could specifically bind to the surface of S. aureus in the absence of Ig-binding surface SpA. Interestingly, three of four mAbs showed cross-reactivity with Staphylococcus epidermidis. Target identification revealed that the S. aureus-specific mAb BC153 targets wall teichoic acid, whereas cross-reactive mAbs BC019, BC020, and BC021 target lipoteichoic acid. All mAbs could induce Fc-dependent phagocytosis of staphylococci by human neutrophils. Altogether, we characterize the active B cell responses to S. aureus in infected patients and identify four functional mAbs against the S. aureus surface, of which three cross-react with S. epidermidis.</t>
  </si>
  <si>
    <t>Longitudinal assessment of immunoglobulin response and disease progression in critically ill patients with community acquired pneumonia.</t>
  </si>
  <si>
    <t>Rademaker, Emma; Vernooij, Lisette M; van der Poll, Tom; Bonten, Marc J M; Leavis, Helen; Cremer, Olaf L; Derde, Lennie P G</t>
  </si>
  <si>
    <t>https://pubmed.ncbi.nlm.nih.gov/39639324</t>
  </si>
  <si>
    <t>Low endogenous immunoglobulin(Ig)-levels are common in critically ill patients with sepsis, but it is unknown whether low Ig-levels are associated with poor outcome, and in which patients Ig-replacement therapy (IgRT) improves outcome. Given the crucial role of immunoglobulins in eliminating certain encapsulated pathogens, we examined the relationship between serial Ig-levels and disease course in critically ill patients with community acquired pneumonia (sCAP) caused by encapsulated or other pathogens. We included a cohort of consecutive critically ill patients with CAP, and PaO&lt;sub&gt;2&lt;/sub&gt;/FiO&lt;sub&gt;2&lt;/sub&gt;-ratio &lt; 200 with or without septic shock, from an existing biorepository where microbiological causes of infection had been adjudicated in a protocolized manner. We used generalized linear mixed models to assess the association between IgG and IgM (measured on admission days 1, 3 and 7) and disease course (Sequential Organ Failure Assessment (SOFA)-score on day 2, 4, and 8) for all-cause sCAP and for episodes caused by Streptococcus (S.) pneumoniae or Haemophilus (H.) influenzae. We included 255 eligible patients admitted with CAP, of which 82 (32%) episodes were caused by S. pneumoniae or H. influenzae. 151 (59%) patients had low IgG (&lt; 7.0 g/L), 77 (30%) had low IgM (&lt; 0.4 g/L), and 56 (22%) had both. A lower IgG-level was related to a slightly higher SOFA-score at admission (β =  - 0.07 per 1 g/L IgG, p = 0.029), but an IgG-level decline over time was not associated with a SOFA-score increase (β =  - 0.04, p = 0.564). IgM-levels were not associated with changes in SOFA-score over time. Neither association was affected by the presence or absence of S. pneumoniae and H. influenzae. In critically ill patients with CAP, IgG and IgM dynamics in the first week of ICU stay are not associated with clinically relevant changes in disease course, regardless of the causative pathogen.</t>
  </si>
  <si>
    <t>Antimicrobial resistance genes acquisition among Dutch intercontinental travellers: a prospective multicentre study.</t>
  </si>
  <si>
    <t>Chan, Jiyang; Best, Niels; Arcilla, Maris; Hattem, Jarne; Melles, Damian C; Jong, Menno D; Schultsz, Constance; Genderen, Perry J J; Bootsma, Martin C J; Goorhuis, Abraham; Grobusch, Martin P; Oude Lashof, Astrid M; Verbrugh, Henri A; Penders, John; ,</t>
  </si>
  <si>
    <t>journal of travel medicine</t>
  </si>
  <si>
    <t>https://pubmed.ncbi.nlm.nih.gov/39385463</t>
  </si>
  <si>
    <t>Influenza Infection and Acute Myocardial Infarction.</t>
  </si>
  <si>
    <t>de Boer, Annemarijn R; Riezebos-Brilman, Annelies; van Hout, Denise; van Mourik, Maaike S M; Rümke, Lidewij W; de Hoog, Marieke L A; Vaartjes, Ilonca; Bruijning-Verhagen, Patricia C J L</t>
  </si>
  <si>
    <t>nejm evidence</t>
  </si>
  <si>
    <t>https://pubmed.ncbi.nlm.nih.gov/38916418</t>
  </si>
  <si>
    <t>Acute respiratory infections can trigger acute myocardial infarction. We aimed to quantify the association between laboratory-confirmed influenza infection and acute myocardial infarction, particularly in patients with and without known coronary artery disease. This observational, registry-based, self-controlled case series study evaluated the association between laboratory-confirmed influenza infection and occurrence of acute myocardial infarction. Laboratory records on respiratory virus polymerase chain reaction (PCR) testing from 16 laboratories across the Netherlands were linked to national mortality, hospitalization, medication, and administrative registries. Influenza infection was defined as a positive PCR test result. Acute myocardial infarction was defined as a registered diagnostic code for either acute myocardial infarction hospitalization or death. Using a self-controlled case series method, we then compared the incidence of acute myocardial infarction during the risk period (days 1 to 7 after influenza infection) versus the control period (1 year before and 51 weeks after the risk period). Between 2008 and 2019, we identified 158,777 PCR tests for influenza in the study population; 26,221 were positive for influenza, constituting 23,405 unique influenza illness episodes. A total of 406 episodes were identified with acute myocardial infarction occurring within 1 year before and 1 year after confirmed influenza infection and were included in analysis. Twenty-five cases of acute myocardial infarction occurred during the risk period versus 394 during the control period. The adjusted relative incidence of acute myocardial infarction during the risk period compared with the control period was 6.16 (95% confidence interval [CI], 4.11 to 9.24). The relative incidence of acute myocardial infarction in individuals without prior hospitalization for coronary artery disease was 16.60 (95% CI, 10.45 to 26.37) compared with 1.43 (95% CI, 0.53 to 3.84) for those with prior admission for coronary artery disease. Influenza infection was associated with an increased risk of acute myocardial infarction, especially in individuals without a prior hospitalization for coronary artery disease. (Funded by the Dutch Research Council [NWO].).</t>
  </si>
  <si>
    <t>Age-specific SARS-CoV-2 transmission differed from human rhinovirus in households during the early COVID-19 pandemic.</t>
  </si>
  <si>
    <t>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t>
  </si>
  <si>
    <t>https://pubmed.ncbi.nlm.nih.gov/38950866</t>
  </si>
  <si>
    <t>Children are generally considered main drivers of transmission for respiratory viruses, but the emergence of SARS-CoV-2 challenged this paradigm. Human rhinovirus (RV) continued to co-circulate throughout the pandemic, allowing for direct comparison of age-specific infectivity and susceptibility within households between these viruses during a time of low SARS-CoV-2 population immunity. Households with children were prospectively monitored for ≥23 weeks between August 2020 and July 2021. Upon onset of respiratory symptoms in a household, an outbreak study was initiated, including questionnaires and repeated nasal self-sampling in all household members. Swabs were tested by PCR. Age-stratified within-household secondary attack rates (SARs) were compared between SARS-CoV-2 and RV. A total of 307 households participated, including 582 children and 627 adults. Overall, SAR was lower for SARS-CoV-2 than for RV (aOR 0.55) and age distributions differed between both viruses (p &lt; 0.001). Following household exposure, children were significantly less likely to become infected with SARS-CoV-2 compared to RV (aOR 0.16), whereas this was opposite in adults (aOR 1.71). In households, age-specific susceptibility to SARS-CoV-2 and RV differs and drives differences in household transmission between these pathogens. This highlights the importance of characterizing age-specific transmission risks, particularly for emerging infections, to guide appropriate infection control interventions.</t>
  </si>
  <si>
    <t>Sex differences in cognitive functioning in patients with heart failure.</t>
  </si>
  <si>
    <t>Kuipers, Sanne; Kappelle, L Jaap; Greving, Jacoba P; Amier, Raquel P; de Bresser, Jeroen; Bron, Esther E; Leeuwis, Anna E; Marcks, Nick; den Ruijter, Hester M; Biessels, Geert Jan; Exalto, Lieza G; ,</t>
  </si>
  <si>
    <t>https://pubmed.ncbi.nlm.nih.gov/39343304</t>
  </si>
  <si>
    <t>Cognitive impairment is common in patients with heart failure (HF) and impacts patients' life. Sex differences in HF-characteristics are well-established. We hypothesized that women and men with HF also differ in cognitive functioning and that this may be related to sex differences in HF-characteristics and vascular brain injury. In the Heart-Brain Connection Study, 162 clinically stable HF patients (mean age 69.7 ± 10.0, 33 % women) underwent neuropsychological assessments and brain-MRI. Test results were standardized into z-scores for memory, language, attention/speed, executive functioning, and global cognition. Using linear models adjusted for age and education, we calculated sex differences (women-to-men: W-M∆) in cognitive functioning and examined effects of HF- and vascular brain injury-characteristics on these differences. Men more often had an ischemic cause of HF and lower NYHA-classes, whereas women more often had preserved left ventricular ejection fractions (LVEF). Women had a higher volume of white matter hyperintensities (WMHs) whereas non-lacunar infarcts and microbleeds were more prevalent in men. Women performed better on global cognition than men (W-M∆ in z-score 0.20, 95 %CI 0.03-0.37), predominantly on memory (0.40, 0.02-0.78). These differences were associated with ischemic HF-etiology, as adjustment attenuated these sex differences. After adjustment for non-lacunar infarcts, global cognition difference persisted, but the difference in memory functioning attenuated. Adjustments for NYHA-class, LVEF, WMHs, and microbleeds did not change the results. Women and men with HF differ in cognitive functioning, predominantly in memory functioning, these differences were related to some sex differences in HF-characteristics and vascular brain injury, but not to all.</t>
  </si>
  <si>
    <t>Supervised, structured and individualized exercise in metastatic breast cancer: a randomized controlled trial.</t>
  </si>
  <si>
    <t>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t>
  </si>
  <si>
    <t>https://pubmed.ncbi.nlm.nih.gov/39054374</t>
  </si>
  <si>
    <t>Physical exercise both during and after curative cancer treatment has been shown to reduce side effects. Evidence in the metastatic cancer setting is scarce, and interventions that improve health-related quality of life (HRQOL) are much needed for patients with metastatic breast cancer (MBC). The multinational randomized controlled PREFERABLE-EFFECT trial assessed the effects of exercise on fatigue and HRQOL in patients with MBC. In total, 357 patients with MBC and a life expectancy of ≥6 months but without unstable bone metastases were recruited at eight study centers across five European countries and Australia. Participants were randomly assigned (1:1) to usual care (control group, n = 179) or a 9-month supervised exercise program (exercise group, n = 178). Intervention effects on physical fatigue (European Organization for Research and Treatment of Cancer (EORTC) Quality of Life Questionnaire (QLQ)-FA12 scale) and HRQOL (EORTC QLQ-C30 summary score) were determined by comparing the change from baseline to 3, 6 (primary timepoint) and 9 months between groups using mixed models for repeated measures, adjusted for baseline values of the outcome, line of treatment (first or second versus third or higher) and study center. Exercise resulted in significant positive effects on both primary outcomes. Physical fatigue was significantly lower (-5.3 (95% confidence interval (CI), -10.0 to -0.6), Bonferroni-Holm-adjusted P = 0.027; Cohen's effect size, 0.22) and HRQOL significantly higher (4.8 (95% CI, 2.2-7.4), Bonferroni-Holm-adjusted P = 0.0003; effect size, 0.33) in the exercise group than in the control group at 6 months. Two serious adverse events occurred (that is, fractures), but both were not related to bone metastases. These results demonstrate that supervised exercise has positive effects on physical fatigue and HRQOL in patients with MBC and should be recommended as part of supportive care.ClinicalTrials.gov Identifier: NCT04120298 .</t>
  </si>
  <si>
    <t>Updating methods for AI-based clinical prediction models: a scoping review.</t>
  </si>
  <si>
    <t>Meijerink, Lotta M; Dunias, Zoë S; Leeuwenberg, Artuur M; de Hond, Anne A H; Jenkins, David A; Martin, Glen P; Sperrin, Matthew; Peek, Niels; Spijker, René; Hooft, Lotty; Moons, Karel G M; van Smeden, Maarten; Schuit, Ewoud</t>
  </si>
  <si>
    <t>https://pubmed.ncbi.nlm.nih.gov/39662644</t>
  </si>
  <si>
    <t>To give an overview of methods for updating AI-based clinical prediction models based on new data. We comprehensively searched Scopus and EMBASE up to August 2022 for articles that addressed developments, descriptions, or evaluations of prediction model updating methods. We specifically focused on articles in the medical domain involving AI-based prediction models that were updated based on new data, excluding regression-based updating methods as these have been extensively discussed elsewhere. We categorized and described the identified methods used to update the AI-based prediction model as well as the use cases in which they were used. We included 78 articles. The majority of the included articles discussed updating for neural network methods (93.6%) with medical images as input data (65.4%). In many articles (51.3%) existing, pre-trained models for broad tasks were updated to perform specialized clinical tasks. Other common reasons for model updating were to address changes in the data over time and cross-center differences; however, more unique use cases were also identified, such as updating a model from a broad population to a specific individual. We categorized the identified model updating methods into four categories: neural network-specific methods (described in 92.3% of the articles), ensemble-specific methods (2.5%), model-agnostic methods (9.0%), and other (1.3%). Variations of neural network-specific methods are further categorized based on: (1) the part of the original neural network that is kept, (2) whether and how the original neural network is extended with new parameters, and (3) to what extent the original neural network parameters are adjusted to the new data. The most frequently occurring method (n=30) involved selecting the first layer(s) of an existing neural network, appending new, randomly initialized layers, and then optimizing the entire neural network. We identified many ways to adjust or update AI-based prediction models based on new data, within a large variety of use cases. Updating methods for AI-based prediction models other than neural networks (e.g., random forest) appear to be underexplored in clinical prediction research.</t>
  </si>
  <si>
    <t>Applying natural language processing to patient messages to identify depression concerns in cancer patients.</t>
  </si>
  <si>
    <t>van Buchem, Marieke M; de Hond, Anne A H; Fanconi, Claudio; Shah, Vaibhavi; Schuessler, Max; Kant, Ilse M J; Steyerberg, Ewout W; Hernandez-Boussard, Tina</t>
  </si>
  <si>
    <t>https://pubmed.ncbi.nlm.nih.gov/39018490</t>
  </si>
  <si>
    <t>This study aims to explore and develop tools for early identification of depression concerns among cancer patients by leveraging the novel data source of messages sent through a secure patient portal. We developed classifiers based on logistic regression (LR), support vector machines (SVMs), and 2 Bidirectional Encoder Representations from Transformers (BERT) models (original and Reddit-pretrained) on 6600 patient messages from a cancer center (2009-2022), annotated by a panel of healthcare professionals. Performance was compared using AUROC scores, and model fairness and explainability were examined. We also examined correlations between model predictions and depression diagnosis and treatment. BERT and RedditBERT attained AUROC scores of 0.88 and 0.86, respectively, compared to 0.79 for LR and 0.83 for SVM. BERT showed bigger differences in performance across sex, race, and ethnicity than RedditBERT. Patients who sent messages classified as concerning had a higher chance of receiving a depression diagnosis, a prescription for antidepressants, or a referral to the psycho-oncologist. Explanations from BERT and RedditBERT differed, with no clear preference from annotators. We show the potential of BERT and RedditBERT in identifying depression concerns in messages from cancer patients. Performance disparities across demographic groups highlight the need for careful consideration of potential biases. Further research is needed to address biases, evaluate real-world impacts, and ensure responsible integration into clinical settings. This work represents a significant methodological advancement in the early identification of depression concerns among cancer patients. Our work contributes to a route to reduce clinical burden while enhancing overall patient care, leveraging BERT-based models.</t>
  </si>
  <si>
    <t>Risk-Based Decision Making: Estimands for Sequential Prediction Under Interventions.</t>
  </si>
  <si>
    <t>Luijken, Kim; Morzywołek, Paweł; van Amsterdam, Wouter; Cinà, Giovanni; Hoogland, Jeroen; Keogh, Ruth; Krijthe, Jesse H; Magliacane, Sara; van Ommen, Thijs; Peek, Niels; Putter, Hein; van Smeden, Maarten; Sperrin, Matthew; Wang, Junfeng; Weir, Daniala L; Didelez, Vanessa; van Geloven, Nan</t>
  </si>
  <si>
    <t>https://pubmed.ncbi.nlm.nih.gov/39607308</t>
  </si>
  <si>
    <t>Prediction models are used among others to inform medical decisions on interventions. Typically, individuals with high risks of adverse outcomes are advised to undergo an intervention while those at low risk are advised to refrain from it. Standard prediction models do not always provide risks that are relevant to inform such decisions: for example, an individual may be estimated to be at low risk because similar individuals in the past received an intervention which lowered their risk. Therefore, prediction models supporting decisions should target risks belonging to defined intervention strategies. Previous works on prediction under interventions assumed that the prediction model was used only at one time point to make an intervention decision. In clinical practice, intervention decisions are rarely made only once: they might be repeated, deferred, and reevaluated. This requires estimated risks under interventions that can be reconsidered at several potential decision moments. In the current work, we highlight key considerations for formulating estimands in sequential prediction under interventions that can inform such intervention decisions. We illustrate these considerations by giving examples of estimands for a case study about choosing between vaginal delivery and cesarean section for women giving birth. Our formalization of prediction tasks in a sequential, causal, and estimand context provides guidance for future studies to ensure that the right question is answered and appropriate causal estimation approaches are chosen to develop sequential prediction models that can inform intervention decisions.</t>
  </si>
  <si>
    <t>Tailored guidance to apply the Estimand framework to Trials within Cohorts (TwiCs) studies.</t>
  </si>
  <si>
    <t>Gal, R; Kessels, R; Luijken, K; Daamen, L A; Mink van der Molen, D R; Gernaat, S A M; May, A M; Verkooijen, H M; van de Ven, P M</t>
  </si>
  <si>
    <t>global epidemiology</t>
  </si>
  <si>
    <t>https://pubmed.ncbi.nlm.nih.gov/39399812</t>
  </si>
  <si>
    <t>&lt;b&gt;Objective&lt;/b&gt;: The estimand framework offers a structured approach to define the treatment effect to be estimated in a clinical study. Defining the estimand upfront helps formulating the research question and informs study design, data collection and statistical analysis methods. Since the Trials within Cohorts (TwiCs) design has unique characteristics, the objective of this study is to describe considerations and provide guidance for formulating estimands for TwiCs studies. &lt;b&gt;Methods&lt;/b&gt;: The key attributes of an estimand are the target population, treatments that are compared, the endpoint, intercurrent events and their handling, and the population-level summary measure. The estimand framework was applied retrospectively to two TwiCs studies: the SPONGE and UMBRELLA Fit trial. The aim is to demonstrate how the estimand framework can be implemented in TwiCs studies, thereby focusing on considerations relevant for defining the estimand. Three estimands were defined for both studies. For the SPONGE trial, estimators were derived. &lt;b&gt;Results&lt;/b&gt;: Intercurrent events considered to occur exclusively or more frequently in TwiCs studies compared to conventional randomized trials included intervention refusal after randomization, misalignment of timing of routine cohort measurements and the intervention period, and participants in the control arm initiating treatments similar to the studied intervention. Considerations for handling refusal after randomization related to decisions on whether the target population should include all eligible participants or the subpopulation that would accept (or undergo) the intervention when offered. Considerations for handling treatment initiation in the control arm and misalignments of timing related to decisions on whether such events should be considered part of treatment policy or whether interest is in a hypothetical scenario where such events do not occur. &lt;b&gt;Conclusion&lt;/b&gt;: The TwiCs study design has unique features that pose specific considerations when formulating an estimand. The examples in this study can provide guidance in the definition of estimands in future TwiCs studies.</t>
  </si>
  <si>
    <t>Which heart failure patients benefit most from non-invasive telemedicine? An overview of current evidence and future directions.</t>
  </si>
  <si>
    <t>van Eijk, Jorna; Luijken, Kim; Trappenburg, Jaap; Jaarsma, Tiny; Asselbergs, Folkert W</t>
  </si>
  <si>
    <t>https://pubmed.ncbi.nlm.nih.gov/39141307</t>
  </si>
  <si>
    <t>Telemedicine in heart failure (HF) management may positively impact health outcomes, but varied effects in studies hinder guidance in HF guidelines. Evidence on the effectiveness of telemedicine in HF subpopulations is limited. We conducted a scoping review to evaluate and synthesise evidence on the effectiveness of telemedicine across HF subpopulations that could guide telemedicine strategies in routine practice. Meta-analyses concerning randomised controlled trials (RCTs) with subgroup analyses on telemedicine effectives were identified in PubMed. We identified 15 RCTs, encompassing 21 different subgroups based on characteristics of HF patients. Findings varied across studies and no definite evidence was found about which patients benefit most from telemedicine. Subgroup definitions were inconsistent, not always a priori defined and subgroups contained few patients. Some studies found heterogeneous effects of telemedicine on mortality and hospitalisation across subgroups defined by: New York Heart Association (NYHA) classification, previous HF decompensation, implantable device, concurrent depression, time since hospital discharge and duration of HF. Patients represented in the RCTs were mostly male, aged 65-75 years, with HF with reduced ejection fraction and NYHA class II/III. Traditional RCTs have not been able to provide clinicians with guidance; continuous real-world evidence generation could enhance monitoring and identify who benefits from telemedicine.</t>
  </si>
  <si>
    <t>Replication studies in the Netherlands: Lessons learned and recommendations for funders, publishers and editors, and universities.</t>
  </si>
  <si>
    <t>Derksen, Maarten; Meirmans, Stephanie; Brenninkmeijer, Jonna; Pols, Jeannette; de Boer, Annemarijn; van Eyghen, Hans; Gayet, Surya; Groenwold, Rolf; Hernaus, Dennis; Huijnen, Pim; Jonker, Nienke; de Kleijn, Renske; Kroll, Charlotte F; Krypotos, Angelos-Miltiadis; van der Laan, Nynke; Luijken, Kim; Meijer, Ewout; Pear, Rachel S A; Peels, Rik; Peeters, Robin; Rulkens, Charlotte C S; Scholz, Christin; Smit, Nienke; Stapel, Rombert; de Winter, Joost</t>
  </si>
  <si>
    <t>accountability in research</t>
  </si>
  <si>
    <t>https://pubmed.ncbi.nlm.nih.gov/39135508</t>
  </si>
  <si>
    <t>Drawing on our experiences conducting replications we describe the lessons we learned about replication studies and formulate recommendations for researchers, policy makers, and funders about the role of replication in science and how it should be supported and funded. We first identify a variety of benefits of doing replication studies. Next, we argue that it is often necessary to improve aspects of the original study, even if that means deviating from the original protocol. Thirdly, we argue that replication studies highlight the importance of and need for more transparency of the research process, but also make clear how difficult that is. Fourthly, we underline that it is worth trying out replication in the humanities. We finish by formulating recommendations regarding reproduction and replication research, aimed specifically at funders, editors and publishers, and universities and other research institutes.</t>
  </si>
  <si>
    <t>Safety of treating acute pulmonary embolism at home: an individual patient data meta-analysis.</t>
  </si>
  <si>
    <t>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t>
  </si>
  <si>
    <t>https://pubmed.ncbi.nlm.nih.gov/38993086</t>
  </si>
  <si>
    <t>Home treatment is considered safe in acute pulmonary embolism (PE) patients selected by a validated triage tool (e.g. simplified PE severity index score or Hestia rule), but there is uncertainty regarding the applicability in underrepresented subgroups. The aim was to evaluate the safety of home treatment by performing an individual patient-level data meta-analysis. Ten prospective cohort studies or randomized controlled trials were identified in a systematic search, totalling 2694 PE patients treated at home (discharged within 24 h) and identified by a predefined triage tool. The 14- and 30-day incidences of all-cause mortality and adverse events (combined endpoint of recurrent venous thromboembolism, major bleeding, and/or all-cause mortality) were evaluated. The relative risk (RR) for 14- and 30-day mortalities and adverse events is calculated in subgroups using a random effects model. The 14- and 30-day mortalities were 0.11% [95% confidence interval (CI) 0.0-0.24, I2 = 0) and 0.30% (95% CI 0.09-0.51, I2 = 0). The 14- and 30-day incidences of adverse events were 0.56% (95% CI 0.28-0.84, I2 = 0) and 1.2% (95% CI 0.79-1.6, I2 = 0). Cancer was associated with increased 30-day mortality [RR 4.9; 95% prediction interval (PI) 2.7-9.1; I2 = 0]. Pre-existing cardiopulmonary disease, abnormal troponin, and abnormal (N-terminal pro-)B-type natriuretic peptide [(NT-pro)BNP] at presentation were associated with an increased incidence of 14-day adverse events [RR 3.5 (95% PI 1.5-7.9, I2 = 0), 2.5 (95% PI 1.3-4.9, I2 = 0), and 3.9 (95% PI 1.6-9.8, I2 = 0), respectively], but not mortality. At 30 days, cancer, abnormal troponin, and abnormal (NT-pro)BNP were associated with an increased incidence of adverse events [RR 2.7 (95% PI 1.4-5.2, I2 = 0), 2.9 (95% PI 1.5-5.7, I2 = 0), and 3.3 (95% PI 1.6-7.1, I2 = 0), respectively]. The incidence of adverse events in home-treated PE patients, selected by a validated triage tool, was very low. Patients with cancer had a three- to five-fold higher incidence of adverse events and death. Patients with increased troponin or (NT-pro)BNP had a three-fold higher risk of adverse events, driven by recurrent venous thromboembolism and bleeding.</t>
  </si>
  <si>
    <t>Don't be misled: 3 misconceptions about external validation of clinical prediction models.</t>
  </si>
  <si>
    <t>Clinical prediction models provide risks of health outcomes that can inform patients and support medical decisions. However, most models never make it to actual implementation in practice. A commonly heard reason for this lack of implementation is that prediction models are often not externally validated. While we generally encourage external validation, we argue that an external validation is often neither sufficient nor required as an essential step before implementation. As such, any available external validation should not be perceived as a license for model implementation. We clarify this argument by discussing 3 common misconceptions about external validation. We argue that there is not one type of recommended validation design, not always a necessity for external validation, and sometimes a need for multiple external validations. The insights from this paper can help readers to consider, design, interpret, and appreciate external validation studies.</t>
  </si>
  <si>
    <t>Data Science and Biostatistics; Global Health and Bioethics; General Practice and Nursing Science; Epidemiology and Health Economics</t>
  </si>
  <si>
    <t>Feasibility of a Web-Based and Mobile-Supported Follow-Up Treatment Pathway for Adult Patients With Orthopedic Trauma in the Netherlands: Concurrent Mixed Methods Study.</t>
  </si>
  <si>
    <t>Willinge, Gijs J A; Spierings, Jelle F; Romijnders, Kim A G J; Mathijssen, Elke G E; Twigt, Bas A; Goslings, J Carel; van Veen, Ruben N</t>
  </si>
  <si>
    <t>https://pubmed.ncbi.nlm.nih.gov/39622674</t>
  </si>
  <si>
    <t>Orthopedic trauma care encounters challenges in follow-up treatment due to limited patient information provision, treatment variation, and the chaotic settings in which it is provided. Additionally, pressure on health care resources is rising worldwide. In response, digital follow-up treatment pathways were implemented for patients with orthopedic trauma, aiming to optimize health care resource use and enhance patient experiences. We aim to assess digital follow-up treatment pathway feasibility from the patient's perspective and its impact on health care resource use. A concurrent mixed methods study was conducted parallel to implementation of digital follow-up treatment pathways in an urban level-2 trauma center. Inclusion criteria were (1) minimum age of 18 years, (2) an active web-based patient portal account, (3) ability to read and write in Dutch, and (4) no cognitive or preexisting motor impairment. Data were collected via electronic patient records, and surveys at three time points: day 1-3, 4-6 weeks, and 10-12 weeks after an initial emergency department visit. Semistructured interviews were performed at 10-12 weeks post injury. Anonymous data from a pre-existing database were used to compare health care resource use between the digital treatment pathways and traditional treatment. Quantitative data were reported descriptively. A thematic analysis was used for qualitative data. All outcomes were categorized according to the Bowen feasibility parameters: acceptability, demand, implementation, integration, and limited efficacy. Sixty-six patients were included for quantitative data collection. Survey response rates were 100% (66/66) at day 1-3, 92% (61/66) at 4-6 weeks, and 79% (52/66) at 10-12 weeks. For qualitative data collection, 15 semistructured interviews were performed. Patients reported median satisfaction scores of 7 (IQR 6-8) with digital treatment pathways and 8 (IQR 7-9) for overall treatment, reflecting positive experiences regarding functionality, actual and intended use, and treatment safety. Digital treatment pathways reduced secondary health care use, with fewer follow-up appointments by phone (median 0, IQR 0-0) versus the control group (median 1, IQR 0-1; P&lt;.001). Consequently, fewer physicians were involved in follow-up treatment for the intervention group (median 2, IQR 1-2) than for the control group (median 2, IQR 1-3; P&lt;.001). Fewer radiographs were performed for the intervention group (median 1, IQR 0-1) than for the control group (P=.01). Qualitative data highlighted positive experiences with functionalities, intended use, and safety, but also identified areas for improvement, including managing patient expectations, platform usability, and protocol adherence. Use of digital follow-up treatment pathways is feasible, yielding satisfactory patient experiences and reducing health care resource use. Recommendations for improvement include early stakeholder involvement, integration of specialized digital tools within electronic health record systems, and hands-on training for health care professionals. These insights can guide clinicians and policy makers in effectively integrating similar tools into clinical practice.</t>
  </si>
  <si>
    <t>Biomarkers of endothelial dysfunction and cognition: A two-step IPD meta-analysis.</t>
  </si>
  <si>
    <t>Beran, Magdalena; Jansen, Willemijn J; Oomens, Julie E; Moonen, Justine E F; Slagboom, P Eline; Huisman, Martijn; Kok, Almar A L; Nooyens, Astrid C J; Verschuren, Wilhelmina Maria Monique; Stehouwer, Coen D A; Schalkwijk, Casper; Köhler, Sebastian; Beekman, Marian; Slagboom, Pieternella Eline; Wolters, Frank J; Ikram, M Arfan; Vallerga, Costanza L; van Meurs, Joyce B J; Ghanbari, Mohsen; Vonk, Jet M J; Geerlings, Mirjam I; van Sloten, Thomas T; Schram, Miranda T; ,</t>
  </si>
  <si>
    <t>https://pubmed.ncbi.nlm.nih.gov/39428719</t>
  </si>
  <si>
    <t>This study assessed the association of plasma biomarkers of endothelial dysfunction with cognitive performance and decline. Data from 9414 individuals from eight Dutch cohorts were included (Ø  age-range: 57-93 years). Plasma biomarkers of endothelial dysfunction (soluble intercellular adhesion molecule-1 (sICAM-1), soluble vascular cell adhesion molecule-1 (sVCAM-1), soluble E-selectin) were combined into a standardized composite score. Cognitive outcomes included executive function, processing speed, immediate and delayed memory, attention, and language. Linear regressions and linear mixed models were run in the individual cohorts and standardized coefficients were subsequently pooled using random-effects meta-analyses. A higher endothelial dysfunction composite score was cross-sectionally associated with worse performance on executive function, processing speed, delayed memory, and attention, but not immediate memory or language (pooled β-range: -0.04, -0.02). We found no association with change in cognition over time. This comprehensive two-step, individual participant data (IPD) meta-analysis showed a small, consistent cross-sectional association between endothelial dysfunction and worse cognitive performance across multiple domains but no support for a longitudinal association. Prior evidence on endothelial dysfunction (ED) biomarkers and cognition is conflicting. This two-step, individual participant data (IPD) meta-analysis used data from eight Dutch cohorts. ED was consistently associated with concurrent cognition. ED was not associated with a change in cognition over time. The association of ED with current cognition may be generic.</t>
  </si>
  <si>
    <t>The association of sociodemographic factors with total and item-level semantic fluency metrics.</t>
  </si>
  <si>
    <t>Beran, Magdalena; Twait, Emma L; Smit, Annelot P; Posthuma, Marleen F; van Dijk, Demi; Rabanal, Katherinne M; Rosado, Dayanara; Flores, Roxanna J; Qian, Carolyn L; Samuel, Shana S; Ying, Gelan; Mayeux, Richard; van Sloten, Thomas T; Schram, Miranda T; Manly, Jennifer J; Geerlings, Mirjam I; Vonk, Jet M J</t>
  </si>
  <si>
    <t>neuropsychology</t>
  </si>
  <si>
    <t>https://pubmed.ncbi.nlm.nih.gov/39207440</t>
  </si>
  <si>
    <t>We aimed to estimate the association of age, education, and sex/gender with semantic fluency performance as measured by the standard total number of words as well as novel item-level metrics and to descriptively compare associations across cohorts with different recruitment strategies and sample compositions. Cross-sectional data from 2,391 individuals from three cohorts were used: Washington Heights/Inwood Columbia Aging Project, a community-based cohort; Second Manifestations of ARTerial disease-Magnetic Resonance, a clinic-based cohort; and African American Alzheimer's Disease Genetics Study, a volunteer-based cohort. Total number of correct words and six item-level semantic fluency metrics were included as main outcomes: average cluster size, number of cluster switches, lexical/Zipf frequency, age of acquisition, and lexical decision response time. General linear models were run separately in each cohort to model the association between sociodemographic variables and semantic fluency metrics. Across cohorts, older age was associated with a lower total score and fewer cluster switches. Higher level of education was associated with naming more words, performing more cluster switches, and naming words with a longer lexical decision response time, lower frequency of occurrence, or later age of acquisition. Being female compared to male was associated with naming fewer words, smaller cluster sizes, naming words with a longer lexical decision response time, and lower age of acquisition. The effects varied in strength but were in a similar direction across cohorts. Item-level semantic fluency metrics-similar to the standard total score-are sensitive to the effects of age, education, and sex/gender. The results suggest geographical, cultural, and cross-linguistic generalizability of these sociodemographic effects on semantic fluency performance. (PsycInfo Database Record (c) 2024 APA, all rights reserved).</t>
  </si>
  <si>
    <t>Methodological quality assessment tools for diagnosis and prognosis research: overview and guidance.</t>
  </si>
  <si>
    <t>Kaul, Tabea; Kellerhuis, Bas E; Damen, Johanna A A; Schuit, Ewoud; Jenniskens, Kevin; van Smeden, Maarten; Reitsma, Johannes B; Hooft, Lotty; Moons, Karel G M; Yang, Bada</t>
  </si>
  <si>
    <t>https://pubmed.ncbi.nlm.nih.gov/39536993</t>
  </si>
  <si>
    <t>Multiple tools exist for assessing the methodological quality of diagnosis and prognosis research. It can be challenging to decide on when to use which tool. We aimed to provide an overview of existing methodological quality assessment (QA) tools for diagnosis and prognosis studies, highlight the overlap and differences among these tools, and to provide guidance for choosing the appropriate tool. We performed a methodological review of tools designed for assessing risk of bias, applicability, or other aspects related to methodological quality in studies investigating tests/factors/markers/models for classifying or predicting a current (diagnosis) and/or future (prognosis) health state. Tools focusing exclusively on causal research or on reporting quality were excluded. Guidance was subsequently developed to assist in choosing an appropriate QA tool. We identified 14 QA tools, eight of which were developed for assessment of diagnosis studies, four for prognosis studies, and two addressing both. We propose a set of five questions to help guide the process of choosing a QA tool based on the purpose or question of the user: whether the focus is on (1) diagnosis, prognosis, or another domain; (2) a prediction model vs a test/factor/marker; (3) evaluating simply the performance of a test/factor/marker vs assessing its added value over other variables; (4) comparing two or more tests/factors/markers/models; and (5) whether the user aims to assess only risk of bias or also other quality aspects. Existing QA tools for appraising diagnosis and prognosis studies vary in purpose, scope, and contents. Our guidance may help researchers, systematic reviewers, health policy makers, and guideline developers in specifying their purpose and question to select the most appropriate QA tool for their assessment. Methodological quality assessment (QA) tools provide a set of criteria to evaluate how well a medical study was done and how trustworthy its results are. To accurately assess a study's quality, it is important to use a QA tool that matches the type of medical study. However, with many QA tools available for different study types, choosing the right one can be challenging, especially for diagnosis and prognosis studies (ie, studies that evaluate tests, factors, markers, and models used for diagnosis and prognosis). To assist in selecting the best QA tools for diagnostic and prognostic studies, we created an overview of available tools and practical tips for choosing the most appropriate one. After searching online databases and consulting experts in the field, we identified 14 QA tools specific to diagnostic and prognostic studies. Additionally, we developed five key questions to guide users in choosing the best tool for their study. While the 14 QA tools differ in their focus and content, our guidance simplifies the process of choosing the right tool and helps users refine their research question.</t>
  </si>
  <si>
    <t>Uniting education, research, healthcare, and society to advance women's heart health.</t>
  </si>
  <si>
    <t>Schakelaar, Michael Y; Maas, Annemieke; van Ommen, Anne-Mar L N; Spiering, Anna E; de Jonge, Roos; Wijchers, Patrick; van Rossum, Gerda; Heesters, Balthasar A; de Jong, Olivier G; Zandveld, Jelle; Rebel, Heggert G; Meeldijk, Jan; Pijnappel, Emma W; van Dijk, Suzanne; Di Maggio, Alessia; Nijssen, Olaf; Sanders, Jorine G F; Hoogerwerf, Lies; van Spaandonk, Mike; Crnko, Sandra; Koorman, Thijs; Jenniskens, Kevin; Onland-Moret, N Charlotte; van Geelen, Stefan M; Ten Broeke, Toine; van Royen-Kerkhof, Annet; Dilaver, Gönül; Oliveira, Sabrina; Kok, Robbert J; van Laake, Linda W; van der Harst, Pim; Spiering, Wilko; Rutten, Frans H; van Brussel, Marco; den Ruijter, Hester M; Bovenschen, Niels</t>
  </si>
  <si>
    <t>the journal of experimental medicine</t>
  </si>
  <si>
    <t>https://pubmed.ncbi.nlm.nih.gov/39404744</t>
  </si>
  <si>
    <t>Complex health challenges require professionals to operate across disciplines and to better connect with society. Here, we showcase a community-engaged and challenge-based educational model in which undergraduate students conduct transdisciplinary research on authentic complex biomedical problems. This concept reinforces translational medicine, human capital, and exemplifies synergy between education, research, healthcare, and society.</t>
  </si>
  <si>
    <t>"Long term speech outcomes after using the Sommerlad technique for primary palatoplasty: a retrospective study in the Wilhelmina Children's Hospital, Utrecht.".</t>
  </si>
  <si>
    <t>Hofman, Lieke; Paes, Emma C; Haverkamp, Sarah J; Jenniskens, Kevin; Mink van der Molen, Aebele B</t>
  </si>
  <si>
    <t>https://pubmed.ncbi.nlm.nih.gov/39046574</t>
  </si>
  <si>
    <t>After cleft lip and/or palate (CL/P) repair, children may develop velopharyngeal insufficiency (VPI) leading to speech imperfections, necessitating additional speech correcting surgery. This study examines the incidence of VPI and speech correcting surgery after Sommerlad's palatoplasty for CL/P, and its association with various clinical features. A retrospective cohort study was performed in the Wilhelmina Children's Hospital in Utrecht and child records from 380 individuals with CL/P registered from 2008 to 2017 were retrospectively reviewed. Inclusion criteria comprised the diagnosis of CL/P, primary palatoplasty according to Sommerlad's technique, and speech assessment at five years or older. Association between cleft type and width, presence of additional genetic disorders and postoperative complications (palatal dehiscence, fistula) were assessed using odds ratios and chi squared tests. A total of 239 patients were included. The VPI rate was 52.7% (n = 126) and in 119 patients (49.8%) a speech correcting surgery was performed. Severe cleft type, as indicated by a higher Veau classification, was associated with a significant higher rate of speech correcting surgeries (p = 0.033). Significantly more speech correcting surgeries were performed in patients with a cleft width &gt;10 mm, compared to patients with a cleft width ≤10 mm (p &lt; 0.001). Patients with oronasal fistula underwent significantly more speech correcting surgeries than those without fistula (p = 0.004). No statistically significant difference was found in the incidence of speech correcting surgery between patients with and without genetic disorders (p = 0.890). Variations in cleft morphology, cleft width and complications like oronasal fistula are associated with different speech outcomes. Future research should focus on creating a multivariable prediction model for speech correcting surgery in CL/P patients.</t>
  </si>
  <si>
    <t>Evaluating methods for identifying and quantifying &lt;i&gt;Streptococcus pneumoniae&lt;/i&gt; co-colonization using next-generation sequencing data.</t>
  </si>
  <si>
    <t>Hackman, Jada; Hibberd, Martin L; Swarthout, Todd D; Hinds, Jason; Ashall, James; Sheppard, Carmen; Tonkin-Hill, Gerry; Gould, Kate; Brown, Comfort; Msefula, Jacquline; Mataya, Andrew A; Toizumi, Michiko; Yoshida, Lay-Myint; French, Neil; Heyderman, Robert S; Flasche, Stefan; Kwambana, Brenda; Hué, Stéphane</t>
  </si>
  <si>
    <t>https://pubmed.ncbi.nlm.nih.gov/39499074</t>
  </si>
  <si>
    <t>Detection of multiple pneumococcal serotype carriage can enhance monitoring of pneumococcal vaccine impact, particularly among high-burden childhood populations. We assessed methods for identifying co-carriage of pneumococcal serotypes from whole-genome sequences. Twenty-four nasopharyngeal samples were collected during community carriage surveillance from healthy children in Blantyre, Malawi, which were then serotyped by microarray. Pneumococcal DNA from culture plate sweeps were sequenced using Illumina MiSeq, and genomic serotyping was carried out using SeroCall and PneumoKITy. Their sensitivity was calculated in reference to the microarray data. Local maxima in the single-nucleotide polymorphism (SNP) density distributions were assessed for their correspondence to the relative abundance of serotypes. Across the 24 individuals, the microarray detected 77 non-unique serotypes, of which 42 occurred at high relative abundance (&gt;10%) (per individual, median, 3; range, 1-6 serotypes). The average sequencing depth was 57X (range: 21X-88X). The sensitivity of SeroCall for identifying high-abundance serotypes was 98% (95% CI, 0.87-1.00), 20% (0.08-0.36) for low abundance (&lt;10%), and 62% (0.50-0.72) overall. PneumoKITy's sensitivity was 86% (0.72-0.95), 20% (0.06-0.32), and 56% (0.42-0.65), respectively. Local maxima in the SNP frequency distribution were highly correlated with the relative abundance of high-abundance serotypes. Six samples were resequenced, and the pooled runs had an average fourfold increase in sequencing depth. This allowed genomic serotyping of two of the previously undetectable seven low-abundance serotypes. Genomic serotyping is highly sensitive for the detection of high-abundance serotypes in samples with co-carriage. Serotype-associated reads may be identified through SNP frequency, and increased read depth can increase sensitivity for low-abundance serotype detection.IMPORTANCEPneumococcal carriage is a prerequisite for invasive pneumococcal disease, which is a leading cause of childhood pneumonia. Multiple carriage of unique pneumococcal serotypes at a single time point is prevalent among high-burden childhood populations. This study assessed the sensitivity of different genomic serotyping methods for identifying pneumococcal serotypes during co-carriage. These methods were evaluated against the current gold standard for co-carriage detection. The results showed that genomic serotyping methods have high sensitivity for detecting high-abundance serotypes in samples with co-carriage, and increasing sequencing depth can increase sensitivity for low-abundance serotypes. These results are important for monitoring vaccine impact, which aims to reduce the prevalence of specific pneumococcal serotypes. By accurately detecting and identifying multiple pneumococcal serotypes in carrier populations, we can better evaluate the effectiveness of vaccination programs.</t>
  </si>
  <si>
    <t>Radiographically confirmed pneumonia in Malawian children and associated pneumococcal carriage after introduction of the 13-valent pneumococcal conjugate vaccine.</t>
  </si>
  <si>
    <t>Mzumara, Grace; Chirombo, James; Swarthout, Todd D; Bar-Zeev, Naor; Harawa, Philliness Prisca; Jalloh, Mohamed Sanusi; Kirolos, Amir; Mukhula, Victoria; Newberry, Laura; Ogunlade, Olawale; Wachepa, Richard; French, Neil; Heyderman, Robert S; Iroh Tam, Pui-Ying</t>
  </si>
  <si>
    <t>pneumonia nathan qld</t>
  </si>
  <si>
    <t>https://pubmed.ncbi.nlm.nih.gov/39367515</t>
  </si>
  <si>
    <t>The 13-valent pneumococcal conjugate vaccine (PCV-13) was introduced in Malawi in 2011 with an expected impact of reducing pneumococcal pneumonia in children. We aimed to describe clinical characteristics and nasopharyngeal (NP) carriage of pneumococcus by serotype in children hospitalized with primary end-point pneumonia (PEP) between 2013 and 19 after the introduction of PCV-13. We conducted a secondary analysis of children aged under-5-years hospitalized with acute respiratory illness (ARI) in Malawi. Chest radiographs conducted at admission were read by two independent clinicians according to WHO criteria for PEP, and a third reviewer resolved discordant diagnoses. NP swab specimens were processed and Streptococcus pneumoniae growth was serotyped. Multivariable regression analysis was conducted to assess the association between clinical characteristics, NP serotypes, and PEP. We had complete radiographic and NP serotype data for 500 children, of which 54 isolates were vaccine-type (VT) (10.8%), 165 were non-VT (NVT; 33.0%), and 281 had no pneumococcal growth (56.2%). Among these, 176 (35.2%) had PEP on chest x-ray. Among those with PEP, pneumococcal carriage was documented in 43.8% of cases, and VT serotypes accounted for 10.8%. For children with PEP, we found no association between clinical characteristics and carrying either VT, NVT, or no pneumococcus. Carriage of S. pneumoniae remains high among children hospitalized with ARI in Malawi, but children with VT carriage were no more likely to have PEP than children carrying no pneumococcus or those with NVT carriage. There were no differences in clinical characteristics between those carrying VT, NVT, or no pneumococcus.</t>
  </si>
  <si>
    <t>Expansion of pneumococcal serotype 23F and 14 lineages with genotypic changes in capsule polysaccharide locus and virulence gene profiles post introduction of pneumococcal conjugate vaccine in Blantyre, Malawi.</t>
  </si>
  <si>
    <t>Cave, Rory; Kalizang'oma, Akuzike; Chaguza, Chrispin; Mwalukomo, Thandie S; Kamng'ona, Arox; Brown, Comfort; Msefula, Jacquline; Bonomali, Farouck; Nyirenda, Roseline; Swarthout, Todd D; Kwambana-Adams, Brenda; French, Neil; Heyderman, Robert S</t>
  </si>
  <si>
    <t>https://pubmed.ncbi.nlm.nih.gov/38896467</t>
  </si>
  <si>
    <t>Since the introduction of the 13-valent pneumococcal conjugate vaccine (PCV13) in Malawi in 2011, there has been persistent carriage of vaccine serotype (VT) &lt;i&gt;Streptococcus pneumoniae&lt;/i&gt;, despite high vaccine coverage. To determine if there has been a genetic change within the VT capsule polysaccharide (cps) loci since the vaccine's introduction, we compared 1022 whole-genome-sequenced VT isolates from 1998 to 2019. We identified the clonal expansion of a multidrug-resistant, penicillin non-susceptible serotype 23F GPSC14-ST2059 lineage, a serotype 14 GPSC9-ST782 lineage and a novel serotype 14 sequence type GPSC9-ST18728 lineage. Serotype 23F GPSC14-ST2059 had an I253T mutation within the capsule oligosaccharide repeat unit polymerase Wzy protein, which is predicted &lt;i&gt;in silico&lt;/i&gt; to alter the protein pocket cavity. Moreover, serotype 23F GPSC14-ST2059 had SNPs in the DNA binding sites for the cps transcriptional repressors CspR and SpxR. Serotype 14 GPSC9-ST782 harbours a non-truncated version of the large repetitive protein (Lrp), containing a Cna protein B-type domain which is also present in proteins associated with infection and colonisation. These emergent lineages also harboured genes associated with antibiotic resistance, and the promotion of colonisation and infection which were absent in other lineages of the same serotype. Together these data suggest that in addition to serotype replacement, modifications of the capsule locus associated with changes in virulence factor expression and antibiotic resistance may promote vaccine escape. In summary, the study highlights that the persistence of vaccine serotype carriage despite high vaccine coverage in Malawi may be partly caused by expansion of VT lineages post-PCV13 rollout.</t>
  </si>
  <si>
    <t>Availability of Evidence for Predictive Machine Learning Algorithms in Primary Care: A Systematic Review.</t>
  </si>
  <si>
    <t>Rakers, Margot M; van Buchem, Marieke M; Kucenko, Sergej; de Hond, Anne; Kant, Ilse; van Smeden, Maarten; Moons, Karel G M; Leeuwenberg, Artuur M; Chavannes, Niels; Villalobos-Quesada, María; van Os, Hendrikus J A</t>
  </si>
  <si>
    <t>https://pubmed.ncbi.nlm.nih.gov/39264624</t>
  </si>
  <si>
    <t>The aging and multimorbid population and health personnel shortages pose a substantial burden on primary health care. While predictive machine learning (ML) algorithms have the potential to address these challenges, concerns include transparency and insufficient reporting of model validation and effectiveness of the implementation in the clinical workflow. To systematically identify predictive ML algorithms implemented in primary care from peer-reviewed literature and US Food and Drug Administration (FDA) and Conformité Européene (CE) registration databases and to ascertain the public availability of evidence, including peer-reviewed literature, gray literature, and technical reports across the artificial intelligence (AI) life cycle. PubMed, Embase, Web of Science, Cochrane Library, Emcare, Academic Search Premier, IEEE Xplore, ACM Digital Library, MathSciNet, AAAI.org (Association for the Advancement of Artificial Intelligence), arXiv, Epistemonikos, PsycINFO, and Google Scholar were searched for studies published between January 2000 and July 2023, with search terms that were related to AI, primary care, and implementation. The search extended to CE-marked or FDA-approved predictive ML algorithms obtained from relevant registration databases. Three reviewers gathered subsequent evidence involving strategies such as product searches, exploration of references, manufacturer website visits, and direct inquiries to authors and product owners. The extent to which the evidence for each predictive ML algorithm aligned with the Dutch AI predictive algorithm (AIPA) guideline requirements was assessed per AI life cycle phase, producing evidence availability scores. The systematic search identified 43 predictive ML algorithms, of which 25 were commercially available and CE-marked or FDA-approved. The predictive ML algorithms spanned multiple clinical domains, but most (27 [63%]) focused on cardiovascular diseases and diabetes. Most (35 [81%]) were published within the past 5 years. The availability of evidence varied across different phases of the predictive ML algorithm life cycle, with evidence being reported the least for phase 1 (preparation) and phase 5 (impact assessment) (19% and 30%, respectively). Twelve (28%) predictive ML algorithms achieved approximately half of their maximum individual evidence availability score. Overall, predictive ML algorithms from peer-reviewed literature showed higher evidence availability compared with those from FDA-approved or CE-marked databases (45% vs 29%). The findings indicate an urgent need to improve the availability of evidence regarding the predictive ML algorithms' quality criteria. Adopting the Dutch AIPA guideline could facilitate transparent and consistent reporting of the quality criteria that could foster trust among end users and facilitating large-scale implementation.</t>
  </si>
  <si>
    <t>Stereotactic body radiotherapy with a focal boost to the intraprostatic tumor for intermediate and high risk prostate cancer: 5-year efficacy and toxicity in the hypo-FLAME trial.</t>
  </si>
  <si>
    <t>Draulans, Cédric; Haustermans, Karin; Pos, Floris J; van der Heide, Uulke A; De Cock, Lisa; van der Voort van Zyp, Jochem; De Boer, Hans; Smeenk, Robert J; Kunze-Busch, Martina; Monninkhof, Evelyn M; De Roover, Robin; Isebaert, Sofie; Kerkmeijer, Linda G W</t>
  </si>
  <si>
    <t>https://pubmed.ncbi.nlm.nih.gov/39362607</t>
  </si>
  <si>
    <t>The addition of an integrated focal boost to the intraprostatic lesion is associated with improved biochemical disease-free survival (bDFS) in patients with intermediate- and high-risk prostate cancer (PCa) in conventionally fractionated radiotherapy. Furthermore, whole gland stereotactic body radiotherapy (SBRT) demonstrated to be non-inferior to conventional radiotherapy for low- and intermediate-risk PCa. To investigate the combination of ultra-hypofractionated prostate SBRT with iso-toxic focal boosting for intermediate- and high-risk PCa, we performed the hypo-FLAME trial. Patients with intermediate- or high-risk PCa were enrolled in the phase II hypo-FLAME trial. All patients were treated with 35 Gy in 5 weekly fractions to the whole prostate gland with an iso-toxic integrated boost up to 50  Gy to the multiparametric MRI-defined tumor(s). If the dose constraints to the normal tissues would be exceeded, these were prioritised over the focal boost dose. The current analysis reports on the 5-year bDFS, late toxicity and health-related quality of life (HRQoL). Between 2016 and 2018, 100 men were treated with a median follow-up of 61 months. The estimated 5-year bDFS (95 % CI) was 93 % (86 % to 97 %). At 5 years, the prevalence of grade 2 + genitourinary and gastrointestinal toxicity was 12 % and 4 %, respectively. Ultra-hypofractionated focal boost SBRT is associated with encouraging biochemical control rates up to 5-year follow-up in patients with intermediate- and high-risk PCa. Furthermore, prostate SBRT with iso-toxic focal boosting is associated with acceptable late genitourinary and gastrointestinal toxicity rates.</t>
  </si>
  <si>
    <t>Intra-prostatic recurrences after radiotherapy with focal boost: Location and dose mapping in the FLAME trial.</t>
  </si>
  <si>
    <t>Menne Guricová, K; Pos, F J; Schoots, I G; Vogel, W V; Kerkmeijer, L G W; Monninkhof, E M; de Boer, J C J; van der Voort van Zyp, J R N; Kunze-Busch, M; Smeenk, R J; Draulans, C; Haustermans, K; van Houdt, P J; van der Heide, U A</t>
  </si>
  <si>
    <t>https://pubmed.ncbi.nlm.nih.gov/39278316</t>
  </si>
  <si>
    <t>The FLAME trial demonstrated that the dose to the gross tumor volume (GTV) is associated with tumour control in prostate cancer patients. This raises the question if dose de-escalation to the remaining prostate gland can be considered. Therefore, we investigated if intraprostatic recurrences occur at the location of the GTV and which dose was delivered at that location. For FLAME trial patients with an intra-prostatic recurrence, we collected pre-treatment images, GTV delineations, dose distributions and post-recurrence images. Pre-treatment images were registered to the post-recurrence images (PSMA-PET CT). An overlap between GTV and PSMA-PET activity was considered an intra-prostatic recurrence at the location of the primary tumor. Twenty eight out of 535 patients in the FLAME trial had an intra-prostatic recurrence. Its location could be determined for 24 patients. One patient recurred in the prostate gland outside the GTV. The median near-minimum dose to the GTV (D98%) was 76.5 Gy (range: 73.3-86.5 Gy). Only one patient with a recurrence in the GTV received a substantial focal boost of 86.5 Gy. The D98% of all remaining patients was &lt; 81 Gy. Intra-prostatic recurrences of intermediate- and high-risk prostate cancer patients treated with radiotherapy appeared predominantly at the location of the primary tumor. All but one patient did not receive a high dose to the GTV. Intra-prostatic failure is likely a consequence of the undertreatment of the primary tumor rather than the undertreatment of the remaining prostate gland.</t>
  </si>
  <si>
    <t>Antecedent and persistent symptoms in COVID-19 and other respiratory illnesses: Insights from prospectively collected data in the BRACE trial.</t>
  </si>
  <si>
    <t>McDonald, Ellie; Pittet, Laure F; Barry, Simone E; Bonten, Marc; Campbell, John; Croda, Julio; Croda, Mariana G; Dalcolmo, Margareth Pretti; Davidson, Andrew; de Almeida E Val, Fernando F; Dos Santos, Glauce; Gardiner, Kaya; Gell, Grace; Gwee, Amanda; Krastev, Ann; Lacerda, Marcus Vinícius Guimaraes; Lucas, Michaela; Lynn, David J; Manning, Laurens; McPhate, Nick; Perrett, Kirsten P; Post, Jeffrey J; Prat-Aymerich, Cristina; Quinn, Lynne E; Richmond, Peter C; Wood, Nicholas J; Messina, Nicole L; Curtis, Nigel; ,</t>
  </si>
  <si>
    <t>https://pubmed.ncbi.nlm.nih.gov/39245151</t>
  </si>
  <si>
    <t>Some individuals have a persistence of symptoms following both COVID-19 (post-acute COVID-19 syndrome; PACS) and other viral infections. This study used prospectively collected data from an international trial to compare symptoms following COVID-19 and non-COVID-19 respiratory illness, to identify factors associated with the risk of PACS, and to explore symptom patterns before and after COVID-19 and non-COVID-19 respiratory illnesses. Data from a multicentre randomised controlled trial (BRACE trial) involving healthcare workers across four countries were analysed. Symptom data were prospectively collected over 12 months, allowing detailed characterisation of symptom patterns. Participants with COVID-19 and non-COVID-19 respiratory illness episodes were compared, focussing on symptom severity, duration (including PACS using NICE and WHO definitions), and pre-existing symptoms. Compared to those with a non-COVID-19 illness, participants with COVID-19 had significantly more severe illness (OR 7·4, 95%CI 5·6-9·7). Symptom duration meeting PACS definitions occurred in a higher proportion of COVID-19 cases than non-COVID-19 respiratory controls using both the NICE definition (2·5% vs 0·5%, OR 6·6, 95%CI 2·4-18·3) and the WHO definition (8·8% vs 3·7%, OR 2·5, 95%CI 1·4-4·3). When considering only participants with COVID-19, age 40-59 years (aOR 2·8, 95%CI 1·3-6·2), chronic respiratory disease (aOR 5·5, 95%CI 1·3-23·1), and pre-existing symptoms (aOR 3·0, 95%CI 1·4-6·3) were associated with an increased risk of developing PACS. Symptoms associated with PACS were also reported by participants in the months preceding their COVID-19 or non-COVID-19 respiratory illnesses (32% fatigue and muscle ache, 11% intermittent cough and shortness of breath). Healthcare workers with COVID-19 were more likely to have severe and longer-lasting symptoms than those with a non-COVID-19 respiratory illness, with a higher proportion meeting the WHO or NICE definitions of PACS. Age, chronic respiratory disease, and pre-existing symptoms increased the risk of developing PACS following COVID-19.</t>
  </si>
  <si>
    <t>Data Science and Biostatistics; General Practice and Nursing Science; Epidemiology and Health Economics</t>
  </si>
  <si>
    <t>BCG vaccination of healthcare workers for protection against COVID-19: 12-month outcomes from an international randomised controlled trial.</t>
  </si>
  <si>
    <t>Messina, Nicole L; Pittet, Laure F; McDonald, Ellie; Moore, Cecilia; Barry, Simone; Bonten, Marc; Byrne, Anthony; Campbell, John; Croda, Julio; Croda, Mariana G; Dalcolmo, Margareth; de Almeida E Val, Fernando F; de Oliveira, Roberto D; Dos Santos, Glauce; Douglas, Mark W; Gardiner, Kaya; Gwee, Amanda; Jardim, Bruno A; Kollmann, Tobias; Lacerda, Marcus Vg; Lucas, Michaela; Lynn, David J; Manning, Laurens; Marshall, Helen; O'Connell, Abby; Perrett, Kirsten P; Post, Jeffrey J; Prat-Aymerich, Cristina; Rocha, Jorge L; Rodriguez-Baño, Jesus; Wadia, Ushma; Warris, Adilia; Davidson, Andrew; Curtis, Nigel; ,</t>
  </si>
  <si>
    <t>https://pubmed.ncbi.nlm.nih.gov/39127450</t>
  </si>
  <si>
    <t>Bacille Calmette-Guérin (BCG) vaccine has immunomodulatory effects that may provide protection against unrelated infectious diseases. We aimed to determine whether BCG vaccination protects adults against COVID-19. Phase III double-blind randomised controlled trial. Healthcare centres in Australia, Brazil, the Netherlands, Spain, and the United Kingdom during the COVID-19 pandemic. 3988 healthcare workers with no prior COVID-19 and no contraindication to BCG. Randomised 1:1 using a web-based procedure to receive a single 0.1 mL intradermal dose of BCG-Denmark (BCG group, n = 1999) or saline (placebo group, n = 1989). Difference in incidence of (i) symptomatic and (ii) severe COVID-19 during the 12 months following randomisation in the modified intention to treat (mITT) population (confirmed SARS-CoV-2 naïve at inclusion). Of the 3988 participants randomised, 3386 had a negative baseline SARS-CoV-2 test and were included in the mITT population. The 12-month adjusted estimated risk of symptomatic COVID-19 was higher in the BCG group (22.6%; 95% confidence interval [CI] 20.6 to 24.5%) compared with the placebo group (19.6%; 95% CI 17.6 to 21.5%); adjusted difference +3.0% points (95% CI 0.2 to 5.8%; p = 0.04). The 12-month adjusted estimated risk of severe COVID-19 (mainly comprising those reporting being unable to work for ≥3 consecutive days) was 11.0% in the BCG group (95% CI 9.5 to 12.4%) compared with 9.6% in the placebo group (95% CI 8.3 to 11.1%); adjusted difference +1.3% points (95% CI -0.7 to 3.3%, p = 0.2). Breakthrough COVID-19 (post COVID-19 vaccination) and asymptomatic SARS-CoV-2 infections were similar in the two groups. There were 18 hospitalisations due to COVID-19 (11 in BCG group, 7 in placebo group; adjusted hazard ratio 1.56, 95% CI 0.60 to 4.02, p = 0.4) and two deaths due to COVID-19, both in the placebo group. Compared to placebo, vaccination with BCG-Denmark increased the risk of symptomatic COVID-19 over 12 months among healthcare workers and did not decrease the risk of severe COVID-19 or post-vaccination breakthrough COVID-19. ClinicalTrials.gov NCT04327206.</t>
  </si>
  <si>
    <t>Accelerated Bacille Calmette-Guérin reactions: More than meets the eye.</t>
  </si>
  <si>
    <t>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t>
  </si>
  <si>
    <t>https://pubmed.ncbi.nlm.nih.gov/39027494</t>
  </si>
  <si>
    <t>An accelerated local injection site reaction following Bacille Calmette-Guérin (BCG) vaccination has been associated with underlying active tuberculosis (TB) in high TB-prevalence settings. The clinical significance of this accelerated BCG reaction in individuals without TB symptoms, particularly in low TB-prevalence countries, is unclear. Using safety surveillance data and baseline interferon-gamma release assays (IGRA) within an international randomised trial of BCG vaccination in healthcare workers (the BRACE trial), we aimed to determine the incidence, and investigate for clinical implications, of an accelerated BCG reaction in asymptomatic adults in low and high TB-prevalence settings. An accelerated BCG reaction occurred in 755/1984 (38 %) of BCG-vaccinees. Although more frequently painful, tender, erythematous and/or swollen within the first fourteen days of vaccination, compared with non-accelerated reactions, the majority of injection site reactions were mild and did not meet criteria for an adverse event. Prior mycobacterial exposure, through prior BCG vaccination (OR 2.46, 95%CI 1.93-3.13, p &lt; 0.001) or latent TB infection (OR 4.17, 95%CI 1.16-14.93, p = 0.03), and female sex (OR 1.27, 95%CI 1.03-1.57, p = 0.02), were key determinants for the occurrence of an accelerated BCG reaction. The development of an accelerated local reaction to BCG vaccination in an individual without prior history of BCG vaccination, should prompt consideration of further investigations for potential underlying TB infection.</t>
  </si>
  <si>
    <t>Determinants of Systemic SARS-CoV-2-Specific Antibody Responses to Infection and to Vaccination: A Secondary Analysis of Randomised Controlled Trial Data.</t>
  </si>
  <si>
    <t>Claus, Juana; Ten Doesschate, Thijs; Taks, Esther; Debisarun, Priya A; Smits, Gaby; van Binnendijk, Rob; van der Klis, Fiona; Verhagen, Lilly M; de Jonge, Marien I; Bonten, Marc J M; Netea, Mihai G; van de Wijgert, Janneke H H M</t>
  </si>
  <si>
    <t>https://pubmed.ncbi.nlm.nih.gov/38932420</t>
  </si>
  <si>
    <t>SARS-CoV-2 infections elicit antibodies against the viral spike (S) and nucleocapsid (N) proteins; COVID-19 vaccines against the S-protein only. The BCG-Corona trial, initiated in March 2020 in SARS-CoV-2-naïve Dutch healthcare workers, captured several epidemic peaks and the introduction of COVID-19 vaccines during the one-year follow-up. We assessed determinants of systemic anti-S1 and anti-N immunoglobulin type G (IgG) responses using trial data. Participants were randomised to BCG or placebo vaccination, reported daily symptoms, SARS-CoV-2 test results, and COVID-19 vaccinations, and donated blood for SARS-CoV-2 serology at two time points. In the 970 participants, anti-S1 geometric mean antibody concentrations (GMCs) were much higher than anti-N GMCs. Anti-S1 GMCs significantly increased with increasing number of immune events (SARS-CoV-2 infection or COVID-19 vaccination): 104.7 international units (IU)/mL, 955.0 IU/mL, and 2290.9 IU/mL for one, two, and three immune events, respectively (&lt;i&gt;p&lt;/i&gt; &lt; 0.001). In adjusted multivariable linear regression models, anti-S1 and anti-N log&lt;sub&gt;10&lt;/sub&gt; concentrations were significantly associated with infection severity, and anti-S1 log&lt;sub&gt;10&lt;/sub&gt; concentration with COVID-19 vaccine type/dose. In univariable models, anti-N log&lt;sub&gt;10&lt;/sub&gt; concentration was also significantly associated with acute infection duration, and severity and duration of individual symptoms. Antibody concentrations were not associated with long COVID or long-term loss of smell/taste.</t>
  </si>
  <si>
    <t>Determinants of non-adherence to antibiotic treatment guidelines in hospitalized adults with suspected community-acquired pneumonia: a prospective study.</t>
  </si>
  <si>
    <t>Markussen, Dagfinn Lunde; Wathne, Jannicke Slettli; Ritz, Christian; van Werkhoven, Cornelis H; Serigstad, Sondre; Bjørneklett, Rune Oskar; Ulvestad, Elling; Knoop, Siri Tandberg; Jenum, Synne; Grewal, Harleen M S</t>
  </si>
  <si>
    <t>https://pubmed.ncbi.nlm.nih.gov/39580437</t>
  </si>
  <si>
    <t>Antimicrobial resistance (AMR) is a global health threat with millions of deaths annually attributable to bacterial resistance. Effective antimicrobial stewardship programs are crucial for optimizing antibiotic use. This study aims to identify factors contributing to deviations from antibiotic treatment guidelines in hospitalized adults with suspected community-acquired pneumonia (CAP). We conducted a prospective study at Haukeland University Hospital's Emergency Department in Bergen, Norway, from September 2020 to April 2023. Patients were selected from two cohorts, with data on clinical and microbiologic test results collected. We analysed adherence of antibiotic therapy to guidelines for the choice of empirical treatment and therapy duration using multivariate regression models to identify predictors of non-adherence. Of the 523 patients studied, 479 (91.6%) received empirical antibiotic therapy within 48 h of admission, with 382 (79.7%) adhering to guidelines. However, among the 341 patients included in the analysis of treatment duration adherence, only 69 (20.2%) received therapy durations that were consistent with guideline recommendations. Key predictors of longer-than-recommended therapy duration included a C-reactive protein (CRP) level exceeding 100 mg/L (RR 1.37, 95% CI 1.18-1.59) and a hospital stay longer than two days (RR 1.22, 95% CI 1.04-1.43). The primary factor contributing to extended antibiotic therapy duration was planned post-discharge treatment. No significant temporal trends in adherence to treatment duration guidelines were observed following the publication of the updated guidelines. While adherence to guidelines for the choice of empirical antibiotic therapy was relatively high, adherence to guidelines for therapy duration was significantly lower, largely due to extended post-discharge antibiotic treatment. Our findings suggest that publishing updated guidelines alone is insufficient to change clinical practice. Targeted stewardship interventions, particularly those addressing discharge practices, are essential. Future research should compare adherence rates across institutions to identify factors contributing to higher adherence and develop standardized benchmarks for optimal antibiotic stewardship. Trial registration NCT04660084.</t>
  </si>
  <si>
    <t>Impact of Pseudomonas aeruginosa carriage on ICU-acquired pneumonia: a European multicentre prospective cohort study.</t>
  </si>
  <si>
    <t>Recanatini, Claudia; van Werkhoven, Cornelis H; van der Schalk, Thomas E; Paling, Fleur; Hazard, Derek; Timbermont, Leen; Torrens, Gabriel; DiGiandomenico, Antonio; Esser, Mark T; Wolkewitz, Martin; Sifakis, Frangiscos; Goossens, Herman; Bonten, Marc; Oliver, Antonio; Malhotra-Kumar, Surbhi; Kluytmans, Jan; ,</t>
  </si>
  <si>
    <t>https://pubmed.ncbi.nlm.nih.gov/39532190</t>
  </si>
  <si>
    <t>Pseudomonas aeruginosa (PA) is a common causative pathogen of pneumonia acquired in the ICU. The aim of this study was to determine the incidence of PA ICU pneumonia (PAIP) and to quantify its independent association with PA colonisation at different body sites. Adult patients on mechanical ventilation at ICU admission were prospectively enrolled across 30 European ICUs. PA colonisation in the perianal area and in the lower respiratory tract were assessed within 72 hours after ICU admission and twice weekly until ICU discharge. PAIP development was evaluated daily. Competing risk models with colonisation as a time-varying exposure and ICU death and discharge as competing events were fitted and adjusted for confounders to investigate the association between PA carriage and PAIP. 1971 subjects were enrolled. The colonisation prevalence with P. aeruginosa in the first 72 hours of ICU admission was 10.4% (179 perianal, 51 respiratory), while the acquisition incidence during the ICU stay was 7.0% (158 perianal, 47 respiratory). Of the 43 (1.8%) patients who developed PAIP, 11 (25.6%) were PA colonised on admission and 9 (20.9%) acquired colonisation prior to PAIP onset. Both perianal (adjusted sub distribution hazard ratio [aSHR] 4.4, 95%CI 1.7-11.6) and respiratory colonisation (aSHR 4.6, 95%CI 1.9-11.1) were independently associated with PAIP development. PAIP incidence was higher in PA colonised vs non-colonised patients. Both colonisation of the rectum and of the respiratory tract were associated with development of PAIP. The increased risk of P. aeruginosa colonisation for subsequent infection provides an opportunity for targeted preventive interventions.</t>
  </si>
  <si>
    <t>Biomarker guided antibiotic stewardship in community acquired pneumonia: A randomized controlled trial.</t>
  </si>
  <si>
    <t>Duijkers, Ruud; Prins, Hendrik J; Kross, Martijn; Snijders, Dominic; van den Berg, Jan W K; Werkman, Gwendolyn M; van der Veen, Nynke; Schoorl, Marianne; Bonten, Marc J M; van Werkhoven, Cornelis H; Boersma, Wim G</t>
  </si>
  <si>
    <t>https://pubmed.ncbi.nlm.nih.gov/39163362</t>
  </si>
  <si>
    <t>In community-acquired pneumonia (CAP), the role of biomarkers to shorten duration of antibiotic treatment has not been firmly established. We assessed the effectiveness of active feedback of treatment algorithms based on procalcitonin (PCT) and C-reactive protein (CRP), compared to standard care, on the duration of antibiotic treatment in patients hospitalized with community-acquired pneumonia (CAP) in non-ICU wards. We performed a randomised, open label, parallel group, multi-centre trial in 3 Dutch teaching hospitals. Treatment was guided by a PCT algorithm, CRP algorithm or standard care. Participants were recruited by a member of the study team and randomised at day 2-3 of admission in a 1:1:1 ratio. Treatment was discontinued upon predefined thresholds of biomarkers that were assessed on admission, day 4 and days 5-7 if indicated. The primary outcome was total days on antibiotic treatment until day 30. In total 468 participants were included in this study. The median days on antibiotics (IQR) was 7 (IQR 7-10) in the control group, 4 (IQR 3-7) in the CRP group (rate ratio (RR) of 0.70, 95% CI 0.61-0.82 compared to standard care; p &lt;0.001), and 5.5 (IQR 3-9) in the PCT group (RR of 0.78, 95% CI 0.68-0.89 compared to standard care; p &lt;0.001). New antibiotics within the first 30 days were prescribed to 24, 23 and 35 patients in standard care, CRP and PCT groups, respectively. The hazard ratio for a new prescription in patients in the PCT group compared to standard care 1.63 (CI 0.97-2.75; p = 0.06). No difference in time to clinical stability or length of stay was found. A strategy of feedback of CRP-guided and PCT-guided treatment algorithms reduced the number of days on antibiotic in the first 30 days after hospital admission in non-ICU wards for CAP. The study was not powered to determine safety of shortening duration of antibiotic treatment. (NCT01964495).</t>
  </si>
  <si>
    <t>Mortality Associated with Infectious Diseases in Dutch Nursing Homes.</t>
  </si>
  <si>
    <t>Manyam, Meghanadh; Biesheuvel, Mirthe; Haenen, Anja; van Werkhoven, C H Henri; van de Kassteele, Jan; van Gageldonk-Lafeber, Rianne; de Greeff, Sabine; van Asten, Liselotte; ,</t>
  </si>
  <si>
    <t>https://pubmed.ncbi.nlm.nih.gov/39147369</t>
  </si>
  <si>
    <t>Although older people in nursing homes have a larger susceptibility to infectious diseases, the extent to which infectious diseases contribute to their mortality is unknown. Therefore, we quantified the associations between seasonal infectious diseases and all-cause mortality in Dutch nursing homes. We analyzed time series (January 2009 to December 2021) of the weekly sentinel surveillance of infectious diseases in Dutch nursing homes. A generalized linear model with binomial distribution and identity link was used to associate the proportion of all-cause mortality with the incidence of infections: COVID-19 (2020-2021), gastroenteritis (GE), influenza-like illness (ILI), and lower respiratory tract infections (LRTIs) at 0- to 4-week time-lags (mortality incidence at 0 to 4 weeks after infections incidence). Over 13 years, 81 nursing homes participated, with 20 to 35 homes each year (mean: 26). A total of 11,555 all-cause deaths occurred over 1,864,667 resident weeks, averaging a mortality incidence of 6.2 per 1000 resident weeks. All 4 tested infectious diseases exhibited a significant association with all-cause mortality in nursing homes (P ≤ .01). Collectively, these infectious diseases were associated with 18.6% (95% CI, 17.8%-19.3%) of all deaths. The association between mortality and ILI was significant in 7 of 12 ILI seasons. Yearly mortality associated with the specific infectious diseases was as follows: LRTI (10.2%; 95% CI, 9.6%-10.8%), ILI (8.2%; 95% CI, 7.5%-8.9%) (over the 7 of 12 significant seasons), COVID-19 (6.5%; 95% CI, 5.4%-7.7%) (over 2019-2021 as there was no previous SARS-CoV-2 circulation), and GE (2.3%; 95% CI, 2.0%-2.5%). In nursing homes, the occurrence of seasonal respiratory and gastrointestinal infections is associated with nearly one-fifth of all-cause deaths. Although infection prevention and surveillance may already be performed in some nursing homes, it is vital to implement, and enhance targeted strategies like (hand) hygiene protocols, environmental cleaning practices, reducing droplet and aerosol transmission, and vaccination to effectively address specific infections.</t>
  </si>
  <si>
    <t>Informed consent for national registration of COVID-19 vaccination caused information bias of vaccine effectiveness estimates mostly in older adults: a bias correction study.</t>
  </si>
  <si>
    <t>van Werkhoven, Cornelis H; de Gier, Brechje; McDonald, Scott A; de Melker, Hester E; Hahné, Susan J M; van den Hof, Susan; Knol, Mirjam J</t>
  </si>
  <si>
    <t>https://pubmed.ncbi.nlm.nih.gov/39032589</t>
  </si>
  <si>
    <t>Registration in the Dutch national COVID-19 vaccination register requires consent from the vaccinee. This causes misclassification of nonconsenting vaccinated persons as being unvaccinated. We quantified and corrected the resulting information bias in vaccine effectiveness (VE) estimates. National data were used for the period dominated by the SARS-CoV-2 Delta variant (July 11 to November 15, 2021). VE ((1-relative risk)∗100%) against COVID-19 hospitalization and intensive care unit (ICU) admission was estimated for individuals 12 to 49, 50 to 69, and ≥70 years of age using negative binomial regression. Anonymous data on vaccinations administered by the Municipal Health Services were used to determine informed consent percentages and estimate corrected VEs by iteratively imputing corrected vaccination status. Absolute bias was calculated as the absolute change in VE; relative bias as uncorrected/corrected relative risk. A total of 8804 COVID-19 hospitalizations and 1692 COVID-19 ICU admissions were observed. The bias was largest in the 70+ age group where the nonconsent proportion was 7.0% and observed vaccination coverage was 87%: VE of primary vaccination against hospitalization changed from 75.5% (95% CI 73.5-77.4) before to 85.9% (95% CI 84.7-87.1) after correction (absolute bias -10.4 percentage point, relative bias 1.74). VE against ICU admission in this group was 88.7% (95% CI 86.2-90.8) before and 93.7% (95% CI 92.2-94.9) after correction (absolute bias -5.0 percentage point, relative bias 1.79). VE estimates can be substantially biased with modest nonconsent percentages for vaccination data registration. Data on covariate-specific nonconsent percentages should be available to correct this bias.</t>
  </si>
  <si>
    <t>Cost-effectiveness and safety of continuous pulse oximetry for management of undiagnosed obstructive sleep apnea in bariatric surgery: a nationwide cohort study.</t>
  </si>
  <si>
    <t>van Veldhuisen, Sophie L; Keusters, Willem R; Kuppens, Kim; de Raaff, Christel A L; van Veen, Ruben N; Wiezer, Marinus J; Swank, Dingeman J; Demirkiran, Ahmet; Boerma, Evert-Jan G; Greve, Jan-Willem M; van Dielen, Francois M H; de Castro, Steve M M; Frederix, Geert W J; Hazebroek, Eric J</t>
  </si>
  <si>
    <t>surgery for obesity and related diseases official journal of the american society for bariatric surgery</t>
  </si>
  <si>
    <t>https://pubmed.ncbi.nlm.nih.gov/39127531</t>
  </si>
  <si>
    <t>Undetected obstructive sleep apnea (OSA) is highly prevalent in patients undergoing bariatric surgery and increases perioperative risks. Screening for OSA using preoperative polygraphy (PG) with subsequent continuous positive airway pressure (CPAP) is costly and time-consuming. Postoperative continuous pulse oximetry (CPOX) is less invasive, and is hypothesized to be a safe and cost-effective alternative. This nationwide multicenter prospective observational cohort study compared CPOX monitoring with OSA-screening using PG. High-volume bariatric centers. Patients were either postoperatively monitored using CPOX without preoperative OSA-screening, or underwent preoperative PG and CPAP treatment when OSA was diagnosed. Cohort placement was based on local hospital protocols. Cost-effectiveness was analyzed using quality adjusted life years (QALYs) and healthcare costs. Surgical outcomes were also analyzed. Propensity score matching was used in sensitivity analyses. A total of 1390 patients were included. QALYs were similar between groups at baseline and 1-year postoperatively. Postoperative complications, intensive care unit (ICU)-admissions and admissions, particularly OSA-related, did not differ between groups. Mean costs per patient/year in the CPOX group was €3094 versus €3680 in the PG group; mean difference €-586 (95% CI €-933-€-242). Following propensity score matching, 1090 of 1390 included patients remained, and similar findings for cost-effectiveness, complications, and ICU admissions were observed. CPOX monitoring without preoperative OSA-screening was not associated with higher complication or readmission rates compared to PG. CPOX resulted in lower costs from a healthcare perspective and can therefore be considered a cost-effective alternative to routine OSA-screening in patients undergoing bariatric surgery.</t>
  </si>
  <si>
    <t>A cost-utility analysis of cochlear implants for single sided deafness in adults and children in the Netherlands.</t>
  </si>
  <si>
    <t>van Lieshout, Chris; Abraham, Katharina; Smit, Adriana L; Frederix, Geert W J</t>
  </si>
  <si>
    <t>https://pubmed.ncbi.nlm.nih.gov/39102399</t>
  </si>
  <si>
    <t>Cochlear Implant (CI) has been shown to improve speech comprehension, sound localization and tinnitus in adults with Single-Sided-Deafness (SSD) compared to standard treatment currently available in the Dutch setting such as a CROS (Contralateral Routing of Signals) hearing device or a BCD (Bone Conduction Device). Also, for the pediatric population with SSD, CI has shown to be clinically meaningful. Because currently no information is available on the health economic effects of CI in adults and children with SSD in the Netherlands, a cost-utility analysis was conducted. We developed a Markov cohort model, for both the adult and pediatric SSD population, with three states: implant, no implant, and dead. CI was compared with the Bone Conduction Device (BCD) treatment, requiring surgery and no specific treatment. The time horizon of the model was lifelong, costs were discounted with 3% and effects with 1.5%. A societal perspective was taken, including productivity costs in the analysis, with costing data based on publicly available prices for the Netherlands. Values for clinical outcome parameters, i.e. hearing gain, and event probabilities were based on existing literature. Deterministic and probabilistic sensitivity analyses as well as scenario analyses were performed to outline uncertainty of individual and combined parameters. Mean per patient costs for CI in the adult population were €194,051 (95%-CrI €177,274 to €211,108) compared to the total costs of €185,310 (95%-CrI €182,367 to €194,142) for BCD resulting in a cost difference of €8,826 (95%-CrI -€5,020 to €18,252). Compared to no treatment, the cost difference was -€25,089 (95%-CrI -€31,678 to -€6,003). Adults who were treated with CI gained 18.41 (95%-CrI 18.07 to 18.75) quality adjusted life years (QALY) whereas BCD patients gained 15.81 QALYs (95%-CrI 15.53 to 16.10), a difference of 2.60 QALYs (95%-CrI 2.15 to 3.05). The Incremental Cost Effectiveness Ratio (ICER) for adults with CI was determined to be €3,494/QALY gained. Patient without treatment gained 13.46 QALY (95%-CrI 13.20 to 13.73), a difference of 4.95 (95%-CrI 4.87 to 5.01) resulting in CI dominating no treatment. The ICER remained below the Dutch threshold of €20,000/QALY. The probabilistic sensitivity analyses confirmed the results. For children, CI dominated when compared to BCD and when compared to no treatment. Compared to BCD, CI led to a cost saving of €29,611 (95%-CrI -€126,800 to €54,375) and compared to no treatment, CI resulted in a cost saving of €57,658 (95%-CrI -€146,687 to €5,919). The incremental QALY gain compared to BCD was 7.22 (95%-CrI 4.19 to 8.55) and 26.03 (95%-CrI 20.82 to 31.06) compared to no treatment. Based on the results of this health economic evaluation with a Markov cohort model, it is very likely that CI is cost-effective compared to BCD and to no treatment in the Dutch adult and pediatric population with SSD. In both populations the ICER was below the Dutch cost-effectiveness threshold of €20,000/QALY.</t>
  </si>
  <si>
    <t>Author Correction: Clinical implementation of artificial-intelligence-assisted detection of breast cancer metastases in sentinel lymph nodes: the CONFIDENT-B single-center, non-randomized clinical trial.</t>
  </si>
  <si>
    <t>van Dooijeweert, C; Flach, R N; Ter Hoeve, N D; Vreuls, C P H; Goldschmeding, R; Freund, J E; Pham, P; Nguyen, T Q; van der Wall, E; Frederix, G W J; Stathonikos, N; van Diest, P J</t>
  </si>
  <si>
    <t>nature cancer</t>
  </si>
  <si>
    <t>https://pubmed.ncbi.nlm.nih.gov/38969769</t>
  </si>
  <si>
    <t>Toward a Useful and Cost-Effective Workup in Chronic Polyneuropathy: The EXPRESS Study Protocol.</t>
  </si>
  <si>
    <t>Wiersma, Madde; van der Star, Gerjan M; Eftimov, Filip; van Eijk, Ruben P A; Frederix, Geert W J; van Doorn, Pieter A; Notermans, Nicolette C; Vrancken, Alexander F J E</t>
  </si>
  <si>
    <t>neuroepidemiology</t>
  </si>
  <si>
    <t>https://pubmed.ncbi.nlm.nih.gov/38952135</t>
  </si>
  <si>
    <t>Knowledge gaps exist about the usefulness and extent of blood tests and nerve conduction studies in the workup of polyneuropathy. We hypothesize that a limited workup improves costs spent on diagnostics without loss of diagnostic reliability or disadvantageous effect on treatment choice in many patients with a clinical diagnosis of chronic polyneuropathy. We aim to determine which investigations are necessary in the workup of patients with suspected chronic polyneuropathy clinically diagnosed by neurologists in an outpatient clinic and will perform an early health technology assessment. This is a prospective multicenter quality in healthcare evaluation. We compare two diagnostic strategies, both performed on all participants: the standard care by each patient's neurologist and the proposed (limited) workup by the study panel members consisting of neurologists with experience in neuromuscular diseases. The primary outcome is the effectiveness of a limited workup expressed as concordance between the patient's neurologist diagnosis and the panel diagnosis. This will be related to differences in costs and impact on treatment or patient management otherwise. Other outcomes are burden/gain for the patient in terms of number of investigations, time to diagnosis, hospital visits, sick leave, loss of productivity, expenses, experienced quality of care. This multicenter prospective observational study on quality in health care will provide improved evidence about the components of a cost-effective workup for patients with chronic polyneuropathy.</t>
  </si>
  <si>
    <t>Clinical implementation of artificial-intelligence-assisted detection of breast cancer metastases in sentinel lymph nodes: the CONFIDENT-B single-center, non-randomized clinical trial.</t>
  </si>
  <si>
    <t>https://pubmed.ncbi.nlm.nih.gov/38937624</t>
  </si>
  <si>
    <t>Pathologists' assessment of sentinel lymph nodes (SNs) for breast cancer (BC) metastases is a treatment-guiding yet labor-intensive and costly task because of the performance of immunohistochemistry (IHC) in morphologically negative cases. This non-randomized, single-center clinical trial (International Standard Randomized Controlled Trial Number:14323711) assessed the efficacy of an artificial intelligence (AI)-assisted workflow for detecting BC metastases in SNs while maintaining diagnostic safety standards. From September 2022 to May 2023, 190 SN specimens were consecutively enrolled and allocated biweekly to the intervention arm (n = 100) or control arm (n = 90). In both arms, digital whole-slide images of hematoxylin-eosin sections of SN specimens were assessed by an expert pathologist, who was assisted by the 'Metastasis Detection' app (Visiopharm) in the intervention arm. Our primary endpoint showed a significantly reduced adjusted relative risk of IHC use (0.680, 95% confidence interval: 0.347-0.878) for AI-assisted pathologists, with subsequent cost savings of ~3,000 €. Secondary endpoints showed significant time reductions and up to 30% improved sensitivity for AI-assisted pathologists. This trial demonstrates the safety and potential for cost and time savings of AI assistance.</t>
  </si>
  <si>
    <t>Impact of varying pre-exposure prophylaxis programs on HIV and Neisseria gonorrhoeae transmission among MSM in the Netherlands: a modelling study.</t>
  </si>
  <si>
    <t>Reitsema, Maarten; Wallinga, Jacco; van Sighem, Ard I; Bezemer, Daniela; van der Valk, Marc; van Aar, Fleur; Maria Heijne, Janneke Cornelia; Hoornenborg, Elske; Rozhnova, Ganna; van Benthem, Birgit; Xiridou, Maria</t>
  </si>
  <si>
    <t>https://pubmed.ncbi.nlm.nih.gov/39172008</t>
  </si>
  <si>
    <t>In 2019, a five-year pre-exposure prophylaxis (PrEP) program started in the Netherlands, in which up to 8,500 men who have sex with men (MSM) can obtain PrEP and 3-monthly consultations with HIV/STI testing. We assessed the impact of the PrEP program on transmission of HIV and Neisseria gonorrhea (NG) among MSM in the Netherlands and examined prospective variations of the program after 2024. We used an agent-based model to estimate the effect of the PrEP program. For prospective PrEP programs from 2024, we varied the capacity (8,500; 12,000; 16,000 participants) and consultation frequency (3-monthly; 6-monthly; 70% 3-monthly and 30% 6-monthly) for t. At a capacity of 8,500 participants and 3-monthly consultations, the PrEP program could lead to 3,140 (95%CrI 1,780 - 4,780) and 27,930 (95%CrI 14,560 - 46,280) averted HIV and NG infections; requiring 316,050 (95%CrI 314,120 - 317,580) consultations. At a capacity of 16,000 participants the programs with 3-monthly consultations and 6-monthly consultations could lead to comparable numbers of averted HIV (3,940 (95%CrI 2,420 - 5,460), and 3,900 (2,320 - 5,630) respectively) and NG infections (29,970 (95%CrI 15,490 - 50,350), and 29,960 (95%CrI 13,610 - 50,620) respectively), while requiring substantially different numbers of consultations: 589,330 (95%CrI 586,240 - 591,160) and 272,590 (95%CrI 271,770 - 273,290) respectively. Continuation of a PrEP program could lead to a substantial reduction in HIV and NG transmission. More infections could be averted if the number of participants is increased. In turn, the consultations frequency could be reduced without reducing the number of averted infections if capacity is increased.</t>
  </si>
  <si>
    <t>First-Trimester Prediction Models Based on Maternal Characteristics for Adverse Pregnancy Outcomes: A Systematic Review and Meta-Analysis.</t>
  </si>
  <si>
    <t>van Eekhout, Jacintha C A; Becking, Ellis C; Scheffer, Peter G; Koutsoliakos, Ioannis; Bax, Caroline J; Henneman, Lidewij; Bekker, Mireille N; Schuit, Ewoud</t>
  </si>
  <si>
    <t>https://pubmed.ncbi.nlm.nih.gov/39449094</t>
  </si>
  <si>
    <t>Early risk stratification can facilitate timely interventions for adverse pregnancy outcomes, including preeclampsia (PE), small-for-gestational-age neonates (SGA), spontaneous preterm birth (sPTB) and gestational diabetes mellitus (GDM). To perform a systematic review and meta-analysis of first-trimester prediction models for adverse pregnancy outcomes. The PubMed database was searched until 6 June 2024. First-trimester prediction models based on maternal characteristics were included. Articles reporting on prediction models that comprised biochemical or ultrasound markers were excluded. Two authors identified articles, extracted data and assessed risk of bias and applicability using PROBAST. A total of 77 articles were included, comprising 30 developed models for PE, 15 for SGA, 11 for sPTB and 35 for GDM. Discriminatory performance in terms of median area under the curve (AUC) of these models was 0.75 [IQR 0.69-0.78] for PE models, 0.62 [0.60-0.71] for SGA models of nulliparous women, 0.74 [0.72-0.74] for SGA models of multiparous women, 0.65 [0.61-0.67] for sPTB models of nulliparous women, 0.71 [0.68-0.74] for sPTB models of multiparous women and 0.71 [0.67-0.76] for GDM models. Internal validation was performed in 40/91 (43.9%) of the models. Model calibration was reported in 21/91 (23.1%) models. External validation was performed a total of 96 times in 45/91 (49.5%) of the models. High risk of bias was observed in 94.5% of the developed models and in 58.3% of the external validations. Multiple first-trimester prediction models are available, but almost all suffer from high risk of bias, and internal and external validations were often not performed. Hence, methodological quality improvement and assessment of the clinical utility are needed.</t>
  </si>
  <si>
    <t>Fetal Fraction of Cell-Free DNA in the Prediction of Adverse Pregnancy Outcomes: A Nationwide Retrospective Cohort Study.</t>
  </si>
  <si>
    <t>Becking, Ellis C; Bekker, Mireille N; Henrichs, Jens; Bax, Caroline J; Sistermans, Erik A; Henneman, Lidewij; Scheffer, Peter G; Schuit, Ewoud</t>
  </si>
  <si>
    <t>https://pubmed.ncbi.nlm.nih.gov/39358906</t>
  </si>
  <si>
    <t>To assess the added value of fetal fraction of cell-free DNA in the maternal circulation in the prediction of adverse pregnancy outcomes. Retrospective cohort study. Nationwide implementation study on non-invasive prenatal testing (NIPT; TRIDENT-2 study). Pregnant women in the Netherlands opting for NIPT between June 2018 and June 2019. Two logistic regression prediction models were constructed for each adverse pregnancy outcome. The first model (base model) included prognostic clinical parameters that were selected from existing first-trimester prediction models for adverse pregnancy outcomes. The second model (fetal fraction model) included fetal fraction as a predictor on top of the prognostic clinical parameters included in the base model. The added prognostic value of fetal fraction was assessed by comparing the base and fetal fraction models in terms of goodness of fit and predictive performance. Likelihood ratio test (LRT), area under the curve (AUC) and Integrated Discrimination Improvement (IDI) index. The study cohort consisted of 56 110 pregnancies. The incidence of adverse pregnancy outcomes was 5.7% for hypertensive disorders of pregnancy (HDP; n = 3207), 10.2% for birthweight &lt; p10 (n = 5726), 3.2% for birthweight &lt; p2.3 (n = 1796), 3.4% for spontaneous preterm birth (sPTB; n = 1891), 3.4% for diabetes (n = 1902) and 1.3% for congenital anomalies (n = 741). Adding fetal fraction to the base model improved model fit for HDP, birthweight &lt; p10, birthweight &lt; p2.3, all sPTB, and diabetes, but not for congenital anomalies (LRT p &lt; 0.05). For HDP, the AUC improved from 0.67 to 0.68 by adding fetal fraction to the base model (p = 0.14) with an IDI of 0.0018 (p &lt; 0.0001). For birthweight &lt; p10, the AUC improved from 0.65 to 0.66 (p &lt; 0.0001) with an IDI of 0.0023 (p &lt; 0.0001). For birthweight &lt; p2.3, the AUC improved from 0.67 to 0.69 (p &lt; 0.0001) with an IDI of 0.0011 (p &lt; 0.0001). For all sPTB, the AUC was similar for both models (AUC 0.63, p = 0.021) with an IDI of 0.00028 (p = 0.0023). For diabetes, the AUC was similar (AUC 0.72, p = 0.35) with an IDI of 0.00055 (p = 0.00015). Fetal fraction has statistically significant but limited prognostic value in the prediction of adverse pregnancy outcomes in addition to known prognostic clinical parameters.</t>
  </si>
  <si>
    <t>Holmium-166 radioembolisation dosimetry in HCC.</t>
  </si>
  <si>
    <t>Reinders, Margot T M; Braat, Arthur J A T; van Erpecum, Karel J; de Bruijne, Joep; Bruijnen, Rutger C G; Sprengers, Dave; de Man, Rob; Vegt, Erik; IJzermans, Jan N M; Elias, Sjoerd G; Lam, Marnix G E H; Smits, Maarten L J</t>
  </si>
  <si>
    <t>https://pubmed.ncbi.nlm.nih.gov/39470786</t>
  </si>
  <si>
    <t>To evaluate dosimetry, dose-response and dose-toxicity relationships for holmium-166 (&lt;sup&gt;166&lt;/sup&gt;Ho) radioembolisation in patients with hepatocellular carcinoma (HCC). Thirty-one patients with hepatocellular carcinoma were included in the HEPAR Primary study (NCT03379844, registered on December 20th, 2017) and underwent &lt;sup&gt;166&lt;/sup&gt;Ho-microspheres radioembolisation. Linear mixed models assessed the association between tumour absorbed doses and response based on mRECIST both on tumour and patient level. Preliminary tumour absorbed dose thresholds were estimated based on predictive value. Linear regression models assessed the association between non-tumour absorbed dose and Common Terminology Criteria for Adverse Events version 4.03. Median tumour absorbed dose (tumour level) was 95.5 Gy (range 44-332 Gy). Median non-tumour absorbed dose based on whole liver volume was 19 Gy (range 3 - 48 Gy) and based on target liver volume was 30 Gy (range 13 - 54 Gy). There was a significant association between non-tumour absorbed dose and toxicity. Tumours with partial response/complete response (PR/CR, responders) received a 41% higher absorbed dose than tumours with progressive disease/stable disease (PD/SD, non-responders) (95%CI: 2%-93%, p = 0.04). A predictive value of 90% for tumour response was observed at a tumour absorbed dose threshold of 155 Gy, 100% predictive value was achieved at 184.5 Gy. This study confirms a positive relationship between tumour absorbed dose and response and between non-tumour absorbed dose and toxicity. Dose thresholds found in this study can serve as a basis for personalized dosimetry in HCC patients treated with &lt;sup&gt;166&lt;/sup&gt;Ho-microspheres.</t>
  </si>
  <si>
    <t>Reclassification of Appendiceal Mucinous Neoplasms and Associated Pseudomyxoma Peritonei According to the Peritoneal Surface Oncology Group International Consensus: Clinicopathological Reflections of a Two-Center Cohort Study.</t>
  </si>
  <si>
    <t>Rauwerdink, Paulien; Al-Toma, Dania; Wassenaar, Emma C E; Raicu, Mihaela G; Laclé, Miangela M; Milne, Anya N; Kuijpers, Karel C; Huysentruyt, Clément J R; Poelmann, Floris B; van Ramshorst, Bert; Elias, Sjoerd G; Kranenburg, Onno; Borel Rinkes, Inne H M; Witkamp, Arjen J; Wiezer, Marinus J; van Grevenstein, Helma M U; Boerma, Djamila</t>
  </si>
  <si>
    <t>https://pubmed.ncbi.nlm.nih.gov/39327362</t>
  </si>
  <si>
    <t>International consensus on classifications of appendiceal mucinous neoplasms (AMNs) and associated pseudomyxoma peritonei (PMP) have been carefully made but clinicopathological associations supporting decision making remain scarce. This study aimed to assess interdependence between AMNs and PMP and provide directions for clinical management. This two-center retrospective cohort study reviewed patients with PMP treated with cytoreductive surgery and hyperthermic intraperitoneal chemotherapy between 2005 and 2021. The primary objective was to reassess histopathologic grade of AMNs and PMP according to the Peritoneal Surface Oncology Group International classification and to establish its interdependence. Secondary outcomes were recurrence rate, PMP grade progression, ovarian involvement, and overall survival (OS). Of 105 patients included, 78 (74.3%) had low-grade AMNs as the primary tumor, 8 (7.6%) had high-grade AMNs, 7 (6.7%) had mucinous adenocarcinoma (MAC), 1 (0.9%) had MAC with signet ring cells (SRC), and 11 (10.5%) had unidentified tumors. Overall, 11 patients (10.5%) had no PMP, 21 (20.0%) had acellular mucin, 56 (53.3%) had low-grade PMP, 12 (11.4%) had high-grade PMP, and 5 (4.8%) had PMP-SRC. In 11 cases (13.3%), AMNs and matching PMP grade differed. Over a 16-year follow-up, recurrence occurred in 31.8%, with three cases showing histopathologically changed PMP. Ovarian involvement was observed in 43/65 females (66.2%). Median OS was 13.8 years, and 5-year OS rates were 100%, 74.4%, 44.4%, and 20% for acellular mucin, low-grade PMP, high-grade PMP and PMP-SRC, respectively (p &lt; 0.001). AMN histology does not always reflects its associated PMP grade, while PMP grade strongly influences survival. Ovarian involvement and recurrent PMP showing unchanged histopathological features are common.</t>
  </si>
  <si>
    <t>Tumor infiltrating lymphocytes and change in tumor load on MRI to assess response and prognosis after neoadjuvant chemotherapy in breast cancer.</t>
  </si>
  <si>
    <t>Janssen, L M; de Vries, B B L Penning; Janse, M H A; van der Wall, E; Elias, S G; Salgado, R; van Diest, P J; Gilhuijs, K G A</t>
  </si>
  <si>
    <t>https://pubmed.ncbi.nlm.nih.gov/39285068</t>
  </si>
  <si>
    <t>In this study, we aimed to explore if the combination of tumor infiltrating lymphocytes (TILs) and change in tumor load on dynamic contrast-enhanced magnetic resonance imaging leads to better assessment of response to neoadjuvant chemotherapy (NAC) in patients with breast cancer, compared to either alone. In 190 NAC treated patients, MRI scans were performed before and at the end of treatment. The percentage of stromal TILs (%TILs) was assessed in pre-NAC biopsies according to established criteria. Prediction models were developed with linear regression by least absolute shrinkage and selection operator and cross validation (CV), with residual cancer burden as the dependent variable. Discrimination for pathological complete response (pCR) was evaluated using area under the receiver operating characteristic curves (AUC). We used Cox regression analysis for exploring the association between %TILs and recurrence-free survival (RFS). Fifty-one patients reached pCR. In all patients, the %TILs model and change in MRI tumor load model had an estimated CV AUC of 0.69 (95% confidence interval (CI) 0.53-0.78) and 0.69 (95% CI 0.61-0.79), respectively, whereas a model combining the variables resulted in an estimated CV AUC of 0.75 (95% CI 0.66-0.83). In the group with tumors that were ER positive and HER2 negative (ER+/HER2-) and in the group with tumors that were either triple negative or HER2 positive (TN&amp;HER2+) separately, the combined model reached an estimated CV AUC of 0.72 (95% CI 0.60-0.88) and 0.70(95% CI 0.59-0.82), respectively. A significant association was observed between pre-treatment %TILS and RFS (hazard ratio (HR) 0.72 (95% CI 0.53-0.98), for every standard deviation increase in %TILS, p = 0.038). The combination of TILs and MRI is informative of response to NAC in patients with both ER+/HER2- and TN&amp;HER2+ tumors.</t>
  </si>
  <si>
    <t>Whole-Body HER2 Heterogeneity Identified on HER2 PET in HER2-Negative, -Low, and -Positive Metastatic Breast Cancer.</t>
  </si>
  <si>
    <t>Eisses, Bertha; van Geel, Jasper J L; Brouwers, Adrienne H; Bensch, Frederike; Elias, Sjoerd G; Kuip, Evelien J M; Jager, Agnes; van der Vegt, Bert; Lub-de Hooge, Marjolijn N; Emmering, Jasper; Arens, Anne I J; Zwezerijnen, Gerben J C; Vugts, Daniëlle J; Menke-van der Houven van Oordt, C Willemien; de Vries, Elisabeth G E; Schröder, Carolina P</t>
  </si>
  <si>
    <t>https://pubmed.ncbi.nlm.nih.gov/39237347</t>
  </si>
  <si>
    <t>Understanding which patients with human epidermal growth factor receptor 2 (HER2)-negative or -low metastatic breast cancer (MBC) benefit from HER2-targeted strategies is urgently needed. We assessed the whole-body heterogeneity of HER2 expression on &lt;sup&gt;89&lt;/sup&gt;Zr-trastuzumab PET (HER2 PET) and the diagnostic performance of HER2 PET in a large series of patients, including HER2-negative and -low MBC. &lt;b&gt;Methods:&lt;/b&gt; In the IMPACT-MBC study, patients with newly diagnosed and nonrapidly progressive MBC of all subtypes were included. Metastasis HER2 status was determined by immunohistochemistry and in situ hybridization.&lt;sup&gt;89&lt;/sup&gt;Zr-trastuzumab uptake was quantified as SUV&lt;sub&gt;max&lt;/sub&gt; and SUV&lt;sub&gt;mean&lt;/sub&gt; HER2 immunohistochemistry was related to the quantitative &lt;sup&gt;89&lt;/sup&gt;Zr-trastuzumab uptake of all metastases and corresponding biopsied metastasis, uptake heterogeneity, and qualitative scan evaluation. A prediction algorithm for HER2 immunohistochemistry positivity based on uptake was developed. &lt;b&gt;Results:&lt;/b&gt; In 200 patients, &lt;sup&gt;89&lt;/sup&gt;Zr-trastuzumab uptake was quantified in 5,163 metastases, including 186 biopsied metastases. With increasing HER2 immunohistochemistry status, uptake was higher (geometric mean SUV&lt;sub&gt;max&lt;/sub&gt; of 7.0, 7.6, 7.3, and 17.4 for a HER2 immunohistochemistry score of 0, 1, 2, or 3+, respectively; &lt;i&gt;P&lt;/i&gt; &lt; 0.001). High uptake exceeding 14.6 (90th percentile) was observed in one third of patients with a HER2-negative or -low metastasis biopsy. The algorithm performed best when lesion site and size were incorporated (area under the curve, 0.86; 95% CI, 0.79-0.93). &lt;b&gt;Conclusion:&lt;/b&gt; HER2 PET had good diagnostic performance in MBC, showing considerable whole-body HER2 heterogeneity and uptake above background in HER2-negative and -low MBC. This provides novel insights into HER2-negative and -low MBC compared with standard HER2 immunohistochemistry on a single biopsy.</t>
  </si>
  <si>
    <t>First-line palliative systemic therapy alternated with oxaliplatin-based pressurized intraperitoneal aerosol chemotherapy for unresectable colorectal peritoneal metastases: A single-arm phase II trial (CRC-PIPAC-II).</t>
  </si>
  <si>
    <t>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t>
  </si>
  <si>
    <t>european journal of surgical oncology the journal of the european society of surgical oncology and the british association of surgical oncology</t>
  </si>
  <si>
    <t>https://pubmed.ncbi.nlm.nih.gov/38905732</t>
  </si>
  <si>
    <t>Palliative systemic therapy alternated with electrostatic precipitation oxaliplatin-based pressurized intraperitoneal aerosol chemotherapy (ePIPAC) has never been prospectively investigated in patients with unresectable colorectal peritoneal metastases (CPM). The CRC-PIPAC-II study aimed to assess safety, feasibility and efficacy of such bidirectional therapy. This two-center, single-arm, phase II trial enrolled chemotherapy-naïve patients to undergo three treatment cycles, consisting of systemic therapy (CAPOX, FOLFOX, FOLFIRI, or FOLFOXIRI, all with bevacizumab) and oxaliplatin-based ePIPAC (92 mg/m&lt;sup&gt;2&lt;/sup&gt;) with intravenous leucovorin (20 mg/m&lt;sup&gt;2&lt;/sup&gt;) and 5-fluorouracil (400 mg/m&lt;sup&gt;2&lt;/sup&gt;). Primary outcome were major treatment-related adverse events. Secondary outcomes included minor events, tumor response, progression-free survival (PFS) and overall survival (OS). Twenty patients completed 52 treatment cycles. Fifteen major events occurred in 7 patients (35 %): 5 events (33 %) related to systemic therapy; 5 (33 %) related to ePIPAC; and 5 (33 %) were biochemical events. No treatment-related deaths occurred. All patients experienced minor events, mostly abdominal pain, nausea and peripheral sensory neuropathy. After treatment, radiological, pathological, cytological, and biochemical response was observed in 0 %, 88 %, 38 %, and 31 % of patients respectively. Curative surgery was achieved in one patient. Median PFS was 10.0 months (95 % confidence interval [CI] 8.0-13.0) and median OS was 17.5 months (95 % CI 13.0-not reached). Combining palliative systemic therapy with oxaliplatin-based ePIPAC in patients with unresectable CPM was feasible and showed an acceptable safety profile. Treatment-induced response and survival are promising, yet further research is required to determine the additional value of ePIPAC to systemic therapy.</t>
  </si>
  <si>
    <t>Upfront resection versus no resection of the primary tumor in patients with synchronous metastatic colorectal cancer: the randomized phase III CAIRO4 study conducted by the Dutch Colorectal Cancer Group and the Danish Colorectal Cancer Group.</t>
  </si>
  <si>
    <t>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Oulad Hadj, J; van der Hoeven, J A B; Trajkovic, M; de Wilt, J H W; Koopman, M; ,</t>
  </si>
  <si>
    <t>Upfront primary tumor resection (PTR) has been associated with longer overall survival (OS) in patients with synchronous unresectable metastatic colorectal cancer (mCRC) in retrospective analyses. The aim of the CAIRO4 study was to investigate whether the addition of upfront PTR to systemic therapy resulted in a survival benefit in patients with synchronous mCRC without severe symptoms of their primary tumor. This randomized phase III trial was conducted in 45 hospitals in The Netherlands and Denmark. Eligibility criteria included previously untreated mCRC, unresectable metastases, and no severe symptoms of the primary tumor. Patients were randomized (1 : 1) to upfront PTR followed by systemic therapy or systemic therapy without upfront PTR. Systemic therapy consisted of first-line fluoropyrimidine-based chemotherapy with bevacizumab in both arms. Primary endpoint was OS in the intention-to-treat population. The study was registered at ClinicalTrials.gov, NCT01606098. Between August 2012 and February 2021, 206 patients were randomized. In the intention-to-treat analysis, 204 patients were included (n = 103 without upfront PTR, n = 101 with upfront PTR) of whom 116 were men (57%) with median age of 65 years (interquartile range 59-71 years). Median follow-up was 69.4 months. Median OS in the arm without upfront PTR was 18.3 months (95% confidence interval 16.0-22.2 months) compared with 20.1 months (95% confidence interval 17.0-25.1 months) in the upfront PTR arm (P = 0.32). The number of grade 3-4 events was 71 (72%) in the arm without upfront PTR and 61 (65%) in the upfront PTR arm (P = 0.33). Three deaths (3%) possibly related to treatment were reported in the arm without upfront PTR and four (4%) in the upfront PTR arm. Addition of upfront PTR to palliative systemic therapy in patients with synchronous mCRC without severe symptoms of the primary tumor does not result in a survival benefit. This practice should no longer be considered standard of care.</t>
  </si>
  <si>
    <t>Effect of optical diagnosis training on recognition and treatment of submucosal invasive colorectal cancer in community hospitals: a prospective multicenter intervention study.</t>
  </si>
  <si>
    <t>Meulen, Lonne W T; Haasnoot, Krijn J C; Vlug, Marije S; Wolfhagen, Frank H J; Baven-Pronk, Martine A M C; van der Voorn, Michael P J A; Schwartz, Matthijs P; Vogelaar, Lauran; de Vos Tot Nederveen Cappel, Wouter H; Seerden, Tom C J; Hazen, Wouter L; Schrauwen, Ruud W M; Alvarez-Herrero, Lorenza; Schreuder, Ramon-Michel; van Nunen, Annick B; Stoop, Esther; de Bruin, Gijs J; Bos, Philip; Marsman, Willem A; Kuiper, Edith; de Bièvre, Marc; Alderlieste, Yasser A; Roomer, Robert; Groen, John; Bigirwamungu-Bargeman, Marloes; Siersema, Peter D; Elias, Sjoerd G; Masclee, Ad A M; Moons, Leon M G; ,</t>
  </si>
  <si>
    <t xml:space="preserve"> Recognition of submucosal invasive colorectal cancer (T1 CRC) is difficult, with sensitivities of 35 %-60 % in Western countries. We evaluated the real-life effects of training in the OPTICAL model, a recently developed structured and validated prediction model, in Dutch community hospitals.  In this prospective multicenter study (OPTICAL II), 383 endoscopists from 40 hospitals were invited to follow an e-learning program on the OPTICAL model, to increase sensitivity in detecting T1 CRC in nonpedunculated polyps. Real-life recognition of T1 CRC was then evaluated in 25 hospitals. Endoscopic and pathologic reports of T1 CRCs detected during the next year were collected retrospectively, with endoscopists unaware of this evaluation. Sensitivity for T1 CRC recognition, R0 resection rate, and treatment modality were compared for trained vs. untrained endoscopists.  1 year after e-learning, 528 nonpedunculated T1 CRCs were recorded for endoscopies performed by 251 endoscopists (118 [47 %] trained). Median T1 CRC size was 20 mm. Lesions were mainly located in the distal colorectum (66 %). Trained endoscopists recognized T1 CRCs more frequently than untrained endoscopists (sensitivity 74 % vs. 62 %; mixed model analysis odds ratio [OR] 2.90, 95 %CI 1.54-5.45). R0 resection rate was higher for T1 CRCs detected by trained endoscopists (69 % vs. 56 %; OR 1.73, 95 %CI 1.03-2.91).  Training in optical recognition of T1 CRCs in community hospitals was associated with increased recognition of T1 CRCs, leading to higher en bloc and R0 resection rates. This may be an important step toward more organ-preserving strategies.</t>
  </si>
  <si>
    <t>Estimating Additive Interaction in Two-Stage Individual Participant Data Meta-Analysis.</t>
  </si>
  <si>
    <t>Basten, Maartje; van Tuijl, Lonneke A; Pan, Kuan-Yu; Hoogendoorn, Adriaan W; Lamers, Femke; Ranchor, Adelita V; Dekker, Joost; Frank, Philipp; Galenkamp, Henrike; Knol, Mirjam J; Noisel, Nolwenn; Payette, Yves; Sund, Erik R; Zwinderman, Aeilko H; Portengen, Lützen; Geerlings, Mirjam I</t>
  </si>
  <si>
    <t>https://pubmed.ncbi.nlm.nih.gov/39218424</t>
  </si>
  <si>
    <t>Individual participant data (IPD) meta-analysis provides important opportunities to study interaction and effect modification for which individual studies often lack power. While previous meta-analyses have commonly focused on multiplicative interaction, additive interaction holds greater relevance for public health and may in certain contexts better reflect biological interaction. Methodological literature on interaction in IPD meta-analysis does not cover additive interaction for models including binary or time-to-event outcomes. We aimed to describe how the Relative Excess Risk due to Interaction (RERI) and other measures of additive interaction or effect modification can be validly estimated within two-stage IPD meta-analysis. First, we explain why direct pooling of study-level RERI estimates may lead to invalid results. Next, we propose a three-step procedure to estimate additive interaction: 1) estimate effects of both exposures and their product term on the outcome within each individual study; 2) pool study-specific estimates using multivariate meta-analysis; 3) estimate an overall RERI and 95% confidence interval based on the pooled effect estimates. We illustrate this procedure by investigating interaction between depression and smoking and risk of smoking-related cancers using data from the PSYchosocial factors and Cancer (PSY-CA) consortium. We discuss implications of this procedure, including the application in meta-analysis based on published data.</t>
  </si>
  <si>
    <t>Clusters of parental socioeconomic status in early childhood and inherited risk for cerebrovascular disease until mid-life-Northern Finland Birth Cohort 1966.</t>
  </si>
  <si>
    <t>Hyytiäinen, Veronika; Ala-Mursula, Leena; Oura, Petteri; Paananen, Markus; Karhunen, Ville; Rusanen, Harri; Geerlings, Mirjam I; Miettunen, Jouko; Rissanen, Ina</t>
  </si>
  <si>
    <t>https://pubmed.ncbi.nlm.nih.gov/39215637</t>
  </si>
  <si>
    <t>The incidence of cerebrovascular disease (CVD) is rising among young adults (&lt; 55 years). The risk for CVD starts to form in early childhood and is comprised of genetic and environmental risk factors. The aim of this study is to investigate the relationship between early family socioeconomic status (SES), inherited risk, and CVD until midlife. In the Northern Finland Birth Cohort 1966 of 12,058 children, individuals were followed from gestational period up to 54 years. We used previously published early family SES clusters, based on latent class analysis of a wide set of prenatally collected variables. We investigated inherited risk with polygenic risk score (PRS) and parental CVDs during follow-up. The associations of the five distinct clusters, inherited risk, and consequent risk for various types of CVDs until middle age were analyzed with Cox regression. All analyses were conducted first in the whole sample and then stratified by sex as is recommended in cardiovascular studies. During the follow-up of 586,943 person-years, 512 CVDs occurred. No clear association between SES clusters and CVD were found. Higher PRS associated with any CVD (hazard ratio (HR) per 1 SD increase: 1.15; 95% confidence interval (CI): 1.02-1.31), and ischemic CVD (HR: 1.21; 1.05-1.40). We found no combined associations of early family SES and inherited risk for CVD. Inherited risk was associated with the risk for CVD in mid-life in Finnish population. We found no clear connection with early family SES and CVD. Being born to a specific SES group did not increase the effect of inherited risk. NFBC1966 data are available from the University of Oulu, Infrastructure for Population Studies for researchers who meet the criteria for accessing confidential data. In the use of data, we follow the EU general data protection regulation (679/2016) and Finnish Data Protection Act. Permission to use the data can be applied for research purposes from https://www.oulu.fi/nfbc.</t>
  </si>
  <si>
    <t>Reply to: Comments on "Psychosocial factors, health behaviors and risk of cancer incidence: Testing interaction and effect modification in an individual participant data meta-analysis".</t>
  </si>
  <si>
    <t>Basten, Maartje; van Tuijl, Lonneke A; Pan, Kuan-Yu; Geerlings, Mirjam I; Dekker, Joost</t>
  </si>
  <si>
    <t>https://pubmed.ncbi.nlm.nih.gov/39140902</t>
  </si>
  <si>
    <t>Risk Factors for Medial and Intimal Intracranial Internal Carotid Artery Calcification in Men and Women with Cardiovascular Disease: The UCC-SMART Study.</t>
  </si>
  <si>
    <t>Lucci, Carlo; Rissanen, Ina; van den Beukel, Tim C; Takx, Richard; de Jong, Pim A; Hendrikse, Jeroen; Geerlings, Mirjam I; ,</t>
  </si>
  <si>
    <t>https://pubmed.ncbi.nlm.nih.gov/38286124</t>
  </si>
  <si>
    <t>Calcifications of the intracranial internal carotid artery (iICA) can lead to an increased risk for stroke. Two types of iICA calcification are known: those affecting the tunica intima or the tunica media. In extracranial arteries, risk factors and calcification patterns are different in women and men, but little is known regarding the iICA. In this study, we aimed to identify sex-specific risk profiles and medications associated to intimal and medial iICA calcification in patients with cardiovascular disease (CVD). Participants of the UCC-SMART cohort undergoing a non-contrast head CT within 6 months from the study inclusion were considered (n = 475). Intimal or medial iICA calcification pattern was assessed using a previously histology-validated method. Sex-stratified associations between calcification pattern and cardiovascular risk factors, laboratory parameters, and medication use were calculated using Poisson regression analysis with robust standard errors. Two hundred and four women and 271 men (age range 24-79 years) were included. 45.4% of men and 34.8% of women showed intimal iICA calcification, while 28.4% of men and 24.0% of women showed medial iICA calcification. Minimal or no iICA calcification was observed in 26.2% of men and in 41.2% of women (reference group). Older age was associated with both calcification patterns in women and men. In women, use of vitamin K antagonists and lipid-lowering drugs was associated to medial calcification, while systolic blood pressure and glucose levels were associated to intimal calcification. In men, current smoking was associated to intimal calcification. Women and men with CVD show differences in risk profiles and medication use associated to intimal and medial iCA calcification.</t>
  </si>
  <si>
    <t>Performance of a Diagnostic Model for the Presence of Unruptured Intracranial Aneurysms in the General Population.</t>
  </si>
  <si>
    <t>Klieverik, Vita M; Roozenbeek, Bob; Cras, Tim Y; Vernooij, Meike W; Geerlings, Mirjam I; Bos, Daniel; Ruigrok, Ynte M</t>
  </si>
  <si>
    <t>https://pubmed.ncbi.nlm.nih.gov/38011836</t>
  </si>
  <si>
    <t>The prevalence of unruptured intracranial aneurysms (UIAs) in the general population is 3%. Aneurysmal subarachnoid hemorrhage can be prevented by screening for UIAs followed by monitoring and, if needed, preventive neurosurgical or endovascular treatment of identified UIAs. Therefore, we developed a diagnostic model for the presence of UIAs in the general population to help identify persons at high risk of having UIAs. Between 2005 and 2015, participants from the population-based Rotterdam Study underwent brain magnetic resonance imaging at 1.5 T, on which the presence of incidental UIAs was evaluated. We developed a multivariable logistic regression model using candidate diagnostic markers that were selected based on the literature, including sex, age, hypertension, smoking, hypercholesterolemia, diabetes, alcohol, and their interactions. We corrected for overfitting using bootstrapping. Model performance was assessed with discrimination, calibration, sensitivity, specificity, positive predictive value (PPV), and negative predictive value (NPV). 5,835 persons were included (55.0% women, mean age 64.9 ± 10.9 years) with a 2.2% UIA prevalence. Sex, age, hypertension, smoking, diabetes, and interactions of sex with age, hypertension, and smoking were independent diagnostic markers. The resulting model had a c-statistic of 0.65 (95% confidence interval [CI]: 0.60-0.68) and 56% sensitivity, 52% specificity, 98% PPV, and 3% NPV for UIA presence at a cutoff value of 4%. Because of interactions with sex, additional models for men and women separately were developed. The model for men had a c-statistic of 0.70 (95% CI: 0.62-0.78) with age, hypertension, and smoking as diagnostic markers and comparable additional performance values as for the full model. The model for women had a c-statistic of 0.58 (95% CI: 0.52-0.63) with smoking as the only diagnostic marker. Our diagnostic model had insufficient performance to help identify persons at high risk of having UIAs in the general population. Rather, it provides insight in risk factors contributing to UIA risk and shows that these may be in part sex-specific.</t>
  </si>
  <si>
    <t>Pembrolizumab Versus chemotherapy in microsatellite instability-high or mismatch repair-deficient metastatic colorectal cancer: 5-year follow-up from the randomized phase 3 KEYNOTE-177 study.</t>
  </si>
  <si>
    <t>André, T; Shiu, K-K; Kim, T W; Jensen, B V; Jensen, L H; Punt, C J A; Smith, D; Garcia-Carbonero, R; Alcaide-Garcia, J; Gibbs, P; Fouchardiere, C de la; Rivera, F; Elez, E; Le, D T; Yoshino, T; Zuo, Y; Fogelman, D; Adelberg, D; Diaz, L A</t>
  </si>
  <si>
    <t>https://pubmed.ncbi.nlm.nih.gov/39631622</t>
  </si>
  <si>
    <t>Results from the phase 3 KEYNOTE-177 study established pembrolizumab as a new first-line standard of care for microsatellite instability-high or mismatch repair-deficient (MSI-H/dMMR) metastatic colorectal cancer (mCRC). Previous results from KEYNOTE-177 showed a statistically significant and clinically meaningful improvement in progression-free survival (PFS) with pembrolizumab versus chemotherapy ± bevacizumab/cetuximab in MSI-H/dMMR mCRC. Results after &gt;5 years of follow-up are reported. Adults with untreated MSI-H/dMMR mCRC were randomly assigned 1:1 to receive pembrolizumab 200 mg intravenously every 3 weeks or chemotherapy. Patients assigned to chemotherapy could cross over to pembrolizumab after centrally confirmed progressive disease. Dual primary end points were PFS per RECIST v1.1 and overall survival (OS). Secondary end points included duration of response (DOR) and safety. At data cutoff (July 17, 2023), median follow-up was 73.3 months (range, 64.9-89.2). Overall, 307 patients were assigned to receive pembrolizumab (n=153) or chemotherapy (n=154). Fifty-seven (37.0%) patients assigned to chemotherapy crossed over to pembrolizumab per protocol; 39 (25.3%) received a PD-(L)1 inhibitor off protocol (effective crossover rate, 62%). Median OS was 77.5 months with pembrolizumab versus 36.7 months with chemotherapy (hazard ratio [HR], 0.73; 95% CI, 0.53-0.99); 5-year OS rates were 54.8% versus 44.2%. Median PFS was 16.5 months with pembrolizumab and 8.2 months with chemotherapy (HR, 0.60; 95% CI, 0.45-0.79). Median DOR was 75.4 months (range, 2.3+ to 80.1+) with pembrolizumab versus 10.6 months (range, 2.8 to 71.5+) with chemotherapy. Compared with chemotherapy, fewer patients in the pembrolizumab arm experienced adverse events (80% versus 99%; grade 3-5, 22% versus 67%). With &gt;5 years of follow-up, responses to pembrolizumab remained durable. Median OS was over twice as long in patients treated with pembrolizumab versus chemotherapy in first line despite an effective crossover rate of 62%. Pembrolizumab remains a standard of care for MSI-H/dMMR mCRC.</t>
  </si>
  <si>
    <t>Development and external evaluation of a self-learning auto-segmentation model for Colorectal Cancer Liver Metastases Assessment (COALA).</t>
  </si>
  <si>
    <t>Bereska, Jacqueline I; Zeeuw, Michiel; Wagenaar, Luuk; Jenssen, Håvard Bjørke; Wesdorp, Nina J; van der Meulen, Delanie; Bereska, Leonard F; Gavves, Efstratios; Janssen, Boris V; Besselink, Marc G; Marquering, Henk A; van Waesberghe, Jan-Hein T M; Aghayan, Davit L; Pelanis, Egidijus; van den Bergh, Janneke; Nota, Irene I M; Moos, Shira; Kemmerich, Gunter; Syversveen, Trygve; Kolrud, Finn Kristian; Huiskens, Joost; Swijnenburg, Rutger-Jan; Punt, Cornelis J A; Stoker, Jaap; Edwin, Bjørn; Fretland, Åsmund A; Kazemier, Geert; Verpalen, Inez M; ,; ,</t>
  </si>
  <si>
    <t>https://pubmed.ncbi.nlm.nih.gov/39576456</t>
  </si>
  <si>
    <t>Total tumor volume (TTV) is associated with overall and recurrence-free survival in patients with colorectal cancer liver metastases (CRLM). However, the labor-intensive nature of such manual assessments has hampered the clinical adoption of TTV as an imaging biomarker. This study aimed to develop and externally evaluate a CRLM auto-segmentation model on CT scans, to facilitate the clinical adoption of TTV. We developed an auto-segmentation model to segment CRLM using 783 contrast-enhanced portal venous phase CTs (CT-PVP) of 373 patients. We used a self-learning setup whereby we first trained a teacher model on 99 manually segmented CT-PVPs from three radiologists. The teacher model was then used to segment CRLM in the remaining 663 CT-PVPs for training the student model. We used the DICE score and the intraclass correlation coefficient (ICC) to compare the student model's segmentations and the TTV obtained from these segmentations to those obtained from the merged segmentations. We evaluated the student model in an external test set of 50 CT-PVPs from 35 patients from the Oslo University Hospital and an internal test set of 21 CT-PVPs from 10 patients from the Amsterdam University Medical Centers. The model reached a mean DICE score of 0.85 (IQR: 0.05) and 0.83 (IQR: 0.10) on the internal and external test sets, respectively. The ICC between the segmented volumes from the student model and from the merged segmentations was 0.97 on both test sets. The developed colorectal cancer liver metastases auto-segmentation model achieved a high DICE score and near-perfect agreement for assessing TTV. AI model segments colorectal liver metastases on CT with high performance on two test sets. Accurate segmentation of colorectal liver metastases could facilitate the clinical adoption of total tumor volume as an imaging biomarker for prognosis and treatment response monitoring. Developed colorectal liver metastases segmentation model to facilitate total tumor volume assessment. Model achieved high performance on internal and external test sets. Model can improve prognostic stratification and treatment planning for colorectal liver metastases.</t>
  </si>
  <si>
    <t>Cancer treatment monitoring using cell-free DNA fragmentomes.</t>
  </si>
  <si>
    <t>van 't Erve, Iris; Alipanahi, Bahar; Lumbard, Keith; Skidmore, Zachary L; Rinaldi, Lorenzo; Millberg, Laurel K; Carey, Jacob; Chesnick, Bryan; Cristiano, Stephen; Portwood, Carter; Wu, Tony; Peters, Erica; Bolhuis, Karen; Punt, Cornelis J A; Tom, Jennifer; Bach, Peter B; Dracopoli, Nicholas C; Meijer, Gerrit A; Scharpf, Robert B; Velculescu, Victor E; Fijneman, Remond J A; Leal, Alessandro</t>
  </si>
  <si>
    <t>https://pubmed.ncbi.nlm.nih.gov/39433569</t>
  </si>
  <si>
    <t>Circulating cell-free DNA (cfDNA) assays for monitoring individuals with cancer typically rely on prior identification of tumor-specific mutations. Here, we develop a tumor-independent and mutation-independent approach (DELFI-tumor fraction, DELFI-TF) using low-coverage whole genome sequencing to determine the cfDNA tumor fraction and validate the method in two independent cohorts of patients with colorectal or lung cancer. DELFI-TF scores strongly correlate with circulating tumor DNA levels (ctDNA) (r = 0.90, p &lt; 0.0001, Pearson correlation) even in cases where mutations are undetectable. DELFI-TF scores prior to therapy initiation are associated with clinical response and are independent predictors of overall survival (HR = 9.84, 95% CI = 1.72-56.10, p &lt; 0.0001). Patients with lower DELFI-TF scores during treatment have longer overall survival (62.8 vs 29.1 months, HR = 3.12, 95% CI 1.62-6.00, p &lt; 0.001) and the approach predicts clinical outcomes more accurately than imaging. These results demonstrate the potential of using cfDNA fragmentomes to estimate tumor burden in cfDNA for treatment response monitoring and clinical outcome prediction.</t>
  </si>
  <si>
    <t>High Prevalence of Chromosomal Rearrangements and LINE Retrotranspositions Detected in Formalin-Fixed, Paraffin-Embedded Colorectal Cancer Tissue.</t>
  </si>
  <si>
    <t>Rubio-Alarcón, Carmen; Stelloo, Ellen; Vessies, Daan C L; van 't Erve, Iris; Mekkes, Nienke J; Swennenhuis, Joost; Lakbir, Soufyan; van Bree, Elisabeth J; Tijssen, Marianne; Delis-van Diemen, Pien; Lanfermeijer, Mirthe; Linders, Theodora; van den Broek, Daan; Punt, Cornelis J A; Heringa, Jaap; Meijer, Gerrit A; Abeln, Sanne; Feitsma, Harma; Fijneman, Remond J A</t>
  </si>
  <si>
    <t>https://pubmed.ncbi.nlm.nih.gov/39332629</t>
  </si>
  <si>
    <t>Structural variants (SVs) caused by chromosomal rearrangements in common fragile sites or long interspersed nuclear element (LINE) retrotranspositions are highly prevalent in colorectal cancer. However, methodology for the targeted detection of these SVs is lacking. This article reports the use of formalin-fixed, paraffin-embedded targeted-locus capture (FFPE-TLC) sequencing as a novel technology for the targeted detection of tumor-specific SVs. Analysis of 29 FFPE colorectal tumor samples and 8 matched normal samples revealed tumor-specific SVs in 24 patients (83%), with a median of 2 SVs per patient (range, 1 to 21). A total of 104 SVs were found in the common fragile site-associated genes MACROD2, PRKN, FHIT, and WWOX in 18 patients (62%), and 39 SVs caused by three LINE transposable elements were found in 15 patients (52%). Tumor specificity of SVs was independently verified by droplet digital PCR of tumor tissue DNA, and their applicability as plasma circulating tumor DNA biomarkers was demonstrated. FFPE-TLC sequencing enabled the detection of tumor-specific SVs caused by chromosomal rearrangements and LINE retrotranspositions in FFPE tissue. Therefore, FFPE-TLC sequencing facilitates the investigation of the biological and clinical effects of SVs using FFPE material from (retrospective) cohorts of cancer patients and has potential clinical applicability in the detection of SV biomarkers in the routine molecular diagnostics setting.</t>
  </si>
  <si>
    <t>A unified framework for diagnostic test development and evaluation during outbreaks of emerging infections.</t>
  </si>
  <si>
    <t>Chaturvedi, Madhav; Köster, Denise; Bossuyt, Patrick M; Gerke, Oke; Jurke, Annette; Kretzschmar, Mirjam E; Lütgehetmann, Marc; Mikolajczyk, Rafael; Reitsma, Johannes B; Schneiderhan-Marra, Nicole; Siebert, Uwe; Stekly, Carina; Ehret, Christoph; Rübsamen, Nicole; Karch, André; Zapf, Antonia</t>
  </si>
  <si>
    <t>https://pubmed.ncbi.nlm.nih.gov/39658579</t>
  </si>
  <si>
    <t>Evaluating diagnostic test accuracy during epidemics is difficult due to an urgent need for test availability, changing disease prevalence and pathogen characteristics, and constantly evolving testing aims and applications. Based on lessons learned during the SARS-CoV-2 pandemic, we introduce a framework for rapid diagnostic test development, evaluation, and validation during outbreaks of emerging infections. The framework is based on the feedback loop between test accuracy evaluation, modelling studies for public health decision-making, and impact of public health interventions. We suggest that building on this feedback loop can help future diagnostic test evaluation platforms better address the requirements of both patient care and public health.</t>
  </si>
  <si>
    <t>The effectiveness of Function Focused Care among patients acutely admitted to hospital: A stepped wedge cluster trial.</t>
  </si>
  <si>
    <t>Kok, Selma; Schoonhoven, Lisette; Vernooij, Lisette M; Reitsma, Johannes B; Verstraten, Carolien; Metzelthin, Silke F; Bleijenberg, Nienke; de Man-van Ginkel, Janneke M</t>
  </si>
  <si>
    <t>https://pubmed.ncbi.nlm.nih.gov/39321557</t>
  </si>
  <si>
    <t>During acute hospital admission, patients often experience loss of functional status. A low level of physical activity is associated with higher levels of loss of functional status. Stimulating physical activity to maintain functional status is considered essential nursing care. Function Focused Care is a promising approach stimulating physical activity. In a previous study, Function Focused Care in Hospital was deemed feasible. To determine the effectiveness of Function Focused Care in Hospital compared with usual care on the functional status of hospitalized stroke and geriatric patients. A multicenter stepped wedge cluster trial. A neurological and a geriatric ward of an academic hospital and a general hospital in the Netherlands participated in this study; each was considered a cluster in the trial. The primary outcome was patients' functional status over time, measured with the Barthel Index and Elderly Mobility Scale. Secondary outcomes were the patients' length of stay, fear of falling, self-efficacy, motivation, resilience, and outcome expectations for functional and exercise activities. Data was collected at hospital admission (baseline), day of discharge, and three and six months after discharge via patient files and questionnaires and analyzed with generalized linear mixed models. In total, we included 892 patients, of which 427 received Function Focused Care in Hospital and 465 received usual care. Although we did not find significant differences in the Barthel Index and Elderly Mobility Scale at discharge or follow-up, we found a significant decrease in the mean length of stay (-3.3 days, 95 % CI -5.3 to -1.1) in favor of the Function Focused Care in Hospital group. In addition, in the Function Focused Care in Hospital group, a larger proportion of patients were discharged to home compared to the control group (38.2 % vs. 29.0 %, p = 0.017), who were discharged more often to a care facility. The length of hospital stay was substantially decreased, and discharge to home was more common in the group receiving Function Focused Care in Hospital with equal levels of independence in Activities of Daily Living and mobility in both groups upon discharge. Although significant differences in the Barthel Index and Elderly Mobility Scale were not found, we observed that neurological and geriatric patients were discharged significantly earlier compared to the control group. https://onderzoekmetmensen.nl/en/trial/24287 (date of first recruitment: 05-02-2016). Patients receiving Function Focused Care in Hospital were discharged from the hospital 3.3 days earlier and discharged home more often than the group of patients receiving care as usual. @umcutrecht @hogeschoolutrecht.</t>
  </si>
  <si>
    <t>Clinical Validation of Multiparametric Ultrasound for Detecting Clinically Significant Prostate Cancer Using Computer-Aided Diagnosis: A Direct Comparison with the Magnetic Resonance Imaging Pathway.</t>
  </si>
  <si>
    <t>van den Kroonenberg, Daniel L; Jager, Auke; Garrido-Utrilla, Anna; Reitsma, Johannes B; Postema, Arnoud W; Beerlage, Harrie P; Oddens, Jorg R</t>
  </si>
  <si>
    <t>european urology open science</t>
  </si>
  <si>
    <t>https://pubmed.ncbi.nlm.nih.gov/39050912</t>
  </si>
  <si>
    <t>We present the protocol for a study testing the hypothesis that a computer-aided diagnosis (CAD) system for three-dimensional multiparametric ultrasound (3D mpUS) is noninferior to magnetic resonance imaging (MRI) in guiding prostate biopsies for detection of clinically significant prostate cancer (csPCa). The prospective study has a fully paired design for assessment of diagnostic accuracy and is registered on ClinicalTrials.gov as NCT06281769. A total of 438 biopsy-naïve men scheduled for prostate MRI evaluation because of an abnormal digital rectal examination and/or elevated serum prostate-specific antigen will be included. All patients will undergo both MRI (multiparametric or biparametric) and 3D mpUS with CAD (PCaVision). Suspicious lesions will be independently identified using each imaging technique. MRI targeted biopsy (TBx) and/or PCaVision TBx will be performed if suspicious lesions are identified on imaging. When both PCaVision and MRI identify lesions in an individual patient, the TBx order for this patient will be randomized. Three TBx samples per lesion will be taken for a maximum of two lesions per modality. The primary objective is the detection rate for csPCa (International Society of Urological Pathology grade group [GG] ≥2) with the PCaVision versus the MRI TBx pathway. The noninferiority margin for the absolute difference in detection rates is set at a difference of 5%. Secondary outcomes are the proportion of men in whom TBx could have been safely omitted in each pathway. Additional diagnostic accuracy analyses will be performed for different definitions of PCa (GG ≥3; GG ≥2 with cribriform growth and/or intraductal carcinoma; and GG 1). The frequency of insufficient image quality for the two pathways will also be assessed. Lastly, we will determine the diagnostic performance for csPCa detection at various 3D mpUS image quality thresholds for PCaVision.</t>
  </si>
  <si>
    <t>Acute Respiratory Infections Fuel Cardiovascular Disease.</t>
  </si>
  <si>
    <t>van Royen, Florien S; Venekamp, Roderick P; Bruijning-Verhagen, Patricia C J L; Rutten, Frans H</t>
  </si>
  <si>
    <t>https://pubmed.ncbi.nlm.nih.gov/39663007</t>
  </si>
  <si>
    <t>A deprescribing programme aimed to optimise blood glucose-lowering medication in older people with type 2 diabetes mellitus, the OMED2-study: the study protocol for a randomised controlled trial.</t>
  </si>
  <si>
    <t>Andriessen, Charlotte; Blom, Marieke T; van Hoek, Beryl A C E; de Boer, Anna W; Denig, Petra; de Wit, G Ardine; Swart, Karin; de Rooij-Peek, Angela; van Marum, Rob J; Hugtenburg, Jacqueline G; Slottje, Pauline; van Raalte, Daniël; van Bloemendaal, Liselotte; Herings, Ron; Nijpels, Giel; Vos, Rimke C; Elders, Petra J M</t>
  </si>
  <si>
    <t>https://pubmed.ncbi.nlm.nih.gov/39049109</t>
  </si>
  <si>
    <t>Older patients with type 2 diabetes mellitus (T2D) have an increased risk of hypoglycaemic episodes when using sulphonylureas or insulin. In the Netherlands, guidelines exist for reducing glucose-lowering medication in older patients. However, evidence is lacking that a medication reduction in older patients can be safely pursued. Here, we will examine if promoting the deprescribing of insulin/sulphonylureas with a deprescribing programme (DPP) in general practice affects T2D-complications in older overtreated patients. We will perform a 1:1 cluster randomised controlled trial in 86 general practices in the Netherlands. The DPP will consist of education sessions with general practitioners and practice nurses about reducing glucose-lowering medication in older patients (≥ 70 years). Topics of the sessions include the necessity of deprescribing, tools to initiate deprescribing and strategies to discuss deprescribing with patients (shared decision making). The DPP further includes a support programme with practice visits. The study will employ a selection tool to identify possibly overtreated older patients from the electronic medical records of the general practitioner. Eligibility for enrolment in the study will be based on HbA1c targets indicated by the Dutch guidelines, which depend on age, diabetes duration, presence of frailty, and life expectancy. The control group will provide usual care. We aim to include 406 patients. The follow-up period will be 2 years. For the primary outcome, the effect of the DPP on T2D-complications will be assessed by counting the cumulative incidence of events related to under- and overtreatment in T2D as registered in the electronic medical records. We shall perform an intention-to-treat analysis and an analysis including only patients for whom deprescribing was initiated. The implementation of the DPP in general practice will be evaluated quantitatively and qualitatively using the Extended Normalisation Process Theory (ENPT) and the Reach, Efficacy - Adoption, Implementation and Maintenance (RE-AIM) model. Other secondary outcomes include quality of life, cognitive functioning, events related to overtreatment or undertreatment, biomarkers of health, amount of blood glucose-lowering medication prescriptions, and cost-effectiveness. This study will provide insight into the safety and feasibility of a programme aimed at deprescribing sulphonylureas/insulin in older people with T2D who are treated in general practice. ISRCTN Registry, ISRCTN50008265 , registered 09 March, 2023.</t>
  </si>
  <si>
    <t>Added value of inflammatory markers to vital signs for predicting mortality in patients with suspected infection: external validation and model development.</t>
  </si>
  <si>
    <t>Takada, Toshihiko; Hoogland, Jeroen; Fujii, Kotaro; Kudo, Masataka; Sasaki, Sho; Yano, Tetsuhiro; Yagi, Yu; Fujiishi, Ryuto; Moons, Karel G M; Fukuhara, Shunichi</t>
  </si>
  <si>
    <t>https://pubmed.ncbi.nlm.nih.gov/39565486</t>
  </si>
  <si>
    <t>It is crucial to identify high-risk patients with infectious conditions for appropriate management. We previously found that inflammatory markers added value to vital signs for predicting mortality in patients with suspected infection. In this study, the aim was to externally validate the added value of the inflammatory markers and to develop a new prediction model. For the external validation, consecutive adult patients with suspected infection admitted to the department of general medicine at two acute care hospitals were evaluated. A prognostic model for 30-day in-hospital mortality based on vital signs (systolic blood pressure, respiratory rate, and mental status) was compared with an extended model that also included four inflammatory markers (C-reactive protein, neutrophil-lymphocyte ratio, mean platelet volume, and red cell distribution width). Similar to the previous finding, all inflammatory markers except C-reactive protein showed significant contributions. Subsequently, a prediction model was developed using vital signs and markers with significant added value using a dataset that combined the external validation data with the data of the previous study. The new model was compared with a model based on the quick Sequential (sepsis-related) Organ Failure Assessment (qSOFA) score. The newly developed model showed a higher c-index than the qSOFA model [0.756 (95% CI 0.726-0.786) vs. 0.663 (0.630-0.696), p &lt; 0.001]. Using the new model, 9.0% of patients who died were correctly reclassified compared with the qSOFA model at the threshold of 10% mortality risk. The new model including these markers showed potential to outperform the qSOFA model.</t>
  </si>
  <si>
    <t>An ethics assessment tool for artificial intelligence implementation in healthcare: CARE-AI.</t>
  </si>
  <si>
    <t>Ning, Yilin; Liu, Xiaoxuan; Collins, Gary S; Moons, Karel G M; McCradden, Melissa; Ting, Daniel Shu Wei; Ong, Jasmine Chiat Ling; Goldstein, Benjamin Alan; Wagner, Siegfried K; Keane, Pearse A; Topol, Eric J; Liu, Nan</t>
  </si>
  <si>
    <t>https://pubmed.ncbi.nlm.nih.gov/39424948</t>
  </si>
  <si>
    <t>The use of imputation in clinical decision support systems: a cardiovascular risk management pilot vignette study among clinicians.</t>
  </si>
  <si>
    <t>Haitjema, Saskia; Nijman, Steven W J; Verkouter, Inge; Jacobs, John J L; Asselbergs, Folkert W; Moons, Karel G M; Beekers, Ines; Debray, Thomas P A; Bots, Michiel L</t>
  </si>
  <si>
    <t>https://pubmed.ncbi.nlm.nih.gov/39318684</t>
  </si>
  <si>
    <t>A major challenge of the use of prediction models in clinical care is missing data. Real-time imputation may alleviate this. However, to what extent clinicians accept this solution remains unknown. We aimed to assess acceptance of real-time imputation for missing patient data in a clinical decision support system (CDSS) including 10-year cardiovascular absolute risk for the individual patient. We performed a vignette study extending an existing CDSS with the real-time imputation method joint modelling imputation (JMI). We included 17 clinicians to use the CDSS with three different vignettes, describing potential use cases (missing data, no risk estimate; imputed values, risk estimate based on imputed data; complete information). In each vignette, missing data were introduced to mimic a situation as could occur in clinical practice. Acceptance of end-users was assessed on three different axes: clinical realism, comfortableness, and added clinical value. Overall, the imputed predictor values were found to be clinically reasonable and according to the expectations. However, for binary variables, use of a probability scale to express uncertainty was deemed inconvenient. The perceived comfortableness with imputed risk prediction was low, and confidence intervals were deemed too wide for reliable decision-making. The clinicians acknowledged added value for using JMI in clinical practice when used for educational, research, or informative purposes. Handling missing data in CDSS via JMI is useful, but more accurate imputations are needed to generate comfort in clinicians for use in routine care. Only then can CDSS create clinical value by improving decision-making.</t>
  </si>
  <si>
    <t>Prediction of individual lifetime cardiovascular risk and potential treatment benefit: development and recalibration of the LIFE-CVD2 model to four European risk regions.</t>
  </si>
  <si>
    <t>Hageman, Steven H J; Kaptoge, Stephen; de Vries, Tamar I; Lu, Wentian; Kist, Janet M; van Os, Hendrikus J A; Numans, Mattijs E; Läll, Kristi; Bobak, Martin; Pikhart, Hynek; Kubinova, Ruzena; Malyutina, Sofia; Pająk, Andrzej; Tamosiunas, Abdonas; Erbel, Raimund; Stang, Andreas; Schmidt, Börge; Schramm, Sara; Bolton, Thomas R; Spackman, Sarah; Bakker, Stephan J L; Blaha, Michael; Boer, Jolanda M A; Bonnefond, Amélie; Brenner, Hermann; Brunner, Eric J; Cook, Nancy R; Davidson, Karina; Dennison, Elaine; Donfrancesco, Chiara; Dörr, Marcus; Floyd, James S; Ford, Ian; Fu, Michael; Gansevoort, Ron T; Giampaoli, Simona; Gillum, Richard F; Gómez-de-la-Cámara, Agustín; Håheim, Lise Lund; Hansson, Per-Olof; Harms, Peter; Humphries, Steve E; Ikram, M Kamran; Jukema, J Wouter; Kavousi, Maryam; Kiechl, Stefan; Kucharska-Newton, Anna; Pablos, David Lora; Matsushita, Kunihiro; Meyer, Haakon E; Moons, Karel G M; Mortensen, Martin Bødtker; Muilwijk, Mirthe; Nordestgaard, Børge G; Packard, Chris; Pamieri,</t>
  </si>
  <si>
    <t>https://pubmed.ncbi.nlm.nih.gov/38752762</t>
  </si>
  <si>
    <t>The 2021 European Society of Cardiology prevention guidelines recommend the use of (lifetime) risk prediction models to aid decisions regarding initiation of prevention. We aimed to update and systematically recalibrate the LIFEtime-perspective CardioVascular Disease (LIFE-CVD) model to four European risk regions for the estimation of lifetime CVD risk for apparently healthy individuals. The updated LIFE-CVD (i.e. LIFE-CVD2) models were derived using individual participant data from 44 cohorts in 13 countries (687 135 individuals without established CVD, 30 939 CVD events in median 10.7 years of follow-up). LIFE-CVD2 uses sex-specific functions to estimate the lifetime risk of fatal and non-fatal CVD events with adjustment for the competing risk of non-CVD death and is systematically recalibrated to four distinct European risk regions. The updated models showed good discrimination in external validation among 1 657 707 individuals (61 311 CVD events) from eight additional European cohorts in seven countries, with a pooled C-index of 0.795 (95% confidence interval 0.767-0.822). Predicted and observed CVD event risks were well calibrated in population-wide electronic health records data in the UK (Clinical Practice Research Datalink) and the Netherlands (Extramural LUMC Academic Network). When using LIFE-CVD2 to estimate potential gain in CVD-free life expectancy from preventive therapy, projections varied by risk region reflecting important regional differences in absolute lifetime risk. For example, a 50-year-old smoking woman with a systolic blood pressure (SBP) of 140 mmHg was estimated to gain 0.9 years in the low-risk region vs. 1.6 years in the very high-risk region from lifelong 10 mmHg SBP reduction. The benefit of smoking cessation for this individual ranged from 3.6 years in the low-risk region to 4.8 years in the very high-risk region. By taking into account geographical differences in CVD incidence using contemporary representative data sources, the recalibrated LIFE-CVD2 model provides a more accurate tool for the prediction of lifetime risk and CVD-free life expectancy for individuals without previous CVD, facilitating shared decision-making for cardiovascular prevention as recommended by 2021 European guidelines.</t>
  </si>
  <si>
    <t>Haemodiafiltration versus haemodialysis for kidney failure: an individual patient data meta-analysis of randomised controlled trials.</t>
  </si>
  <si>
    <t>Vernooij, Robin W M; Hockham, Carinna; Strippoli, Giovanni; Green, Suetonia; Hegbrant, Jörgen; Davenport, Andrew; Barth, Claudia; Canaud, Bernard; Woodward, Mark; Blankestijn, Peter J; Bots, Michiel L; ,; ,</t>
  </si>
  <si>
    <t>https://pubmed.ncbi.nlm.nih.gov/39489903</t>
  </si>
  <si>
    <t>High-dose haemodiafiltration has been shown, in a randomised clinical trial, to result in a 23% lower risk of mortality for patients with kidney failure when compared with conventional high-flux haemodialysis. Nevertheless, whether treatment effects differ across subgroups, whether a dose-response relationship with convection volume exists, and the effects on cause-specific mortality remain unclear. The aim of this individual patient data meta-analysis was to compare the effects of haemodiafiltration and standard haemodialysis on all-cause and cause-specific mortality. On July 17, 2024, we searched MEDLINE, Embase, and the Cochrane Central Register of Controlled Trials for randomised controlled trials, published from database inception, comparing online haemodiafiltration versus haemodialysis designed to measure mortality outcomes. The primary outcome was all-cause mortality. Hazard ratios were generated using Cox proportional hazards regression models reporting hazard ratios and 95% CIs. Subgroup analyses based on predefined patient characteristics and dose-response analyses using natural splines for convection volume were performed. This analysis is registered with PROSPERO (CRD42024511514). Five trials (n=4153 patients; 2070 receiving haemodialysis and 2083 receiving haemodiafiltration) were eligible for inclusion in this analysis. After a median follow-up of 30 months (IQR 24-36), all-cause mortality occurred in 477 patients (23·3%) treated with haemodiafiltration compared with in 559 patients (27·0%) treated with haemodialysis (hazard ratio 0·84 [95% CI 0·74-0·95]). No evidence of a differential effect across subgroups was noted. A graded relationship between convection volume and mortality risk was apparent: as the volume increased, the mortality risk decreased. Compared with haemodialysis, online haemodiafiltration reduces all-cause mortality in people with kidney failure. Results do not differ across patient and treatment characteristics and the risk reduction appears to be dose-dependent. In conclusion, the present analysis strengthens the notion that haemodiafiltration can be considered as a superior alternative to the present standard (ie, haemodialysis). European Commission Research and Innovation, Horizon 2020.</t>
  </si>
  <si>
    <t>Prediction of Severe Baseline Asymptomatic Carotid Stenosis and Subsequent Risk of Stroke and Cardiovascular Disease.</t>
  </si>
  <si>
    <t>Poorthuis, Michiel H F; Hageman, Steven H J; Fiolet, Aernoud T L; Kappelle, L Jaap; Bots, Michiel L; Steg, Ph Gabriel; Visseren, Frank L J; Bhatt, Deepak L; de Borst, Gert J</t>
  </si>
  <si>
    <t>https://pubmed.ncbi.nlm.nih.gov/39319460</t>
  </si>
  <si>
    <t>Risk models to identify patients at high risk of asymptomatic carotid artery stenosis (ACAS) can help in selecting patients for screening, but long-term outcomes in these patients are unknown. We assessed the diagnostic and prognostic value of the previously published Prevalence of ACAS (PACAS) risk model to detect ACAS at baseline and to predict subsequent risk of stroke and cardiovascular disease (CVD) during follow-up. We validated the discrimination and calibration of the PACAS risk model to detect severe (≥70% narrowing) ACAS with patients from the Reduction of Atherothrombosis for Continued Health registry. We subsequently calculated the incidence rates of stroke and CVD (fatal and nonfatal stroke or myocardial infarction or vascular death) during follow-up in 4 risk groups (low, medium, high, and very high, corresponding to sum scores of ≤9, 10-13, 14-17, and ≥18, respectively). Among 26 384 patients, aged between 45 and 80 years, without prior carotid procedures, 1662 (6.3%) had severe baseline ACAS. During ≈70 000 patient-years of follow-up, 1124 strokes and 2484 CVD events occurred. Discrimination of the PACAS model was 0.67 (95% CI, 0.65-0.68), and calibration showed adequate concordance between predicted and observed risks of severe baseline ACAS after recalibration. Significantly higher incidence rates of stroke (&lt;i&gt;P&lt;/i&gt;&lt;sub&gt;trend&lt;/sub&gt;&lt;0.011) and CVD (&lt;i&gt;P&lt;/i&gt;&lt;sub&gt;trend&lt;/sub&gt;&lt;0.0001) during follow-up were found with increasing PACAS risk groups. Among patients with high PACAS sum score of ≥14 (corresponding to 27.7% of all patients), severe baseline ACAS prevalence was 11.4%. In addition, 56.6% of incident strokes and 64.9% of incident CVD events occurred in this group. The PACAS risk model can reliably identify patients at high risk of severe baseline ACAS. Incidence rates of stroke and CVD during follow-up were significantly higher in patients with high PACAS sum scores. Selective screening of patients with high PACAS sum scores may help to prevent future stroke or CVD.</t>
  </si>
  <si>
    <t>Left Ventricular Diastolic Dysfunction across Levels of Kidney Function: A Cross-Sectional Study Based on Routine Clinical Practice Data.</t>
  </si>
  <si>
    <t>Porras, Cindy P; Dal Canto, Elisa; van Ommen, Anne-Mar L; Handoko, M Louis; Haitjema, Saskia; de Groot, Mark C H; Bots, Michiel L; Verhaar, Marianne C; Vernooij, Robin W M</t>
  </si>
  <si>
    <t>https://pubmed.ncbi.nlm.nih.gov/39274526</t>
  </si>
  <si>
    <t>Left ventricular diastolic dysfunction (LVDD) commonly coexists with kidney dysfunction. In this study, we investigated the presence of abnormalities in echocardiography parameters indicative of LVDD across stages of kidney function. &lt;b&gt;Methods:&lt;/b&gt; We selected patients who visited a university hospital and had a serum creatinine and echocardiography reported in their medical records. Participants were categorized based on their kidney function: normal (estimated glomerular filtration rate [eGFR] ≥ 90 mL/min/1.73 m&lt;sup&gt;2&lt;/sup&gt;), mildly decreased (eGFR: 60-90), moderately decreased (eGFR: 30-60), and severely decreased (eGFR &lt; 30). The relationship between kidney function and echocardiography parameters was examined using logistic and linear regressions. &lt;b&gt;Results:&lt;/b&gt; Among 4022 patients (age: 66.5 years [SD: 12.1], 41% women), 26%, 50%, 20%, and 4% had a normal, mildly, moderately, and severely decreased kidney function, respectively. Compared to patients with normal kidney function, patients with mildly decreased kidney function had higher odds for an abnormal E/e' ratio (OR: 1.51 [95% CI: 1.13, 2.02]). Patients with moderately decreased kidney function presented a higher risk of abnormal E/e' (OR: 2.90 [95% CI: 2.08, 4.04]), LAVI (OR: 1.62 [95% CI: 1.13, 2.33]), TR velocity (OR: 2.31 [95% CI: 1.49, 3.57]), and LVMI (OR: 1.70 [95% CI: 1.31, 2.20]), while patients with severely decreased kidney function had higher odds for abnormal E/e' (OR: 2.95 [95% CI: 1.68, 5.17]) and LVMI &gt; 95 g/m&lt;sup&gt;2&lt;/sup&gt; in women or &gt;115 g/m&lt;sup&gt;2&lt;/sup&gt; in men (OR: 2.07 [95% CI: 1.27, 3.38]). The linear regression showed a significant inverse association between eGFR and echocardiography parameters, meaning that with worse kidney function, the parameters for LVDD worsened as well. &lt;b&gt;Conclusions:&lt;/b&gt; Abnormal echocardiography parameters of LVDD were present even in patients with mildly decreased kidney function. As the kidney function worsened, there was a gradual increase in the risk of abnormal parameters of LVDD.</t>
  </si>
  <si>
    <t>Frequent hemodialysis versus standard hemodialysis for people with kidney failure: Systematic review and meta-analysis of randomized controlled trials.</t>
  </si>
  <si>
    <t>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t>
  </si>
  <si>
    <t>https://pubmed.ncbi.nlm.nih.gov/39240930</t>
  </si>
  <si>
    <t>Frequent hemodialysis provided more than three times per week may lower mortality and improve health-related quality of life. Yet, the evidence is inconclusive. We evaluated the benefits and harms of frequent hemodialysis in people with kidney failure compared with standard hemodialysis. We performed a systematic review of randomized controlled trials including adults on hemodialysis with highly sensitive searching in MEDLINE, Embase, CENTRAL, and Google Scholar on 3 January 2024. Data were pooled using random-effects meta-analysis. Risk of bias was assessed using the Cochrane Risk of Bias 2 tool. We adjudicated evidence certainty using GRADE. From 11,142 unique citations, only seven studies involving 518 participants proved eligible. The effects of frequent hemodialysis on physical and mental health were imprecise due to few data. Frequent hemodialysis probably had uncertain effect on death from all cause compared with standard hemodialysis (relative risk 0.79, 95% confidence interval 0.33-1.91, low certainty evidence). Data were not reported for death from cardiovascular causes, major cardiovascular events, fatigue or vascular access. The evidentiary basis for frequent hemodialysis is incomplete due to clinical trials with few or no events reported for mortality and cardiovascular outcome measures and few participants in which patient-reported outcomes including health-related quality of life and symptoms were reported.</t>
  </si>
  <si>
    <t>Sex differences and trends in managing cardiovascular risk factors in primary care: a dynamic cohort study.</t>
  </si>
  <si>
    <t>Smits, Geert; Bots, Michiel L; Hollander, Monika; van Doorn, Sander</t>
  </si>
  <si>
    <t>https://pubmed.ncbi.nlm.nih.gov/39197878</t>
  </si>
  <si>
    <t>Treatment targets for cardiovascular risk management make no distinction between women and men. To explore sex differences in achieving treatment targets in patients that participated in a nurse-led, integrated CVRM care programme in primary care between 2013 and 2019. We conducted a dynamic cohort study in the Eindhoven region, south-east of The Netherlands METHOD: We assessed outcomes of three biological risk factors (systolic blood pressure, low density lipoprotein-cholesterol and estimated glomerular filtration rate) and four lifestyle factors (smoking, physical activity, alcohol intake and body mass index). Points (1=on target; 0=not on target) were assigned for biological risk factors, lifestyle factors and an overall score. Using the annual results, we applied, multivariable regression models to study trends over time and differences in trends between women and men. The number of participants increased from 24 889 to 38,067, mean age increased from 67.3 to 71.5 years, with around 52% women each year. The average of seven risk factors on target increased significantly from 4.6 to 4.9 in women, and from 4.7 to 5.0 in men, with no statistical difference between women and men. Differences between women and men in 2013 in the number of both biological and lifestyle factors on target did not materially change over time. Integrated cardiovascular management care led to improvements in cardiovascular risk factors on target, equally well in women than in men. Differences in risk factors on target between women and men in 2013 were still present in 2019.</t>
  </si>
  <si>
    <t>Using a measurement type-independent metric to compare patterns of determinants between patient-reported versus performance-based physical function in hemodialysis patients.</t>
  </si>
  <si>
    <t>Liegl, Gregor; Fischer, Felix H; Canaud, Bernard; Woodward, Mark; Barth, Claudia; Davenport, Andrew; Török, Marietta; Strippoli, Giovanni F M; Hegbrant, Jörgen; Cromm, Krister; Bots, Michiel L; Blankestijn, Peter J; Fischer, Kathrin I; Rose, Matthias; ,</t>
  </si>
  <si>
    <t>https://pubmed.ncbi.nlm.nih.gov/39103575</t>
  </si>
  <si>
    <t>We applied a previously established common T-score metric for patient-reported and performance-based physical function (PF), offering the unique opportunity to directly compare measurement type-specific patterns of associations with potential laboratory-based, psychosocial, sociodemographic, and health-related determinants in hemodialysis patients. We analyzed baseline data from the CONVINCE trial (N = 1,360), a multinational randomized controlled trial comparing high-flux hemodialysis with high-dose hemodiafiltration. To explore the associations of potential determinants with performance-based versus patient-reported PF, we conducted multiple linear regression (backward elimination with cross-validation and Lasso regression). We used standardized T-scores as estimated from the PROMIS PF short-form 4a (patient-reported PF) and the Physical Performance Test (performance-based PF) as dependent variables. Performance-based and patient-reported PF were both significantly associated with a laboratory marker-based indicator of muscle mass (simplified creatinine index), although the effects were relatively small (partial f&lt;sup&gt;2&lt;/sup&gt; = 0.04). Age was negatively associated with PF; the effect size was larger for performance-based (partial f&lt;sup&gt;2&lt;/sup&gt; = 0.12) than for patient-reported PF (partial f&lt;sup&gt;2&lt;/sup&gt; = 0.08). Compared to performance-based PF, patient-reported PF showed a stronger association with self-reported health domains, particularly pain interference and fatigue. When using the individual difference between patient-reported and performance-based T-scores as outcome, we found that younger age and more fatigue were associated with lower patient-reported PF compared to performance-based PF (small effect size). Patient-reported and performance-based assessments were similarly associated with an objective marker of physical impairment in hemodialysis patients. Age and fatigue may result in discrepancies when comparing performance-based and patient-reported scores on the common PF scale. Trial Registration CONVINCE is registered in the Dutch Trial Register (Register ID: NL64750.041.18). The registration can be accessed at: https://onderzoekmetmensen.nl/en/trial/52958 .</t>
  </si>
  <si>
    <t>The CONVINCE randomized trial found positive effects on quality of life for patients with chronic kidney disease treated with hemodiafiltration.</t>
  </si>
  <si>
    <t>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t>
  </si>
  <si>
    <t>https://pubmed.ncbi.nlm.nih.gov/39089577</t>
  </si>
  <si>
    <t>In the CONVINCE trial, the primary analysis demonstrated a survival benefit for patients receiving high-dose hemodiafiltration (HDF) as compared with high-flux hemodialysis (HD). A secondary objective was to evaluate effects on health-related quality of life (HRQoL); assessed in eight domains (physical function, cognitive function, fatigue, sleep disturbance, anxiety, depression, pain interference, social participation) applying instruments from the Patient-Reported Outcome Measurement Information System (PROMIS) before randomization and every three months thereafter. In total 1360 adults with dialysis-dependent chronic kidney disease, eligible to receive high-flux HDF (23 liters or more), were randomized (1:1); 84% response rate to all questionnaires. Both groups reported a continuous deterioration in all HRQoL domains. Overall, raw score changes from baseline were more favorable in the HDF group, resulting in a significant omnibus test after a median observation period of 30 months. Most relevant single raw score differences were reported for cognitive function. Patients receiving HDF reported a decline of -0.95 units (95% confidence interval - 2.23 to +0.34) whereas HD treated patients declined by -3.90 units (-5.28 to - 2.52). A joint model, adjusted for mortality differences, utilizing all quarterly assessments, identified a significantly slower HRQoL decline in physical function, cognitive function, pain interference, and social participation for the HDF group. Their physical health summary score declined -0.46 units/year slower compared to the HD group. Thus, the CONVINCE trial showed a beneficial effect of high-dose hemodiafiltration for survival as well as a moderate positive effect on patients' quality of life, most pronounced with respect to their cognitive function. REGISTRATION: NTR7138 on the International Clinical Trials Registry Platform.</t>
  </si>
  <si>
    <t>Comparison of the Response to an Electronic Versus a Traditional Informed Consent Procedure in Terms of Clinical Patient Characteristics: Observational Study.</t>
  </si>
  <si>
    <t>Zondag, Anna G M; Hollestelle, Marieke J; van der Graaf, Rieke; Nathoe, Hendrik M; van Solinge, Wouter W; Bots, Michiel L; Vernooij, Robin W M; Haitjema, Saskia; ,</t>
  </si>
  <si>
    <t>https://pubmed.ncbi.nlm.nih.gov/38990640</t>
  </si>
  <si>
    <t>Electronic informed consent (eIC) is increasingly used in clinical research due to several benefits including increased enrollment and improved efficiency. Within a learning health care system, a pilot was conducted with an eIC for linking data from electronic health records with national registries, general practitioners, and other hospitals. We evaluated the eIC pilot by comparing the response to the eIC with the former traditional paper-based informed consent (IC). We assessed whether the use of eIC resulted in a different study population by comparing the clinical patient characteristics between the response categories of the eIC and former face-to-face IC procedure. All patients with increased cardiovascular risk visiting the University Medical Center Utrecht, the Netherlands, were eligible for the learning health care system. From November 2021 to August 2022, an eIC was piloted at the cardiology outpatient clinic. Prior to the pilot, a traditional face-to-face paper-based IC approach was used. Responses (ie, consent, no consent, or nonresponse) were assessed and compared between the eIC and face-to-face IC cohorts. Clinical characteristics of consenting and nonresponding patients were compared between and within the eIC and the face-to-face cohorts using multivariable regression analyses. A total of 2254 patients were included in the face-to-face IC cohort and 885 patients in the eIC cohort. Full consent was more often obtained in the eIC than in the face-to-face cohort (415/885, 46.9% vs 876/2254, 38.9%, respectively). Apart from lower mean hemoglobin in the full consent group of the eIC cohort (8.5 vs 8.8; P=.0021), the characteristics of the full consenting patients did not differ between the eIC and face-to-face IC cohorts. In the eIC cohort, only age differed between the full consent and the nonresponse group (median 60 vs 56; P=.0002, respectively), whereas in the face-to-face IC cohort, the full consent group seemed healthier (ie, higher hemoglobin, lower glycated hemoglobin [HbA&lt;sub&gt;1c&lt;/sub&gt;], lower C-reactive protein levels) than the nonresponse group. More patients provided full consent using an eIC. In addition, the study population remained broadly similar. The face-to-face IC approach seemed to result in a healthier study population (ie, full consenting patients) than the patients without IC, while in the eIC cohort, the characteristics between consent groups were comparable. Thus, an eIC may lead to a better representation of the target population, increasing the generalizability of results.</t>
  </si>
  <si>
    <t>Editor's Choice - Prognostic Factors and Models to Predict Mortality Outcomes in Patients with Peripheral Arterial Disease: A Systematic Review.</t>
  </si>
  <si>
    <t>Predicting adverse outcomes in patients with peripheral arterial disease (PAD) is a complex task owing to the heterogeneity in patient and disease characteristics. This systematic review aimed to identify prognostic factors and prognostic models to predict mortality outcomes in patients with PAD Fontaine stage I - III or Rutherford category 0 - 4. PubMed, Embase, and Cochrane Database of Systematic Reviews were searched to identify studies examining individual prognostic factors or studies aiming to develop or validate a prognostic model for mortality outcomes in patients with PAD. Information on study design, patient population, prognostic factors, and prognostic model characteristics was extracted, and risk of bias was evaluated. Sixty nine studies investigated prognostic factors for mortality outcomes in PAD. Over 80 single prognostic factors were identified, with age as a predictor of death in most of the studies. Other common factors included sex, diabetes, and smoking status. Six studies had low risk of bias in all domains, and the remainder had an unclear or high risk of bias in at least one domain. Eight studies developed or validated a prognostic model. All models included age in their primary model, but not sex. All studies had similar discrimination levels of &gt; 70%. Five of the studies on prognostic models had an overall high risk of bias, whereas two studies had an overall unclear risk of bias. This systematic review shows that a large number of prognostic studies have been published, with heterogeneity in patient populations, outcomes, and risk of bias. Factors such as sex, age, diabetes, hypertension, and smoking are significant in predicting mortality risk among patients with PAD Fontaine stage I - III or Rutherford category 0 - 4.</t>
  </si>
  <si>
    <t>Polypharmacy in Patients with CKD: A Systematic Review and Meta-Analysis.</t>
  </si>
  <si>
    <t>The prevalence of polypharmacy in patients with CKD was over 80%. Polypharmacy was highest in patients with a kidney transplant and those receiving dialysis. Polypharmacy is associated with worse clinical outcomes, lower quality of life, and medication-related problems in patients with CKD. Despite the high prevalence of polypharmacy in patients with CKD, the extent of polypharmacy across patients with (different stages of) CKD, as well as the association with clinical outcomes remains unknown. This systematic review aimed to evaluate the prevalence of polypharmacy in (different subgroups of) patients with CKD and assess the association between polypharmacy and patient-important outcomes. MEDLINE, Embase, and the Cochrane Library were searched from inception until July 2022. Studies that reported the prevalence of polypharmacy, medication use, or pill burden in patients with CKD (including patients receiving dialysis and kidney transplant recipients) and their association with patient-important outcomes (&lt;i&gt;i.e&lt;/i&gt;., mortality, kidney failure, quality of life [QoL], and medication nonadherence) were included. Two reviewers independently screened title and abstract and full texts, extracted data, and assessed risk of bias. Data were pooled in a random-effects single-arm meta-analysis. In total, 127 studies were included (CKD 3–5 &lt;i&gt;n&lt;/i&gt;=39, dialysis: &lt;i&gt;n&lt;/i&gt;=38, kidney transplant &lt;i&gt;n&lt;/i&gt;=13, different CKD stages &lt;i&gt;n&lt;/i&gt;=37). The pooled prevalence of polypharmacy, based on 63 studies with 484,915 patients, across all patients with CKD was 82% (95% confidence interval, 76% to 86%), and the pooled mean number of prescribed medications was 9.7 (95% confidence interval, 8.4 to 11.0). The prevalence of polypharmacy was higher in patients who received dialysis or a kidney transplant compared with patients with CKD 3–5 but did not differ between studies with regards to region or patients' mean age or sex. In patients with CKD, polypharmacy was associated with a higher risk of all-cause mortality, kidney failure, faster eGFR decline, lower QoL, and higher medication nonadherence, adverse drug reactions, and potentially inappropriate medications. The prevalence of polypharmacy in patients with CKD was over 80%, and highest in patients with a kidney transplant and those receiving dialysis. No causes of heterogeneity were identified, indicating that polypharmacy is an issue for all patients with CKD. Polypharmacy is associated with worse clinical outcomes, lower QoL, and medication-related problems in patients with CKD. PROSPERO (CRD42022331941).</t>
  </si>
  <si>
    <t>Practice visitations in primary care to improve performance of cardiovascular risk management: an observational study.</t>
  </si>
  <si>
    <t>Despite programmatic protocolised care and structured support, considerable variation is observed in completeness of registration and achieving targets of cardiovascular risk management (CVRM) between individual GPs in the Netherlands. To determine whether completeness of registration and achieved targets of cardiovascular risk factors improves with practice visitation. Observational study utilising the care group's database (2016-2019), comparing changes in registration and achieved targets in non-visited practices and visited practices. We compared completeness scores of registration and scores of targets achieved before visitation and 1 year after visitation. Data were analysed on patient level and GP level. Separate analyses were performed among GPs who were ranked in the lower 25% of score distributions. We observed no clinically relevant improvements in completeness of registration and targets achieved in 2017, 2018, and 2019 that could be attributed to visitations in the previous year, both on individual patient level and on aggregated level per general practice. In practices ranked in the lower 25% of the distribution, improvements over time were clinically relevant and larger than the overall changes. Yet, these findings were irrespective of the number of practice visitations. Practice visitations in our setting did not seem to lead to improvements in practice performance, nor in completeness of registration of risk factors or in reaching predefined target goals for cardiovascular risk factors.</t>
  </si>
  <si>
    <t>Ethnic Differences in Carotid Intima-Media Thickness and Plaque Presence: The HELIUS Study.</t>
  </si>
  <si>
    <t>Vriend, Esther M C; Bouwmeester, Thomas A; Artola Arita, Vicente; Bots, Michiel L; Meijer, Rudy; Galenkamp, Henrike; Stronks, Karien; Collard, Didier; Moll van Charante, Eric P; van den Born, Bert-Jan H; Franco, Oscar H</t>
  </si>
  <si>
    <t>https://pubmed.ncbi.nlm.nih.gov/38091958</t>
  </si>
  <si>
    <t>In the Netherlands, the prevalence of cardiovascular diseases (CVDs) is higher among South-Asian Surinamese and lower among Moroccans compared to the Dutch. Traditional risk factors for atherosclerotic CVD do not fully explain these disparities. We aimed to assess ethnic differences in plaque presence and carotid intima-media thickness (cIMT) and explore to what extent these differences are explained by traditional risk factors. We used cross-sectional data from a subgroup of participants enrolled in the multi-ethnic population-based Healthy Life in an Urban Setting (HELIUS) study who underwent carotid ultrasonography. Logistic and linear regression models were built to assess ethnic differences in plaque presence and cIMT with the Dutch population as reference. Additional models were created to adjust for socioeconomic status, body height, and cardiovascular risk factors. Of the 3,022 participants, 1,183, 1,051, and 790 individuals were of Dutch, South-Asian Surinamese, and Moroccan descent, respectively. Mean age was 60.9 years (SD: 8.0), and 52.8% were female. Compared to the Dutch, we found lower odds for plaque presence in Moroccans (0.77, 95% CI: 0.62; 0.95) and no significant differences between the South-Asian Surinamese and Dutch population (0.91, 95% CI: 0.76; 1.10). After adjustment for CVD risk factors, we found a lower plaque presence in South-Asian Surinamese (0.63, 95% CI: 0.48; 0.82). In both Moroccan and South-Asian Surinamese individuals, adjustment for socioeconomic status did not materially change the results. cIMT was lower in South-Asian Surinamese compared to the Dutch (-17.9 μm, 95% CI: -27.9; -7.9) and partly explained by ethnic differences in the body height as South-Asian Surinamese individuals were, on average, shorter than the Dutch population. No differences in cIMT between Moroccans and Dutch were found. cIMT and plaque prevalence differ between ethnic groups independent of CVD risk. Lower plaque prevalence in Moroccans was partly attributable to a lower prevalence of traditional CVD risk factors, while body height was an important contributor to differences in cIMT in South Asians. This study emphasizes the need for ethnic-specific cut-off values for plaque presence and cIMT.</t>
  </si>
  <si>
    <t>Long-term quality of life in patients with bladder cancer following radical cystectomy.</t>
  </si>
  <si>
    <t>Akdemir, Emine; Stuiver, Martijn M; van de Kamp, Maaike W; der Hulst, Jolanda Bloos-van; Mertens, Laura S; Hendricksen, Kees; van Harten, Wim H; May, Anne M; Sweegers, Maike G</t>
  </si>
  <si>
    <t>bju international</t>
  </si>
  <si>
    <t>https://pubmed.ncbi.nlm.nih.gov/39617009</t>
  </si>
  <si>
    <t>To investigate changes in quality of life (QoL) up to 8 years after radical cystectomy (RC) and compare QoL after RC with a gender- and age-matched Dutch normative population. Furthermore, we aimed to identify patient characteristics associated with QoL and QoL trajectories after RC. Patients with bladder cancer were invited to complete QoL questionnaires at 3-month intervals in the first year and yearly thereafter. Follow-up data were available for a maximum of 8 years. We used linear mixed-effect models to investigate changes in QoL subscales (physical functioning [PF], emotional functioning [EF], and QoL summary score [QoL-sum]) over time, and to identify potential demographic and clinical correlates of QoL and QoL trajectories (i.e., interaction with time). Data from 278 patients was included. Post-RC EF scores increased from 83.7 (95% confidence interval [CI] 81.7-85.6) to levels comparable to the normative population (90.1) 8 years after RC. PF (post-RC: 82.4, 95% CI 78.5-86.3) and QoL-sum (post-RC: 88.2, 95% CI 85.2-91.2) remained lower compared to the normative population (88.9 and 91.4, respectively) 8 years after RC. Compared to patients with an American Society of Anesthesiologists (ASA) score of 1 at diagnosis, those with ASA score 2 or ASA score 3 had significant lower post-RC PF (mean difference (MD) = -8 and -22, respectively; P &lt; 0.001), EF (MD = -1 and -11; P = 0.5 and P &lt; 0.01) and QoL-sum (MD = -2 and -9; P = 0.2 and P &lt; 0.01). In addition, patients with a higher ASA score had a worse QoL-sum trajectory (P&lt;sub&gt;interaction&lt;/sub&gt; = 0.01). Older patients had a worse PF trajectory (P&lt;sub&gt;interaction&lt;/sub&gt; &lt; 0.01) but higher post-RC EF (P &lt; 0.01). Directly after RC, patients have lower PF, EF and QoL-sum, compared to a normative population. Notably, EF recovers to normative levels over a period of 8 years after RC. Clinicians are encouraged to administer supportive care interventions to enhance the QoL for patients undergoing RC, especially targeting older patients and those with higher ASA scores.</t>
  </si>
  <si>
    <t>Reply to: Peak Corticosteroid Dose for Immune-Related Adverse Events and Survival: Not the Whole Story.</t>
  </si>
  <si>
    <t>Verheijden, Rik J; de Groot, Jolien S; Fabriek, Babs O; Hew, Miki N; May, Anne M; Suijkerbuijk, Karijn P M</t>
  </si>
  <si>
    <t>https://pubmed.ncbi.nlm.nih.gov/39546742</t>
  </si>
  <si>
    <t>Efficacy and safety in early-phase clinical trials for refractory colorectal cancer: A meta-analysis.</t>
  </si>
  <si>
    <t>Smabers, Lidwien P; Huismans, Maarten A; van Nieuwenhuijzen, Niels; Minnema, Monique C; Kranenburg, Onno; Koopman, Miriam; Snippert, Hugo J G; May, Anne M; Roodhart, Jeanine M L</t>
  </si>
  <si>
    <t>https://pubmed.ncbi.nlm.nih.gov/39368225</t>
  </si>
  <si>
    <t>Despite recent metastatic colorectal cancer (mCRC) therapeutic innovations a comprehensive synthesis of patient outcome and risk-benefit assessment of phase 1/2 trials is missing. The aim of this meta-analysis is to assess efficacy, safety, and trends over time for phase 1 and 2 mCRC trials by examining clinical benefit rate (CBR), overall response rate (ORR), grade 3 or higher adverse events (AE), and discontinuation due to AE. The PRISMA guidelines were followed. We searched PubMed and Embase for publications of phase 1/2 trials between 2010-2021. Trials reporting on new therapies for treatment-refractory mCRC were included. The search strategy yielded 4175 unique reports, of which 258 publications were eligible. These publications report data of 277 unique treatment arms. Overall ORR was 6 %, CBR was 27 % in phase 1 and 36 % in phase 2 trials. CBR increased from 23 % in 2010-2012 to 42 % in 2019-2021. Compared to 2010-2012, trials in 2019-2021 more often tested immunomodulators (4 % vs 23 %), included molecularly preselected populations (4 % vs 38 %) and younger patients (median age&lt;60 44 % vs 66 %). Grade 3 + AE occurred in 35 % of patients, most frequently in trials investigating targeted treatments. Treatment efficacy in phase 1/2 trials is modest but improved from 2010 to 2021. This improvement is accompanied by a shift towards testing in a younger, fitter, and more strictly molecularly preselected population, as well as an increased focus on targeted and immunotherapies.</t>
  </si>
  <si>
    <t>Quality of life and functional outcome of rectal cancer patients: A prospective cohort study.</t>
  </si>
  <si>
    <t>Pennings, Alexander J; Vink, Geraldine R; van Kuijk, Sander; Melenhorst, Jarno; Beets, Geerard L; May, Anne M; Breukink, Stephanie O</t>
  </si>
  <si>
    <t>colorectal disease the official journal of the association of coloproctology of great britain and ireland</t>
  </si>
  <si>
    <t>https://pubmed.ncbi.nlm.nih.gov/39358881</t>
  </si>
  <si>
    <t>In the last decade, the Netherlands has implemented various diagnostic and treatment strategies to enhance rectal cancer outcomes. This study, using data from the Prospective Dutch ColoRectal Cancer (PLCRC) cohort, investigates whether these multidisciplinary advancements have translated into improved health-related quality of life (HRQoL) and functional outcomes for the general Dutch rectal cancer population. Patients with Stage I-III rectal cancer enrolled in the PLCRC cohort were included. HRQoL and functional outcomes were assessed 1 and 2 years after diagnosis using the European Organization for Research and Treatment of Cancer Quality of Life Questionnaire Core 30 (EORTC QLQ-C30), EORTC QLQ Colorectal Cancer 29 and the Low Anterior Resection Syndrome score. HRQoL and functional outcomes were compared based on year of diagnosis (2014-2019). A total of 1294 patients were included. Two years after diagnosis, patients diagnosed in 2019 (n = 392) had a clinically relevant higher score on physical (8.2, 95% CI 4.1-12.3), role (13.5, 95% CI 7.3-19.7) and social functioning (5.8, 95% CI 0.3-11.2) compared to those diagnosed in 2014 (n = 65). Additionally, patients diagnosed in 2019 experienced less fatigue 2 years after diagnosis compared to those diagnosed in 2014 (-8.6, 95% CI -14.1 to -3.0). The Low Anterior Resection Syndrome score showed no differences. The findings of this study suggest that over the past decade rectal cancer patients in the Netherlands have witnessed improvements in HRQoL across various domains. Most probably, the improvement is due to a combination of implementation of population screening, a more restrictive neoadjuvant radiotherapy policy and advances in minimally invasive surgery and organ preserving treatment options.</t>
  </si>
  <si>
    <t>Corticosteroids for Immune-Related Adverse Events and Checkpoint Inhibitor Efficacy: Analysis of Six Clinical Trials.</t>
  </si>
  <si>
    <t>https://pubmed.ncbi.nlm.nih.gov/39110922</t>
  </si>
  <si>
    <t>Retrospective studies suggest that immunosuppressive treatment of immune-related adverse events (irAEs) impairs survival in patients with melanoma who received immune checkpoint inhibitors. Here, we study this association across tumor types using data from six international phase II/III registrational trials. A post hoc analysis was performed on individual patient data from the anti-programmed cell death-1 (anti-PD-1) + anti-cytotoxic T lymphocyte-associated protein-4 (anti-CTLA-4) treatment arms of six clinical trials (CheckMate-067, -142, -214, -648, -743, and -9LA). Among patients who received systemic immunosuppression for treatment-related adverse events (trAEs), associations of peak and cumulative corticosteroid dose, and use of second-line immunosuppression with overall survival (OS) and progression-free survival (PFS) were assessed using multilevel Cox regression with adjustment for age and sex. Of the 1,959 patients who received anti-PD-1 + anti-CTLA-4 therapy, 834 patients who were treated with immunosuppression for trAEs were included. Eight hundred and thirty-two patients (100%) received corticosteroids and 81 patients (10%) received second-line immunosuppressants. High corticosteroid peak dose was associated with worse PFS: adjusted hazard ratio (HR&lt;sub&gt;adj&lt;/sub&gt;), 1.15 (95% CI, 1.02 to 1.29) for 1 versus 0.5 mg/kg prednisolone and HR&lt;sub&gt;adj&lt;/sub&gt;, 1.43 (95% CI, 1.05 to 1.96) for 2 versus 0.5 mg/kg. Similar effects were observed for OS: HR&lt;sub&gt;adj&lt;/sub&gt;, 1.21 (95% CI, 1.06 to 1.39) and HR&lt;sub&gt;adj&lt;/sub&gt;, 1.66 (95% CI, 1.17 to 2.37) for 1 and 2 versus 0.5 mg/kg, respectively. Cumulative corticosteroid dose was not associated with survival. HR&lt;sub&gt;adj&lt;/sub&gt; of use of second-line immunosuppression was 1.23 (95% CI, 0.90 to 1.68) for PFS and 1.25 (95% CI, 0.88 to 1.77) for OS. Higher corticosteroid peak dose for trAEs is associated with worse survival across tumor types, while cumulative dose is not. Too few patients received second-line immunosuppressants to confirm or reject an association with survival. These data argue for a reconsideration of irAE management approaches, starting with lower corticosteroid dose whenever feasible.</t>
  </si>
  <si>
    <t>Survival and patient-reported outcomes of real-world high-risk stage II and stage III colon cancer patients after reduction of adjuvant CAPOX duration from 6 to 3 months.</t>
  </si>
  <si>
    <t>Franken, Ingrid A; van der Baan, Frederieke H; Vink, Geraldine R; May, Anne M; van Grevenstein, Wilhelmina M U; Koopman, Miriam; Roodhart, Jeanine M L</t>
  </si>
  <si>
    <t>https://pubmed.ncbi.nlm.nih.gov/39024724</t>
  </si>
  <si>
    <t>Adjuvant chemotherapy has been advised for high-risk stage II and III colon cancer since 2004. After the IDEA study showed no clinically relevant difference in outcome, reduction of adjuvant CAPOX duration from 6 to 3 months was rapidly adopted in the Dutch treatment guideline in 2017. This study investigates the real-world impact of the guideline change on overall survival (OS) and patient-reported outcomes (PROs). Patients with high-risk stage II (pT4 +) and III (pN+) colon cancer were selected from the Netherlands Cancer Registry, based on surgical resection and adjuvant CAPOX before (2015-2016) versus after (2018-2019) the guideline change. Both groups were compared on OS, using multivariable Cox regression, and on PROs. Patients treated before (n = 2330) and after (n = 2108) the guideline change showed similar OS (HR 1.02; 95 %CI [0.89-1.16]), also in high-risk stage III (pT4/N2, HR 1.06 [0.89-1.26]). After the guideline change, 90 % of patients were treated for 3 months with no inferior OS to those still receiving 6 months (HR 0.89 [0.66-1.20]). PROs 2 years after CAPOX completion, available for a subset of patients, suggest a lower neuropathy (n = 366; 26.2 [21.3-31.1] to 16.5 [14.4-18.6]) and better quality of life (n = 396; 80.9 [78.6-83.2] to 83.9 [82.8-84.9]), but no significant difference in workability (n = 120; 31.5 [27.9-35.1]) to 35.3 [33.8-36.7]), with reduction from 6 to 3 months of CAPOX. This real-world study confirmed that shorter adjuvant CAPOX did not compromise OS and may improve PROs, complementing the IDEA study and supporting 3 months of adjuvant CAPOX in daily clinical practice.</t>
  </si>
  <si>
    <t>Improving sustainability of a patient decision aid for systemic treatment of metastatic colorectal cancer: A qualitative study.</t>
  </si>
  <si>
    <t>van Nassau, Sietske C M W; Voogdt-Pruis, Helene R; de Jong, Vincent M W; Otten, Hans-Martin; Valkenburg-van Iersel, Liselot B; Swarte, Bas J; Buffart, Tineke E; Pruijt, Hans J; Mekenkamp, Leonie J; Koopman, Miriam; May, Anne M</t>
  </si>
  <si>
    <t>pec innovation</t>
  </si>
  <si>
    <t>https://pubmed.ncbi.nlm.nih.gov/38974934</t>
  </si>
  <si>
    <t>To improve sustainability of a patient decision aid for systemic treatment of metastatic colorectal cancer, we evaluated real-world experiences and identified ways to optimize decision aid content and future implementation. Semi-structured interviews with patients and medical oncologists addressed two main subjects: user experience and decision aid content. Content analysis was applied. Fifteen experts discussed the results and devised improvements based on experience and literature review. Thirteen users were interviewed. They confirmed the relevance of the decision aid for shared decision making. Areas for improvement of content concerned; 1) outdated and missing information, 2) an imbalance in presentation of treatment benefits and harms, and 3) medical oncologists' expressed preference for a more center-specific or patient individualized decision aid, presenting a selection of the guideline recommended treatment options. Key points for improvement of implementation were better alignment within the care pathway, and clear instruction to users. We identified relevant opportunities for improvement of an existing decision aid and developed an updated version and accompanying implementation strategy accordingly. This paper outlines an approach for continued decision aid and implementation strategy development which will add to sustainability. Implementation success of the improved decision aid is currently being studied in a multi-center mixed-methods implementation study.</t>
  </si>
  <si>
    <t>Corticosteroids and other immunosuppressants for immune-related adverse events and checkpoint inhibitor effectiveness in melanoma.</t>
  </si>
  <si>
    <t>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t>
  </si>
  <si>
    <t>https://pubmed.ncbi.nlm.nih.gov/38905818</t>
  </si>
  <si>
    <t>Recent studies indicate an association between immunosuppression for immune-related adverse events (irAEs) and impaired survival in patients who received immune checkpoint inhibitors. Whether this is related to corticosteroids or second-line immunosuppressants is unknown. In the largest cohort thus far, we assessed the association of immunosuppressant type and dose with survival in melanoma patients with irAEs. Patients with advanced melanoma who received immunosuppressants for irAEs induced by first-line anti-PD-1 ± anti-CTLA-4 were included from 18 hospitals worldwide. Associations of cumulative and peak dose corticosteroids and use of second-line immunosuppression with survival from start of immunosuppression were assessed using multivariable Cox proportional hazard regression. Among 606 patients, 404 had anti-PD-1 + anti-CTLA-4-related irAEs and 202 had anti-PD-1-related irAEs. 425 patients (70 %) received corticosteroids only; 181 patients (30 %) additionally received second-line immunosuppressants. Median PFS and OS from starting immunosuppression were 4.5 (95 %CI 3.4-8.1) and 31 (95 %CI 15-not reached) months in patients who received second-line immunosuppressants, and 11 (95 %CI 9.4-14) and 55 (95 %CI 41-not reached) months in patients who did not. High corticosteroid peak dose was associated with worse PFS and OS (HR&lt;sub&gt;adj&lt;/sub&gt; 1.14; 95 %CI 1.01-1.29; HR&lt;sub&gt;adj&lt;/sub&gt; 1.29; 95 %CI 1.12-1.49 for 80vs40mg), while cumulative dose was not. Second-line immunosuppression was associated with worse PFS (HR&lt;sub&gt;adj&lt;/sub&gt; 1.32; 95 %CI 1.02-1.72) and OS (HR&lt;sub&gt;adj&lt;/sub&gt; 1.34; 95 %CI 0.99-1.82) compared with corticosteroids alone. High corticosteroid peak dose and second-line immunosuppressants to treat irAEs are both associated with impaired survival. While immunosuppression is indispensable for treatment of severe irAEs, clinicians should weigh possible detrimental effects on survival against potential disadvantages of undertreatment.</t>
  </si>
  <si>
    <t>Reporting Guidelines for the Early-Phase Clinical Evaluation of Applications Using Extended Reality: RATE-XR Qualitative Study Guideline.</t>
  </si>
  <si>
    <t>Vlake, Johan H; Drop, Denzel L Q; Van Bommel, Jasper; Riva, Giuseppe; Wiederhold, Brenda K; Cipresso, Pietro; Rizzo, Albert S; Rothbaum, Barbara O; Botella, Cristina; Hooft, Lotty; Bienvenu, Oscar J; Jung, Christian; Geerts, Bart; Wils, Evert-Jan; Gommers, Diederik; van Genderen, Michel E; ,</t>
  </si>
  <si>
    <t>https://pubmed.ncbi.nlm.nih.gov/39612482</t>
  </si>
  <si>
    <t>Extended reality (XR), encompassing technologies such as virtual reality, augmented reality, and mixed reality, has rapidly gained prominence in health care. However, existing XR research often lacks rigor, proper controls, and standardization. To address this and to enhance the transparency and quality of reporting in early-phase clinical evaluations of XR applications, we present the "Reporting for the early-phase clinical evaluation of applications using extended reality" (RATE-XR) guideline. We conducted a 2-round modified Delphi process involving experts from diverse stakeholder categories, and the RATE-XR is therefore the result of a consensus-based, multistakeholder effort. The guideline comprises 17 XR-specific (composed of 18 subitems) and 14 generic reporting items, each with a complementary Explanation &amp; Elaboration section. The items encompass critical aspects of XR research, from clinical utility and safety to human factors and ethics. By offering a comprehensive checklist for reporting, the RATE-XR guideline facilitates robust assessment and replication of early-stage clinical XR studies. It underscores the need for transparency, patient-centeredness, and balanced evaluation of the applications of XR in health care. By providing an actionable checklist of minimal reporting items, this guideline will facilitate the responsible development and integration of XR technologies into health care and related fields.</t>
  </si>
  <si>
    <t>Laboratory-based molecular test alternatives to RT-PCR for the diagnosis of SARS-CoV-2 infection.</t>
  </si>
  <si>
    <t>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t>
  </si>
  <si>
    <t>https://pubmed.ncbi.nlm.nih.gov/39400904</t>
  </si>
  <si>
    <t>Diagnosing people with a SARS-CoV-2 infection played a critical role in managing the COVID-19 pandemic and remains a priority for the transition to long-term management of COVID-19. Initial shortages of extraction and reverse transcription polymerase chain reaction (RT-PCR) reagents impaired the desired upscaling of testing in many countries, which led to the search for alternatives to RNA extraction/purification and RT-PCR testing. Reference standard methods for diagnosing the presence of SARS-CoV-2 infection rely primarily on real-time reverse transcription-polymerase chain reaction (RT-PCR). Alternatives to RT-PCR could, if sufficiently accurate, have a positive impact by expanding the range of diagnostic tools available for the timely identification of people infected by SARS-CoV-2, access to testing and the use of resources. To assess the diagnostic accuracy of alternative (to RT-PCR assays) laboratory-based molecular tests for diagnosing SARS-CoV-2 infection. We searched the COVID-19 Open Access Project living evidence database from the University of Bern until 30 September 2020 and the WHO COVID-19 Research Database until 31 October 2022. We did not apply language restrictions. We included studies of people with suspected or known SARS-CoV-2 infection, or where tests were used to screen for infection, and studies evaluating commercially developed laboratory-based molecular tests for the diagnosis of SARS-CoV-2 infection considered as alternatives to RT-PCR testing. We also included all reference standards to define the presence or absence of SARS-CoV-2, including RT-PCR tests and established clinical diagnostic criteria. Two authors independently screened studies and resolved disagreements by discussing them with a third author. Two authors independently extracted data and assessed the risk of bias and applicability of the studies using the QUADAS-2 tool. We presented sensitivity and specificity, with 95% confidence intervals (CIs), for each test using paired forest plots and summarised results using average sensitivity and specificity using a bivariate random-effects meta-analysis. We illustrated the findings per index test category and assay brand compared to the WHO's acceptable sensitivity and specificity threshold for diagnosing SARS-CoV-2 infection using nucleic acid tests. We included data from 64 studies reporting 94 cohorts of participants and 105 index test evaluations, with 74,753 samples and 7517 confirmed SARS-CoV-2 cases. We did not identify any published or preprint reports of accuracy for a considerable number of commercially produced NAAT assays. Most cohorts were judged at unclear or high risk of bias in more than three QUADAS-2 domains. Around half of the cohorts were considered at high risk of selection bias because of recruitment based on COVID status. Three quarters of 94 cohorts were at high risk of bias in the reference standard domain because of reliance on a single RT-PCR result to determine the absence of SARS-CoV-2 infection or were at unclear risk of bias due to a lack of clarity about the time interval between the index test assessment and the reference standard, the number of missing results, or the absence of a participant flow diagram. For index tests categories with four or more evaluations and when summary estimations were possible, we found that: a) For RT-PCR assays designed to omit/adapt RNA extraction/purification, the average sensitivity was 95.1% (95% CI 91.1% to 97.3%), and the average specificity was 99.7% (95% CI 98.5% to 99.9%; based on 27 evaluations, 2834 samples and 1178 SARS-CoV-2 cases); b) For RT-LAMP assays, the average sensitivity was 88.4% (95% CI 83.1% to 92.2%), and the average specificity was 99.7% (95% CI 98.7% to 99.9%; 24 evaluations, 29,496 samples and 2255 SARS-CoV-2 cases); c) for TMA assays, the average sensitivity was 97.6% (95% CI 95.2% to 98.8%), and the average specificity was 99.4% (95% CI 94.9% to 99.9%; 14 evaluations, 2196 samples and 942 SARS-CoV-2 cases); d) for digital PCR assays, the average sensitivity was 98.5% (95% CI 95.2% to 99.5%), and the average specificity was 91.4% (95% CI 60.4% to 98.7%; five evaluations, 703 samples and 354 SARS-CoV-2 cases); e) for RT-LAMP assays omitting/adapting RNA extraction, the average sensitivity was 73.1% (95% CI 58.4% to 84%), and the average specificity was 100% (95% CI 98% to 100%; 24 evaluations, 14,342 samples and 1502 SARS-CoV-2 cases). Only two index test categories fulfil the WHO-acceptable sensitivity and specificity requirements for SARS-CoV-2 nucleic acid tests: RT-PCR assays designed to omit/adapt RNA extraction/purification and TMA assays. In addition, WHO-acceptable performance criteria were met for two assays out of 35 when tests were used according to manufacturer instructions. At 5% prevalence using a cohort of 1000 people suspected of SARS-CoV-2 infection, the positive predictive value of RT-PCR assays omitting/adapting RNA extraction/purification will be 94%, with three in 51 positive results being false positives, and around two missed cases. For TMA assays, the positive predictive value of RT-PCR assays will be 89%, with 6 in 55 positive results being false positives, and around one missed case. Alternative laboratory-based molecular tests aim to enhance testing capacity in different ways, such as reducing the time, steps and resources needed to obtain valid results. Several index test technologies with these potential advantages have not been evaluated or have been assessed by only a few studies of limited methodological quality, so the performance of these kits was undetermined. Only two index test categories with enough evaluations for meta-analysis fulfil the WHO set of acceptable accuracy standards for SARS-CoV-2 nucleic acid tests: RT-PCR assays designed to omit/adapt RNA extraction/purification and TMA assays. These assays might prove to be suitable alternatives to RT-PCR for identifying people infected by SARS-CoV-2, especially when the alternative would be not having access to testing. However, these findings need to be interpreted and used with caution because of several limitations in the evidence, including reliance on retrospective samples without information about the symptom status of participants and the timing of assessment. No extrapolation of found accuracy data for these two alternatives to any test brands using the same techniques can be made as, for both groups, one test brand with high accuracy was overrepresented with 21/26 and 12/14 included studies, respectively. Although we used a comprehensive search and had broad eligibility criteria to include a wide range of tests that could be alternatives to RT-PCR methods, further research is needed to assess the performance of alternative COVID-19 tests and their role in pandemic management.</t>
  </si>
  <si>
    <t>Exploring transparent reporting and data availability in systematic reviews to identify subgroup evidence: imaging for suspected hepatocellular carcinoma in the non-cirrhotic liver.</t>
  </si>
  <si>
    <t>Oerbekke, Michiel S; de Man, Robert A; van Vilsteren, Frederike G I; Nijkamp, Maarten W; Tjwa, Eric; Gaasterland, Charlotte M W; van der Laan, Maarten J; Hooft, Lotty</t>
  </si>
  <si>
    <t>https://pubmed.ncbi.nlm.nih.gov/39358755</t>
  </si>
  <si>
    <t>We aim to illustrate the role of complete and transparent reporting coupled with access to data sourced from published systematic reviews, especially assisting in the identification of evidence for subgroups within the context of a rare disease. To accomplish this principle, we provide a real-world example encountered during the revision of the Dutch clinical practice guideline for hepatocellular carcinoma. Specifically, we retrieved insights from two Cochrane reviews to identify direct evidence concerning the diagnostic test accuracy of computed tomography and magnetic resonance imaging for detecting hepatocellular carcinomas in suspected patients without liver cirrhosis. Through reusing the Cochrane review authors' efforts already undertaken in their exhaustive literature search and selection, we successfully identified relevant direct evidence for this subgroup of suspected patients without cirrhosis and performed an evidence synthesis within the constraints of limited resources for the guideline revision. This approach holds the potential for replication in other subgroups in the context of rare diseases, contingent on the transparent and complete reporting of systematic reviews, as well as the availability and accessibility of their extracted data. Consequently, we underscore the importance of adhering to established reporting guidelines for systematic reviews, while simultaneously advocating for increased availability and accessibility to data. Such practices would not only increase the transparency and reproducibility of systematic reviews but could also increase reusability of their data. In turn, the increased reusability could result in reduced resource utilization in other sectors such as the guideline developing community as we show in our example.</t>
  </si>
  <si>
    <t>An exploration of available methods and tools to improve the efficiency of systematic review production: a scoping review.</t>
  </si>
  <si>
    <t>Affengruber, Lisa; van der Maten, Miriam M; Spiero, Isa; Nussbaumer-Streit, Barbara; Mahmić-Kaknjo, Mersiha; Ellen, Moriah E; Goossen, Käthe; Kantorova, Lucia; Hooft, Lotty; Riva, Nicoletta; Poulentzas, Georgios; Lalagkas, Panagiotis Nikolaos; Silva, Anabela G; Sassano, Michele; Sfetcu, Raluca; Marqués, María E; Friessova, Tereza; Baladia, Eduard; Pezzullo, Angelo Maria; Martinez, Patricia; Gartlehner, Gerald; Spijker, René</t>
  </si>
  <si>
    <t>https://pubmed.ncbi.nlm.nih.gov/39294580</t>
  </si>
  <si>
    <t>Systematic reviews (SRs) are time-consuming and labor-intensive to perform. With the growing number of scientific publications, the SR development process becomes even more laborious. This is problematic because timely SR evidence is essential for decision-making in evidence-based healthcare and policymaking. Numerous methods and tools that accelerate SR development have recently emerged. To date, no scoping review has been conducted to provide a comprehensive summary of methods and ready-to-use tools to improve efficiency in SR production. To present an overview of primary studies that evaluated the use of ready-to-use applications of tools or review methods to improve efficiency in the review process. We conducted a scoping review. An information specialist performed a systematic literature search in four databases, supplemented with citation-based and grey literature searching. We included studies reporting the performance of methods and ready-to-use tools for improving efficiency when producing or updating a SR in the health field. We performed dual, independent title and abstract screening, full-text selection, and data extraction. The results were analyzed descriptively and presented narratively. We included 103 studies: 51 studies reported on methods, 54 studies on tools, and 2 studies reported on both methods and tools to make SR production more efficient. A total of 72 studies evaluated the validity (n = 69) or usability (n = 3) of one method (n = 33) or tool (n = 39), and 31 studies performed comparative analyses of different methods (n = 15) or tools (n = 16). 20 studies conducted prospective evaluations in real-time workflows. Most studies evaluated methods or tools that aimed at screening titles and abstracts (n = 42) and literature searching (n = 24), while for other steps of the SR process, only a few studies were found. Regarding the outcomes included, most studies reported on validity outcomes (n = 84), while outcomes such as impact on results (n = 23), time-saving (n = 24), usability (n = 13), and cost-saving (n = 3) were less often evaluated. For title and abstract screening and literature searching, various evaluated methods and tools are available that aim at improving the efficiency of SR production. However, only few studies have addressed the influence of these methods and tools in real-world workflows. Few studies exist that evaluate methods or tools supporting the remaining tasks. Additionally, while validity outcomes are frequently reported, there is a lack of evaluation regarding other outcomes.</t>
  </si>
  <si>
    <t>Prioritising nurses' and doctors' health at work: a scoping review of monitoring instruments.</t>
  </si>
  <si>
    <t>Boskma, Amber; Braak, Kim; Demenaga, Kiki; Idema, Demy; Hooft, Lotty; Wietasch, Götz; Franx, Arie; van der Laan, Maarten J</t>
  </si>
  <si>
    <t>https://pubmed.ncbi.nlm.nih.gov/39153793</t>
  </si>
  <si>
    <t>Nurses' and doctors' health at work is crucial for their overall performance and the quality of care they provide. The Jobs Demands Resources (JD-R) model offers a framework for health at work, encompassing 'job demands', 'job resources', 'personal resources', 'leadership', 'well-being' and 'outcomes'. While various instruments exist to measure health, an overview of instruments specifically designed for assessing nurses and doctors health is currently missing. This study provides a comprehensive overview of available health instruments specifically developed and validated for healthcare professionals in hospital care. Scoping review. MEDLINE, Embase and CINAHL. Studies assessing the health of nurses and/or doctors in hospitals using or evaluating instruments based on the JD-R model, published between January 2011 and January 2024, excluding student-exclusive samples. We extracted data on study and sample characteristics, as well as details of the measurement instruments, including main and subconstructs. Instruments were categorised based on the JD-R model domains. Descriptive analysis and data visualisation were performed using Excel and Python. We included 1204 studies, reporting 986 unique instruments. We identified 32 comprehensive instruments suitable for broad health screening, measuring four or more of the JD-R model domains. Additionally, we identified instruments focusing on specific domains for targeted screening needs. Furthermore, we present frequently reported instruments assumed to be extensively evaluated, user-friendly, accessible and available in multiple languages. Health at work cannot be determined by a single instrument alone, underscoring the multidimensional nature of workplace health. Alternatively, organisations should select instruments based on domains most relevant and applicable to their context. This approach ensures a more comprehensive assessment of health at work.</t>
  </si>
  <si>
    <t>Determinants of Citizens' Intention to Participate in Self-Led Contact Tracing: Cross-Sectional Online Questionnaire Study.</t>
  </si>
  <si>
    <t>Helms, Yannick Bernd; van der Meer, Akke; Crutzen, Rik; Ferreira, José António; Kretzschmar, Mirjam E E; Timen, Aura; Hamdiui, Nora; Stein, Mart L</t>
  </si>
  <si>
    <t>jmir public health and surveillance</t>
  </si>
  <si>
    <t>https://pubmed.ncbi.nlm.nih.gov/39476390</t>
  </si>
  <si>
    <t>Contact tracing (CT) is a key intervention to contain outbreaks of communicable diseases. During large-scale outbreaks, public health services may lack the resources required to perform CT effectively. One way of mitigating this issue is to shift some of the tasks in CT normally performed by public health services to cases and their contacts, supported by digital tools. We refer to this as "self-led CT." However, while the effectiveness of the self-led CT inherently depends on the willingness and skills of citizens to participate, the determinants of citizens' intention to participate in self-led CT are not yet fully understood. We aimed to identify determinants of Dutch citizens' intention to participate in self-led CT and assess their potential for behavioral change, so as to identify "behavior change targets," which may be used in the development and implementation of self-led CT to increase citizens' intention to participate. In March 2022, we performed an online cross-sectional questionnaire study. The questionnaire was developed based on findings from a previous exploratory semistructured interview study and distributed among a Dutch consumer panel. Using all questionnaire items as potential predictors, we performed a random forest analysis to identify determinants of citizens' intention to participate in self-led CT. We then performed an Agglomerative Hierarchical Cluster Analysis to identify groups of related determinants that may be considered overarching behavior change targets. Finally, we used Confidence Interval-Based Estimation of Relevance and calculated the Potential for Change Indices to compare the potential for behavioral change of the selected individual determinants and determinant clusters. The questionnaire was completed by 3019 respondents. Our sample is representative of the Dutch population in terms of age, gender, educational level, and area of residence. Out of 3019 respondents, 2295 (76%) had a positive intention to participate in self-led CT. We identified 20 determinants of citizens' intention that we grouped into 9 clusters. In general, increasing citizens' trust in the digital tools developed for self-led CT has the highest potential to increase citizens' intention, followed by increasing the belief that using digital tools makes participating in self-led CT easier, reducing privacy-related concerns, and increasing citizens' willingness-and sense of responsibility-to cooperate in CT in general. Overall, Dutch citizens are positive toward participating in self-led CT. Our results provide directions for the development and implementation of self-led CT, which may be particularly useful in preparing for future, large-scale outbreaks.</t>
  </si>
  <si>
    <t>Reproductive factors and mammographic density within the International Consortium of Mammographic Density: A cross-sectional study.</t>
  </si>
  <si>
    <t>O'Driscoll, Jessica; Burton, Anya; Maskarinec, Gertraud; Perez-Gomez, Beatriz; Vachon, Celine; Miao, Hui; Lajous, Martín; López-Ridaura, Ruy; Eliassen, A Heather; Pereira, Ana; Garmendia, Maria Luisa; Tamimi, Rulla M; Bertrand, Kimberly; Kwong, Ava; Ursin, Giske; Lee, Eunjung; Qureshi, Samera A; Ma, Huiyan; Vinnicombe, Sarah; Moss, Sue; Allen, Steve; Ndumia, Rose; Vinayak, Sudhir; Teo, Soo-Hwang; Mariapun, Shivaani; Fadzli, Farhana; Peplonska, Beata; Nagata, Chisato; Stone, Jennifer; Hopper, John L; Giles, Graham; Ozmen, Vahit; Aribal, Mustafa Erkin; Schüz, Joachim; Van Gils, Carla H; Wanders, Johanna O P; Sirous, Reza; Sirous, Mehri; Hipwell, John; Kim, Jisun; Lee, Jong Won; Hartman, Mikael; Li, Jingmei; Scott, Christopher; Chiarelli, Anna M; Linton, Linda; Pollan, Marina; Flugelman, Anath Arzee; Salem, Dorria; Kamal, Rasha; Boyd, Norman; Dos-Santos-Silva, Isabel; McCormack, Valerie; Mullooly, Maeve</t>
  </si>
  <si>
    <t>https://pubmed.ncbi.nlm.nih.gov/39350230</t>
  </si>
  <si>
    <t>Elevated mammographic density (MD) for a woman's age and body mass index (BMI) is an established breast cancer risk factor. The relationship of parity, age at first birth, and breastfeeding with MD is less clear. We examined the associations of these factors with MD within the International Consortium of Mammographic Density (ICMD). ICMD is a consortium of 27 studies with pooled individual-level epidemiological and MD data from 11,755 women without breast cancer aged 35-85 years from 22 countries, capturing 40 country-&amp; ethnicity-specific population groups. MD was measured using the area-based tool Cumulus. Meta-analyses across population groups and pooled analyses were used to examine linear regression associations of square-root (√) transformed MD measures (percent MD (PMD), dense area (DA), and non-dense area (NDA)) with parity, age at first birth, ever/never breastfed and lifetime breastfeeding duration. Models were adjusted for age at mammogram, age at menarche, BMI, menopausal status, use of hormone replacement therapy, calibration method, mammogram view and reader, and parity and age at first birth when not the association of interest. Among 10,988 women included in these analyses, 90.1% (n = 9,895) were parous, of whom 13% (n = 1,286) had ≥ five births. The mean age at first birth was 24.3 years (Standard deviation = 5.1). Increasing parity (per birth) was inversely associated with √PMD (β: - 0.05, 95% confidence interval (CI): - 0.07, - 0.03) and √DA (β: - 0.08, 95% CI: - 0.12, - 0.05) with this trend evident until at least nine births. Women who were older at first birth (per five-year increase) had higher √PMD (β:0.06, 95% CI:0.03, 0.10) and √DA (β:0.06, 95% CI:0.02, 0.10), and lower √NDA (β: - 0.06, 95% CI: - 0.11, - 0.01). In stratified analyses, this association was only evident in women who were post-menopausal at MD assessment. Among parous women, no associations were found between ever/never breastfed or lifetime breastfeeding duration (per six-month increase) and √MD. Associations with higher parity and older age at first birth with √MD were consistent with the direction of their respective associations with breast cancer risk. Further research is needed to understand reproductive factor-related differences in the composition of breast tissue and their associations with breast cancer risk.</t>
  </si>
  <si>
    <t>The effect of skeletal muscle mass on dose-limiting toxicities during (chemo)radiotherapy in patients with head and neck cancer: A systematic review and meta-analysis.</t>
  </si>
  <si>
    <t>Schaeffers, A W M A; Scholten, H A; van Beers, M A; Meussen, B W; Smid, E J; van Gils, C H; Devriese, L A; de Bree, R</t>
  </si>
  <si>
    <t>oral oncology</t>
  </si>
  <si>
    <t>https://pubmed.ncbi.nlm.nih.gov/39111144</t>
  </si>
  <si>
    <t>Radiotherapy (RT) is a standard treatment for head and neck cancer (HNC) and chemoradiotherapy (CRT) is indicated for patients with locally advanced disease. Toxicities during treatment are common and can lead to early cessation of chemotherapy and radiotherapy (RT) interruptions, which can affect oncologic outcomes. Skeletal muscle mass (SMM) is a new biomarker to predict toxicities and overall survival. The aim of this systematic review is to provide an overview of studies towards the associations between SMM and dose limiting toxicity (DLT) and/or RT interruptions in HNC patients. A systematic literature search was conducted and yielded 270 studies. Inclusion criteria were articles published in English that investigated the effect of low SMM measured in humans with HNC on toxicities during CRT or RT. Studies that did not investigate oral cavity, oropharynx, larynx, hypopharynx, nasopharynx cancers or carcinoma of unknown primary were excluded. This led to the inclusion of 22 original studies. The prevalence of low SMM ranged from 19.7 % to 74.7 %. SMM was often assessed by measuring the cross-sectional muscle area at the level of the third cervical vertebra on computed tomography scans. Cut-off values used to categorize patients in SMM groups varied. In the meta-analyses heterogeneity was moderate (I&lt;sup&gt;2&lt;/sup&gt; = 68 % and 50 % respectively). Patients with low SMM had higher, but only borderline significant, odds of DLT during CRT (OR 1.60; 95 % CI 1.00-2.58; p = 0.0512) and RT interruptions (OR 1.89; 95 % CI 1.00-3.57; p = 0.0510) compared to patients without low SMM. To conclude, in HNC patients low SMM, defined with different methods and cut-off values, is associated with DLT and RT interruptions during (C)RT, although the difference is only borderline statistically significant.</t>
  </si>
  <si>
    <t>Prevotella timonensis Bacteria Associated With Vaginal Dysbiosis Enhance Human Immunodeficiency Virus Type 1 Susceptibility Of Vaginal CD4+ T Cells.</t>
  </si>
  <si>
    <t>van Teijlingen, Nienke H; van Smoorenburg, Marleen Y; Sarrami-Forooshani, Ramin; Zijlstra-Willems, Esther M; van Hamme, John L; Borgdorff, Hanneke; van de Wijgert, Janneke H H M; van Leeuwen, Elisabeth; van der Post, Joris A M; Strijbis, Karin; Ribeiro, Carla M S; Geijtenbeek, Teunis B H</t>
  </si>
  <si>
    <t>https://pubmed.ncbi.nlm.nih.gov/39052703</t>
  </si>
  <si>
    <t>Dysbiosis of the vaginal microbiome poses a serious risk for sexual human immunodeficiency virus type 1 (HIV-1) transmission. Prevotella spp are abundant during vaginal dysbiosis and associated with enhanced HIV-1 susceptibility; however, underlying mechanisms remain unclear. Here, we investigated the direct effect of vaginal bacteria on HIV-1 susceptibility of vaginal CD4+ T cells. Notably, pre-exposure to Prevotella timonensis enhanced HIV-1 uptake by vaginal T cells, leading to increased viral fusion and enhanced virus production. Pre-exposure to antiretroviral inhibitors abolished P timonensis-enhanced infection. Our study shows that the vaginal microbiome directly affects mucosal CD4+ T-cell susceptibility, emphasizing importance of vaginal dysbiosis diagnosis and treatment.</t>
  </si>
  <si>
    <t>What motivates people with type 2 diabetes mellitus to participate in clinical trials from home?</t>
  </si>
  <si>
    <t>Kopanz, Julia; Lagerwaard, Bart; Beran, Magdalena; Veldwijk, Jorien; Mader, Julia K; Pöttler, Tina; Tews, Dietrich; Grobbee, Diederick E; Zuidgeest, Mira G P; ,</t>
  </si>
  <si>
    <t>clinical and translational science</t>
  </si>
  <si>
    <t>https://pubmed.ncbi.nlm.nih.gov/39575651</t>
  </si>
  <si>
    <t>Decentralized clinical trials (DCTs), in which all or part of the trial activities are moved to the participants' immediate surroundings, promise to improve trial conduct. However, no evidence is available on what motivates people to participate in DCTs. Our aim was to determine the drivers and perceptions for participation in clinical trials with different decentralization levels in persons with type 2 diabetes mellitus. Five focus groups were conducted utilizing the nominal group technique in the Netherlands (n = 1), Germany (n = 1), and Austria (n = 3) with four to six participants per group. The focus groups were analyzed using thematic analysis. Of the 26 participants (10 females, median age: 66 years [IQR: 62-72]) 42% had previously participated in a trial, and almost all had internet access at home (96%). A total of seven main themes regarding participation in clinical trials (location, time investment, contact with healthcare professionals (HCPs), digital technologies, data collection, perceived risk, and motivation) were identified, of which a total of 20 drivers emerged. Perceptions regarding trial participation differed widely among participants, and individual preferences influenced which drivers were considered more important by participants. Flexibility of location and time spent on the trial were identified as the most motivating factors for participation in DCTs. Some drivers, such as digital infrastructure, digital literacy, home visits, personal interaction, and relationship with HCPs were perceived as both enablers and barriers, depending on personal preferences. However, most of the potential barriers regarding DCTs may be resolved by addressing them in the design of future DCTs.</t>
  </si>
  <si>
    <t>Effects of a combined exercise and dietary intervention on clinical outcomes in patients with ovarian cancer: the Physical Activity and Dietary intervention in OVArian cancer (PADOVA) randomized controlled trial.</t>
  </si>
  <si>
    <t>Brouwer, Calvin G; Hartman, Yvonne A W; Stelten, Stephanie; Kenkhuis, Malou-Floor; van Lonkhuijzen, Luc R C W; Kenter, Gemma G; Kos, Milan; van de Ven, Peter M; Driel, Willemien J van; Winkels, Renate M; Bekkers, Ruud L M; Ottevanger, Petronella B; Hoedjes, Meeke; Buffart, Laurien M</t>
  </si>
  <si>
    <t>international journal of gynecological cancer official journal of the international gynecological cancer society</t>
  </si>
  <si>
    <t>https://pubmed.ncbi.nlm.nih.gov/39244208</t>
  </si>
  <si>
    <t>Chemotherapy treatment modifications can impact survival in patients with ovarian cancer, particularly when the relative dose intensity falls below 85%. Exercise and dietary interventions may benefit treatment tolerability. This study aimed to explore the effects of a combined exercise and dietary intervention on secondary outcomes of the Physical Activity and Dietary intervention in OVArian cancer (PADOVA) trial, specifically relative dose intensity and progression-free survival. 81 patients with ovarian cancer were randomized into a combined supervised exercise and dietary intervention during (neo)adjuvant chemotherapy or a usual care control group. Relative dose intensity was calculated as the ratio of delivered dose intensity (dose per actual time) to the standard dose for six chemotherapy cycles. The effect on relative dose intensity was analyzed using logistic regression and Bayesian posterior probability of correctly identifying the best study arm. The effect on progression-free survival was examined using Cox regression. The proportion of patients achieving a relative dose intensity ≥85% was 74.4% in the intervention group compared with 61.5% in the control group (OR 2.04, 95% CI 0.75 to 5.84). The Bayesian posterior probability that the intervention group had a higher proportion of patients with a relative dose intensity ≥85% was 88.4%. Intervention effect on progression-free survival was not statistically significant (HR 1.63, 95% CI 0.82 to 3.23). At 18 months, the proportion of patients without disease progression was 73% in the intervention group and 51% in the control group. The proportions of patients with ovarian cancer with a relative dose intensity ≥85% and an 18-month progression-free survival were numerically higher in the intervention group compared with the control group, but these differences were not statistically significant. The higher proportions and the 88.4% probability that intervention is superior to usual care for clinical outcomes support future studies on exercise and dietary interventions with a focus on clinical outcomes as primary endpoints. Registered in the Netherlands Trial Registry (NTR6300).</t>
  </si>
  <si>
    <t>Fostering the clinician as teacher: A realist review.</t>
  </si>
  <si>
    <t>Brouwer, Hiske Joanna; Barry, Margot; Kluijtmans, Manon; Damoiseaux, Roger Anna Maria Joseph; de Groot, Esther</t>
  </si>
  <si>
    <t>https://pubmed.ncbi.nlm.nih.gov/39034500</t>
  </si>
  <si>
    <t>Clinician-teachers, physicians with educational responsibilities in either classroom or clinical setting, are assumed to add value by virtue of their dual role. The clinical responsibilities are often prioritised over the educational tasks. How and under which circumstances clinician-teachers are able to perform their educational role and create added value for different stakeholders is currently unclear. To identify for whom, how and under which circumstances educational activities executed by CTs by virtue of their dual role add value to others. CTs activities linking the system of education and clinical practice beyond direct patient interactions and purposefully executed. A realist review was conducted. Databases were searched in two stages: a narrow conventional search, followed by a comprehensive artificial intelligence-aided search. Studies concerning clinician-teachers' dual role were included. Realist analysis was applied to identify in which contexts resource mechanisms triggered reasoning mechanisms, which led to specific outcomes for different stakeholders. Sixty-six studies were included. In contexts where clinician-teachers' dual role was formally recognised and valued, clinician-teachers benefitted from the credibility and legitimacy bestowed on them, making the transfer of domain-specific knowledge more impactful. In contexts where sociocultural differences between both systems existed, CTs were able to mediate and adjust recommendations aligned with stakeholders' perceived relevance. Also, contexts organised to support both roles made resource mechanisms more impactful. Clinician-teachers added value to students' clinical competency and learning environment, and to educational organisations' curricular innovation. In their clinical workspace, clinician-teachers added value by enhancing colleague physicians' teaching expertise, implementing educational innovations and recruiting students for scarce specialisms. Clinician-teachers add value to students, colleague physicians and the clinical and educational contexts at large. Domain-specific knowledge of both systems was important to gain credibility and achieve added value. Openness, formal recognition and allocated time for both roles in educational and clinical contexts towards the dual role are important to strengthen the impact of the dual role.</t>
  </si>
  <si>
    <t>Impact of COVID-19 pandemic on the accuracy of telephone triage of callers with shortness of breath and/or chest discomfort in Dutch out-of-hours primary care: A retrospective observational study.</t>
  </si>
  <si>
    <t>Spek, Michelle; Dobbe, Anna S M; Zwart, Dorien L; Erkelens, Daphne C A; Geersing, Geert-Jan; de Groot, Esther; Delissen, Mathé; Rutten, Frans H; Venekamp, Roderick P</t>
  </si>
  <si>
    <t>https://pubmed.ncbi.nlm.nih.gov/39607878</t>
  </si>
  <si>
    <t>Anecdotal reports suggest that missed diagnosis in general practice during the first wave of the COVID-19 pandemic contributed to a drop in life-threatening events (LTEs) detected in hospitals. To investigate the impact of the COVID-19 pandemic on the accuracy of urgency allocation by telephone triage of patients with shortness of breath and/or chest discomfort in out-of-hours primary care (OHS-PC). Accuracy is defined as the correct allocation of high urgency to patients with LTEs and low urgency to those without. Retrospective observational study with data from callers contacting OHS-PC for shortness of breath and/or chest discomfort, between 1 March and 1 June 2019 (pre-pandemic) and 1 March to 1 June 2020 (first wave COVID-19 pandemic). Sensitivity and specificity of telephone urgency allocation were compared during both periods with LTEs, including acute coronary syndrome, and pulmonary embolism, as the reference. 3,064 adults (1,840 COVID-19 pandemic and 1,224 pre-pandemic, &lt;i&gt;p&lt;/i&gt; &lt; 0.001) were included in the study. The sensitivity of urgency allocation was similar during and before the COVID-19 pandemic (0.68, 95% CI 0.59 to 0.75 vs. 0.68, 95% CI 0.60 to 0.75, &lt;i&gt;p&lt;/i&gt; = 0.944). Specificity was slightly higher during the COVID-19 pandemic (0.52, 95% CI 0.50 to 0.55 vs. 0.45, 95% CI 0.42 to 0.48, &lt;i&gt;p&lt;/i&gt; &lt; 0.001). Despite a surge in calls from adults with shortness of breath and/or chest discomfort during the COVID-19 pandemic, the accuracy of telephone triage for LTEs in OHS-PC remained similar to the pre-pandemic era. Improvement of telephone triage seems necessary in both periods.</t>
  </si>
  <si>
    <t>Additional predictors of stroke and transient ischaemic attack in BEFAST positive patients in out-of-hours emergency primary care.</t>
  </si>
  <si>
    <t>van Royen, Florien S; Geersing, Geert-Jan; Erkelens, Daphne C; Delissen, Mathé; Rutten, Jorn V F; Zwart, Dorien L; van Smeden, Maarten; Rutten, Frans H; van Doorn, Sander</t>
  </si>
  <si>
    <t>https://pubmed.ncbi.nlm.nih.gov/39302942</t>
  </si>
  <si>
    <t>In patients suspected of stroke or transient ischemic attack (TIA), rapid triaging is imperative to improve clinical outcomes. For this purpose, balance-eye-face-arm-speech-time (BEFAST) items are used in out-of-hours primary care (OHS-PC). We explored the risk of stroke and TIA among BEFAST positive patients calling to the OHS-PC, and assessed whether additional predictors could improve risk stratification. This is a cross-sectional study of retrospectively gathered routine care data from telephone triage tape-recordings of patients calling the OHS-PC with neurological deficit symptoms, classified as BEFAST positive. Four models-with the predictors age, sex, a history of cardiovascular or cerebrovascular disease, and cardiovascular risk factors-were fitted using logistic regression to predict the outcome stroke or TIA. Likelihood ratio testing was used to select the best model, which was subsequently internally validated. The risk of stroke or TIA diagnosis was 52% among 1,289 BEFAST positive patients, median age 72 years, 56% female sex. Of patients with the outcome stroke/TIA, 24% received a low urgency allocation, while 92% had signs or symptoms when calling. Only the addition of age and sex improved predicting stroke or TIA (internally validated c-statistic 0.72, 95%CI 0.69-0.75). The predicted risk of stroke or TIA remained below 20% in those aged below 40. Females aged 70 or over and males aged 55 or over, had a predicted risk above 50%. Urgency allocation appears to be suboptimal in BEFAST positive patients calling the OHS-PC. Risk stratification could be improved in this setting by adding age and sex.</t>
  </si>
  <si>
    <t>General Practice and Nursing Science; Data Science and Biostatistics</t>
  </si>
  <si>
    <t>Mineralocorticoid receptor antagonists for every patient with heart failure.</t>
  </si>
  <si>
    <t>Rutten, Frans H; Groenewegen, Amy</t>
  </si>
  <si>
    <t>https://pubmed.ncbi.nlm.nih.gov/39232491</t>
  </si>
  <si>
    <t>Action on elevated natriuretic peptide in primary care: a retrospective cohort study.</t>
  </si>
  <si>
    <t>Vermeer, Cornelia Jc; Hollander, Monika; Stolk, Anne Jm; Groenewegen, Amy; Geersing, G J; Rutten, Frans H; Hart, Huberta E</t>
  </si>
  <si>
    <t>https://pubmed.ncbi.nlm.nih.gov/39231593</t>
  </si>
  <si>
    <t>Natriuretic peptides (NPs) are released by increased ventricular wall stress, most often caused by heart failure (HF). NP level measurement helps select patients clinically suspected of HF who need echocardiography. Yet, the diagnostic actions following NP testing in daily primary care are poorly studied. To assess the diagnostic actions taken by general practitioners (GPs) in patients with an elevated NP level. Retrospective observational study in general practices in the Netherlands. In patients with an elevated NP level between July 2017 and July 2022 diagnostic actions were gathered during three months following NP testing. We compared patients with an elevated NP level referred for echocardiography to those not referred by univariable analyses. Among 902 patients, 394 (43.7%) had an elevated NP level. Median age was 75.0 (IQR 18.0) years, 68.8% were female. In total, 166 (42.1%) were referred for echocardiography and 114 (28.9%) underwent additional ECG recording. 30/166 (18.1%) referred patients were labelled HF by the cardiologist within three months after NP testing compared to 29/228 (12.7%) not referred. Referred patients were compared to those not referred younger (69.7 vs. 74.1 years, &lt;i&gt;P&lt;/i&gt;&lt;.001), less already known to a cardiologist (46.3% vs. 62.3%, &lt;i&gt;P&lt;/i&gt;=.002), and had less marginally increased BNP levels (35-50 pg/mL) (19.9% vs. 37.5%, &lt;i&gt;P&lt;/i&gt;&lt;.001). Three out of five patients with an elevated NP level are not referred for echocardiography by GPs. Restraint to refer patients were older age, a marginally elevated BNP value, and already being under control of a cardiologist.</t>
  </si>
  <si>
    <t>General Practice and Nursing Science; Global Health and Bioethics</t>
  </si>
  <si>
    <t>Comparing the diagnostic considerations between general practitioners with a special interest in cardiovascular disease and those without in patients with symptoms suggestive of heart failure: a vignette study.</t>
  </si>
  <si>
    <t>Vermeer, Cornelia J C; Groenewegen, Amy; Hollander, Monika; Schuring, Janneke; Looijmans-van den Akker, Ingrid; Oostindjer, Andrew; van Duijn, Huug; Nederend, Ineke; Rutten, Frans H</t>
  </si>
  <si>
    <t>https://pubmed.ncbi.nlm.nih.gov/38877394</t>
  </si>
  <si>
    <t>General practitioners (GPs) specialized in cardiovascular disease (GPSI-CVD) may suspect heart failure (HF) more easily than GPs not specialized in CVD. We assessed whether GPSI-CVD consider investigations aimed at detecting HF more often than other GPs in two clinical scenarios of an older male person with respiratory and suggestive HF symptoms. In this vignette study, Dutch GPs evaluated two vignettes. The first involved a 72-year-old man with hypertension and a 30 pack-year smoking history who presented himself with symptoms of a common cold, but also shortness of breath, reduced exercise tolerance, and signs of fluid overload. The second vignette was similar but now the 72-year-old man was known with chronic obstructive pulmonary disease (COPD). GPs could select diagnostic tests from a multiple-choice list with answer options targeted at HF, COPD or exacerbation of COPD, or lower respiratory tract infection. With Pearson Chi-square or Fisher's exact test differences between the two GP groups were assessed regarding the chosen diagnostic tests. Of the 148 participating GPs, 25 were GPSI-CVD and 123 were other GPs. In the first vignette, GPSI-CVD more often considered performing electrocardiography (ECG) than other GPs (64.0% vs. 32.5%, p = 0.003). In the second vignette, GPSI-CVD were more inclined to perform both ECG (36.0% vs. 12.2%, p = 0.003) and natriuretic peptide testing (56.0% vs. 32.5%, p = 0.006). Most GPs seemed to consider multiple diagnoses, including HF, with GPSI-CVD more likely performing ECG and natriuretic peptide testing in an older male person with both respiratory and suggestive HF symptoms.</t>
  </si>
  <si>
    <t>Acute remote home monitoring of acutely ill patients with COVID-19: how Dutch home monitoring initiatives were organized during the pandemic.</t>
  </si>
  <si>
    <t>Smit, Karin; van Uum, Rick T; Rijks, Stella; van de Pol, Alma C; Ahmad, Abeer; Venekamp, Roderick P; Rutten, Frans H; Zwart, Dorien L M; ,</t>
  </si>
  <si>
    <t>https://pubmed.ncbi.nlm.nih.gov/39623361</t>
  </si>
  <si>
    <t>Acute remote home monitoring of acutely ill patients with COVID-19 holds potential for early detection of deterioration and thus subsequentearly intervention that may prevent or mitigate progression to severe illness and need for respiratory support. Our aim was to describe common features of acute remote home monitoring programs for acutely ill patients with COVID-19 in the Netherlands. We performed literature searches (both grey and academic) between 1st March 2020 and 1st March 2023 to identify Dutch acute remote home monitoring initiatives, excluding studies on early hospital discharge. From the available protocols, we extracted relevant information on patient eligibility, organization of acute remote home monitoring and home management. We identified and approached ten acute remote home monitoring initiatives for information regarding their used protocols. Seven out of ten protocols were retrieved and assessed. All initiatives focused on adult patients with COVID-19 who where at risk of developing severe COVID-19, and all initiatives provided close follow-up through remote home monitoring using medically certified pulse oximeters. Daily measurements included peripheral oxygen saturation (all initiatives, n = 7), body temperature (n = 6), heart frequency per minute (n = 4) and breathing rate per minute (n = 4). For follow-up and review of measured values, in most initiatives (n = 6) the physician (general practitioner or hospital physician) in charge was supported by a dedicated monitoring center. In 5 out of 7 initiatives, the general practitioner (GP) was responsible for supervising the patients and monitoring staff. The acute remote home monitoring initiatives that emerged in the Netherlands during the first wave of the COVID-19 pandemic were similarly organized. Common building blocks for home monitoring include daily check of peripheral oxygen saturation, monitoring through a dedicated remote monitoring center alongside healthcare personnel and a supervising physician.</t>
  </si>
  <si>
    <t>The Role of Language in Remote Healthcare Triage: A Meta-Aggregative Review.</t>
  </si>
  <si>
    <t>Spek, Michelle; van Braak, Marije; Erkelens, Daphne C A; Rutten, Frans H; Venekamp, Roderick P; Zwart, Dorien L; de Groot, Esther</t>
  </si>
  <si>
    <t>https://pubmed.ncbi.nlm.nih.gov/39382340</t>
  </si>
  <si>
    <t>To provide an overview of evidence on the role of language in remote healthcare services prioritisation, from now on termed triage. This study synthesises literature, to better understand how language affects triage interactions, aiming to improve these processes. We conducted a meta-aggregative review. A systematic search in Scopus from inception to September 2023 identified 437 studies on language in remote healthcare triage, of which 23 were included. Information was selected using both inductive and deductive coding, focusing on six linguistic features of interaction that have been described in the literature on studies using conversation analysis: turn-taking organisation, overall structure, sequence organisation, turn design, lexical choice, and epistemological and other forms of asymmetry. The process followed the RAMESES Publication Standards for Meta-narrative Reviews. Two main findings emerged. First, all six linguistic features are present in triage conversations, indicating that language involves more than just what is said. It also matters, for example, how and when a question is asked. Second, computerised decision support systems (CDSS) significantly affect conversation flow and dynamics. Language in triage involves more than literal speech and is heavily influenced by CDSS. Our study suggests that quality assessments of triage conversations should consider not only what is said but cover all relevant aspects of language. The influence of computerised decision support systems (CDSS) on linguistic features highlights the need for systems to be adaptable, to improve conversation quality and better addressing caller needs rather than focusing on one-size-fits-all questions. This review highlights the complex role of language in triage conversations and its impact on interaction. It calls for a broader view of language in quality assessments, recognising that both call-takers and callers contribute to call quality. Insights from this review can help developers enhance question types, sequence, and delivery methods of computerised decision support systems. Finally, education for call-takers in healthcare sectors may be improved based on our findings. No patient or public contribution.</t>
  </si>
  <si>
    <t>Pharmacists' perspectives on potential pharmacist prescribing: a nationwide survey in the Netherlands.</t>
  </si>
  <si>
    <t>Kaymakci, Bilge; Philbert, Daphne; Hazen, Ankie C M; Heringa, Mette; Kwint, Henk-Frans; Zwart, Dorien L M; van Dijk, Liset; Kälvemark Sporrong, Sofia; Kempen, Thomas G H</t>
  </si>
  <si>
    <t>https://pubmed.ncbi.nlm.nih.gov/39616290</t>
  </si>
  <si>
    <t>Pharmacist prescribing legislation aims to enhance healthcare quality and accessibility. However, in many countries, like the Netherlands, it has not yet been legally established. To investigate pharmacists' perspectives on potential pharmacist prescribing in the Netherlands. An online survey using a questionnaire that was distributed via e-mail and electronic newsletters to most practicing pharmacists in the Netherlands during October and November 2023. The questionnaire was based on previous literature, further developed during an international conference with pharmacists and piloted with Dutch pharmacists. Agreement with statements about potential prescribing models, settings, preconditions, and perceived benefits and risks was measured using a 4-point Likert scale. Data were analysed descriptively. In total, 625 participants from community pharmacy (n = 432; 69.1%), hospital pharmacy (n = 149; 23.8%), or other/combined settings (n = 44; 7.0%) completed the questionnaire. Most pharmacists (somewhat) agreed with the introduction of an independent prescribing model with limitations (n = 538; 86.1%) or a model dependent on collaborative agreements with physicians (n = 471; 75.4%). A minority (n = 245; 39.2%) supported independent prescribing with diagnostic authority. The precondition that participants most frequently (somewhat) agreed with was access to health records (n = 607; 97.1%). The most (somewhat) agreed-upon benefits were enhanced professional position of pharmacists (n = 574; 91.8%) and reduced workload for other prescribers (n = 573; 91.7%). Increased workload for pharmacists (n = 495; 79.2%) was the most (somewhat) agreed-upon identified risk. Pharmacists in the Netherlands are generally supportive of an independent but limited or collaborative pharmacist prescribing model. These findings support further investigations into the potential introduction of pharmacist prescribing legislation.</t>
  </si>
  <si>
    <t>Pharmacists' current and potential prescribing roles in primary care in the Netherlands: a case study.</t>
  </si>
  <si>
    <t>Kempen, Thomas G H; Benaissa, Yosra; Molema, Haijo; Valk, Lea E; Hazen, Ankie C M; Heringa, Mette; Kwint, Henk-Frans; Zwart, Dorien L M; Kälvemark Sporrong, Sofia; Stewart, Derek; van Dijk, Liset</t>
  </si>
  <si>
    <t>https://pubmed.ncbi.nlm.nih.gov/38985094</t>
  </si>
  <si>
    <t>In some countries, pharmacists have obtained prescribing rights to improve quality and accessibility of care and reduce physician workload. This case study explored pharmacists' current roles in and potential for prescribing in primary care in the Netherlands, where prescribing rights for pharmacists do not exist. Participatory observations of pharmacists working in either general practice or community pharmacy were conducted, as were semi-structured interviews about current and potential practice. The latter were extended to patients and other healthcare professionals, mainly general practitioners, resulting in 34 interviews in total. Thematic analyses revealed that pharmacists, in all cases, wrote prescriptions that were then authorized by a physician before dispensing. General practice-based pharmacists often prescribed medications during patient consultations. Community pharmacists mainly influenced prescribing through (a) medication reviews where the physician and/or practice nurse often were consulted to make treatment decisions, and (b) collaborative agreements with physicians to start or substitute medications in specific situations. These findings imply that the pharmacists' current roles in prescribing in the Netherlands resemble collaborative prescribing practices in other countries. We also identified several issues that should be addressed before formally introducing pharmacist prescribing, such as definitions of tasks and responsibilities and prescribing-specific training for pharmacists.</t>
  </si>
  <si>
    <t>Response by van Doorn et al to Letters Regarding Article, "Safety of Switching From a Vitamin K Antagonist to a Non-Vitamin K Antagonist Oral Anticoagulant in Frail Older Patients With Atrial Fibrillation: Results of the FRAIL-AF Randomized Controlled Trial".</t>
  </si>
  <si>
    <t>van Doorn, Sander; Rutten, Frans H; Geersing, Geert-Jan</t>
  </si>
  <si>
    <t>https://pubmed.ncbi.nlm.nih.gov/38976611</t>
  </si>
  <si>
    <t>Knowledge, attitudes and practices around urinary tract infections of general practitioners in the Netherlands: a cross-sectional internet survey.</t>
  </si>
  <si>
    <t>Cox, Stefan Martinus Leonardus; Giorgi, Wesley; Platteel, Tamara N; Cals, Jochen W L; de Bont, Eefje G P M</t>
  </si>
  <si>
    <t>https://pubmed.ncbi.nlm.nih.gov/39461852</t>
  </si>
  <si>
    <t>Urinary tract infections (UTIs) are the most common reason for women to consult a general practitioner (GP). Current diagnostic tests are inadequate, complicating diagnosis and treatment decisions for GPs. To understand how this influences GPs in managing UTI, we aimed to determine GPs' knowledge, attitudes, and practices around UTI care. Cross-sectional internet-based survey. General practice in the Netherlands between December 2021 and February 2022. We distributed invitations to participate via email to 126 practices. Additionally, we distributed invitations via social media and newsletters. The survey included 15 questions covering GPs' sociodemographic information, knowledge, attitudes and practices. Data analysis was based on frequencies and descriptive statistics. Among the 190 eligible respondents, 172 (90.5%) chose dysuria and 140 (73.7%) chose urinary frequency as a symptom likely indicating UTI in healthy women. One in three GPs would diagnose a UTI based on non-specific complaints with positive leucocyte and erythrocyte tests, discordant with established guidelines. GPs indicated that better point-of-care diagnostics would help improve antibiotic prescribing (72.6%) and would conserve time (60.0%). GPs considered a positive test result the most important factor to prescribe antibiotics while patient expectation was considered least important. Half of GPs indicated that the most urgent need in UTI care is improved diagnostics. GPs often act in discordance with established guidelines, rely on non-specific symptoms for the diagnosis of UTI and rank patient expectation as less important in comparison to symptom recognition and culture result when deciding on antibiotic treatment.</t>
  </si>
  <si>
    <t>Implementation of a tailored multifaceted antibiotic stewardship intervention to improve antibiotic prescribing for urinary tract infections in frail older adults (ImpresU) in four European countries: a process evaluation alongside a pragmatic cluster randomized controlled trial.</t>
  </si>
  <si>
    <t>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t>
  </si>
  <si>
    <t>https://pubmed.ncbi.nlm.nih.gov/39425170</t>
  </si>
  <si>
    <t>We previously performed a pragmatic cluster randomized controlled trial (RCT) in general practices and older adult care organizations in Poland, the Netherlands, Norway, and Sweden. We found that a multifaceted antibiotic stewardship intervention (ASI) substantially reduced antibiotic use for suspected urinary tract infections (UTIs) in frail older adults compared with usual care. We aimed to evaluate the implementation process of the ASI to provide recommendations for clinical practice. We conducted a process evaluation alongside the cluster RCT. The ASI consisted of a decision-tool and a toolbox, which were implemented using a participatory-action-research (PAR) approach with sessions for education and evaluation. We documented the implementation process of the intervention and administered a questionnaire to health care professionals (HCPs) from participating organizations in the intervention and usual care clusters. We evaluated the multiple components of the intervention and its implementation following a structured framework. The questionnaire was completed by 254 HCPs from the 38 participating clusters. All components were largely delivered according to plan and evaluated as useful. The decision-tool and toolbox materials were reported to facilitate decision-making on UTIs. Regarding the PAR approach, educational sessions focusing on the distinction between UTIs and asymptomatic bacteriuria were held in all 19 intervention clusters. In 17 out of these 19 clusters, evaluation sessions took place, which were reported to help remind HCPs to implement the ASI. During both sessions, HCPs valued the reflection that took place and the resulting awareness of their behavior. It allowed them to explore implementation barriers and to tailor their local implementation process to overcome these. For example, HCPs organized extra educational sessions or revised local policies to incorporate the use of the decision-tool. Various HCPs took key roles in implementation. Staff changes and the COVID-19 pandemic were important contextual barriers. We found each component of the multifaceted ASI and its implementation to have added value in the process to improve antibiotic prescribing for suspected UTIs in a heterogeneous older adult care setting. We recommend using a multifaceted, multidisciplinary approach that enables HCPs to reflect on their current practice and accordingly tailor local implementation. ClinicalTrials.gov NCT03970356. Registered on May 31, 2019.</t>
  </si>
  <si>
    <t>Experiences with a national team-based learning program for advance care planning in pediatric palliative care.</t>
  </si>
  <si>
    <t>Engel, Marijanne; Fahner, Jurrianne C; Hennus, Marije P; ,; Kars, Marijke C</t>
  </si>
  <si>
    <t>https://pubmed.ncbi.nlm.nih.gov/39095834</t>
  </si>
  <si>
    <t>Advance Care Planning (ACP) enables patients and relatives to define and share values, goals and preferences for future medical treatment and care. The IMplementing Pediatric Advance Care Planning Toolkit (IMPACT), developed in the Netherlands, is a method for conducting ACP in pediatric palliative care. Healthcare professionals who were trained to use IMPACT, indicated their need for ongoing support to practice ACP communication skills optimally over time. Therefore, we developed a team-based learning program aimed at teaching participants how to transfer knowledge on ACP, continue practicing ACP communication skills and reflect on ACP conversations within their own team context. The aim of this study was to evaluate the program's transfer of knowledge as well as the professionals' experience and team reflection on ACP. A one-day IMPACT train-the-trainer course was developed and a selection of healthcare professionals (facilitators) from pediatric palliative care teams (PPCTs) from all seven Dutch university hospitals and the specialized Center for Pediatric Oncology were invited to participate. Hereafter, facilitators were asked to transfer their course-acquired knowledge to their team members (learners) by organizing two coaching-on-the-job sessions. A mixed-methods design, combining questionnaires and field notes, was used to evaluate the level of knowledge transfer and team reflection achieved. Eighteen healthcare professionals in the role of facilitator participated in the train-the-trainer course. In seven PPCTs one (n = 3) or two (n = 4) coaching-on-the-job session(s) took place, attended by 29 and 17 learners, respectively. In the questionnaires, 11 facilitators indicated that they had to some extent transferred acquired knowledge to their team members as intended. Sixteen out of 21 learners who participated in at least one coaching-on-the-job session, reported (somewhat) increased self-confidence for conducting ACP conversations. The reported main strength of the program was practicing with/learning from colleagues whereas dealing with workload and variation in existing ACP skills within PPCTs need more attention. The newly developed team-based learning program resulted in intended transfer of knowledge and methodical reflection on ACP in coaching-on-the-job sessions in most participating PPCTs. Planning coaching-on-the-job sessions regarding ACP in pediatric palliative care with multiple healthcare professionals is challenging and needs more emphasis in the training.</t>
  </si>
  <si>
    <t>Potentially Inappropriate End of Life Care and Healthcare Costs in the Last 30 Days of Life in Regions Providing Integrated Palliative Care in the Netherlands: A Registration-based Study.</t>
  </si>
  <si>
    <t>Pereira, Chantal F R; Dijxhoorn, Anne-Floor Q; Koekoek, Berdine; van den Broek, Monique; van der Steen, Karin; Engel, Marijanne; van Rijn, Marjon; Meijers, Judith M; Hasselaar, Jeroen; van der Heide, Agnes; Onwuteaka-Philipsen, Bregje D; van den Beuken-van Everdingen, Marieke H J; van der Linden, Yvette M; Boddaert, Manon S; Jeurissen, Patrick P T; Merkx, Matthias A W; Raijmakers, Natasja J H</t>
  </si>
  <si>
    <t>https://pubmed.ncbi.nlm.nih.gov/39005964</t>
  </si>
  <si>
    <t>This study aimed to assess the effect of integrated palliative care (IPC) on potentially inappropriate end- of-life care and healthcare-costs in the last 30 days of life in the Netherlands. Nationwide health-insurance claims data were used to assess potentially inappropriate end-of-life care (≥2 emergency room visits; ≥2 hospital admissions; &gt;14 days hospitalization; chemotherapy; ICU admission; hospital death) and healthcare-costs in all deceased adults in IPC regions pre- and post- implementation and in those receiving IPC compared to a 1:2 matched control group. In regions providing IPC deceased adults (n = 37,468) received significantly less potentially inappropriate end-of-life care post-implementation compared to pre-implementation (26.5% vs 27.9%; p &lt; 0.05). Deceased adults who received IPC (n = 210) also received significantly less potentially inappropriate end-of-life care compared to a matched control group (14.8% vs 28.3%; p &lt; 0.05). Mean hospital costs significantly decreased for deceased adults who received IPC (€2,817), while mean costs increased for general practitioner services (€311) and home care (€1,632). These results highlight the importance of implementation of integrated palliative care and suitable payment. Further research in a larger sample is needed. This study shows less potentially inappropriate end-of-life care and a shift in healthcare costs from hospital to general practitioner and home care with IPC.</t>
  </si>
  <si>
    <t>General Practice and Nursing Science; Epidemiology and Health Economics; Data Science and Biostatistics</t>
  </si>
  <si>
    <t>The Spiritual Dimension of Parents' Experiences Caring for a Seriously Ill Child: An Interview Study.</t>
  </si>
  <si>
    <t>Brouwer, Marije A; Engel, Marijanne; Teunissen, Saskia C C M; Leget, Carlo; Kars, Marijke C</t>
  </si>
  <si>
    <t>https://pubmed.ncbi.nlm.nih.gov/38964428</t>
  </si>
  <si>
    <t>Parents of children with life-threatening conditions may have to balance their personal, family, and professional lives in the anticipation of child loss and the demands of providing medical care for their child. The challenges these parents are confronted with may lead to specific care needs. In this paper we explore the spiritual dimension of caring for a child with a life-threatening condition from the parents perspective. We held an exploratory qualitative study with in-depth interviews with parents of children (0-21) with life-threatening conditions. Interviews were transcribed and subsequently thematically analyzed. Twenty-four parents of 21 children participated in the interviews. The spiritual dimension is an important, although not always visible, aspect of the experience of parents dealing with their child's illness. The main domains with regard to spirituality were: 1) identity; 2) parenthood; 3) connectedness; 4) loss or adjustment of goals; 5) agency; 6) navigating beliefs and uncertainties; and 7) decision-making. Parents also reflected on their spiritual care needs. The spiritual dimension plays a central role in the experiences of parents who care for children with life-threatening conditions, but they receive little support in this dimension, and care needs often go unnoticed. If we want to provide high-quality pediatric palliative care including adequate spiritual support for parents, we should focus on the wide range of their spiritual experiences, and provide support that focuses both on loss of meaning as well as on where parents find growth, joy or meaning.</t>
  </si>
  <si>
    <t>Interviewing people on sensitive topics: challenges and strategies.</t>
  </si>
  <si>
    <t>Westland, Heleen; Vervoort, Sigrid; Kars, Marijke; Jaarsma, Tiny</t>
  </si>
  <si>
    <t>https://pubmed.ncbi.nlm.nih.gov/39295513</t>
  </si>
  <si>
    <t>Interviewing participants on sensitive topics is challenging and requires carefully planned and executed strategies throughout the research process. Sensitive topics have the potential to cause distress to participants or researchers. In this methods paper, strategies for conducting interviews on sensitive topics are described, including choosing the appropriate interview approach, creating a safe and comfortable environment, building rapport, utilizing sensitive and open questioning, reflexivity of the researcher, and awareness of the potential therapeutic effect of the interviews on participants. The strategies are illustrated with experiences from research on sensitive topics.</t>
  </si>
  <si>
    <t>What Happened?': Perceptions of Patients with Hypertension of Conflicting Results between Self-Reported Medication Adherence and Chemical Adherence Testing: A Qualitative Study.</t>
  </si>
  <si>
    <t>Soldan, Sara; Flint, Corien; Jaarsma, Tiny; Westland, Heleen</t>
  </si>
  <si>
    <t>https://pubmed.ncbi.nlm.nih.gov/39036979</t>
  </si>
  <si>
    <t>To explore the perceptions of outpatients with hypertension regarding the conflicting results between their self-reported medication adherence and chemical adherence testing. An exploratory generic qualitative study design with semi-structured interviews was conducted. Thirteen adult patients being treated with antihypertensives were interviewed. Patients had a negative chemical adherence test for at least one prescribed antihypertensive, while they reported to adhere to their medication. Audio-recorded interviews were thematically analyzed. Six themes emerged: (1) becoming frustrated with medication intake, (2) being uncomfortable with addressing medication nonadherence, (3) feeling ashamed and angry about their nonadherence, (4) feeling falsely accused of nonadherence, (5) experiencing results as a wakeup call and (6) wanting to be heard and listened to. Participants reacted differently to the adherence test results. Two distinct groups were identified among the participants: the first group felt shameful, disappointed, and angry at themselves for being nonadherent; the second group felt falsely accused and rejected the adherence test results. No differences between both groups were found in their reasons for becoming frustrated with medication intake and their behavior after the adherence test results. Patients felt that communication with clinicians is key in the treatment support of patients with hypertension. Clinicians need to consider the reasons for nonadherence and the different responses of patients to the chemical adherence test results in their support to optimize treatment for patients with hypertension.</t>
  </si>
  <si>
    <t>Barriers and facilitators for the implementation of co-created nursing innovations in a Dutch university hospital.</t>
  </si>
  <si>
    <t>van der Zanden, Myrthe; Helder, Onno; Westland, Heleen; Ista, Erwin</t>
  </si>
  <si>
    <t>jbi evidence implementation</t>
  </si>
  <si>
    <t>https://pubmed.ncbi.nlm.nih.gov/38932713</t>
  </si>
  <si>
    <t>Escalating global nursing shortages require solutions for efficient care, fewer injuries and lost workdays. When commercial solutions are lacking, innovations developed through co-creation can be a viable alternative. However, many co-created nursing innovations are ineffectively implemented. Understanding the barriers and facilitators for the successful implementation of co-created nursing innovations is crucial. This study explored nurses' perceived determinants influencing the implementation of co-created nursing innovations. We conducted a qualitative study using semi-structured interviews with nurses at a Dutch university hospital who were working with co-created nursing innovations. The Theoretical Domains Framework (TDF) was employed to identify the barriers and facilitators. Data analysis followed a deductive theoretical thematic analysis approach based on the 14 TDF domains. Determinants were labeled as a barrier, facilitator, or both. Of the 14 TDF domains, 9 appeared relevant, including Intention, Professional Role and Identify, and Knowledge. The absence of a "superuser," lack of storage space, and negative experiences during use were perceived as barriers to the implementation of nursing innovations. The importance of time-saving features, user-friendliness, reminders to use the innovation, and team enthusiasm were perceived as facilitators. Participants confirmed that the Social Influences domain, combined with Behavioral Regulation and Knowledge, were barriers to implementation, while Intentions and Reinforcements and Rewards were seen as facilitators. http://links.lww.com/IJEBH/A235.</t>
  </si>
  <si>
    <t>Optimizing support before and after Cardiac Resynchronization Therapy implantation in co-creation with patients with heart failure, informal caregivers and healthcare professionals.</t>
  </si>
  <si>
    <t>Westland, Heleen; van Rijn, Michelle; Meine, Mathias; Jaarsma, Tiny</t>
  </si>
  <si>
    <t>https://pubmed.ncbi.nlm.nih.gov/38875165</t>
  </si>
  <si>
    <t>To optimize support by healthcare professionals to enhance physical activity, HF-related symptom monitoring and management in patients with heart failure before and after cardiac resynchronization therapy (CRT) implantation in co-creation with patients, informal caregivers, and healthcare professionals. A qualitative and co-design approach was used to develop support strategies collaboratively with end-users. Seventeen semi-structured interviews were conducted to explore patients' expectations and factors influencing physical activity and symptom management. The qualitatively obtained insights informed the development of support strategies using an ideas group with patients, informal caregivers, and healthcare professionals.Four themes emerged from the interviews: 1. Expecting and hoping to regain energy and fitness; 2. Difficulties and opportunities to become more active; 3. Impact of CRT on sense of safety; and 4. Dealing with continuing bothersome symptoms. Several strategies were brainstormed, prioritized and prototyped, including optimization of CRT information, a peer contact list, expansion of the post-CRT implantation consultation to ask questions and share concerns, and a group meeting with peer patients, partners, and healthcare professionals. Patients expected and hoped to have positive effects from CRT, but not all patients experienced improvement after CRT. To improve patients' physical activity, feelings of insecurity, symptom monitoring, and thoughtful response to symptoms, support must include providing information and support to increase their knowledge and discuss experiences and physical and mental concerns.</t>
  </si>
  <si>
    <t>Risk of Recurrent Venous Thromboembolism in Patients with Cancer: An Individual Patient Data Meta-analysis and Development of a Prediction Model.</t>
  </si>
  <si>
    <t>Lanting, Vincent R; Takada, Toshihiko; Bosch, Floris T M; Marshall, Andrea; Grosso, Michael A; Young, Annie M; Lee, Agnes Y Y; Di Nisio, Marcello; Raskob, Gary E; Kamphuisen, Pieter W; Büller, Harry R; van Es, Nick</t>
  </si>
  <si>
    <t>https://pubmed.ncbi.nlm.nih.gov/39299270</t>
  </si>
  <si>
    <t xml:space="preserve"> About 7% of patients with cancer-associated venous thromboembolism (CAT) develop a recurrence during anticoagulant treatment. Identification of high-risk patients may help guide treatment decisions.  To identify clinical predictors and develop a prediction model for on-treatment recurrent CAT.  For this individual patient data meta-analysis, we used data from four randomized controlled trials evaluating low-molecular-weight heparin or direct oral anticoagulants (DOACs) for CAT (Hokusai VTE Cancer, SELECT-D, CLOT, and CATCH). The primary outcome was adjudicated on-treatment recurrent CAT during a 6-month follow-up. A clinical prediction model was developed using multivariable logistic regression analysis with backward selection. This model was validated using internal-external cross-validation. Performance was assessed by the c-statistic and a calibration plot.  After excluding patients using vitamin K antagonists, the combined dataset comprised 2,245 patients with cancer and acute CAT who were treated with edoxaban (23%), rivaroxaban (9%), dalteparin (47%), or tinzaparin (20%). Recurrent on-treatment CAT during the 6-month follow-up occurred in 150 (6.7%) patients. Predictors included in the final model were age (restricted cubic spline), breast cancer (odds ratio [OR]: 0.42; 95% confidence interval [CI]: 0.20-0.87), metastatic disease (OR: 1.44; 95% CI: 1.01-2.05), treatment with DOAC (OR: 0.66; 95% CI: 0.44-0.98), and deep vein thrombosis only as an index event (OR: 1.72; 95% CI: 1.31-2.27). The c-statistic of the model was 0.63 (95% CI: 0.54-0.72) after internal-external cross-validation. Calibration varied across studies.  The prediction model for recurrent CAT included five clinical predictors and has only modest discrimination. Prediction of recurrent CAT at the initiation of anticoagulation remains challenging.</t>
  </si>
  <si>
    <t>"Are you listening?": Experiences shared online by family caregivers of patients in the palliative phase during the Covid-19-pandemic.</t>
  </si>
  <si>
    <t>Hoffstädt, Hinke E; Verhoef, Mary-Joanne; Akkermans, Aranka; van der Steen, Jenny T; Stoppelenburg, Arianne; de Vries, Sita; de Graaf, Everlien; Teunissen, Saskia C C M; Hartog, Iris D; van der Linden, Yvette M</t>
  </si>
  <si>
    <t>https://pubmed.ncbi.nlm.nih.gov/39541320</t>
  </si>
  <si>
    <t>In palliative care, it is important for family caregivers to spend time with and care for the patient, and to receive (in)formal support. These elements were compromised during the Covid-19-pandemic. This study investigates what family caregivers of non-Covid-19-patients in the palliative phase shared online during the first wave of the pandemic, and what their communicative intentions were with posting online. To investigate what family caregivers shared online, a reflexive thematic analysis was performed on online newspaper articles and posts on Twitter, Facebook and online forums. To investigate family caregivers' communicative intentions with social media posts, content analysis was conducted guided by Speech Act Theory. In total, 412 posts and articles were included, the majority being Tweets (86.7%). Four themes were constructed: 1) 'Being out of touch', 2) 'Fear, worries and uncertainties, 3) 'Disbelief, anger and resistance', and 4) 'Understanding, acceptance and gratitude'. Family caregivers felt overwhelmed with anger, sadness and anxiety, yet some expressing milder or positive attitudes towards the new circumstances. Family caregivers mostly posted online to share their personal experiences and emotions, and to express their opinions about the restrictions. The pandemic had distinct implications for family caregivers of non-Covid-19-patients in the palliative phase. In future similar circumstances, restrictions should be tailored to individual conditions and interventions should be in place to facilitate contact between patients, family caregivers and healthcare professionals and to support family caregivers.</t>
  </si>
  <si>
    <t>Experience or perception: What healthcare providers need when using the Utrecht Symptom Diary-4 Dimensional, a mixed-methods study.</t>
  </si>
  <si>
    <t>Lormans, Tom; de Graaf, Everlien; Leget, Carlo; Teunissen, Saskia</t>
  </si>
  <si>
    <t>https://pubmed.ncbi.nlm.nih.gov/39493319</t>
  </si>
  <si>
    <t>The Utrecht Symptom Diary-4 Dimensional (USD-4D), an adaptation of the Edmonton Symptom Assessment System, supports healthcare providers (HCPs) in identifying, monitoring, and exploring multidimensional symptoms and needs of patients in the palliative phase. For the USD-4D to be optimally implemented in clinical palliative care, it is essential to know and understand the needs of HCPs when using it. To identify and interpret the needs of HCPs when using the USD-4D in clinical palliative care, operationalized as perceived facilitators and barriers. An explanatory mixed-methods study with a sequential design. Data were collected between October 2019 and September 2020. In phase I, quantitative data were collected through a survey targeting Dutch HCPs working in palliative care. Facilitators were identified as items answered positively by ⩾80% of participants, while barriers were identified as items answered negatively by ⩾20% of participants. In phase II, these identified facilitators and barriers were explored in depth through mixed composition focus groups. The Capability-Opportunity-Motivation-Behavior (COM-B) model was utilized to contextualize and interpret the perceived facilitators and barriers. A total of 122 HCPs completed the survey, with 95% of the respondents being women with a mean age of 48 years and 72% being nurses. Additionally, 53% of the respondents had no prior experience with the USD-4D. In phase II, 21 HCPs participated in focus groups. 95% of the participants were women with a mean age of 49 years and 67% being nurses. HCPs pinpointed facilitators primarily related to the potential benefits of the USD-4D for daily patient care. Conversely, the identified barriers included issues related to HCPs' behavior, knowledge gaps, uncertainty regarding their abilities and attitudes toward the USD-4D, and technical obstacles. Facilitators and barriers across all facets of the COM-B model were recognized, with a notable emphasis on motivational barriers. It should be acknowledged that facilitators and barriers can evolve throughout the implementation process, underscoring the importance of viewing implementation and integration as fluid and continuous endeavors. Facilitators and barriers are closely linked to HCPs' reflective capacities, emphasizing the need for tailored intervention strategies that align with different stages of USD-4D implementation.</t>
  </si>
  <si>
    <t>Advance Care Planning: A Retrospective Audit in a National Referral Center for Interstitial Lung Diseases.</t>
  </si>
  <si>
    <t>Trapman, Lian; Zwakman, Marieke; de Graaf, Everlien; Dijksman, Lea M; Grutters, Jan C; Teunissen, Saskia C C M</t>
  </si>
  <si>
    <t>https://pubmed.ncbi.nlm.nih.gov/39401339</t>
  </si>
  <si>
    <t>Idiopathic and progressive pulmonary fibrosis (IPF/PPF) of known cause are relatively rare lung diseases with a limited survival time after diagnosis. Conscious attention for palliative care is recommended. Optimal care requires collaboration to define goals and preferences for future medical treatment and care with the patient and their families, to inform (or enable) Advance Care Planning (ACP). To get insight into the frequency of key elements of ACP described after dialogues with patients with IPF/PPF. A retrospective audit included charts of patients with IPF/PPF who died between December 2017 and December 2020. A data extraction model was developed based on a guideline for patient federation and wider literature and finally consisted of fourteen key elements. Subsequently content analysis was performed. The medical charts of 60 patients showed that an element of ACP was recorded in 57(95%) of cases. No medical chart contained all fourteen key elements of ACP. Most frequently recorded ACP elements were: knowledge of illness, goals of treatment and care and fears and concerns. The lack of structural implementation of ACP in the care for patients with interstitial lung disease, results in only some elements of ACP being dialogued by health care professionals (HCP). These notes recorded are often superficial and reflect the view of the HCP. Implementation of ACP conversations and structured documentation is needed to gain better insight into the wishes and preferences of the patient.</t>
  </si>
  <si>
    <t>Attention to the Values, Wishes and Needs of Patients With Advanced Cancer by Hospital Clinicians, an Exploratory Qualitative Study.</t>
  </si>
  <si>
    <t>de Vries, Sita; Pijnappel, Laury; Vervoort, Sigrid; van der Linden, Yvette; Teunissen, Saskia; de Graaf, Everlien</t>
  </si>
  <si>
    <t>https://pubmed.ncbi.nlm.nih.gov/39229838</t>
  </si>
  <si>
    <t>&lt;b&gt;Context:&lt;/b&gt; Insight into patients' personal values, wishes, and needs (VWN) by clinicians is essential to guide appropriate palliative care. &lt;b&gt;Objective:&lt;/b&gt; To gain insight into the exploration and monitoring of the VWN of patients with advanced cancer during the illness trajectory by hospital oncology clinicians. &lt;b&gt;Method:&lt;/b&gt; A generic qualitative study was conducted from February 2022 to July 2022. Specialized nurses, nurse practitioners and medical specialists (in training) providing care to adult patients with advanced cancer were recruited at an outpatient clinic in a Dutch academic hospital. Data were collected using in-depth semi-structured interviews and participatory observations of outpatient clinic consultations. Data were analyzed collaboratively by two researchers using thematic analysis. &lt;b&gt;Results:&lt;/b&gt; Eleven clinicians, aged 33-64, 8 females, participated; 7 interviews and 13 observations were conducted. How clinicians explored and monitored patients' VWN was based on their opinions, originating from the clinicians' personal values and work experiences. These were influenced by the local collaboration. Three key opinions were identified: (1) providing safety, (2) supporting medical decision-making, and (3) ensuring alignment. Individual clinicians' approaches varied. The alignment of care and treatment with the patient's VWN was observed to be limited. &lt;b&gt;Conclusion:&lt;/b&gt; Clinicians acknowledged the importance of exploring and monitoring patients' VWN but lacked a systematic approach in discussing these topics. Patients should be actively engaged in communication regarding their VWN rather than primarily being provided with medical information. Patient-Reported Outcome Measures may be beneficial in facilitating communication regarding the patient's VWN and could improve appropriate palliative care in hospital cancer care.</t>
  </si>
  <si>
    <t>Towards a Learning Health System for Symptom Management in Hospice Care.</t>
  </si>
  <si>
    <t>Massa, Marieke; Dermois, Marijke A; Caffarel, Jennifer; Cramer-Van Der Welle, Christine M; Boxman, Dianne K E; de Graaf, Everlien; Teunissen, Saskia S C M; van der Werf, Jurrian</t>
  </si>
  <si>
    <t>studies in health technology and informatics</t>
  </si>
  <si>
    <t>https://pubmed.ncbi.nlm.nih.gov/39176676</t>
  </si>
  <si>
    <t>The reuse of real-world symptom monitoring data is essential in improving the quality of hospice care. A framework for achieving this is a Learning Health System, in which the development of a well-defined dataset is essential. This paper discusses the challenges in the design of a comprehensive dataset, focusing on variations in two electronic health record systems and divergent care processes.</t>
  </si>
  <si>
    <t>It is important to feel invited': what patients require when using the Utrecht Symptom Diary - 4 Dimensional, a qualitative exploration.</t>
  </si>
  <si>
    <t>Lormans, Tom; de Graaf, Everlien; de Vries, Sita; Leget, Carlo; Teunissen, Saskia</t>
  </si>
  <si>
    <t>https://pubmed.ncbi.nlm.nih.gov/38911602</t>
  </si>
  <si>
    <t>In palliative care, the Utrecht Symptom Diary - 4 Dimensional (USD-4D), a Dutch-adapted and validated patient-reported outcome measure, supports multidimensional symptom management through identification and monitoring of, as well as dialogue on symptoms and needs. For the USD-4D to optimally support patients' autonomy, it is essential to know what patients need to use it. This study aims to identify what patients need when using the USD-4D in clinical palliative care. A generic qualitative design with primary and secondary analyses of semistructured interviews. Patients ⩾18 years with a life-limiting illness were purposefully recruited within hospice and home care settings if they were in their last year of life as identified by the surprise question. Patients had to be aware of their life-threatening condition. Patients were selected in two tranches. In the first tranche, patients had to have completed the USD-4D at least once. The second tranche consisted of patients who were not familiar with the USD-4D in clinical practice and were interviewed in a previous study on the content validity of the USD-4D. The interviews were transcribed verbatim and were subjected to thematic analysis. Twenty-five patients were included (14 men, ages 44-87). Patients' needs when using the USD-4D were summarized in three themes: (1) feeling invited, (2) being aware of the purpose and function of the USD-4D, and (3) experiencing a personal and nonjudgmental approach. For patients to optimally benefit from the USD-4D as a supportive measure of their autonomy in clinical palliative care, it is essential that they feel invited to use it. Healthcare providers are tasked with setting the right preconditions for patients to want and to be able to use the USD-4D. For patients, this means healthcare providers should always be attuned to their personal preferences when communicating the purpose and function of the USD-4D and when they enter into dialogue with them.</t>
  </si>
  <si>
    <t>General practice utilisation by Australian cancer patients in the last year of life.</t>
  </si>
  <si>
    <t>Grant, Matthew P; McCarthy, Damien; Kearney, Chris; Collins, Anna; Sundararajan, Vijaya; Rhee, Joel J; Philip, Jennifer A M; Emery, Jon D</t>
  </si>
  <si>
    <t>https://pubmed.ncbi.nlm.nih.gov/39531672</t>
  </si>
  <si>
    <t>General practice plays a key role in end-of-life care, yet the extent of this remains largely unknown due to a lack of detailed clinical data. This study aims to describe the care provided by General Practitioners (GPs) for people with cancer in their last year of life. Retrospective cohort study using linked routine primary care and death certificate data in Victoria, Australia. Patients were included who died from cancer between 2008 and 2017. In total 7025 cancer patients were included, mean age of 74.8 yrs. 95% of patients visited their GP in the last 6 months of life, with a median of 11 general practice contacts in this period. 72% of patients visited their GP in the second-last month prior to death, and 74% in the last month of life. The majority of patients (58%) were prescribed opioids, 19% anticipatory medications, 24% received a home visit, and a small proportion had imaging (6%) in the last month and pathology (6%) in the last fortnight. Patients in regional areas had more contact with general practices in the last year of life compared to metropolitan patients (median metropolitan = 16, inner regional = 25, and outer regional = 23, P &lt; .001). The use of GP services did not differ by cancer type. GP's play a central role in end-of-life care provision for cancer patients, which intensifies in the last months of life. There is room for improvement, with a proportion having little or no engagement, and low rates of home visits and anticipatory medication prescribing.</t>
  </si>
  <si>
    <t>Factors influencing deprescribing in primary care for those towards the end of life: A qualitative interview study with patients and healthcare practitioners.</t>
  </si>
  <si>
    <t>van der Waal, Maike S; Teunissen, Saskia Ccm; Uyttewaal, Allegonda G; Verboeket-Crul, Cathelijne; Smits-Pelser, Hanneke; Geijteman, Eric Ct; Grant, Matthew P</t>
  </si>
  <si>
    <t>https://pubmed.ncbi.nlm.nih.gov/38916262</t>
  </si>
  <si>
    <t>For people with limited lifetime expectancy, the benefit of many medications may be outweighed by their potential harms. Despite the relevance of reducing unnecessary medication use, deprescribing is poorly enacted in primary care practice. This study aims to describe factors, as identified by primary care professionals and patients, that influence deprescribing in the last phase of life. Semi-structured interviews were conducted and analysed using a thematic approach. This study was performed in primary care settings, including general practices, hospices and community care teams in The Netherlands. Purposefully identified primary care professionals (general practitioners, pharmacists, nurses) and patients with limited lifetime expectancy due to advanced chronic illness or cancer and their caretakers were interviewed. Three themes emerged detailing factors influencing deprescribing in the last phase of life in primary care: (1) non-maleficence, the wish to avoid additional psychological or physical distress; (2) reactive care, the lack of priority and awareness of eligible patients; and (3) discontinuity of care within primary care and between primary care and specialty care. Deprescribing is an incremental process, complicated by the unpredictability of life expectancy and attitudes of patients and health care professionals that associate continued medication use with clinical stability. Opportunities to facilitate the deprescribing process and its acceptance include the routinely systematic identification of patients with limited life expectancy and potentially inappropriate medications, and normalisation of deprescribing as component of regular primary care, occurring for all patients and continuing into end-of-life care.</t>
  </si>
  <si>
    <t>General Practitioners' Experiences With Implementing Colon or Prostate Cancer Survivorship Care in Primary Care: A Cross-Sectional Survey Nested Within Two Randomized-Controlled Trials.</t>
  </si>
  <si>
    <t>Vos, Julien A M; Wollersheim, Barbara M; van Weert, Henk C P M; van de Poll-Franse, Lonneke V; van Asselt, Kristel M</t>
  </si>
  <si>
    <t>jco oncology practice</t>
  </si>
  <si>
    <t>https://pubmed.ncbi.nlm.nih.gov/39621954</t>
  </si>
  <si>
    <t>To evaluate general practitioners' (GPs) experiences with providing cancer survivorship care and explore readiness for implementation. This cross-sectional survey study was nested within two randomized-controlled trials conducted in the Netherlands between 2015 and 2023, comparing GP- with specialist-led survivorship care for patients with colon or prostate cancer. An adapted version of the normalisation measure development (NoMAD) survey was distributed among participating GPs. NoMAD assesses the implementation of complex interventions and includes seven items on experiences (score ranges, 0-10) and 19 core items (expressed as % agreement). Higher scores indicate greater normalization, that is, embedding in primary care. In total, 214 GPs participated (response rate, 69%). The overall experience with providing survivorship care was 7.0 ± 1.6 for prostate cancer and 6.4 ± 1.8 for colon cancer. Lowest scores were seen for willingness to provide care (5.9 ± 2.4 and 5.0 ± 2.5, respectively), expected future involvement (6.6 ± 2.0 and 5.6 ± 2.5), and appropriateness of involvement (6.4 ± 2.1 and 5.6 ± 2.7). GPs in both trials agreed (±75%) there was potential value for patients, but not for their own work (±50%). Survivorship care for colon cancer was often perceived as different from usual care (74%). GPs' self-reported knowledge of care was high in the prostate cancer trial (62%), but not in the colon cancer trial (41%). GPs from both trials agreed that they could easily integrate management of physical and psychosocial effects into their work (±70%), but integrating routine check-ups was rated less positively (±55%). Financial compensation was deemed necessary (±80% agreed). Twenty-one percent was willing to provide care for other cancer types. GPs recognize value of providing survivorship care for patients, but experiences differ on the basis of cancer type. Implementation of prostate versus colon cancer survivorship care appears more feasible.</t>
  </si>
  <si>
    <t>Let's talk about work: pilot study of an education program on discussing work participation with cancer patients for general practitioners in training.</t>
  </si>
  <si>
    <t>de Wit, Mariska; van Asselt, Kristel M; Mak-van der Vossen, Marianne; de Boer, Angela G E M</t>
  </si>
  <si>
    <t>https://pubmed.ncbi.nlm.nih.gov/38982451</t>
  </si>
  <si>
    <t>Cancer patients report that they lack support from healthcare providers when it comes to returning to or maintaining employment. In the education of general practitioners (GPs) in the Netherlands, there is little attention given to discussing work participation with patients. The aim of this pilot study was to evaluate a newly developed education program for GPs in training that focuses on discussing work participation with cancer patients. Two groups of in total twenty-one GPs in training participated in the education program. GPs were educated about the importance of discussing work participation with patients, work-related problems cancer patients can experience, and advice they can give to support cancer patients regarding work issues. In this pilot study using a mixed-method design, participants evaluated the program in two self-developed questionnaires and in a focus group discussion. Seventeen participating GPs (81%) indicated that the education program was suitable for implementation in the education curriculum. Eleven participants (52%) reported that they had never discussed work participation with cancer patients before. Directly after the education program, eighteen participants (86%) reported that they planned to discuss work participation more often with their patients. Four months after the program, 67% indicated they had applied their new knowledge and skills in practice by discussing work participation and by referring cancer patients to occupational health professionals or online resources. According to the GPs in training, integrating the topic of work participation into other education for GPs in training and focusing on a broader group of patients could improve the impact of the education program. According to the results of this pilot study, the newly developed education program increased the awareness of GPs in training on the importance of discussing work participation with cancer patients. Future studies should focus on whether cancer patients experience more support from their GPs for maintaining and returning to employment after their GP has participated in the training program.</t>
  </si>
  <si>
    <t>Did aetiology matter in illness duration and complications in patients presenting in primary care with acute respiratory tract infections early in the COVID-19 pandemic: An observational study in nine countries.</t>
  </si>
  <si>
    <t>Venekamp, Roderick P; Eijkemans, Marinus J C; Zuithoff, Nicolaas P A; Böhmer, Femke; Chlabicz, Slawomir; Colliers, Annelies; García-Sangenís, Ana; Malania, Lile; Pauer, Jozsef; Tomacinschii, Angela; Verheij, Theo J; Goossens, Herman; Vellinga, Akke; Butler, Christopher C; van der Velden, Alike W</t>
  </si>
  <si>
    <t>https://pubmed.ncbi.nlm.nih.gov/38995056</t>
  </si>
  <si>
    <t>Despite considerable research into COVID-19 sequelae, little is known about differences in illness duration and complications in patients presenting in primary care with symptoms of acute respiratory tract infections (RTI) that are and are not attributed to SARS-CoV-2 infection. To explore whether aetiology impacted course of illness and prediction of complications in patients presenting in primary care with symptoms of RTI early in the COVID-19 pandemic. Between April 2020-March 2021 general practitioners from nine European countries recruited consecutively contacting patients with RTI symptoms. At baseline, an oropharyngeal-nasal swab was obtained for aetiology determination using PCR after follow-up of 28 days. Time to self-reported recovery was analysed with Kaplan-Meier curves. Predictors (baseline variables of demographics, patient and disease characteristics) of a complicated course (composite of hospital admission and persisting signs/symptoms at 28 days follow-up) were explored with logistic regression modelling. Of 855 patients with RTI symptoms, 237 (27.7%) tested SARS-CoV-2 positive. The proportion not feeling fully recovered (15.6% vs 18.1%, &lt;i&gt;p&lt;/i&gt; = 0.39), reporting being extremely tired (9.7% vs 12.8%, &lt;i&gt;p&lt;/i&gt; = 0.21), and not having returned to usual daily activities (18.1% vs 14.4%, &lt;i&gt;p&lt;/i&gt; = 0.18) at day 28 were comparable between SARS-CoV-2 positive (&lt;i&gt;n&lt;/i&gt; = 237) and negative (&lt;i&gt;n&lt;/i&gt; = 618) groups. However, among those feeling fully recovered (SARS-CoV-2 positive: 200 patients, SARS-CoV-2 negative: 506 patients), time to full recovery was significantly longer in SARS-CoV-2 patients (10.6 vs 7.7 days, &lt;i&gt;p&lt;/i&gt; &lt; 0.001). We found no evidence that predictors of a complicated course differed between groups (&lt;i&gt;p&lt;/i&gt; = 0.07). Early in the pandemic, the proportion of patients not feeling fully recovered by 28 days was similar between SARS-CoV-2 positive and negative patients presenting in primary care with RTI symptoms, but it took somewhat longer for SARS-CoV-2 patients to feel fully recovered. More research is needed on predictors of a complicated course in RTI.</t>
  </si>
  <si>
    <t>Corrigendum to "Antihypertensive medication classes and risk of incident dementia in primary care patients: a longitudinal cohort study in the Netherlands" [The Lancet Regional Health-Europe, Volume 42, July 2024, 100927].</t>
  </si>
  <si>
    <t>https://pubmed.ncbi.nlm.nih.gov/39633892</t>
  </si>
  <si>
    <t>[This corrects the article DOI: 10.1016/j.lanepe.2024.100927.].</t>
  </si>
  <si>
    <t>Exploring the barriers, facilitators and needs to use patient outcomes in district nursing care: A multi-method qualitative study.</t>
  </si>
  <si>
    <t>Veldhuizen, Jessica Desirée; Van Wijngaarden, Frans; Mikkers, Misja Chiljon; Schuurmans, Marieke Joanne; Bleijenberg, Nienke</t>
  </si>
  <si>
    <t>https://pubmed.ncbi.nlm.nih.gov/39177259</t>
  </si>
  <si>
    <t>To provide an in-depth insight into the barriers, facilitators and needs of district nurses and nurse assistants on using patient outcomes in district nursing care. As healthcare demands grow, particularly in district nursing, there is a significant need to understand how to systematically measure and improve patient outcomes in this setting. Further investigation is needed to identify the barriers and facilitators for effective implementation. A multi-method qualitative study. Open-ended questions of a survey study (N = 132) were supplemented with in-depth online focus group interviews involving district nurses and nurse assistants (N = 26) in the Netherlands. Data were analysed using thematic analysis. Different barriers, facilitators and needs were identified and compiled into 16 preconditions for using outcomes in district nursing care. These preconditions were summarised into six overarching themes: follow the steps of a learning healthcare system; provide patient-centred care; promote the professional's autonomy, attitude, knowledge and skills; enhance shared responsibility and collaborations within and outside organisational boundaries; prioritise and invest in the use of outcomes; and boost the unity and appreciation for district nursing care. The preconditions identified in this study are crucial for nurses, care providers, policymakers and payers in implementing the use of patient outcomes in district nursing practice. Further exploration of appropriate strategies is necessary for a successful implementation. This study represents a significant step towards implementing the use of patient outcomes in district nursing care. While most research has focused on hospitals and general practitioner settings, this study focuses on the needs for district nursing care. By identifying 16 key preconditions across themes such as patient-centred care, professional autonomy and unity, the findings offer valuable guidance for integrating a learning healthcare system that prioritises the measurement and continuous improvement of patient outcomes in district nursing. Consolidated Criteria for Reporting Qualitative Research (COREQ) guidelines. No patient or public contribution.</t>
  </si>
  <si>
    <t>Use of antithrombotic therapy and the risk of cardiovascular outcomes and bleeding in cancer patients at the end of life: a Danish nationwide cohort study.</t>
  </si>
  <si>
    <t>Søgaard, Mette; Ørskov, Marie; Jensen, Martin; Goedegebuur, Jamilla; Kempers, Eva K; Visser, Chantal; Geijteman, Eric C T; Abbel, Denise; Mooijaart, Simon P; Geersing, Geert-Jan; Portielje, Johanneke; Edwards, Adrian; Aldridge, Sarah J; Akbari, Ashley; Højen, Anette A; Klok, Frederikus A; Noble, Simon; Cannegieter, Suzanne; Ording, Anne Gulbech</t>
  </si>
  <si>
    <t>https://pubmed.ncbi.nlm.nih.gov/39393778</t>
  </si>
  <si>
    <t>Despite uncertain benefit-risk profile near the end of life, antithrombotic therapy (ATT) is prevalent in patients with terminal cancer. To examine adherence and persistence with ATT in terminally ill cancer patients and investigate risks of major and clinically relevant bleeding, venous thromboembolism (VTE), and arterial thromboembolism (ATE) by ATT exposure. Using a Danish nationwide cohort of terminal cancer patients, ATT adherence in the year following terminal illness declaration was measured by the proportion of days covered (PDC) by prescription. Discontinuation was defined as a treatment gap of ≥30 days between prescription renewals. One-year cumulative incidences of bleeding complications, VTE, and ATE were calculated, considering the competing risk of death. During 2013-2022, 86 732 terminally ill cancer patients were identified (median age, 75 years; 47% female; median survival, 57 days). At terminal illness declaration, 37.5% were receiving ATT (66.6% platelet inhibitors, 23.0% direct oral anticoagulants, and 10.4% vitamin K antagonists [VKAs]). The mean PDC with ATT was 88% (SD, 30%), highest among platelet inhibitor users (mean PDC, 89%) and lowest among VKA users (73%). One-year ATT discontinuation incidence was 7.9% (95% CI, 7.7%-8.1%). Most patients continued ATT until death (74.8% platelet inhibitors, 58.8% direct oral anticoagulants, and 61.6% VKAs). Patients receiving ATT had a lower 1-year VTE risk but higher risks of ATE and major bleeding. Despite uncertain benefit-risk profile, most terminally ill cancer patients continue ATT until the end of life. These findings provide insights into current ATT utilization and discontinuation dynamics in the challenging context of terminal illness.</t>
  </si>
  <si>
    <t>How Clinician-Scientists Access and Mobilise Social Capital and Thus Contribute to the Professional Development of Their Colleagues in Their Networks.</t>
  </si>
  <si>
    <t>de Groot, Esther; Brouwer, Jasperina; Baggen, Yvette; Moolenaar, Nienke; Kluijtmans, Manon; Damoiseaux, Roger</t>
  </si>
  <si>
    <t>journal of cme</t>
  </si>
  <si>
    <t>https://pubmed.ncbi.nlm.nih.gov/39502859</t>
  </si>
  <si>
    <t>Clinician-scientists, physicians who conduct research, may fulfil a bridging role in networks of health care researchers and practitioners. Within clinician-scientists' networks, knowledge sharing is thought to play a vital role in the continuing professional development of themselves and their colleagues. However, little is known about networks of clinician-scientists and how this impacts continuing professional development. Rooted in social capital theory, this study provides a mixed methods exploration of clinician-scientists' networks. Ego-level social network data were collected via semi-structured interviews on professional interactions about evidence-based practice with 15 clinician-scientists in the area of general practice and elderly care. Quantitative analysis revealed that professional networks of clinician-scientists varied in size, composition, and frequency of interactions depending on appointed research time and experience. Less experienced clinician-scientists interacted most frequently with other clinician-scientists while experienced clinician-scientist experienced more sporadically with clinicians. Clinician-scientists with more research time interacted more frequently with scientists and had a slightly larger professional network than those with less research time. The thematic qualitative analysis revealed different decision-making processes of clinician-scientists on mobilising their social capital and connecting to others in the network: (1) deliberate decision about initiating connections; (2) reactive behaviour without a decision; (3) ad-hoc decision. Clinician-scientists exchange knowledge to enhance their own continuing professional development mainly but also contribute to the professional development of clinicians, scientists, and other clinician-scientists.</t>
  </si>
  <si>
    <t>Early-Life Risk Factors for Carotid Intima-Media Thickness and Carotid Stiffness in Adolescence.</t>
  </si>
  <si>
    <t>van der Linden, Isabelle A; Roodenburg, Rozan; Nijhof, Sanne L; van der Ent, Cornelis K; Venekamp, Roderick P; van der Laan, Sabine E I; Schipper, Henk S</t>
  </si>
  <si>
    <t>https://pubmed.ncbi.nlm.nih.gov/39302677</t>
  </si>
  <si>
    <t>Atherogenesis starts during childhood, making childhood and adolescence an important window of opportunity to prevent atherosclerotic cardiovascular disease later in life. To identify early-life risk factors for preclinical atherosclerosis in adolescence. This cohort study is part of the ongoing Wheezing Illness Study in Leidsche Rijn (WHISTLER) prospective birth cohort study, which includes 3005 healthy newborns born between December 2001 and December 2012 in the Leidsche Rijn area of Utrecht, the Netherlands. Eligible participants included those from the WHISTLER cohort who visited the clinic between March 2019 and October 2020 for adolescent follow-up. This study's analyses were performed in January 2024. Early-life growth was assessed at birth to 6 months, 5 years, and 12 to 16 years. Abdominal ultrasonography determined abdominal subcutaneous adipose tissue (SAT) and visceral adipose tissue (VAT) depth. Blood pressure (BP) percentiles and body mass index (BMI) z scores were used. Carotid ultrasonography was performed at age 12 to 16 years to assess carotid intima-media thickness (cIMT) and the distensibility coefficient (DC), established measures of preclinical atherosclerosis. Multivariable linear regression models were used to identify early-life risk factors for cIMT and DC in adolescence. In total, 232 adolescents (median [IQR] age, 14.9 [13.7-15.8] years; 121 female [52.2%]) were included. More postnatal weight gain (B = 12.34; 95% CI, 2.39 to 22.39), higher systolic BP at 5 years (B = 0.52; 95% CI, 0.02 to 1.01), more VAT at 5 years (B = 3.48; 95% CI, 1.55 to 5.40), and a larger change in VAT between 5 and 12 to 16 years (B = 3.13; 95% CI, 1.87 to 4.39) were associated with a higher cIMT in adolescence. A higher BMI (B = -2.70, 95% CI,-4.59 to -0.80) and VAT at 5 years (B = -0.56; 95% CI, -0.87 to -0.25), as well as a larger change in BMI between 5 and 12 to 16 years (B = -3.63; 95% CI, -5.66 to -1.60) were associated with a higher carotid stiffness in adolescence. On the contrary, a larger change in SAT between 5 and 12 to 16 years (B = 0.37; 95% CI, 0.16 to 0.58) was associated with a higher carotid DC in adolescence. In this cohort study of 232 participants, early-life growth parameters, and particularly abdominal VAT development, were associated with a higher cIMT and carotid stiffness in adolescence. These findings suggest that assessment of adipose tissue development during childhood can aid characterization of lifetime risk trajectories and tailoring of cardiovascular prevention and risk management strategies.</t>
  </si>
  <si>
    <t>Topical or oral antibiotics in childhood acute otitis media and ear discharge: a randomized controlled non-inferiority trial.</t>
  </si>
  <si>
    <t>Hullegie, Saskia; Damoiseaux, Roger A M J; Hay, Alastair D; Zuithoff, Nicolaas P A; van Dongen, Thijs M A; Little, Paul; Schilder, Anne G M; Venekamp, Roderick P</t>
  </si>
  <si>
    <t>https://pubmed.ncbi.nlm.nih.gov/38912621</t>
  </si>
  <si>
    <t>Current guidance suggests oral antibiotics can be considered for children with acute otitis media (AOM) and ear discharge, but there is an absence of evidence regarding the relative effectiveness of antibiotic-corticosteroid eardrops. To establish whether antibiotic-corticosteroid eardrops are non-inferior to oral antibiotics in children with AOM and ear discharge. Open randomized controlled non-inferiority trial set in Dutch primary care. Children were randomized to hydrocortisone-bacitracin-colistin eardrops (five drops, three times per day in the discharging ear(s)) or amoxicillin suspension (50 mg per kilogram of body weight per day, divided over three doses administered orally) for 7 days. The primary outcome was the proportion of children with resolution of ear pain and fever at day 3. Between December 2017 and March 2023, 58 of the planned 350 children were recruited due to slow accrual for various reasons. Children assigned to eardrops (n = 26) had lower resolution rates of ear pain and fever at 3 days compared to those receiving oral antibiotics (n = 31): 42% vs 65%; adjusted risk difference 20.3%, 95% confidence interval -5.3% to 41.9%), longer parent-reported ear discharge (6 vs 3 days; P = .04), and slightly higher mean ear pain scores (Likert scale 0-6) over days 1-3 (2.1 vs 1.4, P = .02), but received fewer oral antibiotic courses in 3months (11 for 25 children vs 33 for 30 children), and had less GI upset and rash (12% vs 32% and 8% vs 16%, respectively). Early termination stopped us from determining non-inferiority of antibiotic-corticosteroid eardrops. Our limited data, requiring confirmation, suggest that oral antibiotics may be more effective than antibiotic-corticosteroid eardrops in resolving symptoms and shortening the duration of ear discharge.</t>
  </si>
  <si>
    <t>A Dutch paediatric palliative care guideline: a systematic review and recommendations on advance care planning and shared decision-making.</t>
  </si>
  <si>
    <t>van Teunenbroek, Kim C; Mulder, Renée L; van Heel, Dayna A M; Fahner, Jurrianne C; de Vos-Broerse, Mirjam A; Verheijden, Johannes M A; Rippen, Hester; Borggreve, Brigitt C M; Kremer, Leontien C M; Kars, Marijke C; Michiels, Erna M C; Verhagen, A A Eduard; ,</t>
  </si>
  <si>
    <t>https://pubmed.ncbi.nlm.nih.gov/39578755</t>
  </si>
  <si>
    <t>In paediatric palliative care, children with life-threatening and life-limiting conditions, their families, and their health care professionals often face difficult decisions about treatment, goals of care, and delivery of care. Advance care planning and shared decision-making are strategies that can improve quality of care by discussing goals and preferences on future care. In this paper, we provide recommendations that aim to optimise advance care planning and shared decision-making in paediatric palliative care in the Netherlands. A multidisciplinary guideline panel of 20 experts in paediatric palliative care and nine (bereaved) parents was established to develop recommendations on advance care planning and shared decision-making. We performed systematic literature searches to identify quantitative and qualitative evidence and used the GRADE (CERQual) methodology for appraisal of evidence. Recommendations were formulated based on quantitative and qualitative evidence, clinical expertise, and patient and family experiences. We identified 4 RCTs that reported on the effect of advance care planning interventions in paediatric palliative care and 33 qualitative studies on barriers and facilitators to advance care planning and shared decision-making. We formulated 28 strong recommendations in close collaboration with a multidisciplinary guideline panel that provide guidance to offer advance care planning and shared decision-making, involve children and their family, and communicate information about care and treatment. The identified evidence and recommendations support the use of advance care planning and shared decision-making in paediatric palliative care. However, we found several knowledge gaps that should be addressed. As advance care planning and shared decision-making require specific skills and can be time-consuming, we emphasise the importance of education, adequate staffing and sufficient funding to improve integration in clinical practice. We do believe that our recommendations can be used as a starting point to develop recommendations in other countries. However, country-specific factors should be very carefully considered before applying any recommendations in other countries.</t>
  </si>
  <si>
    <t>The purpose of an individual care plan in pediatric palliative care according to healthcare professionals: a qualitative study.</t>
  </si>
  <si>
    <t>Joren, C Y; Kars, M C; Kremer, L C M; van Dijk, J C; Habing, A M; Tijs, A M; Trampe, A A; Verhagen, A A E; Aris-Meijer, J L</t>
  </si>
  <si>
    <t>https://pubmed.ncbi.nlm.nih.gov/39367385</t>
  </si>
  <si>
    <t>To ensure high-quality pediatric palliative care (PPC) and enable healthcare professionals (HCPs) to provide person-centered care for the individual child with a life-limiting or life-threatening illness and their family, the Individual Care Plan (ICP) for PPC was developed. However, in practice, the ICP for PPC is not used for all children in need of PPC. Insight into why, for which problem and for which children HCPs wish to use an ICP in PPC is therefore necessary to assure that the ICP can be fully implemented in practice. Two semi-structured focus group interviews were held with 15 experienced healthcare professionals in PPC. Data were thematically analyzed. Participants wish to use an ICP to collaboratively establish a plan with parents for the current and future care and treatment of the child. By doing so, they hope to achieve coordination and continuity of care, to achieve shared decision-making, and to support parents and other healthcare professionals in the care of the child. Participants think the ICP could also be used in the care for children with complex chronic conditions. The purposes for which healthcare professionals wish to use an ICP in PPC are broader than the purpose for which the ICP for PPC was developed. Future research should focus on whether the use of an ICP in PPC practice can achieve these purposes.</t>
  </si>
  <si>
    <t>Parents' and healthcare professionals' experiences with the content of an individual care plan for pediatric palliative care: a mixed-method study.</t>
  </si>
  <si>
    <t>Joren, Chantal Y; Kars, Marijke C; Kremer, Leontien C M; Hofman, Suzanne C; Rippen-Wagner, Hester; Slingerland-Blom, Ria; van der Velden, Chantal; Schuiling-Otten, Meggi; Verhagen, A A Eduard; Aris-Meijer, Judith L</t>
  </si>
  <si>
    <t>https://pubmed.ncbi.nlm.nih.gov/39314872</t>
  </si>
  <si>
    <t>The Individual Care Plan (ICP) for pediatric palliative care translates the general guideline recommendations into a personalized plan for the child. Various documents exist in pediatrics globally, aimed at facilitating anticipatory care or coordinating end-of-life care. The ICP aims both, but user experiences have not been studied post-development. The overall aim is to enhance knowledge and understanding of the content of the ICP from the perspectives of parents and healthcare professionals (HCPs). We conducted a mixed-method study using a convergent parallel design consisting of questionnaires and individual and focus group interviews among parents and HCPs having user experience with the ICP. The questionnaire and interview data were analyzed separately. Quantitative data were descriptively analyzed using mean, ±SD, and median. Qualitative data were thematically analyzed. A narrative approach and joint display were used to describe the results. In total, 27 parents and 161 HCPs participated. Overall, the content of the ICP was seen as important and complete, but changes and additions were called for on language, structure, and content. The chapter on the needs and wishes of child and parents was considered most important. HCPs would like to see this chapter expanded to incorporate more advance care planning outcomes, and parents wished for this chapter to reflect better who their child is. HCPs mentioned missing a chapter for palliative sedation, mainly to guide other HCPs. The ICP was appraised as not user-friendly and might possibly improve by making the ICP available in a secure digital environment. To meet the needs of parents and HCPs considering importance and completeness of the content of the ICP and its user-friendliness, changes are necessary in the content of the ICP, and preferably the ICP should be made digitally available. Although various documents exist globally to facilitate anticipatory care or coordinating end-of-life care, it appears that the combination of describing the values and preferences of the child and parents, along with medical decisions and life-sustaining treatments, makes the ICP a unique and comprehensive care plan.</t>
  </si>
  <si>
    <t>The Practical Application of the Individual Care Plan for Pediatric Palliative Care: A Mixed-Method Study.</t>
  </si>
  <si>
    <t>Joren, Chantal Y; Aris-Meijer, Judith L; Kremer, Leontien C M; Hofman, Suzanne C; Rippen-Wagner, Hester; Slingerland-Blom, Ria; van der Velden, Chantal; Schuiling-Otten, Meggi A; Project Team Icp,; Verhagen, A A Eduard; Kars, Marijke C</t>
  </si>
  <si>
    <t>https://pubmed.ncbi.nlm.nih.gov/39201902</t>
  </si>
  <si>
    <t>The Individual Care Plan (ICP) for pediatric palliative care was developed to provide person-centered care for the individual child and family. Currently, a lack of clarity remains regarding the use and function of the ICP in daily practice. To further implement the ICP, it is important to identify how parents and healthcare professionals use the ICP and which obstacles or benefits are experienced. This mixed-method study used qualitative interviews and quantitative questionnaires in (bereaved) parents and healthcare professionals with experience with the ICP. Parents and healthcare professionals used the ICP to establish a joint plan for care and treatment of the child to coordinate care and to achieve child- and family-centered care. This includes both obstacles that complicate achieving care goals and benefits that make it easier. Furthermore, responsibilities for the ICP remained unclear, and there was no set point in the illness trajectory for drawing up the ICP. Parents and healthcare professionals use the ICP as intended. However, uncertainties regarding timing, roles and responsibilities prevent optimal use of the ICP. Agreements on timing and responsibilities are needed for further ICP implementation in daily pediatric palliative care practice.</t>
  </si>
  <si>
    <t>Serum and mucosal antibody-mediated protection and identification of asymptomatic respiratory syncytial virus infection in community-dwelling older adults in Europe.</t>
  </si>
  <si>
    <t>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t>
  </si>
  <si>
    <t>https://pubmed.ncbi.nlm.nih.gov/39493753</t>
  </si>
  <si>
    <t>Respiratory syncytial virus (RSV) causes acute respiratory tract infection (ARTI) and reinfects adults throughout life, posing a risk for hospitalization in older adults (&gt;60 years) with frailty and comorbidities. To investigate serum and mucosal antibodies for protection against RSV infections, baseline serum samples were compared for RSV-pre- and -post-fusion (F) binding, and RSV-A2 neutralizing IgG antibodies between symptomatic RSV-ARTI (&lt;i&gt;N&lt;/i&gt; = 30), non-RSV (RSV negative) ARTI (&lt;i&gt;N&lt;/i&gt; = 386), and no ARTI (&lt;i&gt;N&lt;/i&gt; = 338). Mucosal RSV-pre-F IgA and IgG levels, as well as serum RSV-G IgG antibodies, were analyzed to determine their association with protection from symptomatic RSV-ARTI in a subset study. Using a receiver operating characteristic (ROC) analysis, we established thresholds of 1.4- to 1.6-fold change (FC) for RSV-pre-F and -post-F, and RSV-A2 neutralizing IgG antibodies, respectively, enabling the identification of asymptomatic RSV cases with high sensitivity and specificity (&gt;80% and &gt;90%, respectively). As a result, serum RSV-pre-F, RSV-G IgG, and mucosal pre-F binding IgA antibodies showed correlations with protection against symptomatic RSV infection. RSV-pre-F IgG antibodies were correlated with protection from RSV infections irrespective of the symptoms. This study provides insights into antibody-mediated protection for symptomatic RSV infection in a community-dwelling older-adult population and establishes a threshold to identify asymptomatic RSV infection using a data-driven approach.</t>
  </si>
  <si>
    <t>Validation of 11 added items of the outpatient version of the Utrecht Symptom Diary in patients receiving chemotherapy or targeted therapy.</t>
  </si>
  <si>
    <t>Koldenhof, Josephine J; Akpobome, Bernice O; Zweers, Danielle; Klaasse, Stance; Teunissen, Saskia C C M; Witteveen, Petronella O; Suijkerbuijk, Karijn P M; de Graeff, Alexander; van der Baan, Frederieke H</t>
  </si>
  <si>
    <t>journal of patientreported outcomes</t>
  </si>
  <si>
    <t>https://pubmed.ncbi.nlm.nih.gov/39422800</t>
  </si>
  <si>
    <t>The Utrecht Symptom Diary (USD) is a validated Dutch patient-reported outcome measurement (PROM) tool - based on the Edmonton Symptom Assessment System - to assess and monitor symptoms in cancer patients. The USD contains 11 items concerning frequently occurring symptoms in cancer patients (pain, sleeping problems, dry mouth, dysphagia, lack of appetite, abnormal stool, nausea, shortness of breath, fatigue, anxiety and depressed mood) and an item on overall well-being. For the outpatient USD 11 items concerning frequently occurring signs and symptoms in patients receiving chemotherapy and/or targeted therapy were added to the USD: taste alteration, oral pain, weight loss, diarrhoea, hair changes, skin problems, nail problems, eye problems, tingling, concentration problems and problems with sexuality. This current study aimed to evaluate the 11 added items on this treatment specific outpatient USD in cancer patients receiving intravenous chemotherapy and/or targeted therapy. Observational longitudinal retrospective cohort study including all adult outpatients with cancer receiving intravenous chemotherapy and/or targeted therapy in an academic hospital in the Netherlands who completed at least one outpatient USD as part of routine care (2012-2021). Relevance, comprehensiveness as well as criterion and construct validity were assessed. 1733 patients who completed ≥ 1 outpatient USD during intravenous chemotherapy and/or targeted therapy were included for analysis. Relevance as well as comprehensiveness of the items on the outpatient USD in this patient population was shown. Criterion validation was demonstrated for all added items of the outpatient USD - except for the item on oral pain. An additional analysis showed that mouth problems were detected with both outpatient USD items oral pain and dry mouth. Construct validity was demonstrated for the items hair changes and skin and nail problems. Construct validity on eye problems was not tested due to the low number of paired outpatient USDs. The treatment specific outpatient USD is a validated PROM in outpatients with cancer receiving intravenous chemotherapy and/or targeted therapy. Considering its validity in this broad group of patients, we think the treatment-specific outpatient USD is widely applicable. In addition to providing tailored supportive symptom care, the USD-data can be used to increase knowledge about symptom burden in daily practice in this population.</t>
  </si>
  <si>
    <t>Emergency medical service nurses' experiences and perspectives on a protocol change of pre-hospital preventive immobilization of spinal injuries after trauma: A qualitative study.</t>
  </si>
  <si>
    <t>van de Breevaart, Otto J; Van Loey, Nancy E E; Leenen, Luke P H; Schoonhoven, Lisette; Ham, Wietske H W</t>
  </si>
  <si>
    <t>https://pubmed.ncbi.nlm.nih.gov/39579675</t>
  </si>
  <si>
    <t>In 2016, a selective preventive spinal immobilization protocol for emergency medical service (EMS) nurses was introduced in the Netherlands. This protocol leaves more room for autonomous decision-making in the pre-hospital phase regarding preventive spinal immobilization (PSI), compared to the previous strict protocol. In this study, we explored the experiences and perspectives of EMS nurses on decisionmaking about PSI after the change from a strict to a selective PSI protocol. We used a qualitative design with semi-structured face-to-face interviews. Thematic analysis was applied. The capability-opportunity-motivation-behavior-model was used to interpret the experiences and perspectives. Thirteen EMS nurses from three emergency medical services were interviewed. Respondents appreciated autonomous decision-making as there was more room for patient-centered informed decision-making. However, autonomous decision-making required optimized knowledge and skills and elicited the need to receive feedback on their decision not to apply PSI. When nurses anticipated resistance to selective PSI from receiving hospitals, they were doubtful to apply it. Nurses appreciate the increased autonomy in decision-making, encouraging them to focus on patient-centered care. Increased autonomy also places higher demands on knowledge and skills, calling for training and feedback. Anticipated resistance to receiving hospitals based on mutual protocol discrepancies could lead to PSI application by EMS nurses while not deemed necessary. To enhance PSI procedures, optimizing the knowledge and skills of EMS nurses that facilitate on-scene decision-making may be indicated. A learning loop for feedback between the EMS nurses and the involved hospitals may add to their professional performance. More efforts are needed to create support for the changed Emergency Medical Services strategy in PSI to prevent unnecessary PSI and practice variation.</t>
  </si>
  <si>
    <t>Health care providers' perceptions of family participation in essential care in the intensive care unit: A qualitative study.</t>
  </si>
  <si>
    <t>Dijkstra, Boukje M; Schoonhoven, Lisette; Felten-Barentsz, Karin M; van der Valk, Margriet J M; van der Hoeven, Johannes G; Vloet, Lilian C M</t>
  </si>
  <si>
    <t>https://pubmed.ncbi.nlm.nih.gov/39431501</t>
  </si>
  <si>
    <t>Family participation in essential care may benefit patients and relatives. To examine the needs, perceptions and preferences of health care providers about family participation in essential care in the adult intensive care unit. A qualitative descriptive study using inductive thematic analysis. Three focus group interviews with a total of 30 intensive care unit health care providers, consisting of 20 critical care nurses, one nursing assistant, five physicians, three physical therapists and one speech therapist working in three Dutch intensive care units. One overarching theme, balancing interests, and four main themes emerged: looking after the patient's interests, taking the relatives' perspective into account, looking after interests of intensive care unit health care providers and conditions for family participation. The first theme, looking after the patient's interests, included three sub-themes: insecurity about patient's wishes and needs, patient safety concerns and potential benefits for the patient. The second theme, taking the relatives' perspective into account, was also characterized by three sub-themes: concerns about the relatives' possible burden, potential benefits for the relative and the relationship between patient and relative. The third theme, looking after interests of intensive care unit health care providers, included three sub-themes: attitude towards family participation in essential care, differing perceptions of essential care and concerns about intensive care unit health care provider's burden. The last theme, conditions for family participation, included two sub-themes: establishing a relationship and considering family participation in essential care as a process. Health care providers' perceptions and preferences regarding family participation in essential care in the intensive care unit are summarized in the overarching theme balancing interests. This overarching theme also reflects the needs and perceptions of patients and relatives. These findings may support critical care nurses and other health care providers when encouraging family participation in essential care.</t>
  </si>
  <si>
    <t>How to meet coping strategies and preferences of children during invasive medical procedures: perspectives of healthcare professionals.</t>
  </si>
  <si>
    <t>Segers, Elisabeth W; van den Hoogen, Agnes; Schoonhoven, Lisette; van de Putte, Elise M; Ketelaar, Marjolijn</t>
  </si>
  <si>
    <t>https://pubmed.ncbi.nlm.nih.gov/39384648</t>
  </si>
  <si>
    <t>Children with negative procedural experiences have an increased risk of fear and distress, with psychological consequences for subsequent procedures and future healthcare behaviors. Gaining control and feeling trust are important aspects for children to decrease fear. To enable professionals providing personal care during medical procedures, a systematic, evidence-based approach that supports children in expressing their preferences is needed. This study will gain insight into the experiences and needs of professionals involved in small invasive medical procedures to meet the coping strategies and preferences of children undergoing these procedures. A qualitative design was used to gain insight into professionals' perspectives. Data were collected through online focus groups with various professionals involved in medical procedures, such as anesthetists, laboratory staff, nurses, and pediatricians. Five interdisciplinary focus groups, with a total of 32 participants, were held. One overarching theme was revealed: "Balancing between different actors within the context of the hospital." Professionals reported they had to deal with different actors during a medical procedure: the child, the parent, the colleague, and themselves. Each actor had its own interests. They were aware of the child and parents' priority to gain control and feel trust. Nevertheless, they perceive organizational and personal aspects that hinder addressing these needs. To provide personalized care, professionals experience balancing between the needs and interests of diverse actors during medical procedures. The findings underscore the importance of a policy supporting HCPs in integrating patient-centered care into practice through practical tools and training initiatives such as scenario training. • Unresolved pain and stress arising from medical procedures can have significant short- and long-term impacts on children. Empowering children to gain control and fostering a sense of trust are crucial factors in reducing fear associated with medical procedures. • Children and parents expect to receive child-tailored care from professionals including respect for their own, unique needs, and boundaries. Professionals should build trustful relationships and provide appropriately tailored autonomy around medical procedures. • Healthcare professionals vary in their awareness of children's needs during a medical procedure. Beside this, the organizational dynamics of the hospital, along with the presence of actors such as the child, parent, colleague, and oneself, collectively influence the conduct of medical procedures. • Providing person-centered care during medical procedures can present challenges. The results highlight the significance of a policy to assist healthcare professionals in incorporating patient-centered care into their practice through practical tools and a culture of self-reflections regarding patient-centered values.</t>
  </si>
  <si>
    <t>Using PURPOSE-T in clinical practice: A realist evaluation.</t>
  </si>
  <si>
    <t>Coleman, Susanne; Greenhalgh, Joanne; Schoonhoven, Lisette; Twiddy, Maureen; Nixon, Jane</t>
  </si>
  <si>
    <t>https://pubmed.ncbi.nlm.nih.gov/39033058</t>
  </si>
  <si>
    <t>To explain how the clinical and organisational context influenced the way the Pressure Ulcer Risk Primary or Secondary Evaluation Tool (PURPOSE-T) is used by nursing staff to support their clinical judgement and decision making about care planning and delivery. A realist process evaluation was undertaken in a large acute hospital trust using mixed methods incorporating organisational policy review, staff semi-structured, ethnographic observation of clinical care and patient record review. Approximately 75 h of ethnographic field work involving 72 patients, 15 patient record reviews and 16 staff interviews were undertaken on 4 wards. Findings suggest PURPOSE-T assisted nurses differently depending on their level of experience. Those with less experience use it as an educational guide, while those with more experience made an initial clinical judgement and used PURPOSE-T as a safety net to ensure they hadn't missed anything. Nurses were concerned about demonstrating good documentation of assessment, care planning and delivery in order to underpin consistent communication about care and because they had an underlying fear of being blamed if things went wrong. There is an array of other contextual features that impact the planning and delivery of pressure area care that go beyond the use of PURPOSE-T alone, including systematic equipment provision, competing patient safety initiatives and rehabilitation requirements. The findings reinforce the assertion that PU-RAIs are complex interventions and could inform the development of a more integrated system of care which takes into account the contextual features associated with PU prevention in modern hospitals.</t>
  </si>
  <si>
    <t>Novel Textbook Outcomes following emergency laparotomy: Delphi exercise.</t>
  </si>
  <si>
    <t>https://pubmed.ncbi.nlm.nih.gov/38284399</t>
  </si>
  <si>
    <t>Textbook outcomes are composite outcome measures that reflect the ideal overall experience for patients. There are many of these in the elective surgery literature but no textbook outcomes have been proposed for patients following emergency laparotomy. The aim was to achieve international consensus amongst experts and patients for the best Textbook Outcomes for non-trauma and trauma emergency laparotomy. A modified Delphi exercise was undertaken with three planned rounds to achieve consensus regarding the best Textbook Outcomes based on the category, number and importance (Likert scale of 1-5) of individual outcome measures. There were separate questions for non-trauma and trauma. A patient engagement exercise was undertaken after round 2 to inform the final round. A total of 337 participants from 53 countries participated in all three rounds of the exercise. The final Textbook Outcomes were divided into 'early' and 'longer-term'. For non-trauma patients the proposed early Textbook Outcome was 'Discharged from hospital without serious postoperative complications (Clavien-Dindo ≥ grade III; including intra-abdominal sepsis, organ failure, unplanned re-operation or death). For trauma patients it was 'Discharged from hospital without unexpected transfusion after haemostasis, and no serious postoperative complications (adapted Clavien-Dindo for trauma ≥ grade III; including intra-abdominal sepsis, organ failure, unplanned re-operation on or death)'. The longer-term Textbook Outcome for both non-trauma and trauma was 'Achieved the early Textbook Outcome, and restoration of baseline quality of life at 1 year'. Early and longer-term Textbook Outcomes have been agreed by an international consensus of experts for non-trauma and trauma emergency laparotomy. These now require clinical validation with patient data.</t>
  </si>
  <si>
    <t>Identifying plasma proteomic signatures from health to heart failure, across the ejection fraction spectrum.</t>
  </si>
  <si>
    <t>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t>
  </si>
  <si>
    <t>https://pubmed.ncbi.nlm.nih.gov/38937570</t>
  </si>
  <si>
    <t>Circulating proteins may provide insights into the varying biological mechanisms involved in heart failure (HF) with preserved ejection fraction (HFpEF) and reduced ejection fraction (HFrEF). We aimed to identify specific proteomic patterns for HF, by comparing proteomic profiles across the ejection fraction spectrum. We investigated 4210 circulating proteins in 739 patients with normal (Stage A/Healthy) or elevated (Stage B) filling pressures, HFpEF, or ischemic HFrEF (iHFrEF). We found 2122 differentially expressed proteins between iHFrEF-Stage A/Healthy, 1462 between iHFrEF-HFpEF and 52 between HFpEF-Stage A/Healthy. Of these 52 proteins, 50 were also found in iHFrEF vs. Stage A/Healthy, leaving SLITRK6 and NELL2 expressed in lower levels only in HFpEF. Moreover, 108 proteins, linked to regulation of cell fate commitment, differed only between iHFrEF-HFpEF. Proteomics across the HF spectrum reveals overlap in differentially expressed proteins compared to stage A/Healthy. Multiple proteins are unique for distinguishing iHFrEF from HFpEF, supporting the capacity of proteomics to discern between these conditions.</t>
  </si>
  <si>
    <t>Advanced glycation end-products and metabolomics are independently associated with frailty: the longitudinal Doetinchem Cohort Study.</t>
  </si>
  <si>
    <t>Kuiper, Lieke M; Picavet, H Susan J; Rietman, M Liset; Dollé, Martijn E T; Verschuren, W M Monique</t>
  </si>
  <si>
    <t>https://pubmed.ncbi.nlm.nih.gov/39607723</t>
  </si>
  <si>
    <t>Skin autofluorescence (SAF), reflecting advanced glycation end-products' accumulation in tissue, has been proposed as a non-invasive aging biomarker. Yet, SAF has not been compared to well-established blood-based aging biomarkers such as MetaboHealth in association with frailty. Furthermore, no previous study determined the longitudinal association of SAF with frailty. We used 2382 Doetinchem Cohort Study participants' (aged 46.0 to 85.4) cross-sectional data, of whom 1654 had longitudinal SAF measurements. SAF was measured using the AGE reader™. MetaboHealth was calculated on 1H-NMR-metabolomics. Linear regressions were used for the associations of SAF and MetaboHealth on the 36-deficit frailty index and logistic regressions for being pre-frail or frail as determined by the frailty phenotype. Longitudinal associations were determined by an interaction term between age and SAF in a linear mixed model. SAF and MetaboHealth were associated with higher odds of pre-frailty (odd ratios per standard deviation SAF: 1.21(1.10;1.32), MetaboHealth: 1.35(1.24;1.49)) and frailty (SAF: 1.70(1.41;2.06), MetaboHealth: 1.90(1.57;2.32)). When mutually adjusted, both aging biomarkers remained associated with pre-frailty (SAF: 1.16(1.05;1.27), MetaboHealth 1.33(1.21;1.46)) and frailty (SAF: 1.52(1.25;1.85), MetaboHealth: 1.75(1.43;2.14)). Additionally, SAF and MetaboHealth were associated with higher frailty index scores (percentage increase per standard deviation SAF:1.35(1.00;1.70), MetaboHealth: 1.87(1.54;2.20)), also after mutual adjustment (SAF: 1.02(0.68;1.37), MetaboHealth: 1.69(1.35;2.02)). SAF was also longitudinally associated with the frailty index (percentage per unit/year increase 0.12(0.07;0.16)). The mutual independence of SAF and MetaboHealth implies they capture distinct aspects of the aging process. Altogether, these findings emphasize SAF's clinical potential as an age-related decline biomarker, which could be further enhanced when combined with MetaboHealth.</t>
  </si>
  <si>
    <t>Global Health and Bioethics; General Practice and Nursing Science; Data Science and Biostatistics</t>
  </si>
  <si>
    <t>Association between metabolomics-based biomarker scores and 10-year cognitive decline in men and women. The Doetinchem Cohort Study.</t>
  </si>
  <si>
    <t>Smit, Annelot P; Herber, Gerrie-Cor M; Kuiper, Lieke M; Rietman, M Liset; Wesenhagen, Kirsten E J; Picavet, H Susan J; Slagboom, P Eline; Verschuren, W M Monique</t>
  </si>
  <si>
    <t>https://pubmed.ncbi.nlm.nih.gov/39558869</t>
  </si>
  <si>
    <t>Metabolomic scores based on age (MetaboAge) and mortality (MetaboHealth) are considered indicators of overall health, but their association with cognition in the general population is unknown. Therefore, the association between MetaboAge/MetaboHealth and level and decline in cognition was studied, as were differences between men and women. Data of 2821 participants (50% women, age range 45-75) from the Doetinchem Cohort Study was used. MetaboAge and MetaboHealth were calculated from 1H-NMR metabolomics data at baseline. Cognitive domain scores (memory, flexibility and processing speed) and global cognitive functioning were available over a 10-year period. The association between MetaboAge/MetaboHealth and level of cognitive functioning was studied using linear regressions while for the association between MetaboAge/MetaboHealth and cognitive decline longitudinal linear mixed models were used. Analyses were adjusted for demographics and lifestyle factors. Higher MetaboAge, indicating poorer metabolomic ageing, was only associated with lower levels of processing speed in men. Higher MetaboHealth, indicating poorer immune-metabolic health, was associated with lower levels of cognitive functioning for all three domains and global cognitive functioning in both men and women. Only in men, MetaboHealth was also associated with 10-year decline in flexibility, processing speed and global cognition. Metabolites that contributed to the observed associations were in men mainly markers of protein metabolism, and in women mainly markers of lipid metabolism and inflammatory metabolites. MetaboHealth, not MetaboAge, was associated with cognitive functioning independent of conventional risk factors. Individual metabolites affect cognitive functioning differently in men and women, suggesting sex-specific pathophysiological pathways underlying cognitive functioning.</t>
  </si>
  <si>
    <t>Lifestyle factors and metabolomic aging biomarkers: Meta-analysis of cross-sectional and longitudinal associations in three prospective cohorts.</t>
  </si>
  <si>
    <t>Kuiper, L M; Smit, A P; Bizzarri, D; van den Akker, E B; Reinders, M J T; Ghanbari, M; van Rooij, J G J; Voortman, T; Rivadeneira, F; Dollé, M E T; Herber, G C M; Rietman, M L; Picavet, H S J; van Meurs, J B J; Verschuren, W M M</t>
  </si>
  <si>
    <t>https://pubmed.ncbi.nlm.nih.gov/38950629</t>
  </si>
  <si>
    <t>Biological age uses biophysiological information to capture a person's age-related risk of adverse outcomes. MetaboAge and MetaboHealth are metabolomics-based biomarkers of biological age trained on chronological age and mortality risk, respectively. Lifestyle factors contribute to the extent chronological and biological age differ. The association of lifestyle factors with MetaboAge and MetaboHealth, potential sex differences in these associations, and MetaboAge's and MetaboHealth's sensitivity to lifestyle changes have not been studied yet. Linear regression analyses and mixed-effect models were used to examine the cross-sectional and longitudinal associations of scaled lifestyle factors with scaled MetaboAge and MetaboHealth in 24,332 middle-aged participants from the Doetinchem Cohort Study, Rotterdam Study, and UK Biobank. Random-effect meta-analyses were performed across cohorts. Repeated metabolomics measurements had a ten-year interval in the Doetinchem Cohort Study and a five-year interval in the UK Biobank. In the first study incorporating longitudinal information on MetaboAge and MetaboHealth, we demonstrate associations between current smoking, sleeping ≥8 hours/day, higher BMI, and larger waist circumference were associated with higher MetaboHealth, the latter two also with higher MetaboAge. Furthermore, adhering to the dietary and physical activity guidelines were inversely associated with MetaboHealth. Lastly, we observed sex differences in the associations between alcohol use and MetaboHealth.</t>
  </si>
  <si>
    <t>Global Health and Bioethics; General Practice and Nursing Science; Epidemiology and Health Economics; Data Science and Biostatistics</t>
  </si>
  <si>
    <t>Integrating telemedicine in routine heart failure management: Experiences of healthcare professionals - A qualitative study.</t>
  </si>
  <si>
    <t>van Eijk, Jorna; Trappenburg, Jaap; Asselbergs, Folkert W; Jaarsma, Tiny</t>
  </si>
  <si>
    <t>https://pubmed.ncbi.nlm.nih.gov/39221081</t>
  </si>
  <si>
    <t>To describe the experiences of healthcare professionals with integrating telemedicine in routine heart failure (HF) care. Semi-structured interviews were conducted with healthcare professionals (&lt;i&gt;n&lt;/i&gt; = 19) in the Netherlands who were involved in decision-making, implementation or routine use of telemedicine in HF management. Using purposive sampling, nurses, cardiologists and managers were selected to be interviewed. Interviews were performed in-person, recorded and transcribed verbatim. Interview data were analysed using a reflexive thematic analysis. This study identified four themes: (1) Responsibility - the lack of a clear delineation of roles and responsibilities among healthcare professionals, patients and suppliers in telemedicine. (2) Confidence and safety - telemedicine is seen by healthcare professionals as capable of enhancing safety, yet also introduces the risk of fostering a false sense of security among patients. (3) Collaboration - actively involving end-users in the development and implementation of telemedicine promotes the adoption. (4) Processes and mutual agreements - rather than replacing traditional care, telemedicine is perceived as an adjunct to it. Structured care pathways support telemedicine implementation, and personalised telemedicine can empower patients in self-care. Telemedicine is a promising intervention in the management of HF. However, existing systems and care pathways have resulted in limited adoption. Improvements in the collaboration and establishing clear agreements on responsibilities between professional, patient and supplier can lead to more confidence in adopting telemedicine. Structured care pathways can be supportive. A personalised telemedicine approach can ensure that telemedicine remains manageable for patient and professional.</t>
  </si>
  <si>
    <t>Sex differences in the efficacy of angiotensin receptor blockers on kidney and cardiovascular outcomes among individuals with type 2 diabetes and diabetic kidney disease: post hoc analyses of the RENAAL and IDNT trials.</t>
  </si>
  <si>
    <t>de Vries, Sieta T; Pena, Michelle J; Tye, Sok Cin; Peters, Sanne A E; van Raalte, Daniël H; Arnott, Clare; Voors, Adriaan A; Mol, Peter G M; Denig, Petra; Heerspink, Hiddo J L</t>
  </si>
  <si>
    <t>https://pubmed.ncbi.nlm.nih.gov/39656268</t>
  </si>
  <si>
    <t>Our aim was to assess sex differences in the efficacy of angiotensin receptor blockers (i.e. losartan and irbesartan) on kidney and cardiovascular outcomes in individuals with type 2 diabetes and diabetic kidney disease. Data from the Angiotensin II Antagonist Losartan Study (RENAAL) and Irbesartan type II Diabetic Nephropathy Trial (IDNT) were used. The kidney outcome was time to first event of end-stage kidney disease or doubling of serum creatinine. The cardiovascular outcome was time to first event of a composite of stroke, myocardial infarction, cardiovascular death or hospitalisation for heart failure. Sex differences were assessed by a sex × treatment interaction term in Cox proportional hazards models. Included were 1737 male participants and 924 female participants. The beneficial effect of angiotensin receptor blockers on the kidney outcome was similar between male and female participants (HR in male participants 0.72 [95% CI 0.59, 0.86] vs HR in female participants 0.86 [95% CI 0.69, 1.06]; sex × treatment interaction HR 1.19 [95% CI 0.89, 1.59]). For the cardiovascular outcome, angiotensin receptor blockers lowered the risk in male but not in female participants (HR in male participants 0.81 [95% CI 0.69, 0.95] vs HR in female participants 1.11 [95% CI 0.88, 1.40]; sex × treatment interaction HR 1.37 [95% CI 1.03, 1.82]). This study in individuals with type 2 diabetes and diabetic kidney disease suggests that the beneficial effects of angiotensin receptor blockers are similar in male and female participants for the kidney outcome but not for the cardiovascular outcome. More attention to sex differences in angiotensin receptor blockers' efficacy and underlying mechanisms of differences in response is needed. ClinialTrials.gov NCT00308347.</t>
  </si>
  <si>
    <t>Green space visits among Turkish and South Asian Surinamese women with a high cardiometabolic risk living in disadvantaged neighborhoods in the Netherlands: motives, means and prerequisites.</t>
  </si>
  <si>
    <t>van den Brekel, Lieke; Voogdt-Pruis, Helene R; Wispelweij, Lian; Jawalapershad, Laxmie; Narain, Soerinder; Klipstein-Grobusch, Kerstin; Grobbee, Diederick E; Lenters, Virissa; Mackenbach, Joreintje D; Vaartjes, Ilonca</t>
  </si>
  <si>
    <t>https://pubmed.ncbi.nlm.nih.gov/39623410</t>
  </si>
  <si>
    <t>The use of urban green spaces differs by social characteristics, including gender, ethnicity, and socioeconomic position. We examined motives, means and prerequisites to visit green space of marginalised populations with high cardiometabolic risk in the Netherlands, namely women with a Turkish or South Asian Surinamese background residing in disadvantaged neighbourhoods. We conducted six focus group discussions in two Dutch cities. The study was performed in collaboration with social workers from the local communities with similar ethnic backgrounds as the participants. A thematic analysis was carried out. Sixteen Turkish women and 30 South Asian Surinamese women participated. Motives, means and prerequisites that emerged covered four themes: social, personal, environmental characteristics and undertaking activities. Socializing was an important motive to visit green space. Personal motives mainly consisted of positive effects on mental and physical well-being. Activities undertaken in green space were often a means to socialize or improve well-being. Many environmental factors, including safety, aesthetics, and (sanitary) facilities, influenced motivation to visit green space. Except for environmental characteristics, motives, means and prerequisites largely overlapped between ethnic groups. There were notable interactions between the themes. Motives, means and prerequisites to visit green space of women with a Turkish or South Asian Surinamese background who live in disadvantaged neighborhoods span multiple interacting themes. Future studies examining the relationship between green space and health should consider interactions between motives, means, prerequisites and ethnicity. The possibility of expanding the multifunctionality of green spaces to provide marginalized populations with more equitable access and activities should be further explored.</t>
  </si>
  <si>
    <t>Longitudinal associations of air pollution and green space with cardiometabolic risk factor clustering among children in the Netherlands.</t>
  </si>
  <si>
    <t>Liu, Mingwei; Vaartjes, Ilonca; Hoek, Gerard; Jaddoe, Vincent W V; Santos, Susana; Schreuder, Anton; Vrijkotte, Tanja G M; Grobbee, Diederick E; Timmermans, Erik J</t>
  </si>
  <si>
    <t>https://pubmed.ncbi.nlm.nih.gov/38943924</t>
  </si>
  <si>
    <t>This study examines longitudinal associations of air pollution and green space with cardiometabolic risk among children in the Netherlands. Three Dutch prospective cohorts with a total of 13,822 participants aged 5 to 17 years were included: (1) the Amsterdam Born Children and their Development (ABCD) study from Amsterdam (n = 2,547), (2) the Generation R study from Rotterdam (n = 5,431), and (3) the Lifelines study from northern Netherlands (n = 5,844). Air pollution (PM&lt;sub&gt;2.5&lt;/sub&gt;, PM&lt;sub&gt;10&lt;/sub&gt;, NO&lt;sub&gt;2&lt;/sub&gt;, and elemental carbon (EC)) and green space exposures (density in multiple Euclidean buffer sizes) from 2006 to 2017 at home address level were used. Cardiometabolic risk factor clustering was assessed by a MetScore, which was derived from a confirmatory factor analysis of six cardiometabolic risk factors to assess the overall risk. Linear regression models with change in Metscore as the dependent variable, adjusted for multiple confounders, were conducted for each cohort separately. Meta-analyses were used to pool cohort-specific estimates. Exposure to higher levels of NO&lt;sub&gt;2&lt;/sub&gt; and EC was significantly associated with increases in MetScore in Lifelines (per SD higher exposure: β&lt;sub&gt;NO2&lt;/sub&gt; = 0.006, 95 % CI = 0.001 to 0.010; β&lt;sub&gt;EC&lt;/sub&gt; = 0.008, 95 % CI = 0.002 to 0.014). In the other two cohort studies, these associations were in the same direction but these were not significant. Higher green space density in 500-meter buffer zones around participants' residential addresses was not significantly associated with decreases of MetScore in all three cohorts. Higher green space density in 2000-meter buffer zones was significantly associated with decreases of MetScore in ABCD and Lifelines (per SD higher green space density: β&lt;sub&gt;ABCD&lt;/sub&gt; = -0.008, 95 % CI = -0.013 to -0.003; β&lt;sub&gt;Lifelines&lt;/sub&gt; = -0.002, 95 % CI = -0.003 to -0.00003). The pooled estimates were β&lt;sub&gt;NO2&lt;/sub&gt; = 0.003 (95 % CI = -0.001 to 0.006) for NO&lt;sub&gt;2&lt;/sub&gt;, β&lt;sub&gt;EC&lt;/sub&gt; = 0.003 (95 % CI = -0.001, 0.007) for EC, and β&lt;sub&gt;500m buffer&lt;/sub&gt; = -0.0014 (95 % CI = -0.0026 to -0.0001) for green space. More green space exposure at residence was associated with decreased cardiometabolic risk in children. Exposure to more NO&lt;sub&gt;2&lt;/sub&gt; and EC was also associated with increased cardiometabolic risk.</t>
  </si>
  <si>
    <t>Collective knowledge exchange through regional hubs: Local expertise, global platform.</t>
  </si>
  <si>
    <t>Llamas, Camilla Alay; Guinto, Renzo; Addison, Julia; Alam, Nazmul; Amoakoh, Hannah Brown; Artola Arita, Vicente; Kolpa, Noa; Mattijsen, Juliette; Zhang, Ying; Downward, George S; Browne, Joyce L</t>
  </si>
  <si>
    <t>https://pubmed.ncbi.nlm.nih.gov/39253880</t>
  </si>
  <si>
    <t>Epidemiology and Health Economics; Global Health and Bioethics</t>
  </si>
  <si>
    <t>The mediatory role of androgens on sex differences in glucose homeostasis and incidence of type 2 diabetes: the KORA study.</t>
  </si>
  <si>
    <t>Raeisi-Dehkordi, Hamidreza; Thorand, Barbara; Beigrezaei, Sara; Peters, Annette; Rathman, Wolfgang; Adamski, Jerzy; Chatelan, Angeline; van der Schouw, Yvonne T; Franco, Oscar H; Muka, Taulant; Nano, Jana</t>
  </si>
  <si>
    <t>https://pubmed.ncbi.nlm.nih.gov/39548547</t>
  </si>
  <si>
    <t>Sex differences exist in type 2 diabetes (T2D), and androgens have been implicated in the etiology of T2D in a sex-specific manner. We therefore aimed to investigate whether androgens play a role in explaining sex differences in glucose homeostasis and incidence of T2D. We used observational data from the German population-based KORA F4 study (n = 1975, mean age: 54 years, 41% women) and its follow-up examination KORA FF4 (median follow-up 6.5 years, n = 1412). T2D was determined through self-reporting and confirmed by contacting the physicians and/or reviewing the medical charts. Multivariable linear and logistic regression models were employed to explore associations. Mediation analyses were performed to assess direct effects (DE) and indirect effects (IE), and the mediating role of androgens (total testosterone (TT), dehydroepiandrosterone (DHEA), dehydroepiandrosterone-sulfate (DHEAs)) in the association between sex (women vs. men) and glucose- and insulin-related traits (cross-sectional analysis) and incidence of T2D (longitudinal analysis). After adjustment for confounders, (model 1: adjusted for age; model 2: model 1 + smoking + alcohol consumption + physical activity), women had lower levels of TT, DHEAs, fasting glucose levels, fasting insulin levels, 2 h-glucose levels and HOMA-IR, compared to men. An inverse association was observed for TT and glucose- and insulin-related traits in men, while a positive association was observed for TT and fasting glucose levels in women. We found a mediatory role of TT on the association of sex with fasting glucose levels (IE: β = 3.08, 95% CI: 2.04, 4.30), fasting insulin levels (IE: β = 0.39, 95% CI:0.30, 0.47), 2 h-glucose levels (IE: β = 12.77, 95% CI: 9.01, 16.03) and HOMA-IR (IE: β = 0.41, 95% CI: 0.33, 0.50). Also, the inconsistent mediatory role of TT was seen on the association of sex with incidence of T2D (DE: 0.12, 95% CI: 0.06, 0.20 and IE: OR = 7.60, 95% CI: 3.43, 24.54). The opposing DE and IE estimates suggest that the association between sex and either glucose homeostasis or the incidence of T2D may differ when TT is considered as a potential mediator, with higher TT levels being beneficial for glucose metabolism or incidence of T2D in men, while in women, detrimental. No mediatory role was observed for either DHEA or DHEAs on glucose homeostasis or the incidence of T2D. The dimorphic mediatory role of TT highlights its complex role in metabolic health, contributing differently to the glucose dysregulation and risk of T2D in men and women.</t>
  </si>
  <si>
    <t>Non-Sugar-Sweetened Beverages and Risk of Chronic Diseases: An Umbrella Review of Meta-analyses of Prospective Cohort Studies.</t>
  </si>
  <si>
    <t>Beigrezaei, Sara; Raeisi-Dehkordi, Hamidreza; Hernández Vargas, Juliana Alexandra; Amiri, Mojgan; Artola Arita, Vicente; van der Schouw, Yvonne T; Salehi-Abargouei, Amin; Muka, Taulant; Chatelan, Angeline; Franco, Oscar H</t>
  </si>
  <si>
    <t>nutrition reviews</t>
  </si>
  <si>
    <t>https://pubmed.ncbi.nlm.nih.gov/39325512</t>
  </si>
  <si>
    <t>Several effects of non-sugar-sweetened beverage (NSSBs) intake on health outcomes have been reported; however, the evidence on the association between NSSBs intake and chronic diseases and mortality risk is still inconclusive. This umbrella review aimed to summarize the evidence on the association between NSSBs intake and the risk of chronic diseases and mortality. Embase, ISI Web of Science, Cochrane Central, and PubMed were searched up to September 2023 for relevant meta-analyses of observational prospective cohort studies. Two groups of researchers independently extracted study data and assessed the risk of bias for meta-analyses and primary studies. Six meta-analyses, reporting 74 summary hazard ratios (HRs) for different outcomes obtained from 50 primary studies, were included. The summary HRs, 95% CIs, and certainty of evidence on the association of NSSBs intake with risk of chronic diseases and mortality were as follows: all-cause mortality (per 355 mL/d: 1.06 [1.01 to 1.10]; moderate certainty); stroke (per 250 mL/d: 1.09 [1.04 to 1.13]; high certainty); coronary heart disease (CHD) (per 250 mL/d: 1.06 [1.02 to 1.11]; high certainty); hypertension (HTN) (high vs low intake: 1.14 [1.09 to 1.18]; moderate certainty); type 2 diabetes (T2D) (high vs low intake: 1.16 [1.08 to 1.26]; low certainty); metabolic syndrome (MetS) (high vs low intake: 1.32 [1.22 to 1.43]; low certainty); colorectal cancer (high vs low intake: 0.78 [0.62 to 0.99]; moderate certainty); and leukemia (high vs low intake: 1.35 [1.03 to 1.77]; moderate certainty). For other outcomes, including the risk of cardiovascular and cancer mortality, chronic kidney diseases, breast cancer, prostate cancer, endometrial cancer, pancreatic cancer, multiple myeloma, and non-Hodgkin lymphoma, no association was found. This study provides further evidence that NSSBs are associated with increased risk of all-cause mortality, stroke, CHD, HTN, T2D, MetS, and leukemia. Moreover, a higher intake of NSSBs was associated with a lower risk of colorectal cancer. However, it should be noted that the magnitudes of the associations are not large. Further studies are needed to clarify the long-term effects of different NSSBs intakes on health. PROSPERO no. CRD42023429981.</t>
  </si>
  <si>
    <t>Higher global diet quality score is inversely associated with odds of metabolic syndrome among Iranian adults.</t>
  </si>
  <si>
    <t>Beigrezaei, Sara; Darabi, Zahra; Nadjarzadeh, Azadeh; Mirzaei, Masoud; Khayyatzadeh, Sayyed Saeid</t>
  </si>
  <si>
    <t>https://pubmed.ncbi.nlm.nih.gov/38864866</t>
  </si>
  <si>
    <t>Growing research underscores the significance of diet quality in the development of Metabolic Syndrome (MetS). Our study investigates the correlation between the Global Diet Quality Score (GDQS) and MetS, along with its components, in Iranian adults. This study utilizes data from the Yazd Health Study (YaHS) and includes a final analysis of 2,904 participants aged 20-70 years. Dietary data were gathered using food frequency questionnaires. MetS was defined in line with the National Cholesterol Education Program Adult Treatment Panel III (NCEP ATP III) criteria. GDQS was derived by totaling the points across all 25 food groups, with scores ranging from 0 to 49. To examine the association between GDQS and MetS, multivariable logistic regression analyses were conducted in both crude and adjusted models. Participants who had the highest adherence to GDQS had a 20% lower chance of having MetS than those who had the lowest adherence after adjusting for confounding variables in Model II (T3 vs. T1: OR = 0.80; 95% CI: 0.46-0.99, P-trend = 0.045). There was no association between GDQS and MetS components including increased blood pressure, fasting blood glucose (FBG), triglyceride, abdominal obesity and reduced high-density lipoprotein (HDL) in crude and adjusted models. higher adherence to GDQS was inversely related to odds of MetS. Further longitudinal and clinical trials investigations are required to confirm these associations.</t>
  </si>
  <si>
    <t>Process Evaluations for the Scale-Up of Complex Interventions - a Scoping Review.</t>
  </si>
  <si>
    <t>Rathod, Lekha; Heine, Martin; Boateng, Daniel; Martens, Monika; van Olmen, Josefien; Ku, Grace Marie; Klipstein-Grobusch, Kerstin</t>
  </si>
  <si>
    <t>https://pubmed.ncbi.nlm.nih.gov/39525268</t>
  </si>
  <si>
    <t>Complex health interventions (CHIs) are common in (public) health and social care practice and policy. A process evaluation (PE) is an essential part of designing and testing CHIs and questions what is implemented, the mechanisms of change, and how context affects implementation. The scale-up of CHIs is challenging and heterogeneous, making the accompanying PE unique to the nature of the inquiry. We conducted a scoping review to describe the current practice of conducting PEs alongside or following the scale-up of CHI. Eight primary data sources were searched and data extracted on study characteristics, intervention characteristics, methods used in relation to the PE, and stakeholders included. We reviewed 10,538 records and included 56 studies. Seven common thematic areas emerged in which CHIs were being scaled-up. The use of scale-up specific frameworks was rare, and common outcomes of the process evaluation focussed on barriers and facilitators in relation to the context; often obtained "once-off" using qualitative and quantitative data sources. Scale-up strategies reported were: supporting increased coverage, comprehensiveness, and institutionalisation; often simultaneously. Variations in the conduct of process evaluations during the scale-up phase of complex health interventions may reflect differences in context, conceptual challenges, the multi-dimensional nature of scale-up, and the point of engagement with the health care system (e.g., community-level). Ideally, a process evaluation is a recurrent continuous process, leveraging a systems-driven understanding and triangulation of qualitative and quantitative data, that takes place alongside the scale-up project to inform real-world adaptations of scale-up strategies and (untoward) mechanisms of impact when applicable.</t>
  </si>
  <si>
    <t>Data Science and Biostatistics; Global Health and Bioethics</t>
  </si>
  <si>
    <t>A multi-dimensional Sustainable Diet Index (SDI) for Ghanaian adults under transition: the RODAM Study.</t>
  </si>
  <si>
    <t>Okekunle, Akinkunmi Paul; Nicolaou, Mary; De Allegri, Manuela; Meeks, Karlijn A C; Osei-Kwasi, Hibbah; Stockemer, Julia; de-Graft Aikins, Ama; Agbemafle, Isaac; Bahendeka, Silver; Boateng, Daniel; Klipstein-Grobusch, Kerstin; Beune, Erik; Agyemang, Charles; Schulze, Matthias B; Danquah, Ina</t>
  </si>
  <si>
    <t>https://pubmed.ncbi.nlm.nih.gov/39354508</t>
  </si>
  <si>
    <t>The sustainability of diets consumed by African populations under socio-economic transition remains to be determined. This study developed and characterized a multi-dimensional Sustainable Diet Index (SDI) reflecting healthfulness, climate-friendliness, sociocultural benefits, and financial affordability using individual-level data of adults in rural and urban Ghana and Ghanaian migrants in Europe to identify the role of living environment in dietary sustainability. We used cross-sectional data from the multi-centre Research on Obesity and Diabetes among African Migrants Study (N = 3169; age range: 25-70 years). For the SDI construct (0-16 score points), we used the Diet Quality Index-International, food-related greenhouse gas emission, the ratio of natural to processed foods, and the proportion of food expenditure from income. In linear regression analyses, we estimated the adjusted ß-coefficients and 95% confidence intervals (CIs) for the differences in mean SDI across study sites (using rural Ghana as a reference), accounting for sociodemographic and lifestyle factors. The overall mean SDI was 8.0 (95% CI: 7.9, 8.1). Participants in the highest SDI-quintile compared to lower quintiles were older, more often women, non-smokers, and alcohol abstainers. The highest mean SDI was seen in London (9.1; 95% CI: 8.9, 9.3), followed by rural Ghana (8.2; 95% CI: 8.0, 8.3), Amsterdam (7.9; 95% CI: 7.7, 8.1), Berlin (7.8; 95% CI: 7.6, 8.0), and urban Ghana (7.7; 95% CI: 7.5, 7.8). Compared to rural Ghana, the differences between study sites were attenuated after accounting for age, gender and energy intake. No further changes were observed after adjustment for lifestyle factors. The multi-dimensional SDI describes four dimensions of dietary sustainability in this Ghanaian population. Our findings suggest that living in Europe improved dietary sustainability, but the opposite seems true for urbanization in Ghana.</t>
  </si>
  <si>
    <t>Patient satisfaction with quality of care at out-patient departments in selected health facilities in Kumasi, Ghana.</t>
  </si>
  <si>
    <t>Owusu, Abigail Anima; Boakye, Kingsley; Boateng, Daniel; Osei-Mensah, Christa; Agyei-Baffour, Peter</t>
  </si>
  <si>
    <t>https://pubmed.ncbi.nlm.nih.gov/39232763</t>
  </si>
  <si>
    <t>Health care is an indispensable element for economic growth and development of individuals and nations. Healthcare service quality is associated with patient satisfaction, ensuring the safety and security of patients, reducing mortality and morbidity, and improving the quality of life. Patient satisfaction with health service is linked to increased utilization following contendness with healthcare received from health providers. There is an increasing public perception of poor quality of care among patients visiting public health facilities in Ghana which translates into service dissatisfaction. Meanwhile, patient dissatisfaction will more likely result in poor utilization, disregard for medical advice, and treatment non-adherence. The study was conducted to assess patients' satisfaction with quality of care at the outpatient departments of selected health facilities in Kumasi, Ghana. An institutional-based analytical cross-sectional study was conducted among patients (aged ≥ 18 years) visiting outpatient departments of selected health facilities in Kumasi from October - December, 2019. A systematic sampling technique was adopted to collect quantitative information from 385 respondents using a structured questionnaire. At 95% confidence interval and 5% alpha level, two-level logistic regression models were performed. Model I estimated the crude associations and the effect of covariates was accounted for in Model II. The results were presented in odds ratio with a corresponding 95% confidence interval. All analysis were performed using STATA statistical software version 16.0. Out of the 385 participants, 90.9% of the participants were satisfied with the services they received. Being married [AOR = 3.06, 95%CI = 1.07-8.74], agreeing that the facility is disability-friendly [AOR = 7.93, 95%CI = 2.07-14.43], facility has directional signs for navigation [AOR = 3.12, 95%=1.92-10.59] and the facility has comfortable and attractive waiting area [AOR = 10.02, 95%CI = 2.35-22.63] were associated with satisfaction with health service among patients. Spending more than 2 h at the health facility [AOR = 0.45, 95%CI = 0.04-0.93] and having perceived rude and irritating provider [AOR = 0.14, 95%CI = 0.04-0.51] had lower odds of satisfaction with health service received. There is a high patient satisfaction with services received at out-patient departments which is influenced by a multiplicity of factors; being married, and agreeing that the facility is disability-friendly, has directional signs for navigation, and the waiting area is comfortable and attractive. The study findings call for the need to develop and implement health delivery interventions and strategies (i.e. patient-centered interventions, disability-friendly facilities, and sustainability and improvement of quality service) to improve and sustain patient satisfaction levels with health care service. These strategies must be directed towards addressing inequalities in infrastructural development and inputs needed for healthcare delivery in the health system.</t>
  </si>
  <si>
    <t>Difficulty with mobility among the aged in Ghana: Evidence from Wave 2 of the World Health Organization's Study on Global Ageing and Adult Health.</t>
  </si>
  <si>
    <t>Boakye, Kingsley; Aidoo, Antoinette Ama; Aliyu, Mohammed; Boateng, Daniel; Nakua, Emmanuel Kweku</t>
  </si>
  <si>
    <t>https://pubmed.ncbi.nlm.nih.gov/39190752</t>
  </si>
  <si>
    <t>Globally, the population is rapidly ageing, stemming from a recent decline in mortality, and an increase in life expectancy. About 727 million people globally were aged ≥65 in 2020, and 1 in 6 people will be ≥65 years by 2050. About 7% of Ghana's population was over 60 years in 2010, and projected to be 12% by 2050. However, the aged are confronted with degenerative conditions that translate into difficulty with mobility. The study was conducted to investigate the difficulty with mobility among the aged in Ghana. The study utilised a cross-sectional dataset of the 2014/2015 (wave 2) Study on Global Ageing and Adult Health and included 1,856 participants aged ≥50 years. The survey command was applied to adjust for sampling biases and the design of the study. At 5% alpha level, a chi-square test of independence was conducted to determine the association between dependent and independent variables. At 95% confidence interval and 5% alpha level, three-level multilevel logistic regression models were performed. The fixed-effects were presented in odds ratio and the random effects were presented using the Intra-Class Correlation. All analysis were performed using STATA statistical software version 16.0. Out of the 1,856 participants, 40.3% had difficulty with mobility. Additionally, age (80 and above) [AOR = 3.05, 95%CI = 1.78-5.22], self-reported poor/bad health status [AOR = 2.39, 95%CI = 1.35-4.23], having severe/extreme difficulty performing household activities [AOR = 25.12, 95%CI = 11.49-44.91], experienced severe/extreme bodily pains [AOR = 4.56, 95%CI = 2.16-9.64], severe/extreme sleep problems [AOR = 4.15, 95%CI = 1.68-10.29], and participants with difficulty with sight/vision [AOR = 1.56, 95%CI = 1.16-2.10] had higher odds of difficulty with mobility. The aged in Ghana had relatively higher prevalence (40.3%) of difficulty with mobility which is influenced by demographics, health status, and degeneration associated with ageing. This highlights the need to provide social support and strengthen social capital for the aged in Ghana, especially those with difficulty with vision, experiencing bodily pains and had poor health status. Additionally, the Government and stakeholders should provide assistive devices for the aged and geriatric care including recreational fields and care homes to address the health and physical needs of the aged in Ghana.</t>
  </si>
  <si>
    <t>Community-Based Strategies to Improve Health-Related Outcomes in People Living With Hypertension in Low- and Middle-Income Countries: A Systematic Review and Meta-Analysis.</t>
  </si>
  <si>
    <t>Nyame, Solomon; Boateng, Daniel; Heeres, Pauline; Gyamfi, Joyce; Gafane-Matemane, Lebo F; Amoah, John; Iwelunmor, Juliet; Ogedegbe, Gbenga; Grobbee, Diederick; Asante, Kwaku Poku; Klipstein-Grobusch, Kerstin</t>
  </si>
  <si>
    <t>https://pubmed.ncbi.nlm.nih.gov/38883258</t>
  </si>
  <si>
    <t>Individuals living with hypertension are at an increased risk of cardiovascular- and cerebrovascular-related outcomes. Interventions implemented at the community level to improve hypertension control are considered useful to prevent cardiovascular and cerebrovascular events; however, systematic evaluation of such community level interventions among patients living in low- and middle-income countries (LMICs) is scarce. Nine databases were searched for randomized controlled trials (RCTs) and cluster randomized control trials (cRCTs) implementing community level interventions in adults with hypertension in LMICs. Studies were included based on explicit focus on blood pressure control. Quality assessment was done using the Revised Cochrane Risk of Bias tool for randomized trials (ROBS 2). Results were presented according to the Preferred Reporting Items for Systematic Reviews and Meta-Analyses (PRISMA) checklist. Fixed-effect meta-analyses were conducted for studies that reported continuous outcome measures. We identified and screened 7125 articles. Eighteen studies, 7 RCTs and 11 cRCTs were included in the analysis. The overall summary effect of blood pressure control was significant, risk ratio = 1.48 (95%CI = 1.40-1.57, n = 12). Risk ratio for RCTs was 1.68 (95%CI = 1.40-2.01, n = 5), for cRCTs risk ratio = 1.46 (95%CI = 1.32-1.61, n = 7). For studies that reported individual data for the multicomponent interventions, the risk ratio was 1.27 (95% CI = 1.04-1.54, n = 3). Community-based strategies are relevant in addressing the burden of hypertension in LMICs. Community-based interventions can help decentralize hypertension care in LMIC and address the access to care gap without diminishing the quality of hypertension control.</t>
  </si>
  <si>
    <t>Unravelling the Belgian cascade of hypertension care and its determinants: insights from a cross-sectional analysis.</t>
  </si>
  <si>
    <t>Bos, Philippe; Wouters, Edwin; Danhieux, Katrien; van Olmen, Josefien; Remmen, Roy; Klipstein-Grobusch, Kerstin; Boateng, Daniel; Buffel, Veerle</t>
  </si>
  <si>
    <t>https://pubmed.ncbi.nlm.nih.gov/38872180</t>
  </si>
  <si>
    <t>Hypertension is a major risk factor for cardiovascular disease and all-cause mortality worldwide. Despite the widespread availability of effective antihypertensives, blood pressure (BP) control rates remain suboptimal, even in high-income countries such as Belgium. In this study, we used a cascade of care approach to identify where most patients are lost along the continuum of hypertension care in Belgium, and to assess the main risk factors for attrition at various stages of hypertension management. Using cross-sectional data from the 2018 Belgian Health Interview Survey and the Belgian Health Examination Survey, we estimated hypertension prevalence among the Belgian population aged 40-79 years, and the proportion that was (1) screened, (2) diagnosed, (3) linked to care, (4) in treatment, (5) followed up and (6) well-controlled. Cox regression models were estimated to identify individual risk factors for being unlinked to hypertension care, untreated and not followed up appropriately. The prevalence of hypertension based on self-reported and measured high BP was 43.3%. While 98% of the hypertensive population had their BP measured in the past 5 years, only 56.7% were diagnosed. Furthermore, 53.4% were linked to care, 49.8% were in treatment and 43.4% received adequate follow-up. Less than a quarter (23.5%) achieved BP control. Among those diagnosed with hypertension, males, those of younger age, without comorbidities, and smokers, were more likely to be unlinked to care. Once in care, younger age, lower BMI, financial hardship, and psychological distress were associated with a higher risk of being untreated. Finally, among those treated for hypertension, females, those of younger age, and without comorbidities were more likely to receive no adequate follow-up. Our results show that undiagnosed hypertension is the most significant barrier to BP control in Belgium. Health interventions are thus needed to improve the accurate and timely diagnosis of hypertension. Once diagnosed, the Belgian health system retains patients fairly well along the continuum of hypertension care, yet targeted health interventions to improve hypertension management for high-risk groups remain necessary, especially with regard to improving treatment rates.</t>
  </si>
  <si>
    <t>Lessons Learnt from HIV and Noncommunicable Disease Healthcare Integration in Sub-Saharan Africa.</t>
  </si>
  <si>
    <t>van der Mannen, Jessica S; Heine, Martin; Lalla-Edward, Samanta T; Ojji, Dike B; Mocumbi, Ana O; Klipstein-Grobusch, Kerstin</t>
  </si>
  <si>
    <t>https://pubmed.ncbi.nlm.nih.gov/39552939</t>
  </si>
  <si>
    <t>In sub-Saharan Africa (SSA), a rising burden of noncommunicable diseases (NCDs) coexists with a persistent high burden of human immunodeficiency virus (HIV). Integrating care for chronic conditions is potentially beneficial, but the optimal approach remains unclear. By use of a narrative review of 14 recent case studies from different SSA countries, examples of NCD and HIV healthcare integration were described. Case studies were categorized into three models: integrating NCD care into existing HIV care (&lt;i&gt;n&lt;/i&gt; = 8), integrating HIV care into existing NCD care (&lt;i&gt;n&lt;/i&gt; = 2), and simultaneous implementation of HIV and NCD services (&lt;i&gt;n&lt;/i&gt; = 4). Facilitators include staff and patient education, while barriers encompass the lack of guidelines and inadequate infrastructure. Providers, patients, and policymakers support integrated care but note several challenges. Available health economics data suggest cost-effectiveness in the long run. Concluding, NCD and HIV healthcare integration in SSA was deemed feasible with models of service integration related to the implementation context.</t>
  </si>
  <si>
    <t>Integrating hypertension detection and management in HIV care in South Africa: protocol for a stepped-wedged cluster randomized effectiveness-implementation hybrid trial.</t>
  </si>
  <si>
    <t>Galaviz, Karla I; Patel, Shivani A; Siedner, Mark J; Goss, Charles W; Gumede, Siphamandla B; Johnson, Leslie C; Ordóñez, Claudia E; Laxy, Michael; Klipstein-Grobusch, Kerstin; Heine, Martin; Masterson, Mary; Mody, Aaloke; Venter, W D Francois; Marconi, Vincent C; Ali, Mohammed K; Lalla-Edward, Samanta T</t>
  </si>
  <si>
    <t>implementation science communications</t>
  </si>
  <si>
    <t>https://pubmed.ncbi.nlm.nih.gov/39402688</t>
  </si>
  <si>
    <t>HIV clinical guidelines recommend hypertension detection and management to lower cardiovascular disease risk, but these have not been effectively implemented for people living with HIV (PWH). Addressing this implementation gap requires community-engaged implementation studies focused on addressing implementation barriers specific to the HIV care context. This protocol describes a type 2 effectiveness-implementation hybrid study conducted in nine primary care clinics in Johannesburg. The study will evaluate the effect of implementation strategies on guideline-recommended blood pressure assessment and management in HIV clinics and the effects of assessment/management on patient blood pressure. A stepped-wedge, cluster randomized study design was used to randomize clinics to the time at which they receive the implementation strategies and patient intervention. The implementation strategies tested include identifying and preparing care champions, changing record systems, conducting ongoing training, providing audit and feedback, and changing the physical structure/equipment. The patient intervention tested includes detection of elevated blood pressure, educational materials, lifestyle modification advice, and medication where needed. Implementation outcomes include adoption, fidelity (co-primary outcome), cost, and maintenance of the blood pressure assessment protocol in participating clinics, while patient outcomes include reach, effectiveness (co-primary outcome), and long-term effects of the intervention on patient blood pressure. These will be assessed via direct observation, study records, staff logs, medical chart reviews, and patient and healthcare worker surveys. To examine effects on the implementation (intervention fidelity) and effectiveness (patient blood pressure changes) co-primary outcomes, we will use the standard Hussey and Hughes model for analysis of stepped-wedge designs which includes fixed effects for both interventions and time periods, and a random effect for sites. Finally, we will examine the costs for the implementation strategies, healthcare worker time, and patient-facing intervention materials, as well as the cost-effectiveness and cost-utility of the intervention using study records, patient surveys, and a time and motion assessment. This study will address knowledge gaps around implementation of cardiovascular disease preventive practices in HIV care in South Africa. In doing so, it will provide a dual opportunity to promote evidence-based care in the South African HIV care context and help refine implementation research methods to better serve HIV populations globally. ClinicalTrials.gov: NCT05846503. Registered on May 6, 2023. https://classic. gov/ct2/show/NCT05846503 .</t>
  </si>
  <si>
    <t>Rethinking Scale-Up of Rehabilitation for Chronic Disease in Low-Resource Settings: Embracing Complexity for Contextual Impact.</t>
  </si>
  <si>
    <t>Heine, Martin; Derman, Wayne; Hanekom, Susan</t>
  </si>
  <si>
    <t>https://pubmed.ncbi.nlm.nih.gov/39398100</t>
  </si>
  <si>
    <t>As the burden of chronic disease and multiple long-term conditions is increasing globally, disproportionally affecting those in low-resourced settings, there is an increasing call to action to scale effective models of care that can assist in mitigating the impact of chronic disease on functioning, activity, societal participation, and health-related quality of life. The aim of this paper is to unpack the contextual factors that have been implicitly and explicitly voiced by researchers reporting on rehabilitation interventions used to manage chronic disease in low-resourced settings. We systematically engaged the literature and applied a reflexive qualitative and systems thinking lens to unpack the contextual factors and their interplay. A total of 40 different contextual factors were derived through an iterative analysis of 144 eligible articles. The identified factors could be packaged into nine system elements or subsystems relevant to the scale-up of rehabilitation for people with chronic disease. The complexity identified encourages a focus on innovative and intersectoral approaches to address the rehabilitation needs in low-resourced settings.</t>
  </si>
  <si>
    <t>A value hierarchy for inclusive design of heart valve implants in regenerative medicine.</t>
  </si>
  <si>
    <t>De Kanter, Anne Johanna; Daal, Manon Van; Gunn, Callum J; Bredenoord, Annelien L; Graeff, Nienke De; Jongsma, Karin R</t>
  </si>
  <si>
    <t>https://pubmed.ncbi.nlm.nih.gov/39177570</t>
  </si>
  <si>
    <t>&lt;b&gt;Aim:&lt;/b&gt; This paper investigates the conditions for inclusive design of regenerative medicine interventions from a bioethical perspective, taking regenerative valve implants as a showcase.&lt;b&gt;Methods:&lt;/b&gt; A value hierarchy is construed to translate the value of justice into norms and design requirements for inclusive design of regenerative valve implants.&lt;b&gt;Results:&lt;/b&gt; Three norms are proposed and translated into design requirements: regenerative valve implants should be designed to promote equal opportunity to good health for all potential users; equal respect for all potential users should be shown; and the implants should be designed to be accessible to everyone in need.&lt;b&gt;Conclusion:&lt;/b&gt; The norms and design requirements help to design regenerative valve implants that are appropriate, respectful and available for everyone in need.</t>
  </si>
  <si>
    <t>Time-varying exposure to food retailers and cardiovascular disease hospitalization and mortality in the netherlands: a nationwide prospective cohort study.</t>
  </si>
  <si>
    <t>Pinho, Maria Gabriela M; Koop, Yvonne; Mackenbach, Joreintje D; Lakerveld, Jeroen; Simões, Mariana; Vermeulen, Roel; Wagtendonk, Alfred J; Vaartjes, Ilonca; Beulens, Joline W J</t>
  </si>
  <si>
    <t>https://pubmed.ncbi.nlm.nih.gov/39379985</t>
  </si>
  <si>
    <t>Very few studies to date investigated the prospective association of changes in exposure to the food environment with cardiovascular disease (CVD) risk. We aim to explore if time-varying exposure to the food environment was associated with hospitalization and mortality due to total and specific types of CVD in The Netherlands. In this prospective cohort study, 4,641,435 Dutch adults aged 35 + years who did not change residence in 2002-2018 were identified through registry data. Exposure to the food environment was defined as time-varying Food Environment Healthiness Index (FEHI) scores (range: - 5 to 5) and time-varying kernel density of specific food retailers (e.g., fast food outlets, supermarkets) around the home location between 2004 and 2018. The main outcome measures were hospitalization and mortality due to overall CVD, stroke, HF, and CHD occurring between 2004 and 2020, based on hospital and death registries. In Cox regression models, each unit increase in the FEHI was associated with a lower hospitalization and mortality of CVD (hospitalization hazard ratio (HR&lt;sub&gt;h&lt;/sub&gt;) = 0.90 (0.89 to 0.91), mortality hazard ratio (HR&lt;sub&gt;m&lt;/sub&gt;) = 0.85 (0.82 to 0.89)), CHD (HR&lt;sub&gt;h&lt;/sub&gt; = 0.88 (0.85 to 0.91), HR&lt;sub&gt;m&lt;/sub&gt; = 0.80 (0.75 to 0.86)), stroke (HR&lt;sub&gt;h&lt;/sub&gt; = 0.89 (0.84 to 0.93)), HR&lt;sub&gt;m&lt;/sub&gt; = 0.89 (0.82 to 0.98)), and HF (HR&lt;sub&gt;h&lt;/sub&gt; = 0.90 (0.84-0.96), HR&lt;sub&gt;m&lt;/sub&gt; = 0.84 (0.76 to 0.92)). Increased density of local food shops, fast food outlets, supermarkets, and convenience stores and decreased density of food delivery outlets and restaurants were associated with a higher risk of CVD, CHD, stroke, and HF hospitalization and mortality. In this observational longitudinal study, changes in exposure to a healthier food environment over 14 years were associated with a risk reduction in CVD hospitalization and mortality, in particular in urbanized areas and for younger adults and those with higher incomes.</t>
  </si>
  <si>
    <t>Temporal Trends in Air Pollution Exposure across Socioeconomic Groups in The Netherlands.</t>
  </si>
  <si>
    <t>Hlubek, Niklas; Koop, Yvonne; Wagtendonk, Alfred; Vaartjes, Ilonca</t>
  </si>
  <si>
    <t>https://pubmed.ncbi.nlm.nih.gov/39200587</t>
  </si>
  <si>
    <t>Air pollution exposure has been linked to detrimental health outcomes. While cross-sectional studies have demonstrated socioeconomic disparities in air pollution exposure, longitudinal evidence on these disparities remains limited. The current study investigates trends in residential air pollution exposure across socioeconomic groups in the Netherlands from 2014 to 2019. Our dataset includes over 12.5 million individuals, aged 18 years and above, who resided in the Netherlands between 2014 and 2019, using Statistics Netherlands data. The address-level air pollution concentrations were estimated by dispersion models of the National Institute of Public Health and the Environment. We linked the exposure estimations of particulate matter &lt; 10 or &lt;2.5 μm (PM&lt;sub&gt;10&lt;/sub&gt;, PM&lt;sub&gt;2.5&lt;/sub&gt;) and nitrogen dioxide (NO&lt;sub&gt;2&lt;/sub&gt;) to household-level socioeconomic data. In highly urbanized areas, individuals from both the lowest and highest socioeconomic groups were exposed to higher air pollution concentrations. Individuals from the lowest socioeconomic group were disproportionally located in highly urbanized and more polluted areas. The air pollution concentrations of PM&lt;sub&gt;10&lt;/sub&gt;, PM&lt;sub&gt;2.5&lt;/sub&gt;, and NO&lt;sub&gt;2&lt;/sub&gt; decreased between 2014 and 2019 for all the socioeconomic groups. The decrease in the annual average air pollution concentrations was the strongest for the lowest socioeconomic group, although differences in exposure between the socioeconomic groups remain. Further research is needed to define the health and equity implications.</t>
  </si>
  <si>
    <t>Octopus follow-up: 20 year prognosis in patients randomized to on-pump CABG, off-pump CABG or PCI.</t>
  </si>
  <si>
    <t>Koop, Yvonne; Nathoe, Hendrik; Bots, Michiel; Grobbee, Diederick E; Timmermans, Marijke; Wimmers, Raymond H; Gianoli, Monica; van Dijk, Diederik; Vaartjes, Ilonca; ,</t>
  </si>
  <si>
    <t>https://pubmed.ncbi.nlm.nih.gov/39098613</t>
  </si>
  <si>
    <t>The very long-term outcomes of off-pump versus on-pump Coronary Artery Bypass Grafting (CABG) and Percutaneous Coronary Intervention (PCI) are largely unclear. We linked 20-years outcomes of two randomized trials to evaluate re-intervention and mortality outcomes for on-pump CABG, off-pump CABG and PCI. A data linkage project was performed using data as registered within the Netherlands Heart Registration (NHR), Statistics Netherlands (CBS) and the Octopus trials. Between 1998 and 2000, these trials randomized patients with coronary artery disease to on-pump versus off-pump CABG (OctoPump trial), or to PCI versus off-pump CABG (OctoStent trial). With data linkage, the original 5 years follow-up time for clinical events was extended to 20 years, including mortality and coronary reinterventions. After 20 years, in the OctoPump trial all-cause mortality was 50.0% after on-pump, and 46.5% after off-pump CABG. There was no difference in the combined outcome of mortality and re-interventions (HR 0.82, 95% CI 0.59-1.12). In the OctoStent trial, all-cause mortality was 56.7% after PCI and 52.5% after off-pump CABG. There was no difference in the combined outcome of mortality and re-interventions (HR 0.76, 95% CI 0.57-1.04). Off-pump CABG patients underwent less re-interventions than PCI patients (HR 0.52, 95% CI 0.33-0.80). This study revealed no differences in 20-year survival between patients randomized to on-pump versus off-pump CABG, or to PCI versus off-pump-CABG. However, off-pump CABG patients underwent less re-interventions than PCI patients.</t>
  </si>
  <si>
    <t>Cardiovascular toxicities of immune therapies for cancer - a scientific statement of the Heart Failure Association (HFA) of the ESC and the ESC Council of Cardio-Oncology.</t>
  </si>
  <si>
    <t>Tocchetti, Carlo Gabriele; Farmakis, Dimitrios; Koop, Yvonne; Andres, Maria Sol; Couch, Liam S; Formisano, Luigi; Ciardiello, Fortunato; Pane, Fabrizio; Au, Lewis; Emmerich, Max; Plummer, Chris; Gulati, Geeta; Ramalingam, Sivatharshini; Cardinale, Daniela; Brezden-Masley, Christine; Iakobishvili, Zaza; Thavendiranathan, Paaladinesh; Santoro, Ciro; Bergler-Klein, Jutta; Keramida, Kalliopi; de Boer, Rudolf A; Maack, Christoph; Lutgens, Esther; Rassaf, Tienush; Fradley, Michael G; Moslehi, Javid; Yang, Eric H; De Keulenaer, Gilles; Ameri, Pietro; Bax, Jeroen; Neilan, Tomas G; Herrmann, Joerg; Mbakwem, Amam C; Mirabel, Mariana; Skouri, Hadi; Hirsch, Emilio; Cohen-Solal, Alain; Sverdlov, Aaron L; van der Meer, Peter; Asteggiano, Riccardo; Barac, Ana; Ky, Bonnie; Lenihan, Daniel; Dent, Susan; Seferovic, Petar; Coats, Andrew J S; Metra, Marco; Rosano, Giuseppe; Suter, Thomas; Lopez-Fernandez, Teresa; Lyon, Alexander R</t>
  </si>
  <si>
    <t>https://pubmed.ncbi.nlm.nih.gov/39087551</t>
  </si>
  <si>
    <t>The advent of immunological therapies has revolutionized the treatment of solid and haematological cancers over the last decade. Licensed therapies which activate the immune system to target cancer cells can be broadly divided into two classes. The first class are antibodies that inhibit immune checkpoint signalling, known as immune checkpoint inhibitors (ICIs). The second class are cell-based immune therapies including chimeric antigen receptor T lymphocyte (CAR-T) cell therapies, natural killer (NK) cell therapies, and tumour infiltrating lymphocyte (TIL) therapies. The clinical efficacy of all these treatments generally outweighs the risks, but there is a high rate of immune-related adverse events (irAEs), which are often unpredictable in timing with clinical sequalae ranging from mild (e.g. rash) to severe or even fatal (e.g. myocarditis, cytokine release syndrome) and reversible to permanent (e.g. endocrinopathies).The mechanisms underpinning irAE pathology vary across different irAE complications and syndromes, reflecting the broad clinical phenotypes observed and the variability of different individual immune responses, and are poorly understood overall. Immune-related cardiovascular toxicities have emerged, and our understanding has evolved from focussing initially on rare but fatal ICI-related myocarditis with cardiogenic shock to more common complications including less severe ICI-related myocarditis, pericarditis, arrhythmias, including conduction system disease and heart block, non-inflammatory heart failure, takotsubo syndrome and coronary artery disease. In this scientific statement on the cardiovascular toxicities of immune therapies for cancer, we summarize the pathophysiology, epidemiology, diagnosis, and management of ICI, CAR-T, NK, and TIL therapies. We also highlight gaps in the literature and where future research should focus.</t>
  </si>
  <si>
    <t>Physiological Response to the COVID-19 Vaccine: Insights From a Prospective, Randomized, Single-Blinded, Crossover Trial.</t>
  </si>
  <si>
    <t>Markovic, Andjela; Kovacevic, Vladimir; Brakenhoff, Timo B; Veen, Duco; Klaver, Paul; Mitratza, Marianna; Downward, George S; Grobbee, Diederick E; Cronin, Maureen; Goodale, Brianna M; ,</t>
  </si>
  <si>
    <t>https://pubmed.ncbi.nlm.nih.gov/39083770</t>
  </si>
  <si>
    <t>Rapid development and implementation of vaccines constituted a crucial step in containing the COVID-19 pandemic. A comprehensive understanding of physiological responses to these vaccines is important to build trust in medicine. This study aims to investigate temporal dynamics before and after COVID-19 vaccination in 4 physiological parameters as well as the duration of menstrual cycle phases. In a prospective trial, 17,825 adults in the Netherlands wore a medical device on their wrist for up to 9 months. The device recorded their physiological signals and synchronized with a complementary smartphone app. By means of multilevel quadratic regression, we examined changes in wearable-recorded breathing rate, wrist skin temperature, heart rate, heart rate variability, and objectively assessed the duration of menstrual cycle phases in menstruating participants to assess the effects of COVID-19 vaccination. The recorded physiological signals demonstrated short-term increases in breathing rate and heart rate after COVID-19 vaccination followed by a prompt rebound to baseline levels likely reflecting biological mechanisms accompanying the immune response to vaccination. No sex differences were evident in the measured physiological responses. In menstruating participants, we found a 0.8% decrease in the duration of the menstrual phase following vaccination. The observed short-term changes suggest that COVID-19 vaccines are not associated with long-term biophysical issues. Taken together, our work provides valuable insights into continuous fluctuations of physiological responses to vaccination and highlights the importance of digital solutions in health care. RR2-10.1186/s13063-021-05241-5.</t>
  </si>
  <si>
    <t>Hypertension and diabetes control: faith-based centres offer a promise for expanding screening services and linkage to care in Ghana.</t>
  </si>
  <si>
    <t>Nonterah, Engelbert A; Chatio, Samuel T; Willis, Andy; Alale, Joseph A; Zakariah-Akoto, Sawudatu; Darko, Natalie; Curtis, Ffion; Kunutsor, Setor K; Jones, Ceri; Seidu, Samuel; Ansah, Patrick O</t>
  </si>
  <si>
    <t>https://pubmed.ncbi.nlm.nih.gov/39448912</t>
  </si>
  <si>
    <t>Hypertension and type 2 diabetes mellitus (T2DM) are important contributors to noncommunicable disease related morbidity and mortality. Health systems could benefit from exploring the use of Faith-Based Centres (FBC) to screen and link suspected cases for further care in order to help achieve Sustainable Development Goal (SDG) 3. The study investigated the role of faith-based screening for T2DM and hypertension and the linkage of cases to the healthcare system and examined the care cascade in the Kassena Nankana Districts of Northern Ghana. We screened individuals from 6 FBCs for elevated blood pressure and hyperglycaemia. Suspected hypertension and T2DM cases were referred to health facilities for confirmation and subsequently followed them up for 3 months. We assessed the prevalence of behavioural and metabolic risk factors, including hypertension and T2DM, and the retention of referred cases in the healthcare system over follow up period. We further assessed levels of awareness, treatment and adequate control of hypertension and T2DM. A total of 631 participants were screened, (mean age 49 ± 16years, 73% female) from 6 Faith based Centres. More males than females reported smoking tobacco (14.5% vs. 0.7%) and been physically active (64.5% vs. 52.7%) while more females were obese (29.6 kg/m&lt;sup&gt;2&lt;/sup&gt; vs. 14.5 kg/m&lt;sup&gt;2&lt;/sup&gt;) and had a higher mean waist circumference (89.0 cm IQR 75-116 cm vs. 84.2 cm IQR 72-107 cm), hip circumference (101.5 ± 10.6 cm vs. 96.4 ± 8.6 cm) and waist-to-hip ratio (0.86 ± 0.1 cm vs. 0.87 ± 0.1 cm) than males. The prevalence of confirmed hypertension and T2DM was 27.9% and 3.5% respectively with no observed sex differences. We observed deficits in the hypertension and T2DM care cascade with reported low awareness, treatment and uncontrolled levels. A 3-month follow up showed a retention in care of 100% in month one and 94.9% in the third month. There was an increase in treatment (39.4% in month-1 and 82.8% in month-3) and control (26.3% in month-1 and 76.3% in month-3) of hypertension and T2DM combined. Faith-based centres have the potential to enhance the screening, linkage to the healthcare system, and management of hypertension and T2DM. This improvement over the routine system could lead to earlier diagnoses, a reduction in complications, and decreased premature mortality from cardiovascular diseases. Consequently, these efforts would contribute significantly to achieving SDG 3.</t>
  </si>
  <si>
    <t>Hypertension knowledge, attitudes and perceptions among adults in the Navrongo Health and Demographic Surveillance Site: a mixed methods analysis.</t>
  </si>
  <si>
    <t>Singh, Ahaana; Agongo, Godfred; Chatio, Samuel T; Logonia, Bernard; Debpuur, Cornelius Y; Ansah, Patrick O; Oduro, Abraham R; Klipstein-Grobusch, Kerstin; Nonterah, Engelbert A</t>
  </si>
  <si>
    <t>https://pubmed.ncbi.nlm.nih.gov/38926659</t>
  </si>
  <si>
    <t>This study assessed knowledge, behaviors, and perceptions towards hypertension following community dissemination on cardiovascular disease (CVD) risk within the Navrongo Health and Demographic Surveillance Site in Northern Ghana. A cross-sectional mixed methods study was conducted among middle aged men and women following education on CVD and their risk factors. Knowledge and attitudes of participants regarding hypertension were measured in 310 participants using a survey tool and the resultant data was analyzed with descriptive statistics. Focus group discussions (FDG) were used to assess perceptions of 40 study participants on their lived experiences with hypertension. Recorded interviews were transcribed verbatim and coded into themes using Nvivo 12 software before thematic analysis. Of the 310 surveyed participants, 54% were women and the mean age was 50 ± 6 years. The results showed that 84% of participants had heard about hypertension, 70% knew it was an increase in blood pressure and could be caused by excess salt intake, poor diet and physical inactivity. About 22.3% of participants were aware of the had hypertension. In terms of management, majority of the participants were aware that hypertension could be treated with antihypertensive medication and that untreated or uncontrolled hypertension could result in adverse health consequences. Few participants had ever had their blood pressure measured and did not access screening or healthcare care services and rather perceived the health system as inadequate to screen, and manage hypertension. Though, knowledge on hypertension was high, awareness of hypertension status and access to screening and healthcare services was low. Community beliefs and perceptions strongly influence treatment, and control of hypertension. Effective sustained community dissemination efforts addressing misperceptions could improve hypertension treatment and control.</t>
  </si>
  <si>
    <t>Federated learning as a smart tool for research on infectious diseases.</t>
  </si>
  <si>
    <t>Zwiers, Laura C; Grobbee, Diederick E; Uijl, Alicia; Ong, David S Y</t>
  </si>
  <si>
    <t>https://pubmed.ncbi.nlm.nih.gov/39573994</t>
  </si>
  <si>
    <t>The use of real-world data has become increasingly popular, also in the field of infectious disease (ID), particularly since the COVID-19 pandemic emerged. While much useful data for research is being collected, these data are generally stored across different sources. Privacy concerns limit the possibility to store the data centrally, thereby also limiting the possibility of fully leveraging the potential power of combined data. Federated learning (FL) has been suggested to overcome privacy issues by making it possible to perform research on data from various sources without those data leaving local servers. In this review, we discuss existing applications of FL in ID research, as well as the most relevant opportunities and challenges of this method. References for this review were identified through searches of MEDLINE/PubMed, Google Scholar, Embase and Scopus until July 2023. We searched for studies using FL in different applications related to ID. Thirty references were included and divided into four sub-topics: disease screening, prediction of clinical outcomes, infection epidemiology, and vaccine research. Most research was related to COVID-19. In all studies, FL achieved good accuracy when predicting diseases and outcomes, also in comparison to non-federated methods. However, most studies did not make use of real-world federated data, but rather showed the potential of FL by using data that was manually partitioned. FL is a promising methodology which allows using data from several sources, potentially generating stronger and more generalisable results. However, further exploration of FL application possibilities in ID research is needed.</t>
  </si>
  <si>
    <t>A practical assessment protocol for clinically relevant P-glycoprotein-mediated drug-drug interactions.</t>
  </si>
  <si>
    <t>Bogaard, Leonie; Tsoi, Kayan; van de Steeg, Bas; Brandon, Esther F A; Geers, Lisanne; van Herwaarden, Margreet; Jansman, Frank; Maas, Dominique; Monster-Simons, Margje; Ong, David S Y; Borgsteede, Sander D</t>
  </si>
  <si>
    <t>https://pubmed.ncbi.nlm.nih.gov/39403136</t>
  </si>
  <si>
    <t>Drug-drug interactions (DDIs) may influence the effectiveness and safety of medication treatment, which may require additional monitoring, dose adjustment or avoidance of certain drugs. DDIs involving P-glycoprotein (P-gp) affect many drugs, but current official product information is often insufficient to guide the management of these DDIs in clinical practice. The aim of this paper is to describe a protocol to assess DDIs involving P-gp and to develop and implement practice recommendations for clinically relevant P-gp-mediated DDIs that affect clinical outcomes through changes in systemic drug exposure. A combined literature review and expert opinion approach will be used according to the following seven steps: set up an expert panel (step 1), establish core concepts and definitions (step 2), select potential P-gp-modulators (i.e., P-gp-inducers and -inhibitors) and P-gp-substrates to be evaluated (step 3), select and extract evidence-based data, and present findings in standardized assessment reports (step 4), discuss and adopt classifications and practice recommendations with the expert panel (step 5), publish and integrate information and alerts in clinical decision support systems (CDSS) (step 6), (re)assessments of DDIs and potential new DDIs when new information is available or when initiated by healthcare providers (step 7). The expert panel will classify potential P-gp-modulators and -substrates as clinically relevant P-gp-inducer, -inhibitor and/or -substrate and draw conclusions about which combinations of classified modulators and substrates will lead to clinically relevant DDIs. This may include the extrapolation of conclusions for DDIs where limited or no data are available, based on the pharmacological characteristics of these drugs. For (potential) DDIs that are considered to be clinically relevant, practice recommendations will be developed. This protocol describes a standardized, evidence- and expert opinion-based assessment of P-gp-mediated DDIs that affect clinical outcomes. This approach will generate alerts with practice recommendations for clinically relevant DDIs and transparent rationales for DDIs that are considered to be irrelevant. These recommendations will improve individual patient care by supporting healthcare professionals to make consistent decisions on how to manage P-gp mediated DDIs.</t>
  </si>
  <si>
    <t>Examining the psychometric properties of the Patient Health Questionnaire-9 and Generalized Anxiety Disorder-7 among young urban South African women.</t>
  </si>
  <si>
    <t>Hart, Claire; Draper, Catherine E; Soepnel, Larske M; Godongwana, Motlatso; Mabetha, Khuthala; Nyati, Lukhanyo H; Crouch, Simone H; Norris, Shane A</t>
  </si>
  <si>
    <t>https://pubmed.ncbi.nlm.nih.gov/39321979</t>
  </si>
  <si>
    <t>Valid, reliable, and easy-to-administer scales are crucial for identifying mental health conditions, especially in LMICs where such scales tend not to be validated. This study aims to address this gap by investigating the psychometric properties and factorial structure of the PHQ-9 and GAD-7 in a sample of young women in Soweto, South Africa. The PHQ-9 and GAD-7 were administered to 6028 women aged 18-28 years old. Cronbach's alpha, Mokken scale analysis, and Confirmatory Factor Analysis were used to provide support for the internal consistency and construct validity of these scales. Both scales demonstrated good internal consistency (α = 0.81 for PHQ-9 and α = 0.84 for GAD-7). Internal consistency reliability was further supported by positive inter-item correlations and item-by-scale correlations for all items on both measures. CFA of the PHQ-9 and GAD-7 showed a reasonable fit for the 1-factor model and 2-factor models (depression and anxiety with somatic and cognitive subtypes). This study was limited to young African women in urban Soweto who were proficient in English, which may affect generalizability. Differences in language or cultural context may impact the accuracy and applicability of these scales to other African populations. The PHQ-9 and GAD-7 are valid and reliable for identifying psychological distress in the studied population. Despite showing good psychometric properties, further diagnostic assessment is needed to confirm clinical diagnoses. The scales are useful for identifying those at risk but not a substitute for comprehensive diagnostic evaluations.</t>
  </si>
  <si>
    <t>A qualitative exploration of the reasons and influencing factors for pregnancy termination among young women in Soweto, South Africa: a Socio-ecological perspective.</t>
  </si>
  <si>
    <t>Mabetha, Khuthala; Soepnel, Larske M; SSewanyana, Derrick; Draper, Catherine E; Lye, Stephen; Norris, Shane A</t>
  </si>
  <si>
    <t>https://pubmed.ncbi.nlm.nih.gov/39044292</t>
  </si>
  <si>
    <t>Pregnancy termination is an essential component of reproductive healthcare. In Southern Africa, an estimated 23% of all pregnancies end in termination of pregnancy, against a backdrop of high rates of unintended pregnancies and unsafe pregnancy terminations, which contributes to maternal morbidity and mortality. Understanding the reasons for pregnancy termination may remain incomplete if seen in isolation of interpersonal (including family, peer, and partner), community, institutional, and public policy factors. This study therefore aimed to use a socio-ecological framework to qualitatively explore, in Soweto, South Africa, i) reasons for pregnancy termination amongst women aged 18-28 years, and ii) factors characterising the decision to terminate. In-depth interviews were conducted between February to March 2022 with ten participants of varying parity, who underwent a termination of pregnancy since being enrolled in the Bukhali trial, set in Soweto, South Africa. A semi-structured, in-depth interview guide, based on the socioecological domains, was used. The data was analysed using reflexive thematic analysis, and a deductive approach. An application of the socio-ecological framework indicated that the direct reasons to terminate a pregnancy fell into the individual and interpersonal domains of the socioecological framework. Key reasons included financial dependence and insecurity, feeling unready to have a child (again), and a lack of support from family and partners for the participant and their pregnancy. In addition to these reasons, Factors that characterised the participants' decision experience were identified across all socio-ecological domains and included the availability of social support and (lack of) accessibility to termination services. The COVID-19 pandemic and resultant lockdown policies also indirectly impacted participants' decisions through detrimental changes in interpersonal support and financial situation. Amongst the South African women included in this study, the decision to terminate a pregnancy was made within a complex structural and social context. Insight into the reasons why women choose to terminate helps to better align legal termination services with women's needs across multiple sectors, for example by reducing judgement within healthcare settings and improving access to social and mental health support.</t>
  </si>
  <si>
    <t>Identification of a "Blue Zone" in the Netherlands: A Genetic, Personal, Sociocultural, and Environmental Profile.</t>
  </si>
  <si>
    <t>Deeg, Dorly J H; van Tilburg, Theo; Visser, Marjolein; Braam, Arjan; Stringa, Najada; Timmermans, Erik J</t>
  </si>
  <si>
    <t>the gerontologist</t>
  </si>
  <si>
    <t>https://pubmed.ncbi.nlm.nih.gov/39269022</t>
  </si>
  <si>
    <t>"Blue Zones" (BZs) are regions with exceptionally high numbers of longevous inhabitants. Several factors have been suggested to promote longevity in BZs, but the evidence generally does not meet scientific quality criteria. We aimed to characterize a municipality as a "relative BZ," satisfying 3 criteria: compared to other municipalities, more exceptionally longevous inhabitants, a higher life expectancy, and a more stable population. The population-based Longitudinal Aging Study Amsterdam has been ongoing since 1992 in 11 municipalities across the Netherlands with 3- or 4-yearly measurement waves. Using all available waves, we included 39 genetic, personal, sociocultural, and environmental characteristics. One municipality satisfied the 3 BZ criteria. In comparison with participants in other municipalities in the same province and other provinces in the Netherlands, BZ-participants more often had a polygenic risk score linked to longevity, smoked less, consumed less alcohol and more fruit, biked more minutes, did more often paid work, practiced singing more often, attached higher importance to religion, and lived in a more walkable and livable environment. In contrast, BZ-participants had a slower walking speed, more depressive symptoms, felt less purpose in life, had a larger waist circumference, walked and did sports less often, consumed less vegetables, and exchanged less instrumental support. Other indicators of their physical and mental health and social connectedness did not substantially differ from non-BZ-participants. Rather than clues to healthy aging, our findings suggest factors conducive to longevity regardless of impaired health.</t>
  </si>
  <si>
    <t>The general external exposome and the development or progression of chronic kidney disease: A systematic review and meta-analyses.</t>
  </si>
  <si>
    <t>Liang, Kate H; Colombijn, Julia M T; Verhaar, Marianne C; Ghannoum, Marc; Timmermans, Erik J; Vernooij, Robin W M</t>
  </si>
  <si>
    <t>https://pubmed.ncbi.nlm.nih.gov/38968981</t>
  </si>
  <si>
    <t>The impact of environmental risk factors on chronic kidney disease (CKD) remains unclear. This systematic review aims to provide an overview of the literature on the association between the general external exposome and CKD development or progression. We searched MEDLINE and EMBASE for case-control or cohort studies, that investigated the association of the general external exposome with a change in eGFR or albuminuria, diagnosis or progression of CKD, or CKD-related mortality. The risk of bias of included studies was assessed using the Newcastle-Ottawa Scale. Summary effect estimates were calculated using random-effects meta-analyses. Most of the 66 included studies focused on air pollution (n = 33), e.g. particulate matter (PM) and nitric oxides (NOx), and heavy metals (n = 21) e.g. lead and cadmium. Few studies investigated chemicals (n = 7) or built environmental factors (n = 5). No articles on other environment factors such as noise, food supply, or urbanization were found. PM2.5 exposure was associated with an increased CKD and end-stage kidney disease incidence, but not with CKD-related mortality. There was mixed evidence regarding the association of NO&lt;sub&gt;2&lt;/sub&gt; and PM10 on CKD incidence. Exposure to heavy metals might be associated with an increased risk of adverse kidney outcomes, however, evidence was inconsistent. Studies on effects of chemicals or built environment on kidney outcomes were inconclusive. In conclusion, prolonged exposure to PM2.5 is associated with an increased risk of CKD incidence and progression to kidney failure. Current studies predominantly investigate the exposure to air pollution and heavy metals, whereas chemicals and the built environment remains understudied. Substantial heterogeneity and mixed evidence were found across studies. Therefore, long-term high-quality studies are needed to elucidate the impact of exposure to chemicals or other (built) environmental factors and CKD.</t>
  </si>
  <si>
    <t>Simplification of a registry-based algorithm for ejection fraction prediction in heart failure patients: Applicability in cardiology centres of the Netherlands.</t>
  </si>
  <si>
    <t>Canto, Elisa Dal; Uijl, Alicia; Onland-Moret, N Charlotte; Bots, Sophie H; Hofstra, Leonard; Tulevski, Igor; Asselbergs, Folkert W; van der Harst, Pim; Somsen, G Aernout; den Ruijter, Hester M</t>
  </si>
  <si>
    <t>https://pubmed.ncbi.nlm.nih.gov/39499710</t>
  </si>
  <si>
    <t>Left ventricular ejection fraction (EF) is used to categorize heart failure (HF) into phenotypes but this information is often missing in electronic health records or non-HF registries. We tested the applicability of a simplified version of a multivariable algorithm, that was developed on data of the Swedish Heart Failure Registry to predict EF in patients with HF. We used data from 4,868 patients with HF from the Cardiology Centers of the Netherlands database, an organization of 13 cardiac outpatient clinics that operate between the general practitioner and the hospital cardiologist. The algorithm included 17 demographical and clinical variables. We tested model discrimination, model performance and calculated model sensitivity, specificity, positive and negative predictive values for EF ≥ vs. &lt;50% and EF ≥ vs. &lt;40%. We additionally performed a multivariable multinomial analysis for all three separate HF phenotypes (with reduced, mildly reduced and preserved EF) HFrEF vs. HFmrEF vs. HFpEF. Finally, we internally validated the model by using temporal validation. Mean age was 66 ±12 years, 44% of patients were women, 68% had HFpEF, 17% had HFrEF, and 15% had HFmrEF. The C-statistic was of 0.71 for EF ≥/&lt; 50% (95% CI: 0.69-0.72) and of 0.74 (95% CI: 0.73-0.75) for EF ≥/&lt; 40%. The model had the highest sensitivities for EF ≥50% (0.72, 95% CI: 0.63-0.75) and for EF ≥40% (0.70, 95% CI: 0.65-0.71). Similar results were achieved by the multinomial model, but the C-statistics for predicting HFpEF vs HFrEF was lower (0.61, 95% CI 0.58-0.63). The internal validation confirmed good discriminative ability. A simple algorithm based on routine clinical characteristics can help discern HF phenotypes in non-cardiology datasets and research settings such as research on primary care data, where measurements of EF is often not available.</t>
  </si>
  <si>
    <t>Data Science and Biostatistics; Epidemiology and Health Economics; Global Health and Bioethics</t>
  </si>
  <si>
    <t>Investigating Exposure and Hazards of Micro- and Nanoplastics During Pregnancy and Early Life (AURORA Project): Protocol for an Interdisciplinary Study.</t>
  </si>
  <si>
    <t>Durkin, Amanda M; Zou, Runyu; Boucher, Justin M; Boyles, Matthew Sp; van Boxel, Jeske; Bustamante, Mariona; Christopher, Emily A; Dadvand, Payam; Dusza, Hanna M; van Duursen, Majorie; Forsberg, Markus M; Galea, Karen S; Legler, Juliette; Mandemaker, Laurens Db; Meirer, Florian; Muncke, Jane; Nawrot, Tim S; Přibylová, Petra; Robuck, Anna R; Saenen, Nelly D; Scholz-Böttcher, Barbara M; Shao, Kuanliang; Vrijheid, Martine; Walker, Douglas I; Zimmermann, Lisa; Zoutendijk, Laura M; Lenters, Virissa; Vermeulen, Roel</t>
  </si>
  <si>
    <t>https://pubmed.ncbi.nlm.nih.gov/39378424</t>
  </si>
  <si>
    <t>Micro- and nanoplastics (MNPs) are emerging pollutants of concern with ubiquitous presence in global ecosystems. MNPs pose potential implications for human health; however, the health impacts of MNP exposures are not yet understood. Recent evidence suggests that MNPs can cross the placental barrier, underlying the urgent need to understand their impact on reproductive health and development. The Actionable eUropean ROadmap for early-life health Risk Assessment of micro- and nanoplastics (AURORA) project will investigate MNP exposures and their biological and health effects during pregnancy and early life, which are critical periods due to heightened vulnerability to environmental stressors. The AURORA project will enhance exposure assessment capabilities for measuring MNPs, MNP-associated chemicals, and plastic additives in human tissues, including placenta and blood. In this interdisciplinary project, we will advance methods for in-depth characterization and scalable chemical analytical strategies, enabling high-resolution and large-scale toxicological, exposure assessment, and epidemiological studies. The AURORA project performs observational studies to investigate determinants and health impacts of MNPs by including 800 mother-child pairs from 2 existing birth cohorts and 110 women of reproductive age from a newly established cohort. This will be complemented by toxicological studies using a tiered-testing approach and epidemiological investigations to evaluate associations between maternal and prenatal MNP exposures and health perturbations, such as placental function, immune-inflammatory responses, oxidative stress, accelerated aging, endocrine disruption, and child growth and development. The ultimate goal of the AURORA project is to create an MNP risk assessment framework and identify the remaining knowledge gaps and priorities needed to comprehensively assess the impact of MNPs on early-life health. In the first 3 years of this 5-year project (2021-2026), progress was made toward all objectives. This includes completion of recruitment and data collection for new and existing cohorts, development of analytical methodological protocols, and initiation of the toxicological tiered assessments. As of September 2024, data analysis is ongoing and results are expected to be published starting in 2025. As plastic pollution increases globally, it is imperative to understand the impact of MNPs on human health, particularly during vulnerable developmental stages such as early life. The contributions of the AURORA project will inform future risk assessment. DERR1-10.2196/63176.</t>
  </si>
  <si>
    <t>Advancements in Assays for Micro- and Nanoplastic Detection: Paving the Way for Biomonitoring and Exposomics Studies.</t>
  </si>
  <si>
    <t>Shao, Kuanliang; Zou, Runyu; Zhang, Zhuoyue; Mandemaker, Laurens D B; Timbie, Sarah; Smith, Ronald D; Durkin, Amanda M; Dusza, Hanna M; Meirer, Florian; Weckhuysen, Bert M; Alderete, Tanya L; Vermuelen, Roel; Walker, Douglas I</t>
  </si>
  <si>
    <t>annual review of pharmacology and toxicology</t>
  </si>
  <si>
    <t>https://pubmed.ncbi.nlm.nih.gov/39270670</t>
  </si>
  <si>
    <t>Although plastic pollution and exposure to plastic-related compounds have received worldwide attention, health risks associated with micro- and nanoplastics (MNPs) are largely unknown. Emerging evidence suggests MNPs are present in human biofluids and tissue, including blood, breast milk, stool, lung tissue, and placenta; however, exposure assessment is limited and the extent of human exposure to MNPs is not well known. While there is a critical need to establish robust and scalable biomonitoring strategies to assess human exposure to MNPs and plastic-related chemicals, over 10,000 chemicals have been linked to plastic manufacturing with no existing standardized approaches to account for even a fraction of these exposures. This review provides an overview of the status of methods for measuring MNPs and associated plastic-related chemicals in humans, with a focus on approaches that could be adapted for population-wide biomonitoring and integration with biological response measures to develop hypotheses on potential health effects of plastic exposures. We also examine the exposure risks associated with the widespread use of chemical additives in plastics. Despite advancements in analytical techniques, there remains a pressing need for standardized measurement protocols and untargeted, high-throughput analysis methods to enable comprehensive MNP biomonitoring to identify key MNP exposures in human populations. This review aims to merge insights into the toxicological effects of MNPs and plastic additives with an evaluation of analytical challenges, advocating for enhanced research methods to fully assess, understand, and mitigate the public health implications of MNPs.</t>
  </si>
  <si>
    <t>Associations of gestational exposure to air pollution with maternal vitamin D levels: a meta-analysis.</t>
  </si>
  <si>
    <t>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t>
  </si>
  <si>
    <t>https://pubmed.ncbi.nlm.nih.gov/38870315</t>
  </si>
  <si>
    <t>Maternal vitamin D level is an important determinant of pregnancy and child health outcomes. Exposure to air pollution is suspected to increase the risk of vitamin D deficiency, but the evidence is scarce. We investigated the association between air pollution during pregnancy and maternal vitamin D levels. A total of 15,935 pregnant women from 5 birth cohorts in Europe and U.S were included. Averaged concentrations of nitrogen oxides, fine and coarse particles, and composition of fine particles from conception until vitamin D measurement were estimated at participants' residential addresses using land-use regression or other spatiotemporal models. Cohorts measured vitamin D as 25(OH)D or 25(OH)D3 levels in serum or plasma at early or mid-pregnancy. We defined suboptimal vitamin D levels as levels below 20 ng/mL. We performed logistic regression models for each cohort to estimate the association between air pollution exposure and suboptimal vitamin D levels and pooled cohort-specific estimates in a random-effect meta-analysis. Models were adjusted for sociodemographic and lifestyle characteristics and month of conception. We found an association between PM2.5 and higher odds of suboptimal vitamin D levels (i.e., below 20 ng/mL) (odds ratio per 5 μg/m3 increase in PM2.5, 1.43 95%CI: 1.02, 1.99). There was no association between other air pollutant exposure and vitamin D levels. PM2.5 exposure might contribute to suboptimal levels of vitamin D in pregnancy. Reducing air pollution exposure should be a priority because vitamin D deficiency may adversely influence offspring development.</t>
  </si>
  <si>
    <t>Family is all that matters: Prospective associations between structure, function, and quality of social relations and self-rated health in the National Social Life, Health, and Aging Project (NSHAP).</t>
  </si>
  <si>
    <t>Abreu, T C; Mackenbach, J D; Beulens, J W J; Vaartjes, I; Kawachi, I</t>
  </si>
  <si>
    <t>https://pubmed.ncbi.nlm.nih.gov/39635462</t>
  </si>
  <si>
    <t>We prospectively examined the association between structure, function, and quality of social relations and self-rated health (SRH) in U.S. adults followed over 10 years in the population-based National Social Life, Health, and Aging Project (NSHAP). Large social network and high positive/negative social support were measured at baseline and defined as the highest quartile. These three binary measures were reported from friends, family, and partner and combined into a multifactorial exposure variable. SRH was measured through a 5-point Likert scale and dichotomised. Odds ratios (OR) for poor SRH were estimated with covariate-adjusted logistic regression. In total, 1,592 participants were included. Based on the combined multifactorial exposure variable as well as independent exposure variables, only lower levels of negative social support were prospectively associated with better SRH (aOR = 0.65; 95%CI 0.44-0.98). From the different social ties, only family-related negative social support was associated with poor SRH (aOR = 0.59; 95%CI 0.39-0.90). This association was similar between genders, but only statistically significant among women. Sensitivity analysis with depressive symptoms as outcome supported the hypothesis that the findings for SRH may be partially driven by mental health (aOR = 0.65; 95%CI 0.48-0.90). Concluding, negative social support particularly from family is prospectively associated with poor SRH.</t>
  </si>
  <si>
    <t>The effect of altered sleep timing on glycaemic outcomes: Systematic review of human intervention studies.</t>
  </si>
  <si>
    <t>Slebe, Romy; Splinter, Jane J; Schoonmade, Linda J; Blondin, Denis P; Campbell, David J T; Carpentier, André C; Després, Jean-Pierre; Hoeks, Joris; Kalsbeek, Andries; Raina, Parminder; Schrauwen, Patrick; Serlie, Mireille J; Stenvers, Dirk Jan; Yi, Chun-Xia; de Mutsert, Renée; Beulens, Joline W J; Rutters, Femke</t>
  </si>
  <si>
    <t>https://pubmed.ncbi.nlm.nih.gov/39605179</t>
  </si>
  <si>
    <t>Alterations in sleep timing can lead to disturbances in glycaemic control, although the evidence is inconsistent. Therefore, this systematic review summarizes results from human intervention studies of altered sleep timing on glycaemic outcomes. As part of a broader search on the effect of altering timing of sleep, physical activity and dietary intake, Medline and Embase were searched from inception to February 2023, and subsequent reference searches were done. With the help of a machine learning-aided program 'ASReview', we selected any type of intervention study in the general adult population, which acutely delayed sleep by ≥2 h for at least one night, while the total time in bed was the same between early and late sleep. Quality assessment was done using the quality assessment tool for quantitative studies. In total, 14 studies (159 adults with normal or increased weight) were identified. Methodological quality was high (n = 4), moderate (n = 7) or low (n = 3). Acute delays of sleep onset showed unfavourable effects in 10 out of 27 measured glycaemic outcomes (one-six studies reported on each outcome) with outcomes mostly measured in the postprandial period, compared to (early) nighttime sleep. Acutely delaying sleep timing might have unfavourable effects on glycaemic outcomes, compared to (early) nighttime sleep. Future research does however need better controlled trials, also measuring and controlling sleep quantity, sleep quality, physical activity and dietary intake, with longer follow-up periods, consistent outcomes and designs and more diverse populations to provide targeted advice regarding the optimal timing for sleep. This review is part of a larger search 'The effect of altering timing of physical activity, sleep and energy intake on glycaemia and Type 2 Diabetes risk in humans', of which the protocol was registered in the PROSPERO database on 27 November 2021 under number: CRD42021287828.</t>
  </si>
  <si>
    <t>Are food and beverage purchases reflective of dietary intake? Validity of supermarket purchases as indicator of diet quality in the Supreme Nudge Trial.</t>
  </si>
  <si>
    <t>Colizzi, Chiara; Stuber, Josine M; van der Schouw, Yvonne T; Beulens, Joline W J</t>
  </si>
  <si>
    <t>https://pubmed.ncbi.nlm.nih.gov/39501842</t>
  </si>
  <si>
    <t>Dietary intake assessment is often complicated by intrinsic bias. This study investigated whether food purchase data could constitute a valid indication of dietary intake, by evaluating the extent to which diet quality as measured by supermarket food purchases is correlated with diet quality as measured by reported dietary intake. We used data from the Supreme Nudge cluster-randomised controlled supermarket trial (&lt;i&gt;n&lt;/i&gt; 227). Data were collected at baseline from supermarket purchases (loyalty cards) and a dietary questionnaire (short forty-item FFQ) to compute two scores reflecting diet quality from purchasing data (purchased diet quality) and FFQ (consumed diet quality). Both scores constituted thirteen food groups and could theoretically range from 0 (low diet quality) to 130 (high diet quality). The relationship between purchased diet quality and consumed diet quality was assessed using correlation coefficients and the Bland-Altman limits-of-agreement method. Multiple linear regression was fitted between purchased diet quality and consumed diet quality, adjusted for age, sex, waist circumference, educational level and household size. Consumed and purchased diet qualities were modestly positively correlated (Pearson's ρ = 0·31, 95 % CI 0·18, 0·42). A positive association from linear regression was found after confounding adjustments (β&lt;sub&gt;baseline&lt;/sub&gt; = 0·22, 95 % CI 0·10, 0·34). The purchased diet quality was systematically lower than the consumed diet quality. This study found that diet quality as measured by supermarket purchases provided a reasonable indication of diet quality as reported by short-FFQ, albeit modest.</t>
  </si>
  <si>
    <t>Exposome-Wide Association Study of Body Mass Index Using a Novel Meta-Analytical Approach for Random Forest Models.</t>
  </si>
  <si>
    <t>Ohanyan, Haykanush; van de Wiel, Mark; Portengen, Lützen; Wagtendonk, Alfred; den Braver, Nicolette R; de Jong, Trynke R; Verschuren, Monique; van den Hurk, Katja; Stronks, Karien; Moll van Charante, Eric; van Schoor, Natasja M; Stehouwer, Coen D A; Wesselius, Anke; Koster, Annemarie; Ten Have, Margreet; Penninx, Brenda W J H; van Wier, Marieke F; Motoc, Irina; Oldehinkel, Albertine J; Willemsen, Gonneke; Boomsma, Dorret I; Beenackers, Mariëlle A; Huss, Anke; van Boxtel, Martin; Hoek, Gerard; Beulens, Joline W J; Vermeulen, Roel; Lakerveld, Jeroen</t>
  </si>
  <si>
    <t>https://pubmed.ncbi.nlm.nih.gov/38889167</t>
  </si>
  <si>
    <t>Overweight and obesity impose a considerable individual and social burden, and the urban environments might encompass factors that contribute to obesity. Nevertheless, there is a scarcity of research that takes into account the simultaneous interaction of multiple environmental factors. Our objective was to perform an exposome-wide association study of body mass index (BMI) in a multicohort setting of 15 studies. Studies were affiliated with the Dutch Geoscience and Health Cohort Consortium (GECCO), had different population sizes (688-141,825), and covered the entire Netherlands. Ten studies contained general population samples, others focused on specific populations including people with diabetes or impaired hearing. BMI was calculated from self-reported or measured height and weight. Associations with 69 residential neighborhood environmental factors (air pollution, noise, temperature, neighborhood socioeconomic and demographic factors, food environment, drivability, and walkability) were explored. Random forest (RF) regression addressed potential nonlinear and nonadditive associations. In the absence of formal methods for multimodel inference for RF, a rank aggregation-based meta-analytic strategy was used to summarize the results across the studies. Six exposures were associated with BMI: five indicating neighborhood economic or social environments (average home values, percentage of high-income residents, average income, livability score, share of single residents) and one indicating the physical activity environment (walkability in &lt;math xmlns="http://www.w3.org/1998/Math/MathML"&gt;&lt;mrow&gt;&lt;mn&gt;5&lt;/mn&gt;&lt;mtext&gt;-km&lt;/mtext&gt;&lt;/mrow&gt;&lt;/math&gt; buffer area). Living in high-income neighborhoods and neighborhoods with higher livability scores was associated with lower BMI. Nonlinear associations were observed with neighborhood home values in all studies. Lower neighborhood home values were associated with higher BMI scores but only for values up to &lt;math xmlns="http://www.w3.org/1998/Math/MathML"&gt;&lt;mrow&gt;&lt;mo&gt;€&lt;/mo&gt;&lt;mn&gt;300,000&lt;/mn&gt;&lt;/mrow&gt;&lt;/math&gt;. The directions of associations were less consistent for walkability and share of single residents. Rank aggregation made it possible to flexibly combine the results from various studies, although between-study heterogeneity could not be estimated quantitatively based on RF models. Neighborhood social, economic, and physical environments had the strongest associations with BMI. https://doi.org/10.1289/EHP13393.</t>
  </si>
  <si>
    <t>Evaluation of risk prediction models to select lung cancer screening participants in Europe: a prospective cohort consortium analysis.</t>
  </si>
  <si>
    <t>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t>
  </si>
  <si>
    <t>https://pubmed.ncbi.nlm.nih.gov/39179310</t>
  </si>
  <si>
    <t>Lung cancer risk prediction models might efficiently identify individuals who should be offered lung cancer screening. However, their performance has not been comprehensively evaluated in Europe. We aimed to externally validate and evaluate the performance of several risk prediction models that predict lung cancer incidence or mortality in prospective European cohorts. We analysed 240 137 participants aged 45-80 years with a current or former smoking history from nine European countries in four prospective cohorts from the pooled database of the Lung Cancer Cohort Consortium: the Alpha-Tocopherol, Beta-Carotene Cancer Prevention Study (Finland), the Nord-Trøndelag Health Study (Norway), CONSTANCES (France), and the European Prospective Investigation into Cancer and Nutrition (Denmark, Germany, Italy, Spain, Sweden, the Netherlands, and Norway). We evaluated ten lung cancer risk models, which comprised the Bach, the Prostate, Lung, Colorectal, and Ovarian Cancer Screening Trial 2012 model (PLCO&lt;sub&gt;m2012&lt;/sub&gt;), the Lung Cancer Risk Assessment Tool (LCRAT), the Lung Cancer Death Risk Assessment Tool (LCDRAT), the Nord-Trøndelag Health Study (HUNT), the Optimized Early Warning Model for Lung Cancer Risk (OWL), the University College London-Death (UCLD), the University College London-Incidence (UCLI), the Liverpool Lung Project version 2 (LLP version 2), and the Liverpool Lung Project version 3 (LLP version 3) models. We quantified model calibration as the ratio of expected to observed cases or deaths and discrimination using the area under the receiver operating characteristic curve (AUC). For each model, we also identified risk thresholds that would screen the same number of individuals as each of the US Preventive Services Task Force 2021 (USPSTF-2021), the US Preventive Services Task Force 2013 (USPSTF-2013), and the Nederlands-Leuvens Longkanker Screenings Onderzoek (NELSON) criteria. Among the participants, 1734 lung cancer cases and 1072 lung cancer deaths occurred within five years of enrolment. Most models had reasonable calibration in most countries, although the LLP version 2 overpredicted risk by more than 50% in eight countries (expected to observed ≥1·50). The PLCO&lt;sub&gt;m2012&lt;/sub&gt;, LCDRAT, LCRAT, Bach, HUNT, OWL, UCLD, and UCLI models showed similar discrimination in most countries, with AUCs ranging from 0·68 (95% CI 0·59-0·77) to 0·83 (0·78-0·89), whereas the LLP version 2 and LLP version 3 showed lower discrimination, with AUCs ranging from 0·64 (95% CI 0·57-0·72) to 0·78 (0·74-0·83). When pooling data from all countries (but excluding the HUNT cohort), 33·9% (73 313 of 216 387) of individuals were eligible by USPSTF-2021 criteria, which included 74·8% (1185) of lung cancers and 76·3% (730) of lung cancer deaths occurring over 5 years. Fewer individuals were selected by USPSTF-2013 and NELSON criteria. After applying thresholds to select a population of equal size to USPSTF-2021, the PLCO&lt;sub&gt;m2012&lt;/sub&gt;, LCDRAT, LCRAT, Bach, HUNT, OWL, UCLD, and UCLI, models identified 77·6%-79·1% of future cases, although they selected slightly older individuals compared with USPSTF-2021 criteria. Results were similar for USPSTF-2013 and NELSON. Several lung cancer risk prediction models showed good performance in European countries and might improve the efficiency of lung cancer screening if used in place of categorical eligibility criteria. US National Cancer Institute, l'Institut National du Cancer, Cancer Research UK.</t>
  </si>
  <si>
    <t>Expanded PAH analysis of household air pollution in a rural region of China with high lung cancer incidence.</t>
  </si>
  <si>
    <t>Zhang, Yongliang; Meliefste, Kees; Hu, Wei; Portengen, Lützen; Rothman, Nathaniel; Reiss, Boris; Li, Jihua; Xu, Jun; Ning, Baofu; Liu, Dingyu; Cassee, Flemming R; Wong, Jason Y Y; Vermeulen, Roel; Lan, Qing; Downward, George S</t>
  </si>
  <si>
    <t>https://pubmed.ncbi.nlm.nih.gov/39147225</t>
  </si>
  <si>
    <t>The domestic combustion of locally sourced smoky (bituminous) coal in Xuanwei and Fuyuan counties, China, is responsible for some of the highest lung cancer rates in the world. Recent research has pointed to methylated PAHs (mPAHs), particularly 5-methylchrysene (5MC), within coal combustion products as a driving factor. Here we describe measurements of mPAHs in Xuanwei and Fuyuan derived from controlled burnings (i.e., water boiling tests, WBT, n = 27) representing exposures during stove use, and an exposure assessment (EA) study (n = 116) representing 24 h weighted exposures. Using smoky coal has led to significantly higher concentrations of known and likely human carcinogens than using smokeless coal, including 5MC (3.7 ng/m&lt;sup&gt;3&lt;/sup&gt; vs. 1.0 ng/m&lt;sup&gt;3&lt;/sup&gt; for EA samples and 100.8 ng/m&lt;sup&gt;3&lt;/sup&gt; vs. 2.2 ng/m&lt;sup&gt;3&lt;/sup&gt; for WBT samples), benzo[a]pyrene (38.0 ng/m&lt;sup&gt;3&lt;/sup&gt; vs. 7.9 ng/m&lt;sup&gt;3&lt;/sup&gt; for EA samples and 455.3 ng/m&lt;sup&gt;3&lt;/sup&gt; vs. 12.0 ng/m&lt;sup&gt;3&lt;/sup&gt; for WBT samples) and 7,12-dimethylbenz[a]anthracene (1.9 ng/m&lt;sup&gt;3&lt;/sup&gt; vs. 0.2 ng/m&lt;sup&gt;3&lt;/sup&gt; for EA samples and 47.7 ng/m&lt;sup&gt;3&lt;/sup&gt; vs. 0.6 ng/m&lt;sup&gt;3&lt;/sup&gt; for WBT samples). Mixed effect models for both EA samples and WBT samples revealed clear variation in mPAHs concentrations depending on smoky coal source while stove ventilation was consistently found to reduce measured concentrations (by up to nine fold and 65 fold for EA and WBT samples respectively when using smoky coal). Fuel type had a larger influence on mPAHs concentrations than stove type. These findings indicate that users of smoky coal experience exposure to many PAHs, including known and suspected human carcinogens (especially during cooking activities), many of which are not routinely tested for. Collectively, this provides insights into the potential etiologies of lung cancer in the region and further highlights the importance of targeting clean fuel transitions and stove refinements as the final goal for reducing household air pollution and its associated health risks.</t>
  </si>
  <si>
    <t>Hemoglobin and Its Relationship with Fatigue in Long-COVID Patients Three to Six Months after SARS-CoV-2 Infection.</t>
  </si>
  <si>
    <t>Bazdar, Somayeh; Bloemsma, Lizan D; Baalbaki, Nadia; Blankestijn, Jelle M; Cornelissen, Merel E B; Beijers, Rosanne J H C G; Sondermeijer, Brigitte M; van Wijck, Yolanda; Downward, George S; Maitland-van der Zee, Anke H; ,</t>
  </si>
  <si>
    <t>biomedicines</t>
  </si>
  <si>
    <t>https://pubmed.ncbi.nlm.nih.gov/38927441</t>
  </si>
  <si>
    <t>&lt;i&gt;Background:&lt;/i&gt; While some long-term effects of COVID-19 are respiratory in nature, a non-respiratory effect gaining attention has been a decline in hemoglobin, potentially mediated by inflammatory processes. In this study, we examined the correlations between hemoglobin levels and inflammatory biomarkers and evaluated the association between hemoglobin and fatigue in a cohort of Long-COVID patients. &lt;i&gt;Methods:&lt;/i&gt; This prospective cohort study in the Netherlands evaluated 95 (mostly hospitalized) patients, aged 40-65 years, 3-6 months post SARS-CoV-2 infection, examining their venous hemoglobin concentration, anemia (hemoglobin &lt; 7.5 mmol/L in women and &lt;8.5 mmol/L in men), inflammatory blood biomarkers, average FSS (Fatigue Severity Score), demographics, and clinical features. Follow-up hemoglobin was compared against hemoglobin during acute infection. Spearman correlation was used for assessing the relationship between hemoglobin concentrations and inflammatory biomarkers, and the association between hemoglobin and fatigue was examined using logistic regression. &lt;i&gt;Results:&lt;/i&gt; In total, 11 (16.4%) participants were suffering from anemia 3-6 months after SARS-CoV-2 infection. The mean hemoglobin value increased by 0.3 mmol/L 3-6 months after infection compared to the hemoglobin during the acute phase (&lt;i&gt;p&lt;/i&gt;-value = 0.003). Whilst logistic regression showed that a 1 mmol/L greater increase in hemoglobin is related to a decrease in experiencing fatigue in Long-COVID patients (adjusted OR 0.38 [95%CI 0.13-1.09]), we observed no correlations between hemoglobin and any of the inflammatory biomarkers examined. &lt;i&gt;Conclusion:&lt;/i&gt; Our results indicate that hemoglobin impairment might play a role in developing Long-COVID fatigue. Further investigation is necessary to identify the precise mechanism causing hemoglobin alteration in these patients.</t>
  </si>
  <si>
    <t>Long-term exposure to particulate matter and all-cause and cause-specific mortality in an analysis of multiple Asian cohorts.</t>
  </si>
  <si>
    <t>Downward, G S; Hystad, P; Tasmin, S; Abe, S K; Saito, E; Rahman, M S; Islam, M R; Gupta, P C; Sawada, N; Malekzadeh, R; You, S L; Ahsan, H; Park, S K; Pednekar, M S; Tsugane, S; Etemadi, A; Chen, C J; Shin, A; Chen, Y; Boffetta, P; Chia, K S; Matsuo, K; Qiao, Y L; Rothman, N; Zheng, W; Inoue, M; Kang, D; Lan, Q; Vermeulen, R C H</t>
  </si>
  <si>
    <t>https://pubmed.ncbi.nlm.nih.gov/38870578</t>
  </si>
  <si>
    <t>Exposure to ambient air pollution is associated with a significant number of deaths. Much of the evidence associating air pollution with adverse effects is from North American and Europe, partially due to incomplete data in other regions limiting location specific examinations. The aim of the current paper is to leverage satellite derived air quality data to examine the relationship between ambient particulate matter and all-cause and cause-specific mortality in Asia. Six cohorts from the Asia Cohort Consortium provided residential information for participants, recruited between 1991 and 2008, across six countries (Bangladesh, India, Iran, Japan, South Korea, and Taiwan). Ambient particulate material (PM&lt;sub&gt;2·5&lt;/sub&gt;) levels for the year of enrolment (or 1998 if enrolled earlier) were assigned utilizing satellite and sensor-based maps. Cox proportional models were used to examine the association between ambient air pollution and all-cause and cause-specific mortality (all cancer, lung cancer, cardiovascular and lung disease). Models were additionally adjusted for urbanicity (representing urban and built characteristics) and stratified by smoking status in secondary analyses. Country-specific findings were pooled via random-effects meta-analysis. More than 300,000 participants across six cohorts were included, representing more than 4-million-person years. A positive relationship was observed between a 5 µg/m (Dockery et al., 1993) increase in PM&lt;sub&gt;2·5&lt;/sub&gt; and cardiovascular mortality (HR: 1·06, 95 % CI: 0.99, 1·13). The additional adjustment for urbanicity resulted in increased associations between PM&lt;sub&gt;2.5&lt;/sub&gt; and mortality outcomes, including all-cause mortality (1·04, 95 % CI: 0·97, 1·11). Results were generally similar regardless of whether one was a current, never, or ex-smoker. Using satellite and remote sensing technology we showed that associations between PM&lt;sub&gt;2.5&lt;/sub&gt; and all-cause and cause-specific Hazard Ratios estimated are similar to those reported for U.S. and European cohorts. This project was supported by the Health Effects Institute. Grant number #4963-RFA/18-5. Specific funding support for individual cohorts is described in the Acknowledgements.</t>
  </si>
  <si>
    <t>Applying two approaches to detect unmeasured confounding due to time-varying variables in a self-controlled risk interval design evaluating COVID-19 vaccine safety signals, using myocarditis as a case example.</t>
  </si>
  <si>
    <t>Bots, Sophie H; Belitser, Svetlana; Groenwold, Rolf H H; Durán, Carlos E; Riera-Arnau, Judit; Schultze, Anna; Messina, Davide; Segundo, Elena; Douglas, Ian; Carreras, Juan José; Garcia-Poza, Patricia; Gini, Rosa; Huerta, Consuelo; Martín-Pérez, Mar; Martin, Ivonne; Paoletti, Olga; Bissacco, Carlo Alberto; Correcher-Martínez, Elisa; Souverein, Patrick; Urchuequía, Arantxa; Villalobos, Felipe; Sturkenboom, Miriam C J M; Klungel, Olaf H</t>
  </si>
  <si>
    <t>https://pubmed.ncbi.nlm.nih.gov/38960670</t>
  </si>
  <si>
    <t>We test the robustness of the self-controlled risk interval (SCRI) design in a setting where time between doses may introduce time-varying confounding, using both negative control outcomes (NCOs) and quantitative bias analysis (QBA). All vaccinated cases identified from 5 European databases between 1 September 2020 and end of data availability were included. Exposures were doses 1-3 of the Pfizer, Moderna, AstraZeneca, and Janssen COVID-19 vaccines; outcomes were myocarditis and otitis externa (NCO). The SCRI used a 60-day control window and dose-specific 28-day risk windows, stratified by vaccine brand and adjusted for calendar time. The QBA included two scenarios: (i) baseline probability of the confounder was higher in the control window and (ii) vice versa. The NCO was not associated with any of the COVID-19 vaccine types or doses except Moderna dose 1 (IRR = 1.09, 95%CI 1.01-1.09). The QBA suggested even the strongest literature-reported confounder (COVID-19; RRmyocarditis = 18.3) could only explain away part of the observed effect from IRR = 3 to IRR = 1.40. The SCRI seems robust to unmeasured confounding in the COVID-19 setting, although a strong unmeasured confounder could bias the observed effect upward. Replication of our findings for other safety signals would strengthen this conclusion.</t>
  </si>
  <si>
    <t>Global inequities in adverse pregnancy outcomes: what can we do?</t>
  </si>
  <si>
    <t>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t>
  </si>
  <si>
    <t>https://pubmed.ncbi.nlm.nih.gov/39253028</t>
  </si>
  <si>
    <t>The Health Equity Leadership &amp; Exchange Network states that "health equity exists when all people, regardless of race, sex, sexual orientation, disability, socioeconomic status, geographic location, or other societal constructs, have fair and just access, opportunity, and resources to achieve their highest potential for health." It is clear from the wide discrepancies in maternal and infant mortalities, by race, ethnicity, location, and social and economic status, that health equity has not been achieved in pregnancy care. Although the most obvious evidence of inequities is in low-resource settings, inequities also exist in high-resource settings. In this presentation, based on the Global Pregnancy Collaboration Workshop, which addressed this issue, the bases for the differences in outcomes were explored. Several different settings in which inequities exist in high- and low-resource settings were reviewed. Apparent causes include social drivers of health, such as low income, inadequate housing, suboptimal access to clean water, structural racism, and growing maternal healthcare deserts globally. In addition, a question is asked whether maternal health inequities will extend to and be partially due to current research practices. Our overview of inequities provides approaches to resolve these inequities, which are relevant to low- and high-resource settings. Based on the evidence, recommendations have been provided to increase health equity in pregnancy care. Unfortunately, some of these inequities are more amenable to resolution than others. Therefore, continued attention to these inequities and innovative thinking and research to seek solutions to these inequities are encouraged.</t>
  </si>
  <si>
    <t>Clinical algorithms for the monitoring and management of spontaneous, uncomplicated labour and childbirth.</t>
  </si>
  <si>
    <t>Pasquale, Julia; Gialdini, Celina; Chamillard, Mónica; Diaz, Virginia; Rijken, Marcus J; Browne, Joyce L; Seto, Mimi Tin Yan; Cheung, Ka Wang; Bonet, Mercedes; ,</t>
  </si>
  <si>
    <t>https://pubmed.ncbi.nlm.nih.gov/38986678</t>
  </si>
  <si>
    <t>To develop evidence-based clinical algorithms for the assessment and management of spontaneous, uncomplicated labour and vaginal birth. Pregnant women at any stage of labour, with singleton, term pregnancies considered to be at low risk of developing complications. Health facilities in low- and middle-income countries. We searched for relevant published algorithms, guidelines, systematic reviews and primary research studies on Cochrane Library, PubMed, and Google on terms related to spontaneous, uncomplicated labour and childbirth up to 01 June 2023. Three case scenarios were developed to cover assessments and management for spontaneous, uncomplicated first, second and third stage of labour. The algorithms provide pathways for definition, assessments, diagnosis, and links to other algorithms in this series for management of complications. We have developed three clinical algorithms to support evidence-based decision making during spontaneous, uncomplicated labour and vaginal birth. These algorithms may help guide health care staff to institute respectful care, appropriate interventions where needed, and potentially reduce the unnecessary use of interventions during labour and childbirth.</t>
  </si>
  <si>
    <t>Advancing hypertensive disorders of pregnancy management: insights from the 5th preeclampsia scientific symposium in Ghana.</t>
  </si>
  <si>
    <t>Koi-Larbi, Koiwah; Obiri, Dorotheah; Browne, Joyce L; Fondjo, Linda Ahenkorah; Katsande, Samantha; Garti, Isabella; ,</t>
  </si>
  <si>
    <t>bmc proceedings</t>
  </si>
  <si>
    <t>https://pubmed.ncbi.nlm.nih.gov/38867245</t>
  </si>
  <si>
    <t>The 5th Preeclampsia Scientific Symposium (PSS2023) organized by Action on Preeclampsia (APEC) Ghana was themed: 'Realign, Refocus: Improving outcomes of Hypertensive Disorders of Pregnancy through Shared Decision Making, Research &amp; Quality of Care'. It took place on the 18th and 19th of May 2023 at the Ghana College of Physicians and Surgeons (GCPS), Accra Ghana. This transdisciplinary symposium brought together a national representation of experts, policy makers, scientists, and healthcare professionals to discuss key priorities, opportunities, approaches, and strategies to improve the maternal and perinatal outcomes of hypertensive disorders of pregnancy (HDP) in Ghana and the sub-region. The symposium centered around three key themes: realigning/refocusing patient-doctor decision making processes to improve outcomes of HDP; realigning/refocusing clinical care to improve outcomes of HDP; and leveraging on research to predict, recognize and manage high-risk women.This report summarizes insights from the diverse presentations and discussions held at the #PSS2023. This will form a roadmap for future research, policy, and interventions to improve outcomes of HDP in Ghana and the sub-region. The symposium provided a wealth of evidence and knowledge from various experts, highlighting the need for women-centered care, equitable re-allocation of resources, multi-sectoral and innovative approaches, capacity strengthening. Other highlights include knowledge base development and increased stakeholder and community engagement with an overall aim of improving outcomes of HDP. The symposium also fostered inclusivity, welcoming survivors of HDP and their families at a scientific platform. They provided invaluable insights into the challenges faced and the lived experiences of those affected by the disease. Trainees and students also benefited from the symposium as it provided networking opportunities with fellow researchers, and a front row to gaining insights into cutting-edge research in Ghana.</t>
  </si>
  <si>
    <t>The Dutch practice of euthanasia and assisted suicide in patients suffering from psychiatric disorders: a qualitative case review study.</t>
  </si>
  <si>
    <t>Bosma, Fenne; Mink, Kelly Romana; van Delden, Johannes Jozef Marten; van der Heide, Agnes; van de Vathorst, Suzanne; van Thiel, Ghislaine Jose Madeleine Wilhelmien</t>
  </si>
  <si>
    <t>frontiers in psychiatry</t>
  </si>
  <si>
    <t>https://pubmed.ncbi.nlm.nih.gov/39529899</t>
  </si>
  <si>
    <t>Euthanasia or assisted suicide (EAS) in patients suffering from a psychiatric disorder (PD) is a controversial topic worldwide. In the Netherlands, this practice is regulated by law. All cases of EAS have to be reported and are assessed by the Regional Euthanasia Review Committees (RTEs), who publish a selection of all cases on their website. To provide insight into the Dutch practice of EAS in patients suffering from a psychiatric disorder. We performed a retrospective case review study in which all published cases of EAS in patients suffering from a PD between 2017 and 2022 were analyzed. Not applicable. Characteristics of patients who died by EAS because of suffering from a PD, characteristics of the reporting physician and consultant(s) and the RTEs assessment of published cases. Of the 72 cases studied, the majority of patients were female (n=48, 67%), suffered from 3 or more conditions (n=38, 53%) and died by euthanasia instead of assistance in suicide (n=56, 78%). In 63% of cases (n=45), the life termination was performed by a physician from the Euthanasia Expertise center (EE). The RTEs' judgement that the case did not meet the due care criteria (n=11) was in all cases related to issues regarding the (advice of the) independent physician or psychiatric expert. This qualitative study shows that the RTEs attach great importance to a careful evaluation procedure of physicians handling EAS requests and to the physician demonstrating ability to reflect on his views, especially when the independent consultant evaluates the case different than the physician. Training for physicians and more transparency in the assessment of EAS requests in patients with a PD may lower the threshold for physicians to handle requests of these patients themselves. Not applicable.</t>
  </si>
  <si>
    <t>Balancing ethical norms and duties for the introduction of new medicines through conditional marketing authorization: a research agenda.</t>
  </si>
  <si>
    <t>Maksimova, Mariia V; van Thiel, Ghislaine J M W; Tromp, Yke; Lechner, Rosan; van Delden, Johannes J M; Bloem, Lourens T</t>
  </si>
  <si>
    <t>https://pubmed.ncbi.nlm.nih.gov/39005652</t>
  </si>
  <si>
    <t>The European Medicines Agency's conditional marketing authorization (CMA) aims to expedite patient access to medicines for unmet medical needs by shifting a part of the drug development process post-authorization. We highlight ethical issues surrounding CMA, comprising (i) the complexity of defining unmet medical need; (ii) poor understanding of CMA and its impact on informed consent; (iii) hope versus unrealistic optimism; (iv) implications of prolonged post-authorization studies and potential patient harm; (v) rights and duties of patients surrounding participation in post-authorization studies; (vi) access to previously authorized CMA medicines; and (vii) the "benefit slippage" phenomenon, defined as the gradual shift of strict criteria to less strict criteria. We propose a comprehensive research agenda to address these ethical issues, and stress the need for multi-stakeholder engagement to ensure patient-centered use of CMA.</t>
  </si>
  <si>
    <t>Reconceptualizing and Defining Exposomics within Environmental Health: Expanding the Scope of Health Research.</t>
  </si>
  <si>
    <t>Safarlou, Caspar W; Jongsma, Karin R; Vermeulen, Roel</t>
  </si>
  <si>
    <t>https://pubmed.ncbi.nlm.nih.gov/39331035</t>
  </si>
  <si>
    <t>Exposomics, the study of the exposome, is flourishing, but the field is not well defined. The term "exposome" refers to all environmental influences and associated biological responses throughout the lifespan. However, this definition is very similar to that of the term "environment"-the external elements and conditions that surround and affect the life and development of an organism. Consequently, the exposome seems to be nothing more than a synonym for the environment, and exposomics a synonym for environmental research. As a result, some have rebranded their "standard" environmental health research with the neologistic exposome term, whereas others ignore or seek to abandon the seemingly redundant concept of the exposome. We argue that exposomics needs to sharpen its mission focus to counteract this apparent redundancy. Exposomics should be defined as a research program in environmental health aimed at enabling a comprehensive and discovery-driven approach to identifying environmental determinants of human health. Similar to the aim of the Human Genome Project, exposomics aims to analyze the complete complexity of exposures and their corresponding biological responses. Exposomics' primary premise is that the existence of undiscovered, potentially interconnected, nongenetic (environmental) risk factors for health necessitates a comprehensive discovery-driven analysis approach. We argue that exposomics researchers should adopt our reconceptualization of exposomics and focus on the productiveness and integrity of their research program: its purpose and principles. We suggest that exposomics researchers should coordinate the writing of reviews that assess the program's productiveness and integrity, as well as provide a platform for exposomics researchers to define their vision for the field. https://doi.org/10.1289/EHP14509.</t>
  </si>
  <si>
    <t>The ethical significance of user-control in AI-driven speech-BCIs: a narrative review.</t>
  </si>
  <si>
    <t>van Stuijvenberg, O C; Samlal, D P S; Vansteensel, M J; Broekman, M L D; Jongsma, K R</t>
  </si>
  <si>
    <t>frontiers in human neuroscience</t>
  </si>
  <si>
    <t>https://pubmed.ncbi.nlm.nih.gov/39006157</t>
  </si>
  <si>
    <t>AI-driven brain-computed interfaces aimed at restoring speech for individuals living with locked-in-syndrome are paired with ethical implications for user's autonomy, privacy and responsibility. Embedding options for sufficient levels of user-control in speech-BCI design has been proposed to mitigate these ethical challenges. However, how user-control in speech-BCIs is conceptualized and how it relates to these ethical challenges is underdetermined. In this narrative literature review, we aim to clarify and explicate the notion of user-control in speech-BCIs, to better understand in what way user-control could operationalize user's autonomy, privacy and responsibility and explore how such suggestions for increasing user-control can be translated to recommendations for the design or use of speech-BCIs. First, we identified types of user control, including executory control that can protect voluntariness of speech, and guidance control that can contribute to semantic accuracy. Second, we identified potential causes for a loss of user-control, including contributions of predictive language models, a lack of ability for neural control, or signal interference and external control. Such a loss of user control may have implications for semantic accuracy and mental privacy. Third we explored ways to design for user-control. While embedding initiation signals for users may increase executory control, they may conflict with other aims such as speed and continuity of speech. Design mechanisms for guidance control remain largely conceptual, similar trade-offs in design may be expected. We argue that preceding these trade-offs, the overarching aim of speech-BCIs needs to be defined, requiring input from current and potential users. Additionally, conceptual clarification of user-control and other (ethical) concepts in this debate has practical relevance for BCI researchers. For instance, different concepts of inner speech may have distinct ethical implications. Increased clarity of such concepts can improve anticipation of ethical implications of speech-BCIs and may help to steer design decisions.</t>
  </si>
  <si>
    <t>Examining Macro-Level Barriers and Facilitators to Scaling Up Integrated Care from a Complexity Perspective: A Multi-Case Study of Cambodia, Slovenia, and Belgium.</t>
  </si>
  <si>
    <t>Martens, Monika; Chham, Savina; Črt, Zavrnik; Danhieux, Katrien; Wouters, Edwin; Chhim, Srean; Susič, Antonija Poplas; Ketiš, Zalika Klemenc; Ir, Por; Remmen, Roy; Klipstein-Grobusch, Kerstin; Van Damme, Wim; Ku, Grace Marie; Van Olmen, Josefien</t>
  </si>
  <si>
    <t>https://pubmed.ncbi.nlm.nih.gov/39552789</t>
  </si>
  <si>
    <t>The '&lt;i&gt;Scale-Up diaBetes and hYpertension care&lt;/i&gt;' (SCUBY) project provides evidence on scaling-up integrated care (IC) in Cambodia, Slovenia, and Belgium. This paper examines macro-level barriers and facilitators to scaling up IC in these settings. We used a multi-case study design, with each country being a case. Document review, focus groups, and stakeholder interviews were conducted. The WHO health system building blocks guided the thematic analysis. We then visualised and examined the interlinkages between barriers in each country. Common challenges to scaling up IC across the three health systems relate to: governance and leadership; health workforce; inadequate health financing system; and fragmented health information systems. In Cambodia, access to non-communicable disease (NCD) services and medicine are important issues. IC scale-up is facilitated by its strong governance and public health service model in Slovenia but health workforce shortages risk progress. In Belgium, the fragmented governance system and predominant fee-for-service provider payment are important barriers. A common response to health workforce and workload challenges was task shifting: to primary care nurses in Belgium, peer supporters in Slovenia, and community health workers in Cambodia. Examining differences and similarities between barriers in each health system stimulated reciprocal learning. Interactions between health system barriers in specific contexts require further attention to move complex health systems forward.</t>
  </si>
  <si>
    <t>Adolescents' dietary patterns, their drivers and association with double burden of malnutrition in adolescents: a cross-sectional study in Kenya's urban slums.</t>
  </si>
  <si>
    <t>Wanjohi, Milkah N; Kimani-Murage, Elizabeth Wambui; Asiki, Gershim; Holdsworth, Michelle; Pradeilles, Rebecca; Langat, Nelson; Amugsi, Dickson A; Wilunda, Calistus; Klipstein-Grobusch, Kerstin</t>
  </si>
  <si>
    <t>journal of health population and nutrition</t>
  </si>
  <si>
    <t>https://pubmed.ncbi.nlm.nih.gov/39506880</t>
  </si>
  <si>
    <t>The double burden of malnutrition (DBM) during adolescence is associated with growth and developmental impairment and risk of non-communicable diseases. There is limited evidence on adolescent's dietary patterns (DPs), and how they contribute to DBM in urban low income contexts in sub Saharan Africa. This study assessed DPs of adolescents, their drivers and association with DBM in Kenya's urban slums. Anthropometric, socio-demographic and dietary-intake data were collected through a cross-sectional survey of 621 adolescents from three major urban slums in Nairobi, Kenya. DPs were derived using principal component analysis. Multinomial-logistic-regression was used to assess the association between the DPs, individual and environmental factors and DBM. Two DPs were identified: traditional DP (whole grains/cereals, rice, fruits, legumes/nuts, and water) and transitioning DP (refined cereals (maize/wheat), vegetables, meat, tea/coffee, sweet ultra-processed/deep fried snacks). Adolescents from Mathare (the largest slum) were more likely to adhere to the traditional DP (RRR = 3.43; 95% CI 1.85-6.37). Cultural background (Luo) had a positive association (RRR = 4.28; 95% CI 1.97-9.32), while longer residency in the slum (&gt; 10 years) had a negative association (RRR = 0.47; 95% CI 0.25-0.90) with transitioning DP. The transitioning DP had a positive (non-linear) association with overweight/obesity in girls (RRR = 2.79; 95% CI 1.16-6.71). The DPs were not associated with thinness or stunting. The DPs indicate various stages of nutrition transition of adolescent diets, which are influenced by cultural background, neighbourhood and duration of stay in the slum. Transitioning DP may expose adolescents to the risks of overweight/obesity in the long-term.</t>
  </si>
  <si>
    <t>A comprehensive lifestyle index and its associations with DNA methylation and type 2 diabetes among Ghanaian adults: the rodam study.</t>
  </si>
  <si>
    <t>Abidha, C A; Meeks, K A C; Chilunga, F P; Venema, A; Schindlmayr, R; Hayfron-Benjamin, C; Klipstein-Grobusch, Kerstin; Mockenhaupt, Frank P; Agyemang, C; Henneman, P; Danquah, I</t>
  </si>
  <si>
    <t>https://pubmed.ncbi.nlm.nih.gov/39415250</t>
  </si>
  <si>
    <t>A series of modifiable lifestyle factors, such as diet quality, physical activity, alcohol intake, and smoking, may drive the rising burden of type 2 diabetes (T2DM) among sub-Saharan Africans globally. It is unclear whether epigenetic changes play a mediatory role in the associations between these lifestyle factors and T2DM. We assessed the associations between a comprehensive lifestyle index, DNA methylation and T2DM among Ghanaian adults. We used whole-blood Illumina 450 k DNA methylation data from 713 Ghanaians from the Research on Obesity and Diabetes among African Migrants (RODAM) study. We constructed a comprehensive lifestyle index based on established cut-offs for diet quality, physical activity, alcohol intake, and smoking status. In the T2DM-free discovery cohort (n = 457), linear models were fitted to identify differentially methylated positions (DMPs) and differentially methylated regions (DMRs) associated with the lifestyle index after adjustment for age, sex, body mass index (BMI), and technical covariates. Associations between the identified DMPs and the primary outcome (T2DM), as well as secondary outcomes (fasting blood glucose (FBG) and HbA1c), were determined via logistic and linear regression models, respectively. In the present study population (mean age: 52 ± 10 years; male: 42.6%), the comprehensive lifestyle index showed a significant association with one DMP annotated to an intergenic region on chromosome 7 (false discovery rate (FDR) = 0.024). Others were annotated to ADCY7, SMARCE1, AHRR, LOXL2, and PTBP1 genes. One DMR was identified and annotated to the GFPT2 gene (familywise error rate (FWER) from bumphunter bootstrap = 0.036). None of the DMPs showed significant associations with T2DM; directions of effect were positive for the DMP in the AHRR and inverse for all the other DMPs. Higher methylation of the ADCY7 DMP was associated with higher FBG (p = 0.024); LOXL2 DMP was associated with lower FBG (p = 0.023) and HbA1c (p = 0.049); and PTBP1 DMP was associated with lower HbA1c (p = 0.002). In this explorative epigenome-wide association study among Ghanaians, we identified one DMP and DMR associated with a comprehensive lifestyle index not previously associated with individual lifestyle factors. Based on our findings, we infer that lifestyle factors in combination, affect DNA methylation, thereby influencing the risk of T2DM among Ghanaian adults living in different contexts.</t>
  </si>
  <si>
    <t>Europe needs to urgently implement an outward looking Global Health Strategy.</t>
  </si>
  <si>
    <t>Berner-Rodoreda, Astrid; Bassat, Quique; Rocamora, Alberto; Raviglione, Mario; Abecasis, Ana B; Klipstein-Grobusch, Kerstin; Skordis, Jolene; Anton, Nora; Bärnighausen, Till</t>
  </si>
  <si>
    <t>https://pubmed.ncbi.nlm.nih.gov/39279867</t>
  </si>
  <si>
    <t>A Global Perspective on Cardiovascular Risk Factors by Educational Level in CHD Patients: SURF CHD II.</t>
  </si>
  <si>
    <t>Marzà-Florensa, Anna; Vaartjes, Ilonca; Graham, Ian; Klipstein-Grobusch, Kerstin; Grobbee, Diederick E; ,</t>
  </si>
  <si>
    <t>https://pubmed.ncbi.nlm.nih.gov/39035775</t>
  </si>
  <si>
    <t>Clinical guidelines recommend lifestyle modifications and medication use to control cardiovascular risk factors in coronary heart disease (CHD) patients. However, risk factor control remains challenging especially in patients with lower educational level. To assess inequalities by educational level in the secondary prevention of CHD in the Survey of Risk Factors in Coronary Heart Disease (SURF CHD II). SURF CHD II is a cross-sectional clinical audit on secondary prevention of CHD, conducted during routine clinical visits in 29 countries. The easy-to-perform design of the survey facilitates its implementation in settings with limited resources. We reported risk factor recording, attainment of guideline-defined risk factor targets, and treatment in CHD patients. Differences by educational level in target attainment and treatment were assessed with logistic regression stratified for high- (HIC), upper middle- (UMIC), and lower middle-income (LMIC) countries. SURF CHD II included 13,884 patients from 2019 to 2022, of which 25.0% were female and 18.6% had achieved only primary school level. Risk factor recording ranged from 22.2% for waist circumference to 95.6% for smoking status, and target attainment from 15.9% for waist circumference to 78.7% for smoking. Most patients used cardioprotective medications and 50.5% attended cardiac rehabilitation.Patients with secondary or tertiary education were more likely to meet targets for smoking, LDL cholesterol and physical activity in HICs and LMICs; for physical activity and triglycerides in UMICs; but less likely to meet targets for blood pressure in HICs and LDL &lt;1.4mmol/L in UMICs. Higher education was positively associated with medication use and cardiac rehabilitation participation. CHD patients generally have poor attainment of risk factor targets, but patients with a higher educational level are generally more likely to participate in cardiac rehabilitation, use medication, and meet targets. Target attainment and participation in cardiac rehabilitation are poor in CHD patients globally.Patients with higher education are more likely to meet risk factor targets, showing health inequities in secondary prevention of CHD.The association between education and risk factor target attainment and treatment varies with country income level.</t>
  </si>
  <si>
    <t>Advancing women's cardiovascular health: an international lens on the Joint British Cardiovascular Societies' consensus statement.</t>
  </si>
  <si>
    <t>Peters, Sanne A E; Van Spall, Harriette G C</t>
  </si>
  <si>
    <t>https://pubmed.ncbi.nlm.nih.gov/39375026</t>
  </si>
  <si>
    <t>Female participation, and sex-specific reporting practices, in polypill randomised controlled trials in the prevention of atherosclerotic cardiovascular disease: a secondary analysis of a systematic review.</t>
  </si>
  <si>
    <t>Peters, Sanne A E; Rodgers, Anthony; Patel, Anushka; Norton, Robyn; Huffman, Mark D; Agarwal, Anubha</t>
  </si>
  <si>
    <t>https://pubmed.ncbi.nlm.nih.gov/39303054</t>
  </si>
  <si>
    <t>The polypill is an emerging strategy for the prevention and management of cardiovascular disease. We assessed the participation of females in randomised controlled trials evaluating polypills for prevention of cardiovascular disease and subsequent sex-specific analyses and reporting. Cardiovascular polypill trials were identified through a systematic review. Data were extracted on the use of sex-specific eligibility criteria, female participation, and the conduct, findings, and interpretation of sex-specific analyses. Of 26 trials included, 12 (46%) excluded groups of females, mainly if pregnant or lactating or of childbearing potential. Female participation ranged from 10% to 73% across trials. Overall, 42% of included participants were female. Of 18 trials conducted in a mostly primary prevention population, females represented 49% of trial participants. In mixed or exclusively secondary prevention trials (n=8), females represented 26% of trial participants. Females represented 46% of trial participants in trials that excluded groups of females (n=12). In trials without explicit exclusion criteria (n=13), females represented 32% of trial participants. Nine out of 26 trials reported sex-stratified analyses (35% of trials; 70% of all participants). Of these, two found some evidence for possible sex differences, both reporting larger blood pressure effects in females than males. Four trials provided sex considerations in the discussion section of the report. The participation of females in cardiovascular polypill trials is substantially higher in primary prevention trials as compared to trials conducted in mixed or exclusively secondary prevention populations. The use of sex-specific eligibility criteria was not linked to lower female participation. Sex-specific reporting is sparsely conducted, although most frequent in larger trials.</t>
  </si>
  <si>
    <t>Use of Guideline-Recommended Heart Failure Drugs in High-, Middle-, and Low-Income Countries: A Systematic Review and Meta-Analysis.</t>
  </si>
  <si>
    <t>Satheesh, Gautam; Dhurjati, Rupasvi; Alston, Laura; Tesfay, Fisaha; Pant, Rashmi; Bahiru, Ehete; Bambs, Claudia; Agarwal, Anubha; Peters, Sanne A E; Salam, Abdul; Johansson, Isabelle</t>
  </si>
  <si>
    <t>https://pubmed.ncbi.nlm.nih.gov/39281002</t>
  </si>
  <si>
    <t>Optimal use of guideline-directed medical therapy (GDMT) can prevent hospitalization and mortality among patients with heart failure (HF). We aimed to assess the prevalence of GDMT use for HF across geographic regions and country-income levels. We systematically reviewed observational studies (published between January 2010 and October 2020) involving patients with HF with reduced ejection fraction. We conducted random-effects meta-analyses to obtain summary estimates. We included 334 studies comprising 1,507,849 patients (31% female). The majority (82%) of studies were from high-income countries, with Europe (45%) and the Americas (33%) being the most represented regions, and Africa (1%) being the least. Overall prevalence of GDMT use was 80% (95% CI 78%-81%) for β-blockers, 82% (80%-83%) for renin-angiotensin-system inhibitors, and 41% (39%-43%) for mineralocorticoid receptor antagonists. We observed an exponential increase in GDMT use over time after adjusting for country-income levels (&lt;i&gt;p&lt;/i&gt; &lt; 0.0001), but significant gaps persist in low- and middle-income countries. Multi-level interventions are needed to address health-system, provider, and patient-level barriers to GDMT use.</t>
  </si>
  <si>
    <t>The Burden of Cardiovascular Disease Attributable to Hypertension in Nigeria: A &lt;i&gt;Modelling Study Using Summary-Level Data&lt;/i&gt;.</t>
  </si>
  <si>
    <t>Ojo, Adedayo E; Ojji, Dike B; Grobbee, Diederick E; Huffman, Mark D; Peters, Sanne A E</t>
  </si>
  <si>
    <t>https://pubmed.ncbi.nlm.nih.gov/38863890</t>
  </si>
  <si>
    <t>Globally, cardiovascular disease (CVD) remains the leading cause of mortality and disability, with hypertension being the single most important modifiable risk factor. Hypertension is responsible for about 18% of global deaths from CVD, of which African regions are disproportionately affected, especially sub-Saharan Africa. This study assessed the burden of major CVD subtypes attributable to hypertension in Nigeria. The population attributable fractions (PAF) for myocardial infarction, all strokes, ischaemic stroke and intracerebral haemorrhagic stroke attributable to hypertension in Nigeria were calculated using published results from the INTERHEART and INTERSTROKE studies and prevalence estimates of hypertension in Nigeria. PAF estimates were obtained for age, sex, and geopolitical zones. Overall, hypertension contributed to 13.2% of all myocardial infarctions and 24.6% of all strokes, including 21.6% of all ischaemic strokes and 33.1% of all intracerebral haemorrhagic strokes. Among men aged ≤55 years, the PAF for myocardial infarction ranged from 11.7% (North-West) to 14.6% (South-East), while in older men, it spanned 9.2% (North-West) to 11.9% (South-East). Among women aged ≤65 years, PAF varied from 18.6% (South-South) to 20.8% (South-East and North-Central), and among women aged &gt;65 years, it ranged from 10.4% (South-South) to 12.7% (South-East). Hypertension is a key contributor to the burden of CVD in Nigeria. Understanding the burden of hypertension in the Nigerian population overall and key subgroups is crucial to developing and implementing contextualised health policies to reduce the burden of CVD. Public health interventions and policies centred on hypertension will play a critical role in potentially alleviating the burden of cardiovascular diseases (CVD) in Nigeria.</t>
  </si>
  <si>
    <t>Regulatory readiness to facilitate the appropriate use of innovation in clinical trials: The case of decentralized clinical trial approaches.</t>
  </si>
  <si>
    <t>de Jong, Amos J; Zuidgeest, Mira G P; Santa-Ana-Tellez, Yared; de Boer, Anthonius; Gardarsdottir, Helga; ,</t>
  </si>
  <si>
    <t>https://pubmed.ncbi.nlm.nih.gov/39284522</t>
  </si>
  <si>
    <t>Methodological and operational clinical trial innovation is needed to address key challenges associated with clinical trials, including limited generalizability and (s)low recruitment rates. In this article, we discuss how appropriate implementation of innovative clinical trial approaches can be facilitated by a timely identification of, and response to, emerging situations and innovation by regulators (i.e. regulatory readiness) using decentralized clinical trial (DCT) approaches - in which trial activities are moved closer to participants and away from the investigative sites - as a case study example. Specifically, we discuss how explorative research (e.g. using regulatory sandboxes) can enable the collection of data on the usefulness of DCT approaches. Additionally, we argue that DCT approaches should be evaluated similarly to conventional clinical trials.</t>
  </si>
  <si>
    <t>Can hemophilia be cured? It depends on the definition.</t>
  </si>
  <si>
    <t>Baas, Lieke; van der Graaf, Rieke; Meijer, Karina</t>
  </si>
  <si>
    <t>https://pubmed.ncbi.nlm.nih.gov/39391560</t>
  </si>
  <si>
    <t>Over the years, the palette of treatment options for hemophilia has grown extensively, leading to an increased life expectancy and quality of life for people living with hemophilia. Nonetheless, it is frequently emphasized that none of the current treatment modalities provides a "cure." It is therefore hoped that innovative treatments such as gene therapy may bridge this void. However, the precise definition of a "cure" for hemophilia remains unclear. In this review, we show how the concept of cure is currently used in the field of hemophilia. We then relate the discussion on cure to debates surrounding the classification of hemophilia and philosophical debates on the concepts of health and disease.</t>
  </si>
  <si>
    <t>General Practice and Nursing Science; Epidemiology and Health Economics; Global Health and Bioethics</t>
  </si>
  <si>
    <t>What is a cure through gene therapy? An analysis and evaluation of the use of "cure".</t>
  </si>
  <si>
    <t>Baas, Lieke; Meijer, Karina; Bredenoord, Annelien L; van der Graaf, Rieke</t>
  </si>
  <si>
    <t>https://pubmed.ncbi.nlm.nih.gov/39172342</t>
  </si>
  <si>
    <t>The development of gene therapy has always come with the expectation that it will offer a cure for various disorders, of which hemophilia is a paradigm example. However, although the term is used regularly, it is unclear what exactly is meant with "cure". Therefore, the aim of this paper is to analyse how the concept of cure is used in practice and evaluate which of the interpretations is most suitable in discussions surrounding gene therapy. We analysed how cure is used in four different medical fields where the concept raises discussion. We show that cure can be used in three different ways: cure as normalization of the body, cure as obtaining a normal life, or cure as a change in identity. We argue that since cure is a practical term, its interpretation should be context-specific and the various uses can exist simultaneously, as long as their use is suitable to the function the notion of cure plays in each of the settings. We end by highlighting three different settings in the domain of hemophilia gene therapy in which the term cure is used and explore the function(s) it serves in each setting. We conclude that in the clinical application of gene therapy, it could be better to abandon the term cure, whereas more modest and specified definitions of cure are required in the context of health resource allocation decisions and decisions on research funding.</t>
  </si>
  <si>
    <t>An ethics framework for the transition to an operational learning healthcare system.</t>
  </si>
  <si>
    <t>https://pubmed.ncbi.nlm.nih.gov/39036527</t>
  </si>
  <si>
    <t>While Learning Healthcare Systems (LHSs) have received increasing attention in health care and research, the amount of operational LHSs remains limited. Given the investment of resources in these projects, a moral responsibility to pursue the transition toward an LHS falls on projects and their participating stakeholders. This paper provides an ethics framework for projects that have taken steps toward building an LHS and are in the position to transition to an operational LHS. To articulate relevant ethical requirements, we analyze established ethics frameworks in the fields of LHSs, data-intensive health research, and transitioning or innovating health systems. The overlapping content and shared values are used to articulate overarching ethical requirements. To provide necessary context, we apply the insights from the analysis to the Innovative Medicines Initiative ConcePTION project. This project is specifically designed to generate knowledge on the safety of medications used during pregnancy and lactation through the establishment of an LHS. Upon analyzing the consulted frameworks, we identified four overlapping ethical requirements that are also of significant relevance within the scope of our ethics framework. These requirements are: (1) public benefit and favorable harm-benefit ratio; (2) equity and justice; (3) stakeholder engagement; and (4) sustainability. Additionally, we apply these ethical requirements to the context of an LHS for pregnant and lactating people. Although tailored to the context of pregnancy and lactation, our ethics framework can provide guidance for the transition to an operational LHS across diverse healthcare domains.</t>
  </si>
  <si>
    <t>Data Science and Biostatistics; General Practice and Nursing Science; Epidemiology and Health Economics; Global Health and Bioethics</t>
  </si>
  <si>
    <t>Patient, parent and professional expert perspectives on personalized regenerative implants: a qualitative focus group study.</t>
  </si>
  <si>
    <t>Daal, Manon van; de Kanter, Anne-Floor J; Custers, Roel Jh; Martínez-Sanz, Elena; Bredenoord, Annelien L; Graeff, Nienke de</t>
  </si>
  <si>
    <t>https://pubmed.ncbi.nlm.nih.gov/39222046</t>
  </si>
  <si>
    <t>&lt;b&gt;Background:&lt;/b&gt; Perspectives of patients, parents and professional experts on personalized regenerative implants for regenerative medicine purposes are largely unknown.&lt;b&gt;Method:&lt;/b&gt; To better understand these perspectives, we conducted four focus groups with professional experts of mixed European nationality (n = 8), Dutch patients with regular implants (n = 8), Dutch and Belgian (n = 5) and Spanish (n = 8) parents of children with cleft palate.&lt;b&gt;Results:&lt;/b&gt; Two overarching themes were identified: 'patient-centered research and care' and 'ambivalent attitudes toward personalized regenerative implants'.&lt;b&gt;Discussion:&lt;/b&gt; The results reveal that stakeholders should adopt a participatory rather than an impairment discourse and address the ambivalence among professional experts, patients and parents.&lt;b&gt;Conclusion:&lt;/b&gt; Considering stakeholder perspectives facilitates ethical and responsible development and use of personalized regenerative implants.</t>
  </si>
  <si>
    <t>Coping Strategies of Patients With Advanced Lung or Colorectal Cancer Over Time: Insights From the International ACTION Study.</t>
  </si>
  <si>
    <t>Luu, K L; Mager, P; Nieboer, D; Witkamp, F E; Jabbarian, L J; Payne, S; Groenvold, M; Pollock, K; Miccinesi, G; Deliens, L; van Delden, J J M; van der Heide, A; Korfage, I J; Rietjens, J A C; ,</t>
  </si>
  <si>
    <t>https://pubmed.ncbi.nlm.nih.gov/39363364</t>
  </si>
  <si>
    <t>A comprehensive understanding of coping strategies of patients with advanced diseases can contribute to providing supportive care that meets patients' needs. However, insight into how coping of this population develops over time is lacking. We examined coping strategies of patients with advanced cancer over time and identified distinct trajectories and their predictors. Data from 675 patients of the control group from the ACTION cluster-randomized trial were analyzed. Patients with lung or colorectal cancer from six European countries (Belgium, Denmark, Italy, the Netherlands, Slovenia and the United Kingdom) completed questionnaires at baseline, 12 and 20 weeks. Measures included Denial, Acceptance, and Problem-focused coping (COPE, Brief COPE inventory; scores 4-16 per scale). We used linear mixed models to analyze the data and latent class mixed models to identify stable (within patient change &lt; 2) coping strategies. At baseline, patients reported low use of Denial (6.6) and greater use of Acceptance (12.6) and Problem-Focused coping (12.2). These scores did not significantly change. We found four distinct trajectories for the use of Denial, three for Acceptance and five for Problem-Focused coping strategies. Stable trajectories were found in 513 (77%) patients for Denial, 645 (96%) for Acceptance and 602 (91%) for Problem-Focused coping. All coping strategies were stable in 447 (68%) patients and two were stable in 181 patients (28%). Overall, the use of coping strategies was rather stable in the majority of patients with advanced cancer. However, for each of the coping strategies subgroups of patients reported fluctuating coping trajectories.</t>
  </si>
  <si>
    <t>Ethical implications of defining longstanding anorexia nervosa.</t>
  </si>
  <si>
    <t>Voswinkel, Marthe M; Hanegraaff, Simone M; Mares, Suzanne H W; Wezenberg, Elke; van Delden, Johannes J M; van Elburg, Annemarie A</t>
  </si>
  <si>
    <t>https://pubmed.ncbi.nlm.nih.gov/38863013</t>
  </si>
  <si>
    <t>The label severe and enduring anorexia nervosa (SE-AN) is widely used in the literature on longstanding anorexia nervosa (AN). However, the process of constructing the criteria and the use of the label SE-AN has ethical implications that have not been taken into account. Through combining existing literature and lived experience perspective, this paper addresses to what extent the current criteria do and do not reflect the lived experience. Arguments are presented on why the process of constructing the criteria for SE-AN and the application of the label can be both identified as, and give rise to, epistemic injustice. Epistemic injustice is an injustice that is done to a person as an individual with the capacity of acquiring and sharing knowledge. This type of injustice can occur at any stage of an interaction between people in which knowledge is shared with one another. The paper concludes by giving suggestions on how to pursue epistemic justice in the process of defining longstanding AN.</t>
  </si>
  <si>
    <t>Risk of cardiovascular disease in elderly subjects with obesity and liver fibrosis and the potential benefit of statin treatment.</t>
  </si>
  <si>
    <t>Theel, Willy B; de Jong, Vivian D; Castro Cabezas, Manuel; Grobbee, Diederick E; Jukema, Johan W; Trompet, Stella</t>
  </si>
  <si>
    <t>https://pubmed.ncbi.nlm.nih.gov/39636216</t>
  </si>
  <si>
    <t>Liver fibrosis progression is influenced by older age and cardiometabolic risk factors such as obesity and is associated with an increased risk of cardiovascular events. While statins may protect against cardiovascular complications, their effects in elderly individuals with obesity and liver fibrosis are unclear. The PROspective Study of Pravastatin in the Elderly at Risk (PROSPER) database was used to evaluate the effect of pravastatin on major adverse cardiovascular events in an elderly population (&gt;70 years). Subjects were categorized by BMI: lean (&lt;25 kg/m&lt;sup&gt;2&lt;/sup&gt;), overweight (25-29.9 kg/m&lt;sup&gt;2&lt;/sup&gt;) and obese (≥30 kg/m&lt;sup&gt;2&lt;/sup&gt;). Liver fibrosis was assessed using the FIB-4 index: low risk (&lt;2.0), intermediate risk (2.0-2.66) and high risk (≥2.67). Time-to-event data were analysed using the Cox proportional hazards model, adjusted for confounders and compared the placebo and pravastatin groups. A total of 5.804 subjects were included. In the placebo group, the highest risk group (high FIB-4 and obesity) had a significantly higher hazard ratio for (non-)fatal stroke (HR 2.74; 95% CI 1.19-6.29) compared to the low FIB-4, lean BMI group. This risk disappeared in the same pravastatin group. Pravastatin did not affect other cardiovascular endpoints. All-cause mortality was significantly higher in subjects with lean weight and high FIB-4 on placebo (HR 1.88; 95% CI 1.14-3.11), but not on pravastatin (HR .58; 95% CI .28-1.20). Elderly individuals with obesity and liver fibrosis are at higher risk for (non-)fatal stroke, which is reduced with pravastatin. Pravastatin also potentially lowers all-cause mortality in subjects with lean weight and liver fibrosis.</t>
  </si>
  <si>
    <t>Efficacy and safety of a novel low-dose triple single-pill combination of telmisartan, amlodipine and indapamide, compared with dual combinations for treatment of hypertension: a randomised, double-blind, active-controlled, international clinical trial.</t>
  </si>
  <si>
    <t>Rodgers, Anthony; Salam, Abdul; Schutte, Aletta E; Cushman, William C; de Silva, H Asita; Di Tanna, Gian Luca; Grobbee, Diederick E; Narkiewicz, Krzysztof; Ojji, Dike B; Poulter, Neil R; Schlaich, Markus P; Oparil, Suzanne; Spiering, Wilko; Williams, Bryan; Wright, Jackson T; Lakshman, P; Uluwattage, W; Hay, P; Pereira, T; Amarasena, N; Ranasinghe, G; Gianacas, Chris; Shanthakumar, Mathangi; Liu, Xiaoqiu; Wang, Nelson; Gnanenthiran, Sonali R; Whelton, Paul K; ,</t>
  </si>
  <si>
    <t>https://pubmed.ncbi.nlm.nih.gov/39426836</t>
  </si>
  <si>
    <t>Single-pill combinations (SPCs) of three low-dose antihypertensive drugs can improve hypertension control but are not widely available. A key issue for any combination product is the contribution of each component to efficacy and tolerability. This trial compared a new triple SPC called GMRx2, containing telmisartan, amlodipine, and indapamide, with dual combinations of components for efficacy and safety. In this international, randomised, double-blind, active-controlled trial, we enrolled adults with hypertension receiving between zero and three antihypertensive drugs, with a screening systolic blood pressure (SBP) ranging from 140-179 mm Hg (on no drugs) to 110-150 mm Hg (on three drugs). Participants were recruited from Australia, the Czech Republic, New Zealand, Poland, Sri Lanka, the UK, and the USA. In a 4-week active run-in, existing medications were switched to GMRx2 half dose (telmisartan 20 mg, amlodipine 2·5 mg, and indapamide 1·25 mg). Participants were then randomly allocated (2:1:1:1) to continued GMRx2 half dose or to each possible dual combination of components at half doses (telmisartan 20 mg with amlodipine 2·5 mg, telmisartan 20 mg with indapamide 1·25 mg, or amlodipine 2·5 mg with indapamide 1·25 mg). At week 6, doses were doubled in all groups, unless there was a clinical contraindication. The primary efficacy outcome was mean change in home SBP from baseline to week 12, and the primary safety outcome was withdrawal of treatment due to an adverse event from baseline to week 12. Secondary efficacy outcomes included differences in clinic and home blood pressure levels and control rates. This study is registered with ClinicalTrials.gov, NCT04518293, and is completed. The trial was conducted between July 9, 2021 and Sept 1, 2023. We randomly allocated 1385 participants to four groups: 551 to GMRx2, 276 to telmisartan-indapamide, 282 to telmisartan-amlodipine, and 276 to amlodipine-indapamide groups. The mean age was 59 years (SD 11), 712 (51%) participants self-reported as female and 673 (48·6%) male, and the mean clinic blood pressure at the screening visit was 142/85 mm Hg when taking an average of 1·6 blood pressure medications. Following the run-in on GMRx2 half dose, the mean clinic blood pressure level at randomisation was 133/81 mm Hg and the mean home blood pressure level was 129/78 mm Hg. At week 12, the mean home SBP was 126 mm Hg in the GMRx2 group, which was lower than for each of the dual combinations: -2·5 (95% CI -3·7 to -1·3, p&lt;0·0001) versus telmisartan-indapamide, -5·4 (-6·8 to -4·1, p&lt;0·0001) versus telmisartan-amlodipine, and -4·4 (-5·8 to -3·1, p&lt;0·0001) versus amlodipine-indapamide. For the same comparisons, differences in clinic blood pressure at week 12 were 4·3/3·5 mm Hg, 5·6/3·7 mm Hg, and 6·3/4·5 mm Hg (all p&lt;0·001). Clinic blood pressure control rate below 140/90 mm Hg at week 12 was superior with GMRx2 (74%) to with each dual combination (range 53-61%). Withdrawal of treatment due to adverse events occurred in 11 (2%) participants in the GMRx2 group, four (1%) in telmisartan-indapamide, three (1%) in telmisartan-amlodipine, and four (1%) in amlodipine-indapamide, with none of the differences being statistically significant. A novel low-dose SPC product of telmisartan, amlodipine, and indapamide provided clinically meaningful improvements in blood pressure reduction compared with dual combinations and was well tolerated. This SPC provides a new therapeutic option for the management of hypertension and its use could result in a substantial improvement in blood pressure control in clinical practice. George Medicines.</t>
  </si>
  <si>
    <t>Cohort profile: an observational population-based cohort study on COVID-19 vaccine effectiveness in the Netherlands - the VAccine Study COVID-19 (VASCO).</t>
  </si>
  <si>
    <t>Huiberts, Anne J; Hoeve, Christina E; Kooijman, Marjolein N; de Melker, Hester E; Hahné, Susan Jm; Grobbee, Diederick E; van Binnendijk, Rob; den Hartog, Gerco; van de Wijgert, Janneke Hhm; van den Hof, Susan; Knol, Mirjam J</t>
  </si>
  <si>
    <t>https://pubmed.ncbi.nlm.nih.gov/39401962</t>
  </si>
  <si>
    <t>VAccine Study COVID-19 (VASCO) is a cohort study with a 5-year follow-up that was initiated when COVID-19 vaccination was introduced in the Netherlands. The primary objective is to estimate real-world vaccine effectiveness (VE) of COVID-19 vaccines against SARS-CoV-2 infection in the Netherlands, overall and in four subpopulations defined by age and medical risk. The cohort consists of 45 547 community-dwelling participants aged 18-85 years who were included irrespective of their COVID-19 vaccination status or intention to get vaccinated. A medical risk condition is present in 4289 (19.8%) of 21 679 individuals aged 18-59 years, and in 9135 (38.3%) of 23 821 individuals aged 60-85 years. After 1 year of follow-up, 5502 participants had dropped out of the study. At inclusion and several times after inclusion, participants are asked to take a self-collected fingerprick blood sample in which nucleoprotein and spike protein receptor binding domain-specific antibody concentrations are assessed. Participants are also asked to complete monthly digital questionnaires in the first year, and 3 monthly in years 2-5, including questions on sociodemographic factors, health status, COVID-19 vaccination, SARS-CoV-2-related symptoms and testing results, and behavioural responses to COVID-19 measures. VASCO data have been used to describe VE against SARS-CoV-2 infection of primary vaccination, first and second booster and bivalent boosters, the impact of hybrid immunity on SARS-CoV-2 infection and VE against infectiousness. Furthermore, data were used to describe antibody response following vaccination and breakthrough infections and to investigate the relation between antibody response and reactogenicity. VASCO will be able to contribute to policy decision-making regarding future COVID-19 vaccination. Furthermore, VASCO provides an infrastructure to conduct further studies and to respond to changes in vaccination campaigns and testing policy, and new virus variants. NL9279.</t>
  </si>
  <si>
    <t>Cardiovascular and Renal Treatment in Heart Failure Patients With Hyperkalemia or High Risk of Hyperkalemia: Rationale and Design of the CARE-HK in HF Registry.</t>
  </si>
  <si>
    <t>Greene, Stephen J; Böhm, Michael; Bozkurt, Biykem; Butler, Javed; Cleland, John G F; Coats, Andrew J S; Desai, Nihar R; Grobbee, Diederick E; Kelepouris, Ellie; Pinto, Fausto; Rosano, Giuseppe; Morin, Isabelle; Szecsödy, Peter; Fabien, Solenn; Waechter, Sandra; Crespo-Leiro, Maria G; Hülsmann, Martin; Kempf, Tibor; Pfister, Otmar; Pouleur, Anne-Catherine; Sauer, Andrew J; Saxena, Manish; Schulz, Martin; Volterrani, Maurizio; Anker, Stefan D; Kosiborod, Mikhail N</t>
  </si>
  <si>
    <t>https://pubmed.ncbi.nlm.nih.gov/39277029</t>
  </si>
  <si>
    <t>Despite guideline recommendations, many patients with heart failure (HF) do not receive target dosages of renin-angiotensin-aldosterone system inhibitors (RAASis) in clinical practice due, in part, to concerns about hyperkalemia (HK). This noninterventional, multinational, multicenter registry (NCT04864795; 111 sites in Europe and the USA) enrolled 2558 eligible adults with chronic HF (mostly with reduced ejection fraction [HFrEF]). Eligibility criteria included use of angiotensin-converting-enzyme inhibitor/angiotensin-II receptor blocker/angiotensin-receptor-neprilysin inhibitor, being a candidate for or treatment with a mineralocorticoid receptor antagonist, and increased risk of HK (eg, current serum potassium &gt; 5.0 mmol/L), history of HK in the previous 24 months, or estimated glomerular filtration rate &lt; 45 mL/min/1.73 m&lt;sup&gt;2&lt;/sup&gt;). Information on RAASi and other guideline-recommended therapies was collected retrospectively and prospectively (≥ 6 months). Patients were followed according to local clinical practice, without study-specific visits or interventions. The main objectives were to characterize RAASi treatment patterns compared with guideline recommendations, describe RAASi modifications following episodes of HK, and describe RAASi treatment in patients treated with patiromer. Baseline characteristics for the first 1000 patients are presented. CARE-HK is a multinational prospective HF registry designed to report on the management and outcomes of patients with HF at high risk for HK in routine clinical practice.</t>
  </si>
  <si>
    <t>Combination blood pressure lowering therapy in patients with type 2 diabetes: messages from the ADVANCE trial.</t>
  </si>
  <si>
    <t>Wang, Nelson; Chalmers, John; Harris, Katie; Poulter, Neil; Mancia, Giuseppe; Harrap, Stephen; Hamet, Pavel; Grobbee, Diederick E; Marre, Michel; Woodward, Mark</t>
  </si>
  <si>
    <t>https://pubmed.ncbi.nlm.nih.gov/39248141</t>
  </si>
  <si>
    <t>The Action in Diabetes and Vascular disease: preterAx and diamicroN Controlled Evaluation (ADVANCE) trial investigated the effects of intensive blood pressure (BP) lowering using a fixed combination of perindopril-indapamide versus placebo in type 2 diabetes (T2D). The study showed that combination perindopril-indapamide had significant benefits in reducing cardiovascular, renal, and mortality events, with consistent relative risk reductions across different patient subgroups. Secondary analyses of ADVANCE have identified novel risk markers in T2D including cessation of BP lowering therapy, absent peripheral pulses and cardiac biomarkers to name a few. ADVANCE also shed light on practical aspects of hypertension management, including the limitations of office BP, tolerability of combination BP lowering therapy across the range of BP levels and the interpretation of changes in serum creatinine after treatment initiation. This review article summarizes the findings of ADVANCE and its subsequent substudies, which have been foundational in our understanding of BP management and the use of combination BP lowering therapy in T2D.</t>
  </si>
  <si>
    <t>Spectrum of Heart Diseases in Children in a National Cardiac Referral Center Tanzania, Eastern Africa: A Six-Year Overview.</t>
  </si>
  <si>
    <t>Majani, Naizihijwa G; Koster, Joëlle R; Kalezi, Zawadi E; Letara, Nuru; Nkya, Deogratias; Mongela, Stella; Kubhoja, Sulende; Sharau, Godwin; Mlawi, Vivienne; Grobbee, Diederick E; Slieker, Martijn G; Chillo, Pilly; Janabi, Mohamed; Kisenge, Peter</t>
  </si>
  <si>
    <t>https://pubmed.ncbi.nlm.nih.gov/39100942</t>
  </si>
  <si>
    <t>While communicable diseases have long been the primary focus of healthcare in Africa, the rising impact of paediatric and congenital heart disease (CHD) cannot be overlooked. This research aimed to estimate the frequency and pattern of heart diseases in children who underwent their first echocardiography at a national cardiac referral hospital in Tanzania. A retrospective observational study was conducted on children aged 0 to 18 years referred for first-time cardiological evaluation from January 2017 to December 2022. Retrieval of social and echocardiogram data and descriptive analysis were performed. There were 6,058 children with complete reports. Of these, 52.8% (3,198) had heart disease, of whom 2,559 (80%) had CHD, while (340/639; 53.2%) with acquired heart disease (AHD) had rheumatic heart disease (RHD). Children with CHD had a median age 1.0 years (IQR: 0.3-3.5) and were predominantly 51.2% male. Children with RHD had a median age 9.7 years (IQR: 3.2-13.8) with equal gender distribution. Shunt lesions were common in 1,487 (58.1%), mainly VSD 19.3%, PDA 19.1%, ASD 15.1%, and atrioventricular septal defect (AVSD) 4.6%. Pulmonary valve stenosis was in 97 (3.8%). Around 35% (718) had cyanotic CHD, with TOF being most common (13.3%), followed by double outlet right ventricle (DORV) (3.6%). Compared to global average truncus arteriosus was higher in 69 (2.3%) children. In contrast, TGA and hypoplastic left heart syndrome (HLHS) were lower than the estimated global average seen in 2.3% and 0.5% of the cases, respectively. Atresia of the right-side valves was more common (174 vs. 24), and approximately 40% of the patients referred for first-time echocardiographic evaluation required hospitalization. Congenital heart disease is the primary cause of heart disease in children presenting at a national referral hospital, surpassing RHD. With its distinct distribution pattern, acyanotic lesions are more frequent than cyanotic heart diseases. The observed late referral tendencies suggest improving the referral system, enhancing CHD awareness among healthcare professionals, and instituting nationwide screening programs.</t>
  </si>
  <si>
    <t>Consumer wearable devices for evaluation of heart rate control using digoxin versus beta-blockers: the RATE-AF randomized trial.</t>
  </si>
  <si>
    <t>Gill, Simrat K; Barsky, Andrey; Guan, Xin; Bunting, Karina V; Karwath, Andreas; Tica, Otilia; Stanbury, Mary; Haynes, Sandra; Folarin, Amos; Dobson, Richard; Kurps, Julia; Asselbergs, Folkert W; Grobbee, Diederick E; Camm, A John; Eijkemans, Marinus J C; Gkoutos, Georgios V; Kotecha, Dipak; ,; ,; ,</t>
  </si>
  <si>
    <t>https://pubmed.ncbi.nlm.nih.gov/39009776</t>
  </si>
  <si>
    <t>Consumer-grade wearable technology has the potential to support clinical research and patient management. Here, we report results from the RATE-AF trial wearables study, which was designed to compare heart rate in older, multimorbid patients with permanent atrial fibrillation and heart failure who were randomized to treatment with either digoxin or beta-blockers. Heart rate (n = 143,379,796) and physical activity (n = 23,704,307) intervals were obtained from 53 participants (mean age 75.6 years (s.d. 8.4), 40% women) using a wrist-worn wearable linked to a smartphone for 20 weeks. Heart rates in participants treated with digoxin versus beta-blockers were not significantly different (regression coefficient 1.22 (95% confidence interval (CI) -2.82 to 5.27; P = 0.55); adjusted 0.66 (95% CI -3.45 to 4.77; P = 0.75)). No difference in heart rate was observed between the two groups of patients after accounting for physical activity (P = 0.74) or patients with high activity levels (≥30,000 steps per week; P = 0.97). Using a convolutional neural network designed to account for missing data, we found that wearable device data could predict New York Heart Association functional class 5 months after baseline assessment similarly to standard clinical measures of electrocardiographic heart rate and 6-minute walk test (F1 score 0.56 (95% CI 0.41 to 0.70) versus 0.55 (95% CI 0.41 to 0.68); P = 0.88 for comparison). The results of this study indicate that digoxin and beta-blockers have equivalent effects on heart rate in atrial fibrillation at rest and on exertion, and suggest that dynamic monitoring of individuals with arrhythmia using wearable technology could be an alternative to in-person assessment. ClinicalTrials.gov identifier: NCT02391337 .</t>
  </si>
  <si>
    <t>Eligibility of Asian and European registry patients for phase III trials in heart failure with reduced ejection fraction.</t>
  </si>
  <si>
    <t>Lim, Yvonne Mei Fong; Asselbergs, Folkert W; Bagheri, Ayoub; Denaxas, Spiros; Tay, Wan Ting; Voors, Adriaan; Lam, Carolyn Su Ping; Koudstaal, Stefan; Grobbee, Diederick E; Vaartjes, Ilonca</t>
  </si>
  <si>
    <t>https://pubmed.ncbi.nlm.nih.gov/38984466</t>
  </si>
  <si>
    <t>Traditional approaches to designing clinical trials for heart failure (HF) have historically relied on expertise and past practices. However, the evolving landscape of healthcare, marked by the advent of novel data science applications and increased data availability, offers a compelling opportunity to transition towards a data-driven paradigm in trial design. This research aims to evaluate the scope and determinants of disparities between clinical trials and registries by leveraging natural language processing for the analysis of trial eligibility criteria. The findings contribute to the establishment of a robust design framework for guiding future HF trials. Interventional phase III trials registered for HF on ClinicalTrials.gov as of the end of 2021 were identified. Natural language processing was used to extract and structure the eligibility criteria for quantitative analysis. The most common criteria for HF with reduced ejection fraction (HFrEF) were applied to estimate patient eligibility as a proportion of registry patients in the ASIAN-HF (N = 4868) and BIOSTAT-CHF registries (N = 2545). Of the 375 phase III trials for HF, 163 HFrEF trials were identified. In these trials, the most frequently encountered inclusion criteria were New York Heart Association (NYHA) functional class (69%), worsening HF (23%), and natriuretic peptides (18%), whereas the most frequent comorbidity-based exclusion criteria were acute coronary syndrome (64%), renal disease (55%), and valvular heart disease (47%). On average, 20% of registry patients were eligible for HFrEF trials. Eligibility distributions did not differ (P = 0.18) between Asian [median eligibility 0.20, interquartile range (IQR) 0.08-0.43] and European registry populations (median 0.17, IQR 0.06-0.39). With time, HFrEF trials became more restrictive, where patient eligibility declined from 0.40 in 1985-2005 to 0.19 in 2016-2022 (P = 0.03). When frequency among trials is taken into consideration, the eligibility criteria that were most restrictive were prior myocardial infarction, NYHA class, age, and prior HF hospitalization. Based on 14 trial criteria, only one-fifth of registry patients were eligible for phase III HFrEF trials. Overall eligibility rates did not differ between the Asian and European patient cohorts.</t>
  </si>
  <si>
    <t>Genome-wide association analysis provides insights into the molecular etiology of dilated cardiomyopathy.</t>
  </si>
  <si>
    <t>Zheng, Sean L; Henry, Albert; Cannie, Douglas; Lee, Michael; Miller, David; McGurk, Kathryn A; Bond, Isabelle; Xu, Xiao; Issa, Hanane; Francis, Catherine; De Marvao, Antonio; Theotokis, Pantazis I; Buchan, Rachel J; Speed, Doug; Abner, Erik; Adams, Lance; Aragam, Krishna G; Ärnlöv, Johan; Raja, Anna Axelsson; Backman, Joshua D; Baksi, John; Barton, Paul J R; Biddinger, Kiran J; Boersma, Eric; Brandimarto, Jeffrey; Brunak, Søren; Bundgaard, Henning; Carey, David J; Charron, Philippe; Cook, James P; Cook, Stuart A; Denaxas, Spiros; Deleuze, Jean-François; Doney, Alexander S; Elliott, Perry; Erikstrup, Christian; Esko, Tõnu; Farber-Eger, Eric H; Finan, Chris; Garnier, Sophie; Ghouse, Jonas; Giedraitis, Vilmantas; Guðbjartsson, Daniel F; Haggerty, Christopher M; Halliday, Brian P; Helgadottir, Anna; Hemingway, Harry; Hillege, Hans L; Kardys, Isabella; Lind, Lars; Lindgren, Cecilia M; Lowery, Brandon D; Manisty, Charlotte; Margulies, Kenneth B; Moon, James C; Mordi, Ify R; Morley, Michael P</t>
  </si>
  <si>
    <t>https://pubmed.ncbi.nlm.nih.gov/39572783</t>
  </si>
  <si>
    <t>Dilated cardiomyopathy (DCM) is a leading cause of heart failure and cardiac transplantation. We report a genome-wide association study and multi-trait analysis of DCM (14,256 cases) and three left ventricular traits (36,203 UK Biobank participants). We identified 80 genomic risk loci and prioritized 62 putative effector genes, including several with rare variant DCM associations (MAP3K7, NEDD4L and SSPN). Using single-nucleus transcriptomics, we identify cellular states, biological pathways, and intracellular communications that drive pathogenesis. We demonstrate that polygenic scores predict DCM in the general population and modify penetrance in carriers of rare DCM variants. Our findings may inform the design of genetic testing strategies that incorporate polygenic background. They also provide insights into the molecular etiology of DCM that may facilitate the development of targeted therapeutics.</t>
  </si>
  <si>
    <t>Nutritional quality of diet characterized by the Nutri-Score profiling system and cardiovascular disease risk: a prospective study in 7 European countries.</t>
  </si>
  <si>
    <t>Deschasaux-Tanguy, Mélanie; Huybrechts, Inge; Julia, Chantal; Hercberg, Serge; Sarda, Barthélémy; Fialon, Morgane; Arnault, Nathalie; Srour, Bernard; Kesse-Guyot, Emmanuelle; Fezeu, Léopold K; Biessy, Carine; Casagrande, Corinne; Hemon, Bertrand; Weiderpass, Elisabete; Pinho, Maria G M; Murphy, Neil; Freisling, Heinz; Ferrari, Pietro; Tjønneland, Anne; Nielsen Petersen, Kristina Elin; Katzke, Verena; Kaaks, Rudolf; Schulze, Matthias B; Masala, Giovanna; Pala, Valeria; Panico, Salvatore; Ricceri, Fulvio; Verschuren, W M Monique; Boer, Jolanda M A; van der Schouw, Yvonne T; Skeie, Guri; Agudo, Antonio; Molina-Montes, Esther; Huerta, José María; Moreno-Iribas, Conchi; Ericson, Ulrika; Sonestedt, Emily; Strid, Anna; Oskarsson, Viktor; Tong, Tammy Y N; Heath, Alicia K; Aglago, Elom K; Danesh, John; Riboli, Elio; Gunter, Marc J; Touvier, Mathilde</t>
  </si>
  <si>
    <t>https://pubmed.ncbi.nlm.nih.gov/39529812</t>
  </si>
  <si>
    <t>Nutri-Score is a scientifically validated 5-color front-of-pack nutrition label reflecting the nutrient profile of foods. It has been implemented in several European countries on a voluntary basis, pending the revision of the European labeling regulation. Hence, scientific evidence is needed regarding the ability of the nutrient profile underlying the Nutri-Score (uNS-NPS, 2023-updated version) to characterize healthier foods. Our objective was therefore to study the prospective association between the nutritional quality of diet characterized by the uNS-NPS and the risk of cardiovascular diseases in a large European population. Our analyses included 345,533 participants from the European Prospective Investigation into Cancer and Nutrition study (EPIC, 1992-2010, 7 European countries). Food intakes were assessed at baseline using country-specific dietary questionnaires. The uNS-NPS was calculated as a continuous scale for each food, based on its 100 g content of energy, sugars, saturated fatty acids, salt, fibre, and protein and percentage content of fruit, vegetables, and pulses. A dietary index was derived at the individual level (uNS-NPS DI: energy-weighted mean of uNS-NPS scores of all foods consumed by a participant). Cardiovascular events during follow-up were retrieved using country-specific methods (self-report, registry data). Multi-adjusted Cox models were computed. Overall, 16,214 first cardiovascular events were reported (median follow-up: 12.3 years; 4,103,133 person-years). The consumption of foods with a higher uNS-NPS score (reflecting a lower overall nutritional quality of diet) was associated with higher risks of total cardiovascular events (Hazards Ratio (HR) for an increment of 1 standard deviation: 1.03 (95% Confidence Interval 1.01-1.05)), especially myocardial infarction (HR = 1.03 (1.01-1.07)), and stroke (HR = 1.04 (1.01-1.07)). In this large prospective study among European adults, a higher risk of cardiovascular diseases (total and several subtypes) was observed in individuals consuming a diet with a lower nutritional value, as graded by the uNS-NPS score. This brings new evidence on the relevance of the updated nutrient profile underlying the Nutri-Score to characterize foods with a healthier nutrient profile. EPIC-CVD was supported by EU FP7, ERC, UK MRC, British Heart Foundation, and UK NIHR.</t>
  </si>
  <si>
    <t>Food consumption by degree of food processing and risk of type 2 diabetes mellitus: a prospective cohort analysis of the European Prospective Investigation into Cancer and Nutrition (EPIC).</t>
  </si>
  <si>
    <t>Dicken, Samuel J; Dahm, Christina C; Ibsen, Daniel B; Olsen, Anja; Tjønneland, Anne; Louati-Hajji, Mariem; Cadeau, Claire; Marques, Chloé; Schulze, Matthias B; Jannasch, Franziska; Baldassari, Ivan; Manfredi, Luca; Santucci de Magistris, Maria; Sánchez, Maria-Jose; Castro-Espin, Carlota; Palacios, Daniel Rodríguez; Amiano, Pilar; Guevara, Marcela; van der Schouw, Yvonne T; Boer, Jolanda M A; Verschuren, W M Monique; Sharp, Stephen J; Forouhi, Nita G; Wareham, Nicholas J; Vamos, Eszter P; Chang, Kiara; Vineis, Paolo; Heath, Alicia K; Gunter, Marc J; Nicolas, Geneviève; Weiderpass, Elisabete; Huybrechts, Inge; Batterham, Rachel L</t>
  </si>
  <si>
    <t>https://pubmed.ncbi.nlm.nih.gov/39529810</t>
  </si>
  <si>
    <t>It is unknown whether the association between ultra-processed food (UPF) intake and type 2 diabetes mellitus differs from other degrees of food processing. We examined the association between degree of food processing and incident type 2 diabetes mellitus. This was a prospective cohort analysis of the European Prospective Investigation into Cancer and Nutrition (EPIC). Dietary intake was assessed at baseline using dietary questionnaires and classified according to the Nova classification into unprocessed/minimally processed food (MPF), processed culinary ingredients (PCI), processed food (PF) and UPF. Type 2 diabetes mellitus cases were verified through multiple methods. Cox regression and statistical substitution analysis was used to estimate associations between MPF + PCI, PF and UPF intake and incident type 2 diabetes mellitus. To investigate heterogeneity in the association between UPF and incident type 2 diabetes mellitus, UPF sub-group analysis was conducted. Different reference groups were used in each analysis. Over an average 10.9 years follow-up of 311,892 individuals, 14,236 type 2 diabetes mellitus cases were identified. Each 10% increment of total daily food intake from UPF (%g/day) was associated with 17% (95% confidence interval (95%CI): 1.14-1.19) higher incident type 2 diabetes mellitus. Each 10% increment in MPF + PCI or PF intake was associated with lower incident type 2 diabetes mellitus (MPF + PCI hazard ratio: 0.94 (95%CI: 0.92-0.96); PF hazard ratio: 0.92 (95%CI: 0.89-0.95)). Replacing UPF with MPF + PCI or PF was associated with lower incident type 2 diabetes mellitus. However, heterogeneity was observed across UPF sub-groups, with breads, biscuits and breakfast cereals, sweets and desserts, and plant-based alternatives associated with lower incident type 2 diabetes mellitus. These findings support recommendations to focus on reducing intake of specific UPF for lowering type 2 diabetes mellitus risk. International Agency for Research on Cancer.</t>
  </si>
  <si>
    <t>The association of overweight, obesity, and long-term obesity with SARS-CoV-2 infection: a meta-analysis of 9 population-based cohorts from the Netherlands Cohorts Consortium.</t>
  </si>
  <si>
    <t>Loef, Bette; Boer, Jolanda M A; Beekman, Marian; Campman, Sophie L; Hoogendijk, Emiel O; Huider, Floris; Pagen, Demi M E; Splinter, Marije J; van der Velde, Jeroen H P M; Boomsma, Dorret I; Dagnelie, Pieter C; van Dongen, Jenny; de Geus, Eco J C; Huisman, Martijn; Ikram, M Arfan; Koster, Annemarie; Licher, Silvan; Mierau, Jochen O; de Mutsert, Renée; Picavet, H Susan J; Rosendaal, Frits R; Schram, Miranda T; Slagboom, P Eline; van der Spoel, Evie; Stronks, Karien; Verschuren, W M Monique; van den Berg, Saskia W; ,</t>
  </si>
  <si>
    <t>https://pubmed.ncbi.nlm.nih.gov/39482451</t>
  </si>
  <si>
    <t>Obesity may affect an individual's immune response and subsequent risk of infection, such as a SARS-CoV-2 infection. It is less clear whether overweight and long-term obesity also constitute risk factors. We investigated the association between the degree and duration of overweight and obesity and SARS-CoV-2 infection. We analyzed data from nine prospective population-based cohorts of the Netherlands Cohorts Consortium, with a total of 99,570 participants, following a standardized procedure. Body mass index (BMI) and waist circumference (WC) were assessed two times before the pandemic, with approximately 5 years between measurements. SARS-CoV-2 infection was defined by self-report as a positive PCR or rapid-antigen test or as COVID-19 ascertained by a physician between March 2020 and January 2023. For three cohorts, information on SARS-CoV-2 infection by serology was available. Results were pooled using random-effects meta-analyses and adjusted for age, sex, educational level, and number of SARS-CoV-2 infection measurements. Individuals with overweight (25 ≤ BMI &lt; 30 kg/m&lt;sup&gt;2&lt;/sup&gt;) (odds ratio (OR) = 1.08, 95%-confidence interval (CI) 1.04-1.13) or obesity (BMI ≥ 30 kg/m&lt;sup&gt;2&lt;/sup&gt;) (OR = 1.43, 95%-CI 1.18-1.75) were more likely to report SARS-CoV-2 infection than individuals with a healthy body weight. We observed comparable ORs for abdominal overweight (men: 94 cm≤WC &lt; 102 cm, women: 80 cm≤WC &lt; 88 cm) (OR = 1.09, 95%-CI 1.04-1.14, I&lt;sup&gt;2&lt;/sup&gt; = 0%) and abdominal obesity (men: WC ≥ 102 cm, women: WC ≥ 88 cm) (OR = 1.24, 95%-CI 0.999-1.55, I&lt;sup&gt;2&lt;/sup&gt; = 57%). Individuals with obesity long before the pandemic, but with a healthy body weight or overweight just before the pandemic, were not at increased risk. Overweight and obesity were associated with increased risk of SARS-CoV-2 infection with stronger associations for obesity. Individuals with a healthier weight prior to the pandemic but previous obesity did not have an increased risk of SARS-CoV-2, suggesting that weight loss in those with obesity reduces infection risk. These results underline the importance of obesity prevention and weight management for public health.</t>
  </si>
  <si>
    <t>Health characteristics associated with persistence of SARS-CoV-2 antibody responses after repeated vaccinations in older persons over time: the Doetinchem cohort study.</t>
  </si>
  <si>
    <t>Kuijpers, Yunus; Kaczorowska, Joanna; Picavet, H Susan J; de Zeeuw-Brouwer, Mary-Lène; Kuijer, Marjan; Slits, Irene; Gijsbers, Esther; Rutkens, Ryanne; de Rond, Lia; Verschuren, W M Monique; Buisman, Anne-Marie</t>
  </si>
  <si>
    <t>https://pubmed.ncbi.nlm.nih.gov/39407293</t>
  </si>
  <si>
    <t>Older persons elicit heterogeneous antibody responses to vaccinations that generally are lower than those in younger, healthier individuals. As older age and certain comorbidities can influence these responses we aimed to identify health-related variables associated with antibody responses after repeated SARS-CoV-2 vaccinations and their persistence thereafter in SARS-CoV-2 infection-naïve and previously infected older persons. In a large longitudinal study of older persons of the general population 50 years and over, a sub-cohort of the longitudinal Doetinchem cohort study (n = 1374), we measured IgG antibody concentrations in serum to SARS-CoV-2 Spike protein (S1) and Nucleoprotein (N). Samples were taken following primary vaccination with BNT162b2 or AZD1222, pre- and post-vaccination with a third and fourth BNT162b2 or mRNA-1273 (Wuhan), and up to a year after a fifth BNT162b2 bivalent (Wuhan/Omicron BA.1) vaccine. Associations between persistence of antibody concentrations over time and age, sex, health characteristics including cardiometabolic and inflammatory diseases as well as a frailty index were tested using univariable and multivariable models. The booster doses substantially increased anti-SARS-CoV-2 Spike S1 (S1) antibody concentrations in older persons against both the Wuhan and Omicron strains. Older age was associated with decreased antibody persistence both after the primary vaccination series and up to 1 year after the fifth vaccine dose. In infection-naïve persons the presence of inflammatory diseases was associated with an increased antibody response to the third vaccine dose (Beta = 1.53) but was also associated with reduced persistence over the 12 months following the fifth (bivalent) vaccine dose (Beta = -1.7). The presence of cardiometabolic disease was associated with reduced antibody persistence following the primary vaccination series (Beta = -1.11), but this was no longer observed after bivalent vaccination. Although older persons with comorbidities such as inflammatory and cardiometabolic diseases responded well to SARS-CoV-2 booster vaccinations, they showed a reduced persistence of these responses. This might indicate that especially these more vulnerable older persons could benefit from repeated booster vaccinations.</t>
  </si>
  <si>
    <t>The role of ultra-processed foods in plant-based diets: associations with human health and environmental sustainability.</t>
  </si>
  <si>
    <t>Daas, Merel C; Vellinga, Reina E; Pinho, Maria Gabriela M; Boer, Jolanda M A; Verschuren, W M Monique; van der Schouw, Yvonne T; Van't Veer, Pieter; Biesbroek, Sander</t>
  </si>
  <si>
    <t>https://pubmed.ncbi.nlm.nih.gov/39180555</t>
  </si>
  <si>
    <t>Investigate the associations of ultra-processed foods (UPF) in healthful (hPDI) and unhealthful (uPDI) plant-based diets with all-cause mortality, greenhouse gas emissions (GHGE), and blue water consumption (BWC). Analyses were based on 35,030 participants (20-70 years; 74% females) from the EPIC-NL cohort who were followed up from 1993 to 1997 through 2014. Plant-based diet indices (hPDI and uPDI) and UPF consumption were calculated from a validated FFQ, assessed at baseline. Cox proportional hazard and multiple linear regression models were used to estimate associations between combined quartiles of the PDI indices and UPF consumption. With lower hPDI and higher UPF diets as the reference, we observed the following. Risk estimates of all-cause mortality were 0.98 (95% CI: 0.83, 1.16) for lower UPF consumption, 0.86 (95% CI: 0.68, 1.08) for higher hPDI, and 0.78 (95% CI: 0.66, 0.89) for combined higher hPDI and lower UPF consumption. Results with the uPDI were inconclusive. Mean differences in GHGE and BWC were 1.4% (95% CI: 0.3, 2.4) and 1.6% (95% CI: -0.5, 3.7) for lower UPF consumption, -7.4% (95% CI: -8.6, -6.4) and 9.6% (95% CI: 7.2, 12.0) for higher hPDI, and - 6.8% (95% CI: -7.4, -6.1) and 13.1% (95% CI: 11.6, 14.8) for combined higher hPDI and lower UPF consumption. No apparent conflict between environmental impacts was observed for the uPDI; GHGE and BWC were lower for higher uPDI scores. Mortality risk and environmental impacts were mostly associated with the amount of plant-based foods and to a lesser extent UPF in the diet. Shifting to a more healthful plant-based diet could improve human health and reduce most aspects of environmental impact (GHGE, but not BWC) irrespective of UPF consumption.</t>
  </si>
  <si>
    <t>Association of body shape phenotypes and body fat distribution indexes with inflammatory biomarkers in the European Prospective Investigation into Cancer and Nutrition (EPIC) and UK Biobank.</t>
  </si>
  <si>
    <t>González-Gil, Esther M; Peruchet-Noray, Laia; Sedlmeier, Anja M; Christakoudi, Sofia; Biessy, Carine; Navionis, Anne-Sophie; Mahamat-Saleh, Yahya; Jaafar, Rola F; Baurecht, Hansjörg; Guevara, Marcela; Etxezarreta, Pilar Amiano; Verschuren, W M Monique; Boer, Jolanda M A; Olsen, Anja; Tjønneland, Anne; Simeon, Vittorio; Castro-Espin, Carlota; Aune, Dagfinn; Heath, Alicia K; Gunter, Marc; Colorado-Yohar, Sandra M; Zilhão, Nuno R; Dahm, Christina C; Llanaj, Erand; Schulze, Matthias B; Petrova, Dafina; Sieri, Sabina; Ricceri, Fulvio; Masala, Giovanna; Key, Tim; Viallon, Vivian; Rinaldi, Sabina; Freisling, Heinz; Dossus, Laure</t>
  </si>
  <si>
    <t>https://pubmed.ncbi.nlm.nih.gov/39148045</t>
  </si>
  <si>
    <t>The allometric body shape index (ABSI) and hip index (HI), as well as multi-trait body shape phenotypes, have not yet been compared in their associations with inflammatory markers. The aim of this study was to examine the relationship between novel and traditional anthropometric indexes with inflammation using data from the European Prospective Investigation into Cancer and Nutrition (EPIC) and UK Biobank cohorts. Participants from EPIC (n = 17,943, 69.1% women) and UK Biobank (n = 426,223, 53.2% women) with data on anthropometric indexes and C-reactive protein (CRP) were included in this cross-sectional analysis. A subset of women in EPIC also had at least one measurement for interleukins, tumour necrosis factor alpha, interferon gamma, leptin, and adiponectin. Four distinct body shape phenotypes were derived by a principal component (PC) analysis on height, weight, body mass index (BMI), waist (WC) and hip circumferences (HC), and waist-to-hip ratio (WHR). PC1 described overall adiposity, PC2 tall with low WHR, PC3 tall and centrally obese, and PC4 high BMI and weight with low WC and HC, suggesting an athletic phenotype. ABSI, HI, waist-to-height ratio and waist-to-hip index (WHI) were also calculated. Linear regression models were carried out separately in EPIC and UK Biobank stratified by sex and adjusted for age, smoking status, education, and physical activity. Results were additionally combined in a random-effects meta-analysis. Traditional anthropometric indexes, particularly BMI, WC, and weight were positively associated with CRP levels, in men and women. Body shape phenotypes also showed distinct associations with CRP. Specifically, PC2 showed inverse associations with CRP in EPIC and UK Biobank in both sexes, similarly to height. PC3 was inversely associated with CRP among women, whereas positive associations were observed among men. Specific indexes of body size and body fat distribution showed differential associations with inflammation in adults. Notably, our results suggest that in women, height may mitigate the impact of a higher WC and HC on inflammation. This suggests that subtypes of adiposity exhibit substantial variation in their inflammatory potential, which may have implications for inflammation-related chronic diseases.</t>
  </si>
  <si>
    <t>Self-Rated Health among Older Adults: Longitudinal Analyses Examining Sex Differences across Different Birth Cohorts and Educational Levels.</t>
  </si>
  <si>
    <t>Schaap, Laura A; Sialino, Lena D; de la Court, Feline; van Oostrom, Sandra H; Picavet, H Susan J; Verschuren, W M Monique; Visser, Marjolein; Wijnhoven, Hanneke A H</t>
  </si>
  <si>
    <t>https://pubmed.ncbi.nlm.nih.gov/38885629</t>
  </si>
  <si>
    <t>Given the known female disadvantage in physical and mental health, this study aimed to investigate sex differences in self-rated health (SRH) among older adults, considering the longitudinal course by age, birth cohort, and educational level. Data from birth cohort 1911-1937 with baseline age 55-81 years (n = 3,107) and birth cohort 1938-1947 with baseline age 55-65 years (n = 1,002) from the Longitudinal Aging Study Amsterdam (LASA) were used. Mixed model analyses were used to examine sex differences in SRH (RAND General Health Perception Questionnaire [RAND-GHPQ], range 0-16) over the age course, testing for effect modification by the birth cohort and educational level (low, middle, high). For both sexes, a decline in SRH was seen with increasing age. Over the age course, there was no significant sex difference in SRH within the older (1911-1937) birth cohort (0.13 lower score on SRH for women compared to men, 95% CI: -0.35 to 0.09) and only a small sex difference in the more recent (1938-1947) birth cohort (0.35 lower score on SRH for women compared to men [95% CI: -0.69 to -0.02], p = 0.04). There was no significant cohort difference in the size of the sex difference (p = 0.279). Those with a higher level of education reported a higher SRH, but between educational levels, there was no significant difference in the size of the sex difference in SRH. In this study, no relevant sex difference in SRH over the age course was observed among older adults. Future research on SRH trajectories by sex during aging should take health-related, cognitive, psychosocial, and behavioral factors into account.</t>
  </si>
  <si>
    <t>Examining causal relationships between educational attainment and type 2 diabetes using genetic analysis: findings from the EPIC-InterAct study through Mendelian randomisation.</t>
  </si>
  <si>
    <t>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t>
  </si>
  <si>
    <t>https://pubmed.ncbi.nlm.nih.gov/39658133</t>
  </si>
  <si>
    <t>Observational studies have shown that more educated people are at lower risk of developing type 2 diabetes (T2D). However, robust study designs are needed to investigate the likelihood that such a relationship is causal. This study used genetic instruments for education to estimate the effect of education on T2D using the Mendelian randomisation (MR) approach. Analyses have been conducted in the European Prospective Investigation into Cancer and Nutrition (EPIC)-InterAct study (more than 20 000 individuals), a case-cohort study of T2D nested in the EPIC cohort. Education was measured as Years of Education and Relative Index of Inequality. Prentice-weighted Cox models were performed to estimate the association between education and T2D. One-sample MR analyses investigated whether genetic predisposition towards longer education was associated with risk of T2D and investigated potential mediators of the association. MR estimates indicated a risk reduction of about 15% for each year of longer education on the risk of developing T2D, confirming the protective role estimated by observational models (HR 0.96, 95% CI 0.95 to 0.96). MR analyses on putative mediators showed a significant role of education on body mass index, alcohol consumption, adherence to the Mediterranean diet and smoking habits. The results supported the hypothesis that higher education is a protective factor for the risk of developing T2D. Based on its position in the causal chain, education may be antecedent of other known risk factors for T2D including unhealthy behaviours. These findings reinforce evidence obtained through observational study designs and bridge the gap between correlation and causation.</t>
  </si>
  <si>
    <t>Menopause age and type and dementia risk: a pooled analysis of 233 802 women.</t>
  </si>
  <si>
    <t>Dobson, Annette J; Xu, Zhiwei; Wilson, Louise F; Chung, Hsin-Fang; Sandin, Sven; Van der Schouw, Yvonne T; Demakakos, Panayotes; Weiderpass, Elisabete; Mishra, Gita D</t>
  </si>
  <si>
    <t>https://pubmed.ncbi.nlm.nih.gov/39562342</t>
  </si>
  <si>
    <t>It is not clear whether the association between younger age at menopause and increased risk of dementia is modified by type of menopause. We examined the association of age at menopause or hysterectomy with dementia risk in three groups of women: those with natural menopause, premenopausal bilateral oophorectomy (surgical menopause) or premenopausal hysterectomy (without bilateral oophorectomy). Individual-level data from 233 802 women in five prospective cohort studies (from four countries) were harmonized and pooled. Cox proportional hazards models were used to assess the associations of age at natural menopause, surgical menopause or premenopausal hysterectomy, with age at dementia, death (where available) or end of follow-up, whichever came first. The study followed women to the median age of 72 years (quartiles 67, 76 years). The median follow-up time was 13 years, with 3262 dementia cases during this period. Compared with women with menopause at 50-52 years, women with menopause &lt;40 years had a higher risk of dementia (adjusted hazard ratio (aHR): 1.47, 95% confidence interval (CI): 1.39, 1.56). This level of risk was comparable to that of current smoking and stroke, which are well-established risk factors for dementia. Increased risk of dementia associated with surgical menopause or premenopausal hysterectomy (compared to natural menopause) was not apparent after adjustment for age at menopause (aHR 0.99, 95% CI: 0.93, 1.04 and aHR 0.97, 95% CI: 0.95, 1.00, respectively). Women who experience menopause before the age of 40 years have a higher risk of dementia irrespective of type of menopause.</t>
  </si>
  <si>
    <t>Association of circulating fatty acids with cardiovascular disease risk: Analysis of individual-level data in three large prospective cohorts and updated meta-analysis.</t>
  </si>
  <si>
    <t>Shi, Fanchao; Chowdhury, Rajiv; Sofianopoulou, Eleni; Koulman, Albert; Sun, Luanluan; Steur, Marinka; Aleksandrova, Krasimira; Dahm, Christina C; Schulze, Matthias B; van der Schouw, Yvonne T; Agnoli, Claudia; Amiano, Pilar; Boer, Jolanda M A; Bork, Christian S; Cabrera-Castro, Natalia; Eichelmann, Fabian; Elbaz, Alexis; Farràs, Marta; Heath, Alicia K; Kaaks, Rudolf; Katzke, Verena; Keski-Rahkonen, Pekka; Masala, Giovanna; Moreno-Iribas, Conchi; Panico, Salvatore; Papier, Keren; Petrova, Dafina; Quirós, J Ramón; Ricceri, Fulvio; Severi, Gianluca; Tjønneland, Anne; Tong, Tammy Y N; Tumino, Rosario; Wareham, Nick; Weiderpass, Elisabete; Di Angelantonio, Emanuele; Forouhi, Nita; Danesh, John; Butterworth, Adam S; Kaptoge, Stephen</t>
  </si>
  <si>
    <t>https://pubmed.ncbi.nlm.nih.gov/39365172</t>
  </si>
  <si>
    <t>Associations of saturated and unsaturated fatty acids (FAs) with cardiovascular disease (CVD) remain controversial. We therefore aimed to investigate the prospective associations of objectively measured FAs with CVD, including incident coronary heart disease (CHD) and stroke, as well as CVD mortality. Circulating FA concentrations expressed as the percentage of total FAs were assayed in 172,891 participants without prior vascular disease at baseline from the European Prospective Investigation into Cancer and Nutrition-CVD (EPIC-CVD) (7,343 CHD; 6,499 stroke), UK Biobank (1,825; 1,474), and INTERVAL (285; 209) cohort studies. Hazard ratio (HR) per 1-standard deviation (SD) higher FA concentrations was estimated using Cox regression models and pooled by random-effects meta-analysis. Systematic reviews with meta-analysis published by 6 May 2023 on associations between FAs and CVDs were systematically searched and updated meta-analyses using random-effects model were conducted. Evidence from randomized controlled trials (RCTs) was also summarized. Higher concentrations of total saturated FAs (SFAs) were associated with higher cardiovascular risks in the combined analysis, with differential findings noted for SFA subtypes in further analysis restricted to EPIC-CVD: positive associations for even-chain SFA [HR for CHD 1.24 (95% CI: 1.18-1.32); stroke 1.23 (1.10-1.38)] and negative associations for odd-chain [0.82 (0.76-0.87); 0.73 (0.67-0.78)] and longer-chain [0.95 (0.80-1.12); 0.84 (0.72-0.99)] SFA. In the combined analysis, total n-3 polyunsaturated FA (PUFA) [0.91 (0.85-0.97)], including docosahexaenoic acid (DHA) [0.91 (0.84-0.98)], was negatively associated with incident CHD risk. Similarly, total n-6 PUFA [0.94 (0.91-0.98)], including linoleic acid (LA) [0.89 (0.83-0.95)], was negatively associated with incident stroke risk. By contrast, more detailed analyses in EPIC-CVD revealed that several downstream n-6 PUFAs of LA were positively associated with CHD risk. Updated meta-analyses of 37 FAs including 49 non-overlapping studies, involving between 7,787 to 22,802 CHD and 6,499 to 14,221 stroke cases, showed broadly similar results as our combined empirical analysis and further suggested significant inverse associations of individual long-chain n-3 PUFAs and LA on both CHD and stroke. The findings of long-chain n-3 PUFAs were consistent with those from published RCTs on CHD despite insufficient evidence in monotherapy, while RCT evidence remained unclear for the rest of the explored FAs. Our study provides an overview of the most recent evidence on the associations between objectively measured FAs and CVD outcomes. Collectively, the data reveals notable differences in associations by SFA subtypes and calls for further studies, especially RCTs, to explore these links.</t>
  </si>
  <si>
    <t>Planetary Health Diet Compared to Dutch Dietary Guidelines: Nutritional Content and Adequacy.</t>
  </si>
  <si>
    <t>Uriza-Pinzón, Julieth Pilar; Verstraete, Femke Fleur; Franco, Oscar H; Artola Arita, Vicente; Nicolaou, Mary; Van der Schouw, Yvonne T</t>
  </si>
  <si>
    <t>https://pubmed.ncbi.nlm.nih.gov/39064662</t>
  </si>
  <si>
    <t>In 2019, the EAT-Lancet Commission proposed a Planetary Health Diet (PHD) to address challenges toward sustainable and healthy diets. However, its suitability within the Dutch context and a comparison with the Dutch Dietary Guidelines (DDG) needs investigation. Our study aimed to compare the PHD with DDG in terms of food groups, servings, nutritional content, and adequacy in adults. We modeled two theoretical diets, the PHD (PHD-NL) and another based on the DDG (DDG-NL), using the Dutch National Food Consumption Survey (FCS-2016) and Dutch Food Composition Database to calculate the nutritional content and compared it with the Dutch Dietary Reference Values (DRVs). The PHD included higher quantities of vegetables, fish, legumes, and nuts, while the DDG suggested more significant amounts of cereals, tubers, starchy vegetables, dairy, and red meat. We observed differences in macronutrient distribution; while both diets lacked sufficient vitamin D, calcium content was lower in the PHD-NL. The PHD-NL had higher levels of fiber, vegetable protein, unsaturated fats, and non-heme iron, while vitamins B2, B6, B12, and calcium were lower than the DDG-NL diet. The PHD-NL has nutritional adequacy in the Dutch context, except for vitamin D and calcium, although it is essential to be cautious with iron because of the bioavailability of non-heme iron in plant-based diets. These findings have implications for the adoption of a sustainable diet according to nutritional requirements, population health status, and sociocultural context, as well as compliance with specific dietary behaviors of populations.</t>
  </si>
  <si>
    <t>On the use of the healthy lifestyle index to investigate specific disease outcomes.</t>
  </si>
  <si>
    <t>Viallon, Vivian; Freisling, Heinz; Matta, Komodo; Nannsen, Anne Østergaard; Dahm, Christina C; Tjønneland, Anne; Eriksen, Anne Kirstine; Kaaks, Rudolf; Katzke, Verena A; Schulze, Matthias B; Masala, Giovanna; Tagliabue, Giovanna; Simeon, Vittorio; Tumino, Rosario; Milani, Lorenzo; Derksen, Jeroen W G; van der Schouw, Yvonne T; Nøst, Therese Haugdahl; Borch, Kristin Benjaminsen; Sandanger, Torkjel M; Quirós, J Ramón; Rodriguez-Barranco, Miguel; Bonet, Catalina; Aizpurua-Atxega, Amaia; Cirera, Lluís; Guevara, Marcela; Sundström, Björn; Winkvist, Anna; Heath, Alicia K; Gunter, Marc J; Weiderpass, Elisabete; Johansson, Mattias; Ferrari, Pietro</t>
  </si>
  <si>
    <t>https://pubmed.ncbi.nlm.nih.gov/39009699</t>
  </si>
  <si>
    <t>The healthy lifestyle index (HLI), defined as the unweighted sum of individual lifestyle components, was used to investigate the combined role of lifestyle factors on health-related outcomes. We introduced weighted outcome-specific versions of the HLI, where individual lifestyle components were weighted according to their associations with disease outcomes. Within the European Prospective Investigation into Cancer and Nutrition (EPIC), we examined the association between the standard and the outcome-specific HLIs and the risk of T2D, CVD, cancer, and all-cause premature mortality. Estimates of the hazard ratios (HRs), the Harrell's C-index and the population attributable fractions (PAFs) were compared. For T2D, the HR for 1-SD increase of the standard and T2D-specific HLI were 0.66 (95% CI: 0.64, 0.67) and 0.43 (0.42, 0.44), respectively, and the C-index were 0.63 (0.62, 0.64) and 0.72 (0.72, 0.73). Similar, yet less pronounced differences in HR and C-index were observed for standard and outcome-specific estimates for cancer, CVD and all-cause mortality. PAF estimates for mortality before age 80 were 57% (55%, 58%) and 33% (32%, 34%) for standard and mortality-specific HLI, respectively. The use of outcome-specific HLI could improve the assessment of the role of lifestyle factors on disease outcomes, thus enhancing the definition of public health recommendations.</t>
  </si>
  <si>
    <t>Sex hormone-binding globulin may explain sex differences for glucose homeostasis and incidence of type 2 diabetes: the KORA study.</t>
  </si>
  <si>
    <t>Raeisi-Dehkordi, Hamidreza; Amiri, Mojgan; Rathmann, Wolfgang; Zeller, Tanja; Adamski, Jerzy; Bano, Arjola; van der Schouw, Yvonne T; Thorand, Barbara; Muka, Taulant; Nano, Jana</t>
  </si>
  <si>
    <t>https://pubmed.ncbi.nlm.nih.gov/38954350</t>
  </si>
  <si>
    <t>Research has indicated that sex hormone-binding globulin (SHBG) is associated with glucose homeostasis and may play a role in the etiology of type 2 diabetes (T2D). While it is unclear whether SHBG may mediate sex differences in glucose control and subsequently, incidence of T2D. We used observational data from the German population-based KORA F4 study (n = 1937, mean age: 54 years, 41% women) and its follow-up examination KORA FF4 (median follow-up 6.5 years, n = 1387). T2D was initially assessed by self-report and validated by contacting the physicians and/ or reviewing the medical charts. Mediation analyses were performed to assess the role of SHBG in mediating the association between sex (women vs. men) and glucose- and insulin-related traits (cross-sectional analysis) and incidence of T2D (longitudinal analysis). After adjustment for confounders, (model 1: adjusted for age; model 2: model 1 + smoking + alcohol consumption + physical activity), women had lower fasting glucose levels compared to men (β = -4.94 (mg/dl), 95% CI: -5.77, -4.11). SHBG levels were significantly higher in women than in men (β = 0.47 (nmol/l), 95% CI:0.42, 0.51). Serum SHBG may mediate the association between sex and fasting glucose levels with a proportion mediated (PM) of 30% (CI: 22-41%). Also, a potential mediatory role of SHBG was observed for sex differences in incidence of T2D (PM = 95% and 63% in models 1 and 2, respectively). Our novel findings suggest that SHBG may partially explain sex-differences in glucose control and T2D incidence.</t>
  </si>
  <si>
    <t>Association of infertility and recurrent pregnancy loss with the risk of dementia.</t>
  </si>
  <si>
    <t>Liang, Chen; Dobson, Annette J; Chung, Hsin-Fang; van der Schouw, Yvonne T; Sandin, Sven; Weiderpass, Elisabete; Mishra, Gita D</t>
  </si>
  <si>
    <t>https://pubmed.ncbi.nlm.nih.gov/38888679</t>
  </si>
  <si>
    <t>Emerging evidence has shown the association between female reproductive histories (e.g., menarche age, parity, premature and early menopause) and the risk of dementia. However, little attention has been given to infertility and pregnancy loss. To examine the associations of infertility, recurrent miscarriages, and stillbirth with the risk of dementia, this study used data from four cohorts in the International Collaboration for a Life Course Approach to Reproductive Health and Chronic Disease Events. Women with data on at least one of the reproductive exposures of interest, dementia, and all covariates were included. Histories of infertility, miscarriage, and stillbirth were self-reported. Dementia (including Alzheimer's disease) was identified through surveys, aged care, pharmaceutical, hospital, and death registry data. Cause-specific Cox regression models were used to estimate the hazard ratios of dementia, accounting for well-established risk factors of dementia, study variability, and within-study correlation. Overall, 291,055 women were included at a median (interquartile range) age of 55.0 (47.0-62.0) at baseline. During the median (interquartile range) follow-up period of 13.0 (12.0-14.0) years, 3334 (1.2%) women developed dementia. Compared to women without stillbirth, a history of recurrent stillbirths (≥ 2) was associated with 64% higher risk of dementia (adjusted hazard ratio = 1.64, 95% confidence interval: 1.46-1.85). Compared to women without miscarriage, women with recurrent miscarriages (≥ 3) were at 22% higher risk of dementia (adjusted hazard ratio = 1.22, 95% confidence interval: 1.19-1.25). These findings suggest that recurrent stillbirths is a risk factor for dementia and may need to be considered in risk assessment of dementia in women.</t>
  </si>
  <si>
    <t>Cost-effectiveness of Mediterranean diet and physical activity in secondary cardiovascular disease prevention: results from the UCC-SMART cohort study.</t>
  </si>
  <si>
    <t>Bonekamp, Nadia E; Visseren, Frank L J; van der Schouw, Yvonne T; van der Meer, Manon G; Teraa, Martin; Ruigrok, Ynte M; Geleijnse, Johanna M; Koopal, Charlotte; ,</t>
  </si>
  <si>
    <t>The efficacy of a healthy lifestyle in secondary prevention of cardiovascular disease (CVD) is well established and a first-line recommendation in CVD prevention guidelines. The aim of this study was to assess whether Mediterranean diet and physical activity are also cost-effective in patients with established CVD. A cost-utility analysis (CUA) was performed comparing a combined Mediterranean diet and physical activity intervention to usual care in patients with CVD. The CUA had a healthcare perspective and lifetime horizon. Costs and utilities were estimated using a microsimulation on a cohort of 100 000 patients with CVD sampled from the Utrecht Cardiovascular Cohort-Secondary Manifestations of ARTerial disease study (n = 8947, mean age 62 ± 8.7 years, and 74% male). Cost-effectiveness was expressed as an incremental cost-effectiveness ratio (ICER), incremental net health benefit (INHB), and incremental net monetary benefit (INMB). Mediterranean diet and physical activity yielded 2.0 incremental quality-adjusted life years (QALYs) and cost reductions of €1236 per person compared with usual care, resulting in an ICER of €-626/QALY [95% confidence interval (CI) -1929 to 2673]. At a willingness-to-pay of €20 000/QALY, INHB was 2.04 (95% CI 0.99-3.58) QALYs and INMB was €40 757 (95% CI 19 819-71 605). The interventions remained cost-effective in a wide range of sensitivity analyses, including worst-case scenarios and scenarios with reimbursement for food and physical activity costs. In patients with established CVD, a combined Mediterranean diet and physical activity intervention was cost-saving and highly cost-effective compared with usual care. These findings strongly advocate for the incorporation of lifestyle interventions as integral components of care for all patients with CVD.</t>
  </si>
  <si>
    <t>Correction to "Multiomic Signatures of Traffic-Related Air Pollution in London Reveal Potential Short-Term Perturbations in Gut Microbiome-Related Pathways".</t>
  </si>
  <si>
    <t>https://pubmed.ncbi.nlm.nih.gov/39283711</t>
  </si>
  <si>
    <t>Validating polyp and instrument segmentation methods in colonoscopy through Medico 2020 and MedAI 2021 Challenges.</t>
  </si>
  <si>
    <t>Jha, Debesh; Sharma, Vanshali; Banik, Debapriya; Bhattacharya, Debayan; Roy, Kaushiki; Hicks, Steven A; Tomar, Nikhil Kumar; Thambawita, Vajira; Krenzer, Adrian; Ji, Ge-Peng; Poudel, Sahadev; Batchkala, George; Alam, Saruar; Ahmed, Awadelrahman M A; Trinh, Quoc-Huy; Khan, Zeshan; Nguyen, Tien-Phat; Shrestha, Shruti; Nathan, Sabari; Gwak, Jeonghwan; Jha, Ritika K; Zhang, Zheyuan; Schlaefer, Alexander; Bhattacharjee, Debotosh; Bhuyan, M K; Das, Pradip K; Fan, Deng-Ping; Parasa, Sravanthi; Ali, Sharib; Riegler, Michael A; Halvorsen, Pål; de Lange, Thomas; Bagci, Ulas</t>
  </si>
  <si>
    <t>medical image analysis</t>
  </si>
  <si>
    <t>https://pubmed.ncbi.nlm.nih.gov/39303447</t>
  </si>
  <si>
    <t>Automatic analysis of colonoscopy images has been an active field of research motivated by the importance of early detection of precancerous polyps. However, detecting polyps during the live examination can be challenging due to various factors such as variation of skills and experience among the endoscopists, lack of attentiveness, and fatigue leading to a high polyp miss-rate. Therefore, there is a need for an automated system that can flag missed polyps during the examination and improve patient care. Deep learning has emerged as a promising solution to this challenge as it can assist endoscopists in detecting and classifying overlooked polyps and abnormalities in real time, improving the accuracy of diagnosis and enhancing treatment. In addition to the algorithm's accuracy, transparency and interpretability are crucial to explaining the whys and hows of the algorithm's prediction. Further, conclusions based on incorrect decisions may be fatal, especially in medicine. Despite these pitfalls, most algorithms are developed in private data, closed source, or proprietary software, and methods lack reproducibility. Therefore, to promote the development of efficient and transparent methods, we have organized the "Medico automatic polyp segmentation (Medico 2020)" and "MedAI: Transparency in Medical Image Segmentation (MedAI 2021)" competitions. The Medico 2020 challenge received submissions from 17 teams, while the MedAI 2021 challenge also gathered submissions from another 17 distinct teams in the following year. We present a comprehensive summary and analyze each contribution, highlight the strength of the best-performing methods, and discuss the possibility of clinical translations of such methods into the clinic. Our analysis revealed that the participants improved dice coefficient metrics from 0.8607 in 2020 to 0.8993 in 2021 despite adding diverse and challenging frames (containing irregular, smaller, sessile, or flat polyps), which are frequently missed during a routine clinical examination. For the instrument segmentation task, the best team obtained a mean Intersection over union metric of 0.9364. For the transparency task, a multi-disciplinary team, including expert gastroenterologists, accessed each submission and evaluated the team based on open-source practices, failure case analysis, ablation studies, usability and understandability of evaluations to gain a deeper understanding of the models' credibility for clinical deployment. The best team obtained a final transparency score of 21 out of 25. Through the comprehensive analysis of the challenge, we not only highlight the advancements in polyp and surgical instrument segmentation but also encourage subjective evaluation for building more transparent and understandable AI-based colonoscopy systems. Moreover, we discuss the need for multi-center and out-of-distribution testing to address the current limitations of the methods to reduce the cancer burden and improve patient care.</t>
  </si>
  <si>
    <t>Perception and experience of HIV-induced stigma among people with HIV seeking healthcare in Ghana.</t>
  </si>
  <si>
    <t>Mohammed, Aliyu; Cheabu, Benjamin Spears Ngmekpele; Amoah-Larbi, Jerry; Osei, Francis Adjei; Benyah, Georgina; Asampong, Robert; Odoom, Samuel Frimpong; Owusu, Eugene Acheampong; Amanor, Ernest; Idan, Jacob Solomon; Opoku, Douglas Aninng; Boakye, Kingsley; Yeboah, Peter</t>
  </si>
  <si>
    <t>https://pubmed.ncbi.nlm.nih.gov/39578833</t>
  </si>
  <si>
    <t>Advances in health and technology have reduced HIV to a more manageable communicable disease. Yet, stigma and discrimination against people with HIV remain critical barriers to ending the pandemic by 2030. Due to limited literature on stigma and discrimination in Ghana, we aimed to assess the experiences and predictors of stigma among PWH seeking healthcare in selected health facilities. This convergent parallel mixed-methods study involved 420 people with HIV responding to a quantitative survey and 25 PWH participating in qualitative interviews (9 in-depth interviews and 16 in focus group discussions). Respondents were recruited through systematic and purposive sampling techniques for the quantitative and qualitative aspects, respectively. Quantitative data were analyzed using Stata/SE version 16.0, with logistic regression models fitted to measure associations between predictor variables and experienced stigma. Qualitative data were analyzed thematically using NVivo software, employing an inductive approach. Of the 420 participants, 58 (13.8%) reported ever experiencing stigma due to their HIV status. Among those who experienced stigma, 44 (75.9%) reported stigma in their communities, 24 (41.4%) in their homes, 15 (25.9%) at their workplaces, and 13 (22.4%) at health facilities. The most common forms of stigma were being gossiped about (26.0%), verbal insults/harassment (15.2%), and physical assault (8.3%). Qualitative findings corroborated these experiences, revealing impacts on healthcare access, social relationships, and mental health. Females (aOR = 13.10, 95% CI: 1.64-104.55) and persons with TB-HIV co-infection (aOR = 20.53, 95% CI: 3.28-128.56) had greater odds of experiencing stigma. PWH who were self-employed had lower odds of experiencing stigma at the HIV clinic (aOR = 0.07, 95% CI: 0.01-0.53, p = 0.009). Experienced stigma ranged from low to moderate in different settings, with communities being the most common location. We observed differences in stigma experienced among PWH based on gender, employment status, and TB co-infection. These findings suggest a need for targeted, context-specific interventions to reduce HIV-related stigma in Ghana, with a particular focus on community-level interventions.</t>
  </si>
  <si>
    <t>Moderators and mediators of the association between the obesogenicity of neighbourhoods and weight status in Dutch adults.</t>
  </si>
  <si>
    <t>van de Geest, Jet D S; Meijer, Paul; Remmelzwaal, Sharon; Lakerveld, Jeroen</t>
  </si>
  <si>
    <t>https://pubmed.ncbi.nlm.nih.gov/39357121</t>
  </si>
  <si>
    <t>This study aimed to assess sociodemographic, personality, and psychological moderators, and lifestyle behavioural mediators, of the association between obesogenicity of neighbourhoods and weight status in Dutch adults. This cross-sectional study used baseline data of 150,506 adult participants of the Lifelines study. To quantify obesogenicity of Dutch neighbourhoods, the Obesogenic Built Environment CharacterisTics (OBCT) index was used, calculated for 1000 m circular buffers around participant's residencies. Z-scores of components across food and physical activity (PA) environments were averaged, and rescaled from 0 to 100. Weight status was operationalised as objectively measured waist circumference. Stratified linear regression analyses by (self-reported) sociodemographic factors, perceived stress, impulsivity, self-discipline, and deliberation were conducted when interaction terms were significant (P &lt; .01). Mediation by adherence to the Dutch PA guidelines and dietary behaviour was examined using the difference-in-coefficients approach. Every 10% increase in OBCT index was associated with a 0.65 (P &lt; .001, 95%CI [0.59, 0.71]) centimetre larger waist circumference. The association was largest for respondents who were younger, had the lowest income, the highest educational level, the least self-discipline, the highest impulsivity scores and the most perceived stress. Adherence to PA guidelines and dietary behaviour mediated 13.3% of this association; however, the difference in coefficients was not statistically significant. Our findings enable to better target lifestyle interventions to individuals most vulnerable to obesogenic environments. Furthermore, they provide guidance for policymakers and urban planners in promoting health-enhancing environments.</t>
  </si>
  <si>
    <t>Nigeria sodium study 2023 policy meeting on dietary sodium reduction in Nigeria.</t>
  </si>
  <si>
    <t>Ojo, Adedayo E; Alfa, Vanessa O; Huffman, Mark D; Ojji, Dike B</t>
  </si>
  <si>
    <t>https://pubmed.ncbi.nlm.nih.gov/39289728</t>
  </si>
  <si>
    <t>In line with the WHO Global Action Plan's objective to achieve a 30% relative reduction in the mean population intake of sodium by 2025, the Nigeria Sodium Study (NaSS) team, which aimed to evaluate the implementation and scale-up of national sodium reduction programme, hosted a policy meeting May 22, 2023, in Abuja, the Federal Capital Territory of Nigeria. The aim was to deliberate on strategies for translating data on salt levels in food and dietary patterns, intending to strengthen sodium policies in Nigeria, with the ultimate goal of producing evidence-based information that can effectively guide strategies and policies for sodium reduction. Policymakers from federal, state, and local government levels attended, as well as representatives from national and international universities and non-governmental organizations. Topics presented and discussed included retail survey data from the NaSS to inform front-of-package labeling, salt targets for packaged food, and best practices for supporting stakeholders in implementing best-practice evidence-informed policymaking. The meeting brought together 72 participants from 38 organizations, including government ministries and agencies (n = 21), international and non-governmental organizations (n = 6), and international health organizations and institutes (n = 2). Participants took decisive policy actions, including stringent national-level food system monitoring by relevant government agencies, implementing front-of-package labeling for healthier choices, establishing mandatory sodium limits for both packaged and unpackaged foods and school meals, launching diverse sector-wide educational campaigns to reduce salt use, conducting mass mobilization campaigns for awareness, and advocating for salt reduction in fast food outlets. Salt substitutes were also recognized as integral to the comprehensive sodium reduction approach. To advance policy action, stakeholders should prioritize establishing robust monitoring systems, engage in public awareness campaigns, and collaborate with international organizations for insights. Exploring partnerships, addressing funding challenges, and implementing innovative strategies like low-sodium substitutes are crucial steps toward effective sodium reduction policies in Nigeria.</t>
  </si>
  <si>
    <t>Agreement Between Mega-Trials and Smaller Trials: A Systematic Review and Meta-Research Analysis.</t>
  </si>
  <si>
    <t>Kastrati, Lum; Raeisi-Dehkordi, Hamidreza; Llanaj, Erand; Quezada-Pinedo, Hugo G; Khatami, Farnaz; Ahanchi, Noushin Sadat; Llane, Adea; Meçani, Renald; Muka, Taulant; Ioannidis, John P A</t>
  </si>
  <si>
    <t>https://pubmed.ncbi.nlm.nih.gov/39240561</t>
  </si>
  <si>
    <t>Mega-trials can provide large-scale evidence on important questions. To explore how the results of mega-trials compare with the meta-analysis results of trials with smaller sample sizes. ClinicalTrials.gov was searched for mega-trials until January 2023. PubMed was searched until June 2023 for meta-analyses incorporating the results of the eligible mega-trials. Mega-trials were eligible if they were noncluster nonvaccine randomized clinical trials, had a sample size over 10 000, and had a peer-reviewed meta-analysis publication presenting results for the primary outcome of the mega-trials and/or all-cause mortality. For each selected meta-analysis, we extracted results of smaller trials and mega-trials included in the summary effect estimate and combined them separately using random effects. These estimates were used to calculate the ratio of odds ratios (ROR) between mega-trials and smaller trials in each meta-analysis. Next, the RORs were combined using random effects. Risk of bias was extracted for each trial included in our analyses (or when not available, assessed only for mega-trials). Data analysis was conducted from January to June 2024. The main outcomes were the summary ROR for the primary outcome and all-cause mortality between mega-trials and smaller trials. Sensitivity analyses were performed with respect to the year of publication, masking, weight, type of intervention, and specialty. Of 120 mega-trials identified, 41 showed a significant result for the primary outcome and 22 showed a significant result for all-cause mortality. In 35 comparisons of primary outcomes (including 85 point estimates from 69 unique mega-trials and 272 point estimates from smaller trials) and 26 comparisons of all-cause mortality (including 70 point estimates from 65 unique mega-trials and 267 point estimates from smaller trials), no difference existed between the outcomes of the mega-trials and smaller trials for primary outcome (ROR, 1.00; 95% CI, 0.97-1.04) nor for all-cause mortality (ROR, 1.00; 95% CI, 0.97-1.04). For the primary outcomes, smaller trials published before the mega-trials had more favorable results than the mega-trials (ROR, 1.05; 95% CI, 1.01-1.10) and subsequent smaller trials published after the mega-trials (ROR, 1.10; 95% CI, 1.04-1.18). In this meta-research analysis, meta-analyses of smaller studies showed overall comparable results with mega-trials, but smaller trials published before the mega-trials gave more favorable results than mega-trials. These findings suggest that mega-trials need to be performed more often given the relative low number of mega-trials found, their low significant rates, and the fact that smaller trials published prior to mega-trial report more beneficial results than mega-trials and subsequent smaller trials.</t>
  </si>
  <si>
    <t>Differential effect of lead and cadmium on mitochondrial function and NLRP3 inflammasome activation in human trophoblast.</t>
  </si>
  <si>
    <t>Dai, Yifeng; Xu, Xijin; Huo, Xia; Schuitemaker, Joost H N; Faas, Marijke M</t>
  </si>
  <si>
    <t>the journal of physiology</t>
  </si>
  <si>
    <t>https://pubmed.ncbi.nlm.nih.gov/39197088</t>
  </si>
  <si>
    <t>Heavy metals disrupt mitochondrial function and activate the NOD-like receptor pyrin-containing 3 (NLRP3) inflammasome. We investigated the effect of lead (Pb)/cadmium (Cd) on mitochondrial function and NLRP3 inflammasome activation in human trophoblast under normoxic, hypoxic and pro-inflammatory conditions. JEG-3, BeWo and HTR-8/SVneo cells were exposed to Pb or Cd for 24 h in the absence or presence of hypoxia or pro-inflammatory lipopolysaccharide (LPS) or poly(I:C). Then, we evaluated cell viability, apoptosis, mitochondrial DNA copy number (mtDNAcn), mitochondrial membrane potential (ΔΨ), NLRP3 inflammasome proteins and interleukin (IL)-1β secretion. Although our data showed that Pb, Cd, hypoxia, poly(I:C) and LPS decreased mtDNAcn in the three cell lines, the effects of these treatments on other biomarkers were different in the different cell lines. We found that hypoxia decreased ΔΨ and promoted apoptosis in JEG-3 cells, increased ΔΨ and prevented apoptosis in BeWo cells, and did not change ΔΨ and apoptosis in HTR-8/SVneo cells. Moreover, Pb under hypoxic conditions reduced ΔΨ and promoted apoptosis of BeWo cells. Exposure of BeWo and HTR-8/SVneo cells to hypoxia, Pb or Cd alone upregulated the expression of NLRP3 and pro-caspase 1 but did not activate the NLRP3 inflammasome since cleaved-caspase 1 and IL-1β were not increased. To conclude, Pb and Cd affected trophoblast mitochondrial function and NLRP3 proteins in trophoblast cell lines, but in a cell line-specific way. KEY POINTS: The objective of this work was an understanding of the effect of lead (Pb) and cadmium (Cd) on mitochondrial function and NLRP3 inflammasome activation in human trophoblast cell lines under normoxic, hypoxic and pro-inflammatory conditions. Apoptosis of JEG-3 cells was increased by hypoxia, while in BeWo cells, apoptosis was decreased by hypoxia, and in HTR-8/SVneo, apoptosis was not affected by hypoxic treatment. Exposure to either Pb or Cd decreased mtDNAcn in three human placental trophoblast cell lines. However, Pb under hypoxia induced a decrease of ΔΨ and promoted apoptosis of BeWo cells, but Cd did not induce a reduction in ΔΨ in the three trophoblast cell lines under any conditions. Exposure to hypoxia, Pb or Cd increased NLRP3 and pro-caspase 1 in BeWo and HTR-8/SVneo cells. Our findings highlight that Pb and Cd affected trophoblast mitochondrial function and NLRP3 proteins in trophoblast cell lines but in a cell line-specific way.</t>
  </si>
  <si>
    <t>What are the 100 most cited fungal genera?</t>
  </si>
  <si>
    <t>Bhunjun, C S; Chen, Y J; Phukhamsakda, C; Boekhout, T; Groenewald, J Z; McKenzie, E H C; Francisco, E C; Frisvad, J C; Groenewald, M; Hurdeal, V G; Luangsa-Ard, J; Perrone, G; Visagie, C M; Bai, F Y; Błaszkowski, J; Braun, U; de Souza, F A; de Queiroz, M B; Dutta, A K; Gonkhom, D; Goto, B T; Guarnaccia, V; Hagen, F; Houbraken, J; Lachance, M A; Li, J J; Luo, K Y; Magurno, F; Mongkolsamrit, S; Robert, V; Roy, N; Tibpromma, S; Wanasinghe, D N; Wang, D Q; Wei, D P; Zhao, C L; Aiphuk, W; Ajayi-Oyetunde, O; Arantes, T D; Araujo, J C; Begerow, D; Bakhshi, M; Barbosa, R N; Behrens, F H; Bensch, K; Bezerra, J D P; Bilański, P; Bradley, C A; Bubner, B; Burgess, T I; Buyck, B; Čadež, N; Cai, L; Calaça, F J S; Campbell, L J; Chaverri, P; Chen, Y Y; Chethana, K W T; Coetzee, B; Costa, M M; Chen, Q; Custódio, F A; Dai, Y C; Damm, U; Santiago, A L C M A; De Miccolis Angelini, R M; Dijksterhuis, J; Dissanayake, A J; Doilom, M; Dong, W; Álvarez-Duarte, E; Fischer, M; Gajanayake, A J; Gené, J; Gomdola,</t>
  </si>
  <si>
    <t>studies in mycology</t>
  </si>
  <si>
    <t>https://pubmed.ncbi.nlm.nih.gov/39100921</t>
  </si>
  <si>
    <t>The global diversity of fungi has been estimated between 2 to 11 million species, of which only about 155 000 have been named. Most fungi are invisible to the unaided eye, but they represent a major component of biodiversity on our planet, and play essential ecological roles, supporting life as we know it. Although approximately 20 000 fungal genera are presently recognised, the ecology of most remains undetermined. Despite all this diversity, the mycological community actively researches some fungal genera more commonly than others. This poses an interesting question: why have some fungal genera impacted mycology and related fields more than others? To address this issue, we conducted a bibliometric analysis to identify the top 100 most cited fungal genera. A thorough database search of the Web of Science, Google Scholar, and PubMed was performed to establish which genera are most cited. The most cited 10 genera are &lt;i&gt;Saccharomyces&lt;/i&gt;, &lt;i&gt;Candida&lt;/i&gt;, &lt;i&gt;Aspergillus&lt;/i&gt;, &lt;i&gt;Fusarium&lt;/i&gt;, &lt;i&gt;Penicillium&lt;/i&gt;, &lt;i&gt;Trichoderma&lt;/i&gt;, &lt;i&gt;Botrytis&lt;/i&gt;, &lt;i&gt;Pichia&lt;/i&gt;, &lt;i&gt;Cryptococcus&lt;/i&gt; and &lt;i&gt;Alternaria&lt;/i&gt;. Case studies are presented for the 100 most cited genera with general background, notes on their ecology and economic significance and important research advances. This paper provides a historic overview of scientific research of these genera and the prospect for further research. &lt;b&gt;Citation:&lt;/b&gt; Bhunjun CS, Chen YJ, Phukhamsakda C, Boekhout T, Groenewald JZ, McKenzie EHC, Francisco EC, Frisvad JC, Groenewald M, Hurdeal VG, Luangsa-ard J, Perrone G, Visagie CM, Bai FY, Błaszkowski J, Braun U, de Souza FA, de Queiroz MB, Dutta AK, Gonkhom D, Goto BT, Guarnaccia V, Hagen F, Houbraken J, Lachance MA, Li JJ, Luo KY, Magurno F, Mongkolsamrit S, Robert V, Roy N, Tibpromma S, Wanasinghe DN, Wang DQ, Wei DP, Zhao CL, Aiphuk W, Ajayi-Oyetunde O, Arantes TD, Araujo JC, Begerow D, Bakhshi M, Barbosa RN, Behrens FH, Bensch K, Bezerra JDP, Bilański P, Bradley CA, Bubner B, Burgess TI, Buyck B, Čadež N, Cai L, Calaça FJS, Campbell LJ, Chaverri P, Chen YY, Chethana KWT, Coetzee B, Costa MM, Chen Q, Custódio FA, Dai YC, Damm U, de Azevedo Santiago ALCM, De Miccolis Angelini RM, Dijksterhuis J, Dissanayake AJ, Doilom M, Dong W, Alvarez-Duarte E, Fischer M, Gajanayake AJ, Gené J, Gomdola D, Gomes AAM, Hausner G, He MQ, Hou L, Iturrieta-González I, Jami F, Jankowiak R, Jayawardena RS, Kandemir H, Kiss L, Kobmoo N, Kowalski T, Landi L, Lin CG, Liu JK, Liu XB, Loizides M, Luangharn T, Maharachchikumbura SSN, Makhathini Mkhwanazi GJ, Manawasinghe IS, Marin-Felix Y, McTaggart AR, Moreau PA, Morozova OV, Mostert L, Osiewacz HD, Pem D, Phookamsak R, Pollastro S, Pordel A, Poyntner C, Phillips AJL, Phonemany M, Promputtha I, Rathnayaka AR, Rodrigues AM, Romanazzi G, Rothmann L, Salgado-Salazar C, Sandoval-Denis M, Saupe SJ, Scholler M, Scott P, Shivas RG, Silar P, Souza-Motta CM, Silva-Filho AGS, Spies CFJ, Stchigel AM, Sterflinger K, Summerbell RC, Svetasheva TY, Takamatsu S, Theelen B, Theodoro RC, Thines M, Thongklang N, Torres R, Turchetti B, van den Brule T, Wang XW, Wartchow F, Welti S, Wijesinghe SN, Wu F, Xu R, Yang ZL, Yilmaz N, Yurkov A, Zhao L, Zhao RL, Zhou N, Hyde KD, Crous PW (2024). What are the 100 most cited fungal genera? &lt;i&gt;Studies in Mycology&lt;/i&gt; &lt;b&gt;108&lt;/b&gt;: 1-411. doi: 10.3114/sim.2024.108.01.</t>
  </si>
  <si>
    <t>The importance of understanding pelvic inflammatory disease as a polymicrobial infection - authors' reply.</t>
  </si>
  <si>
    <t>Alexiou, Zoïe W; Hoenderboom, Bernice M; Hoebe, Christian J P A; Dukers-Muijrers, Nicole H T M; Götz, Hannelore M; van der Sande, Marianne A B; de Vries, Henry J C; den Hartog, Janneke E; Morré, Servaas A; van Benthem, Birgit H B</t>
  </si>
  <si>
    <t>https://pubmed.ncbi.nlm.nih.gov/39534269</t>
  </si>
  <si>
    <t>Reproductive tract complication risks following &lt;i&gt;Chlamydia trachomatis&lt;/i&gt; infections: a long-term prospective cohort study from 2008 to 2022.</t>
  </si>
  <si>
    <t>https://pubmed.ncbi.nlm.nih.gov/39247903</t>
  </si>
  <si>
    <t>The clinical and public health relevance of widespread testing for asymptomatic &lt;i&gt;Chlamydia trachomatis&lt;/i&gt; (chlamydia) infections is under debate. To address uncertainties in screening programs, we estimate reproductive tract complication risks following asymptomatic and symptomatic chlamydia infections in a long-term prospective cohort. A cohort of 5704 reproductive-age women recruited from a chlamydia screening study was followed for up to 14 years. Chlamydia positivity was determined using screening polymerase chain reaction test results, self-reported diagnoses (with/without symptoms), and chlamydia Immunoglobulin G antibodies. Outcome data (pregnancies, pelvic inflammatory disease (PID), ectopic pregnancy, and tubal factor infertility) were collected through self-completed questionnaires. Cox regression calculated adjusted hazard ratios (aHR) with confidence intervals (CI) to compare outcomes between time-updated chlamydia groups since sexual debut. During 104,612 person-years, 2103 (36.9%) women were chlamydia-positive and 3692 women (64.7%) had been pregnant at least once. Risks for PID, ectopic pregnancy and tubal factor infertility were 1.62 (95% CI 1.20-2.17), 1.84 (95% CI 1.14-2.95) and 2.75 (95% CI 1.53-4.94), compared to chlamydia-negatives. aHRs for PID after symptomatic and asymptomatic infections were 2.29 (95% CI 1.62-3.25) and 1.06 (95% CI 0.66-1.69), respectively. Incidence of PID, ectopic pregnancy and tubal factor infertility after symptomatic chlamydia infection remained low with rates per 1000 person-years of 5.8, 1.9, and 1.8, respectively. We found a significantly higher risk of PID, ectopic pregnancy and tubal factor infertility in chlamydia-positive women compared to chlamydia-negative women, although the overall incidence rates of complications remained low. Symptomatic, but not asymptomatic, chlamydia infections were associated with PID risk, suggesting the largest disease burden of complications is in this group. The Netherlands Organisation for Health Research and Development (ZonMW Netherlands) and Research Funding from the Ministry of Health, Welfare and Sports.</t>
  </si>
  <si>
    <t>Mild and moderate COVID-19 during Alpha, Delta and Omicron pandemic waves in urban Maputo, Mozambique, December 2020-March 2022: A population-based surveillance study.</t>
  </si>
  <si>
    <t>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t>
  </si>
  <si>
    <t>https://pubmed.ncbi.nlm.nih.gov/39102391</t>
  </si>
  <si>
    <t>In sub-Saharan Africa, reported COVID-19 numbers have been lower than anticipated, even when considering populations' younger age. The extent to which risk factors, established in industrialised countries, impact the risk of infection and of disease in populations in sub-Saharan Africa, remains unclear. We estimated the incidence of mild and moderate COVID-19 in urban Mozambique and analysed factors associated with infection and disease in a population-based surveillance study. During December 2020-March 2022, 1,561 households (6,049 participants, median 21 years, 54.8% female, 7.3% disclosed HIV positive) of Polana Caniço, Maputo, Mozambique, were visited biweekly to report respiratory symptoms, anosmia, or ageusia, and self-administer a nasal swab for SARS-CoV-2 testing. Every three months, dried blood spots of a subset of participants (1,412) were collected for detection of antibodies against SARS-CoV-2 spike glycoprotein and nucleocapsid protein. Per 1000 person-years, 364.5 (95%CI 352.8-376.1) respiratory illness episodes were reported, of which 72.2 (95%CI 60.6-83.9) were COVID-19. SARS-CoV-2 seroprevalence rose from 4.8% (95%CI 1.1-8.6%) in December 2020 to 34.7% (95%CI 20.2-49.3%) in June 2021, when 3.0% were vaccinated. Increasing age, chronic lung disease, hypertension, and overweight increased risk of COVID-19. Older age increased the risk of SARS-CoV-2 seroconversion. We observed no association between socio-economic status, behaviour and COVID-19 or SARS-CoV-2 seroconversion. Active surveillance in an urban population confirmed frequent COVID-19 underreporting, yet indicated that the large majority of cases were mild and non-febrile. In contrast to reports from industrialised countries, social deprivation did not increase the risk of infection nor disease.</t>
  </si>
  <si>
    <t>Antibiotic use by clinical presentation across all healthcare providers in rural Burkina Faso: a healthcare visit exit survey.</t>
  </si>
  <si>
    <t>Valia, Daniel; Ingelbeen, Brecht; Nassa, Guétawendé Job Wilfried; Kaboré, Bérenger; Kiemdé, François; Rouamba, Toussaint; Compaoré, Adélaïde; Kouanda, Juste Stéphane; Robert, Annie; Rodriguez-Villalobos, Hector; Van Der Sande, Marianne A B; Tinto, Halidou</t>
  </si>
  <si>
    <t>https://pubmed.ncbi.nlm.nih.gov/39051704</t>
  </si>
  <si>
    <t>To guide antibiotic stewardship interventions, understanding for what indications antibiotics are used is essential. In rural Burkina Faso, we measured antibiotic dispensing across all healthcare providers. From October 2021 to February 2022, we surveyed patients in Nanoro district, Burkina Faso, following visits to health centres (3), pharmacies (2), informal medicine vendors (5) and inpatients in health centres. We estimated prevalence of antibiotic use and the proportion of Watch group antibiotics by provider type and by clinical presentation, assessing compliance with WHO's AWaRe Antibiotic Book. We estimated per capita antibiotic use by multiplying prevalence of antibiotic use, mean DDD per adult treatment course, and the rate of healthcare visits per 1000 inhabitants per day, estimated from a prior household survey. Outpatient antibiotic use was more frequent after health centre visits (54.8%, of which 16.5% Watch, n = 1249) than after visits to pharmacies (26.2%, 16.3% Watch, n = 328) and informal medicine vendors (26.9%, 50.0% Watch, n = 349). The frequency of antibiotic use was highest for bronchitis (79.9% antibiotic use, of which 12.6% Watch), malaria (31.9%, 23.1% Watch), gastroenteritis (76.0%, 31.7% Watch), rhinopharyngitis (40.4%, 8.3% Watch) and undifferentiated fever (77.0%, 44.8% Watch). Compliance with WHO AWaRe guidance could have averted at least 68.4% of all Watch antibiotic use in outpatients at health centres. Community-wide, 2.9 DDD (95% CI 1.9-3.9) were used per 1000 adult inhabitants per day. Most Watch antibiotic use at community level or primary care deviated from WHO guidance. Antibiotic stewardship should focus on key clinical presentations and include primary care and self-medication.</t>
  </si>
  <si>
    <t>Joint modeling of an outcome variable and integrated omics datasets using GLM-PO2PLS.</t>
  </si>
  <si>
    <t>Gu, Zhujie; Uh, Hae-Won; Houwing-Duistermaat, Jeanine; El Bouhaddani, Said</t>
  </si>
  <si>
    <t>journal of applied statistics</t>
  </si>
  <si>
    <t>https://pubmed.ncbi.nlm.nih.gov/39290359</t>
  </si>
  <si>
    <t>In many studies of human diseases, multiple omics datasets are measured. Typically, these omics datasets are studied one by one with the disease, thus the relationship between omics is overlooked. Modeling the joint part of multiple omics and its association to the outcome disease will provide insights into the complex molecular base of the disease. Several dimension reduction methods which jointly model multiple omics and two-stage approaches that model the omics and outcome in separate steps are available. Holistic one-stage models for both omics and outcome are lacking. In this article, we propose a novel one-stage method that jointly models an outcome variable with omics. We establish the model identifiability and develop EM algorithms to obtain maximum likelihood estimators of the parameters for normally and Bernoulli distributed outcomes. Test statistics are proposed to infer the association between the outcome and omics, and their asymptotic distributions are derived. Extensive simulation studies are conducted to evaluate the proposed model. The method is illustrated by modeling Down syndrome as outcome and methylation and glycomics as omics datasets. Here we show that our model provides more insight by jointly considering methylation and glycomics.</t>
  </si>
  <si>
    <t>PrimerX: A Bayesian Multistage Cohort Embedded Randomised Trial to Evaluate the Role of Deferred Local Therapy of the Primary Tumour in Combination with Immune Checkpoint Inhibitor-based First-line Therapy in Metastatic Renal Cell Carcinoma Patients.</t>
  </si>
  <si>
    <t>Figaroa, Orlane; Zondervan, Patricia; Kessels, Rob; Berkhof, Johannes; Aarts, Maureen; Hamberg, Paul; Los, Maartje; Piersma, Djura; Rikhof, Bart; Suelmann, Britt; Tascilar, Metin; van der Veldt, Astrid; Verhagen, Paul; Westgeest, Hans; Yildirim, Hilin; Bex, Axel; Bins, Adriaan</t>
  </si>
  <si>
    <t>https://pubmed.ncbi.nlm.nih.gov/39483517</t>
  </si>
  <si>
    <t>Historically, patients with metastatic renal cell carcinoma (mRCC) have been offered upfront cytoreductive nephrectomy (CN) followed by systemic therapy. Currently, CN is no longer the standard of care (SOC) based on the randomised phase 3 CARMENA study performed in the vascular endothelial growth factor receptor tyrosine kinase inhibitor era. With the advent of immune checkpoint inhibitor (ICI) combination therapy in first line, the role of CN needs to be reassessed. There is indirect evidence from small retrospective series that deferred CN after ICI combination therapy may lead to better outcomes. To reassess the role of CN, we designed PrimerX, a randomised controlled trial following the Trial within Cohorts (TwiCs) study design. The primary objective of this study is to re-evaluate the benefit of deferred local treatment in the current era of immunotherapy. This PrimerX study has been designed as a TwiCs study within the Dutch Prospective Renal Cell Carcinoma (PRO-RCC) cohort. The PRO-RCC cohort includes patients with mRCC and nonmetastatic RCC, and has been set up for prospective collection of long-term clinical data and as an infrastructure for initiating TwiCs studies. The PrimerX TwiCs trial follows a Bayesian adaptive multistage design to allow for early discontinuation due to futility or efficacy. PrimerX has appropriate ethics approval and is registered at clinical.trials.gov (NCT05941169). The primary clinical endpoint is overall survival, defined as the time from randomisation to death from any cause. The secondary endpoint is the objective response rate within the primary tumour prior to local therapy, as assessed by a computed tomography scan. A maximum of 700 patients with synchronous mRCC and absence of progression at metastatic sites following at least 6 mo of standard first-line ICI combination therapy will be assigned randomly to receive local treatment of the primary tumour (experimental arm) or SOC (control arm). The experimental intervention consists of (partial) CN, any form of ablative local therapy, or magnetic resonance imaging guided ablative stereotactic radiotherapy, performed within 6 mo and 1.5 yr after the start of systemic treatment.</t>
  </si>
  <si>
    <t>Keeping pace in the age of innovation: The perspective of Dutch pharmaceutical science students on the position of machine learning training in an undergraduate curriculum.</t>
  </si>
  <si>
    <t>Kidwai, S; Rojas-Velazquez, D; Lopez-Rincon, A; Kraneveld, A D; Oberski, D L; Meijerman, I</t>
  </si>
  <si>
    <t>https://pubmed.ncbi.nlm.nih.gov/39549321</t>
  </si>
  <si>
    <t>Over the years, approaches of the pharmaceutical industry to discover and develop drugs have changed rapidly due to new scientific trends. Among others, they have started to explore Machine Learning (ML), a subset of Artificial Intelligence (AI), as a promising tool to generate new hypotheses regarding drug candidate selections for clinical trials and to predict adverse side effects. Despite these recent developments, the possibilities of ML in pharmaceutical sciences have so far hardly penetrated the training of pharmaceutical science students. &lt;sup&gt;1, 2&lt;/sup&gt; Therefore, as part of an elective course, an introductory module on ML was developed at Utrecht University, Department of Pharmaceutical Sciences. The aim of this study was to assess student' views on the module set-up, and their perspectives on ML within pharmaceutical science curricula. Semi-structured interviews over three years were conducted with 15 students participating in the module. The students valued the well-designed and effective delivered module. They were personally motivated to learn more about ML in a future master or research internship. The students now perceive a lack of possibilities for ML training in pharmaceutical sciences education and indicate the value of incorporating ML opportunities for their future career. Integrating ML training into pharmaceutical sciences curricula is needed to keep future drug researchers up to date with drug research advancements, enhancing their skills, academic development, and career prospects.</t>
  </si>
  <si>
    <t>Living systematic review and comprehensive network meta-analysis of ALS clinical trials: study protocol.</t>
  </si>
  <si>
    <t>Van Loon, Floris T; Seitidis, Georgios; Mavridis, Dimitris; van Unnik, Jordi W J; Weemering, Daphne N; van den Berg, Leonard H; Bethani, Ilianna; Nikolakopoulos, Stavros; van Eijk, Ruben P A</t>
  </si>
  <si>
    <t>https://pubmed.ncbi.nlm.nih.gov/39486809</t>
  </si>
  <si>
    <t>Amyotrophic lateral sclerosis (ALS) is a fatal neurogenerative disease with no effective treatment to date. Despite numerous clinical trials, the majority of studies have been futile in their effort to significantly alter the course of the disease. However, these studies may still provide valuable information for identifying patient subgroups and generating new hypotheses for future research. Additionally, synthesising evidence from these studies may help overcome the limitations of individual studies. Network meta-analysis may refine the assessment of efficacy in specific patient subgroups, evaluate intervention characteristics such as mode of administration or biological mechanisms of action, and rank order promising therapeutic areas of interest. Therefore, we aim to synthesise the available evidence from ALS clinical trials. We will conduct a systematic review to identify all clinical trials that assessed disease-modifying pharmaceutical therapies, cell therapies, or supplements in patients with ALS. Outcomes of interest are clinical disease progression outcomes and survival. We will conduct this search in the period Q4 2024 in three databases: PubMed, Embase and ClinicalTrials.gov for studies from 1999 to 2023. Individual patient data and aggregate data will be collected and subsequentially synthesised in meta-analytical models. The final model will be presented as an open-source web application with biannual updates of the underlying data, thereby providing a 'living' overview of the ALS clinical trial landscape. No ethics approvals are required. Findings will be presented at relevant conferences and submitted to peer-reviewed journals. Data will be stored anonymously in secure repositories.</t>
  </si>
  <si>
    <t>Drug Survival of Dupilumab, Methotrexate, and Cyclosporine A in Children With Atopic Dermatitis.</t>
  </si>
  <si>
    <t>van der Rijst, Lisa P; Kamphuis, Esmé; Schuttelaar, Marie L A; Hurmuz, Rimoon; Seyger, Marieke M B; Caron, Anouk G M; Zuithoff, Nicolaas P A; Nguyen, N Tan; Kamsteeg, Marijke; de Bruin-Weller, Marjolein S; Pasmans, Suzanne G M A; Middelkamp-Hup, Maritza A; de Graaf, Marlies</t>
  </si>
  <si>
    <t>https://pubmed.ncbi.nlm.nih.gov/39412782</t>
  </si>
  <si>
    <t>Dupilumab, methotrexate (MTX), and cyclosporine A (CsA) are valuable treatment options for pediatric patients with refractory moderate to severe atopic dermatitis (AD). Yet, comparative data on these treatments in pediatric patients are scarce. To evaluate drug survival of dupilumab, MTX, and CsA, and identify associated predictors in a multicenter daily practice cohort study of pediatric patients with AD. This multicenter daily practice cohort study included patients with AD aged 2 to 17 years treated with dupilumab, MTX, and/or CsA in 5 tertiary centers in the Netherlands between 2013 and 2023. Data were extracted from the prospective BioDay and TREAT Netherlands registries and electronic medical records. Dupilumab, MTX, CsA. Drug survival was analyzed using Cox proportional hazard regression models. Univariable and multivariable Cox regression analyses were conducted to identify variables associated with drug discontinuation. A total of 502 treatment episodes in 362 unique patients were included, comprising 192 dupilumab episodes, 94 MTX episodes, and 216 CsA episodes. Overall, the mean (SD) age at treatment initiation was 12.9 (3.8) years, and 272 treatment episodes (54.2%) in female patients. The 1-year, 2-year, and 3-year overall drug survival rates, respectively, were 84.1%, 72.3%, and 62.0% for dupilumab; 60.7%, 39.3%, and 25.3% for MTX; and 43.9%, 21.5%, and 10.4% for CsA. Ineffectiveness was the most frequent reason for drug discontinuation, accounting for 178 episodes (35.5%), mostly in patients treated with CsA, followed by adverse effects in 94 patients (18.7%). Treatment with MTX and treatment with CsA were independently associated with a higher risk for drug discontinuation due to ineffectiveness (hazard ratio [HR], 4.45 [95% CI, 2.38-8.34] and HR, 10.88 [95% CI, 6.23-19.02], respectively) and adverse effects (HR, 4.39 [95% CI, 2.05-9.39] and HR, 3.83 [95% CI, 1.85-7.92], respectively) compared to treatment with dupilumab. Patients aged 12 to 17 years starting systemic treatment were independently associated with a higher risk for drug discontinuation due to ineffectiveness (HR, 1.55 [95% CI, 1.10-2.20]) and adverse effects (HR, 2.39 [95% CI, 1.33-4.30]). This multicenter daily practice cohort study demonstrated a superior 1-year, 2-year, and 3-year overall drug survival for dupilumab, followed by MTX, with the lowest rates observed for CsA in pediatric patients with AD. This study also identified characteristics associated with discontinuation. These results provide insight into drug survival resulting from the effectiveness, safety, and tolerability of these systemic treatments in pediatric patients with AD and contribute to the optimization of patient outcomes.</t>
  </si>
  <si>
    <t>Long-Term Effectiveness and Reasons for Discontinuation of Dupilumab in Patients With Atopic Dermatitis.</t>
  </si>
  <si>
    <t>Boesjes, Celeste M; Kamphuis, Esmé; de Graaf, Marlies; Spekhorst, Lotte S; Haeck, Inge; van der Gang, Lian F; Loman, Laura; Zuithoff, Nicolaas P A; Dekkers, Coco; van der Rijst, Lisa P; Romeijn, Geertruida L E; Oosting, Albert J; Gostynksi, Antoni; van Lynden-van Nes, Anneke M T; Tupker, Ron A; van Tuyll van Serooskerken, Anne-Moon; Flinterman, Annebeth; Politiek, Klaziena; Touwslager, Wouter R H; Christoffers, Wianda A; Stewart, Shiarra M; Kamsteeg, Marijke; Schuttelaar, Marie-Louise A; de Bruin-Weller, Marjolein S</t>
  </si>
  <si>
    <t>https://pubmed.ncbi.nlm.nih.gov/39110432</t>
  </si>
  <si>
    <t>Limited data are available on the long-term effectiveness and safety of dupilumab for atopic dermatitis (AD) in daily practice. To evaluate clinical effectiveness and reasons for discontinuation of dupilumab treatment in children, adults, and older adults with AD with up to 5 years of treatment in daily practice. This prospective multicenter cohort study was conducted using the BioDay registry (4 academic and 10 nonacademic hospitals in the Netherlands) to identify patients with AD of all ages who were treated with dupilumab between October 2017 and December 2022. Clinical effectiveness was evaluated by the Eczema Area and Severity Index (EASI), Investigator Global Assessment (IGA), and numeric rating scale (NRS) for pruritus, stratified by children (&lt;18 years), adults (18-64 years), and older adults (≥65 years). In addition, time to response, treatment responders, EASI subscores, second treatment episodes, and thymus- and activation-related chemokine and eosinophil levels were assessed. For patients who discontinued dupilumab, the reason for discontinuation was evaluated. In total, 1286 patients with AD (median [IQR] age, 38 [26-54] years; 726 [56.6%] male) were treated with dupilumab, including 130 children, 1025 adults, and 131 older adults. The median (IQR) follow-up time was 87.5 (32.0-157.0) weeks. Most patients maintained controlled AD, with EASI of 7 or lower and NRS for pruritus of 4 or lower varying between 78.6% and 92.3% and 72.2% and 88.2% for up to 5 years of treatment, respectively, while up to 70.5% of all patients prolonged the dosing interval to mostly 300 mg every 3 or 4 weeks. Mean EASI and NRS for pruritus were 2.7 (95% CI, 1.2-4.2) and 3.5 (95% CI, 2.7-4.3), respectively, after 5 years of treatment. Statistically significant differences between age groups were found over time for EASI and IGA; however, differences were rather small (week 52: EASI, 0.3-1.6; IGA, 0.12-0.26). No statistically significant differences between age groups were found for NRS for pruritus. Median thymus- and activation-related chemokine levels considerably decreased from 1751 pg/mL (95% CI, 1614-1900 pg/mL) to 390 pg/mL (95% CI, 368-413 pg/mL) after 6 months of treatment and remained low. Median eosinophil levels temporarily increased up to week 16, with a subsequently statistically significant decrease over time. In total, 306 patients (23.8%) discontinued dupilumab after a median (IQR) of 54.0 (29.0-110.00) weeks, with adverse events among 98 patients (7.6%) and ineffectiveness among 85 patients (6.6%) as the most frequently reported reasons. Forty-one patients (3.2%) restarted dupilumab, and most of these patients recaptured response. In this cohort study with up to 5 years of follow-up, dupilumab maintained its clinical effectiveness, while two-thirds of patients tapered to a dosing interval of every 3 or 4 weeks. Treatment was discontinued in 23.8% of patients mainly due to adverse events and/or ineffectiveness.</t>
  </si>
  <si>
    <t>Dupilumab induces a significant decrease of food specific immunoglobulin E levels in pediatric atopic dermatitis patients.</t>
  </si>
  <si>
    <t>van der Rijst, Lisa P; Hilbrands, Michelle S; Zuithoff, Nicolaas P A; de Bruin-Weller, Marjolein S; Knulst, André C; Le, Thuy-My; de Graaf, Marlies</t>
  </si>
  <si>
    <t>https://pubmed.ncbi.nlm.nih.gov/39019593</t>
  </si>
  <si>
    <t>The reliability and validity of the juvenile idiopathic arthritis magnetic resonance scoring system for temporomandibular joints.</t>
  </si>
  <si>
    <t>de Sonnaville, Willemijn F C; Speksnijder, Caroline M; Zuithoff, Nicolaas P A; Ter Horst, Simone A J; Nap, Frank J; Wulffraat, Nico M; Steenks, Michel H; Rosenberg, Antoine J W P</t>
  </si>
  <si>
    <t>https://pubmed.ncbi.nlm.nih.gov/38997869</t>
  </si>
  <si>
    <t>In children with juvenile idiopathic arthritis (JIA), the temporomandibular joint (TMJ) can be involved. To prevent TMJ damage due to inflammation, early recognition is important, for which contrast-enhanced magnetic resonance imaging (MRI) is the gold standard. In this study, the interobserver reliability and construct validity of the Juvenile Idiopathic Arthritis Magnetic Resonance Scoring System for Temporomandibular Joints (JAMRIS-TMJ) was assessed. Two radiologists independently examined 38 MRIs using the JAMRIS-TMJ scoring system. Inter-observer reliability was assessed by Cohen's (weighted) kappa (κ), 95% confidence intervals (CIs) and absolute agreement (%). Construct validity was assessed by correlation between the JAMRIS-TMJ items and TMJ involvement, active maximum interincisal mouth opening (AMIO), and anterior maximum voluntary bite force (AMVBF). The interobserver reliability for the JAMRIS-TMJ items varied from poor to good (κ = 0.18-0.61). Joint enhancement had the highest reliability (κ = 0.61). Correlations were found between TMJ involvement, AMIO, and the JAMRIS-TMJ items, although variation between radiologists and TMJ side existed. No correlation was found between AMVBF and the JAMRIS-TMJ items for both radiologists. The strongest correlations were found between most of the JAMRIS-TMJ items and AMIO. Our findings support the utility of AMIO as a clinical measure of TMJ status in children with JIA.</t>
  </si>
  <si>
    <t>Effect of dupilumab on asthma and aeroallergen sensitization in pediatric atopic dermatitis patients: Results of the BioDay registry.</t>
  </si>
  <si>
    <t>van der Rijst, Lisa P; de Winter-de Groot, Karin M; Zuithoff, Nicolaas P A; de Bruin-Weller, Marjolein S; de Graaf, Marlies</t>
  </si>
  <si>
    <t>https://pubmed.ncbi.nlm.nih.gov/38899688</t>
  </si>
  <si>
    <t>Atopic dermatitis (AD) is frequently associated with asthma and allergic rhinitis (AR). Dupilumab is an effective treatment for pediatric AD, although the effect on atopic comorbidities in pediatric AD patients is limited. To investigate the prevalence of asthma and AR in pediatric AD patients starting dupilumab treatment and to evaluate the effect of dupilumab on these comorbidities. This study included pediatric AD patients (aged 3-17 years) treated with dupilumab between 2019 and 2023. Patients were screened at baseline by a pulmonologist for the presence of asthma and AR. Screening included evaluation of medical history and current symptoms, spirometry (including Forced Expiratory Volume in 1 s (FEV&lt;sub&gt;1&lt;/sub&gt;)), Fractional exhaled Nitric Oxide (FeNO), and measurement of aeroallergen-specific IgE levels. In patients diagnosed with comorbid asthma and/or AR, measurements were repeated at weeks 16 and 52. Spirometry measurements, FeNO, and aeroallergen-specific IgE levels during treatment were analyzed using a covariance pattern model. Eighty-four patients were included. Asthma was diagnosed in 50 patients (59.5%) and AR in 72 patients (85.7%). Baseline FeNO levels were elevated in both patients with (29.0 ppb (95% CI 22.0-54.0)) and without asthma (26.0 ppb (95% CI 22.0-30.0)). During treatment, FeNO levels decreased (p &lt; .001) and FEV&lt;sub&gt;1&lt;/sub&gt; scores increased (p &lt; .001) in patients with asthma. In patients with asthma and/or AR, all aeroallergen-specific IgE levels decreased between 61.3% and 89.1% at 52 weeks of treatment. One year of dupilumab treatment, primarily indicated for AD, resulted in a significant improvement in comorbid asthma and a profound decrease in aeroallergen-specific IgE levels in patients with asthma and/or AR.</t>
  </si>
  <si>
    <t>Reliability of mandibular range of motion measurements in healthy children.</t>
  </si>
  <si>
    <t>de Sonnaville, Willemijn F C; Steenks, Michel H; Verkouteren, Daan R C; Zuithoff, Nicolaas P A; Wulffraat, Nico M; Rosenberg, Antoine J W P; Speksnijder, Caroline M</t>
  </si>
  <si>
    <t>https://pubmed.ncbi.nlm.nih.gov/38886597</t>
  </si>
  <si>
    <t>Mandibular range of motion (MROM) variables are widely used to evaluate oral function. The aim of this study was to establish the reliability of MROM variables in healthy children. In this cross-sectional study, healthy children were examined 2 weeks apart. The following MROM variables were established: active maximum interincisal opening (AMIO), passive maximum interincisal opening (PMIO), protrusion and left and right laterotrusion. The reliability of the MROM measurements was determined by analysing the intra-class correlation coefficient (ICC), standard error of measurement (SEM), smallest detectable change (SDC) and limits of agreement (LoA). A total of 167 healthy children were examined. The ICC indicated good reliability for AMIO (0.885); excellent reliability for PMIO (0.925); and moderate reliability for protrusion (0.578), laterotrusion left (0.601) and laterotrusion right (0.634). The SDC was 0.9 mm for AMIO, 0.4 mm for PMIO, 2.2 mm for protrusion, 1.6 mm for laterotrusion left and 1.4 mm for laterotrusion right. The LoA was -5.67 to 5.82 for AMIO, -3.90 to 3.57 for PMIO, -3.89 to 3.55 for protrusion, -2.99 to 2.77 for laterotrusion left, and - 2.71 to 2.77 for laterotrusion right. AMIO and PMIO measurements are both highly reliable in healthy children. The low SDC indicate that AMIO and PMIO are promising longitudinal measurements. Protrusion and laterotrusion measurements had moderate reliability. These results support our clinical recommendation to measure AMIO rather than PMIO, as PMIO is more difficult and more time-consuming to perform than AMIO.</t>
  </si>
  <si>
    <t>Author Correction: Subclassification of obesity for precision prediction of cardiometabolic diseases.</t>
  </si>
  <si>
    <t>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t>
  </si>
  <si>
    <t>https://pubmed.ncbi.nlm.nih.gov/39572748</t>
  </si>
  <si>
    <t>Serum metabolomic profiling of incident type 2 diabetes mellitus in the Multi-Ethnic Study of Atherosclerosis and Rotterdam Study.</t>
  </si>
  <si>
    <t>Jiang, Xuanwei; Zhu, Fang; Graça, Gonçalo; Du, Xihao; Ran, Jinjun; Ahmadizar, Fariba; Wood, Alexis C; Zhou, Yanqiu; Scholtens, Denise M; Farzaneh, Ali; Ikram, M Arfan; Kuang, Alan; Roux, Carel Le; Gadgil, Meghana D; Cornelis, Marilyn C; Taylor, Kent D; Guo, Xiuqing; Ghanbari, Mohsen; Rasmussen-Torvik, Laura J; Tracy, Russell P; Bertoni, Alain G; Rotter, Jerome I; Herrington, David M; Greenland, Philip; Kavousi, Maryam; Zhong, Victor W</t>
  </si>
  <si>
    <t>https://pubmed.ncbi.nlm.nih.gov/39566105</t>
  </si>
  <si>
    <t>This study aimed to investigate serum metabolomic biomarkers associated with incident type 2 diabetes mellitus (T2DM) and evaluate their performance in improving T2DM risk prediction. Untargeted proton nuclear magnetic resonance (1H NMR) spectroscopy-based metabolomics analyses were conducted in the Multi-Ethnic Study of Atherosclerosis (MESA; n=3460; discovery cohort) and Rotterdam Study (RS; n=1556; replication cohort). Multivariable cause-specific hazards models were used to analyze the associations between 23,571 serum metabolomic spectral variables and incident T2DM. Replicated metabolites required an FDR-adjusted P&lt;0.01 in MESA, P&lt;0.05 in RS, and consistent direction of association. Pathway and network analyses were conducted to elucidate biological mechanisms underlying T2DM development. Utility of the replicated metabolites in improving T2DM risk prediction was assessed based on the Framingham Diabetes Risk Score. A 2-sample Mendelian randomization was conducted to assess causal associations. Nineteen metabolites were significantly associated with incident T2DM. Pathway analyses revealed disturbances in aminoacyl-tRNA biosynthesis, metabolism of branched-chain amino acids (BCAAs), glycolysis/gluconeogenesis, and glycerolipid metabolism. Network analyses identified interactions with upstream regulators including p38 MAPK, c-JNK, and mTOR signaling pathways. Adding replicated metabolites to the Framingham Diabetes Risk Score showed modest to moderate improvements in prediction performance in MESA and RS, with Δ c-statistic of 0.05 (95% CI, 0.04-0.07) in MESA and 0.03 (95% CI, 0.01-0.05) in RS. Genetically increased BCAAs and mannose were associated with T2DM. 1H NMR measured metabolites involved in aminoacyl-tRNA biosynthesis, BCAA metabolism, glycolysis/gluconeogenesis, and glycerolipid metabolism were significantly associated with incident T2DM and provided modest to moderate predictive utility beyond traditional risk factors.</t>
  </si>
  <si>
    <t>Global Health and Bioethics; Data Science and Biostatistics</t>
  </si>
  <si>
    <t>Subclassification of obesity for precision prediction of cardiometabolic diseases.</t>
  </si>
  <si>
    <t>https://pubmed.ncbi.nlm.nih.gov/39448862</t>
  </si>
  <si>
    <t>Obesity and cardiometabolic disease often, but not always, coincide. Distinguishing subpopulations within which cardiometabolic risk diverges from the risk expected for a given body mass index (BMI) may facilitate precision prevention of cardiometabolic diseases. Accordingly, we performed unsupervised clustering in four European population-based cohorts (N ≈ 173,000). We detected five discordant profiles consisting of individuals with cardiometabolic biomarkers higher or lower than expected given their BMI, which generally increases disease risk, in total representing ~20% of the total population. Persons with discordant profiles differed from concordant individuals in prevalence and future risk of major adverse cardiovascular events (MACE) and type 2 diabetes. Subtle BMI-discordances in biomarkers affected disease risk. For instance, a 10% higher probability of having a discordant lipid profile was associated with a 5% higher risk of MACE (hazard ratio in women 1.05, 95% confidence interval 1.03, 1.06, P = 4.19 × 10&lt;sup&gt;-10&lt;/sup&gt;; hazard ratio in men 1.05, 95% confidence interval 1.04, 1.06, P = 9.33 × 10&lt;sup&gt;-14&lt;/sup&gt;). Multivariate prediction models for MACE and type 2 diabetes performed better when incorporating discordant profile information (likelihood ratio test P &lt; 0.001). This enhancement represents an additional net benefit of 4-15 additional correct interventions and 37-135 additional unnecessary interventions correctly avoided for every 10,000 individuals tested.</t>
  </si>
  <si>
    <t>Effects and interaction of single nucleotide polymorphisms at the pharmacokinetic/pharmacodynamic site: insights from the Rotterdam study into metformin clinical response and dose titration.</t>
  </si>
  <si>
    <t>Mohammadi Jouabadi, Soroush; Peymani, Payam; Nekouei Shahraki, Mitra; van Rooij, Jeroen G J; Broer, Linda; Roks, Anton J M; Stricker, Bruno H; Ahmadizar, Fariba</t>
  </si>
  <si>
    <t>https://pubmed.ncbi.nlm.nih.gov/39375343</t>
  </si>
  <si>
    <t>Our study investigated the impact of genetic variations on metformin glycemic response in a cohort from the Rotterdam Study, comprising 14,926 individuals followed for up to 27 years. Among 1285 metformin users of European ancestry, using linear mixed models, we analyzed the association of single nucleotide polymorphisms (SNPs) and a Polygenic Risk Score (PRS) with glycemic response, measured by changes in metformin dosage or HbA1c levels. While individual genetic variants showed no significant association, rs622342 on SLC2A1 correlated with increased glycemic response only in metformin monotherapy patients (β = -2.09, P-value &lt; 0.001). The collective effect of variants, as represented by PRS, weakly correlated with changes in metformin dosage (β = 0.023, P-value = 0.027). Synergistic interaction was observed between rs7124355 and rs8192675. Our findings suggest that while higher PRS correlates with increased metformin dosage, its modest effect size limits clinical utility, emphasizing the need for future research in diverse populations to refine genetic risk models.</t>
  </si>
  <si>
    <t>Exploring Biomarkers in Nonalcoholic Fatty Liver Disease Among Individuals With Type 2 Diabetes Mellitus.</t>
  </si>
  <si>
    <t>Ahmadizar, Fariba; Younossi, Zobair M</t>
  </si>
  <si>
    <t>journal of clinical gastroenterology</t>
  </si>
  <si>
    <t>https://pubmed.ncbi.nlm.nih.gov/39352015</t>
  </si>
  <si>
    <t>Integrating biomarkers into a comprehensive strategy is crucial for precise patient management, especially considering the significant healthcare costs associated with diseases. Current studies emphasize the urgent need for a paradigm shift in conceptualizing nonalcoholic fatty liver disease (NAFLD), now renamed metabolic dysfunction-associated steatotic liver disease (MASLD). Biomarkers are emerging as indispensable tools for accurate diagnosis, risk stratification, and monitoring disease progression. This review classifies biomarkers into conventional and novel categories, such as lipids, insulin resistance, hepatic function, and cutting-edge imaging/omics, and evaluates their potential to transform the approach to MASLD among individuals with type 2 diabetes mellitus (T2D). It focuses on the critical role of biomarkers in early MASLD detection, enhancing predictive accuracy, and discerning responses to interventions (pharmacological or lifestyle modifications). Amid this discussion, the complexities of the relationship between T2D and MASLD are explored, considering factors like age, gender, genetics, ethnicity, and socioeconomic background. Biomarkers enhance the effectiveness of interventions and support global initiatives to reduce the burden of MASLD, thereby improving public health outcomes. This review recognizes the promising potential of biomarkers for diagnostic precision while candidly addressing the challenges in implementing these advancements in clinical practice. The transformative role of biomarkers emerges as a central theme, promising to reshape our understanding of disease trajectories, prognosis, and the customization of personalized therapeutic strategies for improved patient outcomes. From a future perspective, identifying early-stage biomarkers, understanding environmental impact through exposomes, and applying a multiomics approach may reveal additional insight into MASLD development.</t>
  </si>
  <si>
    <t>Metabolic syndrome, radiographic osteoarthritis progression and chronic pain of the knee among men and women from the general population: The Rotterdam study.</t>
  </si>
  <si>
    <t>Szilagyi, I A; Nguyen, N L; Boer, C G; Schiphof, D; Ahmadizar, F; Kavousi, M; Bierma-Zeinstra, S M A; van Meurs, J B J</t>
  </si>
  <si>
    <t>seminars in arthritis and rheumatism</t>
  </si>
  <si>
    <t>https://pubmed.ncbi.nlm.nih.gov/39288696</t>
  </si>
  <si>
    <t>Although a relationship between osteoarthritis and components of metabolic syndrome (MetS) has been suggested, most of the results have been cross-sectional. We, therefore, aimed to investigate the sex-specific longitudinal association of (components of) MetS with progression of radiographic osteoarthritis and chronic pain in the knee joints in a large prospective cohort. In the large population-based Rotterdam study of up to 6,138 individuals, median follow-up time 5.7 (IQR 5.5) years, we examined the relation between MetS and its components (abdominal obesity, high triglycerides, low high-density lipoprotein, elevated blood pressure, and type 2 diabetes) with the progression of osteoarthritis using generalized estimating equations, generalized linear models and competing risk analysis. Analyses were stratified for sex. Covariates adjusted for: age, smoking, alcohol use, education, sub-cohort, baseline K/L grade, months between radiographs and BMI. The presence of MetS (37.6 % in men, 39 % in women) and elevated blood pressure was associated with an increased risk of knee osteoarthritis progression in both men and women. MetS was associated with an increased risk of incident chronic knee pain (CKP) in men. In addition, abdominal obesity and high triglycerides showed higher riskfor incidence of CKP in men,but not in women. The associations were attenuated and no longer significant after BMI-adjustment, except for the association of MetS and high triglycerides with incidence of CKP in men that stayed significant (OR 1.04, 95 %CI 1.00-1.07 for MetS and OR 1.04, 95 %CI 1.01-1.07 for high triglycerides). Metabolic syndrome and individual metabolic components, such as abdominal obesity and elevated blood pressure, were associated with radiographic progression of knee OA in both men and women, but not independent of BMI. Metabolic syndrome and high triglycerides were associated with incidence of CKP only in men.</t>
  </si>
  <si>
    <t>Epidemiology and Health Economics; Data Science and Biostatistics</t>
  </si>
  <si>
    <t>Statin therapy and cardiovascular protection in type 2 diabetes: The role of baseline LDL-Cholesterol levels. A systematic review and meta-analysis of observational studies.</t>
  </si>
  <si>
    <t>Soroush, Negin; Nekouei Shahraki, Mitra; Mohammadi Jouabadi, Soroush; Amiri, Masoud; Aribas, Elif; Stricker, Bruno H; Ahmadizar, Fariba</t>
  </si>
  <si>
    <t>https://pubmed.ncbi.nlm.nih.gov/38866619</t>
  </si>
  <si>
    <t>The guidelines recommend statins to prevent cardiovascular events in patients with type 2 diabetes (T2D) however, the importance of baseline LDL-Cholesterol (LDL-C) levels remains controversial. This study aimed to determine the association of statin use in T2D patients with major adverse cardiovascular events (MACE) and all-cause mortality and whether this association differs by baseline LDL-C levels. Medline, Embase, and Web of Science were systematically searched from inception until January 2022. Observational studies in patients with T2D comparing statin users vs non-users, with reports of the baseline LDL-C levels, were included. Random-effects meta-analysis and meta-regression were performed to estimate the overall effect on the risk of all-cause mortality and MACE (a composite of myocardial infarction, heart failure, stroke, and revascularization events) and the modification in the association by baseline LDL-C levels. We categorized studies according to their baseline LDL-C levels into 1) &lt;100 mg/dl (2.59 mmol/l), 2) 100-130 mg/dl (2.59-3.37 mmol/l) and 3) &gt;130 mg/dl (3.37 mmol/l) categories. A total of 9 cohort studies (n = 403,411 individuals) fulfilled our criteria. The follow-up duration ranged from 1.7 to 8 years. The overall combined estimate showed that statin therapy was associated with a significantly lower risk of MACE (Hazard Ratio (HR): 0.70 [95% CI 0.59 to 0.83], Absolute risk reduction percentage (ARR%): 3.19% [95%CI 0.88 to 5.50%) and all-cause mortality (HR: 0.60 [95% CI 0.46 to 0.79], ARR%: 5.23% [95% CI 2.18 to 8.28%), but varied, albeit not statistically significant, by baseline LDL-C levels. Studies with baseline LDL-C levels higher than 130 mg/dl had the greatest reduction of MACE (HR: 0.58 [95% CI 0.37 to 0.90]) and all-cause mortality risk (HR: 0.51 [95% CI [ 0.29 to 0.90]). The HRs of MACE in studies with LDL-C levels of 100-130 mg/dl and &lt;100 mg/dl categories were respectively (0.70 [95% CI 0.59 to 0.83]) and (0.83 [95% CI [0.68 to 1.00]); and that of all-cause mortality were respectively (0.62 [95% CI 0.38 to 1.01]) and (0.67 [95% CI [0.44 to 1.02]). Statin use changes the HRs of MACE (0.99 [95%CI, 0.98 to 0.99]; P = 0.04) and all-cause mortality (0.99 [95% CI 0.98 to 1.01]; P = 0.8) per each mg/dl increase in baseline LDL-C level in meta-regression analyses. Statin therapy in patients with T2D was associated with reduced risk of MACE and all-cause mortality. Significant differences across studies with different baseline LDL-C levels were not observed.</t>
  </si>
  <si>
    <t>The effects of aerobic and resistant exercises on the lipid profile in healthy women: a systematic review and meta-analysis.</t>
  </si>
  <si>
    <t>Pourmontaseri, Hossein; Farjam, Mojtaba; Dehghan, Azizallah; Karimi, Aliasghar; Akbari, Maryam; Shahabi, Saeed; Nowrouzi-Sohrabi, Peyman; Estakhr, Mehrdad; Tabrizi, Reza; Ahmadizar, Fariba</t>
  </si>
  <si>
    <t>journal of physiology and biochemistry</t>
  </si>
  <si>
    <t>https://pubmed.ncbi.nlm.nih.gov/38865051</t>
  </si>
  <si>
    <t>Exercise can have a wide range of health benefits, including improving blood lipid profiles. For women to achieve optimal cardiovascular health, it is vital to determine the effect of exercise on their health and whether different exercise intensities can affect their blood lipid profile. A systematic review and meta-analysis were conducted to examine the effects of exercise on improving the lipid profile of healthy women. A database search was conducted using PubMed, Google Scholar, Embase, Scopus, and Web of Science from inception until July 2, 2021, for randomized controlled trials (RCTs) investigating exercise's effects on healthy women's blood lipid profiles. A total of 10 eligible articles (or 17 trials) with 576 participants were identified as eligible for the study. Overall, the meta-analysis shows that physical activity significantly improved total cholesterol (TC), triglycerides (TG), and high-density lipoprotein (HDL-C) levels: TC [WMD = -5.77 mg/dL, 95% CI: -10.41, -1.13, P &lt; 0.01]; TG [WMD = -5.60 mg/dL, 95% CI: -8.96, -2.23, P &lt; 0.01]; HDL [WMD = 4.49 mg/dL, 95% CI: 0.33, 8.65, P = 0.03]. Additionally, sub-group analyses indicated that combined exercise training improved TG and TC (p 0.05), and aerobic exercise significantly increased HDL. In this study, physical activity appears to be one of the most effective non-pharmacological means for improving HDL, TG, and TC in healthy women. In terms of TG and TC, CT was the most effective.</t>
  </si>
  <si>
    <t>Real-World Evidence BRIDGE: A Tool to Connect Protocol With Code Programming.</t>
  </si>
  <si>
    <t>Royo, Albert Cid; Elbers Jhj, Roel; Weibel, Daniel; Hoxhaj, Vjola; Kurkcuoglu, Zeynep; Sturkenboom, Miriam C J; Vaz, Tiago A; Andaur Navarro, Constanza L</t>
  </si>
  <si>
    <t>https://pubmed.ncbi.nlm.nih.gov/39603653</t>
  </si>
  <si>
    <t>To enhance documentation on programming decisions in Real World Evidence (RWE) studies. We analyzed several statistical analysis plans (SAP) within the Vaccine Monitoring Collaboration for Europe (VAC4EU) to identify study design sections and specifications for programming RWE studies. We designed a machine-readable metadata schema containing study sections, codelists, and time anchoring definitions specified in the SAPs with adaptability and user-friendliness. We developed the RWE-BRIDGE, a metadata schema in form of relational database divided into four study design sections with 12 tables: Study Variable Definition (two tables), Cohort Definition (two tables), Post-Exposure Outcome Analysis (one table), and Data Retrieval (seven tables). We provide a guide to populate this metadata schema and a Shiny app that checks the tables. RWE-BRIDGE is available on GitHub (github.com/UMC-Utrecht-RWE/RWE-BRIDGE). The RWE-BRIDGE has been designed to support the translation of study design sections from statistical analysis plans into analytical pipelines and to adhere to the FAIR principles, facilitating collaboration and transparency between researcher and programmers. This metadata schema strategy is flexible as it can support different common data models and programming languages, and it is adaptable to the specific needs of each SAP by adding further tables or fields, if necessary. Modified versions of the RWE-BRIGE have been applied in several RWE studies within VAC4EU. RWE-BRIDGE offers a systematic approach to detailing variables, time anchoring, and algorithms for RWE studies. This metadata schema facilitates communication between researcher and programmers.</t>
  </si>
  <si>
    <t>Causal Inference in Oncology: Why, What, How and When.</t>
  </si>
  <si>
    <t>van Amsterdam, W A C; Elias, S; Ranganath, R</t>
  </si>
  <si>
    <t>https://pubmed.ncbi.nlm.nih.gov/39122629</t>
  </si>
  <si>
    <t>Oncologists are faced with choosing the best treatment for each patient, based on the available evidence from randomized controlled trials (RCTs) and observational studies. RCTs provide estimates of the average effects of treatments on groups of patients, but they may not apply in many real-world scenarios where for example patients have different characteristics than the RCT participants, or where different treatment variants are considered. Causal inference defines what a treatment effect is and how it may be estimated with RCTs or outside of RCTs with observational - or 'real-world' - data. In this review, we introduce the field of causal inference, explain what a treatment effect is and what important challenges are with treatment effect estimation with observational data. We then provide a framework for conducting causal inference studies and describe when in oncology causal inference from observational data may be particularly valuable. Recognizing the strengths and limitations of both RCTs and observational causal inference provides a way for more informed and individualized treatment decision-making in oncology.</t>
  </si>
  <si>
    <t>Baseline tumor-infiltrating lymphocyte patterns and response to immune checkpoint inhibition in metastatic cutaneous melanoma.</t>
  </si>
  <si>
    <t>van Duin, Isabella A J; Schuiveling, Mark; Ter Maat, Laurens S; van Amsterdam, Wouter A C; van den Berkmortel, Franchette; Boers-Sonderen, Marye; de Groot, Jan Willem B; Hospers, Geke A P; Kapiteijn, Ellen; Labots, Mariette; Piersma, Djura; Schrader, Anne M R; Vreugdenhil, Gerard; Westgeest, Hans; Veta, Mitko; Blokx, Willeke A M; van Diest, Paul J; Suijkerbuijk, Karijn P M</t>
  </si>
  <si>
    <t>https://pubmed.ncbi.nlm.nih.gov/38991284</t>
  </si>
  <si>
    <t>The presence of tumor-infiltrating lymphocytes (TILs) in melanoma has been linked to survival. Their predictive capability for immune checkpoint inhibition (ICI) response remains uncertain. Therefore, we investigated the association between treatment response and TILs in the largest cohort to date and analyzed if this association was independent of known clinical predictors. In this multicenter cohort study, patients who received first-line anti-PD1 ± anti-CTLA4 for advanced melanoma were identified. TILs were scored on hematoxylin and eosin (H&amp;E) slides of primary melanoma and pre-treatment metastases using the validated TILs-WG, Clark and MIA score. The primary outcome was objective response rate (ORR), with progression free survival and overall survival being secondary outcomes. Univariable and multivariable logistic regression and Cox proportional hazard were performed, adjusting for known clinical predictors. Metastatic melanoma specimens were available for 650 patients and primary specimens for 565 patients. No association was found in primary melanoma specimens. In metastatic specimens, a 10-point increase in the TILs-WG score was associated with a higher probability of response (aOR 1.17, 95 % CI 1.07-1.28), increased PFS (HR 0.93, 95 % CI 0.87-0.996), and OS (HR 0.94, 95 % CI 0.89-0.99). When categorized, patients in the highest tertile TILs-WG score (15-100 %) compared to the lowest tertile (0 %) had a longer median PFS (13.1 vs. 7.3 months, p = 0.04) and OS (49.4 vs. 19.5 months, p = 0.003). Similar results were noted using the MIA and Clark scores. In advanced melanoma patients, TIL patterns on H&amp;E slides of pre-treatment metastases, regardless of measurement method, are independently associated with ICI response. TILs are easily scored on readily available H&amp;Es, facilitating the use of this biomarker in clinical practice.</t>
  </si>
  <si>
    <t>Underrepresentation of women in cardiovascular disease clinical Trials-What's in a Name?</t>
  </si>
  <si>
    <t>Spiering, A E; van Ommen, A M L N; Roeters van Lennep, J E; Appelman, Y; Reue, K; Onland-Moret, N C; den Ruijter, H M</t>
  </si>
  <si>
    <t>https://pubmed.ncbi.nlm.nih.gov/39583981</t>
  </si>
  <si>
    <t>Cardiovascular disease is the leading cause of death in women worldwide. Yet, women are often underrepresented in cardiovascular clinical trials. Trial characteristics may influence the participation of women. For instance, trials are often entitled with an acronym, which might be perceived as gendered. We aimed to investigate if the perceived gender of the acronym and other trial characteristics affect the representation of female patients in cardiovascular trials. We searched ClinicalTrials.gov for randomized controlled trials in cardiovascular disease named with an acronym. Cardiovascular patients (n = 148) scored the perceived gender of the acronym of 148 identified trials. Prevalence ratios (PR) were calculated with Poisson regression to link trial characteristics to representation of female patients in the trials. In 62 % of trials, female patients were underrepresented relative to the disease population. There was no improvement over time in proportion of trials with adequate representation. A third of acronyms was classified as gendered. The perceived gender did not affect representation of female patients (PR 1.01; 95% CI 0.95 - 1.08; P = 0.68). A woman as first and/or last author (PR 1.22; 95% CI 1.07 - 1.38; P = 0.002) and recruitment in an outpatient setting (PR 1.15; 95% CI 1.02 - 1.29; P = 0.01) were associated with a higher prevalence of adequate representation of female patients. Representation of female patients in cardiovascular trials does not depend on the perceived gender of the trial acronym but is improved in trials under female leadership in out-patient settings. Our findings may direct efforts towards increasing representation of female patients in cardiovascular trials.</t>
  </si>
  <si>
    <t>The Diagnostic Value of ECG Characteristics for Vasospastic and Microvascular Angina: A Systematic Review.</t>
  </si>
  <si>
    <t>Schipaanboord, Diantha J M; Woudstra, Janneke; Appelman, Yolande; Rittersma, Saskia Z H; van de Hoef, Tim P; van Es, René; Coronel, Ruben; Damman, Peter; van der Harst, Pim; Onland-Moret, N Charlotte; den Ruijter, Hester M</t>
  </si>
  <si>
    <t>annals of noninvasive electrocardiology the official journal of the international society for holter and noninvasive electrocardiology inc</t>
  </si>
  <si>
    <t>https://pubmed.ncbi.nlm.nih.gov/39206616</t>
  </si>
  <si>
    <t>Coronary vascular dysfunction comprises VSA and/or MVA and is more common in women than in men with angina without obstructive coronary artery disease (ANOCA). Invasive coronary function testing is considered the reference test for diagnosis, but its burden on patients is large. We aimed to investigate the potential of electrocardiography (ECG) as noninvasive marker for vasospastic angina (VSA) and microvascular angina (MVA) diagnosis. We systematically screened Pubmed and EMBASE databases for studies reporting on ECG characteristics in ANOCA patients with (a suspicion of) coronary vascular dysfunction. We assessed study quality using QUADAS-2. We extracted data on diagnostic values of different ECG characteristics and analyzed whether the studies were sex-stratified. Thirty publications met our criteria, 13 reported on VSA and 17 on MVA. The majority addressed repolarization-related ECG parameters. Only 1 of the 13 VSA papers and 4 of the 17 MVA papers showed diagnostic accuracy measures of the ECG characteristics. The presence of early repolarization, T-wave alternans, and inverted U waves showed of predictive value for VSA diagnosis. The QTc interval was predictive for MVA diagnosis in all six studies reporting on QTc interval. Sex-stratified results were reported in only 5 of the 30 studies and 3 of those observed sex-based differences. ECG features are not widely evaluated in diagnostic studies for VSA and MVA. Those features predictive for VSA and MVA diagnosis mostly point to repolarization abnormalities and may contribute to noninvasive risk stratification.</t>
  </si>
  <si>
    <t>Tutorial: dos and don'ts in clinical prediction research for venous thromboembolism.</t>
  </si>
  <si>
    <t>Nemeth, Banne; Smeets, Mark J R; Cannegieter, Suzanne C; van Smeden, Maarten</t>
  </si>
  <si>
    <t>https://pubmed.ncbi.nlm.nih.gov/39099799</t>
  </si>
  <si>
    <t>Clinical prediction modeling has become an increasingly popular domain of venous thromboembolism research in recent years. Prediction models can help healthcare providers make decisions regarding starting or withholding therapeutic interventions, or referrals for further diagnostic workup, and can form a basis for risk stratification in clinical trials. The aim of the current guide is to assist in the practical application of complicated methodological requirements for well-performed prediction research by presenting key dos and don'ts while expanding the understanding of predictive research in general for (clinical) researchers who are not specifically trained in the topic; throughout we will use prognostic venous thromboembolism scores as an exemplar.</t>
  </si>
  <si>
    <t>Estimating uncertainty when providing individual cardiovascular risk predictions: a Bayesian survival analysis.</t>
  </si>
  <si>
    <t>Hageman, Steven H J; Post, Richard A J; Visseren, Frank L J; McEvoy, J William; Jukema, J Wouter; Smulders, Yvo; van Smeden, Maarten; Dorresteijn, Jannick A N; ,</t>
  </si>
  <si>
    <t>https://pubmed.ncbi.nlm.nih.gov/39019349</t>
  </si>
  <si>
    <t>Cardiovascular disease (CVD) risk scores provide point estimates of individual risk without uncertainty quantification. The objective of the current study was to demonstrate the feasibility and clinical utility of calculating uncertainty surrounding individual CVD-risk predictions using Bayesian methods. Individuals with established atherosclerotic CVD were included from the Utrecht Cardiovascular Cohort-Secondary Manifestations of ARTerial disease (UCC-SMART). In 8,355 individuals, followed for median of 8.2 years (IQR 4.2-12.5), a Bayesian Weibull model was derived to predict the 10-year risk of recurrent CVD events. Model coefficients and individual predictions from the Bayesian model were very similar to that of a traditional ('frequentist') model but the Bayesian model also predicted 95% credible intervals (CIs) surrounding individual risk estimates. The median width of the individual 95%CrI was 5.3% (IQR 3.6-6.5) and 17% of the population had a 95%CrI width of 10% or greater. The uncertainty decreased with increasing sample size used for derivation of the model. Combining the Bayesian Weibull model with sampled hazard ratios based on trial reports may be used to estimate individual estimates of absolute risk reduction with uncertainty measures and the probability that a treatment option will result in a clinically relevant risk reduction. Estimating uncertainty surrounding individual CVD risk predictions using Bayesian methods is feasible. The uncertainty regarding individual risk predictions could have several applications in clinical practice, like the comparison of different treatment options or by calculating the probability of the individual risk being below a certain treatment threshold. However, as the individual uncertainty measures only reflect sampling error and no biases in risk prediction, physicians should be familiar with the interpretation before widespread clinical adaption.</t>
  </si>
  <si>
    <t>From text to treatment: the crucial role of validation for generative large language models in health care.</t>
  </si>
  <si>
    <t>de Hond, Anne; Leeuwenberg, Tuur; Bartels, Richard; van Buchem, Marieke; Kant, Ilse; Moons, Karel Gm; van Smeden, Maarten</t>
  </si>
  <si>
    <t>https://pubmed.ncbi.nlm.nih.gov/38906607</t>
  </si>
  <si>
    <t>Invited commentary: it's not all about residual confounding-a plea for quantitative bias analysis for epidemiologic researchers and educators.</t>
  </si>
  <si>
    <t>Epidemiologists spend a great deal of time on confounding in our teaching, in our methods development, and in our assessment of study results. This may give the impression that uncontrolled confounding is the biggest problem observational epidemiology faces, when in fact, other sources of bias such as selection bias, measurement error, missing data, and misalignment of zero time may often (especially if they are all present in a single study) lead to a stronger deviation from the truth. Compared with the amount of time we spend teaching how to address confounding in data analysis, we spend relatively little time teaching methods for simulating confounding (and other sources of bias) to learn their impact and develop plans to mitigate or quantify the bias. Here we review the accompanying paper by Desai et al (Am J Epidemiol. 2024;193(11):1600-1608), which uses simulation methods to quantify the impact of an unmeasured confounder when it is completely missing or when a proxy of the confounder is measured. We discuss how we can use simulations of sources of bias to ensure that we generate better and more valid study estimates, and we discuss the importance of simulating realistic datasets with plausible bias structures to guide data collection. This article is part of a Special Collection on Pharmacoepidemiology.</t>
  </si>
  <si>
    <t>Effectiveness of Omega-3 Fatty Acids Versus Placebo in Subjects at Ultra-High Risk for Psychosis: The PURPOSE Randomized Clinical Trial.</t>
  </si>
  <si>
    <t>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t>
  </si>
  <si>
    <t>schizophrenia bulletin</t>
  </si>
  <si>
    <t>https://pubmed.ncbi.nlm.nih.gov/39450759</t>
  </si>
  <si>
    <t>In the past 2 decades, substantial effort has been put into research on therapeutic options for people at ultra-high risk (UHR) for developing a first episode of psychosis (FEP), focusing on omega-3 polyunsaturated fatty acids (PUFAs) in preventing transition to psychosis. Despite an initial positive finding, subsequent studies failed to find a beneficial effect. The current study aimed to further investigate the effect of omega-3 PUFAs in UHR, to determine whether this line of research is worth pursuing. A double-blind, randomized, placebo-controlled study testing the efficacy of 6-month treatment with omega-3 PUFAs in 135 subjects at UHR for FEP, aged 13 to 20 years on the prevention of a transition to psychosis, followed up for 18 months post-treatment. The trial was conducted at 16 general hospitals and psychiatric specialty centers located in 8 European countries and Israel. There was no beneficial effect of treatment with omega-3 PUFAs compared to placebo; the rate of transition over 2 years did not differ between treatment arms nor was there a difference in change in symptom severity after 6-month treatment. Dropout rates and serious adverse events were similar across the groups. This is the third study that fails to replicate the original finding on the protective effect of omega-3 PUFAs in UHR subjects for transition to psychosis. The accumulating evidence therefore suggests that omega-3 PUFAs do not reduce transition rates to psychosis in those at increased risk at 2 years follow-up. This trial is registered with ClinicalTrials.gov (NCT02597439; Study Details | Placebo-controlled Trial in Subjects at Ultra-high Risk for Psychosis With Omega-3 Fatty Acids in Europe | ClinicalTrials.gov).</t>
  </si>
  <si>
    <t>Safety of COVID-19 Vaccines among People with History of Allergy: A European Active Surveillance Study.</t>
  </si>
  <si>
    <t>Luxi, Nicoletta; Ciccimarra, Francesco; Bellitto, Chiara; Raethke, Monika; van Hunsel, Florence; Lieber, Thomas; Mulder, Erik; L'Abbate, Luca; Marques, Francisco Batel; Furci, Fabiana; Farcas, Andreea; Giele-Eshuis, Janneke; Morton, Kathryn; Sonderlichová, Simona; Thurin, Nicolas H; Villalobos, Felipe; Riefolo, Fabio; Sturkenboom, Miriam C; Trifirò, Gianluca</t>
  </si>
  <si>
    <t>https://pubmed.ncbi.nlm.nih.gov/39340089</t>
  </si>
  <si>
    <t>&lt;b&gt;Background:&lt;/b&gt; Conventional vaccines rarely cause severe allergic reactions. However, the rapid development and approval of COVID-19 vaccines left limited initial data on their adverse reactions, particularly in individuals with a history of allergy. The aim of this study was to assess and compare the safety profile of different doses and brands of COVID-19 vaccines in subjects with a history of allergy vs. those without a history of allergy. &lt;b&gt;Methods:&lt;/b&gt; From February 2021 to February 2023, a web-based prospective study gathered vaccinee-reported outcomes using electronic questionnaires across eleven European countries. Baseline and up to six follow-up questionnaires captured data on vaccinee demographics, as well as both solicited and unsolicited adverse reactions. &lt;b&gt;Results:&lt;/b&gt; Overall, 3476 vaccinees with a history of allergy were matched with 13,872 vaccinees from the general population at the first vaccination cycle and were included in the analysis. A total of 825 vaccinees with a history of allergy who had received a booster dose, matched to 3297 vaccinees from the general population, were included in the analysis. Higher rates of ADRs occurred after the first vaccination cycle compared to after the booster dose (64-91% vs. 56-79%). However, most reported ADRs were solicited and not serious, and no case of anaphylaxis was reported. Women and vaccinees with a history of allergy reported ADRs more frequently than men and the matched controls, respectively. Compared to other COVID-19 vaccines, a higher proportion of vaccinees experiencing at least one ADR following their first vaccination cycle was observed with Comirnaty and Vaxzevria. Statistically significant differences were observed among the study cohorts for median TTO after the second dose, and for median TTR following the first vaccination cycle and booster dose (&lt;i&gt;p&lt;/i&gt; &lt; 0.001). &lt;b&gt;Conclusions:&lt;/b&gt; Typically, any drug or vaccine use carries a risk of severe allergic reactions, yet the benefits of vaccination generally outweigh these potential risks, as shown with the COVID-19 vaccines.</t>
  </si>
  <si>
    <t>What is the Safety of COVID-19 Vaccines in Immunocompromised Patients? Results from the European "Covid Vaccine Monitor" Active Surveillance Study.</t>
  </si>
  <si>
    <t>Bellitto, Chiara; Luxi, Nicoletta; Ciccimarra, Francesco; L'Abbate, Luca; Raethke, Monika; van Hunsel, Florence; Lieber, Thomas; Mulder, Erik; Riefolo, Fabio; Villalobos, Felipe; Thurin, Nicolas H; Marques, Francisco B; Morton, Kathryn; O'Shaughnessy, Fergal; Sonderlichová, Simona; Farcas, Andreea; Janneke, Giele-Eshuis; Sturkenboom, Miriam C; Trifirò, Gianluca</t>
  </si>
  <si>
    <t>https://pubmed.ncbi.nlm.nih.gov/38907947</t>
  </si>
  <si>
    <t>The safety profile of COVID-19 vaccines in immunocompromised patients has not been comprehensively evaluated. To measure the frequency of patient-reported adverse drug reactions (ADRs) related to the first/second/booster dose of COVID-19 vaccine in immunocompromised subject versus matched cohort. As a secondary objective, the time course, evaluated as time to onset (TTO) and time to recovery (TTR), of COVID-19 vaccine-related ADRs was explored. A prospective cohort study, based on electronic questionnaires filled by vaccinees from 11 European countries in the period February 2021 to February 2023 was conducted. All immunocompromised vaccinees who provided informed consent and registered to the project's web-app within 48 h after first/booster vaccine dose administration of any EMA-authorised COVID-19 vaccine were recruited. Participants filled baseline and up to six follow-up questionnaires (FU-Qs) over 6 months from vaccination, collecting information on suspected COVID-19 vaccine-related ADRs. As a control group, non-immunocompromised vaccinees from the same source population were 1:4 matched by sex, age, vaccine dose, and brand. A descriptive analysis of demographic/clinical characteristics of vaccinees was conducted. Heatmaps of the frequency of solicited ADRs, stratified by gender and vaccine brand, were generated. Median TTO/TTR of reported ADRs were visualised using violin/box-plots. A total of 773 immunocompromised vaccines were included in the analyses. Most participants were females (F/M ratio: 2.1 and 1.6) with a median age of 56 (43-74) and 51 (41-60) years, at the first vaccination cycle and booster dose, respectively. Injection-site pain and fatigue were the most frequently reported ADRs in immunocompromised vaccinees with higher frequency than matched control, especially after the first dose (41.2% vs 37.8% and 38.2% vs 32.9%, respectively). For both cohorts, all solicited ADRs were more frequently reported in females than males, and in those who had received a first dose of the Vaxzevria vaccine. Dizziness was the most frequently reported unsolicited ADR after the first dose in both groups (immunocompromised subjects: 2.5% and matched controls: 2.1%). At the booster dose, lymphadenopathy (3.9%) and lymphadenitis (1.8%) were the most reported unsolicited ADRs for immunocompromised subjects and matched controls, respectively. A very low number of subjects reported adverse event of special interest (AESI) (2 immunocompromised, 3 matched controls) and serious ADRs (5 immunocompromised, 5 matched controls). A statistically significant difference among study cohorts was observed for median TTO after the booster dose, and for median TTR after the first vaccination cycle and booster dose (p &lt; 0.001). The overall safety profile of COVID-19 vaccines in immunocompromised people was favourable, with minor differences as compared to non-immunocompromised vaccinees. Participants mostly experienced mild ADRs, mainly reported after the first dose of Vaxzevria and Jcovden vaccines. Serious ADRs and AESI were rare.</t>
  </si>
  <si>
    <t>Total articles</t>
  </si>
  <si>
    <t>Publications last year (2023)</t>
  </si>
  <si>
    <t>Publications last 365 days</t>
  </si>
  <si>
    <t>Publications last 31 days</t>
  </si>
  <si>
    <t>*This is defined by year of publication, not year of citation</t>
  </si>
  <si>
    <t>Most recent 5 articles, updated 12-12-2024</t>
  </si>
  <si>
    <t>Notes:</t>
  </si>
  <si>
    <t>Date</t>
  </si>
  <si>
    <t xml:space="preserve">Publications were retrieved from Pubmed only. </t>
  </si>
  <si>
    <t>Citations are often underestimated due to Pubmed only returning citations that are also on Pubmed.</t>
  </si>
  <si>
    <t>Citations were retrieved from Pubmed or CrossRef, whichever was higher.</t>
  </si>
  <si>
    <t>Most cited papers past 3 years</t>
  </si>
  <si>
    <t>Citations</t>
  </si>
  <si>
    <t>All publications by author (fill in {last name, first name}):</t>
  </si>
  <si>
    <t>Author:</t>
  </si>
  <si>
    <t>Publications:</t>
  </si>
  <si>
    <t>Year of Publication</t>
  </si>
  <si>
    <t>All publications by author (fill in last name):</t>
  </si>
  <si>
    <t>Date of Publication</t>
  </si>
  <si>
    <t>Publications per Year</t>
  </si>
  <si>
    <t>Most recent publications per department</t>
  </si>
  <si>
    <t>Year</t>
  </si>
  <si>
    <t>Total</t>
  </si>
  <si>
    <t>Publications per journal</t>
  </si>
  <si>
    <t>Top journals</t>
  </si>
  <si>
    <t>Most recent publications</t>
  </si>
  <si>
    <t>Citations per Year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</si>
</sst>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yyyy-mmm-dd"/>
    <numFmt numFmtId="166" formatCode="yyyy-mm-dd"/>
  </numFmts>
  <fonts count="18">
    <font>
      <sz val="10.0"/>
      <color rgb="FF000000"/>
      <name val="Arial"/>
      <scheme val="minor"/>
    </font>
    <font>
      <color theme="1"/>
      <name val="Arial"/>
      <scheme val="minor"/>
    </font>
    <font>
      <u/>
      <color rgb="FF0000FF"/>
    </font>
    <font>
      <color rgb="FF434343"/>
      <name val="Arial"/>
      <scheme val="minor"/>
    </font>
    <font>
      <b/>
      <color rgb="FFFFFFFF"/>
      <name val="Arial"/>
      <scheme val="minor"/>
    </font>
    <font>
      <color rgb="FFFFFFFF"/>
      <name val="Arial"/>
      <scheme val="minor"/>
    </font>
    <font>
      <b/>
      <i/>
      <color theme="1"/>
      <name val="Arial"/>
      <scheme val="minor"/>
    </font>
    <font>
      <sz val="10.0"/>
      <color rgb="FFFFFFFF"/>
      <name val="Arial"/>
      <scheme val="minor"/>
    </font>
    <font>
      <b/>
      <color theme="1"/>
      <name val="Arial"/>
      <scheme val="minor"/>
    </font>
    <font>
      <i/>
      <color theme="1"/>
      <name val="Arial"/>
      <scheme val="minor"/>
    </font>
    <font>
      <i/>
      <sz val="10.0"/>
      <color rgb="FF1F1F1F"/>
      <name val="Arial"/>
      <scheme val="minor"/>
    </font>
    <font>
      <sz val="10.0"/>
      <color theme="1"/>
      <name val="Arial"/>
      <scheme val="minor"/>
    </font>
    <font>
      <i/>
      <sz val="9.0"/>
      <color rgb="FF000000"/>
      <name val="Arial"/>
      <scheme val="minor"/>
    </font>
    <font>
      <b/>
      <sz val="10.0"/>
      <color rgb="FF000000"/>
      <name val="Arial"/>
      <scheme val="minor"/>
    </font>
    <font>
      <color rgb="FF000000"/>
      <name val="Inherit"/>
    </font>
    <font>
      <sz val="10.0"/>
      <color rgb="FF000000"/>
      <name val="Inherit"/>
    </font>
    <font>
      <sz val="10.0"/>
      <color rgb="FF000000"/>
      <name val="&quot;Google Sans Mono&quot;"/>
    </font>
    <font>
      <b/>
      <sz val="10.0"/>
      <color theme="1"/>
      <name val="Arial"/>
      <scheme val="minor"/>
    </font>
  </fonts>
  <fills count="5">
    <fill>
      <patternFill patternType="none"/>
    </fill>
    <fill>
      <patternFill patternType="lightGray"/>
    </fill>
    <fill>
      <patternFill patternType="solid">
        <fgColor rgb="FF666666"/>
        <bgColor rgb="FF666666"/>
      </patternFill>
    </fill>
    <fill>
      <patternFill patternType="solid">
        <fgColor rgb="FF0353A2"/>
        <bgColor rgb="FF0353A2"/>
      </patternFill>
    </fill>
    <fill>
      <patternFill patternType="solid">
        <fgColor rgb="FFFFFFFF"/>
        <bgColor rgb="FFFFFFFF"/>
      </patternFill>
    </fill>
  </fills>
  <borders count="4">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2" fontId="3" numFmtId="0" xfId="0" applyFill="1" applyFont="1"/>
    <xf borderId="1" fillId="3" fontId="4" numFmtId="0" xfId="0" applyAlignment="1" applyBorder="1" applyFill="1" applyFont="1">
      <alignment horizontal="left" readingOrder="0"/>
    </xf>
    <xf borderId="2" fillId="3" fontId="5" numFmtId="0" xfId="0" applyAlignment="1" applyBorder="1" applyFont="1">
      <alignment horizontal="left"/>
    </xf>
    <xf borderId="2" fillId="3" fontId="4" numFmtId="0" xfId="0" applyAlignment="1" applyBorder="1" applyFont="1">
      <alignment horizontal="left" readingOrder="0"/>
    </xf>
    <xf borderId="0" fillId="0" fontId="6" numFmtId="0" xfId="0" applyAlignment="1" applyFont="1">
      <alignment horizontal="left"/>
    </xf>
    <xf borderId="3" fillId="3" fontId="7" numFmtId="0" xfId="0" applyAlignment="1" applyBorder="1" applyFont="1">
      <alignment horizontal="left"/>
    </xf>
    <xf borderId="0" fillId="0" fontId="8" numFmtId="0" xfId="0" applyAlignment="1" applyFont="1">
      <alignment horizontal="left" readingOrder="0"/>
    </xf>
    <xf borderId="0" fillId="0" fontId="9" numFmtId="0" xfId="0" applyAlignment="1" applyFont="1">
      <alignment readingOrder="0"/>
    </xf>
    <xf borderId="0" fillId="0" fontId="8" numFmtId="0" xfId="0" applyAlignment="1" applyFont="1">
      <alignment horizontal="center" readingOrder="0"/>
    </xf>
    <xf borderId="0" fillId="0" fontId="8" numFmtId="0" xfId="0" applyAlignment="1" applyFont="1">
      <alignment readingOrder="0"/>
    </xf>
    <xf borderId="0" fillId="0" fontId="1" numFmtId="0" xfId="0" applyAlignment="1" applyFont="1">
      <alignment horizontal="right" readingOrder="0"/>
    </xf>
    <xf borderId="0" fillId="0" fontId="1" numFmtId="0" xfId="0" applyAlignment="1" applyFont="1">
      <alignment horizontal="left" readingOrder="0"/>
    </xf>
    <xf borderId="0" fillId="0" fontId="1" numFmtId="164" xfId="0" applyAlignment="1" applyFont="1" applyNumberFormat="1">
      <alignment horizontal="right"/>
    </xf>
    <xf borderId="0" fillId="0" fontId="9" numFmtId="0" xfId="0" applyAlignment="1" applyFont="1">
      <alignment horizontal="left"/>
    </xf>
    <xf borderId="0" fillId="4" fontId="10" numFmtId="0" xfId="0" applyAlignment="1" applyFill="1" applyFont="1">
      <alignment readingOrder="0"/>
    </xf>
    <xf borderId="0" fillId="0" fontId="11" numFmtId="0" xfId="0" applyAlignment="1" applyFont="1">
      <alignment horizontal="right" readingOrder="0"/>
    </xf>
    <xf borderId="0" fillId="4" fontId="0" numFmtId="0" xfId="0" applyAlignment="1" applyFont="1">
      <alignment readingOrder="0"/>
    </xf>
    <xf borderId="0" fillId="0" fontId="1" numFmtId="0" xfId="0" applyAlignment="1" applyFont="1">
      <alignment horizontal="right"/>
    </xf>
    <xf borderId="0" fillId="4" fontId="12" numFmtId="0" xfId="0" applyFont="1"/>
    <xf borderId="0" fillId="4" fontId="13" numFmtId="0" xfId="0" applyFont="1"/>
    <xf borderId="0" fillId="0" fontId="8" numFmtId="0" xfId="0" applyAlignment="1" applyFont="1">
      <alignment horizontal="left"/>
    </xf>
    <xf borderId="0" fillId="0" fontId="8" numFmtId="0" xfId="0" applyAlignment="1" applyFont="1">
      <alignment horizontal="right" readingOrder="0"/>
    </xf>
    <xf borderId="0" fillId="0" fontId="14" numFmtId="0" xfId="0" applyAlignment="1" applyFont="1">
      <alignment horizontal="left"/>
    </xf>
    <xf borderId="0" fillId="0" fontId="1" numFmtId="0" xfId="0" applyFont="1"/>
    <xf borderId="0" fillId="0" fontId="1" numFmtId="164" xfId="0" applyFont="1" applyNumberFormat="1"/>
    <xf borderId="0" fillId="0" fontId="11" numFmtId="0" xfId="0" applyAlignment="1" applyFont="1">
      <alignment horizontal="center" readingOrder="0"/>
    </xf>
    <xf borderId="0" fillId="0" fontId="1" numFmtId="0" xfId="0" applyAlignment="1" applyFont="1">
      <alignment horizontal="center" readingOrder="0"/>
    </xf>
    <xf borderId="0" fillId="0" fontId="11" numFmtId="0" xfId="0" applyAlignment="1" applyFont="1">
      <alignment readingOrder="0"/>
    </xf>
    <xf borderId="0" fillId="0" fontId="15" numFmtId="0" xfId="0" applyAlignment="1" applyFont="1">
      <alignment horizontal="right"/>
    </xf>
    <xf borderId="0" fillId="4" fontId="16" numFmtId="0" xfId="0" applyAlignment="1" applyFont="1">
      <alignment horizontal="right"/>
    </xf>
    <xf borderId="0" fillId="4" fontId="0" numFmtId="0" xfId="0" applyAlignment="1" applyFont="1">
      <alignment horizontal="left"/>
    </xf>
    <xf borderId="0" fillId="4" fontId="0" numFmtId="0" xfId="0" applyFont="1"/>
    <xf borderId="0" fillId="0" fontId="14" numFmtId="0" xfId="0" applyAlignment="1" applyFont="1">
      <alignment horizontal="right"/>
    </xf>
    <xf borderId="0" fillId="0" fontId="11" numFmtId="0" xfId="0" applyFont="1"/>
    <xf borderId="0" fillId="0" fontId="11" numFmtId="164" xfId="0" applyFont="1" applyNumberFormat="1"/>
    <xf borderId="0" fillId="0" fontId="17" numFmtId="0" xfId="0" applyAlignment="1" applyFont="1">
      <alignment horizontal="right" readingOrder="0"/>
    </xf>
    <xf borderId="0" fillId="0" fontId="17" numFmtId="0" xfId="0" applyFont="1"/>
    <xf borderId="0" fillId="0" fontId="17" numFmtId="0" xfId="0" applyAlignment="1" applyFont="1">
      <alignment horizontal="right"/>
    </xf>
    <xf borderId="0" fillId="0" fontId="1" numFmtId="165" xfId="0" applyFont="1" applyNumberFormat="1"/>
    <xf borderId="0" fillId="0" fontId="1" numFmtId="166"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Year</a:t>
            </a:r>
          </a:p>
        </c:rich>
      </c:tx>
      <c:overlay val="0"/>
    </c:title>
    <c:plotArea>
      <c:layout>
        <c:manualLayout>
          <c:xMode val="edge"/>
          <c:yMode val="edge"/>
          <c:x val="0.049899193548387094"/>
          <c:y val="0.1833333333333333"/>
          <c:w val="0.9369959677419355"/>
          <c:h val="0.617948717948718"/>
        </c:manualLayout>
      </c:layout>
      <c:barChart>
        <c:barDir val="col"/>
        <c:ser>
          <c:idx val="0"/>
          <c:order val="0"/>
          <c:tx>
            <c:strRef>
              <c:f>Calculations!$B$2</c:f>
            </c:strRef>
          </c:tx>
          <c:spPr>
            <a:solidFill>
              <a:schemeClr val="accent1"/>
            </a:solidFill>
            <a:ln cmpd="sng">
              <a:solidFill>
                <a:srgbClr val="000000"/>
              </a:solidFill>
            </a:ln>
          </c:spPr>
          <c:cat>
            <c:strRef>
              <c:f>Calculations!$A$3:$A$27</c:f>
            </c:strRef>
          </c:cat>
          <c:val>
            <c:numRef>
              <c:f>Calculations!$B$3:$B$27</c:f>
              <c:numCache/>
            </c:numRef>
          </c:val>
        </c:ser>
        <c:ser>
          <c:idx val="1"/>
          <c:order val="1"/>
          <c:tx>
            <c:strRef>
              <c:f>Calculations!$C$2</c:f>
            </c:strRef>
          </c:tx>
          <c:spPr>
            <a:solidFill>
              <a:schemeClr val="accent2"/>
            </a:solidFill>
            <a:ln cmpd="sng">
              <a:solidFill>
                <a:srgbClr val="000000"/>
              </a:solidFill>
            </a:ln>
          </c:spPr>
          <c:cat>
            <c:strRef>
              <c:f>Calculations!$A$3:$A$27</c:f>
            </c:strRef>
          </c:cat>
          <c:val>
            <c:numRef>
              <c:f>Calculations!$C$3:$C$27</c:f>
              <c:numCache/>
            </c:numRef>
          </c:val>
        </c:ser>
        <c:ser>
          <c:idx val="2"/>
          <c:order val="2"/>
          <c:tx>
            <c:strRef>
              <c:f>Calculations!$D$2</c:f>
            </c:strRef>
          </c:tx>
          <c:spPr>
            <a:solidFill>
              <a:schemeClr val="accent3"/>
            </a:solidFill>
            <a:ln cmpd="sng">
              <a:solidFill>
                <a:srgbClr val="000000"/>
              </a:solidFill>
            </a:ln>
          </c:spPr>
          <c:cat>
            <c:strRef>
              <c:f>Calculations!$A$3:$A$27</c:f>
            </c:strRef>
          </c:cat>
          <c:val>
            <c:numRef>
              <c:f>Calculations!$D$3:$D$27</c:f>
              <c:numCache/>
            </c:numRef>
          </c:val>
        </c:ser>
        <c:ser>
          <c:idx val="3"/>
          <c:order val="3"/>
          <c:tx>
            <c:strRef>
              <c:f>Calculations!$E$2</c:f>
            </c:strRef>
          </c:tx>
          <c:spPr>
            <a:solidFill>
              <a:schemeClr val="accent4"/>
            </a:solidFill>
            <a:ln cmpd="sng">
              <a:solidFill>
                <a:srgbClr val="000000"/>
              </a:solidFill>
            </a:ln>
          </c:spPr>
          <c:cat>
            <c:strRef>
              <c:f>Calculations!$A$3:$A$27</c:f>
            </c:strRef>
          </c:cat>
          <c:val>
            <c:numRef>
              <c:f>Calculations!$E$3:$E$27</c:f>
              <c:numCache/>
            </c:numRef>
          </c:val>
        </c:ser>
        <c:ser>
          <c:idx val="4"/>
          <c:order val="4"/>
          <c:tx>
            <c:strRef>
              <c:f>Calculations!$F$2</c:f>
            </c:strRef>
          </c:tx>
          <c:spPr>
            <a:solidFill>
              <a:schemeClr val="accent5"/>
            </a:solidFill>
            <a:ln cmpd="sng">
              <a:solidFill>
                <a:srgbClr val="000000"/>
              </a:solidFill>
            </a:ln>
          </c:spPr>
          <c:cat>
            <c:strRef>
              <c:f>Calculations!$A$3:$A$27</c:f>
            </c:strRef>
          </c:cat>
          <c:val>
            <c:numRef>
              <c:f>Calculations!$F$3:$F$27</c:f>
              <c:numCache/>
            </c:numRef>
          </c:val>
        </c:ser>
        <c:axId val="1261680538"/>
        <c:axId val="702678900"/>
      </c:barChart>
      <c:catAx>
        <c:axId val="12616805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02678900"/>
      </c:catAx>
      <c:valAx>
        <c:axId val="7026789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1680538"/>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Journal</a:t>
            </a:r>
          </a:p>
        </c:rich>
      </c:tx>
      <c:overlay val="0"/>
    </c:title>
    <c:plotArea>
      <c:layout/>
      <c:barChart>
        <c:barDir val="col"/>
        <c:ser>
          <c:idx val="0"/>
          <c:order val="0"/>
          <c:tx>
            <c:strRef>
              <c:f>Calculations!$O$2</c:f>
            </c:strRef>
          </c:tx>
          <c:spPr>
            <a:solidFill>
              <a:schemeClr val="accent1"/>
            </a:solidFill>
            <a:ln cmpd="sng">
              <a:solidFill>
                <a:srgbClr val="000000"/>
              </a:solidFill>
            </a:ln>
          </c:spPr>
          <c:cat>
            <c:strRef>
              <c:f>Calculations!$N$3:$N$12</c:f>
            </c:strRef>
          </c:cat>
          <c:val>
            <c:numRef>
              <c:f>Calculations!$O$3:$O$12</c:f>
              <c:numCache/>
            </c:numRef>
          </c:val>
        </c:ser>
        <c:ser>
          <c:idx val="1"/>
          <c:order val="1"/>
          <c:tx>
            <c:strRef>
              <c:f>Calculations!$P$2</c:f>
            </c:strRef>
          </c:tx>
          <c:spPr>
            <a:solidFill>
              <a:schemeClr val="accent2"/>
            </a:solidFill>
            <a:ln cmpd="sng">
              <a:solidFill>
                <a:srgbClr val="000000"/>
              </a:solidFill>
            </a:ln>
          </c:spPr>
          <c:cat>
            <c:strRef>
              <c:f>Calculations!$N$3:$N$12</c:f>
            </c:strRef>
          </c:cat>
          <c:val>
            <c:numRef>
              <c:f>Calculations!$P$3:$P$12</c:f>
              <c:numCache/>
            </c:numRef>
          </c:val>
        </c:ser>
        <c:ser>
          <c:idx val="2"/>
          <c:order val="2"/>
          <c:tx>
            <c:strRef>
              <c:f>Calculations!$Q$2</c:f>
            </c:strRef>
          </c:tx>
          <c:spPr>
            <a:solidFill>
              <a:schemeClr val="accent3"/>
            </a:solidFill>
            <a:ln cmpd="sng">
              <a:solidFill>
                <a:srgbClr val="000000"/>
              </a:solidFill>
            </a:ln>
          </c:spPr>
          <c:cat>
            <c:strRef>
              <c:f>Calculations!$N$3:$N$12</c:f>
            </c:strRef>
          </c:cat>
          <c:val>
            <c:numRef>
              <c:f>Calculations!$Q$3:$Q$12</c:f>
              <c:numCache/>
            </c:numRef>
          </c:val>
        </c:ser>
        <c:ser>
          <c:idx val="3"/>
          <c:order val="3"/>
          <c:tx>
            <c:strRef>
              <c:f>Calculations!$R$2</c:f>
            </c:strRef>
          </c:tx>
          <c:spPr>
            <a:solidFill>
              <a:schemeClr val="accent4"/>
            </a:solidFill>
            <a:ln cmpd="sng">
              <a:solidFill>
                <a:srgbClr val="000000"/>
              </a:solidFill>
            </a:ln>
          </c:spPr>
          <c:cat>
            <c:strRef>
              <c:f>Calculations!$N$3:$N$12</c:f>
            </c:strRef>
          </c:cat>
          <c:val>
            <c:numRef>
              <c:f>Calculations!$R$3:$R$12</c:f>
              <c:numCache/>
            </c:numRef>
          </c:val>
        </c:ser>
        <c:ser>
          <c:idx val="4"/>
          <c:order val="4"/>
          <c:tx>
            <c:strRef>
              <c:f>Calculations!$S$2</c:f>
            </c:strRef>
          </c:tx>
          <c:spPr>
            <a:solidFill>
              <a:schemeClr val="accent5"/>
            </a:solidFill>
            <a:ln cmpd="sng">
              <a:solidFill>
                <a:srgbClr val="000000"/>
              </a:solidFill>
            </a:ln>
          </c:spPr>
          <c:cat>
            <c:strRef>
              <c:f>Calculations!$N$3:$N$12</c:f>
            </c:strRef>
          </c:cat>
          <c:val>
            <c:numRef>
              <c:f>Calculations!$S$3:$S$12</c:f>
              <c:numCache/>
            </c:numRef>
          </c:val>
        </c:ser>
        <c:axId val="1185202696"/>
        <c:axId val="738047959"/>
      </c:barChart>
      <c:catAx>
        <c:axId val="11852026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38047959"/>
      </c:catAx>
      <c:valAx>
        <c:axId val="7380479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85202696"/>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Citations per Year*</a:t>
            </a:r>
          </a:p>
        </c:rich>
      </c:tx>
      <c:overlay val="0"/>
    </c:title>
    <c:plotArea>
      <c:layout/>
      <c:barChart>
        <c:barDir val="col"/>
        <c:ser>
          <c:idx val="0"/>
          <c:order val="0"/>
          <c:tx>
            <c:strRef>
              <c:f>Calculations!$B$30</c:f>
            </c:strRef>
          </c:tx>
          <c:spPr>
            <a:solidFill>
              <a:schemeClr val="accent1"/>
            </a:solidFill>
            <a:ln cmpd="sng">
              <a:solidFill>
                <a:srgbClr val="000000"/>
              </a:solidFill>
            </a:ln>
          </c:spPr>
          <c:cat>
            <c:strRef>
              <c:f>Calculations!$A$31:$A$55</c:f>
            </c:strRef>
          </c:cat>
          <c:val>
            <c:numRef>
              <c:f>Calculations!$B$31:$B$55</c:f>
              <c:numCache/>
            </c:numRef>
          </c:val>
        </c:ser>
        <c:ser>
          <c:idx val="1"/>
          <c:order val="1"/>
          <c:tx>
            <c:strRef>
              <c:f>Calculations!$C$30</c:f>
            </c:strRef>
          </c:tx>
          <c:spPr>
            <a:solidFill>
              <a:schemeClr val="accent2"/>
            </a:solidFill>
            <a:ln cmpd="sng">
              <a:solidFill>
                <a:srgbClr val="000000"/>
              </a:solidFill>
            </a:ln>
          </c:spPr>
          <c:cat>
            <c:strRef>
              <c:f>Calculations!$A$31:$A$55</c:f>
            </c:strRef>
          </c:cat>
          <c:val>
            <c:numRef>
              <c:f>Calculations!$C$31:$C$55</c:f>
              <c:numCache/>
            </c:numRef>
          </c:val>
        </c:ser>
        <c:ser>
          <c:idx val="2"/>
          <c:order val="2"/>
          <c:tx>
            <c:strRef>
              <c:f>Calculations!$D$30</c:f>
            </c:strRef>
          </c:tx>
          <c:spPr>
            <a:solidFill>
              <a:schemeClr val="accent3"/>
            </a:solidFill>
            <a:ln cmpd="sng">
              <a:solidFill>
                <a:srgbClr val="000000"/>
              </a:solidFill>
            </a:ln>
          </c:spPr>
          <c:cat>
            <c:strRef>
              <c:f>Calculations!$A$31:$A$55</c:f>
            </c:strRef>
          </c:cat>
          <c:val>
            <c:numRef>
              <c:f>Calculations!$D$31:$D$55</c:f>
              <c:numCache/>
            </c:numRef>
          </c:val>
        </c:ser>
        <c:ser>
          <c:idx val="3"/>
          <c:order val="3"/>
          <c:tx>
            <c:strRef>
              <c:f>Calculations!$E$30</c:f>
            </c:strRef>
          </c:tx>
          <c:spPr>
            <a:solidFill>
              <a:schemeClr val="accent4"/>
            </a:solidFill>
            <a:ln cmpd="sng">
              <a:solidFill>
                <a:srgbClr val="000000"/>
              </a:solidFill>
            </a:ln>
          </c:spPr>
          <c:cat>
            <c:strRef>
              <c:f>Calculations!$A$31:$A$55</c:f>
            </c:strRef>
          </c:cat>
          <c:val>
            <c:numRef>
              <c:f>Calculations!$E$31:$E$55</c:f>
              <c:numCache/>
            </c:numRef>
          </c:val>
        </c:ser>
        <c:ser>
          <c:idx val="4"/>
          <c:order val="4"/>
          <c:tx>
            <c:strRef>
              <c:f>Calculations!$F$30</c:f>
            </c:strRef>
          </c:tx>
          <c:spPr>
            <a:solidFill>
              <a:schemeClr val="accent5"/>
            </a:solidFill>
            <a:ln cmpd="sng">
              <a:solidFill>
                <a:srgbClr val="000000"/>
              </a:solidFill>
            </a:ln>
          </c:spPr>
          <c:cat>
            <c:strRef>
              <c:f>Calculations!$A$31:$A$55</c:f>
            </c:strRef>
          </c:cat>
          <c:val>
            <c:numRef>
              <c:f>Calculations!$F$31:$F$55</c:f>
              <c:numCache/>
            </c:numRef>
          </c:val>
        </c:ser>
        <c:axId val="1594180192"/>
        <c:axId val="1525904888"/>
      </c:barChart>
      <c:catAx>
        <c:axId val="15941801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25904888"/>
      </c:catAx>
      <c:valAx>
        <c:axId val="15259048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4180192"/>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434343"/>
                </a:solidFill>
                <a:latin typeface="+mn-lt"/>
              </a:defRPr>
            </a:pPr>
            <a:r>
              <a:rPr b="1" i="0">
                <a:solidFill>
                  <a:srgbClr val="434343"/>
                </a:solidFill>
                <a:latin typeface="+mn-lt"/>
              </a:rPr>
              <a:t>Publications per Year</a:t>
            </a:r>
          </a:p>
        </c:rich>
      </c:tx>
      <c:overlay val="0"/>
    </c:title>
    <c:plotArea>
      <c:layout/>
      <c:lineChart>
        <c:ser>
          <c:idx val="0"/>
          <c:order val="0"/>
          <c:tx>
            <c:strRef>
              <c:f>Calculations!$B$2</c:f>
            </c:strRef>
          </c:tx>
          <c:spPr>
            <a:ln cmpd="sng">
              <a:solidFill>
                <a:srgbClr val="4285F4"/>
              </a:solidFill>
            </a:ln>
          </c:spPr>
          <c:marker>
            <c:symbol val="none"/>
          </c:marker>
          <c:cat>
            <c:strRef>
              <c:f>Calculations!$A$3:$A$27</c:f>
            </c:strRef>
          </c:cat>
          <c:val>
            <c:numRef>
              <c:f>Calculations!$B$3:$B$27</c:f>
              <c:numCache/>
            </c:numRef>
          </c:val>
          <c:smooth val="0"/>
        </c:ser>
        <c:ser>
          <c:idx val="1"/>
          <c:order val="1"/>
          <c:tx>
            <c:strRef>
              <c:f>Calculations!$C$2</c:f>
            </c:strRef>
          </c:tx>
          <c:spPr>
            <a:ln cmpd="sng">
              <a:solidFill>
                <a:srgbClr val="EA4335"/>
              </a:solidFill>
            </a:ln>
          </c:spPr>
          <c:marker>
            <c:symbol val="none"/>
          </c:marker>
          <c:cat>
            <c:strRef>
              <c:f>Calculations!$A$3:$A$27</c:f>
            </c:strRef>
          </c:cat>
          <c:val>
            <c:numRef>
              <c:f>Calculations!$C$3:$C$27</c:f>
              <c:numCache/>
            </c:numRef>
          </c:val>
          <c:smooth val="0"/>
        </c:ser>
        <c:ser>
          <c:idx val="2"/>
          <c:order val="2"/>
          <c:tx>
            <c:strRef>
              <c:f>Calculations!$D$2</c:f>
            </c:strRef>
          </c:tx>
          <c:spPr>
            <a:ln cmpd="sng">
              <a:solidFill>
                <a:srgbClr val="FBBC04"/>
              </a:solidFill>
            </a:ln>
          </c:spPr>
          <c:marker>
            <c:symbol val="none"/>
          </c:marker>
          <c:cat>
            <c:strRef>
              <c:f>Calculations!$A$3:$A$27</c:f>
            </c:strRef>
          </c:cat>
          <c:val>
            <c:numRef>
              <c:f>Calculations!$D$3:$D$27</c:f>
              <c:numCache/>
            </c:numRef>
          </c:val>
          <c:smooth val="0"/>
        </c:ser>
        <c:ser>
          <c:idx val="3"/>
          <c:order val="3"/>
          <c:tx>
            <c:strRef>
              <c:f>Calculations!$E$2</c:f>
            </c:strRef>
          </c:tx>
          <c:spPr>
            <a:ln cmpd="sng">
              <a:solidFill>
                <a:srgbClr val="34A853"/>
              </a:solidFill>
            </a:ln>
          </c:spPr>
          <c:marker>
            <c:symbol val="none"/>
          </c:marker>
          <c:cat>
            <c:strRef>
              <c:f>Calculations!$A$3:$A$27</c:f>
            </c:strRef>
          </c:cat>
          <c:val>
            <c:numRef>
              <c:f>Calculations!$E$3:$E$27</c:f>
              <c:numCache/>
            </c:numRef>
          </c:val>
          <c:smooth val="0"/>
        </c:ser>
        <c:ser>
          <c:idx val="4"/>
          <c:order val="4"/>
          <c:tx>
            <c:strRef>
              <c:f>Calculations!$F$2</c:f>
            </c:strRef>
          </c:tx>
          <c:spPr>
            <a:ln cmpd="sng">
              <a:solidFill>
                <a:srgbClr val="FF6D01"/>
              </a:solidFill>
            </a:ln>
          </c:spPr>
          <c:marker>
            <c:symbol val="none"/>
          </c:marker>
          <c:cat>
            <c:strRef>
              <c:f>Calculations!$A$3:$A$27</c:f>
            </c:strRef>
          </c:cat>
          <c:val>
            <c:numRef>
              <c:f>Calculations!$F$3:$F$27</c:f>
              <c:numCache/>
            </c:numRef>
          </c:val>
          <c:smooth val="0"/>
        </c:ser>
        <c:axId val="1696323532"/>
        <c:axId val="453906711"/>
      </c:lineChart>
      <c:catAx>
        <c:axId val="16963235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53906711"/>
      </c:catAx>
      <c:valAx>
        <c:axId val="4539067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96323532"/>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Journal</a:t>
            </a:r>
          </a:p>
        </c:rich>
      </c:tx>
      <c:overlay val="0"/>
    </c:title>
    <c:plotArea>
      <c:layout/>
      <c:barChart>
        <c:barDir val="col"/>
        <c:ser>
          <c:idx val="0"/>
          <c:order val="0"/>
          <c:tx>
            <c:strRef>
              <c:f>Calculations!$O$2</c:f>
            </c:strRef>
          </c:tx>
          <c:spPr>
            <a:solidFill>
              <a:schemeClr val="accent1"/>
            </a:solidFill>
            <a:ln cmpd="sng">
              <a:solidFill>
                <a:srgbClr val="000000"/>
              </a:solidFill>
            </a:ln>
          </c:spPr>
          <c:cat>
            <c:strRef>
              <c:f>Calculations!$N$3:$N$12</c:f>
            </c:strRef>
          </c:cat>
          <c:val>
            <c:numRef>
              <c:f>Calculations!$O$3:$O$12</c:f>
              <c:numCache/>
            </c:numRef>
          </c:val>
        </c:ser>
        <c:ser>
          <c:idx val="1"/>
          <c:order val="1"/>
          <c:tx>
            <c:strRef>
              <c:f>Calculations!$P$2</c:f>
            </c:strRef>
          </c:tx>
          <c:spPr>
            <a:solidFill>
              <a:schemeClr val="accent2"/>
            </a:solidFill>
            <a:ln cmpd="sng">
              <a:solidFill>
                <a:srgbClr val="000000"/>
              </a:solidFill>
            </a:ln>
          </c:spPr>
          <c:cat>
            <c:strRef>
              <c:f>Calculations!$N$3:$N$12</c:f>
            </c:strRef>
          </c:cat>
          <c:val>
            <c:numRef>
              <c:f>Calculations!$P$3:$P$12</c:f>
              <c:numCache/>
            </c:numRef>
          </c:val>
        </c:ser>
        <c:ser>
          <c:idx val="2"/>
          <c:order val="2"/>
          <c:tx>
            <c:strRef>
              <c:f>Calculations!$Q$2</c:f>
            </c:strRef>
          </c:tx>
          <c:spPr>
            <a:solidFill>
              <a:schemeClr val="accent3"/>
            </a:solidFill>
            <a:ln cmpd="sng">
              <a:solidFill>
                <a:srgbClr val="000000"/>
              </a:solidFill>
            </a:ln>
          </c:spPr>
          <c:cat>
            <c:strRef>
              <c:f>Calculations!$N$3:$N$12</c:f>
            </c:strRef>
          </c:cat>
          <c:val>
            <c:numRef>
              <c:f>Calculations!$Q$3:$Q$12</c:f>
              <c:numCache/>
            </c:numRef>
          </c:val>
        </c:ser>
        <c:ser>
          <c:idx val="3"/>
          <c:order val="3"/>
          <c:tx>
            <c:strRef>
              <c:f>Calculations!$R$2</c:f>
            </c:strRef>
          </c:tx>
          <c:spPr>
            <a:solidFill>
              <a:schemeClr val="accent4"/>
            </a:solidFill>
            <a:ln cmpd="sng">
              <a:solidFill>
                <a:srgbClr val="000000"/>
              </a:solidFill>
            </a:ln>
          </c:spPr>
          <c:cat>
            <c:strRef>
              <c:f>Calculations!$N$3:$N$12</c:f>
            </c:strRef>
          </c:cat>
          <c:val>
            <c:numRef>
              <c:f>Calculations!$R$3:$R$12</c:f>
              <c:numCache/>
            </c:numRef>
          </c:val>
        </c:ser>
        <c:ser>
          <c:idx val="4"/>
          <c:order val="4"/>
          <c:tx>
            <c:strRef>
              <c:f>Calculations!$S$2</c:f>
            </c:strRef>
          </c:tx>
          <c:spPr>
            <a:solidFill>
              <a:schemeClr val="accent5"/>
            </a:solidFill>
            <a:ln cmpd="sng">
              <a:solidFill>
                <a:srgbClr val="000000"/>
              </a:solidFill>
            </a:ln>
          </c:spPr>
          <c:cat>
            <c:strRef>
              <c:f>Calculations!$N$3:$N$12</c:f>
            </c:strRef>
          </c:cat>
          <c:val>
            <c:numRef>
              <c:f>Calculations!$S$3:$S$12</c:f>
              <c:numCache/>
            </c:numRef>
          </c:val>
        </c:ser>
        <c:axId val="912349405"/>
        <c:axId val="288044922"/>
      </c:barChart>
      <c:catAx>
        <c:axId val="9123494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88044922"/>
      </c:catAx>
      <c:valAx>
        <c:axId val="2880449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2349405"/>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Citations per Year*</a:t>
            </a:r>
          </a:p>
        </c:rich>
      </c:tx>
      <c:overlay val="0"/>
    </c:title>
    <c:plotArea>
      <c:layout/>
      <c:lineChart>
        <c:ser>
          <c:idx val="0"/>
          <c:order val="0"/>
          <c:tx>
            <c:strRef>
              <c:f>Calculations!$B$30</c:f>
            </c:strRef>
          </c:tx>
          <c:spPr>
            <a:ln cmpd="sng">
              <a:solidFill>
                <a:srgbClr val="4285F4"/>
              </a:solidFill>
            </a:ln>
          </c:spPr>
          <c:marker>
            <c:symbol val="none"/>
          </c:marker>
          <c:cat>
            <c:strRef>
              <c:f>Calculations!$A$31:$A$55</c:f>
            </c:strRef>
          </c:cat>
          <c:val>
            <c:numRef>
              <c:f>Calculations!$B$31:$B$55</c:f>
              <c:numCache/>
            </c:numRef>
          </c:val>
          <c:smooth val="0"/>
        </c:ser>
        <c:ser>
          <c:idx val="1"/>
          <c:order val="1"/>
          <c:tx>
            <c:strRef>
              <c:f>Calculations!$C$30</c:f>
            </c:strRef>
          </c:tx>
          <c:spPr>
            <a:ln cmpd="sng">
              <a:solidFill>
                <a:srgbClr val="EA4335"/>
              </a:solidFill>
            </a:ln>
          </c:spPr>
          <c:marker>
            <c:symbol val="none"/>
          </c:marker>
          <c:cat>
            <c:strRef>
              <c:f>Calculations!$A$31:$A$55</c:f>
            </c:strRef>
          </c:cat>
          <c:val>
            <c:numRef>
              <c:f>Calculations!$C$31:$C$55</c:f>
              <c:numCache/>
            </c:numRef>
          </c:val>
          <c:smooth val="0"/>
        </c:ser>
        <c:ser>
          <c:idx val="2"/>
          <c:order val="2"/>
          <c:tx>
            <c:strRef>
              <c:f>Calculations!$D$30</c:f>
            </c:strRef>
          </c:tx>
          <c:spPr>
            <a:ln cmpd="sng">
              <a:solidFill>
                <a:srgbClr val="FBBC04"/>
              </a:solidFill>
            </a:ln>
          </c:spPr>
          <c:marker>
            <c:symbol val="none"/>
          </c:marker>
          <c:cat>
            <c:strRef>
              <c:f>Calculations!$A$31:$A$55</c:f>
            </c:strRef>
          </c:cat>
          <c:val>
            <c:numRef>
              <c:f>Calculations!$D$31:$D$55</c:f>
              <c:numCache/>
            </c:numRef>
          </c:val>
          <c:smooth val="0"/>
        </c:ser>
        <c:ser>
          <c:idx val="3"/>
          <c:order val="3"/>
          <c:tx>
            <c:strRef>
              <c:f>Calculations!$E$30</c:f>
            </c:strRef>
          </c:tx>
          <c:spPr>
            <a:ln cmpd="sng">
              <a:solidFill>
                <a:srgbClr val="34A853"/>
              </a:solidFill>
            </a:ln>
          </c:spPr>
          <c:marker>
            <c:symbol val="none"/>
          </c:marker>
          <c:cat>
            <c:strRef>
              <c:f>Calculations!$A$31:$A$55</c:f>
            </c:strRef>
          </c:cat>
          <c:val>
            <c:numRef>
              <c:f>Calculations!$E$31:$E$55</c:f>
              <c:numCache/>
            </c:numRef>
          </c:val>
          <c:smooth val="0"/>
        </c:ser>
        <c:ser>
          <c:idx val="4"/>
          <c:order val="4"/>
          <c:tx>
            <c:strRef>
              <c:f>Calculations!$F$30</c:f>
            </c:strRef>
          </c:tx>
          <c:spPr>
            <a:ln cmpd="sng">
              <a:solidFill>
                <a:srgbClr val="FF6D01"/>
              </a:solidFill>
            </a:ln>
          </c:spPr>
          <c:marker>
            <c:symbol val="none"/>
          </c:marker>
          <c:cat>
            <c:strRef>
              <c:f>Calculations!$A$31:$A$55</c:f>
            </c:strRef>
          </c:cat>
          <c:val>
            <c:numRef>
              <c:f>Calculations!$F$31:$F$55</c:f>
              <c:numCache/>
            </c:numRef>
          </c:val>
          <c:smooth val="0"/>
        </c:ser>
        <c:axId val="2013674408"/>
        <c:axId val="1797853565"/>
      </c:lineChart>
      <c:catAx>
        <c:axId val="20136744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97853565"/>
      </c:catAx>
      <c:valAx>
        <c:axId val="17978535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3674408"/>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1.png"/><Relationship Id="rId5"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image" Target="../media/image1.png"/><Relationship Id="rId5"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9</xdr:row>
      <xdr:rowOff>95250</xdr:rowOff>
    </xdr:from>
    <xdr:ext cx="9448800" cy="2419350"/>
    <xdr:graphicFrame>
      <xdr:nvGraphicFramePr>
        <xdr:cNvPr id="1" name="Chart 1"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361950</xdr:colOff>
      <xdr:row>9</xdr:row>
      <xdr:rowOff>95250</xdr:rowOff>
    </xdr:from>
    <xdr:ext cx="5848350" cy="4762500"/>
    <xdr:graphicFrame>
      <xdr:nvGraphicFramePr>
        <xdr:cNvPr id="2" name="Chart 2" title="Diagra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447675</xdr:colOff>
      <xdr:row>10</xdr:row>
      <xdr:rowOff>2371725</xdr:rowOff>
    </xdr:from>
    <xdr:ext cx="9448800" cy="2286000"/>
    <xdr:graphicFrame>
      <xdr:nvGraphicFramePr>
        <xdr:cNvPr id="3" name="Chart 3" title="Diagra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1838325</xdr:colOff>
      <xdr:row>0</xdr:row>
      <xdr:rowOff>180975</xdr:rowOff>
    </xdr:from>
    <xdr:ext cx="3733800" cy="1571625"/>
    <xdr:pic>
      <xdr:nvPicPr>
        <xdr:cNvPr id="0" name="image1.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1409700</xdr:colOff>
      <xdr:row>8</xdr:row>
      <xdr:rowOff>9525</xdr:rowOff>
    </xdr:from>
    <xdr:ext cx="8639175" cy="228600"/>
    <xdr:pic>
      <xdr:nvPicPr>
        <xdr:cNvPr id="0" name="image2.png" title="Afbeeldi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9</xdr:row>
      <xdr:rowOff>95250</xdr:rowOff>
    </xdr:from>
    <xdr:ext cx="9448800" cy="2419350"/>
    <xdr:graphicFrame>
      <xdr:nvGraphicFramePr>
        <xdr:cNvPr id="4" name="Chart 4"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361950</xdr:colOff>
      <xdr:row>9</xdr:row>
      <xdr:rowOff>95250</xdr:rowOff>
    </xdr:from>
    <xdr:ext cx="5848350" cy="4762500"/>
    <xdr:graphicFrame>
      <xdr:nvGraphicFramePr>
        <xdr:cNvPr id="5" name="Chart 5" title="Diagra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447675</xdr:colOff>
      <xdr:row>10</xdr:row>
      <xdr:rowOff>2371725</xdr:rowOff>
    </xdr:from>
    <xdr:ext cx="9448800" cy="2286000"/>
    <xdr:graphicFrame>
      <xdr:nvGraphicFramePr>
        <xdr:cNvPr id="6" name="Chart 6" title="Diagra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1838325</xdr:colOff>
      <xdr:row>0</xdr:row>
      <xdr:rowOff>180975</xdr:rowOff>
    </xdr:from>
    <xdr:ext cx="3733800" cy="1571625"/>
    <xdr:pic>
      <xdr:nvPicPr>
        <xdr:cNvPr id="0" name="image1.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1362075</xdr:colOff>
      <xdr:row>7</xdr:row>
      <xdr:rowOff>190500</xdr:rowOff>
    </xdr:from>
    <xdr:ext cx="8639175" cy="228600"/>
    <xdr:pic>
      <xdr:nvPicPr>
        <xdr:cNvPr id="0" name="image2.png" title="Afbeeldi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pubmed.ncbi.nlm.nih.gov/32700100" TargetMode="External"/><Relationship Id="rId2181" Type="http://schemas.openxmlformats.org/officeDocument/2006/relationships/hyperlink" Target="https://pubmed.ncbi.nlm.nih.gov/32692736" TargetMode="External"/><Relationship Id="rId2182" Type="http://schemas.openxmlformats.org/officeDocument/2006/relationships/hyperlink" Target="https://pubmed.ncbi.nlm.nih.gov/32090257" TargetMode="External"/><Relationship Id="rId2183" Type="http://schemas.openxmlformats.org/officeDocument/2006/relationships/hyperlink" Target="https://pubmed.ncbi.nlm.nih.gov/32691100" TargetMode="External"/><Relationship Id="rId2184" Type="http://schemas.openxmlformats.org/officeDocument/2006/relationships/hyperlink" Target="https://pubmed.ncbi.nlm.nih.gov/32687233" TargetMode="External"/><Relationship Id="rId2185" Type="http://schemas.openxmlformats.org/officeDocument/2006/relationships/hyperlink" Target="https://pubmed.ncbi.nlm.nih.gov/32638384" TargetMode="External"/><Relationship Id="rId2186" Type="http://schemas.openxmlformats.org/officeDocument/2006/relationships/hyperlink" Target="https://pubmed.ncbi.nlm.nih.gov/32690784" TargetMode="External"/><Relationship Id="rId2187" Type="http://schemas.openxmlformats.org/officeDocument/2006/relationships/hyperlink" Target="https://pubmed.ncbi.nlm.nih.gov/32691211" TargetMode="External"/><Relationship Id="rId2188" Type="http://schemas.openxmlformats.org/officeDocument/2006/relationships/hyperlink" Target="https://pubmed.ncbi.nlm.nih.gov/32698043" TargetMode="External"/><Relationship Id="rId2189" Type="http://schemas.openxmlformats.org/officeDocument/2006/relationships/hyperlink" Target="https://pubmed.ncbi.nlm.nih.gov/32678856" TargetMode="External"/><Relationship Id="rId2170" Type="http://schemas.openxmlformats.org/officeDocument/2006/relationships/hyperlink" Target="https://pubmed.ncbi.nlm.nih.gov/32511672" TargetMode="External"/><Relationship Id="rId2171" Type="http://schemas.openxmlformats.org/officeDocument/2006/relationships/hyperlink" Target="https://pubmed.ncbi.nlm.nih.gov/31605491" TargetMode="External"/><Relationship Id="rId2172" Type="http://schemas.openxmlformats.org/officeDocument/2006/relationships/hyperlink" Target="https://pubmed.ncbi.nlm.nih.gov/32794886" TargetMode="External"/><Relationship Id="rId2173" Type="http://schemas.openxmlformats.org/officeDocument/2006/relationships/hyperlink" Target="https://pubmed.ncbi.nlm.nih.gov/32735616" TargetMode="External"/><Relationship Id="rId2174" Type="http://schemas.openxmlformats.org/officeDocument/2006/relationships/hyperlink" Target="https://pubmed.ncbi.nlm.nih.gov/32732252" TargetMode="External"/><Relationship Id="rId2175" Type="http://schemas.openxmlformats.org/officeDocument/2006/relationships/hyperlink" Target="https://pubmed.ncbi.nlm.nih.gov/32730853" TargetMode="External"/><Relationship Id="rId2176" Type="http://schemas.openxmlformats.org/officeDocument/2006/relationships/hyperlink" Target="https://pubmed.ncbi.nlm.nih.gov/32730977" TargetMode="External"/><Relationship Id="rId2177" Type="http://schemas.openxmlformats.org/officeDocument/2006/relationships/hyperlink" Target="https://pubmed.ncbi.nlm.nih.gov/32640057" TargetMode="External"/><Relationship Id="rId2178" Type="http://schemas.openxmlformats.org/officeDocument/2006/relationships/hyperlink" Target="https://pubmed.ncbi.nlm.nih.gov/32704130" TargetMode="External"/><Relationship Id="rId2179" Type="http://schemas.openxmlformats.org/officeDocument/2006/relationships/hyperlink" Target="https://pubmed.ncbi.nlm.nih.gov/33521524" TargetMode="External"/><Relationship Id="rId2190" Type="http://schemas.openxmlformats.org/officeDocument/2006/relationships/hyperlink" Target="https://pubmed.ncbi.nlm.nih.gov/32682487" TargetMode="External"/><Relationship Id="rId2191" Type="http://schemas.openxmlformats.org/officeDocument/2006/relationships/hyperlink" Target="https://pubmed.ncbi.nlm.nih.gov/32080013" TargetMode="External"/><Relationship Id="rId2192" Type="http://schemas.openxmlformats.org/officeDocument/2006/relationships/hyperlink" Target="https://pubmed.ncbi.nlm.nih.gov/32666893" TargetMode="External"/><Relationship Id="rId2193" Type="http://schemas.openxmlformats.org/officeDocument/2006/relationships/hyperlink" Target="https://pubmed.ncbi.nlm.nih.gov/32768137" TargetMode="External"/><Relationship Id="rId2194" Type="http://schemas.openxmlformats.org/officeDocument/2006/relationships/hyperlink" Target="https://pubmed.ncbi.nlm.nih.gov/32693956" TargetMode="External"/><Relationship Id="rId2195" Type="http://schemas.openxmlformats.org/officeDocument/2006/relationships/hyperlink" Target="https://pubmed.ncbi.nlm.nih.gov/32669425" TargetMode="External"/><Relationship Id="rId2196" Type="http://schemas.openxmlformats.org/officeDocument/2006/relationships/hyperlink" Target="https://pubmed.ncbi.nlm.nih.gov/32664987" TargetMode="External"/><Relationship Id="rId2197" Type="http://schemas.openxmlformats.org/officeDocument/2006/relationships/hyperlink" Target="https://pubmed.ncbi.nlm.nih.gov/32016367" TargetMode="External"/><Relationship Id="rId2198" Type="http://schemas.openxmlformats.org/officeDocument/2006/relationships/hyperlink" Target="https://pubmed.ncbi.nlm.nih.gov/32654539" TargetMode="External"/><Relationship Id="rId2199" Type="http://schemas.openxmlformats.org/officeDocument/2006/relationships/hyperlink" Target="https://pubmed.ncbi.nlm.nih.gov/32658909" TargetMode="External"/><Relationship Id="rId3513" Type="http://schemas.openxmlformats.org/officeDocument/2006/relationships/hyperlink" Target="https://pubmed.ncbi.nlm.nih.gov/28762574" TargetMode="External"/><Relationship Id="rId4844" Type="http://schemas.openxmlformats.org/officeDocument/2006/relationships/hyperlink" Target="https://pubmed.ncbi.nlm.nih.gov/24668104" TargetMode="External"/><Relationship Id="rId3512" Type="http://schemas.openxmlformats.org/officeDocument/2006/relationships/hyperlink" Target="https://pubmed.ncbi.nlm.nih.gov/28768848" TargetMode="External"/><Relationship Id="rId4843" Type="http://schemas.openxmlformats.org/officeDocument/2006/relationships/hyperlink" Target="https://pubmed.ncbi.nlm.nih.gov/24687942" TargetMode="External"/><Relationship Id="rId3515" Type="http://schemas.openxmlformats.org/officeDocument/2006/relationships/hyperlink" Target="https://pubmed.ncbi.nlm.nih.gov/27471223" TargetMode="External"/><Relationship Id="rId4846" Type="http://schemas.openxmlformats.org/officeDocument/2006/relationships/hyperlink" Target="https://pubmed.ncbi.nlm.nih.gov/24707109" TargetMode="External"/><Relationship Id="rId3514" Type="http://schemas.openxmlformats.org/officeDocument/2006/relationships/hyperlink" Target="https://pubmed.ncbi.nlm.nih.gov/28376187" TargetMode="External"/><Relationship Id="rId4845" Type="http://schemas.openxmlformats.org/officeDocument/2006/relationships/hyperlink" Target="https://pubmed.ncbi.nlm.nih.gov/24671715" TargetMode="External"/><Relationship Id="rId3517" Type="http://schemas.openxmlformats.org/officeDocument/2006/relationships/hyperlink" Target="https://pubmed.ncbi.nlm.nih.gov/28334777" TargetMode="External"/><Relationship Id="rId4848" Type="http://schemas.openxmlformats.org/officeDocument/2006/relationships/hyperlink" Target="https://pubmed.ncbi.nlm.nih.gov/24667343" TargetMode="External"/><Relationship Id="rId3516" Type="http://schemas.openxmlformats.org/officeDocument/2006/relationships/hyperlink" Target="https://pubmed.ncbi.nlm.nih.gov/28459994" TargetMode="External"/><Relationship Id="rId4847" Type="http://schemas.openxmlformats.org/officeDocument/2006/relationships/hyperlink" Target="https://pubmed.ncbi.nlm.nih.gov/24667206" TargetMode="External"/><Relationship Id="rId3519" Type="http://schemas.openxmlformats.org/officeDocument/2006/relationships/hyperlink" Target="https://pubmed.ncbi.nlm.nih.gov/28599075" TargetMode="External"/><Relationship Id="rId3518" Type="http://schemas.openxmlformats.org/officeDocument/2006/relationships/hyperlink" Target="https://pubmed.ncbi.nlm.nih.gov/28640065" TargetMode="External"/><Relationship Id="rId4849" Type="http://schemas.openxmlformats.org/officeDocument/2006/relationships/hyperlink" Target="https://pubmed.ncbi.nlm.nih.gov/24664368" TargetMode="External"/><Relationship Id="rId4840" Type="http://schemas.openxmlformats.org/officeDocument/2006/relationships/hyperlink" Target="https://pubmed.ncbi.nlm.nih.gov/24690215" TargetMode="External"/><Relationship Id="rId3511" Type="http://schemas.openxmlformats.org/officeDocument/2006/relationships/hyperlink" Target="https://pubmed.ncbi.nlm.nih.gov/28774271" TargetMode="External"/><Relationship Id="rId4842" Type="http://schemas.openxmlformats.org/officeDocument/2006/relationships/hyperlink" Target="https://pubmed.ncbi.nlm.nih.gov/24798668" TargetMode="External"/><Relationship Id="rId3510" Type="http://schemas.openxmlformats.org/officeDocument/2006/relationships/hyperlink" Target="https://pubmed.ncbi.nlm.nih.gov/28949725" TargetMode="External"/><Relationship Id="rId4841" Type="http://schemas.openxmlformats.org/officeDocument/2006/relationships/hyperlink" Target="https://pubmed.ncbi.nlm.nih.gov/24846935" TargetMode="External"/><Relationship Id="rId3502" Type="http://schemas.openxmlformats.org/officeDocument/2006/relationships/hyperlink" Target="https://pubmed.ncbi.nlm.nih.gov/28813644" TargetMode="External"/><Relationship Id="rId4833" Type="http://schemas.openxmlformats.org/officeDocument/2006/relationships/hyperlink" Target="https://pubmed.ncbi.nlm.nih.gov/24635880" TargetMode="External"/><Relationship Id="rId3501" Type="http://schemas.openxmlformats.org/officeDocument/2006/relationships/hyperlink" Target="https://pubmed.ncbi.nlm.nih.gov/28662543" TargetMode="External"/><Relationship Id="rId4832" Type="http://schemas.openxmlformats.org/officeDocument/2006/relationships/hyperlink" Target="https://pubmed.ncbi.nlm.nih.gov/24718872" TargetMode="External"/><Relationship Id="rId3504" Type="http://schemas.openxmlformats.org/officeDocument/2006/relationships/hyperlink" Target="https://pubmed.ncbi.nlm.nih.gov/28793901" TargetMode="External"/><Relationship Id="rId4835" Type="http://schemas.openxmlformats.org/officeDocument/2006/relationships/hyperlink" Target="https://pubmed.ncbi.nlm.nih.gov/24710117" TargetMode="External"/><Relationship Id="rId3503" Type="http://schemas.openxmlformats.org/officeDocument/2006/relationships/hyperlink" Target="https://pubmed.ncbi.nlm.nih.gov/28943801" TargetMode="External"/><Relationship Id="rId4834" Type="http://schemas.openxmlformats.org/officeDocument/2006/relationships/hyperlink" Target="https://pubmed.ncbi.nlm.nih.gov/24714607" TargetMode="External"/><Relationship Id="rId3506" Type="http://schemas.openxmlformats.org/officeDocument/2006/relationships/hyperlink" Target="https://pubmed.ncbi.nlm.nih.gov/28801235" TargetMode="External"/><Relationship Id="rId4837" Type="http://schemas.openxmlformats.org/officeDocument/2006/relationships/hyperlink" Target="https://pubmed.ncbi.nlm.nih.gov/24702994" TargetMode="External"/><Relationship Id="rId3505" Type="http://schemas.openxmlformats.org/officeDocument/2006/relationships/hyperlink" Target="https://pubmed.ncbi.nlm.nih.gov/28790119" TargetMode="External"/><Relationship Id="rId4836" Type="http://schemas.openxmlformats.org/officeDocument/2006/relationships/hyperlink" Target="https://pubmed.ncbi.nlm.nih.gov/24713367" TargetMode="External"/><Relationship Id="rId3508" Type="http://schemas.openxmlformats.org/officeDocument/2006/relationships/hyperlink" Target="https://pubmed.ncbi.nlm.nih.gov/28780715" TargetMode="External"/><Relationship Id="rId4839" Type="http://schemas.openxmlformats.org/officeDocument/2006/relationships/hyperlink" Target="https://pubmed.ncbi.nlm.nih.gov/24696098" TargetMode="External"/><Relationship Id="rId3507" Type="http://schemas.openxmlformats.org/officeDocument/2006/relationships/hyperlink" Target="https://pubmed.ncbi.nlm.nih.gov/28784118" TargetMode="External"/><Relationship Id="rId4838" Type="http://schemas.openxmlformats.org/officeDocument/2006/relationships/hyperlink" Target="https://pubmed.ncbi.nlm.nih.gov/24695692" TargetMode="External"/><Relationship Id="rId3509" Type="http://schemas.openxmlformats.org/officeDocument/2006/relationships/hyperlink" Target="https://pubmed.ncbi.nlm.nih.gov/28775374" TargetMode="External"/><Relationship Id="rId3500" Type="http://schemas.openxmlformats.org/officeDocument/2006/relationships/hyperlink" Target="https://pubmed.ncbi.nlm.nih.gov/28812579" TargetMode="External"/><Relationship Id="rId4831" Type="http://schemas.openxmlformats.org/officeDocument/2006/relationships/hyperlink" Target="https://pubmed.ncbi.nlm.nih.gov/24722499" TargetMode="External"/><Relationship Id="rId4830" Type="http://schemas.openxmlformats.org/officeDocument/2006/relationships/hyperlink" Target="https://pubmed.ncbi.nlm.nih.gov/24736167" TargetMode="External"/><Relationship Id="rId2203" Type="http://schemas.openxmlformats.org/officeDocument/2006/relationships/hyperlink" Target="https://pubmed.ncbi.nlm.nih.gov/32650688" TargetMode="External"/><Relationship Id="rId3535" Type="http://schemas.openxmlformats.org/officeDocument/2006/relationships/hyperlink" Target="https://pubmed.ncbi.nlm.nih.gov/28728850" TargetMode="External"/><Relationship Id="rId4866" Type="http://schemas.openxmlformats.org/officeDocument/2006/relationships/hyperlink" Target="https://pubmed.ncbi.nlm.nih.gov/24598824" TargetMode="External"/><Relationship Id="rId2204" Type="http://schemas.openxmlformats.org/officeDocument/2006/relationships/hyperlink" Target="https://pubmed.ncbi.nlm.nih.gov/32650340" TargetMode="External"/><Relationship Id="rId3534" Type="http://schemas.openxmlformats.org/officeDocument/2006/relationships/hyperlink" Target="https://pubmed.ncbi.nlm.nih.gov/28709404" TargetMode="External"/><Relationship Id="rId4865" Type="http://schemas.openxmlformats.org/officeDocument/2006/relationships/hyperlink" Target="https://pubmed.ncbi.nlm.nih.gov/24655244" TargetMode="External"/><Relationship Id="rId2205" Type="http://schemas.openxmlformats.org/officeDocument/2006/relationships/hyperlink" Target="https://pubmed.ncbi.nlm.nih.gov/32651263" TargetMode="External"/><Relationship Id="rId3537" Type="http://schemas.openxmlformats.org/officeDocument/2006/relationships/hyperlink" Target="https://pubmed.ncbi.nlm.nih.gov/28705200" TargetMode="External"/><Relationship Id="rId4868" Type="http://schemas.openxmlformats.org/officeDocument/2006/relationships/hyperlink" Target="https://pubmed.ncbi.nlm.nih.gov/24684788" TargetMode="External"/><Relationship Id="rId2206" Type="http://schemas.openxmlformats.org/officeDocument/2006/relationships/hyperlink" Target="https://pubmed.ncbi.nlm.nih.gov/32648717" TargetMode="External"/><Relationship Id="rId3536" Type="http://schemas.openxmlformats.org/officeDocument/2006/relationships/hyperlink" Target="https://pubmed.ncbi.nlm.nih.gov/28738295" TargetMode="External"/><Relationship Id="rId4867" Type="http://schemas.openxmlformats.org/officeDocument/2006/relationships/hyperlink" Target="https://pubmed.ncbi.nlm.nih.gov/24613498" TargetMode="External"/><Relationship Id="rId2207" Type="http://schemas.openxmlformats.org/officeDocument/2006/relationships/hyperlink" Target="https://pubmed.ncbi.nlm.nih.gov/32643871" TargetMode="External"/><Relationship Id="rId3539" Type="http://schemas.openxmlformats.org/officeDocument/2006/relationships/hyperlink" Target="https://pubmed.ncbi.nlm.nih.gov/28701332" TargetMode="External"/><Relationship Id="rId2208" Type="http://schemas.openxmlformats.org/officeDocument/2006/relationships/hyperlink" Target="https://pubmed.ncbi.nlm.nih.gov/32653354" TargetMode="External"/><Relationship Id="rId3538" Type="http://schemas.openxmlformats.org/officeDocument/2006/relationships/hyperlink" Target="https://pubmed.ncbi.nlm.nih.gov/28943792" TargetMode="External"/><Relationship Id="rId4869" Type="http://schemas.openxmlformats.org/officeDocument/2006/relationships/hyperlink" Target="https://pubmed.ncbi.nlm.nih.gov/24650753" TargetMode="External"/><Relationship Id="rId2209" Type="http://schemas.openxmlformats.org/officeDocument/2006/relationships/hyperlink" Target="https://pubmed.ncbi.nlm.nih.gov/32433797" TargetMode="External"/><Relationship Id="rId4860" Type="http://schemas.openxmlformats.org/officeDocument/2006/relationships/hyperlink" Target="https://pubmed.ncbi.nlm.nih.gov/24614754" TargetMode="External"/><Relationship Id="rId3531" Type="http://schemas.openxmlformats.org/officeDocument/2006/relationships/hyperlink" Target="https://pubmed.ncbi.nlm.nih.gov/28716855" TargetMode="External"/><Relationship Id="rId4862" Type="http://schemas.openxmlformats.org/officeDocument/2006/relationships/hyperlink" Target="https://pubmed.ncbi.nlm.nih.gov/24613026" TargetMode="External"/><Relationship Id="rId2200" Type="http://schemas.openxmlformats.org/officeDocument/2006/relationships/hyperlink" Target="https://pubmed.ncbi.nlm.nih.gov/32668720" TargetMode="External"/><Relationship Id="rId3530" Type="http://schemas.openxmlformats.org/officeDocument/2006/relationships/hyperlink" Target="https://pubmed.ncbi.nlm.nih.gov/29696188" TargetMode="External"/><Relationship Id="rId4861" Type="http://schemas.openxmlformats.org/officeDocument/2006/relationships/hyperlink" Target="https://pubmed.ncbi.nlm.nih.gov/24615063" TargetMode="External"/><Relationship Id="rId2201" Type="http://schemas.openxmlformats.org/officeDocument/2006/relationships/hyperlink" Target="https://pubmed.ncbi.nlm.nih.gov/32659244" TargetMode="External"/><Relationship Id="rId3533" Type="http://schemas.openxmlformats.org/officeDocument/2006/relationships/hyperlink" Target="https://pubmed.ncbi.nlm.nih.gov/28716977" TargetMode="External"/><Relationship Id="rId4864" Type="http://schemas.openxmlformats.org/officeDocument/2006/relationships/hyperlink" Target="https://pubmed.ncbi.nlm.nih.gov/24597624" TargetMode="External"/><Relationship Id="rId2202" Type="http://schemas.openxmlformats.org/officeDocument/2006/relationships/hyperlink" Target="https://pubmed.ncbi.nlm.nih.gov/32652560" TargetMode="External"/><Relationship Id="rId3532" Type="http://schemas.openxmlformats.org/officeDocument/2006/relationships/hyperlink" Target="https://pubmed.ncbi.nlm.nih.gov/28943794" TargetMode="External"/><Relationship Id="rId4863" Type="http://schemas.openxmlformats.org/officeDocument/2006/relationships/hyperlink" Target="https://pubmed.ncbi.nlm.nih.gov/24679890" TargetMode="External"/><Relationship Id="rId3524" Type="http://schemas.openxmlformats.org/officeDocument/2006/relationships/hyperlink" Target="https://pubmed.ncbi.nlm.nih.gov/28923182" TargetMode="External"/><Relationship Id="rId4855" Type="http://schemas.openxmlformats.org/officeDocument/2006/relationships/hyperlink" Target="https://pubmed.ncbi.nlm.nih.gov/24645788" TargetMode="External"/><Relationship Id="rId3523" Type="http://schemas.openxmlformats.org/officeDocument/2006/relationships/hyperlink" Target="https://pubmed.ncbi.nlm.nih.gov/28741441" TargetMode="External"/><Relationship Id="rId4854" Type="http://schemas.openxmlformats.org/officeDocument/2006/relationships/hyperlink" Target="https://pubmed.ncbi.nlm.nih.gov/24651691" TargetMode="External"/><Relationship Id="rId3526" Type="http://schemas.openxmlformats.org/officeDocument/2006/relationships/hyperlink" Target="https://pubmed.ncbi.nlm.nih.gov/28770004" TargetMode="External"/><Relationship Id="rId4857" Type="http://schemas.openxmlformats.org/officeDocument/2006/relationships/hyperlink" Target="https://pubmed.ncbi.nlm.nih.gov/24636091" TargetMode="External"/><Relationship Id="rId3525" Type="http://schemas.openxmlformats.org/officeDocument/2006/relationships/hyperlink" Target="https://pubmed.ncbi.nlm.nih.gov/28943797" TargetMode="External"/><Relationship Id="rId4856" Type="http://schemas.openxmlformats.org/officeDocument/2006/relationships/hyperlink" Target="https://pubmed.ncbi.nlm.nih.gov/24637558" TargetMode="External"/><Relationship Id="rId3528" Type="http://schemas.openxmlformats.org/officeDocument/2006/relationships/hyperlink" Target="https://pubmed.ncbi.nlm.nih.gov/28736388" TargetMode="External"/><Relationship Id="rId4859" Type="http://schemas.openxmlformats.org/officeDocument/2006/relationships/hyperlink" Target="https://pubmed.ncbi.nlm.nih.gov/24614213" TargetMode="External"/><Relationship Id="rId3527" Type="http://schemas.openxmlformats.org/officeDocument/2006/relationships/hyperlink" Target="https://pubmed.ncbi.nlm.nih.gov/28802735" TargetMode="External"/><Relationship Id="rId4858" Type="http://schemas.openxmlformats.org/officeDocument/2006/relationships/hyperlink" Target="https://pubmed.ncbi.nlm.nih.gov/24757446" TargetMode="External"/><Relationship Id="rId3529" Type="http://schemas.openxmlformats.org/officeDocument/2006/relationships/hyperlink" Target="https://pubmed.ncbi.nlm.nih.gov/28733927" TargetMode="External"/><Relationship Id="rId3520" Type="http://schemas.openxmlformats.org/officeDocument/2006/relationships/hyperlink" Target="https://pubmed.ncbi.nlm.nih.gov/29063851" TargetMode="External"/><Relationship Id="rId4851" Type="http://schemas.openxmlformats.org/officeDocument/2006/relationships/hyperlink" Target="https://pubmed.ncbi.nlm.nih.gov/24655604" TargetMode="External"/><Relationship Id="rId4850" Type="http://schemas.openxmlformats.org/officeDocument/2006/relationships/hyperlink" Target="https://pubmed.ncbi.nlm.nih.gov/24675048" TargetMode="External"/><Relationship Id="rId3522" Type="http://schemas.openxmlformats.org/officeDocument/2006/relationships/hyperlink" Target="https://pubmed.ncbi.nlm.nih.gov/28749177" TargetMode="External"/><Relationship Id="rId4853" Type="http://schemas.openxmlformats.org/officeDocument/2006/relationships/hyperlink" Target="https://pubmed.ncbi.nlm.nih.gov/24652304" TargetMode="External"/><Relationship Id="rId3521" Type="http://schemas.openxmlformats.org/officeDocument/2006/relationships/hyperlink" Target="https://pubmed.ncbi.nlm.nih.gov/28760739" TargetMode="External"/><Relationship Id="rId4852" Type="http://schemas.openxmlformats.org/officeDocument/2006/relationships/hyperlink" Target="https://pubmed.ncbi.nlm.nih.gov/24652309" TargetMode="External"/><Relationship Id="rId4800" Type="http://schemas.openxmlformats.org/officeDocument/2006/relationships/hyperlink" Target="https://pubmed.ncbi.nlm.nih.gov/24863953" TargetMode="External"/><Relationship Id="rId4802" Type="http://schemas.openxmlformats.org/officeDocument/2006/relationships/hyperlink" Target="https://pubmed.ncbi.nlm.nih.gov/24861586" TargetMode="External"/><Relationship Id="rId4801" Type="http://schemas.openxmlformats.org/officeDocument/2006/relationships/hyperlink" Target="https://pubmed.ncbi.nlm.nih.gov/24859435" TargetMode="External"/><Relationship Id="rId4804" Type="http://schemas.openxmlformats.org/officeDocument/2006/relationships/hyperlink" Target="https://pubmed.ncbi.nlm.nih.gov/24855278" TargetMode="External"/><Relationship Id="rId4803" Type="http://schemas.openxmlformats.org/officeDocument/2006/relationships/hyperlink" Target="https://pubmed.ncbi.nlm.nih.gov/24860002" TargetMode="External"/><Relationship Id="rId4806" Type="http://schemas.openxmlformats.org/officeDocument/2006/relationships/hyperlink" Target="https://pubmed.ncbi.nlm.nih.gov/24848072" TargetMode="External"/><Relationship Id="rId4805" Type="http://schemas.openxmlformats.org/officeDocument/2006/relationships/hyperlink" Target="https://pubmed.ncbi.nlm.nih.gov/24855054" TargetMode="External"/><Relationship Id="rId4808" Type="http://schemas.openxmlformats.org/officeDocument/2006/relationships/hyperlink" Target="https://pubmed.ncbi.nlm.nih.gov/24771551" TargetMode="External"/><Relationship Id="rId4807" Type="http://schemas.openxmlformats.org/officeDocument/2006/relationships/hyperlink" Target="https://pubmed.ncbi.nlm.nih.gov/24847048" TargetMode="External"/><Relationship Id="rId4809" Type="http://schemas.openxmlformats.org/officeDocument/2006/relationships/hyperlink" Target="https://pubmed.ncbi.nlm.nih.gov/24987467" TargetMode="External"/><Relationship Id="rId4822" Type="http://schemas.openxmlformats.org/officeDocument/2006/relationships/hyperlink" Target="https://pubmed.ncbi.nlm.nih.gov/24778353" TargetMode="External"/><Relationship Id="rId4821" Type="http://schemas.openxmlformats.org/officeDocument/2006/relationships/hyperlink" Target="https://pubmed.ncbi.nlm.nih.gov/24794125" TargetMode="External"/><Relationship Id="rId4824" Type="http://schemas.openxmlformats.org/officeDocument/2006/relationships/hyperlink" Target="https://pubmed.ncbi.nlm.nih.gov/24756079" TargetMode="External"/><Relationship Id="rId4823" Type="http://schemas.openxmlformats.org/officeDocument/2006/relationships/hyperlink" Target="https://pubmed.ncbi.nlm.nih.gov/24768005" TargetMode="External"/><Relationship Id="rId4826" Type="http://schemas.openxmlformats.org/officeDocument/2006/relationships/hyperlink" Target="https://pubmed.ncbi.nlm.nih.gov/24746581" TargetMode="External"/><Relationship Id="rId4825" Type="http://schemas.openxmlformats.org/officeDocument/2006/relationships/hyperlink" Target="https://pubmed.ncbi.nlm.nih.gov/26104605" TargetMode="External"/><Relationship Id="rId4828" Type="http://schemas.openxmlformats.org/officeDocument/2006/relationships/hyperlink" Target="https://pubmed.ncbi.nlm.nih.gov/24739783" TargetMode="External"/><Relationship Id="rId4827" Type="http://schemas.openxmlformats.org/officeDocument/2006/relationships/hyperlink" Target="https://pubmed.ncbi.nlm.nih.gov/24743493" TargetMode="External"/><Relationship Id="rId4829" Type="http://schemas.openxmlformats.org/officeDocument/2006/relationships/hyperlink" Target="https://pubmed.ncbi.nlm.nih.gov/24682069" TargetMode="External"/><Relationship Id="rId4820" Type="http://schemas.openxmlformats.org/officeDocument/2006/relationships/hyperlink" Target="https://pubmed.ncbi.nlm.nih.gov/24784827" TargetMode="External"/><Relationship Id="rId4811" Type="http://schemas.openxmlformats.org/officeDocument/2006/relationships/hyperlink" Target="https://pubmed.ncbi.nlm.nih.gov/24816206" TargetMode="External"/><Relationship Id="rId4810" Type="http://schemas.openxmlformats.org/officeDocument/2006/relationships/hyperlink" Target="https://pubmed.ncbi.nlm.nih.gov/24884759" TargetMode="External"/><Relationship Id="rId4813" Type="http://schemas.openxmlformats.org/officeDocument/2006/relationships/hyperlink" Target="https://pubmed.ncbi.nlm.nih.gov/24816642" TargetMode="External"/><Relationship Id="rId4812" Type="http://schemas.openxmlformats.org/officeDocument/2006/relationships/hyperlink" Target="https://pubmed.ncbi.nlm.nih.gov/24814849" TargetMode="External"/><Relationship Id="rId4815" Type="http://schemas.openxmlformats.org/officeDocument/2006/relationships/hyperlink" Target="https://pubmed.ncbi.nlm.nih.gov/24807204" TargetMode="External"/><Relationship Id="rId4814" Type="http://schemas.openxmlformats.org/officeDocument/2006/relationships/hyperlink" Target="https://pubmed.ncbi.nlm.nih.gov/24817441" TargetMode="External"/><Relationship Id="rId4817" Type="http://schemas.openxmlformats.org/officeDocument/2006/relationships/hyperlink" Target="https://pubmed.ncbi.nlm.nih.gov/24837898" TargetMode="External"/><Relationship Id="rId4816" Type="http://schemas.openxmlformats.org/officeDocument/2006/relationships/hyperlink" Target="https://pubmed.ncbi.nlm.nih.gov/24812319" TargetMode="External"/><Relationship Id="rId4819" Type="http://schemas.openxmlformats.org/officeDocument/2006/relationships/hyperlink" Target="https://pubmed.ncbi.nlm.nih.gov/24664355" TargetMode="External"/><Relationship Id="rId4818" Type="http://schemas.openxmlformats.org/officeDocument/2006/relationships/hyperlink" Target="https://pubmed.ncbi.nlm.nih.gov/24758996" TargetMode="External"/><Relationship Id="rId2269" Type="http://schemas.openxmlformats.org/officeDocument/2006/relationships/hyperlink" Target="https://pubmed.ncbi.nlm.nih.gov/32446951" TargetMode="External"/><Relationship Id="rId3591" Type="http://schemas.openxmlformats.org/officeDocument/2006/relationships/hyperlink" Target="https://pubmed.ncbi.nlm.nih.gov/28502810" TargetMode="External"/><Relationship Id="rId2260" Type="http://schemas.openxmlformats.org/officeDocument/2006/relationships/hyperlink" Target="https://pubmed.ncbi.nlm.nih.gov/31943054" TargetMode="External"/><Relationship Id="rId3590" Type="http://schemas.openxmlformats.org/officeDocument/2006/relationships/hyperlink" Target="https://pubmed.ncbi.nlm.nih.gov/28503723" TargetMode="External"/><Relationship Id="rId2261" Type="http://schemas.openxmlformats.org/officeDocument/2006/relationships/hyperlink" Target="https://pubmed.ncbi.nlm.nih.gov/31637426" TargetMode="External"/><Relationship Id="rId3593" Type="http://schemas.openxmlformats.org/officeDocument/2006/relationships/hyperlink" Target="https://pubmed.ncbi.nlm.nih.gov/28502809" TargetMode="External"/><Relationship Id="rId2262" Type="http://schemas.openxmlformats.org/officeDocument/2006/relationships/hyperlink" Target="https://pubmed.ncbi.nlm.nih.gov/32467345" TargetMode="External"/><Relationship Id="rId3592" Type="http://schemas.openxmlformats.org/officeDocument/2006/relationships/hyperlink" Target="https://pubmed.ncbi.nlm.nih.gov/28502808" TargetMode="External"/><Relationship Id="rId2263" Type="http://schemas.openxmlformats.org/officeDocument/2006/relationships/hyperlink" Target="https://pubmed.ncbi.nlm.nih.gov/35382525" TargetMode="External"/><Relationship Id="rId3595" Type="http://schemas.openxmlformats.org/officeDocument/2006/relationships/hyperlink" Target="https://pubmed.ncbi.nlm.nih.gov/28501369" TargetMode="External"/><Relationship Id="rId2264" Type="http://schemas.openxmlformats.org/officeDocument/2006/relationships/hyperlink" Target="https://pubmed.ncbi.nlm.nih.gov/31988084" TargetMode="External"/><Relationship Id="rId3594" Type="http://schemas.openxmlformats.org/officeDocument/2006/relationships/hyperlink" Target="https://pubmed.ncbi.nlm.nih.gov/28502812" TargetMode="External"/><Relationship Id="rId2265" Type="http://schemas.openxmlformats.org/officeDocument/2006/relationships/hyperlink" Target="https://pubmed.ncbi.nlm.nih.gov/32547244" TargetMode="External"/><Relationship Id="rId3597" Type="http://schemas.openxmlformats.org/officeDocument/2006/relationships/hyperlink" Target="https://pubmed.ncbi.nlm.nih.gov/28501668" TargetMode="External"/><Relationship Id="rId2266" Type="http://schemas.openxmlformats.org/officeDocument/2006/relationships/hyperlink" Target="https://pubmed.ncbi.nlm.nih.gov/32473262" TargetMode="External"/><Relationship Id="rId3596" Type="http://schemas.openxmlformats.org/officeDocument/2006/relationships/hyperlink" Target="https://pubmed.ncbi.nlm.nih.gov/28454509" TargetMode="External"/><Relationship Id="rId2267" Type="http://schemas.openxmlformats.org/officeDocument/2006/relationships/hyperlink" Target="https://pubmed.ncbi.nlm.nih.gov/32459511" TargetMode="External"/><Relationship Id="rId3599" Type="http://schemas.openxmlformats.org/officeDocument/2006/relationships/hyperlink" Target="https://pubmed.ncbi.nlm.nih.gov/28487344" TargetMode="External"/><Relationship Id="rId2268" Type="http://schemas.openxmlformats.org/officeDocument/2006/relationships/hyperlink" Target="https://pubmed.ncbi.nlm.nih.gov/32452651" TargetMode="External"/><Relationship Id="rId3598" Type="http://schemas.openxmlformats.org/officeDocument/2006/relationships/hyperlink" Target="https://pubmed.ncbi.nlm.nih.gov/28375552" TargetMode="External"/><Relationship Id="rId2258" Type="http://schemas.openxmlformats.org/officeDocument/2006/relationships/hyperlink" Target="https://pubmed.ncbi.nlm.nih.gov/33536683" TargetMode="External"/><Relationship Id="rId2259" Type="http://schemas.openxmlformats.org/officeDocument/2006/relationships/hyperlink" Target="https://pubmed.ncbi.nlm.nih.gov/32487576" TargetMode="External"/><Relationship Id="rId3589" Type="http://schemas.openxmlformats.org/officeDocument/2006/relationships/hyperlink" Target="https://pubmed.ncbi.nlm.nih.gov/28506267" TargetMode="External"/><Relationship Id="rId3580" Type="http://schemas.openxmlformats.org/officeDocument/2006/relationships/hyperlink" Target="https://pubmed.ncbi.nlm.nih.gov/28549929" TargetMode="External"/><Relationship Id="rId2250" Type="http://schemas.openxmlformats.org/officeDocument/2006/relationships/hyperlink" Target="https://pubmed.ncbi.nlm.nih.gov/32479165" TargetMode="External"/><Relationship Id="rId3582" Type="http://schemas.openxmlformats.org/officeDocument/2006/relationships/hyperlink" Target="https://pubmed.ncbi.nlm.nih.gov/28532974" TargetMode="External"/><Relationship Id="rId2251" Type="http://schemas.openxmlformats.org/officeDocument/2006/relationships/hyperlink" Target="https://pubmed.ncbi.nlm.nih.gov/32502646" TargetMode="External"/><Relationship Id="rId3581" Type="http://schemas.openxmlformats.org/officeDocument/2006/relationships/hyperlink" Target="https://pubmed.ncbi.nlm.nih.gov/28542918" TargetMode="External"/><Relationship Id="rId2252" Type="http://schemas.openxmlformats.org/officeDocument/2006/relationships/hyperlink" Target="https://pubmed.ncbi.nlm.nih.gov/32053520" TargetMode="External"/><Relationship Id="rId3584" Type="http://schemas.openxmlformats.org/officeDocument/2006/relationships/hyperlink" Target="https://pubmed.ncbi.nlm.nih.gov/28943786" TargetMode="External"/><Relationship Id="rId2253" Type="http://schemas.openxmlformats.org/officeDocument/2006/relationships/hyperlink" Target="https://pubmed.ncbi.nlm.nih.gov/32487041" TargetMode="External"/><Relationship Id="rId3583" Type="http://schemas.openxmlformats.org/officeDocument/2006/relationships/hyperlink" Target="https://pubmed.ncbi.nlm.nih.gov/28526767" TargetMode="External"/><Relationship Id="rId2254" Type="http://schemas.openxmlformats.org/officeDocument/2006/relationships/hyperlink" Target="https://pubmed.ncbi.nlm.nih.gov/32554658" TargetMode="External"/><Relationship Id="rId3586" Type="http://schemas.openxmlformats.org/officeDocument/2006/relationships/hyperlink" Target="https://pubmed.ncbi.nlm.nih.gov/28579040" TargetMode="External"/><Relationship Id="rId2255" Type="http://schemas.openxmlformats.org/officeDocument/2006/relationships/hyperlink" Target="https://pubmed.ncbi.nlm.nih.gov/32483830" TargetMode="External"/><Relationship Id="rId3585" Type="http://schemas.openxmlformats.org/officeDocument/2006/relationships/hyperlink" Target="https://pubmed.ncbi.nlm.nih.gov/28943784" TargetMode="External"/><Relationship Id="rId2256" Type="http://schemas.openxmlformats.org/officeDocument/2006/relationships/hyperlink" Target="https://pubmed.ncbi.nlm.nih.gov/32554659" TargetMode="External"/><Relationship Id="rId3588" Type="http://schemas.openxmlformats.org/officeDocument/2006/relationships/hyperlink" Target="https://pubmed.ncbi.nlm.nih.gov/28712619" TargetMode="External"/><Relationship Id="rId2257" Type="http://schemas.openxmlformats.org/officeDocument/2006/relationships/hyperlink" Target="https://pubmed.ncbi.nlm.nih.gov/31722402" TargetMode="External"/><Relationship Id="rId3587" Type="http://schemas.openxmlformats.org/officeDocument/2006/relationships/hyperlink" Target="https://pubmed.ncbi.nlm.nih.gov/28520809" TargetMode="External"/><Relationship Id="rId2280" Type="http://schemas.openxmlformats.org/officeDocument/2006/relationships/hyperlink" Target="https://pubmed.ncbi.nlm.nih.gov/32995468" TargetMode="External"/><Relationship Id="rId2281" Type="http://schemas.openxmlformats.org/officeDocument/2006/relationships/hyperlink" Target="https://pubmed.ncbi.nlm.nih.gov/32414635" TargetMode="External"/><Relationship Id="rId2282" Type="http://schemas.openxmlformats.org/officeDocument/2006/relationships/hyperlink" Target="https://pubmed.ncbi.nlm.nih.gov/32494136" TargetMode="External"/><Relationship Id="rId2283" Type="http://schemas.openxmlformats.org/officeDocument/2006/relationships/hyperlink" Target="https://pubmed.ncbi.nlm.nih.gov/32394589" TargetMode="External"/><Relationship Id="rId2284" Type="http://schemas.openxmlformats.org/officeDocument/2006/relationships/hyperlink" Target="https://pubmed.ncbi.nlm.nih.gov/32381031" TargetMode="External"/><Relationship Id="rId2285" Type="http://schemas.openxmlformats.org/officeDocument/2006/relationships/hyperlink" Target="https://pubmed.ncbi.nlm.nih.gov/32381099" TargetMode="External"/><Relationship Id="rId2286" Type="http://schemas.openxmlformats.org/officeDocument/2006/relationships/hyperlink" Target="https://pubmed.ncbi.nlm.nih.gov/32375491" TargetMode="External"/><Relationship Id="rId2287" Type="http://schemas.openxmlformats.org/officeDocument/2006/relationships/hyperlink" Target="https://pubmed.ncbi.nlm.nih.gov/32387438" TargetMode="External"/><Relationship Id="rId2288" Type="http://schemas.openxmlformats.org/officeDocument/2006/relationships/hyperlink" Target="https://pubmed.ncbi.nlm.nih.gov/32375745" TargetMode="External"/><Relationship Id="rId2289" Type="http://schemas.openxmlformats.org/officeDocument/2006/relationships/hyperlink" Target="https://pubmed.ncbi.nlm.nih.gov/32365349" TargetMode="External"/><Relationship Id="rId2270" Type="http://schemas.openxmlformats.org/officeDocument/2006/relationships/hyperlink" Target="https://pubmed.ncbi.nlm.nih.gov/32446326" TargetMode="External"/><Relationship Id="rId2271" Type="http://schemas.openxmlformats.org/officeDocument/2006/relationships/hyperlink" Target="https://pubmed.ncbi.nlm.nih.gov/32438495" TargetMode="External"/><Relationship Id="rId2272" Type="http://schemas.openxmlformats.org/officeDocument/2006/relationships/hyperlink" Target="https://pubmed.ncbi.nlm.nih.gov/32434574" TargetMode="External"/><Relationship Id="rId2273" Type="http://schemas.openxmlformats.org/officeDocument/2006/relationships/hyperlink" Target="https://pubmed.ncbi.nlm.nih.gov/32431190" TargetMode="External"/><Relationship Id="rId2274" Type="http://schemas.openxmlformats.org/officeDocument/2006/relationships/hyperlink" Target="https://pubmed.ncbi.nlm.nih.gov/32480074" TargetMode="External"/><Relationship Id="rId2275" Type="http://schemas.openxmlformats.org/officeDocument/2006/relationships/hyperlink" Target="https://pubmed.ncbi.nlm.nih.gov/32423278" TargetMode="External"/><Relationship Id="rId2276" Type="http://schemas.openxmlformats.org/officeDocument/2006/relationships/hyperlink" Target="https://pubmed.ncbi.nlm.nih.gov/32434932" TargetMode="External"/><Relationship Id="rId2277" Type="http://schemas.openxmlformats.org/officeDocument/2006/relationships/hyperlink" Target="https://pubmed.ncbi.nlm.nih.gov/32429917" TargetMode="External"/><Relationship Id="rId2278" Type="http://schemas.openxmlformats.org/officeDocument/2006/relationships/hyperlink" Target="https://pubmed.ncbi.nlm.nih.gov/32685898" TargetMode="External"/><Relationship Id="rId2279" Type="http://schemas.openxmlformats.org/officeDocument/2006/relationships/hyperlink" Target="https://pubmed.ncbi.nlm.nih.gov/34457753" TargetMode="External"/><Relationship Id="rId2225" Type="http://schemas.openxmlformats.org/officeDocument/2006/relationships/hyperlink" Target="https://pubmed.ncbi.nlm.nih.gov/32589630" TargetMode="External"/><Relationship Id="rId3557" Type="http://schemas.openxmlformats.org/officeDocument/2006/relationships/hyperlink" Target="https://pubmed.ncbi.nlm.nih.gov/28663432" TargetMode="External"/><Relationship Id="rId4888" Type="http://schemas.openxmlformats.org/officeDocument/2006/relationships/hyperlink" Target="https://pubmed.ncbi.nlm.nih.gov/24320992" TargetMode="External"/><Relationship Id="rId2226" Type="http://schemas.openxmlformats.org/officeDocument/2006/relationships/hyperlink" Target="https://pubmed.ncbi.nlm.nih.gov/32599152" TargetMode="External"/><Relationship Id="rId3556" Type="http://schemas.openxmlformats.org/officeDocument/2006/relationships/hyperlink" Target="https://pubmed.ncbi.nlm.nih.gov/27342581" TargetMode="External"/><Relationship Id="rId4887" Type="http://schemas.openxmlformats.org/officeDocument/2006/relationships/hyperlink" Target="https://pubmed.ncbi.nlm.nih.gov/24105403" TargetMode="External"/><Relationship Id="rId2227" Type="http://schemas.openxmlformats.org/officeDocument/2006/relationships/hyperlink" Target="https://pubmed.ncbi.nlm.nih.gov/32571773" TargetMode="External"/><Relationship Id="rId3559" Type="http://schemas.openxmlformats.org/officeDocument/2006/relationships/hyperlink" Target="https://pubmed.ncbi.nlm.nih.gov/28666001" TargetMode="External"/><Relationship Id="rId2228" Type="http://schemas.openxmlformats.org/officeDocument/2006/relationships/hyperlink" Target="https://pubmed.ncbi.nlm.nih.gov/32581367" TargetMode="External"/><Relationship Id="rId3558" Type="http://schemas.openxmlformats.org/officeDocument/2006/relationships/hyperlink" Target="https://pubmed.ncbi.nlm.nih.gov/28525637" TargetMode="External"/><Relationship Id="rId4889" Type="http://schemas.openxmlformats.org/officeDocument/2006/relationships/hyperlink" Target="https://pubmed.ncbi.nlm.nih.gov/23821454" TargetMode="External"/><Relationship Id="rId2229" Type="http://schemas.openxmlformats.org/officeDocument/2006/relationships/hyperlink" Target="https://pubmed.ncbi.nlm.nih.gov/32580717" TargetMode="External"/><Relationship Id="rId4880" Type="http://schemas.openxmlformats.org/officeDocument/2006/relationships/hyperlink" Target="https://pubmed.ncbi.nlm.nih.gov/24523857" TargetMode="External"/><Relationship Id="rId3551" Type="http://schemas.openxmlformats.org/officeDocument/2006/relationships/hyperlink" Target="https://pubmed.ncbi.nlm.nih.gov/28684396" TargetMode="External"/><Relationship Id="rId4882" Type="http://schemas.openxmlformats.org/officeDocument/2006/relationships/hyperlink" Target="https://pubmed.ncbi.nlm.nih.gov/24507449" TargetMode="External"/><Relationship Id="rId2220" Type="http://schemas.openxmlformats.org/officeDocument/2006/relationships/hyperlink" Target="https://pubmed.ncbi.nlm.nih.gov/32267771" TargetMode="External"/><Relationship Id="rId3550" Type="http://schemas.openxmlformats.org/officeDocument/2006/relationships/hyperlink" Target="https://pubmed.ncbi.nlm.nih.gov/28747862" TargetMode="External"/><Relationship Id="rId4881" Type="http://schemas.openxmlformats.org/officeDocument/2006/relationships/hyperlink" Target="https://pubmed.ncbi.nlm.nih.gov/24519410" TargetMode="External"/><Relationship Id="rId2221" Type="http://schemas.openxmlformats.org/officeDocument/2006/relationships/hyperlink" Target="https://pubmed.ncbi.nlm.nih.gov/32433726" TargetMode="External"/><Relationship Id="rId3553" Type="http://schemas.openxmlformats.org/officeDocument/2006/relationships/hyperlink" Target="https://pubmed.ncbi.nlm.nih.gov/28424983" TargetMode="External"/><Relationship Id="rId4884" Type="http://schemas.openxmlformats.org/officeDocument/2006/relationships/hyperlink" Target="https://pubmed.ncbi.nlm.nih.gov/24508898" TargetMode="External"/><Relationship Id="rId2222" Type="http://schemas.openxmlformats.org/officeDocument/2006/relationships/hyperlink" Target="https://pubmed.ncbi.nlm.nih.gov/32609766" TargetMode="External"/><Relationship Id="rId3552" Type="http://schemas.openxmlformats.org/officeDocument/2006/relationships/hyperlink" Target="https://pubmed.ncbi.nlm.nih.gov/28845428" TargetMode="External"/><Relationship Id="rId4883" Type="http://schemas.openxmlformats.org/officeDocument/2006/relationships/hyperlink" Target="https://pubmed.ncbi.nlm.nih.gov/24582641" TargetMode="External"/><Relationship Id="rId2223" Type="http://schemas.openxmlformats.org/officeDocument/2006/relationships/hyperlink" Target="https://pubmed.ncbi.nlm.nih.gov/32476250" TargetMode="External"/><Relationship Id="rId3555" Type="http://schemas.openxmlformats.org/officeDocument/2006/relationships/hyperlink" Target="https://pubmed.ncbi.nlm.nih.gov/28525540" TargetMode="External"/><Relationship Id="rId4886" Type="http://schemas.openxmlformats.org/officeDocument/2006/relationships/hyperlink" Target="https://pubmed.ncbi.nlm.nih.gov/24508145" TargetMode="External"/><Relationship Id="rId2224" Type="http://schemas.openxmlformats.org/officeDocument/2006/relationships/hyperlink" Target="https://pubmed.ncbi.nlm.nih.gov/32665312" TargetMode="External"/><Relationship Id="rId3554" Type="http://schemas.openxmlformats.org/officeDocument/2006/relationships/hyperlink" Target="https://pubmed.ncbi.nlm.nih.gov/28164208" TargetMode="External"/><Relationship Id="rId4885" Type="http://schemas.openxmlformats.org/officeDocument/2006/relationships/hyperlink" Target="https://pubmed.ncbi.nlm.nih.gov/24505249" TargetMode="External"/><Relationship Id="rId2214" Type="http://schemas.openxmlformats.org/officeDocument/2006/relationships/hyperlink" Target="https://pubmed.ncbi.nlm.nih.gov/32631923" TargetMode="External"/><Relationship Id="rId3546" Type="http://schemas.openxmlformats.org/officeDocument/2006/relationships/hyperlink" Target="https://pubmed.ncbi.nlm.nih.gov/28704700" TargetMode="External"/><Relationship Id="rId4877" Type="http://schemas.openxmlformats.org/officeDocument/2006/relationships/hyperlink" Target="https://pubmed.ncbi.nlm.nih.gov/24561271" TargetMode="External"/><Relationship Id="rId2215" Type="http://schemas.openxmlformats.org/officeDocument/2006/relationships/hyperlink" Target="https://pubmed.ncbi.nlm.nih.gov/34816147" TargetMode="External"/><Relationship Id="rId3545" Type="http://schemas.openxmlformats.org/officeDocument/2006/relationships/hyperlink" Target="https://pubmed.ncbi.nlm.nih.gov/28712563" TargetMode="External"/><Relationship Id="rId4876" Type="http://schemas.openxmlformats.org/officeDocument/2006/relationships/hyperlink" Target="https://pubmed.ncbi.nlm.nih.gov/24630127" TargetMode="External"/><Relationship Id="rId2216" Type="http://schemas.openxmlformats.org/officeDocument/2006/relationships/hyperlink" Target="https://pubmed.ncbi.nlm.nih.gov/32611419" TargetMode="External"/><Relationship Id="rId3548" Type="http://schemas.openxmlformats.org/officeDocument/2006/relationships/hyperlink" Target="https://pubmed.ncbi.nlm.nih.gov/28683739" TargetMode="External"/><Relationship Id="rId4879" Type="http://schemas.openxmlformats.org/officeDocument/2006/relationships/hyperlink" Target="https://pubmed.ncbi.nlm.nih.gov/24522879" TargetMode="External"/><Relationship Id="rId2217" Type="http://schemas.openxmlformats.org/officeDocument/2006/relationships/hyperlink" Target="https://pubmed.ncbi.nlm.nih.gov/32299858" TargetMode="External"/><Relationship Id="rId3547" Type="http://schemas.openxmlformats.org/officeDocument/2006/relationships/hyperlink" Target="https://pubmed.ncbi.nlm.nih.gov/28694123" TargetMode="External"/><Relationship Id="rId4878" Type="http://schemas.openxmlformats.org/officeDocument/2006/relationships/hyperlink" Target="https://pubmed.ncbi.nlm.nih.gov/24554075" TargetMode="External"/><Relationship Id="rId2218" Type="http://schemas.openxmlformats.org/officeDocument/2006/relationships/hyperlink" Target="https://pubmed.ncbi.nlm.nih.gov/32149858" TargetMode="External"/><Relationship Id="rId2219" Type="http://schemas.openxmlformats.org/officeDocument/2006/relationships/hyperlink" Target="https://pubmed.ncbi.nlm.nih.gov/32610336" TargetMode="External"/><Relationship Id="rId3549" Type="http://schemas.openxmlformats.org/officeDocument/2006/relationships/hyperlink" Target="https://pubmed.ncbi.nlm.nih.gov/28679361" TargetMode="External"/><Relationship Id="rId3540" Type="http://schemas.openxmlformats.org/officeDocument/2006/relationships/hyperlink" Target="https://pubmed.ncbi.nlm.nih.gov/28838558" TargetMode="External"/><Relationship Id="rId4871" Type="http://schemas.openxmlformats.org/officeDocument/2006/relationships/hyperlink" Target="https://pubmed.ncbi.nlm.nih.gov/24568840" TargetMode="External"/><Relationship Id="rId4870" Type="http://schemas.openxmlformats.org/officeDocument/2006/relationships/hyperlink" Target="https://pubmed.ncbi.nlm.nih.gov/24583966" TargetMode="External"/><Relationship Id="rId2210" Type="http://schemas.openxmlformats.org/officeDocument/2006/relationships/hyperlink" Target="https://pubmed.ncbi.nlm.nih.gov/32773904" TargetMode="External"/><Relationship Id="rId3542" Type="http://schemas.openxmlformats.org/officeDocument/2006/relationships/hyperlink" Target="https://pubmed.ncbi.nlm.nih.gov/28701411" TargetMode="External"/><Relationship Id="rId4873" Type="http://schemas.openxmlformats.org/officeDocument/2006/relationships/hyperlink" Target="https://pubmed.ncbi.nlm.nih.gov/24607853" TargetMode="External"/><Relationship Id="rId2211" Type="http://schemas.openxmlformats.org/officeDocument/2006/relationships/hyperlink" Target="https://pubmed.ncbi.nlm.nih.gov/32641421" TargetMode="External"/><Relationship Id="rId3541" Type="http://schemas.openxmlformats.org/officeDocument/2006/relationships/hyperlink" Target="https://pubmed.ncbi.nlm.nih.gov/28701105" TargetMode="External"/><Relationship Id="rId4872" Type="http://schemas.openxmlformats.org/officeDocument/2006/relationships/hyperlink" Target="https://pubmed.ncbi.nlm.nih.gov/24560520" TargetMode="External"/><Relationship Id="rId2212" Type="http://schemas.openxmlformats.org/officeDocument/2006/relationships/hyperlink" Target="https://pubmed.ncbi.nlm.nih.gov/32633856" TargetMode="External"/><Relationship Id="rId3544" Type="http://schemas.openxmlformats.org/officeDocument/2006/relationships/hyperlink" Target="https://pubmed.ncbi.nlm.nih.gov/28692036" TargetMode="External"/><Relationship Id="rId4875" Type="http://schemas.openxmlformats.org/officeDocument/2006/relationships/hyperlink" Target="https://pubmed.ncbi.nlm.nih.gov/24552852" TargetMode="External"/><Relationship Id="rId2213" Type="http://schemas.openxmlformats.org/officeDocument/2006/relationships/hyperlink" Target="https://pubmed.ncbi.nlm.nih.gov/32638128" TargetMode="External"/><Relationship Id="rId3543" Type="http://schemas.openxmlformats.org/officeDocument/2006/relationships/hyperlink" Target="https://pubmed.ncbi.nlm.nih.gov/28697741" TargetMode="External"/><Relationship Id="rId4874" Type="http://schemas.openxmlformats.org/officeDocument/2006/relationships/hyperlink" Target="https://pubmed.ncbi.nlm.nih.gov/24552319" TargetMode="External"/><Relationship Id="rId2247" Type="http://schemas.openxmlformats.org/officeDocument/2006/relationships/hyperlink" Target="https://pubmed.ncbi.nlm.nih.gov/32972629" TargetMode="External"/><Relationship Id="rId3579" Type="http://schemas.openxmlformats.org/officeDocument/2006/relationships/hyperlink" Target="https://pubmed.ncbi.nlm.nih.gov/28544171" TargetMode="External"/><Relationship Id="rId2248" Type="http://schemas.openxmlformats.org/officeDocument/2006/relationships/hyperlink" Target="https://pubmed.ncbi.nlm.nih.gov/32497119" TargetMode="External"/><Relationship Id="rId3578" Type="http://schemas.openxmlformats.org/officeDocument/2006/relationships/hyperlink" Target="https://pubmed.ncbi.nlm.nih.gov/28541122" TargetMode="External"/><Relationship Id="rId2249" Type="http://schemas.openxmlformats.org/officeDocument/2006/relationships/hyperlink" Target="https://pubmed.ncbi.nlm.nih.gov/32491246" TargetMode="External"/><Relationship Id="rId3571" Type="http://schemas.openxmlformats.org/officeDocument/2006/relationships/hyperlink" Target="https://pubmed.ncbi.nlm.nih.gov/28583146" TargetMode="External"/><Relationship Id="rId2240" Type="http://schemas.openxmlformats.org/officeDocument/2006/relationships/hyperlink" Target="https://pubmed.ncbi.nlm.nih.gov/32537897" TargetMode="External"/><Relationship Id="rId3570" Type="http://schemas.openxmlformats.org/officeDocument/2006/relationships/hyperlink" Target="https://pubmed.ncbi.nlm.nih.gov/28593040" TargetMode="External"/><Relationship Id="rId2241" Type="http://schemas.openxmlformats.org/officeDocument/2006/relationships/hyperlink" Target="https://pubmed.ncbi.nlm.nih.gov/32535715" TargetMode="External"/><Relationship Id="rId3573" Type="http://schemas.openxmlformats.org/officeDocument/2006/relationships/hyperlink" Target="https://pubmed.ncbi.nlm.nih.gov/28444236" TargetMode="External"/><Relationship Id="rId2242" Type="http://schemas.openxmlformats.org/officeDocument/2006/relationships/hyperlink" Target="https://pubmed.ncbi.nlm.nih.gov/32540388" TargetMode="External"/><Relationship Id="rId3572" Type="http://schemas.openxmlformats.org/officeDocument/2006/relationships/hyperlink" Target="https://pubmed.ncbi.nlm.nih.gov/30215626" TargetMode="External"/><Relationship Id="rId2243" Type="http://schemas.openxmlformats.org/officeDocument/2006/relationships/hyperlink" Target="https://pubmed.ncbi.nlm.nih.gov/32527298" TargetMode="External"/><Relationship Id="rId3575" Type="http://schemas.openxmlformats.org/officeDocument/2006/relationships/hyperlink" Target="https://pubmed.ncbi.nlm.nih.gov/28618906" TargetMode="External"/><Relationship Id="rId2244" Type="http://schemas.openxmlformats.org/officeDocument/2006/relationships/hyperlink" Target="https://pubmed.ncbi.nlm.nih.gov/32665191" TargetMode="External"/><Relationship Id="rId3574" Type="http://schemas.openxmlformats.org/officeDocument/2006/relationships/hyperlink" Target="https://pubmed.ncbi.nlm.nih.gov/28632933" TargetMode="External"/><Relationship Id="rId2245" Type="http://schemas.openxmlformats.org/officeDocument/2006/relationships/hyperlink" Target="https://pubmed.ncbi.nlm.nih.gov/32503460" TargetMode="External"/><Relationship Id="rId3577" Type="http://schemas.openxmlformats.org/officeDocument/2006/relationships/hyperlink" Target="https://pubmed.ncbi.nlm.nih.gov/29200941" TargetMode="External"/><Relationship Id="rId2246" Type="http://schemas.openxmlformats.org/officeDocument/2006/relationships/hyperlink" Target="https://pubmed.ncbi.nlm.nih.gov/32567910" TargetMode="External"/><Relationship Id="rId3576" Type="http://schemas.openxmlformats.org/officeDocument/2006/relationships/hyperlink" Target="https://pubmed.ncbi.nlm.nih.gov/28569376" TargetMode="External"/><Relationship Id="rId2236" Type="http://schemas.openxmlformats.org/officeDocument/2006/relationships/hyperlink" Target="https://pubmed.ncbi.nlm.nih.gov/32548911" TargetMode="External"/><Relationship Id="rId3568" Type="http://schemas.openxmlformats.org/officeDocument/2006/relationships/hyperlink" Target="https://pubmed.ncbi.nlm.nih.gov/28606729" TargetMode="External"/><Relationship Id="rId4899" Type="http://schemas.openxmlformats.org/officeDocument/2006/relationships/hyperlink" Target="https://pubmed.ncbi.nlm.nih.gov/24462370" TargetMode="External"/><Relationship Id="rId2237" Type="http://schemas.openxmlformats.org/officeDocument/2006/relationships/hyperlink" Target="https://pubmed.ncbi.nlm.nih.gov/32539786" TargetMode="External"/><Relationship Id="rId3567" Type="http://schemas.openxmlformats.org/officeDocument/2006/relationships/hyperlink" Target="https://pubmed.ncbi.nlm.nih.gov/27705888" TargetMode="External"/><Relationship Id="rId4898" Type="http://schemas.openxmlformats.org/officeDocument/2006/relationships/hyperlink" Target="https://pubmed.ncbi.nlm.nih.gov/24622747" TargetMode="External"/><Relationship Id="rId2238" Type="http://schemas.openxmlformats.org/officeDocument/2006/relationships/hyperlink" Target="https://pubmed.ncbi.nlm.nih.gov/32538793" TargetMode="External"/><Relationship Id="rId2239" Type="http://schemas.openxmlformats.org/officeDocument/2006/relationships/hyperlink" Target="https://pubmed.ncbi.nlm.nih.gov/32682105" TargetMode="External"/><Relationship Id="rId3569" Type="http://schemas.openxmlformats.org/officeDocument/2006/relationships/hyperlink" Target="https://pubmed.ncbi.nlm.nih.gov/30215625" TargetMode="External"/><Relationship Id="rId3560" Type="http://schemas.openxmlformats.org/officeDocument/2006/relationships/hyperlink" Target="https://pubmed.ncbi.nlm.nih.gov/28667086" TargetMode="External"/><Relationship Id="rId4891" Type="http://schemas.openxmlformats.org/officeDocument/2006/relationships/hyperlink" Target="https://pubmed.ncbi.nlm.nih.gov/24486280" TargetMode="External"/><Relationship Id="rId4890" Type="http://schemas.openxmlformats.org/officeDocument/2006/relationships/hyperlink" Target="https://pubmed.ncbi.nlm.nih.gov/24567621" TargetMode="External"/><Relationship Id="rId2230" Type="http://schemas.openxmlformats.org/officeDocument/2006/relationships/hyperlink" Target="https://pubmed.ncbi.nlm.nih.gov/32564149" TargetMode="External"/><Relationship Id="rId3562" Type="http://schemas.openxmlformats.org/officeDocument/2006/relationships/hyperlink" Target="https://pubmed.ncbi.nlm.nih.gov/28739187" TargetMode="External"/><Relationship Id="rId4893" Type="http://schemas.openxmlformats.org/officeDocument/2006/relationships/hyperlink" Target="https://pubmed.ncbi.nlm.nih.gov/24580439" TargetMode="External"/><Relationship Id="rId2231" Type="http://schemas.openxmlformats.org/officeDocument/2006/relationships/hyperlink" Target="https://pubmed.ncbi.nlm.nih.gov/32565213" TargetMode="External"/><Relationship Id="rId3561" Type="http://schemas.openxmlformats.org/officeDocument/2006/relationships/hyperlink" Target="https://pubmed.ncbi.nlm.nih.gov/29200942" TargetMode="External"/><Relationship Id="rId4892" Type="http://schemas.openxmlformats.org/officeDocument/2006/relationships/hyperlink" Target="https://pubmed.ncbi.nlm.nih.gov/24477110" TargetMode="External"/><Relationship Id="rId2232" Type="http://schemas.openxmlformats.org/officeDocument/2006/relationships/hyperlink" Target="https://pubmed.ncbi.nlm.nih.gov/32559194" TargetMode="External"/><Relationship Id="rId3564" Type="http://schemas.openxmlformats.org/officeDocument/2006/relationships/hyperlink" Target="https://pubmed.ncbi.nlm.nih.gov/28630237" TargetMode="External"/><Relationship Id="rId4895" Type="http://schemas.openxmlformats.org/officeDocument/2006/relationships/hyperlink" Target="https://pubmed.ncbi.nlm.nih.gov/24474739" TargetMode="External"/><Relationship Id="rId2233" Type="http://schemas.openxmlformats.org/officeDocument/2006/relationships/hyperlink" Target="https://pubmed.ncbi.nlm.nih.gov/32566758" TargetMode="External"/><Relationship Id="rId3563" Type="http://schemas.openxmlformats.org/officeDocument/2006/relationships/hyperlink" Target="https://pubmed.ncbi.nlm.nih.gov/28732822" TargetMode="External"/><Relationship Id="rId4894" Type="http://schemas.openxmlformats.org/officeDocument/2006/relationships/hyperlink" Target="https://pubmed.ncbi.nlm.nih.gov/24469791" TargetMode="External"/><Relationship Id="rId2234" Type="http://schemas.openxmlformats.org/officeDocument/2006/relationships/hyperlink" Target="https://pubmed.ncbi.nlm.nih.gov/32546049" TargetMode="External"/><Relationship Id="rId3566" Type="http://schemas.openxmlformats.org/officeDocument/2006/relationships/hyperlink" Target="https://pubmed.ncbi.nlm.nih.gov/28781578" TargetMode="External"/><Relationship Id="rId4897" Type="http://schemas.openxmlformats.org/officeDocument/2006/relationships/hyperlink" Target="https://pubmed.ncbi.nlm.nih.gov/24458074" TargetMode="External"/><Relationship Id="rId2235" Type="http://schemas.openxmlformats.org/officeDocument/2006/relationships/hyperlink" Target="https://pubmed.ncbi.nlm.nih.gov/32469323" TargetMode="External"/><Relationship Id="rId3565" Type="http://schemas.openxmlformats.org/officeDocument/2006/relationships/hyperlink" Target="https://pubmed.ncbi.nlm.nih.gov/28329088" TargetMode="External"/><Relationship Id="rId4896" Type="http://schemas.openxmlformats.org/officeDocument/2006/relationships/hyperlink" Target="https://pubmed.ncbi.nlm.nih.gov/24473156" TargetMode="External"/><Relationship Id="rId2290" Type="http://schemas.openxmlformats.org/officeDocument/2006/relationships/hyperlink" Target="https://pubmed.ncbi.nlm.nih.gov/32363989" TargetMode="External"/><Relationship Id="rId2291" Type="http://schemas.openxmlformats.org/officeDocument/2006/relationships/hyperlink" Target="https://pubmed.ncbi.nlm.nih.gov/32294163" TargetMode="External"/><Relationship Id="rId2292" Type="http://schemas.openxmlformats.org/officeDocument/2006/relationships/hyperlink" Target="https://pubmed.ncbi.nlm.nih.gov/32039992" TargetMode="External"/><Relationship Id="rId2293" Type="http://schemas.openxmlformats.org/officeDocument/2006/relationships/hyperlink" Target="https://pubmed.ncbi.nlm.nih.gov/32096146" TargetMode="External"/><Relationship Id="rId2294" Type="http://schemas.openxmlformats.org/officeDocument/2006/relationships/hyperlink" Target="https://pubmed.ncbi.nlm.nih.gov/31435679" TargetMode="External"/><Relationship Id="rId2295" Type="http://schemas.openxmlformats.org/officeDocument/2006/relationships/hyperlink" Target="https://pubmed.ncbi.nlm.nih.gov/32310619" TargetMode="External"/><Relationship Id="rId2296" Type="http://schemas.openxmlformats.org/officeDocument/2006/relationships/hyperlink" Target="https://pubmed.ncbi.nlm.nih.gov/32350891" TargetMode="External"/><Relationship Id="rId2297" Type="http://schemas.openxmlformats.org/officeDocument/2006/relationships/hyperlink" Target="https://pubmed.ncbi.nlm.nih.gov/32354711" TargetMode="External"/><Relationship Id="rId2298" Type="http://schemas.openxmlformats.org/officeDocument/2006/relationships/hyperlink" Target="https://pubmed.ncbi.nlm.nih.gov/32349748" TargetMode="External"/><Relationship Id="rId2299" Type="http://schemas.openxmlformats.org/officeDocument/2006/relationships/hyperlink" Target="https://pubmed.ncbi.nlm.nih.gov/32347984" TargetMode="External"/><Relationship Id="rId4901" Type="http://schemas.openxmlformats.org/officeDocument/2006/relationships/hyperlink" Target="https://pubmed.ncbi.nlm.nih.gov/24350766" TargetMode="External"/><Relationship Id="rId4900" Type="http://schemas.openxmlformats.org/officeDocument/2006/relationships/hyperlink" Target="https://pubmed.ncbi.nlm.nih.gov/24438342" TargetMode="External"/><Relationship Id="rId4903" Type="http://schemas.openxmlformats.org/officeDocument/2006/relationships/hyperlink" Target="https://pubmed.ncbi.nlm.nih.gov/24752993" TargetMode="External"/><Relationship Id="rId4902" Type="http://schemas.openxmlformats.org/officeDocument/2006/relationships/hyperlink" Target="https://pubmed.ncbi.nlm.nih.gov/24636627" TargetMode="External"/><Relationship Id="rId4905" Type="http://schemas.openxmlformats.org/officeDocument/2006/relationships/hyperlink" Target="https://pubmed.ncbi.nlm.nih.gov/24454823" TargetMode="External"/><Relationship Id="rId4904" Type="http://schemas.openxmlformats.org/officeDocument/2006/relationships/hyperlink" Target="https://pubmed.ncbi.nlm.nih.gov/24503268" TargetMode="External"/><Relationship Id="rId4907" Type="http://schemas.openxmlformats.org/officeDocument/2006/relationships/hyperlink" Target="https://pubmed.ncbi.nlm.nih.gov/24418461" TargetMode="External"/><Relationship Id="rId4906" Type="http://schemas.openxmlformats.org/officeDocument/2006/relationships/hyperlink" Target="https://pubmed.ncbi.nlm.nih.gov/24529151" TargetMode="External"/><Relationship Id="rId4909" Type="http://schemas.openxmlformats.org/officeDocument/2006/relationships/hyperlink" Target="https://pubmed.ncbi.nlm.nih.gov/24415785" TargetMode="External"/><Relationship Id="rId4908" Type="http://schemas.openxmlformats.org/officeDocument/2006/relationships/hyperlink" Target="https://pubmed.ncbi.nlm.nih.gov/24408114" TargetMode="External"/><Relationship Id="rId2302" Type="http://schemas.openxmlformats.org/officeDocument/2006/relationships/hyperlink" Target="https://pubmed.ncbi.nlm.nih.gov/32341045" TargetMode="External"/><Relationship Id="rId3634" Type="http://schemas.openxmlformats.org/officeDocument/2006/relationships/hyperlink" Target="https://pubmed.ncbi.nlm.nih.gov/28412468" TargetMode="External"/><Relationship Id="rId4965" Type="http://schemas.openxmlformats.org/officeDocument/2006/relationships/hyperlink" Target="https://pubmed.ncbi.nlm.nih.gov/24238425" TargetMode="External"/><Relationship Id="rId2303" Type="http://schemas.openxmlformats.org/officeDocument/2006/relationships/hyperlink" Target="https://pubmed.ncbi.nlm.nih.gov/32395338" TargetMode="External"/><Relationship Id="rId3633" Type="http://schemas.openxmlformats.org/officeDocument/2006/relationships/hyperlink" Target="https://pubmed.ncbi.nlm.nih.gov/28404603" TargetMode="External"/><Relationship Id="rId4964" Type="http://schemas.openxmlformats.org/officeDocument/2006/relationships/hyperlink" Target="https://pubmed.ncbi.nlm.nih.gov/24157296" TargetMode="External"/><Relationship Id="rId2304" Type="http://schemas.openxmlformats.org/officeDocument/2006/relationships/hyperlink" Target="https://pubmed.ncbi.nlm.nih.gov/32243586" TargetMode="External"/><Relationship Id="rId3636" Type="http://schemas.openxmlformats.org/officeDocument/2006/relationships/hyperlink" Target="https://pubmed.ncbi.nlm.nih.gov/28539163" TargetMode="External"/><Relationship Id="rId4967" Type="http://schemas.openxmlformats.org/officeDocument/2006/relationships/hyperlink" Target="https://pubmed.ncbi.nlm.nih.gov/24174402" TargetMode="External"/><Relationship Id="rId2305" Type="http://schemas.openxmlformats.org/officeDocument/2006/relationships/hyperlink" Target="https://pubmed.ncbi.nlm.nih.gov/32388149" TargetMode="External"/><Relationship Id="rId3635" Type="http://schemas.openxmlformats.org/officeDocument/2006/relationships/hyperlink" Target="https://pubmed.ncbi.nlm.nih.gov/28398873" TargetMode="External"/><Relationship Id="rId4966" Type="http://schemas.openxmlformats.org/officeDocument/2006/relationships/hyperlink" Target="https://pubmed.ncbi.nlm.nih.gov/24184644" TargetMode="External"/><Relationship Id="rId2306" Type="http://schemas.openxmlformats.org/officeDocument/2006/relationships/hyperlink" Target="https://pubmed.ncbi.nlm.nih.gov/32315460" TargetMode="External"/><Relationship Id="rId3638" Type="http://schemas.openxmlformats.org/officeDocument/2006/relationships/hyperlink" Target="https://pubmed.ncbi.nlm.nih.gov/28391455" TargetMode="External"/><Relationship Id="rId4969" Type="http://schemas.openxmlformats.org/officeDocument/2006/relationships/hyperlink" Target="https://pubmed.ncbi.nlm.nih.gov/24215726" TargetMode="External"/><Relationship Id="rId2307" Type="http://schemas.openxmlformats.org/officeDocument/2006/relationships/hyperlink" Target="https://pubmed.ncbi.nlm.nih.gov/32315316" TargetMode="External"/><Relationship Id="rId3637" Type="http://schemas.openxmlformats.org/officeDocument/2006/relationships/hyperlink" Target="https://pubmed.ncbi.nlm.nih.gov/28399813" TargetMode="External"/><Relationship Id="rId4968" Type="http://schemas.openxmlformats.org/officeDocument/2006/relationships/hyperlink" Target="https://pubmed.ncbi.nlm.nih.gov/24162938" TargetMode="External"/><Relationship Id="rId2308" Type="http://schemas.openxmlformats.org/officeDocument/2006/relationships/hyperlink" Target="https://pubmed.ncbi.nlm.nih.gov/32315307" TargetMode="External"/><Relationship Id="rId2309" Type="http://schemas.openxmlformats.org/officeDocument/2006/relationships/hyperlink" Target="https://pubmed.ncbi.nlm.nih.gov/32330524" TargetMode="External"/><Relationship Id="rId3639" Type="http://schemas.openxmlformats.org/officeDocument/2006/relationships/hyperlink" Target="https://pubmed.ncbi.nlm.nih.gov/28515663" TargetMode="External"/><Relationship Id="rId3630" Type="http://schemas.openxmlformats.org/officeDocument/2006/relationships/hyperlink" Target="https://pubmed.ncbi.nlm.nih.gov/28409278" TargetMode="External"/><Relationship Id="rId4961" Type="http://schemas.openxmlformats.org/officeDocument/2006/relationships/hyperlink" Target="https://pubmed.ncbi.nlm.nih.gov/24225355" TargetMode="External"/><Relationship Id="rId4960" Type="http://schemas.openxmlformats.org/officeDocument/2006/relationships/hyperlink" Target="https://pubmed.ncbi.nlm.nih.gov/24248187" TargetMode="External"/><Relationship Id="rId2300" Type="http://schemas.openxmlformats.org/officeDocument/2006/relationships/hyperlink" Target="https://pubmed.ncbi.nlm.nih.gov/32373711" TargetMode="External"/><Relationship Id="rId3632" Type="http://schemas.openxmlformats.org/officeDocument/2006/relationships/hyperlink" Target="https://pubmed.ncbi.nlm.nih.gov/28410813" TargetMode="External"/><Relationship Id="rId4963" Type="http://schemas.openxmlformats.org/officeDocument/2006/relationships/hyperlink" Target="https://pubmed.ncbi.nlm.nih.gov/24193347" TargetMode="External"/><Relationship Id="rId2301" Type="http://schemas.openxmlformats.org/officeDocument/2006/relationships/hyperlink" Target="https://pubmed.ncbi.nlm.nih.gov/32147680" TargetMode="External"/><Relationship Id="rId3631" Type="http://schemas.openxmlformats.org/officeDocument/2006/relationships/hyperlink" Target="https://pubmed.ncbi.nlm.nih.gov/28515666" TargetMode="External"/><Relationship Id="rId4962" Type="http://schemas.openxmlformats.org/officeDocument/2006/relationships/hyperlink" Target="https://pubmed.ncbi.nlm.nih.gov/24203845" TargetMode="External"/><Relationship Id="rId3623" Type="http://schemas.openxmlformats.org/officeDocument/2006/relationships/hyperlink" Target="https://pubmed.ncbi.nlm.nih.gov/28506574" TargetMode="External"/><Relationship Id="rId4954" Type="http://schemas.openxmlformats.org/officeDocument/2006/relationships/hyperlink" Target="https://pubmed.ncbi.nlm.nih.gov/24314719" TargetMode="External"/><Relationship Id="rId3622" Type="http://schemas.openxmlformats.org/officeDocument/2006/relationships/hyperlink" Target="https://pubmed.ncbi.nlm.nih.gov/28436255" TargetMode="External"/><Relationship Id="rId4953" Type="http://schemas.openxmlformats.org/officeDocument/2006/relationships/hyperlink" Target="https://pubmed.ncbi.nlm.nih.gov/24290159" TargetMode="External"/><Relationship Id="rId3625" Type="http://schemas.openxmlformats.org/officeDocument/2006/relationships/hyperlink" Target="https://pubmed.ncbi.nlm.nih.gov/28426793" TargetMode="External"/><Relationship Id="rId4956" Type="http://schemas.openxmlformats.org/officeDocument/2006/relationships/hyperlink" Target="https://pubmed.ncbi.nlm.nih.gov/24277382" TargetMode="External"/><Relationship Id="rId3624" Type="http://schemas.openxmlformats.org/officeDocument/2006/relationships/hyperlink" Target="https://pubmed.ncbi.nlm.nih.gov/28428877" TargetMode="External"/><Relationship Id="rId4955" Type="http://schemas.openxmlformats.org/officeDocument/2006/relationships/hyperlink" Target="https://pubmed.ncbi.nlm.nih.gov/24280999" TargetMode="External"/><Relationship Id="rId3627" Type="http://schemas.openxmlformats.org/officeDocument/2006/relationships/hyperlink" Target="https://pubmed.ncbi.nlm.nih.gov/28428139" TargetMode="External"/><Relationship Id="rId4958" Type="http://schemas.openxmlformats.org/officeDocument/2006/relationships/hyperlink" Target="https://pubmed.ncbi.nlm.nih.gov/24275227" TargetMode="External"/><Relationship Id="rId3626" Type="http://schemas.openxmlformats.org/officeDocument/2006/relationships/hyperlink" Target="https://pubmed.ncbi.nlm.nih.gov/28424071" TargetMode="External"/><Relationship Id="rId4957" Type="http://schemas.openxmlformats.org/officeDocument/2006/relationships/hyperlink" Target="https://pubmed.ncbi.nlm.nih.gov/24277628" TargetMode="External"/><Relationship Id="rId3629" Type="http://schemas.openxmlformats.org/officeDocument/2006/relationships/hyperlink" Target="https://pubmed.ncbi.nlm.nih.gov/28545831" TargetMode="External"/><Relationship Id="rId3628" Type="http://schemas.openxmlformats.org/officeDocument/2006/relationships/hyperlink" Target="https://pubmed.ncbi.nlm.nih.gov/28428729" TargetMode="External"/><Relationship Id="rId4959" Type="http://schemas.openxmlformats.org/officeDocument/2006/relationships/hyperlink" Target="https://pubmed.ncbi.nlm.nih.gov/24278167" TargetMode="External"/><Relationship Id="rId4950" Type="http://schemas.openxmlformats.org/officeDocument/2006/relationships/hyperlink" Target="https://pubmed.ncbi.nlm.nih.gov/24415611" TargetMode="External"/><Relationship Id="rId3621" Type="http://schemas.openxmlformats.org/officeDocument/2006/relationships/hyperlink" Target="https://pubmed.ncbi.nlm.nih.gov/28444532" TargetMode="External"/><Relationship Id="rId4952" Type="http://schemas.openxmlformats.org/officeDocument/2006/relationships/hyperlink" Target="https://pubmed.ncbi.nlm.nih.gov/24281744" TargetMode="External"/><Relationship Id="rId3620" Type="http://schemas.openxmlformats.org/officeDocument/2006/relationships/hyperlink" Target="https://pubmed.ncbi.nlm.nih.gov/28447202" TargetMode="External"/><Relationship Id="rId4951" Type="http://schemas.openxmlformats.org/officeDocument/2006/relationships/hyperlink" Target="https://pubmed.ncbi.nlm.nih.gov/24295641" TargetMode="External"/><Relationship Id="rId2324" Type="http://schemas.openxmlformats.org/officeDocument/2006/relationships/hyperlink" Target="https://pubmed.ncbi.nlm.nih.gov/32272776" TargetMode="External"/><Relationship Id="rId3656" Type="http://schemas.openxmlformats.org/officeDocument/2006/relationships/hyperlink" Target="https://pubmed.ncbi.nlm.nih.gov/28339826" TargetMode="External"/><Relationship Id="rId4987" Type="http://schemas.openxmlformats.org/officeDocument/2006/relationships/hyperlink" Target="https://pubmed.ncbi.nlm.nih.gov/24044750" TargetMode="External"/><Relationship Id="rId2325" Type="http://schemas.openxmlformats.org/officeDocument/2006/relationships/hyperlink" Target="https://pubmed.ncbi.nlm.nih.gov/32305733" TargetMode="External"/><Relationship Id="rId3655" Type="http://schemas.openxmlformats.org/officeDocument/2006/relationships/hyperlink" Target="https://pubmed.ncbi.nlm.nih.gov/27836967" TargetMode="External"/><Relationship Id="rId4986" Type="http://schemas.openxmlformats.org/officeDocument/2006/relationships/hyperlink" Target="https://pubmed.ncbi.nlm.nih.gov/24046432" TargetMode="External"/><Relationship Id="rId2326" Type="http://schemas.openxmlformats.org/officeDocument/2006/relationships/hyperlink" Target="https://pubmed.ncbi.nlm.nih.gov/32250202" TargetMode="External"/><Relationship Id="rId3658" Type="http://schemas.openxmlformats.org/officeDocument/2006/relationships/hyperlink" Target="https://pubmed.ncbi.nlm.nih.gov/28372534" TargetMode="External"/><Relationship Id="rId4989" Type="http://schemas.openxmlformats.org/officeDocument/2006/relationships/hyperlink" Target="https://pubmed.ncbi.nlm.nih.gov/24041845" TargetMode="External"/><Relationship Id="rId2327" Type="http://schemas.openxmlformats.org/officeDocument/2006/relationships/hyperlink" Target="https://pubmed.ncbi.nlm.nih.gov/32250171" TargetMode="External"/><Relationship Id="rId3657" Type="http://schemas.openxmlformats.org/officeDocument/2006/relationships/hyperlink" Target="https://pubmed.ncbi.nlm.nih.gov/28122841" TargetMode="External"/><Relationship Id="rId4988" Type="http://schemas.openxmlformats.org/officeDocument/2006/relationships/hyperlink" Target="https://pubmed.ncbi.nlm.nih.gov/24102915" TargetMode="External"/><Relationship Id="rId2328" Type="http://schemas.openxmlformats.org/officeDocument/2006/relationships/hyperlink" Target="https://pubmed.ncbi.nlm.nih.gov/32246157" TargetMode="External"/><Relationship Id="rId2329" Type="http://schemas.openxmlformats.org/officeDocument/2006/relationships/hyperlink" Target="https://pubmed.ncbi.nlm.nih.gov/32238333" TargetMode="External"/><Relationship Id="rId3659" Type="http://schemas.openxmlformats.org/officeDocument/2006/relationships/hyperlink" Target="https://pubmed.ncbi.nlm.nih.gov/28372531" TargetMode="External"/><Relationship Id="rId3650" Type="http://schemas.openxmlformats.org/officeDocument/2006/relationships/hyperlink" Target="https://pubmed.ncbi.nlm.nih.gov/28373591" TargetMode="External"/><Relationship Id="rId4981" Type="http://schemas.openxmlformats.org/officeDocument/2006/relationships/hyperlink" Target="https://pubmed.ncbi.nlm.nih.gov/24080640" TargetMode="External"/><Relationship Id="rId4980" Type="http://schemas.openxmlformats.org/officeDocument/2006/relationships/hyperlink" Target="https://pubmed.ncbi.nlm.nih.gov/24111811" TargetMode="External"/><Relationship Id="rId2320" Type="http://schemas.openxmlformats.org/officeDocument/2006/relationships/hyperlink" Target="https://pubmed.ncbi.nlm.nih.gov/32489806" TargetMode="External"/><Relationship Id="rId3652" Type="http://schemas.openxmlformats.org/officeDocument/2006/relationships/hyperlink" Target="https://pubmed.ncbi.nlm.nih.gov/28264922" TargetMode="External"/><Relationship Id="rId4983" Type="http://schemas.openxmlformats.org/officeDocument/2006/relationships/hyperlink" Target="https://pubmed.ncbi.nlm.nih.gov/24070098" TargetMode="External"/><Relationship Id="rId2321" Type="http://schemas.openxmlformats.org/officeDocument/2006/relationships/hyperlink" Target="https://pubmed.ncbi.nlm.nih.gov/32489804" TargetMode="External"/><Relationship Id="rId3651" Type="http://schemas.openxmlformats.org/officeDocument/2006/relationships/hyperlink" Target="https://pubmed.ncbi.nlm.nih.gov/27744349" TargetMode="External"/><Relationship Id="rId4982" Type="http://schemas.openxmlformats.org/officeDocument/2006/relationships/hyperlink" Target="https://pubmed.ncbi.nlm.nih.gov/24118590" TargetMode="External"/><Relationship Id="rId2322" Type="http://schemas.openxmlformats.org/officeDocument/2006/relationships/hyperlink" Target="https://pubmed.ncbi.nlm.nih.gov/32461878" TargetMode="External"/><Relationship Id="rId3654" Type="http://schemas.openxmlformats.org/officeDocument/2006/relationships/hyperlink" Target="https://pubmed.ncbi.nlm.nih.gov/27585673" TargetMode="External"/><Relationship Id="rId4985" Type="http://schemas.openxmlformats.org/officeDocument/2006/relationships/hyperlink" Target="https://pubmed.ncbi.nlm.nih.gov/24073206" TargetMode="External"/><Relationship Id="rId2323" Type="http://schemas.openxmlformats.org/officeDocument/2006/relationships/hyperlink" Target="https://pubmed.ncbi.nlm.nih.gov/32265220" TargetMode="External"/><Relationship Id="rId3653" Type="http://schemas.openxmlformats.org/officeDocument/2006/relationships/hyperlink" Target="https://pubmed.ncbi.nlm.nih.gov/28144819" TargetMode="External"/><Relationship Id="rId4984" Type="http://schemas.openxmlformats.org/officeDocument/2006/relationships/hyperlink" Target="https://pubmed.ncbi.nlm.nih.gov/24067744" TargetMode="External"/><Relationship Id="rId2313" Type="http://schemas.openxmlformats.org/officeDocument/2006/relationships/hyperlink" Target="https://pubmed.ncbi.nlm.nih.gov/32298326" TargetMode="External"/><Relationship Id="rId3645" Type="http://schemas.openxmlformats.org/officeDocument/2006/relationships/hyperlink" Target="https://pubmed.ncbi.nlm.nih.gov/28379043" TargetMode="External"/><Relationship Id="rId4976" Type="http://schemas.openxmlformats.org/officeDocument/2006/relationships/hyperlink" Target="https://pubmed.ncbi.nlm.nih.gov/24125120" TargetMode="External"/><Relationship Id="rId2314" Type="http://schemas.openxmlformats.org/officeDocument/2006/relationships/hyperlink" Target="https://pubmed.ncbi.nlm.nih.gov/32305670" TargetMode="External"/><Relationship Id="rId3644" Type="http://schemas.openxmlformats.org/officeDocument/2006/relationships/hyperlink" Target="https://pubmed.ncbi.nlm.nih.gov/28390724" TargetMode="External"/><Relationship Id="rId4975" Type="http://schemas.openxmlformats.org/officeDocument/2006/relationships/hyperlink" Target="https://pubmed.ncbi.nlm.nih.gov/24143138" TargetMode="External"/><Relationship Id="rId2315" Type="http://schemas.openxmlformats.org/officeDocument/2006/relationships/hyperlink" Target="https://pubmed.ncbi.nlm.nih.gov/32305577" TargetMode="External"/><Relationship Id="rId3647" Type="http://schemas.openxmlformats.org/officeDocument/2006/relationships/hyperlink" Target="https://pubmed.ncbi.nlm.nih.gov/28376921" TargetMode="External"/><Relationship Id="rId4978" Type="http://schemas.openxmlformats.org/officeDocument/2006/relationships/hyperlink" Target="https://pubmed.ncbi.nlm.nih.gov/24159081" TargetMode="External"/><Relationship Id="rId2316" Type="http://schemas.openxmlformats.org/officeDocument/2006/relationships/hyperlink" Target="https://pubmed.ncbi.nlm.nih.gov/32307279" TargetMode="External"/><Relationship Id="rId3646" Type="http://schemas.openxmlformats.org/officeDocument/2006/relationships/hyperlink" Target="https://pubmed.ncbi.nlm.nih.gov/28378525" TargetMode="External"/><Relationship Id="rId4977" Type="http://schemas.openxmlformats.org/officeDocument/2006/relationships/hyperlink" Target="https://pubmed.ncbi.nlm.nih.gov/24143086" TargetMode="External"/><Relationship Id="rId2317" Type="http://schemas.openxmlformats.org/officeDocument/2006/relationships/hyperlink" Target="https://pubmed.ncbi.nlm.nih.gov/32316344" TargetMode="External"/><Relationship Id="rId3649" Type="http://schemas.openxmlformats.org/officeDocument/2006/relationships/hyperlink" Target="https://pubmed.ncbi.nlm.nih.gov/28368550" TargetMode="External"/><Relationship Id="rId2318" Type="http://schemas.openxmlformats.org/officeDocument/2006/relationships/hyperlink" Target="https://pubmed.ncbi.nlm.nih.gov/32351902" TargetMode="External"/><Relationship Id="rId3648" Type="http://schemas.openxmlformats.org/officeDocument/2006/relationships/hyperlink" Target="https://pubmed.ncbi.nlm.nih.gov/28372580" TargetMode="External"/><Relationship Id="rId4979" Type="http://schemas.openxmlformats.org/officeDocument/2006/relationships/hyperlink" Target="https://pubmed.ncbi.nlm.nih.gov/24097197" TargetMode="External"/><Relationship Id="rId2319" Type="http://schemas.openxmlformats.org/officeDocument/2006/relationships/hyperlink" Target="https://pubmed.ncbi.nlm.nih.gov/32290264" TargetMode="External"/><Relationship Id="rId4970" Type="http://schemas.openxmlformats.org/officeDocument/2006/relationships/hyperlink" Target="https://pubmed.ncbi.nlm.nih.gov/24161233" TargetMode="External"/><Relationship Id="rId3641" Type="http://schemas.openxmlformats.org/officeDocument/2006/relationships/hyperlink" Target="https://pubmed.ncbi.nlm.nih.gov/28252213" TargetMode="External"/><Relationship Id="rId4972" Type="http://schemas.openxmlformats.org/officeDocument/2006/relationships/hyperlink" Target="https://pubmed.ncbi.nlm.nih.gov/24148557" TargetMode="External"/><Relationship Id="rId2310" Type="http://schemas.openxmlformats.org/officeDocument/2006/relationships/hyperlink" Target="https://pubmed.ncbi.nlm.nih.gov/32298347" TargetMode="External"/><Relationship Id="rId3640" Type="http://schemas.openxmlformats.org/officeDocument/2006/relationships/hyperlink" Target="https://pubmed.ncbi.nlm.nih.gov/28382852" TargetMode="External"/><Relationship Id="rId4971" Type="http://schemas.openxmlformats.org/officeDocument/2006/relationships/hyperlink" Target="https://pubmed.ncbi.nlm.nih.gov/24138807" TargetMode="External"/><Relationship Id="rId2311" Type="http://schemas.openxmlformats.org/officeDocument/2006/relationships/hyperlink" Target="https://pubmed.ncbi.nlm.nih.gov/32299367" TargetMode="External"/><Relationship Id="rId3643" Type="http://schemas.openxmlformats.org/officeDocument/2006/relationships/hyperlink" Target="https://pubmed.ncbi.nlm.nih.gov/28378345" TargetMode="External"/><Relationship Id="rId4974" Type="http://schemas.openxmlformats.org/officeDocument/2006/relationships/hyperlink" Target="https://pubmed.ncbi.nlm.nih.gov/24130138" TargetMode="External"/><Relationship Id="rId2312" Type="http://schemas.openxmlformats.org/officeDocument/2006/relationships/hyperlink" Target="https://pubmed.ncbi.nlm.nih.gov/32299515" TargetMode="External"/><Relationship Id="rId3642" Type="http://schemas.openxmlformats.org/officeDocument/2006/relationships/hyperlink" Target="https://pubmed.ncbi.nlm.nih.gov/28381542" TargetMode="External"/><Relationship Id="rId4973" Type="http://schemas.openxmlformats.org/officeDocument/2006/relationships/hyperlink" Target="https://pubmed.ncbi.nlm.nih.gov/24144736" TargetMode="External"/><Relationship Id="rId4921" Type="http://schemas.openxmlformats.org/officeDocument/2006/relationships/hyperlink" Target="https://pubmed.ncbi.nlm.nih.gov/25515393" TargetMode="External"/><Relationship Id="rId4920" Type="http://schemas.openxmlformats.org/officeDocument/2006/relationships/hyperlink" Target="https://pubmed.ncbi.nlm.nih.gov/24902506" TargetMode="External"/><Relationship Id="rId4923" Type="http://schemas.openxmlformats.org/officeDocument/2006/relationships/hyperlink" Target="https://pubmed.ncbi.nlm.nih.gov/24594134" TargetMode="External"/><Relationship Id="rId4922" Type="http://schemas.openxmlformats.org/officeDocument/2006/relationships/hyperlink" Target="https://pubmed.ncbi.nlm.nih.gov/25004783" TargetMode="External"/><Relationship Id="rId4925" Type="http://schemas.openxmlformats.org/officeDocument/2006/relationships/hyperlink" Target="https://pubmed.ncbi.nlm.nih.gov/24690518" TargetMode="External"/><Relationship Id="rId4924" Type="http://schemas.openxmlformats.org/officeDocument/2006/relationships/hyperlink" Target="https://pubmed.ncbi.nlm.nih.gov/24350999" TargetMode="External"/><Relationship Id="rId4927" Type="http://schemas.openxmlformats.org/officeDocument/2006/relationships/hyperlink" Target="https://pubmed.ncbi.nlm.nih.gov/24391789" TargetMode="External"/><Relationship Id="rId4926" Type="http://schemas.openxmlformats.org/officeDocument/2006/relationships/hyperlink" Target="https://pubmed.ncbi.nlm.nih.gov/25308225" TargetMode="External"/><Relationship Id="rId4929" Type="http://schemas.openxmlformats.org/officeDocument/2006/relationships/hyperlink" Target="https://pubmed.ncbi.nlm.nih.gov/24376558" TargetMode="External"/><Relationship Id="rId4928" Type="http://schemas.openxmlformats.org/officeDocument/2006/relationships/hyperlink" Target="https://pubmed.ncbi.nlm.nih.gov/24375559" TargetMode="External"/><Relationship Id="rId4910" Type="http://schemas.openxmlformats.org/officeDocument/2006/relationships/hyperlink" Target="https://pubmed.ncbi.nlm.nih.gov/24416371" TargetMode="External"/><Relationship Id="rId4912" Type="http://schemas.openxmlformats.org/officeDocument/2006/relationships/hyperlink" Target="https://pubmed.ncbi.nlm.nih.gov/24389352" TargetMode="External"/><Relationship Id="rId4911" Type="http://schemas.openxmlformats.org/officeDocument/2006/relationships/hyperlink" Target="https://pubmed.ncbi.nlm.nih.gov/24400643" TargetMode="External"/><Relationship Id="rId4914" Type="http://schemas.openxmlformats.org/officeDocument/2006/relationships/hyperlink" Target="https://pubmed.ncbi.nlm.nih.gov/23982027" TargetMode="External"/><Relationship Id="rId4913" Type="http://schemas.openxmlformats.org/officeDocument/2006/relationships/hyperlink" Target="https://pubmed.ncbi.nlm.nih.gov/24096769" TargetMode="External"/><Relationship Id="rId4916" Type="http://schemas.openxmlformats.org/officeDocument/2006/relationships/hyperlink" Target="https://pubmed.ncbi.nlm.nih.gov/25589276" TargetMode="External"/><Relationship Id="rId4915" Type="http://schemas.openxmlformats.org/officeDocument/2006/relationships/hyperlink" Target="https://pubmed.ncbi.nlm.nih.gov/25381079" TargetMode="External"/><Relationship Id="rId4918" Type="http://schemas.openxmlformats.org/officeDocument/2006/relationships/hyperlink" Target="https://pubmed.ncbi.nlm.nih.gov/27050063" TargetMode="External"/><Relationship Id="rId4917" Type="http://schemas.openxmlformats.org/officeDocument/2006/relationships/hyperlink" Target="https://pubmed.ncbi.nlm.nih.gov/24457435" TargetMode="External"/><Relationship Id="rId4919" Type="http://schemas.openxmlformats.org/officeDocument/2006/relationships/hyperlink" Target="https://pubmed.ncbi.nlm.nih.gov/25410220" TargetMode="External"/><Relationship Id="rId3612" Type="http://schemas.openxmlformats.org/officeDocument/2006/relationships/hyperlink" Target="https://pubmed.ncbi.nlm.nih.gov/28011592" TargetMode="External"/><Relationship Id="rId4943" Type="http://schemas.openxmlformats.org/officeDocument/2006/relationships/hyperlink" Target="https://pubmed.ncbi.nlm.nih.gov/24310169" TargetMode="External"/><Relationship Id="rId3611" Type="http://schemas.openxmlformats.org/officeDocument/2006/relationships/hyperlink" Target="https://pubmed.ncbi.nlm.nih.gov/28158551" TargetMode="External"/><Relationship Id="rId4942" Type="http://schemas.openxmlformats.org/officeDocument/2006/relationships/hyperlink" Target="https://pubmed.ncbi.nlm.nih.gov/24315450" TargetMode="External"/><Relationship Id="rId3614" Type="http://schemas.openxmlformats.org/officeDocument/2006/relationships/hyperlink" Target="https://pubmed.ncbi.nlm.nih.gov/28455318" TargetMode="External"/><Relationship Id="rId4945" Type="http://schemas.openxmlformats.org/officeDocument/2006/relationships/hyperlink" Target="https://pubmed.ncbi.nlm.nih.gov/24476258" TargetMode="External"/><Relationship Id="rId3613" Type="http://schemas.openxmlformats.org/officeDocument/2006/relationships/hyperlink" Target="https://pubmed.ncbi.nlm.nih.gov/28447950" TargetMode="External"/><Relationship Id="rId4944" Type="http://schemas.openxmlformats.org/officeDocument/2006/relationships/hyperlink" Target="https://pubmed.ncbi.nlm.nih.gov/24576513" TargetMode="External"/><Relationship Id="rId3616" Type="http://schemas.openxmlformats.org/officeDocument/2006/relationships/hyperlink" Target="https://pubmed.ncbi.nlm.nih.gov/30241222" TargetMode="External"/><Relationship Id="rId4947" Type="http://schemas.openxmlformats.org/officeDocument/2006/relationships/hyperlink" Target="https://pubmed.ncbi.nlm.nih.gov/23426345" TargetMode="External"/><Relationship Id="rId3615" Type="http://schemas.openxmlformats.org/officeDocument/2006/relationships/hyperlink" Target="https://pubmed.ncbi.nlm.nih.gov/28532782" TargetMode="External"/><Relationship Id="rId4946" Type="http://schemas.openxmlformats.org/officeDocument/2006/relationships/hyperlink" Target="https://pubmed.ncbi.nlm.nih.gov/24262298" TargetMode="External"/><Relationship Id="rId3618" Type="http://schemas.openxmlformats.org/officeDocument/2006/relationships/hyperlink" Target="https://pubmed.ncbi.nlm.nih.gov/28446644" TargetMode="External"/><Relationship Id="rId4949" Type="http://schemas.openxmlformats.org/officeDocument/2006/relationships/hyperlink" Target="https://pubmed.ncbi.nlm.nih.gov/24297141" TargetMode="External"/><Relationship Id="rId3617" Type="http://schemas.openxmlformats.org/officeDocument/2006/relationships/hyperlink" Target="https://pubmed.ncbi.nlm.nih.gov/28450347" TargetMode="External"/><Relationship Id="rId4948" Type="http://schemas.openxmlformats.org/officeDocument/2006/relationships/hyperlink" Target="https://pubmed.ncbi.nlm.nih.gov/24394734" TargetMode="External"/><Relationship Id="rId3619" Type="http://schemas.openxmlformats.org/officeDocument/2006/relationships/hyperlink" Target="https://pubmed.ncbi.nlm.nih.gov/28515670" TargetMode="External"/><Relationship Id="rId3610" Type="http://schemas.openxmlformats.org/officeDocument/2006/relationships/hyperlink" Target="https://pubmed.ncbi.nlm.nih.gov/28257334" TargetMode="External"/><Relationship Id="rId4941" Type="http://schemas.openxmlformats.org/officeDocument/2006/relationships/hyperlink" Target="https://pubmed.ncbi.nlm.nih.gov/24317602" TargetMode="External"/><Relationship Id="rId4940" Type="http://schemas.openxmlformats.org/officeDocument/2006/relationships/hyperlink" Target="https://pubmed.ncbi.nlm.nih.gov/24326161" TargetMode="External"/><Relationship Id="rId3601" Type="http://schemas.openxmlformats.org/officeDocument/2006/relationships/hyperlink" Target="https://pubmed.ncbi.nlm.nih.gov/28483775" TargetMode="External"/><Relationship Id="rId4932" Type="http://schemas.openxmlformats.org/officeDocument/2006/relationships/hyperlink" Target="https://pubmed.ncbi.nlm.nih.gov/24354588" TargetMode="External"/><Relationship Id="rId3600" Type="http://schemas.openxmlformats.org/officeDocument/2006/relationships/hyperlink" Target="https://pubmed.ncbi.nlm.nih.gov/28488130" TargetMode="External"/><Relationship Id="rId4931" Type="http://schemas.openxmlformats.org/officeDocument/2006/relationships/hyperlink" Target="https://pubmed.ncbi.nlm.nih.gov/24359112" TargetMode="External"/><Relationship Id="rId3603" Type="http://schemas.openxmlformats.org/officeDocument/2006/relationships/hyperlink" Target="https://pubmed.ncbi.nlm.nih.gov/28495176" TargetMode="External"/><Relationship Id="rId4934" Type="http://schemas.openxmlformats.org/officeDocument/2006/relationships/hyperlink" Target="https://pubmed.ncbi.nlm.nih.gov/24361228" TargetMode="External"/><Relationship Id="rId3602" Type="http://schemas.openxmlformats.org/officeDocument/2006/relationships/hyperlink" Target="https://pubmed.ncbi.nlm.nih.gov/28579920" TargetMode="External"/><Relationship Id="rId4933" Type="http://schemas.openxmlformats.org/officeDocument/2006/relationships/hyperlink" Target="https://pubmed.ncbi.nlm.nih.gov/24360403" TargetMode="External"/><Relationship Id="rId3605" Type="http://schemas.openxmlformats.org/officeDocument/2006/relationships/hyperlink" Target="https://pubmed.ncbi.nlm.nih.gov/28483198" TargetMode="External"/><Relationship Id="rId4936" Type="http://schemas.openxmlformats.org/officeDocument/2006/relationships/hyperlink" Target="https://pubmed.ncbi.nlm.nih.gov/24251579" TargetMode="External"/><Relationship Id="rId3604" Type="http://schemas.openxmlformats.org/officeDocument/2006/relationships/hyperlink" Target="https://pubmed.ncbi.nlm.nih.gov/28481339" TargetMode="External"/><Relationship Id="rId4935" Type="http://schemas.openxmlformats.org/officeDocument/2006/relationships/hyperlink" Target="https://pubmed.ncbi.nlm.nih.gov/24347422" TargetMode="External"/><Relationship Id="rId3607" Type="http://schemas.openxmlformats.org/officeDocument/2006/relationships/hyperlink" Target="https://pubmed.ncbi.nlm.nih.gov/28466147" TargetMode="External"/><Relationship Id="rId4938" Type="http://schemas.openxmlformats.org/officeDocument/2006/relationships/hyperlink" Target="https://pubmed.ncbi.nlm.nih.gov/25814852" TargetMode="External"/><Relationship Id="rId3606" Type="http://schemas.openxmlformats.org/officeDocument/2006/relationships/hyperlink" Target="https://pubmed.ncbi.nlm.nih.gov/28475620" TargetMode="External"/><Relationship Id="rId4937" Type="http://schemas.openxmlformats.org/officeDocument/2006/relationships/hyperlink" Target="https://pubmed.ncbi.nlm.nih.gov/24335917" TargetMode="External"/><Relationship Id="rId3609" Type="http://schemas.openxmlformats.org/officeDocument/2006/relationships/hyperlink" Target="https://pubmed.ncbi.nlm.nih.gov/28241208" TargetMode="External"/><Relationship Id="rId3608" Type="http://schemas.openxmlformats.org/officeDocument/2006/relationships/hyperlink" Target="https://pubmed.ncbi.nlm.nih.gov/28465587" TargetMode="External"/><Relationship Id="rId4939" Type="http://schemas.openxmlformats.org/officeDocument/2006/relationships/hyperlink" Target="https://pubmed.ncbi.nlm.nih.gov/24164351" TargetMode="External"/><Relationship Id="rId4930" Type="http://schemas.openxmlformats.org/officeDocument/2006/relationships/hyperlink" Target="https://pubmed.ncbi.nlm.nih.gov/24363132" TargetMode="External"/><Relationship Id="rId1059" Type="http://schemas.openxmlformats.org/officeDocument/2006/relationships/hyperlink" Target="https://pubmed.ncbi.nlm.nih.gov/35732311" TargetMode="External"/><Relationship Id="rId2380" Type="http://schemas.openxmlformats.org/officeDocument/2006/relationships/hyperlink" Target="https://pubmed.ncbi.nlm.nih.gov/31165390" TargetMode="External"/><Relationship Id="rId1050" Type="http://schemas.openxmlformats.org/officeDocument/2006/relationships/hyperlink" Target="https://pubmed.ncbi.nlm.nih.gov/35806951" TargetMode="External"/><Relationship Id="rId2381" Type="http://schemas.openxmlformats.org/officeDocument/2006/relationships/hyperlink" Target="https://pubmed.ncbi.nlm.nih.gov/32133523" TargetMode="External"/><Relationship Id="rId1051" Type="http://schemas.openxmlformats.org/officeDocument/2006/relationships/hyperlink" Target="https://pubmed.ncbi.nlm.nih.gov/35748056" TargetMode="External"/><Relationship Id="rId2382" Type="http://schemas.openxmlformats.org/officeDocument/2006/relationships/hyperlink" Target="https://pubmed.ncbi.nlm.nih.gov/31950980" TargetMode="External"/><Relationship Id="rId1052" Type="http://schemas.openxmlformats.org/officeDocument/2006/relationships/hyperlink" Target="https://pubmed.ncbi.nlm.nih.gov/35812313" TargetMode="External"/><Relationship Id="rId2383" Type="http://schemas.openxmlformats.org/officeDocument/2006/relationships/hyperlink" Target="https://pubmed.ncbi.nlm.nih.gov/32120032" TargetMode="External"/><Relationship Id="rId1053" Type="http://schemas.openxmlformats.org/officeDocument/2006/relationships/hyperlink" Target="https://pubmed.ncbi.nlm.nih.gov/35735219" TargetMode="External"/><Relationship Id="rId2384" Type="http://schemas.openxmlformats.org/officeDocument/2006/relationships/hyperlink" Target="https://pubmed.ncbi.nlm.nih.gov/32115297" TargetMode="External"/><Relationship Id="rId1054" Type="http://schemas.openxmlformats.org/officeDocument/2006/relationships/hyperlink" Target="https://pubmed.ncbi.nlm.nih.gov/35737879" TargetMode="External"/><Relationship Id="rId2385" Type="http://schemas.openxmlformats.org/officeDocument/2006/relationships/hyperlink" Target="https://pubmed.ncbi.nlm.nih.gov/32167369" TargetMode="External"/><Relationship Id="rId1055" Type="http://schemas.openxmlformats.org/officeDocument/2006/relationships/hyperlink" Target="https://pubmed.ncbi.nlm.nih.gov/35733362" TargetMode="External"/><Relationship Id="rId2386" Type="http://schemas.openxmlformats.org/officeDocument/2006/relationships/hyperlink" Target="https://pubmed.ncbi.nlm.nih.gov/32107889" TargetMode="External"/><Relationship Id="rId1056" Type="http://schemas.openxmlformats.org/officeDocument/2006/relationships/hyperlink" Target="https://pubmed.ncbi.nlm.nih.gov/35732829" TargetMode="External"/><Relationship Id="rId2387" Type="http://schemas.openxmlformats.org/officeDocument/2006/relationships/hyperlink" Target="https://pubmed.ncbi.nlm.nih.gov/32103747" TargetMode="External"/><Relationship Id="rId1057" Type="http://schemas.openxmlformats.org/officeDocument/2006/relationships/hyperlink" Target="https://pubmed.ncbi.nlm.nih.gov/35899712" TargetMode="External"/><Relationship Id="rId2388" Type="http://schemas.openxmlformats.org/officeDocument/2006/relationships/hyperlink" Target="https://pubmed.ncbi.nlm.nih.gov/32109421" TargetMode="External"/><Relationship Id="rId1058" Type="http://schemas.openxmlformats.org/officeDocument/2006/relationships/hyperlink" Target="https://pubmed.ncbi.nlm.nih.gov/35736374" TargetMode="External"/><Relationship Id="rId2389" Type="http://schemas.openxmlformats.org/officeDocument/2006/relationships/hyperlink" Target="https://pubmed.ncbi.nlm.nih.gov/32102724" TargetMode="External"/><Relationship Id="rId1048" Type="http://schemas.openxmlformats.org/officeDocument/2006/relationships/hyperlink" Target="https://pubmed.ncbi.nlm.nih.gov/34987066" TargetMode="External"/><Relationship Id="rId2379" Type="http://schemas.openxmlformats.org/officeDocument/2006/relationships/hyperlink" Target="https://pubmed.ncbi.nlm.nih.gov/32238363" TargetMode="External"/><Relationship Id="rId1049" Type="http://schemas.openxmlformats.org/officeDocument/2006/relationships/hyperlink" Target="https://pubmed.ncbi.nlm.nih.gov/35739525" TargetMode="External"/><Relationship Id="rId2370" Type="http://schemas.openxmlformats.org/officeDocument/2006/relationships/hyperlink" Target="https://pubmed.ncbi.nlm.nih.gov/32140973" TargetMode="External"/><Relationship Id="rId1040" Type="http://schemas.openxmlformats.org/officeDocument/2006/relationships/hyperlink" Target="https://pubmed.ncbi.nlm.nih.gov/35775421" TargetMode="External"/><Relationship Id="rId2371" Type="http://schemas.openxmlformats.org/officeDocument/2006/relationships/hyperlink" Target="https://pubmed.ncbi.nlm.nih.gov/32133741" TargetMode="External"/><Relationship Id="rId1041" Type="http://schemas.openxmlformats.org/officeDocument/2006/relationships/hyperlink" Target="https://pubmed.ncbi.nlm.nih.gov/35891230" TargetMode="External"/><Relationship Id="rId2372" Type="http://schemas.openxmlformats.org/officeDocument/2006/relationships/hyperlink" Target="https://pubmed.ncbi.nlm.nih.gov/32134215" TargetMode="External"/><Relationship Id="rId1042" Type="http://schemas.openxmlformats.org/officeDocument/2006/relationships/hyperlink" Target="https://pubmed.ncbi.nlm.nih.gov/35764913" TargetMode="External"/><Relationship Id="rId2373" Type="http://schemas.openxmlformats.org/officeDocument/2006/relationships/hyperlink" Target="https://pubmed.ncbi.nlm.nih.gov/33717329" TargetMode="External"/><Relationship Id="rId1043" Type="http://schemas.openxmlformats.org/officeDocument/2006/relationships/hyperlink" Target="https://pubmed.ncbi.nlm.nih.gov/35686582" TargetMode="External"/><Relationship Id="rId2374" Type="http://schemas.openxmlformats.org/officeDocument/2006/relationships/hyperlink" Target="https://pubmed.ncbi.nlm.nih.gov/32226534" TargetMode="External"/><Relationship Id="rId1044" Type="http://schemas.openxmlformats.org/officeDocument/2006/relationships/hyperlink" Target="https://pubmed.ncbi.nlm.nih.gov/35777712" TargetMode="External"/><Relationship Id="rId2375" Type="http://schemas.openxmlformats.org/officeDocument/2006/relationships/hyperlink" Target="https://pubmed.ncbi.nlm.nih.gov/32128913" TargetMode="External"/><Relationship Id="rId1045" Type="http://schemas.openxmlformats.org/officeDocument/2006/relationships/hyperlink" Target="https://pubmed.ncbi.nlm.nih.gov/35764992" TargetMode="External"/><Relationship Id="rId2376" Type="http://schemas.openxmlformats.org/officeDocument/2006/relationships/hyperlink" Target="https://pubmed.ncbi.nlm.nih.gov/32127550" TargetMode="External"/><Relationship Id="rId1046" Type="http://schemas.openxmlformats.org/officeDocument/2006/relationships/hyperlink" Target="https://pubmed.ncbi.nlm.nih.gov/35837485" TargetMode="External"/><Relationship Id="rId2377" Type="http://schemas.openxmlformats.org/officeDocument/2006/relationships/hyperlink" Target="https://pubmed.ncbi.nlm.nih.gov/32139311" TargetMode="External"/><Relationship Id="rId1047" Type="http://schemas.openxmlformats.org/officeDocument/2006/relationships/hyperlink" Target="https://pubmed.ncbi.nlm.nih.gov/35794880" TargetMode="External"/><Relationship Id="rId2378" Type="http://schemas.openxmlformats.org/officeDocument/2006/relationships/hyperlink" Target="https://pubmed.ncbi.nlm.nih.gov/32135136" TargetMode="External"/><Relationship Id="rId1070" Type="http://schemas.openxmlformats.org/officeDocument/2006/relationships/hyperlink" Target="https://pubmed.ncbi.nlm.nih.gov/35710439" TargetMode="External"/><Relationship Id="rId1071" Type="http://schemas.openxmlformats.org/officeDocument/2006/relationships/hyperlink" Target="https://pubmed.ncbi.nlm.nih.gov/35705781" TargetMode="External"/><Relationship Id="rId1072" Type="http://schemas.openxmlformats.org/officeDocument/2006/relationships/hyperlink" Target="https://pubmed.ncbi.nlm.nih.gov/35745207" TargetMode="External"/><Relationship Id="rId1073" Type="http://schemas.openxmlformats.org/officeDocument/2006/relationships/hyperlink" Target="https://pubmed.ncbi.nlm.nih.gov/35258439" TargetMode="External"/><Relationship Id="rId1074" Type="http://schemas.openxmlformats.org/officeDocument/2006/relationships/hyperlink" Target="https://pubmed.ncbi.nlm.nih.gov/35695158" TargetMode="External"/><Relationship Id="rId1075" Type="http://schemas.openxmlformats.org/officeDocument/2006/relationships/hyperlink" Target="https://pubmed.ncbi.nlm.nih.gov/35899724" TargetMode="External"/><Relationship Id="rId1076" Type="http://schemas.openxmlformats.org/officeDocument/2006/relationships/hyperlink" Target="https://pubmed.ncbi.nlm.nih.gov/35709644" TargetMode="External"/><Relationship Id="rId1077" Type="http://schemas.openxmlformats.org/officeDocument/2006/relationships/hyperlink" Target="https://pubmed.ncbi.nlm.nih.gov/35709902" TargetMode="External"/><Relationship Id="rId1078" Type="http://schemas.openxmlformats.org/officeDocument/2006/relationships/hyperlink" Target="https://pubmed.ncbi.nlm.nih.gov/35692179" TargetMode="External"/><Relationship Id="rId1079" Type="http://schemas.openxmlformats.org/officeDocument/2006/relationships/hyperlink" Target="https://pubmed.ncbi.nlm.nih.gov/35717714" TargetMode="External"/><Relationship Id="rId2390" Type="http://schemas.openxmlformats.org/officeDocument/2006/relationships/hyperlink" Target="https://pubmed.ncbi.nlm.nih.gov/32106826" TargetMode="External"/><Relationship Id="rId1060" Type="http://schemas.openxmlformats.org/officeDocument/2006/relationships/hyperlink" Target="https://pubmed.ncbi.nlm.nih.gov/35941018" TargetMode="External"/><Relationship Id="rId2391" Type="http://schemas.openxmlformats.org/officeDocument/2006/relationships/hyperlink" Target="https://pubmed.ncbi.nlm.nih.gov/32097428" TargetMode="External"/><Relationship Id="rId1061" Type="http://schemas.openxmlformats.org/officeDocument/2006/relationships/hyperlink" Target="https://pubmed.ncbi.nlm.nih.gov/35729420" TargetMode="External"/><Relationship Id="rId2392" Type="http://schemas.openxmlformats.org/officeDocument/2006/relationships/hyperlink" Target="https://pubmed.ncbi.nlm.nih.gov/32092759" TargetMode="External"/><Relationship Id="rId1062" Type="http://schemas.openxmlformats.org/officeDocument/2006/relationships/hyperlink" Target="https://pubmed.ncbi.nlm.nih.gov/35726554" TargetMode="External"/><Relationship Id="rId2393" Type="http://schemas.openxmlformats.org/officeDocument/2006/relationships/hyperlink" Target="https://pubmed.ncbi.nlm.nih.gov/32087720" TargetMode="External"/><Relationship Id="rId1063" Type="http://schemas.openxmlformats.org/officeDocument/2006/relationships/hyperlink" Target="https://pubmed.ncbi.nlm.nih.gov/35728897" TargetMode="External"/><Relationship Id="rId2394" Type="http://schemas.openxmlformats.org/officeDocument/2006/relationships/hyperlink" Target="https://pubmed.ncbi.nlm.nih.gov/32081112" TargetMode="External"/><Relationship Id="rId1064" Type="http://schemas.openxmlformats.org/officeDocument/2006/relationships/hyperlink" Target="https://pubmed.ncbi.nlm.nih.gov/35728900" TargetMode="External"/><Relationship Id="rId2395" Type="http://schemas.openxmlformats.org/officeDocument/2006/relationships/hyperlink" Target="https://pubmed.ncbi.nlm.nih.gov/32084170" TargetMode="External"/><Relationship Id="rId1065" Type="http://schemas.openxmlformats.org/officeDocument/2006/relationships/hyperlink" Target="https://pubmed.ncbi.nlm.nih.gov/35795566" TargetMode="External"/><Relationship Id="rId2396" Type="http://schemas.openxmlformats.org/officeDocument/2006/relationships/hyperlink" Target="https://pubmed.ncbi.nlm.nih.gov/32087775" TargetMode="External"/><Relationship Id="rId1066" Type="http://schemas.openxmlformats.org/officeDocument/2006/relationships/hyperlink" Target="https://pubmed.ncbi.nlm.nih.gov/36158156" TargetMode="External"/><Relationship Id="rId2397" Type="http://schemas.openxmlformats.org/officeDocument/2006/relationships/hyperlink" Target="https://pubmed.ncbi.nlm.nih.gov/32068818" TargetMode="External"/><Relationship Id="rId1067" Type="http://schemas.openxmlformats.org/officeDocument/2006/relationships/hyperlink" Target="https://pubmed.ncbi.nlm.nih.gov/35725920" TargetMode="External"/><Relationship Id="rId2398" Type="http://schemas.openxmlformats.org/officeDocument/2006/relationships/hyperlink" Target="https://pubmed.ncbi.nlm.nih.gov/32011733" TargetMode="External"/><Relationship Id="rId1068" Type="http://schemas.openxmlformats.org/officeDocument/2006/relationships/hyperlink" Target="https://pubmed.ncbi.nlm.nih.gov/35740663" TargetMode="External"/><Relationship Id="rId2399" Type="http://schemas.openxmlformats.org/officeDocument/2006/relationships/hyperlink" Target="https://pubmed.ncbi.nlm.nih.gov/32072715" TargetMode="External"/><Relationship Id="rId1069" Type="http://schemas.openxmlformats.org/officeDocument/2006/relationships/hyperlink" Target="https://pubmed.ncbi.nlm.nih.gov/35306566" TargetMode="External"/><Relationship Id="rId1015" Type="http://schemas.openxmlformats.org/officeDocument/2006/relationships/hyperlink" Target="https://pubmed.ncbi.nlm.nih.gov/35906659" TargetMode="External"/><Relationship Id="rId2346" Type="http://schemas.openxmlformats.org/officeDocument/2006/relationships/hyperlink" Target="https://pubmed.ncbi.nlm.nih.gov/32200717" TargetMode="External"/><Relationship Id="rId3678" Type="http://schemas.openxmlformats.org/officeDocument/2006/relationships/hyperlink" Target="https://pubmed.ncbi.nlm.nih.gov/28317094" TargetMode="External"/><Relationship Id="rId1016" Type="http://schemas.openxmlformats.org/officeDocument/2006/relationships/hyperlink" Target="https://pubmed.ncbi.nlm.nih.gov/35905116" TargetMode="External"/><Relationship Id="rId2347" Type="http://schemas.openxmlformats.org/officeDocument/2006/relationships/hyperlink" Target="https://pubmed.ncbi.nlm.nih.gov/32115766" TargetMode="External"/><Relationship Id="rId3677" Type="http://schemas.openxmlformats.org/officeDocument/2006/relationships/hyperlink" Target="https://pubmed.ncbi.nlm.nih.gov/28320479" TargetMode="External"/><Relationship Id="rId1017" Type="http://schemas.openxmlformats.org/officeDocument/2006/relationships/hyperlink" Target="https://pubmed.ncbi.nlm.nih.gov/35817585" TargetMode="External"/><Relationship Id="rId2348" Type="http://schemas.openxmlformats.org/officeDocument/2006/relationships/hyperlink" Target="https://pubmed.ncbi.nlm.nih.gov/32198570" TargetMode="External"/><Relationship Id="rId1018" Type="http://schemas.openxmlformats.org/officeDocument/2006/relationships/hyperlink" Target="https://pubmed.ncbi.nlm.nih.gov/35901043" TargetMode="External"/><Relationship Id="rId2349" Type="http://schemas.openxmlformats.org/officeDocument/2006/relationships/hyperlink" Target="https://pubmed.ncbi.nlm.nih.gov/32198138" TargetMode="External"/><Relationship Id="rId3679" Type="http://schemas.openxmlformats.org/officeDocument/2006/relationships/hyperlink" Target="https://pubmed.ncbi.nlm.nih.gov/28336384" TargetMode="External"/><Relationship Id="rId1019" Type="http://schemas.openxmlformats.org/officeDocument/2006/relationships/hyperlink" Target="https://pubmed.ncbi.nlm.nih.gov/35966226" TargetMode="External"/><Relationship Id="rId3670" Type="http://schemas.openxmlformats.org/officeDocument/2006/relationships/hyperlink" Target="https://pubmed.ncbi.nlm.nih.gov/28348205" TargetMode="External"/><Relationship Id="rId2340" Type="http://schemas.openxmlformats.org/officeDocument/2006/relationships/hyperlink" Target="https://pubmed.ncbi.nlm.nih.gov/32224157" TargetMode="External"/><Relationship Id="rId3672" Type="http://schemas.openxmlformats.org/officeDocument/2006/relationships/hyperlink" Target="https://pubmed.ncbi.nlm.nih.gov/28336505" TargetMode="External"/><Relationship Id="rId1010" Type="http://schemas.openxmlformats.org/officeDocument/2006/relationships/hyperlink" Target="https://pubmed.ncbi.nlm.nih.gov/35917585" TargetMode="External"/><Relationship Id="rId2341" Type="http://schemas.openxmlformats.org/officeDocument/2006/relationships/hyperlink" Target="https://pubmed.ncbi.nlm.nih.gov/32212387" TargetMode="External"/><Relationship Id="rId3671" Type="http://schemas.openxmlformats.org/officeDocument/2006/relationships/hyperlink" Target="https://pubmed.ncbi.nlm.nih.gov/28344139" TargetMode="External"/><Relationship Id="rId1011" Type="http://schemas.openxmlformats.org/officeDocument/2006/relationships/hyperlink" Target="https://pubmed.ncbi.nlm.nih.gov/35915452" TargetMode="External"/><Relationship Id="rId2342" Type="http://schemas.openxmlformats.org/officeDocument/2006/relationships/hyperlink" Target="https://pubmed.ncbi.nlm.nih.gov/32392007" TargetMode="External"/><Relationship Id="rId3674" Type="http://schemas.openxmlformats.org/officeDocument/2006/relationships/hyperlink" Target="https://pubmed.ncbi.nlm.nih.gov/28332511" TargetMode="External"/><Relationship Id="rId1012" Type="http://schemas.openxmlformats.org/officeDocument/2006/relationships/hyperlink" Target="https://pubmed.ncbi.nlm.nih.gov/35913739" TargetMode="External"/><Relationship Id="rId2343" Type="http://schemas.openxmlformats.org/officeDocument/2006/relationships/hyperlink" Target="https://pubmed.ncbi.nlm.nih.gov/32213919" TargetMode="External"/><Relationship Id="rId3673" Type="http://schemas.openxmlformats.org/officeDocument/2006/relationships/hyperlink" Target="https://pubmed.ncbi.nlm.nih.gov/28330486" TargetMode="External"/><Relationship Id="rId1013" Type="http://schemas.openxmlformats.org/officeDocument/2006/relationships/hyperlink" Target="https://pubmed.ncbi.nlm.nih.gov/35927793" TargetMode="External"/><Relationship Id="rId2344" Type="http://schemas.openxmlformats.org/officeDocument/2006/relationships/hyperlink" Target="https://pubmed.ncbi.nlm.nih.gov/32489797" TargetMode="External"/><Relationship Id="rId3676" Type="http://schemas.openxmlformats.org/officeDocument/2006/relationships/hyperlink" Target="https://pubmed.ncbi.nlm.nih.gov/28323856" TargetMode="External"/><Relationship Id="rId1014" Type="http://schemas.openxmlformats.org/officeDocument/2006/relationships/hyperlink" Target="https://pubmed.ncbi.nlm.nih.gov/35016214" TargetMode="External"/><Relationship Id="rId2345" Type="http://schemas.openxmlformats.org/officeDocument/2006/relationships/hyperlink" Target="https://pubmed.ncbi.nlm.nih.gov/32178545" TargetMode="External"/><Relationship Id="rId3675" Type="http://schemas.openxmlformats.org/officeDocument/2006/relationships/hyperlink" Target="https://pubmed.ncbi.nlm.nih.gov/28323823" TargetMode="External"/><Relationship Id="rId1004" Type="http://schemas.openxmlformats.org/officeDocument/2006/relationships/hyperlink" Target="https://pubmed.ncbi.nlm.nih.gov/35932063" TargetMode="External"/><Relationship Id="rId2335" Type="http://schemas.openxmlformats.org/officeDocument/2006/relationships/hyperlink" Target="https://pubmed.ncbi.nlm.nih.gov/31392312" TargetMode="External"/><Relationship Id="rId3667" Type="http://schemas.openxmlformats.org/officeDocument/2006/relationships/hyperlink" Target="https://pubmed.ncbi.nlm.nih.gov/28348097" TargetMode="External"/><Relationship Id="rId4998" Type="http://schemas.openxmlformats.org/officeDocument/2006/relationships/hyperlink" Target="https://pubmed.ncbi.nlm.nih.gov/24001699" TargetMode="External"/><Relationship Id="rId1005" Type="http://schemas.openxmlformats.org/officeDocument/2006/relationships/hyperlink" Target="https://pubmed.ncbi.nlm.nih.gov/35934199" TargetMode="External"/><Relationship Id="rId2336" Type="http://schemas.openxmlformats.org/officeDocument/2006/relationships/hyperlink" Target="https://pubmed.ncbi.nlm.nih.gov/32244051" TargetMode="External"/><Relationship Id="rId3666" Type="http://schemas.openxmlformats.org/officeDocument/2006/relationships/hyperlink" Target="https://pubmed.ncbi.nlm.nih.gov/28712625" TargetMode="External"/><Relationship Id="rId4997" Type="http://schemas.openxmlformats.org/officeDocument/2006/relationships/hyperlink" Target="https://pubmed.ncbi.nlm.nih.gov/23959571" TargetMode="External"/><Relationship Id="rId1006" Type="http://schemas.openxmlformats.org/officeDocument/2006/relationships/hyperlink" Target="https://pubmed.ncbi.nlm.nih.gov/35927254" TargetMode="External"/><Relationship Id="rId2337" Type="http://schemas.openxmlformats.org/officeDocument/2006/relationships/hyperlink" Target="https://pubmed.ncbi.nlm.nih.gov/32228524" TargetMode="External"/><Relationship Id="rId3669" Type="http://schemas.openxmlformats.org/officeDocument/2006/relationships/hyperlink" Target="https://pubmed.ncbi.nlm.nih.gov/28579919" TargetMode="External"/><Relationship Id="rId1007" Type="http://schemas.openxmlformats.org/officeDocument/2006/relationships/hyperlink" Target="https://pubmed.ncbi.nlm.nih.gov/35931049" TargetMode="External"/><Relationship Id="rId2338" Type="http://schemas.openxmlformats.org/officeDocument/2006/relationships/hyperlink" Target="https://pubmed.ncbi.nlm.nih.gov/32223395" TargetMode="External"/><Relationship Id="rId3668" Type="http://schemas.openxmlformats.org/officeDocument/2006/relationships/hyperlink" Target="https://pubmed.ncbi.nlm.nih.gov/28346442" TargetMode="External"/><Relationship Id="rId4999" Type="http://schemas.openxmlformats.org/officeDocument/2006/relationships/hyperlink" Target="https://pubmed.ncbi.nlm.nih.gov/25814867" TargetMode="External"/><Relationship Id="rId1008" Type="http://schemas.openxmlformats.org/officeDocument/2006/relationships/hyperlink" Target="https://pubmed.ncbi.nlm.nih.gov/35830197" TargetMode="External"/><Relationship Id="rId2339" Type="http://schemas.openxmlformats.org/officeDocument/2006/relationships/hyperlink" Target="https://pubmed.ncbi.nlm.nih.gov/31100134" TargetMode="External"/><Relationship Id="rId1009" Type="http://schemas.openxmlformats.org/officeDocument/2006/relationships/hyperlink" Target="https://pubmed.ncbi.nlm.nih.gov/35990760" TargetMode="External"/><Relationship Id="rId4990" Type="http://schemas.openxmlformats.org/officeDocument/2006/relationships/hyperlink" Target="https://pubmed.ncbi.nlm.nih.gov/24008315" TargetMode="External"/><Relationship Id="rId3661" Type="http://schemas.openxmlformats.org/officeDocument/2006/relationships/hyperlink" Target="https://pubmed.ncbi.nlm.nih.gov/28363976" TargetMode="External"/><Relationship Id="rId4992" Type="http://schemas.openxmlformats.org/officeDocument/2006/relationships/hyperlink" Target="https://pubmed.ncbi.nlm.nih.gov/23887011" TargetMode="External"/><Relationship Id="rId2330" Type="http://schemas.openxmlformats.org/officeDocument/2006/relationships/hyperlink" Target="https://pubmed.ncbi.nlm.nih.gov/32240161" TargetMode="External"/><Relationship Id="rId3660" Type="http://schemas.openxmlformats.org/officeDocument/2006/relationships/hyperlink" Target="https://pubmed.ncbi.nlm.nih.gov/28279974" TargetMode="External"/><Relationship Id="rId4991" Type="http://schemas.openxmlformats.org/officeDocument/2006/relationships/hyperlink" Target="https://pubmed.ncbi.nlm.nih.gov/24054333" TargetMode="External"/><Relationship Id="rId1000" Type="http://schemas.openxmlformats.org/officeDocument/2006/relationships/hyperlink" Target="https://pubmed.ncbi.nlm.nih.gov/35954468" TargetMode="External"/><Relationship Id="rId2331" Type="http://schemas.openxmlformats.org/officeDocument/2006/relationships/hyperlink" Target="https://pubmed.ncbi.nlm.nih.gov/32025756" TargetMode="External"/><Relationship Id="rId3663" Type="http://schemas.openxmlformats.org/officeDocument/2006/relationships/hyperlink" Target="https://pubmed.ncbi.nlm.nih.gov/28356148" TargetMode="External"/><Relationship Id="rId4994" Type="http://schemas.openxmlformats.org/officeDocument/2006/relationships/hyperlink" Target="https://pubmed.ncbi.nlm.nih.gov/24029658" TargetMode="External"/><Relationship Id="rId1001" Type="http://schemas.openxmlformats.org/officeDocument/2006/relationships/hyperlink" Target="https://pubmed.ncbi.nlm.nih.gov/35940566" TargetMode="External"/><Relationship Id="rId2332" Type="http://schemas.openxmlformats.org/officeDocument/2006/relationships/hyperlink" Target="https://pubmed.ncbi.nlm.nih.gov/32312756" TargetMode="External"/><Relationship Id="rId3662" Type="http://schemas.openxmlformats.org/officeDocument/2006/relationships/hyperlink" Target="https://pubmed.ncbi.nlm.nih.gov/31095132" TargetMode="External"/><Relationship Id="rId4993" Type="http://schemas.openxmlformats.org/officeDocument/2006/relationships/hyperlink" Target="https://pubmed.ncbi.nlm.nih.gov/23984840" TargetMode="External"/><Relationship Id="rId1002" Type="http://schemas.openxmlformats.org/officeDocument/2006/relationships/hyperlink" Target="https://pubmed.ncbi.nlm.nih.gov/36018638" TargetMode="External"/><Relationship Id="rId2333" Type="http://schemas.openxmlformats.org/officeDocument/2006/relationships/hyperlink" Target="https://pubmed.ncbi.nlm.nih.gov/32247206" TargetMode="External"/><Relationship Id="rId3665" Type="http://schemas.openxmlformats.org/officeDocument/2006/relationships/hyperlink" Target="https://pubmed.ncbi.nlm.nih.gov/28356103" TargetMode="External"/><Relationship Id="rId4996" Type="http://schemas.openxmlformats.org/officeDocument/2006/relationships/hyperlink" Target="https://pubmed.ncbi.nlm.nih.gov/23970792" TargetMode="External"/><Relationship Id="rId1003" Type="http://schemas.openxmlformats.org/officeDocument/2006/relationships/hyperlink" Target="https://pubmed.ncbi.nlm.nih.gov/35929454" TargetMode="External"/><Relationship Id="rId2334" Type="http://schemas.openxmlformats.org/officeDocument/2006/relationships/hyperlink" Target="https://pubmed.ncbi.nlm.nih.gov/31577591" TargetMode="External"/><Relationship Id="rId3664" Type="http://schemas.openxmlformats.org/officeDocument/2006/relationships/hyperlink" Target="https://pubmed.ncbi.nlm.nih.gov/28446366" TargetMode="External"/><Relationship Id="rId4995" Type="http://schemas.openxmlformats.org/officeDocument/2006/relationships/hyperlink" Target="https://pubmed.ncbi.nlm.nih.gov/24035066" TargetMode="External"/><Relationship Id="rId1037" Type="http://schemas.openxmlformats.org/officeDocument/2006/relationships/hyperlink" Target="https://pubmed.ncbi.nlm.nih.gov/35907275" TargetMode="External"/><Relationship Id="rId2368" Type="http://schemas.openxmlformats.org/officeDocument/2006/relationships/hyperlink" Target="https://pubmed.ncbi.nlm.nih.gov/32165321" TargetMode="External"/><Relationship Id="rId1038" Type="http://schemas.openxmlformats.org/officeDocument/2006/relationships/hyperlink" Target="https://pubmed.ncbi.nlm.nih.gov/35856002" TargetMode="External"/><Relationship Id="rId2369" Type="http://schemas.openxmlformats.org/officeDocument/2006/relationships/hyperlink" Target="https://pubmed.ncbi.nlm.nih.gov/32147297" TargetMode="External"/><Relationship Id="rId3699" Type="http://schemas.openxmlformats.org/officeDocument/2006/relationships/hyperlink" Target="https://pubmed.ncbi.nlm.nih.gov/28025382" TargetMode="External"/><Relationship Id="rId1039" Type="http://schemas.openxmlformats.org/officeDocument/2006/relationships/hyperlink" Target="https://pubmed.ncbi.nlm.nih.gov/35437568" TargetMode="External"/><Relationship Id="rId3690" Type="http://schemas.openxmlformats.org/officeDocument/2006/relationships/hyperlink" Target="https://pubmed.ncbi.nlm.nih.gov/28436727" TargetMode="External"/><Relationship Id="rId2360" Type="http://schemas.openxmlformats.org/officeDocument/2006/relationships/hyperlink" Target="https://pubmed.ncbi.nlm.nih.gov/32240089" TargetMode="External"/><Relationship Id="rId3692" Type="http://schemas.openxmlformats.org/officeDocument/2006/relationships/hyperlink" Target="https://pubmed.ncbi.nlm.nih.gov/28270184" TargetMode="External"/><Relationship Id="rId1030" Type="http://schemas.openxmlformats.org/officeDocument/2006/relationships/hyperlink" Target="https://pubmed.ncbi.nlm.nih.gov/35851315" TargetMode="External"/><Relationship Id="rId2361" Type="http://schemas.openxmlformats.org/officeDocument/2006/relationships/hyperlink" Target="https://pubmed.ncbi.nlm.nih.gov/32162310" TargetMode="External"/><Relationship Id="rId3691" Type="http://schemas.openxmlformats.org/officeDocument/2006/relationships/hyperlink" Target="https://pubmed.ncbi.nlm.nih.gov/28271154" TargetMode="External"/><Relationship Id="rId1031" Type="http://schemas.openxmlformats.org/officeDocument/2006/relationships/hyperlink" Target="https://pubmed.ncbi.nlm.nih.gov/35836268" TargetMode="External"/><Relationship Id="rId2362" Type="http://schemas.openxmlformats.org/officeDocument/2006/relationships/hyperlink" Target="https://pubmed.ncbi.nlm.nih.gov/32164668" TargetMode="External"/><Relationship Id="rId3694" Type="http://schemas.openxmlformats.org/officeDocument/2006/relationships/hyperlink" Target="https://pubmed.ncbi.nlm.nih.gov/28690423" TargetMode="External"/><Relationship Id="rId1032" Type="http://schemas.openxmlformats.org/officeDocument/2006/relationships/hyperlink" Target="https://pubmed.ncbi.nlm.nih.gov/35820692" TargetMode="External"/><Relationship Id="rId2363" Type="http://schemas.openxmlformats.org/officeDocument/2006/relationships/hyperlink" Target="https://pubmed.ncbi.nlm.nih.gov/32391993" TargetMode="External"/><Relationship Id="rId3693" Type="http://schemas.openxmlformats.org/officeDocument/2006/relationships/hyperlink" Target="https://pubmed.ncbi.nlm.nih.gov/28264824" TargetMode="External"/><Relationship Id="rId1033" Type="http://schemas.openxmlformats.org/officeDocument/2006/relationships/hyperlink" Target="https://pubmed.ncbi.nlm.nih.gov/35809102" TargetMode="External"/><Relationship Id="rId2364" Type="http://schemas.openxmlformats.org/officeDocument/2006/relationships/hyperlink" Target="https://pubmed.ncbi.nlm.nih.gov/32171567" TargetMode="External"/><Relationship Id="rId3696" Type="http://schemas.openxmlformats.org/officeDocument/2006/relationships/hyperlink" Target="https://pubmed.ncbi.nlm.nih.gov/28331433" TargetMode="External"/><Relationship Id="rId1034" Type="http://schemas.openxmlformats.org/officeDocument/2006/relationships/hyperlink" Target="https://pubmed.ncbi.nlm.nih.gov/35803634" TargetMode="External"/><Relationship Id="rId2365" Type="http://schemas.openxmlformats.org/officeDocument/2006/relationships/hyperlink" Target="https://pubmed.ncbi.nlm.nih.gov/32153211" TargetMode="External"/><Relationship Id="rId3695" Type="http://schemas.openxmlformats.org/officeDocument/2006/relationships/hyperlink" Target="https://pubmed.ncbi.nlm.nih.gov/28253865" TargetMode="External"/><Relationship Id="rId1035" Type="http://schemas.openxmlformats.org/officeDocument/2006/relationships/hyperlink" Target="https://pubmed.ncbi.nlm.nih.gov/35794668" TargetMode="External"/><Relationship Id="rId2366" Type="http://schemas.openxmlformats.org/officeDocument/2006/relationships/hyperlink" Target="https://pubmed.ncbi.nlm.nih.gov/32169469" TargetMode="External"/><Relationship Id="rId3698" Type="http://schemas.openxmlformats.org/officeDocument/2006/relationships/hyperlink" Target="https://pubmed.ncbi.nlm.nih.gov/27194622" TargetMode="External"/><Relationship Id="rId1036" Type="http://schemas.openxmlformats.org/officeDocument/2006/relationships/hyperlink" Target="https://pubmed.ncbi.nlm.nih.gov/35794617" TargetMode="External"/><Relationship Id="rId2367" Type="http://schemas.openxmlformats.org/officeDocument/2006/relationships/hyperlink" Target="https://pubmed.ncbi.nlm.nih.gov/32252965" TargetMode="External"/><Relationship Id="rId3697" Type="http://schemas.openxmlformats.org/officeDocument/2006/relationships/hyperlink" Target="https://pubmed.ncbi.nlm.nih.gov/27870813" TargetMode="External"/><Relationship Id="rId1026" Type="http://schemas.openxmlformats.org/officeDocument/2006/relationships/hyperlink" Target="https://pubmed.ncbi.nlm.nih.gov/35862344" TargetMode="External"/><Relationship Id="rId2357" Type="http://schemas.openxmlformats.org/officeDocument/2006/relationships/hyperlink" Target="https://pubmed.ncbi.nlm.nih.gov/32171296" TargetMode="External"/><Relationship Id="rId3689" Type="http://schemas.openxmlformats.org/officeDocument/2006/relationships/hyperlink" Target="https://pubmed.ncbi.nlm.nih.gov/28275946" TargetMode="External"/><Relationship Id="rId1027" Type="http://schemas.openxmlformats.org/officeDocument/2006/relationships/hyperlink" Target="https://pubmed.ncbi.nlm.nih.gov/35871138" TargetMode="External"/><Relationship Id="rId2358" Type="http://schemas.openxmlformats.org/officeDocument/2006/relationships/hyperlink" Target="https://pubmed.ncbi.nlm.nih.gov/32167657" TargetMode="External"/><Relationship Id="rId3688" Type="http://schemas.openxmlformats.org/officeDocument/2006/relationships/hyperlink" Target="https://pubmed.ncbi.nlm.nih.gov/28274211" TargetMode="External"/><Relationship Id="rId1028" Type="http://schemas.openxmlformats.org/officeDocument/2006/relationships/hyperlink" Target="https://pubmed.ncbi.nlm.nih.gov/35870693" TargetMode="External"/><Relationship Id="rId2359" Type="http://schemas.openxmlformats.org/officeDocument/2006/relationships/hyperlink" Target="https://pubmed.ncbi.nlm.nih.gov/32170038" TargetMode="External"/><Relationship Id="rId1029" Type="http://schemas.openxmlformats.org/officeDocument/2006/relationships/hyperlink" Target="https://pubmed.ncbi.nlm.nih.gov/35818717" TargetMode="External"/><Relationship Id="rId3681" Type="http://schemas.openxmlformats.org/officeDocument/2006/relationships/hyperlink" Target="https://pubmed.ncbi.nlm.nih.gov/27905104" TargetMode="External"/><Relationship Id="rId2350" Type="http://schemas.openxmlformats.org/officeDocument/2006/relationships/hyperlink" Target="https://pubmed.ncbi.nlm.nih.gov/32193658" TargetMode="External"/><Relationship Id="rId3680" Type="http://schemas.openxmlformats.org/officeDocument/2006/relationships/hyperlink" Target="https://pubmed.ncbi.nlm.nih.gov/28320322" TargetMode="External"/><Relationship Id="rId1020" Type="http://schemas.openxmlformats.org/officeDocument/2006/relationships/hyperlink" Target="https://pubmed.ncbi.nlm.nih.gov/35896277" TargetMode="External"/><Relationship Id="rId2351" Type="http://schemas.openxmlformats.org/officeDocument/2006/relationships/hyperlink" Target="https://pubmed.ncbi.nlm.nih.gov/32201140" TargetMode="External"/><Relationship Id="rId3683" Type="http://schemas.openxmlformats.org/officeDocument/2006/relationships/hyperlink" Target="https://pubmed.ncbi.nlm.nih.gov/28292280" TargetMode="External"/><Relationship Id="rId1021" Type="http://schemas.openxmlformats.org/officeDocument/2006/relationships/hyperlink" Target="https://pubmed.ncbi.nlm.nih.gov/35876421" TargetMode="External"/><Relationship Id="rId2352" Type="http://schemas.openxmlformats.org/officeDocument/2006/relationships/hyperlink" Target="https://pubmed.ncbi.nlm.nih.gov/32188600" TargetMode="External"/><Relationship Id="rId3682" Type="http://schemas.openxmlformats.org/officeDocument/2006/relationships/hyperlink" Target="https://pubmed.ncbi.nlm.nih.gov/28296025" TargetMode="External"/><Relationship Id="rId1022" Type="http://schemas.openxmlformats.org/officeDocument/2006/relationships/hyperlink" Target="https://pubmed.ncbi.nlm.nih.gov/35791303" TargetMode="External"/><Relationship Id="rId2353" Type="http://schemas.openxmlformats.org/officeDocument/2006/relationships/hyperlink" Target="https://pubmed.ncbi.nlm.nih.gov/32188935" TargetMode="External"/><Relationship Id="rId3685" Type="http://schemas.openxmlformats.org/officeDocument/2006/relationships/hyperlink" Target="https://pubmed.ncbi.nlm.nih.gov/28291721" TargetMode="External"/><Relationship Id="rId1023" Type="http://schemas.openxmlformats.org/officeDocument/2006/relationships/hyperlink" Target="https://pubmed.ncbi.nlm.nih.gov/35866665" TargetMode="External"/><Relationship Id="rId2354" Type="http://schemas.openxmlformats.org/officeDocument/2006/relationships/hyperlink" Target="https://pubmed.ncbi.nlm.nih.gov/32183757" TargetMode="External"/><Relationship Id="rId3684" Type="http://schemas.openxmlformats.org/officeDocument/2006/relationships/hyperlink" Target="https://pubmed.ncbi.nlm.nih.gov/28289240" TargetMode="External"/><Relationship Id="rId1024" Type="http://schemas.openxmlformats.org/officeDocument/2006/relationships/hyperlink" Target="https://pubmed.ncbi.nlm.nih.gov/35866452" TargetMode="External"/><Relationship Id="rId2355" Type="http://schemas.openxmlformats.org/officeDocument/2006/relationships/hyperlink" Target="https://pubmed.ncbi.nlm.nih.gov/32211511" TargetMode="External"/><Relationship Id="rId3687" Type="http://schemas.openxmlformats.org/officeDocument/2006/relationships/hyperlink" Target="https://pubmed.ncbi.nlm.nih.gov/28279993" TargetMode="External"/><Relationship Id="rId1025" Type="http://schemas.openxmlformats.org/officeDocument/2006/relationships/hyperlink" Target="https://pubmed.ncbi.nlm.nih.gov/35864451" TargetMode="External"/><Relationship Id="rId2356" Type="http://schemas.openxmlformats.org/officeDocument/2006/relationships/hyperlink" Target="https://pubmed.ncbi.nlm.nih.gov/31102402" TargetMode="External"/><Relationship Id="rId3686" Type="http://schemas.openxmlformats.org/officeDocument/2006/relationships/hyperlink" Target="https://pubmed.ncbi.nlm.nih.gov/28291722" TargetMode="External"/><Relationship Id="rId1090" Type="http://schemas.openxmlformats.org/officeDocument/2006/relationships/hyperlink" Target="https://pubmed.ncbi.nlm.nih.gov/37124855" TargetMode="External"/><Relationship Id="rId1091" Type="http://schemas.openxmlformats.org/officeDocument/2006/relationships/hyperlink" Target="https://pubmed.ncbi.nlm.nih.gov/35171236" TargetMode="External"/><Relationship Id="rId1092" Type="http://schemas.openxmlformats.org/officeDocument/2006/relationships/hyperlink" Target="https://pubmed.ncbi.nlm.nih.gov/35697352" TargetMode="External"/><Relationship Id="rId1093" Type="http://schemas.openxmlformats.org/officeDocument/2006/relationships/hyperlink" Target="https://pubmed.ncbi.nlm.nih.gov/35711614" TargetMode="External"/><Relationship Id="rId1094" Type="http://schemas.openxmlformats.org/officeDocument/2006/relationships/hyperlink" Target="https://pubmed.ncbi.nlm.nih.gov/35644003" TargetMode="External"/><Relationship Id="rId1095" Type="http://schemas.openxmlformats.org/officeDocument/2006/relationships/hyperlink" Target="https://pubmed.ncbi.nlm.nih.gov/34611715" TargetMode="External"/><Relationship Id="rId1096" Type="http://schemas.openxmlformats.org/officeDocument/2006/relationships/hyperlink" Target="https://pubmed.ncbi.nlm.nih.gov/33624031" TargetMode="External"/><Relationship Id="rId1097" Type="http://schemas.openxmlformats.org/officeDocument/2006/relationships/hyperlink" Target="https://pubmed.ncbi.nlm.nih.gov/35619188" TargetMode="External"/><Relationship Id="rId1098" Type="http://schemas.openxmlformats.org/officeDocument/2006/relationships/hyperlink" Target="https://pubmed.ncbi.nlm.nih.gov/35618425" TargetMode="External"/><Relationship Id="rId1099" Type="http://schemas.openxmlformats.org/officeDocument/2006/relationships/hyperlink" Target="https://pubmed.ncbi.nlm.nih.gov/35440467" TargetMode="External"/><Relationship Id="rId1080" Type="http://schemas.openxmlformats.org/officeDocument/2006/relationships/hyperlink" Target="https://pubmed.ncbi.nlm.nih.gov/35296513" TargetMode="External"/><Relationship Id="rId1081" Type="http://schemas.openxmlformats.org/officeDocument/2006/relationships/hyperlink" Target="https://pubmed.ncbi.nlm.nih.gov/35709631" TargetMode="External"/><Relationship Id="rId1082" Type="http://schemas.openxmlformats.org/officeDocument/2006/relationships/hyperlink" Target="https://pubmed.ncbi.nlm.nih.gov/35710476" TargetMode="External"/><Relationship Id="rId1083" Type="http://schemas.openxmlformats.org/officeDocument/2006/relationships/hyperlink" Target="https://pubmed.ncbi.nlm.nih.gov/35863935" TargetMode="External"/><Relationship Id="rId1084" Type="http://schemas.openxmlformats.org/officeDocument/2006/relationships/hyperlink" Target="https://pubmed.ncbi.nlm.nih.gov/35837361" TargetMode="External"/><Relationship Id="rId1085" Type="http://schemas.openxmlformats.org/officeDocument/2006/relationships/hyperlink" Target="https://pubmed.ncbi.nlm.nih.gov/35670359" TargetMode="External"/><Relationship Id="rId1086" Type="http://schemas.openxmlformats.org/officeDocument/2006/relationships/hyperlink" Target="https://pubmed.ncbi.nlm.nih.gov/35659264" TargetMode="External"/><Relationship Id="rId1087" Type="http://schemas.openxmlformats.org/officeDocument/2006/relationships/hyperlink" Target="https://pubmed.ncbi.nlm.nih.gov/35740767" TargetMode="External"/><Relationship Id="rId1088" Type="http://schemas.openxmlformats.org/officeDocument/2006/relationships/hyperlink" Target="https://pubmed.ncbi.nlm.nih.gov/35658969" TargetMode="External"/><Relationship Id="rId1089" Type="http://schemas.openxmlformats.org/officeDocument/2006/relationships/hyperlink" Target="https://pubmed.ncbi.nlm.nih.gov/35652368" TargetMode="External"/><Relationship Id="rId2423" Type="http://schemas.openxmlformats.org/officeDocument/2006/relationships/hyperlink" Target="https://pubmed.ncbi.nlm.nih.gov/32001714" TargetMode="External"/><Relationship Id="rId3755" Type="http://schemas.openxmlformats.org/officeDocument/2006/relationships/hyperlink" Target="https://pubmed.ncbi.nlm.nih.gov/28085961" TargetMode="External"/><Relationship Id="rId2424" Type="http://schemas.openxmlformats.org/officeDocument/2006/relationships/hyperlink" Target="https://pubmed.ncbi.nlm.nih.gov/31960587" TargetMode="External"/><Relationship Id="rId3754" Type="http://schemas.openxmlformats.org/officeDocument/2006/relationships/hyperlink" Target="https://pubmed.ncbi.nlm.nih.gov/28260979" TargetMode="External"/><Relationship Id="rId2425" Type="http://schemas.openxmlformats.org/officeDocument/2006/relationships/hyperlink" Target="https://pubmed.ncbi.nlm.nih.gov/31614063" TargetMode="External"/><Relationship Id="rId3757" Type="http://schemas.openxmlformats.org/officeDocument/2006/relationships/hyperlink" Target="https://pubmed.ncbi.nlm.nih.gov/28077099" TargetMode="External"/><Relationship Id="rId2426" Type="http://schemas.openxmlformats.org/officeDocument/2006/relationships/hyperlink" Target="https://pubmed.ncbi.nlm.nih.gov/32064237" TargetMode="External"/><Relationship Id="rId3756" Type="http://schemas.openxmlformats.org/officeDocument/2006/relationships/hyperlink" Target="https://pubmed.ncbi.nlm.nih.gov/28089564" TargetMode="External"/><Relationship Id="rId2427" Type="http://schemas.openxmlformats.org/officeDocument/2006/relationships/hyperlink" Target="https://pubmed.ncbi.nlm.nih.gov/31583990" TargetMode="External"/><Relationship Id="rId3759" Type="http://schemas.openxmlformats.org/officeDocument/2006/relationships/hyperlink" Target="https://pubmed.ncbi.nlm.nih.gov/28068956" TargetMode="External"/><Relationship Id="rId2428" Type="http://schemas.openxmlformats.org/officeDocument/2006/relationships/hyperlink" Target="https://pubmed.ncbi.nlm.nih.gov/32073796" TargetMode="External"/><Relationship Id="rId3758" Type="http://schemas.openxmlformats.org/officeDocument/2006/relationships/hyperlink" Target="https://pubmed.ncbi.nlm.nih.gov/28078429" TargetMode="External"/><Relationship Id="rId2429" Type="http://schemas.openxmlformats.org/officeDocument/2006/relationships/hyperlink" Target="https://pubmed.ncbi.nlm.nih.gov/31988197" TargetMode="External"/><Relationship Id="rId3751" Type="http://schemas.openxmlformats.org/officeDocument/2006/relationships/hyperlink" Target="https://pubmed.ncbi.nlm.nih.gov/28176886" TargetMode="External"/><Relationship Id="rId2420" Type="http://schemas.openxmlformats.org/officeDocument/2006/relationships/hyperlink" Target="https://pubmed.ncbi.nlm.nih.gov/31841575" TargetMode="External"/><Relationship Id="rId3750" Type="http://schemas.openxmlformats.org/officeDocument/2006/relationships/hyperlink" Target="https://pubmed.ncbi.nlm.nih.gov/28104706" TargetMode="External"/><Relationship Id="rId2421" Type="http://schemas.openxmlformats.org/officeDocument/2006/relationships/hyperlink" Target="https://pubmed.ncbi.nlm.nih.gov/32274454" TargetMode="External"/><Relationship Id="rId3753" Type="http://schemas.openxmlformats.org/officeDocument/2006/relationships/hyperlink" Target="https://pubmed.ncbi.nlm.nih.gov/27467907" TargetMode="External"/><Relationship Id="rId2422" Type="http://schemas.openxmlformats.org/officeDocument/2006/relationships/hyperlink" Target="https://pubmed.ncbi.nlm.nih.gov/31984563" TargetMode="External"/><Relationship Id="rId3752" Type="http://schemas.openxmlformats.org/officeDocument/2006/relationships/hyperlink" Target="https://pubmed.ncbi.nlm.nih.gov/28093430" TargetMode="External"/><Relationship Id="rId2412" Type="http://schemas.openxmlformats.org/officeDocument/2006/relationships/hyperlink" Target="https://pubmed.ncbi.nlm.nih.gov/31759339" TargetMode="External"/><Relationship Id="rId3744" Type="http://schemas.openxmlformats.org/officeDocument/2006/relationships/hyperlink" Target="https://pubmed.ncbi.nlm.nih.gov/28126492" TargetMode="External"/><Relationship Id="rId2413" Type="http://schemas.openxmlformats.org/officeDocument/2006/relationships/hyperlink" Target="https://pubmed.ncbi.nlm.nih.gov/32029487" TargetMode="External"/><Relationship Id="rId3743" Type="http://schemas.openxmlformats.org/officeDocument/2006/relationships/hyperlink" Target="https://pubmed.ncbi.nlm.nih.gov/28176959" TargetMode="External"/><Relationship Id="rId2414" Type="http://schemas.openxmlformats.org/officeDocument/2006/relationships/hyperlink" Target="https://pubmed.ncbi.nlm.nih.gov/32035178" TargetMode="External"/><Relationship Id="rId3746" Type="http://schemas.openxmlformats.org/officeDocument/2006/relationships/hyperlink" Target="https://pubmed.ncbi.nlm.nih.gov/27987380" TargetMode="External"/><Relationship Id="rId2415" Type="http://schemas.openxmlformats.org/officeDocument/2006/relationships/hyperlink" Target="https://pubmed.ncbi.nlm.nih.gov/32022311" TargetMode="External"/><Relationship Id="rId3745" Type="http://schemas.openxmlformats.org/officeDocument/2006/relationships/hyperlink" Target="https://pubmed.ncbi.nlm.nih.gov/28232942" TargetMode="External"/><Relationship Id="rId2416" Type="http://schemas.openxmlformats.org/officeDocument/2006/relationships/hyperlink" Target="https://pubmed.ncbi.nlm.nih.gov/32013790" TargetMode="External"/><Relationship Id="rId3748" Type="http://schemas.openxmlformats.org/officeDocument/2006/relationships/hyperlink" Target="https://pubmed.ncbi.nlm.nih.gov/28260981" TargetMode="External"/><Relationship Id="rId2417" Type="http://schemas.openxmlformats.org/officeDocument/2006/relationships/hyperlink" Target="https://pubmed.ncbi.nlm.nih.gov/31978032" TargetMode="External"/><Relationship Id="rId3747" Type="http://schemas.openxmlformats.org/officeDocument/2006/relationships/hyperlink" Target="https://pubmed.ncbi.nlm.nih.gov/28106062" TargetMode="External"/><Relationship Id="rId2418" Type="http://schemas.openxmlformats.org/officeDocument/2006/relationships/hyperlink" Target="https://pubmed.ncbi.nlm.nih.gov/31711228" TargetMode="External"/><Relationship Id="rId2419" Type="http://schemas.openxmlformats.org/officeDocument/2006/relationships/hyperlink" Target="https://pubmed.ncbi.nlm.nih.gov/31524827" TargetMode="External"/><Relationship Id="rId3749" Type="http://schemas.openxmlformats.org/officeDocument/2006/relationships/hyperlink" Target="https://pubmed.ncbi.nlm.nih.gov/28104841" TargetMode="External"/><Relationship Id="rId3740" Type="http://schemas.openxmlformats.org/officeDocument/2006/relationships/hyperlink" Target="https://pubmed.ncbi.nlm.nih.gov/28124399" TargetMode="External"/><Relationship Id="rId2410" Type="http://schemas.openxmlformats.org/officeDocument/2006/relationships/hyperlink" Target="https://pubmed.ncbi.nlm.nih.gov/32082564" TargetMode="External"/><Relationship Id="rId3742" Type="http://schemas.openxmlformats.org/officeDocument/2006/relationships/hyperlink" Target="https://pubmed.ncbi.nlm.nih.gov/28121171" TargetMode="External"/><Relationship Id="rId2411" Type="http://schemas.openxmlformats.org/officeDocument/2006/relationships/hyperlink" Target="https://pubmed.ncbi.nlm.nih.gov/32117412" TargetMode="External"/><Relationship Id="rId3741" Type="http://schemas.openxmlformats.org/officeDocument/2006/relationships/hyperlink" Target="https://pubmed.ncbi.nlm.nih.gov/28121180" TargetMode="External"/><Relationship Id="rId1114" Type="http://schemas.openxmlformats.org/officeDocument/2006/relationships/hyperlink" Target="https://pubmed.ncbi.nlm.nih.gov/35488483" TargetMode="External"/><Relationship Id="rId2445" Type="http://schemas.openxmlformats.org/officeDocument/2006/relationships/hyperlink" Target="https://pubmed.ncbi.nlm.nih.gov/31935253" TargetMode="External"/><Relationship Id="rId3777" Type="http://schemas.openxmlformats.org/officeDocument/2006/relationships/hyperlink" Target="https://pubmed.ncbi.nlm.nih.gov/28011599" TargetMode="External"/><Relationship Id="rId1115" Type="http://schemas.openxmlformats.org/officeDocument/2006/relationships/hyperlink" Target="https://pubmed.ncbi.nlm.nih.gov/35582744" TargetMode="External"/><Relationship Id="rId2446" Type="http://schemas.openxmlformats.org/officeDocument/2006/relationships/hyperlink" Target="https://pubmed.ncbi.nlm.nih.gov/31869505" TargetMode="External"/><Relationship Id="rId3776" Type="http://schemas.openxmlformats.org/officeDocument/2006/relationships/hyperlink" Target="https://pubmed.ncbi.nlm.nih.gov/28012087" TargetMode="External"/><Relationship Id="rId1116" Type="http://schemas.openxmlformats.org/officeDocument/2006/relationships/hyperlink" Target="https://pubmed.ncbi.nlm.nih.gov/35575286" TargetMode="External"/><Relationship Id="rId2447" Type="http://schemas.openxmlformats.org/officeDocument/2006/relationships/hyperlink" Target="https://pubmed.ncbi.nlm.nih.gov/31953105" TargetMode="External"/><Relationship Id="rId3779" Type="http://schemas.openxmlformats.org/officeDocument/2006/relationships/hyperlink" Target="https://pubmed.ncbi.nlm.nih.gov/27993168" TargetMode="External"/><Relationship Id="rId1117" Type="http://schemas.openxmlformats.org/officeDocument/2006/relationships/hyperlink" Target="https://pubmed.ncbi.nlm.nih.gov/35568807" TargetMode="External"/><Relationship Id="rId2448" Type="http://schemas.openxmlformats.org/officeDocument/2006/relationships/hyperlink" Target="https://pubmed.ncbi.nlm.nih.gov/31932455" TargetMode="External"/><Relationship Id="rId3778" Type="http://schemas.openxmlformats.org/officeDocument/2006/relationships/hyperlink" Target="https://pubmed.ncbi.nlm.nih.gov/28031750" TargetMode="External"/><Relationship Id="rId1118" Type="http://schemas.openxmlformats.org/officeDocument/2006/relationships/hyperlink" Target="https://pubmed.ncbi.nlm.nih.gov/35560110" TargetMode="External"/><Relationship Id="rId2449" Type="http://schemas.openxmlformats.org/officeDocument/2006/relationships/hyperlink" Target="https://pubmed.ncbi.nlm.nih.gov/31931881" TargetMode="External"/><Relationship Id="rId1119" Type="http://schemas.openxmlformats.org/officeDocument/2006/relationships/hyperlink" Target="https://pubmed.ncbi.nlm.nih.gov/36036707" TargetMode="External"/><Relationship Id="rId3771" Type="http://schemas.openxmlformats.org/officeDocument/2006/relationships/hyperlink" Target="https://pubmed.ncbi.nlm.nih.gov/28116766" TargetMode="External"/><Relationship Id="rId2440" Type="http://schemas.openxmlformats.org/officeDocument/2006/relationships/hyperlink" Target="https://pubmed.ncbi.nlm.nih.gov/31954837" TargetMode="External"/><Relationship Id="rId3770" Type="http://schemas.openxmlformats.org/officeDocument/2006/relationships/hyperlink" Target="https://pubmed.ncbi.nlm.nih.gov/29125085" TargetMode="External"/><Relationship Id="rId1110" Type="http://schemas.openxmlformats.org/officeDocument/2006/relationships/hyperlink" Target="https://pubmed.ncbi.nlm.nih.gov/35596134" TargetMode="External"/><Relationship Id="rId2441" Type="http://schemas.openxmlformats.org/officeDocument/2006/relationships/hyperlink" Target="https://pubmed.ncbi.nlm.nih.gov/31948279" TargetMode="External"/><Relationship Id="rId3773" Type="http://schemas.openxmlformats.org/officeDocument/2006/relationships/hyperlink" Target="https://pubmed.ncbi.nlm.nih.gov/28588979" TargetMode="External"/><Relationship Id="rId1111" Type="http://schemas.openxmlformats.org/officeDocument/2006/relationships/hyperlink" Target="https://pubmed.ncbi.nlm.nih.gov/35923604" TargetMode="External"/><Relationship Id="rId2442" Type="http://schemas.openxmlformats.org/officeDocument/2006/relationships/hyperlink" Target="https://pubmed.ncbi.nlm.nih.gov/31941481" TargetMode="External"/><Relationship Id="rId3772" Type="http://schemas.openxmlformats.org/officeDocument/2006/relationships/hyperlink" Target="https://pubmed.ncbi.nlm.nih.gov/28050247" TargetMode="External"/><Relationship Id="rId1112" Type="http://schemas.openxmlformats.org/officeDocument/2006/relationships/hyperlink" Target="https://pubmed.ncbi.nlm.nih.gov/35595947" TargetMode="External"/><Relationship Id="rId2443" Type="http://schemas.openxmlformats.org/officeDocument/2006/relationships/hyperlink" Target="https://pubmed.ncbi.nlm.nih.gov/31876074" TargetMode="External"/><Relationship Id="rId3775" Type="http://schemas.openxmlformats.org/officeDocument/2006/relationships/hyperlink" Target="https://pubmed.ncbi.nlm.nih.gov/27807924" TargetMode="External"/><Relationship Id="rId1113" Type="http://schemas.openxmlformats.org/officeDocument/2006/relationships/hyperlink" Target="https://pubmed.ncbi.nlm.nih.gov/35584346" TargetMode="External"/><Relationship Id="rId2444" Type="http://schemas.openxmlformats.org/officeDocument/2006/relationships/hyperlink" Target="https://pubmed.ncbi.nlm.nih.gov/31937606" TargetMode="External"/><Relationship Id="rId3774" Type="http://schemas.openxmlformats.org/officeDocument/2006/relationships/hyperlink" Target="https://pubmed.ncbi.nlm.nih.gov/28039037" TargetMode="External"/><Relationship Id="rId1103" Type="http://schemas.openxmlformats.org/officeDocument/2006/relationships/hyperlink" Target="https://pubmed.ncbi.nlm.nih.gov/35651662" TargetMode="External"/><Relationship Id="rId2434" Type="http://schemas.openxmlformats.org/officeDocument/2006/relationships/hyperlink" Target="https://pubmed.ncbi.nlm.nih.gov/31962331" TargetMode="External"/><Relationship Id="rId3766" Type="http://schemas.openxmlformats.org/officeDocument/2006/relationships/hyperlink" Target="https://pubmed.ncbi.nlm.nih.gov/27911320" TargetMode="External"/><Relationship Id="rId1104" Type="http://schemas.openxmlformats.org/officeDocument/2006/relationships/hyperlink" Target="https://pubmed.ncbi.nlm.nih.gov/35685644" TargetMode="External"/><Relationship Id="rId2435" Type="http://schemas.openxmlformats.org/officeDocument/2006/relationships/hyperlink" Target="https://pubmed.ncbi.nlm.nih.gov/31960271" TargetMode="External"/><Relationship Id="rId3765" Type="http://schemas.openxmlformats.org/officeDocument/2006/relationships/hyperlink" Target="https://pubmed.ncbi.nlm.nih.gov/27677165" TargetMode="External"/><Relationship Id="rId1105" Type="http://schemas.openxmlformats.org/officeDocument/2006/relationships/hyperlink" Target="https://pubmed.ncbi.nlm.nih.gov/35610649" TargetMode="External"/><Relationship Id="rId2436" Type="http://schemas.openxmlformats.org/officeDocument/2006/relationships/hyperlink" Target="https://pubmed.ncbi.nlm.nih.gov/32637646" TargetMode="External"/><Relationship Id="rId3768" Type="http://schemas.openxmlformats.org/officeDocument/2006/relationships/hyperlink" Target="https://pubmed.ncbi.nlm.nih.gov/28972242" TargetMode="External"/><Relationship Id="rId1106" Type="http://schemas.openxmlformats.org/officeDocument/2006/relationships/hyperlink" Target="https://pubmed.ncbi.nlm.nih.gov/35606477" TargetMode="External"/><Relationship Id="rId2437" Type="http://schemas.openxmlformats.org/officeDocument/2006/relationships/hyperlink" Target="https://pubmed.ncbi.nlm.nih.gov/31953850" TargetMode="External"/><Relationship Id="rId3767" Type="http://schemas.openxmlformats.org/officeDocument/2006/relationships/hyperlink" Target="https://pubmed.ncbi.nlm.nih.gov/28145216" TargetMode="External"/><Relationship Id="rId1107" Type="http://schemas.openxmlformats.org/officeDocument/2006/relationships/hyperlink" Target="https://pubmed.ncbi.nlm.nih.gov/35489024" TargetMode="External"/><Relationship Id="rId2438" Type="http://schemas.openxmlformats.org/officeDocument/2006/relationships/hyperlink" Target="https://pubmed.ncbi.nlm.nih.gov/31952542" TargetMode="External"/><Relationship Id="rId1108" Type="http://schemas.openxmlformats.org/officeDocument/2006/relationships/hyperlink" Target="https://pubmed.ncbi.nlm.nih.gov/36712169" TargetMode="External"/><Relationship Id="rId2439" Type="http://schemas.openxmlformats.org/officeDocument/2006/relationships/hyperlink" Target="https://pubmed.ncbi.nlm.nih.gov/31948995" TargetMode="External"/><Relationship Id="rId3769" Type="http://schemas.openxmlformats.org/officeDocument/2006/relationships/hyperlink" Target="https://pubmed.ncbi.nlm.nih.gov/29241472" TargetMode="External"/><Relationship Id="rId1109" Type="http://schemas.openxmlformats.org/officeDocument/2006/relationships/hyperlink" Target="https://pubmed.ncbi.nlm.nih.gov/35593186" TargetMode="External"/><Relationship Id="rId3760" Type="http://schemas.openxmlformats.org/officeDocument/2006/relationships/hyperlink" Target="https://pubmed.ncbi.nlm.nih.gov/27923072" TargetMode="External"/><Relationship Id="rId2430" Type="http://schemas.openxmlformats.org/officeDocument/2006/relationships/hyperlink" Target="https://pubmed.ncbi.nlm.nih.gov/32139254" TargetMode="External"/><Relationship Id="rId3762" Type="http://schemas.openxmlformats.org/officeDocument/2006/relationships/hyperlink" Target="https://pubmed.ncbi.nlm.nih.gov/28057641" TargetMode="External"/><Relationship Id="rId1100" Type="http://schemas.openxmlformats.org/officeDocument/2006/relationships/hyperlink" Target="https://pubmed.ncbi.nlm.nih.gov/35707625" TargetMode="External"/><Relationship Id="rId2431" Type="http://schemas.openxmlformats.org/officeDocument/2006/relationships/hyperlink" Target="https://pubmed.ncbi.nlm.nih.gov/32031842" TargetMode="External"/><Relationship Id="rId3761" Type="http://schemas.openxmlformats.org/officeDocument/2006/relationships/hyperlink" Target="https://pubmed.ncbi.nlm.nih.gov/28069062" TargetMode="External"/><Relationship Id="rId1101" Type="http://schemas.openxmlformats.org/officeDocument/2006/relationships/hyperlink" Target="https://pubmed.ncbi.nlm.nih.gov/35098994" TargetMode="External"/><Relationship Id="rId2432" Type="http://schemas.openxmlformats.org/officeDocument/2006/relationships/hyperlink" Target="https://pubmed.ncbi.nlm.nih.gov/32158199" TargetMode="External"/><Relationship Id="rId3764" Type="http://schemas.openxmlformats.org/officeDocument/2006/relationships/hyperlink" Target="https://pubmed.ncbi.nlm.nih.gov/28045904" TargetMode="External"/><Relationship Id="rId1102" Type="http://schemas.openxmlformats.org/officeDocument/2006/relationships/hyperlink" Target="https://pubmed.ncbi.nlm.nih.gov/34687540" TargetMode="External"/><Relationship Id="rId2433" Type="http://schemas.openxmlformats.org/officeDocument/2006/relationships/hyperlink" Target="https://pubmed.ncbi.nlm.nih.gov/31887234" TargetMode="External"/><Relationship Id="rId3763" Type="http://schemas.openxmlformats.org/officeDocument/2006/relationships/hyperlink" Target="https://pubmed.ncbi.nlm.nih.gov/28049531" TargetMode="External"/><Relationship Id="rId3711" Type="http://schemas.openxmlformats.org/officeDocument/2006/relationships/hyperlink" Target="https://pubmed.ncbi.nlm.nih.gov/28239450" TargetMode="External"/><Relationship Id="rId3710" Type="http://schemas.openxmlformats.org/officeDocument/2006/relationships/hyperlink" Target="https://pubmed.ncbi.nlm.nih.gov/28220632" TargetMode="External"/><Relationship Id="rId3713" Type="http://schemas.openxmlformats.org/officeDocument/2006/relationships/hyperlink" Target="https://pubmed.ncbi.nlm.nih.gov/28214794" TargetMode="External"/><Relationship Id="rId3712" Type="http://schemas.openxmlformats.org/officeDocument/2006/relationships/hyperlink" Target="https://pubmed.ncbi.nlm.nih.gov/28273758" TargetMode="External"/><Relationship Id="rId3715" Type="http://schemas.openxmlformats.org/officeDocument/2006/relationships/hyperlink" Target="https://pubmed.ncbi.nlm.nih.gov/28207791" TargetMode="External"/><Relationship Id="rId3714" Type="http://schemas.openxmlformats.org/officeDocument/2006/relationships/hyperlink" Target="https://pubmed.ncbi.nlm.nih.gov/28205047" TargetMode="External"/><Relationship Id="rId3717" Type="http://schemas.openxmlformats.org/officeDocument/2006/relationships/hyperlink" Target="https://pubmed.ncbi.nlm.nih.gov/27927871" TargetMode="External"/><Relationship Id="rId3716" Type="http://schemas.openxmlformats.org/officeDocument/2006/relationships/hyperlink" Target="https://pubmed.ncbi.nlm.nih.gov/29225810" TargetMode="External"/><Relationship Id="rId3719" Type="http://schemas.openxmlformats.org/officeDocument/2006/relationships/hyperlink" Target="https://pubmed.ncbi.nlm.nih.gov/28279438" TargetMode="External"/><Relationship Id="rId3718" Type="http://schemas.openxmlformats.org/officeDocument/2006/relationships/hyperlink" Target="https://pubmed.ncbi.nlm.nih.gov/28192444" TargetMode="External"/><Relationship Id="rId3700" Type="http://schemas.openxmlformats.org/officeDocument/2006/relationships/hyperlink" Target="https://pubmed.ncbi.nlm.nih.gov/28270673" TargetMode="External"/><Relationship Id="rId3702" Type="http://schemas.openxmlformats.org/officeDocument/2006/relationships/hyperlink" Target="https://pubmed.ncbi.nlm.nih.gov/28259012" TargetMode="External"/><Relationship Id="rId3701" Type="http://schemas.openxmlformats.org/officeDocument/2006/relationships/hyperlink" Target="https://pubmed.ncbi.nlm.nih.gov/28207046" TargetMode="External"/><Relationship Id="rId3704" Type="http://schemas.openxmlformats.org/officeDocument/2006/relationships/hyperlink" Target="https://pubmed.ncbi.nlm.nih.gov/28237866" TargetMode="External"/><Relationship Id="rId3703" Type="http://schemas.openxmlformats.org/officeDocument/2006/relationships/hyperlink" Target="https://pubmed.ncbi.nlm.nih.gov/28635373" TargetMode="External"/><Relationship Id="rId3706" Type="http://schemas.openxmlformats.org/officeDocument/2006/relationships/hyperlink" Target="https://pubmed.ncbi.nlm.nih.gov/28231798" TargetMode="External"/><Relationship Id="rId3705" Type="http://schemas.openxmlformats.org/officeDocument/2006/relationships/hyperlink" Target="https://pubmed.ncbi.nlm.nih.gov/28350280" TargetMode="External"/><Relationship Id="rId3708" Type="http://schemas.openxmlformats.org/officeDocument/2006/relationships/hyperlink" Target="https://pubmed.ncbi.nlm.nih.gov/28241354" TargetMode="External"/><Relationship Id="rId3707" Type="http://schemas.openxmlformats.org/officeDocument/2006/relationships/hyperlink" Target="https://pubmed.ncbi.nlm.nih.gov/28228151" TargetMode="External"/><Relationship Id="rId3709" Type="http://schemas.openxmlformats.org/officeDocument/2006/relationships/hyperlink" Target="https://pubmed.ncbi.nlm.nih.gov/27044878" TargetMode="External"/><Relationship Id="rId2401" Type="http://schemas.openxmlformats.org/officeDocument/2006/relationships/hyperlink" Target="https://pubmed.ncbi.nlm.nih.gov/31247099" TargetMode="External"/><Relationship Id="rId3733" Type="http://schemas.openxmlformats.org/officeDocument/2006/relationships/hyperlink" Target="https://pubmed.ncbi.nlm.nih.gov/28659021" TargetMode="External"/><Relationship Id="rId2402" Type="http://schemas.openxmlformats.org/officeDocument/2006/relationships/hyperlink" Target="https://pubmed.ncbi.nlm.nih.gov/32063340" TargetMode="External"/><Relationship Id="rId3732" Type="http://schemas.openxmlformats.org/officeDocument/2006/relationships/hyperlink" Target="https://pubmed.ncbi.nlm.nih.gov/27118559" TargetMode="External"/><Relationship Id="rId2403" Type="http://schemas.openxmlformats.org/officeDocument/2006/relationships/hyperlink" Target="https://pubmed.ncbi.nlm.nih.gov/32054298" TargetMode="External"/><Relationship Id="rId3735" Type="http://schemas.openxmlformats.org/officeDocument/2006/relationships/hyperlink" Target="https://pubmed.ncbi.nlm.nih.gov/28144712" TargetMode="External"/><Relationship Id="rId2404" Type="http://schemas.openxmlformats.org/officeDocument/2006/relationships/hyperlink" Target="https://pubmed.ncbi.nlm.nih.gov/32060007" TargetMode="External"/><Relationship Id="rId3734" Type="http://schemas.openxmlformats.org/officeDocument/2006/relationships/hyperlink" Target="https://pubmed.ncbi.nlm.nih.gov/28183433" TargetMode="External"/><Relationship Id="rId2405" Type="http://schemas.openxmlformats.org/officeDocument/2006/relationships/hyperlink" Target="https://pubmed.ncbi.nlm.nih.gov/32489790" TargetMode="External"/><Relationship Id="rId3737" Type="http://schemas.openxmlformats.org/officeDocument/2006/relationships/hyperlink" Target="https://pubmed.ncbi.nlm.nih.gov/28318491" TargetMode="External"/><Relationship Id="rId2406" Type="http://schemas.openxmlformats.org/officeDocument/2006/relationships/hyperlink" Target="https://pubmed.ncbi.nlm.nih.gov/32061582" TargetMode="External"/><Relationship Id="rId3736" Type="http://schemas.openxmlformats.org/officeDocument/2006/relationships/hyperlink" Target="https://pubmed.ncbi.nlm.nih.gov/28216252" TargetMode="External"/><Relationship Id="rId2407" Type="http://schemas.openxmlformats.org/officeDocument/2006/relationships/hyperlink" Target="https://pubmed.ncbi.nlm.nih.gov/32058069" TargetMode="External"/><Relationship Id="rId3739" Type="http://schemas.openxmlformats.org/officeDocument/2006/relationships/hyperlink" Target="https://pubmed.ncbi.nlm.nih.gov/28128643" TargetMode="External"/><Relationship Id="rId2408" Type="http://schemas.openxmlformats.org/officeDocument/2006/relationships/hyperlink" Target="https://pubmed.ncbi.nlm.nih.gov/32037921" TargetMode="External"/><Relationship Id="rId3738" Type="http://schemas.openxmlformats.org/officeDocument/2006/relationships/hyperlink" Target="https://pubmed.ncbi.nlm.nih.gov/28130811" TargetMode="External"/><Relationship Id="rId2409" Type="http://schemas.openxmlformats.org/officeDocument/2006/relationships/hyperlink" Target="https://pubmed.ncbi.nlm.nih.gov/32035560" TargetMode="External"/><Relationship Id="rId3731" Type="http://schemas.openxmlformats.org/officeDocument/2006/relationships/hyperlink" Target="https://pubmed.ncbi.nlm.nih.gov/28146470" TargetMode="External"/><Relationship Id="rId2400" Type="http://schemas.openxmlformats.org/officeDocument/2006/relationships/hyperlink" Target="https://pubmed.ncbi.nlm.nih.gov/32060301" TargetMode="External"/><Relationship Id="rId3730" Type="http://schemas.openxmlformats.org/officeDocument/2006/relationships/hyperlink" Target="https://pubmed.ncbi.nlm.nih.gov/28775664" TargetMode="External"/><Relationship Id="rId3722" Type="http://schemas.openxmlformats.org/officeDocument/2006/relationships/hyperlink" Target="https://pubmed.ncbi.nlm.nih.gov/28173834" TargetMode="External"/><Relationship Id="rId3721" Type="http://schemas.openxmlformats.org/officeDocument/2006/relationships/hyperlink" Target="https://pubmed.ncbi.nlm.nih.gov/31093537" TargetMode="External"/><Relationship Id="rId3724" Type="http://schemas.openxmlformats.org/officeDocument/2006/relationships/hyperlink" Target="https://pubmed.ncbi.nlm.nih.gov/28153992" TargetMode="External"/><Relationship Id="rId3723" Type="http://schemas.openxmlformats.org/officeDocument/2006/relationships/hyperlink" Target="https://pubmed.ncbi.nlm.nih.gov/28331429" TargetMode="External"/><Relationship Id="rId3726" Type="http://schemas.openxmlformats.org/officeDocument/2006/relationships/hyperlink" Target="https://pubmed.ncbi.nlm.nih.gov/28167657" TargetMode="External"/><Relationship Id="rId3725" Type="http://schemas.openxmlformats.org/officeDocument/2006/relationships/hyperlink" Target="https://pubmed.ncbi.nlm.nih.gov/28166827" TargetMode="External"/><Relationship Id="rId3728" Type="http://schemas.openxmlformats.org/officeDocument/2006/relationships/hyperlink" Target="https://pubmed.ncbi.nlm.nih.gov/28165464" TargetMode="External"/><Relationship Id="rId3727" Type="http://schemas.openxmlformats.org/officeDocument/2006/relationships/hyperlink" Target="https://pubmed.ncbi.nlm.nih.gov/28166244" TargetMode="External"/><Relationship Id="rId3729" Type="http://schemas.openxmlformats.org/officeDocument/2006/relationships/hyperlink" Target="https://pubmed.ncbi.nlm.nih.gov/28161786" TargetMode="External"/><Relationship Id="rId3720" Type="http://schemas.openxmlformats.org/officeDocument/2006/relationships/hyperlink" Target="https://pubmed.ncbi.nlm.nih.gov/28186441" TargetMode="External"/><Relationship Id="rId1170" Type="http://schemas.openxmlformats.org/officeDocument/2006/relationships/hyperlink" Target="https://pubmed.ncbi.nlm.nih.gov/35395724" TargetMode="External"/><Relationship Id="rId1171" Type="http://schemas.openxmlformats.org/officeDocument/2006/relationships/hyperlink" Target="https://pubmed.ncbi.nlm.nih.gov/35464417" TargetMode="External"/><Relationship Id="rId1172" Type="http://schemas.openxmlformats.org/officeDocument/2006/relationships/hyperlink" Target="https://pubmed.ncbi.nlm.nih.gov/35388525" TargetMode="External"/><Relationship Id="rId1173" Type="http://schemas.openxmlformats.org/officeDocument/2006/relationships/hyperlink" Target="https://pubmed.ncbi.nlm.nih.gov/35464070" TargetMode="External"/><Relationship Id="rId1174" Type="http://schemas.openxmlformats.org/officeDocument/2006/relationships/hyperlink" Target="https://pubmed.ncbi.nlm.nih.gov/35499510" TargetMode="External"/><Relationship Id="rId1175" Type="http://schemas.openxmlformats.org/officeDocument/2006/relationships/hyperlink" Target="https://pubmed.ncbi.nlm.nih.gov/35388650" TargetMode="External"/><Relationship Id="rId1176" Type="http://schemas.openxmlformats.org/officeDocument/2006/relationships/hyperlink" Target="https://pubmed.ncbi.nlm.nih.gov/36324395" TargetMode="External"/><Relationship Id="rId1177" Type="http://schemas.openxmlformats.org/officeDocument/2006/relationships/hyperlink" Target="https://pubmed.ncbi.nlm.nih.gov/35396098" TargetMode="External"/><Relationship Id="rId1178" Type="http://schemas.openxmlformats.org/officeDocument/2006/relationships/hyperlink" Target="https://pubmed.ncbi.nlm.nih.gov/35384897" TargetMode="External"/><Relationship Id="rId1179" Type="http://schemas.openxmlformats.org/officeDocument/2006/relationships/hyperlink" Target="https://pubmed.ncbi.nlm.nih.gov/35381014" TargetMode="External"/><Relationship Id="rId1169" Type="http://schemas.openxmlformats.org/officeDocument/2006/relationships/hyperlink" Target="https://pubmed.ncbi.nlm.nih.gov/35394117" TargetMode="External"/><Relationship Id="rId2490" Type="http://schemas.openxmlformats.org/officeDocument/2006/relationships/hyperlink" Target="https://pubmed.ncbi.nlm.nih.gov/31859198" TargetMode="External"/><Relationship Id="rId1160" Type="http://schemas.openxmlformats.org/officeDocument/2006/relationships/hyperlink" Target="https://pubmed.ncbi.nlm.nih.gov/35428210" TargetMode="External"/><Relationship Id="rId2491" Type="http://schemas.openxmlformats.org/officeDocument/2006/relationships/hyperlink" Target="https://pubmed.ncbi.nlm.nih.gov/31840093" TargetMode="External"/><Relationship Id="rId1161" Type="http://schemas.openxmlformats.org/officeDocument/2006/relationships/hyperlink" Target="https://pubmed.ncbi.nlm.nih.gov/35416098" TargetMode="External"/><Relationship Id="rId2492" Type="http://schemas.openxmlformats.org/officeDocument/2006/relationships/hyperlink" Target="https://pubmed.ncbi.nlm.nih.gov/31820032" TargetMode="External"/><Relationship Id="rId1162" Type="http://schemas.openxmlformats.org/officeDocument/2006/relationships/hyperlink" Target="https://pubmed.ncbi.nlm.nih.gov/35418674" TargetMode="External"/><Relationship Id="rId2493" Type="http://schemas.openxmlformats.org/officeDocument/2006/relationships/hyperlink" Target="https://pubmed.ncbi.nlm.nih.gov/31818118" TargetMode="External"/><Relationship Id="rId1163" Type="http://schemas.openxmlformats.org/officeDocument/2006/relationships/hyperlink" Target="https://pubmed.ncbi.nlm.nih.gov/35418421" TargetMode="External"/><Relationship Id="rId2494" Type="http://schemas.openxmlformats.org/officeDocument/2006/relationships/hyperlink" Target="https://pubmed.ncbi.nlm.nih.gov/31504399" TargetMode="External"/><Relationship Id="rId1164" Type="http://schemas.openxmlformats.org/officeDocument/2006/relationships/hyperlink" Target="https://pubmed.ncbi.nlm.nih.gov/35418154" TargetMode="External"/><Relationship Id="rId2495" Type="http://schemas.openxmlformats.org/officeDocument/2006/relationships/hyperlink" Target="https://pubmed.ncbi.nlm.nih.gov/31806592" TargetMode="External"/><Relationship Id="rId1165" Type="http://schemas.openxmlformats.org/officeDocument/2006/relationships/hyperlink" Target="https://pubmed.ncbi.nlm.nih.gov/35413826" TargetMode="External"/><Relationship Id="rId2496" Type="http://schemas.openxmlformats.org/officeDocument/2006/relationships/hyperlink" Target="https://pubmed.ncbi.nlm.nih.gov/32329723" TargetMode="External"/><Relationship Id="rId1166" Type="http://schemas.openxmlformats.org/officeDocument/2006/relationships/hyperlink" Target="https://pubmed.ncbi.nlm.nih.gov/35447515" TargetMode="External"/><Relationship Id="rId2497" Type="http://schemas.openxmlformats.org/officeDocument/2006/relationships/hyperlink" Target="https://pubmed.ncbi.nlm.nih.gov/31801050" TargetMode="External"/><Relationship Id="rId1167" Type="http://schemas.openxmlformats.org/officeDocument/2006/relationships/hyperlink" Target="https://pubmed.ncbi.nlm.nih.gov/35404964" TargetMode="External"/><Relationship Id="rId2498" Type="http://schemas.openxmlformats.org/officeDocument/2006/relationships/hyperlink" Target="https://pubmed.ncbi.nlm.nih.gov/31796103" TargetMode="External"/><Relationship Id="rId1168" Type="http://schemas.openxmlformats.org/officeDocument/2006/relationships/hyperlink" Target="https://pubmed.ncbi.nlm.nih.gov/35411684" TargetMode="External"/><Relationship Id="rId2499" Type="http://schemas.openxmlformats.org/officeDocument/2006/relationships/hyperlink" Target="https://pubmed.ncbi.nlm.nih.gov/31787099" TargetMode="External"/><Relationship Id="rId1190" Type="http://schemas.openxmlformats.org/officeDocument/2006/relationships/hyperlink" Target="https://pubmed.ncbi.nlm.nih.gov/35357659" TargetMode="External"/><Relationship Id="rId1191" Type="http://schemas.openxmlformats.org/officeDocument/2006/relationships/hyperlink" Target="https://pubmed.ncbi.nlm.nih.gov/34009323" TargetMode="External"/><Relationship Id="rId1192" Type="http://schemas.openxmlformats.org/officeDocument/2006/relationships/hyperlink" Target="https://pubmed.ncbi.nlm.nih.gov/35798468" TargetMode="External"/><Relationship Id="rId1193" Type="http://schemas.openxmlformats.org/officeDocument/2006/relationships/hyperlink" Target="https://pubmed.ncbi.nlm.nih.gov/35368880" TargetMode="External"/><Relationship Id="rId1194" Type="http://schemas.openxmlformats.org/officeDocument/2006/relationships/hyperlink" Target="https://pubmed.ncbi.nlm.nih.gov/35919339" TargetMode="External"/><Relationship Id="rId1195" Type="http://schemas.openxmlformats.org/officeDocument/2006/relationships/hyperlink" Target="https://pubmed.ncbi.nlm.nih.gov/35370405" TargetMode="External"/><Relationship Id="rId1196" Type="http://schemas.openxmlformats.org/officeDocument/2006/relationships/hyperlink" Target="https://pubmed.ncbi.nlm.nih.gov/35298058" TargetMode="External"/><Relationship Id="rId1197" Type="http://schemas.openxmlformats.org/officeDocument/2006/relationships/hyperlink" Target="https://pubmed.ncbi.nlm.nih.gov/35331165" TargetMode="External"/><Relationship Id="rId1198" Type="http://schemas.openxmlformats.org/officeDocument/2006/relationships/hyperlink" Target="https://pubmed.ncbi.nlm.nih.gov/35474007" TargetMode="External"/><Relationship Id="rId1199" Type="http://schemas.openxmlformats.org/officeDocument/2006/relationships/hyperlink" Target="https://pubmed.ncbi.nlm.nih.gov/36713005" TargetMode="External"/><Relationship Id="rId1180" Type="http://schemas.openxmlformats.org/officeDocument/2006/relationships/hyperlink" Target="https://pubmed.ncbi.nlm.nih.gov/35379340" TargetMode="External"/><Relationship Id="rId1181" Type="http://schemas.openxmlformats.org/officeDocument/2006/relationships/hyperlink" Target="https://pubmed.ncbi.nlm.nih.gov/35377726" TargetMode="External"/><Relationship Id="rId1182" Type="http://schemas.openxmlformats.org/officeDocument/2006/relationships/hyperlink" Target="https://pubmed.ncbi.nlm.nih.gov/35442456" TargetMode="External"/><Relationship Id="rId1183" Type="http://schemas.openxmlformats.org/officeDocument/2006/relationships/hyperlink" Target="https://pubmed.ncbi.nlm.nih.gov/35471573" TargetMode="External"/><Relationship Id="rId1184" Type="http://schemas.openxmlformats.org/officeDocument/2006/relationships/hyperlink" Target="https://pubmed.ncbi.nlm.nih.gov/35029166" TargetMode="External"/><Relationship Id="rId1185" Type="http://schemas.openxmlformats.org/officeDocument/2006/relationships/hyperlink" Target="https://pubmed.ncbi.nlm.nih.gov/34961754" TargetMode="External"/><Relationship Id="rId1186" Type="http://schemas.openxmlformats.org/officeDocument/2006/relationships/hyperlink" Target="https://pubmed.ncbi.nlm.nih.gov/35338867" TargetMode="External"/><Relationship Id="rId1187" Type="http://schemas.openxmlformats.org/officeDocument/2006/relationships/hyperlink" Target="https://pubmed.ncbi.nlm.nih.gov/35370060" TargetMode="External"/><Relationship Id="rId1188" Type="http://schemas.openxmlformats.org/officeDocument/2006/relationships/hyperlink" Target="https://pubmed.ncbi.nlm.nih.gov/35444049" TargetMode="External"/><Relationship Id="rId1189" Type="http://schemas.openxmlformats.org/officeDocument/2006/relationships/hyperlink" Target="https://pubmed.ncbi.nlm.nih.gov/36053589" TargetMode="External"/><Relationship Id="rId1136" Type="http://schemas.openxmlformats.org/officeDocument/2006/relationships/hyperlink" Target="https://pubmed.ncbi.nlm.nih.gov/35522139" TargetMode="External"/><Relationship Id="rId2467" Type="http://schemas.openxmlformats.org/officeDocument/2006/relationships/hyperlink" Target="https://pubmed.ncbi.nlm.nih.gov/31888928" TargetMode="External"/><Relationship Id="rId3799" Type="http://schemas.openxmlformats.org/officeDocument/2006/relationships/hyperlink" Target="https://pubmed.ncbi.nlm.nih.gov/29408845" TargetMode="External"/><Relationship Id="rId1137" Type="http://schemas.openxmlformats.org/officeDocument/2006/relationships/hyperlink" Target="https://pubmed.ncbi.nlm.nih.gov/35461692" TargetMode="External"/><Relationship Id="rId2468" Type="http://schemas.openxmlformats.org/officeDocument/2006/relationships/hyperlink" Target="https://pubmed.ncbi.nlm.nih.gov/31891878" TargetMode="External"/><Relationship Id="rId3798" Type="http://schemas.openxmlformats.org/officeDocument/2006/relationships/hyperlink" Target="https://pubmed.ncbi.nlm.nih.gov/27882453" TargetMode="External"/><Relationship Id="rId1138" Type="http://schemas.openxmlformats.org/officeDocument/2006/relationships/hyperlink" Target="https://pubmed.ncbi.nlm.nih.gov/35504525" TargetMode="External"/><Relationship Id="rId2469" Type="http://schemas.openxmlformats.org/officeDocument/2006/relationships/hyperlink" Target="https://pubmed.ncbi.nlm.nih.gov/31884074" TargetMode="External"/><Relationship Id="rId1139" Type="http://schemas.openxmlformats.org/officeDocument/2006/relationships/hyperlink" Target="https://pubmed.ncbi.nlm.nih.gov/35482417" TargetMode="External"/><Relationship Id="rId3791" Type="http://schemas.openxmlformats.org/officeDocument/2006/relationships/hyperlink" Target="https://pubmed.ncbi.nlm.nih.gov/28006694" TargetMode="External"/><Relationship Id="rId2460" Type="http://schemas.openxmlformats.org/officeDocument/2006/relationships/hyperlink" Target="https://pubmed.ncbi.nlm.nih.gov/31567164" TargetMode="External"/><Relationship Id="rId3790" Type="http://schemas.openxmlformats.org/officeDocument/2006/relationships/hyperlink" Target="https://pubmed.ncbi.nlm.nih.gov/27924052" TargetMode="External"/><Relationship Id="rId1130" Type="http://schemas.openxmlformats.org/officeDocument/2006/relationships/hyperlink" Target="https://pubmed.ncbi.nlm.nih.gov/35501744" TargetMode="External"/><Relationship Id="rId2461" Type="http://schemas.openxmlformats.org/officeDocument/2006/relationships/hyperlink" Target="https://pubmed.ncbi.nlm.nih.gov/31912802" TargetMode="External"/><Relationship Id="rId3793" Type="http://schemas.openxmlformats.org/officeDocument/2006/relationships/hyperlink" Target="https://pubmed.ncbi.nlm.nih.gov/27959702" TargetMode="External"/><Relationship Id="rId1131" Type="http://schemas.openxmlformats.org/officeDocument/2006/relationships/hyperlink" Target="https://pubmed.ncbi.nlm.nih.gov/35675615" TargetMode="External"/><Relationship Id="rId2462" Type="http://schemas.openxmlformats.org/officeDocument/2006/relationships/hyperlink" Target="https://pubmed.ncbi.nlm.nih.gov/32925029" TargetMode="External"/><Relationship Id="rId3792" Type="http://schemas.openxmlformats.org/officeDocument/2006/relationships/hyperlink" Target="https://pubmed.ncbi.nlm.nih.gov/28316501" TargetMode="External"/><Relationship Id="rId1132" Type="http://schemas.openxmlformats.org/officeDocument/2006/relationships/hyperlink" Target="https://pubmed.ncbi.nlm.nih.gov/35501699" TargetMode="External"/><Relationship Id="rId2463" Type="http://schemas.openxmlformats.org/officeDocument/2006/relationships/hyperlink" Target="https://pubmed.ncbi.nlm.nih.gov/30772903" TargetMode="External"/><Relationship Id="rId3795" Type="http://schemas.openxmlformats.org/officeDocument/2006/relationships/hyperlink" Target="https://pubmed.ncbi.nlm.nih.gov/27852808" TargetMode="External"/><Relationship Id="rId1133" Type="http://schemas.openxmlformats.org/officeDocument/2006/relationships/hyperlink" Target="https://pubmed.ncbi.nlm.nih.gov/35501815" TargetMode="External"/><Relationship Id="rId2464" Type="http://schemas.openxmlformats.org/officeDocument/2006/relationships/hyperlink" Target="https://pubmed.ncbi.nlm.nih.gov/31886897" TargetMode="External"/><Relationship Id="rId3794" Type="http://schemas.openxmlformats.org/officeDocument/2006/relationships/hyperlink" Target="https://pubmed.ncbi.nlm.nih.gov/28316500" TargetMode="External"/><Relationship Id="rId1134" Type="http://schemas.openxmlformats.org/officeDocument/2006/relationships/hyperlink" Target="https://pubmed.ncbi.nlm.nih.gov/35378046" TargetMode="External"/><Relationship Id="rId2465" Type="http://schemas.openxmlformats.org/officeDocument/2006/relationships/hyperlink" Target="https://pubmed.ncbi.nlm.nih.gov/31887153" TargetMode="External"/><Relationship Id="rId3797" Type="http://schemas.openxmlformats.org/officeDocument/2006/relationships/hyperlink" Target="https://pubmed.ncbi.nlm.nih.gov/27664820" TargetMode="External"/><Relationship Id="rId1135" Type="http://schemas.openxmlformats.org/officeDocument/2006/relationships/hyperlink" Target="https://pubmed.ncbi.nlm.nih.gov/34784496" TargetMode="External"/><Relationship Id="rId2466" Type="http://schemas.openxmlformats.org/officeDocument/2006/relationships/hyperlink" Target="https://pubmed.ncbi.nlm.nih.gov/31888593" TargetMode="External"/><Relationship Id="rId3796" Type="http://schemas.openxmlformats.org/officeDocument/2006/relationships/hyperlink" Target="https://pubmed.ncbi.nlm.nih.gov/27906998" TargetMode="External"/><Relationship Id="rId1125" Type="http://schemas.openxmlformats.org/officeDocument/2006/relationships/hyperlink" Target="https://pubmed.ncbi.nlm.nih.gov/35527162" TargetMode="External"/><Relationship Id="rId2456" Type="http://schemas.openxmlformats.org/officeDocument/2006/relationships/hyperlink" Target="https://pubmed.ncbi.nlm.nih.gov/31900228" TargetMode="External"/><Relationship Id="rId3788" Type="http://schemas.openxmlformats.org/officeDocument/2006/relationships/hyperlink" Target="https://pubmed.ncbi.nlm.nih.gov/27927936" TargetMode="External"/><Relationship Id="rId1126" Type="http://schemas.openxmlformats.org/officeDocument/2006/relationships/hyperlink" Target="https://pubmed.ncbi.nlm.nih.gov/35525499" TargetMode="External"/><Relationship Id="rId2457" Type="http://schemas.openxmlformats.org/officeDocument/2006/relationships/hyperlink" Target="https://pubmed.ncbi.nlm.nih.gov/31900125" TargetMode="External"/><Relationship Id="rId3787" Type="http://schemas.openxmlformats.org/officeDocument/2006/relationships/hyperlink" Target="https://pubmed.ncbi.nlm.nih.gov/27927940" TargetMode="External"/><Relationship Id="rId1127" Type="http://schemas.openxmlformats.org/officeDocument/2006/relationships/hyperlink" Target="https://pubmed.ncbi.nlm.nih.gov/35274129" TargetMode="External"/><Relationship Id="rId2458" Type="http://schemas.openxmlformats.org/officeDocument/2006/relationships/hyperlink" Target="https://pubmed.ncbi.nlm.nih.gov/31617081" TargetMode="External"/><Relationship Id="rId1128" Type="http://schemas.openxmlformats.org/officeDocument/2006/relationships/hyperlink" Target="https://pubmed.ncbi.nlm.nih.gov/35503768" TargetMode="External"/><Relationship Id="rId2459" Type="http://schemas.openxmlformats.org/officeDocument/2006/relationships/hyperlink" Target="https://pubmed.ncbi.nlm.nih.gov/31617080" TargetMode="External"/><Relationship Id="rId3789" Type="http://schemas.openxmlformats.org/officeDocument/2006/relationships/hyperlink" Target="https://pubmed.ncbi.nlm.nih.gov/27927932" TargetMode="External"/><Relationship Id="rId1129" Type="http://schemas.openxmlformats.org/officeDocument/2006/relationships/hyperlink" Target="https://pubmed.ncbi.nlm.nih.gov/35505062" TargetMode="External"/><Relationship Id="rId3780" Type="http://schemas.openxmlformats.org/officeDocument/2006/relationships/hyperlink" Target="https://pubmed.ncbi.nlm.nih.gov/27986969" TargetMode="External"/><Relationship Id="rId2450" Type="http://schemas.openxmlformats.org/officeDocument/2006/relationships/hyperlink" Target="https://pubmed.ncbi.nlm.nih.gov/32685681" TargetMode="External"/><Relationship Id="rId3782" Type="http://schemas.openxmlformats.org/officeDocument/2006/relationships/hyperlink" Target="https://pubmed.ncbi.nlm.nih.gov/27937061" TargetMode="External"/><Relationship Id="rId1120" Type="http://schemas.openxmlformats.org/officeDocument/2006/relationships/hyperlink" Target="https://pubmed.ncbi.nlm.nih.gov/35625968" TargetMode="External"/><Relationship Id="rId2451" Type="http://schemas.openxmlformats.org/officeDocument/2006/relationships/hyperlink" Target="https://pubmed.ncbi.nlm.nih.gov/31924185" TargetMode="External"/><Relationship Id="rId3781" Type="http://schemas.openxmlformats.org/officeDocument/2006/relationships/hyperlink" Target="https://pubmed.ncbi.nlm.nih.gov/27988237" TargetMode="External"/><Relationship Id="rId1121" Type="http://schemas.openxmlformats.org/officeDocument/2006/relationships/hyperlink" Target="https://pubmed.ncbi.nlm.nih.gov/36082261" TargetMode="External"/><Relationship Id="rId2452" Type="http://schemas.openxmlformats.org/officeDocument/2006/relationships/hyperlink" Target="https://pubmed.ncbi.nlm.nih.gov/31927544" TargetMode="External"/><Relationship Id="rId3784" Type="http://schemas.openxmlformats.org/officeDocument/2006/relationships/hyperlink" Target="https://pubmed.ncbi.nlm.nih.gov/27936125" TargetMode="External"/><Relationship Id="rId1122" Type="http://schemas.openxmlformats.org/officeDocument/2006/relationships/hyperlink" Target="https://pubmed.ncbi.nlm.nih.gov/34919691" TargetMode="External"/><Relationship Id="rId2453" Type="http://schemas.openxmlformats.org/officeDocument/2006/relationships/hyperlink" Target="https://pubmed.ncbi.nlm.nih.gov/31914934" TargetMode="External"/><Relationship Id="rId3783" Type="http://schemas.openxmlformats.org/officeDocument/2006/relationships/hyperlink" Target="https://pubmed.ncbi.nlm.nih.gov/28747848" TargetMode="External"/><Relationship Id="rId1123" Type="http://schemas.openxmlformats.org/officeDocument/2006/relationships/hyperlink" Target="https://pubmed.ncbi.nlm.nih.gov/35532973" TargetMode="External"/><Relationship Id="rId2454" Type="http://schemas.openxmlformats.org/officeDocument/2006/relationships/hyperlink" Target="https://pubmed.ncbi.nlm.nih.gov/31912232" TargetMode="External"/><Relationship Id="rId3786" Type="http://schemas.openxmlformats.org/officeDocument/2006/relationships/hyperlink" Target="https://pubmed.ncbi.nlm.nih.gov/27938360" TargetMode="External"/><Relationship Id="rId1124" Type="http://schemas.openxmlformats.org/officeDocument/2006/relationships/hyperlink" Target="https://pubmed.ncbi.nlm.nih.gov/35531900" TargetMode="External"/><Relationship Id="rId2455" Type="http://schemas.openxmlformats.org/officeDocument/2006/relationships/hyperlink" Target="https://pubmed.ncbi.nlm.nih.gov/31911500" TargetMode="External"/><Relationship Id="rId3785" Type="http://schemas.openxmlformats.org/officeDocument/2006/relationships/hyperlink" Target="https://pubmed.ncbi.nlm.nih.gov/27981025" TargetMode="External"/><Relationship Id="rId1158" Type="http://schemas.openxmlformats.org/officeDocument/2006/relationships/hyperlink" Target="https://pubmed.ncbi.nlm.nih.gov/35468517" TargetMode="External"/><Relationship Id="rId2489" Type="http://schemas.openxmlformats.org/officeDocument/2006/relationships/hyperlink" Target="https://pubmed.ncbi.nlm.nih.gov/31830993" TargetMode="External"/><Relationship Id="rId1159" Type="http://schemas.openxmlformats.org/officeDocument/2006/relationships/hyperlink" Target="https://pubmed.ncbi.nlm.nih.gov/35436526" TargetMode="External"/><Relationship Id="rId2480" Type="http://schemas.openxmlformats.org/officeDocument/2006/relationships/hyperlink" Target="https://pubmed.ncbi.nlm.nih.gov/31851709" TargetMode="External"/><Relationship Id="rId1150" Type="http://schemas.openxmlformats.org/officeDocument/2006/relationships/hyperlink" Target="https://pubmed.ncbi.nlm.nih.gov/35446021" TargetMode="External"/><Relationship Id="rId2481" Type="http://schemas.openxmlformats.org/officeDocument/2006/relationships/hyperlink" Target="https://pubmed.ncbi.nlm.nih.gov/31862246" TargetMode="External"/><Relationship Id="rId1151" Type="http://schemas.openxmlformats.org/officeDocument/2006/relationships/hyperlink" Target="https://pubmed.ncbi.nlm.nih.gov/35463970" TargetMode="External"/><Relationship Id="rId2482" Type="http://schemas.openxmlformats.org/officeDocument/2006/relationships/hyperlink" Target="https://pubmed.ncbi.nlm.nih.gov/31846462" TargetMode="External"/><Relationship Id="rId1152" Type="http://schemas.openxmlformats.org/officeDocument/2006/relationships/hyperlink" Target="https://pubmed.ncbi.nlm.nih.gov/35818555" TargetMode="External"/><Relationship Id="rId2483" Type="http://schemas.openxmlformats.org/officeDocument/2006/relationships/hyperlink" Target="https://pubmed.ncbi.nlm.nih.gov/31847816" TargetMode="External"/><Relationship Id="rId1153" Type="http://schemas.openxmlformats.org/officeDocument/2006/relationships/hyperlink" Target="https://pubmed.ncbi.nlm.nih.gov/35440667" TargetMode="External"/><Relationship Id="rId2484" Type="http://schemas.openxmlformats.org/officeDocument/2006/relationships/hyperlink" Target="https://pubmed.ncbi.nlm.nih.gov/31859200" TargetMode="External"/><Relationship Id="rId1154" Type="http://schemas.openxmlformats.org/officeDocument/2006/relationships/hyperlink" Target="https://pubmed.ncbi.nlm.nih.gov/35447342" TargetMode="External"/><Relationship Id="rId2485" Type="http://schemas.openxmlformats.org/officeDocument/2006/relationships/hyperlink" Target="https://pubmed.ncbi.nlm.nih.gov/31841052" TargetMode="External"/><Relationship Id="rId1155" Type="http://schemas.openxmlformats.org/officeDocument/2006/relationships/hyperlink" Target="https://pubmed.ncbi.nlm.nih.gov/35430795" TargetMode="External"/><Relationship Id="rId2486" Type="http://schemas.openxmlformats.org/officeDocument/2006/relationships/hyperlink" Target="https://pubmed.ncbi.nlm.nih.gov/31864791" TargetMode="External"/><Relationship Id="rId1156" Type="http://schemas.openxmlformats.org/officeDocument/2006/relationships/hyperlink" Target="https://pubmed.ncbi.nlm.nih.gov/35436951" TargetMode="External"/><Relationship Id="rId2487" Type="http://schemas.openxmlformats.org/officeDocument/2006/relationships/hyperlink" Target="https://pubmed.ncbi.nlm.nih.gov/31835931" TargetMode="External"/><Relationship Id="rId1157" Type="http://schemas.openxmlformats.org/officeDocument/2006/relationships/hyperlink" Target="https://pubmed.ncbi.nlm.nih.gov/35437244" TargetMode="External"/><Relationship Id="rId2488" Type="http://schemas.openxmlformats.org/officeDocument/2006/relationships/hyperlink" Target="https://pubmed.ncbi.nlm.nih.gov/31839279" TargetMode="External"/><Relationship Id="rId1147" Type="http://schemas.openxmlformats.org/officeDocument/2006/relationships/hyperlink" Target="https://pubmed.ncbi.nlm.nih.gov/35459681" TargetMode="External"/><Relationship Id="rId2478" Type="http://schemas.openxmlformats.org/officeDocument/2006/relationships/hyperlink" Target="https://pubmed.ncbi.nlm.nih.gov/31852313" TargetMode="External"/><Relationship Id="rId1148" Type="http://schemas.openxmlformats.org/officeDocument/2006/relationships/hyperlink" Target="https://pubmed.ncbi.nlm.nih.gov/35450911" TargetMode="External"/><Relationship Id="rId2479" Type="http://schemas.openxmlformats.org/officeDocument/2006/relationships/hyperlink" Target="https://pubmed.ncbi.nlm.nih.gov/31852030" TargetMode="External"/><Relationship Id="rId1149" Type="http://schemas.openxmlformats.org/officeDocument/2006/relationships/hyperlink" Target="https://pubmed.ncbi.nlm.nih.gov/35451208" TargetMode="External"/><Relationship Id="rId2470" Type="http://schemas.openxmlformats.org/officeDocument/2006/relationships/hyperlink" Target="https://pubmed.ncbi.nlm.nih.gov/31881273" TargetMode="External"/><Relationship Id="rId1140" Type="http://schemas.openxmlformats.org/officeDocument/2006/relationships/hyperlink" Target="https://pubmed.ncbi.nlm.nih.gov/35489606" TargetMode="External"/><Relationship Id="rId2471" Type="http://schemas.openxmlformats.org/officeDocument/2006/relationships/hyperlink" Target="https://pubmed.ncbi.nlm.nih.gov/32005421" TargetMode="External"/><Relationship Id="rId1141" Type="http://schemas.openxmlformats.org/officeDocument/2006/relationships/hyperlink" Target="https://pubmed.ncbi.nlm.nih.gov/34272564" TargetMode="External"/><Relationship Id="rId2472" Type="http://schemas.openxmlformats.org/officeDocument/2006/relationships/hyperlink" Target="https://pubmed.ncbi.nlm.nih.gov/31504409" TargetMode="External"/><Relationship Id="rId1142" Type="http://schemas.openxmlformats.org/officeDocument/2006/relationships/hyperlink" Target="https://pubmed.ncbi.nlm.nih.gov/35490691" TargetMode="External"/><Relationship Id="rId2473" Type="http://schemas.openxmlformats.org/officeDocument/2006/relationships/hyperlink" Target="https://pubmed.ncbi.nlm.nih.gov/31883704" TargetMode="External"/><Relationship Id="rId1143" Type="http://schemas.openxmlformats.org/officeDocument/2006/relationships/hyperlink" Target="https://pubmed.ncbi.nlm.nih.gov/35325118" TargetMode="External"/><Relationship Id="rId2474" Type="http://schemas.openxmlformats.org/officeDocument/2006/relationships/hyperlink" Target="https://pubmed.ncbi.nlm.nih.gov/31866471" TargetMode="External"/><Relationship Id="rId1144" Type="http://schemas.openxmlformats.org/officeDocument/2006/relationships/hyperlink" Target="https://pubmed.ncbi.nlm.nih.gov/35477488" TargetMode="External"/><Relationship Id="rId2475" Type="http://schemas.openxmlformats.org/officeDocument/2006/relationships/hyperlink" Target="https://pubmed.ncbi.nlm.nih.gov/31852547" TargetMode="External"/><Relationship Id="rId1145" Type="http://schemas.openxmlformats.org/officeDocument/2006/relationships/hyperlink" Target="https://pubmed.ncbi.nlm.nih.gov/35475424" TargetMode="External"/><Relationship Id="rId2476" Type="http://schemas.openxmlformats.org/officeDocument/2006/relationships/hyperlink" Target="https://pubmed.ncbi.nlm.nih.gov/31852513" TargetMode="External"/><Relationship Id="rId1146" Type="http://schemas.openxmlformats.org/officeDocument/2006/relationships/hyperlink" Target="https://pubmed.ncbi.nlm.nih.gov/35459142" TargetMode="External"/><Relationship Id="rId2477" Type="http://schemas.openxmlformats.org/officeDocument/2006/relationships/hyperlink" Target="https://pubmed.ncbi.nlm.nih.gov/31850687" TargetMode="External"/><Relationship Id="rId6009" Type="http://schemas.openxmlformats.org/officeDocument/2006/relationships/hyperlink" Target="https://pubmed.ncbi.nlm.nih.gov/10426349" TargetMode="External"/><Relationship Id="rId6000" Type="http://schemas.openxmlformats.org/officeDocument/2006/relationships/hyperlink" Target="https://pubmed.ncbi.nlm.nih.gov/10577611" TargetMode="External"/><Relationship Id="rId6003" Type="http://schemas.openxmlformats.org/officeDocument/2006/relationships/hyperlink" Target="https://pubmed.ncbi.nlm.nih.gov/10585171" TargetMode="External"/><Relationship Id="rId6004" Type="http://schemas.openxmlformats.org/officeDocument/2006/relationships/hyperlink" Target="https://pubmed.ncbi.nlm.nih.gov/10491369" TargetMode="External"/><Relationship Id="rId6001" Type="http://schemas.openxmlformats.org/officeDocument/2006/relationships/hyperlink" Target="https://pubmed.ncbi.nlm.nih.gov/10532680" TargetMode="External"/><Relationship Id="rId6002" Type="http://schemas.openxmlformats.org/officeDocument/2006/relationships/hyperlink" Target="https://pubmed.ncbi.nlm.nih.gov/10608355" TargetMode="External"/><Relationship Id="rId6007" Type="http://schemas.openxmlformats.org/officeDocument/2006/relationships/hyperlink" Target="https://pubmed.ncbi.nlm.nih.gov/10468526" TargetMode="External"/><Relationship Id="rId6008" Type="http://schemas.openxmlformats.org/officeDocument/2006/relationships/hyperlink" Target="https://pubmed.ncbi.nlm.nih.gov/10515677" TargetMode="External"/><Relationship Id="rId6005" Type="http://schemas.openxmlformats.org/officeDocument/2006/relationships/hyperlink" Target="https://pubmed.ncbi.nlm.nih.gov/10477645" TargetMode="External"/><Relationship Id="rId6006" Type="http://schemas.openxmlformats.org/officeDocument/2006/relationships/hyperlink" Target="https://pubmed.ncbi.nlm.nih.gov/10467204" TargetMode="External"/><Relationship Id="rId6061" Type="http://schemas.openxmlformats.org/officeDocument/2006/relationships/hyperlink" Target="https://pubmed.ncbi.nlm.nih.gov/38877905" TargetMode="External"/><Relationship Id="rId6062" Type="http://schemas.openxmlformats.org/officeDocument/2006/relationships/hyperlink" Target="https://pubmed.ncbi.nlm.nih.gov/39515666" TargetMode="External"/><Relationship Id="rId6060" Type="http://schemas.openxmlformats.org/officeDocument/2006/relationships/hyperlink" Target="https://pubmed.ncbi.nlm.nih.gov/38905640" TargetMode="External"/><Relationship Id="rId6065" Type="http://schemas.openxmlformats.org/officeDocument/2006/relationships/hyperlink" Target="https://pubmed.ncbi.nlm.nih.gov/39566257" TargetMode="External"/><Relationship Id="rId6066" Type="http://schemas.openxmlformats.org/officeDocument/2006/relationships/hyperlink" Target="https://pubmed.ncbi.nlm.nih.gov/39348724" TargetMode="External"/><Relationship Id="rId6063" Type="http://schemas.openxmlformats.org/officeDocument/2006/relationships/hyperlink" Target="https://pubmed.ncbi.nlm.nih.gov/39662162" TargetMode="External"/><Relationship Id="rId6064" Type="http://schemas.openxmlformats.org/officeDocument/2006/relationships/hyperlink" Target="https://pubmed.ncbi.nlm.nih.gov/39586153" TargetMode="External"/><Relationship Id="rId6069" Type="http://schemas.openxmlformats.org/officeDocument/2006/relationships/hyperlink" Target="https://pubmed.ncbi.nlm.nih.gov/39094474" TargetMode="External"/><Relationship Id="rId6067" Type="http://schemas.openxmlformats.org/officeDocument/2006/relationships/hyperlink" Target="https://pubmed.ncbi.nlm.nih.gov/39342801" TargetMode="External"/><Relationship Id="rId6068" Type="http://schemas.openxmlformats.org/officeDocument/2006/relationships/hyperlink" Target="https://pubmed.ncbi.nlm.nih.gov/39265927" TargetMode="External"/><Relationship Id="rId6050" Type="http://schemas.openxmlformats.org/officeDocument/2006/relationships/hyperlink" Target="https://pubmed.ncbi.nlm.nih.gov/39050145" TargetMode="External"/><Relationship Id="rId6051" Type="http://schemas.openxmlformats.org/officeDocument/2006/relationships/hyperlink" Target="https://pubmed.ncbi.nlm.nih.gov/39485985" TargetMode="External"/><Relationship Id="rId6054" Type="http://schemas.openxmlformats.org/officeDocument/2006/relationships/hyperlink" Target="https://pubmed.ncbi.nlm.nih.gov/39303265" TargetMode="External"/><Relationship Id="rId6055" Type="http://schemas.openxmlformats.org/officeDocument/2006/relationships/hyperlink" Target="https://pubmed.ncbi.nlm.nih.gov/39303233" TargetMode="External"/><Relationship Id="rId6052" Type="http://schemas.openxmlformats.org/officeDocument/2006/relationships/hyperlink" Target="https://pubmed.ncbi.nlm.nih.gov/39485965" TargetMode="External"/><Relationship Id="rId6053" Type="http://schemas.openxmlformats.org/officeDocument/2006/relationships/hyperlink" Target="https://pubmed.ncbi.nlm.nih.gov/39423379" TargetMode="External"/><Relationship Id="rId6058" Type="http://schemas.openxmlformats.org/officeDocument/2006/relationships/hyperlink" Target="https://pubmed.ncbi.nlm.nih.gov/38996325" TargetMode="External"/><Relationship Id="rId6059" Type="http://schemas.openxmlformats.org/officeDocument/2006/relationships/hyperlink" Target="https://pubmed.ncbi.nlm.nih.gov/38955242" TargetMode="External"/><Relationship Id="rId6056" Type="http://schemas.openxmlformats.org/officeDocument/2006/relationships/hyperlink" Target="https://pubmed.ncbi.nlm.nih.gov/39175635" TargetMode="External"/><Relationship Id="rId6057" Type="http://schemas.openxmlformats.org/officeDocument/2006/relationships/hyperlink" Target="https://pubmed.ncbi.nlm.nih.gov/39094132" TargetMode="External"/><Relationship Id="rId3810" Type="http://schemas.openxmlformats.org/officeDocument/2006/relationships/hyperlink" Target="https://pubmed.ncbi.nlm.nih.gov/27884114" TargetMode="External"/><Relationship Id="rId3812" Type="http://schemas.openxmlformats.org/officeDocument/2006/relationships/hyperlink" Target="https://pubmed.ncbi.nlm.nih.gov/27884117" TargetMode="External"/><Relationship Id="rId3811" Type="http://schemas.openxmlformats.org/officeDocument/2006/relationships/hyperlink" Target="https://pubmed.ncbi.nlm.nih.gov/27894931" TargetMode="External"/><Relationship Id="rId3814" Type="http://schemas.openxmlformats.org/officeDocument/2006/relationships/hyperlink" Target="https://pubmed.ncbi.nlm.nih.gov/27807989" TargetMode="External"/><Relationship Id="rId3813" Type="http://schemas.openxmlformats.org/officeDocument/2006/relationships/hyperlink" Target="https://pubmed.ncbi.nlm.nih.gov/27881078" TargetMode="External"/><Relationship Id="rId3816" Type="http://schemas.openxmlformats.org/officeDocument/2006/relationships/hyperlink" Target="https://pubmed.ncbi.nlm.nih.gov/27879266" TargetMode="External"/><Relationship Id="rId3815" Type="http://schemas.openxmlformats.org/officeDocument/2006/relationships/hyperlink" Target="https://pubmed.ncbi.nlm.nih.gov/27881104" TargetMode="External"/><Relationship Id="rId3818" Type="http://schemas.openxmlformats.org/officeDocument/2006/relationships/hyperlink" Target="https://pubmed.ncbi.nlm.nih.gov/27856808" TargetMode="External"/><Relationship Id="rId3817" Type="http://schemas.openxmlformats.org/officeDocument/2006/relationships/hyperlink" Target="https://pubmed.ncbi.nlm.nih.gov/27872151" TargetMode="External"/><Relationship Id="rId3819" Type="http://schemas.openxmlformats.org/officeDocument/2006/relationships/hyperlink" Target="https://pubmed.ncbi.nlm.nih.gov/27864715" TargetMode="External"/><Relationship Id="rId6090" Type="http://schemas.openxmlformats.org/officeDocument/2006/relationships/hyperlink" Target="https://pubmed.ncbi.nlm.nih.gov/39536993" TargetMode="External"/><Relationship Id="rId6091" Type="http://schemas.openxmlformats.org/officeDocument/2006/relationships/hyperlink" Target="https://pubmed.ncbi.nlm.nih.gov/39404744" TargetMode="External"/><Relationship Id="rId6083" Type="http://schemas.openxmlformats.org/officeDocument/2006/relationships/hyperlink" Target="https://pubmed.ncbi.nlm.nih.gov/39141307" TargetMode="External"/><Relationship Id="rId6084" Type="http://schemas.openxmlformats.org/officeDocument/2006/relationships/hyperlink" Target="https://pubmed.ncbi.nlm.nih.gov/39135508" TargetMode="External"/><Relationship Id="rId6081" Type="http://schemas.openxmlformats.org/officeDocument/2006/relationships/hyperlink" Target="https://pubmed.ncbi.nlm.nih.gov/39607308" TargetMode="External"/><Relationship Id="rId6082" Type="http://schemas.openxmlformats.org/officeDocument/2006/relationships/hyperlink" Target="https://pubmed.ncbi.nlm.nih.gov/39399812" TargetMode="External"/><Relationship Id="rId6087" Type="http://schemas.openxmlformats.org/officeDocument/2006/relationships/hyperlink" Target="https://pubmed.ncbi.nlm.nih.gov/39622674" TargetMode="External"/><Relationship Id="rId6088" Type="http://schemas.openxmlformats.org/officeDocument/2006/relationships/hyperlink" Target="https://pubmed.ncbi.nlm.nih.gov/39428719" TargetMode="External"/><Relationship Id="rId6085" Type="http://schemas.openxmlformats.org/officeDocument/2006/relationships/hyperlink" Target="https://pubmed.ncbi.nlm.nih.gov/38993086" TargetMode="External"/><Relationship Id="rId6086" Type="http://schemas.openxmlformats.org/officeDocument/2006/relationships/hyperlink" Target="https://pubmed.ncbi.nlm.nih.gov/38729274" TargetMode="External"/><Relationship Id="rId6089" Type="http://schemas.openxmlformats.org/officeDocument/2006/relationships/hyperlink" Target="https://pubmed.ncbi.nlm.nih.gov/39207440" TargetMode="External"/><Relationship Id="rId3801" Type="http://schemas.openxmlformats.org/officeDocument/2006/relationships/hyperlink" Target="https://pubmed.ncbi.nlm.nih.gov/27647774" TargetMode="External"/><Relationship Id="rId3800" Type="http://schemas.openxmlformats.org/officeDocument/2006/relationships/hyperlink" Target="https://pubmed.ncbi.nlm.nih.gov/25979724" TargetMode="External"/><Relationship Id="rId3803" Type="http://schemas.openxmlformats.org/officeDocument/2006/relationships/hyperlink" Target="https://pubmed.ncbi.nlm.nih.gov/27909175" TargetMode="External"/><Relationship Id="rId3802" Type="http://schemas.openxmlformats.org/officeDocument/2006/relationships/hyperlink" Target="https://pubmed.ncbi.nlm.nih.gov/27780179" TargetMode="External"/><Relationship Id="rId3805" Type="http://schemas.openxmlformats.org/officeDocument/2006/relationships/hyperlink" Target="https://pubmed.ncbi.nlm.nih.gov/28316497" TargetMode="External"/><Relationship Id="rId3804" Type="http://schemas.openxmlformats.org/officeDocument/2006/relationships/hyperlink" Target="https://pubmed.ncbi.nlm.nih.gov/27908689" TargetMode="External"/><Relationship Id="rId3807" Type="http://schemas.openxmlformats.org/officeDocument/2006/relationships/hyperlink" Target="https://pubmed.ncbi.nlm.nih.gov/28316496" TargetMode="External"/><Relationship Id="rId3806" Type="http://schemas.openxmlformats.org/officeDocument/2006/relationships/hyperlink" Target="https://pubmed.ncbi.nlm.nih.gov/27891652" TargetMode="External"/><Relationship Id="rId3809" Type="http://schemas.openxmlformats.org/officeDocument/2006/relationships/hyperlink" Target="https://pubmed.ncbi.nlm.nih.gov/27885058" TargetMode="External"/><Relationship Id="rId3808" Type="http://schemas.openxmlformats.org/officeDocument/2006/relationships/hyperlink" Target="https://pubmed.ncbi.nlm.nih.gov/27932877" TargetMode="External"/><Relationship Id="rId6080" Type="http://schemas.openxmlformats.org/officeDocument/2006/relationships/hyperlink" Target="https://pubmed.ncbi.nlm.nih.gov/39018490" TargetMode="External"/><Relationship Id="rId6072" Type="http://schemas.openxmlformats.org/officeDocument/2006/relationships/hyperlink" Target="https://pubmed.ncbi.nlm.nih.gov/39451041" TargetMode="External"/><Relationship Id="rId6073" Type="http://schemas.openxmlformats.org/officeDocument/2006/relationships/hyperlink" Target="https://pubmed.ncbi.nlm.nih.gov/39639324" TargetMode="External"/><Relationship Id="rId6070" Type="http://schemas.openxmlformats.org/officeDocument/2006/relationships/hyperlink" Target="https://pubmed.ncbi.nlm.nih.gov/38997109" TargetMode="External"/><Relationship Id="rId6071" Type="http://schemas.openxmlformats.org/officeDocument/2006/relationships/hyperlink" Target="https://pubmed.ncbi.nlm.nih.gov/39113829" TargetMode="External"/><Relationship Id="rId6076" Type="http://schemas.openxmlformats.org/officeDocument/2006/relationships/hyperlink" Target="https://pubmed.ncbi.nlm.nih.gov/38950866" TargetMode="External"/><Relationship Id="rId6077" Type="http://schemas.openxmlformats.org/officeDocument/2006/relationships/hyperlink" Target="https://pubmed.ncbi.nlm.nih.gov/39343304" TargetMode="External"/><Relationship Id="rId6074" Type="http://schemas.openxmlformats.org/officeDocument/2006/relationships/hyperlink" Target="https://pubmed.ncbi.nlm.nih.gov/39385463" TargetMode="External"/><Relationship Id="rId6075" Type="http://schemas.openxmlformats.org/officeDocument/2006/relationships/hyperlink" Target="https://pubmed.ncbi.nlm.nih.gov/38916418" TargetMode="External"/><Relationship Id="rId6078" Type="http://schemas.openxmlformats.org/officeDocument/2006/relationships/hyperlink" Target="https://pubmed.ncbi.nlm.nih.gov/39054374" TargetMode="External"/><Relationship Id="rId6079" Type="http://schemas.openxmlformats.org/officeDocument/2006/relationships/hyperlink" Target="https://pubmed.ncbi.nlm.nih.gov/39662644" TargetMode="External"/><Relationship Id="rId6021" Type="http://schemas.openxmlformats.org/officeDocument/2006/relationships/hyperlink" Target="https://pubmed.ncbi.nlm.nih.gov/9761088" TargetMode="External"/><Relationship Id="rId6022" Type="http://schemas.openxmlformats.org/officeDocument/2006/relationships/hyperlink" Target="https://pubmed.ncbi.nlm.nih.gov/9763854" TargetMode="External"/><Relationship Id="rId6020" Type="http://schemas.openxmlformats.org/officeDocument/2006/relationships/hyperlink" Target="https://pubmed.ncbi.nlm.nih.gov/9821002" TargetMode="External"/><Relationship Id="rId6025" Type="http://schemas.openxmlformats.org/officeDocument/2006/relationships/hyperlink" Target="https://pubmed.ncbi.nlm.nih.gov/9639135" TargetMode="External"/><Relationship Id="rId6026" Type="http://schemas.openxmlformats.org/officeDocument/2006/relationships/hyperlink" Target="https://pubmed.ncbi.nlm.nih.gov/9797181" TargetMode="External"/><Relationship Id="rId6023" Type="http://schemas.openxmlformats.org/officeDocument/2006/relationships/hyperlink" Target="https://pubmed.ncbi.nlm.nih.gov/9794734" TargetMode="External"/><Relationship Id="rId6024" Type="http://schemas.openxmlformats.org/officeDocument/2006/relationships/hyperlink" Target="https://pubmed.ncbi.nlm.nih.gov/9667706" TargetMode="External"/><Relationship Id="rId6029" Type="http://schemas.openxmlformats.org/officeDocument/2006/relationships/hyperlink" Target="https://pubmed.ncbi.nlm.nih.gov/9534640" TargetMode="External"/><Relationship Id="rId6027" Type="http://schemas.openxmlformats.org/officeDocument/2006/relationships/hyperlink" Target="https://pubmed.ncbi.nlm.nih.gov/9535445" TargetMode="External"/><Relationship Id="rId6028" Type="http://schemas.openxmlformats.org/officeDocument/2006/relationships/hyperlink" Target="https://pubmed.ncbi.nlm.nih.gov/9508100" TargetMode="External"/><Relationship Id="rId6010" Type="http://schemas.openxmlformats.org/officeDocument/2006/relationships/hyperlink" Target="https://pubmed.ncbi.nlm.nih.gov/10517172" TargetMode="External"/><Relationship Id="rId6011" Type="http://schemas.openxmlformats.org/officeDocument/2006/relationships/hyperlink" Target="https://pubmed.ncbi.nlm.nih.gov/10230838" TargetMode="External"/><Relationship Id="rId6014" Type="http://schemas.openxmlformats.org/officeDocument/2006/relationships/hyperlink" Target="https://pubmed.ncbi.nlm.nih.gov/10321260" TargetMode="External"/><Relationship Id="rId6015" Type="http://schemas.openxmlformats.org/officeDocument/2006/relationships/hyperlink" Target="https://pubmed.ncbi.nlm.nih.gov/10082353" TargetMode="External"/><Relationship Id="rId6012" Type="http://schemas.openxmlformats.org/officeDocument/2006/relationships/hyperlink" Target="https://pubmed.ncbi.nlm.nih.gov/10096973" TargetMode="External"/><Relationship Id="rId6013" Type="http://schemas.openxmlformats.org/officeDocument/2006/relationships/hyperlink" Target="https://pubmed.ncbi.nlm.nih.gov/10192314" TargetMode="External"/><Relationship Id="rId6018" Type="http://schemas.openxmlformats.org/officeDocument/2006/relationships/hyperlink" Target="https://pubmed.ncbi.nlm.nih.gov/10385950" TargetMode="External"/><Relationship Id="rId6019" Type="http://schemas.openxmlformats.org/officeDocument/2006/relationships/hyperlink" Target="https://pubmed.ncbi.nlm.nih.gov/9845852" TargetMode="External"/><Relationship Id="rId6016" Type="http://schemas.openxmlformats.org/officeDocument/2006/relationships/hyperlink" Target="https://pubmed.ncbi.nlm.nih.gov/9933271" TargetMode="External"/><Relationship Id="rId6017" Type="http://schemas.openxmlformats.org/officeDocument/2006/relationships/hyperlink" Target="https://pubmed.ncbi.nlm.nih.gov/9804647" TargetMode="External"/><Relationship Id="rId6040" Type="http://schemas.openxmlformats.org/officeDocument/2006/relationships/hyperlink" Target="https://pubmed.ncbi.nlm.nih.gov/31990694" TargetMode="External"/><Relationship Id="rId6043" Type="http://schemas.openxmlformats.org/officeDocument/2006/relationships/hyperlink" Target="https://pubmed.ncbi.nlm.nih.gov/39293388" TargetMode="External"/><Relationship Id="rId6044" Type="http://schemas.openxmlformats.org/officeDocument/2006/relationships/hyperlink" Target="https://pubmed.ncbi.nlm.nih.gov/39103710" TargetMode="External"/><Relationship Id="rId6041" Type="http://schemas.openxmlformats.org/officeDocument/2006/relationships/hyperlink" Target="https://pubmed.ncbi.nlm.nih.gov/32740325" TargetMode="External"/><Relationship Id="rId6042" Type="http://schemas.openxmlformats.org/officeDocument/2006/relationships/hyperlink" Target="https://pubmed.ncbi.nlm.nih.gov/10618306" TargetMode="External"/><Relationship Id="rId6047" Type="http://schemas.openxmlformats.org/officeDocument/2006/relationships/hyperlink" Target="https://pubmed.ncbi.nlm.nih.gov/38924855" TargetMode="External"/><Relationship Id="rId6048" Type="http://schemas.openxmlformats.org/officeDocument/2006/relationships/hyperlink" Target="https://pubmed.ncbi.nlm.nih.gov/38925460" TargetMode="External"/><Relationship Id="rId6045" Type="http://schemas.openxmlformats.org/officeDocument/2006/relationships/hyperlink" Target="https://pubmed.ncbi.nlm.nih.gov/39570583" TargetMode="External"/><Relationship Id="rId6046" Type="http://schemas.openxmlformats.org/officeDocument/2006/relationships/hyperlink" Target="https://pubmed.ncbi.nlm.nih.gov/39018510" TargetMode="External"/><Relationship Id="rId6049" Type="http://schemas.openxmlformats.org/officeDocument/2006/relationships/hyperlink" Target="https://pubmed.ncbi.nlm.nih.gov/39293400" TargetMode="External"/><Relationship Id="rId6032" Type="http://schemas.openxmlformats.org/officeDocument/2006/relationships/hyperlink" Target="https://pubmed.ncbi.nlm.nih.gov/9374894" TargetMode="External"/><Relationship Id="rId6033" Type="http://schemas.openxmlformats.org/officeDocument/2006/relationships/hyperlink" Target="https://pubmed.ncbi.nlm.nih.gov/9380164" TargetMode="External"/><Relationship Id="rId6030" Type="http://schemas.openxmlformats.org/officeDocument/2006/relationships/hyperlink" Target="https://pubmed.ncbi.nlm.nih.gov/9517875" TargetMode="External"/><Relationship Id="rId6031" Type="http://schemas.openxmlformats.org/officeDocument/2006/relationships/hyperlink" Target="https://pubmed.ncbi.nlm.nih.gov/9470874" TargetMode="External"/><Relationship Id="rId6036" Type="http://schemas.openxmlformats.org/officeDocument/2006/relationships/hyperlink" Target="https://pubmed.ncbi.nlm.nih.gov/8330814" TargetMode="External"/><Relationship Id="rId6037" Type="http://schemas.openxmlformats.org/officeDocument/2006/relationships/hyperlink" Target="https://pubmed.ncbi.nlm.nih.gov/12912713" TargetMode="External"/><Relationship Id="rId6034" Type="http://schemas.openxmlformats.org/officeDocument/2006/relationships/hyperlink" Target="https://pubmed.ncbi.nlm.nih.gov/9219107" TargetMode="External"/><Relationship Id="rId6035" Type="http://schemas.openxmlformats.org/officeDocument/2006/relationships/hyperlink" Target="https://pubmed.ncbi.nlm.nih.gov/9113491" TargetMode="External"/><Relationship Id="rId6038" Type="http://schemas.openxmlformats.org/officeDocument/2006/relationships/hyperlink" Target="https://pubmed.ncbi.nlm.nih.gov/11124170" TargetMode="External"/><Relationship Id="rId6039" Type="http://schemas.openxmlformats.org/officeDocument/2006/relationships/hyperlink" Target="https://pubmed.ncbi.nlm.nih.gov/25803348" TargetMode="External"/><Relationship Id="rId1213" Type="http://schemas.openxmlformats.org/officeDocument/2006/relationships/hyperlink" Target="https://pubmed.ncbi.nlm.nih.gov/35287617" TargetMode="External"/><Relationship Id="rId2544" Type="http://schemas.openxmlformats.org/officeDocument/2006/relationships/hyperlink" Target="https://pubmed.ncbi.nlm.nih.gov/31750636" TargetMode="External"/><Relationship Id="rId3876" Type="http://schemas.openxmlformats.org/officeDocument/2006/relationships/hyperlink" Target="https://pubmed.ncbi.nlm.nih.gov/27632355" TargetMode="External"/><Relationship Id="rId1214" Type="http://schemas.openxmlformats.org/officeDocument/2006/relationships/hyperlink" Target="https://pubmed.ncbi.nlm.nih.gov/35288255" TargetMode="External"/><Relationship Id="rId2545" Type="http://schemas.openxmlformats.org/officeDocument/2006/relationships/hyperlink" Target="https://pubmed.ncbi.nlm.nih.gov/31781154" TargetMode="External"/><Relationship Id="rId3875" Type="http://schemas.openxmlformats.org/officeDocument/2006/relationships/hyperlink" Target="https://pubmed.ncbi.nlm.nih.gov/27647618" TargetMode="External"/><Relationship Id="rId1215" Type="http://schemas.openxmlformats.org/officeDocument/2006/relationships/hyperlink" Target="https://pubmed.ncbi.nlm.nih.gov/35317921" TargetMode="External"/><Relationship Id="rId2546" Type="http://schemas.openxmlformats.org/officeDocument/2006/relationships/hyperlink" Target="https://pubmed.ncbi.nlm.nih.gov/31696274" TargetMode="External"/><Relationship Id="rId3878" Type="http://schemas.openxmlformats.org/officeDocument/2006/relationships/hyperlink" Target="https://pubmed.ncbi.nlm.nih.gov/28316503" TargetMode="External"/><Relationship Id="rId1216" Type="http://schemas.openxmlformats.org/officeDocument/2006/relationships/hyperlink" Target="https://pubmed.ncbi.nlm.nih.gov/35288063" TargetMode="External"/><Relationship Id="rId2547" Type="http://schemas.openxmlformats.org/officeDocument/2006/relationships/hyperlink" Target="https://pubmed.ncbi.nlm.nih.gov/31691864" TargetMode="External"/><Relationship Id="rId3877" Type="http://schemas.openxmlformats.org/officeDocument/2006/relationships/hyperlink" Target="https://pubmed.ncbi.nlm.nih.gov/27631608" TargetMode="External"/><Relationship Id="rId1217" Type="http://schemas.openxmlformats.org/officeDocument/2006/relationships/hyperlink" Target="https://pubmed.ncbi.nlm.nih.gov/35279472" TargetMode="External"/><Relationship Id="rId2548" Type="http://schemas.openxmlformats.org/officeDocument/2006/relationships/hyperlink" Target="https://pubmed.ncbi.nlm.nih.gov/31684846" TargetMode="External"/><Relationship Id="rId1218" Type="http://schemas.openxmlformats.org/officeDocument/2006/relationships/hyperlink" Target="https://pubmed.ncbi.nlm.nih.gov/35273039" TargetMode="External"/><Relationship Id="rId2549" Type="http://schemas.openxmlformats.org/officeDocument/2006/relationships/hyperlink" Target="https://pubmed.ncbi.nlm.nih.gov/31787145" TargetMode="External"/><Relationship Id="rId3879" Type="http://schemas.openxmlformats.org/officeDocument/2006/relationships/hyperlink" Target="https://pubmed.ncbi.nlm.nih.gov/27629900" TargetMode="External"/><Relationship Id="rId1219" Type="http://schemas.openxmlformats.org/officeDocument/2006/relationships/hyperlink" Target="https://pubmed.ncbi.nlm.nih.gov/35342695" TargetMode="External"/><Relationship Id="rId3870" Type="http://schemas.openxmlformats.org/officeDocument/2006/relationships/hyperlink" Target="https://pubmed.ncbi.nlm.nih.gov/28303085" TargetMode="External"/><Relationship Id="rId2540" Type="http://schemas.openxmlformats.org/officeDocument/2006/relationships/hyperlink" Target="https://pubmed.ncbi.nlm.nih.gov/31713011" TargetMode="External"/><Relationship Id="rId3872" Type="http://schemas.openxmlformats.org/officeDocument/2006/relationships/hyperlink" Target="https://pubmed.ncbi.nlm.nih.gov/27654404" TargetMode="External"/><Relationship Id="rId1210" Type="http://schemas.openxmlformats.org/officeDocument/2006/relationships/hyperlink" Target="https://pubmed.ncbi.nlm.nih.gov/35286354" TargetMode="External"/><Relationship Id="rId2541" Type="http://schemas.openxmlformats.org/officeDocument/2006/relationships/hyperlink" Target="https://pubmed.ncbi.nlm.nih.gov/31705176" TargetMode="External"/><Relationship Id="rId3871" Type="http://schemas.openxmlformats.org/officeDocument/2006/relationships/hyperlink" Target="https://pubmed.ncbi.nlm.nih.gov/28775663" TargetMode="External"/><Relationship Id="rId1211" Type="http://schemas.openxmlformats.org/officeDocument/2006/relationships/hyperlink" Target="https://pubmed.ncbi.nlm.nih.gov/35287678" TargetMode="External"/><Relationship Id="rId2542" Type="http://schemas.openxmlformats.org/officeDocument/2006/relationships/hyperlink" Target="https://pubmed.ncbi.nlm.nih.gov/31701842" TargetMode="External"/><Relationship Id="rId3874" Type="http://schemas.openxmlformats.org/officeDocument/2006/relationships/hyperlink" Target="https://pubmed.ncbi.nlm.nih.gov/27649795" TargetMode="External"/><Relationship Id="rId1212" Type="http://schemas.openxmlformats.org/officeDocument/2006/relationships/hyperlink" Target="https://pubmed.ncbi.nlm.nih.gov/35284962" TargetMode="External"/><Relationship Id="rId2543" Type="http://schemas.openxmlformats.org/officeDocument/2006/relationships/hyperlink" Target="https://pubmed.ncbi.nlm.nih.gov/31708447" TargetMode="External"/><Relationship Id="rId3873" Type="http://schemas.openxmlformats.org/officeDocument/2006/relationships/hyperlink" Target="https://pubmed.ncbi.nlm.nih.gov/27644737" TargetMode="External"/><Relationship Id="rId1202" Type="http://schemas.openxmlformats.org/officeDocument/2006/relationships/hyperlink" Target="https://pubmed.ncbi.nlm.nih.gov/35314131" TargetMode="External"/><Relationship Id="rId2533" Type="http://schemas.openxmlformats.org/officeDocument/2006/relationships/hyperlink" Target="https://pubmed.ncbi.nlm.nih.gov/31735562" TargetMode="External"/><Relationship Id="rId3865" Type="http://schemas.openxmlformats.org/officeDocument/2006/relationships/hyperlink" Target="https://pubmed.ncbi.nlm.nih.gov/27686104" TargetMode="External"/><Relationship Id="rId1203" Type="http://schemas.openxmlformats.org/officeDocument/2006/relationships/hyperlink" Target="https://pubmed.ncbi.nlm.nih.gov/35297288" TargetMode="External"/><Relationship Id="rId2534" Type="http://schemas.openxmlformats.org/officeDocument/2006/relationships/hyperlink" Target="https://pubmed.ncbi.nlm.nih.gov/30722013" TargetMode="External"/><Relationship Id="rId3864" Type="http://schemas.openxmlformats.org/officeDocument/2006/relationships/hyperlink" Target="https://pubmed.ncbi.nlm.nih.gov/27693658" TargetMode="External"/><Relationship Id="rId1204" Type="http://schemas.openxmlformats.org/officeDocument/2006/relationships/hyperlink" Target="https://pubmed.ncbi.nlm.nih.gov/35298524" TargetMode="External"/><Relationship Id="rId2535" Type="http://schemas.openxmlformats.org/officeDocument/2006/relationships/hyperlink" Target="https://pubmed.ncbi.nlm.nih.gov/31719062" TargetMode="External"/><Relationship Id="rId3867" Type="http://schemas.openxmlformats.org/officeDocument/2006/relationships/hyperlink" Target="https://pubmed.ncbi.nlm.nih.gov/28316483" TargetMode="External"/><Relationship Id="rId1205" Type="http://schemas.openxmlformats.org/officeDocument/2006/relationships/hyperlink" Target="https://pubmed.ncbi.nlm.nih.gov/35300706" TargetMode="External"/><Relationship Id="rId2536" Type="http://schemas.openxmlformats.org/officeDocument/2006/relationships/hyperlink" Target="https://pubmed.ncbi.nlm.nih.gov/31730918" TargetMode="External"/><Relationship Id="rId3866" Type="http://schemas.openxmlformats.org/officeDocument/2006/relationships/hyperlink" Target="https://pubmed.ncbi.nlm.nih.gov/27682883" TargetMode="External"/><Relationship Id="rId1206" Type="http://schemas.openxmlformats.org/officeDocument/2006/relationships/hyperlink" Target="https://pubmed.ncbi.nlm.nih.gov/35306254" TargetMode="External"/><Relationship Id="rId2537" Type="http://schemas.openxmlformats.org/officeDocument/2006/relationships/hyperlink" Target="https://pubmed.ncbi.nlm.nih.gov/31719155" TargetMode="External"/><Relationship Id="rId3869" Type="http://schemas.openxmlformats.org/officeDocument/2006/relationships/hyperlink" Target="https://pubmed.ncbi.nlm.nih.gov/27686586" TargetMode="External"/><Relationship Id="rId1207" Type="http://schemas.openxmlformats.org/officeDocument/2006/relationships/hyperlink" Target="https://pubmed.ncbi.nlm.nih.gov/35301820" TargetMode="External"/><Relationship Id="rId2538" Type="http://schemas.openxmlformats.org/officeDocument/2006/relationships/hyperlink" Target="https://pubmed.ncbi.nlm.nih.gov/31711499" TargetMode="External"/><Relationship Id="rId3868" Type="http://schemas.openxmlformats.org/officeDocument/2006/relationships/hyperlink" Target="https://pubmed.ncbi.nlm.nih.gov/27666114" TargetMode="External"/><Relationship Id="rId1208" Type="http://schemas.openxmlformats.org/officeDocument/2006/relationships/hyperlink" Target="https://pubmed.ncbi.nlm.nih.gov/35305899" TargetMode="External"/><Relationship Id="rId2539" Type="http://schemas.openxmlformats.org/officeDocument/2006/relationships/hyperlink" Target="https://pubmed.ncbi.nlm.nih.gov/31798911" TargetMode="External"/><Relationship Id="rId1209" Type="http://schemas.openxmlformats.org/officeDocument/2006/relationships/hyperlink" Target="https://pubmed.ncbi.nlm.nih.gov/35286302" TargetMode="External"/><Relationship Id="rId3861" Type="http://schemas.openxmlformats.org/officeDocument/2006/relationships/hyperlink" Target="https://pubmed.ncbi.nlm.nih.gov/27725045" TargetMode="External"/><Relationship Id="rId2530" Type="http://schemas.openxmlformats.org/officeDocument/2006/relationships/hyperlink" Target="https://pubmed.ncbi.nlm.nih.gov/31740138" TargetMode="External"/><Relationship Id="rId3860" Type="http://schemas.openxmlformats.org/officeDocument/2006/relationships/hyperlink" Target="https://pubmed.ncbi.nlm.nih.gov/27716302" TargetMode="External"/><Relationship Id="rId1200" Type="http://schemas.openxmlformats.org/officeDocument/2006/relationships/hyperlink" Target="https://pubmed.ncbi.nlm.nih.gov/35489131" TargetMode="External"/><Relationship Id="rId2531" Type="http://schemas.openxmlformats.org/officeDocument/2006/relationships/hyperlink" Target="https://pubmed.ncbi.nlm.nih.gov/31798903" TargetMode="External"/><Relationship Id="rId3863" Type="http://schemas.openxmlformats.org/officeDocument/2006/relationships/hyperlink" Target="https://pubmed.ncbi.nlm.nih.gov/27273687" TargetMode="External"/><Relationship Id="rId1201" Type="http://schemas.openxmlformats.org/officeDocument/2006/relationships/hyperlink" Target="https://pubmed.ncbi.nlm.nih.gov/35294787" TargetMode="External"/><Relationship Id="rId2532" Type="http://schemas.openxmlformats.org/officeDocument/2006/relationships/hyperlink" Target="https://pubmed.ncbi.nlm.nih.gov/31732565" TargetMode="External"/><Relationship Id="rId3862" Type="http://schemas.openxmlformats.org/officeDocument/2006/relationships/hyperlink" Target="https://pubmed.ncbi.nlm.nih.gov/27660133" TargetMode="External"/><Relationship Id="rId1235" Type="http://schemas.openxmlformats.org/officeDocument/2006/relationships/hyperlink" Target="https://pubmed.ncbi.nlm.nih.gov/35233050" TargetMode="External"/><Relationship Id="rId2566" Type="http://schemas.openxmlformats.org/officeDocument/2006/relationships/hyperlink" Target="https://pubmed.ncbi.nlm.nih.gov/31287794" TargetMode="External"/><Relationship Id="rId3898" Type="http://schemas.openxmlformats.org/officeDocument/2006/relationships/hyperlink" Target="https://pubmed.ncbi.nlm.nih.gov/27747253" TargetMode="External"/><Relationship Id="rId1236" Type="http://schemas.openxmlformats.org/officeDocument/2006/relationships/hyperlink" Target="https://pubmed.ncbi.nlm.nih.gov/35240088" TargetMode="External"/><Relationship Id="rId2567" Type="http://schemas.openxmlformats.org/officeDocument/2006/relationships/hyperlink" Target="https://pubmed.ncbi.nlm.nih.gov/31650347" TargetMode="External"/><Relationship Id="rId3897" Type="http://schemas.openxmlformats.org/officeDocument/2006/relationships/hyperlink" Target="https://pubmed.ncbi.nlm.nih.gov/27614028" TargetMode="External"/><Relationship Id="rId1237" Type="http://schemas.openxmlformats.org/officeDocument/2006/relationships/hyperlink" Target="https://pubmed.ncbi.nlm.nih.gov/35085396" TargetMode="External"/><Relationship Id="rId2568" Type="http://schemas.openxmlformats.org/officeDocument/2006/relationships/hyperlink" Target="https://pubmed.ncbi.nlm.nih.gov/31647808" TargetMode="External"/><Relationship Id="rId1238" Type="http://schemas.openxmlformats.org/officeDocument/2006/relationships/hyperlink" Target="https://pubmed.ncbi.nlm.nih.gov/35225096" TargetMode="External"/><Relationship Id="rId2569" Type="http://schemas.openxmlformats.org/officeDocument/2006/relationships/hyperlink" Target="https://pubmed.ncbi.nlm.nih.gov/31655083" TargetMode="External"/><Relationship Id="rId3899" Type="http://schemas.openxmlformats.org/officeDocument/2006/relationships/hyperlink" Target="https://pubmed.ncbi.nlm.nih.gov/27576867" TargetMode="External"/><Relationship Id="rId1239" Type="http://schemas.openxmlformats.org/officeDocument/2006/relationships/hyperlink" Target="https://pubmed.ncbi.nlm.nih.gov/35150462" TargetMode="External"/><Relationship Id="rId3890" Type="http://schemas.openxmlformats.org/officeDocument/2006/relationships/hyperlink" Target="https://pubmed.ncbi.nlm.nih.gov/27590282" TargetMode="External"/><Relationship Id="rId2560" Type="http://schemas.openxmlformats.org/officeDocument/2006/relationships/hyperlink" Target="https://pubmed.ncbi.nlm.nih.gov/31672145" TargetMode="External"/><Relationship Id="rId3892" Type="http://schemas.openxmlformats.org/officeDocument/2006/relationships/hyperlink" Target="https://pubmed.ncbi.nlm.nih.gov/27586250" TargetMode="External"/><Relationship Id="rId1230" Type="http://schemas.openxmlformats.org/officeDocument/2006/relationships/hyperlink" Target="https://pubmed.ncbi.nlm.nih.gov/34597379" TargetMode="External"/><Relationship Id="rId2561" Type="http://schemas.openxmlformats.org/officeDocument/2006/relationships/hyperlink" Target="https://pubmed.ncbi.nlm.nih.gov/31749995" TargetMode="External"/><Relationship Id="rId3891" Type="http://schemas.openxmlformats.org/officeDocument/2006/relationships/hyperlink" Target="https://pubmed.ncbi.nlm.nih.gov/27586683" TargetMode="External"/><Relationship Id="rId1231" Type="http://schemas.openxmlformats.org/officeDocument/2006/relationships/hyperlink" Target="https://pubmed.ncbi.nlm.nih.gov/35245099" TargetMode="External"/><Relationship Id="rId2562" Type="http://schemas.openxmlformats.org/officeDocument/2006/relationships/hyperlink" Target="https://pubmed.ncbi.nlm.nih.gov/31663394" TargetMode="External"/><Relationship Id="rId3894" Type="http://schemas.openxmlformats.org/officeDocument/2006/relationships/hyperlink" Target="https://pubmed.ncbi.nlm.nih.gov/27513379" TargetMode="External"/><Relationship Id="rId1232" Type="http://schemas.openxmlformats.org/officeDocument/2006/relationships/hyperlink" Target="https://pubmed.ncbi.nlm.nih.gov/35230637" TargetMode="External"/><Relationship Id="rId2563" Type="http://schemas.openxmlformats.org/officeDocument/2006/relationships/hyperlink" Target="https://pubmed.ncbi.nlm.nih.gov/31664920" TargetMode="External"/><Relationship Id="rId3893" Type="http://schemas.openxmlformats.org/officeDocument/2006/relationships/hyperlink" Target="https://pubmed.ncbi.nlm.nih.gov/24647271" TargetMode="External"/><Relationship Id="rId1233" Type="http://schemas.openxmlformats.org/officeDocument/2006/relationships/hyperlink" Target="https://pubmed.ncbi.nlm.nih.gov/35240323" TargetMode="External"/><Relationship Id="rId2564" Type="http://schemas.openxmlformats.org/officeDocument/2006/relationships/hyperlink" Target="https://pubmed.ncbi.nlm.nih.gov/31662399" TargetMode="External"/><Relationship Id="rId3896" Type="http://schemas.openxmlformats.org/officeDocument/2006/relationships/hyperlink" Target="https://pubmed.ncbi.nlm.nih.gov/27621612" TargetMode="External"/><Relationship Id="rId1234" Type="http://schemas.openxmlformats.org/officeDocument/2006/relationships/hyperlink" Target="https://pubmed.ncbi.nlm.nih.gov/35344447" TargetMode="External"/><Relationship Id="rId2565" Type="http://schemas.openxmlformats.org/officeDocument/2006/relationships/hyperlink" Target="https://pubmed.ncbi.nlm.nih.gov/31651095" TargetMode="External"/><Relationship Id="rId3895" Type="http://schemas.openxmlformats.org/officeDocument/2006/relationships/hyperlink" Target="https://pubmed.ncbi.nlm.nih.gov/27513572" TargetMode="External"/><Relationship Id="rId1224" Type="http://schemas.openxmlformats.org/officeDocument/2006/relationships/hyperlink" Target="https://pubmed.ncbi.nlm.nih.gov/35256245" TargetMode="External"/><Relationship Id="rId2555" Type="http://schemas.openxmlformats.org/officeDocument/2006/relationships/hyperlink" Target="https://pubmed.ncbi.nlm.nih.gov/32685928" TargetMode="External"/><Relationship Id="rId3887" Type="http://schemas.openxmlformats.org/officeDocument/2006/relationships/hyperlink" Target="https://pubmed.ncbi.nlm.nih.gov/27592587" TargetMode="External"/><Relationship Id="rId1225" Type="http://schemas.openxmlformats.org/officeDocument/2006/relationships/hyperlink" Target="https://pubmed.ncbi.nlm.nih.gov/35134829" TargetMode="External"/><Relationship Id="rId2556" Type="http://schemas.openxmlformats.org/officeDocument/2006/relationships/hyperlink" Target="https://pubmed.ncbi.nlm.nih.gov/31746110" TargetMode="External"/><Relationship Id="rId3886" Type="http://schemas.openxmlformats.org/officeDocument/2006/relationships/hyperlink" Target="https://pubmed.ncbi.nlm.nih.gov/27599496" TargetMode="External"/><Relationship Id="rId1226" Type="http://schemas.openxmlformats.org/officeDocument/2006/relationships/hyperlink" Target="https://pubmed.ncbi.nlm.nih.gov/35239071" TargetMode="External"/><Relationship Id="rId2557" Type="http://schemas.openxmlformats.org/officeDocument/2006/relationships/hyperlink" Target="https://pubmed.ncbi.nlm.nih.gov/31006802" TargetMode="External"/><Relationship Id="rId3889" Type="http://schemas.openxmlformats.org/officeDocument/2006/relationships/hyperlink" Target="https://pubmed.ncbi.nlm.nih.gov/27589847" TargetMode="External"/><Relationship Id="rId1227" Type="http://schemas.openxmlformats.org/officeDocument/2006/relationships/hyperlink" Target="https://pubmed.ncbi.nlm.nih.gov/35341693" TargetMode="External"/><Relationship Id="rId2558" Type="http://schemas.openxmlformats.org/officeDocument/2006/relationships/hyperlink" Target="https://pubmed.ncbi.nlm.nih.gov/31674210" TargetMode="External"/><Relationship Id="rId3888" Type="http://schemas.openxmlformats.org/officeDocument/2006/relationships/hyperlink" Target="https://pubmed.ncbi.nlm.nih.gov/27596534" TargetMode="External"/><Relationship Id="rId1228" Type="http://schemas.openxmlformats.org/officeDocument/2006/relationships/hyperlink" Target="https://pubmed.ncbi.nlm.nih.gov/35603841" TargetMode="External"/><Relationship Id="rId2559" Type="http://schemas.openxmlformats.org/officeDocument/2006/relationships/hyperlink" Target="https://pubmed.ncbi.nlm.nih.gov/31600860" TargetMode="External"/><Relationship Id="rId1229" Type="http://schemas.openxmlformats.org/officeDocument/2006/relationships/hyperlink" Target="https://pubmed.ncbi.nlm.nih.gov/35248439" TargetMode="External"/><Relationship Id="rId3881" Type="http://schemas.openxmlformats.org/officeDocument/2006/relationships/hyperlink" Target="https://pubmed.ncbi.nlm.nih.gov/27625052" TargetMode="External"/><Relationship Id="rId2550" Type="http://schemas.openxmlformats.org/officeDocument/2006/relationships/hyperlink" Target="https://pubmed.ncbi.nlm.nih.gov/31685021" TargetMode="External"/><Relationship Id="rId3880" Type="http://schemas.openxmlformats.org/officeDocument/2006/relationships/hyperlink" Target="https://pubmed.ncbi.nlm.nih.gov/27633894" TargetMode="External"/><Relationship Id="rId1220" Type="http://schemas.openxmlformats.org/officeDocument/2006/relationships/hyperlink" Target="https://pubmed.ncbi.nlm.nih.gov/35344837" TargetMode="External"/><Relationship Id="rId2551" Type="http://schemas.openxmlformats.org/officeDocument/2006/relationships/hyperlink" Target="https://pubmed.ncbi.nlm.nih.gov/31719826" TargetMode="External"/><Relationship Id="rId3883" Type="http://schemas.openxmlformats.org/officeDocument/2006/relationships/hyperlink" Target="https://pubmed.ncbi.nlm.nih.gov/27608938" TargetMode="External"/><Relationship Id="rId1221" Type="http://schemas.openxmlformats.org/officeDocument/2006/relationships/hyperlink" Target="https://pubmed.ncbi.nlm.nih.gov/35179792" TargetMode="External"/><Relationship Id="rId2552" Type="http://schemas.openxmlformats.org/officeDocument/2006/relationships/hyperlink" Target="https://pubmed.ncbi.nlm.nih.gov/31504584" TargetMode="External"/><Relationship Id="rId3882" Type="http://schemas.openxmlformats.org/officeDocument/2006/relationships/hyperlink" Target="https://pubmed.ncbi.nlm.nih.gov/27661680" TargetMode="External"/><Relationship Id="rId1222" Type="http://schemas.openxmlformats.org/officeDocument/2006/relationships/hyperlink" Target="https://pubmed.ncbi.nlm.nih.gov/35253593" TargetMode="External"/><Relationship Id="rId2553" Type="http://schemas.openxmlformats.org/officeDocument/2006/relationships/hyperlink" Target="https://pubmed.ncbi.nlm.nih.gov/31626055" TargetMode="External"/><Relationship Id="rId3885" Type="http://schemas.openxmlformats.org/officeDocument/2006/relationships/hyperlink" Target="https://pubmed.ncbi.nlm.nih.gov/27604644" TargetMode="External"/><Relationship Id="rId1223" Type="http://schemas.openxmlformats.org/officeDocument/2006/relationships/hyperlink" Target="https://pubmed.ncbi.nlm.nih.gov/35247983" TargetMode="External"/><Relationship Id="rId2554" Type="http://schemas.openxmlformats.org/officeDocument/2006/relationships/hyperlink" Target="https://pubmed.ncbi.nlm.nih.gov/31675925" TargetMode="External"/><Relationship Id="rId3884" Type="http://schemas.openxmlformats.org/officeDocument/2006/relationships/hyperlink" Target="https://pubmed.ncbi.nlm.nih.gov/27614277" TargetMode="External"/><Relationship Id="rId2500" Type="http://schemas.openxmlformats.org/officeDocument/2006/relationships/hyperlink" Target="https://pubmed.ncbi.nlm.nih.gov/31709606" TargetMode="External"/><Relationship Id="rId3832" Type="http://schemas.openxmlformats.org/officeDocument/2006/relationships/hyperlink" Target="https://pubmed.ncbi.nlm.nih.gov/27800603" TargetMode="External"/><Relationship Id="rId2501" Type="http://schemas.openxmlformats.org/officeDocument/2006/relationships/hyperlink" Target="https://pubmed.ncbi.nlm.nih.gov/31677155" TargetMode="External"/><Relationship Id="rId3831" Type="http://schemas.openxmlformats.org/officeDocument/2006/relationships/hyperlink" Target="https://pubmed.ncbi.nlm.nih.gov/27811313" TargetMode="External"/><Relationship Id="rId2502" Type="http://schemas.openxmlformats.org/officeDocument/2006/relationships/hyperlink" Target="https://pubmed.ncbi.nlm.nih.gov/30680675" TargetMode="External"/><Relationship Id="rId3834" Type="http://schemas.openxmlformats.org/officeDocument/2006/relationships/hyperlink" Target="https://pubmed.ncbi.nlm.nih.gov/27810290" TargetMode="External"/><Relationship Id="rId2503" Type="http://schemas.openxmlformats.org/officeDocument/2006/relationships/hyperlink" Target="https://pubmed.ncbi.nlm.nih.gov/31511878" TargetMode="External"/><Relationship Id="rId3833" Type="http://schemas.openxmlformats.org/officeDocument/2006/relationships/hyperlink" Target="https://pubmed.ncbi.nlm.nih.gov/28785457" TargetMode="External"/><Relationship Id="rId2504" Type="http://schemas.openxmlformats.org/officeDocument/2006/relationships/hyperlink" Target="https://pubmed.ncbi.nlm.nih.gov/31515555" TargetMode="External"/><Relationship Id="rId3836" Type="http://schemas.openxmlformats.org/officeDocument/2006/relationships/hyperlink" Target="https://pubmed.ncbi.nlm.nih.gov/27816302" TargetMode="External"/><Relationship Id="rId2505" Type="http://schemas.openxmlformats.org/officeDocument/2006/relationships/hyperlink" Target="https://pubmed.ncbi.nlm.nih.gov/31748169" TargetMode="External"/><Relationship Id="rId3835" Type="http://schemas.openxmlformats.org/officeDocument/2006/relationships/hyperlink" Target="https://pubmed.ncbi.nlm.nih.gov/27989951" TargetMode="External"/><Relationship Id="rId2506" Type="http://schemas.openxmlformats.org/officeDocument/2006/relationships/hyperlink" Target="https://pubmed.ncbi.nlm.nih.gov/31766914" TargetMode="External"/><Relationship Id="rId3838" Type="http://schemas.openxmlformats.org/officeDocument/2006/relationships/hyperlink" Target="https://pubmed.ncbi.nlm.nih.gov/28316491" TargetMode="External"/><Relationship Id="rId2507" Type="http://schemas.openxmlformats.org/officeDocument/2006/relationships/hyperlink" Target="https://pubmed.ncbi.nlm.nih.gov/31738330" TargetMode="External"/><Relationship Id="rId3837" Type="http://schemas.openxmlformats.org/officeDocument/2006/relationships/hyperlink" Target="https://pubmed.ncbi.nlm.nih.gov/27793145" TargetMode="External"/><Relationship Id="rId2508" Type="http://schemas.openxmlformats.org/officeDocument/2006/relationships/hyperlink" Target="https://pubmed.ncbi.nlm.nih.gov/31727266" TargetMode="External"/><Relationship Id="rId2509" Type="http://schemas.openxmlformats.org/officeDocument/2006/relationships/hyperlink" Target="https://pubmed.ncbi.nlm.nih.gov/31268139" TargetMode="External"/><Relationship Id="rId3839" Type="http://schemas.openxmlformats.org/officeDocument/2006/relationships/hyperlink" Target="https://pubmed.ncbi.nlm.nih.gov/28316490" TargetMode="External"/><Relationship Id="rId3830" Type="http://schemas.openxmlformats.org/officeDocument/2006/relationships/hyperlink" Target="https://pubmed.ncbi.nlm.nih.gov/28316494" TargetMode="External"/><Relationship Id="rId3821" Type="http://schemas.openxmlformats.org/officeDocument/2006/relationships/hyperlink" Target="https://pubmed.ncbi.nlm.nih.gov/27854381" TargetMode="External"/><Relationship Id="rId3820" Type="http://schemas.openxmlformats.org/officeDocument/2006/relationships/hyperlink" Target="https://pubmed.ncbi.nlm.nih.gov/27856954" TargetMode="External"/><Relationship Id="rId3823" Type="http://schemas.openxmlformats.org/officeDocument/2006/relationships/hyperlink" Target="https://pubmed.ncbi.nlm.nih.gov/28137831" TargetMode="External"/><Relationship Id="rId3822" Type="http://schemas.openxmlformats.org/officeDocument/2006/relationships/hyperlink" Target="https://pubmed.ncbi.nlm.nih.gov/27846309" TargetMode="External"/><Relationship Id="rId3825" Type="http://schemas.openxmlformats.org/officeDocument/2006/relationships/hyperlink" Target="https://pubmed.ncbi.nlm.nih.gov/28119364" TargetMode="External"/><Relationship Id="rId3824" Type="http://schemas.openxmlformats.org/officeDocument/2006/relationships/hyperlink" Target="https://pubmed.ncbi.nlm.nih.gov/27832765" TargetMode="External"/><Relationship Id="rId3827" Type="http://schemas.openxmlformats.org/officeDocument/2006/relationships/hyperlink" Target="https://pubmed.ncbi.nlm.nih.gov/27828938" TargetMode="External"/><Relationship Id="rId3826" Type="http://schemas.openxmlformats.org/officeDocument/2006/relationships/hyperlink" Target="https://pubmed.ncbi.nlm.nih.gov/27877027" TargetMode="External"/><Relationship Id="rId3829" Type="http://schemas.openxmlformats.org/officeDocument/2006/relationships/hyperlink" Target="https://pubmed.ncbi.nlm.nih.gov/27824952" TargetMode="External"/><Relationship Id="rId3828" Type="http://schemas.openxmlformats.org/officeDocument/2006/relationships/hyperlink" Target="https://pubmed.ncbi.nlm.nih.gov/27825297" TargetMode="External"/><Relationship Id="rId6094" Type="http://schemas.openxmlformats.org/officeDocument/2006/relationships/hyperlink" Target="https://pubmed.ncbi.nlm.nih.gov/39367515" TargetMode="External"/><Relationship Id="rId6095" Type="http://schemas.openxmlformats.org/officeDocument/2006/relationships/hyperlink" Target="https://pubmed.ncbi.nlm.nih.gov/38896467" TargetMode="External"/><Relationship Id="rId6092" Type="http://schemas.openxmlformats.org/officeDocument/2006/relationships/hyperlink" Target="https://pubmed.ncbi.nlm.nih.gov/39046574" TargetMode="External"/><Relationship Id="rId6093" Type="http://schemas.openxmlformats.org/officeDocument/2006/relationships/hyperlink" Target="https://pubmed.ncbi.nlm.nih.gov/39499074" TargetMode="External"/><Relationship Id="rId6098" Type="http://schemas.openxmlformats.org/officeDocument/2006/relationships/hyperlink" Target="https://pubmed.ncbi.nlm.nih.gov/39278316" TargetMode="External"/><Relationship Id="rId6099" Type="http://schemas.openxmlformats.org/officeDocument/2006/relationships/hyperlink" Target="https://pubmed.ncbi.nlm.nih.gov/39245151" TargetMode="External"/><Relationship Id="rId6096" Type="http://schemas.openxmlformats.org/officeDocument/2006/relationships/hyperlink" Target="https://pubmed.ncbi.nlm.nih.gov/39264624" TargetMode="External"/><Relationship Id="rId6097" Type="http://schemas.openxmlformats.org/officeDocument/2006/relationships/hyperlink" Target="https://pubmed.ncbi.nlm.nih.gov/39362607" TargetMode="External"/><Relationship Id="rId2522" Type="http://schemas.openxmlformats.org/officeDocument/2006/relationships/hyperlink" Target="https://pubmed.ncbi.nlm.nih.gov/31663183" TargetMode="External"/><Relationship Id="rId3854" Type="http://schemas.openxmlformats.org/officeDocument/2006/relationships/hyperlink" Target="https://pubmed.ncbi.nlm.nih.gov/27744250" TargetMode="External"/><Relationship Id="rId2523" Type="http://schemas.openxmlformats.org/officeDocument/2006/relationships/hyperlink" Target="https://pubmed.ncbi.nlm.nih.gov/31748257" TargetMode="External"/><Relationship Id="rId3853" Type="http://schemas.openxmlformats.org/officeDocument/2006/relationships/hyperlink" Target="https://pubmed.ncbi.nlm.nih.gov/28316487" TargetMode="External"/><Relationship Id="rId2524" Type="http://schemas.openxmlformats.org/officeDocument/2006/relationships/hyperlink" Target="https://pubmed.ncbi.nlm.nih.gov/31752362" TargetMode="External"/><Relationship Id="rId3856" Type="http://schemas.openxmlformats.org/officeDocument/2006/relationships/hyperlink" Target="https://pubmed.ncbi.nlm.nih.gov/27706830" TargetMode="External"/><Relationship Id="rId2525" Type="http://schemas.openxmlformats.org/officeDocument/2006/relationships/hyperlink" Target="https://pubmed.ncbi.nlm.nih.gov/31748303" TargetMode="External"/><Relationship Id="rId3855" Type="http://schemas.openxmlformats.org/officeDocument/2006/relationships/hyperlink" Target="https://pubmed.ncbi.nlm.nih.gov/27802892" TargetMode="External"/><Relationship Id="rId2526" Type="http://schemas.openxmlformats.org/officeDocument/2006/relationships/hyperlink" Target="https://pubmed.ncbi.nlm.nih.gov/31166598" TargetMode="External"/><Relationship Id="rId3858" Type="http://schemas.openxmlformats.org/officeDocument/2006/relationships/hyperlink" Target="https://pubmed.ncbi.nlm.nih.gov/27698280" TargetMode="External"/><Relationship Id="rId2527" Type="http://schemas.openxmlformats.org/officeDocument/2006/relationships/hyperlink" Target="https://pubmed.ncbi.nlm.nih.gov/33564441" TargetMode="External"/><Relationship Id="rId3857" Type="http://schemas.openxmlformats.org/officeDocument/2006/relationships/hyperlink" Target="https://pubmed.ncbi.nlm.nih.gov/28316486" TargetMode="External"/><Relationship Id="rId2528" Type="http://schemas.openxmlformats.org/officeDocument/2006/relationships/hyperlink" Target="https://pubmed.ncbi.nlm.nih.gov/31735137" TargetMode="External"/><Relationship Id="rId2529" Type="http://schemas.openxmlformats.org/officeDocument/2006/relationships/hyperlink" Target="https://pubmed.ncbi.nlm.nih.gov/31738811" TargetMode="External"/><Relationship Id="rId3859" Type="http://schemas.openxmlformats.org/officeDocument/2006/relationships/hyperlink" Target="https://pubmed.ncbi.nlm.nih.gov/28747847" TargetMode="External"/><Relationship Id="rId3850" Type="http://schemas.openxmlformats.org/officeDocument/2006/relationships/hyperlink" Target="https://pubmed.ncbi.nlm.nih.gov/27733160" TargetMode="External"/><Relationship Id="rId2520" Type="http://schemas.openxmlformats.org/officeDocument/2006/relationships/hyperlink" Target="https://pubmed.ncbi.nlm.nih.gov/31747890" TargetMode="External"/><Relationship Id="rId3852" Type="http://schemas.openxmlformats.org/officeDocument/2006/relationships/hyperlink" Target="https://pubmed.ncbi.nlm.nih.gov/27711200" TargetMode="External"/><Relationship Id="rId2521" Type="http://schemas.openxmlformats.org/officeDocument/2006/relationships/hyperlink" Target="https://pubmed.ncbi.nlm.nih.gov/31625623" TargetMode="External"/><Relationship Id="rId3851" Type="http://schemas.openxmlformats.org/officeDocument/2006/relationships/hyperlink" Target="https://pubmed.ncbi.nlm.nih.gov/27726304" TargetMode="External"/><Relationship Id="rId2511" Type="http://schemas.openxmlformats.org/officeDocument/2006/relationships/hyperlink" Target="https://pubmed.ncbi.nlm.nih.gov/31784567" TargetMode="External"/><Relationship Id="rId3843" Type="http://schemas.openxmlformats.org/officeDocument/2006/relationships/hyperlink" Target="https://pubmed.ncbi.nlm.nih.gov/27777252" TargetMode="External"/><Relationship Id="rId2512" Type="http://schemas.openxmlformats.org/officeDocument/2006/relationships/hyperlink" Target="https://pubmed.ncbi.nlm.nih.gov/31774954" TargetMode="External"/><Relationship Id="rId3842" Type="http://schemas.openxmlformats.org/officeDocument/2006/relationships/hyperlink" Target="https://pubmed.ncbi.nlm.nih.gov/27834993" TargetMode="External"/><Relationship Id="rId2513" Type="http://schemas.openxmlformats.org/officeDocument/2006/relationships/hyperlink" Target="https://pubmed.ncbi.nlm.nih.gov/32073784" TargetMode="External"/><Relationship Id="rId3845" Type="http://schemas.openxmlformats.org/officeDocument/2006/relationships/hyperlink" Target="https://pubmed.ncbi.nlm.nih.gov/28316489" TargetMode="External"/><Relationship Id="rId2514" Type="http://schemas.openxmlformats.org/officeDocument/2006/relationships/hyperlink" Target="https://pubmed.ncbi.nlm.nih.gov/31771659" TargetMode="External"/><Relationship Id="rId3844" Type="http://schemas.openxmlformats.org/officeDocument/2006/relationships/hyperlink" Target="https://pubmed.ncbi.nlm.nih.gov/27768752" TargetMode="External"/><Relationship Id="rId2515" Type="http://schemas.openxmlformats.org/officeDocument/2006/relationships/hyperlink" Target="https://pubmed.ncbi.nlm.nih.gov/31772083" TargetMode="External"/><Relationship Id="rId3847" Type="http://schemas.openxmlformats.org/officeDocument/2006/relationships/hyperlink" Target="https://pubmed.ncbi.nlm.nih.gov/27751772" TargetMode="External"/><Relationship Id="rId2516" Type="http://schemas.openxmlformats.org/officeDocument/2006/relationships/hyperlink" Target="https://pubmed.ncbi.nlm.nih.gov/31772295" TargetMode="External"/><Relationship Id="rId3846" Type="http://schemas.openxmlformats.org/officeDocument/2006/relationships/hyperlink" Target="https://pubmed.ncbi.nlm.nih.gov/27769239" TargetMode="External"/><Relationship Id="rId2517" Type="http://schemas.openxmlformats.org/officeDocument/2006/relationships/hyperlink" Target="https://pubmed.ncbi.nlm.nih.gov/31769889" TargetMode="External"/><Relationship Id="rId3849" Type="http://schemas.openxmlformats.org/officeDocument/2006/relationships/hyperlink" Target="https://pubmed.ncbi.nlm.nih.gov/27732640" TargetMode="External"/><Relationship Id="rId2518" Type="http://schemas.openxmlformats.org/officeDocument/2006/relationships/hyperlink" Target="https://pubmed.ncbi.nlm.nih.gov/31652358" TargetMode="External"/><Relationship Id="rId3848" Type="http://schemas.openxmlformats.org/officeDocument/2006/relationships/hyperlink" Target="https://pubmed.ncbi.nlm.nih.gov/31008295" TargetMode="External"/><Relationship Id="rId2519" Type="http://schemas.openxmlformats.org/officeDocument/2006/relationships/hyperlink" Target="https://pubmed.ncbi.nlm.nih.gov/31748222" TargetMode="External"/><Relationship Id="rId3841" Type="http://schemas.openxmlformats.org/officeDocument/2006/relationships/hyperlink" Target="https://pubmed.ncbi.nlm.nih.gov/27789683" TargetMode="External"/><Relationship Id="rId2510" Type="http://schemas.openxmlformats.org/officeDocument/2006/relationships/hyperlink" Target="https://pubmed.ncbi.nlm.nih.gov/31673340" TargetMode="External"/><Relationship Id="rId3840" Type="http://schemas.openxmlformats.org/officeDocument/2006/relationships/hyperlink" Target="https://pubmed.ncbi.nlm.nih.gov/27784821" TargetMode="External"/><Relationship Id="rId1290" Type="http://schemas.openxmlformats.org/officeDocument/2006/relationships/hyperlink" Target="https://pubmed.ncbi.nlm.nih.gov/35141470" TargetMode="External"/><Relationship Id="rId1291" Type="http://schemas.openxmlformats.org/officeDocument/2006/relationships/hyperlink" Target="https://pubmed.ncbi.nlm.nih.gov/35156082" TargetMode="External"/><Relationship Id="rId1292" Type="http://schemas.openxmlformats.org/officeDocument/2006/relationships/hyperlink" Target="https://pubmed.ncbi.nlm.nih.gov/34969173" TargetMode="External"/><Relationship Id="rId1293" Type="http://schemas.openxmlformats.org/officeDocument/2006/relationships/hyperlink" Target="https://pubmed.ncbi.nlm.nih.gov/35076407" TargetMode="External"/><Relationship Id="rId1294" Type="http://schemas.openxmlformats.org/officeDocument/2006/relationships/hyperlink" Target="https://pubmed.ncbi.nlm.nih.gov/35077453" TargetMode="External"/><Relationship Id="rId1295" Type="http://schemas.openxmlformats.org/officeDocument/2006/relationships/hyperlink" Target="https://pubmed.ncbi.nlm.nih.gov/35076086" TargetMode="External"/><Relationship Id="rId1296" Type="http://schemas.openxmlformats.org/officeDocument/2006/relationships/hyperlink" Target="https://pubmed.ncbi.nlm.nih.gov/35073588" TargetMode="External"/><Relationship Id="rId1297" Type="http://schemas.openxmlformats.org/officeDocument/2006/relationships/hyperlink" Target="https://pubmed.ncbi.nlm.nih.gov/35067272" TargetMode="External"/><Relationship Id="rId1298" Type="http://schemas.openxmlformats.org/officeDocument/2006/relationships/hyperlink" Target="https://pubmed.ncbi.nlm.nih.gov/35081449" TargetMode="External"/><Relationship Id="rId1299" Type="http://schemas.openxmlformats.org/officeDocument/2006/relationships/hyperlink" Target="https://pubmed.ncbi.nlm.nih.gov/35066115" TargetMode="External"/><Relationship Id="rId1280" Type="http://schemas.openxmlformats.org/officeDocument/2006/relationships/hyperlink" Target="https://pubmed.ncbi.nlm.nih.gov/35118738" TargetMode="External"/><Relationship Id="rId1281" Type="http://schemas.openxmlformats.org/officeDocument/2006/relationships/hyperlink" Target="https://pubmed.ncbi.nlm.nih.gov/35124258" TargetMode="External"/><Relationship Id="rId1282" Type="http://schemas.openxmlformats.org/officeDocument/2006/relationships/hyperlink" Target="https://pubmed.ncbi.nlm.nih.gov/35172742" TargetMode="External"/><Relationship Id="rId1283" Type="http://schemas.openxmlformats.org/officeDocument/2006/relationships/hyperlink" Target="https://pubmed.ncbi.nlm.nih.gov/35106658" TargetMode="External"/><Relationship Id="rId1284" Type="http://schemas.openxmlformats.org/officeDocument/2006/relationships/hyperlink" Target="https://pubmed.ncbi.nlm.nih.gov/34475359" TargetMode="External"/><Relationship Id="rId1285" Type="http://schemas.openxmlformats.org/officeDocument/2006/relationships/hyperlink" Target="https://pubmed.ncbi.nlm.nih.gov/35121073" TargetMode="External"/><Relationship Id="rId1286" Type="http://schemas.openxmlformats.org/officeDocument/2006/relationships/hyperlink" Target="https://pubmed.ncbi.nlm.nih.gov/34478414" TargetMode="External"/><Relationship Id="rId1287" Type="http://schemas.openxmlformats.org/officeDocument/2006/relationships/hyperlink" Target="https://pubmed.ncbi.nlm.nih.gov/34475345" TargetMode="External"/><Relationship Id="rId1288" Type="http://schemas.openxmlformats.org/officeDocument/2006/relationships/hyperlink" Target="https://pubmed.ncbi.nlm.nih.gov/34974610" TargetMode="External"/><Relationship Id="rId1289" Type="http://schemas.openxmlformats.org/officeDocument/2006/relationships/hyperlink" Target="https://pubmed.ncbi.nlm.nih.gov/35189525" TargetMode="External"/><Relationship Id="rId1257" Type="http://schemas.openxmlformats.org/officeDocument/2006/relationships/hyperlink" Target="https://pubmed.ncbi.nlm.nih.gov/35177690" TargetMode="External"/><Relationship Id="rId2588" Type="http://schemas.openxmlformats.org/officeDocument/2006/relationships/hyperlink" Target="https://pubmed.ncbi.nlm.nih.gov/31636572" TargetMode="External"/><Relationship Id="rId1258" Type="http://schemas.openxmlformats.org/officeDocument/2006/relationships/hyperlink" Target="https://pubmed.ncbi.nlm.nih.gov/35205748" TargetMode="External"/><Relationship Id="rId2589" Type="http://schemas.openxmlformats.org/officeDocument/2006/relationships/hyperlink" Target="https://pubmed.ncbi.nlm.nih.gov/31646008" TargetMode="External"/><Relationship Id="rId1259" Type="http://schemas.openxmlformats.org/officeDocument/2006/relationships/hyperlink" Target="https://pubmed.ncbi.nlm.nih.gov/35173304" TargetMode="External"/><Relationship Id="rId2580" Type="http://schemas.openxmlformats.org/officeDocument/2006/relationships/hyperlink" Target="https://pubmed.ncbi.nlm.nih.gov/31619084" TargetMode="External"/><Relationship Id="rId1250" Type="http://schemas.openxmlformats.org/officeDocument/2006/relationships/hyperlink" Target="https://pubmed.ncbi.nlm.nih.gov/35216870" TargetMode="External"/><Relationship Id="rId2581" Type="http://schemas.openxmlformats.org/officeDocument/2006/relationships/hyperlink" Target="https://pubmed.ncbi.nlm.nih.gov/31611153" TargetMode="External"/><Relationship Id="rId1251" Type="http://schemas.openxmlformats.org/officeDocument/2006/relationships/hyperlink" Target="https://pubmed.ncbi.nlm.nih.gov/35194192" TargetMode="External"/><Relationship Id="rId2582" Type="http://schemas.openxmlformats.org/officeDocument/2006/relationships/hyperlink" Target="https://pubmed.ncbi.nlm.nih.gov/31610301" TargetMode="External"/><Relationship Id="rId1252" Type="http://schemas.openxmlformats.org/officeDocument/2006/relationships/hyperlink" Target="https://pubmed.ncbi.nlm.nih.gov/35193662" TargetMode="External"/><Relationship Id="rId2583" Type="http://schemas.openxmlformats.org/officeDocument/2006/relationships/hyperlink" Target="https://pubmed.ncbi.nlm.nih.gov/31601598" TargetMode="External"/><Relationship Id="rId1253" Type="http://schemas.openxmlformats.org/officeDocument/2006/relationships/hyperlink" Target="https://pubmed.ncbi.nlm.nih.gov/35048355" TargetMode="External"/><Relationship Id="rId2584" Type="http://schemas.openxmlformats.org/officeDocument/2006/relationships/hyperlink" Target="https://pubmed.ncbi.nlm.nih.gov/31668667" TargetMode="External"/><Relationship Id="rId1254" Type="http://schemas.openxmlformats.org/officeDocument/2006/relationships/hyperlink" Target="https://pubmed.ncbi.nlm.nih.gov/35284096" TargetMode="External"/><Relationship Id="rId2585" Type="http://schemas.openxmlformats.org/officeDocument/2006/relationships/hyperlink" Target="https://pubmed.ncbi.nlm.nih.gov/30629165" TargetMode="External"/><Relationship Id="rId1255" Type="http://schemas.openxmlformats.org/officeDocument/2006/relationships/hyperlink" Target="https://pubmed.ncbi.nlm.nih.gov/33791783" TargetMode="External"/><Relationship Id="rId2586" Type="http://schemas.openxmlformats.org/officeDocument/2006/relationships/hyperlink" Target="https://pubmed.ncbi.nlm.nih.gov/31591122" TargetMode="External"/><Relationship Id="rId1256" Type="http://schemas.openxmlformats.org/officeDocument/2006/relationships/hyperlink" Target="https://pubmed.ncbi.nlm.nih.gov/35179440" TargetMode="External"/><Relationship Id="rId2587" Type="http://schemas.openxmlformats.org/officeDocument/2006/relationships/hyperlink" Target="https://pubmed.ncbi.nlm.nih.gov/31601528" TargetMode="External"/><Relationship Id="rId1246" Type="http://schemas.openxmlformats.org/officeDocument/2006/relationships/hyperlink" Target="https://pubmed.ncbi.nlm.nih.gov/34990385" TargetMode="External"/><Relationship Id="rId2577" Type="http://schemas.openxmlformats.org/officeDocument/2006/relationships/hyperlink" Target="https://pubmed.ncbi.nlm.nih.gov/31624333" TargetMode="External"/><Relationship Id="rId1247" Type="http://schemas.openxmlformats.org/officeDocument/2006/relationships/hyperlink" Target="https://pubmed.ncbi.nlm.nih.gov/35919127" TargetMode="External"/><Relationship Id="rId2578" Type="http://schemas.openxmlformats.org/officeDocument/2006/relationships/hyperlink" Target="https://pubmed.ncbi.nlm.nih.gov/31628130" TargetMode="External"/><Relationship Id="rId1248" Type="http://schemas.openxmlformats.org/officeDocument/2006/relationships/hyperlink" Target="https://pubmed.ncbi.nlm.nih.gov/35118790" TargetMode="External"/><Relationship Id="rId2579" Type="http://schemas.openxmlformats.org/officeDocument/2006/relationships/hyperlink" Target="https://pubmed.ncbi.nlm.nih.gov/31628967" TargetMode="External"/><Relationship Id="rId1249" Type="http://schemas.openxmlformats.org/officeDocument/2006/relationships/hyperlink" Target="https://pubmed.ncbi.nlm.nih.gov/35197082" TargetMode="External"/><Relationship Id="rId2570" Type="http://schemas.openxmlformats.org/officeDocument/2006/relationships/hyperlink" Target="https://pubmed.ncbi.nlm.nih.gov/31478583" TargetMode="External"/><Relationship Id="rId1240" Type="http://schemas.openxmlformats.org/officeDocument/2006/relationships/hyperlink" Target="https://pubmed.ncbi.nlm.nih.gov/35235871" TargetMode="External"/><Relationship Id="rId2571" Type="http://schemas.openxmlformats.org/officeDocument/2006/relationships/hyperlink" Target="https://pubmed.ncbi.nlm.nih.gov/31675632" TargetMode="External"/><Relationship Id="rId1241" Type="http://schemas.openxmlformats.org/officeDocument/2006/relationships/hyperlink" Target="https://pubmed.ncbi.nlm.nih.gov/35243277" TargetMode="External"/><Relationship Id="rId2572" Type="http://schemas.openxmlformats.org/officeDocument/2006/relationships/hyperlink" Target="https://pubmed.ncbi.nlm.nih.gov/31637974" TargetMode="External"/><Relationship Id="rId1242" Type="http://schemas.openxmlformats.org/officeDocument/2006/relationships/hyperlink" Target="https://pubmed.ncbi.nlm.nih.gov/35213581" TargetMode="External"/><Relationship Id="rId2573" Type="http://schemas.openxmlformats.org/officeDocument/2006/relationships/hyperlink" Target="https://pubmed.ncbi.nlm.nih.gov/31633880" TargetMode="External"/><Relationship Id="rId1243" Type="http://schemas.openxmlformats.org/officeDocument/2006/relationships/hyperlink" Target="https://pubmed.ncbi.nlm.nih.gov/35213400" TargetMode="External"/><Relationship Id="rId2574" Type="http://schemas.openxmlformats.org/officeDocument/2006/relationships/hyperlink" Target="https://pubmed.ncbi.nlm.nih.gov/31702349" TargetMode="External"/><Relationship Id="rId1244" Type="http://schemas.openxmlformats.org/officeDocument/2006/relationships/hyperlink" Target="https://pubmed.ncbi.nlm.nih.gov/35280938" TargetMode="External"/><Relationship Id="rId2575" Type="http://schemas.openxmlformats.org/officeDocument/2006/relationships/hyperlink" Target="https://pubmed.ncbi.nlm.nih.gov/31695339" TargetMode="External"/><Relationship Id="rId1245" Type="http://schemas.openxmlformats.org/officeDocument/2006/relationships/hyperlink" Target="https://pubmed.ncbi.nlm.nih.gov/35197052" TargetMode="External"/><Relationship Id="rId2576" Type="http://schemas.openxmlformats.org/officeDocument/2006/relationships/hyperlink" Target="https://pubmed.ncbi.nlm.nih.gov/31623541" TargetMode="External"/><Relationship Id="rId1279" Type="http://schemas.openxmlformats.org/officeDocument/2006/relationships/hyperlink" Target="https://pubmed.ncbi.nlm.nih.gov/34172467" TargetMode="External"/><Relationship Id="rId1270" Type="http://schemas.openxmlformats.org/officeDocument/2006/relationships/hyperlink" Target="https://pubmed.ncbi.nlm.nih.gov/35154709" TargetMode="External"/><Relationship Id="rId1271" Type="http://schemas.openxmlformats.org/officeDocument/2006/relationships/hyperlink" Target="https://pubmed.ncbi.nlm.nih.gov/35142740" TargetMode="External"/><Relationship Id="rId1272" Type="http://schemas.openxmlformats.org/officeDocument/2006/relationships/hyperlink" Target="https://pubmed.ncbi.nlm.nih.gov/35133194" TargetMode="External"/><Relationship Id="rId1273" Type="http://schemas.openxmlformats.org/officeDocument/2006/relationships/hyperlink" Target="https://pubmed.ncbi.nlm.nih.gov/34995378" TargetMode="External"/><Relationship Id="rId1274" Type="http://schemas.openxmlformats.org/officeDocument/2006/relationships/hyperlink" Target="https://pubmed.ncbi.nlm.nih.gov/35129737" TargetMode="External"/><Relationship Id="rId1275" Type="http://schemas.openxmlformats.org/officeDocument/2006/relationships/hyperlink" Target="https://pubmed.ncbi.nlm.nih.gov/35252826" TargetMode="External"/><Relationship Id="rId1276" Type="http://schemas.openxmlformats.org/officeDocument/2006/relationships/hyperlink" Target="https://pubmed.ncbi.nlm.nih.gov/35118649" TargetMode="External"/><Relationship Id="rId1277" Type="http://schemas.openxmlformats.org/officeDocument/2006/relationships/hyperlink" Target="https://pubmed.ncbi.nlm.nih.gov/35124188" TargetMode="External"/><Relationship Id="rId1278" Type="http://schemas.openxmlformats.org/officeDocument/2006/relationships/hyperlink" Target="https://pubmed.ncbi.nlm.nih.gov/35136831" TargetMode="External"/><Relationship Id="rId1268" Type="http://schemas.openxmlformats.org/officeDocument/2006/relationships/hyperlink" Target="https://pubmed.ncbi.nlm.nih.gov/35151737" TargetMode="External"/><Relationship Id="rId2599" Type="http://schemas.openxmlformats.org/officeDocument/2006/relationships/hyperlink" Target="https://pubmed.ncbi.nlm.nih.gov/31556361" TargetMode="External"/><Relationship Id="rId1269" Type="http://schemas.openxmlformats.org/officeDocument/2006/relationships/hyperlink" Target="https://pubmed.ncbi.nlm.nih.gov/35139085" TargetMode="External"/><Relationship Id="rId2590" Type="http://schemas.openxmlformats.org/officeDocument/2006/relationships/hyperlink" Target="https://pubmed.ncbi.nlm.nih.gov/31615600" TargetMode="External"/><Relationship Id="rId1260" Type="http://schemas.openxmlformats.org/officeDocument/2006/relationships/hyperlink" Target="https://pubmed.ncbi.nlm.nih.gov/35169870" TargetMode="External"/><Relationship Id="rId2591" Type="http://schemas.openxmlformats.org/officeDocument/2006/relationships/hyperlink" Target="https://pubmed.ncbi.nlm.nih.gov/31169539" TargetMode="External"/><Relationship Id="rId1261" Type="http://schemas.openxmlformats.org/officeDocument/2006/relationships/hyperlink" Target="https://pubmed.ncbi.nlm.nih.gov/35164699" TargetMode="External"/><Relationship Id="rId2592" Type="http://schemas.openxmlformats.org/officeDocument/2006/relationships/hyperlink" Target="https://pubmed.ncbi.nlm.nih.gov/31468659" TargetMode="External"/><Relationship Id="rId1262" Type="http://schemas.openxmlformats.org/officeDocument/2006/relationships/hyperlink" Target="https://pubmed.ncbi.nlm.nih.gov/35215439" TargetMode="External"/><Relationship Id="rId2593" Type="http://schemas.openxmlformats.org/officeDocument/2006/relationships/hyperlink" Target="https://pubmed.ncbi.nlm.nih.gov/31387121" TargetMode="External"/><Relationship Id="rId1263" Type="http://schemas.openxmlformats.org/officeDocument/2006/relationships/hyperlink" Target="https://pubmed.ncbi.nlm.nih.gov/35165267" TargetMode="External"/><Relationship Id="rId2594" Type="http://schemas.openxmlformats.org/officeDocument/2006/relationships/hyperlink" Target="https://pubmed.ncbi.nlm.nih.gov/31220248" TargetMode="External"/><Relationship Id="rId1264" Type="http://schemas.openxmlformats.org/officeDocument/2006/relationships/hyperlink" Target="https://pubmed.ncbi.nlm.nih.gov/35183834" TargetMode="External"/><Relationship Id="rId2595" Type="http://schemas.openxmlformats.org/officeDocument/2006/relationships/hyperlink" Target="https://pubmed.ncbi.nlm.nih.gov/31590478" TargetMode="External"/><Relationship Id="rId1265" Type="http://schemas.openxmlformats.org/officeDocument/2006/relationships/hyperlink" Target="https://pubmed.ncbi.nlm.nih.gov/35144487" TargetMode="External"/><Relationship Id="rId2596" Type="http://schemas.openxmlformats.org/officeDocument/2006/relationships/hyperlink" Target="https://pubmed.ncbi.nlm.nih.gov/31672450" TargetMode="External"/><Relationship Id="rId1266" Type="http://schemas.openxmlformats.org/officeDocument/2006/relationships/hyperlink" Target="https://pubmed.ncbi.nlm.nih.gov/35153282" TargetMode="External"/><Relationship Id="rId2597" Type="http://schemas.openxmlformats.org/officeDocument/2006/relationships/hyperlink" Target="https://pubmed.ncbi.nlm.nih.gov/31564045" TargetMode="External"/><Relationship Id="rId1267" Type="http://schemas.openxmlformats.org/officeDocument/2006/relationships/hyperlink" Target="https://pubmed.ncbi.nlm.nih.gov/35474741" TargetMode="External"/><Relationship Id="rId2598" Type="http://schemas.openxmlformats.org/officeDocument/2006/relationships/hyperlink" Target="https://pubmed.ncbi.nlm.nih.gov/31560686" TargetMode="External"/><Relationship Id="rId3070" Type="http://schemas.openxmlformats.org/officeDocument/2006/relationships/hyperlink" Target="https://pubmed.ncbi.nlm.nih.gov/29762669" TargetMode="External"/><Relationship Id="rId3072" Type="http://schemas.openxmlformats.org/officeDocument/2006/relationships/hyperlink" Target="https://pubmed.ncbi.nlm.nih.gov/30085071" TargetMode="External"/><Relationship Id="rId3071" Type="http://schemas.openxmlformats.org/officeDocument/2006/relationships/hyperlink" Target="https://pubmed.ncbi.nlm.nih.gov/30087137" TargetMode="External"/><Relationship Id="rId3074" Type="http://schemas.openxmlformats.org/officeDocument/2006/relationships/hyperlink" Target="https://pubmed.ncbi.nlm.nih.gov/30212004" TargetMode="External"/><Relationship Id="rId3073" Type="http://schemas.openxmlformats.org/officeDocument/2006/relationships/hyperlink" Target="https://pubmed.ncbi.nlm.nih.gov/30230903" TargetMode="External"/><Relationship Id="rId3076" Type="http://schemas.openxmlformats.org/officeDocument/2006/relationships/hyperlink" Target="https://pubmed.ncbi.nlm.nih.gov/30009941" TargetMode="External"/><Relationship Id="rId3075" Type="http://schemas.openxmlformats.org/officeDocument/2006/relationships/hyperlink" Target="https://pubmed.ncbi.nlm.nih.gov/30167851" TargetMode="External"/><Relationship Id="rId3078" Type="http://schemas.openxmlformats.org/officeDocument/2006/relationships/hyperlink" Target="https://pubmed.ncbi.nlm.nih.gov/30192593" TargetMode="External"/><Relationship Id="rId3077" Type="http://schemas.openxmlformats.org/officeDocument/2006/relationships/hyperlink" Target="https://pubmed.ncbi.nlm.nih.gov/30144305" TargetMode="External"/><Relationship Id="rId3079" Type="http://schemas.openxmlformats.org/officeDocument/2006/relationships/hyperlink" Target="https://pubmed.ncbi.nlm.nih.gov/29771378" TargetMode="External"/><Relationship Id="rId4390" Type="http://schemas.openxmlformats.org/officeDocument/2006/relationships/hyperlink" Target="https://pubmed.ncbi.nlm.nih.gov/26134404" TargetMode="External"/><Relationship Id="rId3061" Type="http://schemas.openxmlformats.org/officeDocument/2006/relationships/hyperlink" Target="https://pubmed.ncbi.nlm.nih.gov/30306759" TargetMode="External"/><Relationship Id="rId4392" Type="http://schemas.openxmlformats.org/officeDocument/2006/relationships/hyperlink" Target="https://pubmed.ncbi.nlm.nih.gov/26135582" TargetMode="External"/><Relationship Id="rId3060" Type="http://schemas.openxmlformats.org/officeDocument/2006/relationships/hyperlink" Target="https://pubmed.ncbi.nlm.nih.gov/30224261" TargetMode="External"/><Relationship Id="rId4391" Type="http://schemas.openxmlformats.org/officeDocument/2006/relationships/hyperlink" Target="https://pubmed.ncbi.nlm.nih.gov/26190938" TargetMode="External"/><Relationship Id="rId3063" Type="http://schemas.openxmlformats.org/officeDocument/2006/relationships/hyperlink" Target="https://pubmed.ncbi.nlm.nih.gov/30181323" TargetMode="External"/><Relationship Id="rId4394" Type="http://schemas.openxmlformats.org/officeDocument/2006/relationships/hyperlink" Target="https://pubmed.ncbi.nlm.nih.gov/26132155" TargetMode="External"/><Relationship Id="rId3062" Type="http://schemas.openxmlformats.org/officeDocument/2006/relationships/hyperlink" Target="https://pubmed.ncbi.nlm.nih.gov/30185208" TargetMode="External"/><Relationship Id="rId4393" Type="http://schemas.openxmlformats.org/officeDocument/2006/relationships/hyperlink" Target="https://pubmed.ncbi.nlm.nih.gov/26190936" TargetMode="External"/><Relationship Id="rId3065" Type="http://schemas.openxmlformats.org/officeDocument/2006/relationships/hyperlink" Target="https://pubmed.ncbi.nlm.nih.gov/30048027" TargetMode="External"/><Relationship Id="rId4396" Type="http://schemas.openxmlformats.org/officeDocument/2006/relationships/hyperlink" Target="https://pubmed.ncbi.nlm.nih.gov/26123413" TargetMode="External"/><Relationship Id="rId3064" Type="http://schemas.openxmlformats.org/officeDocument/2006/relationships/hyperlink" Target="https://pubmed.ncbi.nlm.nih.gov/30178072" TargetMode="External"/><Relationship Id="rId4395" Type="http://schemas.openxmlformats.org/officeDocument/2006/relationships/hyperlink" Target="https://pubmed.ncbi.nlm.nih.gov/26130496" TargetMode="External"/><Relationship Id="rId3067" Type="http://schemas.openxmlformats.org/officeDocument/2006/relationships/hyperlink" Target="https://pubmed.ncbi.nlm.nih.gov/29979200" TargetMode="External"/><Relationship Id="rId4398" Type="http://schemas.openxmlformats.org/officeDocument/2006/relationships/hyperlink" Target="https://pubmed.ncbi.nlm.nih.gov/26170650" TargetMode="External"/><Relationship Id="rId3066" Type="http://schemas.openxmlformats.org/officeDocument/2006/relationships/hyperlink" Target="https://pubmed.ncbi.nlm.nih.gov/30095769" TargetMode="External"/><Relationship Id="rId4397" Type="http://schemas.openxmlformats.org/officeDocument/2006/relationships/hyperlink" Target="https://pubmed.ncbi.nlm.nih.gov/26130798" TargetMode="External"/><Relationship Id="rId3069" Type="http://schemas.openxmlformats.org/officeDocument/2006/relationships/hyperlink" Target="https://pubmed.ncbi.nlm.nih.gov/29278607" TargetMode="External"/><Relationship Id="rId3068" Type="http://schemas.openxmlformats.org/officeDocument/2006/relationships/hyperlink" Target="https://pubmed.ncbi.nlm.nih.gov/29878973" TargetMode="External"/><Relationship Id="rId4399" Type="http://schemas.openxmlformats.org/officeDocument/2006/relationships/hyperlink" Target="https://pubmed.ncbi.nlm.nih.gov/26112009" TargetMode="External"/><Relationship Id="rId3090" Type="http://schemas.openxmlformats.org/officeDocument/2006/relationships/hyperlink" Target="https://pubmed.ncbi.nlm.nih.gov/30104308" TargetMode="External"/><Relationship Id="rId3092" Type="http://schemas.openxmlformats.org/officeDocument/2006/relationships/hyperlink" Target="https://pubmed.ncbi.nlm.nih.gov/30215627" TargetMode="External"/><Relationship Id="rId3091" Type="http://schemas.openxmlformats.org/officeDocument/2006/relationships/hyperlink" Target="https://pubmed.ncbi.nlm.nih.gov/29969839" TargetMode="External"/><Relationship Id="rId3094" Type="http://schemas.openxmlformats.org/officeDocument/2006/relationships/hyperlink" Target="https://pubmed.ncbi.nlm.nih.gov/30071893" TargetMode="External"/><Relationship Id="rId3093" Type="http://schemas.openxmlformats.org/officeDocument/2006/relationships/hyperlink" Target="https://pubmed.ncbi.nlm.nih.gov/30068374" TargetMode="External"/><Relationship Id="rId3096" Type="http://schemas.openxmlformats.org/officeDocument/2006/relationships/hyperlink" Target="https://pubmed.ncbi.nlm.nih.gov/29766291" TargetMode="External"/><Relationship Id="rId3095" Type="http://schemas.openxmlformats.org/officeDocument/2006/relationships/hyperlink" Target="https://pubmed.ncbi.nlm.nih.gov/30012816" TargetMode="External"/><Relationship Id="rId3098" Type="http://schemas.openxmlformats.org/officeDocument/2006/relationships/hyperlink" Target="https://pubmed.ncbi.nlm.nih.gov/30052066" TargetMode="External"/><Relationship Id="rId3097" Type="http://schemas.openxmlformats.org/officeDocument/2006/relationships/hyperlink" Target="https://pubmed.ncbi.nlm.nih.gov/30063069" TargetMode="External"/><Relationship Id="rId3099" Type="http://schemas.openxmlformats.org/officeDocument/2006/relationships/hyperlink" Target="https://pubmed.ncbi.nlm.nih.gov/30049681" TargetMode="External"/><Relationship Id="rId3081" Type="http://schemas.openxmlformats.org/officeDocument/2006/relationships/hyperlink" Target="https://pubmed.ncbi.nlm.nih.gov/30139900" TargetMode="External"/><Relationship Id="rId3080" Type="http://schemas.openxmlformats.org/officeDocument/2006/relationships/hyperlink" Target="https://pubmed.ncbi.nlm.nih.gov/30138355" TargetMode="External"/><Relationship Id="rId3083" Type="http://schemas.openxmlformats.org/officeDocument/2006/relationships/hyperlink" Target="https://pubmed.ncbi.nlm.nih.gov/30369323" TargetMode="External"/><Relationship Id="rId3082" Type="http://schemas.openxmlformats.org/officeDocument/2006/relationships/hyperlink" Target="https://pubmed.ncbi.nlm.nih.gov/30107752" TargetMode="External"/><Relationship Id="rId3085" Type="http://schemas.openxmlformats.org/officeDocument/2006/relationships/hyperlink" Target="https://pubmed.ncbi.nlm.nih.gov/30130623" TargetMode="External"/><Relationship Id="rId3084" Type="http://schemas.openxmlformats.org/officeDocument/2006/relationships/hyperlink" Target="https://pubmed.ncbi.nlm.nih.gov/30661639" TargetMode="External"/><Relationship Id="rId3087" Type="http://schemas.openxmlformats.org/officeDocument/2006/relationships/hyperlink" Target="https://pubmed.ncbi.nlm.nih.gov/30121378" TargetMode="External"/><Relationship Id="rId3086" Type="http://schemas.openxmlformats.org/officeDocument/2006/relationships/hyperlink" Target="https://pubmed.ncbi.nlm.nih.gov/30121599" TargetMode="External"/><Relationship Id="rId3089" Type="http://schemas.openxmlformats.org/officeDocument/2006/relationships/hyperlink" Target="https://pubmed.ncbi.nlm.nih.gov/29885693" TargetMode="External"/><Relationship Id="rId3088" Type="http://schemas.openxmlformats.org/officeDocument/2006/relationships/hyperlink" Target="https://pubmed.ncbi.nlm.nih.gov/30115028" TargetMode="External"/><Relationship Id="rId3039" Type="http://schemas.openxmlformats.org/officeDocument/2006/relationships/hyperlink" Target="https://pubmed.ncbi.nlm.nih.gov/30968860" TargetMode="External"/><Relationship Id="rId5691" Type="http://schemas.openxmlformats.org/officeDocument/2006/relationships/hyperlink" Target="https://pubmed.ncbi.nlm.nih.gov/16531114" TargetMode="External"/><Relationship Id="rId5692" Type="http://schemas.openxmlformats.org/officeDocument/2006/relationships/hyperlink" Target="https://pubmed.ncbi.nlm.nih.gov/16566419" TargetMode="External"/><Relationship Id="rId3030" Type="http://schemas.openxmlformats.org/officeDocument/2006/relationships/hyperlink" Target="https://pubmed.ncbi.nlm.nih.gov/31259263" TargetMode="External"/><Relationship Id="rId4361" Type="http://schemas.openxmlformats.org/officeDocument/2006/relationships/hyperlink" Target="https://pubmed.ncbi.nlm.nih.gov/26215720" TargetMode="External"/><Relationship Id="rId4360" Type="http://schemas.openxmlformats.org/officeDocument/2006/relationships/hyperlink" Target="https://pubmed.ncbi.nlm.nih.gov/26215857" TargetMode="External"/><Relationship Id="rId5690" Type="http://schemas.openxmlformats.org/officeDocument/2006/relationships/hyperlink" Target="https://pubmed.ncbi.nlm.nih.gov/16549909" TargetMode="External"/><Relationship Id="rId3032" Type="http://schemas.openxmlformats.org/officeDocument/2006/relationships/hyperlink" Target="https://pubmed.ncbi.nlm.nih.gov/30286761" TargetMode="External"/><Relationship Id="rId4363" Type="http://schemas.openxmlformats.org/officeDocument/2006/relationships/hyperlink" Target="https://pubmed.ncbi.nlm.nih.gov/26194784" TargetMode="External"/><Relationship Id="rId5695" Type="http://schemas.openxmlformats.org/officeDocument/2006/relationships/hyperlink" Target="https://pubmed.ncbi.nlm.nih.gov/16520167" TargetMode="External"/><Relationship Id="rId3031" Type="http://schemas.openxmlformats.org/officeDocument/2006/relationships/hyperlink" Target="https://pubmed.ncbi.nlm.nih.gov/30358363" TargetMode="External"/><Relationship Id="rId4362" Type="http://schemas.openxmlformats.org/officeDocument/2006/relationships/hyperlink" Target="https://pubmed.ncbi.nlm.nih.gov/26204801" TargetMode="External"/><Relationship Id="rId5696" Type="http://schemas.openxmlformats.org/officeDocument/2006/relationships/hyperlink" Target="https://pubmed.ncbi.nlm.nih.gov/16505191" TargetMode="External"/><Relationship Id="rId3034" Type="http://schemas.openxmlformats.org/officeDocument/2006/relationships/hyperlink" Target="https://pubmed.ncbi.nlm.nih.gov/29088454" TargetMode="External"/><Relationship Id="rId4365" Type="http://schemas.openxmlformats.org/officeDocument/2006/relationships/hyperlink" Target="https://pubmed.ncbi.nlm.nih.gov/26213489" TargetMode="External"/><Relationship Id="rId5693" Type="http://schemas.openxmlformats.org/officeDocument/2006/relationships/hyperlink" Target="https://pubmed.ncbi.nlm.nih.gov/16537702" TargetMode="External"/><Relationship Id="rId3033" Type="http://schemas.openxmlformats.org/officeDocument/2006/relationships/hyperlink" Target="https://pubmed.ncbi.nlm.nih.gov/30281128" TargetMode="External"/><Relationship Id="rId4364" Type="http://schemas.openxmlformats.org/officeDocument/2006/relationships/hyperlink" Target="https://pubmed.ncbi.nlm.nih.gov/26197241" TargetMode="External"/><Relationship Id="rId5694" Type="http://schemas.openxmlformats.org/officeDocument/2006/relationships/hyperlink" Target="https://pubmed.ncbi.nlm.nih.gov/16537701" TargetMode="External"/><Relationship Id="rId3036" Type="http://schemas.openxmlformats.org/officeDocument/2006/relationships/hyperlink" Target="https://pubmed.ncbi.nlm.nih.gov/29465448" TargetMode="External"/><Relationship Id="rId4367" Type="http://schemas.openxmlformats.org/officeDocument/2006/relationships/hyperlink" Target="https://pubmed.ncbi.nlm.nih.gov/26213487" TargetMode="External"/><Relationship Id="rId5699" Type="http://schemas.openxmlformats.org/officeDocument/2006/relationships/hyperlink" Target="https://pubmed.ncbi.nlm.nih.gov/16464869" TargetMode="External"/><Relationship Id="rId3035" Type="http://schemas.openxmlformats.org/officeDocument/2006/relationships/hyperlink" Target="https://pubmed.ncbi.nlm.nih.gov/29370406" TargetMode="External"/><Relationship Id="rId4366" Type="http://schemas.openxmlformats.org/officeDocument/2006/relationships/hyperlink" Target="https://pubmed.ncbi.nlm.nih.gov/26213488" TargetMode="External"/><Relationship Id="rId3038" Type="http://schemas.openxmlformats.org/officeDocument/2006/relationships/hyperlink" Target="https://pubmed.ncbi.nlm.nih.gov/30259116" TargetMode="External"/><Relationship Id="rId4369" Type="http://schemas.openxmlformats.org/officeDocument/2006/relationships/hyperlink" Target="https://pubmed.ncbi.nlm.nih.gov/26230784" TargetMode="External"/><Relationship Id="rId5697" Type="http://schemas.openxmlformats.org/officeDocument/2006/relationships/hyperlink" Target="https://pubmed.ncbi.nlm.nih.gov/16497451" TargetMode="External"/><Relationship Id="rId3037" Type="http://schemas.openxmlformats.org/officeDocument/2006/relationships/hyperlink" Target="https://pubmed.ncbi.nlm.nih.gov/29342308" TargetMode="External"/><Relationship Id="rId4368" Type="http://schemas.openxmlformats.org/officeDocument/2006/relationships/hyperlink" Target="https://pubmed.ncbi.nlm.nih.gov/26193377" TargetMode="External"/><Relationship Id="rId5698" Type="http://schemas.openxmlformats.org/officeDocument/2006/relationships/hyperlink" Target="https://pubmed.ncbi.nlm.nih.gov/16488420" TargetMode="External"/><Relationship Id="rId3029" Type="http://schemas.openxmlformats.org/officeDocument/2006/relationships/hyperlink" Target="https://pubmed.ncbi.nlm.nih.gov/30305637" TargetMode="External"/><Relationship Id="rId3028" Type="http://schemas.openxmlformats.org/officeDocument/2006/relationships/hyperlink" Target="https://pubmed.ncbi.nlm.nih.gov/30304721" TargetMode="External"/><Relationship Id="rId4359" Type="http://schemas.openxmlformats.org/officeDocument/2006/relationships/hyperlink" Target="https://pubmed.ncbi.nlm.nih.gov/26269691" TargetMode="External"/><Relationship Id="rId5680" Type="http://schemas.openxmlformats.org/officeDocument/2006/relationships/hyperlink" Target="https://pubmed.ncbi.nlm.nih.gov/16625128" TargetMode="External"/><Relationship Id="rId5681" Type="http://schemas.openxmlformats.org/officeDocument/2006/relationships/hyperlink" Target="https://pubmed.ncbi.nlm.nih.gov/16685201" TargetMode="External"/><Relationship Id="rId4350" Type="http://schemas.openxmlformats.org/officeDocument/2006/relationships/hyperlink" Target="https://pubmed.ncbi.nlm.nih.gov/26265498" TargetMode="External"/><Relationship Id="rId3021" Type="http://schemas.openxmlformats.org/officeDocument/2006/relationships/hyperlink" Target="https://pubmed.ncbi.nlm.nih.gov/30337451" TargetMode="External"/><Relationship Id="rId4352" Type="http://schemas.openxmlformats.org/officeDocument/2006/relationships/hyperlink" Target="https://pubmed.ncbi.nlm.nih.gov/26629544" TargetMode="External"/><Relationship Id="rId5684" Type="http://schemas.openxmlformats.org/officeDocument/2006/relationships/hyperlink" Target="https://pubmed.ncbi.nlm.nih.gov/16648410" TargetMode="External"/><Relationship Id="rId3020" Type="http://schemas.openxmlformats.org/officeDocument/2006/relationships/hyperlink" Target="https://pubmed.ncbi.nlm.nih.gov/30348537" TargetMode="External"/><Relationship Id="rId4351" Type="http://schemas.openxmlformats.org/officeDocument/2006/relationships/hyperlink" Target="https://pubmed.ncbi.nlm.nih.gov/26300688" TargetMode="External"/><Relationship Id="rId5685" Type="http://schemas.openxmlformats.org/officeDocument/2006/relationships/hyperlink" Target="https://pubmed.ncbi.nlm.nih.gov/16643966" TargetMode="External"/><Relationship Id="rId3023" Type="http://schemas.openxmlformats.org/officeDocument/2006/relationships/hyperlink" Target="https://pubmed.ncbi.nlm.nih.gov/30362803" TargetMode="External"/><Relationship Id="rId4354" Type="http://schemas.openxmlformats.org/officeDocument/2006/relationships/hyperlink" Target="https://pubmed.ncbi.nlm.nih.gov/26242750" TargetMode="External"/><Relationship Id="rId5682" Type="http://schemas.openxmlformats.org/officeDocument/2006/relationships/hyperlink" Target="https://pubmed.ncbi.nlm.nih.gov/16690669" TargetMode="External"/><Relationship Id="rId3022" Type="http://schemas.openxmlformats.org/officeDocument/2006/relationships/hyperlink" Target="https://pubmed.ncbi.nlm.nih.gov/30323204" TargetMode="External"/><Relationship Id="rId4353" Type="http://schemas.openxmlformats.org/officeDocument/2006/relationships/hyperlink" Target="https://pubmed.ncbi.nlm.nih.gov/26252207" TargetMode="External"/><Relationship Id="rId5683" Type="http://schemas.openxmlformats.org/officeDocument/2006/relationships/hyperlink" Target="https://pubmed.ncbi.nlm.nih.gov/16696984" TargetMode="External"/><Relationship Id="rId3025" Type="http://schemas.openxmlformats.org/officeDocument/2006/relationships/hyperlink" Target="https://pubmed.ncbi.nlm.nih.gov/30003238" TargetMode="External"/><Relationship Id="rId4356" Type="http://schemas.openxmlformats.org/officeDocument/2006/relationships/hyperlink" Target="https://pubmed.ncbi.nlm.nih.gov/26228243" TargetMode="External"/><Relationship Id="rId5688" Type="http://schemas.openxmlformats.org/officeDocument/2006/relationships/hyperlink" Target="https://pubmed.ncbi.nlm.nih.gov/16575273" TargetMode="External"/><Relationship Id="rId3024" Type="http://schemas.openxmlformats.org/officeDocument/2006/relationships/hyperlink" Target="https://pubmed.ncbi.nlm.nih.gov/30309317" TargetMode="External"/><Relationship Id="rId4355" Type="http://schemas.openxmlformats.org/officeDocument/2006/relationships/hyperlink" Target="https://pubmed.ncbi.nlm.nih.gov/26228207" TargetMode="External"/><Relationship Id="rId5689" Type="http://schemas.openxmlformats.org/officeDocument/2006/relationships/hyperlink" Target="https://pubmed.ncbi.nlm.nih.gov/16686865" TargetMode="External"/><Relationship Id="rId3027" Type="http://schemas.openxmlformats.org/officeDocument/2006/relationships/hyperlink" Target="https://pubmed.ncbi.nlm.nih.gov/30317148" TargetMode="External"/><Relationship Id="rId4358" Type="http://schemas.openxmlformats.org/officeDocument/2006/relationships/hyperlink" Target="https://pubmed.ncbi.nlm.nih.gov/26109470" TargetMode="External"/><Relationship Id="rId5686" Type="http://schemas.openxmlformats.org/officeDocument/2006/relationships/hyperlink" Target="https://pubmed.ncbi.nlm.nih.gov/16697313" TargetMode="External"/><Relationship Id="rId3026" Type="http://schemas.openxmlformats.org/officeDocument/2006/relationships/hyperlink" Target="https://pubmed.ncbi.nlm.nih.gov/30306538" TargetMode="External"/><Relationship Id="rId4357" Type="http://schemas.openxmlformats.org/officeDocument/2006/relationships/hyperlink" Target="https://pubmed.ncbi.nlm.nih.gov/26312108" TargetMode="External"/><Relationship Id="rId5687" Type="http://schemas.openxmlformats.org/officeDocument/2006/relationships/hyperlink" Target="https://pubmed.ncbi.nlm.nih.gov/16618820" TargetMode="External"/><Relationship Id="rId3050" Type="http://schemas.openxmlformats.org/officeDocument/2006/relationships/hyperlink" Target="https://pubmed.ncbi.nlm.nih.gov/30166324" TargetMode="External"/><Relationship Id="rId4381" Type="http://schemas.openxmlformats.org/officeDocument/2006/relationships/hyperlink" Target="https://pubmed.ncbi.nlm.nih.gov/26160871" TargetMode="External"/><Relationship Id="rId4380" Type="http://schemas.openxmlformats.org/officeDocument/2006/relationships/hyperlink" Target="https://pubmed.ncbi.nlm.nih.gov/26176419" TargetMode="External"/><Relationship Id="rId3052" Type="http://schemas.openxmlformats.org/officeDocument/2006/relationships/hyperlink" Target="https://pubmed.ncbi.nlm.nih.gov/30219072" TargetMode="External"/><Relationship Id="rId4383" Type="http://schemas.openxmlformats.org/officeDocument/2006/relationships/hyperlink" Target="https://pubmed.ncbi.nlm.nih.gov/26190940" TargetMode="External"/><Relationship Id="rId3051" Type="http://schemas.openxmlformats.org/officeDocument/2006/relationships/hyperlink" Target="https://pubmed.ncbi.nlm.nih.gov/30224394" TargetMode="External"/><Relationship Id="rId4382" Type="http://schemas.openxmlformats.org/officeDocument/2006/relationships/hyperlink" Target="https://pubmed.ncbi.nlm.nih.gov/26164091" TargetMode="External"/><Relationship Id="rId3054" Type="http://schemas.openxmlformats.org/officeDocument/2006/relationships/hyperlink" Target="https://pubmed.ncbi.nlm.nih.gov/30212837" TargetMode="External"/><Relationship Id="rId4385" Type="http://schemas.openxmlformats.org/officeDocument/2006/relationships/hyperlink" Target="https://pubmed.ncbi.nlm.nih.gov/26147752" TargetMode="External"/><Relationship Id="rId3053" Type="http://schemas.openxmlformats.org/officeDocument/2006/relationships/hyperlink" Target="https://pubmed.ncbi.nlm.nih.gov/30223065" TargetMode="External"/><Relationship Id="rId4384" Type="http://schemas.openxmlformats.org/officeDocument/2006/relationships/hyperlink" Target="https://pubmed.ncbi.nlm.nih.gov/26149383" TargetMode="External"/><Relationship Id="rId3056" Type="http://schemas.openxmlformats.org/officeDocument/2006/relationships/hyperlink" Target="https://pubmed.ncbi.nlm.nih.gov/30209122" TargetMode="External"/><Relationship Id="rId4387" Type="http://schemas.openxmlformats.org/officeDocument/2006/relationships/hyperlink" Target="https://pubmed.ncbi.nlm.nih.gov/26153508" TargetMode="External"/><Relationship Id="rId3055" Type="http://schemas.openxmlformats.org/officeDocument/2006/relationships/hyperlink" Target="https://pubmed.ncbi.nlm.nih.gov/30208108" TargetMode="External"/><Relationship Id="rId4386" Type="http://schemas.openxmlformats.org/officeDocument/2006/relationships/hyperlink" Target="https://pubmed.ncbi.nlm.nih.gov/26147988" TargetMode="External"/><Relationship Id="rId3058" Type="http://schemas.openxmlformats.org/officeDocument/2006/relationships/hyperlink" Target="https://pubmed.ncbi.nlm.nih.gov/30204039" TargetMode="External"/><Relationship Id="rId4389" Type="http://schemas.openxmlformats.org/officeDocument/2006/relationships/hyperlink" Target="https://pubmed.ncbi.nlm.nih.gov/26386798" TargetMode="External"/><Relationship Id="rId3057" Type="http://schemas.openxmlformats.org/officeDocument/2006/relationships/hyperlink" Target="https://pubmed.ncbi.nlm.nih.gov/30207484" TargetMode="External"/><Relationship Id="rId4388" Type="http://schemas.openxmlformats.org/officeDocument/2006/relationships/hyperlink" Target="https://pubmed.ncbi.nlm.nih.gov/26134996" TargetMode="External"/><Relationship Id="rId3059" Type="http://schemas.openxmlformats.org/officeDocument/2006/relationships/hyperlink" Target="https://pubmed.ncbi.nlm.nih.gov/30196794" TargetMode="External"/><Relationship Id="rId4370" Type="http://schemas.openxmlformats.org/officeDocument/2006/relationships/hyperlink" Target="https://pubmed.ncbi.nlm.nih.gov/26177390" TargetMode="External"/><Relationship Id="rId3041" Type="http://schemas.openxmlformats.org/officeDocument/2006/relationships/hyperlink" Target="https://pubmed.ncbi.nlm.nih.gov/30209194" TargetMode="External"/><Relationship Id="rId4372" Type="http://schemas.openxmlformats.org/officeDocument/2006/relationships/hyperlink" Target="https://pubmed.ncbi.nlm.nih.gov/26179013" TargetMode="External"/><Relationship Id="rId3040" Type="http://schemas.openxmlformats.org/officeDocument/2006/relationships/hyperlink" Target="https://pubmed.ncbi.nlm.nih.gov/30139777" TargetMode="External"/><Relationship Id="rId4371" Type="http://schemas.openxmlformats.org/officeDocument/2006/relationships/hyperlink" Target="https://pubmed.ncbi.nlm.nih.gov/26180107" TargetMode="External"/><Relationship Id="rId3043" Type="http://schemas.openxmlformats.org/officeDocument/2006/relationships/hyperlink" Target="https://pubmed.ncbi.nlm.nih.gov/30253760" TargetMode="External"/><Relationship Id="rId4374" Type="http://schemas.openxmlformats.org/officeDocument/2006/relationships/hyperlink" Target="https://pubmed.ncbi.nlm.nih.gov/26188685" TargetMode="External"/><Relationship Id="rId3042" Type="http://schemas.openxmlformats.org/officeDocument/2006/relationships/hyperlink" Target="https://pubmed.ncbi.nlm.nih.gov/30267934" TargetMode="External"/><Relationship Id="rId4373" Type="http://schemas.openxmlformats.org/officeDocument/2006/relationships/hyperlink" Target="https://pubmed.ncbi.nlm.nih.gov/26281970" TargetMode="External"/><Relationship Id="rId3045" Type="http://schemas.openxmlformats.org/officeDocument/2006/relationships/hyperlink" Target="https://pubmed.ncbi.nlm.nih.gov/30839936" TargetMode="External"/><Relationship Id="rId4376" Type="http://schemas.openxmlformats.org/officeDocument/2006/relationships/hyperlink" Target="https://pubmed.ncbi.nlm.nih.gov/26187264" TargetMode="External"/><Relationship Id="rId3044" Type="http://schemas.openxmlformats.org/officeDocument/2006/relationships/hyperlink" Target="https://pubmed.ncbi.nlm.nih.gov/30255431" TargetMode="External"/><Relationship Id="rId4375" Type="http://schemas.openxmlformats.org/officeDocument/2006/relationships/hyperlink" Target="https://pubmed.ncbi.nlm.nih.gov/25677034" TargetMode="External"/><Relationship Id="rId3047" Type="http://schemas.openxmlformats.org/officeDocument/2006/relationships/hyperlink" Target="https://pubmed.ncbi.nlm.nih.gov/30240417" TargetMode="External"/><Relationship Id="rId4378" Type="http://schemas.openxmlformats.org/officeDocument/2006/relationships/hyperlink" Target="https://pubmed.ncbi.nlm.nih.gov/26230783" TargetMode="External"/><Relationship Id="rId3046" Type="http://schemas.openxmlformats.org/officeDocument/2006/relationships/hyperlink" Target="https://pubmed.ncbi.nlm.nih.gov/30958487" TargetMode="External"/><Relationship Id="rId4377" Type="http://schemas.openxmlformats.org/officeDocument/2006/relationships/hyperlink" Target="https://pubmed.ncbi.nlm.nih.gov/26169779" TargetMode="External"/><Relationship Id="rId3049" Type="http://schemas.openxmlformats.org/officeDocument/2006/relationships/hyperlink" Target="https://pubmed.ncbi.nlm.nih.gov/30223903" TargetMode="External"/><Relationship Id="rId3048" Type="http://schemas.openxmlformats.org/officeDocument/2006/relationships/hyperlink" Target="https://pubmed.ncbi.nlm.nih.gov/30243948" TargetMode="External"/><Relationship Id="rId4379" Type="http://schemas.openxmlformats.org/officeDocument/2006/relationships/hyperlink" Target="https://pubmed.ncbi.nlm.nih.gov/25913421" TargetMode="External"/><Relationship Id="rId5714" Type="http://schemas.openxmlformats.org/officeDocument/2006/relationships/hyperlink" Target="https://pubmed.ncbi.nlm.nih.gov/16306557" TargetMode="External"/><Relationship Id="rId5715" Type="http://schemas.openxmlformats.org/officeDocument/2006/relationships/hyperlink" Target="https://pubmed.ncbi.nlm.nih.gov/16453088" TargetMode="External"/><Relationship Id="rId5712" Type="http://schemas.openxmlformats.org/officeDocument/2006/relationships/hyperlink" Target="https://pubmed.ncbi.nlm.nih.gov/16371580" TargetMode="External"/><Relationship Id="rId5713" Type="http://schemas.openxmlformats.org/officeDocument/2006/relationships/hyperlink" Target="https://pubmed.ncbi.nlm.nih.gov/16398161" TargetMode="External"/><Relationship Id="rId5718" Type="http://schemas.openxmlformats.org/officeDocument/2006/relationships/hyperlink" Target="https://pubmed.ncbi.nlm.nih.gov/16306466" TargetMode="External"/><Relationship Id="rId5719" Type="http://schemas.openxmlformats.org/officeDocument/2006/relationships/hyperlink" Target="https://pubmed.ncbi.nlm.nih.gov/16305824" TargetMode="External"/><Relationship Id="rId5716" Type="http://schemas.openxmlformats.org/officeDocument/2006/relationships/hyperlink" Target="https://pubmed.ncbi.nlm.nih.gov/16215870" TargetMode="External"/><Relationship Id="rId5717" Type="http://schemas.openxmlformats.org/officeDocument/2006/relationships/hyperlink" Target="https://pubmed.ncbi.nlm.nih.gov/16321994" TargetMode="External"/><Relationship Id="rId5710" Type="http://schemas.openxmlformats.org/officeDocument/2006/relationships/hyperlink" Target="https://pubmed.ncbi.nlm.nih.gov/16399493" TargetMode="External"/><Relationship Id="rId5711" Type="http://schemas.openxmlformats.org/officeDocument/2006/relationships/hyperlink" Target="https://pubmed.ncbi.nlm.nih.gov/16645540" TargetMode="External"/><Relationship Id="rId5703" Type="http://schemas.openxmlformats.org/officeDocument/2006/relationships/hyperlink" Target="https://pubmed.ncbi.nlm.nih.gov/16388808" TargetMode="External"/><Relationship Id="rId5704" Type="http://schemas.openxmlformats.org/officeDocument/2006/relationships/hyperlink" Target="https://pubmed.ncbi.nlm.nih.gov/16450204" TargetMode="External"/><Relationship Id="rId5701" Type="http://schemas.openxmlformats.org/officeDocument/2006/relationships/hyperlink" Target="https://pubmed.ncbi.nlm.nih.gov/16415304" TargetMode="External"/><Relationship Id="rId5702" Type="http://schemas.openxmlformats.org/officeDocument/2006/relationships/hyperlink" Target="https://pubmed.ncbi.nlm.nih.gov/16386925" TargetMode="External"/><Relationship Id="rId5707" Type="http://schemas.openxmlformats.org/officeDocument/2006/relationships/hyperlink" Target="https://pubmed.ncbi.nlm.nih.gov/16338834" TargetMode="External"/><Relationship Id="rId5708" Type="http://schemas.openxmlformats.org/officeDocument/2006/relationships/hyperlink" Target="https://pubmed.ncbi.nlm.nih.gov/16361603" TargetMode="External"/><Relationship Id="rId5705" Type="http://schemas.openxmlformats.org/officeDocument/2006/relationships/hyperlink" Target="https://pubmed.ncbi.nlm.nih.gov/17070438" TargetMode="External"/><Relationship Id="rId5706" Type="http://schemas.openxmlformats.org/officeDocument/2006/relationships/hyperlink" Target="https://pubmed.ncbi.nlm.nih.gov/16627411" TargetMode="External"/><Relationship Id="rId5709" Type="http://schemas.openxmlformats.org/officeDocument/2006/relationships/hyperlink" Target="https://pubmed.ncbi.nlm.nih.gov/16735945" TargetMode="External"/><Relationship Id="rId5700" Type="http://schemas.openxmlformats.org/officeDocument/2006/relationships/hyperlink" Target="https://pubmed.ncbi.nlm.nih.gov/16480796" TargetMode="External"/><Relationship Id="rId3117" Type="http://schemas.openxmlformats.org/officeDocument/2006/relationships/hyperlink" Target="https://pubmed.ncbi.nlm.nih.gov/30017381" TargetMode="External"/><Relationship Id="rId4448" Type="http://schemas.openxmlformats.org/officeDocument/2006/relationships/hyperlink" Target="https://pubmed.ncbi.nlm.nih.gov/25981699" TargetMode="External"/><Relationship Id="rId3116" Type="http://schemas.openxmlformats.org/officeDocument/2006/relationships/hyperlink" Target="https://pubmed.ncbi.nlm.nih.gov/29579192" TargetMode="External"/><Relationship Id="rId4447" Type="http://schemas.openxmlformats.org/officeDocument/2006/relationships/hyperlink" Target="https://pubmed.ncbi.nlm.nih.gov/26024162" TargetMode="External"/><Relationship Id="rId3119" Type="http://schemas.openxmlformats.org/officeDocument/2006/relationships/hyperlink" Target="https://pubmed.ncbi.nlm.nih.gov/30002007" TargetMode="External"/><Relationship Id="rId5778" Type="http://schemas.openxmlformats.org/officeDocument/2006/relationships/hyperlink" Target="https://pubmed.ncbi.nlm.nih.gov/15640292" TargetMode="External"/><Relationship Id="rId3118" Type="http://schemas.openxmlformats.org/officeDocument/2006/relationships/hyperlink" Target="https://pubmed.ncbi.nlm.nih.gov/30005609" TargetMode="External"/><Relationship Id="rId4449" Type="http://schemas.openxmlformats.org/officeDocument/2006/relationships/hyperlink" Target="https://pubmed.ncbi.nlm.nih.gov/25968175" TargetMode="External"/><Relationship Id="rId5779" Type="http://schemas.openxmlformats.org/officeDocument/2006/relationships/hyperlink" Target="https://pubmed.ncbi.nlm.nih.gov/16080587" TargetMode="External"/><Relationship Id="rId4440" Type="http://schemas.openxmlformats.org/officeDocument/2006/relationships/hyperlink" Target="https://pubmed.ncbi.nlm.nih.gov/25995238" TargetMode="External"/><Relationship Id="rId5772" Type="http://schemas.openxmlformats.org/officeDocument/2006/relationships/hyperlink" Target="https://pubmed.ncbi.nlm.nih.gov/15660727" TargetMode="External"/><Relationship Id="rId5773" Type="http://schemas.openxmlformats.org/officeDocument/2006/relationships/hyperlink" Target="https://pubmed.ncbi.nlm.nih.gov/15720932" TargetMode="External"/><Relationship Id="rId3111" Type="http://schemas.openxmlformats.org/officeDocument/2006/relationships/hyperlink" Target="https://pubmed.ncbi.nlm.nih.gov/30019634" TargetMode="External"/><Relationship Id="rId4442" Type="http://schemas.openxmlformats.org/officeDocument/2006/relationships/hyperlink" Target="https://pubmed.ncbi.nlm.nih.gov/25932997" TargetMode="External"/><Relationship Id="rId5770" Type="http://schemas.openxmlformats.org/officeDocument/2006/relationships/hyperlink" Target="https://pubmed.ncbi.nlm.nih.gov/15710789" TargetMode="External"/><Relationship Id="rId3110" Type="http://schemas.openxmlformats.org/officeDocument/2006/relationships/hyperlink" Target="https://pubmed.ncbi.nlm.nih.gov/30029461" TargetMode="External"/><Relationship Id="rId4441" Type="http://schemas.openxmlformats.org/officeDocument/2006/relationships/hyperlink" Target="https://pubmed.ncbi.nlm.nih.gov/25994164" TargetMode="External"/><Relationship Id="rId5771" Type="http://schemas.openxmlformats.org/officeDocument/2006/relationships/hyperlink" Target="https://pubmed.ncbi.nlm.nih.gov/15752947" TargetMode="External"/><Relationship Id="rId3113" Type="http://schemas.openxmlformats.org/officeDocument/2006/relationships/hyperlink" Target="https://pubmed.ncbi.nlm.nih.gov/30097140" TargetMode="External"/><Relationship Id="rId4444" Type="http://schemas.openxmlformats.org/officeDocument/2006/relationships/hyperlink" Target="https://pubmed.ncbi.nlm.nih.gov/25991459" TargetMode="External"/><Relationship Id="rId5776" Type="http://schemas.openxmlformats.org/officeDocument/2006/relationships/hyperlink" Target="https://pubmed.ncbi.nlm.nih.gov/15687135" TargetMode="External"/><Relationship Id="rId3112" Type="http://schemas.openxmlformats.org/officeDocument/2006/relationships/hyperlink" Target="https://pubmed.ncbi.nlm.nih.gov/30032277" TargetMode="External"/><Relationship Id="rId4443" Type="http://schemas.openxmlformats.org/officeDocument/2006/relationships/hyperlink" Target="https://pubmed.ncbi.nlm.nih.gov/25997631" TargetMode="External"/><Relationship Id="rId5777" Type="http://schemas.openxmlformats.org/officeDocument/2006/relationships/hyperlink" Target="https://pubmed.ncbi.nlm.nih.gov/15644545" TargetMode="External"/><Relationship Id="rId3115" Type="http://schemas.openxmlformats.org/officeDocument/2006/relationships/hyperlink" Target="https://pubmed.ncbi.nlm.nih.gov/30016982" TargetMode="External"/><Relationship Id="rId4446" Type="http://schemas.openxmlformats.org/officeDocument/2006/relationships/hyperlink" Target="https://pubmed.ncbi.nlm.nih.gov/26142114" TargetMode="External"/><Relationship Id="rId5774" Type="http://schemas.openxmlformats.org/officeDocument/2006/relationships/hyperlink" Target="https://pubmed.ncbi.nlm.nih.gov/15687322" TargetMode="External"/><Relationship Id="rId3114" Type="http://schemas.openxmlformats.org/officeDocument/2006/relationships/hyperlink" Target="https://pubmed.ncbi.nlm.nih.gov/30012220" TargetMode="External"/><Relationship Id="rId4445" Type="http://schemas.openxmlformats.org/officeDocument/2006/relationships/hyperlink" Target="https://pubmed.ncbi.nlm.nih.gov/25986661" TargetMode="External"/><Relationship Id="rId5775" Type="http://schemas.openxmlformats.org/officeDocument/2006/relationships/hyperlink" Target="https://pubmed.ncbi.nlm.nih.gov/15681938" TargetMode="External"/><Relationship Id="rId3106" Type="http://schemas.openxmlformats.org/officeDocument/2006/relationships/hyperlink" Target="https://pubmed.ncbi.nlm.nih.gov/30031728" TargetMode="External"/><Relationship Id="rId4437" Type="http://schemas.openxmlformats.org/officeDocument/2006/relationships/hyperlink" Target="https://pubmed.ncbi.nlm.nih.gov/26007298" TargetMode="External"/><Relationship Id="rId5769" Type="http://schemas.openxmlformats.org/officeDocument/2006/relationships/hyperlink" Target="https://pubmed.ncbi.nlm.nih.gov/15746451" TargetMode="External"/><Relationship Id="rId3105" Type="http://schemas.openxmlformats.org/officeDocument/2006/relationships/hyperlink" Target="https://pubmed.ncbi.nlm.nih.gov/30217329" TargetMode="External"/><Relationship Id="rId4436" Type="http://schemas.openxmlformats.org/officeDocument/2006/relationships/hyperlink" Target="https://pubmed.ncbi.nlm.nih.gov/27777509" TargetMode="External"/><Relationship Id="rId3108" Type="http://schemas.openxmlformats.org/officeDocument/2006/relationships/hyperlink" Target="https://pubmed.ncbi.nlm.nih.gov/30021577" TargetMode="External"/><Relationship Id="rId4439" Type="http://schemas.openxmlformats.org/officeDocument/2006/relationships/hyperlink" Target="https://pubmed.ncbi.nlm.nih.gov/26046422" TargetMode="External"/><Relationship Id="rId5767" Type="http://schemas.openxmlformats.org/officeDocument/2006/relationships/hyperlink" Target="https://pubmed.ncbi.nlm.nih.gov/15805127" TargetMode="External"/><Relationship Id="rId3107" Type="http://schemas.openxmlformats.org/officeDocument/2006/relationships/hyperlink" Target="https://pubmed.ncbi.nlm.nih.gov/30029600" TargetMode="External"/><Relationship Id="rId4438" Type="http://schemas.openxmlformats.org/officeDocument/2006/relationships/hyperlink" Target="https://pubmed.ncbi.nlm.nih.gov/26000714" TargetMode="External"/><Relationship Id="rId5768" Type="http://schemas.openxmlformats.org/officeDocument/2006/relationships/hyperlink" Target="https://pubmed.ncbi.nlm.nih.gov/15753424" TargetMode="External"/><Relationship Id="rId3109" Type="http://schemas.openxmlformats.org/officeDocument/2006/relationships/hyperlink" Target="https://pubmed.ncbi.nlm.nih.gov/30027321" TargetMode="External"/><Relationship Id="rId5761" Type="http://schemas.openxmlformats.org/officeDocument/2006/relationships/hyperlink" Target="https://pubmed.ncbi.nlm.nih.gov/16731314" TargetMode="External"/><Relationship Id="rId5762" Type="http://schemas.openxmlformats.org/officeDocument/2006/relationships/hyperlink" Target="https://pubmed.ncbi.nlm.nih.gov/16159605" TargetMode="External"/><Relationship Id="rId3100" Type="http://schemas.openxmlformats.org/officeDocument/2006/relationships/hyperlink" Target="https://pubmed.ncbi.nlm.nih.gov/29707771" TargetMode="External"/><Relationship Id="rId4431" Type="http://schemas.openxmlformats.org/officeDocument/2006/relationships/hyperlink" Target="https://pubmed.ncbi.nlm.nih.gov/26041978" TargetMode="External"/><Relationship Id="rId4430" Type="http://schemas.openxmlformats.org/officeDocument/2006/relationships/hyperlink" Target="https://pubmed.ncbi.nlm.nih.gov/26024687" TargetMode="External"/><Relationship Id="rId5760" Type="http://schemas.openxmlformats.org/officeDocument/2006/relationships/hyperlink" Target="https://pubmed.ncbi.nlm.nih.gov/16326169" TargetMode="External"/><Relationship Id="rId3102" Type="http://schemas.openxmlformats.org/officeDocument/2006/relationships/hyperlink" Target="https://pubmed.ncbi.nlm.nih.gov/30032705" TargetMode="External"/><Relationship Id="rId4433" Type="http://schemas.openxmlformats.org/officeDocument/2006/relationships/hyperlink" Target="https://pubmed.ncbi.nlm.nih.gov/26041976" TargetMode="External"/><Relationship Id="rId5765" Type="http://schemas.openxmlformats.org/officeDocument/2006/relationships/hyperlink" Target="https://pubmed.ncbi.nlm.nih.gov/15824146" TargetMode="External"/><Relationship Id="rId3101" Type="http://schemas.openxmlformats.org/officeDocument/2006/relationships/hyperlink" Target="https://pubmed.ncbi.nlm.nih.gov/30037278" TargetMode="External"/><Relationship Id="rId4432" Type="http://schemas.openxmlformats.org/officeDocument/2006/relationships/hyperlink" Target="https://pubmed.ncbi.nlm.nih.gov/26041977" TargetMode="External"/><Relationship Id="rId5766" Type="http://schemas.openxmlformats.org/officeDocument/2006/relationships/hyperlink" Target="https://pubmed.ncbi.nlm.nih.gov/15811566" TargetMode="External"/><Relationship Id="rId3104" Type="http://schemas.openxmlformats.org/officeDocument/2006/relationships/hyperlink" Target="https://pubmed.ncbi.nlm.nih.gov/30037816" TargetMode="External"/><Relationship Id="rId4435" Type="http://schemas.openxmlformats.org/officeDocument/2006/relationships/hyperlink" Target="https://pubmed.ncbi.nlm.nih.gov/26013601" TargetMode="External"/><Relationship Id="rId5763" Type="http://schemas.openxmlformats.org/officeDocument/2006/relationships/hyperlink" Target="https://pubmed.ncbi.nlm.nih.gov/15824075" TargetMode="External"/><Relationship Id="rId3103" Type="http://schemas.openxmlformats.org/officeDocument/2006/relationships/hyperlink" Target="https://pubmed.ncbi.nlm.nih.gov/30033753" TargetMode="External"/><Relationship Id="rId4434" Type="http://schemas.openxmlformats.org/officeDocument/2006/relationships/hyperlink" Target="https://pubmed.ncbi.nlm.nih.gov/26013175" TargetMode="External"/><Relationship Id="rId5764" Type="http://schemas.openxmlformats.org/officeDocument/2006/relationships/hyperlink" Target="https://pubmed.ncbi.nlm.nih.gov/15824149" TargetMode="External"/><Relationship Id="rId3139" Type="http://schemas.openxmlformats.org/officeDocument/2006/relationships/hyperlink" Target="https://pubmed.ncbi.nlm.nih.gov/29929483" TargetMode="External"/><Relationship Id="rId3138" Type="http://schemas.openxmlformats.org/officeDocument/2006/relationships/hyperlink" Target="https://pubmed.ncbi.nlm.nih.gov/29790271" TargetMode="External"/><Relationship Id="rId4469" Type="http://schemas.openxmlformats.org/officeDocument/2006/relationships/hyperlink" Target="https://pubmed.ncbi.nlm.nih.gov/25914930" TargetMode="External"/><Relationship Id="rId5790" Type="http://schemas.openxmlformats.org/officeDocument/2006/relationships/hyperlink" Target="https://pubmed.ncbi.nlm.nih.gov/15618055" TargetMode="External"/><Relationship Id="rId5791" Type="http://schemas.openxmlformats.org/officeDocument/2006/relationships/hyperlink" Target="https://pubmed.ncbi.nlm.nih.gov/15546973" TargetMode="External"/><Relationship Id="rId4460" Type="http://schemas.openxmlformats.org/officeDocument/2006/relationships/hyperlink" Target="https://pubmed.ncbi.nlm.nih.gov/25948112" TargetMode="External"/><Relationship Id="rId3131" Type="http://schemas.openxmlformats.org/officeDocument/2006/relationships/hyperlink" Target="https://pubmed.ncbi.nlm.nih.gov/29961011" TargetMode="External"/><Relationship Id="rId4462" Type="http://schemas.openxmlformats.org/officeDocument/2006/relationships/hyperlink" Target="https://pubmed.ncbi.nlm.nih.gov/25786814" TargetMode="External"/><Relationship Id="rId5794" Type="http://schemas.openxmlformats.org/officeDocument/2006/relationships/hyperlink" Target="https://pubmed.ncbi.nlm.nih.gov/15540632" TargetMode="External"/><Relationship Id="rId3130" Type="http://schemas.openxmlformats.org/officeDocument/2006/relationships/hyperlink" Target="https://pubmed.ncbi.nlm.nih.gov/29969744" TargetMode="External"/><Relationship Id="rId4461" Type="http://schemas.openxmlformats.org/officeDocument/2006/relationships/hyperlink" Target="https://pubmed.ncbi.nlm.nih.gov/25960160" TargetMode="External"/><Relationship Id="rId5795" Type="http://schemas.openxmlformats.org/officeDocument/2006/relationships/hyperlink" Target="https://pubmed.ncbi.nlm.nih.gov/15495054" TargetMode="External"/><Relationship Id="rId3133" Type="http://schemas.openxmlformats.org/officeDocument/2006/relationships/hyperlink" Target="https://pubmed.ncbi.nlm.nih.gov/29956558" TargetMode="External"/><Relationship Id="rId4464" Type="http://schemas.openxmlformats.org/officeDocument/2006/relationships/hyperlink" Target="https://pubmed.ncbi.nlm.nih.gov/25918337" TargetMode="External"/><Relationship Id="rId5792" Type="http://schemas.openxmlformats.org/officeDocument/2006/relationships/hyperlink" Target="https://pubmed.ncbi.nlm.nih.gov/15539439" TargetMode="External"/><Relationship Id="rId3132" Type="http://schemas.openxmlformats.org/officeDocument/2006/relationships/hyperlink" Target="https://pubmed.ncbi.nlm.nih.gov/29959382" TargetMode="External"/><Relationship Id="rId4463" Type="http://schemas.openxmlformats.org/officeDocument/2006/relationships/hyperlink" Target="https://pubmed.ncbi.nlm.nih.gov/25989582" TargetMode="External"/><Relationship Id="rId5793" Type="http://schemas.openxmlformats.org/officeDocument/2006/relationships/hyperlink" Target="https://pubmed.ncbi.nlm.nih.gov/15533358" TargetMode="External"/><Relationship Id="rId3135" Type="http://schemas.openxmlformats.org/officeDocument/2006/relationships/hyperlink" Target="https://pubmed.ncbi.nlm.nih.gov/29958976" TargetMode="External"/><Relationship Id="rId4466" Type="http://schemas.openxmlformats.org/officeDocument/2006/relationships/hyperlink" Target="https://pubmed.ncbi.nlm.nih.gov/25923663" TargetMode="External"/><Relationship Id="rId5798" Type="http://schemas.openxmlformats.org/officeDocument/2006/relationships/hyperlink" Target="https://pubmed.ncbi.nlm.nih.gov/15522571" TargetMode="External"/><Relationship Id="rId3134" Type="http://schemas.openxmlformats.org/officeDocument/2006/relationships/hyperlink" Target="https://pubmed.ncbi.nlm.nih.gov/29954855" TargetMode="External"/><Relationship Id="rId4465" Type="http://schemas.openxmlformats.org/officeDocument/2006/relationships/hyperlink" Target="https://pubmed.ncbi.nlm.nih.gov/25845495" TargetMode="External"/><Relationship Id="rId5799" Type="http://schemas.openxmlformats.org/officeDocument/2006/relationships/hyperlink" Target="https://pubmed.ncbi.nlm.nih.gov/15465575" TargetMode="External"/><Relationship Id="rId3137" Type="http://schemas.openxmlformats.org/officeDocument/2006/relationships/hyperlink" Target="https://pubmed.ncbi.nlm.nih.gov/29944708" TargetMode="External"/><Relationship Id="rId4468" Type="http://schemas.openxmlformats.org/officeDocument/2006/relationships/hyperlink" Target="https://pubmed.ncbi.nlm.nih.gov/25922514" TargetMode="External"/><Relationship Id="rId5796" Type="http://schemas.openxmlformats.org/officeDocument/2006/relationships/hyperlink" Target="https://pubmed.ncbi.nlm.nih.gov/15385378" TargetMode="External"/><Relationship Id="rId3136" Type="http://schemas.openxmlformats.org/officeDocument/2006/relationships/hyperlink" Target="https://pubmed.ncbi.nlm.nih.gov/29950465" TargetMode="External"/><Relationship Id="rId4467" Type="http://schemas.openxmlformats.org/officeDocument/2006/relationships/hyperlink" Target="https://pubmed.ncbi.nlm.nih.gov/25916733" TargetMode="External"/><Relationship Id="rId5797" Type="http://schemas.openxmlformats.org/officeDocument/2006/relationships/hyperlink" Target="https://pubmed.ncbi.nlm.nih.gov/15385752" TargetMode="External"/><Relationship Id="rId3128" Type="http://schemas.openxmlformats.org/officeDocument/2006/relationships/hyperlink" Target="https://pubmed.ncbi.nlm.nih.gov/29659887" TargetMode="External"/><Relationship Id="rId4459" Type="http://schemas.openxmlformats.org/officeDocument/2006/relationships/hyperlink" Target="https://pubmed.ncbi.nlm.nih.gov/25950517" TargetMode="External"/><Relationship Id="rId3127" Type="http://schemas.openxmlformats.org/officeDocument/2006/relationships/hyperlink" Target="https://pubmed.ncbi.nlm.nih.gov/31193646" TargetMode="External"/><Relationship Id="rId4458" Type="http://schemas.openxmlformats.org/officeDocument/2006/relationships/hyperlink" Target="https://pubmed.ncbi.nlm.nih.gov/25952733" TargetMode="External"/><Relationship Id="rId5789" Type="http://schemas.openxmlformats.org/officeDocument/2006/relationships/hyperlink" Target="https://pubmed.ncbi.nlm.nih.gov/15572431" TargetMode="External"/><Relationship Id="rId3129" Type="http://schemas.openxmlformats.org/officeDocument/2006/relationships/hyperlink" Target="https://pubmed.ncbi.nlm.nih.gov/29952787" TargetMode="External"/><Relationship Id="rId5780" Type="http://schemas.openxmlformats.org/officeDocument/2006/relationships/hyperlink" Target="https://pubmed.ncbi.nlm.nih.gov/15585205" TargetMode="External"/><Relationship Id="rId3120" Type="http://schemas.openxmlformats.org/officeDocument/2006/relationships/hyperlink" Target="https://pubmed.ncbi.nlm.nih.gov/29904963" TargetMode="External"/><Relationship Id="rId4451" Type="http://schemas.openxmlformats.org/officeDocument/2006/relationships/hyperlink" Target="https://pubmed.ncbi.nlm.nih.gov/25963336" TargetMode="External"/><Relationship Id="rId5783" Type="http://schemas.openxmlformats.org/officeDocument/2006/relationships/hyperlink" Target="https://pubmed.ncbi.nlm.nih.gov/15921047" TargetMode="External"/><Relationship Id="rId4450" Type="http://schemas.openxmlformats.org/officeDocument/2006/relationships/hyperlink" Target="https://pubmed.ncbi.nlm.nih.gov/25971717" TargetMode="External"/><Relationship Id="rId5784" Type="http://schemas.openxmlformats.org/officeDocument/2006/relationships/hyperlink" Target="https://pubmed.ncbi.nlm.nih.gov/15668601" TargetMode="External"/><Relationship Id="rId3122" Type="http://schemas.openxmlformats.org/officeDocument/2006/relationships/hyperlink" Target="https://pubmed.ncbi.nlm.nih.gov/30032024" TargetMode="External"/><Relationship Id="rId4453" Type="http://schemas.openxmlformats.org/officeDocument/2006/relationships/hyperlink" Target="https://pubmed.ncbi.nlm.nih.gov/25995708" TargetMode="External"/><Relationship Id="rId5781" Type="http://schemas.openxmlformats.org/officeDocument/2006/relationships/hyperlink" Target="https://pubmed.ncbi.nlm.nih.gov/16080586" TargetMode="External"/><Relationship Id="rId3121" Type="http://schemas.openxmlformats.org/officeDocument/2006/relationships/hyperlink" Target="https://pubmed.ncbi.nlm.nih.gov/30395135" TargetMode="External"/><Relationship Id="rId4452" Type="http://schemas.openxmlformats.org/officeDocument/2006/relationships/hyperlink" Target="https://pubmed.ncbi.nlm.nih.gov/25995709" TargetMode="External"/><Relationship Id="rId5782" Type="http://schemas.openxmlformats.org/officeDocument/2006/relationships/hyperlink" Target="https://pubmed.ncbi.nlm.nih.gov/15640479" TargetMode="External"/><Relationship Id="rId3124" Type="http://schemas.openxmlformats.org/officeDocument/2006/relationships/hyperlink" Target="https://pubmed.ncbi.nlm.nih.gov/29973154" TargetMode="External"/><Relationship Id="rId4455" Type="http://schemas.openxmlformats.org/officeDocument/2006/relationships/hyperlink" Target="https://pubmed.ncbi.nlm.nih.gov/25964506" TargetMode="External"/><Relationship Id="rId5787" Type="http://schemas.openxmlformats.org/officeDocument/2006/relationships/hyperlink" Target="https://pubmed.ncbi.nlm.nih.gov/15606725" TargetMode="External"/><Relationship Id="rId3123" Type="http://schemas.openxmlformats.org/officeDocument/2006/relationships/hyperlink" Target="https://pubmed.ncbi.nlm.nih.gov/29976170" TargetMode="External"/><Relationship Id="rId4454" Type="http://schemas.openxmlformats.org/officeDocument/2006/relationships/hyperlink" Target="https://pubmed.ncbi.nlm.nih.gov/25968001" TargetMode="External"/><Relationship Id="rId5788" Type="http://schemas.openxmlformats.org/officeDocument/2006/relationships/hyperlink" Target="https://pubmed.ncbi.nlm.nih.gov/15617952" TargetMode="External"/><Relationship Id="rId3126" Type="http://schemas.openxmlformats.org/officeDocument/2006/relationships/hyperlink" Target="https://pubmed.ncbi.nlm.nih.gov/31093560" TargetMode="External"/><Relationship Id="rId4457" Type="http://schemas.openxmlformats.org/officeDocument/2006/relationships/hyperlink" Target="https://pubmed.ncbi.nlm.nih.gov/25956716" TargetMode="External"/><Relationship Id="rId5785" Type="http://schemas.openxmlformats.org/officeDocument/2006/relationships/hyperlink" Target="https://pubmed.ncbi.nlm.nih.gov/15530681" TargetMode="External"/><Relationship Id="rId3125" Type="http://schemas.openxmlformats.org/officeDocument/2006/relationships/hyperlink" Target="https://pubmed.ncbi.nlm.nih.gov/29966490" TargetMode="External"/><Relationship Id="rId4456" Type="http://schemas.openxmlformats.org/officeDocument/2006/relationships/hyperlink" Target="https://pubmed.ncbi.nlm.nih.gov/25845618" TargetMode="External"/><Relationship Id="rId5786" Type="http://schemas.openxmlformats.org/officeDocument/2006/relationships/hyperlink" Target="https://pubmed.ncbi.nlm.nih.gov/15618057" TargetMode="External"/><Relationship Id="rId4404" Type="http://schemas.openxmlformats.org/officeDocument/2006/relationships/hyperlink" Target="https://pubmed.ncbi.nlm.nih.gov/26031804" TargetMode="External"/><Relationship Id="rId5736" Type="http://schemas.openxmlformats.org/officeDocument/2006/relationships/hyperlink" Target="https://pubmed.ncbi.nlm.nih.gov/16103448" TargetMode="External"/><Relationship Id="rId4403" Type="http://schemas.openxmlformats.org/officeDocument/2006/relationships/hyperlink" Target="https://pubmed.ncbi.nlm.nih.gov/26100105" TargetMode="External"/><Relationship Id="rId5737" Type="http://schemas.openxmlformats.org/officeDocument/2006/relationships/hyperlink" Target="https://pubmed.ncbi.nlm.nih.gov/16189621" TargetMode="External"/><Relationship Id="rId4406" Type="http://schemas.openxmlformats.org/officeDocument/2006/relationships/hyperlink" Target="https://pubmed.ncbi.nlm.nih.gov/26089299" TargetMode="External"/><Relationship Id="rId5734" Type="http://schemas.openxmlformats.org/officeDocument/2006/relationships/hyperlink" Target="https://pubmed.ncbi.nlm.nih.gov/16049806" TargetMode="External"/><Relationship Id="rId4405" Type="http://schemas.openxmlformats.org/officeDocument/2006/relationships/hyperlink" Target="https://pubmed.ncbi.nlm.nih.gov/26281825" TargetMode="External"/><Relationship Id="rId5735" Type="http://schemas.openxmlformats.org/officeDocument/2006/relationships/hyperlink" Target="https://pubmed.ncbi.nlm.nih.gov/16054465" TargetMode="External"/><Relationship Id="rId4408" Type="http://schemas.openxmlformats.org/officeDocument/2006/relationships/hyperlink" Target="https://pubmed.ncbi.nlm.nih.gov/26117796" TargetMode="External"/><Relationship Id="rId4407" Type="http://schemas.openxmlformats.org/officeDocument/2006/relationships/hyperlink" Target="https://pubmed.ncbi.nlm.nih.gov/26086272" TargetMode="External"/><Relationship Id="rId5738" Type="http://schemas.openxmlformats.org/officeDocument/2006/relationships/hyperlink" Target="https://pubmed.ncbi.nlm.nih.gov/16033803" TargetMode="External"/><Relationship Id="rId4409" Type="http://schemas.openxmlformats.org/officeDocument/2006/relationships/hyperlink" Target="https://pubmed.ncbi.nlm.nih.gov/26097411" TargetMode="External"/><Relationship Id="rId5739" Type="http://schemas.openxmlformats.org/officeDocument/2006/relationships/hyperlink" Target="https://pubmed.ncbi.nlm.nih.gov/16027451" TargetMode="External"/><Relationship Id="rId4400" Type="http://schemas.openxmlformats.org/officeDocument/2006/relationships/hyperlink" Target="https://pubmed.ncbi.nlm.nih.gov/26116780" TargetMode="External"/><Relationship Id="rId5732" Type="http://schemas.openxmlformats.org/officeDocument/2006/relationships/hyperlink" Target="https://pubmed.ncbi.nlm.nih.gov/16107490" TargetMode="External"/><Relationship Id="rId5733" Type="http://schemas.openxmlformats.org/officeDocument/2006/relationships/hyperlink" Target="https://pubmed.ncbi.nlm.nih.gov/16087812" TargetMode="External"/><Relationship Id="rId4402" Type="http://schemas.openxmlformats.org/officeDocument/2006/relationships/hyperlink" Target="https://pubmed.ncbi.nlm.nih.gov/26110667" TargetMode="External"/><Relationship Id="rId5730" Type="http://schemas.openxmlformats.org/officeDocument/2006/relationships/hyperlink" Target="https://pubmed.ncbi.nlm.nih.gov/16155062" TargetMode="External"/><Relationship Id="rId4401" Type="http://schemas.openxmlformats.org/officeDocument/2006/relationships/hyperlink" Target="https://pubmed.ncbi.nlm.nih.gov/26116488" TargetMode="External"/><Relationship Id="rId5731" Type="http://schemas.openxmlformats.org/officeDocument/2006/relationships/hyperlink" Target="https://pubmed.ncbi.nlm.nih.gov/16107566" TargetMode="External"/><Relationship Id="rId5725" Type="http://schemas.openxmlformats.org/officeDocument/2006/relationships/hyperlink" Target="https://pubmed.ncbi.nlm.nih.gov/16198222" TargetMode="External"/><Relationship Id="rId5726" Type="http://schemas.openxmlformats.org/officeDocument/2006/relationships/hyperlink" Target="https://pubmed.ncbi.nlm.nih.gov/16005552" TargetMode="External"/><Relationship Id="rId5723" Type="http://schemas.openxmlformats.org/officeDocument/2006/relationships/hyperlink" Target="https://pubmed.ncbi.nlm.nih.gov/16291473" TargetMode="External"/><Relationship Id="rId5724" Type="http://schemas.openxmlformats.org/officeDocument/2006/relationships/hyperlink" Target="https://pubmed.ncbi.nlm.nih.gov/16178880" TargetMode="External"/><Relationship Id="rId5729" Type="http://schemas.openxmlformats.org/officeDocument/2006/relationships/hyperlink" Target="https://pubmed.ncbi.nlm.nih.gov/16168418" TargetMode="External"/><Relationship Id="rId5727" Type="http://schemas.openxmlformats.org/officeDocument/2006/relationships/hyperlink" Target="https://pubmed.ncbi.nlm.nih.gov/16198516" TargetMode="External"/><Relationship Id="rId5728" Type="http://schemas.openxmlformats.org/officeDocument/2006/relationships/hyperlink" Target="https://pubmed.ncbi.nlm.nih.gov/16186135" TargetMode="External"/><Relationship Id="rId5721" Type="http://schemas.openxmlformats.org/officeDocument/2006/relationships/hyperlink" Target="https://pubmed.ncbi.nlm.nih.gov/16284392" TargetMode="External"/><Relationship Id="rId5722" Type="http://schemas.openxmlformats.org/officeDocument/2006/relationships/hyperlink" Target="https://pubmed.ncbi.nlm.nih.gov/16186072" TargetMode="External"/><Relationship Id="rId5720" Type="http://schemas.openxmlformats.org/officeDocument/2006/relationships/hyperlink" Target="https://pubmed.ncbi.nlm.nih.gov/16284389" TargetMode="External"/><Relationship Id="rId4426" Type="http://schemas.openxmlformats.org/officeDocument/2006/relationships/hyperlink" Target="https://pubmed.ncbi.nlm.nih.gov/25970305" TargetMode="External"/><Relationship Id="rId5758" Type="http://schemas.openxmlformats.org/officeDocument/2006/relationships/hyperlink" Target="https://pubmed.ncbi.nlm.nih.gov/15860515" TargetMode="External"/><Relationship Id="rId4425" Type="http://schemas.openxmlformats.org/officeDocument/2006/relationships/hyperlink" Target="https://pubmed.ncbi.nlm.nih.gov/25925788" TargetMode="External"/><Relationship Id="rId5759" Type="http://schemas.openxmlformats.org/officeDocument/2006/relationships/hyperlink" Target="https://pubmed.ncbi.nlm.nih.gov/15996602" TargetMode="External"/><Relationship Id="rId4428" Type="http://schemas.openxmlformats.org/officeDocument/2006/relationships/hyperlink" Target="https://pubmed.ncbi.nlm.nih.gov/26025139" TargetMode="External"/><Relationship Id="rId5756" Type="http://schemas.openxmlformats.org/officeDocument/2006/relationships/hyperlink" Target="https://pubmed.ncbi.nlm.nih.gov/15863523" TargetMode="External"/><Relationship Id="rId4427" Type="http://schemas.openxmlformats.org/officeDocument/2006/relationships/hyperlink" Target="https://pubmed.ncbi.nlm.nih.gov/26022622" TargetMode="External"/><Relationship Id="rId5757" Type="http://schemas.openxmlformats.org/officeDocument/2006/relationships/hyperlink" Target="https://pubmed.ncbi.nlm.nih.gov/15860516" TargetMode="External"/><Relationship Id="rId4429" Type="http://schemas.openxmlformats.org/officeDocument/2006/relationships/hyperlink" Target="https://pubmed.ncbi.nlm.nih.gov/26033669" TargetMode="External"/><Relationship Id="rId5750" Type="http://schemas.openxmlformats.org/officeDocument/2006/relationships/hyperlink" Target="https://pubmed.ncbi.nlm.nih.gov/16007521" TargetMode="External"/><Relationship Id="rId5751" Type="http://schemas.openxmlformats.org/officeDocument/2006/relationships/hyperlink" Target="https://pubmed.ncbi.nlm.nih.gov/15932913" TargetMode="External"/><Relationship Id="rId4420" Type="http://schemas.openxmlformats.org/officeDocument/2006/relationships/hyperlink" Target="https://pubmed.ncbi.nlm.nih.gov/26495173" TargetMode="External"/><Relationship Id="rId4422" Type="http://schemas.openxmlformats.org/officeDocument/2006/relationships/hyperlink" Target="https://pubmed.ncbi.nlm.nih.gov/26038582" TargetMode="External"/><Relationship Id="rId5754" Type="http://schemas.openxmlformats.org/officeDocument/2006/relationships/hyperlink" Target="https://pubmed.ncbi.nlm.nih.gov/15897499" TargetMode="External"/><Relationship Id="rId4421" Type="http://schemas.openxmlformats.org/officeDocument/2006/relationships/hyperlink" Target="https://pubmed.ncbi.nlm.nih.gov/26036860" TargetMode="External"/><Relationship Id="rId5755" Type="http://schemas.openxmlformats.org/officeDocument/2006/relationships/hyperlink" Target="https://pubmed.ncbi.nlm.nih.gov/15867302" TargetMode="External"/><Relationship Id="rId4424" Type="http://schemas.openxmlformats.org/officeDocument/2006/relationships/hyperlink" Target="https://pubmed.ncbi.nlm.nih.gov/25714519" TargetMode="External"/><Relationship Id="rId5752" Type="http://schemas.openxmlformats.org/officeDocument/2006/relationships/hyperlink" Target="https://pubmed.ncbi.nlm.nih.gov/15925738" TargetMode="External"/><Relationship Id="rId4423" Type="http://schemas.openxmlformats.org/officeDocument/2006/relationships/hyperlink" Target="https://pubmed.ncbi.nlm.nih.gov/26029921" TargetMode="External"/><Relationship Id="rId5753" Type="http://schemas.openxmlformats.org/officeDocument/2006/relationships/hyperlink" Target="https://pubmed.ncbi.nlm.nih.gov/15897508" TargetMode="External"/><Relationship Id="rId4415" Type="http://schemas.openxmlformats.org/officeDocument/2006/relationships/hyperlink" Target="https://pubmed.ncbi.nlm.nih.gov/26196792" TargetMode="External"/><Relationship Id="rId5747" Type="http://schemas.openxmlformats.org/officeDocument/2006/relationships/hyperlink" Target="https://pubmed.ncbi.nlm.nih.gov/15963397" TargetMode="External"/><Relationship Id="rId4414" Type="http://schemas.openxmlformats.org/officeDocument/2006/relationships/hyperlink" Target="https://pubmed.ncbi.nlm.nih.gov/26070707" TargetMode="External"/><Relationship Id="rId5748" Type="http://schemas.openxmlformats.org/officeDocument/2006/relationships/hyperlink" Target="https://pubmed.ncbi.nlm.nih.gov/15964866" TargetMode="External"/><Relationship Id="rId4417" Type="http://schemas.openxmlformats.org/officeDocument/2006/relationships/hyperlink" Target="https://pubmed.ncbi.nlm.nih.gov/26044369" TargetMode="External"/><Relationship Id="rId5745" Type="http://schemas.openxmlformats.org/officeDocument/2006/relationships/hyperlink" Target="https://pubmed.ncbi.nlm.nih.gov/16113804" TargetMode="External"/><Relationship Id="rId4416" Type="http://schemas.openxmlformats.org/officeDocument/2006/relationships/hyperlink" Target="https://pubmed.ncbi.nlm.nih.gov/26050790" TargetMode="External"/><Relationship Id="rId5746" Type="http://schemas.openxmlformats.org/officeDocument/2006/relationships/hyperlink" Target="https://pubmed.ncbi.nlm.nih.gov/15939071" TargetMode="External"/><Relationship Id="rId4419" Type="http://schemas.openxmlformats.org/officeDocument/2006/relationships/hyperlink" Target="https://pubmed.ncbi.nlm.nih.gov/26042410" TargetMode="External"/><Relationship Id="rId4418" Type="http://schemas.openxmlformats.org/officeDocument/2006/relationships/hyperlink" Target="https://pubmed.ncbi.nlm.nih.gov/26196615" TargetMode="External"/><Relationship Id="rId5749" Type="http://schemas.openxmlformats.org/officeDocument/2006/relationships/hyperlink" Target="https://pubmed.ncbi.nlm.nih.gov/15961433" TargetMode="External"/><Relationship Id="rId5740" Type="http://schemas.openxmlformats.org/officeDocument/2006/relationships/hyperlink" Target="https://pubmed.ncbi.nlm.nih.gov/16020856" TargetMode="External"/><Relationship Id="rId4411" Type="http://schemas.openxmlformats.org/officeDocument/2006/relationships/hyperlink" Target="https://pubmed.ncbi.nlm.nih.gov/26082477" TargetMode="External"/><Relationship Id="rId5743" Type="http://schemas.openxmlformats.org/officeDocument/2006/relationships/hyperlink" Target="https://pubmed.ncbi.nlm.nih.gov/16002760" TargetMode="External"/><Relationship Id="rId4410" Type="http://schemas.openxmlformats.org/officeDocument/2006/relationships/hyperlink" Target="https://pubmed.ncbi.nlm.nih.gov/26082446" TargetMode="External"/><Relationship Id="rId5744" Type="http://schemas.openxmlformats.org/officeDocument/2006/relationships/hyperlink" Target="https://pubmed.ncbi.nlm.nih.gov/15951675" TargetMode="External"/><Relationship Id="rId4413" Type="http://schemas.openxmlformats.org/officeDocument/2006/relationships/hyperlink" Target="https://pubmed.ncbi.nlm.nih.gov/26066940" TargetMode="External"/><Relationship Id="rId5741" Type="http://schemas.openxmlformats.org/officeDocument/2006/relationships/hyperlink" Target="https://pubmed.ncbi.nlm.nih.gov/16024548" TargetMode="External"/><Relationship Id="rId4412" Type="http://schemas.openxmlformats.org/officeDocument/2006/relationships/hyperlink" Target="https://pubmed.ncbi.nlm.nih.gov/26086726" TargetMode="External"/><Relationship Id="rId5742" Type="http://schemas.openxmlformats.org/officeDocument/2006/relationships/hyperlink" Target="https://pubmed.ncbi.nlm.nih.gov/16006497" TargetMode="External"/><Relationship Id="rId3191" Type="http://schemas.openxmlformats.org/officeDocument/2006/relationships/hyperlink" Target="https://pubmed.ncbi.nlm.nih.gov/29986822" TargetMode="External"/><Relationship Id="rId3190" Type="http://schemas.openxmlformats.org/officeDocument/2006/relationships/hyperlink" Target="https://pubmed.ncbi.nlm.nih.gov/29744764" TargetMode="External"/><Relationship Id="rId3193" Type="http://schemas.openxmlformats.org/officeDocument/2006/relationships/hyperlink" Target="https://pubmed.ncbi.nlm.nih.gov/29741289" TargetMode="External"/><Relationship Id="rId3192" Type="http://schemas.openxmlformats.org/officeDocument/2006/relationships/hyperlink" Target="https://pubmed.ncbi.nlm.nih.gov/29741225" TargetMode="External"/><Relationship Id="rId3195" Type="http://schemas.openxmlformats.org/officeDocument/2006/relationships/hyperlink" Target="https://pubmed.ncbi.nlm.nih.gov/29735390" TargetMode="External"/><Relationship Id="rId3194" Type="http://schemas.openxmlformats.org/officeDocument/2006/relationships/hyperlink" Target="https://pubmed.ncbi.nlm.nih.gov/29784563" TargetMode="External"/><Relationship Id="rId3197" Type="http://schemas.openxmlformats.org/officeDocument/2006/relationships/hyperlink" Target="https://pubmed.ncbi.nlm.nih.gov/29720220" TargetMode="External"/><Relationship Id="rId3196" Type="http://schemas.openxmlformats.org/officeDocument/2006/relationships/hyperlink" Target="https://pubmed.ncbi.nlm.nih.gov/29717945" TargetMode="External"/><Relationship Id="rId3199" Type="http://schemas.openxmlformats.org/officeDocument/2006/relationships/hyperlink" Target="https://pubmed.ncbi.nlm.nih.gov/29748316" TargetMode="External"/><Relationship Id="rId3198" Type="http://schemas.openxmlformats.org/officeDocument/2006/relationships/hyperlink" Target="https://pubmed.ncbi.nlm.nih.gov/30564719" TargetMode="External"/><Relationship Id="rId3180" Type="http://schemas.openxmlformats.org/officeDocument/2006/relationships/hyperlink" Target="https://pubmed.ncbi.nlm.nih.gov/29228127" TargetMode="External"/><Relationship Id="rId3182" Type="http://schemas.openxmlformats.org/officeDocument/2006/relationships/hyperlink" Target="https://pubmed.ncbi.nlm.nih.gov/29778684" TargetMode="External"/><Relationship Id="rId3181" Type="http://schemas.openxmlformats.org/officeDocument/2006/relationships/hyperlink" Target="https://pubmed.ncbi.nlm.nih.gov/29772837" TargetMode="External"/><Relationship Id="rId3184" Type="http://schemas.openxmlformats.org/officeDocument/2006/relationships/hyperlink" Target="https://pubmed.ncbi.nlm.nih.gov/29778837" TargetMode="External"/><Relationship Id="rId3183" Type="http://schemas.openxmlformats.org/officeDocument/2006/relationships/hyperlink" Target="https://pubmed.ncbi.nlm.nih.gov/29777206" TargetMode="External"/><Relationship Id="rId3186" Type="http://schemas.openxmlformats.org/officeDocument/2006/relationships/hyperlink" Target="https://pubmed.ncbi.nlm.nih.gov/30895249" TargetMode="External"/><Relationship Id="rId3185" Type="http://schemas.openxmlformats.org/officeDocument/2006/relationships/hyperlink" Target="https://pubmed.ncbi.nlm.nih.gov/29768509" TargetMode="External"/><Relationship Id="rId3188" Type="http://schemas.openxmlformats.org/officeDocument/2006/relationships/hyperlink" Target="https://pubmed.ncbi.nlm.nih.gov/30040308" TargetMode="External"/><Relationship Id="rId3187" Type="http://schemas.openxmlformats.org/officeDocument/2006/relationships/hyperlink" Target="https://pubmed.ncbi.nlm.nih.gov/29766232" TargetMode="External"/><Relationship Id="rId3189" Type="http://schemas.openxmlformats.org/officeDocument/2006/relationships/hyperlink" Target="https://pubmed.ncbi.nlm.nih.gov/29754411" TargetMode="External"/><Relationship Id="rId4480" Type="http://schemas.openxmlformats.org/officeDocument/2006/relationships/hyperlink" Target="https://pubmed.ncbi.nlm.nih.gov/26041974" TargetMode="External"/><Relationship Id="rId3151" Type="http://schemas.openxmlformats.org/officeDocument/2006/relationships/hyperlink" Target="https://pubmed.ncbi.nlm.nih.gov/29903845" TargetMode="External"/><Relationship Id="rId4482" Type="http://schemas.openxmlformats.org/officeDocument/2006/relationships/hyperlink" Target="https://pubmed.ncbi.nlm.nih.gov/25896340" TargetMode="External"/><Relationship Id="rId3150" Type="http://schemas.openxmlformats.org/officeDocument/2006/relationships/hyperlink" Target="https://pubmed.ncbi.nlm.nih.gov/30040258" TargetMode="External"/><Relationship Id="rId4481" Type="http://schemas.openxmlformats.org/officeDocument/2006/relationships/hyperlink" Target="https://pubmed.ncbi.nlm.nih.gov/25955046" TargetMode="External"/><Relationship Id="rId3153" Type="http://schemas.openxmlformats.org/officeDocument/2006/relationships/hyperlink" Target="https://pubmed.ncbi.nlm.nih.gov/31093561" TargetMode="External"/><Relationship Id="rId4484" Type="http://schemas.openxmlformats.org/officeDocument/2006/relationships/hyperlink" Target="https://pubmed.ncbi.nlm.nih.gov/25896832" TargetMode="External"/><Relationship Id="rId3152" Type="http://schemas.openxmlformats.org/officeDocument/2006/relationships/hyperlink" Target="https://pubmed.ncbi.nlm.nih.gov/30017437" TargetMode="External"/><Relationship Id="rId4483" Type="http://schemas.openxmlformats.org/officeDocument/2006/relationships/hyperlink" Target="https://pubmed.ncbi.nlm.nih.gov/25898061" TargetMode="External"/><Relationship Id="rId3155" Type="http://schemas.openxmlformats.org/officeDocument/2006/relationships/hyperlink" Target="https://pubmed.ncbi.nlm.nih.gov/30956553" TargetMode="External"/><Relationship Id="rId4486" Type="http://schemas.openxmlformats.org/officeDocument/2006/relationships/hyperlink" Target="https://pubmed.ncbi.nlm.nih.gov/25896935" TargetMode="External"/><Relationship Id="rId3154" Type="http://schemas.openxmlformats.org/officeDocument/2006/relationships/hyperlink" Target="https://pubmed.ncbi.nlm.nih.gov/29893650" TargetMode="External"/><Relationship Id="rId4485" Type="http://schemas.openxmlformats.org/officeDocument/2006/relationships/hyperlink" Target="https://pubmed.ncbi.nlm.nih.gov/25908089" TargetMode="External"/><Relationship Id="rId3157" Type="http://schemas.openxmlformats.org/officeDocument/2006/relationships/hyperlink" Target="https://pubmed.ncbi.nlm.nih.gov/29886447" TargetMode="External"/><Relationship Id="rId4488" Type="http://schemas.openxmlformats.org/officeDocument/2006/relationships/hyperlink" Target="https://pubmed.ncbi.nlm.nih.gov/25896172" TargetMode="External"/><Relationship Id="rId3156" Type="http://schemas.openxmlformats.org/officeDocument/2006/relationships/hyperlink" Target="https://pubmed.ncbi.nlm.nih.gov/29906514" TargetMode="External"/><Relationship Id="rId4487" Type="http://schemas.openxmlformats.org/officeDocument/2006/relationships/hyperlink" Target="https://pubmed.ncbi.nlm.nih.gov/25896928" TargetMode="External"/><Relationship Id="rId3159" Type="http://schemas.openxmlformats.org/officeDocument/2006/relationships/hyperlink" Target="https://pubmed.ncbi.nlm.nih.gov/30040307" TargetMode="External"/><Relationship Id="rId3158" Type="http://schemas.openxmlformats.org/officeDocument/2006/relationships/hyperlink" Target="https://pubmed.ncbi.nlm.nih.gov/29879968" TargetMode="External"/><Relationship Id="rId4489" Type="http://schemas.openxmlformats.org/officeDocument/2006/relationships/hyperlink" Target="https://pubmed.ncbi.nlm.nih.gov/25893718" TargetMode="External"/><Relationship Id="rId3149" Type="http://schemas.openxmlformats.org/officeDocument/2006/relationships/hyperlink" Target="https://pubmed.ncbi.nlm.nih.gov/31035742" TargetMode="External"/><Relationship Id="rId3140" Type="http://schemas.openxmlformats.org/officeDocument/2006/relationships/hyperlink" Target="https://pubmed.ncbi.nlm.nih.gov/29775694" TargetMode="External"/><Relationship Id="rId4471" Type="http://schemas.openxmlformats.org/officeDocument/2006/relationships/hyperlink" Target="https://pubmed.ncbi.nlm.nih.gov/25915567" TargetMode="External"/><Relationship Id="rId4470" Type="http://schemas.openxmlformats.org/officeDocument/2006/relationships/hyperlink" Target="https://pubmed.ncbi.nlm.nih.gov/25918230" TargetMode="External"/><Relationship Id="rId3142" Type="http://schemas.openxmlformats.org/officeDocument/2006/relationships/hyperlink" Target="https://pubmed.ncbi.nlm.nih.gov/29940417" TargetMode="External"/><Relationship Id="rId4473" Type="http://schemas.openxmlformats.org/officeDocument/2006/relationships/hyperlink" Target="https://pubmed.ncbi.nlm.nih.gov/25908184" TargetMode="External"/><Relationship Id="rId3141" Type="http://schemas.openxmlformats.org/officeDocument/2006/relationships/hyperlink" Target="https://pubmed.ncbi.nlm.nih.gov/29916723" TargetMode="External"/><Relationship Id="rId4472" Type="http://schemas.openxmlformats.org/officeDocument/2006/relationships/hyperlink" Target="https://pubmed.ncbi.nlm.nih.gov/25912621" TargetMode="External"/><Relationship Id="rId3144" Type="http://schemas.openxmlformats.org/officeDocument/2006/relationships/hyperlink" Target="https://pubmed.ncbi.nlm.nih.gov/29759590" TargetMode="External"/><Relationship Id="rId4475" Type="http://schemas.openxmlformats.org/officeDocument/2006/relationships/hyperlink" Target="https://pubmed.ncbi.nlm.nih.gov/25937816" TargetMode="External"/><Relationship Id="rId3143" Type="http://schemas.openxmlformats.org/officeDocument/2006/relationships/hyperlink" Target="https://pubmed.ncbi.nlm.nih.gov/29914545" TargetMode="External"/><Relationship Id="rId4474" Type="http://schemas.openxmlformats.org/officeDocument/2006/relationships/hyperlink" Target="https://pubmed.ncbi.nlm.nih.gov/25911643" TargetMode="External"/><Relationship Id="rId3146" Type="http://schemas.openxmlformats.org/officeDocument/2006/relationships/hyperlink" Target="https://pubmed.ncbi.nlm.nih.gov/29902975" TargetMode="External"/><Relationship Id="rId4477" Type="http://schemas.openxmlformats.org/officeDocument/2006/relationships/hyperlink" Target="https://pubmed.ncbi.nlm.nih.gov/25975494" TargetMode="External"/><Relationship Id="rId3145" Type="http://schemas.openxmlformats.org/officeDocument/2006/relationships/hyperlink" Target="https://pubmed.ncbi.nlm.nih.gov/29324986" TargetMode="External"/><Relationship Id="rId4476" Type="http://schemas.openxmlformats.org/officeDocument/2006/relationships/hyperlink" Target="https://pubmed.ncbi.nlm.nih.gov/25911505" TargetMode="External"/><Relationship Id="rId3148" Type="http://schemas.openxmlformats.org/officeDocument/2006/relationships/hyperlink" Target="https://pubmed.ncbi.nlm.nih.gov/29907579" TargetMode="External"/><Relationship Id="rId4479" Type="http://schemas.openxmlformats.org/officeDocument/2006/relationships/hyperlink" Target="https://pubmed.ncbi.nlm.nih.gov/25907522" TargetMode="External"/><Relationship Id="rId3147" Type="http://schemas.openxmlformats.org/officeDocument/2006/relationships/hyperlink" Target="https://pubmed.ncbi.nlm.nih.gov/29907577" TargetMode="External"/><Relationship Id="rId4478" Type="http://schemas.openxmlformats.org/officeDocument/2006/relationships/hyperlink" Target="https://pubmed.ncbi.nlm.nih.gov/25906364" TargetMode="External"/><Relationship Id="rId3171" Type="http://schemas.openxmlformats.org/officeDocument/2006/relationships/hyperlink" Target="https://pubmed.ncbi.nlm.nih.gov/29807165" TargetMode="External"/><Relationship Id="rId3170" Type="http://schemas.openxmlformats.org/officeDocument/2006/relationships/hyperlink" Target="https://pubmed.ncbi.nlm.nih.gov/29804065" TargetMode="External"/><Relationship Id="rId3173" Type="http://schemas.openxmlformats.org/officeDocument/2006/relationships/hyperlink" Target="https://pubmed.ncbi.nlm.nih.gov/29802950" TargetMode="External"/><Relationship Id="rId3172" Type="http://schemas.openxmlformats.org/officeDocument/2006/relationships/hyperlink" Target="https://pubmed.ncbi.nlm.nih.gov/29883151" TargetMode="External"/><Relationship Id="rId3175" Type="http://schemas.openxmlformats.org/officeDocument/2006/relationships/hyperlink" Target="https://pubmed.ncbi.nlm.nih.gov/29803591" TargetMode="External"/><Relationship Id="rId3174" Type="http://schemas.openxmlformats.org/officeDocument/2006/relationships/hyperlink" Target="https://pubmed.ncbi.nlm.nih.gov/29802952" TargetMode="External"/><Relationship Id="rId3177" Type="http://schemas.openxmlformats.org/officeDocument/2006/relationships/hyperlink" Target="https://pubmed.ncbi.nlm.nih.gov/29795239" TargetMode="External"/><Relationship Id="rId3176" Type="http://schemas.openxmlformats.org/officeDocument/2006/relationships/hyperlink" Target="https://pubmed.ncbi.nlm.nih.gov/30996666" TargetMode="External"/><Relationship Id="rId3179" Type="http://schemas.openxmlformats.org/officeDocument/2006/relationships/hyperlink" Target="https://pubmed.ncbi.nlm.nih.gov/29864314" TargetMode="External"/><Relationship Id="rId3178" Type="http://schemas.openxmlformats.org/officeDocument/2006/relationships/hyperlink" Target="https://pubmed.ncbi.nlm.nih.gov/29784769" TargetMode="External"/><Relationship Id="rId3160" Type="http://schemas.openxmlformats.org/officeDocument/2006/relationships/hyperlink" Target="https://pubmed.ncbi.nlm.nih.gov/29781558" TargetMode="External"/><Relationship Id="rId4491" Type="http://schemas.openxmlformats.org/officeDocument/2006/relationships/hyperlink" Target="https://pubmed.ncbi.nlm.nih.gov/25661661" TargetMode="External"/><Relationship Id="rId4490" Type="http://schemas.openxmlformats.org/officeDocument/2006/relationships/hyperlink" Target="https://pubmed.ncbi.nlm.nih.gov/25889357" TargetMode="External"/><Relationship Id="rId3162" Type="http://schemas.openxmlformats.org/officeDocument/2006/relationships/hyperlink" Target="https://pubmed.ncbi.nlm.nih.gov/29859532" TargetMode="External"/><Relationship Id="rId4493" Type="http://schemas.openxmlformats.org/officeDocument/2006/relationships/hyperlink" Target="https://pubmed.ncbi.nlm.nih.gov/25858411" TargetMode="External"/><Relationship Id="rId3161" Type="http://schemas.openxmlformats.org/officeDocument/2006/relationships/hyperlink" Target="https://pubmed.ncbi.nlm.nih.gov/29864119" TargetMode="External"/><Relationship Id="rId4492" Type="http://schemas.openxmlformats.org/officeDocument/2006/relationships/hyperlink" Target="https://pubmed.ncbi.nlm.nih.gov/25875773" TargetMode="External"/><Relationship Id="rId3164" Type="http://schemas.openxmlformats.org/officeDocument/2006/relationships/hyperlink" Target="https://pubmed.ncbi.nlm.nih.gov/29315431" TargetMode="External"/><Relationship Id="rId4495" Type="http://schemas.openxmlformats.org/officeDocument/2006/relationships/hyperlink" Target="https://pubmed.ncbi.nlm.nih.gov/25891791" TargetMode="External"/><Relationship Id="rId3163" Type="http://schemas.openxmlformats.org/officeDocument/2006/relationships/hyperlink" Target="https://pubmed.ncbi.nlm.nih.gov/28992275" TargetMode="External"/><Relationship Id="rId4494" Type="http://schemas.openxmlformats.org/officeDocument/2006/relationships/hyperlink" Target="https://pubmed.ncbi.nlm.nih.gov/25855626" TargetMode="External"/><Relationship Id="rId3166" Type="http://schemas.openxmlformats.org/officeDocument/2006/relationships/hyperlink" Target="https://pubmed.ncbi.nlm.nih.gov/29861177" TargetMode="External"/><Relationship Id="rId4497" Type="http://schemas.openxmlformats.org/officeDocument/2006/relationships/hyperlink" Target="https://pubmed.ncbi.nlm.nih.gov/25854966" TargetMode="External"/><Relationship Id="rId3165" Type="http://schemas.openxmlformats.org/officeDocument/2006/relationships/hyperlink" Target="https://pubmed.ncbi.nlm.nih.gov/29784910" TargetMode="External"/><Relationship Id="rId4496" Type="http://schemas.openxmlformats.org/officeDocument/2006/relationships/hyperlink" Target="https://pubmed.ncbi.nlm.nih.gov/25910111" TargetMode="External"/><Relationship Id="rId3168" Type="http://schemas.openxmlformats.org/officeDocument/2006/relationships/hyperlink" Target="https://pubmed.ncbi.nlm.nih.gov/29844013" TargetMode="External"/><Relationship Id="rId4499" Type="http://schemas.openxmlformats.org/officeDocument/2006/relationships/hyperlink" Target="https://pubmed.ncbi.nlm.nih.gov/25862517" TargetMode="External"/><Relationship Id="rId3167" Type="http://schemas.openxmlformats.org/officeDocument/2006/relationships/hyperlink" Target="https://pubmed.ncbi.nlm.nih.gov/29858406" TargetMode="External"/><Relationship Id="rId4498" Type="http://schemas.openxmlformats.org/officeDocument/2006/relationships/hyperlink" Target="https://pubmed.ncbi.nlm.nih.gov/25849847" TargetMode="External"/><Relationship Id="rId3169" Type="http://schemas.openxmlformats.org/officeDocument/2006/relationships/hyperlink" Target="https://pubmed.ncbi.nlm.nih.gov/29898827" TargetMode="External"/><Relationship Id="rId5813" Type="http://schemas.openxmlformats.org/officeDocument/2006/relationships/hyperlink" Target="https://pubmed.ncbi.nlm.nih.gov/15238459" TargetMode="External"/><Relationship Id="rId5814" Type="http://schemas.openxmlformats.org/officeDocument/2006/relationships/hyperlink" Target="https://pubmed.ncbi.nlm.nih.gov/15201555" TargetMode="External"/><Relationship Id="rId5811" Type="http://schemas.openxmlformats.org/officeDocument/2006/relationships/hyperlink" Target="https://pubmed.ncbi.nlm.nih.gov/15270794" TargetMode="External"/><Relationship Id="rId5812" Type="http://schemas.openxmlformats.org/officeDocument/2006/relationships/hyperlink" Target="https://pubmed.ncbi.nlm.nih.gov/15238592" TargetMode="External"/><Relationship Id="rId5817" Type="http://schemas.openxmlformats.org/officeDocument/2006/relationships/hyperlink" Target="https://pubmed.ncbi.nlm.nih.gov/15229200" TargetMode="External"/><Relationship Id="rId5818" Type="http://schemas.openxmlformats.org/officeDocument/2006/relationships/hyperlink" Target="https://pubmed.ncbi.nlm.nih.gov/15246123" TargetMode="External"/><Relationship Id="rId5815" Type="http://schemas.openxmlformats.org/officeDocument/2006/relationships/hyperlink" Target="https://pubmed.ncbi.nlm.nih.gov/15213053" TargetMode="External"/><Relationship Id="rId5816" Type="http://schemas.openxmlformats.org/officeDocument/2006/relationships/hyperlink" Target="https://pubmed.ncbi.nlm.nih.gov/15200983" TargetMode="External"/><Relationship Id="rId5819" Type="http://schemas.openxmlformats.org/officeDocument/2006/relationships/hyperlink" Target="https://pubmed.ncbi.nlm.nih.gov/14973534" TargetMode="External"/><Relationship Id="rId5810" Type="http://schemas.openxmlformats.org/officeDocument/2006/relationships/hyperlink" Target="https://pubmed.ncbi.nlm.nih.gov/15300135" TargetMode="External"/><Relationship Id="rId5802" Type="http://schemas.openxmlformats.org/officeDocument/2006/relationships/hyperlink" Target="https://pubmed.ncbi.nlm.nih.gov/15377839" TargetMode="External"/><Relationship Id="rId5803" Type="http://schemas.openxmlformats.org/officeDocument/2006/relationships/hyperlink" Target="https://pubmed.ncbi.nlm.nih.gov/15308964" TargetMode="External"/><Relationship Id="rId5800" Type="http://schemas.openxmlformats.org/officeDocument/2006/relationships/hyperlink" Target="https://pubmed.ncbi.nlm.nih.gov/15467074" TargetMode="External"/><Relationship Id="rId5801" Type="http://schemas.openxmlformats.org/officeDocument/2006/relationships/hyperlink" Target="https://pubmed.ncbi.nlm.nih.gov/15301899" TargetMode="External"/><Relationship Id="rId5806" Type="http://schemas.openxmlformats.org/officeDocument/2006/relationships/hyperlink" Target="https://pubmed.ncbi.nlm.nih.gov/15333770" TargetMode="External"/><Relationship Id="rId5807" Type="http://schemas.openxmlformats.org/officeDocument/2006/relationships/hyperlink" Target="https://pubmed.ncbi.nlm.nih.gov/15331793" TargetMode="External"/><Relationship Id="rId5804" Type="http://schemas.openxmlformats.org/officeDocument/2006/relationships/hyperlink" Target="https://pubmed.ncbi.nlm.nih.gov/16701652" TargetMode="External"/><Relationship Id="rId5805" Type="http://schemas.openxmlformats.org/officeDocument/2006/relationships/hyperlink" Target="https://pubmed.ncbi.nlm.nih.gov/15504630" TargetMode="External"/><Relationship Id="rId5808" Type="http://schemas.openxmlformats.org/officeDocument/2006/relationships/hyperlink" Target="https://pubmed.ncbi.nlm.nih.gov/15297305" TargetMode="External"/><Relationship Id="rId5809" Type="http://schemas.openxmlformats.org/officeDocument/2006/relationships/hyperlink" Target="https://pubmed.ncbi.nlm.nih.gov/14961062" TargetMode="External"/><Relationship Id="rId4503" Type="http://schemas.openxmlformats.org/officeDocument/2006/relationships/hyperlink" Target="https://pubmed.ncbi.nlm.nih.gov/25833117" TargetMode="External"/><Relationship Id="rId5835" Type="http://schemas.openxmlformats.org/officeDocument/2006/relationships/hyperlink" Target="https://pubmed.ncbi.nlm.nih.gov/14736581" TargetMode="External"/><Relationship Id="rId4502" Type="http://schemas.openxmlformats.org/officeDocument/2006/relationships/hyperlink" Target="https://pubmed.ncbi.nlm.nih.gov/25830421" TargetMode="External"/><Relationship Id="rId5836" Type="http://schemas.openxmlformats.org/officeDocument/2006/relationships/hyperlink" Target="https://pubmed.ncbi.nlm.nih.gov/14749235" TargetMode="External"/><Relationship Id="rId4505" Type="http://schemas.openxmlformats.org/officeDocument/2006/relationships/hyperlink" Target="https://pubmed.ncbi.nlm.nih.gov/25846665" TargetMode="External"/><Relationship Id="rId5833" Type="http://schemas.openxmlformats.org/officeDocument/2006/relationships/hyperlink" Target="https://pubmed.ncbi.nlm.nih.gov/14764931" TargetMode="External"/><Relationship Id="rId4504" Type="http://schemas.openxmlformats.org/officeDocument/2006/relationships/hyperlink" Target="https://pubmed.ncbi.nlm.nih.gov/25764097" TargetMode="External"/><Relationship Id="rId5834" Type="http://schemas.openxmlformats.org/officeDocument/2006/relationships/hyperlink" Target="https://pubmed.ncbi.nlm.nih.gov/14872408" TargetMode="External"/><Relationship Id="rId4507" Type="http://schemas.openxmlformats.org/officeDocument/2006/relationships/hyperlink" Target="https://pubmed.ncbi.nlm.nih.gov/25688936" TargetMode="External"/><Relationship Id="rId5839" Type="http://schemas.openxmlformats.org/officeDocument/2006/relationships/hyperlink" Target="https://pubmed.ncbi.nlm.nih.gov/14739310" TargetMode="External"/><Relationship Id="rId4506" Type="http://schemas.openxmlformats.org/officeDocument/2006/relationships/hyperlink" Target="https://pubmed.ncbi.nlm.nih.gov/25889945" TargetMode="External"/><Relationship Id="rId4509" Type="http://schemas.openxmlformats.org/officeDocument/2006/relationships/hyperlink" Target="https://pubmed.ncbi.nlm.nih.gov/25805864" TargetMode="External"/><Relationship Id="rId5837" Type="http://schemas.openxmlformats.org/officeDocument/2006/relationships/hyperlink" Target="https://pubmed.ncbi.nlm.nih.gov/14745067" TargetMode="External"/><Relationship Id="rId4508" Type="http://schemas.openxmlformats.org/officeDocument/2006/relationships/hyperlink" Target="https://pubmed.ncbi.nlm.nih.gov/25935711" TargetMode="External"/><Relationship Id="rId5838" Type="http://schemas.openxmlformats.org/officeDocument/2006/relationships/hyperlink" Target="https://pubmed.ncbi.nlm.nih.gov/15005813" TargetMode="External"/><Relationship Id="rId5831" Type="http://schemas.openxmlformats.org/officeDocument/2006/relationships/hyperlink" Target="https://pubmed.ncbi.nlm.nih.gov/14963273" TargetMode="External"/><Relationship Id="rId5832" Type="http://schemas.openxmlformats.org/officeDocument/2006/relationships/hyperlink" Target="https://pubmed.ncbi.nlm.nih.gov/14696131" TargetMode="External"/><Relationship Id="rId4501" Type="http://schemas.openxmlformats.org/officeDocument/2006/relationships/hyperlink" Target="https://pubmed.ncbi.nlm.nih.gov/25899919" TargetMode="External"/><Relationship Id="rId4500" Type="http://schemas.openxmlformats.org/officeDocument/2006/relationships/hyperlink" Target="https://pubmed.ncbi.nlm.nih.gov/25851993" TargetMode="External"/><Relationship Id="rId5830" Type="http://schemas.openxmlformats.org/officeDocument/2006/relationships/hyperlink" Target="https://pubmed.ncbi.nlm.nih.gov/15037410" TargetMode="External"/><Relationship Id="rId5824" Type="http://schemas.openxmlformats.org/officeDocument/2006/relationships/hyperlink" Target="https://pubmed.ncbi.nlm.nih.gov/15078796" TargetMode="External"/><Relationship Id="rId5825" Type="http://schemas.openxmlformats.org/officeDocument/2006/relationships/hyperlink" Target="https://pubmed.ncbi.nlm.nih.gov/15069116" TargetMode="External"/><Relationship Id="rId5822" Type="http://schemas.openxmlformats.org/officeDocument/2006/relationships/hyperlink" Target="https://pubmed.ncbi.nlm.nih.gov/15163254" TargetMode="External"/><Relationship Id="rId5823" Type="http://schemas.openxmlformats.org/officeDocument/2006/relationships/hyperlink" Target="https://pubmed.ncbi.nlm.nih.gov/15096452" TargetMode="External"/><Relationship Id="rId5828" Type="http://schemas.openxmlformats.org/officeDocument/2006/relationships/hyperlink" Target="https://pubmed.ncbi.nlm.nih.gov/15036252" TargetMode="External"/><Relationship Id="rId5829" Type="http://schemas.openxmlformats.org/officeDocument/2006/relationships/hyperlink" Target="https://pubmed.ncbi.nlm.nih.gov/14981027" TargetMode="External"/><Relationship Id="rId5826" Type="http://schemas.openxmlformats.org/officeDocument/2006/relationships/hyperlink" Target="https://pubmed.ncbi.nlm.nih.gov/15064114" TargetMode="External"/><Relationship Id="rId5827" Type="http://schemas.openxmlformats.org/officeDocument/2006/relationships/hyperlink" Target="https://pubmed.ncbi.nlm.nih.gov/15090724" TargetMode="External"/><Relationship Id="rId5820" Type="http://schemas.openxmlformats.org/officeDocument/2006/relationships/hyperlink" Target="https://pubmed.ncbi.nlm.nih.gov/15143289" TargetMode="External"/><Relationship Id="rId5821" Type="http://schemas.openxmlformats.org/officeDocument/2006/relationships/hyperlink" Target="https://pubmed.ncbi.nlm.nih.gov/15089797" TargetMode="External"/><Relationship Id="rId3238" Type="http://schemas.openxmlformats.org/officeDocument/2006/relationships/hyperlink" Target="https://pubmed.ncbi.nlm.nih.gov/28645206" TargetMode="External"/><Relationship Id="rId4569" Type="http://schemas.openxmlformats.org/officeDocument/2006/relationships/hyperlink" Target="https://pubmed.ncbi.nlm.nih.gov/26106556" TargetMode="External"/><Relationship Id="rId3237" Type="http://schemas.openxmlformats.org/officeDocument/2006/relationships/hyperlink" Target="https://pubmed.ncbi.nlm.nih.gov/28852913" TargetMode="External"/><Relationship Id="rId4568" Type="http://schemas.openxmlformats.org/officeDocument/2006/relationships/hyperlink" Target="https://pubmed.ncbi.nlm.nih.gov/25665808" TargetMode="External"/><Relationship Id="rId5899" Type="http://schemas.openxmlformats.org/officeDocument/2006/relationships/hyperlink" Target="https://pubmed.ncbi.nlm.nih.gov/12569262" TargetMode="External"/><Relationship Id="rId3239" Type="http://schemas.openxmlformats.org/officeDocument/2006/relationships/hyperlink" Target="https://pubmed.ncbi.nlm.nih.gov/29735194" TargetMode="External"/><Relationship Id="rId5890" Type="http://schemas.openxmlformats.org/officeDocument/2006/relationships/hyperlink" Target="https://pubmed.ncbi.nlm.nih.gov/12814209" TargetMode="External"/><Relationship Id="rId3230" Type="http://schemas.openxmlformats.org/officeDocument/2006/relationships/hyperlink" Target="https://pubmed.ncbi.nlm.nih.gov/29637664" TargetMode="External"/><Relationship Id="rId4561" Type="http://schemas.openxmlformats.org/officeDocument/2006/relationships/hyperlink" Target="https://pubmed.ncbi.nlm.nih.gov/25817942" TargetMode="External"/><Relationship Id="rId5893" Type="http://schemas.openxmlformats.org/officeDocument/2006/relationships/hyperlink" Target="https://pubmed.ncbi.nlm.nih.gov/12637306" TargetMode="External"/><Relationship Id="rId4560" Type="http://schemas.openxmlformats.org/officeDocument/2006/relationships/hyperlink" Target="https://pubmed.ncbi.nlm.nih.gov/25774378" TargetMode="External"/><Relationship Id="rId5894" Type="http://schemas.openxmlformats.org/officeDocument/2006/relationships/hyperlink" Target="https://pubmed.ncbi.nlm.nih.gov/12660662" TargetMode="External"/><Relationship Id="rId3232" Type="http://schemas.openxmlformats.org/officeDocument/2006/relationships/hyperlink" Target="https://pubmed.ncbi.nlm.nih.gov/29468770" TargetMode="External"/><Relationship Id="rId4563" Type="http://schemas.openxmlformats.org/officeDocument/2006/relationships/hyperlink" Target="https://pubmed.ncbi.nlm.nih.gov/25884440" TargetMode="External"/><Relationship Id="rId5891" Type="http://schemas.openxmlformats.org/officeDocument/2006/relationships/hyperlink" Target="https://pubmed.ncbi.nlm.nih.gov/12648881" TargetMode="External"/><Relationship Id="rId3231" Type="http://schemas.openxmlformats.org/officeDocument/2006/relationships/hyperlink" Target="https://pubmed.ncbi.nlm.nih.gov/29633784" TargetMode="External"/><Relationship Id="rId4562" Type="http://schemas.openxmlformats.org/officeDocument/2006/relationships/hyperlink" Target="https://pubmed.ncbi.nlm.nih.gov/25557932" TargetMode="External"/><Relationship Id="rId5892" Type="http://schemas.openxmlformats.org/officeDocument/2006/relationships/hyperlink" Target="https://pubmed.ncbi.nlm.nih.gov/12623911" TargetMode="External"/><Relationship Id="rId3234" Type="http://schemas.openxmlformats.org/officeDocument/2006/relationships/hyperlink" Target="https://pubmed.ncbi.nlm.nih.gov/29045644" TargetMode="External"/><Relationship Id="rId4565" Type="http://schemas.openxmlformats.org/officeDocument/2006/relationships/hyperlink" Target="https://pubmed.ncbi.nlm.nih.gov/25885455" TargetMode="External"/><Relationship Id="rId5897" Type="http://schemas.openxmlformats.org/officeDocument/2006/relationships/hyperlink" Target="https://pubmed.ncbi.nlm.nih.gov/12606890" TargetMode="External"/><Relationship Id="rId3233" Type="http://schemas.openxmlformats.org/officeDocument/2006/relationships/hyperlink" Target="https://pubmed.ncbi.nlm.nih.gov/29630451" TargetMode="External"/><Relationship Id="rId4564" Type="http://schemas.openxmlformats.org/officeDocument/2006/relationships/hyperlink" Target="https://pubmed.ncbi.nlm.nih.gov/25673413" TargetMode="External"/><Relationship Id="rId5898" Type="http://schemas.openxmlformats.org/officeDocument/2006/relationships/hyperlink" Target="https://pubmed.ncbi.nlm.nih.gov/12642975" TargetMode="External"/><Relationship Id="rId3236" Type="http://schemas.openxmlformats.org/officeDocument/2006/relationships/hyperlink" Target="https://pubmed.ncbi.nlm.nih.gov/29615487" TargetMode="External"/><Relationship Id="rId4567" Type="http://schemas.openxmlformats.org/officeDocument/2006/relationships/hyperlink" Target="https://pubmed.ncbi.nlm.nih.gov/25838792" TargetMode="External"/><Relationship Id="rId5895" Type="http://schemas.openxmlformats.org/officeDocument/2006/relationships/hyperlink" Target="https://pubmed.ncbi.nlm.nih.gov/12871447" TargetMode="External"/><Relationship Id="rId3235" Type="http://schemas.openxmlformats.org/officeDocument/2006/relationships/hyperlink" Target="https://pubmed.ncbi.nlm.nih.gov/29622600" TargetMode="External"/><Relationship Id="rId4566" Type="http://schemas.openxmlformats.org/officeDocument/2006/relationships/hyperlink" Target="https://pubmed.ncbi.nlm.nih.gov/25757366" TargetMode="External"/><Relationship Id="rId5896" Type="http://schemas.openxmlformats.org/officeDocument/2006/relationships/hyperlink" Target="https://pubmed.ncbi.nlm.nih.gov/12615839" TargetMode="External"/><Relationship Id="rId3227" Type="http://schemas.openxmlformats.org/officeDocument/2006/relationships/hyperlink" Target="https://pubmed.ncbi.nlm.nih.gov/29664587" TargetMode="External"/><Relationship Id="rId4558" Type="http://schemas.openxmlformats.org/officeDocument/2006/relationships/hyperlink" Target="https://pubmed.ncbi.nlm.nih.gov/31546310" TargetMode="External"/><Relationship Id="rId3226" Type="http://schemas.openxmlformats.org/officeDocument/2006/relationships/hyperlink" Target="https://pubmed.ncbi.nlm.nih.gov/29649236" TargetMode="External"/><Relationship Id="rId4557" Type="http://schemas.openxmlformats.org/officeDocument/2006/relationships/hyperlink" Target="https://pubmed.ncbi.nlm.nih.gov/25838793" TargetMode="External"/><Relationship Id="rId3229" Type="http://schemas.openxmlformats.org/officeDocument/2006/relationships/hyperlink" Target="https://pubmed.ncbi.nlm.nih.gov/31009022" TargetMode="External"/><Relationship Id="rId5888" Type="http://schemas.openxmlformats.org/officeDocument/2006/relationships/hyperlink" Target="https://pubmed.ncbi.nlm.nih.gov/12663283" TargetMode="External"/><Relationship Id="rId3228" Type="http://schemas.openxmlformats.org/officeDocument/2006/relationships/hyperlink" Target="https://pubmed.ncbi.nlm.nih.gov/29880145" TargetMode="External"/><Relationship Id="rId4559" Type="http://schemas.openxmlformats.org/officeDocument/2006/relationships/hyperlink" Target="https://pubmed.ncbi.nlm.nih.gov/25728442" TargetMode="External"/><Relationship Id="rId5889" Type="http://schemas.openxmlformats.org/officeDocument/2006/relationships/hyperlink" Target="https://pubmed.ncbi.nlm.nih.gov/12651792" TargetMode="External"/><Relationship Id="rId4550" Type="http://schemas.openxmlformats.org/officeDocument/2006/relationships/hyperlink" Target="https://pubmed.ncbi.nlm.nih.gov/25838796" TargetMode="External"/><Relationship Id="rId5882" Type="http://schemas.openxmlformats.org/officeDocument/2006/relationships/hyperlink" Target="https://pubmed.ncbi.nlm.nih.gov/12756191" TargetMode="External"/><Relationship Id="rId5883" Type="http://schemas.openxmlformats.org/officeDocument/2006/relationships/hyperlink" Target="https://pubmed.ncbi.nlm.nih.gov/12778067" TargetMode="External"/><Relationship Id="rId3221" Type="http://schemas.openxmlformats.org/officeDocument/2006/relationships/hyperlink" Target="https://pubmed.ncbi.nlm.nih.gov/29669564" TargetMode="External"/><Relationship Id="rId4552" Type="http://schemas.openxmlformats.org/officeDocument/2006/relationships/hyperlink" Target="https://pubmed.ncbi.nlm.nih.gov/25701017" TargetMode="External"/><Relationship Id="rId5880" Type="http://schemas.openxmlformats.org/officeDocument/2006/relationships/hyperlink" Target="https://pubmed.ncbi.nlm.nih.gov/12782754" TargetMode="External"/><Relationship Id="rId3220" Type="http://schemas.openxmlformats.org/officeDocument/2006/relationships/hyperlink" Target="https://pubmed.ncbi.nlm.nih.gov/29674483" TargetMode="External"/><Relationship Id="rId4551" Type="http://schemas.openxmlformats.org/officeDocument/2006/relationships/hyperlink" Target="https://pubmed.ncbi.nlm.nih.gov/25763955" TargetMode="External"/><Relationship Id="rId5881" Type="http://schemas.openxmlformats.org/officeDocument/2006/relationships/hyperlink" Target="https://pubmed.ncbi.nlm.nih.gov/12753943" TargetMode="External"/><Relationship Id="rId3223" Type="http://schemas.openxmlformats.org/officeDocument/2006/relationships/hyperlink" Target="https://pubmed.ncbi.nlm.nih.gov/29464832" TargetMode="External"/><Relationship Id="rId4554" Type="http://schemas.openxmlformats.org/officeDocument/2006/relationships/hyperlink" Target="https://pubmed.ncbi.nlm.nih.gov/25838794" TargetMode="External"/><Relationship Id="rId5886" Type="http://schemas.openxmlformats.org/officeDocument/2006/relationships/hyperlink" Target="https://pubmed.ncbi.nlm.nih.gov/12690221" TargetMode="External"/><Relationship Id="rId3222" Type="http://schemas.openxmlformats.org/officeDocument/2006/relationships/hyperlink" Target="https://pubmed.ncbi.nlm.nih.gov/29667109" TargetMode="External"/><Relationship Id="rId4553" Type="http://schemas.openxmlformats.org/officeDocument/2006/relationships/hyperlink" Target="https://pubmed.ncbi.nlm.nih.gov/25704427" TargetMode="External"/><Relationship Id="rId5887" Type="http://schemas.openxmlformats.org/officeDocument/2006/relationships/hyperlink" Target="https://pubmed.ncbi.nlm.nih.gov/12639495" TargetMode="External"/><Relationship Id="rId3225" Type="http://schemas.openxmlformats.org/officeDocument/2006/relationships/hyperlink" Target="https://pubmed.ncbi.nlm.nih.gov/29676281" TargetMode="External"/><Relationship Id="rId4556" Type="http://schemas.openxmlformats.org/officeDocument/2006/relationships/hyperlink" Target="https://pubmed.ncbi.nlm.nih.gov/25694654" TargetMode="External"/><Relationship Id="rId5884" Type="http://schemas.openxmlformats.org/officeDocument/2006/relationships/hyperlink" Target="https://pubmed.ncbi.nlm.nih.gov/12713450" TargetMode="External"/><Relationship Id="rId3224" Type="http://schemas.openxmlformats.org/officeDocument/2006/relationships/hyperlink" Target="https://pubmed.ncbi.nlm.nih.gov/31245582" TargetMode="External"/><Relationship Id="rId4555" Type="http://schemas.openxmlformats.org/officeDocument/2006/relationships/hyperlink" Target="https://pubmed.ncbi.nlm.nih.gov/25694607" TargetMode="External"/><Relationship Id="rId5885" Type="http://schemas.openxmlformats.org/officeDocument/2006/relationships/hyperlink" Target="https://pubmed.ncbi.nlm.nih.gov/12697573" TargetMode="External"/><Relationship Id="rId3259" Type="http://schemas.openxmlformats.org/officeDocument/2006/relationships/hyperlink" Target="https://pubmed.ncbi.nlm.nih.gov/29548986" TargetMode="External"/><Relationship Id="rId3250" Type="http://schemas.openxmlformats.org/officeDocument/2006/relationships/hyperlink" Target="https://pubmed.ncbi.nlm.nih.gov/29471587" TargetMode="External"/><Relationship Id="rId4581" Type="http://schemas.openxmlformats.org/officeDocument/2006/relationships/hyperlink" Target="https://pubmed.ncbi.nlm.nih.gov/25637171" TargetMode="External"/><Relationship Id="rId4580" Type="http://schemas.openxmlformats.org/officeDocument/2006/relationships/hyperlink" Target="https://pubmed.ncbi.nlm.nih.gov/25624309" TargetMode="External"/><Relationship Id="rId3252" Type="http://schemas.openxmlformats.org/officeDocument/2006/relationships/hyperlink" Target="https://pubmed.ncbi.nlm.nih.gov/29571288" TargetMode="External"/><Relationship Id="rId4583" Type="http://schemas.openxmlformats.org/officeDocument/2006/relationships/hyperlink" Target="https://pubmed.ncbi.nlm.nih.gov/25703213" TargetMode="External"/><Relationship Id="rId3251" Type="http://schemas.openxmlformats.org/officeDocument/2006/relationships/hyperlink" Target="https://pubmed.ncbi.nlm.nih.gov/29581056" TargetMode="External"/><Relationship Id="rId4582" Type="http://schemas.openxmlformats.org/officeDocument/2006/relationships/hyperlink" Target="https://pubmed.ncbi.nlm.nih.gov/25636369" TargetMode="External"/><Relationship Id="rId3254" Type="http://schemas.openxmlformats.org/officeDocument/2006/relationships/hyperlink" Target="https://pubmed.ncbi.nlm.nih.gov/29561866" TargetMode="External"/><Relationship Id="rId4585" Type="http://schemas.openxmlformats.org/officeDocument/2006/relationships/hyperlink" Target="https://pubmed.ncbi.nlm.nih.gov/25670232" TargetMode="External"/><Relationship Id="rId3253" Type="http://schemas.openxmlformats.org/officeDocument/2006/relationships/hyperlink" Target="https://pubmed.ncbi.nlm.nih.gov/30996658" TargetMode="External"/><Relationship Id="rId4584" Type="http://schemas.openxmlformats.org/officeDocument/2006/relationships/hyperlink" Target="https://pubmed.ncbi.nlm.nih.gov/25630339" TargetMode="External"/><Relationship Id="rId3256" Type="http://schemas.openxmlformats.org/officeDocument/2006/relationships/hyperlink" Target="https://pubmed.ncbi.nlm.nih.gov/29549418" TargetMode="External"/><Relationship Id="rId4587" Type="http://schemas.openxmlformats.org/officeDocument/2006/relationships/hyperlink" Target="https://pubmed.ncbi.nlm.nih.gov/25622035" TargetMode="External"/><Relationship Id="rId3255" Type="http://schemas.openxmlformats.org/officeDocument/2006/relationships/hyperlink" Target="https://pubmed.ncbi.nlm.nih.gov/29558890" TargetMode="External"/><Relationship Id="rId4586" Type="http://schemas.openxmlformats.org/officeDocument/2006/relationships/hyperlink" Target="https://pubmed.ncbi.nlm.nih.gov/25624341" TargetMode="External"/><Relationship Id="rId3258" Type="http://schemas.openxmlformats.org/officeDocument/2006/relationships/hyperlink" Target="https://pubmed.ncbi.nlm.nih.gov/29565011" TargetMode="External"/><Relationship Id="rId4589" Type="http://schemas.openxmlformats.org/officeDocument/2006/relationships/hyperlink" Target="https://pubmed.ncbi.nlm.nih.gov/25616486" TargetMode="External"/><Relationship Id="rId3257" Type="http://schemas.openxmlformats.org/officeDocument/2006/relationships/hyperlink" Target="https://pubmed.ncbi.nlm.nih.gov/29549089" TargetMode="External"/><Relationship Id="rId4588" Type="http://schemas.openxmlformats.org/officeDocument/2006/relationships/hyperlink" Target="https://pubmed.ncbi.nlm.nih.gov/25612795" TargetMode="External"/><Relationship Id="rId3249" Type="http://schemas.openxmlformats.org/officeDocument/2006/relationships/hyperlink" Target="https://pubmed.ncbi.nlm.nih.gov/29580772" TargetMode="External"/><Relationship Id="rId3248" Type="http://schemas.openxmlformats.org/officeDocument/2006/relationships/hyperlink" Target="https://pubmed.ncbi.nlm.nih.gov/29581204" TargetMode="External"/><Relationship Id="rId4579" Type="http://schemas.openxmlformats.org/officeDocument/2006/relationships/hyperlink" Target="https://pubmed.ncbi.nlm.nih.gov/25579640" TargetMode="External"/><Relationship Id="rId4570" Type="http://schemas.openxmlformats.org/officeDocument/2006/relationships/hyperlink" Target="https://pubmed.ncbi.nlm.nih.gov/25598323" TargetMode="External"/><Relationship Id="rId3241" Type="http://schemas.openxmlformats.org/officeDocument/2006/relationships/hyperlink" Target="https://pubmed.ncbi.nlm.nih.gov/29244153" TargetMode="External"/><Relationship Id="rId4572" Type="http://schemas.openxmlformats.org/officeDocument/2006/relationships/hyperlink" Target="https://pubmed.ncbi.nlm.nih.gov/25687271" TargetMode="External"/><Relationship Id="rId3240" Type="http://schemas.openxmlformats.org/officeDocument/2006/relationships/hyperlink" Target="https://pubmed.ncbi.nlm.nih.gov/29618527" TargetMode="External"/><Relationship Id="rId4571" Type="http://schemas.openxmlformats.org/officeDocument/2006/relationships/hyperlink" Target="https://pubmed.ncbi.nlm.nih.gov/25586171" TargetMode="External"/><Relationship Id="rId3243" Type="http://schemas.openxmlformats.org/officeDocument/2006/relationships/hyperlink" Target="https://pubmed.ncbi.nlm.nih.gov/29505098" TargetMode="External"/><Relationship Id="rId4574" Type="http://schemas.openxmlformats.org/officeDocument/2006/relationships/hyperlink" Target="https://pubmed.ncbi.nlm.nih.gov/25658976" TargetMode="External"/><Relationship Id="rId3242" Type="http://schemas.openxmlformats.org/officeDocument/2006/relationships/hyperlink" Target="https://pubmed.ncbi.nlm.nih.gov/29602822" TargetMode="External"/><Relationship Id="rId4573" Type="http://schemas.openxmlformats.org/officeDocument/2006/relationships/hyperlink" Target="https://pubmed.ncbi.nlm.nih.gov/25658630" TargetMode="External"/><Relationship Id="rId3245" Type="http://schemas.openxmlformats.org/officeDocument/2006/relationships/hyperlink" Target="https://pubmed.ncbi.nlm.nih.gov/29602615" TargetMode="External"/><Relationship Id="rId4576" Type="http://schemas.openxmlformats.org/officeDocument/2006/relationships/hyperlink" Target="https://pubmed.ncbi.nlm.nih.gov/25744133" TargetMode="External"/><Relationship Id="rId3244" Type="http://schemas.openxmlformats.org/officeDocument/2006/relationships/hyperlink" Target="https://pubmed.ncbi.nlm.nih.gov/29573654" TargetMode="External"/><Relationship Id="rId4575" Type="http://schemas.openxmlformats.org/officeDocument/2006/relationships/hyperlink" Target="https://pubmed.ncbi.nlm.nih.gov/25660575" TargetMode="External"/><Relationship Id="rId3247" Type="http://schemas.openxmlformats.org/officeDocument/2006/relationships/hyperlink" Target="https://pubmed.ncbi.nlm.nih.gov/29598923" TargetMode="External"/><Relationship Id="rId4578" Type="http://schemas.openxmlformats.org/officeDocument/2006/relationships/hyperlink" Target="https://pubmed.ncbi.nlm.nih.gov/25753071" TargetMode="External"/><Relationship Id="rId3246" Type="http://schemas.openxmlformats.org/officeDocument/2006/relationships/hyperlink" Target="https://pubmed.ncbi.nlm.nih.gov/29587776" TargetMode="External"/><Relationship Id="rId4577" Type="http://schemas.openxmlformats.org/officeDocument/2006/relationships/hyperlink" Target="https://pubmed.ncbi.nlm.nih.gov/25662427" TargetMode="External"/><Relationship Id="rId4525" Type="http://schemas.openxmlformats.org/officeDocument/2006/relationships/hyperlink" Target="https://pubmed.ncbi.nlm.nih.gov/25783421" TargetMode="External"/><Relationship Id="rId5857" Type="http://schemas.openxmlformats.org/officeDocument/2006/relationships/hyperlink" Target="https://pubmed.ncbi.nlm.nih.gov/14551147" TargetMode="External"/><Relationship Id="rId4524" Type="http://schemas.openxmlformats.org/officeDocument/2006/relationships/hyperlink" Target="https://pubmed.ncbi.nlm.nih.gov/25794600" TargetMode="External"/><Relationship Id="rId5858" Type="http://schemas.openxmlformats.org/officeDocument/2006/relationships/hyperlink" Target="https://pubmed.ncbi.nlm.nih.gov/14568633" TargetMode="External"/><Relationship Id="rId4527" Type="http://schemas.openxmlformats.org/officeDocument/2006/relationships/hyperlink" Target="https://pubmed.ncbi.nlm.nih.gov/25773934" TargetMode="External"/><Relationship Id="rId5855" Type="http://schemas.openxmlformats.org/officeDocument/2006/relationships/hyperlink" Target="https://pubmed.ncbi.nlm.nih.gov/14602729" TargetMode="External"/><Relationship Id="rId4526" Type="http://schemas.openxmlformats.org/officeDocument/2006/relationships/hyperlink" Target="https://pubmed.ncbi.nlm.nih.gov/25779698" TargetMode="External"/><Relationship Id="rId5856" Type="http://schemas.openxmlformats.org/officeDocument/2006/relationships/hyperlink" Target="https://pubmed.ncbi.nlm.nih.gov/14566455" TargetMode="External"/><Relationship Id="rId4529" Type="http://schemas.openxmlformats.org/officeDocument/2006/relationships/hyperlink" Target="https://pubmed.ncbi.nlm.nih.gov/25762411" TargetMode="External"/><Relationship Id="rId4528" Type="http://schemas.openxmlformats.org/officeDocument/2006/relationships/hyperlink" Target="https://pubmed.ncbi.nlm.nih.gov/25838797" TargetMode="External"/><Relationship Id="rId5859" Type="http://schemas.openxmlformats.org/officeDocument/2006/relationships/hyperlink" Target="https://pubmed.ncbi.nlm.nih.gov/14560229" TargetMode="External"/><Relationship Id="rId5850" Type="http://schemas.openxmlformats.org/officeDocument/2006/relationships/hyperlink" Target="https://pubmed.ncbi.nlm.nih.gov/14631091" TargetMode="External"/><Relationship Id="rId4521" Type="http://schemas.openxmlformats.org/officeDocument/2006/relationships/hyperlink" Target="https://pubmed.ncbi.nlm.nih.gov/25885282" TargetMode="External"/><Relationship Id="rId5853" Type="http://schemas.openxmlformats.org/officeDocument/2006/relationships/hyperlink" Target="https://pubmed.ncbi.nlm.nih.gov/14597845" TargetMode="External"/><Relationship Id="rId4520" Type="http://schemas.openxmlformats.org/officeDocument/2006/relationships/hyperlink" Target="https://pubmed.ncbi.nlm.nih.gov/25804924" TargetMode="External"/><Relationship Id="rId5854" Type="http://schemas.openxmlformats.org/officeDocument/2006/relationships/hyperlink" Target="https://pubmed.ncbi.nlm.nih.gov/14652280" TargetMode="External"/><Relationship Id="rId4523" Type="http://schemas.openxmlformats.org/officeDocument/2006/relationships/hyperlink" Target="https://pubmed.ncbi.nlm.nih.gov/25785969" TargetMode="External"/><Relationship Id="rId5851" Type="http://schemas.openxmlformats.org/officeDocument/2006/relationships/hyperlink" Target="https://pubmed.ncbi.nlm.nih.gov/14615619" TargetMode="External"/><Relationship Id="rId4522" Type="http://schemas.openxmlformats.org/officeDocument/2006/relationships/hyperlink" Target="https://pubmed.ncbi.nlm.nih.gov/25793517" TargetMode="External"/><Relationship Id="rId5852" Type="http://schemas.openxmlformats.org/officeDocument/2006/relationships/hyperlink" Target="https://pubmed.ncbi.nlm.nih.gov/14574350" TargetMode="External"/><Relationship Id="rId4514" Type="http://schemas.openxmlformats.org/officeDocument/2006/relationships/hyperlink" Target="https://pubmed.ncbi.nlm.nih.gov/25910909" TargetMode="External"/><Relationship Id="rId5846" Type="http://schemas.openxmlformats.org/officeDocument/2006/relationships/hyperlink" Target="https://pubmed.ncbi.nlm.nih.gov/14656732" TargetMode="External"/><Relationship Id="rId4513" Type="http://schemas.openxmlformats.org/officeDocument/2006/relationships/hyperlink" Target="https://pubmed.ncbi.nlm.nih.gov/25815479" TargetMode="External"/><Relationship Id="rId5847" Type="http://schemas.openxmlformats.org/officeDocument/2006/relationships/hyperlink" Target="https://pubmed.ncbi.nlm.nih.gov/14662281" TargetMode="External"/><Relationship Id="rId4516" Type="http://schemas.openxmlformats.org/officeDocument/2006/relationships/hyperlink" Target="https://pubmed.ncbi.nlm.nih.gov/25819779" TargetMode="External"/><Relationship Id="rId5844" Type="http://schemas.openxmlformats.org/officeDocument/2006/relationships/hyperlink" Target="https://pubmed.ncbi.nlm.nih.gov/15330126" TargetMode="External"/><Relationship Id="rId4515" Type="http://schemas.openxmlformats.org/officeDocument/2006/relationships/hyperlink" Target="https://pubmed.ncbi.nlm.nih.gov/25820178" TargetMode="External"/><Relationship Id="rId5845" Type="http://schemas.openxmlformats.org/officeDocument/2006/relationships/hyperlink" Target="https://pubmed.ncbi.nlm.nih.gov/15469029" TargetMode="External"/><Relationship Id="rId4518" Type="http://schemas.openxmlformats.org/officeDocument/2006/relationships/hyperlink" Target="https://pubmed.ncbi.nlm.nih.gov/25880968" TargetMode="External"/><Relationship Id="rId4517" Type="http://schemas.openxmlformats.org/officeDocument/2006/relationships/hyperlink" Target="https://pubmed.ncbi.nlm.nih.gov/25860734" TargetMode="External"/><Relationship Id="rId5848" Type="http://schemas.openxmlformats.org/officeDocument/2006/relationships/hyperlink" Target="https://pubmed.ncbi.nlm.nih.gov/14641001" TargetMode="External"/><Relationship Id="rId4519" Type="http://schemas.openxmlformats.org/officeDocument/2006/relationships/hyperlink" Target="https://pubmed.ncbi.nlm.nih.gov/25806955" TargetMode="External"/><Relationship Id="rId5849" Type="http://schemas.openxmlformats.org/officeDocument/2006/relationships/hyperlink" Target="https://pubmed.ncbi.nlm.nih.gov/14630756" TargetMode="External"/><Relationship Id="rId4510" Type="http://schemas.openxmlformats.org/officeDocument/2006/relationships/hyperlink" Target="https://pubmed.ncbi.nlm.nih.gov/25742479" TargetMode="External"/><Relationship Id="rId5842" Type="http://schemas.openxmlformats.org/officeDocument/2006/relationships/hyperlink" Target="https://pubmed.ncbi.nlm.nih.gov/14750452" TargetMode="External"/><Relationship Id="rId5843" Type="http://schemas.openxmlformats.org/officeDocument/2006/relationships/hyperlink" Target="https://pubmed.ncbi.nlm.nih.gov/14664774" TargetMode="External"/><Relationship Id="rId4512" Type="http://schemas.openxmlformats.org/officeDocument/2006/relationships/hyperlink" Target="https://pubmed.ncbi.nlm.nih.gov/25763843" TargetMode="External"/><Relationship Id="rId5840" Type="http://schemas.openxmlformats.org/officeDocument/2006/relationships/hyperlink" Target="https://pubmed.ncbi.nlm.nih.gov/14706762" TargetMode="External"/><Relationship Id="rId4511" Type="http://schemas.openxmlformats.org/officeDocument/2006/relationships/hyperlink" Target="https://pubmed.ncbi.nlm.nih.gov/25887963" TargetMode="External"/><Relationship Id="rId5841" Type="http://schemas.openxmlformats.org/officeDocument/2006/relationships/hyperlink" Target="https://pubmed.ncbi.nlm.nih.gov/14710216" TargetMode="External"/><Relationship Id="rId3216" Type="http://schemas.openxmlformats.org/officeDocument/2006/relationships/hyperlink" Target="https://pubmed.ncbi.nlm.nih.gov/30564705" TargetMode="External"/><Relationship Id="rId4547" Type="http://schemas.openxmlformats.org/officeDocument/2006/relationships/hyperlink" Target="https://pubmed.ncbi.nlm.nih.gov/25887759" TargetMode="External"/><Relationship Id="rId5879" Type="http://schemas.openxmlformats.org/officeDocument/2006/relationships/hyperlink" Target="https://pubmed.ncbi.nlm.nih.gov/12798832" TargetMode="External"/><Relationship Id="rId3215" Type="http://schemas.openxmlformats.org/officeDocument/2006/relationships/hyperlink" Target="https://pubmed.ncbi.nlm.nih.gov/29681624" TargetMode="External"/><Relationship Id="rId4546" Type="http://schemas.openxmlformats.org/officeDocument/2006/relationships/hyperlink" Target="https://pubmed.ncbi.nlm.nih.gov/25723728" TargetMode="External"/><Relationship Id="rId3218" Type="http://schemas.openxmlformats.org/officeDocument/2006/relationships/hyperlink" Target="https://pubmed.ncbi.nlm.nih.gov/29756910" TargetMode="External"/><Relationship Id="rId4549" Type="http://schemas.openxmlformats.org/officeDocument/2006/relationships/hyperlink" Target="https://pubmed.ncbi.nlm.nih.gov/25768755" TargetMode="External"/><Relationship Id="rId5877" Type="http://schemas.openxmlformats.org/officeDocument/2006/relationships/hyperlink" Target="https://pubmed.ncbi.nlm.nih.gov/12761031" TargetMode="External"/><Relationship Id="rId3217" Type="http://schemas.openxmlformats.org/officeDocument/2006/relationships/hyperlink" Target="https://pubmed.ncbi.nlm.nih.gov/29370377" TargetMode="External"/><Relationship Id="rId4548" Type="http://schemas.openxmlformats.org/officeDocument/2006/relationships/hyperlink" Target="https://pubmed.ncbi.nlm.nih.gov/25656413" TargetMode="External"/><Relationship Id="rId5878" Type="http://schemas.openxmlformats.org/officeDocument/2006/relationships/hyperlink" Target="https://pubmed.ncbi.nlm.nih.gov/12798833" TargetMode="External"/><Relationship Id="rId3219" Type="http://schemas.openxmlformats.org/officeDocument/2006/relationships/hyperlink" Target="https://pubmed.ncbi.nlm.nih.gov/29678975" TargetMode="External"/><Relationship Id="rId5871" Type="http://schemas.openxmlformats.org/officeDocument/2006/relationships/hyperlink" Target="https://pubmed.ncbi.nlm.nih.gov/12850388" TargetMode="External"/><Relationship Id="rId5872" Type="http://schemas.openxmlformats.org/officeDocument/2006/relationships/hyperlink" Target="https://pubmed.ncbi.nlm.nih.gov/12844098" TargetMode="External"/><Relationship Id="rId3210" Type="http://schemas.openxmlformats.org/officeDocument/2006/relationships/hyperlink" Target="https://pubmed.ncbi.nlm.nih.gov/29695705" TargetMode="External"/><Relationship Id="rId4541" Type="http://schemas.openxmlformats.org/officeDocument/2006/relationships/hyperlink" Target="https://pubmed.ncbi.nlm.nih.gov/25728244" TargetMode="External"/><Relationship Id="rId4540" Type="http://schemas.openxmlformats.org/officeDocument/2006/relationships/hyperlink" Target="https://pubmed.ncbi.nlm.nih.gov/24979605" TargetMode="External"/><Relationship Id="rId5870" Type="http://schemas.openxmlformats.org/officeDocument/2006/relationships/hyperlink" Target="https://pubmed.ncbi.nlm.nih.gov/12843354" TargetMode="External"/><Relationship Id="rId3212" Type="http://schemas.openxmlformats.org/officeDocument/2006/relationships/hyperlink" Target="https://pubmed.ncbi.nlm.nih.gov/29691919" TargetMode="External"/><Relationship Id="rId4543" Type="http://schemas.openxmlformats.org/officeDocument/2006/relationships/hyperlink" Target="https://pubmed.ncbi.nlm.nih.gov/25641702" TargetMode="External"/><Relationship Id="rId5875" Type="http://schemas.openxmlformats.org/officeDocument/2006/relationships/hyperlink" Target="https://pubmed.ncbi.nlm.nih.gov/12869413" TargetMode="External"/><Relationship Id="rId3211" Type="http://schemas.openxmlformats.org/officeDocument/2006/relationships/hyperlink" Target="https://pubmed.ncbi.nlm.nih.gov/29758381" TargetMode="External"/><Relationship Id="rId4542" Type="http://schemas.openxmlformats.org/officeDocument/2006/relationships/hyperlink" Target="https://pubmed.ncbi.nlm.nih.gov/25743261" TargetMode="External"/><Relationship Id="rId5876" Type="http://schemas.openxmlformats.org/officeDocument/2006/relationships/hyperlink" Target="https://pubmed.ncbi.nlm.nih.gov/12809422" TargetMode="External"/><Relationship Id="rId3214" Type="http://schemas.openxmlformats.org/officeDocument/2006/relationships/hyperlink" Target="https://pubmed.ncbi.nlm.nih.gov/29703498" TargetMode="External"/><Relationship Id="rId4545" Type="http://schemas.openxmlformats.org/officeDocument/2006/relationships/hyperlink" Target="https://pubmed.ncbi.nlm.nih.gov/25722019" TargetMode="External"/><Relationship Id="rId5873" Type="http://schemas.openxmlformats.org/officeDocument/2006/relationships/hyperlink" Target="https://pubmed.ncbi.nlm.nih.gov/12823234" TargetMode="External"/><Relationship Id="rId3213" Type="http://schemas.openxmlformats.org/officeDocument/2006/relationships/hyperlink" Target="https://pubmed.ncbi.nlm.nih.gov/29689048" TargetMode="External"/><Relationship Id="rId4544" Type="http://schemas.openxmlformats.org/officeDocument/2006/relationships/hyperlink" Target="https://pubmed.ncbi.nlm.nih.gov/25736515" TargetMode="External"/><Relationship Id="rId5874" Type="http://schemas.openxmlformats.org/officeDocument/2006/relationships/hyperlink" Target="https://pubmed.ncbi.nlm.nih.gov/12835615" TargetMode="External"/><Relationship Id="rId3205" Type="http://schemas.openxmlformats.org/officeDocument/2006/relationships/hyperlink" Target="https://pubmed.ncbi.nlm.nih.gov/29719199" TargetMode="External"/><Relationship Id="rId4536" Type="http://schemas.openxmlformats.org/officeDocument/2006/relationships/hyperlink" Target="https://pubmed.ncbi.nlm.nih.gov/25751625" TargetMode="External"/><Relationship Id="rId5868" Type="http://schemas.openxmlformats.org/officeDocument/2006/relationships/hyperlink" Target="https://pubmed.ncbi.nlm.nih.gov/12908348" TargetMode="External"/><Relationship Id="rId3204" Type="http://schemas.openxmlformats.org/officeDocument/2006/relationships/hyperlink" Target="https://pubmed.ncbi.nlm.nih.gov/29099425" TargetMode="External"/><Relationship Id="rId4535" Type="http://schemas.openxmlformats.org/officeDocument/2006/relationships/hyperlink" Target="https://pubmed.ncbi.nlm.nih.gov/25751400" TargetMode="External"/><Relationship Id="rId5869" Type="http://schemas.openxmlformats.org/officeDocument/2006/relationships/hyperlink" Target="https://pubmed.ncbi.nlm.nih.gov/12869686" TargetMode="External"/><Relationship Id="rId3207" Type="http://schemas.openxmlformats.org/officeDocument/2006/relationships/hyperlink" Target="https://pubmed.ncbi.nlm.nih.gov/29755366" TargetMode="External"/><Relationship Id="rId4538" Type="http://schemas.openxmlformats.org/officeDocument/2006/relationships/hyperlink" Target="https://pubmed.ncbi.nlm.nih.gov/25804349" TargetMode="External"/><Relationship Id="rId5866" Type="http://schemas.openxmlformats.org/officeDocument/2006/relationships/hyperlink" Target="https://pubmed.ncbi.nlm.nih.gov/12939736" TargetMode="External"/><Relationship Id="rId3206" Type="http://schemas.openxmlformats.org/officeDocument/2006/relationships/hyperlink" Target="https://pubmed.ncbi.nlm.nih.gov/29714963" TargetMode="External"/><Relationship Id="rId4537" Type="http://schemas.openxmlformats.org/officeDocument/2006/relationships/hyperlink" Target="https://pubmed.ncbi.nlm.nih.gov/25744516" TargetMode="External"/><Relationship Id="rId5867" Type="http://schemas.openxmlformats.org/officeDocument/2006/relationships/hyperlink" Target="https://pubmed.ncbi.nlm.nih.gov/12890594" TargetMode="External"/><Relationship Id="rId3209" Type="http://schemas.openxmlformats.org/officeDocument/2006/relationships/hyperlink" Target="https://pubmed.ncbi.nlm.nih.gov/29695465" TargetMode="External"/><Relationship Id="rId3208" Type="http://schemas.openxmlformats.org/officeDocument/2006/relationships/hyperlink" Target="https://pubmed.ncbi.nlm.nih.gov/29700761" TargetMode="External"/><Relationship Id="rId4539" Type="http://schemas.openxmlformats.org/officeDocument/2006/relationships/hyperlink" Target="https://pubmed.ncbi.nlm.nih.gov/25740798" TargetMode="External"/><Relationship Id="rId5860" Type="http://schemas.openxmlformats.org/officeDocument/2006/relationships/hyperlink" Target="https://pubmed.ncbi.nlm.nih.gov/12957693" TargetMode="External"/><Relationship Id="rId5861" Type="http://schemas.openxmlformats.org/officeDocument/2006/relationships/hyperlink" Target="https://pubmed.ncbi.nlm.nih.gov/12951333" TargetMode="External"/><Relationship Id="rId4530" Type="http://schemas.openxmlformats.org/officeDocument/2006/relationships/hyperlink" Target="https://pubmed.ncbi.nlm.nih.gov/25887890" TargetMode="External"/><Relationship Id="rId3201" Type="http://schemas.openxmlformats.org/officeDocument/2006/relationships/hyperlink" Target="https://pubmed.ncbi.nlm.nih.gov/29541996" TargetMode="External"/><Relationship Id="rId4532" Type="http://schemas.openxmlformats.org/officeDocument/2006/relationships/hyperlink" Target="https://pubmed.ncbi.nlm.nih.gov/25796002" TargetMode="External"/><Relationship Id="rId5864" Type="http://schemas.openxmlformats.org/officeDocument/2006/relationships/hyperlink" Target="https://pubmed.ncbi.nlm.nih.gov/12960959" TargetMode="External"/><Relationship Id="rId3200" Type="http://schemas.openxmlformats.org/officeDocument/2006/relationships/hyperlink" Target="https://pubmed.ncbi.nlm.nih.gov/29663151" TargetMode="External"/><Relationship Id="rId4531" Type="http://schemas.openxmlformats.org/officeDocument/2006/relationships/hyperlink" Target="https://pubmed.ncbi.nlm.nih.gov/25805128" TargetMode="External"/><Relationship Id="rId5865" Type="http://schemas.openxmlformats.org/officeDocument/2006/relationships/hyperlink" Target="https://pubmed.ncbi.nlm.nih.gov/12948285" TargetMode="External"/><Relationship Id="rId3203" Type="http://schemas.openxmlformats.org/officeDocument/2006/relationships/hyperlink" Target="https://pubmed.ncbi.nlm.nih.gov/29438547" TargetMode="External"/><Relationship Id="rId4534" Type="http://schemas.openxmlformats.org/officeDocument/2006/relationships/hyperlink" Target="https://pubmed.ncbi.nlm.nih.gov/25757900" TargetMode="External"/><Relationship Id="rId5862" Type="http://schemas.openxmlformats.org/officeDocument/2006/relationships/hyperlink" Target="https://pubmed.ncbi.nlm.nih.gov/12794762" TargetMode="External"/><Relationship Id="rId3202" Type="http://schemas.openxmlformats.org/officeDocument/2006/relationships/hyperlink" Target="https://pubmed.ncbi.nlm.nih.gov/29713043" TargetMode="External"/><Relationship Id="rId4533" Type="http://schemas.openxmlformats.org/officeDocument/2006/relationships/hyperlink" Target="https://pubmed.ncbi.nlm.nih.gov/25759475" TargetMode="External"/><Relationship Id="rId5863" Type="http://schemas.openxmlformats.org/officeDocument/2006/relationships/hyperlink" Target="https://pubmed.ncbi.nlm.nih.gov/12900365" TargetMode="External"/><Relationship Id="rId190" Type="http://schemas.openxmlformats.org/officeDocument/2006/relationships/hyperlink" Target="https://pubmed.ncbi.nlm.nih.gov/38331462" TargetMode="External"/><Relationship Id="rId194" Type="http://schemas.openxmlformats.org/officeDocument/2006/relationships/hyperlink" Target="https://pubmed.ncbi.nlm.nih.gov/38316937" TargetMode="External"/><Relationship Id="rId193" Type="http://schemas.openxmlformats.org/officeDocument/2006/relationships/hyperlink" Target="https://pubmed.ncbi.nlm.nih.gov/38321477" TargetMode="External"/><Relationship Id="rId192" Type="http://schemas.openxmlformats.org/officeDocument/2006/relationships/hyperlink" Target="https://pubmed.ncbi.nlm.nih.gov/38385048" TargetMode="External"/><Relationship Id="rId191" Type="http://schemas.openxmlformats.org/officeDocument/2006/relationships/hyperlink" Target="https://pubmed.ncbi.nlm.nih.gov/38329780" TargetMode="External"/><Relationship Id="rId187" Type="http://schemas.openxmlformats.org/officeDocument/2006/relationships/hyperlink" Target="https://pubmed.ncbi.nlm.nih.gov/38336705" TargetMode="External"/><Relationship Id="rId186" Type="http://schemas.openxmlformats.org/officeDocument/2006/relationships/hyperlink" Target="https://pubmed.ncbi.nlm.nih.gov/38334818" TargetMode="External"/><Relationship Id="rId185" Type="http://schemas.openxmlformats.org/officeDocument/2006/relationships/hyperlink" Target="https://pubmed.ncbi.nlm.nih.gov/38342918" TargetMode="External"/><Relationship Id="rId184" Type="http://schemas.openxmlformats.org/officeDocument/2006/relationships/hyperlink" Target="https://pubmed.ncbi.nlm.nih.gov/38347140" TargetMode="External"/><Relationship Id="rId189" Type="http://schemas.openxmlformats.org/officeDocument/2006/relationships/hyperlink" Target="https://pubmed.ncbi.nlm.nih.gov/38398106" TargetMode="External"/><Relationship Id="rId188" Type="http://schemas.openxmlformats.org/officeDocument/2006/relationships/hyperlink" Target="https://pubmed.ncbi.nlm.nih.gov/38334895" TargetMode="External"/><Relationship Id="rId183" Type="http://schemas.openxmlformats.org/officeDocument/2006/relationships/hyperlink" Target="https://pubmed.ncbi.nlm.nih.gov/38347141" TargetMode="External"/><Relationship Id="rId182" Type="http://schemas.openxmlformats.org/officeDocument/2006/relationships/hyperlink" Target="https://pubmed.ncbi.nlm.nih.gov/38347228" TargetMode="External"/><Relationship Id="rId181" Type="http://schemas.openxmlformats.org/officeDocument/2006/relationships/hyperlink" Target="https://pubmed.ncbi.nlm.nih.gov/38440361" TargetMode="External"/><Relationship Id="rId180" Type="http://schemas.openxmlformats.org/officeDocument/2006/relationships/hyperlink" Target="https://pubmed.ncbi.nlm.nih.gov/38401382" TargetMode="External"/><Relationship Id="rId176" Type="http://schemas.openxmlformats.org/officeDocument/2006/relationships/hyperlink" Target="https://pubmed.ncbi.nlm.nih.gov/38354119" TargetMode="External"/><Relationship Id="rId175" Type="http://schemas.openxmlformats.org/officeDocument/2006/relationships/hyperlink" Target="https://pubmed.ncbi.nlm.nih.gov/38396455" TargetMode="External"/><Relationship Id="rId174" Type="http://schemas.openxmlformats.org/officeDocument/2006/relationships/hyperlink" Target="https://pubmed.ncbi.nlm.nih.gov/38426079" TargetMode="External"/><Relationship Id="rId173" Type="http://schemas.openxmlformats.org/officeDocument/2006/relationships/hyperlink" Target="https://pubmed.ncbi.nlm.nih.gov/38360645" TargetMode="External"/><Relationship Id="rId179" Type="http://schemas.openxmlformats.org/officeDocument/2006/relationships/hyperlink" Target="https://pubmed.ncbi.nlm.nih.gov/38356074" TargetMode="External"/><Relationship Id="rId178" Type="http://schemas.openxmlformats.org/officeDocument/2006/relationships/hyperlink" Target="https://pubmed.ncbi.nlm.nih.gov/38367642" TargetMode="External"/><Relationship Id="rId177" Type="http://schemas.openxmlformats.org/officeDocument/2006/relationships/hyperlink" Target="https://pubmed.ncbi.nlm.nih.gov/38353228" TargetMode="External"/><Relationship Id="rId198" Type="http://schemas.openxmlformats.org/officeDocument/2006/relationships/hyperlink" Target="https://pubmed.ncbi.nlm.nih.gov/38303069" TargetMode="External"/><Relationship Id="rId197" Type="http://schemas.openxmlformats.org/officeDocument/2006/relationships/hyperlink" Target="https://pubmed.ncbi.nlm.nih.gov/38311188" TargetMode="External"/><Relationship Id="rId196" Type="http://schemas.openxmlformats.org/officeDocument/2006/relationships/hyperlink" Target="https://pubmed.ncbi.nlm.nih.gov/38308228" TargetMode="External"/><Relationship Id="rId195" Type="http://schemas.openxmlformats.org/officeDocument/2006/relationships/hyperlink" Target="https://pubmed.ncbi.nlm.nih.gov/38392060" TargetMode="External"/><Relationship Id="rId199" Type="http://schemas.openxmlformats.org/officeDocument/2006/relationships/hyperlink" Target="https://pubmed.ncbi.nlm.nih.gov/38533474" TargetMode="External"/><Relationship Id="rId150" Type="http://schemas.openxmlformats.org/officeDocument/2006/relationships/hyperlink" Target="https://pubmed.ncbi.nlm.nih.gov/38424744" TargetMode="External"/><Relationship Id="rId149" Type="http://schemas.openxmlformats.org/officeDocument/2006/relationships/hyperlink" Target="https://pubmed.ncbi.nlm.nih.gov/38411386" TargetMode="External"/><Relationship Id="rId148" Type="http://schemas.openxmlformats.org/officeDocument/2006/relationships/hyperlink" Target="https://pubmed.ncbi.nlm.nih.gov/38433362" TargetMode="External"/><Relationship Id="rId3270" Type="http://schemas.openxmlformats.org/officeDocument/2006/relationships/hyperlink" Target="https://pubmed.ncbi.nlm.nih.gov/29563918" TargetMode="External"/><Relationship Id="rId3272" Type="http://schemas.openxmlformats.org/officeDocument/2006/relationships/hyperlink" Target="https://pubmed.ncbi.nlm.nih.gov/29514241" TargetMode="External"/><Relationship Id="rId3271" Type="http://schemas.openxmlformats.org/officeDocument/2006/relationships/hyperlink" Target="https://pubmed.ncbi.nlm.nih.gov/29523474" TargetMode="External"/><Relationship Id="rId143" Type="http://schemas.openxmlformats.org/officeDocument/2006/relationships/hyperlink" Target="https://pubmed.ncbi.nlm.nih.gov/38443924" TargetMode="External"/><Relationship Id="rId3274" Type="http://schemas.openxmlformats.org/officeDocument/2006/relationships/hyperlink" Target="https://pubmed.ncbi.nlm.nih.gov/29508374" TargetMode="External"/><Relationship Id="rId142" Type="http://schemas.openxmlformats.org/officeDocument/2006/relationships/hyperlink" Target="https://pubmed.ncbi.nlm.nih.gov/38441318" TargetMode="External"/><Relationship Id="rId3273" Type="http://schemas.openxmlformats.org/officeDocument/2006/relationships/hyperlink" Target="https://pubmed.ncbi.nlm.nih.gov/29556227" TargetMode="External"/><Relationship Id="rId141" Type="http://schemas.openxmlformats.org/officeDocument/2006/relationships/hyperlink" Target="https://pubmed.ncbi.nlm.nih.gov/38458204" TargetMode="External"/><Relationship Id="rId3276" Type="http://schemas.openxmlformats.org/officeDocument/2006/relationships/hyperlink" Target="https://pubmed.ncbi.nlm.nih.gov/29486240" TargetMode="External"/><Relationship Id="rId140" Type="http://schemas.openxmlformats.org/officeDocument/2006/relationships/hyperlink" Target="https://pubmed.ncbi.nlm.nih.gov/38446777" TargetMode="External"/><Relationship Id="rId3275" Type="http://schemas.openxmlformats.org/officeDocument/2006/relationships/hyperlink" Target="https://pubmed.ncbi.nlm.nih.gov/29502073" TargetMode="External"/><Relationship Id="rId147" Type="http://schemas.openxmlformats.org/officeDocument/2006/relationships/hyperlink" Target="https://pubmed.ncbi.nlm.nih.gov/38438477" TargetMode="External"/><Relationship Id="rId3278" Type="http://schemas.openxmlformats.org/officeDocument/2006/relationships/hyperlink" Target="https://pubmed.ncbi.nlm.nih.gov/29474322" TargetMode="External"/><Relationship Id="rId146" Type="http://schemas.openxmlformats.org/officeDocument/2006/relationships/hyperlink" Target="https://pubmed.ncbi.nlm.nih.gov/38439165" TargetMode="External"/><Relationship Id="rId3277" Type="http://schemas.openxmlformats.org/officeDocument/2006/relationships/hyperlink" Target="https://pubmed.ncbi.nlm.nih.gov/29294027" TargetMode="External"/><Relationship Id="rId145" Type="http://schemas.openxmlformats.org/officeDocument/2006/relationships/hyperlink" Target="https://pubmed.ncbi.nlm.nih.gov/38451526" TargetMode="External"/><Relationship Id="rId144" Type="http://schemas.openxmlformats.org/officeDocument/2006/relationships/hyperlink" Target="https://pubmed.ncbi.nlm.nih.gov/38446481" TargetMode="External"/><Relationship Id="rId3279" Type="http://schemas.openxmlformats.org/officeDocument/2006/relationships/hyperlink" Target="https://pubmed.ncbi.nlm.nih.gov/31265000" TargetMode="External"/><Relationship Id="rId139" Type="http://schemas.openxmlformats.org/officeDocument/2006/relationships/hyperlink" Target="https://pubmed.ncbi.nlm.nih.gov/38446766" TargetMode="External"/><Relationship Id="rId138" Type="http://schemas.openxmlformats.org/officeDocument/2006/relationships/hyperlink" Target="https://pubmed.ncbi.nlm.nih.gov/38458430" TargetMode="External"/><Relationship Id="rId137" Type="http://schemas.openxmlformats.org/officeDocument/2006/relationships/hyperlink" Target="https://pubmed.ncbi.nlm.nih.gov/38448322" TargetMode="External"/><Relationship Id="rId4590" Type="http://schemas.openxmlformats.org/officeDocument/2006/relationships/hyperlink" Target="https://pubmed.ncbi.nlm.nih.gov/25983646" TargetMode="External"/><Relationship Id="rId3261" Type="http://schemas.openxmlformats.org/officeDocument/2006/relationships/hyperlink" Target="https://pubmed.ncbi.nlm.nih.gov/29523632" TargetMode="External"/><Relationship Id="rId4592" Type="http://schemas.openxmlformats.org/officeDocument/2006/relationships/hyperlink" Target="https://pubmed.ncbi.nlm.nih.gov/25605840" TargetMode="External"/><Relationship Id="rId3260" Type="http://schemas.openxmlformats.org/officeDocument/2006/relationships/hyperlink" Target="https://pubmed.ncbi.nlm.nih.gov/31265007" TargetMode="External"/><Relationship Id="rId4591" Type="http://schemas.openxmlformats.org/officeDocument/2006/relationships/hyperlink" Target="https://pubmed.ncbi.nlm.nih.gov/25609227" TargetMode="External"/><Relationship Id="rId132" Type="http://schemas.openxmlformats.org/officeDocument/2006/relationships/hyperlink" Target="https://pubmed.ncbi.nlm.nih.gov/38553327" TargetMode="External"/><Relationship Id="rId3263" Type="http://schemas.openxmlformats.org/officeDocument/2006/relationships/hyperlink" Target="https://pubmed.ncbi.nlm.nih.gov/29473162" TargetMode="External"/><Relationship Id="rId4594" Type="http://schemas.openxmlformats.org/officeDocument/2006/relationships/hyperlink" Target="https://pubmed.ncbi.nlm.nih.gov/25599866" TargetMode="External"/><Relationship Id="rId131" Type="http://schemas.openxmlformats.org/officeDocument/2006/relationships/hyperlink" Target="https://pubmed.ncbi.nlm.nih.gov/38470567" TargetMode="External"/><Relationship Id="rId3262" Type="http://schemas.openxmlformats.org/officeDocument/2006/relationships/hyperlink" Target="https://pubmed.ncbi.nlm.nih.gov/29524001" TargetMode="External"/><Relationship Id="rId4593" Type="http://schemas.openxmlformats.org/officeDocument/2006/relationships/hyperlink" Target="https://pubmed.ncbi.nlm.nih.gov/25600160" TargetMode="External"/><Relationship Id="rId130" Type="http://schemas.openxmlformats.org/officeDocument/2006/relationships/hyperlink" Target="https://pubmed.ncbi.nlm.nih.gov/38470976" TargetMode="External"/><Relationship Id="rId3265" Type="http://schemas.openxmlformats.org/officeDocument/2006/relationships/hyperlink" Target="https://pubmed.ncbi.nlm.nih.gov/29523566" TargetMode="External"/><Relationship Id="rId4596" Type="http://schemas.openxmlformats.org/officeDocument/2006/relationships/hyperlink" Target="https://pubmed.ncbi.nlm.nih.gov/25590466" TargetMode="External"/><Relationship Id="rId3264" Type="http://schemas.openxmlformats.org/officeDocument/2006/relationships/hyperlink" Target="https://pubmed.ncbi.nlm.nih.gov/29900413" TargetMode="External"/><Relationship Id="rId4595" Type="http://schemas.openxmlformats.org/officeDocument/2006/relationships/hyperlink" Target="https://pubmed.ncbi.nlm.nih.gov/25595551" TargetMode="External"/><Relationship Id="rId136" Type="http://schemas.openxmlformats.org/officeDocument/2006/relationships/hyperlink" Target="https://pubmed.ncbi.nlm.nih.gov/38456579" TargetMode="External"/><Relationship Id="rId3267" Type="http://schemas.openxmlformats.org/officeDocument/2006/relationships/hyperlink" Target="https://pubmed.ncbi.nlm.nih.gov/29511013" TargetMode="External"/><Relationship Id="rId4598" Type="http://schemas.openxmlformats.org/officeDocument/2006/relationships/hyperlink" Target="https://pubmed.ncbi.nlm.nih.gov/25596463" TargetMode="External"/><Relationship Id="rId135" Type="http://schemas.openxmlformats.org/officeDocument/2006/relationships/hyperlink" Target="https://pubmed.ncbi.nlm.nih.gov/38518341" TargetMode="External"/><Relationship Id="rId3266" Type="http://schemas.openxmlformats.org/officeDocument/2006/relationships/hyperlink" Target="https://pubmed.ncbi.nlm.nih.gov/29525741" TargetMode="External"/><Relationship Id="rId4597" Type="http://schemas.openxmlformats.org/officeDocument/2006/relationships/hyperlink" Target="https://pubmed.ncbi.nlm.nih.gov/26709345" TargetMode="External"/><Relationship Id="rId134" Type="http://schemas.openxmlformats.org/officeDocument/2006/relationships/hyperlink" Target="https://pubmed.ncbi.nlm.nih.gov/38462077" TargetMode="External"/><Relationship Id="rId3269" Type="http://schemas.openxmlformats.org/officeDocument/2006/relationships/hyperlink" Target="https://pubmed.ncbi.nlm.nih.gov/31264996" TargetMode="External"/><Relationship Id="rId133" Type="http://schemas.openxmlformats.org/officeDocument/2006/relationships/hyperlink" Target="https://pubmed.ncbi.nlm.nih.gov/38479550" TargetMode="External"/><Relationship Id="rId3268" Type="http://schemas.openxmlformats.org/officeDocument/2006/relationships/hyperlink" Target="https://pubmed.ncbi.nlm.nih.gov/29522827" TargetMode="External"/><Relationship Id="rId4599" Type="http://schemas.openxmlformats.org/officeDocument/2006/relationships/hyperlink" Target="https://pubmed.ncbi.nlm.nih.gov/25733647" TargetMode="External"/><Relationship Id="rId172" Type="http://schemas.openxmlformats.org/officeDocument/2006/relationships/hyperlink" Target="https://pubmed.ncbi.nlm.nih.gov/38398771" TargetMode="External"/><Relationship Id="rId171" Type="http://schemas.openxmlformats.org/officeDocument/2006/relationships/hyperlink" Target="https://pubmed.ncbi.nlm.nih.gov/38366804" TargetMode="External"/><Relationship Id="rId170" Type="http://schemas.openxmlformats.org/officeDocument/2006/relationships/hyperlink" Target="https://pubmed.ncbi.nlm.nih.gov/38366696" TargetMode="External"/><Relationship Id="rId3290" Type="http://schemas.openxmlformats.org/officeDocument/2006/relationships/hyperlink" Target="https://pubmed.ncbi.nlm.nih.gov/29458400" TargetMode="External"/><Relationship Id="rId3292" Type="http://schemas.openxmlformats.org/officeDocument/2006/relationships/hyperlink" Target="https://pubmed.ncbi.nlm.nih.gov/31265002" TargetMode="External"/><Relationship Id="rId3291" Type="http://schemas.openxmlformats.org/officeDocument/2006/relationships/hyperlink" Target="https://pubmed.ncbi.nlm.nih.gov/29459399" TargetMode="External"/><Relationship Id="rId3294" Type="http://schemas.openxmlformats.org/officeDocument/2006/relationships/hyperlink" Target="https://pubmed.ncbi.nlm.nih.gov/29306457" TargetMode="External"/><Relationship Id="rId3293" Type="http://schemas.openxmlformats.org/officeDocument/2006/relationships/hyperlink" Target="https://pubmed.ncbi.nlm.nih.gov/29459661" TargetMode="External"/><Relationship Id="rId165" Type="http://schemas.openxmlformats.org/officeDocument/2006/relationships/hyperlink" Target="https://pubmed.ncbi.nlm.nih.gov/38381845" TargetMode="External"/><Relationship Id="rId3296" Type="http://schemas.openxmlformats.org/officeDocument/2006/relationships/hyperlink" Target="https://pubmed.ncbi.nlm.nih.gov/29462382" TargetMode="External"/><Relationship Id="rId164" Type="http://schemas.openxmlformats.org/officeDocument/2006/relationships/hyperlink" Target="https://pubmed.ncbi.nlm.nih.gov/37827560" TargetMode="External"/><Relationship Id="rId3295" Type="http://schemas.openxmlformats.org/officeDocument/2006/relationships/hyperlink" Target="https://pubmed.ncbi.nlm.nih.gov/31265010" TargetMode="External"/><Relationship Id="rId163" Type="http://schemas.openxmlformats.org/officeDocument/2006/relationships/hyperlink" Target="https://pubmed.ncbi.nlm.nih.gov/38457710" TargetMode="External"/><Relationship Id="rId3298" Type="http://schemas.openxmlformats.org/officeDocument/2006/relationships/hyperlink" Target="https://pubmed.ncbi.nlm.nih.gov/29447989" TargetMode="External"/><Relationship Id="rId162" Type="http://schemas.openxmlformats.org/officeDocument/2006/relationships/hyperlink" Target="https://pubmed.ncbi.nlm.nih.gov/38390633" TargetMode="External"/><Relationship Id="rId3297" Type="http://schemas.openxmlformats.org/officeDocument/2006/relationships/hyperlink" Target="https://pubmed.ncbi.nlm.nih.gov/29433576" TargetMode="External"/><Relationship Id="rId169" Type="http://schemas.openxmlformats.org/officeDocument/2006/relationships/hyperlink" Target="https://pubmed.ncbi.nlm.nih.gov/38367182" TargetMode="External"/><Relationship Id="rId168" Type="http://schemas.openxmlformats.org/officeDocument/2006/relationships/hyperlink" Target="https://pubmed.ncbi.nlm.nih.gov/38373573" TargetMode="External"/><Relationship Id="rId3299" Type="http://schemas.openxmlformats.org/officeDocument/2006/relationships/hyperlink" Target="https://pubmed.ncbi.nlm.nih.gov/29425217" TargetMode="External"/><Relationship Id="rId167" Type="http://schemas.openxmlformats.org/officeDocument/2006/relationships/hyperlink" Target="https://pubmed.ncbi.nlm.nih.gov/38382765" TargetMode="External"/><Relationship Id="rId166" Type="http://schemas.openxmlformats.org/officeDocument/2006/relationships/hyperlink" Target="https://pubmed.ncbi.nlm.nih.gov/38374450" TargetMode="External"/><Relationship Id="rId161" Type="http://schemas.openxmlformats.org/officeDocument/2006/relationships/hyperlink" Target="https://pubmed.ncbi.nlm.nih.gov/38395766" TargetMode="External"/><Relationship Id="rId160" Type="http://schemas.openxmlformats.org/officeDocument/2006/relationships/hyperlink" Target="https://pubmed.ncbi.nlm.nih.gov/38402486" TargetMode="External"/><Relationship Id="rId159" Type="http://schemas.openxmlformats.org/officeDocument/2006/relationships/hyperlink" Target="https://pubmed.ncbi.nlm.nih.gov/38402998" TargetMode="External"/><Relationship Id="rId3281" Type="http://schemas.openxmlformats.org/officeDocument/2006/relationships/hyperlink" Target="https://pubmed.ncbi.nlm.nih.gov/29492735" TargetMode="External"/><Relationship Id="rId3280" Type="http://schemas.openxmlformats.org/officeDocument/2006/relationships/hyperlink" Target="https://pubmed.ncbi.nlm.nih.gov/29492638" TargetMode="External"/><Relationship Id="rId3283" Type="http://schemas.openxmlformats.org/officeDocument/2006/relationships/hyperlink" Target="https://pubmed.ncbi.nlm.nih.gov/31265004" TargetMode="External"/><Relationship Id="rId3282" Type="http://schemas.openxmlformats.org/officeDocument/2006/relationships/hyperlink" Target="https://pubmed.ncbi.nlm.nih.gov/29496485" TargetMode="External"/><Relationship Id="rId154" Type="http://schemas.openxmlformats.org/officeDocument/2006/relationships/hyperlink" Target="https://pubmed.ncbi.nlm.nih.gov/38422098" TargetMode="External"/><Relationship Id="rId3285" Type="http://schemas.openxmlformats.org/officeDocument/2006/relationships/hyperlink" Target="https://pubmed.ncbi.nlm.nih.gov/31264997" TargetMode="External"/><Relationship Id="rId153" Type="http://schemas.openxmlformats.org/officeDocument/2006/relationships/hyperlink" Target="https://pubmed.ncbi.nlm.nih.gov/38431223" TargetMode="External"/><Relationship Id="rId3284" Type="http://schemas.openxmlformats.org/officeDocument/2006/relationships/hyperlink" Target="https://pubmed.ncbi.nlm.nih.gov/29472432" TargetMode="External"/><Relationship Id="rId152" Type="http://schemas.openxmlformats.org/officeDocument/2006/relationships/hyperlink" Target="https://pubmed.ncbi.nlm.nih.gov/38452194" TargetMode="External"/><Relationship Id="rId3287" Type="http://schemas.openxmlformats.org/officeDocument/2006/relationships/hyperlink" Target="https://pubmed.ncbi.nlm.nih.gov/29515562" TargetMode="External"/><Relationship Id="rId151" Type="http://schemas.openxmlformats.org/officeDocument/2006/relationships/hyperlink" Target="https://pubmed.ncbi.nlm.nih.gov/38456217" TargetMode="External"/><Relationship Id="rId3286" Type="http://schemas.openxmlformats.org/officeDocument/2006/relationships/hyperlink" Target="https://pubmed.ncbi.nlm.nih.gov/29470690" TargetMode="External"/><Relationship Id="rId158" Type="http://schemas.openxmlformats.org/officeDocument/2006/relationships/hyperlink" Target="https://pubmed.ncbi.nlm.nih.gov/38543875" TargetMode="External"/><Relationship Id="rId3289" Type="http://schemas.openxmlformats.org/officeDocument/2006/relationships/hyperlink" Target="https://pubmed.ncbi.nlm.nih.gov/29459475" TargetMode="External"/><Relationship Id="rId157" Type="http://schemas.openxmlformats.org/officeDocument/2006/relationships/hyperlink" Target="https://pubmed.ncbi.nlm.nih.gov/38414064" TargetMode="External"/><Relationship Id="rId3288" Type="http://schemas.openxmlformats.org/officeDocument/2006/relationships/hyperlink" Target="https://pubmed.ncbi.nlm.nih.gov/29461006" TargetMode="External"/><Relationship Id="rId156" Type="http://schemas.openxmlformats.org/officeDocument/2006/relationships/hyperlink" Target="https://pubmed.ncbi.nlm.nih.gov/38471294" TargetMode="External"/><Relationship Id="rId155" Type="http://schemas.openxmlformats.org/officeDocument/2006/relationships/hyperlink" Target="https://pubmed.ncbi.nlm.nih.gov/38560600" TargetMode="External"/><Relationship Id="rId4602" Type="http://schemas.openxmlformats.org/officeDocument/2006/relationships/hyperlink" Target="https://pubmed.ncbi.nlm.nih.gov/25582098" TargetMode="External"/><Relationship Id="rId5934" Type="http://schemas.openxmlformats.org/officeDocument/2006/relationships/hyperlink" Target="https://pubmed.ncbi.nlm.nih.gov/12652104" TargetMode="External"/><Relationship Id="rId4601" Type="http://schemas.openxmlformats.org/officeDocument/2006/relationships/hyperlink" Target="https://pubmed.ncbi.nlm.nih.gov/25640611" TargetMode="External"/><Relationship Id="rId5935" Type="http://schemas.openxmlformats.org/officeDocument/2006/relationships/hyperlink" Target="https://pubmed.ncbi.nlm.nih.gov/12160909" TargetMode="External"/><Relationship Id="rId4604" Type="http://schemas.openxmlformats.org/officeDocument/2006/relationships/hyperlink" Target="https://pubmed.ncbi.nlm.nih.gov/27246048" TargetMode="External"/><Relationship Id="rId5932" Type="http://schemas.openxmlformats.org/officeDocument/2006/relationships/hyperlink" Target="https://pubmed.ncbi.nlm.nih.gov/12048133" TargetMode="External"/><Relationship Id="rId4603" Type="http://schemas.openxmlformats.org/officeDocument/2006/relationships/hyperlink" Target="https://pubmed.ncbi.nlm.nih.gov/25569183" TargetMode="External"/><Relationship Id="rId5933" Type="http://schemas.openxmlformats.org/officeDocument/2006/relationships/hyperlink" Target="https://pubmed.ncbi.nlm.nih.gov/12138364" TargetMode="External"/><Relationship Id="rId4606" Type="http://schemas.openxmlformats.org/officeDocument/2006/relationships/hyperlink" Target="https://pubmed.ncbi.nlm.nih.gov/25567765" TargetMode="External"/><Relationship Id="rId5938" Type="http://schemas.openxmlformats.org/officeDocument/2006/relationships/hyperlink" Target="https://pubmed.ncbi.nlm.nih.gov/12109307" TargetMode="External"/><Relationship Id="rId4605" Type="http://schemas.openxmlformats.org/officeDocument/2006/relationships/hyperlink" Target="https://pubmed.ncbi.nlm.nih.gov/25566994" TargetMode="External"/><Relationship Id="rId5939" Type="http://schemas.openxmlformats.org/officeDocument/2006/relationships/hyperlink" Target="https://pubmed.ncbi.nlm.nih.gov/12109306" TargetMode="External"/><Relationship Id="rId4608" Type="http://schemas.openxmlformats.org/officeDocument/2006/relationships/hyperlink" Target="https://pubmed.ncbi.nlm.nih.gov/25572824" TargetMode="External"/><Relationship Id="rId5936" Type="http://schemas.openxmlformats.org/officeDocument/2006/relationships/hyperlink" Target="https://pubmed.ncbi.nlm.nih.gov/12100644" TargetMode="External"/><Relationship Id="rId4607" Type="http://schemas.openxmlformats.org/officeDocument/2006/relationships/hyperlink" Target="https://pubmed.ncbi.nlm.nih.gov/25569120" TargetMode="External"/><Relationship Id="rId5937" Type="http://schemas.openxmlformats.org/officeDocument/2006/relationships/hyperlink" Target="https://pubmed.ncbi.nlm.nih.gov/12365467" TargetMode="External"/><Relationship Id="rId4609" Type="http://schemas.openxmlformats.org/officeDocument/2006/relationships/hyperlink" Target="https://pubmed.ncbi.nlm.nih.gov/25561516" TargetMode="External"/><Relationship Id="rId5930" Type="http://schemas.openxmlformats.org/officeDocument/2006/relationships/hyperlink" Target="https://pubmed.ncbi.nlm.nih.gov/12126819" TargetMode="External"/><Relationship Id="rId5931" Type="http://schemas.openxmlformats.org/officeDocument/2006/relationships/hyperlink" Target="https://pubmed.ncbi.nlm.nih.gov/12087021" TargetMode="External"/><Relationship Id="rId4600" Type="http://schemas.openxmlformats.org/officeDocument/2006/relationships/hyperlink" Target="https://pubmed.ncbi.nlm.nih.gov/25595045" TargetMode="External"/><Relationship Id="rId5923" Type="http://schemas.openxmlformats.org/officeDocument/2006/relationships/hyperlink" Target="https://pubmed.ncbi.nlm.nih.gov/12224478" TargetMode="External"/><Relationship Id="rId5924" Type="http://schemas.openxmlformats.org/officeDocument/2006/relationships/hyperlink" Target="https://pubmed.ncbi.nlm.nih.gov/12171794" TargetMode="External"/><Relationship Id="rId5921" Type="http://schemas.openxmlformats.org/officeDocument/2006/relationships/hyperlink" Target="https://pubmed.ncbi.nlm.nih.gov/12119201" TargetMode="External"/><Relationship Id="rId5922" Type="http://schemas.openxmlformats.org/officeDocument/2006/relationships/hyperlink" Target="https://pubmed.ncbi.nlm.nih.gov/12224477" TargetMode="External"/><Relationship Id="rId5927" Type="http://schemas.openxmlformats.org/officeDocument/2006/relationships/hyperlink" Target="https://pubmed.ncbi.nlm.nih.gov/12378656" TargetMode="External"/><Relationship Id="rId5928" Type="http://schemas.openxmlformats.org/officeDocument/2006/relationships/hyperlink" Target="https://pubmed.ncbi.nlm.nih.gov/12173167" TargetMode="External"/><Relationship Id="rId5925" Type="http://schemas.openxmlformats.org/officeDocument/2006/relationships/hyperlink" Target="https://pubmed.ncbi.nlm.nih.gov/12154253" TargetMode="External"/><Relationship Id="rId5926" Type="http://schemas.openxmlformats.org/officeDocument/2006/relationships/hyperlink" Target="https://pubmed.ncbi.nlm.nih.gov/12190953" TargetMode="External"/><Relationship Id="rId5929" Type="http://schemas.openxmlformats.org/officeDocument/2006/relationships/hyperlink" Target="https://pubmed.ncbi.nlm.nih.gov/12117707" TargetMode="External"/><Relationship Id="rId5920" Type="http://schemas.openxmlformats.org/officeDocument/2006/relationships/hyperlink" Target="https://pubmed.ncbi.nlm.nih.gov/12356697" TargetMode="External"/><Relationship Id="rId4624" Type="http://schemas.openxmlformats.org/officeDocument/2006/relationships/hyperlink" Target="https://pubmed.ncbi.nlm.nih.gov/25654688" TargetMode="External"/><Relationship Id="rId5956" Type="http://schemas.openxmlformats.org/officeDocument/2006/relationships/hyperlink" Target="https://pubmed.ncbi.nlm.nih.gov/12484195" TargetMode="External"/><Relationship Id="rId4623" Type="http://schemas.openxmlformats.org/officeDocument/2006/relationships/hyperlink" Target="https://pubmed.ncbi.nlm.nih.gov/26332821" TargetMode="External"/><Relationship Id="rId5957" Type="http://schemas.openxmlformats.org/officeDocument/2006/relationships/hyperlink" Target="https://pubmed.ncbi.nlm.nih.gov/12427639" TargetMode="External"/><Relationship Id="rId4626" Type="http://schemas.openxmlformats.org/officeDocument/2006/relationships/hyperlink" Target="https://pubmed.ncbi.nlm.nih.gov/25562349" TargetMode="External"/><Relationship Id="rId5954" Type="http://schemas.openxmlformats.org/officeDocument/2006/relationships/hyperlink" Target="https://pubmed.ncbi.nlm.nih.gov/11823590" TargetMode="External"/><Relationship Id="rId4625" Type="http://schemas.openxmlformats.org/officeDocument/2006/relationships/hyperlink" Target="https://pubmed.ncbi.nlm.nih.gov/24983718" TargetMode="External"/><Relationship Id="rId5955" Type="http://schemas.openxmlformats.org/officeDocument/2006/relationships/hyperlink" Target="https://pubmed.ncbi.nlm.nih.gov/12484194" TargetMode="External"/><Relationship Id="rId4628" Type="http://schemas.openxmlformats.org/officeDocument/2006/relationships/hyperlink" Target="https://pubmed.ncbi.nlm.nih.gov/25804108" TargetMode="External"/><Relationship Id="rId4627" Type="http://schemas.openxmlformats.org/officeDocument/2006/relationships/hyperlink" Target="https://pubmed.ncbi.nlm.nih.gov/26675651" TargetMode="External"/><Relationship Id="rId5958" Type="http://schemas.openxmlformats.org/officeDocument/2006/relationships/hyperlink" Target="https://pubmed.ncbi.nlm.nih.gov/12421099" TargetMode="External"/><Relationship Id="rId4629" Type="http://schemas.openxmlformats.org/officeDocument/2006/relationships/hyperlink" Target="https://pubmed.ncbi.nlm.nih.gov/25552578" TargetMode="External"/><Relationship Id="rId5959" Type="http://schemas.openxmlformats.org/officeDocument/2006/relationships/hyperlink" Target="https://pubmed.ncbi.nlm.nih.gov/12484200" TargetMode="External"/><Relationship Id="rId4620" Type="http://schemas.openxmlformats.org/officeDocument/2006/relationships/hyperlink" Target="https://pubmed.ncbi.nlm.nih.gov/26058764" TargetMode="External"/><Relationship Id="rId5952" Type="http://schemas.openxmlformats.org/officeDocument/2006/relationships/hyperlink" Target="https://pubmed.ncbi.nlm.nih.gov/11859850" TargetMode="External"/><Relationship Id="rId5953" Type="http://schemas.openxmlformats.org/officeDocument/2006/relationships/hyperlink" Target="https://pubmed.ncbi.nlm.nih.gov/11815642" TargetMode="External"/><Relationship Id="rId4622" Type="http://schemas.openxmlformats.org/officeDocument/2006/relationships/hyperlink" Target="https://pubmed.ncbi.nlm.nih.gov/25850457" TargetMode="External"/><Relationship Id="rId5950" Type="http://schemas.openxmlformats.org/officeDocument/2006/relationships/hyperlink" Target="https://pubmed.ncbi.nlm.nih.gov/11836198" TargetMode="External"/><Relationship Id="rId4621" Type="http://schemas.openxmlformats.org/officeDocument/2006/relationships/hyperlink" Target="https://pubmed.ncbi.nlm.nih.gov/25552729" TargetMode="External"/><Relationship Id="rId5951" Type="http://schemas.openxmlformats.org/officeDocument/2006/relationships/hyperlink" Target="https://pubmed.ncbi.nlm.nih.gov/14764312" TargetMode="External"/><Relationship Id="rId4613" Type="http://schemas.openxmlformats.org/officeDocument/2006/relationships/hyperlink" Target="https://pubmed.ncbi.nlm.nih.gov/25096318" TargetMode="External"/><Relationship Id="rId5945" Type="http://schemas.openxmlformats.org/officeDocument/2006/relationships/hyperlink" Target="https://pubmed.ncbi.nlm.nih.gov/11964426" TargetMode="External"/><Relationship Id="rId4612" Type="http://schemas.openxmlformats.org/officeDocument/2006/relationships/hyperlink" Target="https://pubmed.ncbi.nlm.nih.gov/25303970" TargetMode="External"/><Relationship Id="rId5946" Type="http://schemas.openxmlformats.org/officeDocument/2006/relationships/hyperlink" Target="https://pubmed.ncbi.nlm.nih.gov/12002538" TargetMode="External"/><Relationship Id="rId4615" Type="http://schemas.openxmlformats.org/officeDocument/2006/relationships/hyperlink" Target="https://pubmed.ncbi.nlm.nih.gov/25812462" TargetMode="External"/><Relationship Id="rId5943" Type="http://schemas.openxmlformats.org/officeDocument/2006/relationships/hyperlink" Target="https://pubmed.ncbi.nlm.nih.gov/12374901" TargetMode="External"/><Relationship Id="rId4614" Type="http://schemas.openxmlformats.org/officeDocument/2006/relationships/hyperlink" Target="https://pubmed.ncbi.nlm.nih.gov/25201786" TargetMode="External"/><Relationship Id="rId5944" Type="http://schemas.openxmlformats.org/officeDocument/2006/relationships/hyperlink" Target="https://pubmed.ncbi.nlm.nih.gov/11988591" TargetMode="External"/><Relationship Id="rId4617" Type="http://schemas.openxmlformats.org/officeDocument/2006/relationships/hyperlink" Target="https://pubmed.ncbi.nlm.nih.gov/25371036" TargetMode="External"/><Relationship Id="rId5949" Type="http://schemas.openxmlformats.org/officeDocument/2006/relationships/hyperlink" Target="https://pubmed.ncbi.nlm.nih.gov/11874949" TargetMode="External"/><Relationship Id="rId4616" Type="http://schemas.openxmlformats.org/officeDocument/2006/relationships/hyperlink" Target="https://pubmed.ncbi.nlm.nih.gov/25697703" TargetMode="External"/><Relationship Id="rId4619" Type="http://schemas.openxmlformats.org/officeDocument/2006/relationships/hyperlink" Target="https://pubmed.ncbi.nlm.nih.gov/25560869" TargetMode="External"/><Relationship Id="rId5947" Type="http://schemas.openxmlformats.org/officeDocument/2006/relationships/hyperlink" Target="https://pubmed.ncbi.nlm.nih.gov/11952880" TargetMode="External"/><Relationship Id="rId4618" Type="http://schemas.openxmlformats.org/officeDocument/2006/relationships/hyperlink" Target="https://pubmed.ncbi.nlm.nih.gov/25537569" TargetMode="External"/><Relationship Id="rId5948" Type="http://schemas.openxmlformats.org/officeDocument/2006/relationships/hyperlink" Target="https://pubmed.ncbi.nlm.nih.gov/11939919" TargetMode="External"/><Relationship Id="rId5941" Type="http://schemas.openxmlformats.org/officeDocument/2006/relationships/hyperlink" Target="https://pubmed.ncbi.nlm.nih.gov/12042453" TargetMode="External"/><Relationship Id="rId5942" Type="http://schemas.openxmlformats.org/officeDocument/2006/relationships/hyperlink" Target="https://pubmed.ncbi.nlm.nih.gov/12009697" TargetMode="External"/><Relationship Id="rId4611" Type="http://schemas.openxmlformats.org/officeDocument/2006/relationships/hyperlink" Target="https://pubmed.ncbi.nlm.nih.gov/25556184" TargetMode="External"/><Relationship Id="rId4610" Type="http://schemas.openxmlformats.org/officeDocument/2006/relationships/hyperlink" Target="https://pubmed.ncbi.nlm.nih.gov/25597886" TargetMode="External"/><Relationship Id="rId5940" Type="http://schemas.openxmlformats.org/officeDocument/2006/relationships/hyperlink" Target="https://pubmed.ncbi.nlm.nih.gov/12070116" TargetMode="External"/><Relationship Id="rId5912" Type="http://schemas.openxmlformats.org/officeDocument/2006/relationships/hyperlink" Target="https://pubmed.ncbi.nlm.nih.gov/12461118" TargetMode="External"/><Relationship Id="rId5913" Type="http://schemas.openxmlformats.org/officeDocument/2006/relationships/hyperlink" Target="https://pubmed.ncbi.nlm.nih.gov/12639228" TargetMode="External"/><Relationship Id="rId5910" Type="http://schemas.openxmlformats.org/officeDocument/2006/relationships/hyperlink" Target="https://pubmed.ncbi.nlm.nih.gov/14758865" TargetMode="External"/><Relationship Id="rId5911" Type="http://schemas.openxmlformats.org/officeDocument/2006/relationships/hyperlink" Target="https://pubmed.ncbi.nlm.nih.gov/12473847" TargetMode="External"/><Relationship Id="rId5916" Type="http://schemas.openxmlformats.org/officeDocument/2006/relationships/hyperlink" Target="https://pubmed.ncbi.nlm.nih.gov/12406875" TargetMode="External"/><Relationship Id="rId5917" Type="http://schemas.openxmlformats.org/officeDocument/2006/relationships/hyperlink" Target="https://pubmed.ncbi.nlm.nih.gov/12427494" TargetMode="External"/><Relationship Id="rId5914" Type="http://schemas.openxmlformats.org/officeDocument/2006/relationships/hyperlink" Target="https://pubmed.ncbi.nlm.nih.gov/12409954" TargetMode="External"/><Relationship Id="rId5915" Type="http://schemas.openxmlformats.org/officeDocument/2006/relationships/hyperlink" Target="https://pubmed.ncbi.nlm.nih.gov/12409942" TargetMode="External"/><Relationship Id="rId5918" Type="http://schemas.openxmlformats.org/officeDocument/2006/relationships/hyperlink" Target="https://pubmed.ncbi.nlm.nih.gov/12376437" TargetMode="External"/><Relationship Id="rId5919" Type="http://schemas.openxmlformats.org/officeDocument/2006/relationships/hyperlink" Target="https://pubmed.ncbi.nlm.nih.gov/12368742" TargetMode="External"/><Relationship Id="rId5901" Type="http://schemas.openxmlformats.org/officeDocument/2006/relationships/hyperlink" Target="https://pubmed.ncbi.nlm.nih.gov/14561042" TargetMode="External"/><Relationship Id="rId5902" Type="http://schemas.openxmlformats.org/officeDocument/2006/relationships/hyperlink" Target="https://pubmed.ncbi.nlm.nih.gov/12535415" TargetMode="External"/><Relationship Id="rId5900" Type="http://schemas.openxmlformats.org/officeDocument/2006/relationships/hyperlink" Target="https://pubmed.ncbi.nlm.nih.gov/12509365" TargetMode="External"/><Relationship Id="rId5905" Type="http://schemas.openxmlformats.org/officeDocument/2006/relationships/hyperlink" Target="https://pubmed.ncbi.nlm.nih.gov/12678574" TargetMode="External"/><Relationship Id="rId5906" Type="http://schemas.openxmlformats.org/officeDocument/2006/relationships/hyperlink" Target="https://pubmed.ncbi.nlm.nih.gov/12760186" TargetMode="External"/><Relationship Id="rId5903" Type="http://schemas.openxmlformats.org/officeDocument/2006/relationships/hyperlink" Target="https://pubmed.ncbi.nlm.nih.gov/12517688" TargetMode="External"/><Relationship Id="rId5904" Type="http://schemas.openxmlformats.org/officeDocument/2006/relationships/hyperlink" Target="https://pubmed.ncbi.nlm.nih.gov/14561050" TargetMode="External"/><Relationship Id="rId5909" Type="http://schemas.openxmlformats.org/officeDocument/2006/relationships/hyperlink" Target="https://pubmed.ncbi.nlm.nih.gov/12602916" TargetMode="External"/><Relationship Id="rId5907" Type="http://schemas.openxmlformats.org/officeDocument/2006/relationships/hyperlink" Target="https://pubmed.ncbi.nlm.nih.gov/12952149" TargetMode="External"/><Relationship Id="rId5908" Type="http://schemas.openxmlformats.org/officeDocument/2006/relationships/hyperlink" Target="https://pubmed.ncbi.nlm.nih.gov/14501610" TargetMode="External"/><Relationship Id="rId2027" Type="http://schemas.openxmlformats.org/officeDocument/2006/relationships/hyperlink" Target="https://pubmed.ncbi.nlm.nih.gov/33308632" TargetMode="External"/><Relationship Id="rId3359" Type="http://schemas.openxmlformats.org/officeDocument/2006/relationships/hyperlink" Target="https://pubmed.ncbi.nlm.nih.gov/29284720" TargetMode="External"/><Relationship Id="rId2028" Type="http://schemas.openxmlformats.org/officeDocument/2006/relationships/hyperlink" Target="https://pubmed.ncbi.nlm.nih.gov/33131506" TargetMode="External"/><Relationship Id="rId3358" Type="http://schemas.openxmlformats.org/officeDocument/2006/relationships/hyperlink" Target="https://pubmed.ncbi.nlm.nih.gov/29289764" TargetMode="External"/><Relationship Id="rId4689" Type="http://schemas.openxmlformats.org/officeDocument/2006/relationships/hyperlink" Target="https://pubmed.ncbi.nlm.nih.gov/25379911" TargetMode="External"/><Relationship Id="rId2029" Type="http://schemas.openxmlformats.org/officeDocument/2006/relationships/hyperlink" Target="https://pubmed.ncbi.nlm.nih.gov/33131310" TargetMode="External"/><Relationship Id="rId107" Type="http://schemas.openxmlformats.org/officeDocument/2006/relationships/hyperlink" Target="https://pubmed.ncbi.nlm.nih.gov/38547043" TargetMode="External"/><Relationship Id="rId106" Type="http://schemas.openxmlformats.org/officeDocument/2006/relationships/hyperlink" Target="https://pubmed.ncbi.nlm.nih.gov/38547392" TargetMode="External"/><Relationship Id="rId105" Type="http://schemas.openxmlformats.org/officeDocument/2006/relationships/hyperlink" Target="https://pubmed.ncbi.nlm.nih.gov/38613283" TargetMode="External"/><Relationship Id="rId104" Type="http://schemas.openxmlformats.org/officeDocument/2006/relationships/hyperlink" Target="https://pubmed.ncbi.nlm.nih.gov/38553255" TargetMode="External"/><Relationship Id="rId109" Type="http://schemas.openxmlformats.org/officeDocument/2006/relationships/hyperlink" Target="https://pubmed.ncbi.nlm.nih.gov/38536623" TargetMode="External"/><Relationship Id="rId4680" Type="http://schemas.openxmlformats.org/officeDocument/2006/relationships/hyperlink" Target="https://pubmed.ncbi.nlm.nih.gov/25466853" TargetMode="External"/><Relationship Id="rId108" Type="http://schemas.openxmlformats.org/officeDocument/2006/relationships/hyperlink" Target="https://pubmed.ncbi.nlm.nih.gov/38549190" TargetMode="External"/><Relationship Id="rId3351" Type="http://schemas.openxmlformats.org/officeDocument/2006/relationships/hyperlink" Target="https://pubmed.ncbi.nlm.nih.gov/28481777" TargetMode="External"/><Relationship Id="rId4682" Type="http://schemas.openxmlformats.org/officeDocument/2006/relationships/hyperlink" Target="https://pubmed.ncbi.nlm.nih.gov/25360709" TargetMode="External"/><Relationship Id="rId2020" Type="http://schemas.openxmlformats.org/officeDocument/2006/relationships/hyperlink" Target="https://pubmed.ncbi.nlm.nih.gov/31688916" TargetMode="External"/><Relationship Id="rId3350" Type="http://schemas.openxmlformats.org/officeDocument/2006/relationships/hyperlink" Target="https://pubmed.ncbi.nlm.nih.gov/27733465" TargetMode="External"/><Relationship Id="rId4681" Type="http://schemas.openxmlformats.org/officeDocument/2006/relationships/hyperlink" Target="https://pubmed.ncbi.nlm.nih.gov/25814873" TargetMode="External"/><Relationship Id="rId2021" Type="http://schemas.openxmlformats.org/officeDocument/2006/relationships/hyperlink" Target="https://pubmed.ncbi.nlm.nih.gov/33160043" TargetMode="External"/><Relationship Id="rId3353" Type="http://schemas.openxmlformats.org/officeDocument/2006/relationships/hyperlink" Target="https://pubmed.ncbi.nlm.nih.gov/29303099" TargetMode="External"/><Relationship Id="rId4684" Type="http://schemas.openxmlformats.org/officeDocument/2006/relationships/hyperlink" Target="https://pubmed.ncbi.nlm.nih.gov/25350641" TargetMode="External"/><Relationship Id="rId2022" Type="http://schemas.openxmlformats.org/officeDocument/2006/relationships/hyperlink" Target="https://pubmed.ncbi.nlm.nih.gov/33144281" TargetMode="External"/><Relationship Id="rId3352" Type="http://schemas.openxmlformats.org/officeDocument/2006/relationships/hyperlink" Target="https://pubmed.ncbi.nlm.nih.gov/30379302" TargetMode="External"/><Relationship Id="rId4683" Type="http://schemas.openxmlformats.org/officeDocument/2006/relationships/hyperlink" Target="https://pubmed.ncbi.nlm.nih.gov/25814872" TargetMode="External"/><Relationship Id="rId103" Type="http://schemas.openxmlformats.org/officeDocument/2006/relationships/hyperlink" Target="https://pubmed.ncbi.nlm.nih.gov/38555708" TargetMode="External"/><Relationship Id="rId2023" Type="http://schemas.openxmlformats.org/officeDocument/2006/relationships/hyperlink" Target="https://pubmed.ncbi.nlm.nih.gov/33148765" TargetMode="External"/><Relationship Id="rId3355" Type="http://schemas.openxmlformats.org/officeDocument/2006/relationships/hyperlink" Target="https://pubmed.ncbi.nlm.nih.gov/29992851" TargetMode="External"/><Relationship Id="rId4686" Type="http://schemas.openxmlformats.org/officeDocument/2006/relationships/hyperlink" Target="https://pubmed.ncbi.nlm.nih.gov/25345927" TargetMode="External"/><Relationship Id="rId102" Type="http://schemas.openxmlformats.org/officeDocument/2006/relationships/hyperlink" Target="https://pubmed.ncbi.nlm.nih.gov/38353966" TargetMode="External"/><Relationship Id="rId2024" Type="http://schemas.openxmlformats.org/officeDocument/2006/relationships/hyperlink" Target="https://pubmed.ncbi.nlm.nih.gov/33148729" TargetMode="External"/><Relationship Id="rId3354" Type="http://schemas.openxmlformats.org/officeDocument/2006/relationships/hyperlink" Target="https://pubmed.ncbi.nlm.nih.gov/29561713" TargetMode="External"/><Relationship Id="rId4685" Type="http://schemas.openxmlformats.org/officeDocument/2006/relationships/hyperlink" Target="https://pubmed.ncbi.nlm.nih.gov/25349230" TargetMode="External"/><Relationship Id="rId101" Type="http://schemas.openxmlformats.org/officeDocument/2006/relationships/hyperlink" Target="https://pubmed.ncbi.nlm.nih.gov/38329746" TargetMode="External"/><Relationship Id="rId2025" Type="http://schemas.openxmlformats.org/officeDocument/2006/relationships/hyperlink" Target="https://pubmed.ncbi.nlm.nih.gov/33067862" TargetMode="External"/><Relationship Id="rId3357" Type="http://schemas.openxmlformats.org/officeDocument/2006/relationships/hyperlink" Target="https://pubmed.ncbi.nlm.nih.gov/29452776" TargetMode="External"/><Relationship Id="rId4688" Type="http://schemas.openxmlformats.org/officeDocument/2006/relationships/hyperlink" Target="https://pubmed.ncbi.nlm.nih.gov/25331207" TargetMode="External"/><Relationship Id="rId100" Type="http://schemas.openxmlformats.org/officeDocument/2006/relationships/hyperlink" Target="https://pubmed.ncbi.nlm.nih.gov/38334365" TargetMode="External"/><Relationship Id="rId2026" Type="http://schemas.openxmlformats.org/officeDocument/2006/relationships/hyperlink" Target="https://pubmed.ncbi.nlm.nih.gov/33160432" TargetMode="External"/><Relationship Id="rId3356" Type="http://schemas.openxmlformats.org/officeDocument/2006/relationships/hyperlink" Target="https://pubmed.ncbi.nlm.nih.gov/28858173" TargetMode="External"/><Relationship Id="rId4687" Type="http://schemas.openxmlformats.org/officeDocument/2006/relationships/hyperlink" Target="https://pubmed.ncbi.nlm.nih.gov/25342388" TargetMode="External"/><Relationship Id="rId2016" Type="http://schemas.openxmlformats.org/officeDocument/2006/relationships/hyperlink" Target="https://pubmed.ncbi.nlm.nih.gov/33188934" TargetMode="External"/><Relationship Id="rId3348" Type="http://schemas.openxmlformats.org/officeDocument/2006/relationships/hyperlink" Target="https://pubmed.ncbi.nlm.nih.gov/29341165" TargetMode="External"/><Relationship Id="rId4679" Type="http://schemas.openxmlformats.org/officeDocument/2006/relationships/hyperlink" Target="https://pubmed.ncbi.nlm.nih.gov/25389963" TargetMode="External"/><Relationship Id="rId2017" Type="http://schemas.openxmlformats.org/officeDocument/2006/relationships/hyperlink" Target="https://pubmed.ncbi.nlm.nih.gov/33186732" TargetMode="External"/><Relationship Id="rId3347" Type="http://schemas.openxmlformats.org/officeDocument/2006/relationships/hyperlink" Target="https://pubmed.ncbi.nlm.nih.gov/29630548" TargetMode="External"/><Relationship Id="rId4678" Type="http://schemas.openxmlformats.org/officeDocument/2006/relationships/hyperlink" Target="https://pubmed.ncbi.nlm.nih.gov/25365169" TargetMode="External"/><Relationship Id="rId2018" Type="http://schemas.openxmlformats.org/officeDocument/2006/relationships/hyperlink" Target="https://pubmed.ncbi.nlm.nih.gov/33167899" TargetMode="External"/><Relationship Id="rId2019" Type="http://schemas.openxmlformats.org/officeDocument/2006/relationships/hyperlink" Target="https://pubmed.ncbi.nlm.nih.gov/33158419" TargetMode="External"/><Relationship Id="rId3349" Type="http://schemas.openxmlformats.org/officeDocument/2006/relationships/hyperlink" Target="https://pubmed.ncbi.nlm.nih.gov/29473540" TargetMode="External"/><Relationship Id="rId3340" Type="http://schemas.openxmlformats.org/officeDocument/2006/relationships/hyperlink" Target="https://pubmed.ncbi.nlm.nih.gov/29314360" TargetMode="External"/><Relationship Id="rId4671" Type="http://schemas.openxmlformats.org/officeDocument/2006/relationships/hyperlink" Target="https://pubmed.ncbi.nlm.nih.gov/25398702" TargetMode="External"/><Relationship Id="rId4670" Type="http://schemas.openxmlformats.org/officeDocument/2006/relationships/hyperlink" Target="https://pubmed.ncbi.nlm.nih.gov/25398246" TargetMode="External"/><Relationship Id="rId2010" Type="http://schemas.openxmlformats.org/officeDocument/2006/relationships/hyperlink" Target="https://pubmed.ncbi.nlm.nih.gov/33126287" TargetMode="External"/><Relationship Id="rId3342" Type="http://schemas.openxmlformats.org/officeDocument/2006/relationships/hyperlink" Target="https://pubmed.ncbi.nlm.nih.gov/29298873" TargetMode="External"/><Relationship Id="rId4673" Type="http://schemas.openxmlformats.org/officeDocument/2006/relationships/hyperlink" Target="https://pubmed.ncbi.nlm.nih.gov/25464496" TargetMode="External"/><Relationship Id="rId2011" Type="http://schemas.openxmlformats.org/officeDocument/2006/relationships/hyperlink" Target="https://pubmed.ncbi.nlm.nih.gov/33189037" TargetMode="External"/><Relationship Id="rId3341" Type="http://schemas.openxmlformats.org/officeDocument/2006/relationships/hyperlink" Target="https://pubmed.ncbi.nlm.nih.gov/29140439" TargetMode="External"/><Relationship Id="rId4672" Type="http://schemas.openxmlformats.org/officeDocument/2006/relationships/hyperlink" Target="https://pubmed.ncbi.nlm.nih.gov/25447121" TargetMode="External"/><Relationship Id="rId2012" Type="http://schemas.openxmlformats.org/officeDocument/2006/relationships/hyperlink" Target="https://pubmed.ncbi.nlm.nih.gov/33176842" TargetMode="External"/><Relationship Id="rId3344" Type="http://schemas.openxmlformats.org/officeDocument/2006/relationships/hyperlink" Target="https://pubmed.ncbi.nlm.nih.gov/29614654" TargetMode="External"/><Relationship Id="rId4675" Type="http://schemas.openxmlformats.org/officeDocument/2006/relationships/hyperlink" Target="https://pubmed.ncbi.nlm.nih.gov/25369457" TargetMode="External"/><Relationship Id="rId2013" Type="http://schemas.openxmlformats.org/officeDocument/2006/relationships/hyperlink" Target="https://pubmed.ncbi.nlm.nih.gov/33177137" TargetMode="External"/><Relationship Id="rId3343" Type="http://schemas.openxmlformats.org/officeDocument/2006/relationships/hyperlink" Target="https://pubmed.ncbi.nlm.nih.gov/28763342" TargetMode="External"/><Relationship Id="rId4674" Type="http://schemas.openxmlformats.org/officeDocument/2006/relationships/hyperlink" Target="https://pubmed.ncbi.nlm.nih.gov/25349976" TargetMode="External"/><Relationship Id="rId2014" Type="http://schemas.openxmlformats.org/officeDocument/2006/relationships/hyperlink" Target="https://pubmed.ncbi.nlm.nih.gov/33187146" TargetMode="External"/><Relationship Id="rId3346" Type="http://schemas.openxmlformats.org/officeDocument/2006/relationships/hyperlink" Target="https://pubmed.ncbi.nlm.nih.gov/29188294" TargetMode="External"/><Relationship Id="rId4677" Type="http://schemas.openxmlformats.org/officeDocument/2006/relationships/hyperlink" Target="https://pubmed.ncbi.nlm.nih.gov/25366538" TargetMode="External"/><Relationship Id="rId2015" Type="http://schemas.openxmlformats.org/officeDocument/2006/relationships/hyperlink" Target="https://pubmed.ncbi.nlm.nih.gov/33174788" TargetMode="External"/><Relationship Id="rId3345" Type="http://schemas.openxmlformats.org/officeDocument/2006/relationships/hyperlink" Target="https://pubmed.ncbi.nlm.nih.gov/29874175" TargetMode="External"/><Relationship Id="rId4676" Type="http://schemas.openxmlformats.org/officeDocument/2006/relationships/hyperlink" Target="https://pubmed.ncbi.nlm.nih.gov/25459980" TargetMode="External"/><Relationship Id="rId2049" Type="http://schemas.openxmlformats.org/officeDocument/2006/relationships/hyperlink" Target="https://pubmed.ncbi.nlm.nih.gov/32961611" TargetMode="External"/><Relationship Id="rId129" Type="http://schemas.openxmlformats.org/officeDocument/2006/relationships/hyperlink" Target="https://pubmed.ncbi.nlm.nih.gov/38507885" TargetMode="External"/><Relationship Id="rId128" Type="http://schemas.openxmlformats.org/officeDocument/2006/relationships/hyperlink" Target="https://pubmed.ncbi.nlm.nih.gov/38479757" TargetMode="External"/><Relationship Id="rId127" Type="http://schemas.openxmlformats.org/officeDocument/2006/relationships/hyperlink" Target="https://pubmed.ncbi.nlm.nih.gov/38325403" TargetMode="External"/><Relationship Id="rId126" Type="http://schemas.openxmlformats.org/officeDocument/2006/relationships/hyperlink" Target="https://pubmed.ncbi.nlm.nih.gov/38483881" TargetMode="External"/><Relationship Id="rId3371" Type="http://schemas.openxmlformats.org/officeDocument/2006/relationships/hyperlink" Target="https://pubmed.ncbi.nlm.nih.gov/29246758" TargetMode="External"/><Relationship Id="rId2040" Type="http://schemas.openxmlformats.org/officeDocument/2006/relationships/hyperlink" Target="https://pubmed.ncbi.nlm.nih.gov/33109181" TargetMode="External"/><Relationship Id="rId3370" Type="http://schemas.openxmlformats.org/officeDocument/2006/relationships/hyperlink" Target="https://pubmed.ncbi.nlm.nih.gov/29235043" TargetMode="External"/><Relationship Id="rId121" Type="http://schemas.openxmlformats.org/officeDocument/2006/relationships/hyperlink" Target="https://pubmed.ncbi.nlm.nih.gov/38498510" TargetMode="External"/><Relationship Id="rId2041" Type="http://schemas.openxmlformats.org/officeDocument/2006/relationships/hyperlink" Target="https://pubmed.ncbi.nlm.nih.gov/33470195" TargetMode="External"/><Relationship Id="rId3373" Type="http://schemas.openxmlformats.org/officeDocument/2006/relationships/hyperlink" Target="https://pubmed.ncbi.nlm.nih.gov/29230852" TargetMode="External"/><Relationship Id="rId120" Type="http://schemas.openxmlformats.org/officeDocument/2006/relationships/hyperlink" Target="https://pubmed.ncbi.nlm.nih.gov/38504303" TargetMode="External"/><Relationship Id="rId2042" Type="http://schemas.openxmlformats.org/officeDocument/2006/relationships/hyperlink" Target="https://pubmed.ncbi.nlm.nih.gov/33409460" TargetMode="External"/><Relationship Id="rId3372" Type="http://schemas.openxmlformats.org/officeDocument/2006/relationships/hyperlink" Target="https://pubmed.ncbi.nlm.nih.gov/29232703" TargetMode="External"/><Relationship Id="rId2043" Type="http://schemas.openxmlformats.org/officeDocument/2006/relationships/hyperlink" Target="https://pubmed.ncbi.nlm.nih.gov/33084590" TargetMode="External"/><Relationship Id="rId3375" Type="http://schemas.openxmlformats.org/officeDocument/2006/relationships/hyperlink" Target="https://pubmed.ncbi.nlm.nih.gov/29159934" TargetMode="External"/><Relationship Id="rId2044" Type="http://schemas.openxmlformats.org/officeDocument/2006/relationships/hyperlink" Target="https://pubmed.ncbi.nlm.nih.gov/33082203" TargetMode="External"/><Relationship Id="rId3374" Type="http://schemas.openxmlformats.org/officeDocument/2006/relationships/hyperlink" Target="https://pubmed.ncbi.nlm.nih.gov/29228504" TargetMode="External"/><Relationship Id="rId125" Type="http://schemas.openxmlformats.org/officeDocument/2006/relationships/hyperlink" Target="https://pubmed.ncbi.nlm.nih.gov/38483860" TargetMode="External"/><Relationship Id="rId2045" Type="http://schemas.openxmlformats.org/officeDocument/2006/relationships/hyperlink" Target="https://pubmed.ncbi.nlm.nih.gov/32945600" TargetMode="External"/><Relationship Id="rId3377" Type="http://schemas.openxmlformats.org/officeDocument/2006/relationships/hyperlink" Target="https://pubmed.ncbi.nlm.nih.gov/29250529" TargetMode="External"/><Relationship Id="rId124" Type="http://schemas.openxmlformats.org/officeDocument/2006/relationships/hyperlink" Target="https://pubmed.ncbi.nlm.nih.gov/38492184" TargetMode="External"/><Relationship Id="rId2046" Type="http://schemas.openxmlformats.org/officeDocument/2006/relationships/hyperlink" Target="https://pubmed.ncbi.nlm.nih.gov/33212329" TargetMode="External"/><Relationship Id="rId3376" Type="http://schemas.openxmlformats.org/officeDocument/2006/relationships/hyperlink" Target="https://pubmed.ncbi.nlm.nih.gov/29156501" TargetMode="External"/><Relationship Id="rId123" Type="http://schemas.openxmlformats.org/officeDocument/2006/relationships/hyperlink" Target="https://pubmed.ncbi.nlm.nih.gov/38493278" TargetMode="External"/><Relationship Id="rId2047" Type="http://schemas.openxmlformats.org/officeDocument/2006/relationships/hyperlink" Target="https://pubmed.ncbi.nlm.nih.gov/33091462" TargetMode="External"/><Relationship Id="rId3379" Type="http://schemas.openxmlformats.org/officeDocument/2006/relationships/hyperlink" Target="https://pubmed.ncbi.nlm.nih.gov/29211781" TargetMode="External"/><Relationship Id="rId122" Type="http://schemas.openxmlformats.org/officeDocument/2006/relationships/hyperlink" Target="https://pubmed.ncbi.nlm.nih.gov/38497097" TargetMode="External"/><Relationship Id="rId2048" Type="http://schemas.openxmlformats.org/officeDocument/2006/relationships/hyperlink" Target="https://pubmed.ncbi.nlm.nih.gov/33070637" TargetMode="External"/><Relationship Id="rId3378" Type="http://schemas.openxmlformats.org/officeDocument/2006/relationships/hyperlink" Target="https://pubmed.ncbi.nlm.nih.gov/29292751" TargetMode="External"/><Relationship Id="rId2038" Type="http://schemas.openxmlformats.org/officeDocument/2006/relationships/hyperlink" Target="https://pubmed.ncbi.nlm.nih.gov/33121502" TargetMode="External"/><Relationship Id="rId2039" Type="http://schemas.openxmlformats.org/officeDocument/2006/relationships/hyperlink" Target="https://pubmed.ncbi.nlm.nih.gov/32788172" TargetMode="External"/><Relationship Id="rId3369" Type="http://schemas.openxmlformats.org/officeDocument/2006/relationships/hyperlink" Target="https://pubmed.ncbi.nlm.nih.gov/31985738" TargetMode="External"/><Relationship Id="rId118" Type="http://schemas.openxmlformats.org/officeDocument/2006/relationships/hyperlink" Target="https://pubmed.ncbi.nlm.nih.gov/38513295" TargetMode="External"/><Relationship Id="rId117" Type="http://schemas.openxmlformats.org/officeDocument/2006/relationships/hyperlink" Target="https://pubmed.ncbi.nlm.nih.gov/38521534" TargetMode="External"/><Relationship Id="rId116" Type="http://schemas.openxmlformats.org/officeDocument/2006/relationships/hyperlink" Target="https://pubmed.ncbi.nlm.nih.gov/38583349" TargetMode="External"/><Relationship Id="rId115" Type="http://schemas.openxmlformats.org/officeDocument/2006/relationships/hyperlink" Target="https://pubmed.ncbi.nlm.nih.gov/38526832" TargetMode="External"/><Relationship Id="rId3360" Type="http://schemas.openxmlformats.org/officeDocument/2006/relationships/hyperlink" Target="https://pubmed.ncbi.nlm.nih.gov/29281632" TargetMode="External"/><Relationship Id="rId4691" Type="http://schemas.openxmlformats.org/officeDocument/2006/relationships/hyperlink" Target="https://pubmed.ncbi.nlm.nih.gov/25326543" TargetMode="External"/><Relationship Id="rId119" Type="http://schemas.openxmlformats.org/officeDocument/2006/relationships/hyperlink" Target="https://pubmed.ncbi.nlm.nih.gov/38513054" TargetMode="External"/><Relationship Id="rId4690" Type="http://schemas.openxmlformats.org/officeDocument/2006/relationships/hyperlink" Target="https://pubmed.ncbi.nlm.nih.gov/25327666" TargetMode="External"/><Relationship Id="rId110" Type="http://schemas.openxmlformats.org/officeDocument/2006/relationships/hyperlink" Target="https://pubmed.ncbi.nlm.nih.gov/38539092" TargetMode="External"/><Relationship Id="rId2030" Type="http://schemas.openxmlformats.org/officeDocument/2006/relationships/hyperlink" Target="https://pubmed.ncbi.nlm.nih.gov/33275365" TargetMode="External"/><Relationship Id="rId3362" Type="http://schemas.openxmlformats.org/officeDocument/2006/relationships/hyperlink" Target="https://pubmed.ncbi.nlm.nih.gov/29273807" TargetMode="External"/><Relationship Id="rId4693" Type="http://schemas.openxmlformats.org/officeDocument/2006/relationships/hyperlink" Target="https://pubmed.ncbi.nlm.nih.gov/25315630" TargetMode="External"/><Relationship Id="rId2031" Type="http://schemas.openxmlformats.org/officeDocument/2006/relationships/hyperlink" Target="https://pubmed.ncbi.nlm.nih.gov/32712659" TargetMode="External"/><Relationship Id="rId3361" Type="http://schemas.openxmlformats.org/officeDocument/2006/relationships/hyperlink" Target="https://pubmed.ncbi.nlm.nih.gov/29277281" TargetMode="External"/><Relationship Id="rId4692" Type="http://schemas.openxmlformats.org/officeDocument/2006/relationships/hyperlink" Target="https://pubmed.ncbi.nlm.nih.gov/25448083" TargetMode="External"/><Relationship Id="rId2032" Type="http://schemas.openxmlformats.org/officeDocument/2006/relationships/hyperlink" Target="https://pubmed.ncbi.nlm.nih.gov/33199288" TargetMode="External"/><Relationship Id="rId3364" Type="http://schemas.openxmlformats.org/officeDocument/2006/relationships/hyperlink" Target="https://pubmed.ncbi.nlm.nih.gov/29125709" TargetMode="External"/><Relationship Id="rId4695" Type="http://schemas.openxmlformats.org/officeDocument/2006/relationships/hyperlink" Target="https://pubmed.ncbi.nlm.nih.gov/25312840" TargetMode="External"/><Relationship Id="rId2033" Type="http://schemas.openxmlformats.org/officeDocument/2006/relationships/hyperlink" Target="https://pubmed.ncbi.nlm.nih.gov/33199211" TargetMode="External"/><Relationship Id="rId3363" Type="http://schemas.openxmlformats.org/officeDocument/2006/relationships/hyperlink" Target="https://pubmed.ncbi.nlm.nih.gov/31985737" TargetMode="External"/><Relationship Id="rId4694" Type="http://schemas.openxmlformats.org/officeDocument/2006/relationships/hyperlink" Target="https://pubmed.ncbi.nlm.nih.gov/25314315" TargetMode="External"/><Relationship Id="rId114" Type="http://schemas.openxmlformats.org/officeDocument/2006/relationships/hyperlink" Target="https://pubmed.ncbi.nlm.nih.gov/38530421" TargetMode="External"/><Relationship Id="rId2034" Type="http://schemas.openxmlformats.org/officeDocument/2006/relationships/hyperlink" Target="https://pubmed.ncbi.nlm.nih.gov/32997300" TargetMode="External"/><Relationship Id="rId3366" Type="http://schemas.openxmlformats.org/officeDocument/2006/relationships/hyperlink" Target="https://pubmed.ncbi.nlm.nih.gov/29260341" TargetMode="External"/><Relationship Id="rId4697" Type="http://schemas.openxmlformats.org/officeDocument/2006/relationships/hyperlink" Target="https://pubmed.ncbi.nlm.nih.gov/25305273" TargetMode="External"/><Relationship Id="rId113" Type="http://schemas.openxmlformats.org/officeDocument/2006/relationships/hyperlink" Target="https://pubmed.ncbi.nlm.nih.gov/38531663" TargetMode="External"/><Relationship Id="rId2035" Type="http://schemas.openxmlformats.org/officeDocument/2006/relationships/hyperlink" Target="https://pubmed.ncbi.nlm.nih.gov/33130236" TargetMode="External"/><Relationship Id="rId3365" Type="http://schemas.openxmlformats.org/officeDocument/2006/relationships/hyperlink" Target="https://pubmed.ncbi.nlm.nih.gov/30730122" TargetMode="External"/><Relationship Id="rId4696" Type="http://schemas.openxmlformats.org/officeDocument/2006/relationships/hyperlink" Target="https://pubmed.ncbi.nlm.nih.gov/25312436" TargetMode="External"/><Relationship Id="rId112" Type="http://schemas.openxmlformats.org/officeDocument/2006/relationships/hyperlink" Target="https://pubmed.ncbi.nlm.nih.gov/38530917" TargetMode="External"/><Relationship Id="rId2036" Type="http://schemas.openxmlformats.org/officeDocument/2006/relationships/hyperlink" Target="https://pubmed.ncbi.nlm.nih.gov/33127636" TargetMode="External"/><Relationship Id="rId3368" Type="http://schemas.openxmlformats.org/officeDocument/2006/relationships/hyperlink" Target="https://pubmed.ncbi.nlm.nih.gov/29246193" TargetMode="External"/><Relationship Id="rId4699" Type="http://schemas.openxmlformats.org/officeDocument/2006/relationships/hyperlink" Target="https://pubmed.ncbi.nlm.nih.gov/25301873" TargetMode="External"/><Relationship Id="rId111" Type="http://schemas.openxmlformats.org/officeDocument/2006/relationships/hyperlink" Target="https://pubmed.ncbi.nlm.nih.gov/38548105" TargetMode="External"/><Relationship Id="rId2037" Type="http://schemas.openxmlformats.org/officeDocument/2006/relationships/hyperlink" Target="https://pubmed.ncbi.nlm.nih.gov/33193594" TargetMode="External"/><Relationship Id="rId3367" Type="http://schemas.openxmlformats.org/officeDocument/2006/relationships/hyperlink" Target="https://pubmed.ncbi.nlm.nih.gov/29195607" TargetMode="External"/><Relationship Id="rId4698" Type="http://schemas.openxmlformats.org/officeDocument/2006/relationships/hyperlink" Target="https://pubmed.ncbi.nlm.nih.gov/25300475" TargetMode="External"/><Relationship Id="rId3315" Type="http://schemas.openxmlformats.org/officeDocument/2006/relationships/hyperlink" Target="https://pubmed.ncbi.nlm.nih.gov/29366842" TargetMode="External"/><Relationship Id="rId4646" Type="http://schemas.openxmlformats.org/officeDocument/2006/relationships/hyperlink" Target="https://pubmed.ncbi.nlm.nih.gov/25983639" TargetMode="External"/><Relationship Id="rId5978" Type="http://schemas.openxmlformats.org/officeDocument/2006/relationships/hyperlink" Target="https://pubmed.ncbi.nlm.nih.gov/11282795" TargetMode="External"/><Relationship Id="rId3314" Type="http://schemas.openxmlformats.org/officeDocument/2006/relationships/hyperlink" Target="https://pubmed.ncbi.nlm.nih.gov/29430296" TargetMode="External"/><Relationship Id="rId4645" Type="http://schemas.openxmlformats.org/officeDocument/2006/relationships/hyperlink" Target="https://pubmed.ncbi.nlm.nih.gov/25983635" TargetMode="External"/><Relationship Id="rId5979" Type="http://schemas.openxmlformats.org/officeDocument/2006/relationships/hyperlink" Target="https://pubmed.ncbi.nlm.nih.gov/11357897" TargetMode="External"/><Relationship Id="rId3317" Type="http://schemas.openxmlformats.org/officeDocument/2006/relationships/hyperlink" Target="https://pubmed.ncbi.nlm.nih.gov/29382337" TargetMode="External"/><Relationship Id="rId4648" Type="http://schemas.openxmlformats.org/officeDocument/2006/relationships/hyperlink" Target="https://pubmed.ncbi.nlm.nih.gov/25475110" TargetMode="External"/><Relationship Id="rId5976" Type="http://schemas.openxmlformats.org/officeDocument/2006/relationships/hyperlink" Target="https://pubmed.ncbi.nlm.nih.gov/11342803" TargetMode="External"/><Relationship Id="rId3316" Type="http://schemas.openxmlformats.org/officeDocument/2006/relationships/hyperlink" Target="https://pubmed.ncbi.nlm.nih.gov/29366725" TargetMode="External"/><Relationship Id="rId4647" Type="http://schemas.openxmlformats.org/officeDocument/2006/relationships/hyperlink" Target="https://pubmed.ncbi.nlm.nih.gov/25504922" TargetMode="External"/><Relationship Id="rId5977" Type="http://schemas.openxmlformats.org/officeDocument/2006/relationships/hyperlink" Target="https://pubmed.ncbi.nlm.nih.gov/11336172" TargetMode="External"/><Relationship Id="rId3319" Type="http://schemas.openxmlformats.org/officeDocument/2006/relationships/hyperlink" Target="https://pubmed.ncbi.nlm.nih.gov/29407113" TargetMode="External"/><Relationship Id="rId3318" Type="http://schemas.openxmlformats.org/officeDocument/2006/relationships/hyperlink" Target="https://pubmed.ncbi.nlm.nih.gov/29378652" TargetMode="External"/><Relationship Id="rId4649" Type="http://schemas.openxmlformats.org/officeDocument/2006/relationships/hyperlink" Target="https://pubmed.ncbi.nlm.nih.gov/25528311" TargetMode="External"/><Relationship Id="rId5970" Type="http://schemas.openxmlformats.org/officeDocument/2006/relationships/hyperlink" Target="https://pubmed.ncbi.nlm.nih.gov/11496277" TargetMode="External"/><Relationship Id="rId5971" Type="http://schemas.openxmlformats.org/officeDocument/2006/relationships/hyperlink" Target="https://pubmed.ncbi.nlm.nih.gov/11493498" TargetMode="External"/><Relationship Id="rId4640" Type="http://schemas.openxmlformats.org/officeDocument/2006/relationships/hyperlink" Target="https://pubmed.ncbi.nlm.nih.gov/25515605" TargetMode="External"/><Relationship Id="rId3311" Type="http://schemas.openxmlformats.org/officeDocument/2006/relationships/hyperlink" Target="https://pubmed.ncbi.nlm.nih.gov/29020414" TargetMode="External"/><Relationship Id="rId4642" Type="http://schemas.openxmlformats.org/officeDocument/2006/relationships/hyperlink" Target="https://pubmed.ncbi.nlm.nih.gov/24975428" TargetMode="External"/><Relationship Id="rId5974" Type="http://schemas.openxmlformats.org/officeDocument/2006/relationships/hyperlink" Target="https://pubmed.ncbi.nlm.nih.gov/11391826" TargetMode="External"/><Relationship Id="rId3310" Type="http://schemas.openxmlformats.org/officeDocument/2006/relationships/hyperlink" Target="https://pubmed.ncbi.nlm.nih.gov/29378734" TargetMode="External"/><Relationship Id="rId4641" Type="http://schemas.openxmlformats.org/officeDocument/2006/relationships/hyperlink" Target="https://pubmed.ncbi.nlm.nih.gov/25512466" TargetMode="External"/><Relationship Id="rId5975" Type="http://schemas.openxmlformats.org/officeDocument/2006/relationships/hyperlink" Target="https://pubmed.ncbi.nlm.nih.gov/11385074" TargetMode="External"/><Relationship Id="rId3313" Type="http://schemas.openxmlformats.org/officeDocument/2006/relationships/hyperlink" Target="https://pubmed.ncbi.nlm.nih.gov/29165596" TargetMode="External"/><Relationship Id="rId4644" Type="http://schemas.openxmlformats.org/officeDocument/2006/relationships/hyperlink" Target="https://pubmed.ncbi.nlm.nih.gov/25495680" TargetMode="External"/><Relationship Id="rId5972" Type="http://schemas.openxmlformats.org/officeDocument/2006/relationships/hyperlink" Target="https://pubmed.ncbi.nlm.nih.gov/11463678" TargetMode="External"/><Relationship Id="rId3312" Type="http://schemas.openxmlformats.org/officeDocument/2006/relationships/hyperlink" Target="https://pubmed.ncbi.nlm.nih.gov/29020273" TargetMode="External"/><Relationship Id="rId4643" Type="http://schemas.openxmlformats.org/officeDocument/2006/relationships/hyperlink" Target="https://pubmed.ncbi.nlm.nih.gov/25499398" TargetMode="External"/><Relationship Id="rId5973" Type="http://schemas.openxmlformats.org/officeDocument/2006/relationships/hyperlink" Target="https://pubmed.ncbi.nlm.nih.gov/11425768" TargetMode="External"/><Relationship Id="rId3304" Type="http://schemas.openxmlformats.org/officeDocument/2006/relationships/hyperlink" Target="https://pubmed.ncbi.nlm.nih.gov/29402234" TargetMode="External"/><Relationship Id="rId4635" Type="http://schemas.openxmlformats.org/officeDocument/2006/relationships/hyperlink" Target="https://pubmed.ncbi.nlm.nih.gov/25568948" TargetMode="External"/><Relationship Id="rId5967" Type="http://schemas.openxmlformats.org/officeDocument/2006/relationships/hyperlink" Target="https://pubmed.ncbi.nlm.nih.gov/11591611" TargetMode="External"/><Relationship Id="rId3303" Type="http://schemas.openxmlformats.org/officeDocument/2006/relationships/hyperlink" Target="https://pubmed.ncbi.nlm.nih.gov/29556334" TargetMode="External"/><Relationship Id="rId4634" Type="http://schemas.openxmlformats.org/officeDocument/2006/relationships/hyperlink" Target="https://pubmed.ncbi.nlm.nih.gov/25557025" TargetMode="External"/><Relationship Id="rId5968" Type="http://schemas.openxmlformats.org/officeDocument/2006/relationships/hyperlink" Target="https://pubmed.ncbi.nlm.nih.gov/11574180" TargetMode="External"/><Relationship Id="rId3306" Type="http://schemas.openxmlformats.org/officeDocument/2006/relationships/hyperlink" Target="https://pubmed.ncbi.nlm.nih.gov/29431129" TargetMode="External"/><Relationship Id="rId4637" Type="http://schemas.openxmlformats.org/officeDocument/2006/relationships/hyperlink" Target="https://pubmed.ncbi.nlm.nih.gov/25538164" TargetMode="External"/><Relationship Id="rId5965" Type="http://schemas.openxmlformats.org/officeDocument/2006/relationships/hyperlink" Target="https://pubmed.ncbi.nlm.nih.gov/11715592" TargetMode="External"/><Relationship Id="rId3305" Type="http://schemas.openxmlformats.org/officeDocument/2006/relationships/hyperlink" Target="https://pubmed.ncbi.nlm.nih.gov/31265009" TargetMode="External"/><Relationship Id="rId4636" Type="http://schemas.openxmlformats.org/officeDocument/2006/relationships/hyperlink" Target="https://pubmed.ncbi.nlm.nih.gov/25537361" TargetMode="External"/><Relationship Id="rId5966" Type="http://schemas.openxmlformats.org/officeDocument/2006/relationships/hyperlink" Target="https://pubmed.ncbi.nlm.nih.gov/11690574" TargetMode="External"/><Relationship Id="rId3308" Type="http://schemas.openxmlformats.org/officeDocument/2006/relationships/hyperlink" Target="https://pubmed.ncbi.nlm.nih.gov/29186403" TargetMode="External"/><Relationship Id="rId4639" Type="http://schemas.openxmlformats.org/officeDocument/2006/relationships/hyperlink" Target="https://pubmed.ncbi.nlm.nih.gov/25618615" TargetMode="External"/><Relationship Id="rId3307" Type="http://schemas.openxmlformats.org/officeDocument/2006/relationships/hyperlink" Target="https://pubmed.ncbi.nlm.nih.gov/29408573" TargetMode="External"/><Relationship Id="rId4638" Type="http://schemas.openxmlformats.org/officeDocument/2006/relationships/hyperlink" Target="https://pubmed.ncbi.nlm.nih.gov/25577762" TargetMode="External"/><Relationship Id="rId5969" Type="http://schemas.openxmlformats.org/officeDocument/2006/relationships/hyperlink" Target="https://pubmed.ncbi.nlm.nih.gov/11571598" TargetMode="External"/><Relationship Id="rId3309" Type="http://schemas.openxmlformats.org/officeDocument/2006/relationships/hyperlink" Target="https://pubmed.ncbi.nlm.nih.gov/29045339" TargetMode="External"/><Relationship Id="rId5960" Type="http://schemas.openxmlformats.org/officeDocument/2006/relationships/hyperlink" Target="https://pubmed.ncbi.nlm.nih.gov/11723317" TargetMode="External"/><Relationship Id="rId3300" Type="http://schemas.openxmlformats.org/officeDocument/2006/relationships/hyperlink" Target="https://pubmed.ncbi.nlm.nih.gov/29411690" TargetMode="External"/><Relationship Id="rId4631" Type="http://schemas.openxmlformats.org/officeDocument/2006/relationships/hyperlink" Target="https://pubmed.ncbi.nlm.nih.gov/25716098" TargetMode="External"/><Relationship Id="rId5963" Type="http://schemas.openxmlformats.org/officeDocument/2006/relationships/hyperlink" Target="https://pubmed.ncbi.nlm.nih.gov/11808715" TargetMode="External"/><Relationship Id="rId4630" Type="http://schemas.openxmlformats.org/officeDocument/2006/relationships/hyperlink" Target="https://pubmed.ncbi.nlm.nih.gov/25979276" TargetMode="External"/><Relationship Id="rId5964" Type="http://schemas.openxmlformats.org/officeDocument/2006/relationships/hyperlink" Target="https://pubmed.ncbi.nlm.nih.gov/11887980" TargetMode="External"/><Relationship Id="rId3302" Type="http://schemas.openxmlformats.org/officeDocument/2006/relationships/hyperlink" Target="https://pubmed.ncbi.nlm.nih.gov/29409456" TargetMode="External"/><Relationship Id="rId4633" Type="http://schemas.openxmlformats.org/officeDocument/2006/relationships/hyperlink" Target="https://pubmed.ncbi.nlm.nih.gov/25589378" TargetMode="External"/><Relationship Id="rId5961" Type="http://schemas.openxmlformats.org/officeDocument/2006/relationships/hyperlink" Target="https://pubmed.ncbi.nlm.nih.gov/11743565" TargetMode="External"/><Relationship Id="rId3301" Type="http://schemas.openxmlformats.org/officeDocument/2006/relationships/hyperlink" Target="https://pubmed.ncbi.nlm.nih.gov/31265006" TargetMode="External"/><Relationship Id="rId4632" Type="http://schemas.openxmlformats.org/officeDocument/2006/relationships/hyperlink" Target="https://pubmed.ncbi.nlm.nih.gov/25551194" TargetMode="External"/><Relationship Id="rId5962" Type="http://schemas.openxmlformats.org/officeDocument/2006/relationships/hyperlink" Target="https://pubmed.ncbi.nlm.nih.gov/11730815" TargetMode="External"/><Relationship Id="rId2005" Type="http://schemas.openxmlformats.org/officeDocument/2006/relationships/hyperlink" Target="https://pubmed.ncbi.nlm.nih.gov/35755626" TargetMode="External"/><Relationship Id="rId3337" Type="http://schemas.openxmlformats.org/officeDocument/2006/relationships/hyperlink" Target="https://pubmed.ncbi.nlm.nih.gov/29696231" TargetMode="External"/><Relationship Id="rId4668" Type="http://schemas.openxmlformats.org/officeDocument/2006/relationships/hyperlink" Target="https://pubmed.ncbi.nlm.nih.gov/25413660" TargetMode="External"/><Relationship Id="rId2006" Type="http://schemas.openxmlformats.org/officeDocument/2006/relationships/hyperlink" Target="https://pubmed.ncbi.nlm.nih.gov/33197787" TargetMode="External"/><Relationship Id="rId3336" Type="http://schemas.openxmlformats.org/officeDocument/2006/relationships/hyperlink" Target="https://pubmed.ncbi.nlm.nih.gov/29336835" TargetMode="External"/><Relationship Id="rId4667" Type="http://schemas.openxmlformats.org/officeDocument/2006/relationships/hyperlink" Target="https://pubmed.ncbi.nlm.nih.gov/25411421" TargetMode="External"/><Relationship Id="rId2007" Type="http://schemas.openxmlformats.org/officeDocument/2006/relationships/hyperlink" Target="https://pubmed.ncbi.nlm.nih.gov/33186365" TargetMode="External"/><Relationship Id="rId3339" Type="http://schemas.openxmlformats.org/officeDocument/2006/relationships/hyperlink" Target="https://pubmed.ncbi.nlm.nih.gov/29308539" TargetMode="External"/><Relationship Id="rId5998" Type="http://schemas.openxmlformats.org/officeDocument/2006/relationships/hyperlink" Target="https://pubmed.ncbi.nlm.nih.gov/10785870" TargetMode="External"/><Relationship Id="rId2008" Type="http://schemas.openxmlformats.org/officeDocument/2006/relationships/hyperlink" Target="https://pubmed.ncbi.nlm.nih.gov/33107078" TargetMode="External"/><Relationship Id="rId3338" Type="http://schemas.openxmlformats.org/officeDocument/2006/relationships/hyperlink" Target="https://pubmed.ncbi.nlm.nih.gov/29402765" TargetMode="External"/><Relationship Id="rId4669" Type="http://schemas.openxmlformats.org/officeDocument/2006/relationships/hyperlink" Target="https://pubmed.ncbi.nlm.nih.gov/25399231" TargetMode="External"/><Relationship Id="rId5999" Type="http://schemas.openxmlformats.org/officeDocument/2006/relationships/hyperlink" Target="https://pubmed.ncbi.nlm.nih.gov/10608988" TargetMode="External"/><Relationship Id="rId2009" Type="http://schemas.openxmlformats.org/officeDocument/2006/relationships/hyperlink" Target="https://pubmed.ncbi.nlm.nih.gov/33188205" TargetMode="External"/><Relationship Id="rId4660" Type="http://schemas.openxmlformats.org/officeDocument/2006/relationships/hyperlink" Target="https://pubmed.ncbi.nlm.nih.gov/25433444" TargetMode="External"/><Relationship Id="rId5992" Type="http://schemas.openxmlformats.org/officeDocument/2006/relationships/hyperlink" Target="https://pubmed.ncbi.nlm.nih.gov/10771372" TargetMode="External"/><Relationship Id="rId5993" Type="http://schemas.openxmlformats.org/officeDocument/2006/relationships/hyperlink" Target="https://pubmed.ncbi.nlm.nih.gov/10778719" TargetMode="External"/><Relationship Id="rId3331" Type="http://schemas.openxmlformats.org/officeDocument/2006/relationships/hyperlink" Target="https://pubmed.ncbi.nlm.nih.gov/29373261" TargetMode="External"/><Relationship Id="rId4662" Type="http://schemas.openxmlformats.org/officeDocument/2006/relationships/hyperlink" Target="https://pubmed.ncbi.nlm.nih.gov/25609324" TargetMode="External"/><Relationship Id="rId5990" Type="http://schemas.openxmlformats.org/officeDocument/2006/relationships/hyperlink" Target="https://pubmed.ncbi.nlm.nih.gov/11006924" TargetMode="External"/><Relationship Id="rId2000" Type="http://schemas.openxmlformats.org/officeDocument/2006/relationships/hyperlink" Target="https://pubmed.ncbi.nlm.nih.gov/33583723" TargetMode="External"/><Relationship Id="rId3330" Type="http://schemas.openxmlformats.org/officeDocument/2006/relationships/hyperlink" Target="https://pubmed.ncbi.nlm.nih.gov/29211629" TargetMode="External"/><Relationship Id="rId4661" Type="http://schemas.openxmlformats.org/officeDocument/2006/relationships/hyperlink" Target="https://pubmed.ncbi.nlm.nih.gov/25423343" TargetMode="External"/><Relationship Id="rId5991" Type="http://schemas.openxmlformats.org/officeDocument/2006/relationships/hyperlink" Target="https://pubmed.ncbi.nlm.nih.gov/10784248" TargetMode="External"/><Relationship Id="rId2001" Type="http://schemas.openxmlformats.org/officeDocument/2006/relationships/hyperlink" Target="https://pubmed.ncbi.nlm.nih.gov/33203632" TargetMode="External"/><Relationship Id="rId3333" Type="http://schemas.openxmlformats.org/officeDocument/2006/relationships/hyperlink" Target="https://pubmed.ncbi.nlm.nih.gov/31265008" TargetMode="External"/><Relationship Id="rId4664" Type="http://schemas.openxmlformats.org/officeDocument/2006/relationships/hyperlink" Target="https://pubmed.ncbi.nlm.nih.gov/25479491" TargetMode="External"/><Relationship Id="rId5996" Type="http://schemas.openxmlformats.org/officeDocument/2006/relationships/hyperlink" Target="https://pubmed.ncbi.nlm.nih.gov/10726709" TargetMode="External"/><Relationship Id="rId2002" Type="http://schemas.openxmlformats.org/officeDocument/2006/relationships/hyperlink" Target="https://pubmed.ncbi.nlm.nih.gov/33203707" TargetMode="External"/><Relationship Id="rId3332" Type="http://schemas.openxmlformats.org/officeDocument/2006/relationships/hyperlink" Target="https://pubmed.ncbi.nlm.nih.gov/29338756" TargetMode="External"/><Relationship Id="rId4663" Type="http://schemas.openxmlformats.org/officeDocument/2006/relationships/hyperlink" Target="https://pubmed.ncbi.nlm.nih.gov/25424228" TargetMode="External"/><Relationship Id="rId5997" Type="http://schemas.openxmlformats.org/officeDocument/2006/relationships/hyperlink" Target="https://pubmed.ncbi.nlm.nih.gov/10812587" TargetMode="External"/><Relationship Id="rId2003" Type="http://schemas.openxmlformats.org/officeDocument/2006/relationships/hyperlink" Target="https://pubmed.ncbi.nlm.nih.gov/33199917" TargetMode="External"/><Relationship Id="rId3335" Type="http://schemas.openxmlformats.org/officeDocument/2006/relationships/hyperlink" Target="https://pubmed.ncbi.nlm.nih.gov/31265005" TargetMode="External"/><Relationship Id="rId4666" Type="http://schemas.openxmlformats.org/officeDocument/2006/relationships/hyperlink" Target="https://pubmed.ncbi.nlm.nih.gov/25413652" TargetMode="External"/><Relationship Id="rId5994" Type="http://schemas.openxmlformats.org/officeDocument/2006/relationships/hyperlink" Target="https://pubmed.ncbi.nlm.nih.gov/10718805" TargetMode="External"/><Relationship Id="rId2004" Type="http://schemas.openxmlformats.org/officeDocument/2006/relationships/hyperlink" Target="https://pubmed.ncbi.nlm.nih.gov/33199855" TargetMode="External"/><Relationship Id="rId3334" Type="http://schemas.openxmlformats.org/officeDocument/2006/relationships/hyperlink" Target="https://pubmed.ncbi.nlm.nih.gov/29327942" TargetMode="External"/><Relationship Id="rId4665" Type="http://schemas.openxmlformats.org/officeDocument/2006/relationships/hyperlink" Target="https://pubmed.ncbi.nlm.nih.gov/25533223" TargetMode="External"/><Relationship Id="rId5995" Type="http://schemas.openxmlformats.org/officeDocument/2006/relationships/hyperlink" Target="https://pubmed.ncbi.nlm.nih.gov/11078274" TargetMode="External"/><Relationship Id="rId3326" Type="http://schemas.openxmlformats.org/officeDocument/2006/relationships/hyperlink" Target="https://pubmed.ncbi.nlm.nih.gov/29351789" TargetMode="External"/><Relationship Id="rId4657" Type="http://schemas.openxmlformats.org/officeDocument/2006/relationships/hyperlink" Target="https://pubmed.ncbi.nlm.nih.gov/25814877" TargetMode="External"/><Relationship Id="rId5989" Type="http://schemas.openxmlformats.org/officeDocument/2006/relationships/hyperlink" Target="https://pubmed.ncbi.nlm.nih.gov/10908955" TargetMode="External"/><Relationship Id="rId3325" Type="http://schemas.openxmlformats.org/officeDocument/2006/relationships/hyperlink" Target="https://pubmed.ncbi.nlm.nih.gov/29357728" TargetMode="External"/><Relationship Id="rId4656" Type="http://schemas.openxmlformats.org/officeDocument/2006/relationships/hyperlink" Target="https://pubmed.ncbi.nlm.nih.gov/25554520" TargetMode="External"/><Relationship Id="rId3328" Type="http://schemas.openxmlformats.org/officeDocument/2006/relationships/hyperlink" Target="https://pubmed.ncbi.nlm.nih.gov/29348301" TargetMode="External"/><Relationship Id="rId4659" Type="http://schemas.openxmlformats.org/officeDocument/2006/relationships/hyperlink" Target="https://pubmed.ncbi.nlm.nih.gov/25424603" TargetMode="External"/><Relationship Id="rId5987" Type="http://schemas.openxmlformats.org/officeDocument/2006/relationships/hyperlink" Target="https://pubmed.ncbi.nlm.nih.gov/11015342" TargetMode="External"/><Relationship Id="rId3327" Type="http://schemas.openxmlformats.org/officeDocument/2006/relationships/hyperlink" Target="https://pubmed.ncbi.nlm.nih.gov/29348126" TargetMode="External"/><Relationship Id="rId4658" Type="http://schemas.openxmlformats.org/officeDocument/2006/relationships/hyperlink" Target="https://pubmed.ncbi.nlm.nih.gov/25814875" TargetMode="External"/><Relationship Id="rId5988" Type="http://schemas.openxmlformats.org/officeDocument/2006/relationships/hyperlink" Target="https://pubmed.ncbi.nlm.nih.gov/10962122" TargetMode="External"/><Relationship Id="rId3329" Type="http://schemas.openxmlformats.org/officeDocument/2006/relationships/hyperlink" Target="https://pubmed.ncbi.nlm.nih.gov/29020305" TargetMode="External"/><Relationship Id="rId5981" Type="http://schemas.openxmlformats.org/officeDocument/2006/relationships/hyperlink" Target="https://pubmed.ncbi.nlm.nih.gov/11246539" TargetMode="External"/><Relationship Id="rId5982" Type="http://schemas.openxmlformats.org/officeDocument/2006/relationships/hyperlink" Target="https://pubmed.ncbi.nlm.nih.gov/11244207" TargetMode="External"/><Relationship Id="rId3320" Type="http://schemas.openxmlformats.org/officeDocument/2006/relationships/hyperlink" Target="https://pubmed.ncbi.nlm.nih.gov/29374102" TargetMode="External"/><Relationship Id="rId4651" Type="http://schemas.openxmlformats.org/officeDocument/2006/relationships/hyperlink" Target="https://pubmed.ncbi.nlm.nih.gov/25451337" TargetMode="External"/><Relationship Id="rId4650" Type="http://schemas.openxmlformats.org/officeDocument/2006/relationships/hyperlink" Target="https://pubmed.ncbi.nlm.nih.gov/25983636" TargetMode="External"/><Relationship Id="rId5980" Type="http://schemas.openxmlformats.org/officeDocument/2006/relationships/hyperlink" Target="https://pubmed.ncbi.nlm.nih.gov/11241122" TargetMode="External"/><Relationship Id="rId3322" Type="http://schemas.openxmlformats.org/officeDocument/2006/relationships/hyperlink" Target="https://pubmed.ncbi.nlm.nih.gov/29193555" TargetMode="External"/><Relationship Id="rId4653" Type="http://schemas.openxmlformats.org/officeDocument/2006/relationships/hyperlink" Target="https://pubmed.ncbi.nlm.nih.gov/24995713" TargetMode="External"/><Relationship Id="rId5985" Type="http://schemas.openxmlformats.org/officeDocument/2006/relationships/hyperlink" Target="https://pubmed.ncbi.nlm.nih.gov/11134377" TargetMode="External"/><Relationship Id="rId3321" Type="http://schemas.openxmlformats.org/officeDocument/2006/relationships/hyperlink" Target="https://pubmed.ncbi.nlm.nih.gov/29370709" TargetMode="External"/><Relationship Id="rId4652" Type="http://schemas.openxmlformats.org/officeDocument/2006/relationships/hyperlink" Target="https://pubmed.ncbi.nlm.nih.gov/25452435" TargetMode="External"/><Relationship Id="rId5986" Type="http://schemas.openxmlformats.org/officeDocument/2006/relationships/hyperlink" Target="https://pubmed.ncbi.nlm.nih.gov/11154144" TargetMode="External"/><Relationship Id="rId3324" Type="http://schemas.openxmlformats.org/officeDocument/2006/relationships/hyperlink" Target="https://pubmed.ncbi.nlm.nih.gov/29363538" TargetMode="External"/><Relationship Id="rId4655" Type="http://schemas.openxmlformats.org/officeDocument/2006/relationships/hyperlink" Target="https://pubmed.ncbi.nlm.nih.gov/25485737" TargetMode="External"/><Relationship Id="rId5983" Type="http://schemas.openxmlformats.org/officeDocument/2006/relationships/hyperlink" Target="https://pubmed.ncbi.nlm.nih.gov/11687110" TargetMode="External"/><Relationship Id="rId3323" Type="http://schemas.openxmlformats.org/officeDocument/2006/relationships/hyperlink" Target="https://pubmed.ncbi.nlm.nih.gov/29362800" TargetMode="External"/><Relationship Id="rId4654" Type="http://schemas.openxmlformats.org/officeDocument/2006/relationships/hyperlink" Target="https://pubmed.ncbi.nlm.nih.gov/25554536" TargetMode="External"/><Relationship Id="rId5984" Type="http://schemas.openxmlformats.org/officeDocument/2006/relationships/hyperlink" Target="https://pubmed.ncbi.nlm.nih.gov/12380720" TargetMode="External"/><Relationship Id="rId2090" Type="http://schemas.openxmlformats.org/officeDocument/2006/relationships/hyperlink" Target="https://pubmed.ncbi.nlm.nih.gov/32961317" TargetMode="External"/><Relationship Id="rId2091" Type="http://schemas.openxmlformats.org/officeDocument/2006/relationships/hyperlink" Target="https://pubmed.ncbi.nlm.nih.gov/32950087" TargetMode="External"/><Relationship Id="rId2092" Type="http://schemas.openxmlformats.org/officeDocument/2006/relationships/hyperlink" Target="https://pubmed.ncbi.nlm.nih.gov/32948578" TargetMode="External"/><Relationship Id="rId2093" Type="http://schemas.openxmlformats.org/officeDocument/2006/relationships/hyperlink" Target="https://pubmed.ncbi.nlm.nih.gov/32943009" TargetMode="External"/><Relationship Id="rId2094" Type="http://schemas.openxmlformats.org/officeDocument/2006/relationships/hyperlink" Target="https://pubmed.ncbi.nlm.nih.gov/32940966" TargetMode="External"/><Relationship Id="rId2095" Type="http://schemas.openxmlformats.org/officeDocument/2006/relationships/hyperlink" Target="https://pubmed.ncbi.nlm.nih.gov/33011551" TargetMode="External"/><Relationship Id="rId2096" Type="http://schemas.openxmlformats.org/officeDocument/2006/relationships/hyperlink" Target="https://pubmed.ncbi.nlm.nih.gov/32943071" TargetMode="External"/><Relationship Id="rId2097" Type="http://schemas.openxmlformats.org/officeDocument/2006/relationships/hyperlink" Target="https://pubmed.ncbi.nlm.nih.gov/33627223" TargetMode="External"/><Relationship Id="rId2098" Type="http://schemas.openxmlformats.org/officeDocument/2006/relationships/hyperlink" Target="https://pubmed.ncbi.nlm.nih.gov/32938660" TargetMode="External"/><Relationship Id="rId2099" Type="http://schemas.openxmlformats.org/officeDocument/2006/relationships/hyperlink" Target="https://pubmed.ncbi.nlm.nih.gov/32930469" TargetMode="External"/><Relationship Id="rId3391" Type="http://schemas.openxmlformats.org/officeDocument/2006/relationships/hyperlink" Target="https://pubmed.ncbi.nlm.nih.gov/29183843" TargetMode="External"/><Relationship Id="rId2060" Type="http://schemas.openxmlformats.org/officeDocument/2006/relationships/hyperlink" Target="https://pubmed.ncbi.nlm.nih.gov/33030601" TargetMode="External"/><Relationship Id="rId3390" Type="http://schemas.openxmlformats.org/officeDocument/2006/relationships/hyperlink" Target="https://pubmed.ncbi.nlm.nih.gov/29172801" TargetMode="External"/><Relationship Id="rId2061" Type="http://schemas.openxmlformats.org/officeDocument/2006/relationships/hyperlink" Target="https://pubmed.ncbi.nlm.nih.gov/33075722" TargetMode="External"/><Relationship Id="rId3393" Type="http://schemas.openxmlformats.org/officeDocument/2006/relationships/hyperlink" Target="https://pubmed.ncbi.nlm.nih.gov/29169331" TargetMode="External"/><Relationship Id="rId2062" Type="http://schemas.openxmlformats.org/officeDocument/2006/relationships/hyperlink" Target="https://pubmed.ncbi.nlm.nih.gov/33033026" TargetMode="External"/><Relationship Id="rId3392" Type="http://schemas.openxmlformats.org/officeDocument/2006/relationships/hyperlink" Target="https://pubmed.ncbi.nlm.nih.gov/31999283" TargetMode="External"/><Relationship Id="rId2063" Type="http://schemas.openxmlformats.org/officeDocument/2006/relationships/hyperlink" Target="https://pubmed.ncbi.nlm.nih.gov/32876697" TargetMode="External"/><Relationship Id="rId3395" Type="http://schemas.openxmlformats.org/officeDocument/2006/relationships/hyperlink" Target="https://pubmed.ncbi.nlm.nih.gov/29047167" TargetMode="External"/><Relationship Id="rId2064" Type="http://schemas.openxmlformats.org/officeDocument/2006/relationships/hyperlink" Target="https://pubmed.ncbi.nlm.nih.gov/33075684" TargetMode="External"/><Relationship Id="rId3394" Type="http://schemas.openxmlformats.org/officeDocument/2006/relationships/hyperlink" Target="https://pubmed.ncbi.nlm.nih.gov/29279154" TargetMode="External"/><Relationship Id="rId2065" Type="http://schemas.openxmlformats.org/officeDocument/2006/relationships/hyperlink" Target="https://pubmed.ncbi.nlm.nih.gov/33023386" TargetMode="External"/><Relationship Id="rId3397" Type="http://schemas.openxmlformats.org/officeDocument/2006/relationships/hyperlink" Target="https://pubmed.ncbi.nlm.nih.gov/29114882" TargetMode="External"/><Relationship Id="rId2066" Type="http://schemas.openxmlformats.org/officeDocument/2006/relationships/hyperlink" Target="https://pubmed.ncbi.nlm.nih.gov/33031834" TargetMode="External"/><Relationship Id="rId3396" Type="http://schemas.openxmlformats.org/officeDocument/2006/relationships/hyperlink" Target="https://pubmed.ncbi.nlm.nih.gov/29159468" TargetMode="External"/><Relationship Id="rId2067" Type="http://schemas.openxmlformats.org/officeDocument/2006/relationships/hyperlink" Target="https://pubmed.ncbi.nlm.nih.gov/33041374" TargetMode="External"/><Relationship Id="rId3399" Type="http://schemas.openxmlformats.org/officeDocument/2006/relationships/hyperlink" Target="https://pubmed.ncbi.nlm.nih.gov/28531259" TargetMode="External"/><Relationship Id="rId2068" Type="http://schemas.openxmlformats.org/officeDocument/2006/relationships/hyperlink" Target="https://pubmed.ncbi.nlm.nih.gov/33025718" TargetMode="External"/><Relationship Id="rId3398" Type="http://schemas.openxmlformats.org/officeDocument/2006/relationships/hyperlink" Target="https://pubmed.ncbi.nlm.nih.gov/29158101" TargetMode="External"/><Relationship Id="rId2069" Type="http://schemas.openxmlformats.org/officeDocument/2006/relationships/hyperlink" Target="https://pubmed.ncbi.nlm.nih.gov/33043055" TargetMode="External"/><Relationship Id="rId3380" Type="http://schemas.openxmlformats.org/officeDocument/2006/relationships/hyperlink" Target="https://pubmed.ncbi.nlm.nih.gov/29220738" TargetMode="External"/><Relationship Id="rId2050" Type="http://schemas.openxmlformats.org/officeDocument/2006/relationships/hyperlink" Target="https://pubmed.ncbi.nlm.nih.gov/33068157" TargetMode="External"/><Relationship Id="rId3382" Type="http://schemas.openxmlformats.org/officeDocument/2006/relationships/hyperlink" Target="https://pubmed.ncbi.nlm.nih.gov/29135620" TargetMode="External"/><Relationship Id="rId2051" Type="http://schemas.openxmlformats.org/officeDocument/2006/relationships/hyperlink" Target="https://pubmed.ncbi.nlm.nih.gov/32609841" TargetMode="External"/><Relationship Id="rId3381" Type="http://schemas.openxmlformats.org/officeDocument/2006/relationships/hyperlink" Target="https://pubmed.ncbi.nlm.nih.gov/29040566" TargetMode="External"/><Relationship Id="rId2052" Type="http://schemas.openxmlformats.org/officeDocument/2006/relationships/hyperlink" Target="https://pubmed.ncbi.nlm.nih.gov/33067404" TargetMode="External"/><Relationship Id="rId3384" Type="http://schemas.openxmlformats.org/officeDocument/2006/relationships/hyperlink" Target="https://pubmed.ncbi.nlm.nih.gov/29203253" TargetMode="External"/><Relationship Id="rId2053" Type="http://schemas.openxmlformats.org/officeDocument/2006/relationships/hyperlink" Target="https://pubmed.ncbi.nlm.nih.gov/33067329" TargetMode="External"/><Relationship Id="rId3383" Type="http://schemas.openxmlformats.org/officeDocument/2006/relationships/hyperlink" Target="https://pubmed.ncbi.nlm.nih.gov/29040549" TargetMode="External"/><Relationship Id="rId2054" Type="http://schemas.openxmlformats.org/officeDocument/2006/relationships/hyperlink" Target="https://pubmed.ncbi.nlm.nih.gov/33064751" TargetMode="External"/><Relationship Id="rId3386" Type="http://schemas.openxmlformats.org/officeDocument/2006/relationships/hyperlink" Target="https://pubmed.ncbi.nlm.nih.gov/29187185" TargetMode="External"/><Relationship Id="rId2055" Type="http://schemas.openxmlformats.org/officeDocument/2006/relationships/hyperlink" Target="https://pubmed.ncbi.nlm.nih.gov/32459724" TargetMode="External"/><Relationship Id="rId3385" Type="http://schemas.openxmlformats.org/officeDocument/2006/relationships/hyperlink" Target="https://pubmed.ncbi.nlm.nih.gov/29190731" TargetMode="External"/><Relationship Id="rId2056" Type="http://schemas.openxmlformats.org/officeDocument/2006/relationships/hyperlink" Target="https://pubmed.ncbi.nlm.nih.gov/33048171" TargetMode="External"/><Relationship Id="rId3388" Type="http://schemas.openxmlformats.org/officeDocument/2006/relationships/hyperlink" Target="https://pubmed.ncbi.nlm.nih.gov/29183348" TargetMode="External"/><Relationship Id="rId2057" Type="http://schemas.openxmlformats.org/officeDocument/2006/relationships/hyperlink" Target="https://pubmed.ncbi.nlm.nih.gov/33046804" TargetMode="External"/><Relationship Id="rId3387" Type="http://schemas.openxmlformats.org/officeDocument/2006/relationships/hyperlink" Target="https://pubmed.ncbi.nlm.nih.gov/28975717" TargetMode="External"/><Relationship Id="rId2058" Type="http://schemas.openxmlformats.org/officeDocument/2006/relationships/hyperlink" Target="https://pubmed.ncbi.nlm.nih.gov/33032737" TargetMode="External"/><Relationship Id="rId2059" Type="http://schemas.openxmlformats.org/officeDocument/2006/relationships/hyperlink" Target="https://pubmed.ncbi.nlm.nih.gov/32969132" TargetMode="External"/><Relationship Id="rId3389" Type="http://schemas.openxmlformats.org/officeDocument/2006/relationships/hyperlink" Target="https://pubmed.ncbi.nlm.nih.gov/29183869" TargetMode="External"/><Relationship Id="rId2080" Type="http://schemas.openxmlformats.org/officeDocument/2006/relationships/hyperlink" Target="https://pubmed.ncbi.nlm.nih.gov/32987048" TargetMode="External"/><Relationship Id="rId2081" Type="http://schemas.openxmlformats.org/officeDocument/2006/relationships/hyperlink" Target="https://pubmed.ncbi.nlm.nih.gov/33034503" TargetMode="External"/><Relationship Id="rId2082" Type="http://schemas.openxmlformats.org/officeDocument/2006/relationships/hyperlink" Target="https://pubmed.ncbi.nlm.nih.gov/32981780" TargetMode="External"/><Relationship Id="rId2083" Type="http://schemas.openxmlformats.org/officeDocument/2006/relationships/hyperlink" Target="https://pubmed.ncbi.nlm.nih.gov/32972484" TargetMode="External"/><Relationship Id="rId2084" Type="http://schemas.openxmlformats.org/officeDocument/2006/relationships/hyperlink" Target="https://pubmed.ncbi.nlm.nih.gov/33201640" TargetMode="External"/><Relationship Id="rId2085" Type="http://schemas.openxmlformats.org/officeDocument/2006/relationships/hyperlink" Target="https://pubmed.ncbi.nlm.nih.gov/32960390" TargetMode="External"/><Relationship Id="rId2086" Type="http://schemas.openxmlformats.org/officeDocument/2006/relationships/hyperlink" Target="https://pubmed.ncbi.nlm.nih.gov/32984794" TargetMode="External"/><Relationship Id="rId2087" Type="http://schemas.openxmlformats.org/officeDocument/2006/relationships/hyperlink" Target="https://pubmed.ncbi.nlm.nih.gov/32971253" TargetMode="External"/><Relationship Id="rId2088" Type="http://schemas.openxmlformats.org/officeDocument/2006/relationships/hyperlink" Target="https://pubmed.ncbi.nlm.nih.gov/32951451" TargetMode="External"/><Relationship Id="rId2089" Type="http://schemas.openxmlformats.org/officeDocument/2006/relationships/hyperlink" Target="https://pubmed.ncbi.nlm.nih.gov/32979728" TargetMode="External"/><Relationship Id="rId2070" Type="http://schemas.openxmlformats.org/officeDocument/2006/relationships/hyperlink" Target="https://pubmed.ncbi.nlm.nih.gov/32892431" TargetMode="External"/><Relationship Id="rId2071" Type="http://schemas.openxmlformats.org/officeDocument/2006/relationships/hyperlink" Target="https://pubmed.ncbi.nlm.nih.gov/33065497" TargetMode="External"/><Relationship Id="rId2072" Type="http://schemas.openxmlformats.org/officeDocument/2006/relationships/hyperlink" Target="https://pubmed.ncbi.nlm.nih.gov/33023009" TargetMode="External"/><Relationship Id="rId2073" Type="http://schemas.openxmlformats.org/officeDocument/2006/relationships/hyperlink" Target="https://pubmed.ncbi.nlm.nih.gov/33008875" TargetMode="External"/><Relationship Id="rId2074" Type="http://schemas.openxmlformats.org/officeDocument/2006/relationships/hyperlink" Target="https://pubmed.ncbi.nlm.nih.gov/32839161" TargetMode="External"/><Relationship Id="rId2075" Type="http://schemas.openxmlformats.org/officeDocument/2006/relationships/hyperlink" Target="https://pubmed.ncbi.nlm.nih.gov/33001268" TargetMode="External"/><Relationship Id="rId2076" Type="http://schemas.openxmlformats.org/officeDocument/2006/relationships/hyperlink" Target="https://pubmed.ncbi.nlm.nih.gov/32394366" TargetMode="External"/><Relationship Id="rId2077" Type="http://schemas.openxmlformats.org/officeDocument/2006/relationships/hyperlink" Target="https://pubmed.ncbi.nlm.nih.gov/33023896" TargetMode="External"/><Relationship Id="rId2078" Type="http://schemas.openxmlformats.org/officeDocument/2006/relationships/hyperlink" Target="https://pubmed.ncbi.nlm.nih.gov/33011127" TargetMode="External"/><Relationship Id="rId2079" Type="http://schemas.openxmlformats.org/officeDocument/2006/relationships/hyperlink" Target="https://pubmed.ncbi.nlm.nih.gov/32979922" TargetMode="External"/><Relationship Id="rId4723" Type="http://schemas.openxmlformats.org/officeDocument/2006/relationships/hyperlink" Target="https://pubmed.ncbi.nlm.nih.gov/25216820" TargetMode="External"/><Relationship Id="rId4722" Type="http://schemas.openxmlformats.org/officeDocument/2006/relationships/hyperlink" Target="https://pubmed.ncbi.nlm.nih.gov/25216665" TargetMode="External"/><Relationship Id="rId4725" Type="http://schemas.openxmlformats.org/officeDocument/2006/relationships/hyperlink" Target="https://pubmed.ncbi.nlm.nih.gov/27326186" TargetMode="External"/><Relationship Id="rId4724" Type="http://schemas.openxmlformats.org/officeDocument/2006/relationships/hyperlink" Target="https://pubmed.ncbi.nlm.nih.gov/25189994" TargetMode="External"/><Relationship Id="rId4727" Type="http://schemas.openxmlformats.org/officeDocument/2006/relationships/hyperlink" Target="https://pubmed.ncbi.nlm.nih.gov/25076152" TargetMode="External"/><Relationship Id="rId4726" Type="http://schemas.openxmlformats.org/officeDocument/2006/relationships/hyperlink" Target="https://pubmed.ncbi.nlm.nih.gov/25168506" TargetMode="External"/><Relationship Id="rId4729" Type="http://schemas.openxmlformats.org/officeDocument/2006/relationships/hyperlink" Target="https://pubmed.ncbi.nlm.nih.gov/25169974" TargetMode="External"/><Relationship Id="rId4728" Type="http://schemas.openxmlformats.org/officeDocument/2006/relationships/hyperlink" Target="https://pubmed.ncbi.nlm.nih.gov/25179855" TargetMode="External"/><Relationship Id="rId4721" Type="http://schemas.openxmlformats.org/officeDocument/2006/relationships/hyperlink" Target="https://pubmed.ncbi.nlm.nih.gov/25238218" TargetMode="External"/><Relationship Id="rId4720" Type="http://schemas.openxmlformats.org/officeDocument/2006/relationships/hyperlink" Target="https://pubmed.ncbi.nlm.nih.gov/25277123" TargetMode="External"/><Relationship Id="rId4712" Type="http://schemas.openxmlformats.org/officeDocument/2006/relationships/hyperlink" Target="https://pubmed.ncbi.nlm.nih.gov/25260489" TargetMode="External"/><Relationship Id="rId4711" Type="http://schemas.openxmlformats.org/officeDocument/2006/relationships/hyperlink" Target="https://pubmed.ncbi.nlm.nih.gov/25257889" TargetMode="External"/><Relationship Id="rId4714" Type="http://schemas.openxmlformats.org/officeDocument/2006/relationships/hyperlink" Target="https://pubmed.ncbi.nlm.nih.gov/25242609" TargetMode="External"/><Relationship Id="rId4713" Type="http://schemas.openxmlformats.org/officeDocument/2006/relationships/hyperlink" Target="https://pubmed.ncbi.nlm.nih.gov/25262344" TargetMode="External"/><Relationship Id="rId4716" Type="http://schemas.openxmlformats.org/officeDocument/2006/relationships/hyperlink" Target="https://pubmed.ncbi.nlm.nih.gov/25230736" TargetMode="External"/><Relationship Id="rId4715" Type="http://schemas.openxmlformats.org/officeDocument/2006/relationships/hyperlink" Target="https://pubmed.ncbi.nlm.nih.gov/25236872" TargetMode="External"/><Relationship Id="rId4718" Type="http://schemas.openxmlformats.org/officeDocument/2006/relationships/hyperlink" Target="https://pubmed.ncbi.nlm.nih.gov/25236585" TargetMode="External"/><Relationship Id="rId4717" Type="http://schemas.openxmlformats.org/officeDocument/2006/relationships/hyperlink" Target="https://pubmed.ncbi.nlm.nih.gov/25231606" TargetMode="External"/><Relationship Id="rId4719" Type="http://schemas.openxmlformats.org/officeDocument/2006/relationships/hyperlink" Target="https://pubmed.ncbi.nlm.nih.gov/25814911" TargetMode="External"/><Relationship Id="rId4710" Type="http://schemas.openxmlformats.org/officeDocument/2006/relationships/hyperlink" Target="https://pubmed.ncbi.nlm.nih.gov/25253123" TargetMode="External"/><Relationship Id="rId3414" Type="http://schemas.openxmlformats.org/officeDocument/2006/relationships/hyperlink" Target="https://pubmed.ncbi.nlm.nih.gov/28682849" TargetMode="External"/><Relationship Id="rId4745" Type="http://schemas.openxmlformats.org/officeDocument/2006/relationships/hyperlink" Target="https://pubmed.ncbi.nlm.nih.gov/25106066" TargetMode="External"/><Relationship Id="rId3413" Type="http://schemas.openxmlformats.org/officeDocument/2006/relationships/hyperlink" Target="https://pubmed.ncbi.nlm.nih.gov/29094626" TargetMode="External"/><Relationship Id="rId4744" Type="http://schemas.openxmlformats.org/officeDocument/2006/relationships/hyperlink" Target="https://pubmed.ncbi.nlm.nih.gov/25117998" TargetMode="External"/><Relationship Id="rId3416" Type="http://schemas.openxmlformats.org/officeDocument/2006/relationships/hyperlink" Target="https://pubmed.ncbi.nlm.nih.gov/29150534" TargetMode="External"/><Relationship Id="rId4747" Type="http://schemas.openxmlformats.org/officeDocument/2006/relationships/hyperlink" Target="https://pubmed.ncbi.nlm.nih.gov/25099641" TargetMode="External"/><Relationship Id="rId3415" Type="http://schemas.openxmlformats.org/officeDocument/2006/relationships/hyperlink" Target="https://pubmed.ncbi.nlm.nih.gov/29219535" TargetMode="External"/><Relationship Id="rId4746" Type="http://schemas.openxmlformats.org/officeDocument/2006/relationships/hyperlink" Target="https://pubmed.ncbi.nlm.nih.gov/25106412" TargetMode="External"/><Relationship Id="rId3418" Type="http://schemas.openxmlformats.org/officeDocument/2006/relationships/hyperlink" Target="https://pubmed.ncbi.nlm.nih.gov/29089148" TargetMode="External"/><Relationship Id="rId4749" Type="http://schemas.openxmlformats.org/officeDocument/2006/relationships/hyperlink" Target="https://pubmed.ncbi.nlm.nih.gov/25194872" TargetMode="External"/><Relationship Id="rId3417" Type="http://schemas.openxmlformats.org/officeDocument/2006/relationships/hyperlink" Target="https://pubmed.ncbi.nlm.nih.gov/29092792" TargetMode="External"/><Relationship Id="rId4748" Type="http://schemas.openxmlformats.org/officeDocument/2006/relationships/hyperlink" Target="https://pubmed.ncbi.nlm.nih.gov/25104851" TargetMode="External"/><Relationship Id="rId3419" Type="http://schemas.openxmlformats.org/officeDocument/2006/relationships/hyperlink" Target="https://pubmed.ncbi.nlm.nih.gov/29078800" TargetMode="External"/><Relationship Id="rId3410" Type="http://schemas.openxmlformats.org/officeDocument/2006/relationships/hyperlink" Target="https://pubmed.ncbi.nlm.nih.gov/29123255" TargetMode="External"/><Relationship Id="rId4741" Type="http://schemas.openxmlformats.org/officeDocument/2006/relationships/hyperlink" Target="https://pubmed.ncbi.nlm.nih.gov/25197283" TargetMode="External"/><Relationship Id="rId4740" Type="http://schemas.openxmlformats.org/officeDocument/2006/relationships/hyperlink" Target="https://pubmed.ncbi.nlm.nih.gov/25173947" TargetMode="External"/><Relationship Id="rId3412" Type="http://schemas.openxmlformats.org/officeDocument/2006/relationships/hyperlink" Target="https://pubmed.ncbi.nlm.nih.gov/29109233" TargetMode="External"/><Relationship Id="rId4743" Type="http://schemas.openxmlformats.org/officeDocument/2006/relationships/hyperlink" Target="https://pubmed.ncbi.nlm.nih.gov/25814907" TargetMode="External"/><Relationship Id="rId3411" Type="http://schemas.openxmlformats.org/officeDocument/2006/relationships/hyperlink" Target="https://pubmed.ncbi.nlm.nih.gov/29219511" TargetMode="External"/><Relationship Id="rId4742" Type="http://schemas.openxmlformats.org/officeDocument/2006/relationships/hyperlink" Target="https://pubmed.ncbi.nlm.nih.gov/25240078" TargetMode="External"/><Relationship Id="rId3403" Type="http://schemas.openxmlformats.org/officeDocument/2006/relationships/hyperlink" Target="https://pubmed.ncbi.nlm.nih.gov/29036282" TargetMode="External"/><Relationship Id="rId4734" Type="http://schemas.openxmlformats.org/officeDocument/2006/relationships/hyperlink" Target="https://pubmed.ncbi.nlm.nih.gov/25145491" TargetMode="External"/><Relationship Id="rId3402" Type="http://schemas.openxmlformats.org/officeDocument/2006/relationships/hyperlink" Target="https://pubmed.ncbi.nlm.nih.gov/31999280" TargetMode="External"/><Relationship Id="rId4733" Type="http://schemas.openxmlformats.org/officeDocument/2006/relationships/hyperlink" Target="https://pubmed.ncbi.nlm.nih.gov/25155210" TargetMode="External"/><Relationship Id="rId3405" Type="http://schemas.openxmlformats.org/officeDocument/2006/relationships/hyperlink" Target="https://pubmed.ncbi.nlm.nih.gov/29137615" TargetMode="External"/><Relationship Id="rId4736" Type="http://schemas.openxmlformats.org/officeDocument/2006/relationships/hyperlink" Target="https://pubmed.ncbi.nlm.nih.gov/25814910" TargetMode="External"/><Relationship Id="rId3404" Type="http://schemas.openxmlformats.org/officeDocument/2006/relationships/hyperlink" Target="https://pubmed.ncbi.nlm.nih.gov/28369481" TargetMode="External"/><Relationship Id="rId4735" Type="http://schemas.openxmlformats.org/officeDocument/2006/relationships/hyperlink" Target="https://pubmed.ncbi.nlm.nih.gov/25146097" TargetMode="External"/><Relationship Id="rId3407" Type="http://schemas.openxmlformats.org/officeDocument/2006/relationships/hyperlink" Target="https://pubmed.ncbi.nlm.nih.gov/29146381" TargetMode="External"/><Relationship Id="rId4738" Type="http://schemas.openxmlformats.org/officeDocument/2006/relationships/hyperlink" Target="https://pubmed.ncbi.nlm.nih.gov/25143360" TargetMode="External"/><Relationship Id="rId3406" Type="http://schemas.openxmlformats.org/officeDocument/2006/relationships/hyperlink" Target="https://pubmed.ncbi.nlm.nih.gov/29020274" TargetMode="External"/><Relationship Id="rId4737" Type="http://schemas.openxmlformats.org/officeDocument/2006/relationships/hyperlink" Target="https://pubmed.ncbi.nlm.nih.gov/25144222" TargetMode="External"/><Relationship Id="rId3409" Type="http://schemas.openxmlformats.org/officeDocument/2006/relationships/hyperlink" Target="https://pubmed.ncbi.nlm.nih.gov/29127343" TargetMode="External"/><Relationship Id="rId3408" Type="http://schemas.openxmlformats.org/officeDocument/2006/relationships/hyperlink" Target="https://pubmed.ncbi.nlm.nih.gov/29131528" TargetMode="External"/><Relationship Id="rId4739" Type="http://schemas.openxmlformats.org/officeDocument/2006/relationships/hyperlink" Target="https://pubmed.ncbi.nlm.nih.gov/25141226" TargetMode="External"/><Relationship Id="rId4730" Type="http://schemas.openxmlformats.org/officeDocument/2006/relationships/hyperlink" Target="https://pubmed.ncbi.nlm.nih.gov/25480129" TargetMode="External"/><Relationship Id="rId3401" Type="http://schemas.openxmlformats.org/officeDocument/2006/relationships/hyperlink" Target="https://pubmed.ncbi.nlm.nih.gov/29138517" TargetMode="External"/><Relationship Id="rId4732" Type="http://schemas.openxmlformats.org/officeDocument/2006/relationships/hyperlink" Target="https://pubmed.ncbi.nlm.nih.gov/25158300" TargetMode="External"/><Relationship Id="rId3400" Type="http://schemas.openxmlformats.org/officeDocument/2006/relationships/hyperlink" Target="https://pubmed.ncbi.nlm.nih.gov/31093547" TargetMode="External"/><Relationship Id="rId4731" Type="http://schemas.openxmlformats.org/officeDocument/2006/relationships/hyperlink" Target="https://pubmed.ncbi.nlm.nih.gov/25157876" TargetMode="External"/><Relationship Id="rId4701" Type="http://schemas.openxmlformats.org/officeDocument/2006/relationships/hyperlink" Target="https://pubmed.ncbi.nlm.nih.gov/25279986" TargetMode="External"/><Relationship Id="rId4700" Type="http://schemas.openxmlformats.org/officeDocument/2006/relationships/hyperlink" Target="https://pubmed.ncbi.nlm.nih.gov/25325632" TargetMode="External"/><Relationship Id="rId4703" Type="http://schemas.openxmlformats.org/officeDocument/2006/relationships/hyperlink" Target="https://pubmed.ncbi.nlm.nih.gov/25253397" TargetMode="External"/><Relationship Id="rId4702" Type="http://schemas.openxmlformats.org/officeDocument/2006/relationships/hyperlink" Target="https://pubmed.ncbi.nlm.nih.gov/25274048" TargetMode="External"/><Relationship Id="rId4705" Type="http://schemas.openxmlformats.org/officeDocument/2006/relationships/hyperlink" Target="https://pubmed.ncbi.nlm.nih.gov/25270628" TargetMode="External"/><Relationship Id="rId4704" Type="http://schemas.openxmlformats.org/officeDocument/2006/relationships/hyperlink" Target="https://pubmed.ncbi.nlm.nih.gov/25258025" TargetMode="External"/><Relationship Id="rId4707" Type="http://schemas.openxmlformats.org/officeDocument/2006/relationships/hyperlink" Target="https://pubmed.ncbi.nlm.nih.gov/25267715" TargetMode="External"/><Relationship Id="rId4706" Type="http://schemas.openxmlformats.org/officeDocument/2006/relationships/hyperlink" Target="https://pubmed.ncbi.nlm.nih.gov/25261932" TargetMode="External"/><Relationship Id="rId4709" Type="http://schemas.openxmlformats.org/officeDocument/2006/relationships/hyperlink" Target="https://pubmed.ncbi.nlm.nih.gov/25256148" TargetMode="External"/><Relationship Id="rId4708" Type="http://schemas.openxmlformats.org/officeDocument/2006/relationships/hyperlink" Target="https://pubmed.ncbi.nlm.nih.gov/25309437" TargetMode="External"/><Relationship Id="rId2148" Type="http://schemas.openxmlformats.org/officeDocument/2006/relationships/hyperlink" Target="https://pubmed.ncbi.nlm.nih.gov/32795483" TargetMode="External"/><Relationship Id="rId2149" Type="http://schemas.openxmlformats.org/officeDocument/2006/relationships/hyperlink" Target="https://pubmed.ncbi.nlm.nih.gov/33127254" TargetMode="External"/><Relationship Id="rId3479" Type="http://schemas.openxmlformats.org/officeDocument/2006/relationships/hyperlink" Target="https://pubmed.ncbi.nlm.nih.gov/29150167" TargetMode="External"/><Relationship Id="rId3470" Type="http://schemas.openxmlformats.org/officeDocument/2006/relationships/hyperlink" Target="https://pubmed.ncbi.nlm.nih.gov/28923527" TargetMode="External"/><Relationship Id="rId2140" Type="http://schemas.openxmlformats.org/officeDocument/2006/relationships/hyperlink" Target="https://pubmed.ncbi.nlm.nih.gov/32811874" TargetMode="External"/><Relationship Id="rId3472" Type="http://schemas.openxmlformats.org/officeDocument/2006/relationships/hyperlink" Target="https://pubmed.ncbi.nlm.nih.gov/30677370" TargetMode="External"/><Relationship Id="rId2141" Type="http://schemas.openxmlformats.org/officeDocument/2006/relationships/hyperlink" Target="https://pubmed.ncbi.nlm.nih.gov/32817140" TargetMode="External"/><Relationship Id="rId3471" Type="http://schemas.openxmlformats.org/officeDocument/2006/relationships/hyperlink" Target="https://pubmed.ncbi.nlm.nih.gov/28916623" TargetMode="External"/><Relationship Id="rId2142" Type="http://schemas.openxmlformats.org/officeDocument/2006/relationships/hyperlink" Target="https://pubmed.ncbi.nlm.nih.gov/32807000" TargetMode="External"/><Relationship Id="rId3474" Type="http://schemas.openxmlformats.org/officeDocument/2006/relationships/hyperlink" Target="https://pubmed.ncbi.nlm.nih.gov/30873488" TargetMode="External"/><Relationship Id="rId2143" Type="http://schemas.openxmlformats.org/officeDocument/2006/relationships/hyperlink" Target="https://pubmed.ncbi.nlm.nih.gov/32810544" TargetMode="External"/><Relationship Id="rId3473" Type="http://schemas.openxmlformats.org/officeDocument/2006/relationships/hyperlink" Target="https://pubmed.ncbi.nlm.nih.gov/28919055" TargetMode="External"/><Relationship Id="rId2144" Type="http://schemas.openxmlformats.org/officeDocument/2006/relationships/hyperlink" Target="https://pubmed.ncbi.nlm.nih.gov/32816740" TargetMode="External"/><Relationship Id="rId3476" Type="http://schemas.openxmlformats.org/officeDocument/2006/relationships/hyperlink" Target="https://pubmed.ncbi.nlm.nih.gov/28895439" TargetMode="External"/><Relationship Id="rId2145" Type="http://schemas.openxmlformats.org/officeDocument/2006/relationships/hyperlink" Target="https://pubmed.ncbi.nlm.nih.gov/32564390" TargetMode="External"/><Relationship Id="rId3475" Type="http://schemas.openxmlformats.org/officeDocument/2006/relationships/hyperlink" Target="https://pubmed.ncbi.nlm.nih.gov/28916487" TargetMode="External"/><Relationship Id="rId2146" Type="http://schemas.openxmlformats.org/officeDocument/2006/relationships/hyperlink" Target="https://pubmed.ncbi.nlm.nih.gov/32796953" TargetMode="External"/><Relationship Id="rId3478" Type="http://schemas.openxmlformats.org/officeDocument/2006/relationships/hyperlink" Target="https://pubmed.ncbi.nlm.nih.gov/28894982" TargetMode="External"/><Relationship Id="rId2147" Type="http://schemas.openxmlformats.org/officeDocument/2006/relationships/hyperlink" Target="https://pubmed.ncbi.nlm.nih.gov/32789761" TargetMode="External"/><Relationship Id="rId3477" Type="http://schemas.openxmlformats.org/officeDocument/2006/relationships/hyperlink" Target="https://pubmed.ncbi.nlm.nih.gov/28893119" TargetMode="External"/><Relationship Id="rId2137" Type="http://schemas.openxmlformats.org/officeDocument/2006/relationships/hyperlink" Target="https://pubmed.ncbi.nlm.nih.gov/32819320" TargetMode="External"/><Relationship Id="rId3469" Type="http://schemas.openxmlformats.org/officeDocument/2006/relationships/hyperlink" Target="https://pubmed.ncbi.nlm.nih.gov/28928175" TargetMode="External"/><Relationship Id="rId2138" Type="http://schemas.openxmlformats.org/officeDocument/2006/relationships/hyperlink" Target="https://pubmed.ncbi.nlm.nih.gov/32940245" TargetMode="External"/><Relationship Id="rId3468" Type="http://schemas.openxmlformats.org/officeDocument/2006/relationships/hyperlink" Target="https://pubmed.ncbi.nlm.nih.gov/28929577" TargetMode="External"/><Relationship Id="rId4799" Type="http://schemas.openxmlformats.org/officeDocument/2006/relationships/hyperlink" Target="https://pubmed.ncbi.nlm.nih.gov/24865309" TargetMode="External"/><Relationship Id="rId2139" Type="http://schemas.openxmlformats.org/officeDocument/2006/relationships/hyperlink" Target="https://pubmed.ncbi.nlm.nih.gov/32811457" TargetMode="External"/><Relationship Id="rId4790" Type="http://schemas.openxmlformats.org/officeDocument/2006/relationships/hyperlink" Target="https://pubmed.ncbi.nlm.nih.gov/24914028" TargetMode="External"/><Relationship Id="rId3461" Type="http://schemas.openxmlformats.org/officeDocument/2006/relationships/hyperlink" Target="https://pubmed.ncbi.nlm.nih.gov/28833626" TargetMode="External"/><Relationship Id="rId4792" Type="http://schemas.openxmlformats.org/officeDocument/2006/relationships/hyperlink" Target="https://pubmed.ncbi.nlm.nih.gov/24909353" TargetMode="External"/><Relationship Id="rId2130" Type="http://schemas.openxmlformats.org/officeDocument/2006/relationships/hyperlink" Target="https://pubmed.ncbi.nlm.nih.gov/32838789" TargetMode="External"/><Relationship Id="rId3460" Type="http://schemas.openxmlformats.org/officeDocument/2006/relationships/hyperlink" Target="https://pubmed.ncbi.nlm.nih.gov/28951109" TargetMode="External"/><Relationship Id="rId4791" Type="http://schemas.openxmlformats.org/officeDocument/2006/relationships/hyperlink" Target="https://pubmed.ncbi.nlm.nih.gov/24908579" TargetMode="External"/><Relationship Id="rId2131" Type="http://schemas.openxmlformats.org/officeDocument/2006/relationships/hyperlink" Target="https://pubmed.ncbi.nlm.nih.gov/32839249" TargetMode="External"/><Relationship Id="rId3463" Type="http://schemas.openxmlformats.org/officeDocument/2006/relationships/hyperlink" Target="https://pubmed.ncbi.nlm.nih.gov/29425581" TargetMode="External"/><Relationship Id="rId4794" Type="http://schemas.openxmlformats.org/officeDocument/2006/relationships/hyperlink" Target="https://pubmed.ncbi.nlm.nih.gov/24896848" TargetMode="External"/><Relationship Id="rId2132" Type="http://schemas.openxmlformats.org/officeDocument/2006/relationships/hyperlink" Target="https://pubmed.ncbi.nlm.nih.gov/32829518" TargetMode="External"/><Relationship Id="rId3462" Type="http://schemas.openxmlformats.org/officeDocument/2006/relationships/hyperlink" Target="https://pubmed.ncbi.nlm.nih.gov/28943378" TargetMode="External"/><Relationship Id="rId4793" Type="http://schemas.openxmlformats.org/officeDocument/2006/relationships/hyperlink" Target="https://pubmed.ncbi.nlm.nih.gov/24901309" TargetMode="External"/><Relationship Id="rId2133" Type="http://schemas.openxmlformats.org/officeDocument/2006/relationships/hyperlink" Target="https://pubmed.ncbi.nlm.nih.gov/32847711" TargetMode="External"/><Relationship Id="rId3465" Type="http://schemas.openxmlformats.org/officeDocument/2006/relationships/hyperlink" Target="https://pubmed.ncbi.nlm.nih.gov/28931618" TargetMode="External"/><Relationship Id="rId4796" Type="http://schemas.openxmlformats.org/officeDocument/2006/relationships/hyperlink" Target="https://pubmed.ncbi.nlm.nih.gov/24849856" TargetMode="External"/><Relationship Id="rId2134" Type="http://schemas.openxmlformats.org/officeDocument/2006/relationships/hyperlink" Target="https://pubmed.ncbi.nlm.nih.gov/32827354" TargetMode="External"/><Relationship Id="rId3464" Type="http://schemas.openxmlformats.org/officeDocument/2006/relationships/hyperlink" Target="https://pubmed.ncbi.nlm.nih.gov/28931879" TargetMode="External"/><Relationship Id="rId4795" Type="http://schemas.openxmlformats.org/officeDocument/2006/relationships/hyperlink" Target="https://pubmed.ncbi.nlm.nih.gov/25814893" TargetMode="External"/><Relationship Id="rId2135" Type="http://schemas.openxmlformats.org/officeDocument/2006/relationships/hyperlink" Target="https://pubmed.ncbi.nlm.nih.gov/32822252" TargetMode="External"/><Relationship Id="rId3467" Type="http://schemas.openxmlformats.org/officeDocument/2006/relationships/hyperlink" Target="https://pubmed.ncbi.nlm.nih.gov/28928170" TargetMode="External"/><Relationship Id="rId4798" Type="http://schemas.openxmlformats.org/officeDocument/2006/relationships/hyperlink" Target="https://pubmed.ncbi.nlm.nih.gov/24872222" TargetMode="External"/><Relationship Id="rId2136" Type="http://schemas.openxmlformats.org/officeDocument/2006/relationships/hyperlink" Target="https://pubmed.ncbi.nlm.nih.gov/32820081" TargetMode="External"/><Relationship Id="rId3466" Type="http://schemas.openxmlformats.org/officeDocument/2006/relationships/hyperlink" Target="https://pubmed.ncbi.nlm.nih.gov/28931567" TargetMode="External"/><Relationship Id="rId4797" Type="http://schemas.openxmlformats.org/officeDocument/2006/relationships/hyperlink" Target="https://pubmed.ncbi.nlm.nih.gov/24948353" TargetMode="External"/><Relationship Id="rId3490" Type="http://schemas.openxmlformats.org/officeDocument/2006/relationships/hyperlink" Target="https://pubmed.ncbi.nlm.nih.gov/28911067" TargetMode="External"/><Relationship Id="rId2160" Type="http://schemas.openxmlformats.org/officeDocument/2006/relationships/hyperlink" Target="https://pubmed.ncbi.nlm.nih.gov/32923347" TargetMode="External"/><Relationship Id="rId3492" Type="http://schemas.openxmlformats.org/officeDocument/2006/relationships/hyperlink" Target="https://pubmed.ncbi.nlm.nih.gov/29017276" TargetMode="External"/><Relationship Id="rId2161" Type="http://schemas.openxmlformats.org/officeDocument/2006/relationships/hyperlink" Target="https://pubmed.ncbi.nlm.nih.gov/32838341" TargetMode="External"/><Relationship Id="rId3491" Type="http://schemas.openxmlformats.org/officeDocument/2006/relationships/hyperlink" Target="https://pubmed.ncbi.nlm.nih.gov/29059396" TargetMode="External"/><Relationship Id="rId2162" Type="http://schemas.openxmlformats.org/officeDocument/2006/relationships/hyperlink" Target="https://pubmed.ncbi.nlm.nih.gov/32775598" TargetMode="External"/><Relationship Id="rId3494" Type="http://schemas.openxmlformats.org/officeDocument/2006/relationships/hyperlink" Target="https://pubmed.ncbi.nlm.nih.gov/28854882" TargetMode="External"/><Relationship Id="rId2163" Type="http://schemas.openxmlformats.org/officeDocument/2006/relationships/hyperlink" Target="https://pubmed.ncbi.nlm.nih.gov/32756583" TargetMode="External"/><Relationship Id="rId3493" Type="http://schemas.openxmlformats.org/officeDocument/2006/relationships/hyperlink" Target="https://pubmed.ncbi.nlm.nih.gov/28870727" TargetMode="External"/><Relationship Id="rId2164" Type="http://schemas.openxmlformats.org/officeDocument/2006/relationships/hyperlink" Target="https://pubmed.ncbi.nlm.nih.gov/32748995" TargetMode="External"/><Relationship Id="rId3496" Type="http://schemas.openxmlformats.org/officeDocument/2006/relationships/hyperlink" Target="https://pubmed.ncbi.nlm.nih.gov/32011611" TargetMode="External"/><Relationship Id="rId2165" Type="http://schemas.openxmlformats.org/officeDocument/2006/relationships/hyperlink" Target="https://pubmed.ncbi.nlm.nih.gov/32746928" TargetMode="External"/><Relationship Id="rId3495" Type="http://schemas.openxmlformats.org/officeDocument/2006/relationships/hyperlink" Target="https://pubmed.ncbi.nlm.nih.gov/28855159" TargetMode="External"/><Relationship Id="rId2166" Type="http://schemas.openxmlformats.org/officeDocument/2006/relationships/hyperlink" Target="https://pubmed.ncbi.nlm.nih.gov/32727761" TargetMode="External"/><Relationship Id="rId3498" Type="http://schemas.openxmlformats.org/officeDocument/2006/relationships/hyperlink" Target="https://pubmed.ncbi.nlm.nih.gov/28819063" TargetMode="External"/><Relationship Id="rId2167" Type="http://schemas.openxmlformats.org/officeDocument/2006/relationships/hyperlink" Target="https://pubmed.ncbi.nlm.nih.gov/32958556" TargetMode="External"/><Relationship Id="rId3497" Type="http://schemas.openxmlformats.org/officeDocument/2006/relationships/hyperlink" Target="https://pubmed.ncbi.nlm.nih.gov/28821284" TargetMode="External"/><Relationship Id="rId2168" Type="http://schemas.openxmlformats.org/officeDocument/2006/relationships/hyperlink" Target="https://pubmed.ncbi.nlm.nih.gov/32780327" TargetMode="External"/><Relationship Id="rId2169" Type="http://schemas.openxmlformats.org/officeDocument/2006/relationships/hyperlink" Target="https://pubmed.ncbi.nlm.nih.gov/31808528" TargetMode="External"/><Relationship Id="rId3499" Type="http://schemas.openxmlformats.org/officeDocument/2006/relationships/hyperlink" Target="https://pubmed.ncbi.nlm.nih.gov/28812574" TargetMode="External"/><Relationship Id="rId2159" Type="http://schemas.openxmlformats.org/officeDocument/2006/relationships/hyperlink" Target="https://pubmed.ncbi.nlm.nih.gov/32775698" TargetMode="External"/><Relationship Id="rId3481" Type="http://schemas.openxmlformats.org/officeDocument/2006/relationships/hyperlink" Target="https://pubmed.ncbi.nlm.nih.gov/28882918" TargetMode="External"/><Relationship Id="rId2150" Type="http://schemas.openxmlformats.org/officeDocument/2006/relationships/hyperlink" Target="https://pubmed.ncbi.nlm.nih.gov/32798001" TargetMode="External"/><Relationship Id="rId3480" Type="http://schemas.openxmlformats.org/officeDocument/2006/relationships/hyperlink" Target="https://pubmed.ncbi.nlm.nih.gov/28886365" TargetMode="External"/><Relationship Id="rId2151" Type="http://schemas.openxmlformats.org/officeDocument/2006/relationships/hyperlink" Target="https://pubmed.ncbi.nlm.nih.gov/32530523" TargetMode="External"/><Relationship Id="rId3483" Type="http://schemas.openxmlformats.org/officeDocument/2006/relationships/hyperlink" Target="https://pubmed.ncbi.nlm.nih.gov/28886416" TargetMode="External"/><Relationship Id="rId2152" Type="http://schemas.openxmlformats.org/officeDocument/2006/relationships/hyperlink" Target="https://pubmed.ncbi.nlm.nih.gov/32782135" TargetMode="External"/><Relationship Id="rId3482" Type="http://schemas.openxmlformats.org/officeDocument/2006/relationships/hyperlink" Target="https://pubmed.ncbi.nlm.nih.gov/28873086" TargetMode="External"/><Relationship Id="rId2153" Type="http://schemas.openxmlformats.org/officeDocument/2006/relationships/hyperlink" Target="https://pubmed.ncbi.nlm.nih.gov/32112556" TargetMode="External"/><Relationship Id="rId3485" Type="http://schemas.openxmlformats.org/officeDocument/2006/relationships/hyperlink" Target="https://pubmed.ncbi.nlm.nih.gov/28878573" TargetMode="External"/><Relationship Id="rId2154" Type="http://schemas.openxmlformats.org/officeDocument/2006/relationships/hyperlink" Target="https://pubmed.ncbi.nlm.nih.gov/32845699" TargetMode="External"/><Relationship Id="rId3484" Type="http://schemas.openxmlformats.org/officeDocument/2006/relationships/hyperlink" Target="https://pubmed.ncbi.nlm.nih.gov/28767167" TargetMode="External"/><Relationship Id="rId2155" Type="http://schemas.openxmlformats.org/officeDocument/2006/relationships/hyperlink" Target="https://pubmed.ncbi.nlm.nih.gov/32777457" TargetMode="External"/><Relationship Id="rId3487" Type="http://schemas.openxmlformats.org/officeDocument/2006/relationships/hyperlink" Target="https://pubmed.ncbi.nlm.nih.gov/28871622" TargetMode="External"/><Relationship Id="rId2156" Type="http://schemas.openxmlformats.org/officeDocument/2006/relationships/hyperlink" Target="https://pubmed.ncbi.nlm.nih.gov/32767903" TargetMode="External"/><Relationship Id="rId3486" Type="http://schemas.openxmlformats.org/officeDocument/2006/relationships/hyperlink" Target="https://pubmed.ncbi.nlm.nih.gov/28870155" TargetMode="External"/><Relationship Id="rId2157" Type="http://schemas.openxmlformats.org/officeDocument/2006/relationships/hyperlink" Target="https://pubmed.ncbi.nlm.nih.gov/32592317" TargetMode="External"/><Relationship Id="rId3489" Type="http://schemas.openxmlformats.org/officeDocument/2006/relationships/hyperlink" Target="https://pubmed.ncbi.nlm.nih.gov/29017280" TargetMode="External"/><Relationship Id="rId2158" Type="http://schemas.openxmlformats.org/officeDocument/2006/relationships/hyperlink" Target="https://pubmed.ncbi.nlm.nih.gov/32767452" TargetMode="External"/><Relationship Id="rId3488" Type="http://schemas.openxmlformats.org/officeDocument/2006/relationships/hyperlink" Target="https://pubmed.ncbi.nlm.nih.gov/32011613" TargetMode="External"/><Relationship Id="rId2104" Type="http://schemas.openxmlformats.org/officeDocument/2006/relationships/hyperlink" Target="https://pubmed.ncbi.nlm.nih.gov/32982537" TargetMode="External"/><Relationship Id="rId3436" Type="http://schemas.openxmlformats.org/officeDocument/2006/relationships/hyperlink" Target="https://pubmed.ncbi.nlm.nih.gov/29081711" TargetMode="External"/><Relationship Id="rId4767" Type="http://schemas.openxmlformats.org/officeDocument/2006/relationships/hyperlink" Target="https://pubmed.ncbi.nlm.nih.gov/25004909" TargetMode="External"/><Relationship Id="rId2105" Type="http://schemas.openxmlformats.org/officeDocument/2006/relationships/hyperlink" Target="https://pubmed.ncbi.nlm.nih.gov/32932152" TargetMode="External"/><Relationship Id="rId3435" Type="http://schemas.openxmlformats.org/officeDocument/2006/relationships/hyperlink" Target="https://pubmed.ncbi.nlm.nih.gov/29173766" TargetMode="External"/><Relationship Id="rId4766" Type="http://schemas.openxmlformats.org/officeDocument/2006/relationships/hyperlink" Target="https://pubmed.ncbi.nlm.nih.gov/25011450" TargetMode="External"/><Relationship Id="rId2106" Type="http://schemas.openxmlformats.org/officeDocument/2006/relationships/hyperlink" Target="https://pubmed.ncbi.nlm.nih.gov/32894860" TargetMode="External"/><Relationship Id="rId3438" Type="http://schemas.openxmlformats.org/officeDocument/2006/relationships/hyperlink" Target="https://pubmed.ncbi.nlm.nih.gov/28815689" TargetMode="External"/><Relationship Id="rId4769" Type="http://schemas.openxmlformats.org/officeDocument/2006/relationships/hyperlink" Target="https://pubmed.ncbi.nlm.nih.gov/24994719" TargetMode="External"/><Relationship Id="rId2107" Type="http://schemas.openxmlformats.org/officeDocument/2006/relationships/hyperlink" Target="https://pubmed.ncbi.nlm.nih.gov/32894572" TargetMode="External"/><Relationship Id="rId3437" Type="http://schemas.openxmlformats.org/officeDocument/2006/relationships/hyperlink" Target="https://pubmed.ncbi.nlm.nih.gov/29020051" TargetMode="External"/><Relationship Id="rId4768" Type="http://schemas.openxmlformats.org/officeDocument/2006/relationships/hyperlink" Target="https://pubmed.ncbi.nlm.nih.gov/25003600" TargetMode="External"/><Relationship Id="rId2108" Type="http://schemas.openxmlformats.org/officeDocument/2006/relationships/hyperlink" Target="https://pubmed.ncbi.nlm.nih.gov/32887573" TargetMode="External"/><Relationship Id="rId2109" Type="http://schemas.openxmlformats.org/officeDocument/2006/relationships/hyperlink" Target="https://pubmed.ncbi.nlm.nih.gov/32887737" TargetMode="External"/><Relationship Id="rId3439" Type="http://schemas.openxmlformats.org/officeDocument/2006/relationships/hyperlink" Target="https://pubmed.ncbi.nlm.nih.gov/29017156" TargetMode="External"/><Relationship Id="rId3430" Type="http://schemas.openxmlformats.org/officeDocument/2006/relationships/hyperlink" Target="https://pubmed.ncbi.nlm.nih.gov/29040037" TargetMode="External"/><Relationship Id="rId4761" Type="http://schemas.openxmlformats.org/officeDocument/2006/relationships/hyperlink" Target="https://pubmed.ncbi.nlm.nih.gov/25070380" TargetMode="External"/><Relationship Id="rId4760" Type="http://schemas.openxmlformats.org/officeDocument/2006/relationships/hyperlink" Target="https://pubmed.ncbi.nlm.nih.gov/25030631" TargetMode="External"/><Relationship Id="rId2100" Type="http://schemas.openxmlformats.org/officeDocument/2006/relationships/hyperlink" Target="https://pubmed.ncbi.nlm.nih.gov/32930758" TargetMode="External"/><Relationship Id="rId3432" Type="http://schemas.openxmlformats.org/officeDocument/2006/relationships/hyperlink" Target="https://pubmed.ncbi.nlm.nih.gov/29050992" TargetMode="External"/><Relationship Id="rId4763" Type="http://schemas.openxmlformats.org/officeDocument/2006/relationships/hyperlink" Target="https://pubmed.ncbi.nlm.nih.gov/25019163" TargetMode="External"/><Relationship Id="rId2101" Type="http://schemas.openxmlformats.org/officeDocument/2006/relationships/hyperlink" Target="https://pubmed.ncbi.nlm.nih.gov/32924918" TargetMode="External"/><Relationship Id="rId3431" Type="http://schemas.openxmlformats.org/officeDocument/2006/relationships/hyperlink" Target="https://pubmed.ncbi.nlm.nih.gov/29037211" TargetMode="External"/><Relationship Id="rId4762" Type="http://schemas.openxmlformats.org/officeDocument/2006/relationships/hyperlink" Target="https://pubmed.ncbi.nlm.nih.gov/25814900" TargetMode="External"/><Relationship Id="rId2102" Type="http://schemas.openxmlformats.org/officeDocument/2006/relationships/hyperlink" Target="https://pubmed.ncbi.nlm.nih.gov/33072776" TargetMode="External"/><Relationship Id="rId3434" Type="http://schemas.openxmlformats.org/officeDocument/2006/relationships/hyperlink" Target="https://pubmed.ncbi.nlm.nih.gov/29016858" TargetMode="External"/><Relationship Id="rId4765" Type="http://schemas.openxmlformats.org/officeDocument/2006/relationships/hyperlink" Target="https://pubmed.ncbi.nlm.nih.gov/25011604" TargetMode="External"/><Relationship Id="rId2103" Type="http://schemas.openxmlformats.org/officeDocument/2006/relationships/hyperlink" Target="https://pubmed.ncbi.nlm.nih.gov/32703773" TargetMode="External"/><Relationship Id="rId3433" Type="http://schemas.openxmlformats.org/officeDocument/2006/relationships/hyperlink" Target="https://pubmed.ncbi.nlm.nih.gov/29044932" TargetMode="External"/><Relationship Id="rId4764" Type="http://schemas.openxmlformats.org/officeDocument/2006/relationships/hyperlink" Target="https://pubmed.ncbi.nlm.nih.gov/25107447" TargetMode="External"/><Relationship Id="rId3425" Type="http://schemas.openxmlformats.org/officeDocument/2006/relationships/hyperlink" Target="https://pubmed.ncbi.nlm.nih.gov/29052439" TargetMode="External"/><Relationship Id="rId4756" Type="http://schemas.openxmlformats.org/officeDocument/2006/relationships/hyperlink" Target="https://pubmed.ncbi.nlm.nih.gov/25108076" TargetMode="External"/><Relationship Id="rId3424" Type="http://schemas.openxmlformats.org/officeDocument/2006/relationships/hyperlink" Target="https://pubmed.ncbi.nlm.nih.gov/29061617" TargetMode="External"/><Relationship Id="rId4755" Type="http://schemas.openxmlformats.org/officeDocument/2006/relationships/hyperlink" Target="https://pubmed.ncbi.nlm.nih.gov/25073595" TargetMode="External"/><Relationship Id="rId3427" Type="http://schemas.openxmlformats.org/officeDocument/2006/relationships/hyperlink" Target="https://pubmed.ncbi.nlm.nih.gov/29051267" TargetMode="External"/><Relationship Id="rId4758" Type="http://schemas.openxmlformats.org/officeDocument/2006/relationships/hyperlink" Target="https://pubmed.ncbi.nlm.nih.gov/25063558" TargetMode="External"/><Relationship Id="rId3426" Type="http://schemas.openxmlformats.org/officeDocument/2006/relationships/hyperlink" Target="https://pubmed.ncbi.nlm.nih.gov/29053737" TargetMode="External"/><Relationship Id="rId4757" Type="http://schemas.openxmlformats.org/officeDocument/2006/relationships/hyperlink" Target="https://pubmed.ncbi.nlm.nih.gov/25059931" TargetMode="External"/><Relationship Id="rId3429" Type="http://schemas.openxmlformats.org/officeDocument/2006/relationships/hyperlink" Target="https://pubmed.ncbi.nlm.nih.gov/29049639" TargetMode="External"/><Relationship Id="rId3428" Type="http://schemas.openxmlformats.org/officeDocument/2006/relationships/hyperlink" Target="https://pubmed.ncbi.nlm.nih.gov/29089913" TargetMode="External"/><Relationship Id="rId4759" Type="http://schemas.openxmlformats.org/officeDocument/2006/relationships/hyperlink" Target="https://pubmed.ncbi.nlm.nih.gov/25030621" TargetMode="External"/><Relationship Id="rId4750" Type="http://schemas.openxmlformats.org/officeDocument/2006/relationships/hyperlink" Target="https://pubmed.ncbi.nlm.nih.gov/25093289" TargetMode="External"/><Relationship Id="rId3421" Type="http://schemas.openxmlformats.org/officeDocument/2006/relationships/hyperlink" Target="https://pubmed.ncbi.nlm.nih.gov/29128194" TargetMode="External"/><Relationship Id="rId4752" Type="http://schemas.openxmlformats.org/officeDocument/2006/relationships/hyperlink" Target="https://pubmed.ncbi.nlm.nih.gov/25087686" TargetMode="External"/><Relationship Id="rId3420" Type="http://schemas.openxmlformats.org/officeDocument/2006/relationships/hyperlink" Target="https://pubmed.ncbi.nlm.nih.gov/30564689" TargetMode="External"/><Relationship Id="rId4751" Type="http://schemas.openxmlformats.org/officeDocument/2006/relationships/hyperlink" Target="https://pubmed.ncbi.nlm.nih.gov/25085256" TargetMode="External"/><Relationship Id="rId3423" Type="http://schemas.openxmlformats.org/officeDocument/2006/relationships/hyperlink" Target="https://pubmed.ncbi.nlm.nih.gov/29104766" TargetMode="External"/><Relationship Id="rId4754" Type="http://schemas.openxmlformats.org/officeDocument/2006/relationships/hyperlink" Target="https://pubmed.ncbi.nlm.nih.gov/25079238" TargetMode="External"/><Relationship Id="rId3422" Type="http://schemas.openxmlformats.org/officeDocument/2006/relationships/hyperlink" Target="https://pubmed.ncbi.nlm.nih.gov/29138538" TargetMode="External"/><Relationship Id="rId4753" Type="http://schemas.openxmlformats.org/officeDocument/2006/relationships/hyperlink" Target="https://pubmed.ncbi.nlm.nih.gov/25078452" TargetMode="External"/><Relationship Id="rId2126" Type="http://schemas.openxmlformats.org/officeDocument/2006/relationships/hyperlink" Target="https://pubmed.ncbi.nlm.nih.gov/32856575" TargetMode="External"/><Relationship Id="rId3458" Type="http://schemas.openxmlformats.org/officeDocument/2006/relationships/hyperlink" Target="https://pubmed.ncbi.nlm.nih.gov/28942739" TargetMode="External"/><Relationship Id="rId4789" Type="http://schemas.openxmlformats.org/officeDocument/2006/relationships/hyperlink" Target="https://pubmed.ncbi.nlm.nih.gov/24914061" TargetMode="External"/><Relationship Id="rId2127" Type="http://schemas.openxmlformats.org/officeDocument/2006/relationships/hyperlink" Target="https://pubmed.ncbi.nlm.nih.gov/32847800" TargetMode="External"/><Relationship Id="rId3457" Type="http://schemas.openxmlformats.org/officeDocument/2006/relationships/hyperlink" Target="https://pubmed.ncbi.nlm.nih.gov/32011612" TargetMode="External"/><Relationship Id="rId4788" Type="http://schemas.openxmlformats.org/officeDocument/2006/relationships/hyperlink" Target="https://pubmed.ncbi.nlm.nih.gov/24956527" TargetMode="External"/><Relationship Id="rId2128" Type="http://schemas.openxmlformats.org/officeDocument/2006/relationships/hyperlink" Target="https://pubmed.ncbi.nlm.nih.gov/32864468" TargetMode="External"/><Relationship Id="rId2129" Type="http://schemas.openxmlformats.org/officeDocument/2006/relationships/hyperlink" Target="https://pubmed.ncbi.nlm.nih.gov/32843516" TargetMode="External"/><Relationship Id="rId3459" Type="http://schemas.openxmlformats.org/officeDocument/2006/relationships/hyperlink" Target="https://pubmed.ncbi.nlm.nih.gov/28948398" TargetMode="External"/><Relationship Id="rId3450" Type="http://schemas.openxmlformats.org/officeDocument/2006/relationships/hyperlink" Target="https://pubmed.ncbi.nlm.nih.gov/28954320" TargetMode="External"/><Relationship Id="rId4781" Type="http://schemas.openxmlformats.org/officeDocument/2006/relationships/hyperlink" Target="https://pubmed.ncbi.nlm.nih.gov/24826813" TargetMode="External"/><Relationship Id="rId4780" Type="http://schemas.openxmlformats.org/officeDocument/2006/relationships/hyperlink" Target="https://pubmed.ncbi.nlm.nih.gov/24946910" TargetMode="External"/><Relationship Id="rId2120" Type="http://schemas.openxmlformats.org/officeDocument/2006/relationships/hyperlink" Target="https://pubmed.ncbi.nlm.nih.gov/32619242" TargetMode="External"/><Relationship Id="rId3452" Type="http://schemas.openxmlformats.org/officeDocument/2006/relationships/hyperlink" Target="https://pubmed.ncbi.nlm.nih.gov/29989551" TargetMode="External"/><Relationship Id="rId4783" Type="http://schemas.openxmlformats.org/officeDocument/2006/relationships/hyperlink" Target="https://pubmed.ncbi.nlm.nih.gov/24938846" TargetMode="External"/><Relationship Id="rId2121" Type="http://schemas.openxmlformats.org/officeDocument/2006/relationships/hyperlink" Target="https://pubmed.ncbi.nlm.nih.gov/32651580" TargetMode="External"/><Relationship Id="rId3451" Type="http://schemas.openxmlformats.org/officeDocument/2006/relationships/hyperlink" Target="https://pubmed.ncbi.nlm.nih.gov/28952179" TargetMode="External"/><Relationship Id="rId4782" Type="http://schemas.openxmlformats.org/officeDocument/2006/relationships/hyperlink" Target="https://pubmed.ncbi.nlm.nih.gov/24937665" TargetMode="External"/><Relationship Id="rId2122" Type="http://schemas.openxmlformats.org/officeDocument/2006/relationships/hyperlink" Target="https://pubmed.ncbi.nlm.nih.gov/32868270" TargetMode="External"/><Relationship Id="rId3454" Type="http://schemas.openxmlformats.org/officeDocument/2006/relationships/hyperlink" Target="https://pubmed.ncbi.nlm.nih.gov/28946936" TargetMode="External"/><Relationship Id="rId4785" Type="http://schemas.openxmlformats.org/officeDocument/2006/relationships/hyperlink" Target="https://pubmed.ncbi.nlm.nih.gov/24972200" TargetMode="External"/><Relationship Id="rId2123" Type="http://schemas.openxmlformats.org/officeDocument/2006/relationships/hyperlink" Target="https://pubmed.ncbi.nlm.nih.gov/32871527" TargetMode="External"/><Relationship Id="rId3453" Type="http://schemas.openxmlformats.org/officeDocument/2006/relationships/hyperlink" Target="https://pubmed.ncbi.nlm.nih.gov/28949058" TargetMode="External"/><Relationship Id="rId4784" Type="http://schemas.openxmlformats.org/officeDocument/2006/relationships/hyperlink" Target="https://pubmed.ncbi.nlm.nih.gov/24958596" TargetMode="External"/><Relationship Id="rId2124" Type="http://schemas.openxmlformats.org/officeDocument/2006/relationships/hyperlink" Target="https://pubmed.ncbi.nlm.nih.gov/34396248" TargetMode="External"/><Relationship Id="rId3456" Type="http://schemas.openxmlformats.org/officeDocument/2006/relationships/hyperlink" Target="https://pubmed.ncbi.nlm.nih.gov/28946849" TargetMode="External"/><Relationship Id="rId4787" Type="http://schemas.openxmlformats.org/officeDocument/2006/relationships/hyperlink" Target="https://pubmed.ncbi.nlm.nih.gov/24931579" TargetMode="External"/><Relationship Id="rId2125" Type="http://schemas.openxmlformats.org/officeDocument/2006/relationships/hyperlink" Target="https://pubmed.ncbi.nlm.nih.gov/32857214" TargetMode="External"/><Relationship Id="rId3455" Type="http://schemas.openxmlformats.org/officeDocument/2006/relationships/hyperlink" Target="https://pubmed.ncbi.nlm.nih.gov/28949070" TargetMode="External"/><Relationship Id="rId4786" Type="http://schemas.openxmlformats.org/officeDocument/2006/relationships/hyperlink" Target="https://pubmed.ncbi.nlm.nih.gov/24925924" TargetMode="External"/><Relationship Id="rId2115" Type="http://schemas.openxmlformats.org/officeDocument/2006/relationships/hyperlink" Target="https://pubmed.ncbi.nlm.nih.gov/32984058" TargetMode="External"/><Relationship Id="rId3447" Type="http://schemas.openxmlformats.org/officeDocument/2006/relationships/hyperlink" Target="https://pubmed.ncbi.nlm.nih.gov/28911764" TargetMode="External"/><Relationship Id="rId4778" Type="http://schemas.openxmlformats.org/officeDocument/2006/relationships/hyperlink" Target="https://pubmed.ncbi.nlm.nih.gov/25070960" TargetMode="External"/><Relationship Id="rId2116" Type="http://schemas.openxmlformats.org/officeDocument/2006/relationships/hyperlink" Target="https://pubmed.ncbi.nlm.nih.gov/32997125" TargetMode="External"/><Relationship Id="rId3446" Type="http://schemas.openxmlformats.org/officeDocument/2006/relationships/hyperlink" Target="https://pubmed.ncbi.nlm.nih.gov/28806445" TargetMode="External"/><Relationship Id="rId4777" Type="http://schemas.openxmlformats.org/officeDocument/2006/relationships/hyperlink" Target="https://pubmed.ncbi.nlm.nih.gov/24973646" TargetMode="External"/><Relationship Id="rId2117" Type="http://schemas.openxmlformats.org/officeDocument/2006/relationships/hyperlink" Target="https://pubmed.ncbi.nlm.nih.gov/32535653" TargetMode="External"/><Relationship Id="rId3449" Type="http://schemas.openxmlformats.org/officeDocument/2006/relationships/hyperlink" Target="https://pubmed.ncbi.nlm.nih.gov/28875506" TargetMode="External"/><Relationship Id="rId2118" Type="http://schemas.openxmlformats.org/officeDocument/2006/relationships/hyperlink" Target="https://pubmed.ncbi.nlm.nih.gov/32867601" TargetMode="External"/><Relationship Id="rId3448" Type="http://schemas.openxmlformats.org/officeDocument/2006/relationships/hyperlink" Target="https://pubmed.ncbi.nlm.nih.gov/28884811" TargetMode="External"/><Relationship Id="rId4779" Type="http://schemas.openxmlformats.org/officeDocument/2006/relationships/hyperlink" Target="https://pubmed.ncbi.nlm.nih.gov/24946908" TargetMode="External"/><Relationship Id="rId2119" Type="http://schemas.openxmlformats.org/officeDocument/2006/relationships/hyperlink" Target="https://pubmed.ncbi.nlm.nih.gov/32867753" TargetMode="External"/><Relationship Id="rId4770" Type="http://schemas.openxmlformats.org/officeDocument/2006/relationships/hyperlink" Target="https://pubmed.ncbi.nlm.nih.gov/24983872" TargetMode="External"/><Relationship Id="rId3441" Type="http://schemas.openxmlformats.org/officeDocument/2006/relationships/hyperlink" Target="https://pubmed.ncbi.nlm.nih.gov/28993168" TargetMode="External"/><Relationship Id="rId4772" Type="http://schemas.openxmlformats.org/officeDocument/2006/relationships/hyperlink" Target="https://pubmed.ncbi.nlm.nih.gov/24979386" TargetMode="External"/><Relationship Id="rId2110" Type="http://schemas.openxmlformats.org/officeDocument/2006/relationships/hyperlink" Target="https://pubmed.ncbi.nlm.nih.gov/32883969" TargetMode="External"/><Relationship Id="rId3440" Type="http://schemas.openxmlformats.org/officeDocument/2006/relationships/hyperlink" Target="https://pubmed.ncbi.nlm.nih.gov/28990181" TargetMode="External"/><Relationship Id="rId4771" Type="http://schemas.openxmlformats.org/officeDocument/2006/relationships/hyperlink" Target="https://pubmed.ncbi.nlm.nih.gov/25814898" TargetMode="External"/><Relationship Id="rId2111" Type="http://schemas.openxmlformats.org/officeDocument/2006/relationships/hyperlink" Target="https://pubmed.ncbi.nlm.nih.gov/32880696" TargetMode="External"/><Relationship Id="rId3443" Type="http://schemas.openxmlformats.org/officeDocument/2006/relationships/hyperlink" Target="https://pubmed.ncbi.nlm.nih.gov/28921520" TargetMode="External"/><Relationship Id="rId4774" Type="http://schemas.openxmlformats.org/officeDocument/2006/relationships/hyperlink" Target="https://pubmed.ncbi.nlm.nih.gov/25059438" TargetMode="External"/><Relationship Id="rId2112" Type="http://schemas.openxmlformats.org/officeDocument/2006/relationships/hyperlink" Target="https://pubmed.ncbi.nlm.nih.gov/32878565" TargetMode="External"/><Relationship Id="rId3442" Type="http://schemas.openxmlformats.org/officeDocument/2006/relationships/hyperlink" Target="https://pubmed.ncbi.nlm.nih.gov/28989114" TargetMode="External"/><Relationship Id="rId4773" Type="http://schemas.openxmlformats.org/officeDocument/2006/relationships/hyperlink" Target="https://pubmed.ncbi.nlm.nih.gov/24993330" TargetMode="External"/><Relationship Id="rId2113" Type="http://schemas.openxmlformats.org/officeDocument/2006/relationships/hyperlink" Target="https://pubmed.ncbi.nlm.nih.gov/32878572" TargetMode="External"/><Relationship Id="rId3445" Type="http://schemas.openxmlformats.org/officeDocument/2006/relationships/hyperlink" Target="https://pubmed.ncbi.nlm.nih.gov/29029556" TargetMode="External"/><Relationship Id="rId4776" Type="http://schemas.openxmlformats.org/officeDocument/2006/relationships/hyperlink" Target="https://pubmed.ncbi.nlm.nih.gov/24965189" TargetMode="External"/><Relationship Id="rId2114" Type="http://schemas.openxmlformats.org/officeDocument/2006/relationships/hyperlink" Target="https://pubmed.ncbi.nlm.nih.gov/32909007" TargetMode="External"/><Relationship Id="rId3444" Type="http://schemas.openxmlformats.org/officeDocument/2006/relationships/hyperlink" Target="https://pubmed.ncbi.nlm.nih.gov/28986242" TargetMode="External"/><Relationship Id="rId4775" Type="http://schemas.openxmlformats.org/officeDocument/2006/relationships/hyperlink" Target="https://pubmed.ncbi.nlm.nih.gov/24983647" TargetMode="External"/><Relationship Id="rId5251" Type="http://schemas.openxmlformats.org/officeDocument/2006/relationships/hyperlink" Target="https://pubmed.ncbi.nlm.nih.gov/21908077" TargetMode="External"/><Relationship Id="rId5252" Type="http://schemas.openxmlformats.org/officeDocument/2006/relationships/hyperlink" Target="https://pubmed.ncbi.nlm.nih.gov/21860279" TargetMode="External"/><Relationship Id="rId5250" Type="http://schemas.openxmlformats.org/officeDocument/2006/relationships/hyperlink" Target="https://pubmed.ncbi.nlm.nih.gov/21937123" TargetMode="External"/><Relationship Id="rId5255" Type="http://schemas.openxmlformats.org/officeDocument/2006/relationships/hyperlink" Target="https://pubmed.ncbi.nlm.nih.gov/21868476" TargetMode="External"/><Relationship Id="rId5256" Type="http://schemas.openxmlformats.org/officeDocument/2006/relationships/hyperlink" Target="https://pubmed.ncbi.nlm.nih.gov/21859837" TargetMode="External"/><Relationship Id="rId5253" Type="http://schemas.openxmlformats.org/officeDocument/2006/relationships/hyperlink" Target="https://pubmed.ncbi.nlm.nih.gov/21830840" TargetMode="External"/><Relationship Id="rId5254" Type="http://schemas.openxmlformats.org/officeDocument/2006/relationships/hyperlink" Target="https://pubmed.ncbi.nlm.nih.gov/21871081" TargetMode="External"/><Relationship Id="rId5259" Type="http://schemas.openxmlformats.org/officeDocument/2006/relationships/hyperlink" Target="https://pubmed.ncbi.nlm.nih.gov/21835088" TargetMode="External"/><Relationship Id="rId5257" Type="http://schemas.openxmlformats.org/officeDocument/2006/relationships/hyperlink" Target="https://pubmed.ncbi.nlm.nih.gov/21854576" TargetMode="External"/><Relationship Id="rId5258" Type="http://schemas.openxmlformats.org/officeDocument/2006/relationships/hyperlink" Target="https://pubmed.ncbi.nlm.nih.gov/21844660" TargetMode="External"/><Relationship Id="rId5240" Type="http://schemas.openxmlformats.org/officeDocument/2006/relationships/hyperlink" Target="https://pubmed.ncbi.nlm.nih.gov/22040087" TargetMode="External"/><Relationship Id="rId5241" Type="http://schemas.openxmlformats.org/officeDocument/2006/relationships/hyperlink" Target="https://pubmed.ncbi.nlm.nih.gov/21679235" TargetMode="External"/><Relationship Id="rId5244" Type="http://schemas.openxmlformats.org/officeDocument/2006/relationships/hyperlink" Target="https://pubmed.ncbi.nlm.nih.gov/22006039" TargetMode="External"/><Relationship Id="rId5245" Type="http://schemas.openxmlformats.org/officeDocument/2006/relationships/hyperlink" Target="https://pubmed.ncbi.nlm.nih.gov/22013526" TargetMode="External"/><Relationship Id="rId5242" Type="http://schemas.openxmlformats.org/officeDocument/2006/relationships/hyperlink" Target="https://pubmed.ncbi.nlm.nih.gov/22030015" TargetMode="External"/><Relationship Id="rId5243" Type="http://schemas.openxmlformats.org/officeDocument/2006/relationships/hyperlink" Target="https://pubmed.ncbi.nlm.nih.gov/22021072" TargetMode="External"/><Relationship Id="rId5248" Type="http://schemas.openxmlformats.org/officeDocument/2006/relationships/hyperlink" Target="https://pubmed.ncbi.nlm.nih.gov/21978631" TargetMode="External"/><Relationship Id="rId5249" Type="http://schemas.openxmlformats.org/officeDocument/2006/relationships/hyperlink" Target="https://pubmed.ncbi.nlm.nih.gov/22008051" TargetMode="External"/><Relationship Id="rId5246" Type="http://schemas.openxmlformats.org/officeDocument/2006/relationships/hyperlink" Target="https://pubmed.ncbi.nlm.nih.gov/22002998" TargetMode="External"/><Relationship Id="rId5247" Type="http://schemas.openxmlformats.org/officeDocument/2006/relationships/hyperlink" Target="https://pubmed.ncbi.nlm.nih.gov/21982737" TargetMode="External"/><Relationship Id="rId5270" Type="http://schemas.openxmlformats.org/officeDocument/2006/relationships/hyperlink" Target="https://pubmed.ncbi.nlm.nih.gov/21746767" TargetMode="External"/><Relationship Id="rId5273" Type="http://schemas.openxmlformats.org/officeDocument/2006/relationships/hyperlink" Target="https://pubmed.ncbi.nlm.nih.gov/21538687" TargetMode="External"/><Relationship Id="rId5274" Type="http://schemas.openxmlformats.org/officeDocument/2006/relationships/hyperlink" Target="https://pubmed.ncbi.nlm.nih.gov/21714926" TargetMode="External"/><Relationship Id="rId5271" Type="http://schemas.openxmlformats.org/officeDocument/2006/relationships/hyperlink" Target="https://pubmed.ncbi.nlm.nih.gov/21694650" TargetMode="External"/><Relationship Id="rId5272" Type="http://schemas.openxmlformats.org/officeDocument/2006/relationships/hyperlink" Target="https://pubmed.ncbi.nlm.nih.gov/21708521" TargetMode="External"/><Relationship Id="rId5277" Type="http://schemas.openxmlformats.org/officeDocument/2006/relationships/hyperlink" Target="https://pubmed.ncbi.nlm.nih.gov/21698176" TargetMode="External"/><Relationship Id="rId5278" Type="http://schemas.openxmlformats.org/officeDocument/2006/relationships/hyperlink" Target="https://pubmed.ncbi.nlm.nih.gov/21644944" TargetMode="External"/><Relationship Id="rId5275" Type="http://schemas.openxmlformats.org/officeDocument/2006/relationships/hyperlink" Target="https://pubmed.ncbi.nlm.nih.gov/21741495" TargetMode="External"/><Relationship Id="rId5276" Type="http://schemas.openxmlformats.org/officeDocument/2006/relationships/hyperlink" Target="https://pubmed.ncbi.nlm.nih.gov/21693471" TargetMode="External"/><Relationship Id="rId5279" Type="http://schemas.openxmlformats.org/officeDocument/2006/relationships/hyperlink" Target="https://pubmed.ncbi.nlm.nih.gov/21546878" TargetMode="External"/><Relationship Id="rId5262" Type="http://schemas.openxmlformats.org/officeDocument/2006/relationships/hyperlink" Target="https://pubmed.ncbi.nlm.nih.gov/21815125" TargetMode="External"/><Relationship Id="rId5263" Type="http://schemas.openxmlformats.org/officeDocument/2006/relationships/hyperlink" Target="https://pubmed.ncbi.nlm.nih.gov/21810869" TargetMode="External"/><Relationship Id="rId5260" Type="http://schemas.openxmlformats.org/officeDocument/2006/relationships/hyperlink" Target="https://pubmed.ncbi.nlm.nih.gov/21726301" TargetMode="External"/><Relationship Id="rId5261" Type="http://schemas.openxmlformats.org/officeDocument/2006/relationships/hyperlink" Target="https://pubmed.ncbi.nlm.nih.gov/21832108" TargetMode="External"/><Relationship Id="rId5266" Type="http://schemas.openxmlformats.org/officeDocument/2006/relationships/hyperlink" Target="https://pubmed.ncbi.nlm.nih.gov/21657803" TargetMode="External"/><Relationship Id="rId5267" Type="http://schemas.openxmlformats.org/officeDocument/2006/relationships/hyperlink" Target="https://pubmed.ncbi.nlm.nih.gov/23905187" TargetMode="External"/><Relationship Id="rId5264" Type="http://schemas.openxmlformats.org/officeDocument/2006/relationships/hyperlink" Target="https://pubmed.ncbi.nlm.nih.gov/21810902" TargetMode="External"/><Relationship Id="rId5265" Type="http://schemas.openxmlformats.org/officeDocument/2006/relationships/hyperlink" Target="https://pubmed.ncbi.nlm.nih.gov/21673577" TargetMode="External"/><Relationship Id="rId5268" Type="http://schemas.openxmlformats.org/officeDocument/2006/relationships/hyperlink" Target="https://pubmed.ncbi.nlm.nih.gov/21785156" TargetMode="External"/><Relationship Id="rId5269" Type="http://schemas.openxmlformats.org/officeDocument/2006/relationships/hyperlink" Target="https://pubmed.ncbi.nlm.nih.gov/21742377" TargetMode="External"/><Relationship Id="rId5219" Type="http://schemas.openxmlformats.org/officeDocument/2006/relationships/hyperlink" Target="https://pubmed.ncbi.nlm.nih.gov/23134752" TargetMode="External"/><Relationship Id="rId5217" Type="http://schemas.openxmlformats.org/officeDocument/2006/relationships/hyperlink" Target="https://pubmed.ncbi.nlm.nih.gov/22271808" TargetMode="External"/><Relationship Id="rId5218" Type="http://schemas.openxmlformats.org/officeDocument/2006/relationships/hyperlink" Target="https://pubmed.ncbi.nlm.nih.gov/22971434" TargetMode="External"/><Relationship Id="rId392" Type="http://schemas.openxmlformats.org/officeDocument/2006/relationships/hyperlink" Target="https://pubmed.ncbi.nlm.nih.gov/37775946" TargetMode="External"/><Relationship Id="rId391" Type="http://schemas.openxmlformats.org/officeDocument/2006/relationships/hyperlink" Target="https://pubmed.ncbi.nlm.nih.gov/37775940" TargetMode="External"/><Relationship Id="rId390" Type="http://schemas.openxmlformats.org/officeDocument/2006/relationships/hyperlink" Target="https://pubmed.ncbi.nlm.nih.gov/37804846" TargetMode="External"/><Relationship Id="rId385" Type="http://schemas.openxmlformats.org/officeDocument/2006/relationships/hyperlink" Target="https://pubmed.ncbi.nlm.nih.gov/37834292" TargetMode="External"/><Relationship Id="rId5211" Type="http://schemas.openxmlformats.org/officeDocument/2006/relationships/hyperlink" Target="https://pubmed.ncbi.nlm.nih.gov/22221653" TargetMode="External"/><Relationship Id="rId384" Type="http://schemas.openxmlformats.org/officeDocument/2006/relationships/hyperlink" Target="https://pubmed.ncbi.nlm.nih.gov/37906196" TargetMode="External"/><Relationship Id="rId5212" Type="http://schemas.openxmlformats.org/officeDocument/2006/relationships/hyperlink" Target="https://pubmed.ncbi.nlm.nih.gov/22214734" TargetMode="External"/><Relationship Id="rId383" Type="http://schemas.openxmlformats.org/officeDocument/2006/relationships/hyperlink" Target="https://pubmed.ncbi.nlm.nih.gov/37787922" TargetMode="External"/><Relationship Id="rId382" Type="http://schemas.openxmlformats.org/officeDocument/2006/relationships/hyperlink" Target="https://pubmed.ncbi.nlm.nih.gov/37796384" TargetMode="External"/><Relationship Id="rId5210" Type="http://schemas.openxmlformats.org/officeDocument/2006/relationships/hyperlink" Target="https://pubmed.ncbi.nlm.nih.gov/22172243" TargetMode="External"/><Relationship Id="rId389" Type="http://schemas.openxmlformats.org/officeDocument/2006/relationships/hyperlink" Target="https://pubmed.ncbi.nlm.nih.gov/37666943" TargetMode="External"/><Relationship Id="rId5215" Type="http://schemas.openxmlformats.org/officeDocument/2006/relationships/hyperlink" Target="https://pubmed.ncbi.nlm.nih.gov/24833528" TargetMode="External"/><Relationship Id="rId388" Type="http://schemas.openxmlformats.org/officeDocument/2006/relationships/hyperlink" Target="https://pubmed.ncbi.nlm.nih.gov/37646464" TargetMode="External"/><Relationship Id="rId5216" Type="http://schemas.openxmlformats.org/officeDocument/2006/relationships/hyperlink" Target="https://pubmed.ncbi.nlm.nih.gov/22617076" TargetMode="External"/><Relationship Id="rId387" Type="http://schemas.openxmlformats.org/officeDocument/2006/relationships/hyperlink" Target="https://pubmed.ncbi.nlm.nih.gov/37903570" TargetMode="External"/><Relationship Id="rId5213" Type="http://schemas.openxmlformats.org/officeDocument/2006/relationships/hyperlink" Target="https://pubmed.ncbi.nlm.nih.gov/22214784" TargetMode="External"/><Relationship Id="rId386" Type="http://schemas.openxmlformats.org/officeDocument/2006/relationships/hyperlink" Target="https://pubmed.ncbi.nlm.nih.gov/37899087" TargetMode="External"/><Relationship Id="rId5214" Type="http://schemas.openxmlformats.org/officeDocument/2006/relationships/hyperlink" Target="https://pubmed.ncbi.nlm.nih.gov/22377782" TargetMode="External"/><Relationship Id="rId5208" Type="http://schemas.openxmlformats.org/officeDocument/2006/relationships/hyperlink" Target="https://pubmed.ncbi.nlm.nih.gov/22309369" TargetMode="External"/><Relationship Id="rId5209" Type="http://schemas.openxmlformats.org/officeDocument/2006/relationships/hyperlink" Target="https://pubmed.ncbi.nlm.nih.gov/22285702" TargetMode="External"/><Relationship Id="rId5206" Type="http://schemas.openxmlformats.org/officeDocument/2006/relationships/hyperlink" Target="https://pubmed.ncbi.nlm.nih.gov/22371511" TargetMode="External"/><Relationship Id="rId5207" Type="http://schemas.openxmlformats.org/officeDocument/2006/relationships/hyperlink" Target="https://pubmed.ncbi.nlm.nih.gov/22257088" TargetMode="External"/><Relationship Id="rId381" Type="http://schemas.openxmlformats.org/officeDocument/2006/relationships/hyperlink" Target="https://pubmed.ncbi.nlm.nih.gov/37852868" TargetMode="External"/><Relationship Id="rId380" Type="http://schemas.openxmlformats.org/officeDocument/2006/relationships/hyperlink" Target="https://pubmed.ncbi.nlm.nih.gov/37839196" TargetMode="External"/><Relationship Id="rId379" Type="http://schemas.openxmlformats.org/officeDocument/2006/relationships/hyperlink" Target="https://pubmed.ncbi.nlm.nih.gov/37801027" TargetMode="External"/><Relationship Id="rId374" Type="http://schemas.openxmlformats.org/officeDocument/2006/relationships/hyperlink" Target="https://pubmed.ncbi.nlm.nih.gov/37819950" TargetMode="External"/><Relationship Id="rId5200" Type="http://schemas.openxmlformats.org/officeDocument/2006/relationships/hyperlink" Target="https://pubmed.ncbi.nlm.nih.gov/22357989" TargetMode="External"/><Relationship Id="rId373" Type="http://schemas.openxmlformats.org/officeDocument/2006/relationships/hyperlink" Target="https://pubmed.ncbi.nlm.nih.gov/37822095" TargetMode="External"/><Relationship Id="rId5201" Type="http://schemas.openxmlformats.org/officeDocument/2006/relationships/hyperlink" Target="https://pubmed.ncbi.nlm.nih.gov/22277949" TargetMode="External"/><Relationship Id="rId372" Type="http://schemas.openxmlformats.org/officeDocument/2006/relationships/hyperlink" Target="https://pubmed.ncbi.nlm.nih.gov/37900029" TargetMode="External"/><Relationship Id="rId371" Type="http://schemas.openxmlformats.org/officeDocument/2006/relationships/hyperlink" Target="https://pubmed.ncbi.nlm.nih.gov/37897746" TargetMode="External"/><Relationship Id="rId378" Type="http://schemas.openxmlformats.org/officeDocument/2006/relationships/hyperlink" Target="https://pubmed.ncbi.nlm.nih.gov/37804448" TargetMode="External"/><Relationship Id="rId5204" Type="http://schemas.openxmlformats.org/officeDocument/2006/relationships/hyperlink" Target="https://pubmed.ncbi.nlm.nih.gov/22393453" TargetMode="External"/><Relationship Id="rId377" Type="http://schemas.openxmlformats.org/officeDocument/2006/relationships/hyperlink" Target="https://pubmed.ncbi.nlm.nih.gov/37813867" TargetMode="External"/><Relationship Id="rId5205" Type="http://schemas.openxmlformats.org/officeDocument/2006/relationships/hyperlink" Target="https://pubmed.ncbi.nlm.nih.gov/22374111" TargetMode="External"/><Relationship Id="rId376" Type="http://schemas.openxmlformats.org/officeDocument/2006/relationships/hyperlink" Target="https://pubmed.ncbi.nlm.nih.gov/37303208" TargetMode="External"/><Relationship Id="rId5202" Type="http://schemas.openxmlformats.org/officeDocument/2006/relationships/hyperlink" Target="https://pubmed.ncbi.nlm.nih.gov/22389427" TargetMode="External"/><Relationship Id="rId375" Type="http://schemas.openxmlformats.org/officeDocument/2006/relationships/hyperlink" Target="https://pubmed.ncbi.nlm.nih.gov/37817549" TargetMode="External"/><Relationship Id="rId5203" Type="http://schemas.openxmlformats.org/officeDocument/2006/relationships/hyperlink" Target="https://pubmed.ncbi.nlm.nih.gov/24282690" TargetMode="External"/><Relationship Id="rId5239" Type="http://schemas.openxmlformats.org/officeDocument/2006/relationships/hyperlink" Target="https://pubmed.ncbi.nlm.nih.gov/22050059" TargetMode="External"/><Relationship Id="rId5230" Type="http://schemas.openxmlformats.org/officeDocument/2006/relationships/hyperlink" Target="https://pubmed.ncbi.nlm.nih.gov/22143233" TargetMode="External"/><Relationship Id="rId5233" Type="http://schemas.openxmlformats.org/officeDocument/2006/relationships/hyperlink" Target="https://pubmed.ncbi.nlm.nih.gov/22104551" TargetMode="External"/><Relationship Id="rId5234" Type="http://schemas.openxmlformats.org/officeDocument/2006/relationships/hyperlink" Target="https://pubmed.ncbi.nlm.nih.gov/22095617" TargetMode="External"/><Relationship Id="rId5231" Type="http://schemas.openxmlformats.org/officeDocument/2006/relationships/hyperlink" Target="https://pubmed.ncbi.nlm.nih.gov/21765351" TargetMode="External"/><Relationship Id="rId5232" Type="http://schemas.openxmlformats.org/officeDocument/2006/relationships/hyperlink" Target="https://pubmed.ncbi.nlm.nih.gov/22119082" TargetMode="External"/><Relationship Id="rId5237" Type="http://schemas.openxmlformats.org/officeDocument/2006/relationships/hyperlink" Target="https://pubmed.ncbi.nlm.nih.gov/21705892" TargetMode="External"/><Relationship Id="rId5238" Type="http://schemas.openxmlformats.org/officeDocument/2006/relationships/hyperlink" Target="https://pubmed.ncbi.nlm.nih.gov/21941190" TargetMode="External"/><Relationship Id="rId5235" Type="http://schemas.openxmlformats.org/officeDocument/2006/relationships/hyperlink" Target="https://pubmed.ncbi.nlm.nih.gov/22093142" TargetMode="External"/><Relationship Id="rId5236" Type="http://schemas.openxmlformats.org/officeDocument/2006/relationships/hyperlink" Target="https://pubmed.ncbi.nlm.nih.gov/21918474" TargetMode="External"/><Relationship Id="rId5228" Type="http://schemas.openxmlformats.org/officeDocument/2006/relationships/hyperlink" Target="https://pubmed.ncbi.nlm.nih.gov/22156574" TargetMode="External"/><Relationship Id="rId5229" Type="http://schemas.openxmlformats.org/officeDocument/2006/relationships/hyperlink" Target="https://pubmed.ncbi.nlm.nih.gov/22158397" TargetMode="External"/><Relationship Id="rId396" Type="http://schemas.openxmlformats.org/officeDocument/2006/relationships/hyperlink" Target="https://pubmed.ncbi.nlm.nih.gov/37773037" TargetMode="External"/><Relationship Id="rId5222" Type="http://schemas.openxmlformats.org/officeDocument/2006/relationships/hyperlink" Target="https://pubmed.ncbi.nlm.nih.gov/22357311" TargetMode="External"/><Relationship Id="rId395" Type="http://schemas.openxmlformats.org/officeDocument/2006/relationships/hyperlink" Target="https://pubmed.ncbi.nlm.nih.gov/38046622" TargetMode="External"/><Relationship Id="rId5223" Type="http://schemas.openxmlformats.org/officeDocument/2006/relationships/hyperlink" Target="https://pubmed.ncbi.nlm.nih.gov/23218032" TargetMode="External"/><Relationship Id="rId394" Type="http://schemas.openxmlformats.org/officeDocument/2006/relationships/hyperlink" Target="https://pubmed.ncbi.nlm.nih.gov/37860692" TargetMode="External"/><Relationship Id="rId5220" Type="http://schemas.openxmlformats.org/officeDocument/2006/relationships/hyperlink" Target="https://pubmed.ncbi.nlm.nih.gov/22296900" TargetMode="External"/><Relationship Id="rId393" Type="http://schemas.openxmlformats.org/officeDocument/2006/relationships/hyperlink" Target="https://pubmed.ncbi.nlm.nih.gov/37778707" TargetMode="External"/><Relationship Id="rId5221" Type="http://schemas.openxmlformats.org/officeDocument/2006/relationships/hyperlink" Target="https://pubmed.ncbi.nlm.nih.gov/23031245" TargetMode="External"/><Relationship Id="rId5226" Type="http://schemas.openxmlformats.org/officeDocument/2006/relationships/hyperlink" Target="https://pubmed.ncbi.nlm.nih.gov/22184101" TargetMode="External"/><Relationship Id="rId399" Type="http://schemas.openxmlformats.org/officeDocument/2006/relationships/hyperlink" Target="https://pubmed.ncbi.nlm.nih.gov/37749590" TargetMode="External"/><Relationship Id="rId5227" Type="http://schemas.openxmlformats.org/officeDocument/2006/relationships/hyperlink" Target="https://pubmed.ncbi.nlm.nih.gov/22179926" TargetMode="External"/><Relationship Id="rId398" Type="http://schemas.openxmlformats.org/officeDocument/2006/relationships/hyperlink" Target="https://pubmed.ncbi.nlm.nih.gov/37750500" TargetMode="External"/><Relationship Id="rId5224" Type="http://schemas.openxmlformats.org/officeDocument/2006/relationships/hyperlink" Target="https://pubmed.ncbi.nlm.nih.gov/22201150" TargetMode="External"/><Relationship Id="rId397" Type="http://schemas.openxmlformats.org/officeDocument/2006/relationships/hyperlink" Target="https://pubmed.ncbi.nlm.nih.gov/37758553" TargetMode="External"/><Relationship Id="rId5225" Type="http://schemas.openxmlformats.org/officeDocument/2006/relationships/hyperlink" Target="https://pubmed.ncbi.nlm.nih.gov/22262640" TargetMode="External"/><Relationship Id="rId1730" Type="http://schemas.openxmlformats.org/officeDocument/2006/relationships/hyperlink" Target="https://pubmed.ncbi.nlm.nih.gov/33436457" TargetMode="External"/><Relationship Id="rId1731" Type="http://schemas.openxmlformats.org/officeDocument/2006/relationships/hyperlink" Target="https://pubmed.ncbi.nlm.nih.gov/33899286" TargetMode="External"/><Relationship Id="rId1732" Type="http://schemas.openxmlformats.org/officeDocument/2006/relationships/hyperlink" Target="https://pubmed.ncbi.nlm.nih.gov/33891478" TargetMode="External"/><Relationship Id="rId1733" Type="http://schemas.openxmlformats.org/officeDocument/2006/relationships/hyperlink" Target="https://pubmed.ncbi.nlm.nih.gov/33890479" TargetMode="External"/><Relationship Id="rId1734" Type="http://schemas.openxmlformats.org/officeDocument/2006/relationships/hyperlink" Target="https://pubmed.ncbi.nlm.nih.gov/33879453" TargetMode="External"/><Relationship Id="rId1735" Type="http://schemas.openxmlformats.org/officeDocument/2006/relationships/hyperlink" Target="https://pubmed.ncbi.nlm.nih.gov/33959652" TargetMode="External"/><Relationship Id="rId1736" Type="http://schemas.openxmlformats.org/officeDocument/2006/relationships/hyperlink" Target="https://pubmed.ncbi.nlm.nih.gov/33879081" TargetMode="External"/><Relationship Id="rId1737" Type="http://schemas.openxmlformats.org/officeDocument/2006/relationships/hyperlink" Target="https://pubmed.ncbi.nlm.nih.gov/33893062" TargetMode="External"/><Relationship Id="rId1738" Type="http://schemas.openxmlformats.org/officeDocument/2006/relationships/hyperlink" Target="https://pubmed.ncbi.nlm.nih.gov/33872298" TargetMode="External"/><Relationship Id="rId1739" Type="http://schemas.openxmlformats.org/officeDocument/2006/relationships/hyperlink" Target="https://pubmed.ncbi.nlm.nih.gov/33936790" TargetMode="External"/><Relationship Id="rId1720" Type="http://schemas.openxmlformats.org/officeDocument/2006/relationships/hyperlink" Target="https://pubmed.ncbi.nlm.nih.gov/33932372" TargetMode="External"/><Relationship Id="rId1721" Type="http://schemas.openxmlformats.org/officeDocument/2006/relationships/hyperlink" Target="https://pubmed.ncbi.nlm.nih.gov/33779119" TargetMode="External"/><Relationship Id="rId1722" Type="http://schemas.openxmlformats.org/officeDocument/2006/relationships/hyperlink" Target="https://pubmed.ncbi.nlm.nih.gov/33932429" TargetMode="External"/><Relationship Id="rId1723" Type="http://schemas.openxmlformats.org/officeDocument/2006/relationships/hyperlink" Target="https://pubmed.ncbi.nlm.nih.gov/33914795" TargetMode="External"/><Relationship Id="rId1724" Type="http://schemas.openxmlformats.org/officeDocument/2006/relationships/hyperlink" Target="https://pubmed.ncbi.nlm.nih.gov/33926474" TargetMode="External"/><Relationship Id="rId1725" Type="http://schemas.openxmlformats.org/officeDocument/2006/relationships/hyperlink" Target="https://pubmed.ncbi.nlm.nih.gov/33911082" TargetMode="External"/><Relationship Id="rId1726" Type="http://schemas.openxmlformats.org/officeDocument/2006/relationships/hyperlink" Target="https://pubmed.ncbi.nlm.nih.gov/33908892" TargetMode="External"/><Relationship Id="rId1727" Type="http://schemas.openxmlformats.org/officeDocument/2006/relationships/hyperlink" Target="https://pubmed.ncbi.nlm.nih.gov/33904946" TargetMode="External"/><Relationship Id="rId1728" Type="http://schemas.openxmlformats.org/officeDocument/2006/relationships/hyperlink" Target="https://pubmed.ncbi.nlm.nih.gov/34130023" TargetMode="External"/><Relationship Id="rId1729" Type="http://schemas.openxmlformats.org/officeDocument/2006/relationships/hyperlink" Target="https://pubmed.ncbi.nlm.nih.gov/33906905" TargetMode="External"/><Relationship Id="rId1752" Type="http://schemas.openxmlformats.org/officeDocument/2006/relationships/hyperlink" Target="https://pubmed.ncbi.nlm.nih.gov/33917229" TargetMode="External"/><Relationship Id="rId1753" Type="http://schemas.openxmlformats.org/officeDocument/2006/relationships/hyperlink" Target="https://pubmed.ncbi.nlm.nih.gov/33827574" TargetMode="External"/><Relationship Id="rId1754" Type="http://schemas.openxmlformats.org/officeDocument/2006/relationships/hyperlink" Target="https://pubmed.ncbi.nlm.nih.gov/33825546" TargetMode="External"/><Relationship Id="rId1755" Type="http://schemas.openxmlformats.org/officeDocument/2006/relationships/hyperlink" Target="https://pubmed.ncbi.nlm.nih.gov/33836256" TargetMode="External"/><Relationship Id="rId1756" Type="http://schemas.openxmlformats.org/officeDocument/2006/relationships/hyperlink" Target="https://pubmed.ncbi.nlm.nih.gov/33823851" TargetMode="External"/><Relationship Id="rId1757" Type="http://schemas.openxmlformats.org/officeDocument/2006/relationships/hyperlink" Target="https://pubmed.ncbi.nlm.nih.gov/33827781" TargetMode="External"/><Relationship Id="rId1758" Type="http://schemas.openxmlformats.org/officeDocument/2006/relationships/hyperlink" Target="https://pubmed.ncbi.nlm.nih.gov/33813759" TargetMode="External"/><Relationship Id="rId1759" Type="http://schemas.openxmlformats.org/officeDocument/2006/relationships/hyperlink" Target="https://pubmed.ncbi.nlm.nih.gov/33760073" TargetMode="External"/><Relationship Id="rId1750" Type="http://schemas.openxmlformats.org/officeDocument/2006/relationships/hyperlink" Target="https://pubmed.ncbi.nlm.nih.gov/33829601" TargetMode="External"/><Relationship Id="rId1751" Type="http://schemas.openxmlformats.org/officeDocument/2006/relationships/hyperlink" Target="https://pubmed.ncbi.nlm.nih.gov/32860030" TargetMode="External"/><Relationship Id="rId1741" Type="http://schemas.openxmlformats.org/officeDocument/2006/relationships/hyperlink" Target="https://pubmed.ncbi.nlm.nih.gov/33936030" TargetMode="External"/><Relationship Id="rId1742" Type="http://schemas.openxmlformats.org/officeDocument/2006/relationships/hyperlink" Target="https://pubmed.ncbi.nlm.nih.gov/33854064" TargetMode="External"/><Relationship Id="rId1743" Type="http://schemas.openxmlformats.org/officeDocument/2006/relationships/hyperlink" Target="https://pubmed.ncbi.nlm.nih.gov/33854066" TargetMode="External"/><Relationship Id="rId1744" Type="http://schemas.openxmlformats.org/officeDocument/2006/relationships/hyperlink" Target="https://pubmed.ncbi.nlm.nih.gov/33846504" TargetMode="External"/><Relationship Id="rId1745" Type="http://schemas.openxmlformats.org/officeDocument/2006/relationships/hyperlink" Target="https://pubmed.ncbi.nlm.nih.gov/33844598" TargetMode="External"/><Relationship Id="rId1746" Type="http://schemas.openxmlformats.org/officeDocument/2006/relationships/hyperlink" Target="https://pubmed.ncbi.nlm.nih.gov/33848712" TargetMode="External"/><Relationship Id="rId1747" Type="http://schemas.openxmlformats.org/officeDocument/2006/relationships/hyperlink" Target="https://pubmed.ncbi.nlm.nih.gov/33835889" TargetMode="External"/><Relationship Id="rId1748" Type="http://schemas.openxmlformats.org/officeDocument/2006/relationships/hyperlink" Target="https://pubmed.ncbi.nlm.nih.gov/33833297" TargetMode="External"/><Relationship Id="rId1749" Type="http://schemas.openxmlformats.org/officeDocument/2006/relationships/hyperlink" Target="https://pubmed.ncbi.nlm.nih.gov/32619238" TargetMode="External"/><Relationship Id="rId1740" Type="http://schemas.openxmlformats.org/officeDocument/2006/relationships/hyperlink" Target="https://pubmed.ncbi.nlm.nih.gov/33866191" TargetMode="External"/><Relationship Id="rId5291" Type="http://schemas.openxmlformats.org/officeDocument/2006/relationships/hyperlink" Target="https://pubmed.ncbi.nlm.nih.gov/21478382" TargetMode="External"/><Relationship Id="rId5292" Type="http://schemas.openxmlformats.org/officeDocument/2006/relationships/hyperlink" Target="https://pubmed.ncbi.nlm.nih.gov/21568017" TargetMode="External"/><Relationship Id="rId5290" Type="http://schemas.openxmlformats.org/officeDocument/2006/relationships/hyperlink" Target="https://pubmed.ncbi.nlm.nih.gov/21509444" TargetMode="External"/><Relationship Id="rId5295" Type="http://schemas.openxmlformats.org/officeDocument/2006/relationships/hyperlink" Target="https://pubmed.ncbi.nlm.nih.gov/21450800" TargetMode="External"/><Relationship Id="rId5296" Type="http://schemas.openxmlformats.org/officeDocument/2006/relationships/hyperlink" Target="https://pubmed.ncbi.nlm.nih.gov/21448170" TargetMode="External"/><Relationship Id="rId5293" Type="http://schemas.openxmlformats.org/officeDocument/2006/relationships/hyperlink" Target="https://pubmed.ncbi.nlm.nih.gov/21459931" TargetMode="External"/><Relationship Id="rId5294" Type="http://schemas.openxmlformats.org/officeDocument/2006/relationships/hyperlink" Target="https://pubmed.ncbi.nlm.nih.gov/21138462" TargetMode="External"/><Relationship Id="rId5299" Type="http://schemas.openxmlformats.org/officeDocument/2006/relationships/hyperlink" Target="https://pubmed.ncbi.nlm.nih.gov/21372044" TargetMode="External"/><Relationship Id="rId5297" Type="http://schemas.openxmlformats.org/officeDocument/2006/relationships/hyperlink" Target="https://pubmed.ncbi.nlm.nih.gov/21439552" TargetMode="External"/><Relationship Id="rId5298" Type="http://schemas.openxmlformats.org/officeDocument/2006/relationships/hyperlink" Target="https://pubmed.ncbi.nlm.nih.gov/21424218" TargetMode="External"/><Relationship Id="rId5280" Type="http://schemas.openxmlformats.org/officeDocument/2006/relationships/hyperlink" Target="https://pubmed.ncbi.nlm.nih.gov/21872142" TargetMode="External"/><Relationship Id="rId5281" Type="http://schemas.openxmlformats.org/officeDocument/2006/relationships/hyperlink" Target="https://pubmed.ncbi.nlm.nih.gov/21617330" TargetMode="External"/><Relationship Id="rId5284" Type="http://schemas.openxmlformats.org/officeDocument/2006/relationships/hyperlink" Target="https://pubmed.ncbi.nlm.nih.gov/21603881" TargetMode="External"/><Relationship Id="rId5285" Type="http://schemas.openxmlformats.org/officeDocument/2006/relationships/hyperlink" Target="https://pubmed.ncbi.nlm.nih.gov/21602562" TargetMode="External"/><Relationship Id="rId5282" Type="http://schemas.openxmlformats.org/officeDocument/2006/relationships/hyperlink" Target="https://pubmed.ncbi.nlm.nih.gov/21641967" TargetMode="External"/><Relationship Id="rId5283" Type="http://schemas.openxmlformats.org/officeDocument/2006/relationships/hyperlink" Target="https://pubmed.ncbi.nlm.nih.gov/21613319" TargetMode="External"/><Relationship Id="rId5288" Type="http://schemas.openxmlformats.org/officeDocument/2006/relationships/hyperlink" Target="https://pubmed.ncbi.nlm.nih.gov/21546472" TargetMode="External"/><Relationship Id="rId5289" Type="http://schemas.openxmlformats.org/officeDocument/2006/relationships/hyperlink" Target="https://pubmed.ncbi.nlm.nih.gov/21158891" TargetMode="External"/><Relationship Id="rId5286" Type="http://schemas.openxmlformats.org/officeDocument/2006/relationships/hyperlink" Target="https://pubmed.ncbi.nlm.nih.gov/21596497" TargetMode="External"/><Relationship Id="rId5287" Type="http://schemas.openxmlformats.org/officeDocument/2006/relationships/hyperlink" Target="https://pubmed.ncbi.nlm.nih.gov/21585249" TargetMode="External"/><Relationship Id="rId1710" Type="http://schemas.openxmlformats.org/officeDocument/2006/relationships/hyperlink" Target="https://pubmed.ncbi.nlm.nih.gov/33834620" TargetMode="External"/><Relationship Id="rId1711" Type="http://schemas.openxmlformats.org/officeDocument/2006/relationships/hyperlink" Target="https://pubmed.ncbi.nlm.nih.gov/33502463" TargetMode="External"/><Relationship Id="rId1712" Type="http://schemas.openxmlformats.org/officeDocument/2006/relationships/hyperlink" Target="https://pubmed.ncbi.nlm.nih.gov/33783955" TargetMode="External"/><Relationship Id="rId1713" Type="http://schemas.openxmlformats.org/officeDocument/2006/relationships/hyperlink" Target="https://pubmed.ncbi.nlm.nih.gov/33945586" TargetMode="External"/><Relationship Id="rId1714" Type="http://schemas.openxmlformats.org/officeDocument/2006/relationships/hyperlink" Target="https://pubmed.ncbi.nlm.nih.gov/33942163" TargetMode="External"/><Relationship Id="rId1715" Type="http://schemas.openxmlformats.org/officeDocument/2006/relationships/hyperlink" Target="https://pubmed.ncbi.nlm.nih.gov/34012986" TargetMode="External"/><Relationship Id="rId1716" Type="http://schemas.openxmlformats.org/officeDocument/2006/relationships/hyperlink" Target="https://pubmed.ncbi.nlm.nih.gov/33938808" TargetMode="External"/><Relationship Id="rId1717" Type="http://schemas.openxmlformats.org/officeDocument/2006/relationships/hyperlink" Target="https://pubmed.ncbi.nlm.nih.gov/34031134" TargetMode="External"/><Relationship Id="rId1718" Type="http://schemas.openxmlformats.org/officeDocument/2006/relationships/hyperlink" Target="https://pubmed.ncbi.nlm.nih.gov/33879518" TargetMode="External"/><Relationship Id="rId1719" Type="http://schemas.openxmlformats.org/officeDocument/2006/relationships/hyperlink" Target="https://pubmed.ncbi.nlm.nih.gov/33727701" TargetMode="External"/><Relationship Id="rId1700" Type="http://schemas.openxmlformats.org/officeDocument/2006/relationships/hyperlink" Target="https://pubmed.ncbi.nlm.nih.gov/33962619" TargetMode="External"/><Relationship Id="rId1701" Type="http://schemas.openxmlformats.org/officeDocument/2006/relationships/hyperlink" Target="https://pubmed.ncbi.nlm.nih.gov/33852815" TargetMode="External"/><Relationship Id="rId1702" Type="http://schemas.openxmlformats.org/officeDocument/2006/relationships/hyperlink" Target="https://pubmed.ncbi.nlm.nih.gov/33956410" TargetMode="External"/><Relationship Id="rId1703" Type="http://schemas.openxmlformats.org/officeDocument/2006/relationships/hyperlink" Target="https://pubmed.ncbi.nlm.nih.gov/33955620" TargetMode="External"/><Relationship Id="rId1704" Type="http://schemas.openxmlformats.org/officeDocument/2006/relationships/hyperlink" Target="https://pubmed.ncbi.nlm.nih.gov/34346612" TargetMode="External"/><Relationship Id="rId1705" Type="http://schemas.openxmlformats.org/officeDocument/2006/relationships/hyperlink" Target="https://pubmed.ncbi.nlm.nih.gov/34512231" TargetMode="External"/><Relationship Id="rId1706" Type="http://schemas.openxmlformats.org/officeDocument/2006/relationships/hyperlink" Target="https://pubmed.ncbi.nlm.nih.gov/33955800" TargetMode="External"/><Relationship Id="rId1707" Type="http://schemas.openxmlformats.org/officeDocument/2006/relationships/hyperlink" Target="https://pubmed.ncbi.nlm.nih.gov/33948970" TargetMode="External"/><Relationship Id="rId1708" Type="http://schemas.openxmlformats.org/officeDocument/2006/relationships/hyperlink" Target="https://pubmed.ncbi.nlm.nih.gov/33780558" TargetMode="External"/><Relationship Id="rId1709" Type="http://schemas.openxmlformats.org/officeDocument/2006/relationships/hyperlink" Target="https://pubmed.ncbi.nlm.nih.gov/33125060" TargetMode="External"/><Relationship Id="rId40" Type="http://schemas.openxmlformats.org/officeDocument/2006/relationships/hyperlink" Target="https://pubmed.ncbi.nlm.nih.gov/38720253" TargetMode="External"/><Relationship Id="rId42" Type="http://schemas.openxmlformats.org/officeDocument/2006/relationships/hyperlink" Target="https://pubmed.ncbi.nlm.nih.gov/38720263" TargetMode="External"/><Relationship Id="rId41" Type="http://schemas.openxmlformats.org/officeDocument/2006/relationships/hyperlink" Target="https://pubmed.ncbi.nlm.nih.gov/38717819" TargetMode="External"/><Relationship Id="rId44" Type="http://schemas.openxmlformats.org/officeDocument/2006/relationships/hyperlink" Target="https://pubmed.ncbi.nlm.nih.gov/38710307" TargetMode="External"/><Relationship Id="rId43" Type="http://schemas.openxmlformats.org/officeDocument/2006/relationships/hyperlink" Target="https://pubmed.ncbi.nlm.nih.gov/38723632" TargetMode="External"/><Relationship Id="rId46" Type="http://schemas.openxmlformats.org/officeDocument/2006/relationships/hyperlink" Target="https://pubmed.ncbi.nlm.nih.gov/38695784" TargetMode="External"/><Relationship Id="rId45" Type="http://schemas.openxmlformats.org/officeDocument/2006/relationships/hyperlink" Target="https://pubmed.ncbi.nlm.nih.gov/38700376" TargetMode="External"/><Relationship Id="rId48" Type="http://schemas.openxmlformats.org/officeDocument/2006/relationships/hyperlink" Target="https://pubmed.ncbi.nlm.nih.gov/38692650" TargetMode="External"/><Relationship Id="rId47" Type="http://schemas.openxmlformats.org/officeDocument/2006/relationships/hyperlink" Target="https://pubmed.ncbi.nlm.nih.gov/38692659" TargetMode="External"/><Relationship Id="rId49" Type="http://schemas.openxmlformats.org/officeDocument/2006/relationships/hyperlink" Target="https://pubmed.ncbi.nlm.nih.gov/38692645" TargetMode="External"/><Relationship Id="rId31" Type="http://schemas.openxmlformats.org/officeDocument/2006/relationships/hyperlink" Target="https://pubmed.ncbi.nlm.nih.gov/38840960" TargetMode="External"/><Relationship Id="rId30" Type="http://schemas.openxmlformats.org/officeDocument/2006/relationships/hyperlink" Target="https://pubmed.ncbi.nlm.nih.gov/38754869" TargetMode="External"/><Relationship Id="rId33" Type="http://schemas.openxmlformats.org/officeDocument/2006/relationships/hyperlink" Target="https://pubmed.ncbi.nlm.nih.gov/38800111" TargetMode="External"/><Relationship Id="rId32" Type="http://schemas.openxmlformats.org/officeDocument/2006/relationships/hyperlink" Target="https://pubmed.ncbi.nlm.nih.gov/38763149" TargetMode="External"/><Relationship Id="rId35" Type="http://schemas.openxmlformats.org/officeDocument/2006/relationships/hyperlink" Target="https://pubmed.ncbi.nlm.nih.gov/38749892" TargetMode="External"/><Relationship Id="rId34" Type="http://schemas.openxmlformats.org/officeDocument/2006/relationships/hyperlink" Target="https://pubmed.ncbi.nlm.nih.gov/38755049" TargetMode="External"/><Relationship Id="rId37" Type="http://schemas.openxmlformats.org/officeDocument/2006/relationships/hyperlink" Target="https://pubmed.ncbi.nlm.nih.gov/38728551" TargetMode="External"/><Relationship Id="rId36" Type="http://schemas.openxmlformats.org/officeDocument/2006/relationships/hyperlink" Target="https://pubmed.ncbi.nlm.nih.gov/38774675" TargetMode="External"/><Relationship Id="rId39" Type="http://schemas.openxmlformats.org/officeDocument/2006/relationships/hyperlink" Target="https://pubmed.ncbi.nlm.nih.gov/38720011" TargetMode="External"/><Relationship Id="rId38" Type="http://schemas.openxmlformats.org/officeDocument/2006/relationships/hyperlink" Target="https://pubmed.ncbi.nlm.nih.gov/38729274" TargetMode="External"/><Relationship Id="rId20" Type="http://schemas.openxmlformats.org/officeDocument/2006/relationships/hyperlink" Target="https://pubmed.ncbi.nlm.nih.gov/38802604" TargetMode="External"/><Relationship Id="rId22" Type="http://schemas.openxmlformats.org/officeDocument/2006/relationships/hyperlink" Target="https://pubmed.ncbi.nlm.nih.gov/38795202" TargetMode="External"/><Relationship Id="rId21" Type="http://schemas.openxmlformats.org/officeDocument/2006/relationships/hyperlink" Target="https://pubmed.ncbi.nlm.nih.gov/38806105" TargetMode="External"/><Relationship Id="rId24" Type="http://schemas.openxmlformats.org/officeDocument/2006/relationships/hyperlink" Target="https://pubmed.ncbi.nlm.nih.gov/38795905" TargetMode="External"/><Relationship Id="rId23" Type="http://schemas.openxmlformats.org/officeDocument/2006/relationships/hyperlink" Target="https://pubmed.ncbi.nlm.nih.gov/38797463" TargetMode="External"/><Relationship Id="rId26" Type="http://schemas.openxmlformats.org/officeDocument/2006/relationships/hyperlink" Target="https://pubmed.ncbi.nlm.nih.gov/38764079" TargetMode="External"/><Relationship Id="rId25" Type="http://schemas.openxmlformats.org/officeDocument/2006/relationships/hyperlink" Target="https://pubmed.ncbi.nlm.nih.gov/38773517" TargetMode="External"/><Relationship Id="rId28" Type="http://schemas.openxmlformats.org/officeDocument/2006/relationships/hyperlink" Target="https://pubmed.ncbi.nlm.nih.gov/38829073" TargetMode="External"/><Relationship Id="rId27" Type="http://schemas.openxmlformats.org/officeDocument/2006/relationships/hyperlink" Target="https://pubmed.ncbi.nlm.nih.gov/38764063" TargetMode="External"/><Relationship Id="rId29" Type="http://schemas.openxmlformats.org/officeDocument/2006/relationships/hyperlink" Target="https://pubmed.ncbi.nlm.nih.gov/38757646" TargetMode="External"/><Relationship Id="rId11" Type="http://schemas.openxmlformats.org/officeDocument/2006/relationships/hyperlink" Target="https://pubmed.ncbi.nlm.nih.gov/38820263" TargetMode="External"/><Relationship Id="rId10" Type="http://schemas.openxmlformats.org/officeDocument/2006/relationships/hyperlink" Target="https://pubmed.ncbi.nlm.nih.gov/38831143" TargetMode="External"/><Relationship Id="rId13" Type="http://schemas.openxmlformats.org/officeDocument/2006/relationships/hyperlink" Target="https://pubmed.ncbi.nlm.nih.gov/38822495" TargetMode="External"/><Relationship Id="rId12" Type="http://schemas.openxmlformats.org/officeDocument/2006/relationships/hyperlink" Target="https://pubmed.ncbi.nlm.nih.gov/38816526" TargetMode="External"/><Relationship Id="rId15" Type="http://schemas.openxmlformats.org/officeDocument/2006/relationships/hyperlink" Target="https://pubmed.ncbi.nlm.nih.gov/38808499" TargetMode="External"/><Relationship Id="rId14" Type="http://schemas.openxmlformats.org/officeDocument/2006/relationships/hyperlink" Target="https://pubmed.ncbi.nlm.nih.gov/38816440" TargetMode="External"/><Relationship Id="rId17" Type="http://schemas.openxmlformats.org/officeDocument/2006/relationships/hyperlink" Target="https://pubmed.ncbi.nlm.nih.gov/38805144" TargetMode="External"/><Relationship Id="rId16" Type="http://schemas.openxmlformats.org/officeDocument/2006/relationships/hyperlink" Target="https://pubmed.ncbi.nlm.nih.gov/38821340" TargetMode="External"/><Relationship Id="rId19" Type="http://schemas.openxmlformats.org/officeDocument/2006/relationships/hyperlink" Target="https://pubmed.ncbi.nlm.nih.gov/38801544" TargetMode="External"/><Relationship Id="rId18" Type="http://schemas.openxmlformats.org/officeDocument/2006/relationships/hyperlink" Target="https://pubmed.ncbi.nlm.nih.gov/38805702" TargetMode="External"/><Relationship Id="rId84" Type="http://schemas.openxmlformats.org/officeDocument/2006/relationships/hyperlink" Target="https://pubmed.ncbi.nlm.nih.gov/38157401" TargetMode="External"/><Relationship Id="rId1774" Type="http://schemas.openxmlformats.org/officeDocument/2006/relationships/hyperlink" Target="https://pubmed.ncbi.nlm.nih.gov/33834820" TargetMode="External"/><Relationship Id="rId83" Type="http://schemas.openxmlformats.org/officeDocument/2006/relationships/hyperlink" Target="https://pubmed.ncbi.nlm.nih.gov/38608997" TargetMode="External"/><Relationship Id="rId1775" Type="http://schemas.openxmlformats.org/officeDocument/2006/relationships/hyperlink" Target="https://pubmed.ncbi.nlm.nih.gov/33834811" TargetMode="External"/><Relationship Id="rId86" Type="http://schemas.openxmlformats.org/officeDocument/2006/relationships/hyperlink" Target="https://pubmed.ncbi.nlm.nih.gov/38618494" TargetMode="External"/><Relationship Id="rId1776" Type="http://schemas.openxmlformats.org/officeDocument/2006/relationships/hyperlink" Target="https://pubmed.ncbi.nlm.nih.gov/33772146" TargetMode="External"/><Relationship Id="rId85" Type="http://schemas.openxmlformats.org/officeDocument/2006/relationships/hyperlink" Target="https://pubmed.ncbi.nlm.nih.gov/38845740" TargetMode="External"/><Relationship Id="rId1777" Type="http://schemas.openxmlformats.org/officeDocument/2006/relationships/hyperlink" Target="https://pubmed.ncbi.nlm.nih.gov/33765095" TargetMode="External"/><Relationship Id="rId88" Type="http://schemas.openxmlformats.org/officeDocument/2006/relationships/hyperlink" Target="https://pubmed.ncbi.nlm.nih.gov/38584392" TargetMode="External"/><Relationship Id="rId1778" Type="http://schemas.openxmlformats.org/officeDocument/2006/relationships/hyperlink" Target="https://pubmed.ncbi.nlm.nih.gov/33760236" TargetMode="External"/><Relationship Id="rId87" Type="http://schemas.openxmlformats.org/officeDocument/2006/relationships/hyperlink" Target="https://pubmed.ncbi.nlm.nih.gov/38618502" TargetMode="External"/><Relationship Id="rId1779" Type="http://schemas.openxmlformats.org/officeDocument/2006/relationships/hyperlink" Target="https://pubmed.ncbi.nlm.nih.gov/33778166" TargetMode="External"/><Relationship Id="rId89" Type="http://schemas.openxmlformats.org/officeDocument/2006/relationships/hyperlink" Target="https://pubmed.ncbi.nlm.nih.gov/38588527" TargetMode="External"/><Relationship Id="rId80" Type="http://schemas.openxmlformats.org/officeDocument/2006/relationships/hyperlink" Target="https://pubmed.ncbi.nlm.nih.gov/38631529" TargetMode="External"/><Relationship Id="rId82" Type="http://schemas.openxmlformats.org/officeDocument/2006/relationships/hyperlink" Target="https://pubmed.ncbi.nlm.nih.gov/38680542" TargetMode="External"/><Relationship Id="rId81" Type="http://schemas.openxmlformats.org/officeDocument/2006/relationships/hyperlink" Target="https://pubmed.ncbi.nlm.nih.gov/38613660" TargetMode="External"/><Relationship Id="rId1770" Type="http://schemas.openxmlformats.org/officeDocument/2006/relationships/hyperlink" Target="https://pubmed.ncbi.nlm.nih.gov/33794292" TargetMode="External"/><Relationship Id="rId1771" Type="http://schemas.openxmlformats.org/officeDocument/2006/relationships/hyperlink" Target="https://pubmed.ncbi.nlm.nih.gov/33782084" TargetMode="External"/><Relationship Id="rId1772" Type="http://schemas.openxmlformats.org/officeDocument/2006/relationships/hyperlink" Target="https://pubmed.ncbi.nlm.nih.gov/33784533" TargetMode="External"/><Relationship Id="rId1773" Type="http://schemas.openxmlformats.org/officeDocument/2006/relationships/hyperlink" Target="https://pubmed.ncbi.nlm.nih.gov/33768582" TargetMode="External"/><Relationship Id="rId73" Type="http://schemas.openxmlformats.org/officeDocument/2006/relationships/hyperlink" Target="https://pubmed.ncbi.nlm.nih.gov/38634280" TargetMode="External"/><Relationship Id="rId1763" Type="http://schemas.openxmlformats.org/officeDocument/2006/relationships/hyperlink" Target="https://pubmed.ncbi.nlm.nih.gov/33812497" TargetMode="External"/><Relationship Id="rId72" Type="http://schemas.openxmlformats.org/officeDocument/2006/relationships/hyperlink" Target="https://pubmed.ncbi.nlm.nih.gov/38652064" TargetMode="External"/><Relationship Id="rId1764" Type="http://schemas.openxmlformats.org/officeDocument/2006/relationships/hyperlink" Target="https://pubmed.ncbi.nlm.nih.gov/33794869" TargetMode="External"/><Relationship Id="rId75" Type="http://schemas.openxmlformats.org/officeDocument/2006/relationships/hyperlink" Target="https://pubmed.ncbi.nlm.nih.gov/38626948" TargetMode="External"/><Relationship Id="rId1765" Type="http://schemas.openxmlformats.org/officeDocument/2006/relationships/hyperlink" Target="https://pubmed.ncbi.nlm.nih.gov/33813120" TargetMode="External"/><Relationship Id="rId74" Type="http://schemas.openxmlformats.org/officeDocument/2006/relationships/hyperlink" Target="https://pubmed.ncbi.nlm.nih.gov/38632139" TargetMode="External"/><Relationship Id="rId1766" Type="http://schemas.openxmlformats.org/officeDocument/2006/relationships/hyperlink" Target="https://pubmed.ncbi.nlm.nih.gov/33731935" TargetMode="External"/><Relationship Id="rId77" Type="http://schemas.openxmlformats.org/officeDocument/2006/relationships/hyperlink" Target="https://pubmed.ncbi.nlm.nih.gov/38622675" TargetMode="External"/><Relationship Id="rId1767" Type="http://schemas.openxmlformats.org/officeDocument/2006/relationships/hyperlink" Target="https://pubmed.ncbi.nlm.nih.gov/33825632" TargetMode="External"/><Relationship Id="rId76" Type="http://schemas.openxmlformats.org/officeDocument/2006/relationships/hyperlink" Target="https://pubmed.ncbi.nlm.nih.gov/38626964" TargetMode="External"/><Relationship Id="rId1768" Type="http://schemas.openxmlformats.org/officeDocument/2006/relationships/hyperlink" Target="https://pubmed.ncbi.nlm.nih.gov/33788890" TargetMode="External"/><Relationship Id="rId79" Type="http://schemas.openxmlformats.org/officeDocument/2006/relationships/hyperlink" Target="https://pubmed.ncbi.nlm.nih.gov/38631529" TargetMode="External"/><Relationship Id="rId1769" Type="http://schemas.openxmlformats.org/officeDocument/2006/relationships/hyperlink" Target="https://pubmed.ncbi.nlm.nih.gov/33859615" TargetMode="External"/><Relationship Id="rId78" Type="http://schemas.openxmlformats.org/officeDocument/2006/relationships/hyperlink" Target="https://pubmed.ncbi.nlm.nih.gov/38625583" TargetMode="External"/><Relationship Id="rId71" Type="http://schemas.openxmlformats.org/officeDocument/2006/relationships/hyperlink" Target="https://pubmed.ncbi.nlm.nih.gov/38639912" TargetMode="External"/><Relationship Id="rId70" Type="http://schemas.openxmlformats.org/officeDocument/2006/relationships/hyperlink" Target="https://pubmed.ncbi.nlm.nih.gov/38641771" TargetMode="External"/><Relationship Id="rId1760" Type="http://schemas.openxmlformats.org/officeDocument/2006/relationships/hyperlink" Target="https://pubmed.ncbi.nlm.nih.gov/33666223" TargetMode="External"/><Relationship Id="rId1761" Type="http://schemas.openxmlformats.org/officeDocument/2006/relationships/hyperlink" Target="https://pubmed.ncbi.nlm.nih.gov/33230056" TargetMode="External"/><Relationship Id="rId1762" Type="http://schemas.openxmlformats.org/officeDocument/2006/relationships/hyperlink" Target="https://pubmed.ncbi.nlm.nih.gov/33775387" TargetMode="External"/><Relationship Id="rId62" Type="http://schemas.openxmlformats.org/officeDocument/2006/relationships/hyperlink" Target="https://pubmed.ncbi.nlm.nih.gov/38705093" TargetMode="External"/><Relationship Id="rId1796" Type="http://schemas.openxmlformats.org/officeDocument/2006/relationships/hyperlink" Target="https://pubmed.ncbi.nlm.nih.gov/33722709" TargetMode="External"/><Relationship Id="rId61" Type="http://schemas.openxmlformats.org/officeDocument/2006/relationships/hyperlink" Target="https://pubmed.ncbi.nlm.nih.gov/38657659" TargetMode="External"/><Relationship Id="rId1797" Type="http://schemas.openxmlformats.org/officeDocument/2006/relationships/hyperlink" Target="https://pubmed.ncbi.nlm.nih.gov/33727406" TargetMode="External"/><Relationship Id="rId64" Type="http://schemas.openxmlformats.org/officeDocument/2006/relationships/hyperlink" Target="https://pubmed.ncbi.nlm.nih.gov/38658205" TargetMode="External"/><Relationship Id="rId1798" Type="http://schemas.openxmlformats.org/officeDocument/2006/relationships/hyperlink" Target="https://pubmed.ncbi.nlm.nih.gov/33724062" TargetMode="External"/><Relationship Id="rId63" Type="http://schemas.openxmlformats.org/officeDocument/2006/relationships/hyperlink" Target="https://pubmed.ncbi.nlm.nih.gov/38652672" TargetMode="External"/><Relationship Id="rId1799" Type="http://schemas.openxmlformats.org/officeDocument/2006/relationships/hyperlink" Target="https://pubmed.ncbi.nlm.nih.gov/33346810" TargetMode="External"/><Relationship Id="rId66" Type="http://schemas.openxmlformats.org/officeDocument/2006/relationships/hyperlink" Target="https://pubmed.ncbi.nlm.nih.gov/38652328" TargetMode="External"/><Relationship Id="rId65" Type="http://schemas.openxmlformats.org/officeDocument/2006/relationships/hyperlink" Target="https://pubmed.ncbi.nlm.nih.gov/38654340" TargetMode="External"/><Relationship Id="rId68" Type="http://schemas.openxmlformats.org/officeDocument/2006/relationships/hyperlink" Target="https://pubmed.ncbi.nlm.nih.gov/38643179" TargetMode="External"/><Relationship Id="rId67" Type="http://schemas.openxmlformats.org/officeDocument/2006/relationships/hyperlink" Target="https://pubmed.ncbi.nlm.nih.gov/38725702" TargetMode="External"/><Relationship Id="rId60" Type="http://schemas.openxmlformats.org/officeDocument/2006/relationships/hyperlink" Target="https://pubmed.ncbi.nlm.nih.gov/38661553" TargetMode="External"/><Relationship Id="rId69" Type="http://schemas.openxmlformats.org/officeDocument/2006/relationships/hyperlink" Target="https://pubmed.ncbi.nlm.nih.gov/38642401" TargetMode="External"/><Relationship Id="rId1790" Type="http://schemas.openxmlformats.org/officeDocument/2006/relationships/hyperlink" Target="https://pubmed.ncbi.nlm.nih.gov/33742077" TargetMode="External"/><Relationship Id="rId1791" Type="http://schemas.openxmlformats.org/officeDocument/2006/relationships/hyperlink" Target="https://pubmed.ncbi.nlm.nih.gov/33736604" TargetMode="External"/><Relationship Id="rId1792" Type="http://schemas.openxmlformats.org/officeDocument/2006/relationships/hyperlink" Target="https://pubmed.ncbi.nlm.nih.gov/33737318" TargetMode="External"/><Relationship Id="rId1793" Type="http://schemas.openxmlformats.org/officeDocument/2006/relationships/hyperlink" Target="https://pubmed.ncbi.nlm.nih.gov/33394023" TargetMode="External"/><Relationship Id="rId1794" Type="http://schemas.openxmlformats.org/officeDocument/2006/relationships/hyperlink" Target="https://pubmed.ncbi.nlm.nih.gov/33730233" TargetMode="External"/><Relationship Id="rId1795" Type="http://schemas.openxmlformats.org/officeDocument/2006/relationships/hyperlink" Target="https://pubmed.ncbi.nlm.nih.gov/33743239" TargetMode="External"/><Relationship Id="rId51" Type="http://schemas.openxmlformats.org/officeDocument/2006/relationships/hyperlink" Target="https://pubmed.ncbi.nlm.nih.gov/38692732" TargetMode="External"/><Relationship Id="rId1785" Type="http://schemas.openxmlformats.org/officeDocument/2006/relationships/hyperlink" Target="https://pubmed.ncbi.nlm.nih.gov/33756438" TargetMode="External"/><Relationship Id="rId50" Type="http://schemas.openxmlformats.org/officeDocument/2006/relationships/hyperlink" Target="https://pubmed.ncbi.nlm.nih.gov/38692587" TargetMode="External"/><Relationship Id="rId1786" Type="http://schemas.openxmlformats.org/officeDocument/2006/relationships/hyperlink" Target="https://pubmed.ncbi.nlm.nih.gov/33813364" TargetMode="External"/><Relationship Id="rId53" Type="http://schemas.openxmlformats.org/officeDocument/2006/relationships/hyperlink" Target="https://pubmed.ncbi.nlm.nih.gov/38697256" TargetMode="External"/><Relationship Id="rId1787" Type="http://schemas.openxmlformats.org/officeDocument/2006/relationships/hyperlink" Target="https://pubmed.ncbi.nlm.nih.gov/33833943" TargetMode="External"/><Relationship Id="rId52" Type="http://schemas.openxmlformats.org/officeDocument/2006/relationships/hyperlink" Target="https://pubmed.ncbi.nlm.nih.gov/38720409" TargetMode="External"/><Relationship Id="rId1788" Type="http://schemas.openxmlformats.org/officeDocument/2006/relationships/hyperlink" Target="https://pubmed.ncbi.nlm.nih.gov/33959702" TargetMode="External"/><Relationship Id="rId55" Type="http://schemas.openxmlformats.org/officeDocument/2006/relationships/hyperlink" Target="https://pubmed.ncbi.nlm.nih.gov/38680088" TargetMode="External"/><Relationship Id="rId1789" Type="http://schemas.openxmlformats.org/officeDocument/2006/relationships/hyperlink" Target="https://pubmed.ncbi.nlm.nih.gov/33742242" TargetMode="External"/><Relationship Id="rId54" Type="http://schemas.openxmlformats.org/officeDocument/2006/relationships/hyperlink" Target="https://pubmed.ncbi.nlm.nih.gov/38697299" TargetMode="External"/><Relationship Id="rId57" Type="http://schemas.openxmlformats.org/officeDocument/2006/relationships/hyperlink" Target="https://pubmed.ncbi.nlm.nih.gov/38783891" TargetMode="External"/><Relationship Id="rId56" Type="http://schemas.openxmlformats.org/officeDocument/2006/relationships/hyperlink" Target="https://pubmed.ncbi.nlm.nih.gov/38682305" TargetMode="External"/><Relationship Id="rId59" Type="http://schemas.openxmlformats.org/officeDocument/2006/relationships/hyperlink" Target="https://pubmed.ncbi.nlm.nih.gov/38664664" TargetMode="External"/><Relationship Id="rId58" Type="http://schemas.openxmlformats.org/officeDocument/2006/relationships/hyperlink" Target="https://pubmed.ncbi.nlm.nih.gov/38688804" TargetMode="External"/><Relationship Id="rId1780" Type="http://schemas.openxmlformats.org/officeDocument/2006/relationships/hyperlink" Target="https://pubmed.ncbi.nlm.nih.gov/33762686" TargetMode="External"/><Relationship Id="rId1781" Type="http://schemas.openxmlformats.org/officeDocument/2006/relationships/hyperlink" Target="https://pubmed.ncbi.nlm.nih.gov/33841250" TargetMode="External"/><Relationship Id="rId1782" Type="http://schemas.openxmlformats.org/officeDocument/2006/relationships/hyperlink" Target="https://pubmed.ncbi.nlm.nih.gov/33757957" TargetMode="External"/><Relationship Id="rId1783" Type="http://schemas.openxmlformats.org/officeDocument/2006/relationships/hyperlink" Target="https://pubmed.ncbi.nlm.nih.gov/33745449" TargetMode="External"/><Relationship Id="rId1784" Type="http://schemas.openxmlformats.org/officeDocument/2006/relationships/hyperlink" Target="https://pubmed.ncbi.nlm.nih.gov/33748963" TargetMode="External"/><Relationship Id="rId349" Type="http://schemas.openxmlformats.org/officeDocument/2006/relationships/hyperlink" Target="https://pubmed.ncbi.nlm.nih.gov/37264679" TargetMode="External"/><Relationship Id="rId348" Type="http://schemas.openxmlformats.org/officeDocument/2006/relationships/hyperlink" Target="https://pubmed.ncbi.nlm.nih.gov/37880650" TargetMode="External"/><Relationship Id="rId347" Type="http://schemas.openxmlformats.org/officeDocument/2006/relationships/hyperlink" Target="https://pubmed.ncbi.nlm.nih.gov/37884948" TargetMode="External"/><Relationship Id="rId346" Type="http://schemas.openxmlformats.org/officeDocument/2006/relationships/hyperlink" Target="https://pubmed.ncbi.nlm.nih.gov/37889577" TargetMode="External"/><Relationship Id="rId341" Type="http://schemas.openxmlformats.org/officeDocument/2006/relationships/hyperlink" Target="https://pubmed.ncbi.nlm.nih.gov/37969876" TargetMode="External"/><Relationship Id="rId340" Type="http://schemas.openxmlformats.org/officeDocument/2006/relationships/hyperlink" Target="https://pubmed.ncbi.nlm.nih.gov/37747341" TargetMode="External"/><Relationship Id="rId345" Type="http://schemas.openxmlformats.org/officeDocument/2006/relationships/hyperlink" Target="https://pubmed.ncbi.nlm.nih.gov/37955510" TargetMode="External"/><Relationship Id="rId344" Type="http://schemas.openxmlformats.org/officeDocument/2006/relationships/hyperlink" Target="https://pubmed.ncbi.nlm.nih.gov/37889308" TargetMode="External"/><Relationship Id="rId343" Type="http://schemas.openxmlformats.org/officeDocument/2006/relationships/hyperlink" Target="https://pubmed.ncbi.nlm.nih.gov/37897970" TargetMode="External"/><Relationship Id="rId342" Type="http://schemas.openxmlformats.org/officeDocument/2006/relationships/hyperlink" Target="https://pubmed.ncbi.nlm.nih.gov/37918232" TargetMode="External"/><Relationship Id="rId338" Type="http://schemas.openxmlformats.org/officeDocument/2006/relationships/hyperlink" Target="https://pubmed.ncbi.nlm.nih.gov/37161550" TargetMode="External"/><Relationship Id="rId337" Type="http://schemas.openxmlformats.org/officeDocument/2006/relationships/hyperlink" Target="https://pubmed.ncbi.nlm.nih.gov/37915039" TargetMode="External"/><Relationship Id="rId336" Type="http://schemas.openxmlformats.org/officeDocument/2006/relationships/hyperlink" Target="https://pubmed.ncbi.nlm.nih.gov/37925059" TargetMode="External"/><Relationship Id="rId335" Type="http://schemas.openxmlformats.org/officeDocument/2006/relationships/hyperlink" Target="https://pubmed.ncbi.nlm.nih.gov/37916745" TargetMode="External"/><Relationship Id="rId339" Type="http://schemas.openxmlformats.org/officeDocument/2006/relationships/hyperlink" Target="https://pubmed.ncbi.nlm.nih.gov/37948082" TargetMode="External"/><Relationship Id="rId330" Type="http://schemas.openxmlformats.org/officeDocument/2006/relationships/hyperlink" Target="https://pubmed.ncbi.nlm.nih.gov/37937901" TargetMode="External"/><Relationship Id="rId334" Type="http://schemas.openxmlformats.org/officeDocument/2006/relationships/hyperlink" Target="https://pubmed.ncbi.nlm.nih.gov/37977601" TargetMode="External"/><Relationship Id="rId333" Type="http://schemas.openxmlformats.org/officeDocument/2006/relationships/hyperlink" Target="https://pubmed.ncbi.nlm.nih.gov/37922442" TargetMode="External"/><Relationship Id="rId332" Type="http://schemas.openxmlformats.org/officeDocument/2006/relationships/hyperlink" Target="https://pubmed.ncbi.nlm.nih.gov/37952488" TargetMode="External"/><Relationship Id="rId331" Type="http://schemas.openxmlformats.org/officeDocument/2006/relationships/hyperlink" Target="https://pubmed.ncbi.nlm.nih.gov/37934138" TargetMode="External"/><Relationship Id="rId5318" Type="http://schemas.openxmlformats.org/officeDocument/2006/relationships/hyperlink" Target="https://pubmed.ncbi.nlm.nih.gov/21504640" TargetMode="External"/><Relationship Id="rId5319" Type="http://schemas.openxmlformats.org/officeDocument/2006/relationships/hyperlink" Target="https://pubmed.ncbi.nlm.nih.gov/21195797" TargetMode="External"/><Relationship Id="rId5316" Type="http://schemas.openxmlformats.org/officeDocument/2006/relationships/hyperlink" Target="https://pubmed.ncbi.nlm.nih.gov/21527050" TargetMode="External"/><Relationship Id="rId5317" Type="http://schemas.openxmlformats.org/officeDocument/2006/relationships/hyperlink" Target="https://pubmed.ncbi.nlm.nih.gov/21174509" TargetMode="External"/><Relationship Id="rId370" Type="http://schemas.openxmlformats.org/officeDocument/2006/relationships/hyperlink" Target="https://pubmed.ncbi.nlm.nih.gov/37897770" TargetMode="External"/><Relationship Id="rId369" Type="http://schemas.openxmlformats.org/officeDocument/2006/relationships/hyperlink" Target="https://pubmed.ncbi.nlm.nih.gov/37848162" TargetMode="External"/><Relationship Id="rId368" Type="http://schemas.openxmlformats.org/officeDocument/2006/relationships/hyperlink" Target="https://pubmed.ncbi.nlm.nih.gov/37852392" TargetMode="External"/><Relationship Id="rId363" Type="http://schemas.openxmlformats.org/officeDocument/2006/relationships/hyperlink" Target="https://pubmed.ncbi.nlm.nih.gov/37856486" TargetMode="External"/><Relationship Id="rId5310" Type="http://schemas.openxmlformats.org/officeDocument/2006/relationships/hyperlink" Target="https://pubmed.ncbi.nlm.nih.gov/21227947" TargetMode="External"/><Relationship Id="rId362" Type="http://schemas.openxmlformats.org/officeDocument/2006/relationships/hyperlink" Target="https://pubmed.ncbi.nlm.nih.gov/37862285" TargetMode="External"/><Relationship Id="rId5311" Type="http://schemas.openxmlformats.org/officeDocument/2006/relationships/hyperlink" Target="https://pubmed.ncbi.nlm.nih.gov/21217144" TargetMode="External"/><Relationship Id="rId361" Type="http://schemas.openxmlformats.org/officeDocument/2006/relationships/hyperlink" Target="https://pubmed.ncbi.nlm.nih.gov/37925689" TargetMode="External"/><Relationship Id="rId360" Type="http://schemas.openxmlformats.org/officeDocument/2006/relationships/hyperlink" Target="https://pubmed.ncbi.nlm.nih.gov/37872141" TargetMode="External"/><Relationship Id="rId367" Type="http://schemas.openxmlformats.org/officeDocument/2006/relationships/hyperlink" Target="https://pubmed.ncbi.nlm.nih.gov/37852458" TargetMode="External"/><Relationship Id="rId5314" Type="http://schemas.openxmlformats.org/officeDocument/2006/relationships/hyperlink" Target="https://pubmed.ncbi.nlm.nih.gov/21148529" TargetMode="External"/><Relationship Id="rId366" Type="http://schemas.openxmlformats.org/officeDocument/2006/relationships/hyperlink" Target="https://pubmed.ncbi.nlm.nih.gov/37848609" TargetMode="External"/><Relationship Id="rId5315" Type="http://schemas.openxmlformats.org/officeDocument/2006/relationships/hyperlink" Target="https://pubmed.ncbi.nlm.nih.gov/22082545" TargetMode="External"/><Relationship Id="rId365" Type="http://schemas.openxmlformats.org/officeDocument/2006/relationships/hyperlink" Target="https://pubmed.ncbi.nlm.nih.gov/37851596" TargetMode="External"/><Relationship Id="rId5312" Type="http://schemas.openxmlformats.org/officeDocument/2006/relationships/hyperlink" Target="https://pubmed.ncbi.nlm.nih.gov/21209136" TargetMode="External"/><Relationship Id="rId364" Type="http://schemas.openxmlformats.org/officeDocument/2006/relationships/hyperlink" Target="https://pubmed.ncbi.nlm.nih.gov/38077815" TargetMode="External"/><Relationship Id="rId5313" Type="http://schemas.openxmlformats.org/officeDocument/2006/relationships/hyperlink" Target="https://pubmed.ncbi.nlm.nih.gov/21403135" TargetMode="External"/><Relationship Id="rId95" Type="http://schemas.openxmlformats.org/officeDocument/2006/relationships/hyperlink" Target="https://pubmed.ncbi.nlm.nih.gov/38583492" TargetMode="External"/><Relationship Id="rId5307" Type="http://schemas.openxmlformats.org/officeDocument/2006/relationships/hyperlink" Target="https://pubmed.ncbi.nlm.nih.gov/21127438" TargetMode="External"/><Relationship Id="rId94" Type="http://schemas.openxmlformats.org/officeDocument/2006/relationships/hyperlink" Target="https://pubmed.ncbi.nlm.nih.gov/38580433" TargetMode="External"/><Relationship Id="rId5308" Type="http://schemas.openxmlformats.org/officeDocument/2006/relationships/hyperlink" Target="https://pubmed.ncbi.nlm.nih.gov/21282134" TargetMode="External"/><Relationship Id="rId97" Type="http://schemas.openxmlformats.org/officeDocument/2006/relationships/hyperlink" Target="https://pubmed.ncbi.nlm.nih.gov/38690957" TargetMode="External"/><Relationship Id="rId5305" Type="http://schemas.openxmlformats.org/officeDocument/2006/relationships/hyperlink" Target="https://pubmed.ncbi.nlm.nih.gov/21310835" TargetMode="External"/><Relationship Id="rId96" Type="http://schemas.openxmlformats.org/officeDocument/2006/relationships/hyperlink" Target="https://pubmed.ncbi.nlm.nih.gov/38580388" TargetMode="External"/><Relationship Id="rId5306" Type="http://schemas.openxmlformats.org/officeDocument/2006/relationships/hyperlink" Target="https://pubmed.ncbi.nlm.nih.gov/20922568" TargetMode="External"/><Relationship Id="rId99" Type="http://schemas.openxmlformats.org/officeDocument/2006/relationships/hyperlink" Target="https://pubmed.ncbi.nlm.nih.gov/38570593" TargetMode="External"/><Relationship Id="rId98" Type="http://schemas.openxmlformats.org/officeDocument/2006/relationships/hyperlink" Target="https://pubmed.ncbi.nlm.nih.gov/38628748" TargetMode="External"/><Relationship Id="rId5309" Type="http://schemas.openxmlformats.org/officeDocument/2006/relationships/hyperlink" Target="https://pubmed.ncbi.nlm.nih.gov/21239470" TargetMode="External"/><Relationship Id="rId91" Type="http://schemas.openxmlformats.org/officeDocument/2006/relationships/hyperlink" Target="https://pubmed.ncbi.nlm.nih.gov/38581256" TargetMode="External"/><Relationship Id="rId90" Type="http://schemas.openxmlformats.org/officeDocument/2006/relationships/hyperlink" Target="https://pubmed.ncbi.nlm.nih.gov/38589576" TargetMode="External"/><Relationship Id="rId93" Type="http://schemas.openxmlformats.org/officeDocument/2006/relationships/hyperlink" Target="https://pubmed.ncbi.nlm.nih.gov/38001030" TargetMode="External"/><Relationship Id="rId92" Type="http://schemas.openxmlformats.org/officeDocument/2006/relationships/hyperlink" Target="https://pubmed.ncbi.nlm.nih.gov/38578723" TargetMode="External"/><Relationship Id="rId359" Type="http://schemas.openxmlformats.org/officeDocument/2006/relationships/hyperlink" Target="https://pubmed.ncbi.nlm.nih.gov/37870128" TargetMode="External"/><Relationship Id="rId358" Type="http://schemas.openxmlformats.org/officeDocument/2006/relationships/hyperlink" Target="https://pubmed.ncbi.nlm.nih.gov/37870070" TargetMode="External"/><Relationship Id="rId357" Type="http://schemas.openxmlformats.org/officeDocument/2006/relationships/hyperlink" Target="https://pubmed.ncbi.nlm.nih.gov/37870130" TargetMode="External"/><Relationship Id="rId352" Type="http://schemas.openxmlformats.org/officeDocument/2006/relationships/hyperlink" Target="https://pubmed.ncbi.nlm.nih.gov/37884429" TargetMode="External"/><Relationship Id="rId351" Type="http://schemas.openxmlformats.org/officeDocument/2006/relationships/hyperlink" Target="https://pubmed.ncbi.nlm.nih.gov/37880758" TargetMode="External"/><Relationship Id="rId5300" Type="http://schemas.openxmlformats.org/officeDocument/2006/relationships/hyperlink" Target="https://pubmed.ncbi.nlm.nih.gov/21228702" TargetMode="External"/><Relationship Id="rId350" Type="http://schemas.openxmlformats.org/officeDocument/2006/relationships/hyperlink" Target="https://pubmed.ncbi.nlm.nih.gov/37418636" TargetMode="External"/><Relationship Id="rId356" Type="http://schemas.openxmlformats.org/officeDocument/2006/relationships/hyperlink" Target="https://pubmed.ncbi.nlm.nih.gov/37870083" TargetMode="External"/><Relationship Id="rId5303" Type="http://schemas.openxmlformats.org/officeDocument/2006/relationships/hyperlink" Target="https://pubmed.ncbi.nlm.nih.gov/21344323" TargetMode="External"/><Relationship Id="rId355" Type="http://schemas.openxmlformats.org/officeDocument/2006/relationships/hyperlink" Target="https://pubmed.ncbi.nlm.nih.gov/37879184" TargetMode="External"/><Relationship Id="rId5304" Type="http://schemas.openxmlformats.org/officeDocument/2006/relationships/hyperlink" Target="https://pubmed.ncbi.nlm.nih.gov/21324216" TargetMode="External"/><Relationship Id="rId354" Type="http://schemas.openxmlformats.org/officeDocument/2006/relationships/hyperlink" Target="https://pubmed.ncbi.nlm.nih.gov/37879970" TargetMode="External"/><Relationship Id="rId5301" Type="http://schemas.openxmlformats.org/officeDocument/2006/relationships/hyperlink" Target="https://pubmed.ncbi.nlm.nih.gov/21355815" TargetMode="External"/><Relationship Id="rId353" Type="http://schemas.openxmlformats.org/officeDocument/2006/relationships/hyperlink" Target="https://pubmed.ncbi.nlm.nih.gov/37888133" TargetMode="External"/><Relationship Id="rId5302" Type="http://schemas.openxmlformats.org/officeDocument/2006/relationships/hyperlink" Target="https://pubmed.ncbi.nlm.nih.gov/21297113" TargetMode="External"/><Relationship Id="rId305" Type="http://schemas.openxmlformats.org/officeDocument/2006/relationships/hyperlink" Target="https://pubmed.ncbi.nlm.nih.gov/38011202" TargetMode="External"/><Relationship Id="rId304" Type="http://schemas.openxmlformats.org/officeDocument/2006/relationships/hyperlink" Target="https://pubmed.ncbi.nlm.nih.gov/38011186" TargetMode="External"/><Relationship Id="rId303" Type="http://schemas.openxmlformats.org/officeDocument/2006/relationships/hyperlink" Target="https://pubmed.ncbi.nlm.nih.gov/38079324" TargetMode="External"/><Relationship Id="rId302" Type="http://schemas.openxmlformats.org/officeDocument/2006/relationships/hyperlink" Target="https://pubmed.ncbi.nlm.nih.gov/38011017" TargetMode="External"/><Relationship Id="rId309" Type="http://schemas.openxmlformats.org/officeDocument/2006/relationships/hyperlink" Target="https://pubmed.ncbi.nlm.nih.gov/38034345" TargetMode="External"/><Relationship Id="rId308" Type="http://schemas.openxmlformats.org/officeDocument/2006/relationships/hyperlink" Target="https://pubmed.ncbi.nlm.nih.gov/37993940" TargetMode="External"/><Relationship Id="rId307" Type="http://schemas.openxmlformats.org/officeDocument/2006/relationships/hyperlink" Target="https://pubmed.ncbi.nlm.nih.gov/38148999" TargetMode="External"/><Relationship Id="rId306" Type="http://schemas.openxmlformats.org/officeDocument/2006/relationships/hyperlink" Target="https://pubmed.ncbi.nlm.nih.gov/38192587" TargetMode="External"/><Relationship Id="rId301" Type="http://schemas.openxmlformats.org/officeDocument/2006/relationships/hyperlink" Target="https://pubmed.ncbi.nlm.nih.gov/38011266" TargetMode="External"/><Relationship Id="rId300" Type="http://schemas.openxmlformats.org/officeDocument/2006/relationships/hyperlink" Target="https://pubmed.ncbi.nlm.nih.gov/38090667" TargetMode="External"/><Relationship Id="rId327" Type="http://schemas.openxmlformats.org/officeDocument/2006/relationships/hyperlink" Target="https://pubmed.ncbi.nlm.nih.gov/37499177" TargetMode="External"/><Relationship Id="rId326" Type="http://schemas.openxmlformats.org/officeDocument/2006/relationships/hyperlink" Target="https://pubmed.ncbi.nlm.nih.gov/37338108" TargetMode="External"/><Relationship Id="rId325" Type="http://schemas.openxmlformats.org/officeDocument/2006/relationships/hyperlink" Target="https://pubmed.ncbi.nlm.nih.gov/37949374" TargetMode="External"/><Relationship Id="rId324" Type="http://schemas.openxmlformats.org/officeDocument/2006/relationships/hyperlink" Target="https://pubmed.ncbi.nlm.nih.gov/37951889" TargetMode="External"/><Relationship Id="rId329" Type="http://schemas.openxmlformats.org/officeDocument/2006/relationships/hyperlink" Target="https://pubmed.ncbi.nlm.nih.gov/38304335" TargetMode="External"/><Relationship Id="rId328" Type="http://schemas.openxmlformats.org/officeDocument/2006/relationships/hyperlink" Target="https://pubmed.ncbi.nlm.nih.gov/37486178" TargetMode="External"/><Relationship Id="rId323" Type="http://schemas.openxmlformats.org/officeDocument/2006/relationships/hyperlink" Target="https://pubmed.ncbi.nlm.nih.gov/37950793" TargetMode="External"/><Relationship Id="rId322" Type="http://schemas.openxmlformats.org/officeDocument/2006/relationships/hyperlink" Target="https://pubmed.ncbi.nlm.nih.gov/38006758" TargetMode="External"/><Relationship Id="rId321" Type="http://schemas.openxmlformats.org/officeDocument/2006/relationships/hyperlink" Target="https://pubmed.ncbi.nlm.nih.gov/38000342" TargetMode="External"/><Relationship Id="rId320" Type="http://schemas.openxmlformats.org/officeDocument/2006/relationships/hyperlink" Target="https://pubmed.ncbi.nlm.nih.gov/37955790" TargetMode="External"/><Relationship Id="rId316" Type="http://schemas.openxmlformats.org/officeDocument/2006/relationships/hyperlink" Target="https://pubmed.ncbi.nlm.nih.gov/37968634" TargetMode="External"/><Relationship Id="rId315" Type="http://schemas.openxmlformats.org/officeDocument/2006/relationships/hyperlink" Target="https://pubmed.ncbi.nlm.nih.gov/37965923" TargetMode="External"/><Relationship Id="rId314" Type="http://schemas.openxmlformats.org/officeDocument/2006/relationships/hyperlink" Target="https://pubmed.ncbi.nlm.nih.gov/37978177" TargetMode="External"/><Relationship Id="rId313" Type="http://schemas.openxmlformats.org/officeDocument/2006/relationships/hyperlink" Target="https://pubmed.ncbi.nlm.nih.gov/38144875" TargetMode="External"/><Relationship Id="rId319" Type="http://schemas.openxmlformats.org/officeDocument/2006/relationships/hyperlink" Target="https://pubmed.ncbi.nlm.nih.gov/38115963" TargetMode="External"/><Relationship Id="rId318" Type="http://schemas.openxmlformats.org/officeDocument/2006/relationships/hyperlink" Target="https://pubmed.ncbi.nlm.nih.gov/37877585" TargetMode="External"/><Relationship Id="rId317" Type="http://schemas.openxmlformats.org/officeDocument/2006/relationships/hyperlink" Target="https://pubmed.ncbi.nlm.nih.gov/37965944" TargetMode="External"/><Relationship Id="rId312" Type="http://schemas.openxmlformats.org/officeDocument/2006/relationships/hyperlink" Target="https://pubmed.ncbi.nlm.nih.gov/38370036" TargetMode="External"/><Relationship Id="rId311" Type="http://schemas.openxmlformats.org/officeDocument/2006/relationships/hyperlink" Target="https://pubmed.ncbi.nlm.nih.gov/37983754" TargetMode="External"/><Relationship Id="rId310" Type="http://schemas.openxmlformats.org/officeDocument/2006/relationships/hyperlink" Target="https://pubmed.ncbi.nlm.nih.gov/37992002" TargetMode="External"/><Relationship Id="rId4040" Type="http://schemas.openxmlformats.org/officeDocument/2006/relationships/hyperlink" Target="https://pubmed.ncbi.nlm.nih.gov/27176515" TargetMode="External"/><Relationship Id="rId5372" Type="http://schemas.openxmlformats.org/officeDocument/2006/relationships/hyperlink" Target="https://pubmed.ncbi.nlm.nih.gov/19996989" TargetMode="External"/><Relationship Id="rId5373" Type="http://schemas.openxmlformats.org/officeDocument/2006/relationships/hyperlink" Target="https://pubmed.ncbi.nlm.nih.gov/19739115" TargetMode="External"/><Relationship Id="rId4042" Type="http://schemas.openxmlformats.org/officeDocument/2006/relationships/hyperlink" Target="https://pubmed.ncbi.nlm.nih.gov/27118779" TargetMode="External"/><Relationship Id="rId5370" Type="http://schemas.openxmlformats.org/officeDocument/2006/relationships/hyperlink" Target="https://pubmed.ncbi.nlm.nih.gov/20451189" TargetMode="External"/><Relationship Id="rId4041" Type="http://schemas.openxmlformats.org/officeDocument/2006/relationships/hyperlink" Target="https://pubmed.ncbi.nlm.nih.gov/27028854" TargetMode="External"/><Relationship Id="rId5371" Type="http://schemas.openxmlformats.org/officeDocument/2006/relationships/hyperlink" Target="https://pubmed.ncbi.nlm.nih.gov/20537650" TargetMode="External"/><Relationship Id="rId4044" Type="http://schemas.openxmlformats.org/officeDocument/2006/relationships/hyperlink" Target="https://pubmed.ncbi.nlm.nih.gov/28280425" TargetMode="External"/><Relationship Id="rId5376" Type="http://schemas.openxmlformats.org/officeDocument/2006/relationships/hyperlink" Target="https://pubmed.ncbi.nlm.nih.gov/20489418" TargetMode="External"/><Relationship Id="rId4043" Type="http://schemas.openxmlformats.org/officeDocument/2006/relationships/hyperlink" Target="https://pubmed.ncbi.nlm.nih.gov/27117581" TargetMode="External"/><Relationship Id="rId5377" Type="http://schemas.openxmlformats.org/officeDocument/2006/relationships/hyperlink" Target="https://pubmed.ncbi.nlm.nih.gov/20431077" TargetMode="External"/><Relationship Id="rId4046" Type="http://schemas.openxmlformats.org/officeDocument/2006/relationships/hyperlink" Target="https://pubmed.ncbi.nlm.nih.gov/27117273" TargetMode="External"/><Relationship Id="rId5374" Type="http://schemas.openxmlformats.org/officeDocument/2006/relationships/hyperlink" Target="https://pubmed.ncbi.nlm.nih.gov/20510265" TargetMode="External"/><Relationship Id="rId4045" Type="http://schemas.openxmlformats.org/officeDocument/2006/relationships/hyperlink" Target="https://pubmed.ncbi.nlm.nih.gov/27115487" TargetMode="External"/><Relationship Id="rId5375" Type="http://schemas.openxmlformats.org/officeDocument/2006/relationships/hyperlink" Target="https://pubmed.ncbi.nlm.nih.gov/20492850" TargetMode="External"/><Relationship Id="rId4048" Type="http://schemas.openxmlformats.org/officeDocument/2006/relationships/hyperlink" Target="https://pubmed.ncbi.nlm.nih.gov/27111831" TargetMode="External"/><Relationship Id="rId4047" Type="http://schemas.openxmlformats.org/officeDocument/2006/relationships/hyperlink" Target="https://pubmed.ncbi.nlm.nih.gov/27118362" TargetMode="External"/><Relationship Id="rId5378" Type="http://schemas.openxmlformats.org/officeDocument/2006/relationships/hyperlink" Target="https://pubmed.ncbi.nlm.nih.gov/20424220" TargetMode="External"/><Relationship Id="rId4049" Type="http://schemas.openxmlformats.org/officeDocument/2006/relationships/hyperlink" Target="https://pubmed.ncbi.nlm.nih.gov/27105858" TargetMode="External"/><Relationship Id="rId5379" Type="http://schemas.openxmlformats.org/officeDocument/2006/relationships/hyperlink" Target="https://pubmed.ncbi.nlm.nih.gov/20406765" TargetMode="External"/><Relationship Id="rId5361" Type="http://schemas.openxmlformats.org/officeDocument/2006/relationships/hyperlink" Target="https://pubmed.ncbi.nlm.nih.gov/20554067" TargetMode="External"/><Relationship Id="rId5362" Type="http://schemas.openxmlformats.org/officeDocument/2006/relationships/hyperlink" Target="https://pubmed.ncbi.nlm.nih.gov/20493346" TargetMode="External"/><Relationship Id="rId4031" Type="http://schemas.openxmlformats.org/officeDocument/2006/relationships/hyperlink" Target="https://pubmed.ncbi.nlm.nih.gov/27145150" TargetMode="External"/><Relationship Id="rId4030" Type="http://schemas.openxmlformats.org/officeDocument/2006/relationships/hyperlink" Target="https://pubmed.ncbi.nlm.nih.gov/27144393" TargetMode="External"/><Relationship Id="rId5360" Type="http://schemas.openxmlformats.org/officeDocument/2006/relationships/hyperlink" Target="https://pubmed.ncbi.nlm.nih.gov/20542929" TargetMode="External"/><Relationship Id="rId297" Type="http://schemas.openxmlformats.org/officeDocument/2006/relationships/hyperlink" Target="https://pubmed.ncbi.nlm.nih.gov/38031155" TargetMode="External"/><Relationship Id="rId4033" Type="http://schemas.openxmlformats.org/officeDocument/2006/relationships/hyperlink" Target="https://pubmed.ncbi.nlm.nih.gov/27244798" TargetMode="External"/><Relationship Id="rId5365" Type="http://schemas.openxmlformats.org/officeDocument/2006/relationships/hyperlink" Target="https://pubmed.ncbi.nlm.nih.gov/20498416" TargetMode="External"/><Relationship Id="rId296" Type="http://schemas.openxmlformats.org/officeDocument/2006/relationships/hyperlink" Target="https://pubmed.ncbi.nlm.nih.gov/38035815" TargetMode="External"/><Relationship Id="rId4032" Type="http://schemas.openxmlformats.org/officeDocument/2006/relationships/hyperlink" Target="https://pubmed.ncbi.nlm.nih.gov/27035689" TargetMode="External"/><Relationship Id="rId5366" Type="http://schemas.openxmlformats.org/officeDocument/2006/relationships/hyperlink" Target="https://pubmed.ncbi.nlm.nih.gov/20580740" TargetMode="External"/><Relationship Id="rId295" Type="http://schemas.openxmlformats.org/officeDocument/2006/relationships/hyperlink" Target="https://pubmed.ncbi.nlm.nih.gov/37403584" TargetMode="External"/><Relationship Id="rId4035" Type="http://schemas.openxmlformats.org/officeDocument/2006/relationships/hyperlink" Target="https://pubmed.ncbi.nlm.nih.gov/26808143" TargetMode="External"/><Relationship Id="rId5363" Type="http://schemas.openxmlformats.org/officeDocument/2006/relationships/hyperlink" Target="https://pubmed.ncbi.nlm.nih.gov/20657673" TargetMode="External"/><Relationship Id="rId294" Type="http://schemas.openxmlformats.org/officeDocument/2006/relationships/hyperlink" Target="https://pubmed.ncbi.nlm.nih.gov/38044932" TargetMode="External"/><Relationship Id="rId4034" Type="http://schemas.openxmlformats.org/officeDocument/2006/relationships/hyperlink" Target="https://pubmed.ncbi.nlm.nih.gov/27184993" TargetMode="External"/><Relationship Id="rId5364" Type="http://schemas.openxmlformats.org/officeDocument/2006/relationships/hyperlink" Target="https://pubmed.ncbi.nlm.nih.gov/20558861" TargetMode="External"/><Relationship Id="rId4037" Type="http://schemas.openxmlformats.org/officeDocument/2006/relationships/hyperlink" Target="https://pubmed.ncbi.nlm.nih.gov/27126694" TargetMode="External"/><Relationship Id="rId5369" Type="http://schemas.openxmlformats.org/officeDocument/2006/relationships/hyperlink" Target="https://pubmed.ncbi.nlm.nih.gov/20459820" TargetMode="External"/><Relationship Id="rId4036" Type="http://schemas.openxmlformats.org/officeDocument/2006/relationships/hyperlink" Target="https://pubmed.ncbi.nlm.nih.gov/27730183" TargetMode="External"/><Relationship Id="rId299" Type="http://schemas.openxmlformats.org/officeDocument/2006/relationships/hyperlink" Target="https://pubmed.ncbi.nlm.nih.gov/38175565" TargetMode="External"/><Relationship Id="rId4039" Type="http://schemas.openxmlformats.org/officeDocument/2006/relationships/hyperlink" Target="https://pubmed.ncbi.nlm.nih.gov/28280428" TargetMode="External"/><Relationship Id="rId5367" Type="http://schemas.openxmlformats.org/officeDocument/2006/relationships/hyperlink" Target="https://pubmed.ncbi.nlm.nih.gov/20495204" TargetMode="External"/><Relationship Id="rId298" Type="http://schemas.openxmlformats.org/officeDocument/2006/relationships/hyperlink" Target="https://pubmed.ncbi.nlm.nih.gov/38016788" TargetMode="External"/><Relationship Id="rId4038" Type="http://schemas.openxmlformats.org/officeDocument/2006/relationships/hyperlink" Target="https://pubmed.ncbi.nlm.nih.gov/27663789" TargetMode="External"/><Relationship Id="rId5368" Type="http://schemas.openxmlformats.org/officeDocument/2006/relationships/hyperlink" Target="https://pubmed.ncbi.nlm.nih.gov/20462975" TargetMode="External"/><Relationship Id="rId5390" Type="http://schemas.openxmlformats.org/officeDocument/2006/relationships/hyperlink" Target="https://pubmed.ncbi.nlm.nih.gov/19746409" TargetMode="External"/><Relationship Id="rId5391" Type="http://schemas.openxmlformats.org/officeDocument/2006/relationships/hyperlink" Target="https://pubmed.ncbi.nlm.nih.gov/20207625" TargetMode="External"/><Relationship Id="rId4060" Type="http://schemas.openxmlformats.org/officeDocument/2006/relationships/hyperlink" Target="https://pubmed.ncbi.nlm.nih.gov/27075677" TargetMode="External"/><Relationship Id="rId4062" Type="http://schemas.openxmlformats.org/officeDocument/2006/relationships/hyperlink" Target="https://pubmed.ncbi.nlm.nih.gov/28260972" TargetMode="External"/><Relationship Id="rId5394" Type="http://schemas.openxmlformats.org/officeDocument/2006/relationships/hyperlink" Target="https://pubmed.ncbi.nlm.nih.gov/20104372" TargetMode="External"/><Relationship Id="rId4061" Type="http://schemas.openxmlformats.org/officeDocument/2006/relationships/hyperlink" Target="https://pubmed.ncbi.nlm.nih.gov/27071717" TargetMode="External"/><Relationship Id="rId5395" Type="http://schemas.openxmlformats.org/officeDocument/2006/relationships/hyperlink" Target="https://pubmed.ncbi.nlm.nih.gov/20298823" TargetMode="External"/><Relationship Id="rId4064" Type="http://schemas.openxmlformats.org/officeDocument/2006/relationships/hyperlink" Target="https://pubmed.ncbi.nlm.nih.gov/27063729" TargetMode="External"/><Relationship Id="rId5392" Type="http://schemas.openxmlformats.org/officeDocument/2006/relationships/hyperlink" Target="https://pubmed.ncbi.nlm.nih.gov/20337856" TargetMode="External"/><Relationship Id="rId4063" Type="http://schemas.openxmlformats.org/officeDocument/2006/relationships/hyperlink" Target="https://pubmed.ncbi.nlm.nih.gov/27070907" TargetMode="External"/><Relationship Id="rId5393" Type="http://schemas.openxmlformats.org/officeDocument/2006/relationships/hyperlink" Target="https://pubmed.ncbi.nlm.nih.gov/20189770" TargetMode="External"/><Relationship Id="rId4066" Type="http://schemas.openxmlformats.org/officeDocument/2006/relationships/hyperlink" Target="https://pubmed.ncbi.nlm.nih.gov/27131410" TargetMode="External"/><Relationship Id="rId5398" Type="http://schemas.openxmlformats.org/officeDocument/2006/relationships/hyperlink" Target="https://pubmed.ncbi.nlm.nih.gov/20156811" TargetMode="External"/><Relationship Id="rId4065" Type="http://schemas.openxmlformats.org/officeDocument/2006/relationships/hyperlink" Target="https://pubmed.ncbi.nlm.nih.gov/27060155" TargetMode="External"/><Relationship Id="rId5399" Type="http://schemas.openxmlformats.org/officeDocument/2006/relationships/hyperlink" Target="https://pubmed.ncbi.nlm.nih.gov/20133890" TargetMode="External"/><Relationship Id="rId4068" Type="http://schemas.openxmlformats.org/officeDocument/2006/relationships/hyperlink" Target="https://pubmed.ncbi.nlm.nih.gov/27061416" TargetMode="External"/><Relationship Id="rId5396" Type="http://schemas.openxmlformats.org/officeDocument/2006/relationships/hyperlink" Target="https://pubmed.ncbi.nlm.nih.gov/20167551" TargetMode="External"/><Relationship Id="rId4067" Type="http://schemas.openxmlformats.org/officeDocument/2006/relationships/hyperlink" Target="https://pubmed.ncbi.nlm.nih.gov/27059593" TargetMode="External"/><Relationship Id="rId5397" Type="http://schemas.openxmlformats.org/officeDocument/2006/relationships/hyperlink" Target="https://pubmed.ncbi.nlm.nih.gov/20155489" TargetMode="External"/><Relationship Id="rId4069" Type="http://schemas.openxmlformats.org/officeDocument/2006/relationships/hyperlink" Target="https://pubmed.ncbi.nlm.nih.gov/27052829" TargetMode="External"/><Relationship Id="rId5380" Type="http://schemas.openxmlformats.org/officeDocument/2006/relationships/hyperlink" Target="https://pubmed.ncbi.nlm.nih.gov/20400247" TargetMode="External"/><Relationship Id="rId4051" Type="http://schemas.openxmlformats.org/officeDocument/2006/relationships/hyperlink" Target="https://pubmed.ncbi.nlm.nih.gov/27098100" TargetMode="External"/><Relationship Id="rId5383" Type="http://schemas.openxmlformats.org/officeDocument/2006/relationships/hyperlink" Target="https://pubmed.ncbi.nlm.nih.gov/20354520" TargetMode="External"/><Relationship Id="rId4050" Type="http://schemas.openxmlformats.org/officeDocument/2006/relationships/hyperlink" Target="https://pubmed.ncbi.nlm.nih.gov/27101748" TargetMode="External"/><Relationship Id="rId5384" Type="http://schemas.openxmlformats.org/officeDocument/2006/relationships/hyperlink" Target="https://pubmed.ncbi.nlm.nih.gov/20346625" TargetMode="External"/><Relationship Id="rId4053" Type="http://schemas.openxmlformats.org/officeDocument/2006/relationships/hyperlink" Target="https://pubmed.ncbi.nlm.nih.gov/27180162" TargetMode="External"/><Relationship Id="rId5381" Type="http://schemas.openxmlformats.org/officeDocument/2006/relationships/hyperlink" Target="https://pubmed.ncbi.nlm.nih.gov/20393503" TargetMode="External"/><Relationship Id="rId4052" Type="http://schemas.openxmlformats.org/officeDocument/2006/relationships/hyperlink" Target="https://pubmed.ncbi.nlm.nih.gov/27098746" TargetMode="External"/><Relationship Id="rId5382" Type="http://schemas.openxmlformats.org/officeDocument/2006/relationships/hyperlink" Target="https://pubmed.ncbi.nlm.nih.gov/20536517" TargetMode="External"/><Relationship Id="rId4055" Type="http://schemas.openxmlformats.org/officeDocument/2006/relationships/hyperlink" Target="https://pubmed.ncbi.nlm.nih.gov/27091751" TargetMode="External"/><Relationship Id="rId5387" Type="http://schemas.openxmlformats.org/officeDocument/2006/relationships/hyperlink" Target="https://pubmed.ncbi.nlm.nih.gov/20228610" TargetMode="External"/><Relationship Id="rId4054" Type="http://schemas.openxmlformats.org/officeDocument/2006/relationships/hyperlink" Target="https://pubmed.ncbi.nlm.nih.gov/27062369" TargetMode="External"/><Relationship Id="rId5388" Type="http://schemas.openxmlformats.org/officeDocument/2006/relationships/hyperlink" Target="https://pubmed.ncbi.nlm.nih.gov/20223833" TargetMode="External"/><Relationship Id="rId4057" Type="http://schemas.openxmlformats.org/officeDocument/2006/relationships/hyperlink" Target="https://pubmed.ncbi.nlm.nih.gov/27091176" TargetMode="External"/><Relationship Id="rId5385" Type="http://schemas.openxmlformats.org/officeDocument/2006/relationships/hyperlink" Target="https://pubmed.ncbi.nlm.nih.gov/20338724" TargetMode="External"/><Relationship Id="rId4056" Type="http://schemas.openxmlformats.org/officeDocument/2006/relationships/hyperlink" Target="https://pubmed.ncbi.nlm.nih.gov/27091442" TargetMode="External"/><Relationship Id="rId5386" Type="http://schemas.openxmlformats.org/officeDocument/2006/relationships/hyperlink" Target="https://pubmed.ncbi.nlm.nih.gov/20299006" TargetMode="External"/><Relationship Id="rId4059" Type="http://schemas.openxmlformats.org/officeDocument/2006/relationships/hyperlink" Target="https://pubmed.ncbi.nlm.nih.gov/28260974" TargetMode="External"/><Relationship Id="rId4058" Type="http://schemas.openxmlformats.org/officeDocument/2006/relationships/hyperlink" Target="https://pubmed.ncbi.nlm.nih.gov/27091131" TargetMode="External"/><Relationship Id="rId5389" Type="http://schemas.openxmlformats.org/officeDocument/2006/relationships/hyperlink" Target="https://pubmed.ncbi.nlm.nih.gov/20412373" TargetMode="External"/><Relationship Id="rId4008" Type="http://schemas.openxmlformats.org/officeDocument/2006/relationships/hyperlink" Target="https://pubmed.ncbi.nlm.nih.gov/28280436" TargetMode="External"/><Relationship Id="rId4007" Type="http://schemas.openxmlformats.org/officeDocument/2006/relationships/hyperlink" Target="https://pubmed.ncbi.nlm.nih.gov/27222511" TargetMode="External"/><Relationship Id="rId5338" Type="http://schemas.openxmlformats.org/officeDocument/2006/relationships/hyperlink" Target="https://pubmed.ncbi.nlm.nih.gov/20615180" TargetMode="External"/><Relationship Id="rId4009" Type="http://schemas.openxmlformats.org/officeDocument/2006/relationships/hyperlink" Target="https://pubmed.ncbi.nlm.nih.gov/28280435" TargetMode="External"/><Relationship Id="rId5339" Type="http://schemas.openxmlformats.org/officeDocument/2006/relationships/hyperlink" Target="https://pubmed.ncbi.nlm.nih.gov/20883623" TargetMode="External"/><Relationship Id="rId271" Type="http://schemas.openxmlformats.org/officeDocument/2006/relationships/hyperlink" Target="https://pubmed.ncbi.nlm.nih.gov/38103109" TargetMode="External"/><Relationship Id="rId270" Type="http://schemas.openxmlformats.org/officeDocument/2006/relationships/hyperlink" Target="https://pubmed.ncbi.nlm.nih.gov/38110375" TargetMode="External"/><Relationship Id="rId269" Type="http://schemas.openxmlformats.org/officeDocument/2006/relationships/hyperlink" Target="https://pubmed.ncbi.nlm.nih.gov/38113520" TargetMode="External"/><Relationship Id="rId264" Type="http://schemas.openxmlformats.org/officeDocument/2006/relationships/hyperlink" Target="https://pubmed.ncbi.nlm.nih.gov/38147315" TargetMode="External"/><Relationship Id="rId4000" Type="http://schemas.openxmlformats.org/officeDocument/2006/relationships/hyperlink" Target="https://pubmed.ncbi.nlm.nih.gov/27247335" TargetMode="External"/><Relationship Id="rId5332" Type="http://schemas.openxmlformats.org/officeDocument/2006/relationships/hyperlink" Target="https://pubmed.ncbi.nlm.nih.gov/21058039" TargetMode="External"/><Relationship Id="rId263" Type="http://schemas.openxmlformats.org/officeDocument/2006/relationships/hyperlink" Target="https://pubmed.ncbi.nlm.nih.gov/38148895" TargetMode="External"/><Relationship Id="rId5333" Type="http://schemas.openxmlformats.org/officeDocument/2006/relationships/hyperlink" Target="https://pubmed.ncbi.nlm.nih.gov/21059727" TargetMode="External"/><Relationship Id="rId262" Type="http://schemas.openxmlformats.org/officeDocument/2006/relationships/hyperlink" Target="https://pubmed.ncbi.nlm.nih.gov/38148158" TargetMode="External"/><Relationship Id="rId4002" Type="http://schemas.openxmlformats.org/officeDocument/2006/relationships/hyperlink" Target="https://pubmed.ncbi.nlm.nih.gov/27229709" TargetMode="External"/><Relationship Id="rId5330" Type="http://schemas.openxmlformats.org/officeDocument/2006/relationships/hyperlink" Target="https://pubmed.ncbi.nlm.nih.gov/21076956" TargetMode="External"/><Relationship Id="rId261" Type="http://schemas.openxmlformats.org/officeDocument/2006/relationships/hyperlink" Target="https://pubmed.ncbi.nlm.nih.gov/38149986" TargetMode="External"/><Relationship Id="rId4001" Type="http://schemas.openxmlformats.org/officeDocument/2006/relationships/hyperlink" Target="https://pubmed.ncbi.nlm.nih.gov/27239670" TargetMode="External"/><Relationship Id="rId5331" Type="http://schemas.openxmlformats.org/officeDocument/2006/relationships/hyperlink" Target="https://pubmed.ncbi.nlm.nih.gov/21071569" TargetMode="External"/><Relationship Id="rId268" Type="http://schemas.openxmlformats.org/officeDocument/2006/relationships/hyperlink" Target="https://pubmed.ncbi.nlm.nih.gov/38134944" TargetMode="External"/><Relationship Id="rId4004" Type="http://schemas.openxmlformats.org/officeDocument/2006/relationships/hyperlink" Target="https://pubmed.ncbi.nlm.nih.gov/28280437" TargetMode="External"/><Relationship Id="rId5336" Type="http://schemas.openxmlformats.org/officeDocument/2006/relationships/hyperlink" Target="https://pubmed.ncbi.nlm.nih.gov/20959955" TargetMode="External"/><Relationship Id="rId267" Type="http://schemas.openxmlformats.org/officeDocument/2006/relationships/hyperlink" Target="https://pubmed.ncbi.nlm.nih.gov/38134264" TargetMode="External"/><Relationship Id="rId4003" Type="http://schemas.openxmlformats.org/officeDocument/2006/relationships/hyperlink" Target="https://pubmed.ncbi.nlm.nih.gov/27230745" TargetMode="External"/><Relationship Id="rId5337" Type="http://schemas.openxmlformats.org/officeDocument/2006/relationships/hyperlink" Target="https://pubmed.ncbi.nlm.nih.gov/20921336" TargetMode="External"/><Relationship Id="rId266" Type="http://schemas.openxmlformats.org/officeDocument/2006/relationships/hyperlink" Target="https://pubmed.ncbi.nlm.nih.gov/38181336" TargetMode="External"/><Relationship Id="rId4006" Type="http://schemas.openxmlformats.org/officeDocument/2006/relationships/hyperlink" Target="https://pubmed.ncbi.nlm.nih.gov/27259081" TargetMode="External"/><Relationship Id="rId5334" Type="http://schemas.openxmlformats.org/officeDocument/2006/relationships/hyperlink" Target="https://pubmed.ncbi.nlm.nih.gov/21057769" TargetMode="External"/><Relationship Id="rId265" Type="http://schemas.openxmlformats.org/officeDocument/2006/relationships/hyperlink" Target="https://pubmed.ncbi.nlm.nih.gov/38181367" TargetMode="External"/><Relationship Id="rId4005" Type="http://schemas.openxmlformats.org/officeDocument/2006/relationships/hyperlink" Target="https://pubmed.ncbi.nlm.nih.gov/27222386" TargetMode="External"/><Relationship Id="rId5335" Type="http://schemas.openxmlformats.org/officeDocument/2006/relationships/hyperlink" Target="https://pubmed.ncbi.nlm.nih.gov/20969758" TargetMode="External"/><Relationship Id="rId5329" Type="http://schemas.openxmlformats.org/officeDocument/2006/relationships/hyperlink" Target="https://pubmed.ncbi.nlm.nih.gov/21106115" TargetMode="External"/><Relationship Id="rId5327" Type="http://schemas.openxmlformats.org/officeDocument/2006/relationships/hyperlink" Target="https://pubmed.ncbi.nlm.nih.gov/20300000" TargetMode="External"/><Relationship Id="rId5328" Type="http://schemas.openxmlformats.org/officeDocument/2006/relationships/hyperlink" Target="https://pubmed.ncbi.nlm.nih.gov/22121861" TargetMode="External"/><Relationship Id="rId260" Type="http://schemas.openxmlformats.org/officeDocument/2006/relationships/hyperlink" Target="https://pubmed.ncbi.nlm.nih.gov/38154893" TargetMode="External"/><Relationship Id="rId259" Type="http://schemas.openxmlformats.org/officeDocument/2006/relationships/hyperlink" Target="https://pubmed.ncbi.nlm.nih.gov/38157381" TargetMode="External"/><Relationship Id="rId258" Type="http://schemas.openxmlformats.org/officeDocument/2006/relationships/hyperlink" Target="https://pubmed.ncbi.nlm.nih.gov/38157017" TargetMode="External"/><Relationship Id="rId253" Type="http://schemas.openxmlformats.org/officeDocument/2006/relationships/hyperlink" Target="https://pubmed.ncbi.nlm.nih.gov/38239046" TargetMode="External"/><Relationship Id="rId5321" Type="http://schemas.openxmlformats.org/officeDocument/2006/relationships/hyperlink" Target="https://pubmed.ncbi.nlm.nih.gov/21177839" TargetMode="External"/><Relationship Id="rId252" Type="http://schemas.openxmlformats.org/officeDocument/2006/relationships/hyperlink" Target="https://pubmed.ncbi.nlm.nih.gov/37278034" TargetMode="External"/><Relationship Id="rId5322" Type="http://schemas.openxmlformats.org/officeDocument/2006/relationships/hyperlink" Target="https://pubmed.ncbi.nlm.nih.gov/21109454" TargetMode="External"/><Relationship Id="rId251" Type="http://schemas.openxmlformats.org/officeDocument/2006/relationships/hyperlink" Target="https://pubmed.ncbi.nlm.nih.gov/38235573" TargetMode="External"/><Relationship Id="rId250" Type="http://schemas.openxmlformats.org/officeDocument/2006/relationships/hyperlink" Target="https://pubmed.ncbi.nlm.nih.gov/38172033" TargetMode="External"/><Relationship Id="rId5320" Type="http://schemas.openxmlformats.org/officeDocument/2006/relationships/hyperlink" Target="https://pubmed.ncbi.nlm.nih.gov/21190750" TargetMode="External"/><Relationship Id="rId257" Type="http://schemas.openxmlformats.org/officeDocument/2006/relationships/hyperlink" Target="https://pubmed.ncbi.nlm.nih.gov/38160329" TargetMode="External"/><Relationship Id="rId5325" Type="http://schemas.openxmlformats.org/officeDocument/2006/relationships/hyperlink" Target="https://pubmed.ncbi.nlm.nih.gov/20814310" TargetMode="External"/><Relationship Id="rId256" Type="http://schemas.openxmlformats.org/officeDocument/2006/relationships/hyperlink" Target="https://pubmed.ncbi.nlm.nih.gov/38183999" TargetMode="External"/><Relationship Id="rId5326" Type="http://schemas.openxmlformats.org/officeDocument/2006/relationships/hyperlink" Target="https://pubmed.ncbi.nlm.nih.gov/21088120" TargetMode="External"/><Relationship Id="rId255" Type="http://schemas.openxmlformats.org/officeDocument/2006/relationships/hyperlink" Target="https://pubmed.ncbi.nlm.nih.gov/38199717" TargetMode="External"/><Relationship Id="rId5323" Type="http://schemas.openxmlformats.org/officeDocument/2006/relationships/hyperlink" Target="https://pubmed.ncbi.nlm.nih.gov/21144018" TargetMode="External"/><Relationship Id="rId254" Type="http://schemas.openxmlformats.org/officeDocument/2006/relationships/hyperlink" Target="https://pubmed.ncbi.nlm.nih.gov/38179623" TargetMode="External"/><Relationship Id="rId5324" Type="http://schemas.openxmlformats.org/officeDocument/2006/relationships/hyperlink" Target="https://pubmed.ncbi.nlm.nih.gov/21130902" TargetMode="External"/><Relationship Id="rId4029" Type="http://schemas.openxmlformats.org/officeDocument/2006/relationships/hyperlink" Target="https://pubmed.ncbi.nlm.nih.gov/27183454" TargetMode="External"/><Relationship Id="rId293" Type="http://schemas.openxmlformats.org/officeDocument/2006/relationships/hyperlink" Target="https://pubmed.ncbi.nlm.nih.gov/36752063" TargetMode="External"/><Relationship Id="rId292" Type="http://schemas.openxmlformats.org/officeDocument/2006/relationships/hyperlink" Target="https://pubmed.ncbi.nlm.nih.gov/38038829" TargetMode="External"/><Relationship Id="rId291" Type="http://schemas.openxmlformats.org/officeDocument/2006/relationships/hyperlink" Target="https://pubmed.ncbi.nlm.nih.gov/38043711" TargetMode="External"/><Relationship Id="rId290" Type="http://schemas.openxmlformats.org/officeDocument/2006/relationships/hyperlink" Target="https://pubmed.ncbi.nlm.nih.gov/38061213" TargetMode="External"/><Relationship Id="rId5350" Type="http://schemas.openxmlformats.org/officeDocument/2006/relationships/hyperlink" Target="https://pubmed.ncbi.nlm.nih.gov/20685945" TargetMode="External"/><Relationship Id="rId5351" Type="http://schemas.openxmlformats.org/officeDocument/2006/relationships/hyperlink" Target="https://pubmed.ncbi.nlm.nih.gov/20739736" TargetMode="External"/><Relationship Id="rId4020" Type="http://schemas.openxmlformats.org/officeDocument/2006/relationships/hyperlink" Target="https://pubmed.ncbi.nlm.nih.gov/27174798" TargetMode="External"/><Relationship Id="rId286" Type="http://schemas.openxmlformats.org/officeDocument/2006/relationships/hyperlink" Target="https://pubmed.ncbi.nlm.nih.gov/38072176" TargetMode="External"/><Relationship Id="rId4022" Type="http://schemas.openxmlformats.org/officeDocument/2006/relationships/hyperlink" Target="https://pubmed.ncbi.nlm.nih.gov/27288811" TargetMode="External"/><Relationship Id="rId5354" Type="http://schemas.openxmlformats.org/officeDocument/2006/relationships/hyperlink" Target="https://pubmed.ncbi.nlm.nih.gov/20638846" TargetMode="External"/><Relationship Id="rId285" Type="http://schemas.openxmlformats.org/officeDocument/2006/relationships/hyperlink" Target="https://pubmed.ncbi.nlm.nih.gov/38072193" TargetMode="External"/><Relationship Id="rId4021" Type="http://schemas.openxmlformats.org/officeDocument/2006/relationships/hyperlink" Target="https://pubmed.ncbi.nlm.nih.gov/27171754" TargetMode="External"/><Relationship Id="rId5355" Type="http://schemas.openxmlformats.org/officeDocument/2006/relationships/hyperlink" Target="https://pubmed.ncbi.nlm.nih.gov/20602804" TargetMode="External"/><Relationship Id="rId284" Type="http://schemas.openxmlformats.org/officeDocument/2006/relationships/hyperlink" Target="https://pubmed.ncbi.nlm.nih.gov/38171949" TargetMode="External"/><Relationship Id="rId4024" Type="http://schemas.openxmlformats.org/officeDocument/2006/relationships/hyperlink" Target="https://pubmed.ncbi.nlm.nih.gov/27164273" TargetMode="External"/><Relationship Id="rId5352" Type="http://schemas.openxmlformats.org/officeDocument/2006/relationships/hyperlink" Target="https://pubmed.ncbi.nlm.nih.gov/20660848" TargetMode="External"/><Relationship Id="rId283" Type="http://schemas.openxmlformats.org/officeDocument/2006/relationships/hyperlink" Target="https://pubmed.ncbi.nlm.nih.gov/38073255" TargetMode="External"/><Relationship Id="rId4023" Type="http://schemas.openxmlformats.org/officeDocument/2006/relationships/hyperlink" Target="https://pubmed.ncbi.nlm.nih.gov/28280429" TargetMode="External"/><Relationship Id="rId5353" Type="http://schemas.openxmlformats.org/officeDocument/2006/relationships/hyperlink" Target="https://pubmed.ncbi.nlm.nih.gov/20655164" TargetMode="External"/><Relationship Id="rId4026" Type="http://schemas.openxmlformats.org/officeDocument/2006/relationships/hyperlink" Target="https://pubmed.ncbi.nlm.nih.gov/27154917" TargetMode="External"/><Relationship Id="rId5358" Type="http://schemas.openxmlformats.org/officeDocument/2006/relationships/hyperlink" Target="https://pubmed.ncbi.nlm.nih.gov/20582833" TargetMode="External"/><Relationship Id="rId289" Type="http://schemas.openxmlformats.org/officeDocument/2006/relationships/hyperlink" Target="https://pubmed.ncbi.nlm.nih.gov/38061408" TargetMode="External"/><Relationship Id="rId4025" Type="http://schemas.openxmlformats.org/officeDocument/2006/relationships/hyperlink" Target="https://pubmed.ncbi.nlm.nih.gov/27154590" TargetMode="External"/><Relationship Id="rId5359" Type="http://schemas.openxmlformats.org/officeDocument/2006/relationships/hyperlink" Target="https://pubmed.ncbi.nlm.nih.gov/20562351" TargetMode="External"/><Relationship Id="rId288" Type="http://schemas.openxmlformats.org/officeDocument/2006/relationships/hyperlink" Target="https://pubmed.ncbi.nlm.nih.gov/38057921" TargetMode="External"/><Relationship Id="rId4028" Type="http://schemas.openxmlformats.org/officeDocument/2006/relationships/hyperlink" Target="https://pubmed.ncbi.nlm.nih.gov/27154503" TargetMode="External"/><Relationship Id="rId5356" Type="http://schemas.openxmlformats.org/officeDocument/2006/relationships/hyperlink" Target="https://pubmed.ncbi.nlm.nih.gov/20574251" TargetMode="External"/><Relationship Id="rId287" Type="http://schemas.openxmlformats.org/officeDocument/2006/relationships/hyperlink" Target="https://pubmed.ncbi.nlm.nih.gov/37897346" TargetMode="External"/><Relationship Id="rId4027" Type="http://schemas.openxmlformats.org/officeDocument/2006/relationships/hyperlink" Target="https://pubmed.ncbi.nlm.nih.gov/27163802" TargetMode="External"/><Relationship Id="rId5357" Type="http://schemas.openxmlformats.org/officeDocument/2006/relationships/hyperlink" Target="https://pubmed.ncbi.nlm.nih.gov/20594438" TargetMode="External"/><Relationship Id="rId4019" Type="http://schemas.openxmlformats.org/officeDocument/2006/relationships/hyperlink" Target="https://pubmed.ncbi.nlm.nih.gov/27168187" TargetMode="External"/><Relationship Id="rId4018" Type="http://schemas.openxmlformats.org/officeDocument/2006/relationships/hyperlink" Target="https://pubmed.ncbi.nlm.nih.gov/27185282" TargetMode="External"/><Relationship Id="rId5349" Type="http://schemas.openxmlformats.org/officeDocument/2006/relationships/hyperlink" Target="https://pubmed.ncbi.nlm.nih.gov/20557135" TargetMode="External"/><Relationship Id="rId282" Type="http://schemas.openxmlformats.org/officeDocument/2006/relationships/hyperlink" Target="https://pubmed.ncbi.nlm.nih.gov/38073512" TargetMode="External"/><Relationship Id="rId281" Type="http://schemas.openxmlformats.org/officeDocument/2006/relationships/hyperlink" Target="https://pubmed.ncbi.nlm.nih.gov/38079601" TargetMode="External"/><Relationship Id="rId280" Type="http://schemas.openxmlformats.org/officeDocument/2006/relationships/hyperlink" Target="https://pubmed.ncbi.nlm.nih.gov/38085019" TargetMode="External"/><Relationship Id="rId5340" Type="http://schemas.openxmlformats.org/officeDocument/2006/relationships/hyperlink" Target="https://pubmed.ncbi.nlm.nih.gov/20886183" TargetMode="External"/><Relationship Id="rId275" Type="http://schemas.openxmlformats.org/officeDocument/2006/relationships/hyperlink" Target="https://pubmed.ncbi.nlm.nih.gov/38091283" TargetMode="External"/><Relationship Id="rId4011" Type="http://schemas.openxmlformats.org/officeDocument/2006/relationships/hyperlink" Target="https://pubmed.ncbi.nlm.nih.gov/27203599" TargetMode="External"/><Relationship Id="rId5343" Type="http://schemas.openxmlformats.org/officeDocument/2006/relationships/hyperlink" Target="https://pubmed.ncbi.nlm.nih.gov/20846428" TargetMode="External"/><Relationship Id="rId274" Type="http://schemas.openxmlformats.org/officeDocument/2006/relationships/hyperlink" Target="https://pubmed.ncbi.nlm.nih.gov/38099566" TargetMode="External"/><Relationship Id="rId4010" Type="http://schemas.openxmlformats.org/officeDocument/2006/relationships/hyperlink" Target="https://pubmed.ncbi.nlm.nih.gov/28280433" TargetMode="External"/><Relationship Id="rId5344" Type="http://schemas.openxmlformats.org/officeDocument/2006/relationships/hyperlink" Target="https://pubmed.ncbi.nlm.nih.gov/20825504" TargetMode="External"/><Relationship Id="rId273" Type="http://schemas.openxmlformats.org/officeDocument/2006/relationships/hyperlink" Target="https://pubmed.ncbi.nlm.nih.gov/38098085" TargetMode="External"/><Relationship Id="rId4013" Type="http://schemas.openxmlformats.org/officeDocument/2006/relationships/hyperlink" Target="https://pubmed.ncbi.nlm.nih.gov/27209146" TargetMode="External"/><Relationship Id="rId5341" Type="http://schemas.openxmlformats.org/officeDocument/2006/relationships/hyperlink" Target="https://pubmed.ncbi.nlm.nih.gov/20876722" TargetMode="External"/><Relationship Id="rId272" Type="http://schemas.openxmlformats.org/officeDocument/2006/relationships/hyperlink" Target="https://pubmed.ncbi.nlm.nih.gov/38104120" TargetMode="External"/><Relationship Id="rId4012" Type="http://schemas.openxmlformats.org/officeDocument/2006/relationships/hyperlink" Target="https://pubmed.ncbi.nlm.nih.gov/27274302" TargetMode="External"/><Relationship Id="rId5342" Type="http://schemas.openxmlformats.org/officeDocument/2006/relationships/hyperlink" Target="https://pubmed.ncbi.nlm.nih.gov/20870782" TargetMode="External"/><Relationship Id="rId279" Type="http://schemas.openxmlformats.org/officeDocument/2006/relationships/hyperlink" Target="https://pubmed.ncbi.nlm.nih.gov/38097030" TargetMode="External"/><Relationship Id="rId4015" Type="http://schemas.openxmlformats.org/officeDocument/2006/relationships/hyperlink" Target="https://pubmed.ncbi.nlm.nih.gov/27199198" TargetMode="External"/><Relationship Id="rId5347" Type="http://schemas.openxmlformats.org/officeDocument/2006/relationships/hyperlink" Target="https://pubmed.ncbi.nlm.nih.gov/20807291" TargetMode="External"/><Relationship Id="rId278" Type="http://schemas.openxmlformats.org/officeDocument/2006/relationships/hyperlink" Target="https://pubmed.ncbi.nlm.nih.gov/38091334" TargetMode="External"/><Relationship Id="rId4014" Type="http://schemas.openxmlformats.org/officeDocument/2006/relationships/hyperlink" Target="https://pubmed.ncbi.nlm.nih.gov/27184143" TargetMode="External"/><Relationship Id="rId5348" Type="http://schemas.openxmlformats.org/officeDocument/2006/relationships/hyperlink" Target="https://pubmed.ncbi.nlm.nih.gov/20720415" TargetMode="External"/><Relationship Id="rId277" Type="http://schemas.openxmlformats.org/officeDocument/2006/relationships/hyperlink" Target="https://pubmed.ncbi.nlm.nih.gov/38088821" TargetMode="External"/><Relationship Id="rId4017" Type="http://schemas.openxmlformats.org/officeDocument/2006/relationships/hyperlink" Target="https://pubmed.ncbi.nlm.nih.gov/27175799" TargetMode="External"/><Relationship Id="rId5345" Type="http://schemas.openxmlformats.org/officeDocument/2006/relationships/hyperlink" Target="https://pubmed.ncbi.nlm.nih.gov/20645885" TargetMode="External"/><Relationship Id="rId276" Type="http://schemas.openxmlformats.org/officeDocument/2006/relationships/hyperlink" Target="https://pubmed.ncbi.nlm.nih.gov/38088542" TargetMode="External"/><Relationship Id="rId4016" Type="http://schemas.openxmlformats.org/officeDocument/2006/relationships/hyperlink" Target="https://pubmed.ncbi.nlm.nih.gov/27172911" TargetMode="External"/><Relationship Id="rId5346" Type="http://schemas.openxmlformats.org/officeDocument/2006/relationships/hyperlink" Target="https://pubmed.ncbi.nlm.nih.gov/20807737" TargetMode="External"/><Relationship Id="rId1851" Type="http://schemas.openxmlformats.org/officeDocument/2006/relationships/hyperlink" Target="https://pubmed.ncbi.nlm.nih.gov/33563289" TargetMode="External"/><Relationship Id="rId1852" Type="http://schemas.openxmlformats.org/officeDocument/2006/relationships/hyperlink" Target="https://pubmed.ncbi.nlm.nih.gov/33566452" TargetMode="External"/><Relationship Id="rId1853" Type="http://schemas.openxmlformats.org/officeDocument/2006/relationships/hyperlink" Target="https://pubmed.ncbi.nlm.nih.gov/33560230" TargetMode="External"/><Relationship Id="rId1854" Type="http://schemas.openxmlformats.org/officeDocument/2006/relationships/hyperlink" Target="https://pubmed.ncbi.nlm.nih.gov/33634751" TargetMode="External"/><Relationship Id="rId1855" Type="http://schemas.openxmlformats.org/officeDocument/2006/relationships/hyperlink" Target="https://pubmed.ncbi.nlm.nih.gov/33571601" TargetMode="External"/><Relationship Id="rId1856" Type="http://schemas.openxmlformats.org/officeDocument/2006/relationships/hyperlink" Target="https://pubmed.ncbi.nlm.nih.gov/33550591" TargetMode="External"/><Relationship Id="rId1857" Type="http://schemas.openxmlformats.org/officeDocument/2006/relationships/hyperlink" Target="https://pubmed.ncbi.nlm.nih.gov/33634069" TargetMode="External"/><Relationship Id="rId1858" Type="http://schemas.openxmlformats.org/officeDocument/2006/relationships/hyperlink" Target="https://pubmed.ncbi.nlm.nih.gov/33538867" TargetMode="External"/><Relationship Id="rId1859" Type="http://schemas.openxmlformats.org/officeDocument/2006/relationships/hyperlink" Target="https://pubmed.ncbi.nlm.nih.gov/33548259" TargetMode="External"/><Relationship Id="rId1850" Type="http://schemas.openxmlformats.org/officeDocument/2006/relationships/hyperlink" Target="https://pubmed.ncbi.nlm.nih.gov/33598393" TargetMode="External"/><Relationship Id="rId1840" Type="http://schemas.openxmlformats.org/officeDocument/2006/relationships/hyperlink" Target="https://pubmed.ncbi.nlm.nih.gov/33600211" TargetMode="External"/><Relationship Id="rId1841" Type="http://schemas.openxmlformats.org/officeDocument/2006/relationships/hyperlink" Target="https://pubmed.ncbi.nlm.nih.gov/33670657" TargetMode="External"/><Relationship Id="rId1842" Type="http://schemas.openxmlformats.org/officeDocument/2006/relationships/hyperlink" Target="https://pubmed.ncbi.nlm.nih.gov/33597138" TargetMode="External"/><Relationship Id="rId1843" Type="http://schemas.openxmlformats.org/officeDocument/2006/relationships/hyperlink" Target="https://pubmed.ncbi.nlm.nih.gov/33594104" TargetMode="External"/><Relationship Id="rId1844" Type="http://schemas.openxmlformats.org/officeDocument/2006/relationships/hyperlink" Target="https://pubmed.ncbi.nlm.nih.gov/33592000" TargetMode="External"/><Relationship Id="rId1845" Type="http://schemas.openxmlformats.org/officeDocument/2006/relationships/hyperlink" Target="https://pubmed.ncbi.nlm.nih.gov/33594240" TargetMode="External"/><Relationship Id="rId1846" Type="http://schemas.openxmlformats.org/officeDocument/2006/relationships/hyperlink" Target="https://pubmed.ncbi.nlm.nih.gov/33593688" TargetMode="External"/><Relationship Id="rId1847" Type="http://schemas.openxmlformats.org/officeDocument/2006/relationships/hyperlink" Target="https://pubmed.ncbi.nlm.nih.gov/33482047" TargetMode="External"/><Relationship Id="rId1848" Type="http://schemas.openxmlformats.org/officeDocument/2006/relationships/hyperlink" Target="https://pubmed.ncbi.nlm.nih.gov/33580447" TargetMode="External"/><Relationship Id="rId1849" Type="http://schemas.openxmlformats.org/officeDocument/2006/relationships/hyperlink" Target="https://pubmed.ncbi.nlm.nih.gov/33576506" TargetMode="External"/><Relationship Id="rId1873" Type="http://schemas.openxmlformats.org/officeDocument/2006/relationships/hyperlink" Target="https://pubmed.ncbi.nlm.nih.gov/33602687" TargetMode="External"/><Relationship Id="rId1874" Type="http://schemas.openxmlformats.org/officeDocument/2006/relationships/hyperlink" Target="https://pubmed.ncbi.nlm.nih.gov/33511876" TargetMode="External"/><Relationship Id="rId1875" Type="http://schemas.openxmlformats.org/officeDocument/2006/relationships/hyperlink" Target="https://pubmed.ncbi.nlm.nih.gov/33514681" TargetMode="External"/><Relationship Id="rId1876" Type="http://schemas.openxmlformats.org/officeDocument/2006/relationships/hyperlink" Target="https://pubmed.ncbi.nlm.nih.gov/33514649" TargetMode="External"/><Relationship Id="rId1877" Type="http://schemas.openxmlformats.org/officeDocument/2006/relationships/hyperlink" Target="https://pubmed.ncbi.nlm.nih.gov/33405263" TargetMode="External"/><Relationship Id="rId1878" Type="http://schemas.openxmlformats.org/officeDocument/2006/relationships/hyperlink" Target="https://pubmed.ncbi.nlm.nih.gov/31919525" TargetMode="External"/><Relationship Id="rId1879" Type="http://schemas.openxmlformats.org/officeDocument/2006/relationships/hyperlink" Target="https://pubmed.ncbi.nlm.nih.gov/33493046" TargetMode="External"/><Relationship Id="rId1870" Type="http://schemas.openxmlformats.org/officeDocument/2006/relationships/hyperlink" Target="https://pubmed.ncbi.nlm.nih.gov/33526041" TargetMode="External"/><Relationship Id="rId1871" Type="http://schemas.openxmlformats.org/officeDocument/2006/relationships/hyperlink" Target="https://pubmed.ncbi.nlm.nih.gov/33353957" TargetMode="External"/><Relationship Id="rId1872" Type="http://schemas.openxmlformats.org/officeDocument/2006/relationships/hyperlink" Target="https://pubmed.ncbi.nlm.nih.gov/33399978" TargetMode="External"/><Relationship Id="rId1862" Type="http://schemas.openxmlformats.org/officeDocument/2006/relationships/hyperlink" Target="https://pubmed.ncbi.nlm.nih.gov/33527843" TargetMode="External"/><Relationship Id="rId1863" Type="http://schemas.openxmlformats.org/officeDocument/2006/relationships/hyperlink" Target="https://pubmed.ncbi.nlm.nih.gov/33547017" TargetMode="External"/><Relationship Id="rId1864" Type="http://schemas.openxmlformats.org/officeDocument/2006/relationships/hyperlink" Target="https://pubmed.ncbi.nlm.nih.gov/33532958" TargetMode="External"/><Relationship Id="rId1865" Type="http://schemas.openxmlformats.org/officeDocument/2006/relationships/hyperlink" Target="https://pubmed.ncbi.nlm.nih.gov/33531528" TargetMode="External"/><Relationship Id="rId1866" Type="http://schemas.openxmlformats.org/officeDocument/2006/relationships/hyperlink" Target="https://pubmed.ncbi.nlm.nih.gov/33529208" TargetMode="External"/><Relationship Id="rId1867" Type="http://schemas.openxmlformats.org/officeDocument/2006/relationships/hyperlink" Target="https://pubmed.ncbi.nlm.nih.gov/33355600" TargetMode="External"/><Relationship Id="rId1868" Type="http://schemas.openxmlformats.org/officeDocument/2006/relationships/hyperlink" Target="https://pubmed.ncbi.nlm.nih.gov/33237294" TargetMode="External"/><Relationship Id="rId1869" Type="http://schemas.openxmlformats.org/officeDocument/2006/relationships/hyperlink" Target="https://pubmed.ncbi.nlm.nih.gov/33044488" TargetMode="External"/><Relationship Id="rId1860" Type="http://schemas.openxmlformats.org/officeDocument/2006/relationships/hyperlink" Target="https://pubmed.ncbi.nlm.nih.gov/33545258" TargetMode="External"/><Relationship Id="rId1861" Type="http://schemas.openxmlformats.org/officeDocument/2006/relationships/hyperlink" Target="https://pubmed.ncbi.nlm.nih.gov/33548182" TargetMode="External"/><Relationship Id="rId1810" Type="http://schemas.openxmlformats.org/officeDocument/2006/relationships/hyperlink" Target="https://pubmed.ncbi.nlm.nih.gov/33713741" TargetMode="External"/><Relationship Id="rId1811" Type="http://schemas.openxmlformats.org/officeDocument/2006/relationships/hyperlink" Target="https://pubmed.ncbi.nlm.nih.gov/34006017" TargetMode="External"/><Relationship Id="rId1812" Type="http://schemas.openxmlformats.org/officeDocument/2006/relationships/hyperlink" Target="https://pubmed.ncbi.nlm.nih.gov/33685438" TargetMode="External"/><Relationship Id="rId1813" Type="http://schemas.openxmlformats.org/officeDocument/2006/relationships/hyperlink" Target="https://pubmed.ncbi.nlm.nih.gov/33750611" TargetMode="External"/><Relationship Id="rId1814" Type="http://schemas.openxmlformats.org/officeDocument/2006/relationships/hyperlink" Target="https://pubmed.ncbi.nlm.nih.gov/33676484" TargetMode="External"/><Relationship Id="rId1815" Type="http://schemas.openxmlformats.org/officeDocument/2006/relationships/hyperlink" Target="https://pubmed.ncbi.nlm.nih.gov/33663491" TargetMode="External"/><Relationship Id="rId1816" Type="http://schemas.openxmlformats.org/officeDocument/2006/relationships/hyperlink" Target="https://pubmed.ncbi.nlm.nih.gov/33543516" TargetMode="External"/><Relationship Id="rId1817" Type="http://schemas.openxmlformats.org/officeDocument/2006/relationships/hyperlink" Target="https://pubmed.ncbi.nlm.nih.gov/33801505" TargetMode="External"/><Relationship Id="rId1818" Type="http://schemas.openxmlformats.org/officeDocument/2006/relationships/hyperlink" Target="https://pubmed.ncbi.nlm.nih.gov/33653753" TargetMode="External"/><Relationship Id="rId1819" Type="http://schemas.openxmlformats.org/officeDocument/2006/relationships/hyperlink" Target="https://pubmed.ncbi.nlm.nih.gov/32910094" TargetMode="External"/><Relationship Id="rId4080" Type="http://schemas.openxmlformats.org/officeDocument/2006/relationships/hyperlink" Target="https://pubmed.ncbi.nlm.nih.gov/27325326" TargetMode="External"/><Relationship Id="rId4082" Type="http://schemas.openxmlformats.org/officeDocument/2006/relationships/hyperlink" Target="https://pubmed.ncbi.nlm.nih.gov/27029390" TargetMode="External"/><Relationship Id="rId4081" Type="http://schemas.openxmlformats.org/officeDocument/2006/relationships/hyperlink" Target="https://pubmed.ncbi.nlm.nih.gov/27038851" TargetMode="External"/><Relationship Id="rId4084" Type="http://schemas.openxmlformats.org/officeDocument/2006/relationships/hyperlink" Target="https://pubmed.ncbi.nlm.nih.gov/27003153" TargetMode="External"/><Relationship Id="rId4083" Type="http://schemas.openxmlformats.org/officeDocument/2006/relationships/hyperlink" Target="https://pubmed.ncbi.nlm.nih.gov/27016515" TargetMode="External"/><Relationship Id="rId4086" Type="http://schemas.openxmlformats.org/officeDocument/2006/relationships/hyperlink" Target="https://pubmed.ncbi.nlm.nih.gov/27006346" TargetMode="External"/><Relationship Id="rId4085" Type="http://schemas.openxmlformats.org/officeDocument/2006/relationships/hyperlink" Target="https://pubmed.ncbi.nlm.nih.gov/27006417" TargetMode="External"/><Relationship Id="rId4088" Type="http://schemas.openxmlformats.org/officeDocument/2006/relationships/hyperlink" Target="https://pubmed.ncbi.nlm.nih.gov/27002728" TargetMode="External"/><Relationship Id="rId4087" Type="http://schemas.openxmlformats.org/officeDocument/2006/relationships/hyperlink" Target="https://pubmed.ncbi.nlm.nih.gov/27001409" TargetMode="External"/><Relationship Id="rId4089" Type="http://schemas.openxmlformats.org/officeDocument/2006/relationships/hyperlink" Target="https://pubmed.ncbi.nlm.nih.gov/27005567" TargetMode="External"/><Relationship Id="rId1800" Type="http://schemas.openxmlformats.org/officeDocument/2006/relationships/hyperlink" Target="https://pubmed.ncbi.nlm.nih.gov/33721265" TargetMode="External"/><Relationship Id="rId1801" Type="http://schemas.openxmlformats.org/officeDocument/2006/relationships/hyperlink" Target="https://pubmed.ncbi.nlm.nih.gov/33722791" TargetMode="External"/><Relationship Id="rId1802" Type="http://schemas.openxmlformats.org/officeDocument/2006/relationships/hyperlink" Target="https://pubmed.ncbi.nlm.nih.gov/33713332" TargetMode="External"/><Relationship Id="rId1803" Type="http://schemas.openxmlformats.org/officeDocument/2006/relationships/hyperlink" Target="https://pubmed.ncbi.nlm.nih.gov/33770564" TargetMode="External"/><Relationship Id="rId1804" Type="http://schemas.openxmlformats.org/officeDocument/2006/relationships/hyperlink" Target="https://pubmed.ncbi.nlm.nih.gov/33786064" TargetMode="External"/><Relationship Id="rId1805" Type="http://schemas.openxmlformats.org/officeDocument/2006/relationships/hyperlink" Target="https://pubmed.ncbi.nlm.nih.gov/33712603" TargetMode="External"/><Relationship Id="rId1806" Type="http://schemas.openxmlformats.org/officeDocument/2006/relationships/hyperlink" Target="https://pubmed.ncbi.nlm.nih.gov/33428729" TargetMode="External"/><Relationship Id="rId1807" Type="http://schemas.openxmlformats.org/officeDocument/2006/relationships/hyperlink" Target="https://pubmed.ncbi.nlm.nih.gov/33706600" TargetMode="External"/><Relationship Id="rId1808" Type="http://schemas.openxmlformats.org/officeDocument/2006/relationships/hyperlink" Target="https://pubmed.ncbi.nlm.nih.gov/33691699" TargetMode="External"/><Relationship Id="rId1809" Type="http://schemas.openxmlformats.org/officeDocument/2006/relationships/hyperlink" Target="https://pubmed.ncbi.nlm.nih.gov/33720556" TargetMode="External"/><Relationship Id="rId4071" Type="http://schemas.openxmlformats.org/officeDocument/2006/relationships/hyperlink" Target="https://pubmed.ncbi.nlm.nih.gov/28616478" TargetMode="External"/><Relationship Id="rId4070" Type="http://schemas.openxmlformats.org/officeDocument/2006/relationships/hyperlink" Target="https://pubmed.ncbi.nlm.nih.gov/27052652" TargetMode="External"/><Relationship Id="rId4073" Type="http://schemas.openxmlformats.org/officeDocument/2006/relationships/hyperlink" Target="https://pubmed.ncbi.nlm.nih.gov/27048743" TargetMode="External"/><Relationship Id="rId4072" Type="http://schemas.openxmlformats.org/officeDocument/2006/relationships/hyperlink" Target="https://pubmed.ncbi.nlm.nih.gov/27045730" TargetMode="External"/><Relationship Id="rId4075" Type="http://schemas.openxmlformats.org/officeDocument/2006/relationships/hyperlink" Target="https://pubmed.ncbi.nlm.nih.gov/27059152" TargetMode="External"/><Relationship Id="rId4074" Type="http://schemas.openxmlformats.org/officeDocument/2006/relationships/hyperlink" Target="https://pubmed.ncbi.nlm.nih.gov/27048543" TargetMode="External"/><Relationship Id="rId4077" Type="http://schemas.openxmlformats.org/officeDocument/2006/relationships/hyperlink" Target="https://pubmed.ncbi.nlm.nih.gov/26755349" TargetMode="External"/><Relationship Id="rId4076" Type="http://schemas.openxmlformats.org/officeDocument/2006/relationships/hyperlink" Target="https://pubmed.ncbi.nlm.nih.gov/27045189" TargetMode="External"/><Relationship Id="rId4079" Type="http://schemas.openxmlformats.org/officeDocument/2006/relationships/hyperlink" Target="https://pubmed.ncbi.nlm.nih.gov/27083928" TargetMode="External"/><Relationship Id="rId4078" Type="http://schemas.openxmlformats.org/officeDocument/2006/relationships/hyperlink" Target="https://pubmed.ncbi.nlm.nih.gov/26905581" TargetMode="External"/><Relationship Id="rId1830" Type="http://schemas.openxmlformats.org/officeDocument/2006/relationships/hyperlink" Target="https://pubmed.ncbi.nlm.nih.gov/33632160" TargetMode="External"/><Relationship Id="rId1831" Type="http://schemas.openxmlformats.org/officeDocument/2006/relationships/hyperlink" Target="https://pubmed.ncbi.nlm.nih.gov/33658868" TargetMode="External"/><Relationship Id="rId1832" Type="http://schemas.openxmlformats.org/officeDocument/2006/relationships/hyperlink" Target="https://pubmed.ncbi.nlm.nih.gov/33527879" TargetMode="External"/><Relationship Id="rId1833" Type="http://schemas.openxmlformats.org/officeDocument/2006/relationships/hyperlink" Target="https://pubmed.ncbi.nlm.nih.gov/33172850" TargetMode="External"/><Relationship Id="rId1834" Type="http://schemas.openxmlformats.org/officeDocument/2006/relationships/hyperlink" Target="https://pubmed.ncbi.nlm.nih.gov/33199309" TargetMode="External"/><Relationship Id="rId1835" Type="http://schemas.openxmlformats.org/officeDocument/2006/relationships/hyperlink" Target="https://pubmed.ncbi.nlm.nih.gov/33622782" TargetMode="External"/><Relationship Id="rId1836" Type="http://schemas.openxmlformats.org/officeDocument/2006/relationships/hyperlink" Target="https://pubmed.ncbi.nlm.nih.gov/33472922" TargetMode="External"/><Relationship Id="rId1837" Type="http://schemas.openxmlformats.org/officeDocument/2006/relationships/hyperlink" Target="https://pubmed.ncbi.nlm.nih.gov/34816194" TargetMode="External"/><Relationship Id="rId1838" Type="http://schemas.openxmlformats.org/officeDocument/2006/relationships/hyperlink" Target="https://pubmed.ncbi.nlm.nih.gov/33666476" TargetMode="External"/><Relationship Id="rId1839" Type="http://schemas.openxmlformats.org/officeDocument/2006/relationships/hyperlink" Target="https://pubmed.ncbi.nlm.nih.gov/33608026" TargetMode="External"/><Relationship Id="rId1820" Type="http://schemas.openxmlformats.org/officeDocument/2006/relationships/hyperlink" Target="https://pubmed.ncbi.nlm.nih.gov/33649328" TargetMode="External"/><Relationship Id="rId1821" Type="http://schemas.openxmlformats.org/officeDocument/2006/relationships/hyperlink" Target="https://pubmed.ncbi.nlm.nih.gov/33767524" TargetMode="External"/><Relationship Id="rId1822" Type="http://schemas.openxmlformats.org/officeDocument/2006/relationships/hyperlink" Target="https://pubmed.ncbi.nlm.nih.gov/33249475" TargetMode="External"/><Relationship Id="rId1823" Type="http://schemas.openxmlformats.org/officeDocument/2006/relationships/hyperlink" Target="https://pubmed.ncbi.nlm.nih.gov/33641692" TargetMode="External"/><Relationship Id="rId1824" Type="http://schemas.openxmlformats.org/officeDocument/2006/relationships/hyperlink" Target="https://pubmed.ncbi.nlm.nih.gov/33673583" TargetMode="External"/><Relationship Id="rId1825" Type="http://schemas.openxmlformats.org/officeDocument/2006/relationships/hyperlink" Target="https://pubmed.ncbi.nlm.nih.gov/33660162" TargetMode="External"/><Relationship Id="rId1826" Type="http://schemas.openxmlformats.org/officeDocument/2006/relationships/hyperlink" Target="https://pubmed.ncbi.nlm.nih.gov/33635900" TargetMode="External"/><Relationship Id="rId1827" Type="http://schemas.openxmlformats.org/officeDocument/2006/relationships/hyperlink" Target="https://pubmed.ncbi.nlm.nih.gov/32584974" TargetMode="External"/><Relationship Id="rId1828" Type="http://schemas.openxmlformats.org/officeDocument/2006/relationships/hyperlink" Target="https://pubmed.ncbi.nlm.nih.gov/33633136" TargetMode="External"/><Relationship Id="rId1829" Type="http://schemas.openxmlformats.org/officeDocument/2006/relationships/hyperlink" Target="https://pubmed.ncbi.nlm.nih.gov/33642161" TargetMode="External"/><Relationship Id="rId4091" Type="http://schemas.openxmlformats.org/officeDocument/2006/relationships/hyperlink" Target="https://pubmed.ncbi.nlm.nih.gov/26992390" TargetMode="External"/><Relationship Id="rId4090" Type="http://schemas.openxmlformats.org/officeDocument/2006/relationships/hyperlink" Target="https://pubmed.ncbi.nlm.nih.gov/27134032" TargetMode="External"/><Relationship Id="rId4093" Type="http://schemas.openxmlformats.org/officeDocument/2006/relationships/hyperlink" Target="https://pubmed.ncbi.nlm.nih.gov/26988349" TargetMode="External"/><Relationship Id="rId4092" Type="http://schemas.openxmlformats.org/officeDocument/2006/relationships/hyperlink" Target="https://pubmed.ncbi.nlm.nih.gov/26993621" TargetMode="External"/><Relationship Id="rId4095" Type="http://schemas.openxmlformats.org/officeDocument/2006/relationships/hyperlink" Target="https://pubmed.ncbi.nlm.nih.gov/26988748" TargetMode="External"/><Relationship Id="rId4094" Type="http://schemas.openxmlformats.org/officeDocument/2006/relationships/hyperlink" Target="https://pubmed.ncbi.nlm.nih.gov/27471432" TargetMode="External"/><Relationship Id="rId4097" Type="http://schemas.openxmlformats.org/officeDocument/2006/relationships/hyperlink" Target="https://pubmed.ncbi.nlm.nih.gov/27042320" TargetMode="External"/><Relationship Id="rId4096" Type="http://schemas.openxmlformats.org/officeDocument/2006/relationships/hyperlink" Target="https://pubmed.ncbi.nlm.nih.gov/27015473" TargetMode="External"/><Relationship Id="rId4099" Type="http://schemas.openxmlformats.org/officeDocument/2006/relationships/hyperlink" Target="https://pubmed.ncbi.nlm.nih.gov/26956172" TargetMode="External"/><Relationship Id="rId4098" Type="http://schemas.openxmlformats.org/officeDocument/2006/relationships/hyperlink" Target="https://pubmed.ncbi.nlm.nih.gov/26956414" TargetMode="External"/><Relationship Id="rId1895" Type="http://schemas.openxmlformats.org/officeDocument/2006/relationships/hyperlink" Target="https://pubmed.ncbi.nlm.nih.gov/33524781" TargetMode="External"/><Relationship Id="rId1896" Type="http://schemas.openxmlformats.org/officeDocument/2006/relationships/hyperlink" Target="https://pubmed.ncbi.nlm.nih.gov/33478885" TargetMode="External"/><Relationship Id="rId1897" Type="http://schemas.openxmlformats.org/officeDocument/2006/relationships/hyperlink" Target="https://pubmed.ncbi.nlm.nih.gov/33485218" TargetMode="External"/><Relationship Id="rId1898" Type="http://schemas.openxmlformats.org/officeDocument/2006/relationships/hyperlink" Target="https://pubmed.ncbi.nlm.nih.gov/36275195" TargetMode="External"/><Relationship Id="rId1899" Type="http://schemas.openxmlformats.org/officeDocument/2006/relationships/hyperlink" Target="https://pubmed.ncbi.nlm.nih.gov/33448935" TargetMode="External"/><Relationship Id="rId1890" Type="http://schemas.openxmlformats.org/officeDocument/2006/relationships/hyperlink" Target="https://pubmed.ncbi.nlm.nih.gov/33516087" TargetMode="External"/><Relationship Id="rId1891" Type="http://schemas.openxmlformats.org/officeDocument/2006/relationships/hyperlink" Target="https://pubmed.ncbi.nlm.nih.gov/33471559" TargetMode="External"/><Relationship Id="rId1892" Type="http://schemas.openxmlformats.org/officeDocument/2006/relationships/hyperlink" Target="https://pubmed.ncbi.nlm.nih.gov/33462778" TargetMode="External"/><Relationship Id="rId1893" Type="http://schemas.openxmlformats.org/officeDocument/2006/relationships/hyperlink" Target="https://pubmed.ncbi.nlm.nih.gov/33482294" TargetMode="External"/><Relationship Id="rId1894" Type="http://schemas.openxmlformats.org/officeDocument/2006/relationships/hyperlink" Target="https://pubmed.ncbi.nlm.nih.gov/33465103" TargetMode="External"/><Relationship Id="rId1884" Type="http://schemas.openxmlformats.org/officeDocument/2006/relationships/hyperlink" Target="https://pubmed.ncbi.nlm.nih.gov/33151274" TargetMode="External"/><Relationship Id="rId1885" Type="http://schemas.openxmlformats.org/officeDocument/2006/relationships/hyperlink" Target="https://pubmed.ncbi.nlm.nih.gov/33558099" TargetMode="External"/><Relationship Id="rId1886" Type="http://schemas.openxmlformats.org/officeDocument/2006/relationships/hyperlink" Target="https://pubmed.ncbi.nlm.nih.gov/33483828" TargetMode="External"/><Relationship Id="rId1887" Type="http://schemas.openxmlformats.org/officeDocument/2006/relationships/hyperlink" Target="https://pubmed.ncbi.nlm.nih.gov/33471548" TargetMode="External"/><Relationship Id="rId1888" Type="http://schemas.openxmlformats.org/officeDocument/2006/relationships/hyperlink" Target="https://pubmed.ncbi.nlm.nih.gov/33470918" TargetMode="External"/><Relationship Id="rId1889" Type="http://schemas.openxmlformats.org/officeDocument/2006/relationships/hyperlink" Target="https://pubmed.ncbi.nlm.nih.gov/33472782" TargetMode="External"/><Relationship Id="rId1880" Type="http://schemas.openxmlformats.org/officeDocument/2006/relationships/hyperlink" Target="https://pubmed.ncbi.nlm.nih.gov/33460468" TargetMode="External"/><Relationship Id="rId1881" Type="http://schemas.openxmlformats.org/officeDocument/2006/relationships/hyperlink" Target="https://pubmed.ncbi.nlm.nih.gov/33495513" TargetMode="External"/><Relationship Id="rId1882" Type="http://schemas.openxmlformats.org/officeDocument/2006/relationships/hyperlink" Target="https://pubmed.ncbi.nlm.nih.gov/33491834" TargetMode="External"/><Relationship Id="rId1883" Type="http://schemas.openxmlformats.org/officeDocument/2006/relationships/hyperlink" Target="https://pubmed.ncbi.nlm.nih.gov/33242333" TargetMode="External"/><Relationship Id="rId5417" Type="http://schemas.openxmlformats.org/officeDocument/2006/relationships/hyperlink" Target="https://pubmed.ncbi.nlm.nih.gov/19939325" TargetMode="External"/><Relationship Id="rId5418" Type="http://schemas.openxmlformats.org/officeDocument/2006/relationships/hyperlink" Target="https://pubmed.ncbi.nlm.nih.gov/19933991" TargetMode="External"/><Relationship Id="rId5415" Type="http://schemas.openxmlformats.org/officeDocument/2006/relationships/hyperlink" Target="https://pubmed.ncbi.nlm.nih.gov/20104064" TargetMode="External"/><Relationship Id="rId5416" Type="http://schemas.openxmlformats.org/officeDocument/2006/relationships/hyperlink" Target="https://pubmed.ncbi.nlm.nih.gov/20121988" TargetMode="External"/><Relationship Id="rId5419" Type="http://schemas.openxmlformats.org/officeDocument/2006/relationships/hyperlink" Target="https://pubmed.ncbi.nlm.nih.gov/19923377" TargetMode="External"/><Relationship Id="rId228" Type="http://schemas.openxmlformats.org/officeDocument/2006/relationships/hyperlink" Target="https://pubmed.ncbi.nlm.nih.gov/38234063" TargetMode="External"/><Relationship Id="rId227" Type="http://schemas.openxmlformats.org/officeDocument/2006/relationships/hyperlink" Target="https://pubmed.ncbi.nlm.nih.gov/38234442" TargetMode="External"/><Relationship Id="rId226" Type="http://schemas.openxmlformats.org/officeDocument/2006/relationships/hyperlink" Target="https://pubmed.ncbi.nlm.nih.gov/38233050" TargetMode="External"/><Relationship Id="rId225" Type="http://schemas.openxmlformats.org/officeDocument/2006/relationships/hyperlink" Target="https://pubmed.ncbi.nlm.nih.gov/38250702" TargetMode="External"/><Relationship Id="rId229" Type="http://schemas.openxmlformats.org/officeDocument/2006/relationships/hyperlink" Target="https://pubmed.ncbi.nlm.nih.gov/38225565" TargetMode="External"/><Relationship Id="rId220" Type="http://schemas.openxmlformats.org/officeDocument/2006/relationships/hyperlink" Target="https://pubmed.ncbi.nlm.nih.gov/38323031" TargetMode="External"/><Relationship Id="rId5410" Type="http://schemas.openxmlformats.org/officeDocument/2006/relationships/hyperlink" Target="https://pubmed.ncbi.nlm.nih.gov/20029208" TargetMode="External"/><Relationship Id="rId224" Type="http://schemas.openxmlformats.org/officeDocument/2006/relationships/hyperlink" Target="https://pubmed.ncbi.nlm.nih.gov/38240213" TargetMode="External"/><Relationship Id="rId5413" Type="http://schemas.openxmlformats.org/officeDocument/2006/relationships/hyperlink" Target="https://pubmed.ncbi.nlm.nih.gov/19956979" TargetMode="External"/><Relationship Id="rId223" Type="http://schemas.openxmlformats.org/officeDocument/2006/relationships/hyperlink" Target="https://pubmed.ncbi.nlm.nih.gov/38276195" TargetMode="External"/><Relationship Id="rId5414" Type="http://schemas.openxmlformats.org/officeDocument/2006/relationships/hyperlink" Target="https://pubmed.ncbi.nlm.nih.gov/19752735" TargetMode="External"/><Relationship Id="rId222" Type="http://schemas.openxmlformats.org/officeDocument/2006/relationships/hyperlink" Target="https://pubmed.ncbi.nlm.nih.gov/38245552" TargetMode="External"/><Relationship Id="rId5411" Type="http://schemas.openxmlformats.org/officeDocument/2006/relationships/hyperlink" Target="https://pubmed.ncbi.nlm.nih.gov/20026554" TargetMode="External"/><Relationship Id="rId221" Type="http://schemas.openxmlformats.org/officeDocument/2006/relationships/hyperlink" Target="https://pubmed.ncbi.nlm.nih.gov/38253388" TargetMode="External"/><Relationship Id="rId5412" Type="http://schemas.openxmlformats.org/officeDocument/2006/relationships/hyperlink" Target="https://pubmed.ncbi.nlm.nih.gov/19995418" TargetMode="External"/><Relationship Id="rId5406" Type="http://schemas.openxmlformats.org/officeDocument/2006/relationships/hyperlink" Target="https://pubmed.ncbi.nlm.nih.gov/20121894" TargetMode="External"/><Relationship Id="rId5407" Type="http://schemas.openxmlformats.org/officeDocument/2006/relationships/hyperlink" Target="https://pubmed.ncbi.nlm.nih.gov/20456761" TargetMode="External"/><Relationship Id="rId5404" Type="http://schemas.openxmlformats.org/officeDocument/2006/relationships/hyperlink" Target="https://pubmed.ncbi.nlm.nih.gov/20047771" TargetMode="External"/><Relationship Id="rId5405" Type="http://schemas.openxmlformats.org/officeDocument/2006/relationships/hyperlink" Target="https://pubmed.ncbi.nlm.nih.gov/19907344" TargetMode="External"/><Relationship Id="rId5408" Type="http://schemas.openxmlformats.org/officeDocument/2006/relationships/hyperlink" Target="https://pubmed.ncbi.nlm.nih.gov/20977808" TargetMode="External"/><Relationship Id="rId5409" Type="http://schemas.openxmlformats.org/officeDocument/2006/relationships/hyperlink" Target="https://pubmed.ncbi.nlm.nih.gov/20040088" TargetMode="External"/><Relationship Id="rId217" Type="http://schemas.openxmlformats.org/officeDocument/2006/relationships/hyperlink" Target="https://pubmed.ncbi.nlm.nih.gov/38328434" TargetMode="External"/><Relationship Id="rId216" Type="http://schemas.openxmlformats.org/officeDocument/2006/relationships/hyperlink" Target="https://pubmed.ncbi.nlm.nih.gov/38323125" TargetMode="External"/><Relationship Id="rId215" Type="http://schemas.openxmlformats.org/officeDocument/2006/relationships/hyperlink" Target="https://pubmed.ncbi.nlm.nih.gov/38525862" TargetMode="External"/><Relationship Id="rId214" Type="http://schemas.openxmlformats.org/officeDocument/2006/relationships/hyperlink" Target="https://pubmed.ncbi.nlm.nih.gov/38285727" TargetMode="External"/><Relationship Id="rId219" Type="http://schemas.openxmlformats.org/officeDocument/2006/relationships/hyperlink" Target="https://pubmed.ncbi.nlm.nih.gov/38301515" TargetMode="External"/><Relationship Id="rId218" Type="http://schemas.openxmlformats.org/officeDocument/2006/relationships/hyperlink" Target="https://pubmed.ncbi.nlm.nih.gov/38278494" TargetMode="External"/><Relationship Id="rId213" Type="http://schemas.openxmlformats.org/officeDocument/2006/relationships/hyperlink" Target="https://pubmed.ncbi.nlm.nih.gov/38285111" TargetMode="External"/><Relationship Id="rId5402" Type="http://schemas.openxmlformats.org/officeDocument/2006/relationships/hyperlink" Target="https://pubmed.ncbi.nlm.nih.gov/20963575" TargetMode="External"/><Relationship Id="rId212" Type="http://schemas.openxmlformats.org/officeDocument/2006/relationships/hyperlink" Target="https://pubmed.ncbi.nlm.nih.gov/38289328" TargetMode="External"/><Relationship Id="rId5403" Type="http://schemas.openxmlformats.org/officeDocument/2006/relationships/hyperlink" Target="https://pubmed.ncbi.nlm.nih.gov/20053631" TargetMode="External"/><Relationship Id="rId211" Type="http://schemas.openxmlformats.org/officeDocument/2006/relationships/hyperlink" Target="https://pubmed.ncbi.nlm.nih.gov/38289328" TargetMode="External"/><Relationship Id="rId5400" Type="http://schemas.openxmlformats.org/officeDocument/2006/relationships/hyperlink" Target="https://pubmed.ncbi.nlm.nih.gov/20051869" TargetMode="External"/><Relationship Id="rId210" Type="http://schemas.openxmlformats.org/officeDocument/2006/relationships/hyperlink" Target="https://pubmed.ncbi.nlm.nih.gov/38296291" TargetMode="External"/><Relationship Id="rId5401" Type="http://schemas.openxmlformats.org/officeDocument/2006/relationships/hyperlink" Target="https://pubmed.ncbi.nlm.nih.gov/20090761" TargetMode="External"/><Relationship Id="rId4107" Type="http://schemas.openxmlformats.org/officeDocument/2006/relationships/hyperlink" Target="https://pubmed.ncbi.nlm.nih.gov/27038359" TargetMode="External"/><Relationship Id="rId5439" Type="http://schemas.openxmlformats.org/officeDocument/2006/relationships/hyperlink" Target="https://pubmed.ncbi.nlm.nih.gov/19736196" TargetMode="External"/><Relationship Id="rId4106" Type="http://schemas.openxmlformats.org/officeDocument/2006/relationships/hyperlink" Target="https://pubmed.ncbi.nlm.nih.gov/27038356" TargetMode="External"/><Relationship Id="rId4109" Type="http://schemas.openxmlformats.org/officeDocument/2006/relationships/hyperlink" Target="https://pubmed.ncbi.nlm.nih.gov/27038357" TargetMode="External"/><Relationship Id="rId5437" Type="http://schemas.openxmlformats.org/officeDocument/2006/relationships/hyperlink" Target="https://pubmed.ncbi.nlm.nih.gov/19733947" TargetMode="External"/><Relationship Id="rId4108" Type="http://schemas.openxmlformats.org/officeDocument/2006/relationships/hyperlink" Target="https://pubmed.ncbi.nlm.nih.gov/27038358" TargetMode="External"/><Relationship Id="rId5438" Type="http://schemas.openxmlformats.org/officeDocument/2006/relationships/hyperlink" Target="https://pubmed.ncbi.nlm.nih.gov/19735585" TargetMode="External"/><Relationship Id="rId249" Type="http://schemas.openxmlformats.org/officeDocument/2006/relationships/hyperlink" Target="https://pubmed.ncbi.nlm.nih.gov/38097353" TargetMode="External"/><Relationship Id="rId248" Type="http://schemas.openxmlformats.org/officeDocument/2006/relationships/hyperlink" Target="https://pubmed.ncbi.nlm.nih.gov/38176879" TargetMode="External"/><Relationship Id="rId247" Type="http://schemas.openxmlformats.org/officeDocument/2006/relationships/hyperlink" Target="https://pubmed.ncbi.nlm.nih.gov/38178591" TargetMode="External"/><Relationship Id="rId242" Type="http://schemas.openxmlformats.org/officeDocument/2006/relationships/hyperlink" Target="https://pubmed.ncbi.nlm.nih.gov/38189632" TargetMode="External"/><Relationship Id="rId5431" Type="http://schemas.openxmlformats.org/officeDocument/2006/relationships/hyperlink" Target="https://pubmed.ncbi.nlm.nih.gov/19801303" TargetMode="External"/><Relationship Id="rId241" Type="http://schemas.openxmlformats.org/officeDocument/2006/relationships/hyperlink" Target="https://pubmed.ncbi.nlm.nih.gov/38191575" TargetMode="External"/><Relationship Id="rId5432" Type="http://schemas.openxmlformats.org/officeDocument/2006/relationships/hyperlink" Target="https://pubmed.ncbi.nlm.nih.gov/19587604" TargetMode="External"/><Relationship Id="rId240" Type="http://schemas.openxmlformats.org/officeDocument/2006/relationships/hyperlink" Target="https://pubmed.ncbi.nlm.nih.gov/38195174" TargetMode="External"/><Relationship Id="rId4101" Type="http://schemas.openxmlformats.org/officeDocument/2006/relationships/hyperlink" Target="https://pubmed.ncbi.nlm.nih.gov/26967343" TargetMode="External"/><Relationship Id="rId4100" Type="http://schemas.openxmlformats.org/officeDocument/2006/relationships/hyperlink" Target="https://pubmed.ncbi.nlm.nih.gov/26960164" TargetMode="External"/><Relationship Id="rId5430" Type="http://schemas.openxmlformats.org/officeDocument/2006/relationships/hyperlink" Target="https://pubmed.ncbi.nlm.nih.gov/19825820" TargetMode="External"/><Relationship Id="rId246" Type="http://schemas.openxmlformats.org/officeDocument/2006/relationships/hyperlink" Target="https://pubmed.ncbi.nlm.nih.gov/37862675" TargetMode="External"/><Relationship Id="rId4103" Type="http://schemas.openxmlformats.org/officeDocument/2006/relationships/hyperlink" Target="https://pubmed.ncbi.nlm.nih.gov/26944026" TargetMode="External"/><Relationship Id="rId5435" Type="http://schemas.openxmlformats.org/officeDocument/2006/relationships/hyperlink" Target="https://pubmed.ncbi.nlm.nih.gov/19783584" TargetMode="External"/><Relationship Id="rId245" Type="http://schemas.openxmlformats.org/officeDocument/2006/relationships/hyperlink" Target="https://pubmed.ncbi.nlm.nih.gov/38183003" TargetMode="External"/><Relationship Id="rId4102" Type="http://schemas.openxmlformats.org/officeDocument/2006/relationships/hyperlink" Target="https://pubmed.ncbi.nlm.nih.gov/26935724" TargetMode="External"/><Relationship Id="rId5436" Type="http://schemas.openxmlformats.org/officeDocument/2006/relationships/hyperlink" Target="https://pubmed.ncbi.nlm.nih.gov/19745819" TargetMode="External"/><Relationship Id="rId244" Type="http://schemas.openxmlformats.org/officeDocument/2006/relationships/hyperlink" Target="https://pubmed.ncbi.nlm.nih.gov/38222096" TargetMode="External"/><Relationship Id="rId4105" Type="http://schemas.openxmlformats.org/officeDocument/2006/relationships/hyperlink" Target="https://pubmed.ncbi.nlm.nih.gov/26418698" TargetMode="External"/><Relationship Id="rId5433" Type="http://schemas.openxmlformats.org/officeDocument/2006/relationships/hyperlink" Target="https://pubmed.ncbi.nlm.nih.gov/19885994" TargetMode="External"/><Relationship Id="rId243" Type="http://schemas.openxmlformats.org/officeDocument/2006/relationships/hyperlink" Target="https://pubmed.ncbi.nlm.nih.gov/38191193" TargetMode="External"/><Relationship Id="rId4104" Type="http://schemas.openxmlformats.org/officeDocument/2006/relationships/hyperlink" Target="https://pubmed.ncbi.nlm.nih.gov/26977584" TargetMode="External"/><Relationship Id="rId5434" Type="http://schemas.openxmlformats.org/officeDocument/2006/relationships/hyperlink" Target="https://pubmed.ncbi.nlm.nih.gov/19875116" TargetMode="External"/><Relationship Id="rId5428" Type="http://schemas.openxmlformats.org/officeDocument/2006/relationships/hyperlink" Target="https://pubmed.ncbi.nlm.nih.gov/19847643" TargetMode="External"/><Relationship Id="rId5429" Type="http://schemas.openxmlformats.org/officeDocument/2006/relationships/hyperlink" Target="https://pubmed.ncbi.nlm.nih.gov/19844096" TargetMode="External"/><Relationship Id="rId5426" Type="http://schemas.openxmlformats.org/officeDocument/2006/relationships/hyperlink" Target="https://pubmed.ncbi.nlm.nih.gov/19882462" TargetMode="External"/><Relationship Id="rId5427" Type="http://schemas.openxmlformats.org/officeDocument/2006/relationships/hyperlink" Target="https://pubmed.ncbi.nlm.nih.gov/19879666" TargetMode="External"/><Relationship Id="rId239" Type="http://schemas.openxmlformats.org/officeDocument/2006/relationships/hyperlink" Target="https://pubmed.ncbi.nlm.nih.gov/37879882" TargetMode="External"/><Relationship Id="rId238" Type="http://schemas.openxmlformats.org/officeDocument/2006/relationships/hyperlink" Target="https://pubmed.ncbi.nlm.nih.gov/38223744" TargetMode="External"/><Relationship Id="rId237" Type="http://schemas.openxmlformats.org/officeDocument/2006/relationships/hyperlink" Target="https://pubmed.ncbi.nlm.nih.gov/38214319" TargetMode="External"/><Relationship Id="rId236" Type="http://schemas.openxmlformats.org/officeDocument/2006/relationships/hyperlink" Target="https://pubmed.ncbi.nlm.nih.gov/38277607" TargetMode="External"/><Relationship Id="rId231" Type="http://schemas.openxmlformats.org/officeDocument/2006/relationships/hyperlink" Target="https://pubmed.ncbi.nlm.nih.gov/38225572" TargetMode="External"/><Relationship Id="rId5420" Type="http://schemas.openxmlformats.org/officeDocument/2006/relationships/hyperlink" Target="https://pubmed.ncbi.nlm.nih.gov/19945704" TargetMode="External"/><Relationship Id="rId230" Type="http://schemas.openxmlformats.org/officeDocument/2006/relationships/hyperlink" Target="https://pubmed.ncbi.nlm.nih.gov/38225253" TargetMode="External"/><Relationship Id="rId5421" Type="http://schemas.openxmlformats.org/officeDocument/2006/relationships/hyperlink" Target="https://pubmed.ncbi.nlm.nih.gov/19897327" TargetMode="External"/><Relationship Id="rId235" Type="http://schemas.openxmlformats.org/officeDocument/2006/relationships/hyperlink" Target="https://pubmed.ncbi.nlm.nih.gov/38277610" TargetMode="External"/><Relationship Id="rId5424" Type="http://schemas.openxmlformats.org/officeDocument/2006/relationships/hyperlink" Target="https://pubmed.ncbi.nlm.nih.gov/19253411" TargetMode="External"/><Relationship Id="rId234" Type="http://schemas.openxmlformats.org/officeDocument/2006/relationships/hyperlink" Target="https://pubmed.ncbi.nlm.nih.gov/38403481" TargetMode="External"/><Relationship Id="rId5425" Type="http://schemas.openxmlformats.org/officeDocument/2006/relationships/hyperlink" Target="https://pubmed.ncbi.nlm.nih.gov/19623570" TargetMode="External"/><Relationship Id="rId233" Type="http://schemas.openxmlformats.org/officeDocument/2006/relationships/hyperlink" Target="https://pubmed.ncbi.nlm.nih.gov/38219811" TargetMode="External"/><Relationship Id="rId5422" Type="http://schemas.openxmlformats.org/officeDocument/2006/relationships/hyperlink" Target="https://pubmed.ncbi.nlm.nih.gov/19908023" TargetMode="External"/><Relationship Id="rId232" Type="http://schemas.openxmlformats.org/officeDocument/2006/relationships/hyperlink" Target="https://pubmed.ncbi.nlm.nih.gov/38224411" TargetMode="External"/><Relationship Id="rId5423" Type="http://schemas.openxmlformats.org/officeDocument/2006/relationships/hyperlink" Target="https://pubmed.ncbi.nlm.nih.gov/19887495" TargetMode="External"/><Relationship Id="rId206" Type="http://schemas.openxmlformats.org/officeDocument/2006/relationships/hyperlink" Target="https://pubmed.ncbi.nlm.nih.gov/38296842" TargetMode="External"/><Relationship Id="rId205" Type="http://schemas.openxmlformats.org/officeDocument/2006/relationships/hyperlink" Target="https://pubmed.ncbi.nlm.nih.gov/38322017" TargetMode="External"/><Relationship Id="rId204" Type="http://schemas.openxmlformats.org/officeDocument/2006/relationships/hyperlink" Target="https://pubmed.ncbi.nlm.nih.gov/37642222" TargetMode="External"/><Relationship Id="rId203" Type="http://schemas.openxmlformats.org/officeDocument/2006/relationships/hyperlink" Target="https://pubmed.ncbi.nlm.nih.gov/38348759" TargetMode="External"/><Relationship Id="rId209" Type="http://schemas.openxmlformats.org/officeDocument/2006/relationships/hyperlink" Target="https://pubmed.ncbi.nlm.nih.gov/38289012" TargetMode="External"/><Relationship Id="rId208" Type="http://schemas.openxmlformats.org/officeDocument/2006/relationships/hyperlink" Target="https://pubmed.ncbi.nlm.nih.gov/38295359" TargetMode="External"/><Relationship Id="rId207" Type="http://schemas.openxmlformats.org/officeDocument/2006/relationships/hyperlink" Target="https://pubmed.ncbi.nlm.nih.gov/38312225" TargetMode="External"/><Relationship Id="rId202" Type="http://schemas.openxmlformats.org/officeDocument/2006/relationships/hyperlink" Target="https://pubmed.ncbi.nlm.nih.gov/38303102" TargetMode="External"/><Relationship Id="rId201" Type="http://schemas.openxmlformats.org/officeDocument/2006/relationships/hyperlink" Target="https://pubmed.ncbi.nlm.nih.gov/38339809" TargetMode="External"/><Relationship Id="rId200" Type="http://schemas.openxmlformats.org/officeDocument/2006/relationships/hyperlink" Target="https://pubmed.ncbi.nlm.nih.gov/38078830" TargetMode="External"/><Relationship Id="rId5490" Type="http://schemas.openxmlformats.org/officeDocument/2006/relationships/hyperlink" Target="https://pubmed.ncbi.nlm.nih.gov/19130036" TargetMode="External"/><Relationship Id="rId4161" Type="http://schemas.openxmlformats.org/officeDocument/2006/relationships/hyperlink" Target="https://pubmed.ncbi.nlm.nih.gov/26784705" TargetMode="External"/><Relationship Id="rId5493" Type="http://schemas.openxmlformats.org/officeDocument/2006/relationships/hyperlink" Target="https://pubmed.ncbi.nlm.nih.gov/18819038" TargetMode="External"/><Relationship Id="rId4160" Type="http://schemas.openxmlformats.org/officeDocument/2006/relationships/hyperlink" Target="https://pubmed.ncbi.nlm.nih.gov/26789522" TargetMode="External"/><Relationship Id="rId5494" Type="http://schemas.openxmlformats.org/officeDocument/2006/relationships/hyperlink" Target="https://pubmed.ncbi.nlm.nih.gov/19811232" TargetMode="External"/><Relationship Id="rId4163" Type="http://schemas.openxmlformats.org/officeDocument/2006/relationships/hyperlink" Target="https://pubmed.ncbi.nlm.nih.gov/26767380" TargetMode="External"/><Relationship Id="rId5491" Type="http://schemas.openxmlformats.org/officeDocument/2006/relationships/hyperlink" Target="https://pubmed.ncbi.nlm.nih.gov/19210144" TargetMode="External"/><Relationship Id="rId4162" Type="http://schemas.openxmlformats.org/officeDocument/2006/relationships/hyperlink" Target="https://pubmed.ncbi.nlm.nih.gov/26772804" TargetMode="External"/><Relationship Id="rId5492" Type="http://schemas.openxmlformats.org/officeDocument/2006/relationships/hyperlink" Target="https://pubmed.ncbi.nlm.nih.gov/19860927" TargetMode="External"/><Relationship Id="rId4165" Type="http://schemas.openxmlformats.org/officeDocument/2006/relationships/hyperlink" Target="https://pubmed.ncbi.nlm.nih.gov/26764411" TargetMode="External"/><Relationship Id="rId5497" Type="http://schemas.openxmlformats.org/officeDocument/2006/relationships/hyperlink" Target="https://pubmed.ncbi.nlm.nih.gov/19034053" TargetMode="External"/><Relationship Id="rId4164" Type="http://schemas.openxmlformats.org/officeDocument/2006/relationships/hyperlink" Target="https://pubmed.ncbi.nlm.nih.gov/26765798" TargetMode="External"/><Relationship Id="rId5498" Type="http://schemas.openxmlformats.org/officeDocument/2006/relationships/hyperlink" Target="https://pubmed.ncbi.nlm.nih.gov/19095513" TargetMode="External"/><Relationship Id="rId4167" Type="http://schemas.openxmlformats.org/officeDocument/2006/relationships/hyperlink" Target="https://pubmed.ncbi.nlm.nih.gov/26754852" TargetMode="External"/><Relationship Id="rId5495" Type="http://schemas.openxmlformats.org/officeDocument/2006/relationships/hyperlink" Target="https://pubmed.ncbi.nlm.nih.gov/19740302" TargetMode="External"/><Relationship Id="rId4166" Type="http://schemas.openxmlformats.org/officeDocument/2006/relationships/hyperlink" Target="https://pubmed.ncbi.nlm.nih.gov/26796947" TargetMode="External"/><Relationship Id="rId5496" Type="http://schemas.openxmlformats.org/officeDocument/2006/relationships/hyperlink" Target="https://pubmed.ncbi.nlm.nih.gov/19998101" TargetMode="External"/><Relationship Id="rId4169" Type="http://schemas.openxmlformats.org/officeDocument/2006/relationships/hyperlink" Target="https://pubmed.ncbi.nlm.nih.gov/26800308" TargetMode="External"/><Relationship Id="rId4168" Type="http://schemas.openxmlformats.org/officeDocument/2006/relationships/hyperlink" Target="https://pubmed.ncbi.nlm.nih.gov/26791431" TargetMode="External"/><Relationship Id="rId5499" Type="http://schemas.openxmlformats.org/officeDocument/2006/relationships/hyperlink" Target="https://pubmed.ncbi.nlm.nih.gov/19087327" TargetMode="External"/><Relationship Id="rId4150" Type="http://schemas.openxmlformats.org/officeDocument/2006/relationships/hyperlink" Target="https://pubmed.ncbi.nlm.nih.gov/26824376" TargetMode="External"/><Relationship Id="rId5482" Type="http://schemas.openxmlformats.org/officeDocument/2006/relationships/hyperlink" Target="https://pubmed.ncbi.nlm.nih.gov/19247740" TargetMode="External"/><Relationship Id="rId5483" Type="http://schemas.openxmlformats.org/officeDocument/2006/relationships/hyperlink" Target="https://pubmed.ncbi.nlm.nih.gov/19271449" TargetMode="External"/><Relationship Id="rId4152" Type="http://schemas.openxmlformats.org/officeDocument/2006/relationships/hyperlink" Target="https://pubmed.ncbi.nlm.nih.gov/26814216" TargetMode="External"/><Relationship Id="rId5480" Type="http://schemas.openxmlformats.org/officeDocument/2006/relationships/hyperlink" Target="https://pubmed.ncbi.nlm.nih.gov/19463483" TargetMode="External"/><Relationship Id="rId4151" Type="http://schemas.openxmlformats.org/officeDocument/2006/relationships/hyperlink" Target="https://pubmed.ncbi.nlm.nih.gov/26900343" TargetMode="External"/><Relationship Id="rId5481" Type="http://schemas.openxmlformats.org/officeDocument/2006/relationships/hyperlink" Target="https://pubmed.ncbi.nlm.nih.gov/19208491" TargetMode="External"/><Relationship Id="rId4154" Type="http://schemas.openxmlformats.org/officeDocument/2006/relationships/hyperlink" Target="https://pubmed.ncbi.nlm.nih.gov/26808540" TargetMode="External"/><Relationship Id="rId5486" Type="http://schemas.openxmlformats.org/officeDocument/2006/relationships/hyperlink" Target="https://pubmed.ncbi.nlm.nih.gov/19179058" TargetMode="External"/><Relationship Id="rId4153" Type="http://schemas.openxmlformats.org/officeDocument/2006/relationships/hyperlink" Target="https://pubmed.ncbi.nlm.nih.gov/26806638" TargetMode="External"/><Relationship Id="rId5487" Type="http://schemas.openxmlformats.org/officeDocument/2006/relationships/hyperlink" Target="https://pubmed.ncbi.nlm.nih.gov/19176236" TargetMode="External"/><Relationship Id="rId4156" Type="http://schemas.openxmlformats.org/officeDocument/2006/relationships/hyperlink" Target="https://pubmed.ncbi.nlm.nih.gov/26895616" TargetMode="External"/><Relationship Id="rId5484" Type="http://schemas.openxmlformats.org/officeDocument/2006/relationships/hyperlink" Target="https://pubmed.ncbi.nlm.nih.gov/19190137" TargetMode="External"/><Relationship Id="rId4155" Type="http://schemas.openxmlformats.org/officeDocument/2006/relationships/hyperlink" Target="https://pubmed.ncbi.nlm.nih.gov/26797136" TargetMode="External"/><Relationship Id="rId5485" Type="http://schemas.openxmlformats.org/officeDocument/2006/relationships/hyperlink" Target="https://pubmed.ncbi.nlm.nih.gov/19389213" TargetMode="External"/><Relationship Id="rId4158" Type="http://schemas.openxmlformats.org/officeDocument/2006/relationships/hyperlink" Target="https://pubmed.ncbi.nlm.nih.gov/26791185" TargetMode="External"/><Relationship Id="rId4157" Type="http://schemas.openxmlformats.org/officeDocument/2006/relationships/hyperlink" Target="https://pubmed.ncbi.nlm.nih.gov/26830994" TargetMode="External"/><Relationship Id="rId5488" Type="http://schemas.openxmlformats.org/officeDocument/2006/relationships/hyperlink" Target="https://pubmed.ncbi.nlm.nih.gov/19152674" TargetMode="External"/><Relationship Id="rId4159" Type="http://schemas.openxmlformats.org/officeDocument/2006/relationships/hyperlink" Target="https://pubmed.ncbi.nlm.nih.gov/26791181" TargetMode="External"/><Relationship Id="rId5489" Type="http://schemas.openxmlformats.org/officeDocument/2006/relationships/hyperlink" Target="https://pubmed.ncbi.nlm.nih.gov/19175375" TargetMode="External"/><Relationship Id="rId1910" Type="http://schemas.openxmlformats.org/officeDocument/2006/relationships/hyperlink" Target="https://pubmed.ncbi.nlm.nih.gov/33407562" TargetMode="External"/><Relationship Id="rId1911" Type="http://schemas.openxmlformats.org/officeDocument/2006/relationships/hyperlink" Target="https://pubmed.ncbi.nlm.nih.gov/33402159" TargetMode="External"/><Relationship Id="rId1912" Type="http://schemas.openxmlformats.org/officeDocument/2006/relationships/hyperlink" Target="https://pubmed.ncbi.nlm.nih.gov/33390155" TargetMode="External"/><Relationship Id="rId1913" Type="http://schemas.openxmlformats.org/officeDocument/2006/relationships/hyperlink" Target="https://pubmed.ncbi.nlm.nih.gov/33598382" TargetMode="External"/><Relationship Id="rId1914" Type="http://schemas.openxmlformats.org/officeDocument/2006/relationships/hyperlink" Target="https://pubmed.ncbi.nlm.nih.gov/33465579" TargetMode="External"/><Relationship Id="rId1915" Type="http://schemas.openxmlformats.org/officeDocument/2006/relationships/hyperlink" Target="https://pubmed.ncbi.nlm.nih.gov/31650979" TargetMode="External"/><Relationship Id="rId1916" Type="http://schemas.openxmlformats.org/officeDocument/2006/relationships/hyperlink" Target="https://pubmed.ncbi.nlm.nih.gov/33065610" TargetMode="External"/><Relationship Id="rId1917" Type="http://schemas.openxmlformats.org/officeDocument/2006/relationships/hyperlink" Target="https://pubmed.ncbi.nlm.nih.gov/35502731" TargetMode="External"/><Relationship Id="rId1918" Type="http://schemas.openxmlformats.org/officeDocument/2006/relationships/hyperlink" Target="https://pubmed.ncbi.nlm.nih.gov/35502729" TargetMode="External"/><Relationship Id="rId1919" Type="http://schemas.openxmlformats.org/officeDocument/2006/relationships/hyperlink" Target="https://pubmed.ncbi.nlm.nih.gov/33355904" TargetMode="External"/><Relationship Id="rId4181" Type="http://schemas.openxmlformats.org/officeDocument/2006/relationships/hyperlink" Target="https://pubmed.ncbi.nlm.nih.gov/26352299" TargetMode="External"/><Relationship Id="rId4180" Type="http://schemas.openxmlformats.org/officeDocument/2006/relationships/hyperlink" Target="https://pubmed.ncbi.nlm.nih.gov/26770066" TargetMode="External"/><Relationship Id="rId4183" Type="http://schemas.openxmlformats.org/officeDocument/2006/relationships/hyperlink" Target="https://pubmed.ncbi.nlm.nih.gov/26563743" TargetMode="External"/><Relationship Id="rId4182" Type="http://schemas.openxmlformats.org/officeDocument/2006/relationships/hyperlink" Target="https://pubmed.ncbi.nlm.nih.gov/26514237" TargetMode="External"/><Relationship Id="rId4185" Type="http://schemas.openxmlformats.org/officeDocument/2006/relationships/hyperlink" Target="https://pubmed.ncbi.nlm.nih.gov/26752065" TargetMode="External"/><Relationship Id="rId4184" Type="http://schemas.openxmlformats.org/officeDocument/2006/relationships/hyperlink" Target="https://pubmed.ncbi.nlm.nih.gov/26727047" TargetMode="External"/><Relationship Id="rId4187" Type="http://schemas.openxmlformats.org/officeDocument/2006/relationships/hyperlink" Target="https://pubmed.ncbi.nlm.nih.gov/27872327" TargetMode="External"/><Relationship Id="rId4186" Type="http://schemas.openxmlformats.org/officeDocument/2006/relationships/hyperlink" Target="https://pubmed.ncbi.nlm.nih.gov/26421803" TargetMode="External"/><Relationship Id="rId4189" Type="http://schemas.openxmlformats.org/officeDocument/2006/relationships/hyperlink" Target="https://pubmed.ncbi.nlm.nih.gov/26496517" TargetMode="External"/><Relationship Id="rId4188" Type="http://schemas.openxmlformats.org/officeDocument/2006/relationships/hyperlink" Target="https://pubmed.ncbi.nlm.nih.gov/27650029" TargetMode="External"/><Relationship Id="rId1900" Type="http://schemas.openxmlformats.org/officeDocument/2006/relationships/hyperlink" Target="https://pubmed.ncbi.nlm.nih.gov/33519818" TargetMode="External"/><Relationship Id="rId1901" Type="http://schemas.openxmlformats.org/officeDocument/2006/relationships/hyperlink" Target="https://pubmed.ncbi.nlm.nih.gov/33444424" TargetMode="External"/><Relationship Id="rId1902" Type="http://schemas.openxmlformats.org/officeDocument/2006/relationships/hyperlink" Target="https://pubmed.ncbi.nlm.nih.gov/33439465" TargetMode="External"/><Relationship Id="rId1903" Type="http://schemas.openxmlformats.org/officeDocument/2006/relationships/hyperlink" Target="https://pubmed.ncbi.nlm.nih.gov/33444539" TargetMode="External"/><Relationship Id="rId1904" Type="http://schemas.openxmlformats.org/officeDocument/2006/relationships/hyperlink" Target="https://pubmed.ncbi.nlm.nih.gov/33430411" TargetMode="External"/><Relationship Id="rId1905" Type="http://schemas.openxmlformats.org/officeDocument/2006/relationships/hyperlink" Target="https://pubmed.ncbi.nlm.nih.gov/33407208" TargetMode="External"/><Relationship Id="rId1906" Type="http://schemas.openxmlformats.org/officeDocument/2006/relationships/hyperlink" Target="https://pubmed.ncbi.nlm.nih.gov/33421575" TargetMode="External"/><Relationship Id="rId1907" Type="http://schemas.openxmlformats.org/officeDocument/2006/relationships/hyperlink" Target="https://pubmed.ncbi.nlm.nih.gov/33408212" TargetMode="External"/><Relationship Id="rId1908" Type="http://schemas.openxmlformats.org/officeDocument/2006/relationships/hyperlink" Target="https://pubmed.ncbi.nlm.nih.gov/34581617" TargetMode="External"/><Relationship Id="rId1909" Type="http://schemas.openxmlformats.org/officeDocument/2006/relationships/hyperlink" Target="https://pubmed.ncbi.nlm.nih.gov/33407919" TargetMode="External"/><Relationship Id="rId4170" Type="http://schemas.openxmlformats.org/officeDocument/2006/relationships/hyperlink" Target="https://pubmed.ncbi.nlm.nih.gov/26749195" TargetMode="External"/><Relationship Id="rId4172" Type="http://schemas.openxmlformats.org/officeDocument/2006/relationships/hyperlink" Target="https://pubmed.ncbi.nlm.nih.gov/26743587" TargetMode="External"/><Relationship Id="rId4171" Type="http://schemas.openxmlformats.org/officeDocument/2006/relationships/hyperlink" Target="https://pubmed.ncbi.nlm.nih.gov/26855606" TargetMode="External"/><Relationship Id="rId4174" Type="http://schemas.openxmlformats.org/officeDocument/2006/relationships/hyperlink" Target="https://pubmed.ncbi.nlm.nih.gov/26770069" TargetMode="External"/><Relationship Id="rId4173" Type="http://schemas.openxmlformats.org/officeDocument/2006/relationships/hyperlink" Target="https://pubmed.ncbi.nlm.nih.gov/27021754" TargetMode="External"/><Relationship Id="rId4176" Type="http://schemas.openxmlformats.org/officeDocument/2006/relationships/hyperlink" Target="https://pubmed.ncbi.nlm.nih.gov/26746627" TargetMode="External"/><Relationship Id="rId4175" Type="http://schemas.openxmlformats.org/officeDocument/2006/relationships/hyperlink" Target="https://pubmed.ncbi.nlm.nih.gov/26827107" TargetMode="External"/><Relationship Id="rId4178" Type="http://schemas.openxmlformats.org/officeDocument/2006/relationships/hyperlink" Target="https://pubmed.ncbi.nlm.nih.gov/26770068" TargetMode="External"/><Relationship Id="rId4177" Type="http://schemas.openxmlformats.org/officeDocument/2006/relationships/hyperlink" Target="https://pubmed.ncbi.nlm.nih.gov/26770180" TargetMode="External"/><Relationship Id="rId4179" Type="http://schemas.openxmlformats.org/officeDocument/2006/relationships/hyperlink" Target="https://pubmed.ncbi.nlm.nih.gov/26770067" TargetMode="External"/><Relationship Id="rId4129" Type="http://schemas.openxmlformats.org/officeDocument/2006/relationships/hyperlink" Target="https://pubmed.ncbi.nlm.nih.gov/26871709" TargetMode="External"/><Relationship Id="rId4128" Type="http://schemas.openxmlformats.org/officeDocument/2006/relationships/hyperlink" Target="https://pubmed.ncbi.nlm.nih.gov/26880122" TargetMode="External"/><Relationship Id="rId5459" Type="http://schemas.openxmlformats.org/officeDocument/2006/relationships/hyperlink" Target="https://pubmed.ncbi.nlm.nih.gov/19440085" TargetMode="External"/><Relationship Id="rId5450" Type="http://schemas.openxmlformats.org/officeDocument/2006/relationships/hyperlink" Target="https://pubmed.ncbi.nlm.nih.gov/19534721" TargetMode="External"/><Relationship Id="rId4121" Type="http://schemas.openxmlformats.org/officeDocument/2006/relationships/hyperlink" Target="https://pubmed.ncbi.nlm.nih.gov/26900129" TargetMode="External"/><Relationship Id="rId5453" Type="http://schemas.openxmlformats.org/officeDocument/2006/relationships/hyperlink" Target="https://pubmed.ncbi.nlm.nih.gov/19596181" TargetMode="External"/><Relationship Id="rId4120" Type="http://schemas.openxmlformats.org/officeDocument/2006/relationships/hyperlink" Target="https://pubmed.ncbi.nlm.nih.gov/27069416" TargetMode="External"/><Relationship Id="rId5454" Type="http://schemas.openxmlformats.org/officeDocument/2006/relationships/hyperlink" Target="https://pubmed.ncbi.nlm.nih.gov/19567910" TargetMode="External"/><Relationship Id="rId4123" Type="http://schemas.openxmlformats.org/officeDocument/2006/relationships/hyperlink" Target="https://pubmed.ncbi.nlm.nih.gov/26908432" TargetMode="External"/><Relationship Id="rId5451" Type="http://schemas.openxmlformats.org/officeDocument/2006/relationships/hyperlink" Target="https://pubmed.ncbi.nlm.nih.gov/19633827" TargetMode="External"/><Relationship Id="rId4122" Type="http://schemas.openxmlformats.org/officeDocument/2006/relationships/hyperlink" Target="https://pubmed.ncbi.nlm.nih.gov/26892339" TargetMode="External"/><Relationship Id="rId5452" Type="http://schemas.openxmlformats.org/officeDocument/2006/relationships/hyperlink" Target="https://pubmed.ncbi.nlm.nih.gov/19675562" TargetMode="External"/><Relationship Id="rId4125" Type="http://schemas.openxmlformats.org/officeDocument/2006/relationships/hyperlink" Target="https://pubmed.ncbi.nlm.nih.gov/26881426" TargetMode="External"/><Relationship Id="rId5457" Type="http://schemas.openxmlformats.org/officeDocument/2006/relationships/hyperlink" Target="https://pubmed.ncbi.nlm.nih.gov/19502216" TargetMode="External"/><Relationship Id="rId4124" Type="http://schemas.openxmlformats.org/officeDocument/2006/relationships/hyperlink" Target="https://pubmed.ncbi.nlm.nih.gov/27069414" TargetMode="External"/><Relationship Id="rId5458" Type="http://schemas.openxmlformats.org/officeDocument/2006/relationships/hyperlink" Target="https://pubmed.ncbi.nlm.nih.gov/19501034" TargetMode="External"/><Relationship Id="rId4127" Type="http://schemas.openxmlformats.org/officeDocument/2006/relationships/hyperlink" Target="https://pubmed.ncbi.nlm.nih.gov/26877168" TargetMode="External"/><Relationship Id="rId5455" Type="http://schemas.openxmlformats.org/officeDocument/2006/relationships/hyperlink" Target="https://pubmed.ncbi.nlm.nih.gov/19570627" TargetMode="External"/><Relationship Id="rId4126" Type="http://schemas.openxmlformats.org/officeDocument/2006/relationships/hyperlink" Target="https://pubmed.ncbi.nlm.nih.gov/26880668" TargetMode="External"/><Relationship Id="rId5456" Type="http://schemas.openxmlformats.org/officeDocument/2006/relationships/hyperlink" Target="https://pubmed.ncbi.nlm.nih.gov/19546117" TargetMode="External"/><Relationship Id="rId4118" Type="http://schemas.openxmlformats.org/officeDocument/2006/relationships/hyperlink" Target="https://pubmed.ncbi.nlm.nih.gov/26908797" TargetMode="External"/><Relationship Id="rId4117" Type="http://schemas.openxmlformats.org/officeDocument/2006/relationships/hyperlink" Target="https://pubmed.ncbi.nlm.nih.gov/26763343" TargetMode="External"/><Relationship Id="rId5448" Type="http://schemas.openxmlformats.org/officeDocument/2006/relationships/hyperlink" Target="https://pubmed.ncbi.nlm.nih.gov/19684102" TargetMode="External"/><Relationship Id="rId4119" Type="http://schemas.openxmlformats.org/officeDocument/2006/relationships/hyperlink" Target="https://pubmed.ncbi.nlm.nih.gov/26906082" TargetMode="External"/><Relationship Id="rId5449" Type="http://schemas.openxmlformats.org/officeDocument/2006/relationships/hyperlink" Target="https://pubmed.ncbi.nlm.nih.gov/19672284" TargetMode="External"/><Relationship Id="rId4110" Type="http://schemas.openxmlformats.org/officeDocument/2006/relationships/hyperlink" Target="https://pubmed.ncbi.nlm.nih.gov/27038361" TargetMode="External"/><Relationship Id="rId5442" Type="http://schemas.openxmlformats.org/officeDocument/2006/relationships/hyperlink" Target="https://pubmed.ncbi.nlm.nih.gov/19727658" TargetMode="External"/><Relationship Id="rId5443" Type="http://schemas.openxmlformats.org/officeDocument/2006/relationships/hyperlink" Target="https://pubmed.ncbi.nlm.nih.gov/19715567" TargetMode="External"/><Relationship Id="rId4112" Type="http://schemas.openxmlformats.org/officeDocument/2006/relationships/hyperlink" Target="https://pubmed.ncbi.nlm.nih.gov/27038355" TargetMode="External"/><Relationship Id="rId5440" Type="http://schemas.openxmlformats.org/officeDocument/2006/relationships/hyperlink" Target="https://pubmed.ncbi.nlm.nih.gov/19726260" TargetMode="External"/><Relationship Id="rId4111" Type="http://schemas.openxmlformats.org/officeDocument/2006/relationships/hyperlink" Target="https://pubmed.ncbi.nlm.nih.gov/27038353" TargetMode="External"/><Relationship Id="rId5441" Type="http://schemas.openxmlformats.org/officeDocument/2006/relationships/hyperlink" Target="https://pubmed.ncbi.nlm.nih.gov/19998198" TargetMode="External"/><Relationship Id="rId4114" Type="http://schemas.openxmlformats.org/officeDocument/2006/relationships/hyperlink" Target="https://pubmed.ncbi.nlm.nih.gov/26918859" TargetMode="External"/><Relationship Id="rId5446" Type="http://schemas.openxmlformats.org/officeDocument/2006/relationships/hyperlink" Target="https://pubmed.ncbi.nlm.nih.gov/19687339" TargetMode="External"/><Relationship Id="rId4113" Type="http://schemas.openxmlformats.org/officeDocument/2006/relationships/hyperlink" Target="https://pubmed.ncbi.nlm.nih.gov/26930376" TargetMode="External"/><Relationship Id="rId5447" Type="http://schemas.openxmlformats.org/officeDocument/2006/relationships/hyperlink" Target="https://pubmed.ncbi.nlm.nih.gov/19686690" TargetMode="External"/><Relationship Id="rId4116" Type="http://schemas.openxmlformats.org/officeDocument/2006/relationships/hyperlink" Target="https://pubmed.ncbi.nlm.nih.gov/26906920" TargetMode="External"/><Relationship Id="rId5444" Type="http://schemas.openxmlformats.org/officeDocument/2006/relationships/hyperlink" Target="https://pubmed.ncbi.nlm.nih.gov/19695007" TargetMode="External"/><Relationship Id="rId4115" Type="http://schemas.openxmlformats.org/officeDocument/2006/relationships/hyperlink" Target="https://pubmed.ncbi.nlm.nih.gov/26912436" TargetMode="External"/><Relationship Id="rId5445" Type="http://schemas.openxmlformats.org/officeDocument/2006/relationships/hyperlink" Target="https://pubmed.ncbi.nlm.nih.gov/19688336" TargetMode="External"/><Relationship Id="rId5471" Type="http://schemas.openxmlformats.org/officeDocument/2006/relationships/hyperlink" Target="https://pubmed.ncbi.nlm.nih.gov/19258441" TargetMode="External"/><Relationship Id="rId5472" Type="http://schemas.openxmlformats.org/officeDocument/2006/relationships/hyperlink" Target="https://pubmed.ncbi.nlm.nih.gov/19298496" TargetMode="External"/><Relationship Id="rId4141" Type="http://schemas.openxmlformats.org/officeDocument/2006/relationships/hyperlink" Target="https://pubmed.ncbi.nlm.nih.gov/26848130" TargetMode="External"/><Relationship Id="rId4140" Type="http://schemas.openxmlformats.org/officeDocument/2006/relationships/hyperlink" Target="https://pubmed.ncbi.nlm.nih.gov/26846925" TargetMode="External"/><Relationship Id="rId5470" Type="http://schemas.openxmlformats.org/officeDocument/2006/relationships/hyperlink" Target="https://pubmed.ncbi.nlm.nih.gov/19282357" TargetMode="External"/><Relationship Id="rId4143" Type="http://schemas.openxmlformats.org/officeDocument/2006/relationships/hyperlink" Target="https://pubmed.ncbi.nlm.nih.gov/26847196" TargetMode="External"/><Relationship Id="rId5475" Type="http://schemas.openxmlformats.org/officeDocument/2006/relationships/hyperlink" Target="https://pubmed.ncbi.nlm.nih.gov/19247887" TargetMode="External"/><Relationship Id="rId4142" Type="http://schemas.openxmlformats.org/officeDocument/2006/relationships/hyperlink" Target="https://pubmed.ncbi.nlm.nih.gov/26851884" TargetMode="External"/><Relationship Id="rId5476" Type="http://schemas.openxmlformats.org/officeDocument/2006/relationships/hyperlink" Target="https://pubmed.ncbi.nlm.nih.gov/19246704" TargetMode="External"/><Relationship Id="rId4145" Type="http://schemas.openxmlformats.org/officeDocument/2006/relationships/hyperlink" Target="https://pubmed.ncbi.nlm.nih.gov/26450848" TargetMode="External"/><Relationship Id="rId5473" Type="http://schemas.openxmlformats.org/officeDocument/2006/relationships/hyperlink" Target="https://pubmed.ncbi.nlm.nih.gov/19034025" TargetMode="External"/><Relationship Id="rId4144" Type="http://schemas.openxmlformats.org/officeDocument/2006/relationships/hyperlink" Target="https://pubmed.ncbi.nlm.nih.gov/26838694" TargetMode="External"/><Relationship Id="rId5474" Type="http://schemas.openxmlformats.org/officeDocument/2006/relationships/hyperlink" Target="https://pubmed.ncbi.nlm.nih.gov/19161568" TargetMode="External"/><Relationship Id="rId4147" Type="http://schemas.openxmlformats.org/officeDocument/2006/relationships/hyperlink" Target="https://pubmed.ncbi.nlm.nih.gov/26873373" TargetMode="External"/><Relationship Id="rId5479" Type="http://schemas.openxmlformats.org/officeDocument/2006/relationships/hyperlink" Target="https://pubmed.ncbi.nlm.nih.gov/19223144" TargetMode="External"/><Relationship Id="rId4146" Type="http://schemas.openxmlformats.org/officeDocument/2006/relationships/hyperlink" Target="https://pubmed.ncbi.nlm.nih.gov/26834109" TargetMode="External"/><Relationship Id="rId4149" Type="http://schemas.openxmlformats.org/officeDocument/2006/relationships/hyperlink" Target="https://pubmed.ncbi.nlm.nih.gov/26857421" TargetMode="External"/><Relationship Id="rId5477" Type="http://schemas.openxmlformats.org/officeDocument/2006/relationships/hyperlink" Target="https://pubmed.ncbi.nlm.nih.gov/19237405" TargetMode="External"/><Relationship Id="rId4148" Type="http://schemas.openxmlformats.org/officeDocument/2006/relationships/hyperlink" Target="https://pubmed.ncbi.nlm.nih.gov/26830915" TargetMode="External"/><Relationship Id="rId5478" Type="http://schemas.openxmlformats.org/officeDocument/2006/relationships/hyperlink" Target="https://pubmed.ncbi.nlm.nih.gov/19233215" TargetMode="External"/><Relationship Id="rId4139" Type="http://schemas.openxmlformats.org/officeDocument/2006/relationships/hyperlink" Target="https://pubmed.ncbi.nlm.nih.gov/26848833" TargetMode="External"/><Relationship Id="rId5460" Type="http://schemas.openxmlformats.org/officeDocument/2006/relationships/hyperlink" Target="https://pubmed.ncbi.nlm.nih.gov/19483199" TargetMode="External"/><Relationship Id="rId5461" Type="http://schemas.openxmlformats.org/officeDocument/2006/relationships/hyperlink" Target="https://pubmed.ncbi.nlm.nih.gov/19450642" TargetMode="External"/><Relationship Id="rId4130" Type="http://schemas.openxmlformats.org/officeDocument/2006/relationships/hyperlink" Target="https://pubmed.ncbi.nlm.nih.gov/26873943" TargetMode="External"/><Relationship Id="rId4132" Type="http://schemas.openxmlformats.org/officeDocument/2006/relationships/hyperlink" Target="https://pubmed.ncbi.nlm.nih.gov/26861925" TargetMode="External"/><Relationship Id="rId5464" Type="http://schemas.openxmlformats.org/officeDocument/2006/relationships/hyperlink" Target="https://pubmed.ncbi.nlm.nih.gov/19289958" TargetMode="External"/><Relationship Id="rId4131" Type="http://schemas.openxmlformats.org/officeDocument/2006/relationships/hyperlink" Target="https://pubmed.ncbi.nlm.nih.gov/26861453" TargetMode="External"/><Relationship Id="rId5465" Type="http://schemas.openxmlformats.org/officeDocument/2006/relationships/hyperlink" Target="https://pubmed.ncbi.nlm.nih.gov/19289481" TargetMode="External"/><Relationship Id="rId4134" Type="http://schemas.openxmlformats.org/officeDocument/2006/relationships/hyperlink" Target="https://pubmed.ncbi.nlm.nih.gov/26856685" TargetMode="External"/><Relationship Id="rId5462" Type="http://schemas.openxmlformats.org/officeDocument/2006/relationships/hyperlink" Target="https://pubmed.ncbi.nlm.nih.gov/19307070" TargetMode="External"/><Relationship Id="rId4133" Type="http://schemas.openxmlformats.org/officeDocument/2006/relationships/hyperlink" Target="https://pubmed.ncbi.nlm.nih.gov/27008888" TargetMode="External"/><Relationship Id="rId5463" Type="http://schemas.openxmlformats.org/officeDocument/2006/relationships/hyperlink" Target="https://pubmed.ncbi.nlm.nih.gov/19423699" TargetMode="External"/><Relationship Id="rId4136" Type="http://schemas.openxmlformats.org/officeDocument/2006/relationships/hyperlink" Target="https://pubmed.ncbi.nlm.nih.gov/26856807" TargetMode="External"/><Relationship Id="rId5468" Type="http://schemas.openxmlformats.org/officeDocument/2006/relationships/hyperlink" Target="https://pubmed.ncbi.nlm.nih.gov/19321578" TargetMode="External"/><Relationship Id="rId4135" Type="http://schemas.openxmlformats.org/officeDocument/2006/relationships/hyperlink" Target="https://pubmed.ncbi.nlm.nih.gov/26858099" TargetMode="External"/><Relationship Id="rId5469" Type="http://schemas.openxmlformats.org/officeDocument/2006/relationships/hyperlink" Target="https://pubmed.ncbi.nlm.nih.gov/19299311" TargetMode="External"/><Relationship Id="rId4138" Type="http://schemas.openxmlformats.org/officeDocument/2006/relationships/hyperlink" Target="https://pubmed.ncbi.nlm.nih.gov/26850333" TargetMode="External"/><Relationship Id="rId5466" Type="http://schemas.openxmlformats.org/officeDocument/2006/relationships/hyperlink" Target="https://pubmed.ncbi.nlm.nih.gov/19341546" TargetMode="External"/><Relationship Id="rId4137" Type="http://schemas.openxmlformats.org/officeDocument/2006/relationships/hyperlink" Target="https://pubmed.ncbi.nlm.nih.gov/26851813" TargetMode="External"/><Relationship Id="rId5467" Type="http://schemas.openxmlformats.org/officeDocument/2006/relationships/hyperlink" Target="https://pubmed.ncbi.nlm.nih.gov/19332580" TargetMode="External"/><Relationship Id="rId1972" Type="http://schemas.openxmlformats.org/officeDocument/2006/relationships/hyperlink" Target="https://pubmed.ncbi.nlm.nih.gov/33060502" TargetMode="External"/><Relationship Id="rId1973" Type="http://schemas.openxmlformats.org/officeDocument/2006/relationships/hyperlink" Target="https://pubmed.ncbi.nlm.nih.gov/33271085" TargetMode="External"/><Relationship Id="rId1974" Type="http://schemas.openxmlformats.org/officeDocument/2006/relationships/hyperlink" Target="https://pubmed.ncbi.nlm.nih.gov/33323460" TargetMode="External"/><Relationship Id="rId1975" Type="http://schemas.openxmlformats.org/officeDocument/2006/relationships/hyperlink" Target="https://pubmed.ncbi.nlm.nih.gov/33245755" TargetMode="External"/><Relationship Id="rId1976" Type="http://schemas.openxmlformats.org/officeDocument/2006/relationships/hyperlink" Target="https://pubmed.ncbi.nlm.nih.gov/33214899" TargetMode="External"/><Relationship Id="rId1977" Type="http://schemas.openxmlformats.org/officeDocument/2006/relationships/hyperlink" Target="https://pubmed.ncbi.nlm.nih.gov/33249865" TargetMode="External"/><Relationship Id="rId1978" Type="http://schemas.openxmlformats.org/officeDocument/2006/relationships/hyperlink" Target="https://pubmed.ncbi.nlm.nih.gov/33253307" TargetMode="External"/><Relationship Id="rId1979" Type="http://schemas.openxmlformats.org/officeDocument/2006/relationships/hyperlink" Target="https://pubmed.ncbi.nlm.nih.gov/33253862" TargetMode="External"/><Relationship Id="rId1970" Type="http://schemas.openxmlformats.org/officeDocument/2006/relationships/hyperlink" Target="https://pubmed.ncbi.nlm.nih.gov/33269426" TargetMode="External"/><Relationship Id="rId1971" Type="http://schemas.openxmlformats.org/officeDocument/2006/relationships/hyperlink" Target="https://pubmed.ncbi.nlm.nih.gov/33263272" TargetMode="External"/><Relationship Id="rId1961" Type="http://schemas.openxmlformats.org/officeDocument/2006/relationships/hyperlink" Target="https://pubmed.ncbi.nlm.nih.gov/33332044" TargetMode="External"/><Relationship Id="rId1962" Type="http://schemas.openxmlformats.org/officeDocument/2006/relationships/hyperlink" Target="https://pubmed.ncbi.nlm.nih.gov/33293345" TargetMode="External"/><Relationship Id="rId1963" Type="http://schemas.openxmlformats.org/officeDocument/2006/relationships/hyperlink" Target="https://pubmed.ncbi.nlm.nih.gov/33303364" TargetMode="External"/><Relationship Id="rId1964" Type="http://schemas.openxmlformats.org/officeDocument/2006/relationships/hyperlink" Target="https://pubmed.ncbi.nlm.nih.gov/33278874" TargetMode="External"/><Relationship Id="rId1965" Type="http://schemas.openxmlformats.org/officeDocument/2006/relationships/hyperlink" Target="https://pubmed.ncbi.nlm.nih.gov/33291815" TargetMode="External"/><Relationship Id="rId1966" Type="http://schemas.openxmlformats.org/officeDocument/2006/relationships/hyperlink" Target="https://pubmed.ncbi.nlm.nih.gov/33277303" TargetMode="External"/><Relationship Id="rId1967" Type="http://schemas.openxmlformats.org/officeDocument/2006/relationships/hyperlink" Target="https://pubmed.ncbi.nlm.nih.gov/33343557" TargetMode="External"/><Relationship Id="rId1968" Type="http://schemas.openxmlformats.org/officeDocument/2006/relationships/hyperlink" Target="https://pubmed.ncbi.nlm.nih.gov/33270793" TargetMode="External"/><Relationship Id="rId1969" Type="http://schemas.openxmlformats.org/officeDocument/2006/relationships/hyperlink" Target="https://pubmed.ncbi.nlm.nih.gov/33278469" TargetMode="External"/><Relationship Id="rId1960" Type="http://schemas.openxmlformats.org/officeDocument/2006/relationships/hyperlink" Target="https://pubmed.ncbi.nlm.nih.gov/33119768" TargetMode="External"/><Relationship Id="rId1994" Type="http://schemas.openxmlformats.org/officeDocument/2006/relationships/hyperlink" Target="https://pubmed.ncbi.nlm.nih.gov/33229237" TargetMode="External"/><Relationship Id="rId1995" Type="http://schemas.openxmlformats.org/officeDocument/2006/relationships/hyperlink" Target="https://pubmed.ncbi.nlm.nih.gov/33216206" TargetMode="External"/><Relationship Id="rId1996" Type="http://schemas.openxmlformats.org/officeDocument/2006/relationships/hyperlink" Target="https://pubmed.ncbi.nlm.nih.gov/33211319" TargetMode="External"/><Relationship Id="rId1997" Type="http://schemas.openxmlformats.org/officeDocument/2006/relationships/hyperlink" Target="https://pubmed.ncbi.nlm.nih.gov/33210982" TargetMode="External"/><Relationship Id="rId1998" Type="http://schemas.openxmlformats.org/officeDocument/2006/relationships/hyperlink" Target="https://pubmed.ncbi.nlm.nih.gov/33211013" TargetMode="External"/><Relationship Id="rId1999" Type="http://schemas.openxmlformats.org/officeDocument/2006/relationships/hyperlink" Target="https://pubmed.ncbi.nlm.nih.gov/33208317" TargetMode="External"/><Relationship Id="rId1990" Type="http://schemas.openxmlformats.org/officeDocument/2006/relationships/hyperlink" Target="https://pubmed.ncbi.nlm.nih.gov/33230300" TargetMode="External"/><Relationship Id="rId1991" Type="http://schemas.openxmlformats.org/officeDocument/2006/relationships/hyperlink" Target="https://pubmed.ncbi.nlm.nih.gov/33238530" TargetMode="External"/><Relationship Id="rId1992" Type="http://schemas.openxmlformats.org/officeDocument/2006/relationships/hyperlink" Target="https://pubmed.ncbi.nlm.nih.gov/33222516" TargetMode="External"/><Relationship Id="rId1993" Type="http://schemas.openxmlformats.org/officeDocument/2006/relationships/hyperlink" Target="https://pubmed.ncbi.nlm.nih.gov/33222494" TargetMode="External"/><Relationship Id="rId1983" Type="http://schemas.openxmlformats.org/officeDocument/2006/relationships/hyperlink" Target="https://pubmed.ncbi.nlm.nih.gov/33199293" TargetMode="External"/><Relationship Id="rId1984" Type="http://schemas.openxmlformats.org/officeDocument/2006/relationships/hyperlink" Target="https://pubmed.ncbi.nlm.nih.gov/33280986" TargetMode="External"/><Relationship Id="rId1985" Type="http://schemas.openxmlformats.org/officeDocument/2006/relationships/hyperlink" Target="https://pubmed.ncbi.nlm.nih.gov/33248277" TargetMode="External"/><Relationship Id="rId1986" Type="http://schemas.openxmlformats.org/officeDocument/2006/relationships/hyperlink" Target="https://pubmed.ncbi.nlm.nih.gov/33299772" TargetMode="External"/><Relationship Id="rId1987" Type="http://schemas.openxmlformats.org/officeDocument/2006/relationships/hyperlink" Target="https://pubmed.ncbi.nlm.nih.gov/33293161" TargetMode="External"/><Relationship Id="rId1988" Type="http://schemas.openxmlformats.org/officeDocument/2006/relationships/hyperlink" Target="https://pubmed.ncbi.nlm.nih.gov/33231293" TargetMode="External"/><Relationship Id="rId1989" Type="http://schemas.openxmlformats.org/officeDocument/2006/relationships/hyperlink" Target="https://pubmed.ncbi.nlm.nih.gov/33236180" TargetMode="External"/><Relationship Id="rId1980" Type="http://schemas.openxmlformats.org/officeDocument/2006/relationships/hyperlink" Target="https://pubmed.ncbi.nlm.nih.gov/33243172" TargetMode="External"/><Relationship Id="rId1981" Type="http://schemas.openxmlformats.org/officeDocument/2006/relationships/hyperlink" Target="https://pubmed.ncbi.nlm.nih.gov/33315463" TargetMode="External"/><Relationship Id="rId1982" Type="http://schemas.openxmlformats.org/officeDocument/2006/relationships/hyperlink" Target="https://pubmed.ncbi.nlm.nih.gov/33256233" TargetMode="External"/><Relationship Id="rId1930" Type="http://schemas.openxmlformats.org/officeDocument/2006/relationships/hyperlink" Target="https://pubmed.ncbi.nlm.nih.gov/33372074" TargetMode="External"/><Relationship Id="rId1931" Type="http://schemas.openxmlformats.org/officeDocument/2006/relationships/hyperlink" Target="https://pubmed.ncbi.nlm.nih.gov/33434882" TargetMode="External"/><Relationship Id="rId1932" Type="http://schemas.openxmlformats.org/officeDocument/2006/relationships/hyperlink" Target="https://pubmed.ncbi.nlm.nih.gov/34629626" TargetMode="External"/><Relationship Id="rId1933" Type="http://schemas.openxmlformats.org/officeDocument/2006/relationships/hyperlink" Target="https://pubmed.ncbi.nlm.nih.gov/32978307" TargetMode="External"/><Relationship Id="rId1934" Type="http://schemas.openxmlformats.org/officeDocument/2006/relationships/hyperlink" Target="https://pubmed.ncbi.nlm.nih.gov/33361084" TargetMode="External"/><Relationship Id="rId1935" Type="http://schemas.openxmlformats.org/officeDocument/2006/relationships/hyperlink" Target="https://pubmed.ncbi.nlm.nih.gov/33347938" TargetMode="External"/><Relationship Id="rId1936" Type="http://schemas.openxmlformats.org/officeDocument/2006/relationships/hyperlink" Target="https://pubmed.ncbi.nlm.nih.gov/33376941" TargetMode="External"/><Relationship Id="rId1937" Type="http://schemas.openxmlformats.org/officeDocument/2006/relationships/hyperlink" Target="https://pubmed.ncbi.nlm.nih.gov/33356617" TargetMode="External"/><Relationship Id="rId1938" Type="http://schemas.openxmlformats.org/officeDocument/2006/relationships/hyperlink" Target="https://pubmed.ncbi.nlm.nih.gov/33508730" TargetMode="External"/><Relationship Id="rId1939" Type="http://schemas.openxmlformats.org/officeDocument/2006/relationships/hyperlink" Target="https://pubmed.ncbi.nlm.nih.gov/33401286" TargetMode="External"/><Relationship Id="rId1920" Type="http://schemas.openxmlformats.org/officeDocument/2006/relationships/hyperlink" Target="https://pubmed.ncbi.nlm.nih.gov/33000427" TargetMode="External"/><Relationship Id="rId1921" Type="http://schemas.openxmlformats.org/officeDocument/2006/relationships/hyperlink" Target="https://pubmed.ncbi.nlm.nih.gov/34397412" TargetMode="External"/><Relationship Id="rId1922" Type="http://schemas.openxmlformats.org/officeDocument/2006/relationships/hyperlink" Target="https://pubmed.ncbi.nlm.nih.gov/34511498" TargetMode="External"/><Relationship Id="rId1923" Type="http://schemas.openxmlformats.org/officeDocument/2006/relationships/hyperlink" Target="https://pubmed.ncbi.nlm.nih.gov/33165029" TargetMode="External"/><Relationship Id="rId1924" Type="http://schemas.openxmlformats.org/officeDocument/2006/relationships/hyperlink" Target="https://pubmed.ncbi.nlm.nih.gov/33874856" TargetMode="External"/><Relationship Id="rId1925" Type="http://schemas.openxmlformats.org/officeDocument/2006/relationships/hyperlink" Target="https://pubmed.ncbi.nlm.nih.gov/33449771" TargetMode="External"/><Relationship Id="rId1926" Type="http://schemas.openxmlformats.org/officeDocument/2006/relationships/hyperlink" Target="https://pubmed.ncbi.nlm.nih.gov/33373278" TargetMode="External"/><Relationship Id="rId1927" Type="http://schemas.openxmlformats.org/officeDocument/2006/relationships/hyperlink" Target="https://pubmed.ncbi.nlm.nih.gov/32777997" TargetMode="External"/><Relationship Id="rId1928" Type="http://schemas.openxmlformats.org/officeDocument/2006/relationships/hyperlink" Target="https://pubmed.ncbi.nlm.nih.gov/33385426" TargetMode="External"/><Relationship Id="rId1929" Type="http://schemas.openxmlformats.org/officeDocument/2006/relationships/hyperlink" Target="https://pubmed.ncbi.nlm.nih.gov/33383622" TargetMode="External"/><Relationship Id="rId4190" Type="http://schemas.openxmlformats.org/officeDocument/2006/relationships/hyperlink" Target="https://pubmed.ncbi.nlm.nih.gov/27650028" TargetMode="External"/><Relationship Id="rId4192" Type="http://schemas.openxmlformats.org/officeDocument/2006/relationships/hyperlink" Target="https://pubmed.ncbi.nlm.nih.gov/27650027" TargetMode="External"/><Relationship Id="rId4191" Type="http://schemas.openxmlformats.org/officeDocument/2006/relationships/hyperlink" Target="https://pubmed.ncbi.nlm.nih.gov/27405571" TargetMode="External"/><Relationship Id="rId4194" Type="http://schemas.openxmlformats.org/officeDocument/2006/relationships/hyperlink" Target="https://pubmed.ncbi.nlm.nih.gov/27334086" TargetMode="External"/><Relationship Id="rId4193" Type="http://schemas.openxmlformats.org/officeDocument/2006/relationships/hyperlink" Target="https://pubmed.ncbi.nlm.nih.gov/27581870" TargetMode="External"/><Relationship Id="rId4196" Type="http://schemas.openxmlformats.org/officeDocument/2006/relationships/hyperlink" Target="https://pubmed.ncbi.nlm.nih.gov/30236013" TargetMode="External"/><Relationship Id="rId4195" Type="http://schemas.openxmlformats.org/officeDocument/2006/relationships/hyperlink" Target="https://pubmed.ncbi.nlm.nih.gov/27484430" TargetMode="External"/><Relationship Id="rId4198" Type="http://schemas.openxmlformats.org/officeDocument/2006/relationships/hyperlink" Target="https://pubmed.ncbi.nlm.nih.gov/26720607" TargetMode="External"/><Relationship Id="rId4197" Type="http://schemas.openxmlformats.org/officeDocument/2006/relationships/hyperlink" Target="https://pubmed.ncbi.nlm.nih.gov/27353160" TargetMode="External"/><Relationship Id="rId4199" Type="http://schemas.openxmlformats.org/officeDocument/2006/relationships/hyperlink" Target="https://pubmed.ncbi.nlm.nih.gov/26764987" TargetMode="External"/><Relationship Id="rId1950" Type="http://schemas.openxmlformats.org/officeDocument/2006/relationships/hyperlink" Target="https://pubmed.ncbi.nlm.nih.gov/33334837" TargetMode="External"/><Relationship Id="rId1951" Type="http://schemas.openxmlformats.org/officeDocument/2006/relationships/hyperlink" Target="https://pubmed.ncbi.nlm.nih.gov/33348884" TargetMode="External"/><Relationship Id="rId1952" Type="http://schemas.openxmlformats.org/officeDocument/2006/relationships/hyperlink" Target="https://pubmed.ncbi.nlm.nih.gov/33326049" TargetMode="External"/><Relationship Id="rId1953" Type="http://schemas.openxmlformats.org/officeDocument/2006/relationships/hyperlink" Target="https://pubmed.ncbi.nlm.nih.gov/33323438" TargetMode="External"/><Relationship Id="rId1954" Type="http://schemas.openxmlformats.org/officeDocument/2006/relationships/hyperlink" Target="https://pubmed.ncbi.nlm.nih.gov/33333805" TargetMode="External"/><Relationship Id="rId1955" Type="http://schemas.openxmlformats.org/officeDocument/2006/relationships/hyperlink" Target="https://pubmed.ncbi.nlm.nih.gov/33144367" TargetMode="External"/><Relationship Id="rId1956" Type="http://schemas.openxmlformats.org/officeDocument/2006/relationships/hyperlink" Target="https://pubmed.ncbi.nlm.nih.gov/33144369" TargetMode="External"/><Relationship Id="rId1957" Type="http://schemas.openxmlformats.org/officeDocument/2006/relationships/hyperlink" Target="https://pubmed.ncbi.nlm.nih.gov/33319706" TargetMode="External"/><Relationship Id="rId1958" Type="http://schemas.openxmlformats.org/officeDocument/2006/relationships/hyperlink" Target="https://pubmed.ncbi.nlm.nih.gov/33333165" TargetMode="External"/><Relationship Id="rId1959" Type="http://schemas.openxmlformats.org/officeDocument/2006/relationships/hyperlink" Target="https://pubmed.ncbi.nlm.nih.gov/33301495" TargetMode="External"/><Relationship Id="rId1940" Type="http://schemas.openxmlformats.org/officeDocument/2006/relationships/hyperlink" Target="https://pubmed.ncbi.nlm.nih.gov/33350510" TargetMode="External"/><Relationship Id="rId1941" Type="http://schemas.openxmlformats.org/officeDocument/2006/relationships/hyperlink" Target="https://pubmed.ncbi.nlm.nih.gov/33245150" TargetMode="External"/><Relationship Id="rId1942" Type="http://schemas.openxmlformats.org/officeDocument/2006/relationships/hyperlink" Target="https://pubmed.ncbi.nlm.nih.gov/33501413" TargetMode="External"/><Relationship Id="rId1943" Type="http://schemas.openxmlformats.org/officeDocument/2006/relationships/hyperlink" Target="https://pubmed.ncbi.nlm.nih.gov/33371314" TargetMode="External"/><Relationship Id="rId1944" Type="http://schemas.openxmlformats.org/officeDocument/2006/relationships/hyperlink" Target="https://pubmed.ncbi.nlm.nih.gov/33269535" TargetMode="External"/><Relationship Id="rId1945" Type="http://schemas.openxmlformats.org/officeDocument/2006/relationships/hyperlink" Target="https://pubmed.ncbi.nlm.nih.gov/36711167" TargetMode="External"/><Relationship Id="rId1946" Type="http://schemas.openxmlformats.org/officeDocument/2006/relationships/hyperlink" Target="https://pubmed.ncbi.nlm.nih.gov/33416363" TargetMode="External"/><Relationship Id="rId1947" Type="http://schemas.openxmlformats.org/officeDocument/2006/relationships/hyperlink" Target="https://pubmed.ncbi.nlm.nih.gov/33339845" TargetMode="External"/><Relationship Id="rId1948" Type="http://schemas.openxmlformats.org/officeDocument/2006/relationships/hyperlink" Target="https://pubmed.ncbi.nlm.nih.gov/33338049" TargetMode="External"/><Relationship Id="rId1949" Type="http://schemas.openxmlformats.org/officeDocument/2006/relationships/hyperlink" Target="https://pubmed.ncbi.nlm.nih.gov/33327948" TargetMode="External"/><Relationship Id="rId509" Type="http://schemas.openxmlformats.org/officeDocument/2006/relationships/hyperlink" Target="https://pubmed.ncbi.nlm.nih.gov/37484869" TargetMode="External"/><Relationship Id="rId508" Type="http://schemas.openxmlformats.org/officeDocument/2006/relationships/hyperlink" Target="https://pubmed.ncbi.nlm.nih.gov/37415223" TargetMode="External"/><Relationship Id="rId503" Type="http://schemas.openxmlformats.org/officeDocument/2006/relationships/hyperlink" Target="https://pubmed.ncbi.nlm.nih.gov/37428931" TargetMode="External"/><Relationship Id="rId502" Type="http://schemas.openxmlformats.org/officeDocument/2006/relationships/hyperlink" Target="https://pubmed.ncbi.nlm.nih.gov/37527034" TargetMode="External"/><Relationship Id="rId501" Type="http://schemas.openxmlformats.org/officeDocument/2006/relationships/hyperlink" Target="https://pubmed.ncbi.nlm.nih.gov/37438338" TargetMode="External"/><Relationship Id="rId500" Type="http://schemas.openxmlformats.org/officeDocument/2006/relationships/hyperlink" Target="https://pubmed.ncbi.nlm.nih.gov/37454481" TargetMode="External"/><Relationship Id="rId507" Type="http://schemas.openxmlformats.org/officeDocument/2006/relationships/hyperlink" Target="https://pubmed.ncbi.nlm.nih.gov/37414571" TargetMode="External"/><Relationship Id="rId506" Type="http://schemas.openxmlformats.org/officeDocument/2006/relationships/hyperlink" Target="https://pubmed.ncbi.nlm.nih.gov/37444167" TargetMode="External"/><Relationship Id="rId505" Type="http://schemas.openxmlformats.org/officeDocument/2006/relationships/hyperlink" Target="https://pubmed.ncbi.nlm.nih.gov/37420320" TargetMode="External"/><Relationship Id="rId504" Type="http://schemas.openxmlformats.org/officeDocument/2006/relationships/hyperlink" Target="https://pubmed.ncbi.nlm.nih.gov/37422864" TargetMode="External"/><Relationship Id="rId525" Type="http://schemas.openxmlformats.org/officeDocument/2006/relationships/hyperlink" Target="https://pubmed.ncbi.nlm.nih.gov/37404564" TargetMode="External"/><Relationship Id="rId524" Type="http://schemas.openxmlformats.org/officeDocument/2006/relationships/hyperlink" Target="https://pubmed.ncbi.nlm.nih.gov/37370079" TargetMode="External"/><Relationship Id="rId523" Type="http://schemas.openxmlformats.org/officeDocument/2006/relationships/hyperlink" Target="https://pubmed.ncbi.nlm.nih.gov/37426954" TargetMode="External"/><Relationship Id="rId522" Type="http://schemas.openxmlformats.org/officeDocument/2006/relationships/hyperlink" Target="https://pubmed.ncbi.nlm.nih.gov/37370045" TargetMode="External"/><Relationship Id="rId529" Type="http://schemas.openxmlformats.org/officeDocument/2006/relationships/hyperlink" Target="https://pubmed.ncbi.nlm.nih.gov/37336956" TargetMode="External"/><Relationship Id="rId528" Type="http://schemas.openxmlformats.org/officeDocument/2006/relationships/hyperlink" Target="https://pubmed.ncbi.nlm.nih.gov/37337133" TargetMode="External"/><Relationship Id="rId527" Type="http://schemas.openxmlformats.org/officeDocument/2006/relationships/hyperlink" Target="https://pubmed.ncbi.nlm.nih.gov/35881482" TargetMode="External"/><Relationship Id="rId526" Type="http://schemas.openxmlformats.org/officeDocument/2006/relationships/hyperlink" Target="https://pubmed.ncbi.nlm.nih.gov/37425173" TargetMode="External"/><Relationship Id="rId521" Type="http://schemas.openxmlformats.org/officeDocument/2006/relationships/hyperlink" Target="https://pubmed.ncbi.nlm.nih.gov/37511673" TargetMode="External"/><Relationship Id="rId520" Type="http://schemas.openxmlformats.org/officeDocument/2006/relationships/hyperlink" Target="https://pubmed.ncbi.nlm.nih.gov/37380990" TargetMode="External"/><Relationship Id="rId519" Type="http://schemas.openxmlformats.org/officeDocument/2006/relationships/hyperlink" Target="https://pubmed.ncbi.nlm.nih.gov/37381923" TargetMode="External"/><Relationship Id="rId514" Type="http://schemas.openxmlformats.org/officeDocument/2006/relationships/hyperlink" Target="https://pubmed.ncbi.nlm.nih.gov/37402743" TargetMode="External"/><Relationship Id="rId513" Type="http://schemas.openxmlformats.org/officeDocument/2006/relationships/hyperlink" Target="https://pubmed.ncbi.nlm.nih.gov/37433229" TargetMode="External"/><Relationship Id="rId512" Type="http://schemas.openxmlformats.org/officeDocument/2006/relationships/hyperlink" Target="https://pubmed.ncbi.nlm.nih.gov/37408336" TargetMode="External"/><Relationship Id="rId511" Type="http://schemas.openxmlformats.org/officeDocument/2006/relationships/hyperlink" Target="https://pubmed.ncbi.nlm.nih.gov/36869816" TargetMode="External"/><Relationship Id="rId518" Type="http://schemas.openxmlformats.org/officeDocument/2006/relationships/hyperlink" Target="https://pubmed.ncbi.nlm.nih.gov/38099086" TargetMode="External"/><Relationship Id="rId517" Type="http://schemas.openxmlformats.org/officeDocument/2006/relationships/hyperlink" Target="https://pubmed.ncbi.nlm.nih.gov/37438002" TargetMode="External"/><Relationship Id="rId516" Type="http://schemas.openxmlformats.org/officeDocument/2006/relationships/hyperlink" Target="https://pubmed.ncbi.nlm.nih.gov/37399466" TargetMode="External"/><Relationship Id="rId515" Type="http://schemas.openxmlformats.org/officeDocument/2006/relationships/hyperlink" Target="https://pubmed.ncbi.nlm.nih.gov/37400234" TargetMode="External"/><Relationship Id="rId510" Type="http://schemas.openxmlformats.org/officeDocument/2006/relationships/hyperlink" Target="https://pubmed.ncbi.nlm.nih.gov/37419843" TargetMode="External"/><Relationship Id="rId4206" Type="http://schemas.openxmlformats.org/officeDocument/2006/relationships/hyperlink" Target="https://pubmed.ncbi.nlm.nih.gov/26782850" TargetMode="External"/><Relationship Id="rId5538" Type="http://schemas.openxmlformats.org/officeDocument/2006/relationships/hyperlink" Target="https://pubmed.ncbi.nlm.nih.gov/18562333" TargetMode="External"/><Relationship Id="rId4205" Type="http://schemas.openxmlformats.org/officeDocument/2006/relationships/hyperlink" Target="https://pubmed.ncbi.nlm.nih.gov/26600182" TargetMode="External"/><Relationship Id="rId5539" Type="http://schemas.openxmlformats.org/officeDocument/2006/relationships/hyperlink" Target="https://pubmed.ncbi.nlm.nih.gov/18544602" TargetMode="External"/><Relationship Id="rId4208" Type="http://schemas.openxmlformats.org/officeDocument/2006/relationships/hyperlink" Target="https://pubmed.ncbi.nlm.nih.gov/26683621" TargetMode="External"/><Relationship Id="rId5536" Type="http://schemas.openxmlformats.org/officeDocument/2006/relationships/hyperlink" Target="https://pubmed.ncbi.nlm.nih.gov/18575631" TargetMode="External"/><Relationship Id="rId4207" Type="http://schemas.openxmlformats.org/officeDocument/2006/relationships/hyperlink" Target="https://pubmed.ncbi.nlm.nih.gov/26679636" TargetMode="External"/><Relationship Id="rId5537" Type="http://schemas.openxmlformats.org/officeDocument/2006/relationships/hyperlink" Target="https://pubmed.ncbi.nlm.nih.gov/18760133" TargetMode="External"/><Relationship Id="rId590" Type="http://schemas.openxmlformats.org/officeDocument/2006/relationships/hyperlink" Target="https://pubmed.ncbi.nlm.nih.gov/37143158" TargetMode="External"/><Relationship Id="rId4209" Type="http://schemas.openxmlformats.org/officeDocument/2006/relationships/hyperlink" Target="https://pubmed.ncbi.nlm.nih.gov/26681783" TargetMode="External"/><Relationship Id="rId589" Type="http://schemas.openxmlformats.org/officeDocument/2006/relationships/hyperlink" Target="https://pubmed.ncbi.nlm.nih.gov/37140977" TargetMode="External"/><Relationship Id="rId588" Type="http://schemas.openxmlformats.org/officeDocument/2006/relationships/hyperlink" Target="https://pubmed.ncbi.nlm.nih.gov/37150153" TargetMode="External"/><Relationship Id="rId583" Type="http://schemas.openxmlformats.org/officeDocument/2006/relationships/hyperlink" Target="https://pubmed.ncbi.nlm.nih.gov/37178806" TargetMode="External"/><Relationship Id="rId5530" Type="http://schemas.openxmlformats.org/officeDocument/2006/relationships/hyperlink" Target="https://pubmed.ncbi.nlm.nih.gov/18639410" TargetMode="External"/><Relationship Id="rId582" Type="http://schemas.openxmlformats.org/officeDocument/2006/relationships/hyperlink" Target="https://pubmed.ncbi.nlm.nih.gov/37207380" TargetMode="External"/><Relationship Id="rId5531" Type="http://schemas.openxmlformats.org/officeDocument/2006/relationships/hyperlink" Target="https://pubmed.ncbi.nlm.nih.gov/18631426" TargetMode="External"/><Relationship Id="rId581" Type="http://schemas.openxmlformats.org/officeDocument/2006/relationships/hyperlink" Target="https://pubmed.ncbi.nlm.nih.gov/37178682" TargetMode="External"/><Relationship Id="rId4200" Type="http://schemas.openxmlformats.org/officeDocument/2006/relationships/hyperlink" Target="https://pubmed.ncbi.nlm.nih.gov/26715681" TargetMode="External"/><Relationship Id="rId580" Type="http://schemas.openxmlformats.org/officeDocument/2006/relationships/hyperlink" Target="https://pubmed.ncbi.nlm.nih.gov/37173424" TargetMode="External"/><Relationship Id="rId587" Type="http://schemas.openxmlformats.org/officeDocument/2006/relationships/hyperlink" Target="https://pubmed.ncbi.nlm.nih.gov/37150262" TargetMode="External"/><Relationship Id="rId4202" Type="http://schemas.openxmlformats.org/officeDocument/2006/relationships/hyperlink" Target="https://pubmed.ncbi.nlm.nih.gov/26724463" TargetMode="External"/><Relationship Id="rId5534" Type="http://schemas.openxmlformats.org/officeDocument/2006/relationships/hyperlink" Target="https://pubmed.ncbi.nlm.nih.gov/18617743" TargetMode="External"/><Relationship Id="rId586" Type="http://schemas.openxmlformats.org/officeDocument/2006/relationships/hyperlink" Target="https://pubmed.ncbi.nlm.nih.gov/37148366" TargetMode="External"/><Relationship Id="rId4201" Type="http://schemas.openxmlformats.org/officeDocument/2006/relationships/hyperlink" Target="https://pubmed.ncbi.nlm.nih.gov/26857888" TargetMode="External"/><Relationship Id="rId5535" Type="http://schemas.openxmlformats.org/officeDocument/2006/relationships/hyperlink" Target="https://pubmed.ncbi.nlm.nih.gov/18957799" TargetMode="External"/><Relationship Id="rId585" Type="http://schemas.openxmlformats.org/officeDocument/2006/relationships/hyperlink" Target="https://pubmed.ncbi.nlm.nih.gov/37068170" TargetMode="External"/><Relationship Id="rId4204" Type="http://schemas.openxmlformats.org/officeDocument/2006/relationships/hyperlink" Target="https://pubmed.ncbi.nlm.nih.gov/26586448" TargetMode="External"/><Relationship Id="rId5532" Type="http://schemas.openxmlformats.org/officeDocument/2006/relationships/hyperlink" Target="https://pubmed.ncbi.nlm.nih.gov/18626626" TargetMode="External"/><Relationship Id="rId584" Type="http://schemas.openxmlformats.org/officeDocument/2006/relationships/hyperlink" Target="https://pubmed.ncbi.nlm.nih.gov/37160571" TargetMode="External"/><Relationship Id="rId4203" Type="http://schemas.openxmlformats.org/officeDocument/2006/relationships/hyperlink" Target="https://pubmed.ncbi.nlm.nih.gov/26705428" TargetMode="External"/><Relationship Id="rId5533" Type="http://schemas.openxmlformats.org/officeDocument/2006/relationships/hyperlink" Target="https://pubmed.ncbi.nlm.nih.gov/18628567" TargetMode="External"/><Relationship Id="rId5527" Type="http://schemas.openxmlformats.org/officeDocument/2006/relationships/hyperlink" Target="https://pubmed.ncbi.nlm.nih.gov/18644127" TargetMode="External"/><Relationship Id="rId5528" Type="http://schemas.openxmlformats.org/officeDocument/2006/relationships/hyperlink" Target="https://pubmed.ncbi.nlm.nih.gov/18760131" TargetMode="External"/><Relationship Id="rId5525" Type="http://schemas.openxmlformats.org/officeDocument/2006/relationships/hyperlink" Target="https://pubmed.ncbi.nlm.nih.gov/18682019" TargetMode="External"/><Relationship Id="rId5526" Type="http://schemas.openxmlformats.org/officeDocument/2006/relationships/hyperlink" Target="https://pubmed.ncbi.nlm.nih.gov/18653702" TargetMode="External"/><Relationship Id="rId5529" Type="http://schemas.openxmlformats.org/officeDocument/2006/relationships/hyperlink" Target="https://pubmed.ncbi.nlm.nih.gov/18722618" TargetMode="External"/><Relationship Id="rId579" Type="http://schemas.openxmlformats.org/officeDocument/2006/relationships/hyperlink" Target="https://pubmed.ncbi.nlm.nih.gov/37170950" TargetMode="External"/><Relationship Id="rId578" Type="http://schemas.openxmlformats.org/officeDocument/2006/relationships/hyperlink" Target="https://pubmed.ncbi.nlm.nih.gov/37173105" TargetMode="External"/><Relationship Id="rId577" Type="http://schemas.openxmlformats.org/officeDocument/2006/relationships/hyperlink" Target="https://pubmed.ncbi.nlm.nih.gov/37276718" TargetMode="External"/><Relationship Id="rId572" Type="http://schemas.openxmlformats.org/officeDocument/2006/relationships/hyperlink" Target="https://pubmed.ncbi.nlm.nih.gov/37271707" TargetMode="External"/><Relationship Id="rId571" Type="http://schemas.openxmlformats.org/officeDocument/2006/relationships/hyperlink" Target="https://pubmed.ncbi.nlm.nih.gov/37143173" TargetMode="External"/><Relationship Id="rId5520" Type="http://schemas.openxmlformats.org/officeDocument/2006/relationships/hyperlink" Target="https://pubmed.ncbi.nlm.nih.gov/18095262" TargetMode="External"/><Relationship Id="rId570" Type="http://schemas.openxmlformats.org/officeDocument/2006/relationships/hyperlink" Target="https://pubmed.ncbi.nlm.nih.gov/37101398" TargetMode="External"/><Relationship Id="rId576" Type="http://schemas.openxmlformats.org/officeDocument/2006/relationships/hyperlink" Target="https://pubmed.ncbi.nlm.nih.gov/37179306" TargetMode="External"/><Relationship Id="rId5523" Type="http://schemas.openxmlformats.org/officeDocument/2006/relationships/hyperlink" Target="https://pubmed.ncbi.nlm.nih.gov/18694600" TargetMode="External"/><Relationship Id="rId575" Type="http://schemas.openxmlformats.org/officeDocument/2006/relationships/hyperlink" Target="https://pubmed.ncbi.nlm.nih.gov/37201609" TargetMode="External"/><Relationship Id="rId5524" Type="http://schemas.openxmlformats.org/officeDocument/2006/relationships/hyperlink" Target="https://pubmed.ncbi.nlm.nih.gov/18671627" TargetMode="External"/><Relationship Id="rId574" Type="http://schemas.openxmlformats.org/officeDocument/2006/relationships/hyperlink" Target="https://pubmed.ncbi.nlm.nih.gov/37260516" TargetMode="External"/><Relationship Id="rId5521" Type="http://schemas.openxmlformats.org/officeDocument/2006/relationships/hyperlink" Target="https://pubmed.ncbi.nlm.nih.gov/18718886" TargetMode="External"/><Relationship Id="rId573" Type="http://schemas.openxmlformats.org/officeDocument/2006/relationships/hyperlink" Target="https://pubmed.ncbi.nlm.nih.gov/37261365" TargetMode="External"/><Relationship Id="rId5522" Type="http://schemas.openxmlformats.org/officeDocument/2006/relationships/hyperlink" Target="https://pubmed.ncbi.nlm.nih.gov/18722495" TargetMode="External"/><Relationship Id="rId4228" Type="http://schemas.openxmlformats.org/officeDocument/2006/relationships/hyperlink" Target="https://pubmed.ncbi.nlm.nih.gov/26632523" TargetMode="External"/><Relationship Id="rId4227" Type="http://schemas.openxmlformats.org/officeDocument/2006/relationships/hyperlink" Target="https://pubmed.ncbi.nlm.nih.gov/26706925" TargetMode="External"/><Relationship Id="rId5558" Type="http://schemas.openxmlformats.org/officeDocument/2006/relationships/hyperlink" Target="https://pubmed.ncbi.nlm.nih.gov/18462143" TargetMode="External"/><Relationship Id="rId4229" Type="http://schemas.openxmlformats.org/officeDocument/2006/relationships/hyperlink" Target="https://pubmed.ncbi.nlm.nih.gov/26607939" TargetMode="External"/><Relationship Id="rId5559" Type="http://schemas.openxmlformats.org/officeDocument/2006/relationships/hyperlink" Target="https://pubmed.ncbi.nlm.nih.gov/17929333" TargetMode="External"/><Relationship Id="rId4220" Type="http://schemas.openxmlformats.org/officeDocument/2006/relationships/hyperlink" Target="https://pubmed.ncbi.nlm.nih.gov/26637178" TargetMode="External"/><Relationship Id="rId5552" Type="http://schemas.openxmlformats.org/officeDocument/2006/relationships/hyperlink" Target="https://pubmed.ncbi.nlm.nih.gov/18420650" TargetMode="External"/><Relationship Id="rId5553" Type="http://schemas.openxmlformats.org/officeDocument/2006/relationships/hyperlink" Target="https://pubmed.ncbi.nlm.nih.gov/18413203" TargetMode="External"/><Relationship Id="rId4222" Type="http://schemas.openxmlformats.org/officeDocument/2006/relationships/hyperlink" Target="https://pubmed.ncbi.nlm.nih.gov/26071951" TargetMode="External"/><Relationship Id="rId5550" Type="http://schemas.openxmlformats.org/officeDocument/2006/relationships/hyperlink" Target="https://pubmed.ncbi.nlm.nih.gov/18458162" TargetMode="External"/><Relationship Id="rId4221" Type="http://schemas.openxmlformats.org/officeDocument/2006/relationships/hyperlink" Target="https://pubmed.ncbi.nlm.nih.gov/26654286" TargetMode="External"/><Relationship Id="rId5551" Type="http://schemas.openxmlformats.org/officeDocument/2006/relationships/hyperlink" Target="https://pubmed.ncbi.nlm.nih.gov/18426825" TargetMode="External"/><Relationship Id="rId4224" Type="http://schemas.openxmlformats.org/officeDocument/2006/relationships/hyperlink" Target="https://pubmed.ncbi.nlm.nih.gov/26620447" TargetMode="External"/><Relationship Id="rId5556" Type="http://schemas.openxmlformats.org/officeDocument/2006/relationships/hyperlink" Target="https://pubmed.ncbi.nlm.nih.gov/18391100" TargetMode="External"/><Relationship Id="rId4223" Type="http://schemas.openxmlformats.org/officeDocument/2006/relationships/hyperlink" Target="https://pubmed.ncbi.nlm.nih.gov/26459880" TargetMode="External"/><Relationship Id="rId5557" Type="http://schemas.openxmlformats.org/officeDocument/2006/relationships/hyperlink" Target="https://pubmed.ncbi.nlm.nih.gov/18373768" TargetMode="External"/><Relationship Id="rId4226" Type="http://schemas.openxmlformats.org/officeDocument/2006/relationships/hyperlink" Target="https://pubmed.ncbi.nlm.nih.gov/26449244" TargetMode="External"/><Relationship Id="rId5554" Type="http://schemas.openxmlformats.org/officeDocument/2006/relationships/hyperlink" Target="https://pubmed.ncbi.nlm.nih.gov/18412949" TargetMode="External"/><Relationship Id="rId4225" Type="http://schemas.openxmlformats.org/officeDocument/2006/relationships/hyperlink" Target="https://pubmed.ncbi.nlm.nih.gov/26622035" TargetMode="External"/><Relationship Id="rId5555" Type="http://schemas.openxmlformats.org/officeDocument/2006/relationships/hyperlink" Target="https://pubmed.ncbi.nlm.nih.gov/18391157" TargetMode="External"/><Relationship Id="rId4217" Type="http://schemas.openxmlformats.org/officeDocument/2006/relationships/hyperlink" Target="https://pubmed.ncbi.nlm.nih.gov/26658054" TargetMode="External"/><Relationship Id="rId5549" Type="http://schemas.openxmlformats.org/officeDocument/2006/relationships/hyperlink" Target="https://pubmed.ncbi.nlm.nih.gov/18552059" TargetMode="External"/><Relationship Id="rId4216" Type="http://schemas.openxmlformats.org/officeDocument/2006/relationships/hyperlink" Target="https://pubmed.ncbi.nlm.nih.gov/26663620" TargetMode="External"/><Relationship Id="rId4219" Type="http://schemas.openxmlformats.org/officeDocument/2006/relationships/hyperlink" Target="https://pubmed.ncbi.nlm.nih.gov/26644013" TargetMode="External"/><Relationship Id="rId5547" Type="http://schemas.openxmlformats.org/officeDocument/2006/relationships/hyperlink" Target="https://pubmed.ncbi.nlm.nih.gov/18505554" TargetMode="External"/><Relationship Id="rId4218" Type="http://schemas.openxmlformats.org/officeDocument/2006/relationships/hyperlink" Target="https://pubmed.ncbi.nlm.nih.gov/26644395" TargetMode="External"/><Relationship Id="rId5548" Type="http://schemas.openxmlformats.org/officeDocument/2006/relationships/hyperlink" Target="https://pubmed.ncbi.nlm.nih.gov/18678291" TargetMode="External"/><Relationship Id="rId599" Type="http://schemas.openxmlformats.org/officeDocument/2006/relationships/hyperlink" Target="https://pubmed.ncbi.nlm.nih.gov/36939696" TargetMode="External"/><Relationship Id="rId594" Type="http://schemas.openxmlformats.org/officeDocument/2006/relationships/hyperlink" Target="https://pubmed.ncbi.nlm.nih.gov/37137496" TargetMode="External"/><Relationship Id="rId5541" Type="http://schemas.openxmlformats.org/officeDocument/2006/relationships/hyperlink" Target="https://pubmed.ncbi.nlm.nih.gov/18522685" TargetMode="External"/><Relationship Id="rId593" Type="http://schemas.openxmlformats.org/officeDocument/2006/relationships/hyperlink" Target="https://pubmed.ncbi.nlm.nih.gov/37151778" TargetMode="External"/><Relationship Id="rId5542" Type="http://schemas.openxmlformats.org/officeDocument/2006/relationships/hyperlink" Target="https://pubmed.ncbi.nlm.nih.gov/18449949" TargetMode="External"/><Relationship Id="rId592" Type="http://schemas.openxmlformats.org/officeDocument/2006/relationships/hyperlink" Target="https://pubmed.ncbi.nlm.nih.gov/36897327" TargetMode="External"/><Relationship Id="rId4211" Type="http://schemas.openxmlformats.org/officeDocument/2006/relationships/hyperlink" Target="https://pubmed.ncbi.nlm.nih.gov/26675251" TargetMode="External"/><Relationship Id="rId591" Type="http://schemas.openxmlformats.org/officeDocument/2006/relationships/hyperlink" Target="https://pubmed.ncbi.nlm.nih.gov/37052591" TargetMode="External"/><Relationship Id="rId4210" Type="http://schemas.openxmlformats.org/officeDocument/2006/relationships/hyperlink" Target="https://pubmed.ncbi.nlm.nih.gov/26796424" TargetMode="External"/><Relationship Id="rId5540" Type="http://schemas.openxmlformats.org/officeDocument/2006/relationships/hyperlink" Target="https://pubmed.ncbi.nlm.nih.gov/18535024" TargetMode="External"/><Relationship Id="rId598" Type="http://schemas.openxmlformats.org/officeDocument/2006/relationships/hyperlink" Target="https://pubmed.ncbi.nlm.nih.gov/37133893" TargetMode="External"/><Relationship Id="rId4213" Type="http://schemas.openxmlformats.org/officeDocument/2006/relationships/hyperlink" Target="https://pubmed.ncbi.nlm.nih.gov/26857884" TargetMode="External"/><Relationship Id="rId5545" Type="http://schemas.openxmlformats.org/officeDocument/2006/relationships/hyperlink" Target="https://pubmed.ncbi.nlm.nih.gov/18498818" TargetMode="External"/><Relationship Id="rId597" Type="http://schemas.openxmlformats.org/officeDocument/2006/relationships/hyperlink" Target="https://pubmed.ncbi.nlm.nih.gov/37137510" TargetMode="External"/><Relationship Id="rId4212" Type="http://schemas.openxmlformats.org/officeDocument/2006/relationships/hyperlink" Target="https://pubmed.ncbi.nlm.nih.gov/26670324" TargetMode="External"/><Relationship Id="rId5546" Type="http://schemas.openxmlformats.org/officeDocument/2006/relationships/hyperlink" Target="https://pubmed.ncbi.nlm.nih.gov/18506010" TargetMode="External"/><Relationship Id="rId596" Type="http://schemas.openxmlformats.org/officeDocument/2006/relationships/hyperlink" Target="https://pubmed.ncbi.nlm.nih.gov/37137910" TargetMode="External"/><Relationship Id="rId4215" Type="http://schemas.openxmlformats.org/officeDocument/2006/relationships/hyperlink" Target="https://pubmed.ncbi.nlm.nih.gov/26661393" TargetMode="External"/><Relationship Id="rId5543" Type="http://schemas.openxmlformats.org/officeDocument/2006/relationships/hyperlink" Target="https://pubmed.ncbi.nlm.nih.gov/18446773" TargetMode="External"/><Relationship Id="rId595" Type="http://schemas.openxmlformats.org/officeDocument/2006/relationships/hyperlink" Target="https://pubmed.ncbi.nlm.nih.gov/36974983" TargetMode="External"/><Relationship Id="rId4214" Type="http://schemas.openxmlformats.org/officeDocument/2006/relationships/hyperlink" Target="https://pubmed.ncbi.nlm.nih.gov/26736090" TargetMode="External"/><Relationship Id="rId5544" Type="http://schemas.openxmlformats.org/officeDocument/2006/relationships/hyperlink" Target="https://pubmed.ncbi.nlm.nih.gov/18482117" TargetMode="External"/><Relationship Id="rId547" Type="http://schemas.openxmlformats.org/officeDocument/2006/relationships/hyperlink" Target="https://pubmed.ncbi.nlm.nih.gov/37291483" TargetMode="External"/><Relationship Id="rId546" Type="http://schemas.openxmlformats.org/officeDocument/2006/relationships/hyperlink" Target="https://pubmed.ncbi.nlm.nih.gov/37295733" TargetMode="External"/><Relationship Id="rId545" Type="http://schemas.openxmlformats.org/officeDocument/2006/relationships/hyperlink" Target="https://pubmed.ncbi.nlm.nih.gov/37328352" TargetMode="External"/><Relationship Id="rId544" Type="http://schemas.openxmlformats.org/officeDocument/2006/relationships/hyperlink" Target="https://pubmed.ncbi.nlm.nih.gov/37293870" TargetMode="External"/><Relationship Id="rId549" Type="http://schemas.openxmlformats.org/officeDocument/2006/relationships/hyperlink" Target="https://pubmed.ncbi.nlm.nih.gov/37272758" TargetMode="External"/><Relationship Id="rId548" Type="http://schemas.openxmlformats.org/officeDocument/2006/relationships/hyperlink" Target="https://pubmed.ncbi.nlm.nih.gov/37345622" TargetMode="External"/><Relationship Id="rId543" Type="http://schemas.openxmlformats.org/officeDocument/2006/relationships/hyperlink" Target="https://pubmed.ncbi.nlm.nih.gov/37294532" TargetMode="External"/><Relationship Id="rId542" Type="http://schemas.openxmlformats.org/officeDocument/2006/relationships/hyperlink" Target="https://pubmed.ncbi.nlm.nih.gov/37301794" TargetMode="External"/><Relationship Id="rId541" Type="http://schemas.openxmlformats.org/officeDocument/2006/relationships/hyperlink" Target="https://pubmed.ncbi.nlm.nih.gov/37300652" TargetMode="External"/><Relationship Id="rId540" Type="http://schemas.openxmlformats.org/officeDocument/2006/relationships/hyperlink" Target="https://pubmed.ncbi.nlm.nih.gov/37301757" TargetMode="External"/><Relationship Id="rId536" Type="http://schemas.openxmlformats.org/officeDocument/2006/relationships/hyperlink" Target="https://pubmed.ncbi.nlm.nih.gov/37311563" TargetMode="External"/><Relationship Id="rId535" Type="http://schemas.openxmlformats.org/officeDocument/2006/relationships/hyperlink" Target="https://pubmed.ncbi.nlm.nih.gov/37351547" TargetMode="External"/><Relationship Id="rId534" Type="http://schemas.openxmlformats.org/officeDocument/2006/relationships/hyperlink" Target="https://pubmed.ncbi.nlm.nih.gov/37329889" TargetMode="External"/><Relationship Id="rId533" Type="http://schemas.openxmlformats.org/officeDocument/2006/relationships/hyperlink" Target="https://pubmed.ncbi.nlm.nih.gov/37321815" TargetMode="External"/><Relationship Id="rId539" Type="http://schemas.openxmlformats.org/officeDocument/2006/relationships/hyperlink" Target="https://pubmed.ncbi.nlm.nih.gov/37313395" TargetMode="External"/><Relationship Id="rId538" Type="http://schemas.openxmlformats.org/officeDocument/2006/relationships/hyperlink" Target="https://pubmed.ncbi.nlm.nih.gov/37352635" TargetMode="External"/><Relationship Id="rId537" Type="http://schemas.openxmlformats.org/officeDocument/2006/relationships/hyperlink" Target="https://pubmed.ncbi.nlm.nih.gov/37309688" TargetMode="External"/><Relationship Id="rId532" Type="http://schemas.openxmlformats.org/officeDocument/2006/relationships/hyperlink" Target="https://pubmed.ncbi.nlm.nih.gov/37326121" TargetMode="External"/><Relationship Id="rId531" Type="http://schemas.openxmlformats.org/officeDocument/2006/relationships/hyperlink" Target="https://pubmed.ncbi.nlm.nih.gov/37326323" TargetMode="External"/><Relationship Id="rId530" Type="http://schemas.openxmlformats.org/officeDocument/2006/relationships/hyperlink" Target="https://pubmed.ncbi.nlm.nih.gov/37354880" TargetMode="External"/><Relationship Id="rId5516" Type="http://schemas.openxmlformats.org/officeDocument/2006/relationships/hyperlink" Target="https://pubmed.ncbi.nlm.nih.gov/18806049" TargetMode="External"/><Relationship Id="rId5517" Type="http://schemas.openxmlformats.org/officeDocument/2006/relationships/hyperlink" Target="https://pubmed.ncbi.nlm.nih.gov/23158207" TargetMode="External"/><Relationship Id="rId5514" Type="http://schemas.openxmlformats.org/officeDocument/2006/relationships/hyperlink" Target="https://pubmed.ncbi.nlm.nih.gov/18990781" TargetMode="External"/><Relationship Id="rId5515" Type="http://schemas.openxmlformats.org/officeDocument/2006/relationships/hyperlink" Target="https://pubmed.ncbi.nlm.nih.gov/18843004" TargetMode="External"/><Relationship Id="rId5518" Type="http://schemas.openxmlformats.org/officeDocument/2006/relationships/hyperlink" Target="https://pubmed.ncbi.nlm.nih.gov/18796619" TargetMode="External"/><Relationship Id="rId5519" Type="http://schemas.openxmlformats.org/officeDocument/2006/relationships/hyperlink" Target="https://pubmed.ncbi.nlm.nih.gov/18698203" TargetMode="External"/><Relationship Id="rId569" Type="http://schemas.openxmlformats.org/officeDocument/2006/relationships/hyperlink" Target="https://pubmed.ncbi.nlm.nih.gov/37207984" TargetMode="External"/><Relationship Id="rId568" Type="http://schemas.openxmlformats.org/officeDocument/2006/relationships/hyperlink" Target="https://pubmed.ncbi.nlm.nih.gov/37199142" TargetMode="External"/><Relationship Id="rId567" Type="http://schemas.openxmlformats.org/officeDocument/2006/relationships/hyperlink" Target="https://pubmed.ncbi.nlm.nih.gov/37217400" TargetMode="External"/><Relationship Id="rId566" Type="http://schemas.openxmlformats.org/officeDocument/2006/relationships/hyperlink" Target="https://pubmed.ncbi.nlm.nih.gov/37209013" TargetMode="External"/><Relationship Id="rId561" Type="http://schemas.openxmlformats.org/officeDocument/2006/relationships/hyperlink" Target="https://pubmed.ncbi.nlm.nih.gov/37245703" TargetMode="External"/><Relationship Id="rId560" Type="http://schemas.openxmlformats.org/officeDocument/2006/relationships/hyperlink" Target="https://pubmed.ncbi.nlm.nih.gov/37376424" TargetMode="External"/><Relationship Id="rId565" Type="http://schemas.openxmlformats.org/officeDocument/2006/relationships/hyperlink" Target="https://pubmed.ncbi.nlm.nih.gov/37224836" TargetMode="External"/><Relationship Id="rId5512" Type="http://schemas.openxmlformats.org/officeDocument/2006/relationships/hyperlink" Target="https://pubmed.ncbi.nlm.nih.gov/18756178" TargetMode="External"/><Relationship Id="rId564" Type="http://schemas.openxmlformats.org/officeDocument/2006/relationships/hyperlink" Target="https://pubmed.ncbi.nlm.nih.gov/37292214" TargetMode="External"/><Relationship Id="rId5513" Type="http://schemas.openxmlformats.org/officeDocument/2006/relationships/hyperlink" Target="https://pubmed.ncbi.nlm.nih.gov/18832326" TargetMode="External"/><Relationship Id="rId563" Type="http://schemas.openxmlformats.org/officeDocument/2006/relationships/hyperlink" Target="https://pubmed.ncbi.nlm.nih.gov/37228047" TargetMode="External"/><Relationship Id="rId5510" Type="http://schemas.openxmlformats.org/officeDocument/2006/relationships/hyperlink" Target="https://pubmed.ncbi.nlm.nih.gov/18959470" TargetMode="External"/><Relationship Id="rId562" Type="http://schemas.openxmlformats.org/officeDocument/2006/relationships/hyperlink" Target="https://pubmed.ncbi.nlm.nih.gov/37250763" TargetMode="External"/><Relationship Id="rId5511" Type="http://schemas.openxmlformats.org/officeDocument/2006/relationships/hyperlink" Target="https://pubmed.ncbi.nlm.nih.gov/18953578" TargetMode="External"/><Relationship Id="rId5505" Type="http://schemas.openxmlformats.org/officeDocument/2006/relationships/hyperlink" Target="https://pubmed.ncbi.nlm.nih.gov/19053982" TargetMode="External"/><Relationship Id="rId5506" Type="http://schemas.openxmlformats.org/officeDocument/2006/relationships/hyperlink" Target="https://pubmed.ncbi.nlm.nih.gov/19051798" TargetMode="External"/><Relationship Id="rId5503" Type="http://schemas.openxmlformats.org/officeDocument/2006/relationships/hyperlink" Target="https://pubmed.ncbi.nlm.nih.gov/19049548" TargetMode="External"/><Relationship Id="rId5504" Type="http://schemas.openxmlformats.org/officeDocument/2006/relationships/hyperlink" Target="https://pubmed.ncbi.nlm.nih.gov/19020316" TargetMode="External"/><Relationship Id="rId5509" Type="http://schemas.openxmlformats.org/officeDocument/2006/relationships/hyperlink" Target="https://pubmed.ncbi.nlm.nih.gov/19055137" TargetMode="External"/><Relationship Id="rId5507" Type="http://schemas.openxmlformats.org/officeDocument/2006/relationships/hyperlink" Target="https://pubmed.ncbi.nlm.nih.gov/18996427" TargetMode="External"/><Relationship Id="rId5508" Type="http://schemas.openxmlformats.org/officeDocument/2006/relationships/hyperlink" Target="https://pubmed.ncbi.nlm.nih.gov/19208371" TargetMode="External"/><Relationship Id="rId558" Type="http://schemas.openxmlformats.org/officeDocument/2006/relationships/hyperlink" Target="https://pubmed.ncbi.nlm.nih.gov/37263381" TargetMode="External"/><Relationship Id="rId557" Type="http://schemas.openxmlformats.org/officeDocument/2006/relationships/hyperlink" Target="https://pubmed.ncbi.nlm.nih.gov/37289848" TargetMode="External"/><Relationship Id="rId556" Type="http://schemas.openxmlformats.org/officeDocument/2006/relationships/hyperlink" Target="https://pubmed.ncbi.nlm.nih.gov/37259056" TargetMode="External"/><Relationship Id="rId555" Type="http://schemas.openxmlformats.org/officeDocument/2006/relationships/hyperlink" Target="https://pubmed.ncbi.nlm.nih.gov/37449054" TargetMode="External"/><Relationship Id="rId559" Type="http://schemas.openxmlformats.org/officeDocument/2006/relationships/hyperlink" Target="https://pubmed.ncbi.nlm.nih.gov/37249086" TargetMode="External"/><Relationship Id="rId550" Type="http://schemas.openxmlformats.org/officeDocument/2006/relationships/hyperlink" Target="https://pubmed.ncbi.nlm.nih.gov/37268930" TargetMode="External"/><Relationship Id="rId554" Type="http://schemas.openxmlformats.org/officeDocument/2006/relationships/hyperlink" Target="https://pubmed.ncbi.nlm.nih.gov/36625405" TargetMode="External"/><Relationship Id="rId5501" Type="http://schemas.openxmlformats.org/officeDocument/2006/relationships/hyperlink" Target="https://pubmed.ncbi.nlm.nih.gov/19137961" TargetMode="External"/><Relationship Id="rId553" Type="http://schemas.openxmlformats.org/officeDocument/2006/relationships/hyperlink" Target="https://pubmed.ncbi.nlm.nih.gov/37237109" TargetMode="External"/><Relationship Id="rId5502" Type="http://schemas.openxmlformats.org/officeDocument/2006/relationships/hyperlink" Target="https://pubmed.ncbi.nlm.nih.gov/19052156" TargetMode="External"/><Relationship Id="rId552" Type="http://schemas.openxmlformats.org/officeDocument/2006/relationships/hyperlink" Target="https://pubmed.ncbi.nlm.nih.gov/37304169" TargetMode="External"/><Relationship Id="rId551" Type="http://schemas.openxmlformats.org/officeDocument/2006/relationships/hyperlink" Target="https://pubmed.ncbi.nlm.nih.gov/37277093" TargetMode="External"/><Relationship Id="rId5500" Type="http://schemas.openxmlformats.org/officeDocument/2006/relationships/hyperlink" Target="https://pubmed.ncbi.nlm.nih.gov/18752256" TargetMode="External"/><Relationship Id="rId4280" Type="http://schemas.openxmlformats.org/officeDocument/2006/relationships/hyperlink" Target="https://pubmed.ncbi.nlm.nih.gov/26461078" TargetMode="External"/><Relationship Id="rId4282" Type="http://schemas.openxmlformats.org/officeDocument/2006/relationships/hyperlink" Target="https://pubmed.ncbi.nlm.nih.gov/26446011" TargetMode="External"/><Relationship Id="rId4281" Type="http://schemas.openxmlformats.org/officeDocument/2006/relationships/hyperlink" Target="https://pubmed.ncbi.nlm.nih.gov/26459420" TargetMode="External"/><Relationship Id="rId4284" Type="http://schemas.openxmlformats.org/officeDocument/2006/relationships/hyperlink" Target="https://pubmed.ncbi.nlm.nih.gov/26441207" TargetMode="External"/><Relationship Id="rId4283" Type="http://schemas.openxmlformats.org/officeDocument/2006/relationships/hyperlink" Target="https://pubmed.ncbi.nlm.nih.gov/26446696" TargetMode="External"/><Relationship Id="rId4286" Type="http://schemas.openxmlformats.org/officeDocument/2006/relationships/hyperlink" Target="https://pubmed.ncbi.nlm.nih.gov/25856418" TargetMode="External"/><Relationship Id="rId4285" Type="http://schemas.openxmlformats.org/officeDocument/2006/relationships/hyperlink" Target="https://pubmed.ncbi.nlm.nih.gov/26376083" TargetMode="External"/><Relationship Id="rId4288" Type="http://schemas.openxmlformats.org/officeDocument/2006/relationships/hyperlink" Target="https://pubmed.ncbi.nlm.nih.gov/26408733" TargetMode="External"/><Relationship Id="rId4287" Type="http://schemas.openxmlformats.org/officeDocument/2006/relationships/hyperlink" Target="https://pubmed.ncbi.nlm.nih.gov/26457062" TargetMode="External"/><Relationship Id="rId4289" Type="http://schemas.openxmlformats.org/officeDocument/2006/relationships/hyperlink" Target="https://pubmed.ncbi.nlm.nih.gov/26502971" TargetMode="External"/><Relationship Id="rId4271" Type="http://schemas.openxmlformats.org/officeDocument/2006/relationships/hyperlink" Target="https://pubmed.ncbi.nlm.nih.gov/26492924" TargetMode="External"/><Relationship Id="rId4270" Type="http://schemas.openxmlformats.org/officeDocument/2006/relationships/hyperlink" Target="https://pubmed.ncbi.nlm.nih.gov/26584787" TargetMode="External"/><Relationship Id="rId4273" Type="http://schemas.openxmlformats.org/officeDocument/2006/relationships/hyperlink" Target="https://pubmed.ncbi.nlm.nih.gov/26485437" TargetMode="External"/><Relationship Id="rId4272" Type="http://schemas.openxmlformats.org/officeDocument/2006/relationships/hyperlink" Target="https://pubmed.ncbi.nlm.nih.gov/26490015" TargetMode="External"/><Relationship Id="rId4275" Type="http://schemas.openxmlformats.org/officeDocument/2006/relationships/hyperlink" Target="https://pubmed.ncbi.nlm.nih.gov/26482665" TargetMode="External"/><Relationship Id="rId4274" Type="http://schemas.openxmlformats.org/officeDocument/2006/relationships/hyperlink" Target="https://pubmed.ncbi.nlm.nih.gov/26426071" TargetMode="External"/><Relationship Id="rId4277" Type="http://schemas.openxmlformats.org/officeDocument/2006/relationships/hyperlink" Target="https://pubmed.ncbi.nlm.nih.gov/26465274" TargetMode="External"/><Relationship Id="rId4276" Type="http://schemas.openxmlformats.org/officeDocument/2006/relationships/hyperlink" Target="https://pubmed.ncbi.nlm.nih.gov/26473965" TargetMode="External"/><Relationship Id="rId4279" Type="http://schemas.openxmlformats.org/officeDocument/2006/relationships/hyperlink" Target="https://pubmed.ncbi.nlm.nih.gov/26463689" TargetMode="External"/><Relationship Id="rId4278" Type="http://schemas.openxmlformats.org/officeDocument/2006/relationships/hyperlink" Target="https://pubmed.ncbi.nlm.nih.gov/26465150" TargetMode="External"/><Relationship Id="rId4291" Type="http://schemas.openxmlformats.org/officeDocument/2006/relationships/hyperlink" Target="https://pubmed.ncbi.nlm.nih.gov/26412843" TargetMode="External"/><Relationship Id="rId4290" Type="http://schemas.openxmlformats.org/officeDocument/2006/relationships/hyperlink" Target="https://pubmed.ncbi.nlm.nih.gov/26424105" TargetMode="External"/><Relationship Id="rId4293" Type="http://schemas.openxmlformats.org/officeDocument/2006/relationships/hyperlink" Target="https://pubmed.ncbi.nlm.nih.gov/26424737" TargetMode="External"/><Relationship Id="rId4292" Type="http://schemas.openxmlformats.org/officeDocument/2006/relationships/hyperlink" Target="https://pubmed.ncbi.nlm.nih.gov/26121490" TargetMode="External"/><Relationship Id="rId4295" Type="http://schemas.openxmlformats.org/officeDocument/2006/relationships/hyperlink" Target="https://pubmed.ncbi.nlm.nih.gov/26418005" TargetMode="External"/><Relationship Id="rId4294" Type="http://schemas.openxmlformats.org/officeDocument/2006/relationships/hyperlink" Target="https://pubmed.ncbi.nlm.nih.gov/26420595" TargetMode="External"/><Relationship Id="rId4297" Type="http://schemas.openxmlformats.org/officeDocument/2006/relationships/hyperlink" Target="https://pubmed.ncbi.nlm.nih.gov/26410748" TargetMode="External"/><Relationship Id="rId4296" Type="http://schemas.openxmlformats.org/officeDocument/2006/relationships/hyperlink" Target="https://pubmed.ncbi.nlm.nih.gov/26415682" TargetMode="External"/><Relationship Id="rId4299" Type="http://schemas.openxmlformats.org/officeDocument/2006/relationships/hyperlink" Target="https://pubmed.ncbi.nlm.nih.gov/26395749" TargetMode="External"/><Relationship Id="rId4298" Type="http://schemas.openxmlformats.org/officeDocument/2006/relationships/hyperlink" Target="https://pubmed.ncbi.nlm.nih.gov/26404392" TargetMode="External"/><Relationship Id="rId4249" Type="http://schemas.openxmlformats.org/officeDocument/2006/relationships/hyperlink" Target="https://pubmed.ncbi.nlm.nih.gov/26577433" TargetMode="External"/><Relationship Id="rId5570" Type="http://schemas.openxmlformats.org/officeDocument/2006/relationships/hyperlink" Target="https://pubmed.ncbi.nlm.nih.gov/18262689" TargetMode="External"/><Relationship Id="rId5571" Type="http://schemas.openxmlformats.org/officeDocument/2006/relationships/hyperlink" Target="https://pubmed.ncbi.nlm.nih.gov/18184640" TargetMode="External"/><Relationship Id="rId4240" Type="http://schemas.openxmlformats.org/officeDocument/2006/relationships/hyperlink" Target="https://pubmed.ncbi.nlm.nih.gov/26586650" TargetMode="External"/><Relationship Id="rId4242" Type="http://schemas.openxmlformats.org/officeDocument/2006/relationships/hyperlink" Target="https://pubmed.ncbi.nlm.nih.gov/26577927" TargetMode="External"/><Relationship Id="rId5574" Type="http://schemas.openxmlformats.org/officeDocument/2006/relationships/hyperlink" Target="https://pubmed.ncbi.nlm.nih.gov/18779678" TargetMode="External"/><Relationship Id="rId4241" Type="http://schemas.openxmlformats.org/officeDocument/2006/relationships/hyperlink" Target="https://pubmed.ncbi.nlm.nih.gov/26597131" TargetMode="External"/><Relationship Id="rId5575" Type="http://schemas.openxmlformats.org/officeDocument/2006/relationships/hyperlink" Target="https://pubmed.ncbi.nlm.nih.gov/18088254" TargetMode="External"/><Relationship Id="rId4244" Type="http://schemas.openxmlformats.org/officeDocument/2006/relationships/hyperlink" Target="https://pubmed.ncbi.nlm.nih.gov/26574712" TargetMode="External"/><Relationship Id="rId5572" Type="http://schemas.openxmlformats.org/officeDocument/2006/relationships/hyperlink" Target="https://pubmed.ncbi.nlm.nih.gov/17917819" TargetMode="External"/><Relationship Id="rId4243" Type="http://schemas.openxmlformats.org/officeDocument/2006/relationships/hyperlink" Target="https://pubmed.ncbi.nlm.nih.gov/26597973" TargetMode="External"/><Relationship Id="rId5573" Type="http://schemas.openxmlformats.org/officeDocument/2006/relationships/hyperlink" Target="https://pubmed.ncbi.nlm.nih.gov/18561518" TargetMode="External"/><Relationship Id="rId4246" Type="http://schemas.openxmlformats.org/officeDocument/2006/relationships/hyperlink" Target="https://pubmed.ncbi.nlm.nih.gov/26568581" TargetMode="External"/><Relationship Id="rId5578" Type="http://schemas.openxmlformats.org/officeDocument/2006/relationships/hyperlink" Target="https://pubmed.ncbi.nlm.nih.gov/18063146" TargetMode="External"/><Relationship Id="rId4245" Type="http://schemas.openxmlformats.org/officeDocument/2006/relationships/hyperlink" Target="https://pubmed.ncbi.nlm.nih.gov/26503403" TargetMode="External"/><Relationship Id="rId5579" Type="http://schemas.openxmlformats.org/officeDocument/2006/relationships/hyperlink" Target="https://pubmed.ncbi.nlm.nih.gov/18225791" TargetMode="External"/><Relationship Id="rId4248" Type="http://schemas.openxmlformats.org/officeDocument/2006/relationships/hyperlink" Target="https://pubmed.ncbi.nlm.nih.gov/26560803" TargetMode="External"/><Relationship Id="rId5576" Type="http://schemas.openxmlformats.org/officeDocument/2006/relationships/hyperlink" Target="https://pubmed.ncbi.nlm.nih.gov/18199132" TargetMode="External"/><Relationship Id="rId4247" Type="http://schemas.openxmlformats.org/officeDocument/2006/relationships/hyperlink" Target="https://pubmed.ncbi.nlm.nih.gov/26573658" TargetMode="External"/><Relationship Id="rId5577" Type="http://schemas.openxmlformats.org/officeDocument/2006/relationships/hyperlink" Target="https://pubmed.ncbi.nlm.nih.gov/18609249" TargetMode="External"/><Relationship Id="rId4239" Type="http://schemas.openxmlformats.org/officeDocument/2006/relationships/hyperlink" Target="https://pubmed.ncbi.nlm.nih.gov/26583684" TargetMode="External"/><Relationship Id="rId4238" Type="http://schemas.openxmlformats.org/officeDocument/2006/relationships/hyperlink" Target="https://pubmed.ncbi.nlm.nih.gov/26590269" TargetMode="External"/><Relationship Id="rId5569" Type="http://schemas.openxmlformats.org/officeDocument/2006/relationships/hyperlink" Target="https://pubmed.ncbi.nlm.nih.gov/18221474" TargetMode="External"/><Relationship Id="rId5560" Type="http://schemas.openxmlformats.org/officeDocument/2006/relationships/hyperlink" Target="https://pubmed.ncbi.nlm.nih.gov/18461893" TargetMode="External"/><Relationship Id="rId495" Type="http://schemas.openxmlformats.org/officeDocument/2006/relationships/hyperlink" Target="https://pubmed.ncbi.nlm.nih.gov/37510368" TargetMode="External"/><Relationship Id="rId4231" Type="http://schemas.openxmlformats.org/officeDocument/2006/relationships/hyperlink" Target="https://pubmed.ncbi.nlm.nih.gov/26607934" TargetMode="External"/><Relationship Id="rId5563" Type="http://schemas.openxmlformats.org/officeDocument/2006/relationships/hyperlink" Target="https://pubmed.ncbi.nlm.nih.gov/18369358" TargetMode="External"/><Relationship Id="rId494" Type="http://schemas.openxmlformats.org/officeDocument/2006/relationships/hyperlink" Target="https://pubmed.ncbi.nlm.nih.gov/37475456" TargetMode="External"/><Relationship Id="rId4230" Type="http://schemas.openxmlformats.org/officeDocument/2006/relationships/hyperlink" Target="https://pubmed.ncbi.nlm.nih.gov/26628335" TargetMode="External"/><Relationship Id="rId5564" Type="http://schemas.openxmlformats.org/officeDocument/2006/relationships/hyperlink" Target="https://pubmed.ncbi.nlm.nih.gov/18337531" TargetMode="External"/><Relationship Id="rId493" Type="http://schemas.openxmlformats.org/officeDocument/2006/relationships/hyperlink" Target="https://pubmed.ncbi.nlm.nih.gov/37545542" TargetMode="External"/><Relationship Id="rId4233" Type="http://schemas.openxmlformats.org/officeDocument/2006/relationships/hyperlink" Target="https://pubmed.ncbi.nlm.nih.gov/26599636" TargetMode="External"/><Relationship Id="rId5561" Type="http://schemas.openxmlformats.org/officeDocument/2006/relationships/hyperlink" Target="https://pubmed.ncbi.nlm.nih.gov/18375414" TargetMode="External"/><Relationship Id="rId492" Type="http://schemas.openxmlformats.org/officeDocument/2006/relationships/hyperlink" Target="https://pubmed.ncbi.nlm.nih.gov/36757819" TargetMode="External"/><Relationship Id="rId4232" Type="http://schemas.openxmlformats.org/officeDocument/2006/relationships/hyperlink" Target="https://pubmed.ncbi.nlm.nih.gov/26616207" TargetMode="External"/><Relationship Id="rId5562" Type="http://schemas.openxmlformats.org/officeDocument/2006/relationships/hyperlink" Target="https://pubmed.ncbi.nlm.nih.gov/18353347" TargetMode="External"/><Relationship Id="rId499" Type="http://schemas.openxmlformats.org/officeDocument/2006/relationships/hyperlink" Target="https://pubmed.ncbi.nlm.nih.gov/37450431" TargetMode="External"/><Relationship Id="rId4235" Type="http://schemas.openxmlformats.org/officeDocument/2006/relationships/hyperlink" Target="https://pubmed.ncbi.nlm.nih.gov/26600017" TargetMode="External"/><Relationship Id="rId5567" Type="http://schemas.openxmlformats.org/officeDocument/2006/relationships/hyperlink" Target="https://pubmed.ncbi.nlm.nih.gov/18273039" TargetMode="External"/><Relationship Id="rId498" Type="http://schemas.openxmlformats.org/officeDocument/2006/relationships/hyperlink" Target="https://pubmed.ncbi.nlm.nih.gov/37459290" TargetMode="External"/><Relationship Id="rId4234" Type="http://schemas.openxmlformats.org/officeDocument/2006/relationships/hyperlink" Target="https://pubmed.ncbi.nlm.nih.gov/26598536" TargetMode="External"/><Relationship Id="rId5568" Type="http://schemas.openxmlformats.org/officeDocument/2006/relationships/hyperlink" Target="https://pubmed.ncbi.nlm.nih.gov/18212131" TargetMode="External"/><Relationship Id="rId497" Type="http://schemas.openxmlformats.org/officeDocument/2006/relationships/hyperlink" Target="https://pubmed.ncbi.nlm.nih.gov/37461310" TargetMode="External"/><Relationship Id="rId4237" Type="http://schemas.openxmlformats.org/officeDocument/2006/relationships/hyperlink" Target="https://pubmed.ncbi.nlm.nih.gov/26610417" TargetMode="External"/><Relationship Id="rId5565" Type="http://schemas.openxmlformats.org/officeDocument/2006/relationships/hyperlink" Target="https://pubmed.ncbi.nlm.nih.gov/18684421" TargetMode="External"/><Relationship Id="rId496" Type="http://schemas.openxmlformats.org/officeDocument/2006/relationships/hyperlink" Target="https://pubmed.ncbi.nlm.nih.gov/37464143" TargetMode="External"/><Relationship Id="rId4236" Type="http://schemas.openxmlformats.org/officeDocument/2006/relationships/hyperlink" Target="https://pubmed.ncbi.nlm.nih.gov/26596237" TargetMode="External"/><Relationship Id="rId5566" Type="http://schemas.openxmlformats.org/officeDocument/2006/relationships/hyperlink" Target="https://pubmed.ncbi.nlm.nih.gov/18471661" TargetMode="External"/><Relationship Id="rId4260" Type="http://schemas.openxmlformats.org/officeDocument/2006/relationships/hyperlink" Target="https://pubmed.ncbi.nlm.nih.gov/26540190" TargetMode="External"/><Relationship Id="rId5592" Type="http://schemas.openxmlformats.org/officeDocument/2006/relationships/hyperlink" Target="https://pubmed.ncbi.nlm.nih.gov/17883832" TargetMode="External"/><Relationship Id="rId5593" Type="http://schemas.openxmlformats.org/officeDocument/2006/relationships/hyperlink" Target="https://pubmed.ncbi.nlm.nih.gov/18035088" TargetMode="External"/><Relationship Id="rId4262" Type="http://schemas.openxmlformats.org/officeDocument/2006/relationships/hyperlink" Target="https://pubmed.ncbi.nlm.nih.gov/26603070" TargetMode="External"/><Relationship Id="rId5590" Type="http://schemas.openxmlformats.org/officeDocument/2006/relationships/hyperlink" Target="https://pubmed.ncbi.nlm.nih.gov/17909394" TargetMode="External"/><Relationship Id="rId4261" Type="http://schemas.openxmlformats.org/officeDocument/2006/relationships/hyperlink" Target="https://pubmed.ncbi.nlm.nih.gov/26541522" TargetMode="External"/><Relationship Id="rId5591" Type="http://schemas.openxmlformats.org/officeDocument/2006/relationships/hyperlink" Target="https://pubmed.ncbi.nlm.nih.gov/17931055" TargetMode="External"/><Relationship Id="rId4264" Type="http://schemas.openxmlformats.org/officeDocument/2006/relationships/hyperlink" Target="https://pubmed.ncbi.nlm.nih.gov/26510729" TargetMode="External"/><Relationship Id="rId5596" Type="http://schemas.openxmlformats.org/officeDocument/2006/relationships/hyperlink" Target="https://pubmed.ncbi.nlm.nih.gov/17804213" TargetMode="External"/><Relationship Id="rId4263" Type="http://schemas.openxmlformats.org/officeDocument/2006/relationships/hyperlink" Target="https://pubmed.ncbi.nlm.nih.gov/26514920" TargetMode="External"/><Relationship Id="rId5597" Type="http://schemas.openxmlformats.org/officeDocument/2006/relationships/hyperlink" Target="https://pubmed.ncbi.nlm.nih.gov/17726040" TargetMode="External"/><Relationship Id="rId4266" Type="http://schemas.openxmlformats.org/officeDocument/2006/relationships/hyperlink" Target="https://pubmed.ncbi.nlm.nih.gov/26510957" TargetMode="External"/><Relationship Id="rId5594" Type="http://schemas.openxmlformats.org/officeDocument/2006/relationships/hyperlink" Target="https://pubmed.ncbi.nlm.nih.gov/17828438" TargetMode="External"/><Relationship Id="rId4265" Type="http://schemas.openxmlformats.org/officeDocument/2006/relationships/hyperlink" Target="https://pubmed.ncbi.nlm.nih.gov/26511519" TargetMode="External"/><Relationship Id="rId5595" Type="http://schemas.openxmlformats.org/officeDocument/2006/relationships/hyperlink" Target="https://pubmed.ncbi.nlm.nih.gov/17767724" TargetMode="External"/><Relationship Id="rId4268" Type="http://schemas.openxmlformats.org/officeDocument/2006/relationships/hyperlink" Target="https://pubmed.ncbi.nlm.nih.gov/26503971" TargetMode="External"/><Relationship Id="rId4267" Type="http://schemas.openxmlformats.org/officeDocument/2006/relationships/hyperlink" Target="https://pubmed.ncbi.nlm.nih.gov/26506014" TargetMode="External"/><Relationship Id="rId5598" Type="http://schemas.openxmlformats.org/officeDocument/2006/relationships/hyperlink" Target="https://pubmed.ncbi.nlm.nih.gov/18632039" TargetMode="External"/><Relationship Id="rId4269" Type="http://schemas.openxmlformats.org/officeDocument/2006/relationships/hyperlink" Target="https://pubmed.ncbi.nlm.nih.gov/26503388" TargetMode="External"/><Relationship Id="rId5599" Type="http://schemas.openxmlformats.org/officeDocument/2006/relationships/hyperlink" Target="https://pubmed.ncbi.nlm.nih.gov/18632034" TargetMode="External"/><Relationship Id="rId5581" Type="http://schemas.openxmlformats.org/officeDocument/2006/relationships/hyperlink" Target="https://pubmed.ncbi.nlm.nih.gov/18056887" TargetMode="External"/><Relationship Id="rId5582" Type="http://schemas.openxmlformats.org/officeDocument/2006/relationships/hyperlink" Target="https://pubmed.ncbi.nlm.nih.gov/18043302" TargetMode="External"/><Relationship Id="rId4251" Type="http://schemas.openxmlformats.org/officeDocument/2006/relationships/hyperlink" Target="https://pubmed.ncbi.nlm.nih.gov/26554655" TargetMode="External"/><Relationship Id="rId4250" Type="http://schemas.openxmlformats.org/officeDocument/2006/relationships/hyperlink" Target="https://pubmed.ncbi.nlm.nih.gov/26554881" TargetMode="External"/><Relationship Id="rId5580" Type="http://schemas.openxmlformats.org/officeDocument/2006/relationships/hyperlink" Target="https://pubmed.ncbi.nlm.nih.gov/18064566" TargetMode="External"/><Relationship Id="rId4253" Type="http://schemas.openxmlformats.org/officeDocument/2006/relationships/hyperlink" Target="https://pubmed.ncbi.nlm.nih.gov/26607059" TargetMode="External"/><Relationship Id="rId5585" Type="http://schemas.openxmlformats.org/officeDocument/2006/relationships/hyperlink" Target="https://pubmed.ncbi.nlm.nih.gov/17917558" TargetMode="External"/><Relationship Id="rId4252" Type="http://schemas.openxmlformats.org/officeDocument/2006/relationships/hyperlink" Target="https://pubmed.ncbi.nlm.nih.gov/26555849" TargetMode="External"/><Relationship Id="rId5586" Type="http://schemas.openxmlformats.org/officeDocument/2006/relationships/hyperlink" Target="https://pubmed.ncbi.nlm.nih.gov/18035098" TargetMode="External"/><Relationship Id="rId4255" Type="http://schemas.openxmlformats.org/officeDocument/2006/relationships/hyperlink" Target="https://pubmed.ncbi.nlm.nih.gov/26553142" TargetMode="External"/><Relationship Id="rId5583" Type="http://schemas.openxmlformats.org/officeDocument/2006/relationships/hyperlink" Target="https://pubmed.ncbi.nlm.nih.gov/18079566" TargetMode="External"/><Relationship Id="rId4254" Type="http://schemas.openxmlformats.org/officeDocument/2006/relationships/hyperlink" Target="https://pubmed.ncbi.nlm.nih.gov/26614257" TargetMode="External"/><Relationship Id="rId5584" Type="http://schemas.openxmlformats.org/officeDocument/2006/relationships/hyperlink" Target="https://pubmed.ncbi.nlm.nih.gov/18083464" TargetMode="External"/><Relationship Id="rId4257" Type="http://schemas.openxmlformats.org/officeDocument/2006/relationships/hyperlink" Target="https://pubmed.ncbi.nlm.nih.gov/26559329" TargetMode="External"/><Relationship Id="rId5589" Type="http://schemas.openxmlformats.org/officeDocument/2006/relationships/hyperlink" Target="https://pubmed.ncbi.nlm.nih.gov/17926133" TargetMode="External"/><Relationship Id="rId4256" Type="http://schemas.openxmlformats.org/officeDocument/2006/relationships/hyperlink" Target="https://pubmed.ncbi.nlm.nih.gov/26551023" TargetMode="External"/><Relationship Id="rId4259" Type="http://schemas.openxmlformats.org/officeDocument/2006/relationships/hyperlink" Target="https://pubmed.ncbi.nlm.nih.gov/26642373" TargetMode="External"/><Relationship Id="rId5587" Type="http://schemas.openxmlformats.org/officeDocument/2006/relationships/hyperlink" Target="https://pubmed.ncbi.nlm.nih.gov/17963872" TargetMode="External"/><Relationship Id="rId4258" Type="http://schemas.openxmlformats.org/officeDocument/2006/relationships/hyperlink" Target="https://pubmed.ncbi.nlm.nih.gov/28800683" TargetMode="External"/><Relationship Id="rId5588" Type="http://schemas.openxmlformats.org/officeDocument/2006/relationships/hyperlink" Target="https://pubmed.ncbi.nlm.nih.gov/17962235" TargetMode="External"/><Relationship Id="rId409" Type="http://schemas.openxmlformats.org/officeDocument/2006/relationships/hyperlink" Target="https://pubmed.ncbi.nlm.nih.gov/37022971" TargetMode="External"/><Relationship Id="rId404" Type="http://schemas.openxmlformats.org/officeDocument/2006/relationships/hyperlink" Target="https://pubmed.ncbi.nlm.nih.gov/37822705" TargetMode="External"/><Relationship Id="rId403" Type="http://schemas.openxmlformats.org/officeDocument/2006/relationships/hyperlink" Target="https://pubmed.ncbi.nlm.nih.gov/37772070" TargetMode="External"/><Relationship Id="rId402" Type="http://schemas.openxmlformats.org/officeDocument/2006/relationships/hyperlink" Target="https://pubmed.ncbi.nlm.nih.gov/37809288" TargetMode="External"/><Relationship Id="rId401" Type="http://schemas.openxmlformats.org/officeDocument/2006/relationships/hyperlink" Target="https://pubmed.ncbi.nlm.nih.gov/37737287" TargetMode="External"/><Relationship Id="rId408" Type="http://schemas.openxmlformats.org/officeDocument/2006/relationships/hyperlink" Target="https://pubmed.ncbi.nlm.nih.gov/37725026" TargetMode="External"/><Relationship Id="rId407" Type="http://schemas.openxmlformats.org/officeDocument/2006/relationships/hyperlink" Target="https://pubmed.ncbi.nlm.nih.gov/37730580" TargetMode="External"/><Relationship Id="rId406" Type="http://schemas.openxmlformats.org/officeDocument/2006/relationships/hyperlink" Target="https://pubmed.ncbi.nlm.nih.gov/37840587" TargetMode="External"/><Relationship Id="rId405" Type="http://schemas.openxmlformats.org/officeDocument/2006/relationships/hyperlink" Target="https://pubmed.ncbi.nlm.nih.gov/37742123" TargetMode="External"/><Relationship Id="rId400" Type="http://schemas.openxmlformats.org/officeDocument/2006/relationships/hyperlink" Target="https://pubmed.ncbi.nlm.nih.gov/38414541" TargetMode="External"/><Relationship Id="rId4327" Type="http://schemas.openxmlformats.org/officeDocument/2006/relationships/hyperlink" Target="https://pubmed.ncbi.nlm.nih.gov/26342536" TargetMode="External"/><Relationship Id="rId5659" Type="http://schemas.openxmlformats.org/officeDocument/2006/relationships/hyperlink" Target="https://pubmed.ncbi.nlm.nih.gov/17038197" TargetMode="External"/><Relationship Id="rId4326" Type="http://schemas.openxmlformats.org/officeDocument/2006/relationships/hyperlink" Target="https://pubmed.ncbi.nlm.nih.gov/26317406" TargetMode="External"/><Relationship Id="rId4329" Type="http://schemas.openxmlformats.org/officeDocument/2006/relationships/hyperlink" Target="https://pubmed.ncbi.nlm.nih.gov/26316651" TargetMode="External"/><Relationship Id="rId5657" Type="http://schemas.openxmlformats.org/officeDocument/2006/relationships/hyperlink" Target="https://pubmed.ncbi.nlm.nih.gov/17065182" TargetMode="External"/><Relationship Id="rId4328" Type="http://schemas.openxmlformats.org/officeDocument/2006/relationships/hyperlink" Target="https://pubmed.ncbi.nlm.nih.gov/26318537" TargetMode="External"/><Relationship Id="rId5658" Type="http://schemas.openxmlformats.org/officeDocument/2006/relationships/hyperlink" Target="https://pubmed.ncbi.nlm.nih.gov/17059588" TargetMode="External"/><Relationship Id="rId469" Type="http://schemas.openxmlformats.org/officeDocument/2006/relationships/hyperlink" Target="https://pubmed.ncbi.nlm.nih.gov/37602261" TargetMode="External"/><Relationship Id="rId468" Type="http://schemas.openxmlformats.org/officeDocument/2006/relationships/hyperlink" Target="https://pubmed.ncbi.nlm.nih.gov/37545248" TargetMode="External"/><Relationship Id="rId467" Type="http://schemas.openxmlformats.org/officeDocument/2006/relationships/hyperlink" Target="https://pubmed.ncbi.nlm.nih.gov/37552324" TargetMode="External"/><Relationship Id="rId462" Type="http://schemas.openxmlformats.org/officeDocument/2006/relationships/hyperlink" Target="https://pubmed.ncbi.nlm.nih.gov/37563849" TargetMode="External"/><Relationship Id="rId5651" Type="http://schemas.openxmlformats.org/officeDocument/2006/relationships/hyperlink" Target="https://pubmed.ncbi.nlm.nih.gov/17158437" TargetMode="External"/><Relationship Id="rId461" Type="http://schemas.openxmlformats.org/officeDocument/2006/relationships/hyperlink" Target="https://pubmed.ncbi.nlm.nih.gov/37591035" TargetMode="External"/><Relationship Id="rId5652" Type="http://schemas.openxmlformats.org/officeDocument/2006/relationships/hyperlink" Target="https://pubmed.ncbi.nlm.nih.gov/17118864" TargetMode="External"/><Relationship Id="rId460" Type="http://schemas.openxmlformats.org/officeDocument/2006/relationships/hyperlink" Target="https://pubmed.ncbi.nlm.nih.gov/37561196" TargetMode="External"/><Relationship Id="rId4321" Type="http://schemas.openxmlformats.org/officeDocument/2006/relationships/hyperlink" Target="https://pubmed.ncbi.nlm.nih.gov/26330303" TargetMode="External"/><Relationship Id="rId4320" Type="http://schemas.openxmlformats.org/officeDocument/2006/relationships/hyperlink" Target="https://pubmed.ncbi.nlm.nih.gov/26331473" TargetMode="External"/><Relationship Id="rId5650" Type="http://schemas.openxmlformats.org/officeDocument/2006/relationships/hyperlink" Target="https://pubmed.ncbi.nlm.nih.gov/17143135" TargetMode="External"/><Relationship Id="rId466" Type="http://schemas.openxmlformats.org/officeDocument/2006/relationships/hyperlink" Target="https://pubmed.ncbi.nlm.nih.gov/37565468" TargetMode="External"/><Relationship Id="rId4323" Type="http://schemas.openxmlformats.org/officeDocument/2006/relationships/hyperlink" Target="https://pubmed.ncbi.nlm.nih.gov/26293559" TargetMode="External"/><Relationship Id="rId5655" Type="http://schemas.openxmlformats.org/officeDocument/2006/relationships/hyperlink" Target="https://pubmed.ncbi.nlm.nih.gov/17097858" TargetMode="External"/><Relationship Id="rId465" Type="http://schemas.openxmlformats.org/officeDocument/2006/relationships/hyperlink" Target="https://pubmed.ncbi.nlm.nih.gov/37558656" TargetMode="External"/><Relationship Id="rId4322" Type="http://schemas.openxmlformats.org/officeDocument/2006/relationships/hyperlink" Target="https://pubmed.ncbi.nlm.nih.gov/26262512" TargetMode="External"/><Relationship Id="rId5656" Type="http://schemas.openxmlformats.org/officeDocument/2006/relationships/hyperlink" Target="https://pubmed.ncbi.nlm.nih.gov/17076979" TargetMode="External"/><Relationship Id="rId464" Type="http://schemas.openxmlformats.org/officeDocument/2006/relationships/hyperlink" Target="https://pubmed.ncbi.nlm.nih.gov/37559474" TargetMode="External"/><Relationship Id="rId4325" Type="http://schemas.openxmlformats.org/officeDocument/2006/relationships/hyperlink" Target="https://pubmed.ncbi.nlm.nih.gov/26693197" TargetMode="External"/><Relationship Id="rId5653" Type="http://schemas.openxmlformats.org/officeDocument/2006/relationships/hyperlink" Target="https://pubmed.ncbi.nlm.nih.gov/17132759" TargetMode="External"/><Relationship Id="rId463" Type="http://schemas.openxmlformats.org/officeDocument/2006/relationships/hyperlink" Target="https://pubmed.ncbi.nlm.nih.gov/37119119" TargetMode="External"/><Relationship Id="rId4324" Type="http://schemas.openxmlformats.org/officeDocument/2006/relationships/hyperlink" Target="https://pubmed.ncbi.nlm.nih.gov/26322669" TargetMode="External"/><Relationship Id="rId5654" Type="http://schemas.openxmlformats.org/officeDocument/2006/relationships/hyperlink" Target="https://pubmed.ncbi.nlm.nih.gov/17136106" TargetMode="External"/><Relationship Id="rId4316" Type="http://schemas.openxmlformats.org/officeDocument/2006/relationships/hyperlink" Target="https://pubmed.ncbi.nlm.nih.gov/26340912" TargetMode="External"/><Relationship Id="rId5648" Type="http://schemas.openxmlformats.org/officeDocument/2006/relationships/hyperlink" Target="https://pubmed.ncbi.nlm.nih.gov/17356278" TargetMode="External"/><Relationship Id="rId4315" Type="http://schemas.openxmlformats.org/officeDocument/2006/relationships/hyperlink" Target="https://pubmed.ncbi.nlm.nih.gov/26337766" TargetMode="External"/><Relationship Id="rId5649" Type="http://schemas.openxmlformats.org/officeDocument/2006/relationships/hyperlink" Target="https://pubmed.ncbi.nlm.nih.gov/17205943" TargetMode="External"/><Relationship Id="rId4318" Type="http://schemas.openxmlformats.org/officeDocument/2006/relationships/hyperlink" Target="https://pubmed.ncbi.nlm.nih.gov/26338176" TargetMode="External"/><Relationship Id="rId5646" Type="http://schemas.openxmlformats.org/officeDocument/2006/relationships/hyperlink" Target="https://pubmed.ncbi.nlm.nih.gov/17130685" TargetMode="External"/><Relationship Id="rId4317" Type="http://schemas.openxmlformats.org/officeDocument/2006/relationships/hyperlink" Target="https://pubmed.ncbi.nlm.nih.gov/26334394" TargetMode="External"/><Relationship Id="rId5647" Type="http://schemas.openxmlformats.org/officeDocument/2006/relationships/hyperlink" Target="https://pubmed.ncbi.nlm.nih.gov/17210381" TargetMode="External"/><Relationship Id="rId4319" Type="http://schemas.openxmlformats.org/officeDocument/2006/relationships/hyperlink" Target="https://pubmed.ncbi.nlm.nih.gov/26543401" TargetMode="External"/><Relationship Id="rId459" Type="http://schemas.openxmlformats.org/officeDocument/2006/relationships/hyperlink" Target="https://pubmed.ncbi.nlm.nih.gov/37625051" TargetMode="External"/><Relationship Id="rId458" Type="http://schemas.openxmlformats.org/officeDocument/2006/relationships/hyperlink" Target="https://pubmed.ncbi.nlm.nih.gov/37625052" TargetMode="External"/><Relationship Id="rId457" Type="http://schemas.openxmlformats.org/officeDocument/2006/relationships/hyperlink" Target="https://pubmed.ncbi.nlm.nih.gov/37586135" TargetMode="External"/><Relationship Id="rId456" Type="http://schemas.openxmlformats.org/officeDocument/2006/relationships/hyperlink" Target="https://pubmed.ncbi.nlm.nih.gov/37627145" TargetMode="External"/><Relationship Id="rId451" Type="http://schemas.openxmlformats.org/officeDocument/2006/relationships/hyperlink" Target="https://pubmed.ncbi.nlm.nih.gov/37594020" TargetMode="External"/><Relationship Id="rId5640" Type="http://schemas.openxmlformats.org/officeDocument/2006/relationships/hyperlink" Target="https://pubmed.ncbi.nlm.nih.gov/17222850" TargetMode="External"/><Relationship Id="rId450" Type="http://schemas.openxmlformats.org/officeDocument/2006/relationships/hyperlink" Target="https://pubmed.ncbi.nlm.nih.gov/37598505" TargetMode="External"/><Relationship Id="rId5641" Type="http://schemas.openxmlformats.org/officeDocument/2006/relationships/hyperlink" Target="https://pubmed.ncbi.nlm.nih.gov/17215313" TargetMode="External"/><Relationship Id="rId4310" Type="http://schemas.openxmlformats.org/officeDocument/2006/relationships/hyperlink" Target="https://pubmed.ncbi.nlm.nih.gov/26347153" TargetMode="External"/><Relationship Id="rId455" Type="http://schemas.openxmlformats.org/officeDocument/2006/relationships/hyperlink" Target="https://pubmed.ncbi.nlm.nih.gov/37599899" TargetMode="External"/><Relationship Id="rId4312" Type="http://schemas.openxmlformats.org/officeDocument/2006/relationships/hyperlink" Target="https://pubmed.ncbi.nlm.nih.gov/26347247" TargetMode="External"/><Relationship Id="rId5644" Type="http://schemas.openxmlformats.org/officeDocument/2006/relationships/hyperlink" Target="https://pubmed.ncbi.nlm.nih.gov/17664496" TargetMode="External"/><Relationship Id="rId454" Type="http://schemas.openxmlformats.org/officeDocument/2006/relationships/hyperlink" Target="https://pubmed.ncbi.nlm.nih.gov/37587149" TargetMode="External"/><Relationship Id="rId4311" Type="http://schemas.openxmlformats.org/officeDocument/2006/relationships/hyperlink" Target="https://pubmed.ncbi.nlm.nih.gov/26234771" TargetMode="External"/><Relationship Id="rId5645" Type="http://schemas.openxmlformats.org/officeDocument/2006/relationships/hyperlink" Target="https://pubmed.ncbi.nlm.nih.gov/17692133" TargetMode="External"/><Relationship Id="rId453" Type="http://schemas.openxmlformats.org/officeDocument/2006/relationships/hyperlink" Target="https://pubmed.ncbi.nlm.nih.gov/37663263" TargetMode="External"/><Relationship Id="rId4314" Type="http://schemas.openxmlformats.org/officeDocument/2006/relationships/hyperlink" Target="https://pubmed.ncbi.nlm.nih.gov/26340977" TargetMode="External"/><Relationship Id="rId5642" Type="http://schemas.openxmlformats.org/officeDocument/2006/relationships/hyperlink" Target="https://pubmed.ncbi.nlm.nih.gov/17203360" TargetMode="External"/><Relationship Id="rId452" Type="http://schemas.openxmlformats.org/officeDocument/2006/relationships/hyperlink" Target="https://pubmed.ncbi.nlm.nih.gov/37597862" TargetMode="External"/><Relationship Id="rId4313" Type="http://schemas.openxmlformats.org/officeDocument/2006/relationships/hyperlink" Target="https://pubmed.ncbi.nlm.nih.gov/26346055" TargetMode="External"/><Relationship Id="rId5643" Type="http://schemas.openxmlformats.org/officeDocument/2006/relationships/hyperlink" Target="https://pubmed.ncbi.nlm.nih.gov/17200150" TargetMode="External"/><Relationship Id="rId3018" Type="http://schemas.openxmlformats.org/officeDocument/2006/relationships/hyperlink" Target="https://pubmed.ncbi.nlm.nih.gov/30482628" TargetMode="External"/><Relationship Id="rId4349" Type="http://schemas.openxmlformats.org/officeDocument/2006/relationships/hyperlink" Target="https://pubmed.ncbi.nlm.nih.gov/28190977" TargetMode="External"/><Relationship Id="rId3017" Type="http://schemas.openxmlformats.org/officeDocument/2006/relationships/hyperlink" Target="https://pubmed.ncbi.nlm.nih.gov/30934029" TargetMode="External"/><Relationship Id="rId4348" Type="http://schemas.openxmlformats.org/officeDocument/2006/relationships/hyperlink" Target="https://pubmed.ncbi.nlm.nih.gov/26269094" TargetMode="External"/><Relationship Id="rId5679" Type="http://schemas.openxmlformats.org/officeDocument/2006/relationships/hyperlink" Target="https://pubmed.ncbi.nlm.nih.gov/16740826" TargetMode="External"/><Relationship Id="rId3019" Type="http://schemas.openxmlformats.org/officeDocument/2006/relationships/hyperlink" Target="https://pubmed.ncbi.nlm.nih.gov/30341918" TargetMode="External"/><Relationship Id="rId491" Type="http://schemas.openxmlformats.org/officeDocument/2006/relationships/hyperlink" Target="https://pubmed.ncbi.nlm.nih.gov/37477803" TargetMode="External"/><Relationship Id="rId490" Type="http://schemas.openxmlformats.org/officeDocument/2006/relationships/hyperlink" Target="https://pubmed.ncbi.nlm.nih.gov/37482528" TargetMode="External"/><Relationship Id="rId489" Type="http://schemas.openxmlformats.org/officeDocument/2006/relationships/hyperlink" Target="https://pubmed.ncbi.nlm.nih.gov/37489093" TargetMode="External"/><Relationship Id="rId5670" Type="http://schemas.openxmlformats.org/officeDocument/2006/relationships/hyperlink" Target="https://pubmed.ncbi.nlm.nih.gov/16882374" TargetMode="External"/><Relationship Id="rId484" Type="http://schemas.openxmlformats.org/officeDocument/2006/relationships/hyperlink" Target="https://pubmed.ncbi.nlm.nih.gov/37506078" TargetMode="External"/><Relationship Id="rId3010" Type="http://schemas.openxmlformats.org/officeDocument/2006/relationships/hyperlink" Target="https://pubmed.ncbi.nlm.nih.gov/30367014" TargetMode="External"/><Relationship Id="rId4341" Type="http://schemas.openxmlformats.org/officeDocument/2006/relationships/hyperlink" Target="https://pubmed.ncbi.nlm.nih.gov/26291281" TargetMode="External"/><Relationship Id="rId5673" Type="http://schemas.openxmlformats.org/officeDocument/2006/relationships/hyperlink" Target="https://pubmed.ncbi.nlm.nih.gov/16980151" TargetMode="External"/><Relationship Id="rId483" Type="http://schemas.openxmlformats.org/officeDocument/2006/relationships/hyperlink" Target="https://pubmed.ncbi.nlm.nih.gov/37505117" TargetMode="External"/><Relationship Id="rId4340" Type="http://schemas.openxmlformats.org/officeDocument/2006/relationships/hyperlink" Target="https://pubmed.ncbi.nlm.nih.gov/26287812" TargetMode="External"/><Relationship Id="rId5674" Type="http://schemas.openxmlformats.org/officeDocument/2006/relationships/hyperlink" Target="https://pubmed.ncbi.nlm.nih.gov/16822449" TargetMode="External"/><Relationship Id="rId482" Type="http://schemas.openxmlformats.org/officeDocument/2006/relationships/hyperlink" Target="https://pubmed.ncbi.nlm.nih.gov/37546893" TargetMode="External"/><Relationship Id="rId3012" Type="http://schemas.openxmlformats.org/officeDocument/2006/relationships/hyperlink" Target="https://pubmed.ncbi.nlm.nih.gov/30252144" TargetMode="External"/><Relationship Id="rId4343" Type="http://schemas.openxmlformats.org/officeDocument/2006/relationships/hyperlink" Target="https://pubmed.ncbi.nlm.nih.gov/26282569" TargetMode="External"/><Relationship Id="rId5671" Type="http://schemas.openxmlformats.org/officeDocument/2006/relationships/hyperlink" Target="https://pubmed.ncbi.nlm.nih.gov/16873778" TargetMode="External"/><Relationship Id="rId481" Type="http://schemas.openxmlformats.org/officeDocument/2006/relationships/hyperlink" Target="https://pubmed.ncbi.nlm.nih.gov/37438875" TargetMode="External"/><Relationship Id="rId3011" Type="http://schemas.openxmlformats.org/officeDocument/2006/relationships/hyperlink" Target="https://pubmed.ncbi.nlm.nih.gov/30365564" TargetMode="External"/><Relationship Id="rId4342" Type="http://schemas.openxmlformats.org/officeDocument/2006/relationships/hyperlink" Target="https://pubmed.ncbi.nlm.nih.gov/26288091" TargetMode="External"/><Relationship Id="rId5672" Type="http://schemas.openxmlformats.org/officeDocument/2006/relationships/hyperlink" Target="https://pubmed.ncbi.nlm.nih.gov/16835264" TargetMode="External"/><Relationship Id="rId488" Type="http://schemas.openxmlformats.org/officeDocument/2006/relationships/hyperlink" Target="https://pubmed.ncbi.nlm.nih.gov/37488428" TargetMode="External"/><Relationship Id="rId3014" Type="http://schemas.openxmlformats.org/officeDocument/2006/relationships/hyperlink" Target="https://pubmed.ncbi.nlm.nih.gov/30352877" TargetMode="External"/><Relationship Id="rId4345" Type="http://schemas.openxmlformats.org/officeDocument/2006/relationships/hyperlink" Target="https://pubmed.ncbi.nlm.nih.gov/26283776" TargetMode="External"/><Relationship Id="rId5677" Type="http://schemas.openxmlformats.org/officeDocument/2006/relationships/hyperlink" Target="https://pubmed.ncbi.nlm.nih.gov/16980150" TargetMode="External"/><Relationship Id="rId487" Type="http://schemas.openxmlformats.org/officeDocument/2006/relationships/hyperlink" Target="https://pubmed.ncbi.nlm.nih.gov/37576543" TargetMode="External"/><Relationship Id="rId3013" Type="http://schemas.openxmlformats.org/officeDocument/2006/relationships/hyperlink" Target="https://pubmed.ncbi.nlm.nih.gov/30353050" TargetMode="External"/><Relationship Id="rId4344" Type="http://schemas.openxmlformats.org/officeDocument/2006/relationships/hyperlink" Target="https://pubmed.ncbi.nlm.nih.gov/25402630" TargetMode="External"/><Relationship Id="rId5678" Type="http://schemas.openxmlformats.org/officeDocument/2006/relationships/hyperlink" Target="https://pubmed.ncbi.nlm.nih.gov/16750966" TargetMode="External"/><Relationship Id="rId486" Type="http://schemas.openxmlformats.org/officeDocument/2006/relationships/hyperlink" Target="https://pubmed.ncbi.nlm.nih.gov/37494924" TargetMode="External"/><Relationship Id="rId3016" Type="http://schemas.openxmlformats.org/officeDocument/2006/relationships/hyperlink" Target="https://pubmed.ncbi.nlm.nih.gov/30348163" TargetMode="External"/><Relationship Id="rId4347" Type="http://schemas.openxmlformats.org/officeDocument/2006/relationships/hyperlink" Target="https://pubmed.ncbi.nlm.nih.gov/26318399" TargetMode="External"/><Relationship Id="rId5675" Type="http://schemas.openxmlformats.org/officeDocument/2006/relationships/hyperlink" Target="https://pubmed.ncbi.nlm.nih.gov/16804050" TargetMode="External"/><Relationship Id="rId485" Type="http://schemas.openxmlformats.org/officeDocument/2006/relationships/hyperlink" Target="https://pubmed.ncbi.nlm.nih.gov/37592968" TargetMode="External"/><Relationship Id="rId3015" Type="http://schemas.openxmlformats.org/officeDocument/2006/relationships/hyperlink" Target="https://pubmed.ncbi.nlm.nih.gov/30347470" TargetMode="External"/><Relationship Id="rId4346" Type="http://schemas.openxmlformats.org/officeDocument/2006/relationships/hyperlink" Target="https://pubmed.ncbi.nlm.nih.gov/26274920" TargetMode="External"/><Relationship Id="rId5676" Type="http://schemas.openxmlformats.org/officeDocument/2006/relationships/hyperlink" Target="https://pubmed.ncbi.nlm.nih.gov/16788293" TargetMode="External"/><Relationship Id="rId3007" Type="http://schemas.openxmlformats.org/officeDocument/2006/relationships/hyperlink" Target="https://pubmed.ncbi.nlm.nih.gov/30377935" TargetMode="External"/><Relationship Id="rId4338" Type="http://schemas.openxmlformats.org/officeDocument/2006/relationships/hyperlink" Target="https://pubmed.ncbi.nlm.nih.gov/26341466" TargetMode="External"/><Relationship Id="rId3006" Type="http://schemas.openxmlformats.org/officeDocument/2006/relationships/hyperlink" Target="https://pubmed.ncbi.nlm.nih.gov/30377740" TargetMode="External"/><Relationship Id="rId4337" Type="http://schemas.openxmlformats.org/officeDocument/2006/relationships/hyperlink" Target="https://pubmed.ncbi.nlm.nih.gov/26307606" TargetMode="External"/><Relationship Id="rId3009" Type="http://schemas.openxmlformats.org/officeDocument/2006/relationships/hyperlink" Target="https://pubmed.ncbi.nlm.nih.gov/30367067" TargetMode="External"/><Relationship Id="rId5668" Type="http://schemas.openxmlformats.org/officeDocument/2006/relationships/hyperlink" Target="https://pubmed.ncbi.nlm.nih.gov/16887030" TargetMode="External"/><Relationship Id="rId3008" Type="http://schemas.openxmlformats.org/officeDocument/2006/relationships/hyperlink" Target="https://pubmed.ncbi.nlm.nih.gov/30252539" TargetMode="External"/><Relationship Id="rId4339" Type="http://schemas.openxmlformats.org/officeDocument/2006/relationships/hyperlink" Target="https://pubmed.ncbi.nlm.nih.gov/26178535" TargetMode="External"/><Relationship Id="rId5669" Type="http://schemas.openxmlformats.org/officeDocument/2006/relationships/hyperlink" Target="https://pubmed.ncbi.nlm.nih.gov/16864675" TargetMode="External"/><Relationship Id="rId480" Type="http://schemas.openxmlformats.org/officeDocument/2006/relationships/hyperlink" Target="https://pubmed.ncbi.nlm.nih.gov/37498223" TargetMode="External"/><Relationship Id="rId479" Type="http://schemas.openxmlformats.org/officeDocument/2006/relationships/hyperlink" Target="https://pubmed.ncbi.nlm.nih.gov/38533475" TargetMode="External"/><Relationship Id="rId478" Type="http://schemas.openxmlformats.org/officeDocument/2006/relationships/hyperlink" Target="https://pubmed.ncbi.nlm.nih.gov/37603842" TargetMode="External"/><Relationship Id="rId473" Type="http://schemas.openxmlformats.org/officeDocument/2006/relationships/hyperlink" Target="https://pubmed.ncbi.nlm.nih.gov/37552061" TargetMode="External"/><Relationship Id="rId4330" Type="http://schemas.openxmlformats.org/officeDocument/2006/relationships/hyperlink" Target="https://pubmed.ncbi.nlm.nih.gov/26316579" TargetMode="External"/><Relationship Id="rId5662" Type="http://schemas.openxmlformats.org/officeDocument/2006/relationships/hyperlink" Target="https://pubmed.ncbi.nlm.nih.gov/16954002" TargetMode="External"/><Relationship Id="rId472" Type="http://schemas.openxmlformats.org/officeDocument/2006/relationships/hyperlink" Target="https://pubmed.ncbi.nlm.nih.gov/37628624" TargetMode="External"/><Relationship Id="rId5663" Type="http://schemas.openxmlformats.org/officeDocument/2006/relationships/hyperlink" Target="https://pubmed.ncbi.nlm.nih.gov/16865684" TargetMode="External"/><Relationship Id="rId471" Type="http://schemas.openxmlformats.org/officeDocument/2006/relationships/hyperlink" Target="https://pubmed.ncbi.nlm.nih.gov/37609922" TargetMode="External"/><Relationship Id="rId3001" Type="http://schemas.openxmlformats.org/officeDocument/2006/relationships/hyperlink" Target="https://pubmed.ncbi.nlm.nih.gov/30465653" TargetMode="External"/><Relationship Id="rId4332" Type="http://schemas.openxmlformats.org/officeDocument/2006/relationships/hyperlink" Target="https://pubmed.ncbi.nlm.nih.gov/26371640" TargetMode="External"/><Relationship Id="rId5660" Type="http://schemas.openxmlformats.org/officeDocument/2006/relationships/hyperlink" Target="https://pubmed.ncbi.nlm.nih.gov/17024594" TargetMode="External"/><Relationship Id="rId470" Type="http://schemas.openxmlformats.org/officeDocument/2006/relationships/hyperlink" Target="https://pubmed.ncbi.nlm.nih.gov/37536504" TargetMode="External"/><Relationship Id="rId3000" Type="http://schemas.openxmlformats.org/officeDocument/2006/relationships/hyperlink" Target="https://pubmed.ncbi.nlm.nih.gov/30355202" TargetMode="External"/><Relationship Id="rId4331" Type="http://schemas.openxmlformats.org/officeDocument/2006/relationships/hyperlink" Target="https://pubmed.ncbi.nlm.nih.gov/26318191" TargetMode="External"/><Relationship Id="rId5661" Type="http://schemas.openxmlformats.org/officeDocument/2006/relationships/hyperlink" Target="https://pubmed.ncbi.nlm.nih.gov/17030155" TargetMode="External"/><Relationship Id="rId477" Type="http://schemas.openxmlformats.org/officeDocument/2006/relationships/hyperlink" Target="https://pubmed.ncbi.nlm.nih.gov/37565645" TargetMode="External"/><Relationship Id="rId3003" Type="http://schemas.openxmlformats.org/officeDocument/2006/relationships/hyperlink" Target="https://pubmed.ncbi.nlm.nih.gov/30381970" TargetMode="External"/><Relationship Id="rId4334" Type="http://schemas.openxmlformats.org/officeDocument/2006/relationships/hyperlink" Target="https://pubmed.ncbi.nlm.nih.gov/26734461" TargetMode="External"/><Relationship Id="rId5666" Type="http://schemas.openxmlformats.org/officeDocument/2006/relationships/hyperlink" Target="https://pubmed.ncbi.nlm.nih.gov/16914572" TargetMode="External"/><Relationship Id="rId476" Type="http://schemas.openxmlformats.org/officeDocument/2006/relationships/hyperlink" Target="https://pubmed.ncbi.nlm.nih.gov/37565538" TargetMode="External"/><Relationship Id="rId3002" Type="http://schemas.openxmlformats.org/officeDocument/2006/relationships/hyperlink" Target="https://pubmed.ncbi.nlm.nih.gov/30299508" TargetMode="External"/><Relationship Id="rId4333" Type="http://schemas.openxmlformats.org/officeDocument/2006/relationships/hyperlink" Target="https://pubmed.ncbi.nlm.nih.gov/26330379" TargetMode="External"/><Relationship Id="rId5667" Type="http://schemas.openxmlformats.org/officeDocument/2006/relationships/hyperlink" Target="https://pubmed.ncbi.nlm.nih.gov/16887835" TargetMode="External"/><Relationship Id="rId475" Type="http://schemas.openxmlformats.org/officeDocument/2006/relationships/hyperlink" Target="https://pubmed.ncbi.nlm.nih.gov/37528303" TargetMode="External"/><Relationship Id="rId3005" Type="http://schemas.openxmlformats.org/officeDocument/2006/relationships/hyperlink" Target="https://pubmed.ncbi.nlm.nih.gov/30723805" TargetMode="External"/><Relationship Id="rId4336" Type="http://schemas.openxmlformats.org/officeDocument/2006/relationships/hyperlink" Target="https://pubmed.ncbi.nlm.nih.gov/26307608" TargetMode="External"/><Relationship Id="rId5664" Type="http://schemas.openxmlformats.org/officeDocument/2006/relationships/hyperlink" Target="https://pubmed.ncbi.nlm.nih.gov/16953996" TargetMode="External"/><Relationship Id="rId474" Type="http://schemas.openxmlformats.org/officeDocument/2006/relationships/hyperlink" Target="https://pubmed.ncbi.nlm.nih.gov/37551885" TargetMode="External"/><Relationship Id="rId3004" Type="http://schemas.openxmlformats.org/officeDocument/2006/relationships/hyperlink" Target="https://pubmed.ncbi.nlm.nih.gov/30379371" TargetMode="External"/><Relationship Id="rId4335" Type="http://schemas.openxmlformats.org/officeDocument/2006/relationships/hyperlink" Target="https://pubmed.ncbi.nlm.nih.gov/26214160" TargetMode="External"/><Relationship Id="rId5665" Type="http://schemas.openxmlformats.org/officeDocument/2006/relationships/hyperlink" Target="https://pubmed.ncbi.nlm.nih.gov/17027558" TargetMode="External"/><Relationship Id="rId5615" Type="http://schemas.openxmlformats.org/officeDocument/2006/relationships/hyperlink" Target="https://pubmed.ncbi.nlm.nih.gov/18274909" TargetMode="External"/><Relationship Id="rId5616" Type="http://schemas.openxmlformats.org/officeDocument/2006/relationships/hyperlink" Target="https://pubmed.ncbi.nlm.nih.gov/18632021" TargetMode="External"/><Relationship Id="rId5613" Type="http://schemas.openxmlformats.org/officeDocument/2006/relationships/hyperlink" Target="https://pubmed.ncbi.nlm.nih.gov/17544416" TargetMode="External"/><Relationship Id="rId5614" Type="http://schemas.openxmlformats.org/officeDocument/2006/relationships/hyperlink" Target="https://pubmed.ncbi.nlm.nih.gov/17538543" TargetMode="External"/><Relationship Id="rId5619" Type="http://schemas.openxmlformats.org/officeDocument/2006/relationships/hyperlink" Target="https://pubmed.ncbi.nlm.nih.gov/17522362" TargetMode="External"/><Relationship Id="rId5617" Type="http://schemas.openxmlformats.org/officeDocument/2006/relationships/hyperlink" Target="https://pubmed.ncbi.nlm.nih.gov/17449595" TargetMode="External"/><Relationship Id="rId5618" Type="http://schemas.openxmlformats.org/officeDocument/2006/relationships/hyperlink" Target="https://pubmed.ncbi.nlm.nih.gov/17484753" TargetMode="External"/><Relationship Id="rId426" Type="http://schemas.openxmlformats.org/officeDocument/2006/relationships/hyperlink" Target="https://pubmed.ncbi.nlm.nih.gov/37468552" TargetMode="External"/><Relationship Id="rId425" Type="http://schemas.openxmlformats.org/officeDocument/2006/relationships/hyperlink" Target="https://pubmed.ncbi.nlm.nih.gov/37658971" TargetMode="External"/><Relationship Id="rId424" Type="http://schemas.openxmlformats.org/officeDocument/2006/relationships/hyperlink" Target="https://pubmed.ncbi.nlm.nih.gov/37669998" TargetMode="External"/><Relationship Id="rId423" Type="http://schemas.openxmlformats.org/officeDocument/2006/relationships/hyperlink" Target="https://pubmed.ncbi.nlm.nih.gov/37668955" TargetMode="External"/><Relationship Id="rId429" Type="http://schemas.openxmlformats.org/officeDocument/2006/relationships/hyperlink" Target="https://pubmed.ncbi.nlm.nih.gov/37652462" TargetMode="External"/><Relationship Id="rId428" Type="http://schemas.openxmlformats.org/officeDocument/2006/relationships/hyperlink" Target="https://pubmed.ncbi.nlm.nih.gov/37730245" TargetMode="External"/><Relationship Id="rId427" Type="http://schemas.openxmlformats.org/officeDocument/2006/relationships/hyperlink" Target="https://pubmed.ncbi.nlm.nih.gov/37658327" TargetMode="External"/><Relationship Id="rId422" Type="http://schemas.openxmlformats.org/officeDocument/2006/relationships/hyperlink" Target="https://pubmed.ncbi.nlm.nih.gov/37667327" TargetMode="External"/><Relationship Id="rId5611" Type="http://schemas.openxmlformats.org/officeDocument/2006/relationships/hyperlink" Target="https://pubmed.ncbi.nlm.nih.gov/17601539" TargetMode="External"/><Relationship Id="rId421" Type="http://schemas.openxmlformats.org/officeDocument/2006/relationships/hyperlink" Target="https://pubmed.ncbi.nlm.nih.gov/38510951" TargetMode="External"/><Relationship Id="rId5612" Type="http://schemas.openxmlformats.org/officeDocument/2006/relationships/hyperlink" Target="https://pubmed.ncbi.nlm.nih.gov/17556376" TargetMode="External"/><Relationship Id="rId420" Type="http://schemas.openxmlformats.org/officeDocument/2006/relationships/hyperlink" Target="https://pubmed.ncbi.nlm.nih.gov/37672025" TargetMode="External"/><Relationship Id="rId5610" Type="http://schemas.openxmlformats.org/officeDocument/2006/relationships/hyperlink" Target="https://pubmed.ncbi.nlm.nih.gov/17597801" TargetMode="External"/><Relationship Id="rId5604" Type="http://schemas.openxmlformats.org/officeDocument/2006/relationships/hyperlink" Target="https://pubmed.ncbi.nlm.nih.gov/17658266" TargetMode="External"/><Relationship Id="rId5605" Type="http://schemas.openxmlformats.org/officeDocument/2006/relationships/hyperlink" Target="https://pubmed.ncbi.nlm.nih.gov/17706756" TargetMode="External"/><Relationship Id="rId5602" Type="http://schemas.openxmlformats.org/officeDocument/2006/relationships/hyperlink" Target="https://pubmed.ncbi.nlm.nih.gov/17884593" TargetMode="External"/><Relationship Id="rId5603" Type="http://schemas.openxmlformats.org/officeDocument/2006/relationships/hyperlink" Target="https://pubmed.ncbi.nlm.nih.gov/17664395" TargetMode="External"/><Relationship Id="rId5608" Type="http://schemas.openxmlformats.org/officeDocument/2006/relationships/hyperlink" Target="https://pubmed.ncbi.nlm.nih.gov/17602175" TargetMode="External"/><Relationship Id="rId5609" Type="http://schemas.openxmlformats.org/officeDocument/2006/relationships/hyperlink" Target="https://pubmed.ncbi.nlm.nih.gov/17597799" TargetMode="External"/><Relationship Id="rId5606" Type="http://schemas.openxmlformats.org/officeDocument/2006/relationships/hyperlink" Target="https://pubmed.ncbi.nlm.nih.gov/17630038" TargetMode="External"/><Relationship Id="rId5607" Type="http://schemas.openxmlformats.org/officeDocument/2006/relationships/hyperlink" Target="https://pubmed.ncbi.nlm.nih.gov/18177785" TargetMode="External"/><Relationship Id="rId415" Type="http://schemas.openxmlformats.org/officeDocument/2006/relationships/hyperlink" Target="https://pubmed.ncbi.nlm.nih.gov/37704224" TargetMode="External"/><Relationship Id="rId414" Type="http://schemas.openxmlformats.org/officeDocument/2006/relationships/hyperlink" Target="https://pubmed.ncbi.nlm.nih.gov/37704983" TargetMode="External"/><Relationship Id="rId413" Type="http://schemas.openxmlformats.org/officeDocument/2006/relationships/hyperlink" Target="https://pubmed.ncbi.nlm.nih.gov/37714056" TargetMode="External"/><Relationship Id="rId412" Type="http://schemas.openxmlformats.org/officeDocument/2006/relationships/hyperlink" Target="https://pubmed.ncbi.nlm.nih.gov/37713433" TargetMode="External"/><Relationship Id="rId419" Type="http://schemas.openxmlformats.org/officeDocument/2006/relationships/hyperlink" Target="https://pubmed.ncbi.nlm.nih.gov/37681566" TargetMode="External"/><Relationship Id="rId418" Type="http://schemas.openxmlformats.org/officeDocument/2006/relationships/hyperlink" Target="https://pubmed.ncbi.nlm.nih.gov/37679824" TargetMode="External"/><Relationship Id="rId417" Type="http://schemas.openxmlformats.org/officeDocument/2006/relationships/hyperlink" Target="https://pubmed.ncbi.nlm.nih.gov/37684330" TargetMode="External"/><Relationship Id="rId416" Type="http://schemas.openxmlformats.org/officeDocument/2006/relationships/hyperlink" Target="https://pubmed.ncbi.nlm.nih.gov/37719417" TargetMode="External"/><Relationship Id="rId411" Type="http://schemas.openxmlformats.org/officeDocument/2006/relationships/hyperlink" Target="https://pubmed.ncbi.nlm.nih.gov/38052531" TargetMode="External"/><Relationship Id="rId5600" Type="http://schemas.openxmlformats.org/officeDocument/2006/relationships/hyperlink" Target="https://pubmed.ncbi.nlm.nih.gov/17657599" TargetMode="External"/><Relationship Id="rId410" Type="http://schemas.openxmlformats.org/officeDocument/2006/relationships/hyperlink" Target="https://pubmed.ncbi.nlm.nih.gov/37716982" TargetMode="External"/><Relationship Id="rId5601" Type="http://schemas.openxmlformats.org/officeDocument/2006/relationships/hyperlink" Target="https://pubmed.ncbi.nlm.nih.gov/17696629" TargetMode="External"/><Relationship Id="rId4305" Type="http://schemas.openxmlformats.org/officeDocument/2006/relationships/hyperlink" Target="https://pubmed.ncbi.nlm.nih.gov/26148220" TargetMode="External"/><Relationship Id="rId5637" Type="http://schemas.openxmlformats.org/officeDocument/2006/relationships/hyperlink" Target="https://pubmed.ncbi.nlm.nih.gov/17283250" TargetMode="External"/><Relationship Id="rId4304" Type="http://schemas.openxmlformats.org/officeDocument/2006/relationships/hyperlink" Target="https://pubmed.ncbi.nlm.nih.gov/26368504" TargetMode="External"/><Relationship Id="rId5638" Type="http://schemas.openxmlformats.org/officeDocument/2006/relationships/hyperlink" Target="https://pubmed.ncbi.nlm.nih.gov/17277033" TargetMode="External"/><Relationship Id="rId4307" Type="http://schemas.openxmlformats.org/officeDocument/2006/relationships/hyperlink" Target="https://pubmed.ncbi.nlm.nih.gov/26380565" TargetMode="External"/><Relationship Id="rId5635" Type="http://schemas.openxmlformats.org/officeDocument/2006/relationships/hyperlink" Target="https://pubmed.ncbi.nlm.nih.gov/17312333" TargetMode="External"/><Relationship Id="rId4306" Type="http://schemas.openxmlformats.org/officeDocument/2006/relationships/hyperlink" Target="https://pubmed.ncbi.nlm.nih.gov/26358136" TargetMode="External"/><Relationship Id="rId5636" Type="http://schemas.openxmlformats.org/officeDocument/2006/relationships/hyperlink" Target="https://pubmed.ncbi.nlm.nih.gov/17346608" TargetMode="External"/><Relationship Id="rId4309" Type="http://schemas.openxmlformats.org/officeDocument/2006/relationships/hyperlink" Target="https://pubmed.ncbi.nlm.nih.gov/26351024" TargetMode="External"/><Relationship Id="rId4308" Type="http://schemas.openxmlformats.org/officeDocument/2006/relationships/hyperlink" Target="https://pubmed.ncbi.nlm.nih.gov/26349907" TargetMode="External"/><Relationship Id="rId5639" Type="http://schemas.openxmlformats.org/officeDocument/2006/relationships/hyperlink" Target="https://pubmed.ncbi.nlm.nih.gov/17239889" TargetMode="External"/><Relationship Id="rId448" Type="http://schemas.openxmlformats.org/officeDocument/2006/relationships/hyperlink" Target="https://pubmed.ncbi.nlm.nih.gov/37664850" TargetMode="External"/><Relationship Id="rId447" Type="http://schemas.openxmlformats.org/officeDocument/2006/relationships/hyperlink" Target="https://pubmed.ncbi.nlm.nih.gov/37594175" TargetMode="External"/><Relationship Id="rId446" Type="http://schemas.openxmlformats.org/officeDocument/2006/relationships/hyperlink" Target="https://pubmed.ncbi.nlm.nih.gov/38025213" TargetMode="External"/><Relationship Id="rId445" Type="http://schemas.openxmlformats.org/officeDocument/2006/relationships/hyperlink" Target="https://pubmed.ncbi.nlm.nih.gov/37664733" TargetMode="External"/><Relationship Id="rId449" Type="http://schemas.openxmlformats.org/officeDocument/2006/relationships/hyperlink" Target="https://pubmed.ncbi.nlm.nih.gov/37656838" TargetMode="External"/><Relationship Id="rId440" Type="http://schemas.openxmlformats.org/officeDocument/2006/relationships/hyperlink" Target="https://pubmed.ncbi.nlm.nih.gov/37606053" TargetMode="External"/><Relationship Id="rId5630" Type="http://schemas.openxmlformats.org/officeDocument/2006/relationships/hyperlink" Target="https://pubmed.ncbi.nlm.nih.gov/17372240" TargetMode="External"/><Relationship Id="rId444" Type="http://schemas.openxmlformats.org/officeDocument/2006/relationships/hyperlink" Target="https://pubmed.ncbi.nlm.nih.gov/37607663" TargetMode="External"/><Relationship Id="rId4301" Type="http://schemas.openxmlformats.org/officeDocument/2006/relationships/hyperlink" Target="https://pubmed.ncbi.nlm.nih.gov/26399905" TargetMode="External"/><Relationship Id="rId5633" Type="http://schemas.openxmlformats.org/officeDocument/2006/relationships/hyperlink" Target="https://pubmed.ncbi.nlm.nih.gov/17344492" TargetMode="External"/><Relationship Id="rId443" Type="http://schemas.openxmlformats.org/officeDocument/2006/relationships/hyperlink" Target="https://pubmed.ncbi.nlm.nih.gov/37607610" TargetMode="External"/><Relationship Id="rId4300" Type="http://schemas.openxmlformats.org/officeDocument/2006/relationships/hyperlink" Target="https://pubmed.ncbi.nlm.nih.gov/26451544" TargetMode="External"/><Relationship Id="rId5634" Type="http://schemas.openxmlformats.org/officeDocument/2006/relationships/hyperlink" Target="https://pubmed.ncbi.nlm.nih.gov/17378298" TargetMode="External"/><Relationship Id="rId442" Type="http://schemas.openxmlformats.org/officeDocument/2006/relationships/hyperlink" Target="https://pubmed.ncbi.nlm.nih.gov/37478478" TargetMode="External"/><Relationship Id="rId4303" Type="http://schemas.openxmlformats.org/officeDocument/2006/relationships/hyperlink" Target="https://pubmed.ncbi.nlm.nih.gov/26382175" TargetMode="External"/><Relationship Id="rId5631" Type="http://schemas.openxmlformats.org/officeDocument/2006/relationships/hyperlink" Target="https://pubmed.ncbi.nlm.nih.gov/17395977" TargetMode="External"/><Relationship Id="rId441" Type="http://schemas.openxmlformats.org/officeDocument/2006/relationships/hyperlink" Target="https://pubmed.ncbi.nlm.nih.gov/37452732" TargetMode="External"/><Relationship Id="rId4302" Type="http://schemas.openxmlformats.org/officeDocument/2006/relationships/hyperlink" Target="https://pubmed.ncbi.nlm.nih.gov/26391636" TargetMode="External"/><Relationship Id="rId5632" Type="http://schemas.openxmlformats.org/officeDocument/2006/relationships/hyperlink" Target="https://pubmed.ncbi.nlm.nih.gov/17302874" TargetMode="External"/><Relationship Id="rId5626" Type="http://schemas.openxmlformats.org/officeDocument/2006/relationships/hyperlink" Target="https://pubmed.ncbi.nlm.nih.gov/17372148" TargetMode="External"/><Relationship Id="rId5627" Type="http://schemas.openxmlformats.org/officeDocument/2006/relationships/hyperlink" Target="https://pubmed.ncbi.nlm.nih.gov/17363718" TargetMode="External"/><Relationship Id="rId5624" Type="http://schemas.openxmlformats.org/officeDocument/2006/relationships/hyperlink" Target="https://pubmed.ncbi.nlm.nih.gov/18632022" TargetMode="External"/><Relationship Id="rId5625" Type="http://schemas.openxmlformats.org/officeDocument/2006/relationships/hyperlink" Target="https://pubmed.ncbi.nlm.nih.gov/17379412" TargetMode="External"/><Relationship Id="rId5628" Type="http://schemas.openxmlformats.org/officeDocument/2006/relationships/hyperlink" Target="https://pubmed.ncbi.nlm.nih.gov/17347037" TargetMode="External"/><Relationship Id="rId5629" Type="http://schemas.openxmlformats.org/officeDocument/2006/relationships/hyperlink" Target="https://pubmed.ncbi.nlm.nih.gov/17202907" TargetMode="External"/><Relationship Id="rId437" Type="http://schemas.openxmlformats.org/officeDocument/2006/relationships/hyperlink" Target="https://pubmed.ncbi.nlm.nih.gov/37612114" TargetMode="External"/><Relationship Id="rId436" Type="http://schemas.openxmlformats.org/officeDocument/2006/relationships/hyperlink" Target="https://pubmed.ncbi.nlm.nih.gov/37177895" TargetMode="External"/><Relationship Id="rId435" Type="http://schemas.openxmlformats.org/officeDocument/2006/relationships/hyperlink" Target="https://pubmed.ncbi.nlm.nih.gov/37634573" TargetMode="External"/><Relationship Id="rId434" Type="http://schemas.openxmlformats.org/officeDocument/2006/relationships/hyperlink" Target="https://pubmed.ncbi.nlm.nih.gov/37624632" TargetMode="External"/><Relationship Id="rId439" Type="http://schemas.openxmlformats.org/officeDocument/2006/relationships/hyperlink" Target="https://pubmed.ncbi.nlm.nih.gov/37686727" TargetMode="External"/><Relationship Id="rId438" Type="http://schemas.openxmlformats.org/officeDocument/2006/relationships/hyperlink" Target="https://pubmed.ncbi.nlm.nih.gov/38045433" TargetMode="External"/><Relationship Id="rId433" Type="http://schemas.openxmlformats.org/officeDocument/2006/relationships/hyperlink" Target="https://pubmed.ncbi.nlm.nih.gov/37634130" TargetMode="External"/><Relationship Id="rId5622" Type="http://schemas.openxmlformats.org/officeDocument/2006/relationships/hyperlink" Target="https://pubmed.ncbi.nlm.nih.gov/17427036" TargetMode="External"/><Relationship Id="rId432" Type="http://schemas.openxmlformats.org/officeDocument/2006/relationships/hyperlink" Target="https://pubmed.ncbi.nlm.nih.gov/37641038" TargetMode="External"/><Relationship Id="rId5623" Type="http://schemas.openxmlformats.org/officeDocument/2006/relationships/hyperlink" Target="https://pubmed.ncbi.nlm.nih.gov/17407214" TargetMode="External"/><Relationship Id="rId431" Type="http://schemas.openxmlformats.org/officeDocument/2006/relationships/hyperlink" Target="https://pubmed.ncbi.nlm.nih.gov/37652123" TargetMode="External"/><Relationship Id="rId5620" Type="http://schemas.openxmlformats.org/officeDocument/2006/relationships/hyperlink" Target="https://pubmed.ncbi.nlm.nih.gov/17470664" TargetMode="External"/><Relationship Id="rId430" Type="http://schemas.openxmlformats.org/officeDocument/2006/relationships/hyperlink" Target="https://pubmed.ncbi.nlm.nih.gov/36496176" TargetMode="External"/><Relationship Id="rId5621" Type="http://schemas.openxmlformats.org/officeDocument/2006/relationships/hyperlink" Target="https://pubmed.ncbi.nlm.nih.gov/17452409" TargetMode="External"/><Relationship Id="rId6108" Type="http://schemas.openxmlformats.org/officeDocument/2006/relationships/hyperlink" Target="https://pubmed.ncbi.nlm.nih.gov/39127531" TargetMode="External"/><Relationship Id="rId6109" Type="http://schemas.openxmlformats.org/officeDocument/2006/relationships/hyperlink" Target="https://pubmed.ncbi.nlm.nih.gov/39102399" TargetMode="External"/><Relationship Id="rId6102" Type="http://schemas.openxmlformats.org/officeDocument/2006/relationships/hyperlink" Target="https://pubmed.ncbi.nlm.nih.gov/38932420" TargetMode="External"/><Relationship Id="rId6103" Type="http://schemas.openxmlformats.org/officeDocument/2006/relationships/hyperlink" Target="https://pubmed.ncbi.nlm.nih.gov/39580437" TargetMode="External"/><Relationship Id="rId6100" Type="http://schemas.openxmlformats.org/officeDocument/2006/relationships/hyperlink" Target="https://pubmed.ncbi.nlm.nih.gov/39127450" TargetMode="External"/><Relationship Id="rId6101" Type="http://schemas.openxmlformats.org/officeDocument/2006/relationships/hyperlink" Target="https://pubmed.ncbi.nlm.nih.gov/39027494" TargetMode="External"/><Relationship Id="rId6106" Type="http://schemas.openxmlformats.org/officeDocument/2006/relationships/hyperlink" Target="https://pubmed.ncbi.nlm.nih.gov/39147369" TargetMode="External"/><Relationship Id="rId6107" Type="http://schemas.openxmlformats.org/officeDocument/2006/relationships/hyperlink" Target="https://pubmed.ncbi.nlm.nih.gov/39032589" TargetMode="External"/><Relationship Id="rId6104" Type="http://schemas.openxmlformats.org/officeDocument/2006/relationships/hyperlink" Target="https://pubmed.ncbi.nlm.nih.gov/39532190" TargetMode="External"/><Relationship Id="rId6105" Type="http://schemas.openxmlformats.org/officeDocument/2006/relationships/hyperlink" Target="https://pubmed.ncbi.nlm.nih.gov/39163362" TargetMode="External"/><Relationship Id="rId6120" Type="http://schemas.openxmlformats.org/officeDocument/2006/relationships/hyperlink" Target="https://pubmed.ncbi.nlm.nih.gov/38905732" TargetMode="External"/><Relationship Id="rId6121" Type="http://schemas.openxmlformats.org/officeDocument/2006/relationships/hyperlink" Target="https://pubmed.ncbi.nlm.nih.gov/38852675" TargetMode="External"/><Relationship Id="rId6124" Type="http://schemas.openxmlformats.org/officeDocument/2006/relationships/hyperlink" Target="https://pubmed.ncbi.nlm.nih.gov/39215637" TargetMode="External"/><Relationship Id="rId6125" Type="http://schemas.openxmlformats.org/officeDocument/2006/relationships/hyperlink" Target="https://pubmed.ncbi.nlm.nih.gov/39140902" TargetMode="External"/><Relationship Id="rId6122" Type="http://schemas.openxmlformats.org/officeDocument/2006/relationships/hyperlink" Target="https://pubmed.ncbi.nlm.nih.gov/38657659" TargetMode="External"/><Relationship Id="rId6123" Type="http://schemas.openxmlformats.org/officeDocument/2006/relationships/hyperlink" Target="https://pubmed.ncbi.nlm.nih.gov/39218424" TargetMode="External"/><Relationship Id="rId6128" Type="http://schemas.openxmlformats.org/officeDocument/2006/relationships/hyperlink" Target="https://pubmed.ncbi.nlm.nih.gov/39631622" TargetMode="External"/><Relationship Id="rId6129" Type="http://schemas.openxmlformats.org/officeDocument/2006/relationships/hyperlink" Target="https://pubmed.ncbi.nlm.nih.gov/39576456" TargetMode="External"/><Relationship Id="rId6126" Type="http://schemas.openxmlformats.org/officeDocument/2006/relationships/hyperlink" Target="https://pubmed.ncbi.nlm.nih.gov/38286124" TargetMode="External"/><Relationship Id="rId6127" Type="http://schemas.openxmlformats.org/officeDocument/2006/relationships/hyperlink" Target="https://pubmed.ncbi.nlm.nih.gov/38011836" TargetMode="External"/><Relationship Id="rId6119" Type="http://schemas.openxmlformats.org/officeDocument/2006/relationships/hyperlink" Target="https://pubmed.ncbi.nlm.nih.gov/39237347" TargetMode="External"/><Relationship Id="rId6110" Type="http://schemas.openxmlformats.org/officeDocument/2006/relationships/hyperlink" Target="https://pubmed.ncbi.nlm.nih.gov/38969769" TargetMode="External"/><Relationship Id="rId6113" Type="http://schemas.openxmlformats.org/officeDocument/2006/relationships/hyperlink" Target="https://pubmed.ncbi.nlm.nih.gov/39172008" TargetMode="External"/><Relationship Id="rId6114" Type="http://schemas.openxmlformats.org/officeDocument/2006/relationships/hyperlink" Target="https://pubmed.ncbi.nlm.nih.gov/39449094" TargetMode="External"/><Relationship Id="rId6111" Type="http://schemas.openxmlformats.org/officeDocument/2006/relationships/hyperlink" Target="https://pubmed.ncbi.nlm.nih.gov/38952135" TargetMode="External"/><Relationship Id="rId6112" Type="http://schemas.openxmlformats.org/officeDocument/2006/relationships/hyperlink" Target="https://pubmed.ncbi.nlm.nih.gov/38937624" TargetMode="External"/><Relationship Id="rId6117" Type="http://schemas.openxmlformats.org/officeDocument/2006/relationships/hyperlink" Target="https://pubmed.ncbi.nlm.nih.gov/39327362" TargetMode="External"/><Relationship Id="rId6118" Type="http://schemas.openxmlformats.org/officeDocument/2006/relationships/hyperlink" Target="https://pubmed.ncbi.nlm.nih.gov/39285068" TargetMode="External"/><Relationship Id="rId6115" Type="http://schemas.openxmlformats.org/officeDocument/2006/relationships/hyperlink" Target="https://pubmed.ncbi.nlm.nih.gov/39358906" TargetMode="External"/><Relationship Id="rId6116" Type="http://schemas.openxmlformats.org/officeDocument/2006/relationships/hyperlink" Target="https://pubmed.ncbi.nlm.nih.gov/39470786" TargetMode="External"/><Relationship Id="rId1" Type="http://schemas.openxmlformats.org/officeDocument/2006/relationships/hyperlink" Target="https://pubmed.ncbi.nlm.nih.gov/38853270" TargetMode="External"/><Relationship Id="rId2" Type="http://schemas.openxmlformats.org/officeDocument/2006/relationships/hyperlink" Target="https://pubmed.ncbi.nlm.nih.gov/38852675" TargetMode="External"/><Relationship Id="rId3" Type="http://schemas.openxmlformats.org/officeDocument/2006/relationships/hyperlink" Target="https://pubmed.ncbi.nlm.nih.gov/38844610" TargetMode="External"/><Relationship Id="rId4" Type="http://schemas.openxmlformats.org/officeDocument/2006/relationships/hyperlink" Target="https://pubmed.ncbi.nlm.nih.gov/38838229" TargetMode="External"/><Relationship Id="rId9" Type="http://schemas.openxmlformats.org/officeDocument/2006/relationships/hyperlink" Target="https://pubmed.ncbi.nlm.nih.gov/38149986" TargetMode="External"/><Relationship Id="rId5" Type="http://schemas.openxmlformats.org/officeDocument/2006/relationships/hyperlink" Target="https://pubmed.ncbi.nlm.nih.gov/38839422" TargetMode="External"/><Relationship Id="rId6" Type="http://schemas.openxmlformats.org/officeDocument/2006/relationships/hyperlink" Target="https://pubmed.ncbi.nlm.nih.gov/38848886" TargetMode="External"/><Relationship Id="rId7" Type="http://schemas.openxmlformats.org/officeDocument/2006/relationships/hyperlink" Target="https://pubmed.ncbi.nlm.nih.gov/38835105" TargetMode="External"/><Relationship Id="rId8" Type="http://schemas.openxmlformats.org/officeDocument/2006/relationships/hyperlink" Target="https://pubmed.ncbi.nlm.nih.gov/38834293" TargetMode="External"/><Relationship Id="rId3911" Type="http://schemas.openxmlformats.org/officeDocument/2006/relationships/hyperlink" Target="https://pubmed.ncbi.nlm.nih.gov/27558221" TargetMode="External"/><Relationship Id="rId3910" Type="http://schemas.openxmlformats.org/officeDocument/2006/relationships/hyperlink" Target="https://pubmed.ncbi.nlm.nih.gov/26970340" TargetMode="External"/><Relationship Id="rId3913" Type="http://schemas.openxmlformats.org/officeDocument/2006/relationships/hyperlink" Target="https://pubmed.ncbi.nlm.nih.gov/27543113" TargetMode="External"/><Relationship Id="rId3912" Type="http://schemas.openxmlformats.org/officeDocument/2006/relationships/hyperlink" Target="https://pubmed.ncbi.nlm.nih.gov/27550379" TargetMode="External"/><Relationship Id="rId3915" Type="http://schemas.openxmlformats.org/officeDocument/2006/relationships/hyperlink" Target="https://pubmed.ncbi.nlm.nih.gov/27543152" TargetMode="External"/><Relationship Id="rId3914" Type="http://schemas.openxmlformats.org/officeDocument/2006/relationships/hyperlink" Target="https://pubmed.ncbi.nlm.nih.gov/27543588" TargetMode="External"/><Relationship Id="rId3917" Type="http://schemas.openxmlformats.org/officeDocument/2006/relationships/hyperlink" Target="https://pubmed.ncbi.nlm.nih.gov/27534709" TargetMode="External"/><Relationship Id="rId3916" Type="http://schemas.openxmlformats.org/officeDocument/2006/relationships/hyperlink" Target="https://pubmed.ncbi.nlm.nih.gov/27534609" TargetMode="External"/><Relationship Id="rId3919" Type="http://schemas.openxmlformats.org/officeDocument/2006/relationships/hyperlink" Target="https://pubmed.ncbi.nlm.nih.gov/27530225" TargetMode="External"/><Relationship Id="rId3918" Type="http://schemas.openxmlformats.org/officeDocument/2006/relationships/hyperlink" Target="https://pubmed.ncbi.nlm.nih.gov/27532602" TargetMode="External"/><Relationship Id="rId6190" Type="http://schemas.openxmlformats.org/officeDocument/2006/relationships/hyperlink" Target="https://pubmed.ncbi.nlm.nih.gov/38932713" TargetMode="External"/><Relationship Id="rId6182" Type="http://schemas.openxmlformats.org/officeDocument/2006/relationships/hyperlink" Target="https://pubmed.ncbi.nlm.nih.gov/38976611" TargetMode="External"/><Relationship Id="rId6183" Type="http://schemas.openxmlformats.org/officeDocument/2006/relationships/hyperlink" Target="https://pubmed.ncbi.nlm.nih.gov/39461852" TargetMode="External"/><Relationship Id="rId6180" Type="http://schemas.openxmlformats.org/officeDocument/2006/relationships/hyperlink" Target="https://pubmed.ncbi.nlm.nih.gov/39616290" TargetMode="External"/><Relationship Id="rId6181" Type="http://schemas.openxmlformats.org/officeDocument/2006/relationships/hyperlink" Target="https://pubmed.ncbi.nlm.nih.gov/38985094" TargetMode="External"/><Relationship Id="rId6186" Type="http://schemas.openxmlformats.org/officeDocument/2006/relationships/hyperlink" Target="https://pubmed.ncbi.nlm.nih.gov/39005964" TargetMode="External"/><Relationship Id="rId6187" Type="http://schemas.openxmlformats.org/officeDocument/2006/relationships/hyperlink" Target="https://pubmed.ncbi.nlm.nih.gov/38964428" TargetMode="External"/><Relationship Id="rId6184" Type="http://schemas.openxmlformats.org/officeDocument/2006/relationships/hyperlink" Target="https://pubmed.ncbi.nlm.nih.gov/39425170" TargetMode="External"/><Relationship Id="rId6185" Type="http://schemas.openxmlformats.org/officeDocument/2006/relationships/hyperlink" Target="https://pubmed.ncbi.nlm.nih.gov/39095834" TargetMode="External"/><Relationship Id="rId6188" Type="http://schemas.openxmlformats.org/officeDocument/2006/relationships/hyperlink" Target="https://pubmed.ncbi.nlm.nih.gov/39295513" TargetMode="External"/><Relationship Id="rId6189" Type="http://schemas.openxmlformats.org/officeDocument/2006/relationships/hyperlink" Target="https://pubmed.ncbi.nlm.nih.gov/39036979" TargetMode="External"/><Relationship Id="rId3900" Type="http://schemas.openxmlformats.org/officeDocument/2006/relationships/hyperlink" Target="https://pubmed.ncbi.nlm.nih.gov/27561768" TargetMode="External"/><Relationship Id="rId3902" Type="http://schemas.openxmlformats.org/officeDocument/2006/relationships/hyperlink" Target="https://pubmed.ncbi.nlm.nih.gov/27575586" TargetMode="External"/><Relationship Id="rId3901" Type="http://schemas.openxmlformats.org/officeDocument/2006/relationships/hyperlink" Target="https://pubmed.ncbi.nlm.nih.gov/27640076" TargetMode="External"/><Relationship Id="rId3904" Type="http://schemas.openxmlformats.org/officeDocument/2006/relationships/hyperlink" Target="https://pubmed.ncbi.nlm.nih.gov/27568655" TargetMode="External"/><Relationship Id="rId3903" Type="http://schemas.openxmlformats.org/officeDocument/2006/relationships/hyperlink" Target="https://pubmed.ncbi.nlm.nih.gov/27560599" TargetMode="External"/><Relationship Id="rId3906" Type="http://schemas.openxmlformats.org/officeDocument/2006/relationships/hyperlink" Target="https://pubmed.ncbi.nlm.nih.gov/27554244" TargetMode="External"/><Relationship Id="rId3905" Type="http://schemas.openxmlformats.org/officeDocument/2006/relationships/hyperlink" Target="https://pubmed.ncbi.nlm.nih.gov/27558271" TargetMode="External"/><Relationship Id="rId3908" Type="http://schemas.openxmlformats.org/officeDocument/2006/relationships/hyperlink" Target="https://pubmed.ncbi.nlm.nih.gov/27550838" TargetMode="External"/><Relationship Id="rId3907" Type="http://schemas.openxmlformats.org/officeDocument/2006/relationships/hyperlink" Target="https://pubmed.ncbi.nlm.nih.gov/27549241" TargetMode="External"/><Relationship Id="rId3909" Type="http://schemas.openxmlformats.org/officeDocument/2006/relationships/hyperlink" Target="https://pubmed.ncbi.nlm.nih.gov/27565046" TargetMode="External"/><Relationship Id="rId6171" Type="http://schemas.openxmlformats.org/officeDocument/2006/relationships/hyperlink" Target="https://pubmed.ncbi.nlm.nih.gov/39244208" TargetMode="External"/><Relationship Id="rId6172" Type="http://schemas.openxmlformats.org/officeDocument/2006/relationships/hyperlink" Target="https://pubmed.ncbi.nlm.nih.gov/39034500" TargetMode="External"/><Relationship Id="rId6170" Type="http://schemas.openxmlformats.org/officeDocument/2006/relationships/hyperlink" Target="https://pubmed.ncbi.nlm.nih.gov/39575651" TargetMode="External"/><Relationship Id="rId6175" Type="http://schemas.openxmlformats.org/officeDocument/2006/relationships/hyperlink" Target="https://pubmed.ncbi.nlm.nih.gov/39232491" TargetMode="External"/><Relationship Id="rId6176" Type="http://schemas.openxmlformats.org/officeDocument/2006/relationships/hyperlink" Target="https://pubmed.ncbi.nlm.nih.gov/39231593" TargetMode="External"/><Relationship Id="rId6173" Type="http://schemas.openxmlformats.org/officeDocument/2006/relationships/hyperlink" Target="https://pubmed.ncbi.nlm.nih.gov/39607878" TargetMode="External"/><Relationship Id="rId6174" Type="http://schemas.openxmlformats.org/officeDocument/2006/relationships/hyperlink" Target="https://pubmed.ncbi.nlm.nih.gov/39302942" TargetMode="External"/><Relationship Id="rId6179" Type="http://schemas.openxmlformats.org/officeDocument/2006/relationships/hyperlink" Target="https://pubmed.ncbi.nlm.nih.gov/39382340" TargetMode="External"/><Relationship Id="rId6177" Type="http://schemas.openxmlformats.org/officeDocument/2006/relationships/hyperlink" Target="https://pubmed.ncbi.nlm.nih.gov/38877394" TargetMode="External"/><Relationship Id="rId6178" Type="http://schemas.openxmlformats.org/officeDocument/2006/relationships/hyperlink" Target="https://pubmed.ncbi.nlm.nih.gov/39623361" TargetMode="External"/><Relationship Id="rId3931" Type="http://schemas.openxmlformats.org/officeDocument/2006/relationships/hyperlink" Target="https://pubmed.ncbi.nlm.nih.gov/27499216" TargetMode="External"/><Relationship Id="rId2600" Type="http://schemas.openxmlformats.org/officeDocument/2006/relationships/hyperlink" Target="https://pubmed.ncbi.nlm.nih.gov/31282539" TargetMode="External"/><Relationship Id="rId3930" Type="http://schemas.openxmlformats.org/officeDocument/2006/relationships/hyperlink" Target="https://pubmed.ncbi.nlm.nih.gov/27495151" TargetMode="External"/><Relationship Id="rId2601" Type="http://schemas.openxmlformats.org/officeDocument/2006/relationships/hyperlink" Target="https://pubmed.ncbi.nlm.nih.gov/31616576" TargetMode="External"/><Relationship Id="rId3933" Type="http://schemas.openxmlformats.org/officeDocument/2006/relationships/hyperlink" Target="https://pubmed.ncbi.nlm.nih.gov/27485531" TargetMode="External"/><Relationship Id="rId2602" Type="http://schemas.openxmlformats.org/officeDocument/2006/relationships/hyperlink" Target="https://pubmed.ncbi.nlm.nih.gov/31553733" TargetMode="External"/><Relationship Id="rId3932" Type="http://schemas.openxmlformats.org/officeDocument/2006/relationships/hyperlink" Target="https://pubmed.ncbi.nlm.nih.gov/27576907" TargetMode="External"/><Relationship Id="rId2603" Type="http://schemas.openxmlformats.org/officeDocument/2006/relationships/hyperlink" Target="https://pubmed.ncbi.nlm.nih.gov/31547832" TargetMode="External"/><Relationship Id="rId3935" Type="http://schemas.openxmlformats.org/officeDocument/2006/relationships/hyperlink" Target="https://pubmed.ncbi.nlm.nih.gov/27479074" TargetMode="External"/><Relationship Id="rId2604" Type="http://schemas.openxmlformats.org/officeDocument/2006/relationships/hyperlink" Target="https://pubmed.ncbi.nlm.nih.gov/31547943" TargetMode="External"/><Relationship Id="rId3934" Type="http://schemas.openxmlformats.org/officeDocument/2006/relationships/hyperlink" Target="https://pubmed.ncbi.nlm.nih.gov/27484304" TargetMode="External"/><Relationship Id="rId2605" Type="http://schemas.openxmlformats.org/officeDocument/2006/relationships/hyperlink" Target="https://pubmed.ncbi.nlm.nih.gov/31189013" TargetMode="External"/><Relationship Id="rId3937" Type="http://schemas.openxmlformats.org/officeDocument/2006/relationships/hyperlink" Target="https://pubmed.ncbi.nlm.nih.gov/27478588" TargetMode="External"/><Relationship Id="rId2606" Type="http://schemas.openxmlformats.org/officeDocument/2006/relationships/hyperlink" Target="https://pubmed.ncbi.nlm.nih.gov/31479156" TargetMode="External"/><Relationship Id="rId3936" Type="http://schemas.openxmlformats.org/officeDocument/2006/relationships/hyperlink" Target="https://pubmed.ncbi.nlm.nih.gov/27498398" TargetMode="External"/><Relationship Id="rId808" Type="http://schemas.openxmlformats.org/officeDocument/2006/relationships/hyperlink" Target="https://pubmed.ncbi.nlm.nih.gov/36536038" TargetMode="External"/><Relationship Id="rId2607" Type="http://schemas.openxmlformats.org/officeDocument/2006/relationships/hyperlink" Target="https://pubmed.ncbi.nlm.nih.gov/30689772" TargetMode="External"/><Relationship Id="rId3939" Type="http://schemas.openxmlformats.org/officeDocument/2006/relationships/hyperlink" Target="https://pubmed.ncbi.nlm.nih.gov/27473662" TargetMode="External"/><Relationship Id="rId807" Type="http://schemas.openxmlformats.org/officeDocument/2006/relationships/hyperlink" Target="https://pubmed.ncbi.nlm.nih.gov/35851802" TargetMode="External"/><Relationship Id="rId2608" Type="http://schemas.openxmlformats.org/officeDocument/2006/relationships/hyperlink" Target="https://pubmed.ncbi.nlm.nih.gov/31519675" TargetMode="External"/><Relationship Id="rId3938" Type="http://schemas.openxmlformats.org/officeDocument/2006/relationships/hyperlink" Target="https://pubmed.ncbi.nlm.nih.gov/27473710" TargetMode="External"/><Relationship Id="rId806" Type="http://schemas.openxmlformats.org/officeDocument/2006/relationships/hyperlink" Target="https://pubmed.ncbi.nlm.nih.gov/35944945" TargetMode="External"/><Relationship Id="rId2609" Type="http://schemas.openxmlformats.org/officeDocument/2006/relationships/hyperlink" Target="https://pubmed.ncbi.nlm.nih.gov/31510976" TargetMode="External"/><Relationship Id="rId805" Type="http://schemas.openxmlformats.org/officeDocument/2006/relationships/hyperlink" Target="https://pubmed.ncbi.nlm.nih.gov/36584490" TargetMode="External"/><Relationship Id="rId809" Type="http://schemas.openxmlformats.org/officeDocument/2006/relationships/hyperlink" Target="https://pubmed.ncbi.nlm.nih.gov/36250722" TargetMode="External"/><Relationship Id="rId800" Type="http://schemas.openxmlformats.org/officeDocument/2006/relationships/hyperlink" Target="https://pubmed.ncbi.nlm.nih.gov/36564718" TargetMode="External"/><Relationship Id="rId804" Type="http://schemas.openxmlformats.org/officeDocument/2006/relationships/hyperlink" Target="https://pubmed.ncbi.nlm.nih.gov/36696208" TargetMode="External"/><Relationship Id="rId803" Type="http://schemas.openxmlformats.org/officeDocument/2006/relationships/hyperlink" Target="https://pubmed.ncbi.nlm.nih.gov/36566991" TargetMode="External"/><Relationship Id="rId802" Type="http://schemas.openxmlformats.org/officeDocument/2006/relationships/hyperlink" Target="https://pubmed.ncbi.nlm.nih.gov/36696189" TargetMode="External"/><Relationship Id="rId801" Type="http://schemas.openxmlformats.org/officeDocument/2006/relationships/hyperlink" Target="https://pubmed.ncbi.nlm.nih.gov/36518014" TargetMode="External"/><Relationship Id="rId3920" Type="http://schemas.openxmlformats.org/officeDocument/2006/relationships/hyperlink" Target="https://pubmed.ncbi.nlm.nih.gov/27567093" TargetMode="External"/><Relationship Id="rId3922" Type="http://schemas.openxmlformats.org/officeDocument/2006/relationships/hyperlink" Target="https://pubmed.ncbi.nlm.nih.gov/27514397" TargetMode="External"/><Relationship Id="rId3921" Type="http://schemas.openxmlformats.org/officeDocument/2006/relationships/hyperlink" Target="https://pubmed.ncbi.nlm.nih.gov/27843698" TargetMode="External"/><Relationship Id="rId3924" Type="http://schemas.openxmlformats.org/officeDocument/2006/relationships/hyperlink" Target="https://pubmed.ncbi.nlm.nih.gov/27487843" TargetMode="External"/><Relationship Id="rId3923" Type="http://schemas.openxmlformats.org/officeDocument/2006/relationships/hyperlink" Target="https://pubmed.ncbi.nlm.nih.gov/27337598" TargetMode="External"/><Relationship Id="rId3926" Type="http://schemas.openxmlformats.org/officeDocument/2006/relationships/hyperlink" Target="https://pubmed.ncbi.nlm.nih.gov/27514868" TargetMode="External"/><Relationship Id="rId3925" Type="http://schemas.openxmlformats.org/officeDocument/2006/relationships/hyperlink" Target="https://pubmed.ncbi.nlm.nih.gov/27515930" TargetMode="External"/><Relationship Id="rId3928" Type="http://schemas.openxmlformats.org/officeDocument/2006/relationships/hyperlink" Target="https://pubmed.ncbi.nlm.nih.gov/28303082" TargetMode="External"/><Relationship Id="rId3927" Type="http://schemas.openxmlformats.org/officeDocument/2006/relationships/hyperlink" Target="https://pubmed.ncbi.nlm.nih.gov/27515754" TargetMode="External"/><Relationship Id="rId3929" Type="http://schemas.openxmlformats.org/officeDocument/2006/relationships/hyperlink" Target="https://pubmed.ncbi.nlm.nih.gov/27496552" TargetMode="External"/><Relationship Id="rId6193" Type="http://schemas.openxmlformats.org/officeDocument/2006/relationships/hyperlink" Target="https://pubmed.ncbi.nlm.nih.gov/39541320" TargetMode="External"/><Relationship Id="rId6194" Type="http://schemas.openxmlformats.org/officeDocument/2006/relationships/hyperlink" Target="https://pubmed.ncbi.nlm.nih.gov/39493319" TargetMode="External"/><Relationship Id="rId6191" Type="http://schemas.openxmlformats.org/officeDocument/2006/relationships/hyperlink" Target="https://pubmed.ncbi.nlm.nih.gov/38875165" TargetMode="External"/><Relationship Id="rId6192" Type="http://schemas.openxmlformats.org/officeDocument/2006/relationships/hyperlink" Target="https://pubmed.ncbi.nlm.nih.gov/39299270" TargetMode="External"/><Relationship Id="rId6197" Type="http://schemas.openxmlformats.org/officeDocument/2006/relationships/hyperlink" Target="https://pubmed.ncbi.nlm.nih.gov/39176676" TargetMode="External"/><Relationship Id="rId6198" Type="http://schemas.openxmlformats.org/officeDocument/2006/relationships/hyperlink" Target="https://pubmed.ncbi.nlm.nih.gov/38911602" TargetMode="External"/><Relationship Id="rId6195" Type="http://schemas.openxmlformats.org/officeDocument/2006/relationships/hyperlink" Target="https://pubmed.ncbi.nlm.nih.gov/39401339" TargetMode="External"/><Relationship Id="rId6196" Type="http://schemas.openxmlformats.org/officeDocument/2006/relationships/hyperlink" Target="https://pubmed.ncbi.nlm.nih.gov/39229838" TargetMode="External"/><Relationship Id="rId6199" Type="http://schemas.openxmlformats.org/officeDocument/2006/relationships/hyperlink" Target="https://pubmed.ncbi.nlm.nih.gov/39531672" TargetMode="External"/><Relationship Id="rId6142" Type="http://schemas.openxmlformats.org/officeDocument/2006/relationships/hyperlink" Target="https://pubmed.ncbi.nlm.nih.gov/39319460" TargetMode="External"/><Relationship Id="rId6143" Type="http://schemas.openxmlformats.org/officeDocument/2006/relationships/hyperlink" Target="https://pubmed.ncbi.nlm.nih.gov/39274526" TargetMode="External"/><Relationship Id="rId6140" Type="http://schemas.openxmlformats.org/officeDocument/2006/relationships/hyperlink" Target="https://pubmed.ncbi.nlm.nih.gov/38752762" TargetMode="External"/><Relationship Id="rId6141" Type="http://schemas.openxmlformats.org/officeDocument/2006/relationships/hyperlink" Target="https://pubmed.ncbi.nlm.nih.gov/39489903" TargetMode="External"/><Relationship Id="rId6146" Type="http://schemas.openxmlformats.org/officeDocument/2006/relationships/hyperlink" Target="https://pubmed.ncbi.nlm.nih.gov/39103575" TargetMode="External"/><Relationship Id="rId6147" Type="http://schemas.openxmlformats.org/officeDocument/2006/relationships/hyperlink" Target="https://pubmed.ncbi.nlm.nih.gov/39089577" TargetMode="External"/><Relationship Id="rId6144" Type="http://schemas.openxmlformats.org/officeDocument/2006/relationships/hyperlink" Target="https://pubmed.ncbi.nlm.nih.gov/39240930" TargetMode="External"/><Relationship Id="rId6145" Type="http://schemas.openxmlformats.org/officeDocument/2006/relationships/hyperlink" Target="https://pubmed.ncbi.nlm.nih.gov/39197878" TargetMode="External"/><Relationship Id="rId6148" Type="http://schemas.openxmlformats.org/officeDocument/2006/relationships/hyperlink" Target="https://pubmed.ncbi.nlm.nih.gov/38990640" TargetMode="External"/><Relationship Id="rId6149" Type="http://schemas.openxmlformats.org/officeDocument/2006/relationships/hyperlink" Target="https://pubmed.ncbi.nlm.nih.gov/38795905" TargetMode="External"/><Relationship Id="rId6131" Type="http://schemas.openxmlformats.org/officeDocument/2006/relationships/hyperlink" Target="https://pubmed.ncbi.nlm.nih.gov/39332629" TargetMode="External"/><Relationship Id="rId6132" Type="http://schemas.openxmlformats.org/officeDocument/2006/relationships/hyperlink" Target="https://pubmed.ncbi.nlm.nih.gov/39658579" TargetMode="External"/><Relationship Id="rId6130" Type="http://schemas.openxmlformats.org/officeDocument/2006/relationships/hyperlink" Target="https://pubmed.ncbi.nlm.nih.gov/39433569" TargetMode="External"/><Relationship Id="rId6135" Type="http://schemas.openxmlformats.org/officeDocument/2006/relationships/hyperlink" Target="https://pubmed.ncbi.nlm.nih.gov/39663007" TargetMode="External"/><Relationship Id="rId6136" Type="http://schemas.openxmlformats.org/officeDocument/2006/relationships/hyperlink" Target="https://pubmed.ncbi.nlm.nih.gov/39049109" TargetMode="External"/><Relationship Id="rId6133" Type="http://schemas.openxmlformats.org/officeDocument/2006/relationships/hyperlink" Target="https://pubmed.ncbi.nlm.nih.gov/39321557" TargetMode="External"/><Relationship Id="rId6134" Type="http://schemas.openxmlformats.org/officeDocument/2006/relationships/hyperlink" Target="https://pubmed.ncbi.nlm.nih.gov/39050912" TargetMode="External"/><Relationship Id="rId6139" Type="http://schemas.openxmlformats.org/officeDocument/2006/relationships/hyperlink" Target="https://pubmed.ncbi.nlm.nih.gov/39318684" TargetMode="External"/><Relationship Id="rId6137" Type="http://schemas.openxmlformats.org/officeDocument/2006/relationships/hyperlink" Target="https://pubmed.ncbi.nlm.nih.gov/39565486" TargetMode="External"/><Relationship Id="rId6138" Type="http://schemas.openxmlformats.org/officeDocument/2006/relationships/hyperlink" Target="https://pubmed.ncbi.nlm.nih.gov/39424948" TargetMode="External"/><Relationship Id="rId6160" Type="http://schemas.openxmlformats.org/officeDocument/2006/relationships/hyperlink" Target="https://pubmed.ncbi.nlm.nih.gov/38905818" TargetMode="External"/><Relationship Id="rId6161" Type="http://schemas.openxmlformats.org/officeDocument/2006/relationships/hyperlink" Target="https://pubmed.ncbi.nlm.nih.gov/39612482" TargetMode="External"/><Relationship Id="rId6164" Type="http://schemas.openxmlformats.org/officeDocument/2006/relationships/hyperlink" Target="https://pubmed.ncbi.nlm.nih.gov/39294580" TargetMode="External"/><Relationship Id="rId6165" Type="http://schemas.openxmlformats.org/officeDocument/2006/relationships/hyperlink" Target="https://pubmed.ncbi.nlm.nih.gov/39153793" TargetMode="External"/><Relationship Id="rId6162" Type="http://schemas.openxmlformats.org/officeDocument/2006/relationships/hyperlink" Target="https://pubmed.ncbi.nlm.nih.gov/39400904" TargetMode="External"/><Relationship Id="rId6163" Type="http://schemas.openxmlformats.org/officeDocument/2006/relationships/hyperlink" Target="https://pubmed.ncbi.nlm.nih.gov/39358755" TargetMode="External"/><Relationship Id="rId6168" Type="http://schemas.openxmlformats.org/officeDocument/2006/relationships/hyperlink" Target="https://pubmed.ncbi.nlm.nih.gov/39111144" TargetMode="External"/><Relationship Id="rId6169" Type="http://schemas.openxmlformats.org/officeDocument/2006/relationships/hyperlink" Target="https://pubmed.ncbi.nlm.nih.gov/39052703" TargetMode="External"/><Relationship Id="rId6166" Type="http://schemas.openxmlformats.org/officeDocument/2006/relationships/hyperlink" Target="https://pubmed.ncbi.nlm.nih.gov/39476390" TargetMode="External"/><Relationship Id="rId6167" Type="http://schemas.openxmlformats.org/officeDocument/2006/relationships/hyperlink" Target="https://pubmed.ncbi.nlm.nih.gov/39350230" TargetMode="External"/><Relationship Id="rId6150" Type="http://schemas.openxmlformats.org/officeDocument/2006/relationships/hyperlink" Target="https://pubmed.ncbi.nlm.nih.gov/38661553" TargetMode="External"/><Relationship Id="rId6153" Type="http://schemas.openxmlformats.org/officeDocument/2006/relationships/hyperlink" Target="https://pubmed.ncbi.nlm.nih.gov/39617009" TargetMode="External"/><Relationship Id="rId6154" Type="http://schemas.openxmlformats.org/officeDocument/2006/relationships/hyperlink" Target="https://pubmed.ncbi.nlm.nih.gov/39546742" TargetMode="External"/><Relationship Id="rId6151" Type="http://schemas.openxmlformats.org/officeDocument/2006/relationships/hyperlink" Target="https://pubmed.ncbi.nlm.nih.gov/38479757" TargetMode="External"/><Relationship Id="rId6152" Type="http://schemas.openxmlformats.org/officeDocument/2006/relationships/hyperlink" Target="https://pubmed.ncbi.nlm.nih.gov/38091958" TargetMode="External"/><Relationship Id="rId6157" Type="http://schemas.openxmlformats.org/officeDocument/2006/relationships/hyperlink" Target="https://pubmed.ncbi.nlm.nih.gov/39110922" TargetMode="External"/><Relationship Id="rId6158" Type="http://schemas.openxmlformats.org/officeDocument/2006/relationships/hyperlink" Target="https://pubmed.ncbi.nlm.nih.gov/39024724" TargetMode="External"/><Relationship Id="rId6155" Type="http://schemas.openxmlformats.org/officeDocument/2006/relationships/hyperlink" Target="https://pubmed.ncbi.nlm.nih.gov/39368225" TargetMode="External"/><Relationship Id="rId6156" Type="http://schemas.openxmlformats.org/officeDocument/2006/relationships/hyperlink" Target="https://pubmed.ncbi.nlm.nih.gov/39358881" TargetMode="External"/><Relationship Id="rId6159" Type="http://schemas.openxmlformats.org/officeDocument/2006/relationships/hyperlink" Target="https://pubmed.ncbi.nlm.nih.gov/38974934" TargetMode="External"/><Relationship Id="rId1334" Type="http://schemas.openxmlformats.org/officeDocument/2006/relationships/hyperlink" Target="https://pubmed.ncbi.nlm.nih.gov/33323890" TargetMode="External"/><Relationship Id="rId2665" Type="http://schemas.openxmlformats.org/officeDocument/2006/relationships/hyperlink" Target="https://pubmed.ncbi.nlm.nih.gov/30561730" TargetMode="External"/><Relationship Id="rId3997" Type="http://schemas.openxmlformats.org/officeDocument/2006/relationships/hyperlink" Target="https://pubmed.ncbi.nlm.nih.gov/27209297" TargetMode="External"/><Relationship Id="rId1335" Type="http://schemas.openxmlformats.org/officeDocument/2006/relationships/hyperlink" Target="https://pubmed.ncbi.nlm.nih.gov/34998464" TargetMode="External"/><Relationship Id="rId2666" Type="http://schemas.openxmlformats.org/officeDocument/2006/relationships/hyperlink" Target="https://pubmed.ncbi.nlm.nih.gov/29981017" TargetMode="External"/><Relationship Id="rId3996" Type="http://schemas.openxmlformats.org/officeDocument/2006/relationships/hyperlink" Target="https://pubmed.ncbi.nlm.nih.gov/27216170" TargetMode="External"/><Relationship Id="rId1336" Type="http://schemas.openxmlformats.org/officeDocument/2006/relationships/hyperlink" Target="https://pubmed.ncbi.nlm.nih.gov/35083829" TargetMode="External"/><Relationship Id="rId2667" Type="http://schemas.openxmlformats.org/officeDocument/2006/relationships/hyperlink" Target="https://pubmed.ncbi.nlm.nih.gov/30499811" TargetMode="External"/><Relationship Id="rId3999" Type="http://schemas.openxmlformats.org/officeDocument/2006/relationships/hyperlink" Target="https://pubmed.ncbi.nlm.nih.gov/27244088" TargetMode="External"/><Relationship Id="rId1337" Type="http://schemas.openxmlformats.org/officeDocument/2006/relationships/hyperlink" Target="https://pubmed.ncbi.nlm.nih.gov/34285149" TargetMode="External"/><Relationship Id="rId2668" Type="http://schemas.openxmlformats.org/officeDocument/2006/relationships/hyperlink" Target="https://pubmed.ncbi.nlm.nih.gov/31439317" TargetMode="External"/><Relationship Id="rId3998" Type="http://schemas.openxmlformats.org/officeDocument/2006/relationships/hyperlink" Target="https://pubmed.ncbi.nlm.nih.gov/27336866" TargetMode="External"/><Relationship Id="rId1338" Type="http://schemas.openxmlformats.org/officeDocument/2006/relationships/hyperlink" Target="https://pubmed.ncbi.nlm.nih.gov/34998457" TargetMode="External"/><Relationship Id="rId2669" Type="http://schemas.openxmlformats.org/officeDocument/2006/relationships/hyperlink" Target="https://pubmed.ncbi.nlm.nih.gov/31375611" TargetMode="External"/><Relationship Id="rId1339" Type="http://schemas.openxmlformats.org/officeDocument/2006/relationships/hyperlink" Target="https://pubmed.ncbi.nlm.nih.gov/34586084" TargetMode="External"/><Relationship Id="rId745" Type="http://schemas.openxmlformats.org/officeDocument/2006/relationships/hyperlink" Target="https://pubmed.ncbi.nlm.nih.gov/36817873" TargetMode="External"/><Relationship Id="rId744" Type="http://schemas.openxmlformats.org/officeDocument/2006/relationships/hyperlink" Target="https://pubmed.ncbi.nlm.nih.gov/36736662" TargetMode="External"/><Relationship Id="rId743" Type="http://schemas.openxmlformats.org/officeDocument/2006/relationships/hyperlink" Target="https://pubmed.ncbi.nlm.nih.gov/36754144" TargetMode="External"/><Relationship Id="rId742" Type="http://schemas.openxmlformats.org/officeDocument/2006/relationships/hyperlink" Target="https://pubmed.ncbi.nlm.nih.gov/36750242" TargetMode="External"/><Relationship Id="rId749" Type="http://schemas.openxmlformats.org/officeDocument/2006/relationships/hyperlink" Target="https://pubmed.ncbi.nlm.nih.gov/36576822" TargetMode="External"/><Relationship Id="rId748" Type="http://schemas.openxmlformats.org/officeDocument/2006/relationships/hyperlink" Target="https://pubmed.ncbi.nlm.nih.gov/36778340" TargetMode="External"/><Relationship Id="rId747" Type="http://schemas.openxmlformats.org/officeDocument/2006/relationships/hyperlink" Target="https://pubmed.ncbi.nlm.nih.gov/36394882" TargetMode="External"/><Relationship Id="rId746" Type="http://schemas.openxmlformats.org/officeDocument/2006/relationships/hyperlink" Target="https://pubmed.ncbi.nlm.nih.gov/36825736" TargetMode="External"/><Relationship Id="rId3991" Type="http://schemas.openxmlformats.org/officeDocument/2006/relationships/hyperlink" Target="https://pubmed.ncbi.nlm.nih.gov/27274847" TargetMode="External"/><Relationship Id="rId2660" Type="http://schemas.openxmlformats.org/officeDocument/2006/relationships/hyperlink" Target="https://pubmed.ncbi.nlm.nih.gov/31491300" TargetMode="External"/><Relationship Id="rId3990" Type="http://schemas.openxmlformats.org/officeDocument/2006/relationships/hyperlink" Target="https://pubmed.ncbi.nlm.nih.gov/27212228" TargetMode="External"/><Relationship Id="rId741" Type="http://schemas.openxmlformats.org/officeDocument/2006/relationships/hyperlink" Target="https://pubmed.ncbi.nlm.nih.gov/36750236" TargetMode="External"/><Relationship Id="rId1330" Type="http://schemas.openxmlformats.org/officeDocument/2006/relationships/hyperlink" Target="https://pubmed.ncbi.nlm.nih.gov/34486653" TargetMode="External"/><Relationship Id="rId2661" Type="http://schemas.openxmlformats.org/officeDocument/2006/relationships/hyperlink" Target="https://pubmed.ncbi.nlm.nih.gov/31373736" TargetMode="External"/><Relationship Id="rId3993" Type="http://schemas.openxmlformats.org/officeDocument/2006/relationships/hyperlink" Target="https://pubmed.ncbi.nlm.nih.gov/27250730" TargetMode="External"/><Relationship Id="rId740" Type="http://schemas.openxmlformats.org/officeDocument/2006/relationships/hyperlink" Target="https://pubmed.ncbi.nlm.nih.gov/36610459" TargetMode="External"/><Relationship Id="rId1331" Type="http://schemas.openxmlformats.org/officeDocument/2006/relationships/hyperlink" Target="https://pubmed.ncbi.nlm.nih.gov/34983049" TargetMode="External"/><Relationship Id="rId2662" Type="http://schemas.openxmlformats.org/officeDocument/2006/relationships/hyperlink" Target="https://pubmed.ncbi.nlm.nih.gov/31375547" TargetMode="External"/><Relationship Id="rId3992" Type="http://schemas.openxmlformats.org/officeDocument/2006/relationships/hyperlink" Target="https://pubmed.ncbi.nlm.nih.gov/27274772" TargetMode="External"/><Relationship Id="rId1332" Type="http://schemas.openxmlformats.org/officeDocument/2006/relationships/hyperlink" Target="https://pubmed.ncbi.nlm.nih.gov/34958034" TargetMode="External"/><Relationship Id="rId2663" Type="http://schemas.openxmlformats.org/officeDocument/2006/relationships/hyperlink" Target="https://pubmed.ncbi.nlm.nih.gov/30939199" TargetMode="External"/><Relationship Id="rId3995" Type="http://schemas.openxmlformats.org/officeDocument/2006/relationships/hyperlink" Target="https://pubmed.ncbi.nlm.nih.gov/27263033" TargetMode="External"/><Relationship Id="rId1333" Type="http://schemas.openxmlformats.org/officeDocument/2006/relationships/hyperlink" Target="https://pubmed.ncbi.nlm.nih.gov/32502075" TargetMode="External"/><Relationship Id="rId2664" Type="http://schemas.openxmlformats.org/officeDocument/2006/relationships/hyperlink" Target="https://pubmed.ncbi.nlm.nih.gov/30796459" TargetMode="External"/><Relationship Id="rId3994" Type="http://schemas.openxmlformats.org/officeDocument/2006/relationships/hyperlink" Target="https://pubmed.ncbi.nlm.nih.gov/27272419" TargetMode="External"/><Relationship Id="rId1323" Type="http://schemas.openxmlformats.org/officeDocument/2006/relationships/hyperlink" Target="https://pubmed.ncbi.nlm.nih.gov/35052953" TargetMode="External"/><Relationship Id="rId2654" Type="http://schemas.openxmlformats.org/officeDocument/2006/relationships/hyperlink" Target="https://pubmed.ncbi.nlm.nih.gov/31396830" TargetMode="External"/><Relationship Id="rId3986" Type="http://schemas.openxmlformats.org/officeDocument/2006/relationships/hyperlink" Target="https://pubmed.ncbi.nlm.nih.gov/27290722" TargetMode="External"/><Relationship Id="rId1324" Type="http://schemas.openxmlformats.org/officeDocument/2006/relationships/hyperlink" Target="https://pubmed.ncbi.nlm.nih.gov/34997436" TargetMode="External"/><Relationship Id="rId2655" Type="http://schemas.openxmlformats.org/officeDocument/2006/relationships/hyperlink" Target="https://pubmed.ncbi.nlm.nih.gov/31390320" TargetMode="External"/><Relationship Id="rId3985" Type="http://schemas.openxmlformats.org/officeDocument/2006/relationships/hyperlink" Target="https://pubmed.ncbi.nlm.nih.gov/27296278" TargetMode="External"/><Relationship Id="rId1325" Type="http://schemas.openxmlformats.org/officeDocument/2006/relationships/hyperlink" Target="https://pubmed.ncbi.nlm.nih.gov/34990449" TargetMode="External"/><Relationship Id="rId2656" Type="http://schemas.openxmlformats.org/officeDocument/2006/relationships/hyperlink" Target="https://pubmed.ncbi.nlm.nih.gov/31677765" TargetMode="External"/><Relationship Id="rId3988" Type="http://schemas.openxmlformats.org/officeDocument/2006/relationships/hyperlink" Target="https://pubmed.ncbi.nlm.nih.gov/28410170" TargetMode="External"/><Relationship Id="rId1326" Type="http://schemas.openxmlformats.org/officeDocument/2006/relationships/hyperlink" Target="https://pubmed.ncbi.nlm.nih.gov/34996684" TargetMode="External"/><Relationship Id="rId2657" Type="http://schemas.openxmlformats.org/officeDocument/2006/relationships/hyperlink" Target="https://pubmed.ncbi.nlm.nih.gov/31378071" TargetMode="External"/><Relationship Id="rId3987" Type="http://schemas.openxmlformats.org/officeDocument/2006/relationships/hyperlink" Target="https://pubmed.ncbi.nlm.nih.gov/27292415" TargetMode="External"/><Relationship Id="rId1327" Type="http://schemas.openxmlformats.org/officeDocument/2006/relationships/hyperlink" Target="https://pubmed.ncbi.nlm.nih.gov/34983236" TargetMode="External"/><Relationship Id="rId2658" Type="http://schemas.openxmlformats.org/officeDocument/2006/relationships/hyperlink" Target="https://pubmed.ncbi.nlm.nih.gov/31381457" TargetMode="External"/><Relationship Id="rId1328" Type="http://schemas.openxmlformats.org/officeDocument/2006/relationships/hyperlink" Target="https://pubmed.ncbi.nlm.nih.gov/34995905" TargetMode="External"/><Relationship Id="rId2659" Type="http://schemas.openxmlformats.org/officeDocument/2006/relationships/hyperlink" Target="https://pubmed.ncbi.nlm.nih.gov/31382624" TargetMode="External"/><Relationship Id="rId3989" Type="http://schemas.openxmlformats.org/officeDocument/2006/relationships/hyperlink" Target="https://pubmed.ncbi.nlm.nih.gov/29451535" TargetMode="External"/><Relationship Id="rId1329" Type="http://schemas.openxmlformats.org/officeDocument/2006/relationships/hyperlink" Target="https://pubmed.ncbi.nlm.nih.gov/35051804" TargetMode="External"/><Relationship Id="rId739" Type="http://schemas.openxmlformats.org/officeDocument/2006/relationships/hyperlink" Target="https://pubmed.ncbi.nlm.nih.gov/36754943" TargetMode="External"/><Relationship Id="rId734" Type="http://schemas.openxmlformats.org/officeDocument/2006/relationships/hyperlink" Target="https://pubmed.ncbi.nlm.nih.gov/36832162" TargetMode="External"/><Relationship Id="rId733" Type="http://schemas.openxmlformats.org/officeDocument/2006/relationships/hyperlink" Target="https://pubmed.ncbi.nlm.nih.gov/36762595" TargetMode="External"/><Relationship Id="rId732" Type="http://schemas.openxmlformats.org/officeDocument/2006/relationships/hyperlink" Target="https://pubmed.ncbi.nlm.nih.gov/36775727" TargetMode="External"/><Relationship Id="rId731" Type="http://schemas.openxmlformats.org/officeDocument/2006/relationships/hyperlink" Target="https://pubmed.ncbi.nlm.nih.gov/36791658" TargetMode="External"/><Relationship Id="rId738" Type="http://schemas.openxmlformats.org/officeDocument/2006/relationships/hyperlink" Target="https://pubmed.ncbi.nlm.nih.gov/36812613" TargetMode="External"/><Relationship Id="rId737" Type="http://schemas.openxmlformats.org/officeDocument/2006/relationships/hyperlink" Target="https://pubmed.ncbi.nlm.nih.gov/36773515" TargetMode="External"/><Relationship Id="rId736" Type="http://schemas.openxmlformats.org/officeDocument/2006/relationships/hyperlink" Target="https://pubmed.ncbi.nlm.nih.gov/36833383" TargetMode="External"/><Relationship Id="rId735" Type="http://schemas.openxmlformats.org/officeDocument/2006/relationships/hyperlink" Target="https://pubmed.ncbi.nlm.nih.gov/36798791" TargetMode="External"/><Relationship Id="rId3980" Type="http://schemas.openxmlformats.org/officeDocument/2006/relationships/hyperlink" Target="https://pubmed.ncbi.nlm.nih.gov/27321646" TargetMode="External"/><Relationship Id="rId730" Type="http://schemas.openxmlformats.org/officeDocument/2006/relationships/hyperlink" Target="https://pubmed.ncbi.nlm.nih.gov/37067859" TargetMode="External"/><Relationship Id="rId2650" Type="http://schemas.openxmlformats.org/officeDocument/2006/relationships/hyperlink" Target="https://pubmed.ncbi.nlm.nih.gov/31404542" TargetMode="External"/><Relationship Id="rId3982" Type="http://schemas.openxmlformats.org/officeDocument/2006/relationships/hyperlink" Target="https://pubmed.ncbi.nlm.nih.gov/27312228" TargetMode="External"/><Relationship Id="rId1320" Type="http://schemas.openxmlformats.org/officeDocument/2006/relationships/hyperlink" Target="https://pubmed.ncbi.nlm.nih.gov/35013351" TargetMode="External"/><Relationship Id="rId2651" Type="http://schemas.openxmlformats.org/officeDocument/2006/relationships/hyperlink" Target="https://pubmed.ncbi.nlm.nih.gov/31278874" TargetMode="External"/><Relationship Id="rId3981" Type="http://schemas.openxmlformats.org/officeDocument/2006/relationships/hyperlink" Target="https://pubmed.ncbi.nlm.nih.gov/27313178" TargetMode="External"/><Relationship Id="rId1321" Type="http://schemas.openxmlformats.org/officeDocument/2006/relationships/hyperlink" Target="https://pubmed.ncbi.nlm.nih.gov/35008126" TargetMode="External"/><Relationship Id="rId2652" Type="http://schemas.openxmlformats.org/officeDocument/2006/relationships/hyperlink" Target="https://pubmed.ncbi.nlm.nih.gov/31299136" TargetMode="External"/><Relationship Id="rId3984" Type="http://schemas.openxmlformats.org/officeDocument/2006/relationships/hyperlink" Target="https://pubmed.ncbi.nlm.nih.gov/28280438" TargetMode="External"/><Relationship Id="rId1322" Type="http://schemas.openxmlformats.org/officeDocument/2006/relationships/hyperlink" Target="https://pubmed.ncbi.nlm.nih.gov/35042098" TargetMode="External"/><Relationship Id="rId2653" Type="http://schemas.openxmlformats.org/officeDocument/2006/relationships/hyperlink" Target="https://pubmed.ncbi.nlm.nih.gov/31401013" TargetMode="External"/><Relationship Id="rId3983" Type="http://schemas.openxmlformats.org/officeDocument/2006/relationships/hyperlink" Target="https://pubmed.ncbi.nlm.nih.gov/27296932" TargetMode="External"/><Relationship Id="rId1356" Type="http://schemas.openxmlformats.org/officeDocument/2006/relationships/hyperlink" Target="https://pubmed.ncbi.nlm.nih.gov/34936915" TargetMode="External"/><Relationship Id="rId2687" Type="http://schemas.openxmlformats.org/officeDocument/2006/relationships/hyperlink" Target="https://pubmed.ncbi.nlm.nih.gov/31479862" TargetMode="External"/><Relationship Id="rId1357" Type="http://schemas.openxmlformats.org/officeDocument/2006/relationships/hyperlink" Target="https://pubmed.ncbi.nlm.nih.gov/34933831" TargetMode="External"/><Relationship Id="rId2688" Type="http://schemas.openxmlformats.org/officeDocument/2006/relationships/hyperlink" Target="https://pubmed.ncbi.nlm.nih.gov/31339929" TargetMode="External"/><Relationship Id="rId1358" Type="http://schemas.openxmlformats.org/officeDocument/2006/relationships/hyperlink" Target="https://pubmed.ncbi.nlm.nih.gov/34959003" TargetMode="External"/><Relationship Id="rId2689" Type="http://schemas.openxmlformats.org/officeDocument/2006/relationships/hyperlink" Target="https://pubmed.ncbi.nlm.nih.gov/31342227" TargetMode="External"/><Relationship Id="rId1359" Type="http://schemas.openxmlformats.org/officeDocument/2006/relationships/hyperlink" Target="https://pubmed.ncbi.nlm.nih.gov/34977187" TargetMode="External"/><Relationship Id="rId767" Type="http://schemas.openxmlformats.org/officeDocument/2006/relationships/hyperlink" Target="https://pubmed.ncbi.nlm.nih.gov/36684393" TargetMode="External"/><Relationship Id="rId766" Type="http://schemas.openxmlformats.org/officeDocument/2006/relationships/hyperlink" Target="https://pubmed.ncbi.nlm.nih.gov/36874043" TargetMode="External"/><Relationship Id="rId765" Type="http://schemas.openxmlformats.org/officeDocument/2006/relationships/hyperlink" Target="https://pubmed.ncbi.nlm.nih.gov/36637058" TargetMode="External"/><Relationship Id="rId764" Type="http://schemas.openxmlformats.org/officeDocument/2006/relationships/hyperlink" Target="https://pubmed.ncbi.nlm.nih.gov/37484540" TargetMode="External"/><Relationship Id="rId769" Type="http://schemas.openxmlformats.org/officeDocument/2006/relationships/hyperlink" Target="https://pubmed.ncbi.nlm.nih.gov/36306379" TargetMode="External"/><Relationship Id="rId768" Type="http://schemas.openxmlformats.org/officeDocument/2006/relationships/hyperlink" Target="https://pubmed.ncbi.nlm.nih.gov/36068657" TargetMode="External"/><Relationship Id="rId2680" Type="http://schemas.openxmlformats.org/officeDocument/2006/relationships/hyperlink" Target="https://pubmed.ncbi.nlm.nih.gov/31358818" TargetMode="External"/><Relationship Id="rId1350" Type="http://schemas.openxmlformats.org/officeDocument/2006/relationships/hyperlink" Target="https://pubmed.ncbi.nlm.nih.gov/34953603" TargetMode="External"/><Relationship Id="rId2681" Type="http://schemas.openxmlformats.org/officeDocument/2006/relationships/hyperlink" Target="https://pubmed.ncbi.nlm.nih.gov/31491254" TargetMode="External"/><Relationship Id="rId1351" Type="http://schemas.openxmlformats.org/officeDocument/2006/relationships/hyperlink" Target="https://pubmed.ncbi.nlm.nih.gov/34935407" TargetMode="External"/><Relationship Id="rId2682" Type="http://schemas.openxmlformats.org/officeDocument/2006/relationships/hyperlink" Target="https://pubmed.ncbi.nlm.nih.gov/31350839" TargetMode="External"/><Relationship Id="rId763" Type="http://schemas.openxmlformats.org/officeDocument/2006/relationships/hyperlink" Target="https://pubmed.ncbi.nlm.nih.gov/36648694" TargetMode="External"/><Relationship Id="rId1352" Type="http://schemas.openxmlformats.org/officeDocument/2006/relationships/hyperlink" Target="https://pubmed.ncbi.nlm.nih.gov/34992599" TargetMode="External"/><Relationship Id="rId2683" Type="http://schemas.openxmlformats.org/officeDocument/2006/relationships/hyperlink" Target="https://pubmed.ncbi.nlm.nih.gov/31350427" TargetMode="External"/><Relationship Id="rId762" Type="http://schemas.openxmlformats.org/officeDocument/2006/relationships/hyperlink" Target="https://pubmed.ncbi.nlm.nih.gov/36651636" TargetMode="External"/><Relationship Id="rId1353" Type="http://schemas.openxmlformats.org/officeDocument/2006/relationships/hyperlink" Target="https://pubmed.ncbi.nlm.nih.gov/35141126" TargetMode="External"/><Relationship Id="rId2684" Type="http://schemas.openxmlformats.org/officeDocument/2006/relationships/hyperlink" Target="https://pubmed.ncbi.nlm.nih.gov/31345159" TargetMode="External"/><Relationship Id="rId761" Type="http://schemas.openxmlformats.org/officeDocument/2006/relationships/hyperlink" Target="https://pubmed.ncbi.nlm.nih.gov/36655704" TargetMode="External"/><Relationship Id="rId1354" Type="http://schemas.openxmlformats.org/officeDocument/2006/relationships/hyperlink" Target="https://pubmed.ncbi.nlm.nih.gov/34952165" TargetMode="External"/><Relationship Id="rId2685" Type="http://schemas.openxmlformats.org/officeDocument/2006/relationships/hyperlink" Target="https://pubmed.ncbi.nlm.nih.gov/31240722" TargetMode="External"/><Relationship Id="rId760" Type="http://schemas.openxmlformats.org/officeDocument/2006/relationships/hyperlink" Target="https://pubmed.ncbi.nlm.nih.gov/36660777" TargetMode="External"/><Relationship Id="rId1355" Type="http://schemas.openxmlformats.org/officeDocument/2006/relationships/hyperlink" Target="https://pubmed.ncbi.nlm.nih.gov/34931303" TargetMode="External"/><Relationship Id="rId2686" Type="http://schemas.openxmlformats.org/officeDocument/2006/relationships/hyperlink" Target="https://pubmed.ncbi.nlm.nih.gov/31269243" TargetMode="External"/><Relationship Id="rId1345" Type="http://schemas.openxmlformats.org/officeDocument/2006/relationships/hyperlink" Target="https://pubmed.ncbi.nlm.nih.gov/34968470" TargetMode="External"/><Relationship Id="rId2676" Type="http://schemas.openxmlformats.org/officeDocument/2006/relationships/hyperlink" Target="https://pubmed.ncbi.nlm.nih.gov/31362803" TargetMode="External"/><Relationship Id="rId1346" Type="http://schemas.openxmlformats.org/officeDocument/2006/relationships/hyperlink" Target="https://pubmed.ncbi.nlm.nih.gov/34524421" TargetMode="External"/><Relationship Id="rId2677" Type="http://schemas.openxmlformats.org/officeDocument/2006/relationships/hyperlink" Target="https://pubmed.ncbi.nlm.nih.gov/31398685" TargetMode="External"/><Relationship Id="rId1347" Type="http://schemas.openxmlformats.org/officeDocument/2006/relationships/hyperlink" Target="https://pubmed.ncbi.nlm.nih.gov/34969546" TargetMode="External"/><Relationship Id="rId2678" Type="http://schemas.openxmlformats.org/officeDocument/2006/relationships/hyperlink" Target="https://pubmed.ncbi.nlm.nih.gov/31362532" TargetMode="External"/><Relationship Id="rId1348" Type="http://schemas.openxmlformats.org/officeDocument/2006/relationships/hyperlink" Target="https://pubmed.ncbi.nlm.nih.gov/34961614" TargetMode="External"/><Relationship Id="rId2679" Type="http://schemas.openxmlformats.org/officeDocument/2006/relationships/hyperlink" Target="https://pubmed.ncbi.nlm.nih.gov/31354031" TargetMode="External"/><Relationship Id="rId1349" Type="http://schemas.openxmlformats.org/officeDocument/2006/relationships/hyperlink" Target="https://pubmed.ncbi.nlm.nih.gov/34949141" TargetMode="External"/><Relationship Id="rId756" Type="http://schemas.openxmlformats.org/officeDocument/2006/relationships/hyperlink" Target="https://pubmed.ncbi.nlm.nih.gov/36693804" TargetMode="External"/><Relationship Id="rId755" Type="http://schemas.openxmlformats.org/officeDocument/2006/relationships/hyperlink" Target="https://pubmed.ncbi.nlm.nih.gov/36708412" TargetMode="External"/><Relationship Id="rId754" Type="http://schemas.openxmlformats.org/officeDocument/2006/relationships/hyperlink" Target="https://pubmed.ncbi.nlm.nih.gov/36719715" TargetMode="External"/><Relationship Id="rId753" Type="http://schemas.openxmlformats.org/officeDocument/2006/relationships/hyperlink" Target="https://pubmed.ncbi.nlm.nih.gov/36720801" TargetMode="External"/><Relationship Id="rId759" Type="http://schemas.openxmlformats.org/officeDocument/2006/relationships/hyperlink" Target="https://pubmed.ncbi.nlm.nih.gov/36670244" TargetMode="External"/><Relationship Id="rId758" Type="http://schemas.openxmlformats.org/officeDocument/2006/relationships/hyperlink" Target="https://pubmed.ncbi.nlm.nih.gov/36662800" TargetMode="External"/><Relationship Id="rId757" Type="http://schemas.openxmlformats.org/officeDocument/2006/relationships/hyperlink" Target="https://pubmed.ncbi.nlm.nih.gov/36741297" TargetMode="External"/><Relationship Id="rId2670" Type="http://schemas.openxmlformats.org/officeDocument/2006/relationships/hyperlink" Target="https://pubmed.ncbi.nlm.nih.gov/31098629" TargetMode="External"/><Relationship Id="rId1340" Type="http://schemas.openxmlformats.org/officeDocument/2006/relationships/hyperlink" Target="https://pubmed.ncbi.nlm.nih.gov/35061407" TargetMode="External"/><Relationship Id="rId2671" Type="http://schemas.openxmlformats.org/officeDocument/2006/relationships/hyperlink" Target="https://pubmed.ncbi.nlm.nih.gov/30418528" TargetMode="External"/><Relationship Id="rId752" Type="http://schemas.openxmlformats.org/officeDocument/2006/relationships/hyperlink" Target="https://pubmed.ncbi.nlm.nih.gov/36801606" TargetMode="External"/><Relationship Id="rId1341" Type="http://schemas.openxmlformats.org/officeDocument/2006/relationships/hyperlink" Target="https://pubmed.ncbi.nlm.nih.gov/35035346" TargetMode="External"/><Relationship Id="rId2672" Type="http://schemas.openxmlformats.org/officeDocument/2006/relationships/hyperlink" Target="https://pubmed.ncbi.nlm.nih.gov/31378702" TargetMode="External"/><Relationship Id="rId751" Type="http://schemas.openxmlformats.org/officeDocument/2006/relationships/hyperlink" Target="https://pubmed.ncbi.nlm.nih.gov/36795500" TargetMode="External"/><Relationship Id="rId1342" Type="http://schemas.openxmlformats.org/officeDocument/2006/relationships/hyperlink" Target="https://pubmed.ncbi.nlm.nih.gov/35011046" TargetMode="External"/><Relationship Id="rId2673" Type="http://schemas.openxmlformats.org/officeDocument/2006/relationships/hyperlink" Target="https://pubmed.ncbi.nlm.nih.gov/31327434" TargetMode="External"/><Relationship Id="rId750" Type="http://schemas.openxmlformats.org/officeDocument/2006/relationships/hyperlink" Target="https://pubmed.ncbi.nlm.nih.gov/36836515" TargetMode="External"/><Relationship Id="rId1343" Type="http://schemas.openxmlformats.org/officeDocument/2006/relationships/hyperlink" Target="https://pubmed.ncbi.nlm.nih.gov/34965968" TargetMode="External"/><Relationship Id="rId2674" Type="http://schemas.openxmlformats.org/officeDocument/2006/relationships/hyperlink" Target="https://pubmed.ncbi.nlm.nih.gov/31185496" TargetMode="External"/><Relationship Id="rId1344" Type="http://schemas.openxmlformats.org/officeDocument/2006/relationships/hyperlink" Target="https://pubmed.ncbi.nlm.nih.gov/33611354" TargetMode="External"/><Relationship Id="rId2675" Type="http://schemas.openxmlformats.org/officeDocument/2006/relationships/hyperlink" Target="https://pubmed.ncbi.nlm.nih.gov/30346521" TargetMode="External"/><Relationship Id="rId2621" Type="http://schemas.openxmlformats.org/officeDocument/2006/relationships/hyperlink" Target="https://pubmed.ncbi.nlm.nih.gov/31372838" TargetMode="External"/><Relationship Id="rId3953" Type="http://schemas.openxmlformats.org/officeDocument/2006/relationships/hyperlink" Target="https://pubmed.ncbi.nlm.nih.gov/27405353" TargetMode="External"/><Relationship Id="rId2622" Type="http://schemas.openxmlformats.org/officeDocument/2006/relationships/hyperlink" Target="https://pubmed.ncbi.nlm.nih.gov/31145447" TargetMode="External"/><Relationship Id="rId3952" Type="http://schemas.openxmlformats.org/officeDocument/2006/relationships/hyperlink" Target="https://pubmed.ncbi.nlm.nih.gov/27413128" TargetMode="External"/><Relationship Id="rId2623" Type="http://schemas.openxmlformats.org/officeDocument/2006/relationships/hyperlink" Target="https://pubmed.ncbi.nlm.nih.gov/31451234" TargetMode="External"/><Relationship Id="rId3955" Type="http://schemas.openxmlformats.org/officeDocument/2006/relationships/hyperlink" Target="https://pubmed.ncbi.nlm.nih.gov/28747849" TargetMode="External"/><Relationship Id="rId2624" Type="http://schemas.openxmlformats.org/officeDocument/2006/relationships/hyperlink" Target="https://pubmed.ncbi.nlm.nih.gov/31478493" TargetMode="External"/><Relationship Id="rId3954" Type="http://schemas.openxmlformats.org/officeDocument/2006/relationships/hyperlink" Target="https://pubmed.ncbi.nlm.nih.gov/27404194" TargetMode="External"/><Relationship Id="rId2625" Type="http://schemas.openxmlformats.org/officeDocument/2006/relationships/hyperlink" Target="https://pubmed.ncbi.nlm.nih.gov/31473737" TargetMode="External"/><Relationship Id="rId3957" Type="http://schemas.openxmlformats.org/officeDocument/2006/relationships/hyperlink" Target="https://pubmed.ncbi.nlm.nih.gov/27398621" TargetMode="External"/><Relationship Id="rId2626" Type="http://schemas.openxmlformats.org/officeDocument/2006/relationships/hyperlink" Target="https://pubmed.ncbi.nlm.nih.gov/31462430" TargetMode="External"/><Relationship Id="rId3956" Type="http://schemas.openxmlformats.org/officeDocument/2006/relationships/hyperlink" Target="https://pubmed.ncbi.nlm.nih.gov/27396935" TargetMode="External"/><Relationship Id="rId2627" Type="http://schemas.openxmlformats.org/officeDocument/2006/relationships/hyperlink" Target="https://pubmed.ncbi.nlm.nih.gov/31455104" TargetMode="External"/><Relationship Id="rId3959" Type="http://schemas.openxmlformats.org/officeDocument/2006/relationships/hyperlink" Target="https://pubmed.ncbi.nlm.nih.gov/27621230" TargetMode="External"/><Relationship Id="rId2628" Type="http://schemas.openxmlformats.org/officeDocument/2006/relationships/hyperlink" Target="https://pubmed.ncbi.nlm.nih.gov/31446407" TargetMode="External"/><Relationship Id="rId3958" Type="http://schemas.openxmlformats.org/officeDocument/2006/relationships/hyperlink" Target="https://pubmed.ncbi.nlm.nih.gov/27395005" TargetMode="External"/><Relationship Id="rId709" Type="http://schemas.openxmlformats.org/officeDocument/2006/relationships/hyperlink" Target="https://pubmed.ncbi.nlm.nih.gov/36823523" TargetMode="External"/><Relationship Id="rId2629" Type="http://schemas.openxmlformats.org/officeDocument/2006/relationships/hyperlink" Target="https://pubmed.ncbi.nlm.nih.gov/31451419" TargetMode="External"/><Relationship Id="rId708" Type="http://schemas.openxmlformats.org/officeDocument/2006/relationships/hyperlink" Target="https://pubmed.ncbi.nlm.nih.gov/36823068" TargetMode="External"/><Relationship Id="rId707" Type="http://schemas.openxmlformats.org/officeDocument/2006/relationships/hyperlink" Target="https://pubmed.ncbi.nlm.nih.gov/36828622" TargetMode="External"/><Relationship Id="rId706" Type="http://schemas.openxmlformats.org/officeDocument/2006/relationships/hyperlink" Target="https://pubmed.ncbi.nlm.nih.gov/36829179" TargetMode="External"/><Relationship Id="rId701" Type="http://schemas.openxmlformats.org/officeDocument/2006/relationships/hyperlink" Target="https://pubmed.ncbi.nlm.nih.gov/36876157" TargetMode="External"/><Relationship Id="rId700" Type="http://schemas.openxmlformats.org/officeDocument/2006/relationships/hyperlink" Target="https://pubmed.ncbi.nlm.nih.gov/36900257" TargetMode="External"/><Relationship Id="rId705" Type="http://schemas.openxmlformats.org/officeDocument/2006/relationships/hyperlink" Target="https://pubmed.ncbi.nlm.nih.gov/36826505" TargetMode="External"/><Relationship Id="rId704" Type="http://schemas.openxmlformats.org/officeDocument/2006/relationships/hyperlink" Target="https://pubmed.ncbi.nlm.nih.gov/36996627" TargetMode="External"/><Relationship Id="rId703" Type="http://schemas.openxmlformats.org/officeDocument/2006/relationships/hyperlink" Target="https://pubmed.ncbi.nlm.nih.gov/36829188" TargetMode="External"/><Relationship Id="rId702" Type="http://schemas.openxmlformats.org/officeDocument/2006/relationships/hyperlink" Target="https://pubmed.ncbi.nlm.nih.gov/36840867" TargetMode="External"/><Relationship Id="rId3951" Type="http://schemas.openxmlformats.org/officeDocument/2006/relationships/hyperlink" Target="https://pubmed.ncbi.nlm.nih.gov/27409582" TargetMode="External"/><Relationship Id="rId2620" Type="http://schemas.openxmlformats.org/officeDocument/2006/relationships/hyperlink" Target="https://pubmed.ncbi.nlm.nih.gov/31296966" TargetMode="External"/><Relationship Id="rId3950" Type="http://schemas.openxmlformats.org/officeDocument/2006/relationships/hyperlink" Target="https://pubmed.ncbi.nlm.nih.gov/27420382" TargetMode="External"/><Relationship Id="rId2610" Type="http://schemas.openxmlformats.org/officeDocument/2006/relationships/hyperlink" Target="https://pubmed.ncbi.nlm.nih.gov/31511259" TargetMode="External"/><Relationship Id="rId3942" Type="http://schemas.openxmlformats.org/officeDocument/2006/relationships/hyperlink" Target="https://pubmed.ncbi.nlm.nih.gov/27494446" TargetMode="External"/><Relationship Id="rId2611" Type="http://schemas.openxmlformats.org/officeDocument/2006/relationships/hyperlink" Target="https://pubmed.ncbi.nlm.nih.gov/31500615" TargetMode="External"/><Relationship Id="rId3941" Type="http://schemas.openxmlformats.org/officeDocument/2006/relationships/hyperlink" Target="https://pubmed.ncbi.nlm.nih.gov/27461491" TargetMode="External"/><Relationship Id="rId2612" Type="http://schemas.openxmlformats.org/officeDocument/2006/relationships/hyperlink" Target="https://pubmed.ncbi.nlm.nih.gov/30629157" TargetMode="External"/><Relationship Id="rId3944" Type="http://schemas.openxmlformats.org/officeDocument/2006/relationships/hyperlink" Target="https://pubmed.ncbi.nlm.nih.gov/27438804" TargetMode="External"/><Relationship Id="rId2613" Type="http://schemas.openxmlformats.org/officeDocument/2006/relationships/hyperlink" Target="https://pubmed.ncbi.nlm.nih.gov/31494605" TargetMode="External"/><Relationship Id="rId3943" Type="http://schemas.openxmlformats.org/officeDocument/2006/relationships/hyperlink" Target="https://pubmed.ncbi.nlm.nih.gov/27449497" TargetMode="External"/><Relationship Id="rId2614" Type="http://schemas.openxmlformats.org/officeDocument/2006/relationships/hyperlink" Target="https://pubmed.ncbi.nlm.nih.gov/33012947" TargetMode="External"/><Relationship Id="rId3946" Type="http://schemas.openxmlformats.org/officeDocument/2006/relationships/hyperlink" Target="https://pubmed.ncbi.nlm.nih.gov/27431507" TargetMode="External"/><Relationship Id="rId2615" Type="http://schemas.openxmlformats.org/officeDocument/2006/relationships/hyperlink" Target="https://pubmed.ncbi.nlm.nih.gov/31493472" TargetMode="External"/><Relationship Id="rId3945" Type="http://schemas.openxmlformats.org/officeDocument/2006/relationships/hyperlink" Target="https://pubmed.ncbi.nlm.nih.gov/27433937" TargetMode="External"/><Relationship Id="rId2616" Type="http://schemas.openxmlformats.org/officeDocument/2006/relationships/hyperlink" Target="https://pubmed.ncbi.nlm.nih.gov/31476893" TargetMode="External"/><Relationship Id="rId3948" Type="http://schemas.openxmlformats.org/officeDocument/2006/relationships/hyperlink" Target="https://pubmed.ncbi.nlm.nih.gov/28280450" TargetMode="External"/><Relationship Id="rId2617" Type="http://schemas.openxmlformats.org/officeDocument/2006/relationships/hyperlink" Target="https://pubmed.ncbi.nlm.nih.gov/31477023" TargetMode="External"/><Relationship Id="rId3947" Type="http://schemas.openxmlformats.org/officeDocument/2006/relationships/hyperlink" Target="https://pubmed.ncbi.nlm.nih.gov/27432836" TargetMode="External"/><Relationship Id="rId2618" Type="http://schemas.openxmlformats.org/officeDocument/2006/relationships/hyperlink" Target="https://pubmed.ncbi.nlm.nih.gov/31481495" TargetMode="External"/><Relationship Id="rId2619" Type="http://schemas.openxmlformats.org/officeDocument/2006/relationships/hyperlink" Target="https://pubmed.ncbi.nlm.nih.gov/31790904" TargetMode="External"/><Relationship Id="rId3949" Type="http://schemas.openxmlformats.org/officeDocument/2006/relationships/hyperlink" Target="https://pubmed.ncbi.nlm.nih.gov/27417581" TargetMode="External"/><Relationship Id="rId3940" Type="http://schemas.openxmlformats.org/officeDocument/2006/relationships/hyperlink" Target="https://pubmed.ncbi.nlm.nih.gov/27460421" TargetMode="External"/><Relationship Id="rId1312" Type="http://schemas.openxmlformats.org/officeDocument/2006/relationships/hyperlink" Target="https://pubmed.ncbi.nlm.nih.gov/35033666" TargetMode="External"/><Relationship Id="rId2643" Type="http://schemas.openxmlformats.org/officeDocument/2006/relationships/hyperlink" Target="https://pubmed.ncbi.nlm.nih.gov/31416897" TargetMode="External"/><Relationship Id="rId3975" Type="http://schemas.openxmlformats.org/officeDocument/2006/relationships/hyperlink" Target="https://pubmed.ncbi.nlm.nih.gov/27324064" TargetMode="External"/><Relationship Id="rId1313" Type="http://schemas.openxmlformats.org/officeDocument/2006/relationships/hyperlink" Target="https://pubmed.ncbi.nlm.nih.gov/35031393" TargetMode="External"/><Relationship Id="rId2644" Type="http://schemas.openxmlformats.org/officeDocument/2006/relationships/hyperlink" Target="https://pubmed.ncbi.nlm.nih.gov/31409110" TargetMode="External"/><Relationship Id="rId3974" Type="http://schemas.openxmlformats.org/officeDocument/2006/relationships/hyperlink" Target="https://pubmed.ncbi.nlm.nih.gov/27334381" TargetMode="External"/><Relationship Id="rId1314" Type="http://schemas.openxmlformats.org/officeDocument/2006/relationships/hyperlink" Target="https://pubmed.ncbi.nlm.nih.gov/36275498" TargetMode="External"/><Relationship Id="rId2645" Type="http://schemas.openxmlformats.org/officeDocument/2006/relationships/hyperlink" Target="https://pubmed.ncbi.nlm.nih.gov/31421272" TargetMode="External"/><Relationship Id="rId3977" Type="http://schemas.openxmlformats.org/officeDocument/2006/relationships/hyperlink" Target="https://pubmed.ncbi.nlm.nih.gov/27496945" TargetMode="External"/><Relationship Id="rId1315" Type="http://schemas.openxmlformats.org/officeDocument/2006/relationships/hyperlink" Target="https://pubmed.ncbi.nlm.nih.gov/35014571" TargetMode="External"/><Relationship Id="rId2646" Type="http://schemas.openxmlformats.org/officeDocument/2006/relationships/hyperlink" Target="https://pubmed.ncbi.nlm.nih.gov/31411091" TargetMode="External"/><Relationship Id="rId3976" Type="http://schemas.openxmlformats.org/officeDocument/2006/relationships/hyperlink" Target="https://pubmed.ncbi.nlm.nih.gov/27322643" TargetMode="External"/><Relationship Id="rId1316" Type="http://schemas.openxmlformats.org/officeDocument/2006/relationships/hyperlink" Target="https://pubmed.ncbi.nlm.nih.gov/35016734" TargetMode="External"/><Relationship Id="rId2647" Type="http://schemas.openxmlformats.org/officeDocument/2006/relationships/hyperlink" Target="https://pubmed.ncbi.nlm.nih.gov/31408861" TargetMode="External"/><Relationship Id="rId3979" Type="http://schemas.openxmlformats.org/officeDocument/2006/relationships/hyperlink" Target="https://pubmed.ncbi.nlm.nih.gov/27311905" TargetMode="External"/><Relationship Id="rId1317" Type="http://schemas.openxmlformats.org/officeDocument/2006/relationships/hyperlink" Target="https://pubmed.ncbi.nlm.nih.gov/35014854" TargetMode="External"/><Relationship Id="rId2648" Type="http://schemas.openxmlformats.org/officeDocument/2006/relationships/hyperlink" Target="https://pubmed.ncbi.nlm.nih.gov/31419435" TargetMode="External"/><Relationship Id="rId3978" Type="http://schemas.openxmlformats.org/officeDocument/2006/relationships/hyperlink" Target="https://pubmed.ncbi.nlm.nih.gov/27314958" TargetMode="External"/><Relationship Id="rId1318" Type="http://schemas.openxmlformats.org/officeDocument/2006/relationships/hyperlink" Target="https://pubmed.ncbi.nlm.nih.gov/35013569" TargetMode="External"/><Relationship Id="rId2649" Type="http://schemas.openxmlformats.org/officeDocument/2006/relationships/hyperlink" Target="https://pubmed.ncbi.nlm.nih.gov/31274194" TargetMode="External"/><Relationship Id="rId1319" Type="http://schemas.openxmlformats.org/officeDocument/2006/relationships/hyperlink" Target="https://pubmed.ncbi.nlm.nih.gov/35017007" TargetMode="External"/><Relationship Id="rId729" Type="http://schemas.openxmlformats.org/officeDocument/2006/relationships/hyperlink" Target="https://pubmed.ncbi.nlm.nih.gov/36477877" TargetMode="External"/><Relationship Id="rId728" Type="http://schemas.openxmlformats.org/officeDocument/2006/relationships/hyperlink" Target="https://pubmed.ncbi.nlm.nih.gov/36396400" TargetMode="External"/><Relationship Id="rId723" Type="http://schemas.openxmlformats.org/officeDocument/2006/relationships/hyperlink" Target="https://pubmed.ncbi.nlm.nih.gov/36795219" TargetMode="External"/><Relationship Id="rId722" Type="http://schemas.openxmlformats.org/officeDocument/2006/relationships/hyperlink" Target="https://pubmed.ncbi.nlm.nih.gov/36794557" TargetMode="External"/><Relationship Id="rId721" Type="http://schemas.openxmlformats.org/officeDocument/2006/relationships/hyperlink" Target="https://pubmed.ncbi.nlm.nih.gov/36797668" TargetMode="External"/><Relationship Id="rId720" Type="http://schemas.openxmlformats.org/officeDocument/2006/relationships/hyperlink" Target="https://pubmed.ncbi.nlm.nih.gov/36822977" TargetMode="External"/><Relationship Id="rId727" Type="http://schemas.openxmlformats.org/officeDocument/2006/relationships/hyperlink" Target="https://pubmed.ncbi.nlm.nih.gov/37259437" TargetMode="External"/><Relationship Id="rId726" Type="http://schemas.openxmlformats.org/officeDocument/2006/relationships/hyperlink" Target="https://pubmed.ncbi.nlm.nih.gov/36792145" TargetMode="External"/><Relationship Id="rId725" Type="http://schemas.openxmlformats.org/officeDocument/2006/relationships/hyperlink" Target="https://pubmed.ncbi.nlm.nih.gov/36790027" TargetMode="External"/><Relationship Id="rId724" Type="http://schemas.openxmlformats.org/officeDocument/2006/relationships/hyperlink" Target="https://pubmed.ncbi.nlm.nih.gov/36655278" TargetMode="External"/><Relationship Id="rId3971" Type="http://schemas.openxmlformats.org/officeDocument/2006/relationships/hyperlink" Target="https://pubmed.ncbi.nlm.nih.gov/27471056" TargetMode="External"/><Relationship Id="rId2640" Type="http://schemas.openxmlformats.org/officeDocument/2006/relationships/hyperlink" Target="https://pubmed.ncbi.nlm.nih.gov/31420828" TargetMode="External"/><Relationship Id="rId3970" Type="http://schemas.openxmlformats.org/officeDocument/2006/relationships/hyperlink" Target="https://pubmed.ncbi.nlm.nih.gov/28065259" TargetMode="External"/><Relationship Id="rId1310" Type="http://schemas.openxmlformats.org/officeDocument/2006/relationships/hyperlink" Target="https://pubmed.ncbi.nlm.nih.gov/35031644" TargetMode="External"/><Relationship Id="rId2641" Type="http://schemas.openxmlformats.org/officeDocument/2006/relationships/hyperlink" Target="https://pubmed.ncbi.nlm.nih.gov/31422397" TargetMode="External"/><Relationship Id="rId3973" Type="http://schemas.openxmlformats.org/officeDocument/2006/relationships/hyperlink" Target="https://pubmed.ncbi.nlm.nih.gov/27345174" TargetMode="External"/><Relationship Id="rId1311" Type="http://schemas.openxmlformats.org/officeDocument/2006/relationships/hyperlink" Target="https://pubmed.ncbi.nlm.nih.gov/35026997" TargetMode="External"/><Relationship Id="rId2642" Type="http://schemas.openxmlformats.org/officeDocument/2006/relationships/hyperlink" Target="https://pubmed.ncbi.nlm.nih.gov/31310442" TargetMode="External"/><Relationship Id="rId3972" Type="http://schemas.openxmlformats.org/officeDocument/2006/relationships/hyperlink" Target="https://pubmed.ncbi.nlm.nih.gov/27342574" TargetMode="External"/><Relationship Id="rId1301" Type="http://schemas.openxmlformats.org/officeDocument/2006/relationships/hyperlink" Target="https://pubmed.ncbi.nlm.nih.gov/35063955" TargetMode="External"/><Relationship Id="rId2632" Type="http://schemas.openxmlformats.org/officeDocument/2006/relationships/hyperlink" Target="https://pubmed.ncbi.nlm.nih.gov/31433851" TargetMode="External"/><Relationship Id="rId3964" Type="http://schemas.openxmlformats.org/officeDocument/2006/relationships/hyperlink" Target="https://pubmed.ncbi.nlm.nih.gov/27378465" TargetMode="External"/><Relationship Id="rId1302" Type="http://schemas.openxmlformats.org/officeDocument/2006/relationships/hyperlink" Target="https://pubmed.ncbi.nlm.nih.gov/35051186" TargetMode="External"/><Relationship Id="rId2633" Type="http://schemas.openxmlformats.org/officeDocument/2006/relationships/hyperlink" Target="https://pubmed.ncbi.nlm.nih.gov/31319002" TargetMode="External"/><Relationship Id="rId3963" Type="http://schemas.openxmlformats.org/officeDocument/2006/relationships/hyperlink" Target="https://pubmed.ncbi.nlm.nih.gov/27458826" TargetMode="External"/><Relationship Id="rId1303" Type="http://schemas.openxmlformats.org/officeDocument/2006/relationships/hyperlink" Target="https://pubmed.ncbi.nlm.nih.gov/35276774" TargetMode="External"/><Relationship Id="rId2634" Type="http://schemas.openxmlformats.org/officeDocument/2006/relationships/hyperlink" Target="https://pubmed.ncbi.nlm.nih.gov/31547914" TargetMode="External"/><Relationship Id="rId3966" Type="http://schemas.openxmlformats.org/officeDocument/2006/relationships/hyperlink" Target="https://pubmed.ncbi.nlm.nih.gov/27444163" TargetMode="External"/><Relationship Id="rId1304" Type="http://schemas.openxmlformats.org/officeDocument/2006/relationships/hyperlink" Target="https://pubmed.ncbi.nlm.nih.gov/35000297" TargetMode="External"/><Relationship Id="rId2635" Type="http://schemas.openxmlformats.org/officeDocument/2006/relationships/hyperlink" Target="https://pubmed.ncbi.nlm.nih.gov/31443994" TargetMode="External"/><Relationship Id="rId3965" Type="http://schemas.openxmlformats.org/officeDocument/2006/relationships/hyperlink" Target="https://pubmed.ncbi.nlm.nih.gov/27378766" TargetMode="External"/><Relationship Id="rId1305" Type="http://schemas.openxmlformats.org/officeDocument/2006/relationships/hyperlink" Target="https://pubmed.ncbi.nlm.nih.gov/35042508" TargetMode="External"/><Relationship Id="rId2636" Type="http://schemas.openxmlformats.org/officeDocument/2006/relationships/hyperlink" Target="https://pubmed.ncbi.nlm.nih.gov/32232172" TargetMode="External"/><Relationship Id="rId3968" Type="http://schemas.openxmlformats.org/officeDocument/2006/relationships/hyperlink" Target="https://pubmed.ncbi.nlm.nih.gov/26748537" TargetMode="External"/><Relationship Id="rId1306" Type="http://schemas.openxmlformats.org/officeDocument/2006/relationships/hyperlink" Target="https://pubmed.ncbi.nlm.nih.gov/35039055" TargetMode="External"/><Relationship Id="rId2637" Type="http://schemas.openxmlformats.org/officeDocument/2006/relationships/hyperlink" Target="https://pubmed.ncbi.nlm.nih.gov/30690475" TargetMode="External"/><Relationship Id="rId3967" Type="http://schemas.openxmlformats.org/officeDocument/2006/relationships/hyperlink" Target="https://pubmed.ncbi.nlm.nih.gov/26863579" TargetMode="External"/><Relationship Id="rId1307" Type="http://schemas.openxmlformats.org/officeDocument/2006/relationships/hyperlink" Target="https://pubmed.ncbi.nlm.nih.gov/35034635" TargetMode="External"/><Relationship Id="rId2638" Type="http://schemas.openxmlformats.org/officeDocument/2006/relationships/hyperlink" Target="https://pubmed.ncbi.nlm.nih.gov/31433140" TargetMode="External"/><Relationship Id="rId1308" Type="http://schemas.openxmlformats.org/officeDocument/2006/relationships/hyperlink" Target="https://pubmed.ncbi.nlm.nih.gov/35045316" TargetMode="External"/><Relationship Id="rId2639" Type="http://schemas.openxmlformats.org/officeDocument/2006/relationships/hyperlink" Target="https://pubmed.ncbi.nlm.nih.gov/31336400" TargetMode="External"/><Relationship Id="rId3969" Type="http://schemas.openxmlformats.org/officeDocument/2006/relationships/hyperlink" Target="https://pubmed.ncbi.nlm.nih.gov/27374838" TargetMode="External"/><Relationship Id="rId1309" Type="http://schemas.openxmlformats.org/officeDocument/2006/relationships/hyperlink" Target="https://pubmed.ncbi.nlm.nih.gov/35097184" TargetMode="External"/><Relationship Id="rId719" Type="http://schemas.openxmlformats.org/officeDocument/2006/relationships/hyperlink" Target="https://pubmed.ncbi.nlm.nih.gov/36875134" TargetMode="External"/><Relationship Id="rId718" Type="http://schemas.openxmlformats.org/officeDocument/2006/relationships/hyperlink" Target="https://pubmed.ncbi.nlm.nih.gov/36797259" TargetMode="External"/><Relationship Id="rId717" Type="http://schemas.openxmlformats.org/officeDocument/2006/relationships/hyperlink" Target="https://pubmed.ncbi.nlm.nih.gov/36794894" TargetMode="External"/><Relationship Id="rId712" Type="http://schemas.openxmlformats.org/officeDocument/2006/relationships/hyperlink" Target="https://pubmed.ncbi.nlm.nih.gov/36806141" TargetMode="External"/><Relationship Id="rId711" Type="http://schemas.openxmlformats.org/officeDocument/2006/relationships/hyperlink" Target="https://pubmed.ncbi.nlm.nih.gov/36813284" TargetMode="External"/><Relationship Id="rId710" Type="http://schemas.openxmlformats.org/officeDocument/2006/relationships/hyperlink" Target="https://pubmed.ncbi.nlm.nih.gov/36813504" TargetMode="External"/><Relationship Id="rId716" Type="http://schemas.openxmlformats.org/officeDocument/2006/relationships/hyperlink" Target="https://pubmed.ncbi.nlm.nih.gov/36834272" TargetMode="External"/><Relationship Id="rId715" Type="http://schemas.openxmlformats.org/officeDocument/2006/relationships/hyperlink" Target="https://pubmed.ncbi.nlm.nih.gov/36841085" TargetMode="External"/><Relationship Id="rId714" Type="http://schemas.openxmlformats.org/officeDocument/2006/relationships/hyperlink" Target="https://pubmed.ncbi.nlm.nih.gov/36805778" TargetMode="External"/><Relationship Id="rId713" Type="http://schemas.openxmlformats.org/officeDocument/2006/relationships/hyperlink" Target="https://pubmed.ncbi.nlm.nih.gov/36806550" TargetMode="External"/><Relationship Id="rId3960" Type="http://schemas.openxmlformats.org/officeDocument/2006/relationships/hyperlink" Target="https://pubmed.ncbi.nlm.nih.gov/27389768" TargetMode="External"/><Relationship Id="rId2630" Type="http://schemas.openxmlformats.org/officeDocument/2006/relationships/hyperlink" Target="https://pubmed.ncbi.nlm.nih.gov/31449856" TargetMode="External"/><Relationship Id="rId3962" Type="http://schemas.openxmlformats.org/officeDocument/2006/relationships/hyperlink" Target="https://pubmed.ncbi.nlm.nih.gov/28280446" TargetMode="External"/><Relationship Id="rId1300" Type="http://schemas.openxmlformats.org/officeDocument/2006/relationships/hyperlink" Target="https://pubmed.ncbi.nlm.nih.gov/35063009" TargetMode="External"/><Relationship Id="rId2631" Type="http://schemas.openxmlformats.org/officeDocument/2006/relationships/hyperlink" Target="https://pubmed.ncbi.nlm.nih.gov/31508298" TargetMode="External"/><Relationship Id="rId3961" Type="http://schemas.openxmlformats.org/officeDocument/2006/relationships/hyperlink" Target="https://pubmed.ncbi.nlm.nih.gov/27390256" TargetMode="External"/><Relationship Id="rId1378" Type="http://schemas.openxmlformats.org/officeDocument/2006/relationships/hyperlink" Target="https://pubmed.ncbi.nlm.nih.gov/34882698" TargetMode="External"/><Relationship Id="rId1379" Type="http://schemas.openxmlformats.org/officeDocument/2006/relationships/hyperlink" Target="https://pubmed.ncbi.nlm.nih.gov/34887591" TargetMode="External"/><Relationship Id="rId789" Type="http://schemas.openxmlformats.org/officeDocument/2006/relationships/hyperlink" Target="https://pubmed.ncbi.nlm.nih.gov/36541154" TargetMode="External"/><Relationship Id="rId788" Type="http://schemas.openxmlformats.org/officeDocument/2006/relationships/hyperlink" Target="https://pubmed.ncbi.nlm.nih.gov/36697034" TargetMode="External"/><Relationship Id="rId787" Type="http://schemas.openxmlformats.org/officeDocument/2006/relationships/hyperlink" Target="https://pubmed.ncbi.nlm.nih.gov/36526724" TargetMode="External"/><Relationship Id="rId786" Type="http://schemas.openxmlformats.org/officeDocument/2006/relationships/hyperlink" Target="https://pubmed.ncbi.nlm.nih.gov/36646804" TargetMode="External"/><Relationship Id="rId781" Type="http://schemas.openxmlformats.org/officeDocument/2006/relationships/hyperlink" Target="https://pubmed.ncbi.nlm.nih.gov/36639273" TargetMode="External"/><Relationship Id="rId1370" Type="http://schemas.openxmlformats.org/officeDocument/2006/relationships/hyperlink" Target="https://pubmed.ncbi.nlm.nih.gov/34943733" TargetMode="External"/><Relationship Id="rId780" Type="http://schemas.openxmlformats.org/officeDocument/2006/relationships/hyperlink" Target="https://pubmed.ncbi.nlm.nih.gov/36282272" TargetMode="External"/><Relationship Id="rId1371" Type="http://schemas.openxmlformats.org/officeDocument/2006/relationships/hyperlink" Target="https://pubmed.ncbi.nlm.nih.gov/34897756" TargetMode="External"/><Relationship Id="rId1372" Type="http://schemas.openxmlformats.org/officeDocument/2006/relationships/hyperlink" Target="https://pubmed.ncbi.nlm.nih.gov/34897871" TargetMode="External"/><Relationship Id="rId1373" Type="http://schemas.openxmlformats.org/officeDocument/2006/relationships/hyperlink" Target="https://pubmed.ncbi.nlm.nih.gov/34952692" TargetMode="External"/><Relationship Id="rId785" Type="http://schemas.openxmlformats.org/officeDocument/2006/relationships/hyperlink" Target="https://pubmed.ncbi.nlm.nih.gov/36649973" TargetMode="External"/><Relationship Id="rId1374" Type="http://schemas.openxmlformats.org/officeDocument/2006/relationships/hyperlink" Target="https://pubmed.ncbi.nlm.nih.gov/34949521" TargetMode="External"/><Relationship Id="rId784" Type="http://schemas.openxmlformats.org/officeDocument/2006/relationships/hyperlink" Target="https://pubmed.ncbi.nlm.nih.gov/36378879" TargetMode="External"/><Relationship Id="rId1375" Type="http://schemas.openxmlformats.org/officeDocument/2006/relationships/hyperlink" Target="https://pubmed.ncbi.nlm.nih.gov/34886862" TargetMode="External"/><Relationship Id="rId783" Type="http://schemas.openxmlformats.org/officeDocument/2006/relationships/hyperlink" Target="https://pubmed.ncbi.nlm.nih.gov/36705510" TargetMode="External"/><Relationship Id="rId1376" Type="http://schemas.openxmlformats.org/officeDocument/2006/relationships/hyperlink" Target="https://pubmed.ncbi.nlm.nih.gov/35227451" TargetMode="External"/><Relationship Id="rId782" Type="http://schemas.openxmlformats.org/officeDocument/2006/relationships/hyperlink" Target="https://pubmed.ncbi.nlm.nih.gov/36696181" TargetMode="External"/><Relationship Id="rId1377" Type="http://schemas.openxmlformats.org/officeDocument/2006/relationships/hyperlink" Target="https://pubmed.ncbi.nlm.nih.gov/34889076" TargetMode="External"/><Relationship Id="rId1367" Type="http://schemas.openxmlformats.org/officeDocument/2006/relationships/hyperlink" Target="https://pubmed.ncbi.nlm.nih.gov/34948875" TargetMode="External"/><Relationship Id="rId2698" Type="http://schemas.openxmlformats.org/officeDocument/2006/relationships/hyperlink" Target="https://pubmed.ncbi.nlm.nih.gov/31291777" TargetMode="External"/><Relationship Id="rId1368" Type="http://schemas.openxmlformats.org/officeDocument/2006/relationships/hyperlink" Target="https://pubmed.ncbi.nlm.nih.gov/34904857" TargetMode="External"/><Relationship Id="rId2699" Type="http://schemas.openxmlformats.org/officeDocument/2006/relationships/hyperlink" Target="https://pubmed.ncbi.nlm.nih.gov/31292137" TargetMode="External"/><Relationship Id="rId1369" Type="http://schemas.openxmlformats.org/officeDocument/2006/relationships/hyperlink" Target="https://pubmed.ncbi.nlm.nih.gov/34903241" TargetMode="External"/><Relationship Id="rId778" Type="http://schemas.openxmlformats.org/officeDocument/2006/relationships/hyperlink" Target="https://pubmed.ncbi.nlm.nih.gov/36541111" TargetMode="External"/><Relationship Id="rId777" Type="http://schemas.openxmlformats.org/officeDocument/2006/relationships/hyperlink" Target="https://pubmed.ncbi.nlm.nih.gov/36610547" TargetMode="External"/><Relationship Id="rId776" Type="http://schemas.openxmlformats.org/officeDocument/2006/relationships/hyperlink" Target="https://pubmed.ncbi.nlm.nih.gov/36623524" TargetMode="External"/><Relationship Id="rId775" Type="http://schemas.openxmlformats.org/officeDocument/2006/relationships/hyperlink" Target="https://pubmed.ncbi.nlm.nih.gov/36621214" TargetMode="External"/><Relationship Id="rId779" Type="http://schemas.openxmlformats.org/officeDocument/2006/relationships/hyperlink" Target="https://pubmed.ncbi.nlm.nih.gov/36604231" TargetMode="External"/><Relationship Id="rId770" Type="http://schemas.openxmlformats.org/officeDocument/2006/relationships/hyperlink" Target="https://pubmed.ncbi.nlm.nih.gov/36632924" TargetMode="External"/><Relationship Id="rId2690" Type="http://schemas.openxmlformats.org/officeDocument/2006/relationships/hyperlink" Target="https://pubmed.ncbi.nlm.nih.gov/31366676" TargetMode="External"/><Relationship Id="rId1360" Type="http://schemas.openxmlformats.org/officeDocument/2006/relationships/hyperlink" Target="https://pubmed.ncbi.nlm.nih.gov/34953417" TargetMode="External"/><Relationship Id="rId2691" Type="http://schemas.openxmlformats.org/officeDocument/2006/relationships/hyperlink" Target="https://pubmed.ncbi.nlm.nih.gov/31336145" TargetMode="External"/><Relationship Id="rId1361" Type="http://schemas.openxmlformats.org/officeDocument/2006/relationships/hyperlink" Target="https://pubmed.ncbi.nlm.nih.gov/34945234" TargetMode="External"/><Relationship Id="rId2692" Type="http://schemas.openxmlformats.org/officeDocument/2006/relationships/hyperlink" Target="https://pubmed.ncbi.nlm.nih.gov/31323113" TargetMode="External"/><Relationship Id="rId1362" Type="http://schemas.openxmlformats.org/officeDocument/2006/relationships/hyperlink" Target="https://pubmed.ncbi.nlm.nih.gov/34929319" TargetMode="External"/><Relationship Id="rId2693" Type="http://schemas.openxmlformats.org/officeDocument/2006/relationships/hyperlink" Target="https://pubmed.ncbi.nlm.nih.gov/31330250" TargetMode="External"/><Relationship Id="rId774" Type="http://schemas.openxmlformats.org/officeDocument/2006/relationships/hyperlink" Target="https://pubmed.ncbi.nlm.nih.gov/36962923" TargetMode="External"/><Relationship Id="rId1363" Type="http://schemas.openxmlformats.org/officeDocument/2006/relationships/hyperlink" Target="https://pubmed.ncbi.nlm.nih.gov/34915593" TargetMode="External"/><Relationship Id="rId2694" Type="http://schemas.openxmlformats.org/officeDocument/2006/relationships/hyperlink" Target="https://pubmed.ncbi.nlm.nih.gov/31317599" TargetMode="External"/><Relationship Id="rId773" Type="http://schemas.openxmlformats.org/officeDocument/2006/relationships/hyperlink" Target="https://pubmed.ncbi.nlm.nih.gov/36611202" TargetMode="External"/><Relationship Id="rId1364" Type="http://schemas.openxmlformats.org/officeDocument/2006/relationships/hyperlink" Target="https://pubmed.ncbi.nlm.nih.gov/34916315" TargetMode="External"/><Relationship Id="rId2695" Type="http://schemas.openxmlformats.org/officeDocument/2006/relationships/hyperlink" Target="https://pubmed.ncbi.nlm.nih.gov/31311511" TargetMode="External"/><Relationship Id="rId772" Type="http://schemas.openxmlformats.org/officeDocument/2006/relationships/hyperlink" Target="https://pubmed.ncbi.nlm.nih.gov/36617388" TargetMode="External"/><Relationship Id="rId1365" Type="http://schemas.openxmlformats.org/officeDocument/2006/relationships/hyperlink" Target="https://pubmed.ncbi.nlm.nih.gov/34913363" TargetMode="External"/><Relationship Id="rId2696" Type="http://schemas.openxmlformats.org/officeDocument/2006/relationships/hyperlink" Target="https://pubmed.ncbi.nlm.nih.gov/31304842" TargetMode="External"/><Relationship Id="rId771" Type="http://schemas.openxmlformats.org/officeDocument/2006/relationships/hyperlink" Target="https://pubmed.ncbi.nlm.nih.gov/36215200" TargetMode="External"/><Relationship Id="rId1366" Type="http://schemas.openxmlformats.org/officeDocument/2006/relationships/hyperlink" Target="https://pubmed.ncbi.nlm.nih.gov/34916313" TargetMode="External"/><Relationship Id="rId2697" Type="http://schemas.openxmlformats.org/officeDocument/2006/relationships/hyperlink" Target="https://pubmed.ncbi.nlm.nih.gov/31292200" TargetMode="External"/><Relationship Id="rId1390" Type="http://schemas.openxmlformats.org/officeDocument/2006/relationships/hyperlink" Target="https://pubmed.ncbi.nlm.nih.gov/34853178" TargetMode="External"/><Relationship Id="rId1391" Type="http://schemas.openxmlformats.org/officeDocument/2006/relationships/hyperlink" Target="https://pubmed.ncbi.nlm.nih.gov/34814164" TargetMode="External"/><Relationship Id="rId1392" Type="http://schemas.openxmlformats.org/officeDocument/2006/relationships/hyperlink" Target="https://pubmed.ncbi.nlm.nih.gov/34613339" TargetMode="External"/><Relationship Id="rId1393" Type="http://schemas.openxmlformats.org/officeDocument/2006/relationships/hyperlink" Target="https://pubmed.ncbi.nlm.nih.gov/34850657" TargetMode="External"/><Relationship Id="rId1394" Type="http://schemas.openxmlformats.org/officeDocument/2006/relationships/hyperlink" Target="https://pubmed.ncbi.nlm.nih.gov/33978531" TargetMode="External"/><Relationship Id="rId1395" Type="http://schemas.openxmlformats.org/officeDocument/2006/relationships/hyperlink" Target="https://pubmed.ncbi.nlm.nih.gov/34863782" TargetMode="External"/><Relationship Id="rId1396" Type="http://schemas.openxmlformats.org/officeDocument/2006/relationships/hyperlink" Target="https://pubmed.ncbi.nlm.nih.gov/34847240" TargetMode="External"/><Relationship Id="rId1397" Type="http://schemas.openxmlformats.org/officeDocument/2006/relationships/hyperlink" Target="https://pubmed.ncbi.nlm.nih.gov/34779118" TargetMode="External"/><Relationship Id="rId1398" Type="http://schemas.openxmlformats.org/officeDocument/2006/relationships/hyperlink" Target="https://pubmed.ncbi.nlm.nih.gov/34912255" TargetMode="External"/><Relationship Id="rId1399" Type="http://schemas.openxmlformats.org/officeDocument/2006/relationships/hyperlink" Target="https://pubmed.ncbi.nlm.nih.gov/34923217" TargetMode="External"/><Relationship Id="rId1389" Type="http://schemas.openxmlformats.org/officeDocument/2006/relationships/hyperlink" Target="https://pubmed.ncbi.nlm.nih.gov/34608597" TargetMode="External"/><Relationship Id="rId799" Type="http://schemas.openxmlformats.org/officeDocument/2006/relationships/hyperlink" Target="https://pubmed.ncbi.nlm.nih.gov/36566773" TargetMode="External"/><Relationship Id="rId798" Type="http://schemas.openxmlformats.org/officeDocument/2006/relationships/hyperlink" Target="https://pubmed.ncbi.nlm.nih.gov/36564612" TargetMode="External"/><Relationship Id="rId797" Type="http://schemas.openxmlformats.org/officeDocument/2006/relationships/hyperlink" Target="https://pubmed.ncbi.nlm.nih.gov/36572861" TargetMode="External"/><Relationship Id="rId1380" Type="http://schemas.openxmlformats.org/officeDocument/2006/relationships/hyperlink" Target="https://pubmed.ncbi.nlm.nih.gov/34896516" TargetMode="External"/><Relationship Id="rId792" Type="http://schemas.openxmlformats.org/officeDocument/2006/relationships/hyperlink" Target="https://pubmed.ncbi.nlm.nih.gov/36583397" TargetMode="External"/><Relationship Id="rId1381" Type="http://schemas.openxmlformats.org/officeDocument/2006/relationships/hyperlink" Target="https://pubmed.ncbi.nlm.nih.gov/34705049" TargetMode="External"/><Relationship Id="rId791" Type="http://schemas.openxmlformats.org/officeDocument/2006/relationships/hyperlink" Target="https://pubmed.ncbi.nlm.nih.gov/36178364" TargetMode="External"/><Relationship Id="rId1382" Type="http://schemas.openxmlformats.org/officeDocument/2006/relationships/hyperlink" Target="https://pubmed.ncbi.nlm.nih.gov/32640024" TargetMode="External"/><Relationship Id="rId790" Type="http://schemas.openxmlformats.org/officeDocument/2006/relationships/hyperlink" Target="https://pubmed.ncbi.nlm.nih.gov/36635078" TargetMode="External"/><Relationship Id="rId1383" Type="http://schemas.openxmlformats.org/officeDocument/2006/relationships/hyperlink" Target="https://pubmed.ncbi.nlm.nih.gov/34917909" TargetMode="External"/><Relationship Id="rId1384" Type="http://schemas.openxmlformats.org/officeDocument/2006/relationships/hyperlink" Target="https://pubmed.ncbi.nlm.nih.gov/34875377" TargetMode="External"/><Relationship Id="rId796" Type="http://schemas.openxmlformats.org/officeDocument/2006/relationships/hyperlink" Target="https://pubmed.ncbi.nlm.nih.gov/36575460" TargetMode="External"/><Relationship Id="rId1385" Type="http://schemas.openxmlformats.org/officeDocument/2006/relationships/hyperlink" Target="https://pubmed.ncbi.nlm.nih.gov/35063188" TargetMode="External"/><Relationship Id="rId795" Type="http://schemas.openxmlformats.org/officeDocument/2006/relationships/hyperlink" Target="https://pubmed.ncbi.nlm.nih.gov/36575484" TargetMode="External"/><Relationship Id="rId1386" Type="http://schemas.openxmlformats.org/officeDocument/2006/relationships/hyperlink" Target="https://pubmed.ncbi.nlm.nih.gov/34991269" TargetMode="External"/><Relationship Id="rId794" Type="http://schemas.openxmlformats.org/officeDocument/2006/relationships/hyperlink" Target="https://pubmed.ncbi.nlm.nih.gov/36571841" TargetMode="External"/><Relationship Id="rId1387" Type="http://schemas.openxmlformats.org/officeDocument/2006/relationships/hyperlink" Target="https://pubmed.ncbi.nlm.nih.gov/34863904" TargetMode="External"/><Relationship Id="rId793" Type="http://schemas.openxmlformats.org/officeDocument/2006/relationships/hyperlink" Target="https://pubmed.ncbi.nlm.nih.gov/36581422" TargetMode="External"/><Relationship Id="rId1388" Type="http://schemas.openxmlformats.org/officeDocument/2006/relationships/hyperlink" Target="https://pubmed.ncbi.nlm.nih.gov/34857564" TargetMode="External"/><Relationship Id="rId6229" Type="http://schemas.openxmlformats.org/officeDocument/2006/relationships/hyperlink" Target="https://pubmed.ncbi.nlm.nih.gov/38943924" TargetMode="External"/><Relationship Id="rId6220" Type="http://schemas.openxmlformats.org/officeDocument/2006/relationships/hyperlink" Target="https://pubmed.ncbi.nlm.nih.gov/38433362" TargetMode="External"/><Relationship Id="rId6223" Type="http://schemas.openxmlformats.org/officeDocument/2006/relationships/hyperlink" Target="https://pubmed.ncbi.nlm.nih.gov/39607723" TargetMode="External"/><Relationship Id="rId6224" Type="http://schemas.openxmlformats.org/officeDocument/2006/relationships/hyperlink" Target="https://pubmed.ncbi.nlm.nih.gov/39558869" TargetMode="External"/><Relationship Id="rId6221" Type="http://schemas.openxmlformats.org/officeDocument/2006/relationships/hyperlink" Target="https://pubmed.ncbi.nlm.nih.gov/38284399" TargetMode="External"/><Relationship Id="rId6222" Type="http://schemas.openxmlformats.org/officeDocument/2006/relationships/hyperlink" Target="https://pubmed.ncbi.nlm.nih.gov/38937570" TargetMode="External"/><Relationship Id="rId6227" Type="http://schemas.openxmlformats.org/officeDocument/2006/relationships/hyperlink" Target="https://pubmed.ncbi.nlm.nih.gov/39656268" TargetMode="External"/><Relationship Id="rId6228" Type="http://schemas.openxmlformats.org/officeDocument/2006/relationships/hyperlink" Target="https://pubmed.ncbi.nlm.nih.gov/39623410" TargetMode="External"/><Relationship Id="rId6225" Type="http://schemas.openxmlformats.org/officeDocument/2006/relationships/hyperlink" Target="https://pubmed.ncbi.nlm.nih.gov/38950629" TargetMode="External"/><Relationship Id="rId6226" Type="http://schemas.openxmlformats.org/officeDocument/2006/relationships/hyperlink" Target="https://pubmed.ncbi.nlm.nih.gov/39221081" TargetMode="External"/><Relationship Id="rId6218" Type="http://schemas.openxmlformats.org/officeDocument/2006/relationships/hyperlink" Target="https://pubmed.ncbi.nlm.nih.gov/39384648" TargetMode="External"/><Relationship Id="rId6219" Type="http://schemas.openxmlformats.org/officeDocument/2006/relationships/hyperlink" Target="https://pubmed.ncbi.nlm.nih.gov/39033058" TargetMode="External"/><Relationship Id="rId6212" Type="http://schemas.openxmlformats.org/officeDocument/2006/relationships/hyperlink" Target="https://pubmed.ncbi.nlm.nih.gov/39314872" TargetMode="External"/><Relationship Id="rId6213" Type="http://schemas.openxmlformats.org/officeDocument/2006/relationships/hyperlink" Target="https://pubmed.ncbi.nlm.nih.gov/39201902" TargetMode="External"/><Relationship Id="rId6210" Type="http://schemas.openxmlformats.org/officeDocument/2006/relationships/hyperlink" Target="https://pubmed.ncbi.nlm.nih.gov/39578755" TargetMode="External"/><Relationship Id="rId6211" Type="http://schemas.openxmlformats.org/officeDocument/2006/relationships/hyperlink" Target="https://pubmed.ncbi.nlm.nih.gov/39367385" TargetMode="External"/><Relationship Id="rId6216" Type="http://schemas.openxmlformats.org/officeDocument/2006/relationships/hyperlink" Target="https://pubmed.ncbi.nlm.nih.gov/39579675" TargetMode="External"/><Relationship Id="rId6217" Type="http://schemas.openxmlformats.org/officeDocument/2006/relationships/hyperlink" Target="https://pubmed.ncbi.nlm.nih.gov/39431501" TargetMode="External"/><Relationship Id="rId6214" Type="http://schemas.openxmlformats.org/officeDocument/2006/relationships/hyperlink" Target="https://pubmed.ncbi.nlm.nih.gov/39493753" TargetMode="External"/><Relationship Id="rId6215" Type="http://schemas.openxmlformats.org/officeDocument/2006/relationships/hyperlink" Target="https://pubmed.ncbi.nlm.nih.gov/39422800" TargetMode="External"/><Relationship Id="rId6241" Type="http://schemas.openxmlformats.org/officeDocument/2006/relationships/hyperlink" Target="https://pubmed.ncbi.nlm.nih.gov/39402688" TargetMode="External"/><Relationship Id="rId6242" Type="http://schemas.openxmlformats.org/officeDocument/2006/relationships/hyperlink" Target="https://pubmed.ncbi.nlm.nih.gov/39398100" TargetMode="External"/><Relationship Id="rId6240" Type="http://schemas.openxmlformats.org/officeDocument/2006/relationships/hyperlink" Target="https://pubmed.ncbi.nlm.nih.gov/39552939" TargetMode="External"/><Relationship Id="rId6245" Type="http://schemas.openxmlformats.org/officeDocument/2006/relationships/hyperlink" Target="https://pubmed.ncbi.nlm.nih.gov/39200587" TargetMode="External"/><Relationship Id="rId6246" Type="http://schemas.openxmlformats.org/officeDocument/2006/relationships/hyperlink" Target="https://pubmed.ncbi.nlm.nih.gov/39098613" TargetMode="External"/><Relationship Id="rId6243" Type="http://schemas.openxmlformats.org/officeDocument/2006/relationships/hyperlink" Target="https://pubmed.ncbi.nlm.nih.gov/39177570" TargetMode="External"/><Relationship Id="rId6244" Type="http://schemas.openxmlformats.org/officeDocument/2006/relationships/hyperlink" Target="https://pubmed.ncbi.nlm.nih.gov/39379985" TargetMode="External"/><Relationship Id="rId6249" Type="http://schemas.openxmlformats.org/officeDocument/2006/relationships/hyperlink" Target="https://pubmed.ncbi.nlm.nih.gov/39448912" TargetMode="External"/><Relationship Id="rId6247" Type="http://schemas.openxmlformats.org/officeDocument/2006/relationships/hyperlink" Target="https://pubmed.ncbi.nlm.nih.gov/39087551" TargetMode="External"/><Relationship Id="rId6248" Type="http://schemas.openxmlformats.org/officeDocument/2006/relationships/hyperlink" Target="https://pubmed.ncbi.nlm.nih.gov/39083770" TargetMode="External"/><Relationship Id="rId6230" Type="http://schemas.openxmlformats.org/officeDocument/2006/relationships/hyperlink" Target="https://pubmed.ncbi.nlm.nih.gov/39253880" TargetMode="External"/><Relationship Id="rId6231" Type="http://schemas.openxmlformats.org/officeDocument/2006/relationships/hyperlink" Target="https://pubmed.ncbi.nlm.nih.gov/39548547" TargetMode="External"/><Relationship Id="rId6234" Type="http://schemas.openxmlformats.org/officeDocument/2006/relationships/hyperlink" Target="https://pubmed.ncbi.nlm.nih.gov/39525268" TargetMode="External"/><Relationship Id="rId6235" Type="http://schemas.openxmlformats.org/officeDocument/2006/relationships/hyperlink" Target="https://pubmed.ncbi.nlm.nih.gov/39354508" TargetMode="External"/><Relationship Id="rId6232" Type="http://schemas.openxmlformats.org/officeDocument/2006/relationships/hyperlink" Target="https://pubmed.ncbi.nlm.nih.gov/39325512" TargetMode="External"/><Relationship Id="rId6233" Type="http://schemas.openxmlformats.org/officeDocument/2006/relationships/hyperlink" Target="https://pubmed.ncbi.nlm.nih.gov/38864866" TargetMode="External"/><Relationship Id="rId6238" Type="http://schemas.openxmlformats.org/officeDocument/2006/relationships/hyperlink" Target="https://pubmed.ncbi.nlm.nih.gov/38883258" TargetMode="External"/><Relationship Id="rId6239" Type="http://schemas.openxmlformats.org/officeDocument/2006/relationships/hyperlink" Target="https://pubmed.ncbi.nlm.nih.gov/38872180" TargetMode="External"/><Relationship Id="rId6236" Type="http://schemas.openxmlformats.org/officeDocument/2006/relationships/hyperlink" Target="https://pubmed.ncbi.nlm.nih.gov/39232763" TargetMode="External"/><Relationship Id="rId6237" Type="http://schemas.openxmlformats.org/officeDocument/2006/relationships/hyperlink" Target="https://pubmed.ncbi.nlm.nih.gov/39190752" TargetMode="External"/><Relationship Id="rId6209" Type="http://schemas.openxmlformats.org/officeDocument/2006/relationships/hyperlink" Target="https://pubmed.ncbi.nlm.nih.gov/38912621" TargetMode="External"/><Relationship Id="rId6207" Type="http://schemas.openxmlformats.org/officeDocument/2006/relationships/hyperlink" Target="https://pubmed.ncbi.nlm.nih.gov/39502859" TargetMode="External"/><Relationship Id="rId6208" Type="http://schemas.openxmlformats.org/officeDocument/2006/relationships/hyperlink" Target="https://pubmed.ncbi.nlm.nih.gov/39302677" TargetMode="External"/><Relationship Id="rId6201" Type="http://schemas.openxmlformats.org/officeDocument/2006/relationships/hyperlink" Target="https://pubmed.ncbi.nlm.nih.gov/39621954" TargetMode="External"/><Relationship Id="rId6202" Type="http://schemas.openxmlformats.org/officeDocument/2006/relationships/hyperlink" Target="https://pubmed.ncbi.nlm.nih.gov/38982451" TargetMode="External"/><Relationship Id="rId6200" Type="http://schemas.openxmlformats.org/officeDocument/2006/relationships/hyperlink" Target="https://pubmed.ncbi.nlm.nih.gov/38916262" TargetMode="External"/><Relationship Id="rId6205" Type="http://schemas.openxmlformats.org/officeDocument/2006/relationships/hyperlink" Target="https://pubmed.ncbi.nlm.nih.gov/39177259" TargetMode="External"/><Relationship Id="rId6206" Type="http://schemas.openxmlformats.org/officeDocument/2006/relationships/hyperlink" Target="https://pubmed.ncbi.nlm.nih.gov/39393778" TargetMode="External"/><Relationship Id="rId6203" Type="http://schemas.openxmlformats.org/officeDocument/2006/relationships/hyperlink" Target="https://pubmed.ncbi.nlm.nih.gov/38995056" TargetMode="External"/><Relationship Id="rId6204" Type="http://schemas.openxmlformats.org/officeDocument/2006/relationships/hyperlink" Target="https://pubmed.ncbi.nlm.nih.gov/39633892" TargetMode="External"/><Relationship Id="rId2700" Type="http://schemas.openxmlformats.org/officeDocument/2006/relationships/hyperlink" Target="https://pubmed.ncbi.nlm.nih.gov/31302040" TargetMode="External"/><Relationship Id="rId2701" Type="http://schemas.openxmlformats.org/officeDocument/2006/relationships/hyperlink" Target="https://pubmed.ncbi.nlm.nih.gov/31299357" TargetMode="External"/><Relationship Id="rId2702" Type="http://schemas.openxmlformats.org/officeDocument/2006/relationships/hyperlink" Target="https://pubmed.ncbi.nlm.nih.gov/31284847" TargetMode="External"/><Relationship Id="rId2703" Type="http://schemas.openxmlformats.org/officeDocument/2006/relationships/hyperlink" Target="https://pubmed.ncbi.nlm.nih.gov/31288094" TargetMode="External"/><Relationship Id="rId2704" Type="http://schemas.openxmlformats.org/officeDocument/2006/relationships/hyperlink" Target="https://pubmed.ncbi.nlm.nih.gov/31278462" TargetMode="External"/><Relationship Id="rId2705" Type="http://schemas.openxmlformats.org/officeDocument/2006/relationships/hyperlink" Target="https://pubmed.ncbi.nlm.nih.gov/31388661" TargetMode="External"/><Relationship Id="rId2706" Type="http://schemas.openxmlformats.org/officeDocument/2006/relationships/hyperlink" Target="https://pubmed.ncbi.nlm.nih.gov/31271296" TargetMode="External"/><Relationship Id="rId2707" Type="http://schemas.openxmlformats.org/officeDocument/2006/relationships/hyperlink" Target="https://pubmed.ncbi.nlm.nih.gov/31339544" TargetMode="External"/><Relationship Id="rId2708" Type="http://schemas.openxmlformats.org/officeDocument/2006/relationships/hyperlink" Target="https://pubmed.ncbi.nlm.nih.gov/31194283" TargetMode="External"/><Relationship Id="rId2709" Type="http://schemas.openxmlformats.org/officeDocument/2006/relationships/hyperlink" Target="https://pubmed.ncbi.nlm.nih.gov/31155833" TargetMode="External"/><Relationship Id="rId6292" Type="http://schemas.openxmlformats.org/officeDocument/2006/relationships/hyperlink" Target="https://pubmed.ncbi.nlm.nih.gov/39363364" TargetMode="External"/><Relationship Id="rId6293" Type="http://schemas.openxmlformats.org/officeDocument/2006/relationships/hyperlink" Target="https://pubmed.ncbi.nlm.nih.gov/38863013" TargetMode="External"/><Relationship Id="rId6290" Type="http://schemas.openxmlformats.org/officeDocument/2006/relationships/hyperlink" Target="https://pubmed.ncbi.nlm.nih.gov/39036527" TargetMode="External"/><Relationship Id="rId6291" Type="http://schemas.openxmlformats.org/officeDocument/2006/relationships/hyperlink" Target="https://pubmed.ncbi.nlm.nih.gov/39222046" TargetMode="External"/><Relationship Id="rId6296" Type="http://schemas.openxmlformats.org/officeDocument/2006/relationships/hyperlink" Target="https://pubmed.ncbi.nlm.nih.gov/39401962" TargetMode="External"/><Relationship Id="rId6297" Type="http://schemas.openxmlformats.org/officeDocument/2006/relationships/hyperlink" Target="https://pubmed.ncbi.nlm.nih.gov/39277029" TargetMode="External"/><Relationship Id="rId6294" Type="http://schemas.openxmlformats.org/officeDocument/2006/relationships/hyperlink" Target="https://pubmed.ncbi.nlm.nih.gov/39636216" TargetMode="External"/><Relationship Id="rId6295" Type="http://schemas.openxmlformats.org/officeDocument/2006/relationships/hyperlink" Target="https://pubmed.ncbi.nlm.nih.gov/39426836" TargetMode="External"/><Relationship Id="rId6298" Type="http://schemas.openxmlformats.org/officeDocument/2006/relationships/hyperlink" Target="https://pubmed.ncbi.nlm.nih.gov/39248141" TargetMode="External"/><Relationship Id="rId6299" Type="http://schemas.openxmlformats.org/officeDocument/2006/relationships/hyperlink" Target="https://pubmed.ncbi.nlm.nih.gov/39100942" TargetMode="External"/><Relationship Id="rId2720" Type="http://schemas.openxmlformats.org/officeDocument/2006/relationships/hyperlink" Target="https://pubmed.ncbi.nlm.nih.gov/31238715" TargetMode="External"/><Relationship Id="rId2721" Type="http://schemas.openxmlformats.org/officeDocument/2006/relationships/hyperlink" Target="https://pubmed.ncbi.nlm.nih.gov/31443811" TargetMode="External"/><Relationship Id="rId2722" Type="http://schemas.openxmlformats.org/officeDocument/2006/relationships/hyperlink" Target="https://pubmed.ncbi.nlm.nih.gov/31445262" TargetMode="External"/><Relationship Id="rId2723" Type="http://schemas.openxmlformats.org/officeDocument/2006/relationships/hyperlink" Target="https://pubmed.ncbi.nlm.nih.gov/31227537" TargetMode="External"/><Relationship Id="rId2724" Type="http://schemas.openxmlformats.org/officeDocument/2006/relationships/hyperlink" Target="https://pubmed.ncbi.nlm.nih.gov/31221634" TargetMode="External"/><Relationship Id="rId2725" Type="http://schemas.openxmlformats.org/officeDocument/2006/relationships/hyperlink" Target="https://pubmed.ncbi.nlm.nih.gov/31693449" TargetMode="External"/><Relationship Id="rId2726" Type="http://schemas.openxmlformats.org/officeDocument/2006/relationships/hyperlink" Target="https://pubmed.ncbi.nlm.nih.gov/31220162" TargetMode="External"/><Relationship Id="rId2727" Type="http://schemas.openxmlformats.org/officeDocument/2006/relationships/hyperlink" Target="https://pubmed.ncbi.nlm.nih.gov/31354253" TargetMode="External"/><Relationship Id="rId2728" Type="http://schemas.openxmlformats.org/officeDocument/2006/relationships/hyperlink" Target="https://pubmed.ncbi.nlm.nih.gov/31216341" TargetMode="External"/><Relationship Id="rId2729" Type="http://schemas.openxmlformats.org/officeDocument/2006/relationships/hyperlink" Target="https://pubmed.ncbi.nlm.nih.gov/31032879" TargetMode="External"/><Relationship Id="rId2710" Type="http://schemas.openxmlformats.org/officeDocument/2006/relationships/hyperlink" Target="https://pubmed.ncbi.nlm.nih.gov/31058997" TargetMode="External"/><Relationship Id="rId2711" Type="http://schemas.openxmlformats.org/officeDocument/2006/relationships/hyperlink" Target="https://pubmed.ncbi.nlm.nih.gov/31160809" TargetMode="External"/><Relationship Id="rId2712" Type="http://schemas.openxmlformats.org/officeDocument/2006/relationships/hyperlink" Target="https://pubmed.ncbi.nlm.nih.gov/31266836" TargetMode="External"/><Relationship Id="rId2713" Type="http://schemas.openxmlformats.org/officeDocument/2006/relationships/hyperlink" Target="https://pubmed.ncbi.nlm.nih.gov/30932026" TargetMode="External"/><Relationship Id="rId2714" Type="http://schemas.openxmlformats.org/officeDocument/2006/relationships/hyperlink" Target="https://pubmed.ncbi.nlm.nih.gov/30645145" TargetMode="External"/><Relationship Id="rId2715" Type="http://schemas.openxmlformats.org/officeDocument/2006/relationships/hyperlink" Target="https://pubmed.ncbi.nlm.nih.gov/31303329" TargetMode="External"/><Relationship Id="rId2716" Type="http://schemas.openxmlformats.org/officeDocument/2006/relationships/hyperlink" Target="https://pubmed.ncbi.nlm.nih.gov/31250335" TargetMode="External"/><Relationship Id="rId2717" Type="http://schemas.openxmlformats.org/officeDocument/2006/relationships/hyperlink" Target="https://pubmed.ncbi.nlm.nih.gov/31248948" TargetMode="External"/><Relationship Id="rId2718" Type="http://schemas.openxmlformats.org/officeDocument/2006/relationships/hyperlink" Target="https://pubmed.ncbi.nlm.nih.gov/31243596" TargetMode="External"/><Relationship Id="rId2719" Type="http://schemas.openxmlformats.org/officeDocument/2006/relationships/hyperlink" Target="https://pubmed.ncbi.nlm.nih.gov/31238358" TargetMode="External"/><Relationship Id="rId6260" Type="http://schemas.openxmlformats.org/officeDocument/2006/relationships/hyperlink" Target="https://pubmed.ncbi.nlm.nih.gov/38870315" TargetMode="External"/><Relationship Id="rId6263" Type="http://schemas.openxmlformats.org/officeDocument/2006/relationships/hyperlink" Target="https://pubmed.ncbi.nlm.nih.gov/39501842" TargetMode="External"/><Relationship Id="rId6264" Type="http://schemas.openxmlformats.org/officeDocument/2006/relationships/hyperlink" Target="https://pubmed.ncbi.nlm.nih.gov/38889167" TargetMode="External"/><Relationship Id="rId6261" Type="http://schemas.openxmlformats.org/officeDocument/2006/relationships/hyperlink" Target="https://pubmed.ncbi.nlm.nih.gov/39635462" TargetMode="External"/><Relationship Id="rId6262" Type="http://schemas.openxmlformats.org/officeDocument/2006/relationships/hyperlink" Target="https://pubmed.ncbi.nlm.nih.gov/39605179" TargetMode="External"/><Relationship Id="rId6267" Type="http://schemas.openxmlformats.org/officeDocument/2006/relationships/hyperlink" Target="https://pubmed.ncbi.nlm.nih.gov/38927441" TargetMode="External"/><Relationship Id="rId6268" Type="http://schemas.openxmlformats.org/officeDocument/2006/relationships/hyperlink" Target="https://pubmed.ncbi.nlm.nih.gov/38870578" TargetMode="External"/><Relationship Id="rId6265" Type="http://schemas.openxmlformats.org/officeDocument/2006/relationships/hyperlink" Target="https://pubmed.ncbi.nlm.nih.gov/39179310" TargetMode="External"/><Relationship Id="rId6266" Type="http://schemas.openxmlformats.org/officeDocument/2006/relationships/hyperlink" Target="https://pubmed.ncbi.nlm.nih.gov/39147225" TargetMode="External"/><Relationship Id="rId6269" Type="http://schemas.openxmlformats.org/officeDocument/2006/relationships/hyperlink" Target="https://pubmed.ncbi.nlm.nih.gov/38960670" TargetMode="External"/><Relationship Id="rId6252" Type="http://schemas.openxmlformats.org/officeDocument/2006/relationships/hyperlink" Target="https://pubmed.ncbi.nlm.nih.gov/39403136" TargetMode="External"/><Relationship Id="rId6253" Type="http://schemas.openxmlformats.org/officeDocument/2006/relationships/hyperlink" Target="https://pubmed.ncbi.nlm.nih.gov/39321979" TargetMode="External"/><Relationship Id="rId6250" Type="http://schemas.openxmlformats.org/officeDocument/2006/relationships/hyperlink" Target="https://pubmed.ncbi.nlm.nih.gov/38926659" TargetMode="External"/><Relationship Id="rId6251" Type="http://schemas.openxmlformats.org/officeDocument/2006/relationships/hyperlink" Target="https://pubmed.ncbi.nlm.nih.gov/39573994" TargetMode="External"/><Relationship Id="rId6256" Type="http://schemas.openxmlformats.org/officeDocument/2006/relationships/hyperlink" Target="https://pubmed.ncbi.nlm.nih.gov/38968981" TargetMode="External"/><Relationship Id="rId6257" Type="http://schemas.openxmlformats.org/officeDocument/2006/relationships/hyperlink" Target="https://pubmed.ncbi.nlm.nih.gov/39499710" TargetMode="External"/><Relationship Id="rId6254" Type="http://schemas.openxmlformats.org/officeDocument/2006/relationships/hyperlink" Target="https://pubmed.ncbi.nlm.nih.gov/39044292" TargetMode="External"/><Relationship Id="rId6255" Type="http://schemas.openxmlformats.org/officeDocument/2006/relationships/hyperlink" Target="https://pubmed.ncbi.nlm.nih.gov/39269022" TargetMode="External"/><Relationship Id="rId6258" Type="http://schemas.openxmlformats.org/officeDocument/2006/relationships/hyperlink" Target="https://pubmed.ncbi.nlm.nih.gov/39378424" TargetMode="External"/><Relationship Id="rId6259" Type="http://schemas.openxmlformats.org/officeDocument/2006/relationships/hyperlink" Target="https://pubmed.ncbi.nlm.nih.gov/39270670" TargetMode="External"/><Relationship Id="rId6281" Type="http://schemas.openxmlformats.org/officeDocument/2006/relationships/hyperlink" Target="https://pubmed.ncbi.nlm.nih.gov/39279867" TargetMode="External"/><Relationship Id="rId6282" Type="http://schemas.openxmlformats.org/officeDocument/2006/relationships/hyperlink" Target="https://pubmed.ncbi.nlm.nih.gov/39035775" TargetMode="External"/><Relationship Id="rId6280" Type="http://schemas.openxmlformats.org/officeDocument/2006/relationships/hyperlink" Target="https://pubmed.ncbi.nlm.nih.gov/39415250" TargetMode="External"/><Relationship Id="rId6285" Type="http://schemas.openxmlformats.org/officeDocument/2006/relationships/hyperlink" Target="https://pubmed.ncbi.nlm.nih.gov/39281002" TargetMode="External"/><Relationship Id="rId6286" Type="http://schemas.openxmlformats.org/officeDocument/2006/relationships/hyperlink" Target="https://pubmed.ncbi.nlm.nih.gov/38863890" TargetMode="External"/><Relationship Id="rId6283" Type="http://schemas.openxmlformats.org/officeDocument/2006/relationships/hyperlink" Target="https://pubmed.ncbi.nlm.nih.gov/39375026" TargetMode="External"/><Relationship Id="rId6284" Type="http://schemas.openxmlformats.org/officeDocument/2006/relationships/hyperlink" Target="https://pubmed.ncbi.nlm.nih.gov/39303054" TargetMode="External"/><Relationship Id="rId6289" Type="http://schemas.openxmlformats.org/officeDocument/2006/relationships/hyperlink" Target="https://pubmed.ncbi.nlm.nih.gov/39172342" TargetMode="External"/><Relationship Id="rId6287" Type="http://schemas.openxmlformats.org/officeDocument/2006/relationships/hyperlink" Target="https://pubmed.ncbi.nlm.nih.gov/39284522" TargetMode="External"/><Relationship Id="rId6288" Type="http://schemas.openxmlformats.org/officeDocument/2006/relationships/hyperlink" Target="https://pubmed.ncbi.nlm.nih.gov/39391560" TargetMode="External"/><Relationship Id="rId6270" Type="http://schemas.openxmlformats.org/officeDocument/2006/relationships/hyperlink" Target="https://pubmed.ncbi.nlm.nih.gov/38348759" TargetMode="External"/><Relationship Id="rId6271" Type="http://schemas.openxmlformats.org/officeDocument/2006/relationships/hyperlink" Target="https://pubmed.ncbi.nlm.nih.gov/39253028" TargetMode="External"/><Relationship Id="rId6274" Type="http://schemas.openxmlformats.org/officeDocument/2006/relationships/hyperlink" Target="https://pubmed.ncbi.nlm.nih.gov/39529899" TargetMode="External"/><Relationship Id="rId6275" Type="http://schemas.openxmlformats.org/officeDocument/2006/relationships/hyperlink" Target="https://pubmed.ncbi.nlm.nih.gov/39005652" TargetMode="External"/><Relationship Id="rId6272" Type="http://schemas.openxmlformats.org/officeDocument/2006/relationships/hyperlink" Target="https://pubmed.ncbi.nlm.nih.gov/38986678" TargetMode="External"/><Relationship Id="rId6273" Type="http://schemas.openxmlformats.org/officeDocument/2006/relationships/hyperlink" Target="https://pubmed.ncbi.nlm.nih.gov/38867245" TargetMode="External"/><Relationship Id="rId6278" Type="http://schemas.openxmlformats.org/officeDocument/2006/relationships/hyperlink" Target="https://pubmed.ncbi.nlm.nih.gov/39552789" TargetMode="External"/><Relationship Id="rId6279" Type="http://schemas.openxmlformats.org/officeDocument/2006/relationships/hyperlink" Target="https://pubmed.ncbi.nlm.nih.gov/39506880" TargetMode="External"/><Relationship Id="rId6276" Type="http://schemas.openxmlformats.org/officeDocument/2006/relationships/hyperlink" Target="https://pubmed.ncbi.nlm.nih.gov/39331035" TargetMode="External"/><Relationship Id="rId6277" Type="http://schemas.openxmlformats.org/officeDocument/2006/relationships/hyperlink" Target="https://pubmed.ncbi.nlm.nih.gov/39006157" TargetMode="External"/><Relationship Id="rId1455" Type="http://schemas.openxmlformats.org/officeDocument/2006/relationships/hyperlink" Target="https://pubmed.ncbi.nlm.nih.gov/34656083" TargetMode="External"/><Relationship Id="rId2786" Type="http://schemas.openxmlformats.org/officeDocument/2006/relationships/hyperlink" Target="https://pubmed.ncbi.nlm.nih.gov/31103344" TargetMode="External"/><Relationship Id="rId1456" Type="http://schemas.openxmlformats.org/officeDocument/2006/relationships/hyperlink" Target="https://pubmed.ncbi.nlm.nih.gov/34666175" TargetMode="External"/><Relationship Id="rId2787" Type="http://schemas.openxmlformats.org/officeDocument/2006/relationships/hyperlink" Target="https://pubmed.ncbi.nlm.nih.gov/31046423" TargetMode="External"/><Relationship Id="rId1457" Type="http://schemas.openxmlformats.org/officeDocument/2006/relationships/hyperlink" Target="https://pubmed.ncbi.nlm.nih.gov/34654484" TargetMode="External"/><Relationship Id="rId2788" Type="http://schemas.openxmlformats.org/officeDocument/2006/relationships/hyperlink" Target="https://pubmed.ncbi.nlm.nih.gov/31046778" TargetMode="External"/><Relationship Id="rId1458" Type="http://schemas.openxmlformats.org/officeDocument/2006/relationships/hyperlink" Target="https://pubmed.ncbi.nlm.nih.gov/34647395" TargetMode="External"/><Relationship Id="rId2789" Type="http://schemas.openxmlformats.org/officeDocument/2006/relationships/hyperlink" Target="https://pubmed.ncbi.nlm.nih.gov/31054787" TargetMode="External"/><Relationship Id="rId1459" Type="http://schemas.openxmlformats.org/officeDocument/2006/relationships/hyperlink" Target="https://pubmed.ncbi.nlm.nih.gov/34645708" TargetMode="External"/><Relationship Id="rId629" Type="http://schemas.openxmlformats.org/officeDocument/2006/relationships/hyperlink" Target="https://pubmed.ncbi.nlm.nih.gov/37052401" TargetMode="External"/><Relationship Id="rId624" Type="http://schemas.openxmlformats.org/officeDocument/2006/relationships/hyperlink" Target="https://pubmed.ncbi.nlm.nih.gov/37066787" TargetMode="External"/><Relationship Id="rId623" Type="http://schemas.openxmlformats.org/officeDocument/2006/relationships/hyperlink" Target="https://pubmed.ncbi.nlm.nih.gov/37075492" TargetMode="External"/><Relationship Id="rId622" Type="http://schemas.openxmlformats.org/officeDocument/2006/relationships/hyperlink" Target="https://pubmed.ncbi.nlm.nih.gov/37077041" TargetMode="External"/><Relationship Id="rId621" Type="http://schemas.openxmlformats.org/officeDocument/2006/relationships/hyperlink" Target="https://pubmed.ncbi.nlm.nih.gov/37074497" TargetMode="External"/><Relationship Id="rId628" Type="http://schemas.openxmlformats.org/officeDocument/2006/relationships/hyperlink" Target="https://pubmed.ncbi.nlm.nih.gov/37059387" TargetMode="External"/><Relationship Id="rId627" Type="http://schemas.openxmlformats.org/officeDocument/2006/relationships/hyperlink" Target="https://pubmed.ncbi.nlm.nih.gov/37055655" TargetMode="External"/><Relationship Id="rId626" Type="http://schemas.openxmlformats.org/officeDocument/2006/relationships/hyperlink" Target="https://pubmed.ncbi.nlm.nih.gov/37061665" TargetMode="External"/><Relationship Id="rId625" Type="http://schemas.openxmlformats.org/officeDocument/2006/relationships/hyperlink" Target="https://pubmed.ncbi.nlm.nih.gov/37062011" TargetMode="External"/><Relationship Id="rId2780" Type="http://schemas.openxmlformats.org/officeDocument/2006/relationships/hyperlink" Target="https://pubmed.ncbi.nlm.nih.gov/31146083" TargetMode="External"/><Relationship Id="rId1450" Type="http://schemas.openxmlformats.org/officeDocument/2006/relationships/hyperlink" Target="https://pubmed.ncbi.nlm.nih.gov/34142455" TargetMode="External"/><Relationship Id="rId2781" Type="http://schemas.openxmlformats.org/officeDocument/2006/relationships/hyperlink" Target="https://pubmed.ncbi.nlm.nih.gov/31086050" TargetMode="External"/><Relationship Id="rId620" Type="http://schemas.openxmlformats.org/officeDocument/2006/relationships/hyperlink" Target="https://pubmed.ncbi.nlm.nih.gov/37130440" TargetMode="External"/><Relationship Id="rId1451" Type="http://schemas.openxmlformats.org/officeDocument/2006/relationships/hyperlink" Target="https://pubmed.ncbi.nlm.nih.gov/34666699" TargetMode="External"/><Relationship Id="rId2782" Type="http://schemas.openxmlformats.org/officeDocument/2006/relationships/hyperlink" Target="https://pubmed.ncbi.nlm.nih.gov/30905297" TargetMode="External"/><Relationship Id="rId1452" Type="http://schemas.openxmlformats.org/officeDocument/2006/relationships/hyperlink" Target="https://pubmed.ncbi.nlm.nih.gov/34666769" TargetMode="External"/><Relationship Id="rId2783" Type="http://schemas.openxmlformats.org/officeDocument/2006/relationships/hyperlink" Target="https://pubmed.ncbi.nlm.nih.gov/31167710" TargetMode="External"/><Relationship Id="rId1453" Type="http://schemas.openxmlformats.org/officeDocument/2006/relationships/hyperlink" Target="https://pubmed.ncbi.nlm.nih.gov/34662340" TargetMode="External"/><Relationship Id="rId2784" Type="http://schemas.openxmlformats.org/officeDocument/2006/relationships/hyperlink" Target="https://pubmed.ncbi.nlm.nih.gov/31067223" TargetMode="External"/><Relationship Id="rId1454" Type="http://schemas.openxmlformats.org/officeDocument/2006/relationships/hyperlink" Target="https://pubmed.ncbi.nlm.nih.gov/34655415" TargetMode="External"/><Relationship Id="rId2785" Type="http://schemas.openxmlformats.org/officeDocument/2006/relationships/hyperlink" Target="https://pubmed.ncbi.nlm.nih.gov/31064742" TargetMode="External"/><Relationship Id="rId1444" Type="http://schemas.openxmlformats.org/officeDocument/2006/relationships/hyperlink" Target="https://pubmed.ncbi.nlm.nih.gov/34702868" TargetMode="External"/><Relationship Id="rId2775" Type="http://schemas.openxmlformats.org/officeDocument/2006/relationships/hyperlink" Target="https://pubmed.ncbi.nlm.nih.gov/31104108" TargetMode="External"/><Relationship Id="rId1445" Type="http://schemas.openxmlformats.org/officeDocument/2006/relationships/hyperlink" Target="https://pubmed.ncbi.nlm.nih.gov/34688720" TargetMode="External"/><Relationship Id="rId2776" Type="http://schemas.openxmlformats.org/officeDocument/2006/relationships/hyperlink" Target="https://pubmed.ncbi.nlm.nih.gov/29982391" TargetMode="External"/><Relationship Id="rId1446" Type="http://schemas.openxmlformats.org/officeDocument/2006/relationships/hyperlink" Target="https://pubmed.ncbi.nlm.nih.gov/34670632" TargetMode="External"/><Relationship Id="rId2777" Type="http://schemas.openxmlformats.org/officeDocument/2006/relationships/hyperlink" Target="https://pubmed.ncbi.nlm.nih.gov/31103844" TargetMode="External"/><Relationship Id="rId1447" Type="http://schemas.openxmlformats.org/officeDocument/2006/relationships/hyperlink" Target="https://pubmed.ncbi.nlm.nih.gov/34670498" TargetMode="External"/><Relationship Id="rId2778" Type="http://schemas.openxmlformats.org/officeDocument/2006/relationships/hyperlink" Target="https://pubmed.ncbi.nlm.nih.gov/31102781" TargetMode="External"/><Relationship Id="rId1448" Type="http://schemas.openxmlformats.org/officeDocument/2006/relationships/hyperlink" Target="https://pubmed.ncbi.nlm.nih.gov/34670818" TargetMode="External"/><Relationship Id="rId2779" Type="http://schemas.openxmlformats.org/officeDocument/2006/relationships/hyperlink" Target="https://pubmed.ncbi.nlm.nih.gov/31096974" TargetMode="External"/><Relationship Id="rId1449" Type="http://schemas.openxmlformats.org/officeDocument/2006/relationships/hyperlink" Target="https://pubmed.ncbi.nlm.nih.gov/34670780" TargetMode="External"/><Relationship Id="rId619" Type="http://schemas.openxmlformats.org/officeDocument/2006/relationships/hyperlink" Target="https://pubmed.ncbi.nlm.nih.gov/37076142" TargetMode="External"/><Relationship Id="rId618" Type="http://schemas.openxmlformats.org/officeDocument/2006/relationships/hyperlink" Target="https://pubmed.ncbi.nlm.nih.gov/37086863" TargetMode="External"/><Relationship Id="rId613" Type="http://schemas.openxmlformats.org/officeDocument/2006/relationships/hyperlink" Target="https://pubmed.ncbi.nlm.nih.gov/37087415" TargetMode="External"/><Relationship Id="rId612" Type="http://schemas.openxmlformats.org/officeDocument/2006/relationships/hyperlink" Target="https://pubmed.ncbi.nlm.nih.gov/37089061" TargetMode="External"/><Relationship Id="rId611" Type="http://schemas.openxmlformats.org/officeDocument/2006/relationships/hyperlink" Target="https://pubmed.ncbi.nlm.nih.gov/37070758" TargetMode="External"/><Relationship Id="rId610" Type="http://schemas.openxmlformats.org/officeDocument/2006/relationships/hyperlink" Target="https://pubmed.ncbi.nlm.nih.gov/37125389" TargetMode="External"/><Relationship Id="rId617" Type="http://schemas.openxmlformats.org/officeDocument/2006/relationships/hyperlink" Target="https://pubmed.ncbi.nlm.nih.gov/37078916" TargetMode="External"/><Relationship Id="rId616" Type="http://schemas.openxmlformats.org/officeDocument/2006/relationships/hyperlink" Target="https://pubmed.ncbi.nlm.nih.gov/37085656" TargetMode="External"/><Relationship Id="rId615" Type="http://schemas.openxmlformats.org/officeDocument/2006/relationships/hyperlink" Target="https://pubmed.ncbi.nlm.nih.gov/37085305" TargetMode="External"/><Relationship Id="rId614" Type="http://schemas.openxmlformats.org/officeDocument/2006/relationships/hyperlink" Target="https://pubmed.ncbi.nlm.nih.gov/37085329" TargetMode="External"/><Relationship Id="rId2770" Type="http://schemas.openxmlformats.org/officeDocument/2006/relationships/hyperlink" Target="https://pubmed.ncbi.nlm.nih.gov/31130428" TargetMode="External"/><Relationship Id="rId1440" Type="http://schemas.openxmlformats.org/officeDocument/2006/relationships/hyperlink" Target="https://pubmed.ncbi.nlm.nih.gov/34704955" TargetMode="External"/><Relationship Id="rId2771" Type="http://schemas.openxmlformats.org/officeDocument/2006/relationships/hyperlink" Target="https://pubmed.ncbi.nlm.nih.gov/31213822" TargetMode="External"/><Relationship Id="rId1441" Type="http://schemas.openxmlformats.org/officeDocument/2006/relationships/hyperlink" Target="https://pubmed.ncbi.nlm.nih.gov/33970254" TargetMode="External"/><Relationship Id="rId2772" Type="http://schemas.openxmlformats.org/officeDocument/2006/relationships/hyperlink" Target="https://pubmed.ncbi.nlm.nih.gov/31116770" TargetMode="External"/><Relationship Id="rId1442" Type="http://schemas.openxmlformats.org/officeDocument/2006/relationships/hyperlink" Target="https://pubmed.ncbi.nlm.nih.gov/34702727" TargetMode="External"/><Relationship Id="rId2773" Type="http://schemas.openxmlformats.org/officeDocument/2006/relationships/hyperlink" Target="https://pubmed.ncbi.nlm.nih.gov/31115679" TargetMode="External"/><Relationship Id="rId1443" Type="http://schemas.openxmlformats.org/officeDocument/2006/relationships/hyperlink" Target="https://pubmed.ncbi.nlm.nih.gov/34406373" TargetMode="External"/><Relationship Id="rId2774" Type="http://schemas.openxmlformats.org/officeDocument/2006/relationships/hyperlink" Target="https://pubmed.ncbi.nlm.nih.gov/31050823" TargetMode="External"/><Relationship Id="rId1477" Type="http://schemas.openxmlformats.org/officeDocument/2006/relationships/hyperlink" Target="https://pubmed.ncbi.nlm.nih.gov/35094790" TargetMode="External"/><Relationship Id="rId1478" Type="http://schemas.openxmlformats.org/officeDocument/2006/relationships/hyperlink" Target="https://pubmed.ncbi.nlm.nih.gov/34648008" TargetMode="External"/><Relationship Id="rId1479" Type="http://schemas.openxmlformats.org/officeDocument/2006/relationships/hyperlink" Target="https://pubmed.ncbi.nlm.nih.gov/34448881" TargetMode="External"/><Relationship Id="rId646" Type="http://schemas.openxmlformats.org/officeDocument/2006/relationships/hyperlink" Target="https://pubmed.ncbi.nlm.nih.gov/37011080" TargetMode="External"/><Relationship Id="rId645" Type="http://schemas.openxmlformats.org/officeDocument/2006/relationships/hyperlink" Target="https://pubmed.ncbi.nlm.nih.gov/37185846" TargetMode="External"/><Relationship Id="rId644" Type="http://schemas.openxmlformats.org/officeDocument/2006/relationships/hyperlink" Target="https://pubmed.ncbi.nlm.nih.gov/37055175" TargetMode="External"/><Relationship Id="rId643" Type="http://schemas.openxmlformats.org/officeDocument/2006/relationships/hyperlink" Target="https://pubmed.ncbi.nlm.nih.gov/37018874" TargetMode="External"/><Relationship Id="rId649" Type="http://schemas.openxmlformats.org/officeDocument/2006/relationships/hyperlink" Target="https://pubmed.ncbi.nlm.nih.gov/37065641" TargetMode="External"/><Relationship Id="rId648" Type="http://schemas.openxmlformats.org/officeDocument/2006/relationships/hyperlink" Target="https://pubmed.ncbi.nlm.nih.gov/37180853" TargetMode="External"/><Relationship Id="rId647" Type="http://schemas.openxmlformats.org/officeDocument/2006/relationships/hyperlink" Target="https://pubmed.ncbi.nlm.nih.gov/36997769" TargetMode="External"/><Relationship Id="rId1470" Type="http://schemas.openxmlformats.org/officeDocument/2006/relationships/hyperlink" Target="https://pubmed.ncbi.nlm.nih.gov/34620186" TargetMode="External"/><Relationship Id="rId1471" Type="http://schemas.openxmlformats.org/officeDocument/2006/relationships/hyperlink" Target="https://pubmed.ncbi.nlm.nih.gov/34609311" TargetMode="External"/><Relationship Id="rId1472" Type="http://schemas.openxmlformats.org/officeDocument/2006/relationships/hyperlink" Target="https://pubmed.ncbi.nlm.nih.gov/34609196" TargetMode="External"/><Relationship Id="rId642" Type="http://schemas.openxmlformats.org/officeDocument/2006/relationships/hyperlink" Target="https://pubmed.ncbi.nlm.nih.gov/37013651" TargetMode="External"/><Relationship Id="rId1473" Type="http://schemas.openxmlformats.org/officeDocument/2006/relationships/hyperlink" Target="https://pubmed.ncbi.nlm.nih.gov/34611811" TargetMode="External"/><Relationship Id="rId641" Type="http://schemas.openxmlformats.org/officeDocument/2006/relationships/hyperlink" Target="https://pubmed.ncbi.nlm.nih.gov/37024020" TargetMode="External"/><Relationship Id="rId1474" Type="http://schemas.openxmlformats.org/officeDocument/2006/relationships/hyperlink" Target="https://pubmed.ncbi.nlm.nih.gov/34459846" TargetMode="External"/><Relationship Id="rId640" Type="http://schemas.openxmlformats.org/officeDocument/2006/relationships/hyperlink" Target="https://pubmed.ncbi.nlm.nih.gov/37223572" TargetMode="External"/><Relationship Id="rId1475" Type="http://schemas.openxmlformats.org/officeDocument/2006/relationships/hyperlink" Target="https://pubmed.ncbi.nlm.nih.gov/34253583" TargetMode="External"/><Relationship Id="rId1476" Type="http://schemas.openxmlformats.org/officeDocument/2006/relationships/hyperlink" Target="https://pubmed.ncbi.nlm.nih.gov/34652194" TargetMode="External"/><Relationship Id="rId1466" Type="http://schemas.openxmlformats.org/officeDocument/2006/relationships/hyperlink" Target="https://pubmed.ncbi.nlm.nih.gov/34627499" TargetMode="External"/><Relationship Id="rId2797" Type="http://schemas.openxmlformats.org/officeDocument/2006/relationships/hyperlink" Target="https://pubmed.ncbi.nlm.nih.gov/31360897" TargetMode="External"/><Relationship Id="rId1467" Type="http://schemas.openxmlformats.org/officeDocument/2006/relationships/hyperlink" Target="https://pubmed.ncbi.nlm.nih.gov/34854593" TargetMode="External"/><Relationship Id="rId2798" Type="http://schemas.openxmlformats.org/officeDocument/2006/relationships/hyperlink" Target="https://pubmed.ncbi.nlm.nih.gov/31132583" TargetMode="External"/><Relationship Id="rId1468" Type="http://schemas.openxmlformats.org/officeDocument/2006/relationships/hyperlink" Target="https://pubmed.ncbi.nlm.nih.gov/34626578" TargetMode="External"/><Relationship Id="rId2799" Type="http://schemas.openxmlformats.org/officeDocument/2006/relationships/hyperlink" Target="https://pubmed.ncbi.nlm.nih.gov/31031172" TargetMode="External"/><Relationship Id="rId1469" Type="http://schemas.openxmlformats.org/officeDocument/2006/relationships/hyperlink" Target="https://pubmed.ncbi.nlm.nih.gov/34620666" TargetMode="External"/><Relationship Id="rId635" Type="http://schemas.openxmlformats.org/officeDocument/2006/relationships/hyperlink" Target="https://pubmed.ncbi.nlm.nih.gov/37139096" TargetMode="External"/><Relationship Id="rId634" Type="http://schemas.openxmlformats.org/officeDocument/2006/relationships/hyperlink" Target="https://pubmed.ncbi.nlm.nih.gov/37041138" TargetMode="External"/><Relationship Id="rId633" Type="http://schemas.openxmlformats.org/officeDocument/2006/relationships/hyperlink" Target="https://pubmed.ncbi.nlm.nih.gov/37041507" TargetMode="External"/><Relationship Id="rId632" Type="http://schemas.openxmlformats.org/officeDocument/2006/relationships/hyperlink" Target="https://pubmed.ncbi.nlm.nih.gov/37039875" TargetMode="External"/><Relationship Id="rId639" Type="http://schemas.openxmlformats.org/officeDocument/2006/relationships/hyperlink" Target="https://pubmed.ncbi.nlm.nih.gov/37113782" TargetMode="External"/><Relationship Id="rId638" Type="http://schemas.openxmlformats.org/officeDocument/2006/relationships/hyperlink" Target="https://pubmed.ncbi.nlm.nih.gov/37024639" TargetMode="External"/><Relationship Id="rId637" Type="http://schemas.openxmlformats.org/officeDocument/2006/relationships/hyperlink" Target="https://pubmed.ncbi.nlm.nih.gov/37363259" TargetMode="External"/><Relationship Id="rId636" Type="http://schemas.openxmlformats.org/officeDocument/2006/relationships/hyperlink" Target="https://pubmed.ncbi.nlm.nih.gov/37036420" TargetMode="External"/><Relationship Id="rId2790" Type="http://schemas.openxmlformats.org/officeDocument/2006/relationships/hyperlink" Target="https://pubmed.ncbi.nlm.nih.gov/30521759" TargetMode="External"/><Relationship Id="rId1460" Type="http://schemas.openxmlformats.org/officeDocument/2006/relationships/hyperlink" Target="https://pubmed.ncbi.nlm.nih.gov/34634926" TargetMode="External"/><Relationship Id="rId2791" Type="http://schemas.openxmlformats.org/officeDocument/2006/relationships/hyperlink" Target="https://pubmed.ncbi.nlm.nih.gov/29672747" TargetMode="External"/><Relationship Id="rId1461" Type="http://schemas.openxmlformats.org/officeDocument/2006/relationships/hyperlink" Target="https://pubmed.ncbi.nlm.nih.gov/34635140" TargetMode="External"/><Relationship Id="rId2792" Type="http://schemas.openxmlformats.org/officeDocument/2006/relationships/hyperlink" Target="https://pubmed.ncbi.nlm.nih.gov/30659573" TargetMode="External"/><Relationship Id="rId631" Type="http://schemas.openxmlformats.org/officeDocument/2006/relationships/hyperlink" Target="https://pubmed.ncbi.nlm.nih.gov/37745046" TargetMode="External"/><Relationship Id="rId1462" Type="http://schemas.openxmlformats.org/officeDocument/2006/relationships/hyperlink" Target="https://pubmed.ncbi.nlm.nih.gov/34635375" TargetMode="External"/><Relationship Id="rId2793" Type="http://schemas.openxmlformats.org/officeDocument/2006/relationships/hyperlink" Target="https://pubmed.ncbi.nlm.nih.gov/31050745" TargetMode="External"/><Relationship Id="rId630" Type="http://schemas.openxmlformats.org/officeDocument/2006/relationships/hyperlink" Target="https://pubmed.ncbi.nlm.nih.gov/36270785" TargetMode="External"/><Relationship Id="rId1463" Type="http://schemas.openxmlformats.org/officeDocument/2006/relationships/hyperlink" Target="https://pubmed.ncbi.nlm.nih.gov/34653942" TargetMode="External"/><Relationship Id="rId2794" Type="http://schemas.openxmlformats.org/officeDocument/2006/relationships/hyperlink" Target="https://pubmed.ncbi.nlm.nih.gov/30927419" TargetMode="External"/><Relationship Id="rId1464" Type="http://schemas.openxmlformats.org/officeDocument/2006/relationships/hyperlink" Target="https://pubmed.ncbi.nlm.nih.gov/35262026" TargetMode="External"/><Relationship Id="rId2795" Type="http://schemas.openxmlformats.org/officeDocument/2006/relationships/hyperlink" Target="https://pubmed.ncbi.nlm.nih.gov/30968961" TargetMode="External"/><Relationship Id="rId1465" Type="http://schemas.openxmlformats.org/officeDocument/2006/relationships/hyperlink" Target="https://pubmed.ncbi.nlm.nih.gov/34662751" TargetMode="External"/><Relationship Id="rId2796" Type="http://schemas.openxmlformats.org/officeDocument/2006/relationships/hyperlink" Target="https://pubmed.ncbi.nlm.nih.gov/31160928" TargetMode="External"/><Relationship Id="rId1411" Type="http://schemas.openxmlformats.org/officeDocument/2006/relationships/hyperlink" Target="https://pubmed.ncbi.nlm.nih.gov/34848947" TargetMode="External"/><Relationship Id="rId2742" Type="http://schemas.openxmlformats.org/officeDocument/2006/relationships/hyperlink" Target="https://pubmed.ncbi.nlm.nih.gov/31182032" TargetMode="External"/><Relationship Id="rId1412" Type="http://schemas.openxmlformats.org/officeDocument/2006/relationships/hyperlink" Target="https://pubmed.ncbi.nlm.nih.gov/34858656" TargetMode="External"/><Relationship Id="rId2743" Type="http://schemas.openxmlformats.org/officeDocument/2006/relationships/hyperlink" Target="https://pubmed.ncbi.nlm.nih.gov/31172212" TargetMode="External"/><Relationship Id="rId1413" Type="http://schemas.openxmlformats.org/officeDocument/2006/relationships/hyperlink" Target="https://pubmed.ncbi.nlm.nih.gov/34831754" TargetMode="External"/><Relationship Id="rId2744" Type="http://schemas.openxmlformats.org/officeDocument/2006/relationships/hyperlink" Target="https://pubmed.ncbi.nlm.nih.gov/31171553" TargetMode="External"/><Relationship Id="rId1414" Type="http://schemas.openxmlformats.org/officeDocument/2006/relationships/hyperlink" Target="https://pubmed.ncbi.nlm.nih.gov/34772754" TargetMode="External"/><Relationship Id="rId2745" Type="http://schemas.openxmlformats.org/officeDocument/2006/relationships/hyperlink" Target="https://pubmed.ncbi.nlm.nih.gov/31158860" TargetMode="External"/><Relationship Id="rId1415" Type="http://schemas.openxmlformats.org/officeDocument/2006/relationships/hyperlink" Target="https://pubmed.ncbi.nlm.nih.gov/35342817" TargetMode="External"/><Relationship Id="rId2746" Type="http://schemas.openxmlformats.org/officeDocument/2006/relationships/hyperlink" Target="https://pubmed.ncbi.nlm.nih.gov/31242097" TargetMode="External"/><Relationship Id="rId1416" Type="http://schemas.openxmlformats.org/officeDocument/2006/relationships/hyperlink" Target="https://pubmed.ncbi.nlm.nih.gov/34755532" TargetMode="External"/><Relationship Id="rId2747" Type="http://schemas.openxmlformats.org/officeDocument/2006/relationships/hyperlink" Target="https://pubmed.ncbi.nlm.nih.gov/30365008" TargetMode="External"/><Relationship Id="rId1417" Type="http://schemas.openxmlformats.org/officeDocument/2006/relationships/hyperlink" Target="https://pubmed.ncbi.nlm.nih.gov/34758852" TargetMode="External"/><Relationship Id="rId2748" Type="http://schemas.openxmlformats.org/officeDocument/2006/relationships/hyperlink" Target="https://pubmed.ncbi.nlm.nih.gov/31102238" TargetMode="External"/><Relationship Id="rId1418" Type="http://schemas.openxmlformats.org/officeDocument/2006/relationships/hyperlink" Target="https://pubmed.ncbi.nlm.nih.gov/34753497" TargetMode="External"/><Relationship Id="rId2749" Type="http://schemas.openxmlformats.org/officeDocument/2006/relationships/hyperlink" Target="https://pubmed.ncbi.nlm.nih.gov/30130327" TargetMode="External"/><Relationship Id="rId1419" Type="http://schemas.openxmlformats.org/officeDocument/2006/relationships/hyperlink" Target="https://pubmed.ncbi.nlm.nih.gov/34753191" TargetMode="External"/><Relationship Id="rId2740" Type="http://schemas.openxmlformats.org/officeDocument/2006/relationships/hyperlink" Target="https://pubmed.ncbi.nlm.nih.gov/33755494" TargetMode="External"/><Relationship Id="rId1410" Type="http://schemas.openxmlformats.org/officeDocument/2006/relationships/hyperlink" Target="https://pubmed.ncbi.nlm.nih.gov/34782483" TargetMode="External"/><Relationship Id="rId2741" Type="http://schemas.openxmlformats.org/officeDocument/2006/relationships/hyperlink" Target="https://pubmed.ncbi.nlm.nih.gov/31182084" TargetMode="External"/><Relationship Id="rId1400" Type="http://schemas.openxmlformats.org/officeDocument/2006/relationships/hyperlink" Target="https://pubmed.ncbi.nlm.nih.gov/34821569" TargetMode="External"/><Relationship Id="rId2731" Type="http://schemas.openxmlformats.org/officeDocument/2006/relationships/hyperlink" Target="https://pubmed.ncbi.nlm.nih.gov/31215495" TargetMode="External"/><Relationship Id="rId1401" Type="http://schemas.openxmlformats.org/officeDocument/2006/relationships/hyperlink" Target="https://pubmed.ncbi.nlm.nih.gov/34888287" TargetMode="External"/><Relationship Id="rId2732" Type="http://schemas.openxmlformats.org/officeDocument/2006/relationships/hyperlink" Target="https://pubmed.ncbi.nlm.nih.gov/31209664" TargetMode="External"/><Relationship Id="rId1402" Type="http://schemas.openxmlformats.org/officeDocument/2006/relationships/hyperlink" Target="https://pubmed.ncbi.nlm.nih.gov/34852981" TargetMode="External"/><Relationship Id="rId2733" Type="http://schemas.openxmlformats.org/officeDocument/2006/relationships/hyperlink" Target="https://pubmed.ncbi.nlm.nih.gov/31209992" TargetMode="External"/><Relationship Id="rId1403" Type="http://schemas.openxmlformats.org/officeDocument/2006/relationships/hyperlink" Target="https://pubmed.ncbi.nlm.nih.gov/37090177" TargetMode="External"/><Relationship Id="rId2734" Type="http://schemas.openxmlformats.org/officeDocument/2006/relationships/hyperlink" Target="https://pubmed.ncbi.nlm.nih.gov/31209088" TargetMode="External"/><Relationship Id="rId1404" Type="http://schemas.openxmlformats.org/officeDocument/2006/relationships/hyperlink" Target="https://pubmed.ncbi.nlm.nih.gov/34831915" TargetMode="External"/><Relationship Id="rId2735" Type="http://schemas.openxmlformats.org/officeDocument/2006/relationships/hyperlink" Target="https://pubmed.ncbi.nlm.nih.gov/31298882" TargetMode="External"/><Relationship Id="rId1405" Type="http://schemas.openxmlformats.org/officeDocument/2006/relationships/hyperlink" Target="https://pubmed.ncbi.nlm.nih.gov/34796724" TargetMode="External"/><Relationship Id="rId2736" Type="http://schemas.openxmlformats.org/officeDocument/2006/relationships/hyperlink" Target="https://pubmed.ncbi.nlm.nih.gov/31197820" TargetMode="External"/><Relationship Id="rId1406" Type="http://schemas.openxmlformats.org/officeDocument/2006/relationships/hyperlink" Target="https://pubmed.ncbi.nlm.nih.gov/34867763" TargetMode="External"/><Relationship Id="rId2737" Type="http://schemas.openxmlformats.org/officeDocument/2006/relationships/hyperlink" Target="https://pubmed.ncbi.nlm.nih.gov/31189462" TargetMode="External"/><Relationship Id="rId1407" Type="http://schemas.openxmlformats.org/officeDocument/2006/relationships/hyperlink" Target="https://pubmed.ncbi.nlm.nih.gov/34792619" TargetMode="External"/><Relationship Id="rId2738" Type="http://schemas.openxmlformats.org/officeDocument/2006/relationships/hyperlink" Target="https://pubmed.ncbi.nlm.nih.gov/31245529" TargetMode="External"/><Relationship Id="rId1408" Type="http://schemas.openxmlformats.org/officeDocument/2006/relationships/hyperlink" Target="https://pubmed.ncbi.nlm.nih.gov/34820593" TargetMode="External"/><Relationship Id="rId2739" Type="http://schemas.openxmlformats.org/officeDocument/2006/relationships/hyperlink" Target="https://pubmed.ncbi.nlm.nih.gov/31177983" TargetMode="External"/><Relationship Id="rId1409" Type="http://schemas.openxmlformats.org/officeDocument/2006/relationships/hyperlink" Target="https://pubmed.ncbi.nlm.nih.gov/34798287" TargetMode="External"/><Relationship Id="rId2730" Type="http://schemas.openxmlformats.org/officeDocument/2006/relationships/hyperlink" Target="https://pubmed.ncbi.nlm.nih.gov/31212275" TargetMode="External"/><Relationship Id="rId1433" Type="http://schemas.openxmlformats.org/officeDocument/2006/relationships/hyperlink" Target="https://pubmed.ncbi.nlm.nih.gov/34915793" TargetMode="External"/><Relationship Id="rId2764" Type="http://schemas.openxmlformats.org/officeDocument/2006/relationships/hyperlink" Target="https://pubmed.ncbi.nlm.nih.gov/31129596" TargetMode="External"/><Relationship Id="rId1434" Type="http://schemas.openxmlformats.org/officeDocument/2006/relationships/hyperlink" Target="https://pubmed.ncbi.nlm.nih.gov/34790591" TargetMode="External"/><Relationship Id="rId2765" Type="http://schemas.openxmlformats.org/officeDocument/2006/relationships/hyperlink" Target="https://pubmed.ncbi.nlm.nih.gov/31129570" TargetMode="External"/><Relationship Id="rId1435" Type="http://schemas.openxmlformats.org/officeDocument/2006/relationships/hyperlink" Target="https://pubmed.ncbi.nlm.nih.gov/34545036" TargetMode="External"/><Relationship Id="rId2766" Type="http://schemas.openxmlformats.org/officeDocument/2006/relationships/hyperlink" Target="https://pubmed.ncbi.nlm.nih.gov/31127719" TargetMode="External"/><Relationship Id="rId1436" Type="http://schemas.openxmlformats.org/officeDocument/2006/relationships/hyperlink" Target="https://pubmed.ncbi.nlm.nih.gov/34815246" TargetMode="External"/><Relationship Id="rId2767" Type="http://schemas.openxmlformats.org/officeDocument/2006/relationships/hyperlink" Target="https://pubmed.ncbi.nlm.nih.gov/31062479" TargetMode="External"/><Relationship Id="rId1437" Type="http://schemas.openxmlformats.org/officeDocument/2006/relationships/hyperlink" Target="https://pubmed.ncbi.nlm.nih.gov/34716228" TargetMode="External"/><Relationship Id="rId2768" Type="http://schemas.openxmlformats.org/officeDocument/2006/relationships/hyperlink" Target="https://pubmed.ncbi.nlm.nih.gov/31122172" TargetMode="External"/><Relationship Id="rId1438" Type="http://schemas.openxmlformats.org/officeDocument/2006/relationships/hyperlink" Target="https://pubmed.ncbi.nlm.nih.gov/34711598" TargetMode="External"/><Relationship Id="rId2769" Type="http://schemas.openxmlformats.org/officeDocument/2006/relationships/hyperlink" Target="https://pubmed.ncbi.nlm.nih.gov/31130429" TargetMode="External"/><Relationship Id="rId1439" Type="http://schemas.openxmlformats.org/officeDocument/2006/relationships/hyperlink" Target="https://pubmed.ncbi.nlm.nih.gov/37637880" TargetMode="External"/><Relationship Id="rId609" Type="http://schemas.openxmlformats.org/officeDocument/2006/relationships/hyperlink" Target="https://pubmed.ncbi.nlm.nih.gov/37105321" TargetMode="External"/><Relationship Id="rId608" Type="http://schemas.openxmlformats.org/officeDocument/2006/relationships/hyperlink" Target="https://pubmed.ncbi.nlm.nih.gov/37484338" TargetMode="External"/><Relationship Id="rId607" Type="http://schemas.openxmlformats.org/officeDocument/2006/relationships/hyperlink" Target="https://pubmed.ncbi.nlm.nih.gov/37104291" TargetMode="External"/><Relationship Id="rId602" Type="http://schemas.openxmlformats.org/officeDocument/2006/relationships/hyperlink" Target="https://pubmed.ncbi.nlm.nih.gov/37118612" TargetMode="External"/><Relationship Id="rId601" Type="http://schemas.openxmlformats.org/officeDocument/2006/relationships/hyperlink" Target="https://pubmed.ncbi.nlm.nih.gov/37424069" TargetMode="External"/><Relationship Id="rId600" Type="http://schemas.openxmlformats.org/officeDocument/2006/relationships/hyperlink" Target="https://pubmed.ncbi.nlm.nih.gov/37169490" TargetMode="External"/><Relationship Id="rId606" Type="http://schemas.openxmlformats.org/officeDocument/2006/relationships/hyperlink" Target="https://pubmed.ncbi.nlm.nih.gov/37105736" TargetMode="External"/><Relationship Id="rId605" Type="http://schemas.openxmlformats.org/officeDocument/2006/relationships/hyperlink" Target="https://pubmed.ncbi.nlm.nih.gov/37099341" TargetMode="External"/><Relationship Id="rId604" Type="http://schemas.openxmlformats.org/officeDocument/2006/relationships/hyperlink" Target="https://pubmed.ncbi.nlm.nih.gov/37103643" TargetMode="External"/><Relationship Id="rId603" Type="http://schemas.openxmlformats.org/officeDocument/2006/relationships/hyperlink" Target="https://pubmed.ncbi.nlm.nih.gov/37105540" TargetMode="External"/><Relationship Id="rId2760" Type="http://schemas.openxmlformats.org/officeDocument/2006/relationships/hyperlink" Target="https://pubmed.ncbi.nlm.nih.gov/31150837" TargetMode="External"/><Relationship Id="rId1430" Type="http://schemas.openxmlformats.org/officeDocument/2006/relationships/hyperlink" Target="https://pubmed.ncbi.nlm.nih.gov/34736925" TargetMode="External"/><Relationship Id="rId2761" Type="http://schemas.openxmlformats.org/officeDocument/2006/relationships/hyperlink" Target="https://pubmed.ncbi.nlm.nih.gov/31146022" TargetMode="External"/><Relationship Id="rId1431" Type="http://schemas.openxmlformats.org/officeDocument/2006/relationships/hyperlink" Target="https://pubmed.ncbi.nlm.nih.gov/34687635" TargetMode="External"/><Relationship Id="rId2762" Type="http://schemas.openxmlformats.org/officeDocument/2006/relationships/hyperlink" Target="https://pubmed.ncbi.nlm.nih.gov/31132969" TargetMode="External"/><Relationship Id="rId1432" Type="http://schemas.openxmlformats.org/officeDocument/2006/relationships/hyperlink" Target="https://pubmed.ncbi.nlm.nih.gov/33860985" TargetMode="External"/><Relationship Id="rId2763" Type="http://schemas.openxmlformats.org/officeDocument/2006/relationships/hyperlink" Target="https://pubmed.ncbi.nlm.nih.gov/31132891" TargetMode="External"/><Relationship Id="rId1422" Type="http://schemas.openxmlformats.org/officeDocument/2006/relationships/hyperlink" Target="https://pubmed.ncbi.nlm.nih.gov/34115836" TargetMode="External"/><Relationship Id="rId2753" Type="http://schemas.openxmlformats.org/officeDocument/2006/relationships/hyperlink" Target="https://pubmed.ncbi.nlm.nih.gov/31160392" TargetMode="External"/><Relationship Id="rId1423" Type="http://schemas.openxmlformats.org/officeDocument/2006/relationships/hyperlink" Target="https://pubmed.ncbi.nlm.nih.gov/34803665" TargetMode="External"/><Relationship Id="rId2754" Type="http://schemas.openxmlformats.org/officeDocument/2006/relationships/hyperlink" Target="https://pubmed.ncbi.nlm.nih.gov/31155413" TargetMode="External"/><Relationship Id="rId1424" Type="http://schemas.openxmlformats.org/officeDocument/2006/relationships/hyperlink" Target="https://pubmed.ncbi.nlm.nih.gov/34698405" TargetMode="External"/><Relationship Id="rId2755" Type="http://schemas.openxmlformats.org/officeDocument/2006/relationships/hyperlink" Target="https://pubmed.ncbi.nlm.nih.gov/31210922" TargetMode="External"/><Relationship Id="rId1425" Type="http://schemas.openxmlformats.org/officeDocument/2006/relationships/hyperlink" Target="https://pubmed.ncbi.nlm.nih.gov/34763270" TargetMode="External"/><Relationship Id="rId2756" Type="http://schemas.openxmlformats.org/officeDocument/2006/relationships/hyperlink" Target="https://pubmed.ncbi.nlm.nih.gov/31214102" TargetMode="External"/><Relationship Id="rId1426" Type="http://schemas.openxmlformats.org/officeDocument/2006/relationships/hyperlink" Target="https://pubmed.ncbi.nlm.nih.gov/34585249" TargetMode="External"/><Relationship Id="rId2757" Type="http://schemas.openxmlformats.org/officeDocument/2006/relationships/hyperlink" Target="https://pubmed.ncbi.nlm.nih.gov/31187971" TargetMode="External"/><Relationship Id="rId1427" Type="http://schemas.openxmlformats.org/officeDocument/2006/relationships/hyperlink" Target="https://pubmed.ncbi.nlm.nih.gov/34606578" TargetMode="External"/><Relationship Id="rId2758" Type="http://schemas.openxmlformats.org/officeDocument/2006/relationships/hyperlink" Target="https://pubmed.ncbi.nlm.nih.gov/31152022" TargetMode="External"/><Relationship Id="rId1428" Type="http://schemas.openxmlformats.org/officeDocument/2006/relationships/hyperlink" Target="https://pubmed.ncbi.nlm.nih.gov/34729832" TargetMode="External"/><Relationship Id="rId2759" Type="http://schemas.openxmlformats.org/officeDocument/2006/relationships/hyperlink" Target="https://pubmed.ncbi.nlm.nih.gov/31142454" TargetMode="External"/><Relationship Id="rId1429" Type="http://schemas.openxmlformats.org/officeDocument/2006/relationships/hyperlink" Target="https://pubmed.ncbi.nlm.nih.gov/34737060" TargetMode="External"/><Relationship Id="rId2750" Type="http://schemas.openxmlformats.org/officeDocument/2006/relationships/hyperlink" Target="https://pubmed.ncbi.nlm.nih.gov/30299424" TargetMode="External"/><Relationship Id="rId1420" Type="http://schemas.openxmlformats.org/officeDocument/2006/relationships/hyperlink" Target="https://pubmed.ncbi.nlm.nih.gov/34752778" TargetMode="External"/><Relationship Id="rId2751" Type="http://schemas.openxmlformats.org/officeDocument/2006/relationships/hyperlink" Target="https://pubmed.ncbi.nlm.nih.gov/30462234" TargetMode="External"/><Relationship Id="rId1421" Type="http://schemas.openxmlformats.org/officeDocument/2006/relationships/hyperlink" Target="https://pubmed.ncbi.nlm.nih.gov/34752804" TargetMode="External"/><Relationship Id="rId2752" Type="http://schemas.openxmlformats.org/officeDocument/2006/relationships/hyperlink" Target="https://pubmed.ncbi.nlm.nih.gov/31146874" TargetMode="External"/><Relationship Id="rId699" Type="http://schemas.openxmlformats.org/officeDocument/2006/relationships/hyperlink" Target="https://pubmed.ncbi.nlm.nih.gov/36848749" TargetMode="External"/><Relationship Id="rId698" Type="http://schemas.openxmlformats.org/officeDocument/2006/relationships/hyperlink" Target="https://pubmed.ncbi.nlm.nih.gov/36843017" TargetMode="External"/><Relationship Id="rId693" Type="http://schemas.openxmlformats.org/officeDocument/2006/relationships/hyperlink" Target="https://pubmed.ncbi.nlm.nih.gov/36533406" TargetMode="External"/><Relationship Id="rId692" Type="http://schemas.openxmlformats.org/officeDocument/2006/relationships/hyperlink" Target="https://pubmed.ncbi.nlm.nih.gov/36629285" TargetMode="External"/><Relationship Id="rId691" Type="http://schemas.openxmlformats.org/officeDocument/2006/relationships/hyperlink" Target="https://pubmed.ncbi.nlm.nih.gov/36806310" TargetMode="External"/><Relationship Id="rId690" Type="http://schemas.openxmlformats.org/officeDocument/2006/relationships/hyperlink" Target="https://pubmed.ncbi.nlm.nih.gov/36859567" TargetMode="External"/><Relationship Id="rId697" Type="http://schemas.openxmlformats.org/officeDocument/2006/relationships/hyperlink" Target="https://pubmed.ncbi.nlm.nih.gov/36846982" TargetMode="External"/><Relationship Id="rId696" Type="http://schemas.openxmlformats.org/officeDocument/2006/relationships/hyperlink" Target="https://pubmed.ncbi.nlm.nih.gov/36855048" TargetMode="External"/><Relationship Id="rId695" Type="http://schemas.openxmlformats.org/officeDocument/2006/relationships/hyperlink" Target="https://pubmed.ncbi.nlm.nih.gov/36931098" TargetMode="External"/><Relationship Id="rId694" Type="http://schemas.openxmlformats.org/officeDocument/2006/relationships/hyperlink" Target="https://pubmed.ncbi.nlm.nih.gov/36926036" TargetMode="External"/><Relationship Id="rId1499" Type="http://schemas.openxmlformats.org/officeDocument/2006/relationships/hyperlink" Target="https://pubmed.ncbi.nlm.nih.gov/34600357" TargetMode="External"/><Relationship Id="rId668" Type="http://schemas.openxmlformats.org/officeDocument/2006/relationships/hyperlink" Target="https://pubmed.ncbi.nlm.nih.gov/36982057" TargetMode="External"/><Relationship Id="rId667" Type="http://schemas.openxmlformats.org/officeDocument/2006/relationships/hyperlink" Target="https://pubmed.ncbi.nlm.nih.gov/36922796" TargetMode="External"/><Relationship Id="rId666" Type="http://schemas.openxmlformats.org/officeDocument/2006/relationships/hyperlink" Target="https://pubmed.ncbi.nlm.nih.gov/36935090" TargetMode="External"/><Relationship Id="rId665" Type="http://schemas.openxmlformats.org/officeDocument/2006/relationships/hyperlink" Target="https://pubmed.ncbi.nlm.nih.gov/36931680" TargetMode="External"/><Relationship Id="rId669" Type="http://schemas.openxmlformats.org/officeDocument/2006/relationships/hyperlink" Target="https://pubmed.ncbi.nlm.nih.gov/36930992" TargetMode="External"/><Relationship Id="rId1490" Type="http://schemas.openxmlformats.org/officeDocument/2006/relationships/hyperlink" Target="https://pubmed.ncbi.nlm.nih.gov/34621148" TargetMode="External"/><Relationship Id="rId660" Type="http://schemas.openxmlformats.org/officeDocument/2006/relationships/hyperlink" Target="https://pubmed.ncbi.nlm.nih.gov/36967026" TargetMode="External"/><Relationship Id="rId1491" Type="http://schemas.openxmlformats.org/officeDocument/2006/relationships/hyperlink" Target="https://pubmed.ncbi.nlm.nih.gov/34613904" TargetMode="External"/><Relationship Id="rId1492" Type="http://schemas.openxmlformats.org/officeDocument/2006/relationships/hyperlink" Target="https://pubmed.ncbi.nlm.nih.gov/34564446" TargetMode="External"/><Relationship Id="rId1493" Type="http://schemas.openxmlformats.org/officeDocument/2006/relationships/hyperlink" Target="https://pubmed.ncbi.nlm.nih.gov/34854627" TargetMode="External"/><Relationship Id="rId1494" Type="http://schemas.openxmlformats.org/officeDocument/2006/relationships/hyperlink" Target="https://pubmed.ncbi.nlm.nih.gov/34531225" TargetMode="External"/><Relationship Id="rId664" Type="http://schemas.openxmlformats.org/officeDocument/2006/relationships/hyperlink" Target="https://pubmed.ncbi.nlm.nih.gov/36935017" TargetMode="External"/><Relationship Id="rId1495" Type="http://schemas.openxmlformats.org/officeDocument/2006/relationships/hyperlink" Target="https://pubmed.ncbi.nlm.nih.gov/34524719" TargetMode="External"/><Relationship Id="rId663" Type="http://schemas.openxmlformats.org/officeDocument/2006/relationships/hyperlink" Target="https://pubmed.ncbi.nlm.nih.gov/36890111" TargetMode="External"/><Relationship Id="rId1496" Type="http://schemas.openxmlformats.org/officeDocument/2006/relationships/hyperlink" Target="https://pubmed.ncbi.nlm.nih.gov/34534614" TargetMode="External"/><Relationship Id="rId662" Type="http://schemas.openxmlformats.org/officeDocument/2006/relationships/hyperlink" Target="https://pubmed.ncbi.nlm.nih.gov/36944953" TargetMode="External"/><Relationship Id="rId1497" Type="http://schemas.openxmlformats.org/officeDocument/2006/relationships/hyperlink" Target="https://pubmed.ncbi.nlm.nih.gov/34520259" TargetMode="External"/><Relationship Id="rId661" Type="http://schemas.openxmlformats.org/officeDocument/2006/relationships/hyperlink" Target="https://pubmed.ncbi.nlm.nih.gov/36947595" TargetMode="External"/><Relationship Id="rId1498" Type="http://schemas.openxmlformats.org/officeDocument/2006/relationships/hyperlink" Target="https://pubmed.ncbi.nlm.nih.gov/34516270" TargetMode="External"/><Relationship Id="rId1488" Type="http://schemas.openxmlformats.org/officeDocument/2006/relationships/hyperlink" Target="https://pubmed.ncbi.nlm.nih.gov/34560253" TargetMode="External"/><Relationship Id="rId1489" Type="http://schemas.openxmlformats.org/officeDocument/2006/relationships/hyperlink" Target="https://pubmed.ncbi.nlm.nih.gov/34548288" TargetMode="External"/><Relationship Id="rId657" Type="http://schemas.openxmlformats.org/officeDocument/2006/relationships/hyperlink" Target="https://pubmed.ncbi.nlm.nih.gov/36920286" TargetMode="External"/><Relationship Id="rId656" Type="http://schemas.openxmlformats.org/officeDocument/2006/relationships/hyperlink" Target="https://pubmed.ncbi.nlm.nih.gov/37084476" TargetMode="External"/><Relationship Id="rId655" Type="http://schemas.openxmlformats.org/officeDocument/2006/relationships/hyperlink" Target="https://pubmed.ncbi.nlm.nih.gov/36975820" TargetMode="External"/><Relationship Id="rId654" Type="http://schemas.openxmlformats.org/officeDocument/2006/relationships/hyperlink" Target="https://pubmed.ncbi.nlm.nih.gov/36976004" TargetMode="External"/><Relationship Id="rId659" Type="http://schemas.openxmlformats.org/officeDocument/2006/relationships/hyperlink" Target="https://pubmed.ncbi.nlm.nih.gov/36966326" TargetMode="External"/><Relationship Id="rId658" Type="http://schemas.openxmlformats.org/officeDocument/2006/relationships/hyperlink" Target="https://pubmed.ncbi.nlm.nih.gov/36990054" TargetMode="External"/><Relationship Id="rId1480" Type="http://schemas.openxmlformats.org/officeDocument/2006/relationships/hyperlink" Target="https://pubmed.ncbi.nlm.nih.gov/34595612" TargetMode="External"/><Relationship Id="rId1481" Type="http://schemas.openxmlformats.org/officeDocument/2006/relationships/hyperlink" Target="https://pubmed.ncbi.nlm.nih.gov/34597767" TargetMode="External"/><Relationship Id="rId1482" Type="http://schemas.openxmlformats.org/officeDocument/2006/relationships/hyperlink" Target="https://pubmed.ncbi.nlm.nih.gov/34583929" TargetMode="External"/><Relationship Id="rId1483" Type="http://schemas.openxmlformats.org/officeDocument/2006/relationships/hyperlink" Target="https://pubmed.ncbi.nlm.nih.gov/34561307" TargetMode="External"/><Relationship Id="rId653" Type="http://schemas.openxmlformats.org/officeDocument/2006/relationships/hyperlink" Target="https://pubmed.ncbi.nlm.nih.gov/36989235" TargetMode="External"/><Relationship Id="rId1484" Type="http://schemas.openxmlformats.org/officeDocument/2006/relationships/hyperlink" Target="https://pubmed.ncbi.nlm.nih.gov/34598099" TargetMode="External"/><Relationship Id="rId652" Type="http://schemas.openxmlformats.org/officeDocument/2006/relationships/hyperlink" Target="https://pubmed.ncbi.nlm.nih.gov/37010267" TargetMode="External"/><Relationship Id="rId1485" Type="http://schemas.openxmlformats.org/officeDocument/2006/relationships/hyperlink" Target="https://pubmed.ncbi.nlm.nih.gov/33755106" TargetMode="External"/><Relationship Id="rId651" Type="http://schemas.openxmlformats.org/officeDocument/2006/relationships/hyperlink" Target="https://pubmed.ncbi.nlm.nih.gov/36988961" TargetMode="External"/><Relationship Id="rId1486" Type="http://schemas.openxmlformats.org/officeDocument/2006/relationships/hyperlink" Target="https://pubmed.ncbi.nlm.nih.gov/34556554" TargetMode="External"/><Relationship Id="rId650" Type="http://schemas.openxmlformats.org/officeDocument/2006/relationships/hyperlink" Target="https://pubmed.ncbi.nlm.nih.gov/36988840" TargetMode="External"/><Relationship Id="rId1487" Type="http://schemas.openxmlformats.org/officeDocument/2006/relationships/hyperlink" Target="https://pubmed.ncbi.nlm.nih.gov/34555090" TargetMode="External"/><Relationship Id="rId689" Type="http://schemas.openxmlformats.org/officeDocument/2006/relationships/hyperlink" Target="https://pubmed.ncbi.nlm.nih.gov/36534496" TargetMode="External"/><Relationship Id="rId688" Type="http://schemas.openxmlformats.org/officeDocument/2006/relationships/hyperlink" Target="https://pubmed.ncbi.nlm.nih.gov/36828605" TargetMode="External"/><Relationship Id="rId687" Type="http://schemas.openxmlformats.org/officeDocument/2006/relationships/hyperlink" Target="https://pubmed.ncbi.nlm.nih.gov/36864494" TargetMode="External"/><Relationship Id="rId682" Type="http://schemas.openxmlformats.org/officeDocument/2006/relationships/hyperlink" Target="https://pubmed.ncbi.nlm.nih.gov/36882246" TargetMode="External"/><Relationship Id="rId681" Type="http://schemas.openxmlformats.org/officeDocument/2006/relationships/hyperlink" Target="https://pubmed.ncbi.nlm.nih.gov/36890432" TargetMode="External"/><Relationship Id="rId680" Type="http://schemas.openxmlformats.org/officeDocument/2006/relationships/hyperlink" Target="https://pubmed.ncbi.nlm.nih.gov/36963090" TargetMode="External"/><Relationship Id="rId686" Type="http://schemas.openxmlformats.org/officeDocument/2006/relationships/hyperlink" Target="https://pubmed.ncbi.nlm.nih.gov/36862657" TargetMode="External"/><Relationship Id="rId685" Type="http://schemas.openxmlformats.org/officeDocument/2006/relationships/hyperlink" Target="https://pubmed.ncbi.nlm.nih.gov/36843274" TargetMode="External"/><Relationship Id="rId684" Type="http://schemas.openxmlformats.org/officeDocument/2006/relationships/hyperlink" Target="https://pubmed.ncbi.nlm.nih.gov/36963039" TargetMode="External"/><Relationship Id="rId683" Type="http://schemas.openxmlformats.org/officeDocument/2006/relationships/hyperlink" Target="https://pubmed.ncbi.nlm.nih.gov/36882063" TargetMode="External"/><Relationship Id="rId679" Type="http://schemas.openxmlformats.org/officeDocument/2006/relationships/hyperlink" Target="https://pubmed.ncbi.nlm.nih.gov/37028200" TargetMode="External"/><Relationship Id="rId678" Type="http://schemas.openxmlformats.org/officeDocument/2006/relationships/hyperlink" Target="https://pubmed.ncbi.nlm.nih.gov/36892935" TargetMode="External"/><Relationship Id="rId677" Type="http://schemas.openxmlformats.org/officeDocument/2006/relationships/hyperlink" Target="https://pubmed.ncbi.nlm.nih.gov/37231699" TargetMode="External"/><Relationship Id="rId676" Type="http://schemas.openxmlformats.org/officeDocument/2006/relationships/hyperlink" Target="https://pubmed.ncbi.nlm.nih.gov/36869622" TargetMode="External"/><Relationship Id="rId671" Type="http://schemas.openxmlformats.org/officeDocument/2006/relationships/hyperlink" Target="https://pubmed.ncbi.nlm.nih.gov/36978439" TargetMode="External"/><Relationship Id="rId670" Type="http://schemas.openxmlformats.org/officeDocument/2006/relationships/hyperlink" Target="https://pubmed.ncbi.nlm.nih.gov/36918541" TargetMode="External"/><Relationship Id="rId675" Type="http://schemas.openxmlformats.org/officeDocument/2006/relationships/hyperlink" Target="https://pubmed.ncbi.nlm.nih.gov/36905652" TargetMode="External"/><Relationship Id="rId674" Type="http://schemas.openxmlformats.org/officeDocument/2006/relationships/hyperlink" Target="https://pubmed.ncbi.nlm.nih.gov/36871194" TargetMode="External"/><Relationship Id="rId673" Type="http://schemas.openxmlformats.org/officeDocument/2006/relationships/hyperlink" Target="https://pubmed.ncbi.nlm.nih.gov/36918238" TargetMode="External"/><Relationship Id="rId672" Type="http://schemas.openxmlformats.org/officeDocument/2006/relationships/hyperlink" Target="https://pubmed.ncbi.nlm.nih.gov/36919007" TargetMode="External"/><Relationship Id="rId5019" Type="http://schemas.openxmlformats.org/officeDocument/2006/relationships/hyperlink" Target="https://pubmed.ncbi.nlm.nih.gov/23835088" TargetMode="External"/><Relationship Id="rId6340" Type="http://schemas.openxmlformats.org/officeDocument/2006/relationships/hyperlink" Target="https://pubmed.ncbi.nlm.nih.gov/39572748" TargetMode="External"/><Relationship Id="rId5010" Type="http://schemas.openxmlformats.org/officeDocument/2006/relationships/hyperlink" Target="https://pubmed.ncbi.nlm.nih.gov/23916927" TargetMode="External"/><Relationship Id="rId6341" Type="http://schemas.openxmlformats.org/officeDocument/2006/relationships/hyperlink" Target="https://pubmed.ncbi.nlm.nih.gov/39566105" TargetMode="External"/><Relationship Id="rId5013" Type="http://schemas.openxmlformats.org/officeDocument/2006/relationships/hyperlink" Target="https://pubmed.ncbi.nlm.nih.gov/23875968" TargetMode="External"/><Relationship Id="rId6344" Type="http://schemas.openxmlformats.org/officeDocument/2006/relationships/hyperlink" Target="https://pubmed.ncbi.nlm.nih.gov/39352015" TargetMode="External"/><Relationship Id="rId5014" Type="http://schemas.openxmlformats.org/officeDocument/2006/relationships/hyperlink" Target="https://pubmed.ncbi.nlm.nih.gov/23886569" TargetMode="External"/><Relationship Id="rId6345" Type="http://schemas.openxmlformats.org/officeDocument/2006/relationships/hyperlink" Target="https://pubmed.ncbi.nlm.nih.gov/39288696" TargetMode="External"/><Relationship Id="rId5011" Type="http://schemas.openxmlformats.org/officeDocument/2006/relationships/hyperlink" Target="https://pubmed.ncbi.nlm.nih.gov/23899039" TargetMode="External"/><Relationship Id="rId6342" Type="http://schemas.openxmlformats.org/officeDocument/2006/relationships/hyperlink" Target="https://pubmed.ncbi.nlm.nih.gov/39448862" TargetMode="External"/><Relationship Id="rId5012" Type="http://schemas.openxmlformats.org/officeDocument/2006/relationships/hyperlink" Target="https://pubmed.ncbi.nlm.nih.gov/23998549" TargetMode="External"/><Relationship Id="rId6343" Type="http://schemas.openxmlformats.org/officeDocument/2006/relationships/hyperlink" Target="https://pubmed.ncbi.nlm.nih.gov/39375343" TargetMode="External"/><Relationship Id="rId5017" Type="http://schemas.openxmlformats.org/officeDocument/2006/relationships/hyperlink" Target="https://pubmed.ncbi.nlm.nih.gov/23866798" TargetMode="External"/><Relationship Id="rId6348" Type="http://schemas.openxmlformats.org/officeDocument/2006/relationships/hyperlink" Target="https://pubmed.ncbi.nlm.nih.gov/39603653" TargetMode="External"/><Relationship Id="rId5018" Type="http://schemas.openxmlformats.org/officeDocument/2006/relationships/hyperlink" Target="https://pubmed.ncbi.nlm.nih.gov/23874870" TargetMode="External"/><Relationship Id="rId6349" Type="http://schemas.openxmlformats.org/officeDocument/2006/relationships/hyperlink" Target="https://pubmed.ncbi.nlm.nih.gov/39122629" TargetMode="External"/><Relationship Id="rId5015" Type="http://schemas.openxmlformats.org/officeDocument/2006/relationships/hyperlink" Target="https://pubmed.ncbi.nlm.nih.gov/23870830" TargetMode="External"/><Relationship Id="rId6346" Type="http://schemas.openxmlformats.org/officeDocument/2006/relationships/hyperlink" Target="https://pubmed.ncbi.nlm.nih.gov/38866619" TargetMode="External"/><Relationship Id="rId5016" Type="http://schemas.openxmlformats.org/officeDocument/2006/relationships/hyperlink" Target="https://pubmed.ncbi.nlm.nih.gov/23867044" TargetMode="External"/><Relationship Id="rId6347" Type="http://schemas.openxmlformats.org/officeDocument/2006/relationships/hyperlink" Target="https://pubmed.ncbi.nlm.nih.gov/38865051" TargetMode="External"/><Relationship Id="rId5008" Type="http://schemas.openxmlformats.org/officeDocument/2006/relationships/hyperlink" Target="https://pubmed.ncbi.nlm.nih.gov/25904819" TargetMode="External"/><Relationship Id="rId6339" Type="http://schemas.openxmlformats.org/officeDocument/2006/relationships/hyperlink" Target="https://pubmed.ncbi.nlm.nih.gov/38886597" TargetMode="External"/><Relationship Id="rId5009" Type="http://schemas.openxmlformats.org/officeDocument/2006/relationships/hyperlink" Target="https://pubmed.ncbi.nlm.nih.gov/23753860" TargetMode="External"/><Relationship Id="rId6330" Type="http://schemas.openxmlformats.org/officeDocument/2006/relationships/hyperlink" Target="https://pubmed.ncbi.nlm.nih.gov/39290359" TargetMode="External"/><Relationship Id="rId5002" Type="http://schemas.openxmlformats.org/officeDocument/2006/relationships/hyperlink" Target="https://pubmed.ncbi.nlm.nih.gov/24156099" TargetMode="External"/><Relationship Id="rId6333" Type="http://schemas.openxmlformats.org/officeDocument/2006/relationships/hyperlink" Target="https://pubmed.ncbi.nlm.nih.gov/39486809" TargetMode="External"/><Relationship Id="rId5003" Type="http://schemas.openxmlformats.org/officeDocument/2006/relationships/hyperlink" Target="https://pubmed.ncbi.nlm.nih.gov/23950954" TargetMode="External"/><Relationship Id="rId6334" Type="http://schemas.openxmlformats.org/officeDocument/2006/relationships/hyperlink" Target="https://pubmed.ncbi.nlm.nih.gov/39412782" TargetMode="External"/><Relationship Id="rId5000" Type="http://schemas.openxmlformats.org/officeDocument/2006/relationships/hyperlink" Target="https://pubmed.ncbi.nlm.nih.gov/23943217" TargetMode="External"/><Relationship Id="rId6331" Type="http://schemas.openxmlformats.org/officeDocument/2006/relationships/hyperlink" Target="https://pubmed.ncbi.nlm.nih.gov/39483517" TargetMode="External"/><Relationship Id="rId5001" Type="http://schemas.openxmlformats.org/officeDocument/2006/relationships/hyperlink" Target="https://pubmed.ncbi.nlm.nih.gov/23928569" TargetMode="External"/><Relationship Id="rId6332" Type="http://schemas.openxmlformats.org/officeDocument/2006/relationships/hyperlink" Target="https://pubmed.ncbi.nlm.nih.gov/39549321" TargetMode="External"/><Relationship Id="rId5006" Type="http://schemas.openxmlformats.org/officeDocument/2006/relationships/hyperlink" Target="https://pubmed.ncbi.nlm.nih.gov/23920015" TargetMode="External"/><Relationship Id="rId6337" Type="http://schemas.openxmlformats.org/officeDocument/2006/relationships/hyperlink" Target="https://pubmed.ncbi.nlm.nih.gov/38997869" TargetMode="External"/><Relationship Id="rId5007" Type="http://schemas.openxmlformats.org/officeDocument/2006/relationships/hyperlink" Target="https://pubmed.ncbi.nlm.nih.gov/23940719" TargetMode="External"/><Relationship Id="rId6338" Type="http://schemas.openxmlformats.org/officeDocument/2006/relationships/hyperlink" Target="https://pubmed.ncbi.nlm.nih.gov/38899688" TargetMode="External"/><Relationship Id="rId5004" Type="http://schemas.openxmlformats.org/officeDocument/2006/relationships/hyperlink" Target="https://pubmed.ncbi.nlm.nih.gov/23932882" TargetMode="External"/><Relationship Id="rId6335" Type="http://schemas.openxmlformats.org/officeDocument/2006/relationships/hyperlink" Target="https://pubmed.ncbi.nlm.nih.gov/39110432" TargetMode="External"/><Relationship Id="rId5005" Type="http://schemas.openxmlformats.org/officeDocument/2006/relationships/hyperlink" Target="https://pubmed.ncbi.nlm.nih.gov/23922065" TargetMode="External"/><Relationship Id="rId6336" Type="http://schemas.openxmlformats.org/officeDocument/2006/relationships/hyperlink" Target="https://pubmed.ncbi.nlm.nih.gov/39019593" TargetMode="External"/><Relationship Id="rId5031" Type="http://schemas.openxmlformats.org/officeDocument/2006/relationships/hyperlink" Target="https://pubmed.ncbi.nlm.nih.gov/23692735" TargetMode="External"/><Relationship Id="rId5032" Type="http://schemas.openxmlformats.org/officeDocument/2006/relationships/hyperlink" Target="https://pubmed.ncbi.nlm.nih.gov/25814860" TargetMode="External"/><Relationship Id="rId6360" Type="http://schemas.openxmlformats.org/officeDocument/2006/relationships/drawing" Target="../drawings/drawing1.xml"/><Relationship Id="rId5030" Type="http://schemas.openxmlformats.org/officeDocument/2006/relationships/hyperlink" Target="https://pubmed.ncbi.nlm.nih.gov/23703889" TargetMode="External"/><Relationship Id="rId5035" Type="http://schemas.openxmlformats.org/officeDocument/2006/relationships/hyperlink" Target="https://pubmed.ncbi.nlm.nih.gov/23665246" TargetMode="External"/><Relationship Id="rId5036" Type="http://schemas.openxmlformats.org/officeDocument/2006/relationships/hyperlink" Target="https://pubmed.ncbi.nlm.nih.gov/23664316" TargetMode="External"/><Relationship Id="rId5033" Type="http://schemas.openxmlformats.org/officeDocument/2006/relationships/hyperlink" Target="https://pubmed.ncbi.nlm.nih.gov/23672994" TargetMode="External"/><Relationship Id="rId5034" Type="http://schemas.openxmlformats.org/officeDocument/2006/relationships/hyperlink" Target="https://pubmed.ncbi.nlm.nih.gov/23660796" TargetMode="External"/><Relationship Id="rId5039" Type="http://schemas.openxmlformats.org/officeDocument/2006/relationships/hyperlink" Target="https://pubmed.ncbi.nlm.nih.gov/23325277" TargetMode="External"/><Relationship Id="rId5037" Type="http://schemas.openxmlformats.org/officeDocument/2006/relationships/hyperlink" Target="https://pubmed.ncbi.nlm.nih.gov/23660331" TargetMode="External"/><Relationship Id="rId5038" Type="http://schemas.openxmlformats.org/officeDocument/2006/relationships/hyperlink" Target="https://pubmed.ncbi.nlm.nih.gov/23645857" TargetMode="External"/><Relationship Id="rId5020" Type="http://schemas.openxmlformats.org/officeDocument/2006/relationships/hyperlink" Target="https://pubmed.ncbi.nlm.nih.gov/23817886" TargetMode="External"/><Relationship Id="rId6351" Type="http://schemas.openxmlformats.org/officeDocument/2006/relationships/hyperlink" Target="https://pubmed.ncbi.nlm.nih.gov/39583981" TargetMode="External"/><Relationship Id="rId5021" Type="http://schemas.openxmlformats.org/officeDocument/2006/relationships/hyperlink" Target="https://pubmed.ncbi.nlm.nih.gov/23840486" TargetMode="External"/><Relationship Id="rId6352" Type="http://schemas.openxmlformats.org/officeDocument/2006/relationships/hyperlink" Target="https://pubmed.ncbi.nlm.nih.gov/39206616" TargetMode="External"/><Relationship Id="rId6350" Type="http://schemas.openxmlformats.org/officeDocument/2006/relationships/hyperlink" Target="https://pubmed.ncbi.nlm.nih.gov/38991284" TargetMode="External"/><Relationship Id="rId5024" Type="http://schemas.openxmlformats.org/officeDocument/2006/relationships/hyperlink" Target="https://pubmed.ncbi.nlm.nih.gov/23895811" TargetMode="External"/><Relationship Id="rId6355" Type="http://schemas.openxmlformats.org/officeDocument/2006/relationships/hyperlink" Target="https://pubmed.ncbi.nlm.nih.gov/38906607" TargetMode="External"/><Relationship Id="rId5025" Type="http://schemas.openxmlformats.org/officeDocument/2006/relationships/hyperlink" Target="https://pubmed.ncbi.nlm.nih.gov/23756442" TargetMode="External"/><Relationship Id="rId6356" Type="http://schemas.openxmlformats.org/officeDocument/2006/relationships/hyperlink" Target="https://pubmed.ncbi.nlm.nih.gov/38754869" TargetMode="External"/><Relationship Id="rId5022" Type="http://schemas.openxmlformats.org/officeDocument/2006/relationships/hyperlink" Target="https://pubmed.ncbi.nlm.nih.gov/23840599" TargetMode="External"/><Relationship Id="rId6353" Type="http://schemas.openxmlformats.org/officeDocument/2006/relationships/hyperlink" Target="https://pubmed.ncbi.nlm.nih.gov/39099799" TargetMode="External"/><Relationship Id="rId5023" Type="http://schemas.openxmlformats.org/officeDocument/2006/relationships/hyperlink" Target="https://pubmed.ncbi.nlm.nih.gov/23777369" TargetMode="External"/><Relationship Id="rId6354" Type="http://schemas.openxmlformats.org/officeDocument/2006/relationships/hyperlink" Target="https://pubmed.ncbi.nlm.nih.gov/39019349" TargetMode="External"/><Relationship Id="rId5028" Type="http://schemas.openxmlformats.org/officeDocument/2006/relationships/hyperlink" Target="https://pubmed.ncbi.nlm.nih.gov/23733004" TargetMode="External"/><Relationship Id="rId6359" Type="http://schemas.openxmlformats.org/officeDocument/2006/relationships/hyperlink" Target="https://pubmed.ncbi.nlm.nih.gov/38907947" TargetMode="External"/><Relationship Id="rId5029" Type="http://schemas.openxmlformats.org/officeDocument/2006/relationships/hyperlink" Target="https://pubmed.ncbi.nlm.nih.gov/23721202" TargetMode="External"/><Relationship Id="rId5026" Type="http://schemas.openxmlformats.org/officeDocument/2006/relationships/hyperlink" Target="https://pubmed.ncbi.nlm.nih.gov/25814863" TargetMode="External"/><Relationship Id="rId6357" Type="http://schemas.openxmlformats.org/officeDocument/2006/relationships/hyperlink" Target="https://pubmed.ncbi.nlm.nih.gov/39450759" TargetMode="External"/><Relationship Id="rId5027" Type="http://schemas.openxmlformats.org/officeDocument/2006/relationships/hyperlink" Target="https://pubmed.ncbi.nlm.nih.gov/23809117" TargetMode="External"/><Relationship Id="rId6358" Type="http://schemas.openxmlformats.org/officeDocument/2006/relationships/hyperlink" Target="https://pubmed.ncbi.nlm.nih.gov/39340089" TargetMode="External"/><Relationship Id="rId6308" Type="http://schemas.openxmlformats.org/officeDocument/2006/relationships/hyperlink" Target="https://pubmed.ncbi.nlm.nih.gov/39148045" TargetMode="External"/><Relationship Id="rId6309" Type="http://schemas.openxmlformats.org/officeDocument/2006/relationships/hyperlink" Target="https://pubmed.ncbi.nlm.nih.gov/38885629" TargetMode="External"/><Relationship Id="rId6306" Type="http://schemas.openxmlformats.org/officeDocument/2006/relationships/hyperlink" Target="https://pubmed.ncbi.nlm.nih.gov/39407293" TargetMode="External"/><Relationship Id="rId6307" Type="http://schemas.openxmlformats.org/officeDocument/2006/relationships/hyperlink" Target="https://pubmed.ncbi.nlm.nih.gov/39180555" TargetMode="External"/><Relationship Id="rId6300" Type="http://schemas.openxmlformats.org/officeDocument/2006/relationships/hyperlink" Target="https://pubmed.ncbi.nlm.nih.gov/39009776" TargetMode="External"/><Relationship Id="rId6301" Type="http://schemas.openxmlformats.org/officeDocument/2006/relationships/hyperlink" Target="https://pubmed.ncbi.nlm.nih.gov/38984466" TargetMode="External"/><Relationship Id="rId6304" Type="http://schemas.openxmlformats.org/officeDocument/2006/relationships/hyperlink" Target="https://pubmed.ncbi.nlm.nih.gov/39529810" TargetMode="External"/><Relationship Id="rId6305" Type="http://schemas.openxmlformats.org/officeDocument/2006/relationships/hyperlink" Target="https://pubmed.ncbi.nlm.nih.gov/39482451" TargetMode="External"/><Relationship Id="rId6302" Type="http://schemas.openxmlformats.org/officeDocument/2006/relationships/hyperlink" Target="https://pubmed.ncbi.nlm.nih.gov/39572783" TargetMode="External"/><Relationship Id="rId6303" Type="http://schemas.openxmlformats.org/officeDocument/2006/relationships/hyperlink" Target="https://pubmed.ncbi.nlm.nih.gov/39529812" TargetMode="External"/><Relationship Id="rId6328" Type="http://schemas.openxmlformats.org/officeDocument/2006/relationships/hyperlink" Target="https://pubmed.ncbi.nlm.nih.gov/39102391" TargetMode="External"/><Relationship Id="rId6329" Type="http://schemas.openxmlformats.org/officeDocument/2006/relationships/hyperlink" Target="https://pubmed.ncbi.nlm.nih.gov/39051704" TargetMode="External"/><Relationship Id="rId6322" Type="http://schemas.openxmlformats.org/officeDocument/2006/relationships/hyperlink" Target="https://pubmed.ncbi.nlm.nih.gov/39289728" TargetMode="External"/><Relationship Id="rId6323" Type="http://schemas.openxmlformats.org/officeDocument/2006/relationships/hyperlink" Target="https://pubmed.ncbi.nlm.nih.gov/39240561" TargetMode="External"/><Relationship Id="rId6320" Type="http://schemas.openxmlformats.org/officeDocument/2006/relationships/hyperlink" Target="https://pubmed.ncbi.nlm.nih.gov/39578833" TargetMode="External"/><Relationship Id="rId6321" Type="http://schemas.openxmlformats.org/officeDocument/2006/relationships/hyperlink" Target="https://pubmed.ncbi.nlm.nih.gov/39357121" TargetMode="External"/><Relationship Id="rId6326" Type="http://schemas.openxmlformats.org/officeDocument/2006/relationships/hyperlink" Target="https://pubmed.ncbi.nlm.nih.gov/39534269" TargetMode="External"/><Relationship Id="rId6327" Type="http://schemas.openxmlformats.org/officeDocument/2006/relationships/hyperlink" Target="https://pubmed.ncbi.nlm.nih.gov/39247903" TargetMode="External"/><Relationship Id="rId6324" Type="http://schemas.openxmlformats.org/officeDocument/2006/relationships/hyperlink" Target="https://pubmed.ncbi.nlm.nih.gov/39197088" TargetMode="External"/><Relationship Id="rId6325" Type="http://schemas.openxmlformats.org/officeDocument/2006/relationships/hyperlink" Target="https://pubmed.ncbi.nlm.nih.gov/39100921" TargetMode="External"/><Relationship Id="rId6319" Type="http://schemas.openxmlformats.org/officeDocument/2006/relationships/hyperlink" Target="https://pubmed.ncbi.nlm.nih.gov/39303447" TargetMode="External"/><Relationship Id="rId6317" Type="http://schemas.openxmlformats.org/officeDocument/2006/relationships/hyperlink" Target="https://pubmed.ncbi.nlm.nih.gov/38547043" TargetMode="External"/><Relationship Id="rId6318" Type="http://schemas.openxmlformats.org/officeDocument/2006/relationships/hyperlink" Target="https://pubmed.ncbi.nlm.nih.gov/39283711" TargetMode="External"/><Relationship Id="rId6311" Type="http://schemas.openxmlformats.org/officeDocument/2006/relationships/hyperlink" Target="https://pubmed.ncbi.nlm.nih.gov/39562342" TargetMode="External"/><Relationship Id="rId6312" Type="http://schemas.openxmlformats.org/officeDocument/2006/relationships/hyperlink" Target="https://pubmed.ncbi.nlm.nih.gov/39365172" TargetMode="External"/><Relationship Id="rId6310" Type="http://schemas.openxmlformats.org/officeDocument/2006/relationships/hyperlink" Target="https://pubmed.ncbi.nlm.nih.gov/39658133" TargetMode="External"/><Relationship Id="rId6315" Type="http://schemas.openxmlformats.org/officeDocument/2006/relationships/hyperlink" Target="https://pubmed.ncbi.nlm.nih.gov/38954350" TargetMode="External"/><Relationship Id="rId6316" Type="http://schemas.openxmlformats.org/officeDocument/2006/relationships/hyperlink" Target="https://pubmed.ncbi.nlm.nih.gov/38888679" TargetMode="External"/><Relationship Id="rId6313" Type="http://schemas.openxmlformats.org/officeDocument/2006/relationships/hyperlink" Target="https://pubmed.ncbi.nlm.nih.gov/39064662" TargetMode="External"/><Relationship Id="rId6314" Type="http://schemas.openxmlformats.org/officeDocument/2006/relationships/hyperlink" Target="https://pubmed.ncbi.nlm.nih.gov/39009699" TargetMode="External"/><Relationship Id="rId2820" Type="http://schemas.openxmlformats.org/officeDocument/2006/relationships/hyperlink" Target="https://pubmed.ncbi.nlm.nih.gov/30479378" TargetMode="External"/><Relationship Id="rId2821" Type="http://schemas.openxmlformats.org/officeDocument/2006/relationships/hyperlink" Target="https://pubmed.ncbi.nlm.nih.gov/30308612" TargetMode="External"/><Relationship Id="rId2822" Type="http://schemas.openxmlformats.org/officeDocument/2006/relationships/hyperlink" Target="https://pubmed.ncbi.nlm.nih.gov/30106794" TargetMode="External"/><Relationship Id="rId2823" Type="http://schemas.openxmlformats.org/officeDocument/2006/relationships/hyperlink" Target="https://pubmed.ncbi.nlm.nih.gov/30608531" TargetMode="External"/><Relationship Id="rId2824" Type="http://schemas.openxmlformats.org/officeDocument/2006/relationships/hyperlink" Target="https://pubmed.ncbi.nlm.nih.gov/30932288" TargetMode="External"/><Relationship Id="rId2825" Type="http://schemas.openxmlformats.org/officeDocument/2006/relationships/hyperlink" Target="https://pubmed.ncbi.nlm.nih.gov/30949667" TargetMode="External"/><Relationship Id="rId2826" Type="http://schemas.openxmlformats.org/officeDocument/2006/relationships/hyperlink" Target="https://pubmed.ncbi.nlm.nih.gov/30922246" TargetMode="External"/><Relationship Id="rId2827" Type="http://schemas.openxmlformats.org/officeDocument/2006/relationships/hyperlink" Target="https://pubmed.ncbi.nlm.nih.gov/30922290" TargetMode="External"/><Relationship Id="rId2828" Type="http://schemas.openxmlformats.org/officeDocument/2006/relationships/hyperlink" Target="https://pubmed.ncbi.nlm.nih.gov/30922320" TargetMode="External"/><Relationship Id="rId2829" Type="http://schemas.openxmlformats.org/officeDocument/2006/relationships/hyperlink" Target="https://pubmed.ncbi.nlm.nih.gov/30912002" TargetMode="External"/><Relationship Id="rId5093" Type="http://schemas.openxmlformats.org/officeDocument/2006/relationships/hyperlink" Target="https://pubmed.ncbi.nlm.nih.gov/23211259" TargetMode="External"/><Relationship Id="rId5094" Type="http://schemas.openxmlformats.org/officeDocument/2006/relationships/hyperlink" Target="https://pubmed.ncbi.nlm.nih.gov/23226361" TargetMode="External"/><Relationship Id="rId5091" Type="http://schemas.openxmlformats.org/officeDocument/2006/relationships/hyperlink" Target="https://pubmed.ncbi.nlm.nih.gov/23230098" TargetMode="External"/><Relationship Id="rId5092" Type="http://schemas.openxmlformats.org/officeDocument/2006/relationships/hyperlink" Target="https://pubmed.ncbi.nlm.nih.gov/22828647" TargetMode="External"/><Relationship Id="rId5097" Type="http://schemas.openxmlformats.org/officeDocument/2006/relationships/hyperlink" Target="https://pubmed.ncbi.nlm.nih.gov/23179095" TargetMode="External"/><Relationship Id="rId5098" Type="http://schemas.openxmlformats.org/officeDocument/2006/relationships/hyperlink" Target="https://pubmed.ncbi.nlm.nih.gov/23173177" TargetMode="External"/><Relationship Id="rId5095" Type="http://schemas.openxmlformats.org/officeDocument/2006/relationships/hyperlink" Target="https://pubmed.ncbi.nlm.nih.gov/23204038" TargetMode="External"/><Relationship Id="rId5096" Type="http://schemas.openxmlformats.org/officeDocument/2006/relationships/hyperlink" Target="https://pubmed.ncbi.nlm.nih.gov/23187858" TargetMode="External"/><Relationship Id="rId5099" Type="http://schemas.openxmlformats.org/officeDocument/2006/relationships/hyperlink" Target="https://pubmed.ncbi.nlm.nih.gov/23165068" TargetMode="External"/><Relationship Id="rId2810" Type="http://schemas.openxmlformats.org/officeDocument/2006/relationships/hyperlink" Target="https://pubmed.ncbi.nlm.nih.gov/30983460" TargetMode="External"/><Relationship Id="rId2811" Type="http://schemas.openxmlformats.org/officeDocument/2006/relationships/hyperlink" Target="https://pubmed.ncbi.nlm.nih.gov/31097358" TargetMode="External"/><Relationship Id="rId2812" Type="http://schemas.openxmlformats.org/officeDocument/2006/relationships/hyperlink" Target="https://pubmed.ncbi.nlm.nih.gov/30964524" TargetMode="External"/><Relationship Id="rId2813" Type="http://schemas.openxmlformats.org/officeDocument/2006/relationships/hyperlink" Target="https://pubmed.ncbi.nlm.nih.gov/30958821" TargetMode="External"/><Relationship Id="rId2814" Type="http://schemas.openxmlformats.org/officeDocument/2006/relationships/hyperlink" Target="https://pubmed.ncbi.nlm.nih.gov/30948451" TargetMode="External"/><Relationship Id="rId2815" Type="http://schemas.openxmlformats.org/officeDocument/2006/relationships/hyperlink" Target="https://pubmed.ncbi.nlm.nih.gov/30947692" TargetMode="External"/><Relationship Id="rId2816" Type="http://schemas.openxmlformats.org/officeDocument/2006/relationships/hyperlink" Target="https://pubmed.ncbi.nlm.nih.gov/30939148" TargetMode="External"/><Relationship Id="rId2817" Type="http://schemas.openxmlformats.org/officeDocument/2006/relationships/hyperlink" Target="https://pubmed.ncbi.nlm.nih.gov/30940759" TargetMode="External"/><Relationship Id="rId2818" Type="http://schemas.openxmlformats.org/officeDocument/2006/relationships/hyperlink" Target="https://pubmed.ncbi.nlm.nih.gov/30102632" TargetMode="External"/><Relationship Id="rId2819" Type="http://schemas.openxmlformats.org/officeDocument/2006/relationships/hyperlink" Target="https://pubmed.ncbi.nlm.nih.gov/30445577" TargetMode="External"/><Relationship Id="rId5090" Type="http://schemas.openxmlformats.org/officeDocument/2006/relationships/hyperlink" Target="https://pubmed.ncbi.nlm.nih.gov/23259806" TargetMode="External"/><Relationship Id="rId5082" Type="http://schemas.openxmlformats.org/officeDocument/2006/relationships/hyperlink" Target="https://pubmed.ncbi.nlm.nih.gov/23284005" TargetMode="External"/><Relationship Id="rId5083" Type="http://schemas.openxmlformats.org/officeDocument/2006/relationships/hyperlink" Target="https://pubmed.ncbi.nlm.nih.gov/23957519" TargetMode="External"/><Relationship Id="rId5080" Type="http://schemas.openxmlformats.org/officeDocument/2006/relationships/hyperlink" Target="https://pubmed.ncbi.nlm.nih.gov/23315435" TargetMode="External"/><Relationship Id="rId5081" Type="http://schemas.openxmlformats.org/officeDocument/2006/relationships/hyperlink" Target="https://pubmed.ncbi.nlm.nih.gov/23291001" TargetMode="External"/><Relationship Id="rId5086" Type="http://schemas.openxmlformats.org/officeDocument/2006/relationships/hyperlink" Target="https://pubmed.ncbi.nlm.nih.gov/24020626" TargetMode="External"/><Relationship Id="rId5087" Type="http://schemas.openxmlformats.org/officeDocument/2006/relationships/hyperlink" Target="https://pubmed.ncbi.nlm.nih.gov/24152361" TargetMode="External"/><Relationship Id="rId5084" Type="http://schemas.openxmlformats.org/officeDocument/2006/relationships/hyperlink" Target="https://pubmed.ncbi.nlm.nih.gov/23299387" TargetMode="External"/><Relationship Id="rId5085" Type="http://schemas.openxmlformats.org/officeDocument/2006/relationships/hyperlink" Target="https://pubmed.ncbi.nlm.nih.gov/23505195" TargetMode="External"/><Relationship Id="rId5088" Type="http://schemas.openxmlformats.org/officeDocument/2006/relationships/hyperlink" Target="https://pubmed.ncbi.nlm.nih.gov/23369821" TargetMode="External"/><Relationship Id="rId5089" Type="http://schemas.openxmlformats.org/officeDocument/2006/relationships/hyperlink" Target="https://pubmed.ncbi.nlm.nih.gov/23514397" TargetMode="External"/><Relationship Id="rId1510" Type="http://schemas.openxmlformats.org/officeDocument/2006/relationships/hyperlink" Target="https://pubmed.ncbi.nlm.nih.gov/34472371" TargetMode="External"/><Relationship Id="rId2841" Type="http://schemas.openxmlformats.org/officeDocument/2006/relationships/hyperlink" Target="https://pubmed.ncbi.nlm.nih.gov/30860500" TargetMode="External"/><Relationship Id="rId1511" Type="http://schemas.openxmlformats.org/officeDocument/2006/relationships/hyperlink" Target="https://pubmed.ncbi.nlm.nih.gov/34473425" TargetMode="External"/><Relationship Id="rId2842" Type="http://schemas.openxmlformats.org/officeDocument/2006/relationships/hyperlink" Target="https://pubmed.ncbi.nlm.nih.gov/30859237" TargetMode="External"/><Relationship Id="rId1512" Type="http://schemas.openxmlformats.org/officeDocument/2006/relationships/hyperlink" Target="https://pubmed.ncbi.nlm.nih.gov/34505885" TargetMode="External"/><Relationship Id="rId2843" Type="http://schemas.openxmlformats.org/officeDocument/2006/relationships/hyperlink" Target="https://pubmed.ncbi.nlm.nih.gov/30663270" TargetMode="External"/><Relationship Id="rId1513" Type="http://schemas.openxmlformats.org/officeDocument/2006/relationships/hyperlink" Target="https://pubmed.ncbi.nlm.nih.gov/34498576" TargetMode="External"/><Relationship Id="rId2844" Type="http://schemas.openxmlformats.org/officeDocument/2006/relationships/hyperlink" Target="https://pubmed.ncbi.nlm.nih.gov/30914228" TargetMode="External"/><Relationship Id="rId1514" Type="http://schemas.openxmlformats.org/officeDocument/2006/relationships/hyperlink" Target="https://pubmed.ncbi.nlm.nih.gov/33973155" TargetMode="External"/><Relationship Id="rId2845" Type="http://schemas.openxmlformats.org/officeDocument/2006/relationships/hyperlink" Target="https://pubmed.ncbi.nlm.nih.gov/31031827" TargetMode="External"/><Relationship Id="rId1515" Type="http://schemas.openxmlformats.org/officeDocument/2006/relationships/hyperlink" Target="https://pubmed.ncbi.nlm.nih.gov/34470598" TargetMode="External"/><Relationship Id="rId2846" Type="http://schemas.openxmlformats.org/officeDocument/2006/relationships/hyperlink" Target="https://pubmed.ncbi.nlm.nih.gov/30997162" TargetMode="External"/><Relationship Id="rId1516" Type="http://schemas.openxmlformats.org/officeDocument/2006/relationships/hyperlink" Target="https://pubmed.ncbi.nlm.nih.gov/34511888" TargetMode="External"/><Relationship Id="rId2847" Type="http://schemas.openxmlformats.org/officeDocument/2006/relationships/hyperlink" Target="https://pubmed.ncbi.nlm.nih.gov/30845907" TargetMode="External"/><Relationship Id="rId1517" Type="http://schemas.openxmlformats.org/officeDocument/2006/relationships/hyperlink" Target="https://pubmed.ncbi.nlm.nih.gov/34004676" TargetMode="External"/><Relationship Id="rId2848" Type="http://schemas.openxmlformats.org/officeDocument/2006/relationships/hyperlink" Target="https://pubmed.ncbi.nlm.nih.gov/30845337" TargetMode="External"/><Relationship Id="rId1518" Type="http://schemas.openxmlformats.org/officeDocument/2006/relationships/hyperlink" Target="https://pubmed.ncbi.nlm.nih.gov/34470785" TargetMode="External"/><Relationship Id="rId2849" Type="http://schemas.openxmlformats.org/officeDocument/2006/relationships/hyperlink" Target="https://pubmed.ncbi.nlm.nih.gov/30843480" TargetMode="External"/><Relationship Id="rId1519" Type="http://schemas.openxmlformats.org/officeDocument/2006/relationships/hyperlink" Target="https://pubmed.ncbi.nlm.nih.gov/34508683" TargetMode="External"/><Relationship Id="rId2840" Type="http://schemas.openxmlformats.org/officeDocument/2006/relationships/hyperlink" Target="https://pubmed.ncbi.nlm.nih.gov/30868976" TargetMode="External"/><Relationship Id="rId2830" Type="http://schemas.openxmlformats.org/officeDocument/2006/relationships/hyperlink" Target="https://pubmed.ncbi.nlm.nih.gov/30909905" TargetMode="External"/><Relationship Id="rId1500" Type="http://schemas.openxmlformats.org/officeDocument/2006/relationships/hyperlink" Target="https://pubmed.ncbi.nlm.nih.gov/34518567" TargetMode="External"/><Relationship Id="rId2831" Type="http://schemas.openxmlformats.org/officeDocument/2006/relationships/hyperlink" Target="https://pubmed.ncbi.nlm.nih.gov/30897348" TargetMode="External"/><Relationship Id="rId1501" Type="http://schemas.openxmlformats.org/officeDocument/2006/relationships/hyperlink" Target="https://pubmed.ncbi.nlm.nih.gov/34514749" TargetMode="External"/><Relationship Id="rId2832" Type="http://schemas.openxmlformats.org/officeDocument/2006/relationships/hyperlink" Target="https://pubmed.ncbi.nlm.nih.gov/30896328" TargetMode="External"/><Relationship Id="rId1502" Type="http://schemas.openxmlformats.org/officeDocument/2006/relationships/hyperlink" Target="https://pubmed.ncbi.nlm.nih.gov/34520846" TargetMode="External"/><Relationship Id="rId2833" Type="http://schemas.openxmlformats.org/officeDocument/2006/relationships/hyperlink" Target="https://pubmed.ncbi.nlm.nih.gov/30945829" TargetMode="External"/><Relationship Id="rId1503" Type="http://schemas.openxmlformats.org/officeDocument/2006/relationships/hyperlink" Target="https://pubmed.ncbi.nlm.nih.gov/34427472" TargetMode="External"/><Relationship Id="rId2834" Type="http://schemas.openxmlformats.org/officeDocument/2006/relationships/hyperlink" Target="https://pubmed.ncbi.nlm.nih.gov/30892981" TargetMode="External"/><Relationship Id="rId1504" Type="http://schemas.openxmlformats.org/officeDocument/2006/relationships/hyperlink" Target="https://pubmed.ncbi.nlm.nih.gov/34498494" TargetMode="External"/><Relationship Id="rId2835" Type="http://schemas.openxmlformats.org/officeDocument/2006/relationships/hyperlink" Target="https://pubmed.ncbi.nlm.nih.gov/30904568" TargetMode="External"/><Relationship Id="rId1505" Type="http://schemas.openxmlformats.org/officeDocument/2006/relationships/hyperlink" Target="https://pubmed.ncbi.nlm.nih.gov/34692386" TargetMode="External"/><Relationship Id="rId2836" Type="http://schemas.openxmlformats.org/officeDocument/2006/relationships/hyperlink" Target="https://pubmed.ncbi.nlm.nih.gov/30890076" TargetMode="External"/><Relationship Id="rId1506" Type="http://schemas.openxmlformats.org/officeDocument/2006/relationships/hyperlink" Target="https://pubmed.ncbi.nlm.nih.gov/34507856" TargetMode="External"/><Relationship Id="rId2837" Type="http://schemas.openxmlformats.org/officeDocument/2006/relationships/hyperlink" Target="https://pubmed.ncbi.nlm.nih.gov/30886238" TargetMode="External"/><Relationship Id="rId1507" Type="http://schemas.openxmlformats.org/officeDocument/2006/relationships/hyperlink" Target="https://pubmed.ncbi.nlm.nih.gov/34396634" TargetMode="External"/><Relationship Id="rId2838" Type="http://schemas.openxmlformats.org/officeDocument/2006/relationships/hyperlink" Target="https://pubmed.ncbi.nlm.nih.gov/30868984" TargetMode="External"/><Relationship Id="rId1508" Type="http://schemas.openxmlformats.org/officeDocument/2006/relationships/hyperlink" Target="https://pubmed.ncbi.nlm.nih.gov/34493309" TargetMode="External"/><Relationship Id="rId2839" Type="http://schemas.openxmlformats.org/officeDocument/2006/relationships/hyperlink" Target="https://pubmed.ncbi.nlm.nih.gov/31126778" TargetMode="External"/><Relationship Id="rId1509" Type="http://schemas.openxmlformats.org/officeDocument/2006/relationships/hyperlink" Target="https://pubmed.ncbi.nlm.nih.gov/34489273" TargetMode="External"/><Relationship Id="rId5050" Type="http://schemas.openxmlformats.org/officeDocument/2006/relationships/hyperlink" Target="https://pubmed.ncbi.nlm.nih.gov/23566424" TargetMode="External"/><Relationship Id="rId5053" Type="http://schemas.openxmlformats.org/officeDocument/2006/relationships/hyperlink" Target="https://pubmed.ncbi.nlm.nih.gov/23537312" TargetMode="External"/><Relationship Id="rId5054" Type="http://schemas.openxmlformats.org/officeDocument/2006/relationships/hyperlink" Target="https://pubmed.ncbi.nlm.nih.gov/25814856" TargetMode="External"/><Relationship Id="rId5051" Type="http://schemas.openxmlformats.org/officeDocument/2006/relationships/hyperlink" Target="https://pubmed.ncbi.nlm.nih.gov/23561032" TargetMode="External"/><Relationship Id="rId5052" Type="http://schemas.openxmlformats.org/officeDocument/2006/relationships/hyperlink" Target="https://pubmed.ncbi.nlm.nih.gov/23442989" TargetMode="External"/><Relationship Id="rId5057" Type="http://schemas.openxmlformats.org/officeDocument/2006/relationships/hyperlink" Target="https://pubmed.ncbi.nlm.nih.gov/23510555" TargetMode="External"/><Relationship Id="rId5058" Type="http://schemas.openxmlformats.org/officeDocument/2006/relationships/hyperlink" Target="https://pubmed.ncbi.nlm.nih.gov/23347124" TargetMode="External"/><Relationship Id="rId5055" Type="http://schemas.openxmlformats.org/officeDocument/2006/relationships/hyperlink" Target="https://pubmed.ncbi.nlm.nih.gov/23530956" TargetMode="External"/><Relationship Id="rId5056" Type="http://schemas.openxmlformats.org/officeDocument/2006/relationships/hyperlink" Target="https://pubmed.ncbi.nlm.nih.gov/23531478" TargetMode="External"/><Relationship Id="rId5059" Type="http://schemas.openxmlformats.org/officeDocument/2006/relationships/hyperlink" Target="https://pubmed.ncbi.nlm.nih.gov/23465225" TargetMode="External"/><Relationship Id="rId5042" Type="http://schemas.openxmlformats.org/officeDocument/2006/relationships/hyperlink" Target="https://pubmed.ncbi.nlm.nih.gov/23633005" TargetMode="External"/><Relationship Id="rId5043" Type="http://schemas.openxmlformats.org/officeDocument/2006/relationships/hyperlink" Target="https://pubmed.ncbi.nlm.nih.gov/23622110" TargetMode="External"/><Relationship Id="rId5040" Type="http://schemas.openxmlformats.org/officeDocument/2006/relationships/hyperlink" Target="https://pubmed.ncbi.nlm.nih.gov/23635741" TargetMode="External"/><Relationship Id="rId5041" Type="http://schemas.openxmlformats.org/officeDocument/2006/relationships/hyperlink" Target="https://pubmed.ncbi.nlm.nih.gov/23729034" TargetMode="External"/><Relationship Id="rId5046" Type="http://schemas.openxmlformats.org/officeDocument/2006/relationships/hyperlink" Target="https://pubmed.ncbi.nlm.nih.gov/23602867" TargetMode="External"/><Relationship Id="rId5047" Type="http://schemas.openxmlformats.org/officeDocument/2006/relationships/hyperlink" Target="https://pubmed.ncbi.nlm.nih.gov/23590754" TargetMode="External"/><Relationship Id="rId5044" Type="http://schemas.openxmlformats.org/officeDocument/2006/relationships/hyperlink" Target="https://pubmed.ncbi.nlm.nih.gov/23622939" TargetMode="External"/><Relationship Id="rId5045" Type="http://schemas.openxmlformats.org/officeDocument/2006/relationships/hyperlink" Target="https://pubmed.ncbi.nlm.nih.gov/23607909" TargetMode="External"/><Relationship Id="rId5048" Type="http://schemas.openxmlformats.org/officeDocument/2006/relationships/hyperlink" Target="https://pubmed.ncbi.nlm.nih.gov/23568273" TargetMode="External"/><Relationship Id="rId5049" Type="http://schemas.openxmlformats.org/officeDocument/2006/relationships/hyperlink" Target="https://pubmed.ncbi.nlm.nih.gov/23585842" TargetMode="External"/><Relationship Id="rId2800" Type="http://schemas.openxmlformats.org/officeDocument/2006/relationships/hyperlink" Target="https://pubmed.ncbi.nlm.nih.gov/31023756" TargetMode="External"/><Relationship Id="rId2801" Type="http://schemas.openxmlformats.org/officeDocument/2006/relationships/hyperlink" Target="https://pubmed.ncbi.nlm.nih.gov/31136291" TargetMode="External"/><Relationship Id="rId2802" Type="http://schemas.openxmlformats.org/officeDocument/2006/relationships/hyperlink" Target="https://pubmed.ncbi.nlm.nih.gov/31006335" TargetMode="External"/><Relationship Id="rId2803" Type="http://schemas.openxmlformats.org/officeDocument/2006/relationships/hyperlink" Target="https://pubmed.ncbi.nlm.nih.gov/31015122" TargetMode="External"/><Relationship Id="rId2804" Type="http://schemas.openxmlformats.org/officeDocument/2006/relationships/hyperlink" Target="https://pubmed.ncbi.nlm.nih.gov/31007185" TargetMode="External"/><Relationship Id="rId2805" Type="http://schemas.openxmlformats.org/officeDocument/2006/relationships/hyperlink" Target="https://pubmed.ncbi.nlm.nih.gov/31050493" TargetMode="External"/><Relationship Id="rId2806" Type="http://schemas.openxmlformats.org/officeDocument/2006/relationships/hyperlink" Target="https://pubmed.ncbi.nlm.nih.gov/31360894" TargetMode="External"/><Relationship Id="rId2807" Type="http://schemas.openxmlformats.org/officeDocument/2006/relationships/hyperlink" Target="https://pubmed.ncbi.nlm.nih.gov/31003966" TargetMode="External"/><Relationship Id="rId2808" Type="http://schemas.openxmlformats.org/officeDocument/2006/relationships/hyperlink" Target="https://pubmed.ncbi.nlm.nih.gov/30920676" TargetMode="External"/><Relationship Id="rId2809" Type="http://schemas.openxmlformats.org/officeDocument/2006/relationships/hyperlink" Target="https://pubmed.ncbi.nlm.nih.gov/30987988" TargetMode="External"/><Relationship Id="rId5071" Type="http://schemas.openxmlformats.org/officeDocument/2006/relationships/hyperlink" Target="https://pubmed.ncbi.nlm.nih.gov/24324938" TargetMode="External"/><Relationship Id="rId5072" Type="http://schemas.openxmlformats.org/officeDocument/2006/relationships/hyperlink" Target="https://pubmed.ncbi.nlm.nih.gov/23368927" TargetMode="External"/><Relationship Id="rId5070" Type="http://schemas.openxmlformats.org/officeDocument/2006/relationships/hyperlink" Target="https://pubmed.ncbi.nlm.nih.gov/23413894" TargetMode="External"/><Relationship Id="rId5075" Type="http://schemas.openxmlformats.org/officeDocument/2006/relationships/hyperlink" Target="https://pubmed.ncbi.nlm.nih.gov/23339596" TargetMode="External"/><Relationship Id="rId5076" Type="http://schemas.openxmlformats.org/officeDocument/2006/relationships/hyperlink" Target="https://pubmed.ncbi.nlm.nih.gov/23339155" TargetMode="External"/><Relationship Id="rId5073" Type="http://schemas.openxmlformats.org/officeDocument/2006/relationships/hyperlink" Target="https://pubmed.ncbi.nlm.nih.gov/23375342" TargetMode="External"/><Relationship Id="rId5074" Type="http://schemas.openxmlformats.org/officeDocument/2006/relationships/hyperlink" Target="https://pubmed.ncbi.nlm.nih.gov/23364219" TargetMode="External"/><Relationship Id="rId5079" Type="http://schemas.openxmlformats.org/officeDocument/2006/relationships/hyperlink" Target="https://pubmed.ncbi.nlm.nih.gov/23307585" TargetMode="External"/><Relationship Id="rId5077" Type="http://schemas.openxmlformats.org/officeDocument/2006/relationships/hyperlink" Target="https://pubmed.ncbi.nlm.nih.gov/23333546" TargetMode="External"/><Relationship Id="rId5078" Type="http://schemas.openxmlformats.org/officeDocument/2006/relationships/hyperlink" Target="https://pubmed.ncbi.nlm.nih.gov/23332896" TargetMode="External"/><Relationship Id="rId5060" Type="http://schemas.openxmlformats.org/officeDocument/2006/relationships/hyperlink" Target="https://pubmed.ncbi.nlm.nih.gov/23461433" TargetMode="External"/><Relationship Id="rId5061" Type="http://schemas.openxmlformats.org/officeDocument/2006/relationships/hyperlink" Target="https://pubmed.ncbi.nlm.nih.gov/25814855" TargetMode="External"/><Relationship Id="rId5064" Type="http://schemas.openxmlformats.org/officeDocument/2006/relationships/hyperlink" Target="https://pubmed.ncbi.nlm.nih.gov/23438154" TargetMode="External"/><Relationship Id="rId5065" Type="http://schemas.openxmlformats.org/officeDocument/2006/relationships/hyperlink" Target="https://pubmed.ncbi.nlm.nih.gov/23436984" TargetMode="External"/><Relationship Id="rId5062" Type="http://schemas.openxmlformats.org/officeDocument/2006/relationships/hyperlink" Target="https://pubmed.ncbi.nlm.nih.gov/25814854" TargetMode="External"/><Relationship Id="rId5063" Type="http://schemas.openxmlformats.org/officeDocument/2006/relationships/hyperlink" Target="https://pubmed.ncbi.nlm.nih.gov/23453871" TargetMode="External"/><Relationship Id="rId5068" Type="http://schemas.openxmlformats.org/officeDocument/2006/relationships/hyperlink" Target="https://pubmed.ncbi.nlm.nih.gov/23403381" TargetMode="External"/><Relationship Id="rId5069" Type="http://schemas.openxmlformats.org/officeDocument/2006/relationships/hyperlink" Target="https://pubmed.ncbi.nlm.nih.gov/23360424" TargetMode="External"/><Relationship Id="rId5066" Type="http://schemas.openxmlformats.org/officeDocument/2006/relationships/hyperlink" Target="https://pubmed.ncbi.nlm.nih.gov/23429740" TargetMode="External"/><Relationship Id="rId5067" Type="http://schemas.openxmlformats.org/officeDocument/2006/relationships/hyperlink" Target="https://pubmed.ncbi.nlm.nih.gov/23414436" TargetMode="External"/><Relationship Id="rId1576" Type="http://schemas.openxmlformats.org/officeDocument/2006/relationships/hyperlink" Target="https://pubmed.ncbi.nlm.nih.gov/34308533" TargetMode="External"/><Relationship Id="rId1577" Type="http://schemas.openxmlformats.org/officeDocument/2006/relationships/hyperlink" Target="https://pubmed.ncbi.nlm.nih.gov/34314728" TargetMode="External"/><Relationship Id="rId1578" Type="http://schemas.openxmlformats.org/officeDocument/2006/relationships/hyperlink" Target="https://pubmed.ncbi.nlm.nih.gov/37635815" TargetMode="External"/><Relationship Id="rId1579" Type="http://schemas.openxmlformats.org/officeDocument/2006/relationships/hyperlink" Target="https://pubmed.ncbi.nlm.nih.gov/33837380" TargetMode="External"/><Relationship Id="rId987" Type="http://schemas.openxmlformats.org/officeDocument/2006/relationships/hyperlink" Target="https://pubmed.ncbi.nlm.nih.gov/35686364" TargetMode="External"/><Relationship Id="rId986" Type="http://schemas.openxmlformats.org/officeDocument/2006/relationships/hyperlink" Target="https://pubmed.ncbi.nlm.nih.gov/35980731" TargetMode="External"/><Relationship Id="rId985" Type="http://schemas.openxmlformats.org/officeDocument/2006/relationships/hyperlink" Target="https://pubmed.ncbi.nlm.nih.gov/35986122" TargetMode="External"/><Relationship Id="rId984" Type="http://schemas.openxmlformats.org/officeDocument/2006/relationships/hyperlink" Target="https://pubmed.ncbi.nlm.nih.gov/36002040" TargetMode="External"/><Relationship Id="rId989" Type="http://schemas.openxmlformats.org/officeDocument/2006/relationships/hyperlink" Target="https://pubmed.ncbi.nlm.nih.gov/35962838" TargetMode="External"/><Relationship Id="rId988" Type="http://schemas.openxmlformats.org/officeDocument/2006/relationships/hyperlink" Target="https://pubmed.ncbi.nlm.nih.gov/35639667" TargetMode="External"/><Relationship Id="rId1570" Type="http://schemas.openxmlformats.org/officeDocument/2006/relationships/hyperlink" Target="https://pubmed.ncbi.nlm.nih.gov/34315786" TargetMode="External"/><Relationship Id="rId1571" Type="http://schemas.openxmlformats.org/officeDocument/2006/relationships/hyperlink" Target="https://pubmed.ncbi.nlm.nih.gov/34315770" TargetMode="External"/><Relationship Id="rId983" Type="http://schemas.openxmlformats.org/officeDocument/2006/relationships/hyperlink" Target="https://pubmed.ncbi.nlm.nih.gov/36152446" TargetMode="External"/><Relationship Id="rId1572" Type="http://schemas.openxmlformats.org/officeDocument/2006/relationships/hyperlink" Target="https://pubmed.ncbi.nlm.nih.gov/34313190" TargetMode="External"/><Relationship Id="rId982" Type="http://schemas.openxmlformats.org/officeDocument/2006/relationships/hyperlink" Target="https://pubmed.ncbi.nlm.nih.gov/35867842" TargetMode="External"/><Relationship Id="rId1573" Type="http://schemas.openxmlformats.org/officeDocument/2006/relationships/hyperlink" Target="https://pubmed.ncbi.nlm.nih.gov/34518083" TargetMode="External"/><Relationship Id="rId981" Type="http://schemas.openxmlformats.org/officeDocument/2006/relationships/hyperlink" Target="https://pubmed.ncbi.nlm.nih.gov/35896043" TargetMode="External"/><Relationship Id="rId1574" Type="http://schemas.openxmlformats.org/officeDocument/2006/relationships/hyperlink" Target="https://pubmed.ncbi.nlm.nih.gov/34304604" TargetMode="External"/><Relationship Id="rId980" Type="http://schemas.openxmlformats.org/officeDocument/2006/relationships/hyperlink" Target="https://pubmed.ncbi.nlm.nih.gov/34791074" TargetMode="External"/><Relationship Id="rId1575" Type="http://schemas.openxmlformats.org/officeDocument/2006/relationships/hyperlink" Target="https://pubmed.ncbi.nlm.nih.gov/34218501" TargetMode="External"/><Relationship Id="rId1565" Type="http://schemas.openxmlformats.org/officeDocument/2006/relationships/hyperlink" Target="https://pubmed.ncbi.nlm.nih.gov/34333097" TargetMode="External"/><Relationship Id="rId2896" Type="http://schemas.openxmlformats.org/officeDocument/2006/relationships/hyperlink" Target="https://pubmed.ncbi.nlm.nih.gov/30719882" TargetMode="External"/><Relationship Id="rId1566" Type="http://schemas.openxmlformats.org/officeDocument/2006/relationships/hyperlink" Target="https://pubmed.ncbi.nlm.nih.gov/34320508" TargetMode="External"/><Relationship Id="rId2897" Type="http://schemas.openxmlformats.org/officeDocument/2006/relationships/hyperlink" Target="https://pubmed.ncbi.nlm.nih.gov/30719880" TargetMode="External"/><Relationship Id="rId1567" Type="http://schemas.openxmlformats.org/officeDocument/2006/relationships/hyperlink" Target="https://pubmed.ncbi.nlm.nih.gov/34329738" TargetMode="External"/><Relationship Id="rId2898" Type="http://schemas.openxmlformats.org/officeDocument/2006/relationships/hyperlink" Target="https://pubmed.ncbi.nlm.nih.gov/31093572" TargetMode="External"/><Relationship Id="rId1568" Type="http://schemas.openxmlformats.org/officeDocument/2006/relationships/hyperlink" Target="https://pubmed.ncbi.nlm.nih.gov/34318929" TargetMode="External"/><Relationship Id="rId2899" Type="http://schemas.openxmlformats.org/officeDocument/2006/relationships/hyperlink" Target="https://pubmed.ncbi.nlm.nih.gov/30872971" TargetMode="External"/><Relationship Id="rId1569" Type="http://schemas.openxmlformats.org/officeDocument/2006/relationships/hyperlink" Target="https://pubmed.ncbi.nlm.nih.gov/33506857" TargetMode="External"/><Relationship Id="rId976" Type="http://schemas.openxmlformats.org/officeDocument/2006/relationships/hyperlink" Target="https://pubmed.ncbi.nlm.nih.gov/36060536" TargetMode="External"/><Relationship Id="rId975" Type="http://schemas.openxmlformats.org/officeDocument/2006/relationships/hyperlink" Target="https://pubmed.ncbi.nlm.nih.gov/36562446" TargetMode="External"/><Relationship Id="rId974" Type="http://schemas.openxmlformats.org/officeDocument/2006/relationships/hyperlink" Target="https://pubmed.ncbi.nlm.nih.gov/36038171" TargetMode="External"/><Relationship Id="rId973" Type="http://schemas.openxmlformats.org/officeDocument/2006/relationships/hyperlink" Target="https://pubmed.ncbi.nlm.nih.gov/36050271" TargetMode="External"/><Relationship Id="rId979" Type="http://schemas.openxmlformats.org/officeDocument/2006/relationships/hyperlink" Target="https://pubmed.ncbi.nlm.nih.gov/36017556" TargetMode="External"/><Relationship Id="rId978" Type="http://schemas.openxmlformats.org/officeDocument/2006/relationships/hyperlink" Target="https://pubmed.ncbi.nlm.nih.gov/36017704" TargetMode="External"/><Relationship Id="rId977" Type="http://schemas.openxmlformats.org/officeDocument/2006/relationships/hyperlink" Target="https://pubmed.ncbi.nlm.nih.gov/36031452" TargetMode="External"/><Relationship Id="rId2890" Type="http://schemas.openxmlformats.org/officeDocument/2006/relationships/hyperlink" Target="https://pubmed.ncbi.nlm.nih.gov/30738286" TargetMode="External"/><Relationship Id="rId1560" Type="http://schemas.openxmlformats.org/officeDocument/2006/relationships/hyperlink" Target="https://pubmed.ncbi.nlm.nih.gov/34397238" TargetMode="External"/><Relationship Id="rId2891" Type="http://schemas.openxmlformats.org/officeDocument/2006/relationships/hyperlink" Target="https://pubmed.ncbi.nlm.nih.gov/30696501" TargetMode="External"/><Relationship Id="rId972" Type="http://schemas.openxmlformats.org/officeDocument/2006/relationships/hyperlink" Target="https://pubmed.ncbi.nlm.nih.gov/36038275" TargetMode="External"/><Relationship Id="rId1561" Type="http://schemas.openxmlformats.org/officeDocument/2006/relationships/hyperlink" Target="https://pubmed.ncbi.nlm.nih.gov/34330858" TargetMode="External"/><Relationship Id="rId2892" Type="http://schemas.openxmlformats.org/officeDocument/2006/relationships/hyperlink" Target="https://pubmed.ncbi.nlm.nih.gov/30593519" TargetMode="External"/><Relationship Id="rId971" Type="http://schemas.openxmlformats.org/officeDocument/2006/relationships/hyperlink" Target="https://pubmed.ncbi.nlm.nih.gov/36300442" TargetMode="External"/><Relationship Id="rId1562" Type="http://schemas.openxmlformats.org/officeDocument/2006/relationships/hyperlink" Target="https://pubmed.ncbi.nlm.nih.gov/34288182" TargetMode="External"/><Relationship Id="rId2893" Type="http://schemas.openxmlformats.org/officeDocument/2006/relationships/hyperlink" Target="https://pubmed.ncbi.nlm.nih.gov/30626653" TargetMode="External"/><Relationship Id="rId970" Type="http://schemas.openxmlformats.org/officeDocument/2006/relationships/hyperlink" Target="https://pubmed.ncbi.nlm.nih.gov/34920989" TargetMode="External"/><Relationship Id="rId1563" Type="http://schemas.openxmlformats.org/officeDocument/2006/relationships/hyperlink" Target="https://pubmed.ncbi.nlm.nih.gov/34333237" TargetMode="External"/><Relationship Id="rId2894" Type="http://schemas.openxmlformats.org/officeDocument/2006/relationships/hyperlink" Target="https://pubmed.ncbi.nlm.nih.gov/30674361" TargetMode="External"/><Relationship Id="rId1564" Type="http://schemas.openxmlformats.org/officeDocument/2006/relationships/hyperlink" Target="https://pubmed.ncbi.nlm.nih.gov/34326052" TargetMode="External"/><Relationship Id="rId2895" Type="http://schemas.openxmlformats.org/officeDocument/2006/relationships/hyperlink" Target="https://pubmed.ncbi.nlm.nih.gov/30678645" TargetMode="External"/><Relationship Id="rId1598" Type="http://schemas.openxmlformats.org/officeDocument/2006/relationships/hyperlink" Target="https://pubmed.ncbi.nlm.nih.gov/34246223" TargetMode="External"/><Relationship Id="rId1599" Type="http://schemas.openxmlformats.org/officeDocument/2006/relationships/hyperlink" Target="https://pubmed.ncbi.nlm.nih.gov/34306597" TargetMode="External"/><Relationship Id="rId1590" Type="http://schemas.openxmlformats.org/officeDocument/2006/relationships/hyperlink" Target="https://pubmed.ncbi.nlm.nih.gov/34261513" TargetMode="External"/><Relationship Id="rId1591" Type="http://schemas.openxmlformats.org/officeDocument/2006/relationships/hyperlink" Target="https://pubmed.ncbi.nlm.nih.gov/34261736" TargetMode="External"/><Relationship Id="rId1592" Type="http://schemas.openxmlformats.org/officeDocument/2006/relationships/hyperlink" Target="https://pubmed.ncbi.nlm.nih.gov/34256879" TargetMode="External"/><Relationship Id="rId1593" Type="http://schemas.openxmlformats.org/officeDocument/2006/relationships/hyperlink" Target="https://pubmed.ncbi.nlm.nih.gov/34253676" TargetMode="External"/><Relationship Id="rId1594" Type="http://schemas.openxmlformats.org/officeDocument/2006/relationships/hyperlink" Target="https://pubmed.ncbi.nlm.nih.gov/34251506" TargetMode="External"/><Relationship Id="rId1595" Type="http://schemas.openxmlformats.org/officeDocument/2006/relationships/hyperlink" Target="https://pubmed.ncbi.nlm.nih.gov/34253874" TargetMode="External"/><Relationship Id="rId1596" Type="http://schemas.openxmlformats.org/officeDocument/2006/relationships/hyperlink" Target="https://pubmed.ncbi.nlm.nih.gov/34266719" TargetMode="External"/><Relationship Id="rId1597" Type="http://schemas.openxmlformats.org/officeDocument/2006/relationships/hyperlink" Target="https://pubmed.ncbi.nlm.nih.gov/34245355" TargetMode="External"/><Relationship Id="rId1587" Type="http://schemas.openxmlformats.org/officeDocument/2006/relationships/hyperlink" Target="https://pubmed.ncbi.nlm.nih.gov/34176147" TargetMode="External"/><Relationship Id="rId1588" Type="http://schemas.openxmlformats.org/officeDocument/2006/relationships/hyperlink" Target="https://pubmed.ncbi.nlm.nih.gov/34280420" TargetMode="External"/><Relationship Id="rId1589" Type="http://schemas.openxmlformats.org/officeDocument/2006/relationships/hyperlink" Target="https://pubmed.ncbi.nlm.nih.gov/32421775" TargetMode="External"/><Relationship Id="rId998" Type="http://schemas.openxmlformats.org/officeDocument/2006/relationships/hyperlink" Target="https://pubmed.ncbi.nlm.nih.gov/35947335" TargetMode="External"/><Relationship Id="rId997" Type="http://schemas.openxmlformats.org/officeDocument/2006/relationships/hyperlink" Target="https://pubmed.ncbi.nlm.nih.gov/36119906" TargetMode="External"/><Relationship Id="rId996" Type="http://schemas.openxmlformats.org/officeDocument/2006/relationships/hyperlink" Target="https://pubmed.ncbi.nlm.nih.gov/35953772" TargetMode="External"/><Relationship Id="rId995" Type="http://schemas.openxmlformats.org/officeDocument/2006/relationships/hyperlink" Target="https://pubmed.ncbi.nlm.nih.gov/35953883" TargetMode="External"/><Relationship Id="rId999" Type="http://schemas.openxmlformats.org/officeDocument/2006/relationships/hyperlink" Target="https://pubmed.ncbi.nlm.nih.gov/35945903" TargetMode="External"/><Relationship Id="rId990" Type="http://schemas.openxmlformats.org/officeDocument/2006/relationships/hyperlink" Target="https://pubmed.ncbi.nlm.nih.gov/35959685" TargetMode="External"/><Relationship Id="rId1580" Type="http://schemas.openxmlformats.org/officeDocument/2006/relationships/hyperlink" Target="https://pubmed.ncbi.nlm.nih.gov/32535622" TargetMode="External"/><Relationship Id="rId1581" Type="http://schemas.openxmlformats.org/officeDocument/2006/relationships/hyperlink" Target="https://pubmed.ncbi.nlm.nih.gov/34292510" TargetMode="External"/><Relationship Id="rId1582" Type="http://schemas.openxmlformats.org/officeDocument/2006/relationships/hyperlink" Target="https://pubmed.ncbi.nlm.nih.gov/34290128" TargetMode="External"/><Relationship Id="rId994" Type="http://schemas.openxmlformats.org/officeDocument/2006/relationships/hyperlink" Target="https://pubmed.ncbi.nlm.nih.gov/34782405" TargetMode="External"/><Relationship Id="rId1583" Type="http://schemas.openxmlformats.org/officeDocument/2006/relationships/hyperlink" Target="https://pubmed.ncbi.nlm.nih.gov/34359567" TargetMode="External"/><Relationship Id="rId993" Type="http://schemas.openxmlformats.org/officeDocument/2006/relationships/hyperlink" Target="https://pubmed.ncbi.nlm.nih.gov/34904176" TargetMode="External"/><Relationship Id="rId1584" Type="http://schemas.openxmlformats.org/officeDocument/2006/relationships/hyperlink" Target="https://pubmed.ncbi.nlm.nih.gov/34805744" TargetMode="External"/><Relationship Id="rId992" Type="http://schemas.openxmlformats.org/officeDocument/2006/relationships/hyperlink" Target="https://pubmed.ncbi.nlm.nih.gov/35134954" TargetMode="External"/><Relationship Id="rId1585" Type="http://schemas.openxmlformats.org/officeDocument/2006/relationships/hyperlink" Target="https://pubmed.ncbi.nlm.nih.gov/34139060" TargetMode="External"/><Relationship Id="rId991" Type="http://schemas.openxmlformats.org/officeDocument/2006/relationships/hyperlink" Target="https://pubmed.ncbi.nlm.nih.gov/34908153" TargetMode="External"/><Relationship Id="rId1586" Type="http://schemas.openxmlformats.org/officeDocument/2006/relationships/hyperlink" Target="https://pubmed.ncbi.nlm.nih.gov/34272216" TargetMode="External"/><Relationship Id="rId1532" Type="http://schemas.openxmlformats.org/officeDocument/2006/relationships/hyperlink" Target="https://pubmed.ncbi.nlm.nih.gov/34404480" TargetMode="External"/><Relationship Id="rId2863" Type="http://schemas.openxmlformats.org/officeDocument/2006/relationships/hyperlink" Target="https://pubmed.ncbi.nlm.nih.gov/30794935" TargetMode="External"/><Relationship Id="rId1533" Type="http://schemas.openxmlformats.org/officeDocument/2006/relationships/hyperlink" Target="https://pubmed.ncbi.nlm.nih.gov/34350675" TargetMode="External"/><Relationship Id="rId2864" Type="http://schemas.openxmlformats.org/officeDocument/2006/relationships/hyperlink" Target="https://pubmed.ncbi.nlm.nih.gov/30772952" TargetMode="External"/><Relationship Id="rId1534" Type="http://schemas.openxmlformats.org/officeDocument/2006/relationships/hyperlink" Target="https://pubmed.ncbi.nlm.nih.gov/34402665" TargetMode="External"/><Relationship Id="rId2865" Type="http://schemas.openxmlformats.org/officeDocument/2006/relationships/hyperlink" Target="https://pubmed.ncbi.nlm.nih.gov/30677175" TargetMode="External"/><Relationship Id="rId1535" Type="http://schemas.openxmlformats.org/officeDocument/2006/relationships/hyperlink" Target="https://pubmed.ncbi.nlm.nih.gov/34416288" TargetMode="External"/><Relationship Id="rId2866" Type="http://schemas.openxmlformats.org/officeDocument/2006/relationships/hyperlink" Target="https://pubmed.ncbi.nlm.nih.gov/30476079" TargetMode="External"/><Relationship Id="rId1536" Type="http://schemas.openxmlformats.org/officeDocument/2006/relationships/hyperlink" Target="https://pubmed.ncbi.nlm.nih.gov/34522426" TargetMode="External"/><Relationship Id="rId2867" Type="http://schemas.openxmlformats.org/officeDocument/2006/relationships/hyperlink" Target="https://pubmed.ncbi.nlm.nih.gov/30816653" TargetMode="External"/><Relationship Id="rId1537" Type="http://schemas.openxmlformats.org/officeDocument/2006/relationships/hyperlink" Target="https://pubmed.ncbi.nlm.nih.gov/34402094" TargetMode="External"/><Relationship Id="rId2868" Type="http://schemas.openxmlformats.org/officeDocument/2006/relationships/hyperlink" Target="https://pubmed.ncbi.nlm.nih.gov/30863017" TargetMode="External"/><Relationship Id="rId1538" Type="http://schemas.openxmlformats.org/officeDocument/2006/relationships/hyperlink" Target="https://pubmed.ncbi.nlm.nih.gov/34411851" TargetMode="External"/><Relationship Id="rId2869" Type="http://schemas.openxmlformats.org/officeDocument/2006/relationships/hyperlink" Target="https://pubmed.ncbi.nlm.nih.gov/30759382" TargetMode="External"/><Relationship Id="rId1539" Type="http://schemas.openxmlformats.org/officeDocument/2006/relationships/hyperlink" Target="https://pubmed.ncbi.nlm.nih.gov/34278567" TargetMode="External"/><Relationship Id="rId949" Type="http://schemas.openxmlformats.org/officeDocument/2006/relationships/hyperlink" Target="https://pubmed.ncbi.nlm.nih.gov/36096039" TargetMode="External"/><Relationship Id="rId948" Type="http://schemas.openxmlformats.org/officeDocument/2006/relationships/hyperlink" Target="https://pubmed.ncbi.nlm.nih.gov/36089814" TargetMode="External"/><Relationship Id="rId943" Type="http://schemas.openxmlformats.org/officeDocument/2006/relationships/hyperlink" Target="https://pubmed.ncbi.nlm.nih.gov/36109036" TargetMode="External"/><Relationship Id="rId942" Type="http://schemas.openxmlformats.org/officeDocument/2006/relationships/hyperlink" Target="https://pubmed.ncbi.nlm.nih.gov/35728976" TargetMode="External"/><Relationship Id="rId941" Type="http://schemas.openxmlformats.org/officeDocument/2006/relationships/hyperlink" Target="https://pubmed.ncbi.nlm.nih.gov/36962493" TargetMode="External"/><Relationship Id="rId940" Type="http://schemas.openxmlformats.org/officeDocument/2006/relationships/hyperlink" Target="https://pubmed.ncbi.nlm.nih.gov/36178455" TargetMode="External"/><Relationship Id="rId947" Type="http://schemas.openxmlformats.org/officeDocument/2006/relationships/hyperlink" Target="https://pubmed.ncbi.nlm.nih.gov/36096114" TargetMode="External"/><Relationship Id="rId946" Type="http://schemas.openxmlformats.org/officeDocument/2006/relationships/hyperlink" Target="https://pubmed.ncbi.nlm.nih.gov/36101788" TargetMode="External"/><Relationship Id="rId945" Type="http://schemas.openxmlformats.org/officeDocument/2006/relationships/hyperlink" Target="https://pubmed.ncbi.nlm.nih.gov/36104069" TargetMode="External"/><Relationship Id="rId944" Type="http://schemas.openxmlformats.org/officeDocument/2006/relationships/hyperlink" Target="https://pubmed.ncbi.nlm.nih.gov/36107361" TargetMode="External"/><Relationship Id="rId2860" Type="http://schemas.openxmlformats.org/officeDocument/2006/relationships/hyperlink" Target="https://pubmed.ncbi.nlm.nih.gov/30789349" TargetMode="External"/><Relationship Id="rId1530" Type="http://schemas.openxmlformats.org/officeDocument/2006/relationships/hyperlink" Target="https://pubmed.ncbi.nlm.nih.gov/34455267" TargetMode="External"/><Relationship Id="rId2861" Type="http://schemas.openxmlformats.org/officeDocument/2006/relationships/hyperlink" Target="https://pubmed.ncbi.nlm.nih.gov/30783890" TargetMode="External"/><Relationship Id="rId1531" Type="http://schemas.openxmlformats.org/officeDocument/2006/relationships/hyperlink" Target="https://pubmed.ncbi.nlm.nih.gov/33876207" TargetMode="External"/><Relationship Id="rId2862" Type="http://schemas.openxmlformats.org/officeDocument/2006/relationships/hyperlink" Target="https://pubmed.ncbi.nlm.nih.gov/30779652" TargetMode="External"/><Relationship Id="rId1521" Type="http://schemas.openxmlformats.org/officeDocument/2006/relationships/hyperlink" Target="https://pubmed.ncbi.nlm.nih.gov/34446011" TargetMode="External"/><Relationship Id="rId2852" Type="http://schemas.openxmlformats.org/officeDocument/2006/relationships/hyperlink" Target="https://pubmed.ncbi.nlm.nih.gov/30846278" TargetMode="External"/><Relationship Id="rId1522" Type="http://schemas.openxmlformats.org/officeDocument/2006/relationships/hyperlink" Target="https://pubmed.ncbi.nlm.nih.gov/34455098" TargetMode="External"/><Relationship Id="rId2853" Type="http://schemas.openxmlformats.org/officeDocument/2006/relationships/hyperlink" Target="https://pubmed.ncbi.nlm.nih.gov/30875497" TargetMode="External"/><Relationship Id="rId1523" Type="http://schemas.openxmlformats.org/officeDocument/2006/relationships/hyperlink" Target="https://pubmed.ncbi.nlm.nih.gov/34512624" TargetMode="External"/><Relationship Id="rId2854" Type="http://schemas.openxmlformats.org/officeDocument/2006/relationships/hyperlink" Target="https://pubmed.ncbi.nlm.nih.gov/30675845" TargetMode="External"/><Relationship Id="rId1524" Type="http://schemas.openxmlformats.org/officeDocument/2006/relationships/hyperlink" Target="https://pubmed.ncbi.nlm.nih.gov/34454810" TargetMode="External"/><Relationship Id="rId2855" Type="http://schemas.openxmlformats.org/officeDocument/2006/relationships/hyperlink" Target="https://pubmed.ncbi.nlm.nih.gov/30592482" TargetMode="External"/><Relationship Id="rId1525" Type="http://schemas.openxmlformats.org/officeDocument/2006/relationships/hyperlink" Target="https://pubmed.ncbi.nlm.nih.gov/34427806" TargetMode="External"/><Relationship Id="rId2856" Type="http://schemas.openxmlformats.org/officeDocument/2006/relationships/hyperlink" Target="https://pubmed.ncbi.nlm.nih.gov/30638028" TargetMode="External"/><Relationship Id="rId1526" Type="http://schemas.openxmlformats.org/officeDocument/2006/relationships/hyperlink" Target="https://pubmed.ncbi.nlm.nih.gov/34446346" TargetMode="External"/><Relationship Id="rId2857" Type="http://schemas.openxmlformats.org/officeDocument/2006/relationships/hyperlink" Target="https://pubmed.ncbi.nlm.nih.gov/31036301" TargetMode="External"/><Relationship Id="rId1527" Type="http://schemas.openxmlformats.org/officeDocument/2006/relationships/hyperlink" Target="https://pubmed.ncbi.nlm.nih.gov/34465982" TargetMode="External"/><Relationship Id="rId2858" Type="http://schemas.openxmlformats.org/officeDocument/2006/relationships/hyperlink" Target="https://pubmed.ncbi.nlm.nih.gov/30762225" TargetMode="External"/><Relationship Id="rId1528" Type="http://schemas.openxmlformats.org/officeDocument/2006/relationships/hyperlink" Target="https://pubmed.ncbi.nlm.nih.gov/34379859" TargetMode="External"/><Relationship Id="rId2859" Type="http://schemas.openxmlformats.org/officeDocument/2006/relationships/hyperlink" Target="https://pubmed.ncbi.nlm.nih.gov/30819716" TargetMode="External"/><Relationship Id="rId1529" Type="http://schemas.openxmlformats.org/officeDocument/2006/relationships/hyperlink" Target="https://pubmed.ncbi.nlm.nih.gov/34420153" TargetMode="External"/><Relationship Id="rId939" Type="http://schemas.openxmlformats.org/officeDocument/2006/relationships/hyperlink" Target="https://pubmed.ncbi.nlm.nih.gov/36123365" TargetMode="External"/><Relationship Id="rId938" Type="http://schemas.openxmlformats.org/officeDocument/2006/relationships/hyperlink" Target="https://pubmed.ncbi.nlm.nih.gov/36179538" TargetMode="External"/><Relationship Id="rId937" Type="http://schemas.openxmlformats.org/officeDocument/2006/relationships/hyperlink" Target="https://pubmed.ncbi.nlm.nih.gov/36127090" TargetMode="External"/><Relationship Id="rId932" Type="http://schemas.openxmlformats.org/officeDocument/2006/relationships/hyperlink" Target="https://pubmed.ncbi.nlm.nih.gov/36175351" TargetMode="External"/><Relationship Id="rId931" Type="http://schemas.openxmlformats.org/officeDocument/2006/relationships/hyperlink" Target="https://pubmed.ncbi.nlm.nih.gov/35277454" TargetMode="External"/><Relationship Id="rId930" Type="http://schemas.openxmlformats.org/officeDocument/2006/relationships/hyperlink" Target="https://pubmed.ncbi.nlm.nih.gov/36168108" TargetMode="External"/><Relationship Id="rId936" Type="http://schemas.openxmlformats.org/officeDocument/2006/relationships/hyperlink" Target="https://pubmed.ncbi.nlm.nih.gov/36150504" TargetMode="External"/><Relationship Id="rId935" Type="http://schemas.openxmlformats.org/officeDocument/2006/relationships/hyperlink" Target="https://pubmed.ncbi.nlm.nih.gov/36131214" TargetMode="External"/><Relationship Id="rId934" Type="http://schemas.openxmlformats.org/officeDocument/2006/relationships/hyperlink" Target="https://pubmed.ncbi.nlm.nih.gov/36153021" TargetMode="External"/><Relationship Id="rId933" Type="http://schemas.openxmlformats.org/officeDocument/2006/relationships/hyperlink" Target="https://pubmed.ncbi.nlm.nih.gov/36163035" TargetMode="External"/><Relationship Id="rId2850" Type="http://schemas.openxmlformats.org/officeDocument/2006/relationships/hyperlink" Target="https://pubmed.ncbi.nlm.nih.gov/30840124" TargetMode="External"/><Relationship Id="rId1520" Type="http://schemas.openxmlformats.org/officeDocument/2006/relationships/hyperlink" Target="https://pubmed.ncbi.nlm.nih.gov/33734370" TargetMode="External"/><Relationship Id="rId2851" Type="http://schemas.openxmlformats.org/officeDocument/2006/relationships/hyperlink" Target="https://pubmed.ncbi.nlm.nih.gov/30852236" TargetMode="External"/><Relationship Id="rId1554" Type="http://schemas.openxmlformats.org/officeDocument/2006/relationships/hyperlink" Target="https://pubmed.ncbi.nlm.nih.gov/34348179" TargetMode="External"/><Relationship Id="rId2885" Type="http://schemas.openxmlformats.org/officeDocument/2006/relationships/hyperlink" Target="https://pubmed.ncbi.nlm.nih.gov/30016426" TargetMode="External"/><Relationship Id="rId1555" Type="http://schemas.openxmlformats.org/officeDocument/2006/relationships/hyperlink" Target="https://pubmed.ncbi.nlm.nih.gov/34009291" TargetMode="External"/><Relationship Id="rId2886" Type="http://schemas.openxmlformats.org/officeDocument/2006/relationships/hyperlink" Target="https://pubmed.ncbi.nlm.nih.gov/30730689" TargetMode="External"/><Relationship Id="rId1556" Type="http://schemas.openxmlformats.org/officeDocument/2006/relationships/hyperlink" Target="https://pubmed.ncbi.nlm.nih.gov/34228021" TargetMode="External"/><Relationship Id="rId2887" Type="http://schemas.openxmlformats.org/officeDocument/2006/relationships/hyperlink" Target="https://pubmed.ncbi.nlm.nih.gov/30649175" TargetMode="External"/><Relationship Id="rId1557" Type="http://schemas.openxmlformats.org/officeDocument/2006/relationships/hyperlink" Target="https://pubmed.ncbi.nlm.nih.gov/34166300" TargetMode="External"/><Relationship Id="rId2888" Type="http://schemas.openxmlformats.org/officeDocument/2006/relationships/hyperlink" Target="https://pubmed.ncbi.nlm.nih.gov/29796606" TargetMode="External"/><Relationship Id="rId1558" Type="http://schemas.openxmlformats.org/officeDocument/2006/relationships/hyperlink" Target="https://pubmed.ncbi.nlm.nih.gov/34389627" TargetMode="External"/><Relationship Id="rId2889" Type="http://schemas.openxmlformats.org/officeDocument/2006/relationships/hyperlink" Target="https://pubmed.ncbi.nlm.nih.gov/30700442" TargetMode="External"/><Relationship Id="rId1559" Type="http://schemas.openxmlformats.org/officeDocument/2006/relationships/hyperlink" Target="https://pubmed.ncbi.nlm.nih.gov/33530096" TargetMode="External"/><Relationship Id="rId965" Type="http://schemas.openxmlformats.org/officeDocument/2006/relationships/hyperlink" Target="https://pubmed.ncbi.nlm.nih.gov/38322747" TargetMode="External"/><Relationship Id="rId964" Type="http://schemas.openxmlformats.org/officeDocument/2006/relationships/hyperlink" Target="https://pubmed.ncbi.nlm.nih.gov/36081708" TargetMode="External"/><Relationship Id="rId963" Type="http://schemas.openxmlformats.org/officeDocument/2006/relationships/hyperlink" Target="https://pubmed.ncbi.nlm.nih.gov/35731639" TargetMode="External"/><Relationship Id="rId962" Type="http://schemas.openxmlformats.org/officeDocument/2006/relationships/hyperlink" Target="https://pubmed.ncbi.nlm.nih.gov/35947364" TargetMode="External"/><Relationship Id="rId969" Type="http://schemas.openxmlformats.org/officeDocument/2006/relationships/hyperlink" Target="https://pubmed.ncbi.nlm.nih.gov/36078544" TargetMode="External"/><Relationship Id="rId968" Type="http://schemas.openxmlformats.org/officeDocument/2006/relationships/hyperlink" Target="https://pubmed.ncbi.nlm.nih.gov/36040669" TargetMode="External"/><Relationship Id="rId967" Type="http://schemas.openxmlformats.org/officeDocument/2006/relationships/hyperlink" Target="https://pubmed.ncbi.nlm.nih.gov/34862163" TargetMode="External"/><Relationship Id="rId966" Type="http://schemas.openxmlformats.org/officeDocument/2006/relationships/hyperlink" Target="https://pubmed.ncbi.nlm.nih.gov/36139959" TargetMode="External"/><Relationship Id="rId2880" Type="http://schemas.openxmlformats.org/officeDocument/2006/relationships/hyperlink" Target="https://pubmed.ncbi.nlm.nih.gov/30623693" TargetMode="External"/><Relationship Id="rId961" Type="http://schemas.openxmlformats.org/officeDocument/2006/relationships/hyperlink" Target="https://pubmed.ncbi.nlm.nih.gov/36064610" TargetMode="External"/><Relationship Id="rId1550" Type="http://schemas.openxmlformats.org/officeDocument/2006/relationships/hyperlink" Target="https://pubmed.ncbi.nlm.nih.gov/34409049" TargetMode="External"/><Relationship Id="rId2881" Type="http://schemas.openxmlformats.org/officeDocument/2006/relationships/hyperlink" Target="https://pubmed.ncbi.nlm.nih.gov/30376041" TargetMode="External"/><Relationship Id="rId960" Type="http://schemas.openxmlformats.org/officeDocument/2006/relationships/hyperlink" Target="https://pubmed.ncbi.nlm.nih.gov/36068404" TargetMode="External"/><Relationship Id="rId1551" Type="http://schemas.openxmlformats.org/officeDocument/2006/relationships/hyperlink" Target="https://pubmed.ncbi.nlm.nih.gov/34352278" TargetMode="External"/><Relationship Id="rId2882" Type="http://schemas.openxmlformats.org/officeDocument/2006/relationships/hyperlink" Target="https://pubmed.ncbi.nlm.nih.gov/30602357" TargetMode="External"/><Relationship Id="rId1552" Type="http://schemas.openxmlformats.org/officeDocument/2006/relationships/hyperlink" Target="https://pubmed.ncbi.nlm.nih.gov/34352279" TargetMode="External"/><Relationship Id="rId2883" Type="http://schemas.openxmlformats.org/officeDocument/2006/relationships/hyperlink" Target="https://pubmed.ncbi.nlm.nih.gov/30074565" TargetMode="External"/><Relationship Id="rId1553" Type="http://schemas.openxmlformats.org/officeDocument/2006/relationships/hyperlink" Target="https://pubmed.ncbi.nlm.nih.gov/33829225" TargetMode="External"/><Relationship Id="rId2884" Type="http://schemas.openxmlformats.org/officeDocument/2006/relationships/hyperlink" Target="https://pubmed.ncbi.nlm.nih.gov/30621529" TargetMode="External"/><Relationship Id="rId1543" Type="http://schemas.openxmlformats.org/officeDocument/2006/relationships/hyperlink" Target="https://pubmed.ncbi.nlm.nih.gov/34391611" TargetMode="External"/><Relationship Id="rId2874" Type="http://schemas.openxmlformats.org/officeDocument/2006/relationships/hyperlink" Target="https://pubmed.ncbi.nlm.nih.gov/30744577" TargetMode="External"/><Relationship Id="rId1544" Type="http://schemas.openxmlformats.org/officeDocument/2006/relationships/hyperlink" Target="https://pubmed.ncbi.nlm.nih.gov/35702492" TargetMode="External"/><Relationship Id="rId2875" Type="http://schemas.openxmlformats.org/officeDocument/2006/relationships/hyperlink" Target="https://pubmed.ncbi.nlm.nih.gov/30738926" TargetMode="External"/><Relationship Id="rId1545" Type="http://schemas.openxmlformats.org/officeDocument/2006/relationships/hyperlink" Target="https://pubmed.ncbi.nlm.nih.gov/34376262" TargetMode="External"/><Relationship Id="rId2876" Type="http://schemas.openxmlformats.org/officeDocument/2006/relationships/hyperlink" Target="https://pubmed.ncbi.nlm.nih.gov/30738706" TargetMode="External"/><Relationship Id="rId1546" Type="http://schemas.openxmlformats.org/officeDocument/2006/relationships/hyperlink" Target="https://pubmed.ncbi.nlm.nih.gov/34376475" TargetMode="External"/><Relationship Id="rId2877" Type="http://schemas.openxmlformats.org/officeDocument/2006/relationships/hyperlink" Target="https://pubmed.ncbi.nlm.nih.gov/30724657" TargetMode="External"/><Relationship Id="rId1547" Type="http://schemas.openxmlformats.org/officeDocument/2006/relationships/hyperlink" Target="https://pubmed.ncbi.nlm.nih.gov/34376204" TargetMode="External"/><Relationship Id="rId2878" Type="http://schemas.openxmlformats.org/officeDocument/2006/relationships/hyperlink" Target="https://pubmed.ncbi.nlm.nih.gov/30738648" TargetMode="External"/><Relationship Id="rId1548" Type="http://schemas.openxmlformats.org/officeDocument/2006/relationships/hyperlink" Target="https://pubmed.ncbi.nlm.nih.gov/34349265" TargetMode="External"/><Relationship Id="rId2879" Type="http://schemas.openxmlformats.org/officeDocument/2006/relationships/hyperlink" Target="https://pubmed.ncbi.nlm.nih.gov/30728219" TargetMode="External"/><Relationship Id="rId1549" Type="http://schemas.openxmlformats.org/officeDocument/2006/relationships/hyperlink" Target="https://pubmed.ncbi.nlm.nih.gov/32936916" TargetMode="External"/><Relationship Id="rId959" Type="http://schemas.openxmlformats.org/officeDocument/2006/relationships/hyperlink" Target="https://pubmed.ncbi.nlm.nih.gov/36146557" TargetMode="External"/><Relationship Id="rId954" Type="http://schemas.openxmlformats.org/officeDocument/2006/relationships/hyperlink" Target="https://pubmed.ncbi.nlm.nih.gov/36166332" TargetMode="External"/><Relationship Id="rId953" Type="http://schemas.openxmlformats.org/officeDocument/2006/relationships/hyperlink" Target="https://pubmed.ncbi.nlm.nih.gov/36070753" TargetMode="External"/><Relationship Id="rId952" Type="http://schemas.openxmlformats.org/officeDocument/2006/relationships/hyperlink" Target="https://pubmed.ncbi.nlm.nih.gov/36159268" TargetMode="External"/><Relationship Id="rId951" Type="http://schemas.openxmlformats.org/officeDocument/2006/relationships/hyperlink" Target="https://pubmed.ncbi.nlm.nih.gov/36085014" TargetMode="External"/><Relationship Id="rId958" Type="http://schemas.openxmlformats.org/officeDocument/2006/relationships/hyperlink" Target="https://pubmed.ncbi.nlm.nih.gov/36068565" TargetMode="External"/><Relationship Id="rId957" Type="http://schemas.openxmlformats.org/officeDocument/2006/relationships/hyperlink" Target="https://pubmed.ncbi.nlm.nih.gov/36147916" TargetMode="External"/><Relationship Id="rId956" Type="http://schemas.openxmlformats.org/officeDocument/2006/relationships/hyperlink" Target="https://pubmed.ncbi.nlm.nih.gov/35403197" TargetMode="External"/><Relationship Id="rId955" Type="http://schemas.openxmlformats.org/officeDocument/2006/relationships/hyperlink" Target="https://pubmed.ncbi.nlm.nih.gov/36069794" TargetMode="External"/><Relationship Id="rId950" Type="http://schemas.openxmlformats.org/officeDocument/2006/relationships/hyperlink" Target="https://pubmed.ncbi.nlm.nih.gov/36083824" TargetMode="External"/><Relationship Id="rId2870" Type="http://schemas.openxmlformats.org/officeDocument/2006/relationships/hyperlink" Target="https://pubmed.ncbi.nlm.nih.gov/30753213" TargetMode="External"/><Relationship Id="rId1540" Type="http://schemas.openxmlformats.org/officeDocument/2006/relationships/hyperlink" Target="https://pubmed.ncbi.nlm.nih.gov/34400308" TargetMode="External"/><Relationship Id="rId2871" Type="http://schemas.openxmlformats.org/officeDocument/2006/relationships/hyperlink" Target="https://pubmed.ncbi.nlm.nih.gov/30753793" TargetMode="External"/><Relationship Id="rId1541" Type="http://schemas.openxmlformats.org/officeDocument/2006/relationships/hyperlink" Target="https://pubmed.ncbi.nlm.nih.gov/34312994" TargetMode="External"/><Relationship Id="rId2872" Type="http://schemas.openxmlformats.org/officeDocument/2006/relationships/hyperlink" Target="https://pubmed.ncbi.nlm.nih.gov/30763659" TargetMode="External"/><Relationship Id="rId1542" Type="http://schemas.openxmlformats.org/officeDocument/2006/relationships/hyperlink" Target="https://pubmed.ncbi.nlm.nih.gov/34438166" TargetMode="External"/><Relationship Id="rId2873" Type="http://schemas.openxmlformats.org/officeDocument/2006/relationships/hyperlink" Target="https://pubmed.ncbi.nlm.nih.gov/30744621" TargetMode="External"/><Relationship Id="rId5130" Type="http://schemas.openxmlformats.org/officeDocument/2006/relationships/hyperlink" Target="https://pubmed.ncbi.nlm.nih.gov/22870916" TargetMode="External"/><Relationship Id="rId5131" Type="http://schemas.openxmlformats.org/officeDocument/2006/relationships/hyperlink" Target="https://pubmed.ncbi.nlm.nih.gov/22872770" TargetMode="External"/><Relationship Id="rId5134" Type="http://schemas.openxmlformats.org/officeDocument/2006/relationships/hyperlink" Target="https://pubmed.ncbi.nlm.nih.gov/22863909" TargetMode="External"/><Relationship Id="rId5135" Type="http://schemas.openxmlformats.org/officeDocument/2006/relationships/hyperlink" Target="https://pubmed.ncbi.nlm.nih.gov/22884770" TargetMode="External"/><Relationship Id="rId5132" Type="http://schemas.openxmlformats.org/officeDocument/2006/relationships/hyperlink" Target="https://pubmed.ncbi.nlm.nih.gov/22899893" TargetMode="External"/><Relationship Id="rId5133" Type="http://schemas.openxmlformats.org/officeDocument/2006/relationships/hyperlink" Target="https://pubmed.ncbi.nlm.nih.gov/22865237" TargetMode="External"/><Relationship Id="rId5138" Type="http://schemas.openxmlformats.org/officeDocument/2006/relationships/hyperlink" Target="https://pubmed.ncbi.nlm.nih.gov/22884917" TargetMode="External"/><Relationship Id="rId5139" Type="http://schemas.openxmlformats.org/officeDocument/2006/relationships/hyperlink" Target="https://pubmed.ncbi.nlm.nih.gov/25814844" TargetMode="External"/><Relationship Id="rId5136" Type="http://schemas.openxmlformats.org/officeDocument/2006/relationships/hyperlink" Target="https://pubmed.ncbi.nlm.nih.gov/22803748" TargetMode="External"/><Relationship Id="rId5137" Type="http://schemas.openxmlformats.org/officeDocument/2006/relationships/hyperlink" Target="https://pubmed.ncbi.nlm.nih.gov/22972436" TargetMode="External"/><Relationship Id="rId5129" Type="http://schemas.openxmlformats.org/officeDocument/2006/relationships/hyperlink" Target="https://pubmed.ncbi.nlm.nih.gov/22883206" TargetMode="External"/><Relationship Id="rId5120" Type="http://schemas.openxmlformats.org/officeDocument/2006/relationships/hyperlink" Target="https://pubmed.ncbi.nlm.nih.gov/23006680" TargetMode="External"/><Relationship Id="rId5123" Type="http://schemas.openxmlformats.org/officeDocument/2006/relationships/hyperlink" Target="https://pubmed.ncbi.nlm.nih.gov/22959683" TargetMode="External"/><Relationship Id="rId5124" Type="http://schemas.openxmlformats.org/officeDocument/2006/relationships/hyperlink" Target="https://pubmed.ncbi.nlm.nih.gov/22952348" TargetMode="External"/><Relationship Id="rId5121" Type="http://schemas.openxmlformats.org/officeDocument/2006/relationships/hyperlink" Target="https://pubmed.ncbi.nlm.nih.gov/22999720" TargetMode="External"/><Relationship Id="rId5122" Type="http://schemas.openxmlformats.org/officeDocument/2006/relationships/hyperlink" Target="https://pubmed.ncbi.nlm.nih.gov/22991421" TargetMode="External"/><Relationship Id="rId5127" Type="http://schemas.openxmlformats.org/officeDocument/2006/relationships/hyperlink" Target="https://pubmed.ncbi.nlm.nih.gov/22926954" TargetMode="External"/><Relationship Id="rId5128" Type="http://schemas.openxmlformats.org/officeDocument/2006/relationships/hyperlink" Target="https://pubmed.ncbi.nlm.nih.gov/22910757" TargetMode="External"/><Relationship Id="rId5125" Type="http://schemas.openxmlformats.org/officeDocument/2006/relationships/hyperlink" Target="https://pubmed.ncbi.nlm.nih.gov/22948017" TargetMode="External"/><Relationship Id="rId5126" Type="http://schemas.openxmlformats.org/officeDocument/2006/relationships/hyperlink" Target="https://pubmed.ncbi.nlm.nih.gov/22947584" TargetMode="External"/><Relationship Id="rId5152" Type="http://schemas.openxmlformats.org/officeDocument/2006/relationships/hyperlink" Target="https://pubmed.ncbi.nlm.nih.gov/22695742" TargetMode="External"/><Relationship Id="rId5153" Type="http://schemas.openxmlformats.org/officeDocument/2006/relationships/hyperlink" Target="https://pubmed.ncbi.nlm.nih.gov/22686630" TargetMode="External"/><Relationship Id="rId5150" Type="http://schemas.openxmlformats.org/officeDocument/2006/relationships/hyperlink" Target="https://pubmed.ncbi.nlm.nih.gov/25814837" TargetMode="External"/><Relationship Id="rId5151" Type="http://schemas.openxmlformats.org/officeDocument/2006/relationships/hyperlink" Target="https://pubmed.ncbi.nlm.nih.gov/25814838" TargetMode="External"/><Relationship Id="rId5156" Type="http://schemas.openxmlformats.org/officeDocument/2006/relationships/hyperlink" Target="https://pubmed.ncbi.nlm.nih.gov/22669358" TargetMode="External"/><Relationship Id="rId5157" Type="http://schemas.openxmlformats.org/officeDocument/2006/relationships/hyperlink" Target="https://pubmed.ncbi.nlm.nih.gov/22625996" TargetMode="External"/><Relationship Id="rId5154" Type="http://schemas.openxmlformats.org/officeDocument/2006/relationships/hyperlink" Target="https://pubmed.ncbi.nlm.nih.gov/22673016" TargetMode="External"/><Relationship Id="rId5155" Type="http://schemas.openxmlformats.org/officeDocument/2006/relationships/hyperlink" Target="https://pubmed.ncbi.nlm.nih.gov/22674922" TargetMode="External"/><Relationship Id="rId5158" Type="http://schemas.openxmlformats.org/officeDocument/2006/relationships/hyperlink" Target="https://pubmed.ncbi.nlm.nih.gov/22658815" TargetMode="External"/><Relationship Id="rId5159" Type="http://schemas.openxmlformats.org/officeDocument/2006/relationships/hyperlink" Target="https://pubmed.ncbi.nlm.nih.gov/22658619" TargetMode="External"/><Relationship Id="rId5141" Type="http://schemas.openxmlformats.org/officeDocument/2006/relationships/hyperlink" Target="https://pubmed.ncbi.nlm.nih.gov/22819559" TargetMode="External"/><Relationship Id="rId5142" Type="http://schemas.openxmlformats.org/officeDocument/2006/relationships/hyperlink" Target="https://pubmed.ncbi.nlm.nih.gov/22819925" TargetMode="External"/><Relationship Id="rId5140" Type="http://schemas.openxmlformats.org/officeDocument/2006/relationships/hyperlink" Target="https://pubmed.ncbi.nlm.nih.gov/22843671" TargetMode="External"/><Relationship Id="rId5145" Type="http://schemas.openxmlformats.org/officeDocument/2006/relationships/hyperlink" Target="https://pubmed.ncbi.nlm.nih.gov/25814841" TargetMode="External"/><Relationship Id="rId5146" Type="http://schemas.openxmlformats.org/officeDocument/2006/relationships/hyperlink" Target="https://pubmed.ncbi.nlm.nih.gov/22733546" TargetMode="External"/><Relationship Id="rId5143" Type="http://schemas.openxmlformats.org/officeDocument/2006/relationships/hyperlink" Target="https://pubmed.ncbi.nlm.nih.gov/22818834" TargetMode="External"/><Relationship Id="rId5144" Type="http://schemas.openxmlformats.org/officeDocument/2006/relationships/hyperlink" Target="https://pubmed.ncbi.nlm.nih.gov/25814842" TargetMode="External"/><Relationship Id="rId5149" Type="http://schemas.openxmlformats.org/officeDocument/2006/relationships/hyperlink" Target="https://pubmed.ncbi.nlm.nih.gov/22718986" TargetMode="External"/><Relationship Id="rId5147" Type="http://schemas.openxmlformats.org/officeDocument/2006/relationships/hyperlink" Target="https://pubmed.ncbi.nlm.nih.gov/25814840" TargetMode="External"/><Relationship Id="rId5148" Type="http://schemas.openxmlformats.org/officeDocument/2006/relationships/hyperlink" Target="https://pubmed.ncbi.nlm.nih.gov/25814839" TargetMode="External"/><Relationship Id="rId5118" Type="http://schemas.openxmlformats.org/officeDocument/2006/relationships/hyperlink" Target="https://pubmed.ncbi.nlm.nih.gov/23013453" TargetMode="External"/><Relationship Id="rId5119" Type="http://schemas.openxmlformats.org/officeDocument/2006/relationships/hyperlink" Target="https://pubmed.ncbi.nlm.nih.gov/23062766" TargetMode="External"/><Relationship Id="rId5112" Type="http://schemas.openxmlformats.org/officeDocument/2006/relationships/hyperlink" Target="https://pubmed.ncbi.nlm.nih.gov/23036917" TargetMode="External"/><Relationship Id="rId5113" Type="http://schemas.openxmlformats.org/officeDocument/2006/relationships/hyperlink" Target="https://pubmed.ncbi.nlm.nih.gov/22998794" TargetMode="External"/><Relationship Id="rId5110" Type="http://schemas.openxmlformats.org/officeDocument/2006/relationships/hyperlink" Target="https://pubmed.ncbi.nlm.nih.gov/23043731" TargetMode="External"/><Relationship Id="rId5111" Type="http://schemas.openxmlformats.org/officeDocument/2006/relationships/hyperlink" Target="https://pubmed.ncbi.nlm.nih.gov/23039172" TargetMode="External"/><Relationship Id="rId5116" Type="http://schemas.openxmlformats.org/officeDocument/2006/relationships/hyperlink" Target="https://pubmed.ncbi.nlm.nih.gov/23060319" TargetMode="External"/><Relationship Id="rId5117" Type="http://schemas.openxmlformats.org/officeDocument/2006/relationships/hyperlink" Target="https://pubmed.ncbi.nlm.nih.gov/23060320" TargetMode="External"/><Relationship Id="rId5114" Type="http://schemas.openxmlformats.org/officeDocument/2006/relationships/hyperlink" Target="https://pubmed.ncbi.nlm.nih.gov/23065981" TargetMode="External"/><Relationship Id="rId5115" Type="http://schemas.openxmlformats.org/officeDocument/2006/relationships/hyperlink" Target="https://pubmed.ncbi.nlm.nih.gov/22414198" TargetMode="External"/><Relationship Id="rId5109" Type="http://schemas.openxmlformats.org/officeDocument/2006/relationships/hyperlink" Target="https://pubmed.ncbi.nlm.nih.gov/23079234" TargetMode="External"/><Relationship Id="rId5107" Type="http://schemas.openxmlformats.org/officeDocument/2006/relationships/hyperlink" Target="https://pubmed.ncbi.nlm.nih.gov/23202969" TargetMode="External"/><Relationship Id="rId5108" Type="http://schemas.openxmlformats.org/officeDocument/2006/relationships/hyperlink" Target="https://pubmed.ncbi.nlm.nih.gov/23240103" TargetMode="External"/><Relationship Id="rId5101" Type="http://schemas.openxmlformats.org/officeDocument/2006/relationships/hyperlink" Target="https://pubmed.ncbi.nlm.nih.gov/23159191" TargetMode="External"/><Relationship Id="rId5102" Type="http://schemas.openxmlformats.org/officeDocument/2006/relationships/hyperlink" Target="https://pubmed.ncbi.nlm.nih.gov/23151152" TargetMode="External"/><Relationship Id="rId5100" Type="http://schemas.openxmlformats.org/officeDocument/2006/relationships/hyperlink" Target="https://pubmed.ncbi.nlm.nih.gov/23168007" TargetMode="External"/><Relationship Id="rId5105" Type="http://schemas.openxmlformats.org/officeDocument/2006/relationships/hyperlink" Target="https://pubmed.ncbi.nlm.nih.gov/23113823" TargetMode="External"/><Relationship Id="rId5106" Type="http://schemas.openxmlformats.org/officeDocument/2006/relationships/hyperlink" Target="https://pubmed.ncbi.nlm.nih.gov/23114025" TargetMode="External"/><Relationship Id="rId5103" Type="http://schemas.openxmlformats.org/officeDocument/2006/relationships/hyperlink" Target="https://pubmed.ncbi.nlm.nih.gov/23124783" TargetMode="External"/><Relationship Id="rId5104" Type="http://schemas.openxmlformats.org/officeDocument/2006/relationships/hyperlink" Target="https://pubmed.ncbi.nlm.nih.gov/22978483" TargetMode="External"/><Relationship Id="rId2940" Type="http://schemas.openxmlformats.org/officeDocument/2006/relationships/hyperlink" Target="https://pubmed.ncbi.nlm.nih.gov/30554530" TargetMode="External"/><Relationship Id="rId1610" Type="http://schemas.openxmlformats.org/officeDocument/2006/relationships/hyperlink" Target="https://pubmed.ncbi.nlm.nih.gov/34217261" TargetMode="External"/><Relationship Id="rId2941" Type="http://schemas.openxmlformats.org/officeDocument/2006/relationships/hyperlink" Target="https://pubmed.ncbi.nlm.nih.gov/30547694" TargetMode="External"/><Relationship Id="rId1611" Type="http://schemas.openxmlformats.org/officeDocument/2006/relationships/hyperlink" Target="https://pubmed.ncbi.nlm.nih.gov/34219621" TargetMode="External"/><Relationship Id="rId2942" Type="http://schemas.openxmlformats.org/officeDocument/2006/relationships/hyperlink" Target="https://pubmed.ncbi.nlm.nih.gov/30547820" TargetMode="External"/><Relationship Id="rId1612" Type="http://schemas.openxmlformats.org/officeDocument/2006/relationships/hyperlink" Target="https://pubmed.ncbi.nlm.nih.gov/34213729" TargetMode="External"/><Relationship Id="rId2943" Type="http://schemas.openxmlformats.org/officeDocument/2006/relationships/hyperlink" Target="https://pubmed.ncbi.nlm.nih.gov/30631765" TargetMode="External"/><Relationship Id="rId1613" Type="http://schemas.openxmlformats.org/officeDocument/2006/relationships/hyperlink" Target="https://pubmed.ncbi.nlm.nih.gov/34215233" TargetMode="External"/><Relationship Id="rId2944" Type="http://schemas.openxmlformats.org/officeDocument/2006/relationships/hyperlink" Target="https://pubmed.ncbi.nlm.nih.gov/31165094" TargetMode="External"/><Relationship Id="rId1614" Type="http://schemas.openxmlformats.org/officeDocument/2006/relationships/hyperlink" Target="https://pubmed.ncbi.nlm.nih.gov/34414346" TargetMode="External"/><Relationship Id="rId2945" Type="http://schemas.openxmlformats.org/officeDocument/2006/relationships/hyperlink" Target="https://pubmed.ncbi.nlm.nih.gov/30541460" TargetMode="External"/><Relationship Id="rId1615" Type="http://schemas.openxmlformats.org/officeDocument/2006/relationships/hyperlink" Target="https://pubmed.ncbi.nlm.nih.gov/34223815" TargetMode="External"/><Relationship Id="rId2946" Type="http://schemas.openxmlformats.org/officeDocument/2006/relationships/hyperlink" Target="https://pubmed.ncbi.nlm.nih.gov/30544060" TargetMode="External"/><Relationship Id="rId1616" Type="http://schemas.openxmlformats.org/officeDocument/2006/relationships/hyperlink" Target="https://pubmed.ncbi.nlm.nih.gov/34210729" TargetMode="External"/><Relationship Id="rId2947" Type="http://schemas.openxmlformats.org/officeDocument/2006/relationships/hyperlink" Target="https://pubmed.ncbi.nlm.nih.gov/30872957" TargetMode="External"/><Relationship Id="rId907" Type="http://schemas.openxmlformats.org/officeDocument/2006/relationships/hyperlink" Target="https://pubmed.ncbi.nlm.nih.gov/35790419" TargetMode="External"/><Relationship Id="rId1617" Type="http://schemas.openxmlformats.org/officeDocument/2006/relationships/hyperlink" Target="https://pubmed.ncbi.nlm.nih.gov/33899807" TargetMode="External"/><Relationship Id="rId2948" Type="http://schemas.openxmlformats.org/officeDocument/2006/relationships/hyperlink" Target="https://pubmed.ncbi.nlm.nih.gov/30872955" TargetMode="External"/><Relationship Id="rId906" Type="http://schemas.openxmlformats.org/officeDocument/2006/relationships/hyperlink" Target="https://pubmed.ncbi.nlm.nih.gov/36240099" TargetMode="External"/><Relationship Id="rId1618" Type="http://schemas.openxmlformats.org/officeDocument/2006/relationships/hyperlink" Target="https://pubmed.ncbi.nlm.nih.gov/34217466" TargetMode="External"/><Relationship Id="rId2949" Type="http://schemas.openxmlformats.org/officeDocument/2006/relationships/hyperlink" Target="https://pubmed.ncbi.nlm.nih.gov/30646286" TargetMode="External"/><Relationship Id="rId905" Type="http://schemas.openxmlformats.org/officeDocument/2006/relationships/hyperlink" Target="https://pubmed.ncbi.nlm.nih.gov/36306550" TargetMode="External"/><Relationship Id="rId1619" Type="http://schemas.openxmlformats.org/officeDocument/2006/relationships/hyperlink" Target="https://pubmed.ncbi.nlm.nih.gov/34142870" TargetMode="External"/><Relationship Id="rId904" Type="http://schemas.openxmlformats.org/officeDocument/2006/relationships/hyperlink" Target="https://pubmed.ncbi.nlm.nih.gov/36444224" TargetMode="External"/><Relationship Id="rId909" Type="http://schemas.openxmlformats.org/officeDocument/2006/relationships/hyperlink" Target="https://pubmed.ncbi.nlm.nih.gov/36300451" TargetMode="External"/><Relationship Id="rId908" Type="http://schemas.openxmlformats.org/officeDocument/2006/relationships/hyperlink" Target="https://pubmed.ncbi.nlm.nih.gov/36256783" TargetMode="External"/><Relationship Id="rId903" Type="http://schemas.openxmlformats.org/officeDocument/2006/relationships/hyperlink" Target="https://pubmed.ncbi.nlm.nih.gov/36291880" TargetMode="External"/><Relationship Id="rId902" Type="http://schemas.openxmlformats.org/officeDocument/2006/relationships/hyperlink" Target="https://pubmed.ncbi.nlm.nih.gov/36112697" TargetMode="External"/><Relationship Id="rId901" Type="http://schemas.openxmlformats.org/officeDocument/2006/relationships/hyperlink" Target="https://pubmed.ncbi.nlm.nih.gov/34753892" TargetMode="External"/><Relationship Id="rId900" Type="http://schemas.openxmlformats.org/officeDocument/2006/relationships/hyperlink" Target="https://pubmed.ncbi.nlm.nih.gov/36273105" TargetMode="External"/><Relationship Id="rId2930" Type="http://schemas.openxmlformats.org/officeDocument/2006/relationships/hyperlink" Target="https://pubmed.ncbi.nlm.nih.gov/30582153" TargetMode="External"/><Relationship Id="rId1600" Type="http://schemas.openxmlformats.org/officeDocument/2006/relationships/hyperlink" Target="https://pubmed.ncbi.nlm.nih.gov/34244270" TargetMode="External"/><Relationship Id="rId2931" Type="http://schemas.openxmlformats.org/officeDocument/2006/relationships/hyperlink" Target="https://pubmed.ncbi.nlm.nih.gov/30577773" TargetMode="External"/><Relationship Id="rId1601" Type="http://schemas.openxmlformats.org/officeDocument/2006/relationships/hyperlink" Target="https://pubmed.ncbi.nlm.nih.gov/34240570" TargetMode="External"/><Relationship Id="rId2932" Type="http://schemas.openxmlformats.org/officeDocument/2006/relationships/hyperlink" Target="https://pubmed.ncbi.nlm.nih.gov/30582978" TargetMode="External"/><Relationship Id="rId1602" Type="http://schemas.openxmlformats.org/officeDocument/2006/relationships/hyperlink" Target="https://pubmed.ncbi.nlm.nih.gov/34240425" TargetMode="External"/><Relationship Id="rId2933" Type="http://schemas.openxmlformats.org/officeDocument/2006/relationships/hyperlink" Target="https://pubmed.ncbi.nlm.nih.gov/30480340" TargetMode="External"/><Relationship Id="rId1603" Type="http://schemas.openxmlformats.org/officeDocument/2006/relationships/hyperlink" Target="https://pubmed.ncbi.nlm.nih.gov/34245906" TargetMode="External"/><Relationship Id="rId2934" Type="http://schemas.openxmlformats.org/officeDocument/2006/relationships/hyperlink" Target="https://pubmed.ncbi.nlm.nih.gov/30576259" TargetMode="External"/><Relationship Id="rId1604" Type="http://schemas.openxmlformats.org/officeDocument/2006/relationships/hyperlink" Target="https://pubmed.ncbi.nlm.nih.gov/34228732" TargetMode="External"/><Relationship Id="rId2935" Type="http://schemas.openxmlformats.org/officeDocument/2006/relationships/hyperlink" Target="https://pubmed.ncbi.nlm.nih.gov/30638750" TargetMode="External"/><Relationship Id="rId1605" Type="http://schemas.openxmlformats.org/officeDocument/2006/relationships/hyperlink" Target="https://pubmed.ncbi.nlm.nih.gov/34356738" TargetMode="External"/><Relationship Id="rId2936" Type="http://schemas.openxmlformats.org/officeDocument/2006/relationships/hyperlink" Target="https://pubmed.ncbi.nlm.nih.gov/30631326" TargetMode="External"/><Relationship Id="rId1606" Type="http://schemas.openxmlformats.org/officeDocument/2006/relationships/hyperlink" Target="https://pubmed.ncbi.nlm.nih.gov/34226943" TargetMode="External"/><Relationship Id="rId2937" Type="http://schemas.openxmlformats.org/officeDocument/2006/relationships/hyperlink" Target="https://pubmed.ncbi.nlm.nih.gov/30566245" TargetMode="External"/><Relationship Id="rId1607" Type="http://schemas.openxmlformats.org/officeDocument/2006/relationships/hyperlink" Target="https://pubmed.ncbi.nlm.nih.gov/34290695" TargetMode="External"/><Relationship Id="rId2938" Type="http://schemas.openxmlformats.org/officeDocument/2006/relationships/hyperlink" Target="https://pubmed.ncbi.nlm.nih.gov/30563551" TargetMode="External"/><Relationship Id="rId1608" Type="http://schemas.openxmlformats.org/officeDocument/2006/relationships/hyperlink" Target="https://pubmed.ncbi.nlm.nih.gov/34233244" TargetMode="External"/><Relationship Id="rId2939" Type="http://schemas.openxmlformats.org/officeDocument/2006/relationships/hyperlink" Target="https://pubmed.ncbi.nlm.nih.gov/30559148" TargetMode="External"/><Relationship Id="rId1609" Type="http://schemas.openxmlformats.org/officeDocument/2006/relationships/hyperlink" Target="https://pubmed.ncbi.nlm.nih.gov/34217306" TargetMode="External"/><Relationship Id="rId1631" Type="http://schemas.openxmlformats.org/officeDocument/2006/relationships/hyperlink" Target="https://pubmed.ncbi.nlm.nih.gov/34181673" TargetMode="External"/><Relationship Id="rId2962" Type="http://schemas.openxmlformats.org/officeDocument/2006/relationships/hyperlink" Target="https://pubmed.ncbi.nlm.nih.gov/30107400" TargetMode="External"/><Relationship Id="rId1632" Type="http://schemas.openxmlformats.org/officeDocument/2006/relationships/hyperlink" Target="https://pubmed.ncbi.nlm.nih.gov/34146446" TargetMode="External"/><Relationship Id="rId2963" Type="http://schemas.openxmlformats.org/officeDocument/2006/relationships/hyperlink" Target="https://pubmed.ncbi.nlm.nih.gov/30498039" TargetMode="External"/><Relationship Id="rId1633" Type="http://schemas.openxmlformats.org/officeDocument/2006/relationships/hyperlink" Target="https://pubmed.ncbi.nlm.nih.gov/34229209" TargetMode="External"/><Relationship Id="rId2964" Type="http://schemas.openxmlformats.org/officeDocument/2006/relationships/hyperlink" Target="https://pubmed.ncbi.nlm.nih.gov/30485612" TargetMode="External"/><Relationship Id="rId1634" Type="http://schemas.openxmlformats.org/officeDocument/2006/relationships/hyperlink" Target="https://pubmed.ncbi.nlm.nih.gov/34285961" TargetMode="External"/><Relationship Id="rId2965" Type="http://schemas.openxmlformats.org/officeDocument/2006/relationships/hyperlink" Target="https://pubmed.ncbi.nlm.nih.gov/30486650" TargetMode="External"/><Relationship Id="rId1635" Type="http://schemas.openxmlformats.org/officeDocument/2006/relationships/hyperlink" Target="https://pubmed.ncbi.nlm.nih.gov/34169481" TargetMode="External"/><Relationship Id="rId2966" Type="http://schemas.openxmlformats.org/officeDocument/2006/relationships/hyperlink" Target="https://pubmed.ncbi.nlm.nih.gov/30485283" TargetMode="External"/><Relationship Id="rId1636" Type="http://schemas.openxmlformats.org/officeDocument/2006/relationships/hyperlink" Target="https://pubmed.ncbi.nlm.nih.gov/34172542" TargetMode="External"/><Relationship Id="rId2967" Type="http://schemas.openxmlformats.org/officeDocument/2006/relationships/hyperlink" Target="https://pubmed.ncbi.nlm.nih.gov/30347072" TargetMode="External"/><Relationship Id="rId1637" Type="http://schemas.openxmlformats.org/officeDocument/2006/relationships/hyperlink" Target="https://pubmed.ncbi.nlm.nih.gov/34162659" TargetMode="External"/><Relationship Id="rId2968" Type="http://schemas.openxmlformats.org/officeDocument/2006/relationships/hyperlink" Target="https://pubmed.ncbi.nlm.nih.gov/30482050" TargetMode="External"/><Relationship Id="rId1638" Type="http://schemas.openxmlformats.org/officeDocument/2006/relationships/hyperlink" Target="https://pubmed.ncbi.nlm.nih.gov/34158099" TargetMode="External"/><Relationship Id="rId2969" Type="http://schemas.openxmlformats.org/officeDocument/2006/relationships/hyperlink" Target="https://pubmed.ncbi.nlm.nih.gov/30478423" TargetMode="External"/><Relationship Id="rId929" Type="http://schemas.openxmlformats.org/officeDocument/2006/relationships/hyperlink" Target="https://pubmed.ncbi.nlm.nih.gov/36181890" TargetMode="External"/><Relationship Id="rId1639" Type="http://schemas.openxmlformats.org/officeDocument/2006/relationships/hyperlink" Target="https://pubmed.ncbi.nlm.nih.gov/35670618" TargetMode="External"/><Relationship Id="rId928" Type="http://schemas.openxmlformats.org/officeDocument/2006/relationships/hyperlink" Target="https://pubmed.ncbi.nlm.nih.gov/36180795" TargetMode="External"/><Relationship Id="rId927" Type="http://schemas.openxmlformats.org/officeDocument/2006/relationships/hyperlink" Target="https://pubmed.ncbi.nlm.nih.gov/36264578" TargetMode="External"/><Relationship Id="rId926" Type="http://schemas.openxmlformats.org/officeDocument/2006/relationships/hyperlink" Target="https://pubmed.ncbi.nlm.nih.gov/36102068" TargetMode="External"/><Relationship Id="rId921" Type="http://schemas.openxmlformats.org/officeDocument/2006/relationships/hyperlink" Target="https://pubmed.ncbi.nlm.nih.gov/36203202" TargetMode="External"/><Relationship Id="rId920" Type="http://schemas.openxmlformats.org/officeDocument/2006/relationships/hyperlink" Target="https://pubmed.ncbi.nlm.nih.gov/36426058" TargetMode="External"/><Relationship Id="rId925" Type="http://schemas.openxmlformats.org/officeDocument/2006/relationships/hyperlink" Target="https://pubmed.ncbi.nlm.nih.gov/35950949" TargetMode="External"/><Relationship Id="rId924" Type="http://schemas.openxmlformats.org/officeDocument/2006/relationships/hyperlink" Target="https://pubmed.ncbi.nlm.nih.gov/36220584" TargetMode="External"/><Relationship Id="rId923" Type="http://schemas.openxmlformats.org/officeDocument/2006/relationships/hyperlink" Target="https://pubmed.ncbi.nlm.nih.gov/36198462" TargetMode="External"/><Relationship Id="rId922" Type="http://schemas.openxmlformats.org/officeDocument/2006/relationships/hyperlink" Target="https://pubmed.ncbi.nlm.nih.gov/36247924" TargetMode="External"/><Relationship Id="rId2960" Type="http://schemas.openxmlformats.org/officeDocument/2006/relationships/hyperlink" Target="https://pubmed.ncbi.nlm.nih.gov/30566375" TargetMode="External"/><Relationship Id="rId1630" Type="http://schemas.openxmlformats.org/officeDocument/2006/relationships/hyperlink" Target="https://pubmed.ncbi.nlm.nih.gov/34183345" TargetMode="External"/><Relationship Id="rId2961" Type="http://schemas.openxmlformats.org/officeDocument/2006/relationships/hyperlink" Target="https://pubmed.ncbi.nlm.nih.gov/30872953" TargetMode="External"/><Relationship Id="rId1620" Type="http://schemas.openxmlformats.org/officeDocument/2006/relationships/hyperlink" Target="https://pubmed.ncbi.nlm.nih.gov/31268898" TargetMode="External"/><Relationship Id="rId2951" Type="http://schemas.openxmlformats.org/officeDocument/2006/relationships/hyperlink" Target="https://pubmed.ncbi.nlm.nih.gov/30568648" TargetMode="External"/><Relationship Id="rId1621" Type="http://schemas.openxmlformats.org/officeDocument/2006/relationships/hyperlink" Target="https://pubmed.ncbi.nlm.nih.gov/33161440" TargetMode="External"/><Relationship Id="rId2952" Type="http://schemas.openxmlformats.org/officeDocument/2006/relationships/hyperlink" Target="https://pubmed.ncbi.nlm.nih.gov/30872954" TargetMode="External"/><Relationship Id="rId1622" Type="http://schemas.openxmlformats.org/officeDocument/2006/relationships/hyperlink" Target="https://pubmed.ncbi.nlm.nih.gov/32857130" TargetMode="External"/><Relationship Id="rId2953" Type="http://schemas.openxmlformats.org/officeDocument/2006/relationships/hyperlink" Target="https://pubmed.ncbi.nlm.nih.gov/30570925" TargetMode="External"/><Relationship Id="rId1623" Type="http://schemas.openxmlformats.org/officeDocument/2006/relationships/hyperlink" Target="https://pubmed.ncbi.nlm.nih.gov/34214488" TargetMode="External"/><Relationship Id="rId2954" Type="http://schemas.openxmlformats.org/officeDocument/2006/relationships/hyperlink" Target="https://pubmed.ncbi.nlm.nih.gov/30517164" TargetMode="External"/><Relationship Id="rId1624" Type="http://schemas.openxmlformats.org/officeDocument/2006/relationships/hyperlink" Target="https://pubmed.ncbi.nlm.nih.gov/34197509" TargetMode="External"/><Relationship Id="rId2955" Type="http://schemas.openxmlformats.org/officeDocument/2006/relationships/hyperlink" Target="https://pubmed.ncbi.nlm.nih.gov/30570939" TargetMode="External"/><Relationship Id="rId1625" Type="http://schemas.openxmlformats.org/officeDocument/2006/relationships/hyperlink" Target="https://pubmed.ncbi.nlm.nih.gov/34187229" TargetMode="External"/><Relationship Id="rId2956" Type="http://schemas.openxmlformats.org/officeDocument/2006/relationships/hyperlink" Target="https://pubmed.ncbi.nlm.nih.gov/30510241" TargetMode="External"/><Relationship Id="rId1626" Type="http://schemas.openxmlformats.org/officeDocument/2006/relationships/hyperlink" Target="https://pubmed.ncbi.nlm.nih.gov/34217417" TargetMode="External"/><Relationship Id="rId2957" Type="http://schemas.openxmlformats.org/officeDocument/2006/relationships/hyperlink" Target="https://pubmed.ncbi.nlm.nih.gov/30390745" TargetMode="External"/><Relationship Id="rId1627" Type="http://schemas.openxmlformats.org/officeDocument/2006/relationships/hyperlink" Target="https://pubmed.ncbi.nlm.nih.gov/34277675" TargetMode="External"/><Relationship Id="rId2958" Type="http://schemas.openxmlformats.org/officeDocument/2006/relationships/hyperlink" Target="https://pubmed.ncbi.nlm.nih.gov/30407970" TargetMode="External"/><Relationship Id="rId918" Type="http://schemas.openxmlformats.org/officeDocument/2006/relationships/hyperlink" Target="https://pubmed.ncbi.nlm.nih.gov/36246772" TargetMode="External"/><Relationship Id="rId1628" Type="http://schemas.openxmlformats.org/officeDocument/2006/relationships/hyperlink" Target="https://pubmed.ncbi.nlm.nih.gov/34214614" TargetMode="External"/><Relationship Id="rId2959" Type="http://schemas.openxmlformats.org/officeDocument/2006/relationships/hyperlink" Target="https://pubmed.ncbi.nlm.nih.gov/30234663" TargetMode="External"/><Relationship Id="rId917" Type="http://schemas.openxmlformats.org/officeDocument/2006/relationships/hyperlink" Target="https://pubmed.ncbi.nlm.nih.gov/37811475" TargetMode="External"/><Relationship Id="rId1629" Type="http://schemas.openxmlformats.org/officeDocument/2006/relationships/hyperlink" Target="https://pubmed.ncbi.nlm.nih.gov/34214626" TargetMode="External"/><Relationship Id="rId916" Type="http://schemas.openxmlformats.org/officeDocument/2006/relationships/hyperlink" Target="https://pubmed.ncbi.nlm.nih.gov/36216908" TargetMode="External"/><Relationship Id="rId915" Type="http://schemas.openxmlformats.org/officeDocument/2006/relationships/hyperlink" Target="https://pubmed.ncbi.nlm.nih.gov/36300452" TargetMode="External"/><Relationship Id="rId919" Type="http://schemas.openxmlformats.org/officeDocument/2006/relationships/hyperlink" Target="https://pubmed.ncbi.nlm.nih.gov/36242541" TargetMode="External"/><Relationship Id="rId910" Type="http://schemas.openxmlformats.org/officeDocument/2006/relationships/hyperlink" Target="https://pubmed.ncbi.nlm.nih.gov/36250500" TargetMode="External"/><Relationship Id="rId914" Type="http://schemas.openxmlformats.org/officeDocument/2006/relationships/hyperlink" Target="https://pubmed.ncbi.nlm.nih.gov/36244228" TargetMode="External"/><Relationship Id="rId913" Type="http://schemas.openxmlformats.org/officeDocument/2006/relationships/hyperlink" Target="https://pubmed.ncbi.nlm.nih.gov/36243627" TargetMode="External"/><Relationship Id="rId912" Type="http://schemas.openxmlformats.org/officeDocument/2006/relationships/hyperlink" Target="https://pubmed.ncbi.nlm.nih.gov/36227801" TargetMode="External"/><Relationship Id="rId911" Type="http://schemas.openxmlformats.org/officeDocument/2006/relationships/hyperlink" Target="https://pubmed.ncbi.nlm.nih.gov/36239877" TargetMode="External"/><Relationship Id="rId2950" Type="http://schemas.openxmlformats.org/officeDocument/2006/relationships/hyperlink" Target="https://pubmed.ncbi.nlm.nih.gov/30520538" TargetMode="External"/><Relationship Id="rId2900" Type="http://schemas.openxmlformats.org/officeDocument/2006/relationships/hyperlink" Target="https://pubmed.ncbi.nlm.nih.gov/30674279" TargetMode="External"/><Relationship Id="rId2901" Type="http://schemas.openxmlformats.org/officeDocument/2006/relationships/hyperlink" Target="https://pubmed.ncbi.nlm.nih.gov/30678199" TargetMode="External"/><Relationship Id="rId2902" Type="http://schemas.openxmlformats.org/officeDocument/2006/relationships/hyperlink" Target="https://pubmed.ncbi.nlm.nih.gov/30657353" TargetMode="External"/><Relationship Id="rId2903" Type="http://schemas.openxmlformats.org/officeDocument/2006/relationships/hyperlink" Target="https://pubmed.ncbi.nlm.nih.gov/30609353" TargetMode="External"/><Relationship Id="rId2904" Type="http://schemas.openxmlformats.org/officeDocument/2006/relationships/hyperlink" Target="https://pubmed.ncbi.nlm.nih.gov/30782740" TargetMode="External"/><Relationship Id="rId2905" Type="http://schemas.openxmlformats.org/officeDocument/2006/relationships/hyperlink" Target="https://pubmed.ncbi.nlm.nih.gov/30648307" TargetMode="External"/><Relationship Id="rId2906" Type="http://schemas.openxmlformats.org/officeDocument/2006/relationships/hyperlink" Target="https://pubmed.ncbi.nlm.nih.gov/30645622" TargetMode="External"/><Relationship Id="rId2907" Type="http://schemas.openxmlformats.org/officeDocument/2006/relationships/hyperlink" Target="https://pubmed.ncbi.nlm.nih.gov/30561796" TargetMode="External"/><Relationship Id="rId2908" Type="http://schemas.openxmlformats.org/officeDocument/2006/relationships/hyperlink" Target="https://pubmed.ncbi.nlm.nih.gov/30625177" TargetMode="External"/><Relationship Id="rId2909" Type="http://schemas.openxmlformats.org/officeDocument/2006/relationships/hyperlink" Target="https://pubmed.ncbi.nlm.nih.gov/31187788" TargetMode="External"/><Relationship Id="rId5170" Type="http://schemas.openxmlformats.org/officeDocument/2006/relationships/hyperlink" Target="https://pubmed.ncbi.nlm.nih.gov/22568406" TargetMode="External"/><Relationship Id="rId5171" Type="http://schemas.openxmlformats.org/officeDocument/2006/relationships/hyperlink" Target="https://pubmed.ncbi.nlm.nih.gov/22649461" TargetMode="External"/><Relationship Id="rId5174" Type="http://schemas.openxmlformats.org/officeDocument/2006/relationships/hyperlink" Target="https://pubmed.ncbi.nlm.nih.gov/22547143" TargetMode="External"/><Relationship Id="rId5175" Type="http://schemas.openxmlformats.org/officeDocument/2006/relationships/hyperlink" Target="https://pubmed.ncbi.nlm.nih.gov/22542197" TargetMode="External"/><Relationship Id="rId5172" Type="http://schemas.openxmlformats.org/officeDocument/2006/relationships/hyperlink" Target="https://pubmed.ncbi.nlm.nih.gov/22611413" TargetMode="External"/><Relationship Id="rId5173" Type="http://schemas.openxmlformats.org/officeDocument/2006/relationships/hyperlink" Target="https://pubmed.ncbi.nlm.nih.gov/22452663" TargetMode="External"/><Relationship Id="rId5178" Type="http://schemas.openxmlformats.org/officeDocument/2006/relationships/hyperlink" Target="https://pubmed.ncbi.nlm.nih.gov/22515833" TargetMode="External"/><Relationship Id="rId5179" Type="http://schemas.openxmlformats.org/officeDocument/2006/relationships/hyperlink" Target="https://pubmed.ncbi.nlm.nih.gov/22520714" TargetMode="External"/><Relationship Id="rId5176" Type="http://schemas.openxmlformats.org/officeDocument/2006/relationships/hyperlink" Target="https://pubmed.ncbi.nlm.nih.gov/22530737" TargetMode="External"/><Relationship Id="rId5177" Type="http://schemas.openxmlformats.org/officeDocument/2006/relationships/hyperlink" Target="https://pubmed.ncbi.nlm.nih.gov/22533710" TargetMode="External"/><Relationship Id="rId5160" Type="http://schemas.openxmlformats.org/officeDocument/2006/relationships/hyperlink" Target="https://pubmed.ncbi.nlm.nih.gov/22647536" TargetMode="External"/><Relationship Id="rId5163" Type="http://schemas.openxmlformats.org/officeDocument/2006/relationships/hyperlink" Target="https://pubmed.ncbi.nlm.nih.gov/22647416" TargetMode="External"/><Relationship Id="rId5164" Type="http://schemas.openxmlformats.org/officeDocument/2006/relationships/hyperlink" Target="https://pubmed.ncbi.nlm.nih.gov/22640176" TargetMode="External"/><Relationship Id="rId5161" Type="http://schemas.openxmlformats.org/officeDocument/2006/relationships/hyperlink" Target="https://pubmed.ncbi.nlm.nih.gov/22648386" TargetMode="External"/><Relationship Id="rId5162" Type="http://schemas.openxmlformats.org/officeDocument/2006/relationships/hyperlink" Target="https://pubmed.ncbi.nlm.nih.gov/22644294" TargetMode="External"/><Relationship Id="rId5167" Type="http://schemas.openxmlformats.org/officeDocument/2006/relationships/hyperlink" Target="https://pubmed.ncbi.nlm.nih.gov/22607776" TargetMode="External"/><Relationship Id="rId5168" Type="http://schemas.openxmlformats.org/officeDocument/2006/relationships/hyperlink" Target="https://pubmed.ncbi.nlm.nih.gov/22623987" TargetMode="External"/><Relationship Id="rId5165" Type="http://schemas.openxmlformats.org/officeDocument/2006/relationships/hyperlink" Target="https://pubmed.ncbi.nlm.nih.gov/22639352" TargetMode="External"/><Relationship Id="rId5166" Type="http://schemas.openxmlformats.org/officeDocument/2006/relationships/hyperlink" Target="https://pubmed.ncbi.nlm.nih.gov/22629234" TargetMode="External"/><Relationship Id="rId5169" Type="http://schemas.openxmlformats.org/officeDocument/2006/relationships/hyperlink" Target="https://pubmed.ncbi.nlm.nih.gov/22618812" TargetMode="External"/><Relationship Id="rId2920" Type="http://schemas.openxmlformats.org/officeDocument/2006/relationships/hyperlink" Target="https://pubmed.ncbi.nlm.nih.gov/31594222" TargetMode="External"/><Relationship Id="rId2921" Type="http://schemas.openxmlformats.org/officeDocument/2006/relationships/hyperlink" Target="https://pubmed.ncbi.nlm.nih.gov/30670389" TargetMode="External"/><Relationship Id="rId2922" Type="http://schemas.openxmlformats.org/officeDocument/2006/relationships/hyperlink" Target="https://pubmed.ncbi.nlm.nih.gov/30582831" TargetMode="External"/><Relationship Id="rId2923" Type="http://schemas.openxmlformats.org/officeDocument/2006/relationships/hyperlink" Target="https://pubmed.ncbi.nlm.nih.gov/30664508" TargetMode="External"/><Relationship Id="rId2924" Type="http://schemas.openxmlformats.org/officeDocument/2006/relationships/hyperlink" Target="https://pubmed.ncbi.nlm.nih.gov/30596876" TargetMode="External"/><Relationship Id="rId2925" Type="http://schemas.openxmlformats.org/officeDocument/2006/relationships/hyperlink" Target="https://pubmed.ncbi.nlm.nih.gov/30596875" TargetMode="External"/><Relationship Id="rId2926" Type="http://schemas.openxmlformats.org/officeDocument/2006/relationships/hyperlink" Target="https://pubmed.ncbi.nlm.nih.gov/30932907" TargetMode="External"/><Relationship Id="rId2927" Type="http://schemas.openxmlformats.org/officeDocument/2006/relationships/hyperlink" Target="https://pubmed.ncbi.nlm.nih.gov/30571544" TargetMode="External"/><Relationship Id="rId2928" Type="http://schemas.openxmlformats.org/officeDocument/2006/relationships/hyperlink" Target="https://pubmed.ncbi.nlm.nih.gov/31197816" TargetMode="External"/><Relationship Id="rId2929" Type="http://schemas.openxmlformats.org/officeDocument/2006/relationships/hyperlink" Target="https://pubmed.ncbi.nlm.nih.gov/31686546" TargetMode="External"/><Relationship Id="rId5192" Type="http://schemas.openxmlformats.org/officeDocument/2006/relationships/hyperlink" Target="https://pubmed.ncbi.nlm.nih.gov/22427369" TargetMode="External"/><Relationship Id="rId5193" Type="http://schemas.openxmlformats.org/officeDocument/2006/relationships/hyperlink" Target="https://pubmed.ncbi.nlm.nih.gov/22422923" TargetMode="External"/><Relationship Id="rId5190" Type="http://schemas.openxmlformats.org/officeDocument/2006/relationships/hyperlink" Target="https://pubmed.ncbi.nlm.nih.gov/22442438" TargetMode="External"/><Relationship Id="rId5191" Type="http://schemas.openxmlformats.org/officeDocument/2006/relationships/hyperlink" Target="https://pubmed.ncbi.nlm.nih.gov/22434917" TargetMode="External"/><Relationship Id="rId5196" Type="http://schemas.openxmlformats.org/officeDocument/2006/relationships/hyperlink" Target="https://pubmed.ncbi.nlm.nih.gov/22407858" TargetMode="External"/><Relationship Id="rId5197" Type="http://schemas.openxmlformats.org/officeDocument/2006/relationships/hyperlink" Target="https://pubmed.ncbi.nlm.nih.gov/22397945" TargetMode="External"/><Relationship Id="rId5194" Type="http://schemas.openxmlformats.org/officeDocument/2006/relationships/hyperlink" Target="https://pubmed.ncbi.nlm.nih.gov/22420582" TargetMode="External"/><Relationship Id="rId5195" Type="http://schemas.openxmlformats.org/officeDocument/2006/relationships/hyperlink" Target="https://pubmed.ncbi.nlm.nih.gov/22440643" TargetMode="External"/><Relationship Id="rId5198" Type="http://schemas.openxmlformats.org/officeDocument/2006/relationships/hyperlink" Target="https://pubmed.ncbi.nlm.nih.gov/22397946" TargetMode="External"/><Relationship Id="rId5199" Type="http://schemas.openxmlformats.org/officeDocument/2006/relationships/hyperlink" Target="https://pubmed.ncbi.nlm.nih.gov/22402208" TargetMode="External"/><Relationship Id="rId2910" Type="http://schemas.openxmlformats.org/officeDocument/2006/relationships/hyperlink" Target="https://pubmed.ncbi.nlm.nih.gov/30620772" TargetMode="External"/><Relationship Id="rId2911" Type="http://schemas.openxmlformats.org/officeDocument/2006/relationships/hyperlink" Target="https://pubmed.ncbi.nlm.nih.gov/30565381" TargetMode="External"/><Relationship Id="rId2912" Type="http://schemas.openxmlformats.org/officeDocument/2006/relationships/hyperlink" Target="https://pubmed.ncbi.nlm.nih.gov/30612559" TargetMode="External"/><Relationship Id="rId2913" Type="http://schemas.openxmlformats.org/officeDocument/2006/relationships/hyperlink" Target="https://pubmed.ncbi.nlm.nih.gov/30617275" TargetMode="External"/><Relationship Id="rId2914" Type="http://schemas.openxmlformats.org/officeDocument/2006/relationships/hyperlink" Target="https://pubmed.ncbi.nlm.nih.gov/30618162" TargetMode="External"/><Relationship Id="rId2915" Type="http://schemas.openxmlformats.org/officeDocument/2006/relationships/hyperlink" Target="https://pubmed.ncbi.nlm.nih.gov/30614028" TargetMode="External"/><Relationship Id="rId2916" Type="http://schemas.openxmlformats.org/officeDocument/2006/relationships/hyperlink" Target="https://pubmed.ncbi.nlm.nih.gov/30606817" TargetMode="External"/><Relationship Id="rId2917" Type="http://schemas.openxmlformats.org/officeDocument/2006/relationships/hyperlink" Target="https://pubmed.ncbi.nlm.nih.gov/30622451" TargetMode="External"/><Relationship Id="rId2918" Type="http://schemas.openxmlformats.org/officeDocument/2006/relationships/hyperlink" Target="https://pubmed.ncbi.nlm.nih.gov/30531572" TargetMode="External"/><Relationship Id="rId2919" Type="http://schemas.openxmlformats.org/officeDocument/2006/relationships/hyperlink" Target="https://pubmed.ncbi.nlm.nih.gov/30285243" TargetMode="External"/><Relationship Id="rId5181" Type="http://schemas.openxmlformats.org/officeDocument/2006/relationships/hyperlink" Target="https://pubmed.ncbi.nlm.nih.gov/22491330" TargetMode="External"/><Relationship Id="rId5182" Type="http://schemas.openxmlformats.org/officeDocument/2006/relationships/hyperlink" Target="https://pubmed.ncbi.nlm.nih.gov/22483419" TargetMode="External"/><Relationship Id="rId5180" Type="http://schemas.openxmlformats.org/officeDocument/2006/relationships/hyperlink" Target="https://pubmed.ncbi.nlm.nih.gov/22527065" TargetMode="External"/><Relationship Id="rId5185" Type="http://schemas.openxmlformats.org/officeDocument/2006/relationships/hyperlink" Target="https://pubmed.ncbi.nlm.nih.gov/22530226" TargetMode="External"/><Relationship Id="rId5186" Type="http://schemas.openxmlformats.org/officeDocument/2006/relationships/hyperlink" Target="https://pubmed.ncbi.nlm.nih.gov/22462749" TargetMode="External"/><Relationship Id="rId5183" Type="http://schemas.openxmlformats.org/officeDocument/2006/relationships/hyperlink" Target="https://pubmed.ncbi.nlm.nih.gov/22465994" TargetMode="External"/><Relationship Id="rId5184" Type="http://schemas.openxmlformats.org/officeDocument/2006/relationships/hyperlink" Target="https://pubmed.ncbi.nlm.nih.gov/22516582" TargetMode="External"/><Relationship Id="rId5189" Type="http://schemas.openxmlformats.org/officeDocument/2006/relationships/hyperlink" Target="https://pubmed.ncbi.nlm.nih.gov/22440851" TargetMode="External"/><Relationship Id="rId5187" Type="http://schemas.openxmlformats.org/officeDocument/2006/relationships/hyperlink" Target="https://pubmed.ncbi.nlm.nih.gov/22453192" TargetMode="External"/><Relationship Id="rId5188" Type="http://schemas.openxmlformats.org/officeDocument/2006/relationships/hyperlink" Target="https://pubmed.ncbi.nlm.nih.gov/22459429" TargetMode="External"/><Relationship Id="rId1697" Type="http://schemas.openxmlformats.org/officeDocument/2006/relationships/hyperlink" Target="https://pubmed.ncbi.nlm.nih.gov/33975005" TargetMode="External"/><Relationship Id="rId1698" Type="http://schemas.openxmlformats.org/officeDocument/2006/relationships/hyperlink" Target="https://pubmed.ncbi.nlm.nih.gov/33564834" TargetMode="External"/><Relationship Id="rId1699" Type="http://schemas.openxmlformats.org/officeDocument/2006/relationships/hyperlink" Target="https://pubmed.ncbi.nlm.nih.gov/33964950" TargetMode="External"/><Relationship Id="rId866" Type="http://schemas.openxmlformats.org/officeDocument/2006/relationships/hyperlink" Target="https://pubmed.ncbi.nlm.nih.gov/36402924" TargetMode="External"/><Relationship Id="rId865" Type="http://schemas.openxmlformats.org/officeDocument/2006/relationships/hyperlink" Target="https://pubmed.ncbi.nlm.nih.gov/36403008" TargetMode="External"/><Relationship Id="rId864" Type="http://schemas.openxmlformats.org/officeDocument/2006/relationships/hyperlink" Target="https://pubmed.ncbi.nlm.nih.gov/36373887" TargetMode="External"/><Relationship Id="rId863" Type="http://schemas.openxmlformats.org/officeDocument/2006/relationships/hyperlink" Target="https://pubmed.ncbi.nlm.nih.gov/36410945" TargetMode="External"/><Relationship Id="rId869" Type="http://schemas.openxmlformats.org/officeDocument/2006/relationships/hyperlink" Target="https://pubmed.ncbi.nlm.nih.gov/36423561" TargetMode="External"/><Relationship Id="rId868" Type="http://schemas.openxmlformats.org/officeDocument/2006/relationships/hyperlink" Target="https://pubmed.ncbi.nlm.nih.gov/36394900" TargetMode="External"/><Relationship Id="rId867" Type="http://schemas.openxmlformats.org/officeDocument/2006/relationships/hyperlink" Target="https://pubmed.ncbi.nlm.nih.gov/36463593" TargetMode="External"/><Relationship Id="rId1690" Type="http://schemas.openxmlformats.org/officeDocument/2006/relationships/hyperlink" Target="https://pubmed.ncbi.nlm.nih.gov/34373848" TargetMode="External"/><Relationship Id="rId1691" Type="http://schemas.openxmlformats.org/officeDocument/2006/relationships/hyperlink" Target="https://pubmed.ncbi.nlm.nih.gov/33694365" TargetMode="External"/><Relationship Id="rId1692" Type="http://schemas.openxmlformats.org/officeDocument/2006/relationships/hyperlink" Target="https://pubmed.ncbi.nlm.nih.gov/33975667" TargetMode="External"/><Relationship Id="rId862" Type="http://schemas.openxmlformats.org/officeDocument/2006/relationships/hyperlink" Target="https://pubmed.ncbi.nlm.nih.gov/36633029" TargetMode="External"/><Relationship Id="rId1693" Type="http://schemas.openxmlformats.org/officeDocument/2006/relationships/hyperlink" Target="https://pubmed.ncbi.nlm.nih.gov/33973745" TargetMode="External"/><Relationship Id="rId861" Type="http://schemas.openxmlformats.org/officeDocument/2006/relationships/hyperlink" Target="https://pubmed.ncbi.nlm.nih.gov/36414617" TargetMode="External"/><Relationship Id="rId1694" Type="http://schemas.openxmlformats.org/officeDocument/2006/relationships/hyperlink" Target="https://pubmed.ncbi.nlm.nih.gov/34016497" TargetMode="External"/><Relationship Id="rId860" Type="http://schemas.openxmlformats.org/officeDocument/2006/relationships/hyperlink" Target="https://pubmed.ncbi.nlm.nih.gov/36506571" TargetMode="External"/><Relationship Id="rId1695" Type="http://schemas.openxmlformats.org/officeDocument/2006/relationships/hyperlink" Target="https://pubmed.ncbi.nlm.nih.gov/33899305" TargetMode="External"/><Relationship Id="rId1696" Type="http://schemas.openxmlformats.org/officeDocument/2006/relationships/hyperlink" Target="https://pubmed.ncbi.nlm.nih.gov/33657653" TargetMode="External"/><Relationship Id="rId1686" Type="http://schemas.openxmlformats.org/officeDocument/2006/relationships/hyperlink" Target="https://pubmed.ncbi.nlm.nih.gov/35146471" TargetMode="External"/><Relationship Id="rId1687" Type="http://schemas.openxmlformats.org/officeDocument/2006/relationships/hyperlink" Target="https://pubmed.ncbi.nlm.nih.gov/34067735" TargetMode="External"/><Relationship Id="rId1688" Type="http://schemas.openxmlformats.org/officeDocument/2006/relationships/hyperlink" Target="https://pubmed.ncbi.nlm.nih.gov/34052572" TargetMode="External"/><Relationship Id="rId1689" Type="http://schemas.openxmlformats.org/officeDocument/2006/relationships/hyperlink" Target="https://pubmed.ncbi.nlm.nih.gov/34000406" TargetMode="External"/><Relationship Id="rId855" Type="http://schemas.openxmlformats.org/officeDocument/2006/relationships/hyperlink" Target="https://pubmed.ncbi.nlm.nih.gov/36506589" TargetMode="External"/><Relationship Id="rId854" Type="http://schemas.openxmlformats.org/officeDocument/2006/relationships/hyperlink" Target="https://pubmed.ncbi.nlm.nih.gov/36443771" TargetMode="External"/><Relationship Id="rId853" Type="http://schemas.openxmlformats.org/officeDocument/2006/relationships/hyperlink" Target="https://pubmed.ncbi.nlm.nih.gov/36497962" TargetMode="External"/><Relationship Id="rId852" Type="http://schemas.openxmlformats.org/officeDocument/2006/relationships/hyperlink" Target="https://pubmed.ncbi.nlm.nih.gov/36446774" TargetMode="External"/><Relationship Id="rId859" Type="http://schemas.openxmlformats.org/officeDocument/2006/relationships/hyperlink" Target="https://pubmed.ncbi.nlm.nih.gov/36504666" TargetMode="External"/><Relationship Id="rId858" Type="http://schemas.openxmlformats.org/officeDocument/2006/relationships/hyperlink" Target="https://pubmed.ncbi.nlm.nih.gov/36420885" TargetMode="External"/><Relationship Id="rId857" Type="http://schemas.openxmlformats.org/officeDocument/2006/relationships/hyperlink" Target="https://pubmed.ncbi.nlm.nih.gov/36466184" TargetMode="External"/><Relationship Id="rId856" Type="http://schemas.openxmlformats.org/officeDocument/2006/relationships/hyperlink" Target="https://pubmed.ncbi.nlm.nih.gov/36436815" TargetMode="External"/><Relationship Id="rId1680" Type="http://schemas.openxmlformats.org/officeDocument/2006/relationships/hyperlink" Target="https://pubmed.ncbi.nlm.nih.gov/33942448" TargetMode="External"/><Relationship Id="rId1681" Type="http://schemas.openxmlformats.org/officeDocument/2006/relationships/hyperlink" Target="https://pubmed.ncbi.nlm.nih.gov/34043962" TargetMode="External"/><Relationship Id="rId851" Type="http://schemas.openxmlformats.org/officeDocument/2006/relationships/hyperlink" Target="https://pubmed.ncbi.nlm.nih.gov/36516478" TargetMode="External"/><Relationship Id="rId1682" Type="http://schemas.openxmlformats.org/officeDocument/2006/relationships/hyperlink" Target="https://pubmed.ncbi.nlm.nih.gov/34021840" TargetMode="External"/><Relationship Id="rId850" Type="http://schemas.openxmlformats.org/officeDocument/2006/relationships/hyperlink" Target="https://pubmed.ncbi.nlm.nih.gov/36346099" TargetMode="External"/><Relationship Id="rId1683" Type="http://schemas.openxmlformats.org/officeDocument/2006/relationships/hyperlink" Target="https://pubmed.ncbi.nlm.nih.gov/34010530" TargetMode="External"/><Relationship Id="rId1684" Type="http://schemas.openxmlformats.org/officeDocument/2006/relationships/hyperlink" Target="https://pubmed.ncbi.nlm.nih.gov/34006267" TargetMode="External"/><Relationship Id="rId1685" Type="http://schemas.openxmlformats.org/officeDocument/2006/relationships/hyperlink" Target="https://pubmed.ncbi.nlm.nih.gov/34079917" TargetMode="External"/><Relationship Id="rId888" Type="http://schemas.openxmlformats.org/officeDocument/2006/relationships/hyperlink" Target="https://pubmed.ncbi.nlm.nih.gov/36323473" TargetMode="External"/><Relationship Id="rId887" Type="http://schemas.openxmlformats.org/officeDocument/2006/relationships/hyperlink" Target="https://pubmed.ncbi.nlm.nih.gov/36336237" TargetMode="External"/><Relationship Id="rId886" Type="http://schemas.openxmlformats.org/officeDocument/2006/relationships/hyperlink" Target="https://pubmed.ncbi.nlm.nih.gov/36333803" TargetMode="External"/><Relationship Id="rId885" Type="http://schemas.openxmlformats.org/officeDocument/2006/relationships/hyperlink" Target="https://pubmed.ncbi.nlm.nih.gov/36347992" TargetMode="External"/><Relationship Id="rId889" Type="http://schemas.openxmlformats.org/officeDocument/2006/relationships/hyperlink" Target="https://pubmed.ncbi.nlm.nih.gov/36330172" TargetMode="External"/><Relationship Id="rId880" Type="http://schemas.openxmlformats.org/officeDocument/2006/relationships/hyperlink" Target="https://pubmed.ncbi.nlm.nih.gov/36440321" TargetMode="External"/><Relationship Id="rId884" Type="http://schemas.openxmlformats.org/officeDocument/2006/relationships/hyperlink" Target="https://pubmed.ncbi.nlm.nih.gov/36459951" TargetMode="External"/><Relationship Id="rId883" Type="http://schemas.openxmlformats.org/officeDocument/2006/relationships/hyperlink" Target="https://pubmed.ncbi.nlm.nih.gov/36476518" TargetMode="External"/><Relationship Id="rId882" Type="http://schemas.openxmlformats.org/officeDocument/2006/relationships/hyperlink" Target="https://pubmed.ncbi.nlm.nih.gov/36351658" TargetMode="External"/><Relationship Id="rId881" Type="http://schemas.openxmlformats.org/officeDocument/2006/relationships/hyperlink" Target="https://pubmed.ncbi.nlm.nih.gov/36349728" TargetMode="External"/><Relationship Id="rId877" Type="http://schemas.openxmlformats.org/officeDocument/2006/relationships/hyperlink" Target="https://pubmed.ncbi.nlm.nih.gov/36371302" TargetMode="External"/><Relationship Id="rId876" Type="http://schemas.openxmlformats.org/officeDocument/2006/relationships/hyperlink" Target="https://pubmed.ncbi.nlm.nih.gov/36379267" TargetMode="External"/><Relationship Id="rId875" Type="http://schemas.openxmlformats.org/officeDocument/2006/relationships/hyperlink" Target="https://pubmed.ncbi.nlm.nih.gov/36379401" TargetMode="External"/><Relationship Id="rId874" Type="http://schemas.openxmlformats.org/officeDocument/2006/relationships/hyperlink" Target="https://pubmed.ncbi.nlm.nih.gov/36421195" TargetMode="External"/><Relationship Id="rId879" Type="http://schemas.openxmlformats.org/officeDocument/2006/relationships/hyperlink" Target="https://pubmed.ncbi.nlm.nih.gov/36355270" TargetMode="External"/><Relationship Id="rId878" Type="http://schemas.openxmlformats.org/officeDocument/2006/relationships/hyperlink" Target="https://pubmed.ncbi.nlm.nih.gov/36372132" TargetMode="External"/><Relationship Id="rId873" Type="http://schemas.openxmlformats.org/officeDocument/2006/relationships/hyperlink" Target="https://pubmed.ncbi.nlm.nih.gov/36200133" TargetMode="External"/><Relationship Id="rId872" Type="http://schemas.openxmlformats.org/officeDocument/2006/relationships/hyperlink" Target="https://pubmed.ncbi.nlm.nih.gov/36378671" TargetMode="External"/><Relationship Id="rId871" Type="http://schemas.openxmlformats.org/officeDocument/2006/relationships/hyperlink" Target="https://pubmed.ncbi.nlm.nih.gov/36479421" TargetMode="External"/><Relationship Id="rId870" Type="http://schemas.openxmlformats.org/officeDocument/2006/relationships/hyperlink" Target="https://pubmed.ncbi.nlm.nih.gov/36397027" TargetMode="External"/><Relationship Id="rId1653" Type="http://schemas.openxmlformats.org/officeDocument/2006/relationships/hyperlink" Target="https://pubmed.ncbi.nlm.nih.gov/34194384" TargetMode="External"/><Relationship Id="rId2984" Type="http://schemas.openxmlformats.org/officeDocument/2006/relationships/hyperlink" Target="https://pubmed.ncbi.nlm.nih.gov/30468613" TargetMode="External"/><Relationship Id="rId1654" Type="http://schemas.openxmlformats.org/officeDocument/2006/relationships/hyperlink" Target="https://pubmed.ncbi.nlm.nih.gov/34127529" TargetMode="External"/><Relationship Id="rId2985" Type="http://schemas.openxmlformats.org/officeDocument/2006/relationships/hyperlink" Target="https://pubmed.ncbi.nlm.nih.gov/30404679" TargetMode="External"/><Relationship Id="rId1655" Type="http://schemas.openxmlformats.org/officeDocument/2006/relationships/hyperlink" Target="https://pubmed.ncbi.nlm.nih.gov/34118175" TargetMode="External"/><Relationship Id="rId2986" Type="http://schemas.openxmlformats.org/officeDocument/2006/relationships/hyperlink" Target="https://pubmed.ncbi.nlm.nih.gov/30880822" TargetMode="External"/><Relationship Id="rId1656" Type="http://schemas.openxmlformats.org/officeDocument/2006/relationships/hyperlink" Target="https://pubmed.ncbi.nlm.nih.gov/34117023" TargetMode="External"/><Relationship Id="rId2987" Type="http://schemas.openxmlformats.org/officeDocument/2006/relationships/hyperlink" Target="https://pubmed.ncbi.nlm.nih.gov/30408079" TargetMode="External"/><Relationship Id="rId1657" Type="http://schemas.openxmlformats.org/officeDocument/2006/relationships/hyperlink" Target="https://pubmed.ncbi.nlm.nih.gov/34117263" TargetMode="External"/><Relationship Id="rId2988" Type="http://schemas.openxmlformats.org/officeDocument/2006/relationships/hyperlink" Target="https://pubmed.ncbi.nlm.nih.gov/30510891" TargetMode="External"/><Relationship Id="rId1658" Type="http://schemas.openxmlformats.org/officeDocument/2006/relationships/hyperlink" Target="https://pubmed.ncbi.nlm.nih.gov/34112101" TargetMode="External"/><Relationship Id="rId2989" Type="http://schemas.openxmlformats.org/officeDocument/2006/relationships/hyperlink" Target="https://pubmed.ncbi.nlm.nih.gov/30400905" TargetMode="External"/><Relationship Id="rId1659" Type="http://schemas.openxmlformats.org/officeDocument/2006/relationships/hyperlink" Target="https://pubmed.ncbi.nlm.nih.gov/34110439" TargetMode="External"/><Relationship Id="rId829" Type="http://schemas.openxmlformats.org/officeDocument/2006/relationships/hyperlink" Target="https://pubmed.ncbi.nlm.nih.gov/36471036" TargetMode="External"/><Relationship Id="rId828" Type="http://schemas.openxmlformats.org/officeDocument/2006/relationships/hyperlink" Target="https://pubmed.ncbi.nlm.nih.gov/36564280" TargetMode="External"/><Relationship Id="rId827" Type="http://schemas.openxmlformats.org/officeDocument/2006/relationships/hyperlink" Target="https://pubmed.ncbi.nlm.nih.gov/36938080" TargetMode="External"/><Relationship Id="rId822" Type="http://schemas.openxmlformats.org/officeDocument/2006/relationships/hyperlink" Target="https://pubmed.ncbi.nlm.nih.gov/37484062" TargetMode="External"/><Relationship Id="rId821" Type="http://schemas.openxmlformats.org/officeDocument/2006/relationships/hyperlink" Target="https://pubmed.ncbi.nlm.nih.gov/36369901" TargetMode="External"/><Relationship Id="rId820" Type="http://schemas.openxmlformats.org/officeDocument/2006/relationships/hyperlink" Target="https://pubmed.ncbi.nlm.nih.gov/36560542" TargetMode="External"/><Relationship Id="rId826" Type="http://schemas.openxmlformats.org/officeDocument/2006/relationships/hyperlink" Target="https://pubmed.ncbi.nlm.nih.gov/36477684" TargetMode="External"/><Relationship Id="rId825" Type="http://schemas.openxmlformats.org/officeDocument/2006/relationships/hyperlink" Target="https://pubmed.ncbi.nlm.nih.gov/36477031" TargetMode="External"/><Relationship Id="rId824" Type="http://schemas.openxmlformats.org/officeDocument/2006/relationships/hyperlink" Target="https://pubmed.ncbi.nlm.nih.gov/36552633" TargetMode="External"/><Relationship Id="rId823" Type="http://schemas.openxmlformats.org/officeDocument/2006/relationships/hyperlink" Target="https://pubmed.ncbi.nlm.nih.gov/36509217" TargetMode="External"/><Relationship Id="rId2980" Type="http://schemas.openxmlformats.org/officeDocument/2006/relationships/hyperlink" Target="https://pubmed.ncbi.nlm.nih.gov/30427882" TargetMode="External"/><Relationship Id="rId1650" Type="http://schemas.openxmlformats.org/officeDocument/2006/relationships/hyperlink" Target="https://pubmed.ncbi.nlm.nih.gov/33465019" TargetMode="External"/><Relationship Id="rId2981" Type="http://schemas.openxmlformats.org/officeDocument/2006/relationships/hyperlink" Target="https://pubmed.ncbi.nlm.nih.gov/30379687" TargetMode="External"/><Relationship Id="rId1651" Type="http://schemas.openxmlformats.org/officeDocument/2006/relationships/hyperlink" Target="https://pubmed.ncbi.nlm.nih.gov/34195238" TargetMode="External"/><Relationship Id="rId2982" Type="http://schemas.openxmlformats.org/officeDocument/2006/relationships/hyperlink" Target="https://pubmed.ncbi.nlm.nih.gov/30424737" TargetMode="External"/><Relationship Id="rId1652" Type="http://schemas.openxmlformats.org/officeDocument/2006/relationships/hyperlink" Target="https://pubmed.ncbi.nlm.nih.gov/34121365" TargetMode="External"/><Relationship Id="rId2983" Type="http://schemas.openxmlformats.org/officeDocument/2006/relationships/hyperlink" Target="https://pubmed.ncbi.nlm.nih.gov/30419965" TargetMode="External"/><Relationship Id="rId1642" Type="http://schemas.openxmlformats.org/officeDocument/2006/relationships/hyperlink" Target="https://pubmed.ncbi.nlm.nih.gov/34182300" TargetMode="External"/><Relationship Id="rId2973" Type="http://schemas.openxmlformats.org/officeDocument/2006/relationships/hyperlink" Target="https://pubmed.ncbi.nlm.nih.gov/30517793" TargetMode="External"/><Relationship Id="rId1643" Type="http://schemas.openxmlformats.org/officeDocument/2006/relationships/hyperlink" Target="https://pubmed.ncbi.nlm.nih.gov/34143535" TargetMode="External"/><Relationship Id="rId2974" Type="http://schemas.openxmlformats.org/officeDocument/2006/relationships/hyperlink" Target="https://pubmed.ncbi.nlm.nih.gov/30471947" TargetMode="External"/><Relationship Id="rId1644" Type="http://schemas.openxmlformats.org/officeDocument/2006/relationships/hyperlink" Target="https://pubmed.ncbi.nlm.nih.gov/34144676" TargetMode="External"/><Relationship Id="rId2975" Type="http://schemas.openxmlformats.org/officeDocument/2006/relationships/hyperlink" Target="https://pubmed.ncbi.nlm.nih.gov/30504077" TargetMode="External"/><Relationship Id="rId1645" Type="http://schemas.openxmlformats.org/officeDocument/2006/relationships/hyperlink" Target="https://pubmed.ncbi.nlm.nih.gov/34311414" TargetMode="External"/><Relationship Id="rId2976" Type="http://schemas.openxmlformats.org/officeDocument/2006/relationships/hyperlink" Target="https://pubmed.ncbi.nlm.nih.gov/30453989" TargetMode="External"/><Relationship Id="rId1646" Type="http://schemas.openxmlformats.org/officeDocument/2006/relationships/hyperlink" Target="https://pubmed.ncbi.nlm.nih.gov/34622145" TargetMode="External"/><Relationship Id="rId2977" Type="http://schemas.openxmlformats.org/officeDocument/2006/relationships/hyperlink" Target="https://pubmed.ncbi.nlm.nih.gov/30458261" TargetMode="External"/><Relationship Id="rId1647" Type="http://schemas.openxmlformats.org/officeDocument/2006/relationships/hyperlink" Target="https://pubmed.ncbi.nlm.nih.gov/34135335" TargetMode="External"/><Relationship Id="rId2978" Type="http://schemas.openxmlformats.org/officeDocument/2006/relationships/hyperlink" Target="https://pubmed.ncbi.nlm.nih.gov/30442206" TargetMode="External"/><Relationship Id="rId1648" Type="http://schemas.openxmlformats.org/officeDocument/2006/relationships/hyperlink" Target="https://pubmed.ncbi.nlm.nih.gov/34134731" TargetMode="External"/><Relationship Id="rId2979" Type="http://schemas.openxmlformats.org/officeDocument/2006/relationships/hyperlink" Target="https://pubmed.ncbi.nlm.nih.gov/30440047" TargetMode="External"/><Relationship Id="rId1649" Type="http://schemas.openxmlformats.org/officeDocument/2006/relationships/hyperlink" Target="https://pubmed.ncbi.nlm.nih.gov/34134701" TargetMode="External"/><Relationship Id="rId819" Type="http://schemas.openxmlformats.org/officeDocument/2006/relationships/hyperlink" Target="https://pubmed.ncbi.nlm.nih.gov/36509935" TargetMode="External"/><Relationship Id="rId818" Type="http://schemas.openxmlformats.org/officeDocument/2006/relationships/hyperlink" Target="https://pubmed.ncbi.nlm.nih.gov/36515362" TargetMode="External"/><Relationship Id="rId817" Type="http://schemas.openxmlformats.org/officeDocument/2006/relationships/hyperlink" Target="https://pubmed.ncbi.nlm.nih.gov/36718286" TargetMode="External"/><Relationship Id="rId816" Type="http://schemas.openxmlformats.org/officeDocument/2006/relationships/hyperlink" Target="https://pubmed.ncbi.nlm.nih.gov/36525834" TargetMode="External"/><Relationship Id="rId811" Type="http://schemas.openxmlformats.org/officeDocument/2006/relationships/hyperlink" Target="https://pubmed.ncbi.nlm.nih.gov/36417423" TargetMode="External"/><Relationship Id="rId810" Type="http://schemas.openxmlformats.org/officeDocument/2006/relationships/hyperlink" Target="https://pubmed.ncbi.nlm.nih.gov/36575741" TargetMode="External"/><Relationship Id="rId815" Type="http://schemas.openxmlformats.org/officeDocument/2006/relationships/hyperlink" Target="https://pubmed.ncbi.nlm.nih.gov/36528232" TargetMode="External"/><Relationship Id="rId814" Type="http://schemas.openxmlformats.org/officeDocument/2006/relationships/hyperlink" Target="https://pubmed.ncbi.nlm.nih.gov/36565574" TargetMode="External"/><Relationship Id="rId813" Type="http://schemas.openxmlformats.org/officeDocument/2006/relationships/hyperlink" Target="https://pubmed.ncbi.nlm.nih.gov/36529438" TargetMode="External"/><Relationship Id="rId812" Type="http://schemas.openxmlformats.org/officeDocument/2006/relationships/hyperlink" Target="https://pubmed.ncbi.nlm.nih.gov/36590209" TargetMode="External"/><Relationship Id="rId2970" Type="http://schemas.openxmlformats.org/officeDocument/2006/relationships/hyperlink" Target="https://pubmed.ncbi.nlm.nih.gov/30473202" TargetMode="External"/><Relationship Id="rId1640" Type="http://schemas.openxmlformats.org/officeDocument/2006/relationships/hyperlink" Target="https://pubmed.ncbi.nlm.nih.gov/34148116" TargetMode="External"/><Relationship Id="rId2971" Type="http://schemas.openxmlformats.org/officeDocument/2006/relationships/hyperlink" Target="https://pubmed.ncbi.nlm.nih.gov/30472426" TargetMode="External"/><Relationship Id="rId1641" Type="http://schemas.openxmlformats.org/officeDocument/2006/relationships/hyperlink" Target="https://pubmed.ncbi.nlm.nih.gov/34148186" TargetMode="External"/><Relationship Id="rId2972" Type="http://schemas.openxmlformats.org/officeDocument/2006/relationships/hyperlink" Target="https://pubmed.ncbi.nlm.nih.gov/30517796" TargetMode="External"/><Relationship Id="rId1675" Type="http://schemas.openxmlformats.org/officeDocument/2006/relationships/hyperlink" Target="https://pubmed.ncbi.nlm.nih.gov/34045364" TargetMode="External"/><Relationship Id="rId1676" Type="http://schemas.openxmlformats.org/officeDocument/2006/relationships/hyperlink" Target="https://pubmed.ncbi.nlm.nih.gov/34211825" TargetMode="External"/><Relationship Id="rId1677" Type="http://schemas.openxmlformats.org/officeDocument/2006/relationships/hyperlink" Target="https://pubmed.ncbi.nlm.nih.gov/34171518" TargetMode="External"/><Relationship Id="rId1678" Type="http://schemas.openxmlformats.org/officeDocument/2006/relationships/hyperlink" Target="https://pubmed.ncbi.nlm.nih.gov/33258961" TargetMode="External"/><Relationship Id="rId1679" Type="http://schemas.openxmlformats.org/officeDocument/2006/relationships/hyperlink" Target="https://pubmed.ncbi.nlm.nih.gov/34031906" TargetMode="External"/><Relationship Id="rId849" Type="http://schemas.openxmlformats.org/officeDocument/2006/relationships/hyperlink" Target="https://pubmed.ncbi.nlm.nih.gov/36450605" TargetMode="External"/><Relationship Id="rId844" Type="http://schemas.openxmlformats.org/officeDocument/2006/relationships/hyperlink" Target="https://pubmed.ncbi.nlm.nih.gov/36453639" TargetMode="External"/><Relationship Id="rId843" Type="http://schemas.openxmlformats.org/officeDocument/2006/relationships/hyperlink" Target="https://pubmed.ncbi.nlm.nih.gov/35730378" TargetMode="External"/><Relationship Id="rId842" Type="http://schemas.openxmlformats.org/officeDocument/2006/relationships/hyperlink" Target="https://pubmed.ncbi.nlm.nih.gov/36543378" TargetMode="External"/><Relationship Id="rId841" Type="http://schemas.openxmlformats.org/officeDocument/2006/relationships/hyperlink" Target="https://pubmed.ncbi.nlm.nih.gov/36376532" TargetMode="External"/><Relationship Id="rId848" Type="http://schemas.openxmlformats.org/officeDocument/2006/relationships/hyperlink" Target="https://pubmed.ncbi.nlm.nih.gov/36589483" TargetMode="External"/><Relationship Id="rId847" Type="http://schemas.openxmlformats.org/officeDocument/2006/relationships/hyperlink" Target="https://pubmed.ncbi.nlm.nih.gov/36453152" TargetMode="External"/><Relationship Id="rId846" Type="http://schemas.openxmlformats.org/officeDocument/2006/relationships/hyperlink" Target="https://pubmed.ncbi.nlm.nih.gov/36962822" TargetMode="External"/><Relationship Id="rId845" Type="http://schemas.openxmlformats.org/officeDocument/2006/relationships/hyperlink" Target="https://pubmed.ncbi.nlm.nih.gov/36585036" TargetMode="External"/><Relationship Id="rId1670" Type="http://schemas.openxmlformats.org/officeDocument/2006/relationships/hyperlink" Target="https://pubmed.ncbi.nlm.nih.gov/34077797" TargetMode="External"/><Relationship Id="rId840" Type="http://schemas.openxmlformats.org/officeDocument/2006/relationships/hyperlink" Target="https://pubmed.ncbi.nlm.nih.gov/35574599" TargetMode="External"/><Relationship Id="rId1671" Type="http://schemas.openxmlformats.org/officeDocument/2006/relationships/hyperlink" Target="https://pubmed.ncbi.nlm.nih.gov/34090186" TargetMode="External"/><Relationship Id="rId1672" Type="http://schemas.openxmlformats.org/officeDocument/2006/relationships/hyperlink" Target="https://pubmed.ncbi.nlm.nih.gov/34045449" TargetMode="External"/><Relationship Id="rId1673" Type="http://schemas.openxmlformats.org/officeDocument/2006/relationships/hyperlink" Target="https://pubmed.ncbi.nlm.nih.gov/34043770" TargetMode="External"/><Relationship Id="rId1674" Type="http://schemas.openxmlformats.org/officeDocument/2006/relationships/hyperlink" Target="https://pubmed.ncbi.nlm.nih.gov/34043711" TargetMode="External"/><Relationship Id="rId1664" Type="http://schemas.openxmlformats.org/officeDocument/2006/relationships/hyperlink" Target="https://pubmed.ncbi.nlm.nih.gov/34091881" TargetMode="External"/><Relationship Id="rId2995" Type="http://schemas.openxmlformats.org/officeDocument/2006/relationships/hyperlink" Target="https://pubmed.ncbi.nlm.nih.gov/30288888" TargetMode="External"/><Relationship Id="rId1665" Type="http://schemas.openxmlformats.org/officeDocument/2006/relationships/hyperlink" Target="https://pubmed.ncbi.nlm.nih.gov/34119878" TargetMode="External"/><Relationship Id="rId2996" Type="http://schemas.openxmlformats.org/officeDocument/2006/relationships/hyperlink" Target="https://pubmed.ncbi.nlm.nih.gov/30388130" TargetMode="External"/><Relationship Id="rId1666" Type="http://schemas.openxmlformats.org/officeDocument/2006/relationships/hyperlink" Target="https://pubmed.ncbi.nlm.nih.gov/34089754" TargetMode="External"/><Relationship Id="rId2997" Type="http://schemas.openxmlformats.org/officeDocument/2006/relationships/hyperlink" Target="https://pubmed.ncbi.nlm.nih.gov/30383755" TargetMode="External"/><Relationship Id="rId1667" Type="http://schemas.openxmlformats.org/officeDocument/2006/relationships/hyperlink" Target="https://pubmed.ncbi.nlm.nih.gov/34078111" TargetMode="External"/><Relationship Id="rId2998" Type="http://schemas.openxmlformats.org/officeDocument/2006/relationships/hyperlink" Target="https://pubmed.ncbi.nlm.nih.gov/30358718" TargetMode="External"/><Relationship Id="rId1668" Type="http://schemas.openxmlformats.org/officeDocument/2006/relationships/hyperlink" Target="https://pubmed.ncbi.nlm.nih.gov/34078276" TargetMode="External"/><Relationship Id="rId2999" Type="http://schemas.openxmlformats.org/officeDocument/2006/relationships/hyperlink" Target="https://pubmed.ncbi.nlm.nih.gov/30384369" TargetMode="External"/><Relationship Id="rId1669" Type="http://schemas.openxmlformats.org/officeDocument/2006/relationships/hyperlink" Target="https://pubmed.ncbi.nlm.nih.gov/33560056" TargetMode="External"/><Relationship Id="rId839" Type="http://schemas.openxmlformats.org/officeDocument/2006/relationships/hyperlink" Target="https://pubmed.ncbi.nlm.nih.gov/35899383" TargetMode="External"/><Relationship Id="rId838" Type="http://schemas.openxmlformats.org/officeDocument/2006/relationships/hyperlink" Target="https://pubmed.ncbi.nlm.nih.gov/36301521" TargetMode="External"/><Relationship Id="rId833" Type="http://schemas.openxmlformats.org/officeDocument/2006/relationships/hyperlink" Target="https://pubmed.ncbi.nlm.nih.gov/36470577" TargetMode="External"/><Relationship Id="rId832" Type="http://schemas.openxmlformats.org/officeDocument/2006/relationships/hyperlink" Target="https://pubmed.ncbi.nlm.nih.gov/36420598" TargetMode="External"/><Relationship Id="rId831" Type="http://schemas.openxmlformats.org/officeDocument/2006/relationships/hyperlink" Target="https://pubmed.ncbi.nlm.nih.gov/36464769" TargetMode="External"/><Relationship Id="rId830" Type="http://schemas.openxmlformats.org/officeDocument/2006/relationships/hyperlink" Target="https://pubmed.ncbi.nlm.nih.gov/36506003" TargetMode="External"/><Relationship Id="rId837" Type="http://schemas.openxmlformats.org/officeDocument/2006/relationships/hyperlink" Target="https://pubmed.ncbi.nlm.nih.gov/36564878" TargetMode="External"/><Relationship Id="rId836" Type="http://schemas.openxmlformats.org/officeDocument/2006/relationships/hyperlink" Target="https://pubmed.ncbi.nlm.nih.gov/36581377" TargetMode="External"/><Relationship Id="rId835" Type="http://schemas.openxmlformats.org/officeDocument/2006/relationships/hyperlink" Target="https://pubmed.ncbi.nlm.nih.gov/36322072" TargetMode="External"/><Relationship Id="rId834" Type="http://schemas.openxmlformats.org/officeDocument/2006/relationships/hyperlink" Target="https://pubmed.ncbi.nlm.nih.gov/36459448" TargetMode="External"/><Relationship Id="rId2990" Type="http://schemas.openxmlformats.org/officeDocument/2006/relationships/hyperlink" Target="https://pubmed.ncbi.nlm.nih.gov/30404896" TargetMode="External"/><Relationship Id="rId1660" Type="http://schemas.openxmlformats.org/officeDocument/2006/relationships/hyperlink" Target="https://pubmed.ncbi.nlm.nih.gov/34200580" TargetMode="External"/><Relationship Id="rId2991" Type="http://schemas.openxmlformats.org/officeDocument/2006/relationships/hyperlink" Target="https://pubmed.ncbi.nlm.nih.gov/30400784" TargetMode="External"/><Relationship Id="rId1661" Type="http://schemas.openxmlformats.org/officeDocument/2006/relationships/hyperlink" Target="https://pubmed.ncbi.nlm.nih.gov/34111584" TargetMode="External"/><Relationship Id="rId2992" Type="http://schemas.openxmlformats.org/officeDocument/2006/relationships/hyperlink" Target="https://pubmed.ncbi.nlm.nih.gov/30402920" TargetMode="External"/><Relationship Id="rId1662" Type="http://schemas.openxmlformats.org/officeDocument/2006/relationships/hyperlink" Target="https://pubmed.ncbi.nlm.nih.gov/34099838" TargetMode="External"/><Relationship Id="rId2993" Type="http://schemas.openxmlformats.org/officeDocument/2006/relationships/hyperlink" Target="https://pubmed.ncbi.nlm.nih.gov/30448472" TargetMode="External"/><Relationship Id="rId1663" Type="http://schemas.openxmlformats.org/officeDocument/2006/relationships/hyperlink" Target="https://pubmed.ncbi.nlm.nih.gov/34200437" TargetMode="External"/><Relationship Id="rId2994" Type="http://schemas.openxmlformats.org/officeDocument/2006/relationships/hyperlink" Target="https://pubmed.ncbi.nlm.nih.gov/30396358" TargetMode="External"/><Relationship Id="rId899" Type="http://schemas.openxmlformats.org/officeDocument/2006/relationships/hyperlink" Target="https://pubmed.ncbi.nlm.nih.gov/36280827" TargetMode="External"/><Relationship Id="rId898" Type="http://schemas.openxmlformats.org/officeDocument/2006/relationships/hyperlink" Target="https://pubmed.ncbi.nlm.nih.gov/36287279" TargetMode="External"/><Relationship Id="rId897" Type="http://schemas.openxmlformats.org/officeDocument/2006/relationships/hyperlink" Target="https://pubmed.ncbi.nlm.nih.gov/34596659" TargetMode="External"/><Relationship Id="rId896" Type="http://schemas.openxmlformats.org/officeDocument/2006/relationships/hyperlink" Target="https://pubmed.ncbi.nlm.nih.gov/36630937" TargetMode="External"/><Relationship Id="rId891" Type="http://schemas.openxmlformats.org/officeDocument/2006/relationships/hyperlink" Target="https://pubmed.ncbi.nlm.nih.gov/36319057" TargetMode="External"/><Relationship Id="rId890" Type="http://schemas.openxmlformats.org/officeDocument/2006/relationships/hyperlink" Target="https://pubmed.ncbi.nlm.nih.gov/36085423" TargetMode="External"/><Relationship Id="rId895" Type="http://schemas.openxmlformats.org/officeDocument/2006/relationships/hyperlink" Target="https://pubmed.ncbi.nlm.nih.gov/36299250" TargetMode="External"/><Relationship Id="rId894" Type="http://schemas.openxmlformats.org/officeDocument/2006/relationships/hyperlink" Target="https://pubmed.ncbi.nlm.nih.gov/36307176" TargetMode="External"/><Relationship Id="rId893" Type="http://schemas.openxmlformats.org/officeDocument/2006/relationships/hyperlink" Target="https://pubmed.ncbi.nlm.nih.gov/36358772" TargetMode="External"/><Relationship Id="rId892" Type="http://schemas.openxmlformats.org/officeDocument/2006/relationships/hyperlink" Target="https://pubmed.ncbi.nlm.nih.gov/36314129"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0.38"/>
    <col customWidth="1" min="8" max="8" width="19.63"/>
  </cols>
  <sheetData>
    <row r="1">
      <c r="A1" s="1" t="s">
        <v>0</v>
      </c>
      <c r="B1" s="1" t="s">
        <v>1</v>
      </c>
      <c r="C1" s="1" t="s">
        <v>2</v>
      </c>
      <c r="D1" s="1" t="s">
        <v>3</v>
      </c>
      <c r="E1" s="1" t="s">
        <v>4</v>
      </c>
      <c r="F1" s="1" t="s">
        <v>5</v>
      </c>
      <c r="G1" s="1" t="s">
        <v>6</v>
      </c>
      <c r="H1" s="1" t="s">
        <v>7</v>
      </c>
      <c r="I1" s="1" t="s">
        <v>8</v>
      </c>
      <c r="J1" s="1" t="s">
        <v>9</v>
      </c>
      <c r="K1" s="1" t="s">
        <v>10</v>
      </c>
    </row>
    <row r="2">
      <c r="A2" s="1" t="s">
        <v>11</v>
      </c>
      <c r="B2" s="1" t="s">
        <v>12</v>
      </c>
      <c r="C2" s="1">
        <v>2024.0</v>
      </c>
      <c r="D2" s="2">
        <v>45453.0</v>
      </c>
      <c r="F2" s="1" t="s">
        <v>13</v>
      </c>
      <c r="H2" s="3">
        <v>0.0</v>
      </c>
      <c r="I2" s="4" t="s">
        <v>14</v>
      </c>
      <c r="J2" s="1" t="s">
        <v>15</v>
      </c>
      <c r="K2" s="1" t="s">
        <v>16</v>
      </c>
    </row>
    <row r="3">
      <c r="A3" s="1" t="s">
        <v>17</v>
      </c>
      <c r="B3" s="1" t="s">
        <v>18</v>
      </c>
      <c r="C3" s="1">
        <v>2024.0</v>
      </c>
      <c r="D3" s="2">
        <v>45450.0</v>
      </c>
      <c r="F3" s="1" t="s">
        <v>19</v>
      </c>
      <c r="H3" s="3">
        <v>0.0</v>
      </c>
      <c r="I3" s="4" t="s">
        <v>20</v>
      </c>
      <c r="J3" s="1" t="s">
        <v>21</v>
      </c>
      <c r="K3" s="1" t="s">
        <v>22</v>
      </c>
    </row>
    <row r="4">
      <c r="A4" s="1" t="s">
        <v>23</v>
      </c>
      <c r="B4" s="1" t="s">
        <v>24</v>
      </c>
      <c r="C4" s="1">
        <v>2024.0</v>
      </c>
      <c r="D4" s="2">
        <v>45449.0</v>
      </c>
      <c r="F4" s="1" t="s">
        <v>25</v>
      </c>
      <c r="H4" s="3">
        <v>0.0</v>
      </c>
      <c r="I4" s="4" t="s">
        <v>26</v>
      </c>
      <c r="J4" s="1" t="s">
        <v>27</v>
      </c>
      <c r="K4" s="1" t="s">
        <v>28</v>
      </c>
    </row>
    <row r="5">
      <c r="A5" s="1" t="s">
        <v>29</v>
      </c>
      <c r="B5" s="1" t="s">
        <v>30</v>
      </c>
      <c r="C5" s="1">
        <v>2024.0</v>
      </c>
      <c r="D5" s="2">
        <v>45448.0</v>
      </c>
      <c r="F5" s="1" t="s">
        <v>31</v>
      </c>
      <c r="H5" s="3">
        <v>0.0</v>
      </c>
      <c r="I5" s="4" t="s">
        <v>32</v>
      </c>
      <c r="J5" s="1" t="s">
        <v>33</v>
      </c>
      <c r="K5" s="1" t="s">
        <v>34</v>
      </c>
    </row>
    <row r="6">
      <c r="A6" s="1" t="s">
        <v>35</v>
      </c>
      <c r="B6" s="1" t="s">
        <v>36</v>
      </c>
      <c r="C6" s="1">
        <v>2024.0</v>
      </c>
      <c r="D6" s="2">
        <v>45448.0</v>
      </c>
      <c r="F6" s="1" t="s">
        <v>37</v>
      </c>
      <c r="H6" s="3">
        <v>0.0</v>
      </c>
      <c r="I6" s="4" t="s">
        <v>38</v>
      </c>
      <c r="J6" s="1" t="s">
        <v>39</v>
      </c>
      <c r="K6" s="1" t="s">
        <v>16</v>
      </c>
    </row>
    <row r="7">
      <c r="A7" s="1" t="s">
        <v>40</v>
      </c>
      <c r="B7" s="1" t="s">
        <v>41</v>
      </c>
      <c r="C7" s="1">
        <v>2024.0</v>
      </c>
      <c r="D7" s="2">
        <v>45448.0</v>
      </c>
      <c r="F7" s="1" t="s">
        <v>42</v>
      </c>
      <c r="H7" s="3">
        <v>0.0</v>
      </c>
      <c r="I7" s="4" t="s">
        <v>43</v>
      </c>
      <c r="J7" s="1" t="s">
        <v>44</v>
      </c>
      <c r="K7" s="1" t="s">
        <v>45</v>
      </c>
    </row>
    <row r="8">
      <c r="A8" s="1" t="s">
        <v>46</v>
      </c>
      <c r="B8" s="1" t="s">
        <v>47</v>
      </c>
      <c r="C8" s="1">
        <v>2024.0</v>
      </c>
      <c r="D8" s="2">
        <v>45447.0</v>
      </c>
      <c r="F8" s="1" t="s">
        <v>48</v>
      </c>
      <c r="H8" s="3">
        <v>0.0</v>
      </c>
      <c r="I8" s="4" t="s">
        <v>49</v>
      </c>
      <c r="J8" s="1" t="s">
        <v>50</v>
      </c>
      <c r="K8" s="1" t="s">
        <v>28</v>
      </c>
    </row>
    <row r="9">
      <c r="A9" s="1" t="s">
        <v>51</v>
      </c>
      <c r="B9" s="1" t="s">
        <v>52</v>
      </c>
      <c r="C9" s="1">
        <v>2024.0</v>
      </c>
      <c r="D9" s="2">
        <v>45447.0</v>
      </c>
      <c r="F9" s="1" t="s">
        <v>53</v>
      </c>
      <c r="H9" s="3">
        <v>0.0</v>
      </c>
      <c r="I9" s="4" t="s">
        <v>54</v>
      </c>
      <c r="J9" s="1" t="s">
        <v>55</v>
      </c>
      <c r="K9" s="1" t="s">
        <v>56</v>
      </c>
    </row>
    <row r="10">
      <c r="A10" s="1" t="s">
        <v>57</v>
      </c>
      <c r="B10" s="1" t="s">
        <v>58</v>
      </c>
      <c r="C10" s="1">
        <v>2024.0</v>
      </c>
      <c r="D10" s="2">
        <v>45446.0</v>
      </c>
      <c r="F10" s="1" t="s">
        <v>59</v>
      </c>
      <c r="H10" s="3">
        <v>0.0</v>
      </c>
      <c r="I10" s="4" t="s">
        <v>60</v>
      </c>
      <c r="J10" s="1" t="s">
        <v>61</v>
      </c>
      <c r="K10" s="1" t="s">
        <v>62</v>
      </c>
    </row>
    <row r="11">
      <c r="A11" s="1" t="s">
        <v>63</v>
      </c>
      <c r="B11" s="1" t="s">
        <v>64</v>
      </c>
      <c r="C11" s="1">
        <v>2024.0</v>
      </c>
      <c r="D11" s="2">
        <v>45446.0</v>
      </c>
      <c r="F11" s="1" t="s">
        <v>65</v>
      </c>
      <c r="H11" s="3">
        <v>0.0</v>
      </c>
      <c r="I11" s="4" t="s">
        <v>66</v>
      </c>
      <c r="J11" s="1" t="s">
        <v>67</v>
      </c>
      <c r="K11" s="1" t="s">
        <v>68</v>
      </c>
    </row>
    <row r="12">
      <c r="A12" s="1" t="s">
        <v>69</v>
      </c>
      <c r="B12" s="1" t="s">
        <v>70</v>
      </c>
      <c r="C12" s="1">
        <v>2024.0</v>
      </c>
      <c r="D12" s="2">
        <v>45443.0</v>
      </c>
      <c r="F12" s="1" t="s">
        <v>71</v>
      </c>
      <c r="H12" s="3">
        <v>0.0</v>
      </c>
      <c r="I12" s="4" t="s">
        <v>72</v>
      </c>
      <c r="J12" s="1" t="s">
        <v>73</v>
      </c>
      <c r="K12" s="1" t="s">
        <v>28</v>
      </c>
    </row>
    <row r="13">
      <c r="A13" s="1" t="s">
        <v>74</v>
      </c>
      <c r="B13" s="1" t="s">
        <v>75</v>
      </c>
      <c r="C13" s="1">
        <v>2024.0</v>
      </c>
      <c r="D13" s="2">
        <v>45443.0</v>
      </c>
      <c r="F13" s="1" t="s">
        <v>76</v>
      </c>
      <c r="H13" s="3">
        <v>0.0</v>
      </c>
      <c r="I13" s="4" t="s">
        <v>77</v>
      </c>
      <c r="J13" s="1" t="s">
        <v>78</v>
      </c>
      <c r="K13" s="1" t="s">
        <v>28</v>
      </c>
    </row>
    <row r="14">
      <c r="A14" s="1" t="s">
        <v>79</v>
      </c>
      <c r="B14" s="1" t="s">
        <v>80</v>
      </c>
      <c r="C14" s="1">
        <v>2024.0</v>
      </c>
      <c r="D14" s="2">
        <v>45443.0</v>
      </c>
      <c r="F14" s="1" t="s">
        <v>81</v>
      </c>
      <c r="H14" s="3">
        <v>0.0</v>
      </c>
      <c r="I14" s="4" t="s">
        <v>82</v>
      </c>
      <c r="J14" s="1" t="s">
        <v>83</v>
      </c>
      <c r="K14" s="1" t="s">
        <v>45</v>
      </c>
    </row>
    <row r="15">
      <c r="A15" s="1" t="s">
        <v>84</v>
      </c>
      <c r="B15" s="1" t="s">
        <v>85</v>
      </c>
      <c r="C15" s="1">
        <v>2024.0</v>
      </c>
      <c r="D15" s="2">
        <v>45442.0</v>
      </c>
      <c r="F15" s="1" t="s">
        <v>86</v>
      </c>
      <c r="H15" s="3">
        <v>0.0</v>
      </c>
      <c r="I15" s="4" t="s">
        <v>87</v>
      </c>
      <c r="J15" s="1" t="s">
        <v>88</v>
      </c>
      <c r="K15" s="1" t="s">
        <v>28</v>
      </c>
    </row>
    <row r="16">
      <c r="A16" s="1" t="s">
        <v>89</v>
      </c>
      <c r="B16" s="1" t="s">
        <v>90</v>
      </c>
      <c r="C16" s="1">
        <v>2024.0</v>
      </c>
      <c r="D16" s="2">
        <v>45441.0</v>
      </c>
      <c r="F16" s="1" t="s">
        <v>91</v>
      </c>
      <c r="H16" s="3">
        <v>0.0</v>
      </c>
      <c r="I16" s="4" t="s">
        <v>92</v>
      </c>
      <c r="J16" s="1" t="s">
        <v>93</v>
      </c>
      <c r="K16" s="1" t="s">
        <v>68</v>
      </c>
    </row>
    <row r="17">
      <c r="A17" s="1" t="s">
        <v>94</v>
      </c>
      <c r="B17" s="1" t="s">
        <v>95</v>
      </c>
      <c r="C17" s="1">
        <v>2024.0</v>
      </c>
      <c r="D17" s="2">
        <v>45441.0</v>
      </c>
      <c r="F17" s="1" t="s">
        <v>96</v>
      </c>
      <c r="H17" s="3">
        <v>0.0</v>
      </c>
      <c r="I17" s="4" t="s">
        <v>97</v>
      </c>
      <c r="J17" s="1" t="s">
        <v>98</v>
      </c>
      <c r="K17" s="1" t="s">
        <v>16</v>
      </c>
    </row>
    <row r="18">
      <c r="A18" s="1" t="s">
        <v>99</v>
      </c>
      <c r="B18" s="1" t="s">
        <v>100</v>
      </c>
      <c r="C18" s="1">
        <v>2024.0</v>
      </c>
      <c r="D18" s="2">
        <v>45440.0</v>
      </c>
      <c r="F18" s="1" t="s">
        <v>101</v>
      </c>
      <c r="H18" s="3">
        <v>0.0</v>
      </c>
      <c r="I18" s="4" t="s">
        <v>102</v>
      </c>
      <c r="J18" s="1" t="s">
        <v>103</v>
      </c>
      <c r="K18" s="1" t="s">
        <v>28</v>
      </c>
    </row>
    <row r="19">
      <c r="A19" s="1" t="s">
        <v>104</v>
      </c>
      <c r="B19" s="1" t="s">
        <v>105</v>
      </c>
      <c r="C19" s="1">
        <v>2024.0</v>
      </c>
      <c r="D19" s="2">
        <v>45440.0</v>
      </c>
      <c r="F19" s="1" t="s">
        <v>106</v>
      </c>
      <c r="H19" s="3">
        <v>0.0</v>
      </c>
      <c r="I19" s="4" t="s">
        <v>107</v>
      </c>
      <c r="J19" s="1" t="s">
        <v>108</v>
      </c>
      <c r="K19" s="1" t="s">
        <v>34</v>
      </c>
    </row>
    <row r="20">
      <c r="A20" s="1" t="s">
        <v>109</v>
      </c>
      <c r="B20" s="1" t="s">
        <v>110</v>
      </c>
      <c r="C20" s="1">
        <v>2024.0</v>
      </c>
      <c r="D20" s="2">
        <v>45439.0</v>
      </c>
      <c r="F20" s="1" t="s">
        <v>111</v>
      </c>
      <c r="H20" s="3">
        <v>0.0</v>
      </c>
      <c r="I20" s="4" t="s">
        <v>112</v>
      </c>
      <c r="J20" s="1" t="s">
        <v>113</v>
      </c>
      <c r="K20" s="1" t="s">
        <v>56</v>
      </c>
    </row>
    <row r="21">
      <c r="A21" s="1" t="s">
        <v>114</v>
      </c>
      <c r="B21" s="1" t="s">
        <v>115</v>
      </c>
      <c r="C21" s="1">
        <v>2024.0</v>
      </c>
      <c r="D21" s="2">
        <v>45439.0</v>
      </c>
      <c r="F21" s="1" t="s">
        <v>116</v>
      </c>
      <c r="H21" s="3">
        <v>0.0</v>
      </c>
      <c r="I21" s="4" t="s">
        <v>117</v>
      </c>
      <c r="J21" s="1" t="s">
        <v>118</v>
      </c>
      <c r="K21" s="1" t="s">
        <v>119</v>
      </c>
    </row>
    <row r="22">
      <c r="A22" s="1" t="s">
        <v>120</v>
      </c>
      <c r="B22" s="1" t="s">
        <v>121</v>
      </c>
      <c r="C22" s="1">
        <v>2024.0</v>
      </c>
      <c r="D22" s="2">
        <v>45438.0</v>
      </c>
      <c r="F22" s="1" t="s">
        <v>42</v>
      </c>
      <c r="H22" s="3">
        <v>0.0</v>
      </c>
      <c r="I22" s="4" t="s">
        <v>122</v>
      </c>
      <c r="J22" s="1" t="s">
        <v>123</v>
      </c>
      <c r="K22" s="1" t="s">
        <v>28</v>
      </c>
    </row>
    <row r="23">
      <c r="A23" s="1" t="s">
        <v>124</v>
      </c>
      <c r="B23" s="1" t="s">
        <v>125</v>
      </c>
      <c r="C23" s="1">
        <v>2024.0</v>
      </c>
      <c r="D23" s="2">
        <v>45437.0</v>
      </c>
      <c r="F23" s="1" t="s">
        <v>126</v>
      </c>
      <c r="H23" s="3">
        <v>0.0</v>
      </c>
      <c r="I23" s="4" t="s">
        <v>127</v>
      </c>
      <c r="J23" s="1" t="s">
        <v>128</v>
      </c>
      <c r="K23" s="1" t="s">
        <v>56</v>
      </c>
    </row>
    <row r="24">
      <c r="A24" s="1" t="s">
        <v>129</v>
      </c>
      <c r="B24" s="1" t="s">
        <v>130</v>
      </c>
      <c r="C24" s="1">
        <v>2024.0</v>
      </c>
      <c r="D24" s="2">
        <v>45436.0</v>
      </c>
      <c r="F24" s="1" t="s">
        <v>131</v>
      </c>
      <c r="H24" s="3">
        <v>0.0</v>
      </c>
      <c r="I24" s="4" t="s">
        <v>132</v>
      </c>
      <c r="J24" s="1" t="s">
        <v>133</v>
      </c>
      <c r="K24" s="1" t="s">
        <v>56</v>
      </c>
    </row>
    <row r="25">
      <c r="A25" s="1" t="s">
        <v>134</v>
      </c>
      <c r="B25" s="1" t="s">
        <v>135</v>
      </c>
      <c r="C25" s="1">
        <v>2024.0</v>
      </c>
      <c r="D25" s="2">
        <v>45435.0</v>
      </c>
      <c r="F25" s="1" t="s">
        <v>136</v>
      </c>
      <c r="H25" s="3">
        <v>0.0</v>
      </c>
      <c r="I25" s="4" t="s">
        <v>137</v>
      </c>
      <c r="J25" s="1" t="s">
        <v>138</v>
      </c>
      <c r="K25" s="1" t="s">
        <v>139</v>
      </c>
    </row>
    <row r="26">
      <c r="A26" s="1" t="s">
        <v>140</v>
      </c>
      <c r="B26" s="1" t="s">
        <v>141</v>
      </c>
      <c r="C26" s="1">
        <v>2024.0</v>
      </c>
      <c r="D26" s="2">
        <v>45433.0</v>
      </c>
      <c r="F26" s="1" t="s">
        <v>142</v>
      </c>
      <c r="H26" s="3">
        <v>0.0</v>
      </c>
      <c r="I26" s="4" t="s">
        <v>143</v>
      </c>
      <c r="J26" s="1" t="s">
        <v>144</v>
      </c>
      <c r="K26" s="1" t="s">
        <v>56</v>
      </c>
    </row>
    <row r="27">
      <c r="A27" s="1" t="s">
        <v>145</v>
      </c>
      <c r="B27" s="1" t="s">
        <v>146</v>
      </c>
      <c r="C27" s="1">
        <v>2024.0</v>
      </c>
      <c r="D27" s="2">
        <v>45432.0</v>
      </c>
      <c r="F27" s="1" t="s">
        <v>147</v>
      </c>
      <c r="H27" s="3">
        <v>0.0</v>
      </c>
      <c r="I27" s="4" t="s">
        <v>148</v>
      </c>
      <c r="J27" s="1" t="s">
        <v>149</v>
      </c>
      <c r="K27" s="1" t="s">
        <v>68</v>
      </c>
    </row>
    <row r="28">
      <c r="A28" s="1" t="s">
        <v>150</v>
      </c>
      <c r="B28" s="1" t="s">
        <v>151</v>
      </c>
      <c r="C28" s="1">
        <v>2024.0</v>
      </c>
      <c r="D28" s="2">
        <v>45431.0</v>
      </c>
      <c r="F28" s="1" t="s">
        <v>152</v>
      </c>
      <c r="H28" s="3">
        <v>0.0</v>
      </c>
      <c r="I28" s="4" t="s">
        <v>153</v>
      </c>
      <c r="J28" s="1" t="s">
        <v>154</v>
      </c>
      <c r="K28" s="1" t="s">
        <v>16</v>
      </c>
    </row>
    <row r="29">
      <c r="A29" s="1" t="s">
        <v>155</v>
      </c>
      <c r="B29" s="1" t="s">
        <v>156</v>
      </c>
      <c r="C29" s="1">
        <v>2024.0</v>
      </c>
      <c r="D29" s="2">
        <v>45429.0</v>
      </c>
      <c r="F29" s="1" t="s">
        <v>157</v>
      </c>
      <c r="H29" s="3">
        <v>0.0</v>
      </c>
      <c r="I29" s="4" t="s">
        <v>158</v>
      </c>
      <c r="J29" s="1" t="s">
        <v>159</v>
      </c>
      <c r="K29" s="1" t="s">
        <v>160</v>
      </c>
    </row>
    <row r="30">
      <c r="A30" s="1" t="s">
        <v>161</v>
      </c>
      <c r="B30" s="1" t="s">
        <v>162</v>
      </c>
      <c r="C30" s="1">
        <v>2024.0</v>
      </c>
      <c r="D30" s="2">
        <v>45429.0</v>
      </c>
      <c r="F30" s="1" t="s">
        <v>163</v>
      </c>
      <c r="H30" s="3">
        <v>0.0</v>
      </c>
      <c r="I30" s="4" t="s">
        <v>164</v>
      </c>
      <c r="J30" s="1" t="s">
        <v>165</v>
      </c>
      <c r="K30" s="1" t="s">
        <v>34</v>
      </c>
    </row>
    <row r="31">
      <c r="A31" s="1" t="s">
        <v>166</v>
      </c>
      <c r="B31" s="1" t="s">
        <v>167</v>
      </c>
      <c r="C31" s="1">
        <v>2024.0</v>
      </c>
      <c r="D31" s="2">
        <v>45429.0</v>
      </c>
      <c r="F31" s="1" t="s">
        <v>25</v>
      </c>
      <c r="H31" s="3">
        <v>0.0</v>
      </c>
      <c r="I31" s="4" t="s">
        <v>168</v>
      </c>
      <c r="J31" s="1" t="s">
        <v>169</v>
      </c>
      <c r="K31" s="1" t="s">
        <v>45</v>
      </c>
    </row>
    <row r="32">
      <c r="A32" s="1" t="s">
        <v>170</v>
      </c>
      <c r="B32" s="1" t="s">
        <v>171</v>
      </c>
      <c r="C32" s="1">
        <v>2024.0</v>
      </c>
      <c r="D32" s="2">
        <v>45428.0</v>
      </c>
      <c r="F32" s="1" t="s">
        <v>172</v>
      </c>
      <c r="H32" s="3">
        <v>0.0</v>
      </c>
      <c r="I32" s="4" t="s">
        <v>173</v>
      </c>
      <c r="J32" s="1" t="s">
        <v>174</v>
      </c>
      <c r="K32" s="1" t="s">
        <v>175</v>
      </c>
    </row>
    <row r="33">
      <c r="A33" s="1" t="s">
        <v>176</v>
      </c>
      <c r="B33" s="1" t="s">
        <v>177</v>
      </c>
      <c r="C33" s="1">
        <v>2024.0</v>
      </c>
      <c r="D33" s="2">
        <v>45427.0</v>
      </c>
      <c r="F33" s="1" t="s">
        <v>178</v>
      </c>
      <c r="H33" s="3">
        <v>1.0</v>
      </c>
      <c r="I33" s="4" t="s">
        <v>179</v>
      </c>
      <c r="J33" s="1" t="s">
        <v>180</v>
      </c>
      <c r="K33" s="1" t="s">
        <v>56</v>
      </c>
    </row>
    <row r="34">
      <c r="A34" s="1" t="s">
        <v>181</v>
      </c>
      <c r="B34" s="1" t="s">
        <v>182</v>
      </c>
      <c r="C34" s="1">
        <v>2024.0</v>
      </c>
      <c r="D34" s="2">
        <v>45427.0</v>
      </c>
      <c r="F34" s="1" t="s">
        <v>183</v>
      </c>
      <c r="H34" s="3">
        <v>0.0</v>
      </c>
      <c r="I34" s="4" t="s">
        <v>184</v>
      </c>
      <c r="J34" s="1" t="s">
        <v>185</v>
      </c>
      <c r="K34" s="1" t="s">
        <v>68</v>
      </c>
    </row>
    <row r="35">
      <c r="A35" s="1" t="s">
        <v>186</v>
      </c>
      <c r="B35" s="1" t="s">
        <v>187</v>
      </c>
      <c r="C35" s="1">
        <v>2024.0</v>
      </c>
      <c r="D35" s="2">
        <v>45427.0</v>
      </c>
      <c r="F35" s="1" t="s">
        <v>188</v>
      </c>
      <c r="H35" s="3">
        <v>0.0</v>
      </c>
      <c r="I35" s="4" t="s">
        <v>189</v>
      </c>
      <c r="K35" s="1" t="s">
        <v>45</v>
      </c>
    </row>
    <row r="36">
      <c r="A36" s="1" t="s">
        <v>190</v>
      </c>
      <c r="B36" s="1" t="s">
        <v>191</v>
      </c>
      <c r="C36" s="1">
        <v>2024.0</v>
      </c>
      <c r="D36" s="2">
        <v>45426.0</v>
      </c>
      <c r="F36" s="1" t="s">
        <v>192</v>
      </c>
      <c r="H36" s="3">
        <v>0.0</v>
      </c>
      <c r="I36" s="4" t="s">
        <v>193</v>
      </c>
      <c r="J36" s="1" t="s">
        <v>194</v>
      </c>
      <c r="K36" s="1" t="s">
        <v>195</v>
      </c>
    </row>
    <row r="37">
      <c r="A37" s="1" t="s">
        <v>196</v>
      </c>
      <c r="B37" s="1" t="s">
        <v>197</v>
      </c>
      <c r="C37" s="1">
        <v>2024.0</v>
      </c>
      <c r="D37" s="2">
        <v>45425.0</v>
      </c>
      <c r="F37" s="1" t="s">
        <v>198</v>
      </c>
      <c r="H37" s="3">
        <v>0.0</v>
      </c>
      <c r="I37" s="4" t="s">
        <v>199</v>
      </c>
      <c r="J37" s="1" t="s">
        <v>200</v>
      </c>
      <c r="K37" s="1" t="s">
        <v>22</v>
      </c>
    </row>
    <row r="38">
      <c r="A38" s="1" t="s">
        <v>201</v>
      </c>
      <c r="B38" s="1" t="s">
        <v>202</v>
      </c>
      <c r="C38" s="1">
        <v>2024.0</v>
      </c>
      <c r="D38" s="2">
        <v>45422.0</v>
      </c>
      <c r="F38" s="1" t="s">
        <v>37</v>
      </c>
      <c r="H38" s="3">
        <v>0.0</v>
      </c>
      <c r="I38" s="4" t="s">
        <v>203</v>
      </c>
      <c r="J38" s="1" t="s">
        <v>204</v>
      </c>
      <c r="K38" s="1" t="s">
        <v>205</v>
      </c>
    </row>
    <row r="39">
      <c r="A39" s="1" t="s">
        <v>206</v>
      </c>
      <c r="B39" s="1" t="s">
        <v>207</v>
      </c>
      <c r="C39" s="1">
        <v>2024.0</v>
      </c>
      <c r="D39" s="2">
        <v>45420.0</v>
      </c>
      <c r="F39" s="1" t="s">
        <v>208</v>
      </c>
      <c r="H39" s="3">
        <v>0.0</v>
      </c>
      <c r="I39" s="4" t="s">
        <v>209</v>
      </c>
      <c r="J39" s="1" t="s">
        <v>210</v>
      </c>
      <c r="K39" s="1" t="s">
        <v>195</v>
      </c>
    </row>
    <row r="40">
      <c r="A40" s="1" t="s">
        <v>211</v>
      </c>
      <c r="B40" s="1" t="s">
        <v>212</v>
      </c>
      <c r="C40" s="1">
        <v>2024.0</v>
      </c>
      <c r="D40" s="2">
        <v>45420.0</v>
      </c>
      <c r="F40" s="1" t="s">
        <v>213</v>
      </c>
      <c r="H40" s="3">
        <v>0.0</v>
      </c>
      <c r="I40" s="4" t="s">
        <v>214</v>
      </c>
      <c r="J40" s="1" t="s">
        <v>215</v>
      </c>
      <c r="K40" s="1" t="s">
        <v>34</v>
      </c>
    </row>
    <row r="41">
      <c r="A41" s="1" t="s">
        <v>216</v>
      </c>
      <c r="B41" s="1" t="s">
        <v>217</v>
      </c>
      <c r="C41" s="1">
        <v>2024.0</v>
      </c>
      <c r="D41" s="2">
        <v>45420.0</v>
      </c>
      <c r="F41" s="1" t="s">
        <v>218</v>
      </c>
      <c r="H41" s="3">
        <v>0.0</v>
      </c>
      <c r="I41" s="4" t="s">
        <v>219</v>
      </c>
      <c r="J41" s="1" t="s">
        <v>220</v>
      </c>
      <c r="K41" s="1" t="s">
        <v>28</v>
      </c>
    </row>
    <row r="42">
      <c r="A42" s="1" t="s">
        <v>221</v>
      </c>
      <c r="B42" s="1" t="s">
        <v>222</v>
      </c>
      <c r="C42" s="1">
        <v>2024.0</v>
      </c>
      <c r="D42" s="2">
        <v>45420.0</v>
      </c>
      <c r="F42" s="1" t="s">
        <v>223</v>
      </c>
      <c r="H42" s="3">
        <v>0.0</v>
      </c>
      <c r="I42" s="4" t="s">
        <v>224</v>
      </c>
      <c r="J42" s="1" t="s">
        <v>225</v>
      </c>
      <c r="K42" s="1" t="s">
        <v>205</v>
      </c>
    </row>
    <row r="43">
      <c r="A43" s="1" t="s">
        <v>226</v>
      </c>
      <c r="B43" s="1" t="s">
        <v>227</v>
      </c>
      <c r="C43" s="1">
        <v>2024.0</v>
      </c>
      <c r="D43" s="2">
        <v>45420.0</v>
      </c>
      <c r="F43" s="1" t="s">
        <v>228</v>
      </c>
      <c r="H43" s="3">
        <v>0.0</v>
      </c>
      <c r="I43" s="4" t="s">
        <v>229</v>
      </c>
      <c r="J43" s="1" t="s">
        <v>230</v>
      </c>
      <c r="K43" s="1" t="s">
        <v>16</v>
      </c>
    </row>
    <row r="44">
      <c r="A44" s="1" t="s">
        <v>231</v>
      </c>
      <c r="B44" s="1" t="s">
        <v>232</v>
      </c>
      <c r="C44" s="1">
        <v>2024.0</v>
      </c>
      <c r="D44" s="2">
        <v>45420.0</v>
      </c>
      <c r="F44" s="1" t="s">
        <v>233</v>
      </c>
      <c r="H44" s="3">
        <v>0.0</v>
      </c>
      <c r="I44" s="4" t="s">
        <v>234</v>
      </c>
      <c r="J44" s="1" t="s">
        <v>235</v>
      </c>
      <c r="K44" s="1" t="s">
        <v>45</v>
      </c>
    </row>
    <row r="45">
      <c r="A45" s="1" t="s">
        <v>236</v>
      </c>
      <c r="B45" s="1" t="s">
        <v>237</v>
      </c>
      <c r="C45" s="1">
        <v>2024.0</v>
      </c>
      <c r="D45" s="2">
        <v>45418.0</v>
      </c>
      <c r="F45" s="1" t="s">
        <v>238</v>
      </c>
      <c r="H45" s="3">
        <v>0.0</v>
      </c>
      <c r="I45" s="4" t="s">
        <v>239</v>
      </c>
      <c r="J45" s="1" t="s">
        <v>240</v>
      </c>
      <c r="K45" s="1" t="s">
        <v>205</v>
      </c>
    </row>
    <row r="46">
      <c r="A46" s="1" t="s">
        <v>241</v>
      </c>
      <c r="B46" s="1" t="s">
        <v>242</v>
      </c>
      <c r="C46" s="1">
        <v>2024.0</v>
      </c>
      <c r="D46" s="2">
        <v>45415.0</v>
      </c>
      <c r="F46" s="1" t="s">
        <v>243</v>
      </c>
      <c r="H46" s="3">
        <v>0.0</v>
      </c>
      <c r="I46" s="4" t="s">
        <v>244</v>
      </c>
      <c r="J46" s="1" t="s">
        <v>245</v>
      </c>
      <c r="K46" s="1" t="s">
        <v>56</v>
      </c>
    </row>
    <row r="47">
      <c r="A47" s="1" t="s">
        <v>246</v>
      </c>
      <c r="B47" s="1" t="s">
        <v>247</v>
      </c>
      <c r="C47" s="1">
        <v>2024.0</v>
      </c>
      <c r="D47" s="2">
        <v>45414.0</v>
      </c>
      <c r="F47" s="1" t="s">
        <v>248</v>
      </c>
      <c r="H47" s="3">
        <v>0.0</v>
      </c>
      <c r="I47" s="4" t="s">
        <v>249</v>
      </c>
      <c r="J47" s="1" t="s">
        <v>250</v>
      </c>
      <c r="K47" s="1" t="s">
        <v>251</v>
      </c>
    </row>
    <row r="48">
      <c r="A48" s="1" t="s">
        <v>252</v>
      </c>
      <c r="B48" s="1" t="s">
        <v>253</v>
      </c>
      <c r="C48" s="1">
        <v>2024.0</v>
      </c>
      <c r="D48" s="2">
        <v>45413.0</v>
      </c>
      <c r="F48" s="1" t="s">
        <v>243</v>
      </c>
      <c r="H48" s="3">
        <v>4.0</v>
      </c>
      <c r="I48" s="4" t="s">
        <v>254</v>
      </c>
      <c r="J48" s="1" t="s">
        <v>255</v>
      </c>
      <c r="K48" s="1" t="s">
        <v>34</v>
      </c>
    </row>
    <row r="49">
      <c r="A49" s="1" t="s">
        <v>256</v>
      </c>
      <c r="B49" s="1" t="s">
        <v>257</v>
      </c>
      <c r="C49" s="1">
        <v>2024.0</v>
      </c>
      <c r="D49" s="2">
        <v>45413.0</v>
      </c>
      <c r="F49" s="1" t="s">
        <v>243</v>
      </c>
      <c r="H49" s="3">
        <v>4.0</v>
      </c>
      <c r="I49" s="4" t="s">
        <v>258</v>
      </c>
      <c r="J49" s="1" t="s">
        <v>259</v>
      </c>
      <c r="K49" s="1" t="s">
        <v>34</v>
      </c>
    </row>
    <row r="50">
      <c r="A50" s="1" t="s">
        <v>260</v>
      </c>
      <c r="B50" s="1" t="s">
        <v>261</v>
      </c>
      <c r="C50" s="1">
        <v>2024.0</v>
      </c>
      <c r="D50" s="2">
        <v>45413.0</v>
      </c>
      <c r="F50" s="1" t="s">
        <v>243</v>
      </c>
      <c r="H50" s="3">
        <v>4.0</v>
      </c>
      <c r="I50" s="4" t="s">
        <v>262</v>
      </c>
      <c r="J50" s="1" t="s">
        <v>263</v>
      </c>
      <c r="K50" s="1" t="s">
        <v>34</v>
      </c>
    </row>
    <row r="51">
      <c r="A51" s="1" t="s">
        <v>264</v>
      </c>
      <c r="B51" s="1" t="s">
        <v>265</v>
      </c>
      <c r="C51" s="1">
        <v>2024.0</v>
      </c>
      <c r="D51" s="2">
        <v>45413.0</v>
      </c>
      <c r="F51" s="1" t="s">
        <v>243</v>
      </c>
      <c r="H51" s="3">
        <v>4.0</v>
      </c>
      <c r="I51" s="4" t="s">
        <v>266</v>
      </c>
      <c r="J51" s="1" t="s">
        <v>267</v>
      </c>
      <c r="K51" s="1" t="s">
        <v>268</v>
      </c>
    </row>
    <row r="52">
      <c r="A52" s="1" t="s">
        <v>269</v>
      </c>
      <c r="B52" s="1" t="s">
        <v>270</v>
      </c>
      <c r="C52" s="1">
        <v>2024.0</v>
      </c>
      <c r="D52" s="2">
        <v>45413.0</v>
      </c>
      <c r="F52" s="1" t="s">
        <v>271</v>
      </c>
      <c r="H52" s="3">
        <v>0.0</v>
      </c>
      <c r="I52" s="4" t="s">
        <v>272</v>
      </c>
      <c r="J52" s="1" t="s">
        <v>273</v>
      </c>
      <c r="K52" s="1" t="s">
        <v>28</v>
      </c>
    </row>
    <row r="53">
      <c r="A53" s="1" t="s">
        <v>274</v>
      </c>
      <c r="B53" s="1" t="s">
        <v>275</v>
      </c>
      <c r="C53" s="1">
        <v>2024.0</v>
      </c>
      <c r="D53" s="2">
        <v>45413.0</v>
      </c>
      <c r="F53" s="1" t="s">
        <v>276</v>
      </c>
      <c r="H53" s="3">
        <v>0.0</v>
      </c>
      <c r="I53" s="4" t="s">
        <v>277</v>
      </c>
      <c r="J53" s="1" t="s">
        <v>278</v>
      </c>
      <c r="K53" s="1" t="s">
        <v>251</v>
      </c>
    </row>
    <row r="54">
      <c r="A54" s="1" t="s">
        <v>279</v>
      </c>
      <c r="B54" s="1" t="s">
        <v>280</v>
      </c>
      <c r="C54" s="1">
        <v>2024.0</v>
      </c>
      <c r="D54" s="2">
        <v>45412.0</v>
      </c>
      <c r="F54" s="1" t="s">
        <v>136</v>
      </c>
      <c r="H54" s="3">
        <v>0.0</v>
      </c>
      <c r="I54" s="4" t="s">
        <v>281</v>
      </c>
      <c r="J54" s="1" t="s">
        <v>282</v>
      </c>
      <c r="K54" s="1" t="s">
        <v>283</v>
      </c>
    </row>
    <row r="55">
      <c r="A55" s="1" t="s">
        <v>284</v>
      </c>
      <c r="B55" s="1" t="s">
        <v>285</v>
      </c>
      <c r="C55" s="1">
        <v>2024.0</v>
      </c>
      <c r="D55" s="2">
        <v>45412.0</v>
      </c>
      <c r="F55" s="1" t="s">
        <v>286</v>
      </c>
      <c r="H55" s="3">
        <v>0.0</v>
      </c>
      <c r="I55" s="4" t="s">
        <v>287</v>
      </c>
      <c r="J55" s="1" t="s">
        <v>288</v>
      </c>
      <c r="K55" s="1" t="s">
        <v>289</v>
      </c>
    </row>
    <row r="56">
      <c r="A56" s="1" t="s">
        <v>290</v>
      </c>
      <c r="B56" s="1" t="s">
        <v>291</v>
      </c>
      <c r="C56" s="1">
        <v>2024.0</v>
      </c>
      <c r="D56" s="2">
        <v>45411.0</v>
      </c>
      <c r="F56" s="1" t="s">
        <v>292</v>
      </c>
      <c r="H56" s="3">
        <v>0.0</v>
      </c>
      <c r="I56" s="4" t="s">
        <v>293</v>
      </c>
      <c r="J56" s="1" t="s">
        <v>294</v>
      </c>
      <c r="K56" s="1" t="s">
        <v>295</v>
      </c>
    </row>
    <row r="57">
      <c r="A57" s="1" t="s">
        <v>296</v>
      </c>
      <c r="B57" s="1" t="s">
        <v>297</v>
      </c>
      <c r="C57" s="1">
        <v>2024.0</v>
      </c>
      <c r="D57" s="2">
        <v>45411.0</v>
      </c>
      <c r="F57" s="1" t="s">
        <v>298</v>
      </c>
      <c r="H57" s="3">
        <v>0.0</v>
      </c>
      <c r="I57" s="4" t="s">
        <v>299</v>
      </c>
      <c r="J57" s="1" t="s">
        <v>300</v>
      </c>
      <c r="K57" s="1" t="s">
        <v>68</v>
      </c>
    </row>
    <row r="58">
      <c r="A58" s="1" t="s">
        <v>301</v>
      </c>
      <c r="B58" s="1" t="s">
        <v>302</v>
      </c>
      <c r="C58" s="1">
        <v>2024.0</v>
      </c>
      <c r="D58" s="2">
        <v>45411.0</v>
      </c>
      <c r="F58" s="1" t="s">
        <v>303</v>
      </c>
      <c r="H58" s="3">
        <v>0.0</v>
      </c>
      <c r="I58" s="4" t="s">
        <v>304</v>
      </c>
      <c r="J58" s="1" t="s">
        <v>305</v>
      </c>
      <c r="K58" s="1" t="s">
        <v>28</v>
      </c>
    </row>
    <row r="59">
      <c r="A59" s="1" t="s">
        <v>306</v>
      </c>
      <c r="B59" s="1" t="s">
        <v>307</v>
      </c>
      <c r="C59" s="1">
        <v>2024.0</v>
      </c>
      <c r="D59" s="2">
        <v>45411.0</v>
      </c>
      <c r="F59" s="1" t="s">
        <v>308</v>
      </c>
      <c r="H59" s="3">
        <v>0.0</v>
      </c>
      <c r="I59" s="4" t="s">
        <v>309</v>
      </c>
      <c r="J59" s="1" t="s">
        <v>310</v>
      </c>
      <c r="K59" s="1" t="s">
        <v>311</v>
      </c>
    </row>
    <row r="60">
      <c r="A60" s="1" t="s">
        <v>312</v>
      </c>
      <c r="B60" s="1" t="s">
        <v>313</v>
      </c>
      <c r="C60" s="1">
        <v>2024.0</v>
      </c>
      <c r="D60" s="2">
        <v>45408.0</v>
      </c>
      <c r="F60" s="1" t="s">
        <v>314</v>
      </c>
      <c r="H60" s="3">
        <v>0.0</v>
      </c>
      <c r="I60" s="4" t="s">
        <v>315</v>
      </c>
      <c r="J60" s="1" t="s">
        <v>316</v>
      </c>
      <c r="K60" s="1" t="s">
        <v>317</v>
      </c>
    </row>
    <row r="61">
      <c r="A61" s="1" t="s">
        <v>318</v>
      </c>
      <c r="B61" s="1" t="s">
        <v>319</v>
      </c>
      <c r="C61" s="1">
        <v>2024.0</v>
      </c>
      <c r="D61" s="2">
        <v>45407.0</v>
      </c>
      <c r="F61" s="1" t="s">
        <v>320</v>
      </c>
      <c r="H61" s="3">
        <v>0.0</v>
      </c>
      <c r="I61" s="4" t="s">
        <v>321</v>
      </c>
      <c r="J61" s="1" t="s">
        <v>322</v>
      </c>
      <c r="K61" s="1" t="s">
        <v>323</v>
      </c>
    </row>
    <row r="62">
      <c r="A62" s="1" t="s">
        <v>324</v>
      </c>
      <c r="B62" s="1" t="s">
        <v>325</v>
      </c>
      <c r="C62" s="1">
        <v>2024.0</v>
      </c>
      <c r="D62" s="2">
        <v>45406.0</v>
      </c>
      <c r="F62" s="1" t="s">
        <v>326</v>
      </c>
      <c r="H62" s="3">
        <v>0.0</v>
      </c>
      <c r="I62" s="4" t="s">
        <v>327</v>
      </c>
      <c r="J62" s="1" t="s">
        <v>328</v>
      </c>
      <c r="K62" s="1" t="s">
        <v>329</v>
      </c>
    </row>
    <row r="63">
      <c r="A63" s="1" t="s">
        <v>330</v>
      </c>
      <c r="B63" s="1" t="s">
        <v>331</v>
      </c>
      <c r="C63" s="1">
        <v>2024.0</v>
      </c>
      <c r="D63" s="2">
        <v>45406.0</v>
      </c>
      <c r="F63" s="1" t="s">
        <v>332</v>
      </c>
      <c r="H63" s="3">
        <v>0.0</v>
      </c>
      <c r="I63" s="4" t="s">
        <v>333</v>
      </c>
      <c r="J63" s="1" t="s">
        <v>334</v>
      </c>
      <c r="K63" s="1" t="s">
        <v>16</v>
      </c>
    </row>
    <row r="64">
      <c r="A64" s="1" t="s">
        <v>335</v>
      </c>
      <c r="B64" s="1" t="s">
        <v>336</v>
      </c>
      <c r="C64" s="1">
        <v>2024.0</v>
      </c>
      <c r="D64" s="2">
        <v>45405.0</v>
      </c>
      <c r="F64" s="1" t="s">
        <v>337</v>
      </c>
      <c r="H64" s="3">
        <v>0.0</v>
      </c>
      <c r="I64" s="4" t="s">
        <v>338</v>
      </c>
      <c r="J64" s="1" t="s">
        <v>339</v>
      </c>
      <c r="K64" s="1" t="s">
        <v>340</v>
      </c>
    </row>
    <row r="65">
      <c r="A65" s="1" t="s">
        <v>341</v>
      </c>
      <c r="B65" s="1" t="s">
        <v>342</v>
      </c>
      <c r="C65" s="1">
        <v>2024.0</v>
      </c>
      <c r="D65" s="2">
        <v>45405.0</v>
      </c>
      <c r="F65" s="1" t="s">
        <v>308</v>
      </c>
      <c r="H65" s="3">
        <v>0.0</v>
      </c>
      <c r="I65" s="4" t="s">
        <v>343</v>
      </c>
      <c r="J65" s="1" t="s">
        <v>344</v>
      </c>
      <c r="K65" s="1" t="s">
        <v>28</v>
      </c>
    </row>
    <row r="66">
      <c r="A66" s="1" t="s">
        <v>345</v>
      </c>
      <c r="B66" s="1" t="s">
        <v>346</v>
      </c>
      <c r="C66" s="1">
        <v>2024.0</v>
      </c>
      <c r="D66" s="2">
        <v>45405.0</v>
      </c>
      <c r="F66" s="1" t="s">
        <v>347</v>
      </c>
      <c r="H66" s="3">
        <v>0.0</v>
      </c>
      <c r="I66" s="4" t="s">
        <v>348</v>
      </c>
      <c r="J66" s="1" t="s">
        <v>349</v>
      </c>
      <c r="K66" s="1" t="s">
        <v>323</v>
      </c>
    </row>
    <row r="67">
      <c r="A67" s="1" t="s">
        <v>350</v>
      </c>
      <c r="B67" s="1" t="s">
        <v>351</v>
      </c>
      <c r="C67" s="1">
        <v>2024.0</v>
      </c>
      <c r="D67" s="2">
        <v>45405.0</v>
      </c>
      <c r="F67" s="1" t="s">
        <v>147</v>
      </c>
      <c r="H67" s="3">
        <v>0.0</v>
      </c>
      <c r="I67" s="4" t="s">
        <v>352</v>
      </c>
      <c r="J67" s="1"/>
      <c r="K67" s="1" t="s">
        <v>68</v>
      </c>
    </row>
    <row r="68">
      <c r="A68" s="1" t="s">
        <v>353</v>
      </c>
      <c r="B68" s="1" t="s">
        <v>354</v>
      </c>
      <c r="C68" s="1">
        <v>2024.0</v>
      </c>
      <c r="D68" s="2">
        <v>45405.0</v>
      </c>
      <c r="F68" s="1" t="s">
        <v>355</v>
      </c>
      <c r="H68" s="3">
        <v>0.0</v>
      </c>
      <c r="I68" s="4" t="s">
        <v>356</v>
      </c>
      <c r="J68" s="1" t="s">
        <v>357</v>
      </c>
      <c r="K68" s="1" t="s">
        <v>16</v>
      </c>
    </row>
    <row r="69">
      <c r="A69" s="1" t="s">
        <v>358</v>
      </c>
      <c r="B69" s="1" t="s">
        <v>359</v>
      </c>
      <c r="C69" s="1">
        <v>2024.0</v>
      </c>
      <c r="D69" s="2">
        <v>45402.0</v>
      </c>
      <c r="F69" s="1" t="s">
        <v>86</v>
      </c>
      <c r="H69" s="3">
        <v>0.0</v>
      </c>
      <c r="I69" s="4" t="s">
        <v>360</v>
      </c>
      <c r="J69" s="1" t="s">
        <v>361</v>
      </c>
      <c r="K69" s="1" t="s">
        <v>323</v>
      </c>
    </row>
    <row r="70">
      <c r="A70" s="1" t="s">
        <v>362</v>
      </c>
      <c r="B70" s="1" t="s">
        <v>363</v>
      </c>
      <c r="C70" s="1">
        <v>2024.0</v>
      </c>
      <c r="D70" s="2">
        <v>45402.0</v>
      </c>
      <c r="F70" s="1" t="s">
        <v>364</v>
      </c>
      <c r="H70" s="3">
        <v>0.0</v>
      </c>
      <c r="I70" s="4" t="s">
        <v>365</v>
      </c>
      <c r="J70" s="1" t="s">
        <v>366</v>
      </c>
      <c r="K70" s="1" t="s">
        <v>295</v>
      </c>
    </row>
    <row r="71">
      <c r="A71" s="1" t="s">
        <v>367</v>
      </c>
      <c r="B71" s="1" t="s">
        <v>368</v>
      </c>
      <c r="C71" s="1">
        <v>2024.0</v>
      </c>
      <c r="D71" s="2">
        <v>45401.0</v>
      </c>
      <c r="F71" s="1" t="s">
        <v>369</v>
      </c>
      <c r="H71" s="3">
        <v>0.0</v>
      </c>
      <c r="I71" s="4" t="s">
        <v>370</v>
      </c>
      <c r="J71" s="1" t="s">
        <v>371</v>
      </c>
      <c r="K71" s="1" t="s">
        <v>372</v>
      </c>
    </row>
    <row r="72">
      <c r="A72" s="1" t="s">
        <v>373</v>
      </c>
      <c r="B72" s="1" t="s">
        <v>374</v>
      </c>
      <c r="C72" s="1">
        <v>2024.0</v>
      </c>
      <c r="D72" s="2">
        <v>45401.0</v>
      </c>
      <c r="F72" s="1" t="s">
        <v>375</v>
      </c>
      <c r="H72" s="3">
        <v>0.0</v>
      </c>
      <c r="I72" s="4" t="s">
        <v>376</v>
      </c>
      <c r="J72" s="1" t="s">
        <v>377</v>
      </c>
      <c r="K72" s="1" t="s">
        <v>295</v>
      </c>
    </row>
    <row r="73">
      <c r="A73" s="1" t="s">
        <v>378</v>
      </c>
      <c r="B73" s="1" t="s">
        <v>379</v>
      </c>
      <c r="C73" s="1">
        <v>2024.0</v>
      </c>
      <c r="D73" s="2">
        <v>45401.0</v>
      </c>
      <c r="F73" s="1" t="s">
        <v>380</v>
      </c>
      <c r="H73" s="3">
        <v>0.0</v>
      </c>
      <c r="I73" s="4" t="s">
        <v>381</v>
      </c>
      <c r="J73" s="1" t="s">
        <v>382</v>
      </c>
      <c r="K73" s="1" t="s">
        <v>383</v>
      </c>
    </row>
    <row r="74">
      <c r="A74" s="1" t="s">
        <v>384</v>
      </c>
      <c r="B74" s="1" t="s">
        <v>385</v>
      </c>
      <c r="C74" s="1">
        <v>2024.0</v>
      </c>
      <c r="D74" s="2">
        <v>45400.0</v>
      </c>
      <c r="F74" s="1" t="s">
        <v>386</v>
      </c>
      <c r="H74" s="3">
        <v>0.0</v>
      </c>
      <c r="I74" s="4" t="s">
        <v>387</v>
      </c>
      <c r="J74" s="1" t="s">
        <v>388</v>
      </c>
      <c r="K74" s="1" t="s">
        <v>251</v>
      </c>
    </row>
    <row r="75">
      <c r="A75" s="1" t="s">
        <v>389</v>
      </c>
      <c r="B75" s="1" t="s">
        <v>390</v>
      </c>
      <c r="C75" s="1">
        <v>2024.0</v>
      </c>
      <c r="D75" s="2">
        <v>45399.0</v>
      </c>
      <c r="F75" s="1" t="s">
        <v>391</v>
      </c>
      <c r="H75" s="3">
        <v>0.0</v>
      </c>
      <c r="I75" s="4" t="s">
        <v>392</v>
      </c>
      <c r="J75" s="1" t="s">
        <v>393</v>
      </c>
      <c r="K75" s="1" t="s">
        <v>16</v>
      </c>
    </row>
    <row r="76">
      <c r="A76" s="1" t="s">
        <v>394</v>
      </c>
      <c r="B76" s="1" t="s">
        <v>395</v>
      </c>
      <c r="C76" s="1">
        <v>2024.0</v>
      </c>
      <c r="D76" s="2">
        <v>45398.0</v>
      </c>
      <c r="F76" s="1" t="s">
        <v>396</v>
      </c>
      <c r="H76" s="3">
        <v>2.0</v>
      </c>
      <c r="I76" s="4" t="s">
        <v>397</v>
      </c>
      <c r="J76" s="1" t="s">
        <v>398</v>
      </c>
      <c r="K76" s="1" t="s">
        <v>372</v>
      </c>
    </row>
    <row r="77">
      <c r="A77" s="1" t="s">
        <v>399</v>
      </c>
      <c r="B77" s="1" t="s">
        <v>400</v>
      </c>
      <c r="C77" s="1">
        <v>2024.0</v>
      </c>
      <c r="D77" s="2">
        <v>45398.0</v>
      </c>
      <c r="F77" s="1" t="s">
        <v>271</v>
      </c>
      <c r="H77" s="3">
        <v>0.0</v>
      </c>
      <c r="I77" s="4" t="s">
        <v>401</v>
      </c>
      <c r="J77" s="1" t="s">
        <v>402</v>
      </c>
      <c r="K77" s="1" t="s">
        <v>403</v>
      </c>
    </row>
    <row r="78">
      <c r="A78" s="1" t="s">
        <v>404</v>
      </c>
      <c r="B78" s="1" t="s">
        <v>405</v>
      </c>
      <c r="C78" s="1">
        <v>2024.0</v>
      </c>
      <c r="D78" s="2">
        <v>45398.0</v>
      </c>
      <c r="F78" s="1" t="s">
        <v>218</v>
      </c>
      <c r="H78" s="3">
        <v>0.0</v>
      </c>
      <c r="I78" s="4" t="s">
        <v>406</v>
      </c>
      <c r="J78" s="1" t="s">
        <v>407</v>
      </c>
      <c r="K78" s="1" t="s">
        <v>16</v>
      </c>
    </row>
    <row r="79">
      <c r="A79" s="1" t="s">
        <v>408</v>
      </c>
      <c r="B79" s="1" t="s">
        <v>409</v>
      </c>
      <c r="C79" s="1">
        <v>2024.0</v>
      </c>
      <c r="D79" s="2">
        <v>45398.0</v>
      </c>
      <c r="F79" s="1" t="s">
        <v>410</v>
      </c>
      <c r="H79" s="3">
        <v>0.0</v>
      </c>
      <c r="I79" s="4" t="s">
        <v>411</v>
      </c>
      <c r="J79" s="1" t="s">
        <v>412</v>
      </c>
      <c r="K79" s="1" t="s">
        <v>413</v>
      </c>
    </row>
    <row r="80">
      <c r="A80" s="1" t="s">
        <v>414</v>
      </c>
      <c r="B80" s="1" t="s">
        <v>415</v>
      </c>
      <c r="C80" s="1">
        <v>2024.0</v>
      </c>
      <c r="D80" s="2">
        <v>45397.0</v>
      </c>
      <c r="F80" s="1" t="s">
        <v>208</v>
      </c>
      <c r="H80" s="3">
        <v>0.0</v>
      </c>
      <c r="I80" s="4" t="s">
        <v>416</v>
      </c>
      <c r="J80" s="1" t="s">
        <v>417</v>
      </c>
      <c r="K80" s="1" t="s">
        <v>418</v>
      </c>
    </row>
    <row r="81">
      <c r="A81" s="1" t="s">
        <v>419</v>
      </c>
      <c r="B81" s="1" t="s">
        <v>420</v>
      </c>
      <c r="C81" s="1">
        <v>2024.0</v>
      </c>
      <c r="D81" s="2">
        <v>45397.0</v>
      </c>
      <c r="F81" s="1" t="s">
        <v>208</v>
      </c>
      <c r="H81" s="3">
        <v>1.0</v>
      </c>
      <c r="I81" s="4" t="s">
        <v>416</v>
      </c>
      <c r="J81" s="1" t="s">
        <v>421</v>
      </c>
      <c r="K81" s="1" t="s">
        <v>422</v>
      </c>
    </row>
    <row r="82">
      <c r="A82" s="1" t="s">
        <v>423</v>
      </c>
      <c r="B82" s="1" t="s">
        <v>424</v>
      </c>
      <c r="C82" s="1">
        <v>2024.0</v>
      </c>
      <c r="D82" s="2">
        <v>45395.0</v>
      </c>
      <c r="F82" s="1" t="s">
        <v>425</v>
      </c>
      <c r="H82" s="3">
        <v>0.0</v>
      </c>
      <c r="I82" s="4" t="s">
        <v>426</v>
      </c>
      <c r="J82" s="1" t="s">
        <v>427</v>
      </c>
      <c r="K82" s="1" t="s">
        <v>323</v>
      </c>
    </row>
    <row r="83">
      <c r="A83" s="1" t="s">
        <v>428</v>
      </c>
      <c r="B83" s="1" t="s">
        <v>429</v>
      </c>
      <c r="C83" s="1">
        <v>2024.0</v>
      </c>
      <c r="D83" s="2">
        <v>45393.0</v>
      </c>
      <c r="F83" s="1" t="s">
        <v>430</v>
      </c>
      <c r="H83" s="3">
        <v>0.0</v>
      </c>
      <c r="I83" s="4" t="s">
        <v>431</v>
      </c>
      <c r="J83" s="1" t="s">
        <v>432</v>
      </c>
      <c r="K83" s="1" t="s">
        <v>28</v>
      </c>
    </row>
    <row r="84">
      <c r="A84" s="1" t="s">
        <v>433</v>
      </c>
      <c r="B84" s="1" t="s">
        <v>434</v>
      </c>
      <c r="C84" s="1">
        <v>2024.0</v>
      </c>
      <c r="D84" s="2">
        <v>45392.0</v>
      </c>
      <c r="F84" s="1" t="s">
        <v>435</v>
      </c>
      <c r="H84" s="3">
        <v>0.0</v>
      </c>
      <c r="I84" s="4" t="s">
        <v>436</v>
      </c>
      <c r="J84" s="1" t="s">
        <v>437</v>
      </c>
      <c r="K84" s="1" t="s">
        <v>418</v>
      </c>
    </row>
    <row r="85">
      <c r="A85" s="1" t="s">
        <v>438</v>
      </c>
      <c r="B85" s="1" t="s">
        <v>439</v>
      </c>
      <c r="C85" s="1">
        <v>2024.0</v>
      </c>
      <c r="D85" s="2">
        <v>45392.0</v>
      </c>
      <c r="F85" s="1" t="s">
        <v>440</v>
      </c>
      <c r="H85" s="3">
        <v>0.0</v>
      </c>
      <c r="I85" s="4" t="s">
        <v>441</v>
      </c>
      <c r="J85" s="1" t="s">
        <v>442</v>
      </c>
      <c r="K85" s="1" t="s">
        <v>443</v>
      </c>
    </row>
    <row r="86">
      <c r="A86" s="1" t="s">
        <v>444</v>
      </c>
      <c r="B86" s="1" t="s">
        <v>445</v>
      </c>
      <c r="C86" s="1">
        <v>2024.0</v>
      </c>
      <c r="D86" s="2">
        <v>45392.0</v>
      </c>
      <c r="F86" s="1" t="s">
        <v>446</v>
      </c>
      <c r="H86" s="3">
        <v>0.0</v>
      </c>
      <c r="I86" s="4" t="s">
        <v>447</v>
      </c>
      <c r="J86" s="1" t="s">
        <v>448</v>
      </c>
      <c r="K86" s="1" t="s">
        <v>16</v>
      </c>
    </row>
    <row r="87">
      <c r="A87" s="1" t="s">
        <v>449</v>
      </c>
      <c r="B87" s="1" t="s">
        <v>450</v>
      </c>
      <c r="C87" s="1">
        <v>2024.0</v>
      </c>
      <c r="D87" s="2">
        <v>45390.0</v>
      </c>
      <c r="F87" s="1" t="s">
        <v>451</v>
      </c>
      <c r="H87" s="3">
        <v>1.0</v>
      </c>
      <c r="I87" s="4" t="s">
        <v>452</v>
      </c>
      <c r="J87" s="1" t="s">
        <v>453</v>
      </c>
      <c r="K87" s="1" t="s">
        <v>413</v>
      </c>
    </row>
    <row r="88">
      <c r="A88" s="1" t="s">
        <v>454</v>
      </c>
      <c r="B88" s="1" t="s">
        <v>455</v>
      </c>
      <c r="C88" s="1">
        <v>2024.0</v>
      </c>
      <c r="D88" s="2">
        <v>45390.0</v>
      </c>
      <c r="F88" s="1" t="s">
        <v>451</v>
      </c>
      <c r="H88" s="3">
        <v>1.0</v>
      </c>
      <c r="I88" s="4" t="s">
        <v>456</v>
      </c>
      <c r="J88" s="1" t="s">
        <v>457</v>
      </c>
      <c r="K88" s="1" t="s">
        <v>16</v>
      </c>
    </row>
    <row r="89">
      <c r="A89" s="1" t="s">
        <v>458</v>
      </c>
      <c r="B89" s="1" t="s">
        <v>459</v>
      </c>
      <c r="C89" s="1">
        <v>2024.0</v>
      </c>
      <c r="D89" s="2">
        <v>45390.0</v>
      </c>
      <c r="F89" s="1" t="s">
        <v>59</v>
      </c>
      <c r="H89" s="3">
        <v>0.0</v>
      </c>
      <c r="I89" s="4" t="s">
        <v>460</v>
      </c>
      <c r="J89" s="1" t="s">
        <v>461</v>
      </c>
      <c r="K89" s="1" t="s">
        <v>462</v>
      </c>
    </row>
    <row r="90">
      <c r="A90" s="1" t="s">
        <v>463</v>
      </c>
      <c r="B90" s="1" t="s">
        <v>464</v>
      </c>
      <c r="C90" s="1">
        <v>2024.0</v>
      </c>
      <c r="D90" s="2">
        <v>45390.0</v>
      </c>
      <c r="F90" s="1" t="s">
        <v>465</v>
      </c>
      <c r="H90" s="3">
        <v>0.0</v>
      </c>
      <c r="I90" s="4" t="s">
        <v>466</v>
      </c>
      <c r="J90" s="1" t="s">
        <v>467</v>
      </c>
      <c r="K90" s="1" t="s">
        <v>16</v>
      </c>
    </row>
    <row r="91">
      <c r="A91" s="1" t="s">
        <v>468</v>
      </c>
      <c r="B91" s="1" t="s">
        <v>469</v>
      </c>
      <c r="C91" s="1">
        <v>2024.0</v>
      </c>
      <c r="D91" s="2">
        <v>45390.0</v>
      </c>
      <c r="F91" s="1" t="s">
        <v>86</v>
      </c>
      <c r="H91" s="3">
        <v>0.0</v>
      </c>
      <c r="I91" s="4" t="s">
        <v>470</v>
      </c>
      <c r="J91" s="1" t="s">
        <v>471</v>
      </c>
      <c r="K91" s="1" t="s">
        <v>16</v>
      </c>
    </row>
    <row r="92">
      <c r="A92" s="1" t="s">
        <v>472</v>
      </c>
      <c r="B92" s="1" t="s">
        <v>473</v>
      </c>
      <c r="C92" s="1">
        <v>2024.0</v>
      </c>
      <c r="D92" s="2">
        <v>45388.0</v>
      </c>
      <c r="F92" s="1" t="s">
        <v>474</v>
      </c>
      <c r="H92" s="3">
        <v>0.0</v>
      </c>
      <c r="I92" s="4" t="s">
        <v>475</v>
      </c>
      <c r="J92" s="1" t="s">
        <v>476</v>
      </c>
      <c r="K92" s="1" t="s">
        <v>477</v>
      </c>
    </row>
    <row r="93">
      <c r="A93" s="1" t="s">
        <v>478</v>
      </c>
      <c r="B93" s="1" t="s">
        <v>479</v>
      </c>
      <c r="C93" s="1">
        <v>2024.0</v>
      </c>
      <c r="D93" s="2">
        <v>45387.0</v>
      </c>
      <c r="F93" s="1" t="s">
        <v>71</v>
      </c>
      <c r="H93" s="3">
        <v>0.0</v>
      </c>
      <c r="I93" s="4" t="s">
        <v>480</v>
      </c>
      <c r="J93" s="1" t="s">
        <v>481</v>
      </c>
      <c r="K93" s="1" t="s">
        <v>28</v>
      </c>
    </row>
    <row r="94">
      <c r="A94" s="1" t="s">
        <v>482</v>
      </c>
      <c r="B94" s="1" t="s">
        <v>483</v>
      </c>
      <c r="C94" s="1">
        <v>2024.0</v>
      </c>
      <c r="D94" s="2">
        <v>45387.0</v>
      </c>
      <c r="F94" s="1" t="s">
        <v>484</v>
      </c>
      <c r="H94" s="3">
        <v>1.0</v>
      </c>
      <c r="I94" s="4" t="s">
        <v>485</v>
      </c>
      <c r="J94" s="1" t="s">
        <v>486</v>
      </c>
      <c r="K94" s="1" t="s">
        <v>295</v>
      </c>
    </row>
    <row r="95">
      <c r="A95" s="1" t="s">
        <v>487</v>
      </c>
      <c r="B95" s="1" t="s">
        <v>488</v>
      </c>
      <c r="C95" s="1">
        <v>2024.0</v>
      </c>
      <c r="D95" s="2">
        <v>45387.0</v>
      </c>
      <c r="F95" s="1" t="s">
        <v>489</v>
      </c>
      <c r="H95" s="3">
        <v>0.0</v>
      </c>
      <c r="I95" s="4" t="s">
        <v>490</v>
      </c>
      <c r="J95" s="1" t="s">
        <v>491</v>
      </c>
      <c r="K95" s="1" t="s">
        <v>492</v>
      </c>
    </row>
    <row r="96">
      <c r="A96" s="1" t="s">
        <v>493</v>
      </c>
      <c r="B96" s="1" t="s">
        <v>494</v>
      </c>
      <c r="C96" s="1">
        <v>2024.0</v>
      </c>
      <c r="D96" s="2">
        <v>45387.0</v>
      </c>
      <c r="F96" s="1" t="s">
        <v>495</v>
      </c>
      <c r="H96" s="3">
        <v>1.0</v>
      </c>
      <c r="I96" s="4" t="s">
        <v>496</v>
      </c>
      <c r="J96" s="1" t="s">
        <v>497</v>
      </c>
      <c r="K96" s="1" t="s">
        <v>28</v>
      </c>
    </row>
    <row r="97">
      <c r="A97" s="1" t="s">
        <v>498</v>
      </c>
      <c r="B97" s="1" t="s">
        <v>499</v>
      </c>
      <c r="C97" s="1">
        <v>2024.0</v>
      </c>
      <c r="D97" s="2">
        <v>45387.0</v>
      </c>
      <c r="F97" s="1" t="s">
        <v>500</v>
      </c>
      <c r="H97" s="3">
        <v>0.0</v>
      </c>
      <c r="I97" s="4" t="s">
        <v>501</v>
      </c>
      <c r="J97" s="1" t="s">
        <v>502</v>
      </c>
      <c r="K97" s="1" t="s">
        <v>323</v>
      </c>
    </row>
    <row r="98">
      <c r="A98" s="1" t="s">
        <v>503</v>
      </c>
      <c r="B98" s="1" t="s">
        <v>504</v>
      </c>
      <c r="C98" s="1">
        <v>2024.0</v>
      </c>
      <c r="D98" s="2">
        <v>45387.0</v>
      </c>
      <c r="F98" s="1" t="s">
        <v>505</v>
      </c>
      <c r="H98" s="3">
        <v>1.0</v>
      </c>
      <c r="I98" s="4" t="s">
        <v>506</v>
      </c>
      <c r="J98" s="1" t="s">
        <v>507</v>
      </c>
      <c r="K98" s="1" t="s">
        <v>68</v>
      </c>
    </row>
    <row r="99">
      <c r="A99" s="1" t="s">
        <v>508</v>
      </c>
      <c r="B99" s="1" t="s">
        <v>509</v>
      </c>
      <c r="C99" s="1">
        <v>2024.0</v>
      </c>
      <c r="D99" s="2">
        <v>45385.0</v>
      </c>
      <c r="F99" s="1" t="s">
        <v>510</v>
      </c>
      <c r="H99" s="3">
        <v>0.0</v>
      </c>
      <c r="I99" s="4" t="s">
        <v>511</v>
      </c>
      <c r="J99" s="1" t="s">
        <v>512</v>
      </c>
      <c r="K99" s="1" t="s">
        <v>295</v>
      </c>
    </row>
    <row r="100">
      <c r="A100" s="1" t="s">
        <v>513</v>
      </c>
      <c r="B100" s="1" t="s">
        <v>514</v>
      </c>
      <c r="C100" s="1">
        <v>2024.0</v>
      </c>
      <c r="D100" s="2">
        <v>45385.0</v>
      </c>
      <c r="F100" s="1" t="s">
        <v>86</v>
      </c>
      <c r="H100" s="3">
        <v>0.0</v>
      </c>
      <c r="I100" s="4" t="s">
        <v>515</v>
      </c>
      <c r="J100" s="1" t="s">
        <v>516</v>
      </c>
      <c r="K100" s="1" t="s">
        <v>16</v>
      </c>
    </row>
    <row r="101">
      <c r="A101" s="1" t="s">
        <v>517</v>
      </c>
      <c r="B101" s="1" t="s">
        <v>518</v>
      </c>
      <c r="C101" s="1">
        <v>2024.0</v>
      </c>
      <c r="D101" s="2">
        <v>45384.0</v>
      </c>
      <c r="F101" s="1" t="s">
        <v>519</v>
      </c>
      <c r="H101" s="3">
        <v>0.0</v>
      </c>
      <c r="I101" s="4" t="s">
        <v>520</v>
      </c>
      <c r="J101" s="1" t="s">
        <v>521</v>
      </c>
      <c r="K101" s="1" t="s">
        <v>323</v>
      </c>
    </row>
    <row r="102">
      <c r="A102" s="1" t="s">
        <v>522</v>
      </c>
      <c r="B102" s="1" t="s">
        <v>523</v>
      </c>
      <c r="C102" s="1">
        <v>2024.0</v>
      </c>
      <c r="D102" s="2">
        <v>45383.0</v>
      </c>
      <c r="F102" s="1" t="s">
        <v>524</v>
      </c>
      <c r="H102" s="3">
        <v>2.0</v>
      </c>
      <c r="I102" s="4" t="s">
        <v>525</v>
      </c>
      <c r="J102" s="1" t="s">
        <v>526</v>
      </c>
      <c r="K102" s="1" t="s">
        <v>527</v>
      </c>
    </row>
    <row r="103">
      <c r="A103" s="1" t="s">
        <v>528</v>
      </c>
      <c r="B103" s="1" t="s">
        <v>529</v>
      </c>
      <c r="C103" s="1">
        <v>2024.0</v>
      </c>
      <c r="D103" s="2">
        <v>45383.0</v>
      </c>
      <c r="F103" s="1" t="s">
        <v>530</v>
      </c>
      <c r="H103" s="3">
        <v>1.0</v>
      </c>
      <c r="I103" s="4" t="s">
        <v>531</v>
      </c>
      <c r="J103" s="1" t="s">
        <v>532</v>
      </c>
      <c r="K103" s="1" t="s">
        <v>295</v>
      </c>
    </row>
    <row r="104">
      <c r="A104" s="1" t="s">
        <v>533</v>
      </c>
      <c r="B104" s="1" t="s">
        <v>534</v>
      </c>
      <c r="C104" s="1">
        <v>2024.0</v>
      </c>
      <c r="D104" s="2">
        <v>45381.0</v>
      </c>
      <c r="F104" s="1" t="s">
        <v>535</v>
      </c>
      <c r="H104" s="3">
        <v>0.0</v>
      </c>
      <c r="I104" s="4" t="s">
        <v>536</v>
      </c>
      <c r="J104" s="1" t="s">
        <v>537</v>
      </c>
      <c r="K104" s="1" t="s">
        <v>68</v>
      </c>
    </row>
    <row r="105">
      <c r="A105" s="1" t="s">
        <v>538</v>
      </c>
      <c r="B105" s="1" t="s">
        <v>539</v>
      </c>
      <c r="C105" s="1">
        <v>2024.0</v>
      </c>
      <c r="D105" s="2">
        <v>45380.0</v>
      </c>
      <c r="F105" s="1" t="s">
        <v>540</v>
      </c>
      <c r="H105" s="3">
        <v>0.0</v>
      </c>
      <c r="I105" s="4" t="s">
        <v>541</v>
      </c>
      <c r="J105" s="1" t="s">
        <v>542</v>
      </c>
      <c r="K105" s="1" t="s">
        <v>323</v>
      </c>
    </row>
    <row r="106">
      <c r="A106" s="1" t="s">
        <v>543</v>
      </c>
      <c r="B106" s="1" t="s">
        <v>156</v>
      </c>
      <c r="C106" s="1">
        <v>2024.0</v>
      </c>
      <c r="D106" s="2">
        <v>45380.0</v>
      </c>
      <c r="F106" s="1" t="s">
        <v>157</v>
      </c>
      <c r="H106" s="3">
        <v>0.0</v>
      </c>
      <c r="I106" s="4" t="s">
        <v>544</v>
      </c>
      <c r="J106" s="1" t="s">
        <v>545</v>
      </c>
      <c r="K106" s="1" t="s">
        <v>546</v>
      </c>
    </row>
    <row r="107">
      <c r="A107" s="1" t="s">
        <v>547</v>
      </c>
      <c r="B107" s="1" t="s">
        <v>548</v>
      </c>
      <c r="C107" s="1">
        <v>2024.0</v>
      </c>
      <c r="D107" s="2">
        <v>45379.0</v>
      </c>
      <c r="F107" s="1" t="s">
        <v>549</v>
      </c>
      <c r="H107" s="3">
        <v>0.0</v>
      </c>
      <c r="I107" s="4" t="s">
        <v>550</v>
      </c>
      <c r="J107" s="1" t="s">
        <v>551</v>
      </c>
      <c r="K107" s="1" t="s">
        <v>68</v>
      </c>
    </row>
    <row r="108">
      <c r="A108" s="1" t="s">
        <v>552</v>
      </c>
      <c r="B108" s="1" t="s">
        <v>553</v>
      </c>
      <c r="C108" s="1">
        <v>2024.0</v>
      </c>
      <c r="D108" s="2">
        <v>45379.0</v>
      </c>
      <c r="F108" s="1" t="s">
        <v>59</v>
      </c>
      <c r="H108" s="3">
        <v>0.0</v>
      </c>
      <c r="I108" s="4" t="s">
        <v>554</v>
      </c>
      <c r="J108" s="1" t="s">
        <v>555</v>
      </c>
      <c r="K108" s="1" t="s">
        <v>462</v>
      </c>
    </row>
    <row r="109">
      <c r="A109" s="1" t="s">
        <v>556</v>
      </c>
      <c r="B109" s="1" t="s">
        <v>557</v>
      </c>
      <c r="C109" s="1">
        <v>2024.0</v>
      </c>
      <c r="D109" s="2">
        <v>45379.0</v>
      </c>
      <c r="F109" s="1" t="s">
        <v>558</v>
      </c>
      <c r="H109" s="3">
        <v>0.0</v>
      </c>
      <c r="I109" s="4" t="s">
        <v>559</v>
      </c>
      <c r="J109" s="1" t="s">
        <v>560</v>
      </c>
      <c r="K109" s="1" t="s">
        <v>462</v>
      </c>
    </row>
    <row r="110">
      <c r="A110" s="1" t="s">
        <v>561</v>
      </c>
      <c r="B110" s="1" t="s">
        <v>562</v>
      </c>
      <c r="C110" s="1">
        <v>2024.0</v>
      </c>
      <c r="D110" s="2">
        <v>45378.0</v>
      </c>
      <c r="F110" s="1" t="s">
        <v>563</v>
      </c>
      <c r="H110" s="3">
        <v>0.0</v>
      </c>
      <c r="I110" s="4" t="s">
        <v>564</v>
      </c>
      <c r="J110" s="1" t="s">
        <v>565</v>
      </c>
      <c r="K110" s="1" t="s">
        <v>28</v>
      </c>
    </row>
    <row r="111">
      <c r="A111" s="1" t="s">
        <v>566</v>
      </c>
      <c r="B111" s="1" t="s">
        <v>567</v>
      </c>
      <c r="C111" s="1">
        <v>2024.0</v>
      </c>
      <c r="D111" s="2">
        <v>45378.0</v>
      </c>
      <c r="F111" s="1" t="s">
        <v>568</v>
      </c>
      <c r="H111" s="3">
        <v>0.0</v>
      </c>
      <c r="I111" s="4" t="s">
        <v>569</v>
      </c>
      <c r="J111" s="1" t="s">
        <v>570</v>
      </c>
      <c r="K111" s="1" t="s">
        <v>571</v>
      </c>
    </row>
    <row r="112">
      <c r="A112" s="1" t="s">
        <v>572</v>
      </c>
      <c r="B112" s="1" t="s">
        <v>573</v>
      </c>
      <c r="C112" s="1">
        <v>2024.0</v>
      </c>
      <c r="D112" s="2">
        <v>45378.0</v>
      </c>
      <c r="F112" s="1" t="s">
        <v>286</v>
      </c>
      <c r="H112" s="3">
        <v>0.0</v>
      </c>
      <c r="I112" s="4" t="s">
        <v>574</v>
      </c>
      <c r="J112" s="1" t="s">
        <v>575</v>
      </c>
      <c r="K112" s="1" t="s">
        <v>462</v>
      </c>
    </row>
    <row r="113">
      <c r="A113" s="1" t="s">
        <v>576</v>
      </c>
      <c r="B113" s="1" t="s">
        <v>577</v>
      </c>
      <c r="C113" s="1">
        <v>2024.0</v>
      </c>
      <c r="D113" s="2">
        <v>45377.0</v>
      </c>
      <c r="F113" s="1" t="s">
        <v>578</v>
      </c>
      <c r="H113" s="3">
        <v>0.0</v>
      </c>
      <c r="I113" s="4" t="s">
        <v>579</v>
      </c>
      <c r="J113" s="1" t="s">
        <v>580</v>
      </c>
      <c r="K113" s="1" t="s">
        <v>28</v>
      </c>
    </row>
    <row r="114">
      <c r="A114" s="1" t="s">
        <v>581</v>
      </c>
      <c r="B114" s="1" t="s">
        <v>582</v>
      </c>
      <c r="C114" s="1">
        <v>2024.0</v>
      </c>
      <c r="D114" s="2">
        <v>45377.0</v>
      </c>
      <c r="F114" s="1" t="s">
        <v>583</v>
      </c>
      <c r="H114" s="3">
        <v>0.0</v>
      </c>
      <c r="I114" s="4" t="s">
        <v>584</v>
      </c>
      <c r="J114" s="1" t="s">
        <v>585</v>
      </c>
      <c r="K114" s="1" t="s">
        <v>418</v>
      </c>
    </row>
    <row r="115">
      <c r="A115" s="1" t="s">
        <v>586</v>
      </c>
      <c r="B115" s="1" t="s">
        <v>351</v>
      </c>
      <c r="C115" s="1">
        <v>2024.0</v>
      </c>
      <c r="D115" s="2">
        <v>45377.0</v>
      </c>
      <c r="F115" s="1" t="s">
        <v>147</v>
      </c>
      <c r="H115" s="3">
        <v>0.0</v>
      </c>
      <c r="I115" s="4" t="s">
        <v>587</v>
      </c>
      <c r="J115" s="1" t="s">
        <v>588</v>
      </c>
      <c r="K115" s="1" t="s">
        <v>68</v>
      </c>
    </row>
    <row r="116">
      <c r="A116" s="1" t="s">
        <v>589</v>
      </c>
      <c r="B116" s="1" t="s">
        <v>590</v>
      </c>
      <c r="C116" s="1">
        <v>2024.0</v>
      </c>
      <c r="D116" s="2">
        <v>45376.0</v>
      </c>
      <c r="F116" s="1" t="s">
        <v>591</v>
      </c>
      <c r="H116" s="3">
        <v>0.0</v>
      </c>
      <c r="I116" s="4" t="s">
        <v>592</v>
      </c>
      <c r="J116" s="1" t="s">
        <v>593</v>
      </c>
      <c r="K116" s="1" t="s">
        <v>295</v>
      </c>
    </row>
    <row r="117">
      <c r="A117" s="1" t="s">
        <v>594</v>
      </c>
      <c r="B117" s="1" t="s">
        <v>595</v>
      </c>
      <c r="C117" s="1">
        <v>2024.0</v>
      </c>
      <c r="D117" s="2">
        <v>45375.0</v>
      </c>
      <c r="F117" s="1" t="s">
        <v>596</v>
      </c>
      <c r="H117" s="3">
        <v>0.0</v>
      </c>
      <c r="I117" s="4" t="s">
        <v>597</v>
      </c>
      <c r="J117" s="1" t="s">
        <v>598</v>
      </c>
      <c r="K117" s="1" t="s">
        <v>323</v>
      </c>
    </row>
    <row r="118">
      <c r="A118" s="1" t="s">
        <v>599</v>
      </c>
      <c r="B118" s="1" t="s">
        <v>600</v>
      </c>
      <c r="C118" s="1">
        <v>2024.0</v>
      </c>
      <c r="D118" s="2">
        <v>45374.0</v>
      </c>
      <c r="F118" s="1" t="s">
        <v>271</v>
      </c>
      <c r="H118" s="3">
        <v>0.0</v>
      </c>
      <c r="I118" s="4" t="s">
        <v>601</v>
      </c>
      <c r="J118" s="1" t="s">
        <v>602</v>
      </c>
      <c r="K118" s="1" t="s">
        <v>527</v>
      </c>
    </row>
    <row r="119">
      <c r="A119" s="1" t="s">
        <v>603</v>
      </c>
      <c r="B119" s="1" t="s">
        <v>604</v>
      </c>
      <c r="C119" s="1">
        <v>2024.0</v>
      </c>
      <c r="D119" s="2">
        <v>45372.0</v>
      </c>
      <c r="F119" s="1" t="s">
        <v>605</v>
      </c>
      <c r="H119" s="3">
        <v>0.0</v>
      </c>
      <c r="I119" s="4" t="s">
        <v>606</v>
      </c>
      <c r="J119" s="1" t="s">
        <v>607</v>
      </c>
      <c r="K119" s="1" t="s">
        <v>443</v>
      </c>
    </row>
    <row r="120">
      <c r="A120" s="1" t="s">
        <v>608</v>
      </c>
      <c r="B120" s="1" t="s">
        <v>609</v>
      </c>
      <c r="C120" s="1">
        <v>2024.0</v>
      </c>
      <c r="D120" s="2">
        <v>45372.0</v>
      </c>
      <c r="F120" s="1" t="s">
        <v>610</v>
      </c>
      <c r="H120" s="3">
        <v>0.0</v>
      </c>
      <c r="I120" s="4" t="s">
        <v>611</v>
      </c>
      <c r="J120" s="1" t="s">
        <v>612</v>
      </c>
      <c r="K120" s="1" t="s">
        <v>295</v>
      </c>
    </row>
    <row r="121">
      <c r="A121" s="1" t="s">
        <v>613</v>
      </c>
      <c r="B121" s="1" t="s">
        <v>614</v>
      </c>
      <c r="C121" s="1">
        <v>2024.0</v>
      </c>
      <c r="D121" s="2">
        <v>45370.0</v>
      </c>
      <c r="F121" s="1" t="s">
        <v>615</v>
      </c>
      <c r="H121" s="3">
        <v>0.0</v>
      </c>
      <c r="I121" s="4" t="s">
        <v>616</v>
      </c>
      <c r="J121" s="1" t="s">
        <v>617</v>
      </c>
      <c r="K121" s="1" t="s">
        <v>323</v>
      </c>
    </row>
    <row r="122">
      <c r="A122" s="1" t="s">
        <v>618</v>
      </c>
      <c r="B122" s="1" t="s">
        <v>619</v>
      </c>
      <c r="C122" s="1">
        <v>2024.0</v>
      </c>
      <c r="D122" s="2">
        <v>45369.0</v>
      </c>
      <c r="F122" s="1" t="s">
        <v>71</v>
      </c>
      <c r="H122" s="3">
        <v>0.0</v>
      </c>
      <c r="I122" s="4" t="s">
        <v>620</v>
      </c>
      <c r="J122" s="1" t="s">
        <v>621</v>
      </c>
      <c r="K122" s="1" t="s">
        <v>383</v>
      </c>
    </row>
    <row r="123">
      <c r="A123" s="1" t="s">
        <v>622</v>
      </c>
      <c r="B123" s="1" t="s">
        <v>623</v>
      </c>
      <c r="C123" s="1">
        <v>2024.0</v>
      </c>
      <c r="D123" s="2">
        <v>45369.0</v>
      </c>
      <c r="F123" s="1" t="s">
        <v>624</v>
      </c>
      <c r="H123" s="3">
        <v>0.0</v>
      </c>
      <c r="I123" s="4" t="s">
        <v>625</v>
      </c>
      <c r="J123" s="1" t="s">
        <v>626</v>
      </c>
      <c r="K123" s="1" t="s">
        <v>477</v>
      </c>
    </row>
    <row r="124">
      <c r="A124" s="1" t="s">
        <v>627</v>
      </c>
      <c r="B124" s="1" t="s">
        <v>628</v>
      </c>
      <c r="C124" s="1">
        <v>2024.0</v>
      </c>
      <c r="D124" s="2">
        <v>45367.0</v>
      </c>
      <c r="F124" s="1" t="s">
        <v>629</v>
      </c>
      <c r="H124" s="3">
        <v>0.0</v>
      </c>
      <c r="I124" s="4" t="s">
        <v>630</v>
      </c>
      <c r="J124" s="1" t="s">
        <v>631</v>
      </c>
      <c r="K124" s="1" t="s">
        <v>443</v>
      </c>
    </row>
    <row r="125">
      <c r="A125" s="1" t="s">
        <v>632</v>
      </c>
      <c r="B125" s="1" t="s">
        <v>633</v>
      </c>
      <c r="C125" s="1">
        <v>2024.0</v>
      </c>
      <c r="D125" s="2">
        <v>45367.0</v>
      </c>
      <c r="F125" s="1" t="s">
        <v>634</v>
      </c>
      <c r="H125" s="3">
        <v>0.0</v>
      </c>
      <c r="I125" s="4" t="s">
        <v>635</v>
      </c>
      <c r="J125" s="1" t="s">
        <v>636</v>
      </c>
      <c r="K125" s="1" t="s">
        <v>16</v>
      </c>
    </row>
    <row r="126">
      <c r="A126" s="1" t="s">
        <v>637</v>
      </c>
      <c r="B126" s="1" t="s">
        <v>638</v>
      </c>
      <c r="C126" s="1">
        <v>2024.0</v>
      </c>
      <c r="D126" s="2">
        <v>45365.0</v>
      </c>
      <c r="F126" s="1" t="s">
        <v>71</v>
      </c>
      <c r="H126" s="3">
        <v>0.0</v>
      </c>
      <c r="I126" s="4" t="s">
        <v>639</v>
      </c>
      <c r="J126" s="1" t="s">
        <v>640</v>
      </c>
      <c r="K126" s="1" t="s">
        <v>45</v>
      </c>
    </row>
    <row r="127">
      <c r="A127" s="1" t="s">
        <v>641</v>
      </c>
      <c r="B127" s="1" t="s">
        <v>642</v>
      </c>
      <c r="C127" s="1">
        <v>2024.0</v>
      </c>
      <c r="D127" s="2">
        <v>45365.0</v>
      </c>
      <c r="F127" s="1" t="s">
        <v>643</v>
      </c>
      <c r="H127" s="3">
        <v>0.0</v>
      </c>
      <c r="I127" s="4" t="s">
        <v>644</v>
      </c>
      <c r="J127" s="1" t="s">
        <v>645</v>
      </c>
      <c r="K127" s="1" t="s">
        <v>16</v>
      </c>
    </row>
    <row r="128">
      <c r="A128" s="1" t="s">
        <v>646</v>
      </c>
      <c r="B128" s="1" t="s">
        <v>647</v>
      </c>
      <c r="C128" s="1">
        <v>2024.0</v>
      </c>
      <c r="D128" s="2">
        <v>45364.0</v>
      </c>
      <c r="F128" s="1" t="s">
        <v>326</v>
      </c>
      <c r="H128" s="3">
        <v>0.0</v>
      </c>
      <c r="I128" s="4" t="s">
        <v>648</v>
      </c>
      <c r="J128" s="1" t="s">
        <v>649</v>
      </c>
      <c r="K128" s="1" t="s">
        <v>372</v>
      </c>
    </row>
    <row r="129">
      <c r="A129" s="1" t="s">
        <v>650</v>
      </c>
      <c r="B129" s="1" t="s">
        <v>651</v>
      </c>
      <c r="C129" s="1">
        <v>2024.0</v>
      </c>
      <c r="D129" s="2">
        <v>45364.0</v>
      </c>
      <c r="F129" s="1" t="s">
        <v>500</v>
      </c>
      <c r="H129" s="3">
        <v>0.0</v>
      </c>
      <c r="I129" s="4" t="s">
        <v>652</v>
      </c>
      <c r="J129" s="1" t="s">
        <v>653</v>
      </c>
      <c r="K129" s="1" t="s">
        <v>323</v>
      </c>
    </row>
    <row r="130">
      <c r="A130" s="1" t="s">
        <v>654</v>
      </c>
      <c r="B130" s="1" t="s">
        <v>655</v>
      </c>
      <c r="C130" s="1">
        <v>2024.0</v>
      </c>
      <c r="D130" s="2">
        <v>45364.0</v>
      </c>
      <c r="F130" s="1" t="s">
        <v>656</v>
      </c>
      <c r="H130" s="3">
        <v>0.0</v>
      </c>
      <c r="I130" s="4" t="s">
        <v>657</v>
      </c>
      <c r="J130" s="1" t="s">
        <v>658</v>
      </c>
      <c r="K130" s="1" t="s">
        <v>413</v>
      </c>
    </row>
    <row r="131">
      <c r="A131" s="1" t="s">
        <v>659</v>
      </c>
      <c r="B131" s="1" t="s">
        <v>660</v>
      </c>
      <c r="C131" s="1">
        <v>2024.0</v>
      </c>
      <c r="D131" s="2">
        <v>45363.0</v>
      </c>
      <c r="F131" s="1" t="s">
        <v>661</v>
      </c>
      <c r="H131" s="3">
        <v>0.0</v>
      </c>
      <c r="I131" s="4" t="s">
        <v>662</v>
      </c>
      <c r="J131" s="1" t="s">
        <v>663</v>
      </c>
      <c r="K131" s="1" t="s">
        <v>443</v>
      </c>
    </row>
    <row r="132">
      <c r="A132" s="1" t="s">
        <v>664</v>
      </c>
      <c r="B132" s="1" t="s">
        <v>665</v>
      </c>
      <c r="C132" s="1">
        <v>2024.0</v>
      </c>
      <c r="D132" s="2">
        <v>45363.0</v>
      </c>
      <c r="F132" s="1" t="s">
        <v>666</v>
      </c>
      <c r="H132" s="3">
        <v>0.0</v>
      </c>
      <c r="I132" s="4" t="s">
        <v>667</v>
      </c>
      <c r="J132" s="1" t="s">
        <v>668</v>
      </c>
      <c r="K132" s="1" t="s">
        <v>68</v>
      </c>
    </row>
    <row r="133">
      <c r="A133" s="1" t="s">
        <v>669</v>
      </c>
      <c r="B133" s="1" t="s">
        <v>670</v>
      </c>
      <c r="C133" s="1">
        <v>2024.0</v>
      </c>
      <c r="D133" s="2">
        <v>45362.0</v>
      </c>
      <c r="F133" s="1" t="s">
        <v>671</v>
      </c>
      <c r="H133" s="3">
        <v>0.0</v>
      </c>
      <c r="I133" s="4" t="s">
        <v>672</v>
      </c>
      <c r="J133" s="1" t="s">
        <v>673</v>
      </c>
      <c r="K133" s="1" t="s">
        <v>295</v>
      </c>
    </row>
    <row r="134">
      <c r="A134" s="1" t="s">
        <v>674</v>
      </c>
      <c r="B134" s="1" t="s">
        <v>675</v>
      </c>
      <c r="C134" s="1">
        <v>2024.0</v>
      </c>
      <c r="D134" s="2">
        <v>45362.0</v>
      </c>
      <c r="F134" s="1" t="s">
        <v>676</v>
      </c>
      <c r="H134" s="3">
        <v>1.0</v>
      </c>
      <c r="I134" s="4" t="s">
        <v>677</v>
      </c>
      <c r="J134" s="1" t="s">
        <v>678</v>
      </c>
      <c r="K134" s="1" t="s">
        <v>16</v>
      </c>
    </row>
    <row r="135">
      <c r="A135" s="1" t="s">
        <v>679</v>
      </c>
      <c r="B135" s="1" t="s">
        <v>680</v>
      </c>
      <c r="C135" s="1">
        <v>2024.0</v>
      </c>
      <c r="D135" s="2">
        <v>45359.0</v>
      </c>
      <c r="F135" s="1" t="s">
        <v>681</v>
      </c>
      <c r="H135" s="3">
        <v>0.0</v>
      </c>
      <c r="I135" s="4" t="s">
        <v>682</v>
      </c>
      <c r="J135" s="1" t="s">
        <v>683</v>
      </c>
      <c r="K135" s="1" t="s">
        <v>571</v>
      </c>
    </row>
    <row r="136">
      <c r="A136" s="1" t="s">
        <v>684</v>
      </c>
      <c r="B136" s="1" t="s">
        <v>156</v>
      </c>
      <c r="C136" s="1">
        <v>2024.0</v>
      </c>
      <c r="D136" s="2">
        <v>45359.0</v>
      </c>
      <c r="F136" s="1" t="s">
        <v>157</v>
      </c>
      <c r="H136" s="3">
        <v>0.0</v>
      </c>
      <c r="I136" s="4" t="s">
        <v>685</v>
      </c>
      <c r="J136" s="1" t="s">
        <v>686</v>
      </c>
      <c r="K136" s="1" t="s">
        <v>546</v>
      </c>
    </row>
    <row r="137">
      <c r="A137" s="1" t="s">
        <v>687</v>
      </c>
      <c r="B137" s="1" t="s">
        <v>688</v>
      </c>
      <c r="C137" s="1">
        <v>2024.0</v>
      </c>
      <c r="D137" s="2">
        <v>45359.0</v>
      </c>
      <c r="F137" s="1" t="s">
        <v>689</v>
      </c>
      <c r="H137" s="3">
        <v>0.0</v>
      </c>
      <c r="I137" s="4" t="s">
        <v>690</v>
      </c>
      <c r="J137" s="1" t="s">
        <v>691</v>
      </c>
      <c r="K137" s="1" t="s">
        <v>16</v>
      </c>
    </row>
    <row r="138">
      <c r="A138" s="1" t="s">
        <v>692</v>
      </c>
      <c r="B138" s="1" t="s">
        <v>693</v>
      </c>
      <c r="C138" s="1">
        <v>2024.0</v>
      </c>
      <c r="D138" s="2">
        <v>45357.0</v>
      </c>
      <c r="F138" s="1" t="s">
        <v>308</v>
      </c>
      <c r="H138" s="3">
        <v>0.0</v>
      </c>
      <c r="I138" s="4" t="s">
        <v>694</v>
      </c>
      <c r="J138" s="1" t="s">
        <v>695</v>
      </c>
      <c r="K138" s="1" t="s">
        <v>462</v>
      </c>
    </row>
    <row r="139">
      <c r="A139" s="1" t="s">
        <v>696</v>
      </c>
      <c r="B139" s="1" t="s">
        <v>697</v>
      </c>
      <c r="C139" s="1">
        <v>2024.0</v>
      </c>
      <c r="D139" s="2">
        <v>45357.0</v>
      </c>
      <c r="F139" s="1" t="s">
        <v>698</v>
      </c>
      <c r="H139" s="3">
        <v>3.0</v>
      </c>
      <c r="I139" s="4" t="s">
        <v>699</v>
      </c>
      <c r="J139" s="1" t="s">
        <v>700</v>
      </c>
      <c r="K139" s="1" t="s">
        <v>68</v>
      </c>
    </row>
    <row r="140">
      <c r="A140" s="1" t="s">
        <v>701</v>
      </c>
      <c r="B140" s="1" t="s">
        <v>702</v>
      </c>
      <c r="C140" s="1">
        <v>2024.0</v>
      </c>
      <c r="D140" s="2">
        <v>45357.0</v>
      </c>
      <c r="F140" s="1" t="s">
        <v>71</v>
      </c>
      <c r="H140" s="3">
        <v>0.0</v>
      </c>
      <c r="I140" s="4" t="s">
        <v>703</v>
      </c>
      <c r="J140" s="1" t="s">
        <v>704</v>
      </c>
      <c r="K140" s="1" t="s">
        <v>462</v>
      </c>
    </row>
    <row r="141">
      <c r="A141" s="1" t="s">
        <v>705</v>
      </c>
      <c r="B141" s="1" t="s">
        <v>706</v>
      </c>
      <c r="C141" s="1">
        <v>2024.0</v>
      </c>
      <c r="D141" s="2">
        <v>45357.0</v>
      </c>
      <c r="F141" s="1" t="s">
        <v>71</v>
      </c>
      <c r="H141" s="3">
        <v>0.0</v>
      </c>
      <c r="I141" s="4" t="s">
        <v>707</v>
      </c>
      <c r="J141" s="1" t="s">
        <v>708</v>
      </c>
      <c r="K141" s="1" t="s">
        <v>462</v>
      </c>
    </row>
    <row r="142">
      <c r="A142" s="1" t="s">
        <v>709</v>
      </c>
      <c r="B142" s="1" t="s">
        <v>710</v>
      </c>
      <c r="C142" s="1">
        <v>2024.0</v>
      </c>
      <c r="D142" s="2">
        <v>45356.0</v>
      </c>
      <c r="F142" s="1" t="s">
        <v>711</v>
      </c>
      <c r="H142" s="3">
        <v>0.0</v>
      </c>
      <c r="I142" s="4" t="s">
        <v>712</v>
      </c>
      <c r="J142" s="1" t="s">
        <v>713</v>
      </c>
      <c r="K142" s="1" t="s">
        <v>323</v>
      </c>
    </row>
    <row r="143">
      <c r="A143" s="1" t="s">
        <v>714</v>
      </c>
      <c r="B143" s="1" t="s">
        <v>715</v>
      </c>
      <c r="C143" s="1">
        <v>2024.0</v>
      </c>
      <c r="D143" s="2">
        <v>45356.0</v>
      </c>
      <c r="F143" s="1" t="s">
        <v>716</v>
      </c>
      <c r="H143" s="3">
        <v>0.0</v>
      </c>
      <c r="I143" s="4" t="s">
        <v>717</v>
      </c>
      <c r="J143" s="1" t="s">
        <v>718</v>
      </c>
      <c r="K143" s="1" t="s">
        <v>16</v>
      </c>
    </row>
    <row r="144">
      <c r="A144" s="1" t="s">
        <v>719</v>
      </c>
      <c r="B144" s="1" t="s">
        <v>720</v>
      </c>
      <c r="C144" s="1">
        <v>2024.0</v>
      </c>
      <c r="D144" s="2">
        <v>45356.0</v>
      </c>
      <c r="F144" s="1" t="s">
        <v>721</v>
      </c>
      <c r="H144" s="3">
        <v>0.0</v>
      </c>
      <c r="I144" s="4" t="s">
        <v>722</v>
      </c>
      <c r="J144" s="1" t="s">
        <v>723</v>
      </c>
      <c r="K144" s="1" t="s">
        <v>16</v>
      </c>
    </row>
    <row r="145">
      <c r="A145" s="1" t="s">
        <v>724</v>
      </c>
      <c r="B145" s="1" t="s">
        <v>725</v>
      </c>
      <c r="C145" s="1">
        <v>2024.0</v>
      </c>
      <c r="D145" s="2">
        <v>45355.0</v>
      </c>
      <c r="F145" s="1" t="s">
        <v>726</v>
      </c>
      <c r="H145" s="3">
        <v>1.0</v>
      </c>
      <c r="I145" s="4" t="s">
        <v>727</v>
      </c>
      <c r="J145" s="1" t="s">
        <v>728</v>
      </c>
      <c r="K145" s="1" t="s">
        <v>443</v>
      </c>
    </row>
    <row r="146">
      <c r="A146" s="1" t="s">
        <v>729</v>
      </c>
      <c r="B146" s="1" t="s">
        <v>730</v>
      </c>
      <c r="C146" s="1">
        <v>2024.0</v>
      </c>
      <c r="D146" s="2">
        <v>45355.0</v>
      </c>
      <c r="F146" s="1" t="s">
        <v>726</v>
      </c>
      <c r="H146" s="3">
        <v>0.0</v>
      </c>
      <c r="I146" s="4" t="s">
        <v>731</v>
      </c>
      <c r="J146" s="1" t="s">
        <v>732</v>
      </c>
      <c r="K146" s="1" t="s">
        <v>28</v>
      </c>
    </row>
    <row r="147">
      <c r="A147" s="1" t="s">
        <v>733</v>
      </c>
      <c r="B147" s="1" t="s">
        <v>734</v>
      </c>
      <c r="C147" s="1">
        <v>2024.0</v>
      </c>
      <c r="D147" s="2">
        <v>45355.0</v>
      </c>
      <c r="F147" s="1" t="s">
        <v>558</v>
      </c>
      <c r="H147" s="3">
        <v>0.0</v>
      </c>
      <c r="I147" s="4" t="s">
        <v>735</v>
      </c>
      <c r="J147" s="1" t="s">
        <v>736</v>
      </c>
      <c r="K147" s="1" t="s">
        <v>16</v>
      </c>
    </row>
    <row r="148">
      <c r="A148" s="1" t="s">
        <v>737</v>
      </c>
      <c r="B148" s="1" t="s">
        <v>738</v>
      </c>
      <c r="C148" s="1">
        <v>2024.0</v>
      </c>
      <c r="D148" s="2">
        <v>45355.0</v>
      </c>
      <c r="F148" s="1" t="s">
        <v>213</v>
      </c>
      <c r="H148" s="3">
        <v>0.0</v>
      </c>
      <c r="I148" s="4" t="s">
        <v>739</v>
      </c>
      <c r="J148" s="1" t="s">
        <v>740</v>
      </c>
      <c r="K148" s="1" t="s">
        <v>462</v>
      </c>
    </row>
    <row r="149">
      <c r="A149" s="1" t="s">
        <v>741</v>
      </c>
      <c r="B149" s="1" t="s">
        <v>742</v>
      </c>
      <c r="C149" s="1">
        <v>2024.0</v>
      </c>
      <c r="D149" s="2">
        <v>45354.0</v>
      </c>
      <c r="F149" s="1" t="s">
        <v>743</v>
      </c>
      <c r="H149" s="3">
        <v>0.0</v>
      </c>
      <c r="I149" s="4" t="s">
        <v>744</v>
      </c>
      <c r="J149" s="1" t="s">
        <v>745</v>
      </c>
      <c r="K149" s="1" t="s">
        <v>295</v>
      </c>
    </row>
    <row r="150">
      <c r="A150" s="1" t="s">
        <v>746</v>
      </c>
      <c r="B150" s="1" t="s">
        <v>747</v>
      </c>
      <c r="C150" s="1">
        <v>2024.0</v>
      </c>
      <c r="D150" s="2">
        <v>45352.0</v>
      </c>
      <c r="F150" s="1" t="s">
        <v>748</v>
      </c>
      <c r="H150" s="3">
        <v>0.0</v>
      </c>
      <c r="I150" s="4" t="s">
        <v>749</v>
      </c>
      <c r="J150" s="1" t="s">
        <v>750</v>
      </c>
      <c r="K150" s="1" t="s">
        <v>45</v>
      </c>
    </row>
    <row r="151">
      <c r="A151" s="1" t="s">
        <v>751</v>
      </c>
      <c r="B151" s="1" t="s">
        <v>752</v>
      </c>
      <c r="C151" s="1">
        <v>2024.0</v>
      </c>
      <c r="D151" s="2">
        <v>45352.0</v>
      </c>
      <c r="F151" s="1" t="s">
        <v>578</v>
      </c>
      <c r="H151" s="3">
        <v>1.0</v>
      </c>
      <c r="I151" s="4" t="s">
        <v>753</v>
      </c>
      <c r="J151" s="1" t="s">
        <v>754</v>
      </c>
      <c r="K151" s="1" t="s">
        <v>68</v>
      </c>
    </row>
    <row r="152">
      <c r="A152" s="1" t="s">
        <v>755</v>
      </c>
      <c r="B152" s="1" t="s">
        <v>756</v>
      </c>
      <c r="C152" s="1">
        <v>2024.0</v>
      </c>
      <c r="D152" s="2">
        <v>45352.0</v>
      </c>
      <c r="F152" s="1" t="s">
        <v>757</v>
      </c>
      <c r="H152" s="3">
        <v>1.0</v>
      </c>
      <c r="I152" s="4" t="s">
        <v>758</v>
      </c>
      <c r="J152" s="1" t="s">
        <v>759</v>
      </c>
      <c r="K152" s="1" t="s">
        <v>383</v>
      </c>
    </row>
    <row r="153">
      <c r="A153" s="1" t="s">
        <v>760</v>
      </c>
      <c r="B153" s="1" t="s">
        <v>761</v>
      </c>
      <c r="C153" s="1">
        <v>2024.0</v>
      </c>
      <c r="D153" s="2">
        <v>45352.0</v>
      </c>
      <c r="F153" s="1" t="s">
        <v>762</v>
      </c>
      <c r="H153" s="3">
        <v>0.0</v>
      </c>
      <c r="I153" s="4" t="s">
        <v>763</v>
      </c>
      <c r="J153" s="1" t="s">
        <v>764</v>
      </c>
      <c r="K153" s="1" t="s">
        <v>16</v>
      </c>
    </row>
    <row r="154">
      <c r="A154" s="1" t="s">
        <v>765</v>
      </c>
      <c r="B154" s="1" t="s">
        <v>766</v>
      </c>
      <c r="C154" s="1">
        <v>2024.0</v>
      </c>
      <c r="D154" s="2">
        <v>45351.0</v>
      </c>
      <c r="F154" s="1" t="s">
        <v>767</v>
      </c>
      <c r="H154" s="3">
        <v>0.0</v>
      </c>
      <c r="I154" s="4" t="s">
        <v>768</v>
      </c>
      <c r="J154" s="1" t="s">
        <v>769</v>
      </c>
      <c r="K154" s="1" t="s">
        <v>571</v>
      </c>
    </row>
    <row r="155">
      <c r="A155" s="1" t="s">
        <v>770</v>
      </c>
      <c r="B155" s="1" t="s">
        <v>771</v>
      </c>
      <c r="C155" s="1">
        <v>2024.0</v>
      </c>
      <c r="D155" s="2">
        <v>45351.0</v>
      </c>
      <c r="F155" s="1" t="s">
        <v>643</v>
      </c>
      <c r="H155" s="3">
        <v>0.0</v>
      </c>
      <c r="I155" s="4" t="s">
        <v>772</v>
      </c>
      <c r="J155" s="1" t="s">
        <v>773</v>
      </c>
      <c r="K155" s="1" t="s">
        <v>16</v>
      </c>
    </row>
    <row r="156">
      <c r="A156" s="1" t="s">
        <v>774</v>
      </c>
      <c r="B156" s="1" t="s">
        <v>775</v>
      </c>
      <c r="C156" s="1">
        <v>2024.0</v>
      </c>
      <c r="D156" s="2">
        <v>45350.0</v>
      </c>
      <c r="F156" s="1" t="s">
        <v>776</v>
      </c>
      <c r="H156" s="3">
        <v>0.0</v>
      </c>
      <c r="I156" s="4" t="s">
        <v>777</v>
      </c>
      <c r="J156" s="1" t="s">
        <v>778</v>
      </c>
      <c r="K156" s="1" t="s">
        <v>28</v>
      </c>
    </row>
    <row r="157">
      <c r="A157" s="1" t="s">
        <v>779</v>
      </c>
      <c r="B157" s="1" t="s">
        <v>780</v>
      </c>
      <c r="C157" s="1">
        <v>2024.0</v>
      </c>
      <c r="D157" s="2">
        <v>45350.0</v>
      </c>
      <c r="F157" s="1" t="s">
        <v>656</v>
      </c>
      <c r="H157" s="3">
        <v>0.0</v>
      </c>
      <c r="I157" s="4" t="s">
        <v>781</v>
      </c>
      <c r="J157" s="1" t="s">
        <v>782</v>
      </c>
      <c r="K157" s="1" t="s">
        <v>16</v>
      </c>
    </row>
    <row r="158">
      <c r="A158" s="1" t="s">
        <v>783</v>
      </c>
      <c r="B158" s="1" t="s">
        <v>784</v>
      </c>
      <c r="C158" s="1">
        <v>2024.0</v>
      </c>
      <c r="D158" s="2">
        <v>45349.0</v>
      </c>
      <c r="F158" s="1" t="s">
        <v>785</v>
      </c>
      <c r="H158" s="3">
        <v>1.0</v>
      </c>
      <c r="I158" s="4" t="s">
        <v>786</v>
      </c>
      <c r="J158" s="1" t="s">
        <v>787</v>
      </c>
      <c r="K158" s="1" t="s">
        <v>323</v>
      </c>
    </row>
    <row r="159">
      <c r="A159" s="1" t="s">
        <v>788</v>
      </c>
      <c r="B159" s="1" t="s">
        <v>789</v>
      </c>
      <c r="C159" s="1">
        <v>2024.0</v>
      </c>
      <c r="D159" s="2">
        <v>45348.0</v>
      </c>
      <c r="F159" s="1" t="s">
        <v>790</v>
      </c>
      <c r="H159" s="3">
        <v>0.0</v>
      </c>
      <c r="I159" s="4" t="s">
        <v>791</v>
      </c>
      <c r="J159" s="1" t="s">
        <v>792</v>
      </c>
      <c r="K159" s="1" t="s">
        <v>462</v>
      </c>
    </row>
    <row r="160">
      <c r="A160" s="1" t="s">
        <v>793</v>
      </c>
      <c r="B160" s="1" t="s">
        <v>794</v>
      </c>
      <c r="C160" s="1">
        <v>2024.0</v>
      </c>
      <c r="D160" s="2">
        <v>45346.0</v>
      </c>
      <c r="F160" s="1" t="s">
        <v>208</v>
      </c>
      <c r="H160" s="3">
        <v>0.0</v>
      </c>
      <c r="I160" s="4" t="s">
        <v>795</v>
      </c>
      <c r="J160" s="1" t="s">
        <v>796</v>
      </c>
      <c r="K160" s="1" t="s">
        <v>28</v>
      </c>
    </row>
    <row r="161">
      <c r="A161" s="1" t="s">
        <v>797</v>
      </c>
      <c r="B161" s="1" t="s">
        <v>798</v>
      </c>
      <c r="C161" s="1">
        <v>2024.0</v>
      </c>
      <c r="D161" s="2">
        <v>45346.0</v>
      </c>
      <c r="F161" s="1" t="s">
        <v>799</v>
      </c>
      <c r="H161" s="3">
        <v>0.0</v>
      </c>
      <c r="I161" s="4" t="s">
        <v>800</v>
      </c>
      <c r="J161" s="1" t="s">
        <v>801</v>
      </c>
      <c r="K161" s="1" t="s">
        <v>16</v>
      </c>
    </row>
    <row r="162">
      <c r="A162" s="1" t="s">
        <v>802</v>
      </c>
      <c r="B162" s="1" t="s">
        <v>803</v>
      </c>
      <c r="C162" s="1">
        <v>2024.0</v>
      </c>
      <c r="D162" s="2">
        <v>45345.0</v>
      </c>
      <c r="F162" s="1" t="s">
        <v>568</v>
      </c>
      <c r="H162" s="3">
        <v>0.0</v>
      </c>
      <c r="I162" s="4" t="s">
        <v>804</v>
      </c>
      <c r="J162" s="1" t="s">
        <v>805</v>
      </c>
      <c r="K162" s="1" t="s">
        <v>571</v>
      </c>
    </row>
    <row r="163">
      <c r="A163" s="1" t="s">
        <v>806</v>
      </c>
      <c r="B163" s="1" t="s">
        <v>807</v>
      </c>
      <c r="C163" s="1">
        <v>2024.0</v>
      </c>
      <c r="D163" s="2">
        <v>45345.0</v>
      </c>
      <c r="F163" s="1" t="s">
        <v>808</v>
      </c>
      <c r="H163" s="3">
        <v>0.0</v>
      </c>
      <c r="I163" s="4" t="s">
        <v>809</v>
      </c>
      <c r="J163" s="1" t="s">
        <v>810</v>
      </c>
      <c r="K163" s="1" t="s">
        <v>28</v>
      </c>
    </row>
    <row r="164">
      <c r="A164" s="1" t="s">
        <v>811</v>
      </c>
      <c r="B164" s="1" t="s">
        <v>812</v>
      </c>
      <c r="C164" s="1">
        <v>2024.0</v>
      </c>
      <c r="D164" s="2">
        <v>45345.0</v>
      </c>
      <c r="F164" s="1" t="s">
        <v>157</v>
      </c>
      <c r="H164" s="3">
        <v>2.0</v>
      </c>
      <c r="I164" s="4" t="s">
        <v>813</v>
      </c>
      <c r="J164" s="1" t="s">
        <v>814</v>
      </c>
      <c r="K164" s="1" t="s">
        <v>546</v>
      </c>
    </row>
    <row r="165">
      <c r="A165" s="1" t="s">
        <v>815</v>
      </c>
      <c r="B165" s="1" t="s">
        <v>816</v>
      </c>
      <c r="C165" s="1">
        <v>2024.0</v>
      </c>
      <c r="D165" s="2">
        <v>45345.0</v>
      </c>
      <c r="F165" s="1" t="s">
        <v>489</v>
      </c>
      <c r="H165" s="3">
        <v>0.0</v>
      </c>
      <c r="I165" s="4" t="s">
        <v>817</v>
      </c>
      <c r="J165" s="1" t="s">
        <v>818</v>
      </c>
      <c r="K165" s="1" t="s">
        <v>340</v>
      </c>
    </row>
    <row r="166">
      <c r="A166" s="1" t="s">
        <v>819</v>
      </c>
      <c r="B166" s="1" t="s">
        <v>820</v>
      </c>
      <c r="C166" s="1">
        <v>2024.0</v>
      </c>
      <c r="D166" s="2">
        <v>45343.0</v>
      </c>
      <c r="F166" s="1" t="s">
        <v>821</v>
      </c>
      <c r="H166" s="3">
        <v>1.0</v>
      </c>
      <c r="I166" s="4" t="s">
        <v>822</v>
      </c>
      <c r="J166" s="1" t="s">
        <v>823</v>
      </c>
      <c r="K166" s="1" t="s">
        <v>45</v>
      </c>
    </row>
    <row r="167">
      <c r="A167" s="1" t="s">
        <v>824</v>
      </c>
      <c r="B167" s="1" t="s">
        <v>825</v>
      </c>
      <c r="C167" s="1">
        <v>2024.0</v>
      </c>
      <c r="D167" s="2">
        <v>45341.0</v>
      </c>
      <c r="F167" s="1" t="s">
        <v>410</v>
      </c>
      <c r="H167" s="3">
        <v>0.0</v>
      </c>
      <c r="I167" s="4" t="s">
        <v>826</v>
      </c>
      <c r="J167" s="1" t="s">
        <v>827</v>
      </c>
      <c r="K167" s="1" t="s">
        <v>413</v>
      </c>
    </row>
    <row r="168">
      <c r="A168" s="1" t="s">
        <v>828</v>
      </c>
      <c r="B168" s="1" t="s">
        <v>829</v>
      </c>
      <c r="C168" s="1">
        <v>2024.0</v>
      </c>
      <c r="D168" s="2">
        <v>45341.0</v>
      </c>
      <c r="F168" s="1" t="s">
        <v>830</v>
      </c>
      <c r="H168" s="3">
        <v>0.0</v>
      </c>
      <c r="I168" s="4" t="s">
        <v>831</v>
      </c>
      <c r="J168" s="1" t="s">
        <v>832</v>
      </c>
      <c r="K168" s="1" t="s">
        <v>16</v>
      </c>
    </row>
    <row r="169">
      <c r="A169" s="1" t="s">
        <v>833</v>
      </c>
      <c r="B169" s="1" t="s">
        <v>834</v>
      </c>
      <c r="C169" s="1">
        <v>2024.0</v>
      </c>
      <c r="D169" s="2">
        <v>45340.0</v>
      </c>
      <c r="F169" s="1" t="s">
        <v>835</v>
      </c>
      <c r="H169" s="3">
        <v>0.0</v>
      </c>
      <c r="I169" s="4" t="s">
        <v>836</v>
      </c>
      <c r="J169" s="1"/>
      <c r="K169" s="1" t="s">
        <v>28</v>
      </c>
    </row>
    <row r="170">
      <c r="A170" s="1" t="s">
        <v>837</v>
      </c>
      <c r="B170" s="1" t="s">
        <v>838</v>
      </c>
      <c r="C170" s="1">
        <v>2024.0</v>
      </c>
      <c r="D170" s="2">
        <v>45339.0</v>
      </c>
      <c r="F170" s="1" t="s">
        <v>839</v>
      </c>
      <c r="H170" s="3">
        <v>0.0</v>
      </c>
      <c r="I170" s="4" t="s">
        <v>840</v>
      </c>
      <c r="J170" s="1" t="s">
        <v>841</v>
      </c>
      <c r="K170" s="1" t="s">
        <v>443</v>
      </c>
    </row>
    <row r="171">
      <c r="A171" s="1" t="s">
        <v>842</v>
      </c>
      <c r="B171" s="1" t="s">
        <v>843</v>
      </c>
      <c r="C171" s="1">
        <v>2024.0</v>
      </c>
      <c r="D171" s="2">
        <v>45339.0</v>
      </c>
      <c r="F171" s="1" t="s">
        <v>91</v>
      </c>
      <c r="H171" s="3">
        <v>0.0</v>
      </c>
      <c r="I171" s="4" t="s">
        <v>844</v>
      </c>
      <c r="J171" s="1" t="s">
        <v>845</v>
      </c>
      <c r="K171" s="1" t="s">
        <v>403</v>
      </c>
    </row>
    <row r="172">
      <c r="A172" s="1" t="s">
        <v>846</v>
      </c>
      <c r="B172" s="1" t="s">
        <v>847</v>
      </c>
      <c r="C172" s="1">
        <v>2024.0</v>
      </c>
      <c r="D172" s="2">
        <v>45339.0</v>
      </c>
      <c r="F172" s="1" t="s">
        <v>848</v>
      </c>
      <c r="H172" s="3">
        <v>0.0</v>
      </c>
      <c r="I172" s="4" t="s">
        <v>849</v>
      </c>
      <c r="J172" s="1" t="s">
        <v>850</v>
      </c>
      <c r="K172" s="1" t="s">
        <v>16</v>
      </c>
    </row>
    <row r="173">
      <c r="A173" s="1" t="s">
        <v>851</v>
      </c>
      <c r="B173" s="1" t="s">
        <v>852</v>
      </c>
      <c r="C173" s="1">
        <v>2024.0</v>
      </c>
      <c r="D173" s="2">
        <v>45338.0</v>
      </c>
      <c r="F173" s="1" t="s">
        <v>853</v>
      </c>
      <c r="H173" s="3">
        <v>0.0</v>
      </c>
      <c r="I173" s="4" t="s">
        <v>854</v>
      </c>
      <c r="J173" s="1" t="s">
        <v>855</v>
      </c>
      <c r="K173" s="1" t="s">
        <v>329</v>
      </c>
    </row>
    <row r="174">
      <c r="A174" s="1" t="s">
        <v>856</v>
      </c>
      <c r="B174" s="1" t="s">
        <v>857</v>
      </c>
      <c r="C174" s="1">
        <v>2024.0</v>
      </c>
      <c r="D174" s="2">
        <v>45338.0</v>
      </c>
      <c r="F174" s="1" t="s">
        <v>13</v>
      </c>
      <c r="H174" s="3">
        <v>1.0</v>
      </c>
      <c r="I174" s="4" t="s">
        <v>858</v>
      </c>
      <c r="J174" s="1" t="s">
        <v>859</v>
      </c>
      <c r="K174" s="1" t="s">
        <v>443</v>
      </c>
    </row>
    <row r="175">
      <c r="A175" s="1" t="s">
        <v>860</v>
      </c>
      <c r="B175" s="1" t="s">
        <v>861</v>
      </c>
      <c r="C175" s="1">
        <v>2024.0</v>
      </c>
      <c r="D175" s="2">
        <v>45337.0</v>
      </c>
      <c r="F175" s="1" t="s">
        <v>862</v>
      </c>
      <c r="H175" s="3">
        <v>0.0</v>
      </c>
      <c r="I175" s="4" t="s">
        <v>863</v>
      </c>
      <c r="J175" s="1" t="s">
        <v>864</v>
      </c>
      <c r="K175" s="1" t="s">
        <v>295</v>
      </c>
    </row>
    <row r="176">
      <c r="A176" s="1" t="s">
        <v>865</v>
      </c>
      <c r="B176" s="1" t="s">
        <v>866</v>
      </c>
      <c r="C176" s="1">
        <v>2024.0</v>
      </c>
      <c r="D176" s="2">
        <v>45336.0</v>
      </c>
      <c r="F176" s="1" t="s">
        <v>867</v>
      </c>
      <c r="H176" s="3">
        <v>0.0</v>
      </c>
      <c r="I176" s="4" t="s">
        <v>868</v>
      </c>
      <c r="J176" s="1" t="s">
        <v>869</v>
      </c>
      <c r="K176" s="1" t="s">
        <v>323</v>
      </c>
    </row>
    <row r="177">
      <c r="A177" s="1" t="s">
        <v>870</v>
      </c>
      <c r="B177" s="1" t="s">
        <v>871</v>
      </c>
      <c r="C177" s="1">
        <v>2024.0</v>
      </c>
      <c r="D177" s="2">
        <v>45336.0</v>
      </c>
      <c r="F177" s="1" t="s">
        <v>872</v>
      </c>
      <c r="H177" s="3">
        <v>0.0</v>
      </c>
      <c r="I177" s="4" t="s">
        <v>873</v>
      </c>
      <c r="J177" s="1" t="s">
        <v>874</v>
      </c>
      <c r="K177" s="1" t="s">
        <v>28</v>
      </c>
    </row>
    <row r="178">
      <c r="A178" s="1" t="s">
        <v>875</v>
      </c>
      <c r="B178" s="1" t="s">
        <v>876</v>
      </c>
      <c r="C178" s="1">
        <v>2024.0</v>
      </c>
      <c r="D178" s="2">
        <v>45336.0</v>
      </c>
      <c r="F178" s="1" t="s">
        <v>877</v>
      </c>
      <c r="H178" s="3">
        <v>1.0</v>
      </c>
      <c r="I178" s="4" t="s">
        <v>878</v>
      </c>
      <c r="J178" s="1" t="s">
        <v>879</v>
      </c>
      <c r="K178" s="1" t="s">
        <v>323</v>
      </c>
    </row>
    <row r="179">
      <c r="A179" s="1" t="s">
        <v>880</v>
      </c>
      <c r="B179" s="1" t="s">
        <v>881</v>
      </c>
      <c r="C179" s="1">
        <v>2024.0</v>
      </c>
      <c r="D179" s="2">
        <v>45336.0</v>
      </c>
      <c r="F179" s="1" t="s">
        <v>882</v>
      </c>
      <c r="H179" s="3">
        <v>0.0</v>
      </c>
      <c r="I179" s="4" t="s">
        <v>883</v>
      </c>
      <c r="J179" s="1" t="s">
        <v>884</v>
      </c>
      <c r="K179" s="1" t="s">
        <v>403</v>
      </c>
    </row>
    <row r="180">
      <c r="A180" s="1" t="s">
        <v>885</v>
      </c>
      <c r="B180" s="1" t="s">
        <v>886</v>
      </c>
      <c r="C180" s="1">
        <v>2024.0</v>
      </c>
      <c r="D180" s="2">
        <v>45336.0</v>
      </c>
      <c r="F180" s="1" t="s">
        <v>887</v>
      </c>
      <c r="H180" s="3">
        <v>1.0</v>
      </c>
      <c r="I180" s="4" t="s">
        <v>888</v>
      </c>
      <c r="J180" s="1" t="s">
        <v>889</v>
      </c>
      <c r="K180" s="1" t="s">
        <v>16</v>
      </c>
    </row>
    <row r="181">
      <c r="A181" s="1" t="s">
        <v>890</v>
      </c>
      <c r="B181" s="1" t="s">
        <v>891</v>
      </c>
      <c r="C181" s="1">
        <v>2024.0</v>
      </c>
      <c r="D181" s="2">
        <v>45335.0</v>
      </c>
      <c r="F181" s="1" t="s">
        <v>892</v>
      </c>
      <c r="H181" s="3">
        <v>0.0</v>
      </c>
      <c r="I181" s="4" t="s">
        <v>893</v>
      </c>
      <c r="J181" s="1" t="s">
        <v>894</v>
      </c>
      <c r="K181" s="1" t="s">
        <v>403</v>
      </c>
    </row>
    <row r="182">
      <c r="A182" s="1" t="s">
        <v>895</v>
      </c>
      <c r="B182" s="1" t="s">
        <v>896</v>
      </c>
      <c r="C182" s="1">
        <v>2024.0</v>
      </c>
      <c r="D182" s="2">
        <v>45335.0</v>
      </c>
      <c r="F182" s="1" t="s">
        <v>897</v>
      </c>
      <c r="H182" s="3">
        <v>0.0</v>
      </c>
      <c r="I182" s="4" t="s">
        <v>898</v>
      </c>
      <c r="J182" s="1" t="s">
        <v>899</v>
      </c>
      <c r="K182" s="1" t="s">
        <v>16</v>
      </c>
    </row>
    <row r="183">
      <c r="A183" s="1" t="s">
        <v>900</v>
      </c>
      <c r="B183" s="1" t="s">
        <v>901</v>
      </c>
      <c r="C183" s="1">
        <v>2024.0</v>
      </c>
      <c r="D183" s="2">
        <v>45334.0</v>
      </c>
      <c r="F183" s="1" t="s">
        <v>65</v>
      </c>
      <c r="H183" s="3">
        <v>0.0</v>
      </c>
      <c r="I183" s="4" t="s">
        <v>902</v>
      </c>
      <c r="J183" s="1" t="s">
        <v>903</v>
      </c>
      <c r="K183" s="1" t="s">
        <v>45</v>
      </c>
    </row>
    <row r="184">
      <c r="A184" s="1" t="s">
        <v>904</v>
      </c>
      <c r="B184" s="1" t="s">
        <v>905</v>
      </c>
      <c r="C184" s="1">
        <v>2024.0</v>
      </c>
      <c r="D184" s="2">
        <v>45334.0</v>
      </c>
      <c r="F184" s="1" t="s">
        <v>906</v>
      </c>
      <c r="H184" s="3">
        <v>12.0</v>
      </c>
      <c r="I184" s="4" t="s">
        <v>907</v>
      </c>
      <c r="J184" s="1" t="s">
        <v>908</v>
      </c>
      <c r="K184" s="1" t="s">
        <v>383</v>
      </c>
    </row>
    <row r="185">
      <c r="A185" s="1" t="s">
        <v>909</v>
      </c>
      <c r="B185" s="1" t="s">
        <v>910</v>
      </c>
      <c r="C185" s="1">
        <v>2024.0</v>
      </c>
      <c r="D185" s="2">
        <v>45334.0</v>
      </c>
      <c r="F185" s="1" t="s">
        <v>906</v>
      </c>
      <c r="H185" s="3">
        <v>5.0</v>
      </c>
      <c r="I185" s="4" t="s">
        <v>911</v>
      </c>
      <c r="J185" s="1" t="s">
        <v>912</v>
      </c>
      <c r="K185" s="1" t="s">
        <v>383</v>
      </c>
    </row>
    <row r="186">
      <c r="A186" s="1" t="s">
        <v>913</v>
      </c>
      <c r="B186" s="1" t="s">
        <v>914</v>
      </c>
      <c r="C186" s="1">
        <v>2024.0</v>
      </c>
      <c r="D186" s="2">
        <v>45333.0</v>
      </c>
      <c r="F186" s="1" t="s">
        <v>568</v>
      </c>
      <c r="H186" s="3">
        <v>0.0</v>
      </c>
      <c r="I186" s="4" t="s">
        <v>915</v>
      </c>
      <c r="J186" s="1" t="s">
        <v>916</v>
      </c>
      <c r="K186" s="1" t="s">
        <v>323</v>
      </c>
    </row>
    <row r="187">
      <c r="A187" s="1" t="s">
        <v>917</v>
      </c>
      <c r="B187" s="1" t="s">
        <v>918</v>
      </c>
      <c r="C187" s="1">
        <v>2024.0</v>
      </c>
      <c r="D187" s="2">
        <v>45331.0</v>
      </c>
      <c r="F187" s="1" t="s">
        <v>410</v>
      </c>
      <c r="H187" s="3">
        <v>0.0</v>
      </c>
      <c r="I187" s="4" t="s">
        <v>919</v>
      </c>
      <c r="J187" s="1" t="s">
        <v>920</v>
      </c>
      <c r="K187" s="1" t="s">
        <v>16</v>
      </c>
    </row>
    <row r="188">
      <c r="A188" s="1" t="s">
        <v>921</v>
      </c>
      <c r="B188" s="1" t="s">
        <v>922</v>
      </c>
      <c r="C188" s="1">
        <v>2024.0</v>
      </c>
      <c r="D188" s="2">
        <v>45331.0</v>
      </c>
      <c r="F188" s="1" t="s">
        <v>923</v>
      </c>
      <c r="H188" s="3">
        <v>0.0</v>
      </c>
      <c r="I188" s="4" t="s">
        <v>924</v>
      </c>
      <c r="J188" s="1" t="s">
        <v>925</v>
      </c>
      <c r="K188" s="1" t="s">
        <v>926</v>
      </c>
    </row>
    <row r="189">
      <c r="A189" s="1" t="s">
        <v>927</v>
      </c>
      <c r="B189" s="1" t="s">
        <v>928</v>
      </c>
      <c r="C189" s="1">
        <v>2024.0</v>
      </c>
      <c r="D189" s="2">
        <v>45331.0</v>
      </c>
      <c r="F189" s="1" t="s">
        <v>929</v>
      </c>
      <c r="H189" s="3">
        <v>0.0</v>
      </c>
      <c r="I189" s="4" t="s">
        <v>930</v>
      </c>
      <c r="J189" s="1" t="s">
        <v>931</v>
      </c>
      <c r="K189" s="1" t="s">
        <v>16</v>
      </c>
    </row>
    <row r="190">
      <c r="A190" s="1" t="s">
        <v>932</v>
      </c>
      <c r="B190" s="1" t="s">
        <v>933</v>
      </c>
      <c r="C190" s="1">
        <v>2024.0</v>
      </c>
      <c r="D190" s="2">
        <v>45330.0</v>
      </c>
      <c r="F190" s="1" t="s">
        <v>934</v>
      </c>
      <c r="H190" s="3">
        <v>0.0</v>
      </c>
      <c r="I190" s="4" t="s">
        <v>935</v>
      </c>
      <c r="J190" s="1" t="s">
        <v>936</v>
      </c>
      <c r="K190" s="1" t="s">
        <v>329</v>
      </c>
    </row>
    <row r="191">
      <c r="A191" s="1" t="s">
        <v>937</v>
      </c>
      <c r="B191" s="1" t="s">
        <v>938</v>
      </c>
      <c r="C191" s="1">
        <v>2024.0</v>
      </c>
      <c r="D191" s="2">
        <v>45330.0</v>
      </c>
      <c r="F191" s="1" t="s">
        <v>396</v>
      </c>
      <c r="H191" s="3">
        <v>1.0</v>
      </c>
      <c r="I191" s="4" t="s">
        <v>939</v>
      </c>
      <c r="J191" s="1"/>
      <c r="K191" s="1" t="s">
        <v>68</v>
      </c>
    </row>
    <row r="192">
      <c r="A192" s="1" t="s">
        <v>940</v>
      </c>
      <c r="B192" s="1" t="s">
        <v>941</v>
      </c>
      <c r="C192" s="1">
        <v>2024.0</v>
      </c>
      <c r="D192" s="2">
        <v>45330.0</v>
      </c>
      <c r="F192" s="1" t="s">
        <v>942</v>
      </c>
      <c r="H192" s="3">
        <v>0.0</v>
      </c>
      <c r="I192" s="4" t="s">
        <v>943</v>
      </c>
      <c r="J192" s="1" t="s">
        <v>944</v>
      </c>
      <c r="K192" s="1" t="s">
        <v>492</v>
      </c>
    </row>
    <row r="193">
      <c r="A193" s="1" t="s">
        <v>945</v>
      </c>
      <c r="B193" s="1" t="s">
        <v>946</v>
      </c>
      <c r="C193" s="1">
        <v>2024.0</v>
      </c>
      <c r="D193" s="2">
        <v>45329.0</v>
      </c>
      <c r="F193" s="1" t="s">
        <v>947</v>
      </c>
      <c r="H193" s="3">
        <v>0.0</v>
      </c>
      <c r="I193" s="4" t="s">
        <v>948</v>
      </c>
      <c r="J193" s="1" t="s">
        <v>949</v>
      </c>
      <c r="K193" s="1" t="s">
        <v>68</v>
      </c>
    </row>
    <row r="194">
      <c r="A194" s="1" t="s">
        <v>950</v>
      </c>
      <c r="B194" s="1" t="s">
        <v>951</v>
      </c>
      <c r="C194" s="1">
        <v>2024.0</v>
      </c>
      <c r="D194" s="2">
        <v>45328.0</v>
      </c>
      <c r="F194" s="1" t="s">
        <v>952</v>
      </c>
      <c r="H194" s="3">
        <v>0.0</v>
      </c>
      <c r="I194" s="4" t="s">
        <v>953</v>
      </c>
      <c r="J194" s="1" t="s">
        <v>954</v>
      </c>
      <c r="K194" s="1" t="s">
        <v>16</v>
      </c>
    </row>
    <row r="195">
      <c r="A195" s="1" t="s">
        <v>955</v>
      </c>
      <c r="B195" s="1" t="s">
        <v>956</v>
      </c>
      <c r="C195" s="1">
        <v>2024.0</v>
      </c>
      <c r="D195" s="2">
        <v>45327.0</v>
      </c>
      <c r="F195" s="1" t="s">
        <v>957</v>
      </c>
      <c r="H195" s="3">
        <v>0.0</v>
      </c>
      <c r="I195" s="4" t="s">
        <v>958</v>
      </c>
      <c r="J195" s="1" t="s">
        <v>959</v>
      </c>
      <c r="K195" s="1" t="s">
        <v>16</v>
      </c>
    </row>
    <row r="196">
      <c r="A196" s="1" t="s">
        <v>960</v>
      </c>
      <c r="B196" s="1" t="s">
        <v>961</v>
      </c>
      <c r="C196" s="1">
        <v>2024.0</v>
      </c>
      <c r="D196" s="2">
        <v>45326.0</v>
      </c>
      <c r="F196" s="1" t="s">
        <v>962</v>
      </c>
      <c r="H196" s="3">
        <v>0.0</v>
      </c>
      <c r="I196" s="4" t="s">
        <v>963</v>
      </c>
      <c r="J196" s="1" t="s">
        <v>964</v>
      </c>
      <c r="K196" s="1" t="s">
        <v>323</v>
      </c>
    </row>
    <row r="197">
      <c r="A197" s="1" t="s">
        <v>965</v>
      </c>
      <c r="B197" s="1" t="s">
        <v>966</v>
      </c>
      <c r="C197" s="1">
        <v>2024.0</v>
      </c>
      <c r="D197" s="2">
        <v>45324.0</v>
      </c>
      <c r="F197" s="1" t="s">
        <v>369</v>
      </c>
      <c r="H197" s="3">
        <v>0.0</v>
      </c>
      <c r="I197" s="4" t="s">
        <v>967</v>
      </c>
      <c r="J197" s="1" t="s">
        <v>968</v>
      </c>
      <c r="K197" s="1" t="s">
        <v>28</v>
      </c>
    </row>
    <row r="198">
      <c r="A198" s="1" t="s">
        <v>969</v>
      </c>
      <c r="B198" s="1" t="s">
        <v>970</v>
      </c>
      <c r="C198" s="1">
        <v>2024.0</v>
      </c>
      <c r="D198" s="2">
        <v>45324.0</v>
      </c>
      <c r="F198" s="1" t="s">
        <v>208</v>
      </c>
      <c r="H198" s="3">
        <v>1.0</v>
      </c>
      <c r="I198" s="4" t="s">
        <v>971</v>
      </c>
      <c r="J198" s="1" t="s">
        <v>972</v>
      </c>
      <c r="K198" s="1" t="s">
        <v>329</v>
      </c>
    </row>
    <row r="199">
      <c r="A199" s="1" t="s">
        <v>973</v>
      </c>
      <c r="B199" s="1" t="s">
        <v>974</v>
      </c>
      <c r="C199" s="1">
        <v>2024.0</v>
      </c>
      <c r="D199" s="2">
        <v>45324.0</v>
      </c>
      <c r="F199" s="1" t="s">
        <v>13</v>
      </c>
      <c r="H199" s="3">
        <v>1.0</v>
      </c>
      <c r="I199" s="4" t="s">
        <v>975</v>
      </c>
      <c r="J199" s="1" t="s">
        <v>976</v>
      </c>
      <c r="K199" s="1" t="s">
        <v>926</v>
      </c>
    </row>
    <row r="200">
      <c r="A200" s="1" t="s">
        <v>977</v>
      </c>
      <c r="B200" s="1" t="s">
        <v>978</v>
      </c>
      <c r="C200" s="1">
        <v>2024.0</v>
      </c>
      <c r="D200" s="2">
        <v>45323.0</v>
      </c>
      <c r="F200" s="1" t="s">
        <v>979</v>
      </c>
      <c r="H200" s="3">
        <v>0.0</v>
      </c>
      <c r="I200" s="4" t="s">
        <v>980</v>
      </c>
      <c r="J200" s="1" t="s">
        <v>981</v>
      </c>
      <c r="K200" s="1" t="s">
        <v>403</v>
      </c>
    </row>
    <row r="201">
      <c r="A201" s="1" t="s">
        <v>982</v>
      </c>
      <c r="B201" s="1" t="s">
        <v>983</v>
      </c>
      <c r="C201" s="1">
        <v>2024.0</v>
      </c>
      <c r="D201" s="2">
        <v>45323.0</v>
      </c>
      <c r="F201" s="1" t="s">
        <v>519</v>
      </c>
      <c r="H201" s="3">
        <v>0.0</v>
      </c>
      <c r="I201" s="4" t="s">
        <v>984</v>
      </c>
      <c r="J201" s="1"/>
      <c r="K201" s="1" t="s">
        <v>443</v>
      </c>
    </row>
    <row r="202">
      <c r="A202" s="1" t="s">
        <v>985</v>
      </c>
      <c r="B202" s="1" t="s">
        <v>986</v>
      </c>
      <c r="C202" s="1">
        <v>2024.0</v>
      </c>
      <c r="D202" s="2">
        <v>45323.0</v>
      </c>
      <c r="F202" s="1" t="s">
        <v>987</v>
      </c>
      <c r="H202" s="3">
        <v>0.0</v>
      </c>
      <c r="I202" s="4" t="s">
        <v>988</v>
      </c>
      <c r="J202" s="1" t="s">
        <v>989</v>
      </c>
      <c r="K202" s="1" t="s">
        <v>317</v>
      </c>
    </row>
    <row r="203">
      <c r="A203" s="1" t="s">
        <v>990</v>
      </c>
      <c r="B203" s="1" t="s">
        <v>991</v>
      </c>
      <c r="C203" s="1">
        <v>2024.0</v>
      </c>
      <c r="D203" s="2">
        <v>45323.0</v>
      </c>
      <c r="F203" s="1" t="s">
        <v>689</v>
      </c>
      <c r="H203" s="3">
        <v>1.0</v>
      </c>
      <c r="I203" s="4" t="s">
        <v>992</v>
      </c>
      <c r="J203" s="1" t="s">
        <v>993</v>
      </c>
      <c r="K203" s="1" t="s">
        <v>413</v>
      </c>
    </row>
    <row r="204">
      <c r="A204" s="1" t="s">
        <v>994</v>
      </c>
      <c r="B204" s="1" t="s">
        <v>995</v>
      </c>
      <c r="C204" s="1">
        <v>2024.0</v>
      </c>
      <c r="D204" s="2">
        <v>45323.0</v>
      </c>
      <c r="F204" s="1" t="s">
        <v>996</v>
      </c>
      <c r="H204" s="3">
        <v>0.0</v>
      </c>
      <c r="I204" s="4" t="s">
        <v>997</v>
      </c>
      <c r="J204" s="1" t="s">
        <v>998</v>
      </c>
      <c r="K204" s="1" t="s">
        <v>413</v>
      </c>
    </row>
    <row r="205">
      <c r="A205" s="1" t="s">
        <v>999</v>
      </c>
      <c r="B205" s="1" t="s">
        <v>1000</v>
      </c>
      <c r="C205" s="1">
        <v>2024.0</v>
      </c>
      <c r="D205" s="2">
        <v>45323.0</v>
      </c>
      <c r="F205" s="1" t="s">
        <v>1001</v>
      </c>
      <c r="H205" s="3">
        <v>0.0</v>
      </c>
      <c r="I205" s="4" t="s">
        <v>1002</v>
      </c>
      <c r="J205" s="1" t="s">
        <v>1003</v>
      </c>
      <c r="K205" s="1" t="s">
        <v>329</v>
      </c>
    </row>
    <row r="206">
      <c r="A206" s="1" t="s">
        <v>1004</v>
      </c>
      <c r="B206" s="1" t="s">
        <v>1005</v>
      </c>
      <c r="C206" s="1">
        <v>2024.0</v>
      </c>
      <c r="D206" s="2">
        <v>45322.0</v>
      </c>
      <c r="F206" s="1" t="s">
        <v>1006</v>
      </c>
      <c r="H206" s="3">
        <v>0.0</v>
      </c>
      <c r="I206" s="4" t="s">
        <v>1007</v>
      </c>
      <c r="J206" s="1" t="s">
        <v>1008</v>
      </c>
      <c r="K206" s="1" t="s">
        <v>462</v>
      </c>
    </row>
    <row r="207">
      <c r="A207" s="1" t="s">
        <v>1009</v>
      </c>
      <c r="B207" s="1" t="s">
        <v>1010</v>
      </c>
      <c r="C207" s="1">
        <v>2024.0</v>
      </c>
      <c r="D207" s="2">
        <v>45322.0</v>
      </c>
      <c r="F207" s="1" t="s">
        <v>243</v>
      </c>
      <c r="H207" s="3">
        <v>0.0</v>
      </c>
      <c r="I207" s="4" t="s">
        <v>1011</v>
      </c>
      <c r="J207" s="1" t="s">
        <v>1012</v>
      </c>
      <c r="K207" s="1" t="s">
        <v>295</v>
      </c>
    </row>
    <row r="208">
      <c r="A208" s="1" t="s">
        <v>1013</v>
      </c>
      <c r="B208" s="1" t="s">
        <v>1014</v>
      </c>
      <c r="C208" s="1">
        <v>2024.0</v>
      </c>
      <c r="D208" s="2">
        <v>45322.0</v>
      </c>
      <c r="F208" s="1" t="s">
        <v>1015</v>
      </c>
      <c r="H208" s="3">
        <v>1.0</v>
      </c>
      <c r="I208" s="4" t="s">
        <v>1016</v>
      </c>
      <c r="J208" s="1" t="s">
        <v>1017</v>
      </c>
      <c r="K208" s="1" t="s">
        <v>28</v>
      </c>
    </row>
    <row r="209">
      <c r="A209" s="1" t="s">
        <v>1018</v>
      </c>
      <c r="B209" s="1" t="s">
        <v>1019</v>
      </c>
      <c r="C209" s="1">
        <v>2024.0</v>
      </c>
      <c r="D209" s="2">
        <v>45322.0</v>
      </c>
      <c r="F209" s="1" t="s">
        <v>1020</v>
      </c>
      <c r="H209" s="3">
        <v>0.0</v>
      </c>
      <c r="I209" s="4" t="s">
        <v>1021</v>
      </c>
      <c r="J209" s="1" t="s">
        <v>1022</v>
      </c>
      <c r="K209" s="1" t="s">
        <v>383</v>
      </c>
    </row>
    <row r="210">
      <c r="A210" s="1" t="s">
        <v>1023</v>
      </c>
      <c r="B210" s="1" t="s">
        <v>1024</v>
      </c>
      <c r="C210" s="1">
        <v>2024.0</v>
      </c>
      <c r="D210" s="2">
        <v>45321.0</v>
      </c>
      <c r="F210" s="1" t="s">
        <v>243</v>
      </c>
      <c r="H210" s="3">
        <v>1.0</v>
      </c>
      <c r="I210" s="4" t="s">
        <v>1025</v>
      </c>
      <c r="J210" s="1" t="s">
        <v>1026</v>
      </c>
      <c r="K210" s="1" t="s">
        <v>295</v>
      </c>
    </row>
    <row r="211">
      <c r="A211" s="1" t="s">
        <v>1027</v>
      </c>
      <c r="B211" s="1" t="s">
        <v>1028</v>
      </c>
      <c r="C211" s="1">
        <v>2024.0</v>
      </c>
      <c r="D211" s="2">
        <v>45321.0</v>
      </c>
      <c r="F211" s="1" t="s">
        <v>271</v>
      </c>
      <c r="H211" s="3">
        <v>0.0</v>
      </c>
      <c r="I211" s="4" t="s">
        <v>1029</v>
      </c>
      <c r="J211" s="1" t="s">
        <v>1030</v>
      </c>
      <c r="K211" s="1" t="s">
        <v>477</v>
      </c>
    </row>
    <row r="212">
      <c r="A212" s="1" t="s">
        <v>1031</v>
      </c>
      <c r="B212" s="1" t="s">
        <v>1032</v>
      </c>
      <c r="C212" s="1">
        <v>2024.0</v>
      </c>
      <c r="D212" s="2">
        <v>45321.0</v>
      </c>
      <c r="F212" s="1" t="s">
        <v>1033</v>
      </c>
      <c r="H212" s="3">
        <v>0.0</v>
      </c>
      <c r="I212" s="4" t="s">
        <v>1034</v>
      </c>
      <c r="J212" s="1" t="s">
        <v>1035</v>
      </c>
      <c r="K212" s="1" t="s">
        <v>1036</v>
      </c>
    </row>
    <row r="213">
      <c r="A213" s="1" t="s">
        <v>1037</v>
      </c>
      <c r="B213" s="1" t="s">
        <v>1032</v>
      </c>
      <c r="C213" s="1">
        <v>2024.0</v>
      </c>
      <c r="D213" s="2">
        <v>45321.0</v>
      </c>
      <c r="F213" s="1" t="s">
        <v>1033</v>
      </c>
      <c r="H213" s="3">
        <v>0.0</v>
      </c>
      <c r="I213" s="4" t="s">
        <v>1034</v>
      </c>
      <c r="J213" s="1" t="s">
        <v>1035</v>
      </c>
      <c r="K213" s="1" t="s">
        <v>56</v>
      </c>
    </row>
    <row r="214">
      <c r="A214" s="1" t="s">
        <v>1038</v>
      </c>
      <c r="B214" s="1" t="s">
        <v>1039</v>
      </c>
      <c r="C214" s="1">
        <v>2024.0</v>
      </c>
      <c r="D214" s="2">
        <v>45320.0</v>
      </c>
      <c r="F214" s="1" t="s">
        <v>1040</v>
      </c>
      <c r="H214" s="3">
        <v>0.0</v>
      </c>
      <c r="I214" s="4" t="s">
        <v>1041</v>
      </c>
      <c r="J214" s="1" t="s">
        <v>1042</v>
      </c>
      <c r="K214" s="1" t="s">
        <v>28</v>
      </c>
    </row>
    <row r="215">
      <c r="A215" s="1" t="s">
        <v>1043</v>
      </c>
      <c r="B215" s="1" t="s">
        <v>1044</v>
      </c>
      <c r="C215" s="1">
        <v>2024.0</v>
      </c>
      <c r="D215" s="2">
        <v>45320.0</v>
      </c>
      <c r="F215" s="1" t="s">
        <v>1045</v>
      </c>
      <c r="H215" s="3">
        <v>1.0</v>
      </c>
      <c r="I215" s="4" t="s">
        <v>1046</v>
      </c>
      <c r="J215" s="1" t="s">
        <v>1047</v>
      </c>
      <c r="K215" s="1" t="s">
        <v>28</v>
      </c>
    </row>
    <row r="216">
      <c r="A216" s="1" t="s">
        <v>1048</v>
      </c>
      <c r="B216" s="1" t="s">
        <v>1049</v>
      </c>
      <c r="C216" s="1">
        <v>2024.0</v>
      </c>
      <c r="D216" s="2">
        <v>45320.0</v>
      </c>
      <c r="F216" s="1" t="s">
        <v>1050</v>
      </c>
      <c r="H216" s="3">
        <v>0.0</v>
      </c>
      <c r="I216" s="4" t="s">
        <v>1051</v>
      </c>
      <c r="J216" s="1" t="s">
        <v>1052</v>
      </c>
      <c r="K216" s="1" t="s">
        <v>340</v>
      </c>
    </row>
    <row r="217">
      <c r="A217" s="1" t="s">
        <v>1053</v>
      </c>
      <c r="B217" s="1" t="s">
        <v>1054</v>
      </c>
      <c r="C217" s="1">
        <v>2024.0</v>
      </c>
      <c r="D217" s="2">
        <v>45318.0</v>
      </c>
      <c r="F217" s="1" t="s">
        <v>1055</v>
      </c>
      <c r="H217" s="3">
        <v>0.0</v>
      </c>
      <c r="I217" s="4" t="s">
        <v>1056</v>
      </c>
      <c r="J217" s="1" t="s">
        <v>1057</v>
      </c>
      <c r="K217" s="1" t="s">
        <v>28</v>
      </c>
    </row>
    <row r="218">
      <c r="A218" s="1" t="s">
        <v>1058</v>
      </c>
      <c r="B218" s="1" t="s">
        <v>1059</v>
      </c>
      <c r="C218" s="1">
        <v>2024.0</v>
      </c>
      <c r="D218" s="2">
        <v>45315.0</v>
      </c>
      <c r="F218" s="1" t="s">
        <v>1060</v>
      </c>
      <c r="H218" s="3">
        <v>0.0</v>
      </c>
      <c r="I218" s="4" t="s">
        <v>1061</v>
      </c>
      <c r="J218" s="1" t="s">
        <v>1062</v>
      </c>
      <c r="K218" s="1" t="s">
        <v>16</v>
      </c>
    </row>
    <row r="219">
      <c r="A219" s="1" t="s">
        <v>1063</v>
      </c>
      <c r="B219" s="1" t="s">
        <v>1064</v>
      </c>
      <c r="C219" s="1">
        <v>2024.0</v>
      </c>
      <c r="D219" s="2">
        <v>45315.0</v>
      </c>
      <c r="F219" s="1" t="s">
        <v>286</v>
      </c>
      <c r="H219" s="3">
        <v>0.0</v>
      </c>
      <c r="I219" s="4" t="s">
        <v>1065</v>
      </c>
      <c r="J219" s="1" t="s">
        <v>1066</v>
      </c>
      <c r="K219" s="1" t="s">
        <v>16</v>
      </c>
    </row>
    <row r="220">
      <c r="A220" s="1" t="s">
        <v>1067</v>
      </c>
      <c r="B220" s="1" t="s">
        <v>1068</v>
      </c>
      <c r="C220" s="1">
        <v>2024.0</v>
      </c>
      <c r="D220" s="2">
        <v>45314.0</v>
      </c>
      <c r="F220" s="1" t="s">
        <v>1069</v>
      </c>
      <c r="H220" s="3">
        <v>0.0</v>
      </c>
      <c r="I220" s="4" t="s">
        <v>1070</v>
      </c>
      <c r="J220" s="1" t="s">
        <v>1071</v>
      </c>
      <c r="K220" s="1" t="s">
        <v>28</v>
      </c>
    </row>
    <row r="221">
      <c r="A221" s="1" t="s">
        <v>1072</v>
      </c>
      <c r="B221" s="1" t="s">
        <v>1073</v>
      </c>
      <c r="C221" s="1">
        <v>2024.0</v>
      </c>
      <c r="D221" s="2">
        <v>45314.0</v>
      </c>
      <c r="F221" s="1" t="s">
        <v>1074</v>
      </c>
      <c r="H221" s="3">
        <v>0.0</v>
      </c>
      <c r="I221" s="4" t="s">
        <v>1075</v>
      </c>
      <c r="J221" s="1"/>
      <c r="K221" s="1" t="s">
        <v>295</v>
      </c>
    </row>
    <row r="222">
      <c r="A222" s="1" t="s">
        <v>1076</v>
      </c>
      <c r="B222" s="1" t="s">
        <v>1077</v>
      </c>
      <c r="C222" s="1">
        <v>2024.0</v>
      </c>
      <c r="D222" s="2">
        <v>45313.0</v>
      </c>
      <c r="F222" s="1" t="s">
        <v>396</v>
      </c>
      <c r="H222" s="3">
        <v>4.0</v>
      </c>
      <c r="I222" s="4" t="s">
        <v>1078</v>
      </c>
      <c r="J222" s="1"/>
      <c r="K222" s="1" t="s">
        <v>45</v>
      </c>
    </row>
    <row r="223">
      <c r="A223" s="1" t="s">
        <v>1079</v>
      </c>
      <c r="B223" s="1" t="s">
        <v>1080</v>
      </c>
      <c r="C223" s="1">
        <v>2024.0</v>
      </c>
      <c r="D223" s="2">
        <v>45311.0</v>
      </c>
      <c r="F223" s="1" t="s">
        <v>1081</v>
      </c>
      <c r="H223" s="3">
        <v>1.0</v>
      </c>
      <c r="I223" s="4" t="s">
        <v>1082</v>
      </c>
      <c r="J223" s="1" t="s">
        <v>1083</v>
      </c>
      <c r="K223" s="1" t="s">
        <v>323</v>
      </c>
    </row>
    <row r="224">
      <c r="A224" s="1" t="s">
        <v>1084</v>
      </c>
      <c r="B224" s="1" t="s">
        <v>1085</v>
      </c>
      <c r="C224" s="1">
        <v>2024.0</v>
      </c>
      <c r="D224" s="2">
        <v>45311.0</v>
      </c>
      <c r="F224" s="1" t="s">
        <v>1086</v>
      </c>
      <c r="H224" s="3">
        <v>0.0</v>
      </c>
      <c r="I224" s="4" t="s">
        <v>1087</v>
      </c>
      <c r="J224" s="1" t="s">
        <v>1088</v>
      </c>
      <c r="K224" s="1" t="s">
        <v>413</v>
      </c>
    </row>
    <row r="225">
      <c r="A225" s="1" t="s">
        <v>1089</v>
      </c>
      <c r="B225" s="1" t="s">
        <v>1090</v>
      </c>
      <c r="C225" s="1">
        <v>2024.0</v>
      </c>
      <c r="D225" s="2">
        <v>45310.0</v>
      </c>
      <c r="F225" s="1" t="s">
        <v>877</v>
      </c>
      <c r="H225" s="3">
        <v>1.0</v>
      </c>
      <c r="I225" s="4" t="s">
        <v>1091</v>
      </c>
      <c r="J225" s="1" t="s">
        <v>1092</v>
      </c>
      <c r="K225" s="1" t="s">
        <v>295</v>
      </c>
    </row>
    <row r="226">
      <c r="A226" s="1" t="s">
        <v>1093</v>
      </c>
      <c r="B226" s="1" t="s">
        <v>1094</v>
      </c>
      <c r="C226" s="1">
        <v>2024.0</v>
      </c>
      <c r="D226" s="2">
        <v>45310.0</v>
      </c>
      <c r="F226" s="1" t="s">
        <v>1095</v>
      </c>
      <c r="H226" s="3">
        <v>0.0</v>
      </c>
      <c r="I226" s="4" t="s">
        <v>1096</v>
      </c>
      <c r="J226" s="1" t="s">
        <v>1097</v>
      </c>
      <c r="K226" s="1" t="s">
        <v>492</v>
      </c>
    </row>
    <row r="227">
      <c r="A227" s="1" t="s">
        <v>1098</v>
      </c>
      <c r="B227" s="1" t="s">
        <v>1099</v>
      </c>
      <c r="C227" s="1">
        <v>2024.0</v>
      </c>
      <c r="D227" s="2">
        <v>45308.0</v>
      </c>
      <c r="F227" s="1" t="s">
        <v>271</v>
      </c>
      <c r="H227" s="3">
        <v>0.0</v>
      </c>
      <c r="I227" s="4" t="s">
        <v>1100</v>
      </c>
      <c r="J227" s="1" t="s">
        <v>1101</v>
      </c>
      <c r="K227" s="1" t="s">
        <v>323</v>
      </c>
    </row>
    <row r="228">
      <c r="A228" s="1" t="s">
        <v>1102</v>
      </c>
      <c r="B228" s="1" t="s">
        <v>1103</v>
      </c>
      <c r="C228" s="1">
        <v>2024.0</v>
      </c>
      <c r="D228" s="2">
        <v>45308.0</v>
      </c>
      <c r="F228" s="1" t="s">
        <v>1104</v>
      </c>
      <c r="H228" s="3">
        <v>0.0</v>
      </c>
      <c r="I228" s="4" t="s">
        <v>1105</v>
      </c>
      <c r="J228" s="1" t="s">
        <v>1106</v>
      </c>
      <c r="K228" s="1" t="s">
        <v>571</v>
      </c>
    </row>
    <row r="229">
      <c r="A229" s="1" t="s">
        <v>1107</v>
      </c>
      <c r="B229" s="1" t="s">
        <v>1108</v>
      </c>
      <c r="C229" s="1">
        <v>2024.0</v>
      </c>
      <c r="D229" s="2">
        <v>45308.0</v>
      </c>
      <c r="F229" s="1" t="s">
        <v>474</v>
      </c>
      <c r="H229" s="3">
        <v>0.0</v>
      </c>
      <c r="I229" s="4" t="s">
        <v>1109</v>
      </c>
      <c r="J229" s="1" t="s">
        <v>1110</v>
      </c>
      <c r="K229" s="1" t="s">
        <v>295</v>
      </c>
    </row>
    <row r="230">
      <c r="A230" s="1" t="s">
        <v>1111</v>
      </c>
      <c r="B230" s="1" t="s">
        <v>1112</v>
      </c>
      <c r="C230" s="1">
        <v>2024.0</v>
      </c>
      <c r="D230" s="2">
        <v>45306.0</v>
      </c>
      <c r="F230" s="1" t="s">
        <v>1113</v>
      </c>
      <c r="H230" s="3">
        <v>1.0</v>
      </c>
      <c r="I230" s="4" t="s">
        <v>1114</v>
      </c>
      <c r="J230" s="1" t="s">
        <v>1115</v>
      </c>
      <c r="K230" s="1" t="s">
        <v>45</v>
      </c>
    </row>
    <row r="231">
      <c r="A231" s="1" t="s">
        <v>1116</v>
      </c>
      <c r="B231" s="1" t="s">
        <v>1117</v>
      </c>
      <c r="C231" s="1">
        <v>2024.0</v>
      </c>
      <c r="D231" s="2">
        <v>45306.0</v>
      </c>
      <c r="F231" s="1" t="s">
        <v>1118</v>
      </c>
      <c r="H231" s="3">
        <v>0.0</v>
      </c>
      <c r="I231" s="4" t="s">
        <v>1119</v>
      </c>
      <c r="J231" s="1" t="s">
        <v>1120</v>
      </c>
      <c r="K231" s="1" t="s">
        <v>28</v>
      </c>
    </row>
    <row r="232">
      <c r="A232" s="1" t="s">
        <v>1121</v>
      </c>
      <c r="B232" s="1" t="s">
        <v>1122</v>
      </c>
      <c r="C232" s="1">
        <v>2024.0</v>
      </c>
      <c r="D232" s="2">
        <v>45306.0</v>
      </c>
      <c r="F232" s="1" t="s">
        <v>1123</v>
      </c>
      <c r="H232" s="3">
        <v>0.0</v>
      </c>
      <c r="I232" s="4" t="s">
        <v>1124</v>
      </c>
      <c r="J232" s="1" t="s">
        <v>1125</v>
      </c>
      <c r="K232" s="1" t="s">
        <v>28</v>
      </c>
    </row>
    <row r="233">
      <c r="A233" s="1" t="s">
        <v>1126</v>
      </c>
      <c r="B233" s="1" t="s">
        <v>1127</v>
      </c>
      <c r="C233" s="1">
        <v>2024.0</v>
      </c>
      <c r="D233" s="2">
        <v>45306.0</v>
      </c>
      <c r="F233" s="1" t="s">
        <v>1128</v>
      </c>
      <c r="H233" s="3">
        <v>1.0</v>
      </c>
      <c r="I233" s="4" t="s">
        <v>1129</v>
      </c>
      <c r="J233" s="1" t="s">
        <v>1130</v>
      </c>
      <c r="K233" s="1" t="s">
        <v>477</v>
      </c>
    </row>
    <row r="234">
      <c r="A234" s="1" t="s">
        <v>1131</v>
      </c>
      <c r="B234" s="1" t="s">
        <v>1132</v>
      </c>
      <c r="C234" s="1">
        <v>2024.0</v>
      </c>
      <c r="D234" s="2">
        <v>45305.0</v>
      </c>
      <c r="F234" s="1" t="s">
        <v>208</v>
      </c>
      <c r="H234" s="3">
        <v>0.0</v>
      </c>
      <c r="I234" s="4" t="s">
        <v>1133</v>
      </c>
      <c r="J234" s="1" t="s">
        <v>1134</v>
      </c>
      <c r="K234" s="1" t="s">
        <v>418</v>
      </c>
    </row>
    <row r="235">
      <c r="A235" s="1" t="s">
        <v>1135</v>
      </c>
      <c r="B235" s="1" t="s">
        <v>1136</v>
      </c>
      <c r="C235" s="1">
        <v>2024.0</v>
      </c>
      <c r="D235" s="2">
        <v>45305.0</v>
      </c>
      <c r="F235" s="1" t="s">
        <v>1137</v>
      </c>
      <c r="H235" s="3">
        <v>0.0</v>
      </c>
      <c r="I235" s="4" t="s">
        <v>1138</v>
      </c>
      <c r="J235" s="1" t="s">
        <v>1139</v>
      </c>
      <c r="K235" s="1" t="s">
        <v>16</v>
      </c>
    </row>
    <row r="236">
      <c r="A236" s="1" t="s">
        <v>1140</v>
      </c>
      <c r="B236" s="1" t="s">
        <v>1141</v>
      </c>
      <c r="C236" s="1">
        <v>2024.0</v>
      </c>
      <c r="D236" s="2">
        <v>45303.0</v>
      </c>
      <c r="F236" s="1" t="s">
        <v>157</v>
      </c>
      <c r="H236" s="3">
        <v>1.0</v>
      </c>
      <c r="I236" s="4" t="s">
        <v>1142</v>
      </c>
      <c r="J236" s="1" t="s">
        <v>1143</v>
      </c>
      <c r="K236" s="1" t="s">
        <v>546</v>
      </c>
    </row>
    <row r="237">
      <c r="A237" s="1" t="s">
        <v>1144</v>
      </c>
      <c r="B237" s="1" t="s">
        <v>1145</v>
      </c>
      <c r="C237" s="1">
        <v>2024.0</v>
      </c>
      <c r="D237" s="2">
        <v>45303.0</v>
      </c>
      <c r="F237" s="1" t="s">
        <v>157</v>
      </c>
      <c r="H237" s="3">
        <v>2.0</v>
      </c>
      <c r="I237" s="4" t="s">
        <v>1146</v>
      </c>
      <c r="J237" s="1" t="s">
        <v>1147</v>
      </c>
      <c r="K237" s="1" t="s">
        <v>546</v>
      </c>
    </row>
    <row r="238">
      <c r="A238" s="1" t="s">
        <v>1148</v>
      </c>
      <c r="B238" s="1" t="s">
        <v>1149</v>
      </c>
      <c r="C238" s="1">
        <v>2024.0</v>
      </c>
      <c r="D238" s="2">
        <v>45303.0</v>
      </c>
      <c r="F238" s="1" t="s">
        <v>877</v>
      </c>
      <c r="H238" s="3">
        <v>0.0</v>
      </c>
      <c r="I238" s="4" t="s">
        <v>1150</v>
      </c>
      <c r="J238" s="1" t="s">
        <v>1151</v>
      </c>
      <c r="K238" s="1" t="s">
        <v>16</v>
      </c>
    </row>
    <row r="239">
      <c r="A239" s="1" t="s">
        <v>1152</v>
      </c>
      <c r="B239" s="1" t="s">
        <v>1153</v>
      </c>
      <c r="C239" s="1">
        <v>2024.0</v>
      </c>
      <c r="D239" s="2">
        <v>45301.0</v>
      </c>
      <c r="F239" s="1" t="s">
        <v>1154</v>
      </c>
      <c r="H239" s="3">
        <v>0.0</v>
      </c>
      <c r="I239" s="4" t="s">
        <v>1155</v>
      </c>
      <c r="J239" s="1" t="s">
        <v>1156</v>
      </c>
      <c r="K239" s="1" t="s">
        <v>1036</v>
      </c>
    </row>
    <row r="240">
      <c r="A240" s="1" t="s">
        <v>1157</v>
      </c>
      <c r="B240" s="1" t="s">
        <v>1158</v>
      </c>
      <c r="C240" s="1">
        <v>2024.0</v>
      </c>
      <c r="D240" s="2">
        <v>45301.0</v>
      </c>
      <c r="F240" s="1" t="s">
        <v>489</v>
      </c>
      <c r="H240" s="3">
        <v>1.0</v>
      </c>
      <c r="I240" s="4" t="s">
        <v>1159</v>
      </c>
      <c r="J240" s="1"/>
      <c r="K240" s="1" t="s">
        <v>16</v>
      </c>
    </row>
    <row r="241">
      <c r="A241" s="1" t="s">
        <v>1160</v>
      </c>
      <c r="B241" s="1" t="s">
        <v>1161</v>
      </c>
      <c r="C241" s="1">
        <v>2024.0</v>
      </c>
      <c r="D241" s="2">
        <v>45300.0</v>
      </c>
      <c r="F241" s="1" t="s">
        <v>271</v>
      </c>
      <c r="H241" s="3">
        <v>0.0</v>
      </c>
      <c r="I241" s="4" t="s">
        <v>1162</v>
      </c>
      <c r="J241" s="1" t="s">
        <v>1163</v>
      </c>
      <c r="K241" s="1" t="s">
        <v>28</v>
      </c>
    </row>
    <row r="242">
      <c r="A242" s="1" t="s">
        <v>1164</v>
      </c>
      <c r="B242" s="1" t="s">
        <v>1165</v>
      </c>
      <c r="C242" s="1">
        <v>2024.0</v>
      </c>
      <c r="D242" s="2">
        <v>45299.0</v>
      </c>
      <c r="F242" s="1" t="s">
        <v>86</v>
      </c>
      <c r="H242" s="3">
        <v>0.0</v>
      </c>
      <c r="I242" s="4" t="s">
        <v>1166</v>
      </c>
      <c r="J242" s="1" t="s">
        <v>1167</v>
      </c>
      <c r="K242" s="1" t="s">
        <v>45</v>
      </c>
    </row>
    <row r="243">
      <c r="A243" s="1" t="s">
        <v>1168</v>
      </c>
      <c r="B243" s="1" t="s">
        <v>1169</v>
      </c>
      <c r="C243" s="1">
        <v>2024.0</v>
      </c>
      <c r="D243" s="2">
        <v>45299.0</v>
      </c>
      <c r="F243" s="1" t="s">
        <v>1170</v>
      </c>
      <c r="H243" s="3">
        <v>0.0</v>
      </c>
      <c r="I243" s="4" t="s">
        <v>1171</v>
      </c>
      <c r="J243" s="1" t="s">
        <v>1172</v>
      </c>
      <c r="K243" s="1" t="s">
        <v>418</v>
      </c>
    </row>
    <row r="244">
      <c r="A244" s="1" t="s">
        <v>1173</v>
      </c>
      <c r="B244" s="1" t="s">
        <v>1174</v>
      </c>
      <c r="C244" s="1">
        <v>2024.0</v>
      </c>
      <c r="D244" s="2">
        <v>45299.0</v>
      </c>
      <c r="F244" s="1" t="s">
        <v>396</v>
      </c>
      <c r="H244" s="3">
        <v>9.0</v>
      </c>
      <c r="I244" s="4" t="s">
        <v>1175</v>
      </c>
      <c r="J244" s="1" t="s">
        <v>1176</v>
      </c>
      <c r="K244" s="1" t="s">
        <v>418</v>
      </c>
    </row>
    <row r="245">
      <c r="A245" s="1" t="s">
        <v>1177</v>
      </c>
      <c r="B245" s="1" t="s">
        <v>1178</v>
      </c>
      <c r="C245" s="1">
        <v>2024.0</v>
      </c>
      <c r="D245" s="2">
        <v>45299.0</v>
      </c>
      <c r="F245" s="1" t="s">
        <v>1095</v>
      </c>
      <c r="H245" s="3">
        <v>0.0</v>
      </c>
      <c r="I245" s="4" t="s">
        <v>1179</v>
      </c>
      <c r="J245" s="1" t="s">
        <v>1180</v>
      </c>
      <c r="K245" s="1" t="s">
        <v>16</v>
      </c>
    </row>
    <row r="246">
      <c r="A246" s="1" t="s">
        <v>1181</v>
      </c>
      <c r="B246" s="1" t="s">
        <v>1182</v>
      </c>
      <c r="C246" s="1">
        <v>2024.0</v>
      </c>
      <c r="D246" s="2">
        <v>45296.0</v>
      </c>
      <c r="F246" s="1" t="s">
        <v>347</v>
      </c>
      <c r="H246" s="3">
        <v>0.0</v>
      </c>
      <c r="I246" s="4" t="s">
        <v>1183</v>
      </c>
      <c r="J246" s="1" t="s">
        <v>1184</v>
      </c>
      <c r="K246" s="1" t="s">
        <v>28</v>
      </c>
    </row>
    <row r="247">
      <c r="A247" s="1" t="s">
        <v>1185</v>
      </c>
      <c r="B247" s="1" t="s">
        <v>1186</v>
      </c>
      <c r="C247" s="1">
        <v>2024.0</v>
      </c>
      <c r="D247" s="2">
        <v>45296.0</v>
      </c>
      <c r="F247" s="1" t="s">
        <v>59</v>
      </c>
      <c r="H247" s="3">
        <v>0.0</v>
      </c>
      <c r="I247" s="4" t="s">
        <v>1187</v>
      </c>
      <c r="J247" s="1"/>
      <c r="K247" s="1" t="s">
        <v>16</v>
      </c>
    </row>
    <row r="248">
      <c r="A248" s="1" t="s">
        <v>1188</v>
      </c>
      <c r="B248" s="1" t="s">
        <v>1189</v>
      </c>
      <c r="C248" s="1">
        <v>2024.0</v>
      </c>
      <c r="D248" s="2">
        <v>45295.0</v>
      </c>
      <c r="F248" s="1" t="s">
        <v>1190</v>
      </c>
      <c r="H248" s="3">
        <v>0.0</v>
      </c>
      <c r="I248" s="4" t="s">
        <v>1191</v>
      </c>
      <c r="J248" s="1" t="s">
        <v>1192</v>
      </c>
      <c r="K248" s="1" t="s">
        <v>926</v>
      </c>
    </row>
    <row r="249">
      <c r="A249" s="1" t="s">
        <v>1193</v>
      </c>
      <c r="B249" s="1" t="s">
        <v>1194</v>
      </c>
      <c r="C249" s="1">
        <v>2024.0</v>
      </c>
      <c r="D249" s="2">
        <v>45295.0</v>
      </c>
      <c r="F249" s="1" t="s">
        <v>271</v>
      </c>
      <c r="H249" s="3">
        <v>0.0</v>
      </c>
      <c r="I249" s="4" t="s">
        <v>1195</v>
      </c>
      <c r="J249" s="1" t="s">
        <v>1196</v>
      </c>
      <c r="K249" s="1" t="s">
        <v>323</v>
      </c>
    </row>
    <row r="250">
      <c r="A250" s="1" t="s">
        <v>1197</v>
      </c>
      <c r="B250" s="1" t="s">
        <v>1198</v>
      </c>
      <c r="C250" s="1">
        <v>2024.0</v>
      </c>
      <c r="D250" s="2">
        <v>45294.0</v>
      </c>
      <c r="F250" s="1" t="s">
        <v>1199</v>
      </c>
      <c r="H250" s="3">
        <v>1.0</v>
      </c>
      <c r="I250" s="4" t="s">
        <v>1200</v>
      </c>
      <c r="J250" s="1" t="s">
        <v>1201</v>
      </c>
      <c r="K250" s="1" t="s">
        <v>28</v>
      </c>
    </row>
    <row r="251">
      <c r="A251" s="1" t="s">
        <v>1202</v>
      </c>
      <c r="B251" s="1" t="s">
        <v>1203</v>
      </c>
      <c r="C251" s="1">
        <v>2024.0</v>
      </c>
      <c r="D251" s="2">
        <v>45294.0</v>
      </c>
      <c r="F251" s="1" t="s">
        <v>1204</v>
      </c>
      <c r="H251" s="3">
        <v>0.0</v>
      </c>
      <c r="I251" s="4" t="s">
        <v>1205</v>
      </c>
      <c r="J251" s="1" t="s">
        <v>1206</v>
      </c>
      <c r="K251" s="1" t="s">
        <v>68</v>
      </c>
    </row>
    <row r="252">
      <c r="A252" s="1" t="s">
        <v>1207</v>
      </c>
      <c r="B252" s="1" t="s">
        <v>1208</v>
      </c>
      <c r="C252" s="1">
        <v>2024.0</v>
      </c>
      <c r="D252" s="2">
        <v>45294.0</v>
      </c>
      <c r="F252" s="1" t="s">
        <v>1209</v>
      </c>
      <c r="H252" s="3">
        <v>0.0</v>
      </c>
      <c r="I252" s="4" t="s">
        <v>1210</v>
      </c>
      <c r="J252" s="1" t="s">
        <v>1211</v>
      </c>
      <c r="K252" s="1" t="s">
        <v>68</v>
      </c>
    </row>
    <row r="253">
      <c r="A253" s="1" t="s">
        <v>1212</v>
      </c>
      <c r="B253" s="1" t="s">
        <v>1213</v>
      </c>
      <c r="C253" s="1">
        <v>2024.0</v>
      </c>
      <c r="D253" s="2">
        <v>45292.0</v>
      </c>
      <c r="F253" s="1" t="s">
        <v>1214</v>
      </c>
      <c r="H253" s="3">
        <v>0.0</v>
      </c>
      <c r="I253" s="4" t="s">
        <v>1215</v>
      </c>
      <c r="J253" s="1" t="s">
        <v>1216</v>
      </c>
      <c r="K253" s="1" t="s">
        <v>28</v>
      </c>
    </row>
    <row r="254">
      <c r="A254" s="1" t="s">
        <v>1217</v>
      </c>
      <c r="B254" s="1" t="s">
        <v>1218</v>
      </c>
      <c r="C254" s="1">
        <v>2024.0</v>
      </c>
      <c r="D254" s="2">
        <v>45292.0</v>
      </c>
      <c r="F254" s="1" t="s">
        <v>1219</v>
      </c>
      <c r="H254" s="3">
        <v>1.0</v>
      </c>
      <c r="I254" s="4" t="s">
        <v>1220</v>
      </c>
      <c r="J254" s="1" t="s">
        <v>1221</v>
      </c>
      <c r="K254" s="1" t="s">
        <v>329</v>
      </c>
    </row>
    <row r="255">
      <c r="A255" s="1" t="s">
        <v>1222</v>
      </c>
      <c r="B255" s="1" t="s">
        <v>1223</v>
      </c>
      <c r="C255" s="1">
        <v>2024.0</v>
      </c>
      <c r="D255" s="2">
        <v>45292.0</v>
      </c>
      <c r="F255" s="1" t="s">
        <v>757</v>
      </c>
      <c r="H255" s="3">
        <v>7.0</v>
      </c>
      <c r="I255" s="4" t="s">
        <v>1224</v>
      </c>
      <c r="J255" s="1" t="s">
        <v>1225</v>
      </c>
      <c r="K255" s="1" t="s">
        <v>28</v>
      </c>
    </row>
    <row r="256">
      <c r="A256" s="1" t="s">
        <v>1226</v>
      </c>
      <c r="B256" s="1" t="s">
        <v>1227</v>
      </c>
      <c r="C256" s="1">
        <v>2024.0</v>
      </c>
      <c r="D256" s="2">
        <v>45292.0</v>
      </c>
      <c r="F256" s="1" t="s">
        <v>1228</v>
      </c>
      <c r="H256" s="3">
        <v>0.0</v>
      </c>
      <c r="I256" s="4" t="s">
        <v>1229</v>
      </c>
      <c r="J256" s="1" t="s">
        <v>1230</v>
      </c>
      <c r="K256" s="1" t="s">
        <v>16</v>
      </c>
    </row>
    <row r="257">
      <c r="A257" s="1" t="s">
        <v>1231</v>
      </c>
      <c r="B257" s="1" t="s">
        <v>1232</v>
      </c>
      <c r="C257" s="1">
        <v>2024.0</v>
      </c>
      <c r="D257" s="2">
        <v>45292.0</v>
      </c>
      <c r="F257" s="1" t="s">
        <v>1233</v>
      </c>
      <c r="H257" s="3">
        <v>0.0</v>
      </c>
      <c r="I257" s="4" t="s">
        <v>1234</v>
      </c>
      <c r="J257" s="1" t="s">
        <v>1235</v>
      </c>
      <c r="K257" s="1" t="s">
        <v>383</v>
      </c>
    </row>
    <row r="258">
      <c r="A258" s="1" t="s">
        <v>1236</v>
      </c>
      <c r="B258" s="1" t="s">
        <v>1237</v>
      </c>
      <c r="C258" s="1">
        <v>2023.0</v>
      </c>
      <c r="D258" s="2">
        <v>45291.0</v>
      </c>
      <c r="F258" s="1" t="s">
        <v>1238</v>
      </c>
      <c r="H258" s="3">
        <v>1.0</v>
      </c>
      <c r="I258" s="4" t="s">
        <v>1239</v>
      </c>
      <c r="J258" s="1" t="s">
        <v>1240</v>
      </c>
      <c r="K258" s="1" t="s">
        <v>45</v>
      </c>
    </row>
    <row r="259">
      <c r="A259" s="1" t="s">
        <v>1241</v>
      </c>
      <c r="B259" s="1" t="s">
        <v>1242</v>
      </c>
      <c r="C259" s="1">
        <v>2023.0</v>
      </c>
      <c r="D259" s="2">
        <v>45289.0</v>
      </c>
      <c r="F259" s="1" t="s">
        <v>147</v>
      </c>
      <c r="H259" s="3">
        <v>0.0</v>
      </c>
      <c r="I259" s="4" t="s">
        <v>1243</v>
      </c>
      <c r="J259" s="1" t="s">
        <v>1244</v>
      </c>
      <c r="K259" s="1" t="s">
        <v>295</v>
      </c>
    </row>
    <row r="260">
      <c r="A260" s="1" t="s">
        <v>1245</v>
      </c>
      <c r="B260" s="1" t="s">
        <v>1246</v>
      </c>
      <c r="C260" s="1">
        <v>2023.0</v>
      </c>
      <c r="D260" s="2">
        <v>45289.0</v>
      </c>
      <c r="F260" s="1" t="s">
        <v>872</v>
      </c>
      <c r="H260" s="3">
        <v>0.0</v>
      </c>
      <c r="I260" s="4" t="s">
        <v>1247</v>
      </c>
      <c r="J260" s="1" t="s">
        <v>1248</v>
      </c>
      <c r="K260" s="1" t="s">
        <v>323</v>
      </c>
    </row>
    <row r="261">
      <c r="A261" s="1" t="s">
        <v>1249</v>
      </c>
      <c r="B261" s="1" t="s">
        <v>1250</v>
      </c>
      <c r="C261" s="1">
        <v>2023.0</v>
      </c>
      <c r="D261" s="2">
        <v>45288.0</v>
      </c>
      <c r="F261" s="1" t="s">
        <v>271</v>
      </c>
      <c r="H261" s="3">
        <v>0.0</v>
      </c>
      <c r="I261" s="4" t="s">
        <v>1251</v>
      </c>
      <c r="J261" s="1" t="s">
        <v>1252</v>
      </c>
      <c r="K261" s="1" t="s">
        <v>443</v>
      </c>
    </row>
    <row r="262">
      <c r="A262" s="1" t="s">
        <v>1253</v>
      </c>
      <c r="B262" s="1" t="s">
        <v>58</v>
      </c>
      <c r="C262" s="1">
        <v>2023.0</v>
      </c>
      <c r="D262" s="2">
        <v>45287.0</v>
      </c>
      <c r="F262" s="1" t="s">
        <v>59</v>
      </c>
      <c r="H262" s="3">
        <v>0.0</v>
      </c>
      <c r="I262" s="4" t="s">
        <v>60</v>
      </c>
      <c r="J262" s="1" t="s">
        <v>1254</v>
      </c>
      <c r="K262" s="1" t="s">
        <v>443</v>
      </c>
    </row>
    <row r="263">
      <c r="A263" s="1" t="s">
        <v>1255</v>
      </c>
      <c r="B263" s="1" t="s">
        <v>1256</v>
      </c>
      <c r="C263" s="1">
        <v>2023.0</v>
      </c>
      <c r="D263" s="2">
        <v>45286.0</v>
      </c>
      <c r="F263" s="1" t="s">
        <v>489</v>
      </c>
      <c r="H263" s="3">
        <v>0.0</v>
      </c>
      <c r="I263" s="4" t="s">
        <v>1257</v>
      </c>
      <c r="J263" s="1" t="s">
        <v>1258</v>
      </c>
      <c r="K263" s="1" t="s">
        <v>462</v>
      </c>
    </row>
    <row r="264">
      <c r="A264" s="1" t="s">
        <v>1259</v>
      </c>
      <c r="B264" s="1" t="s">
        <v>1260</v>
      </c>
      <c r="C264" s="1">
        <v>2023.0</v>
      </c>
      <c r="D264" s="2">
        <v>45285.0</v>
      </c>
      <c r="F264" s="1" t="s">
        <v>1154</v>
      </c>
      <c r="H264" s="3">
        <v>1.0</v>
      </c>
      <c r="I264" s="4" t="s">
        <v>1261</v>
      </c>
      <c r="J264" s="1" t="s">
        <v>1262</v>
      </c>
      <c r="K264" s="1" t="s">
        <v>477</v>
      </c>
    </row>
    <row r="265">
      <c r="A265" s="1" t="s">
        <v>1263</v>
      </c>
      <c r="B265" s="1" t="s">
        <v>1264</v>
      </c>
      <c r="C265" s="1">
        <v>2023.0</v>
      </c>
      <c r="D265" s="2">
        <v>45285.0</v>
      </c>
      <c r="F265" s="1" t="s">
        <v>1265</v>
      </c>
      <c r="H265" s="3">
        <v>3.0</v>
      </c>
      <c r="I265" s="4" t="s">
        <v>1266</v>
      </c>
      <c r="J265" s="1" t="s">
        <v>1267</v>
      </c>
      <c r="K265" s="1" t="s">
        <v>16</v>
      </c>
    </row>
    <row r="266">
      <c r="A266" s="1" t="s">
        <v>1268</v>
      </c>
      <c r="B266" s="1" t="s">
        <v>1141</v>
      </c>
      <c r="C266" s="1">
        <v>2023.0</v>
      </c>
      <c r="D266" s="2">
        <v>45282.0</v>
      </c>
      <c r="F266" s="1" t="s">
        <v>157</v>
      </c>
      <c r="H266" s="3">
        <v>0.0</v>
      </c>
      <c r="I266" s="4" t="s">
        <v>1269</v>
      </c>
      <c r="J266" s="1" t="s">
        <v>1270</v>
      </c>
      <c r="K266" s="1" t="s">
        <v>546</v>
      </c>
    </row>
    <row r="267">
      <c r="A267" s="1" t="s">
        <v>1271</v>
      </c>
      <c r="B267" s="1" t="s">
        <v>1272</v>
      </c>
      <c r="C267" s="1">
        <v>2023.0</v>
      </c>
      <c r="D267" s="2">
        <v>45282.0</v>
      </c>
      <c r="F267" s="1" t="s">
        <v>157</v>
      </c>
      <c r="H267" s="3">
        <v>0.0</v>
      </c>
      <c r="I267" s="4" t="s">
        <v>1273</v>
      </c>
      <c r="J267" s="1" t="s">
        <v>1274</v>
      </c>
      <c r="K267" s="1" t="s">
        <v>546</v>
      </c>
    </row>
    <row r="268">
      <c r="A268" s="1" t="s">
        <v>1275</v>
      </c>
      <c r="B268" s="1" t="s">
        <v>1276</v>
      </c>
      <c r="C268" s="1">
        <v>2023.0</v>
      </c>
      <c r="D268" s="2">
        <v>45282.0</v>
      </c>
      <c r="F268" s="1" t="s">
        <v>1277</v>
      </c>
      <c r="H268" s="3">
        <v>3.0</v>
      </c>
      <c r="I268" s="4" t="s">
        <v>1278</v>
      </c>
      <c r="J268" s="1" t="s">
        <v>1279</v>
      </c>
      <c r="K268" s="1" t="s">
        <v>413</v>
      </c>
    </row>
    <row r="269">
      <c r="A269" s="1" t="s">
        <v>1280</v>
      </c>
      <c r="B269" s="1" t="s">
        <v>1281</v>
      </c>
      <c r="C269" s="1">
        <v>2023.0</v>
      </c>
      <c r="D269" s="2">
        <v>45279.0</v>
      </c>
      <c r="F269" s="1" t="s">
        <v>1282</v>
      </c>
      <c r="H269" s="3">
        <v>0.0</v>
      </c>
      <c r="I269" s="4" t="s">
        <v>1283</v>
      </c>
      <c r="J269" s="1" t="s">
        <v>1284</v>
      </c>
      <c r="K269" s="1" t="s">
        <v>329</v>
      </c>
    </row>
    <row r="270">
      <c r="A270" s="1" t="s">
        <v>1285</v>
      </c>
      <c r="B270" s="1" t="s">
        <v>1286</v>
      </c>
      <c r="C270" s="1">
        <v>2023.0</v>
      </c>
      <c r="D270" s="2">
        <v>45278.0</v>
      </c>
      <c r="F270" s="1" t="s">
        <v>380</v>
      </c>
      <c r="H270" s="3">
        <v>0.0</v>
      </c>
      <c r="I270" s="4" t="s">
        <v>1287</v>
      </c>
      <c r="J270" s="1" t="s">
        <v>1288</v>
      </c>
      <c r="K270" s="1" t="s">
        <v>28</v>
      </c>
    </row>
    <row r="271">
      <c r="A271" s="1" t="s">
        <v>1289</v>
      </c>
      <c r="B271" s="1" t="s">
        <v>1290</v>
      </c>
      <c r="C271" s="1">
        <v>2023.0</v>
      </c>
      <c r="D271" s="2">
        <v>45278.0</v>
      </c>
      <c r="F271" s="1" t="s">
        <v>271</v>
      </c>
      <c r="H271" s="3">
        <v>0.0</v>
      </c>
      <c r="I271" s="4" t="s">
        <v>1291</v>
      </c>
      <c r="J271" s="1" t="s">
        <v>1292</v>
      </c>
      <c r="K271" s="1" t="s">
        <v>418</v>
      </c>
    </row>
    <row r="272">
      <c r="A272" s="1" t="s">
        <v>1293</v>
      </c>
      <c r="B272" s="1" t="s">
        <v>1294</v>
      </c>
      <c r="C272" s="1">
        <v>2023.0</v>
      </c>
      <c r="D272" s="2">
        <v>45276.0</v>
      </c>
      <c r="F272" s="1" t="s">
        <v>1295</v>
      </c>
      <c r="H272" s="3">
        <v>0.0</v>
      </c>
      <c r="I272" s="4" t="s">
        <v>1296</v>
      </c>
      <c r="J272" s="1" t="s">
        <v>1297</v>
      </c>
      <c r="K272" s="1" t="s">
        <v>323</v>
      </c>
    </row>
    <row r="273">
      <c r="A273" s="1" t="s">
        <v>1298</v>
      </c>
      <c r="B273" s="1" t="s">
        <v>1299</v>
      </c>
      <c r="C273" s="1">
        <v>2023.0</v>
      </c>
      <c r="D273" s="2">
        <v>45276.0</v>
      </c>
      <c r="F273" s="1" t="s">
        <v>1300</v>
      </c>
      <c r="H273" s="3">
        <v>0.0</v>
      </c>
      <c r="I273" s="4" t="s">
        <v>1301</v>
      </c>
      <c r="J273" s="1" t="s">
        <v>1302</v>
      </c>
      <c r="K273" s="1" t="s">
        <v>413</v>
      </c>
    </row>
    <row r="274">
      <c r="A274" s="1" t="s">
        <v>1303</v>
      </c>
      <c r="B274" s="1" t="s">
        <v>1304</v>
      </c>
      <c r="C274" s="1">
        <v>2023.0</v>
      </c>
      <c r="D274" s="2">
        <v>45274.0</v>
      </c>
      <c r="F274" s="1" t="s">
        <v>1305</v>
      </c>
      <c r="H274" s="3">
        <v>0.0</v>
      </c>
      <c r="I274" s="4" t="s">
        <v>1306</v>
      </c>
      <c r="J274" s="1" t="s">
        <v>1307</v>
      </c>
      <c r="K274" s="1" t="s">
        <v>28</v>
      </c>
    </row>
    <row r="275">
      <c r="A275" s="1" t="s">
        <v>1308</v>
      </c>
      <c r="B275" s="1" t="s">
        <v>1309</v>
      </c>
      <c r="C275" s="1">
        <v>2023.0</v>
      </c>
      <c r="D275" s="2">
        <v>45274.0</v>
      </c>
      <c r="F275" s="1" t="s">
        <v>59</v>
      </c>
      <c r="H275" s="3">
        <v>0.0</v>
      </c>
      <c r="I275" s="4" t="s">
        <v>1310</v>
      </c>
      <c r="J275" s="1"/>
      <c r="K275" s="1" t="s">
        <v>16</v>
      </c>
    </row>
    <row r="276">
      <c r="A276" s="1" t="s">
        <v>1311</v>
      </c>
      <c r="B276" s="1" t="s">
        <v>1312</v>
      </c>
      <c r="C276" s="1">
        <v>2023.0</v>
      </c>
      <c r="D276" s="2">
        <v>45273.0</v>
      </c>
      <c r="F276" s="1" t="s">
        <v>71</v>
      </c>
      <c r="H276" s="3">
        <v>0.0</v>
      </c>
      <c r="I276" s="4" t="s">
        <v>1313</v>
      </c>
      <c r="J276" s="1" t="s">
        <v>1314</v>
      </c>
      <c r="K276" s="1" t="s">
        <v>323</v>
      </c>
    </row>
    <row r="277">
      <c r="A277" s="1" t="s">
        <v>1315</v>
      </c>
      <c r="B277" s="1" t="s">
        <v>1316</v>
      </c>
      <c r="C277" s="1">
        <v>2023.0</v>
      </c>
      <c r="D277" s="2">
        <v>45273.0</v>
      </c>
      <c r="F277" s="1" t="s">
        <v>1317</v>
      </c>
      <c r="H277" s="3">
        <v>0.0</v>
      </c>
      <c r="I277" s="4" t="s">
        <v>1318</v>
      </c>
      <c r="J277" s="1" t="s">
        <v>1319</v>
      </c>
      <c r="K277" s="1" t="s">
        <v>28</v>
      </c>
    </row>
    <row r="278">
      <c r="A278" s="1" t="s">
        <v>1320</v>
      </c>
      <c r="B278" s="1" t="s">
        <v>1321</v>
      </c>
      <c r="C278" s="1">
        <v>2023.0</v>
      </c>
      <c r="D278" s="2">
        <v>45273.0</v>
      </c>
      <c r="F278" s="1" t="s">
        <v>248</v>
      </c>
      <c r="H278" s="3">
        <v>5.0</v>
      </c>
      <c r="I278" s="4" t="s">
        <v>1322</v>
      </c>
      <c r="J278" s="1" t="s">
        <v>1323</v>
      </c>
      <c r="K278" s="1" t="s">
        <v>68</v>
      </c>
    </row>
    <row r="279">
      <c r="A279" s="1" t="s">
        <v>1324</v>
      </c>
      <c r="B279" s="1" t="s">
        <v>1325</v>
      </c>
      <c r="C279" s="1">
        <v>2023.0</v>
      </c>
      <c r="D279" s="2">
        <v>45273.0</v>
      </c>
      <c r="F279" s="1" t="s">
        <v>71</v>
      </c>
      <c r="H279" s="3">
        <v>1.0</v>
      </c>
      <c r="I279" s="4" t="s">
        <v>1326</v>
      </c>
      <c r="J279" s="1" t="s">
        <v>1327</v>
      </c>
      <c r="K279" s="1" t="s">
        <v>16</v>
      </c>
    </row>
    <row r="280">
      <c r="A280" s="1" t="s">
        <v>1328</v>
      </c>
      <c r="B280" s="1" t="s">
        <v>1329</v>
      </c>
      <c r="C280" s="1">
        <v>2023.0</v>
      </c>
      <c r="D280" s="2">
        <v>45272.0</v>
      </c>
      <c r="F280" s="1" t="s">
        <v>1330</v>
      </c>
      <c r="H280" s="3">
        <v>1.0</v>
      </c>
      <c r="I280" s="4" t="s">
        <v>1331</v>
      </c>
      <c r="J280" s="1" t="s">
        <v>1332</v>
      </c>
      <c r="K280" s="1" t="s">
        <v>28</v>
      </c>
    </row>
    <row r="281">
      <c r="A281" s="1" t="s">
        <v>1333</v>
      </c>
      <c r="B281" s="1" t="s">
        <v>1334</v>
      </c>
      <c r="C281" s="1">
        <v>2023.0</v>
      </c>
      <c r="D281" s="2">
        <v>45272.0</v>
      </c>
      <c r="F281" s="1" t="s">
        <v>1335</v>
      </c>
      <c r="H281" s="3">
        <v>1.0</v>
      </c>
      <c r="I281" s="4" t="s">
        <v>1336</v>
      </c>
      <c r="J281" s="1" t="s">
        <v>1337</v>
      </c>
      <c r="K281" s="1" t="s">
        <v>68</v>
      </c>
    </row>
    <row r="282">
      <c r="A282" s="1" t="s">
        <v>1338</v>
      </c>
      <c r="B282" s="1" t="s">
        <v>1339</v>
      </c>
      <c r="C282" s="1">
        <v>2023.0</v>
      </c>
      <c r="D282" s="2">
        <v>45271.0</v>
      </c>
      <c r="F282" s="1" t="s">
        <v>1340</v>
      </c>
      <c r="H282" s="3">
        <v>2.0</v>
      </c>
      <c r="I282" s="4" t="s">
        <v>1341</v>
      </c>
      <c r="J282" s="1" t="s">
        <v>1342</v>
      </c>
      <c r="K282" s="1" t="s">
        <v>28</v>
      </c>
    </row>
    <row r="283">
      <c r="A283" s="1" t="s">
        <v>1343</v>
      </c>
      <c r="B283" s="1" t="s">
        <v>1344</v>
      </c>
      <c r="C283" s="1">
        <v>2023.0</v>
      </c>
      <c r="D283" s="2">
        <v>45271.0</v>
      </c>
      <c r="F283" s="1" t="s">
        <v>1170</v>
      </c>
      <c r="H283" s="3">
        <v>1.0</v>
      </c>
      <c r="I283" s="4" t="s">
        <v>1345</v>
      </c>
      <c r="J283" s="1" t="s">
        <v>1346</v>
      </c>
      <c r="K283" s="1" t="s">
        <v>443</v>
      </c>
    </row>
    <row r="284">
      <c r="A284" s="1" t="s">
        <v>1347</v>
      </c>
      <c r="B284" s="1" t="s">
        <v>1348</v>
      </c>
      <c r="C284" s="1">
        <v>2023.0</v>
      </c>
      <c r="D284" s="2">
        <v>45270.0</v>
      </c>
      <c r="F284" s="1" t="s">
        <v>1349</v>
      </c>
      <c r="H284" s="3">
        <v>0.0</v>
      </c>
      <c r="I284" s="4" t="s">
        <v>1350</v>
      </c>
      <c r="J284" s="1" t="s">
        <v>1351</v>
      </c>
      <c r="K284" s="1" t="s">
        <v>462</v>
      </c>
    </row>
    <row r="285">
      <c r="A285" s="1" t="s">
        <v>1352</v>
      </c>
      <c r="B285" s="1" t="s">
        <v>1353</v>
      </c>
      <c r="C285" s="1">
        <v>2023.0</v>
      </c>
      <c r="D285" s="2">
        <v>45269.0</v>
      </c>
      <c r="F285" s="1" t="s">
        <v>671</v>
      </c>
      <c r="H285" s="3">
        <v>0.0</v>
      </c>
      <c r="I285" s="4" t="s">
        <v>1354</v>
      </c>
      <c r="J285" s="1" t="s">
        <v>1355</v>
      </c>
      <c r="K285" s="1" t="s">
        <v>323</v>
      </c>
    </row>
    <row r="286">
      <c r="A286" s="1" t="s">
        <v>1356</v>
      </c>
      <c r="B286" s="1" t="s">
        <v>1357</v>
      </c>
      <c r="C286" s="1">
        <v>2023.0</v>
      </c>
      <c r="D286" s="2">
        <v>45269.0</v>
      </c>
      <c r="F286" s="1" t="s">
        <v>1358</v>
      </c>
      <c r="H286" s="3">
        <v>0.0</v>
      </c>
      <c r="I286" s="4" t="s">
        <v>1359</v>
      </c>
      <c r="J286" s="1"/>
      <c r="K286" s="1" t="s">
        <v>477</v>
      </c>
    </row>
    <row r="287">
      <c r="A287" s="1" t="s">
        <v>1360</v>
      </c>
      <c r="B287" s="1" t="s">
        <v>1361</v>
      </c>
      <c r="C287" s="1">
        <v>2023.0</v>
      </c>
      <c r="D287" s="2">
        <v>45268.0</v>
      </c>
      <c r="F287" s="1" t="s">
        <v>208</v>
      </c>
      <c r="H287" s="3">
        <v>0.0</v>
      </c>
      <c r="I287" s="4" t="s">
        <v>1362</v>
      </c>
      <c r="J287" s="1" t="s">
        <v>1363</v>
      </c>
      <c r="K287" s="1" t="s">
        <v>492</v>
      </c>
    </row>
    <row r="288">
      <c r="A288" s="1" t="s">
        <v>1364</v>
      </c>
      <c r="B288" s="1" t="s">
        <v>1365</v>
      </c>
      <c r="C288" s="1">
        <v>2023.0</v>
      </c>
      <c r="D288" s="2">
        <v>45267.0</v>
      </c>
      <c r="F288" s="1" t="s">
        <v>1366</v>
      </c>
      <c r="H288" s="3">
        <v>5.0</v>
      </c>
      <c r="I288" s="4" t="s">
        <v>1367</v>
      </c>
      <c r="J288" s="1" t="s">
        <v>1368</v>
      </c>
      <c r="K288" s="1" t="s">
        <v>403</v>
      </c>
    </row>
    <row r="289">
      <c r="A289" s="1" t="s">
        <v>1369</v>
      </c>
      <c r="B289" s="1" t="s">
        <v>1370</v>
      </c>
      <c r="C289" s="1">
        <v>2023.0</v>
      </c>
      <c r="D289" s="2">
        <v>45267.0</v>
      </c>
      <c r="F289" s="1" t="s">
        <v>1371</v>
      </c>
      <c r="H289" s="3">
        <v>1.0</v>
      </c>
      <c r="I289" s="4" t="s">
        <v>1372</v>
      </c>
      <c r="J289" s="1" t="s">
        <v>1373</v>
      </c>
      <c r="K289" s="1" t="s">
        <v>403</v>
      </c>
    </row>
    <row r="290">
      <c r="A290" s="1" t="s">
        <v>1374</v>
      </c>
      <c r="B290" s="1" t="s">
        <v>1375</v>
      </c>
      <c r="C290" s="1">
        <v>2023.0</v>
      </c>
      <c r="D290" s="2">
        <v>45266.0</v>
      </c>
      <c r="F290" s="1" t="s">
        <v>1376</v>
      </c>
      <c r="H290" s="3">
        <v>0.0</v>
      </c>
      <c r="I290" s="4" t="s">
        <v>1377</v>
      </c>
      <c r="J290" s="1" t="s">
        <v>1378</v>
      </c>
      <c r="K290" s="1" t="s">
        <v>28</v>
      </c>
    </row>
    <row r="291">
      <c r="A291" s="1" t="s">
        <v>1379</v>
      </c>
      <c r="B291" s="1" t="s">
        <v>1380</v>
      </c>
      <c r="C291" s="1">
        <v>2023.0</v>
      </c>
      <c r="D291" s="2">
        <v>45262.0</v>
      </c>
      <c r="F291" s="1" t="s">
        <v>1381</v>
      </c>
      <c r="H291" s="3">
        <v>0.0</v>
      </c>
      <c r="I291" s="4" t="s">
        <v>1382</v>
      </c>
      <c r="J291" s="1" t="s">
        <v>1383</v>
      </c>
      <c r="K291" s="1" t="s">
        <v>443</v>
      </c>
    </row>
    <row r="292">
      <c r="A292" s="1" t="s">
        <v>1384</v>
      </c>
      <c r="B292" s="1" t="s">
        <v>1385</v>
      </c>
      <c r="C292" s="1">
        <v>2023.0</v>
      </c>
      <c r="D292" s="2">
        <v>45262.0</v>
      </c>
      <c r="F292" s="1" t="s">
        <v>1386</v>
      </c>
      <c r="H292" s="3">
        <v>1.0</v>
      </c>
      <c r="I292" s="4" t="s">
        <v>1387</v>
      </c>
      <c r="J292" s="1" t="s">
        <v>1388</v>
      </c>
      <c r="K292" s="1" t="s">
        <v>443</v>
      </c>
    </row>
    <row r="293">
      <c r="A293" s="1" t="s">
        <v>1389</v>
      </c>
      <c r="B293" s="1" t="s">
        <v>1390</v>
      </c>
      <c r="C293" s="1">
        <v>2023.0</v>
      </c>
      <c r="D293" s="2">
        <v>45261.0</v>
      </c>
      <c r="F293" s="1" t="s">
        <v>1391</v>
      </c>
      <c r="H293" s="3">
        <v>0.0</v>
      </c>
      <c r="I293" s="4" t="s">
        <v>1392</v>
      </c>
      <c r="J293" s="1" t="s">
        <v>1393</v>
      </c>
      <c r="K293" s="1" t="s">
        <v>477</v>
      </c>
    </row>
    <row r="294">
      <c r="A294" s="1" t="s">
        <v>1394</v>
      </c>
      <c r="B294" s="1" t="s">
        <v>1395</v>
      </c>
      <c r="C294" s="1">
        <v>2023.0</v>
      </c>
      <c r="D294" s="2">
        <v>45261.0</v>
      </c>
      <c r="F294" s="1" t="s">
        <v>1396</v>
      </c>
      <c r="H294" s="3">
        <v>0.0</v>
      </c>
      <c r="I294" s="4" t="s">
        <v>1397</v>
      </c>
      <c r="J294" s="1" t="s">
        <v>1398</v>
      </c>
      <c r="K294" s="1" t="s">
        <v>28</v>
      </c>
    </row>
    <row r="295">
      <c r="A295" s="1" t="s">
        <v>1399</v>
      </c>
      <c r="B295" s="1" t="s">
        <v>1400</v>
      </c>
      <c r="C295" s="1">
        <v>2023.0</v>
      </c>
      <c r="D295" s="2">
        <v>45261.0</v>
      </c>
      <c r="F295" s="1" t="s">
        <v>1154</v>
      </c>
      <c r="H295" s="3">
        <v>0.0</v>
      </c>
      <c r="I295" s="4" t="s">
        <v>1401</v>
      </c>
      <c r="J295" s="1" t="s">
        <v>1402</v>
      </c>
      <c r="K295" s="1" t="s">
        <v>295</v>
      </c>
    </row>
    <row r="296">
      <c r="A296" s="1" t="s">
        <v>1403</v>
      </c>
      <c r="B296" s="1" t="s">
        <v>1404</v>
      </c>
      <c r="C296" s="1">
        <v>2023.0</v>
      </c>
      <c r="D296" s="2">
        <v>45261.0</v>
      </c>
      <c r="F296" s="1" t="s">
        <v>1405</v>
      </c>
      <c r="H296" s="3">
        <v>0.0</v>
      </c>
      <c r="I296" s="4" t="s">
        <v>1406</v>
      </c>
      <c r="J296" s="1" t="s">
        <v>1407</v>
      </c>
      <c r="K296" s="1" t="s">
        <v>68</v>
      </c>
    </row>
    <row r="297">
      <c r="A297" s="1" t="s">
        <v>1408</v>
      </c>
      <c r="B297" s="1" t="s">
        <v>1409</v>
      </c>
      <c r="C297" s="1">
        <v>2023.0</v>
      </c>
      <c r="D297" s="2">
        <v>45260.0</v>
      </c>
      <c r="F297" s="1" t="s">
        <v>1410</v>
      </c>
      <c r="H297" s="3">
        <v>0.0</v>
      </c>
      <c r="I297" s="4" t="s">
        <v>1411</v>
      </c>
      <c r="J297" s="1" t="s">
        <v>1412</v>
      </c>
      <c r="K297" s="1" t="s">
        <v>295</v>
      </c>
    </row>
    <row r="298">
      <c r="A298" s="1" t="s">
        <v>1413</v>
      </c>
      <c r="B298" s="1" t="s">
        <v>1414</v>
      </c>
      <c r="C298" s="1">
        <v>2023.0</v>
      </c>
      <c r="D298" s="2">
        <v>45259.0</v>
      </c>
      <c r="F298" s="1" t="s">
        <v>1415</v>
      </c>
      <c r="H298" s="3">
        <v>0.0</v>
      </c>
      <c r="I298" s="4" t="s">
        <v>1416</v>
      </c>
      <c r="J298" s="1" t="s">
        <v>1417</v>
      </c>
      <c r="K298" s="1" t="s">
        <v>323</v>
      </c>
    </row>
    <row r="299">
      <c r="A299" s="1" t="s">
        <v>1418</v>
      </c>
      <c r="B299" s="1" t="s">
        <v>1419</v>
      </c>
      <c r="C299" s="1">
        <v>2023.0</v>
      </c>
      <c r="D299" s="2">
        <v>45258.0</v>
      </c>
      <c r="F299" s="1" t="s">
        <v>1420</v>
      </c>
      <c r="H299" s="3">
        <v>1.0</v>
      </c>
      <c r="I299" s="4" t="s">
        <v>1421</v>
      </c>
      <c r="J299" s="1" t="s">
        <v>1422</v>
      </c>
      <c r="K299" s="1" t="s">
        <v>1423</v>
      </c>
    </row>
    <row r="300">
      <c r="A300" s="1" t="s">
        <v>1424</v>
      </c>
      <c r="B300" s="1" t="s">
        <v>1425</v>
      </c>
      <c r="C300" s="1">
        <v>2023.0</v>
      </c>
      <c r="D300" s="2">
        <v>45258.0</v>
      </c>
      <c r="F300" s="1" t="s">
        <v>1050</v>
      </c>
      <c r="H300" s="3">
        <v>0.0</v>
      </c>
      <c r="I300" s="4" t="s">
        <v>1426</v>
      </c>
      <c r="J300" s="1" t="s">
        <v>1427</v>
      </c>
      <c r="K300" s="1" t="s">
        <v>413</v>
      </c>
    </row>
    <row r="301">
      <c r="A301" s="1" t="s">
        <v>1428</v>
      </c>
      <c r="B301" s="1" t="s">
        <v>1429</v>
      </c>
      <c r="C301" s="1">
        <v>2023.0</v>
      </c>
      <c r="D301" s="2">
        <v>45258.0</v>
      </c>
      <c r="F301" s="1" t="s">
        <v>1060</v>
      </c>
      <c r="H301" s="3">
        <v>0.0</v>
      </c>
      <c r="I301" s="4" t="s">
        <v>1430</v>
      </c>
      <c r="J301" s="1" t="s">
        <v>1431</v>
      </c>
      <c r="K301" s="1" t="s">
        <v>16</v>
      </c>
    </row>
    <row r="302">
      <c r="A302" s="1" t="s">
        <v>1432</v>
      </c>
      <c r="B302" s="1" t="s">
        <v>1433</v>
      </c>
      <c r="C302" s="1">
        <v>2023.0</v>
      </c>
      <c r="D302" s="2">
        <v>45257.0</v>
      </c>
      <c r="F302" s="1" t="s">
        <v>1045</v>
      </c>
      <c r="H302" s="3">
        <v>0.0</v>
      </c>
      <c r="I302" s="4" t="s">
        <v>1434</v>
      </c>
      <c r="J302" s="1" t="s">
        <v>1435</v>
      </c>
      <c r="K302" s="1" t="s">
        <v>418</v>
      </c>
    </row>
    <row r="303">
      <c r="A303" s="1" t="s">
        <v>1436</v>
      </c>
      <c r="B303" s="1" t="s">
        <v>1437</v>
      </c>
      <c r="C303" s="1">
        <v>2023.0</v>
      </c>
      <c r="D303" s="2">
        <v>45257.0</v>
      </c>
      <c r="F303" s="1" t="s">
        <v>558</v>
      </c>
      <c r="H303" s="3">
        <v>1.0</v>
      </c>
      <c r="I303" s="4" t="s">
        <v>1438</v>
      </c>
      <c r="J303" s="1" t="s">
        <v>1439</v>
      </c>
      <c r="K303" s="1" t="s">
        <v>323</v>
      </c>
    </row>
    <row r="304">
      <c r="A304" s="1" t="s">
        <v>1440</v>
      </c>
      <c r="B304" s="1" t="s">
        <v>1441</v>
      </c>
      <c r="C304" s="1">
        <v>2023.0</v>
      </c>
      <c r="D304" s="2">
        <v>45257.0</v>
      </c>
      <c r="F304" s="1" t="s">
        <v>1442</v>
      </c>
      <c r="H304" s="3">
        <v>0.0</v>
      </c>
      <c r="I304" s="4" t="s">
        <v>1443</v>
      </c>
      <c r="J304" s="1" t="s">
        <v>1444</v>
      </c>
      <c r="K304" s="1" t="s">
        <v>329</v>
      </c>
    </row>
    <row r="305">
      <c r="A305" s="1" t="s">
        <v>1445</v>
      </c>
      <c r="B305" s="1" t="s">
        <v>1446</v>
      </c>
      <c r="C305" s="1">
        <v>2023.0</v>
      </c>
      <c r="D305" s="2">
        <v>45257.0</v>
      </c>
      <c r="F305" s="1" t="s">
        <v>71</v>
      </c>
      <c r="H305" s="3">
        <v>0.0</v>
      </c>
      <c r="I305" s="4" t="s">
        <v>1447</v>
      </c>
      <c r="J305" s="1" t="s">
        <v>1448</v>
      </c>
      <c r="K305" s="1" t="s">
        <v>28</v>
      </c>
    </row>
    <row r="306">
      <c r="A306" s="1" t="s">
        <v>1449</v>
      </c>
      <c r="B306" s="1" t="s">
        <v>1450</v>
      </c>
      <c r="C306" s="1">
        <v>2023.0</v>
      </c>
      <c r="D306" s="2">
        <v>45257.0</v>
      </c>
      <c r="F306" s="1" t="s">
        <v>71</v>
      </c>
      <c r="H306" s="3">
        <v>0.0</v>
      </c>
      <c r="I306" s="4" t="s">
        <v>1451</v>
      </c>
      <c r="J306" s="1" t="s">
        <v>1452</v>
      </c>
      <c r="K306" s="1" t="s">
        <v>413</v>
      </c>
    </row>
    <row r="307">
      <c r="A307" s="1" t="s">
        <v>1453</v>
      </c>
      <c r="B307" s="1" t="s">
        <v>1454</v>
      </c>
      <c r="C307" s="1">
        <v>2023.0</v>
      </c>
      <c r="D307" s="2">
        <v>45255.0</v>
      </c>
      <c r="F307" s="1" t="s">
        <v>198</v>
      </c>
      <c r="H307" s="3">
        <v>0.0</v>
      </c>
      <c r="I307" s="4" t="s">
        <v>1455</v>
      </c>
      <c r="J307" s="1" t="s">
        <v>1456</v>
      </c>
      <c r="K307" s="1" t="s">
        <v>45</v>
      </c>
    </row>
    <row r="308">
      <c r="A308" s="1" t="s">
        <v>1457</v>
      </c>
      <c r="B308" s="1" t="s">
        <v>1458</v>
      </c>
      <c r="C308" s="1">
        <v>2023.0</v>
      </c>
      <c r="D308" s="2">
        <v>45255.0</v>
      </c>
      <c r="F308" s="1" t="s">
        <v>1459</v>
      </c>
      <c r="H308" s="3">
        <v>1.0</v>
      </c>
      <c r="I308" s="4" t="s">
        <v>1460</v>
      </c>
      <c r="J308" s="1" t="s">
        <v>1461</v>
      </c>
      <c r="K308" s="1" t="s">
        <v>16</v>
      </c>
    </row>
    <row r="309">
      <c r="A309" s="1" t="s">
        <v>1462</v>
      </c>
      <c r="B309" s="1" t="s">
        <v>1463</v>
      </c>
      <c r="C309" s="1">
        <v>2023.0</v>
      </c>
      <c r="D309" s="2">
        <v>45253.0</v>
      </c>
      <c r="F309" s="1" t="s">
        <v>13</v>
      </c>
      <c r="H309" s="3">
        <v>2.0</v>
      </c>
      <c r="I309" s="4" t="s">
        <v>1464</v>
      </c>
      <c r="J309" s="1" t="s">
        <v>1465</v>
      </c>
      <c r="K309" s="1" t="s">
        <v>28</v>
      </c>
    </row>
    <row r="310">
      <c r="A310" s="1" t="s">
        <v>1466</v>
      </c>
      <c r="B310" s="1" t="s">
        <v>1467</v>
      </c>
      <c r="C310" s="1">
        <v>2023.0</v>
      </c>
      <c r="D310" s="2">
        <v>45253.0</v>
      </c>
      <c r="F310" s="1" t="s">
        <v>1055</v>
      </c>
      <c r="H310" s="3">
        <v>0.0</v>
      </c>
      <c r="I310" s="4" t="s">
        <v>1468</v>
      </c>
      <c r="J310" s="1" t="s">
        <v>1469</v>
      </c>
      <c r="K310" s="1" t="s">
        <v>16</v>
      </c>
    </row>
    <row r="311">
      <c r="A311" s="1" t="s">
        <v>1470</v>
      </c>
      <c r="B311" s="1" t="s">
        <v>1471</v>
      </c>
      <c r="C311" s="1">
        <v>2023.0</v>
      </c>
      <c r="D311" s="2">
        <v>45252.0</v>
      </c>
      <c r="F311" s="1" t="s">
        <v>71</v>
      </c>
      <c r="H311" s="3">
        <v>0.0</v>
      </c>
      <c r="I311" s="4" t="s">
        <v>1472</v>
      </c>
      <c r="J311" s="1" t="s">
        <v>1473</v>
      </c>
      <c r="K311" s="1" t="s">
        <v>45</v>
      </c>
    </row>
    <row r="312">
      <c r="A312" s="1" t="s">
        <v>1474</v>
      </c>
      <c r="B312" s="1" t="s">
        <v>1475</v>
      </c>
      <c r="C312" s="1">
        <v>2023.0</v>
      </c>
      <c r="D312" s="2">
        <v>45250.0</v>
      </c>
      <c r="F312" s="1" t="s">
        <v>91</v>
      </c>
      <c r="H312" s="3">
        <v>0.0</v>
      </c>
      <c r="I312" s="4" t="s">
        <v>1476</v>
      </c>
      <c r="J312" s="1" t="s">
        <v>1477</v>
      </c>
      <c r="K312" s="1" t="s">
        <v>413</v>
      </c>
    </row>
    <row r="313">
      <c r="A313" s="1" t="s">
        <v>1478</v>
      </c>
      <c r="B313" s="1" t="s">
        <v>1479</v>
      </c>
      <c r="C313" s="1">
        <v>2023.0</v>
      </c>
      <c r="D313" s="2">
        <v>45250.0</v>
      </c>
      <c r="F313" s="1" t="s">
        <v>1480</v>
      </c>
      <c r="H313" s="3">
        <v>0.0</v>
      </c>
      <c r="I313" s="4" t="s">
        <v>1481</v>
      </c>
      <c r="J313" s="1" t="s">
        <v>1482</v>
      </c>
      <c r="K313" s="1" t="s">
        <v>16</v>
      </c>
    </row>
    <row r="314">
      <c r="A314" s="1" t="s">
        <v>1483</v>
      </c>
      <c r="B314" s="1" t="s">
        <v>1484</v>
      </c>
      <c r="C314" s="1">
        <v>2023.0</v>
      </c>
      <c r="D314" s="2">
        <v>45247.0</v>
      </c>
      <c r="F314" s="1" t="s">
        <v>979</v>
      </c>
      <c r="H314" s="3">
        <v>0.0</v>
      </c>
      <c r="I314" s="4" t="s">
        <v>1485</v>
      </c>
      <c r="J314" s="1" t="s">
        <v>1486</v>
      </c>
      <c r="K314" s="1" t="s">
        <v>403</v>
      </c>
    </row>
    <row r="315">
      <c r="A315" s="1" t="s">
        <v>1487</v>
      </c>
      <c r="B315" s="1" t="s">
        <v>1488</v>
      </c>
      <c r="C315" s="1">
        <v>2023.0</v>
      </c>
      <c r="D315" s="2">
        <v>45247.0</v>
      </c>
      <c r="F315" s="1" t="s">
        <v>1300</v>
      </c>
      <c r="H315" s="3">
        <v>5.0</v>
      </c>
      <c r="I315" s="4" t="s">
        <v>1489</v>
      </c>
      <c r="J315" s="1" t="s">
        <v>1490</v>
      </c>
      <c r="K315" s="1" t="s">
        <v>418</v>
      </c>
    </row>
    <row r="316">
      <c r="A316" s="1" t="s">
        <v>1491</v>
      </c>
      <c r="B316" s="1" t="s">
        <v>1492</v>
      </c>
      <c r="C316" s="1">
        <v>2023.0</v>
      </c>
      <c r="D316" s="2">
        <v>45245.0</v>
      </c>
      <c r="F316" s="1" t="s">
        <v>248</v>
      </c>
      <c r="H316" s="3">
        <v>3.0</v>
      </c>
      <c r="I316" s="4" t="s">
        <v>1493</v>
      </c>
      <c r="J316" s="1" t="s">
        <v>1494</v>
      </c>
      <c r="K316" s="1" t="s">
        <v>68</v>
      </c>
    </row>
    <row r="317">
      <c r="A317" s="1" t="s">
        <v>1495</v>
      </c>
      <c r="B317" s="1" t="s">
        <v>1496</v>
      </c>
      <c r="C317" s="1">
        <v>2023.0</v>
      </c>
      <c r="D317" s="2">
        <v>45245.0</v>
      </c>
      <c r="F317" s="1" t="s">
        <v>347</v>
      </c>
      <c r="H317" s="3">
        <v>1.0</v>
      </c>
      <c r="I317" s="4" t="s">
        <v>1497</v>
      </c>
      <c r="J317" s="1" t="s">
        <v>1498</v>
      </c>
      <c r="K317" s="1" t="s">
        <v>477</v>
      </c>
    </row>
    <row r="318">
      <c r="A318" s="1" t="s">
        <v>1499</v>
      </c>
      <c r="B318" s="1" t="s">
        <v>1500</v>
      </c>
      <c r="C318" s="1">
        <v>2023.0</v>
      </c>
      <c r="D318" s="2">
        <v>45245.0</v>
      </c>
      <c r="F318" s="1" t="s">
        <v>248</v>
      </c>
      <c r="H318" s="3">
        <v>4.0</v>
      </c>
      <c r="I318" s="4" t="s">
        <v>1501</v>
      </c>
      <c r="J318" s="1" t="s">
        <v>1502</v>
      </c>
      <c r="K318" s="1" t="s">
        <v>68</v>
      </c>
    </row>
    <row r="319">
      <c r="A319" s="1" t="s">
        <v>1503</v>
      </c>
      <c r="B319" s="1" t="s">
        <v>1504</v>
      </c>
      <c r="C319" s="1">
        <v>2023.0</v>
      </c>
      <c r="D319" s="2">
        <v>45244.0</v>
      </c>
      <c r="F319" s="1" t="s">
        <v>1505</v>
      </c>
      <c r="H319" s="3">
        <v>7.0</v>
      </c>
      <c r="I319" s="4" t="s">
        <v>1506</v>
      </c>
      <c r="J319" s="1" t="s">
        <v>1507</v>
      </c>
      <c r="K319" s="1" t="s">
        <v>323</v>
      </c>
    </row>
    <row r="320">
      <c r="A320" s="1" t="s">
        <v>1508</v>
      </c>
      <c r="B320" s="1" t="s">
        <v>1509</v>
      </c>
      <c r="C320" s="1">
        <v>2023.0</v>
      </c>
      <c r="D320" s="2">
        <v>45244.0</v>
      </c>
      <c r="F320" s="1" t="s">
        <v>183</v>
      </c>
      <c r="H320" s="3">
        <v>10.0</v>
      </c>
      <c r="I320" s="4" t="s">
        <v>1510</v>
      </c>
      <c r="J320" s="1" t="s">
        <v>1511</v>
      </c>
      <c r="K320" s="1" t="s">
        <v>443</v>
      </c>
    </row>
    <row r="321">
      <c r="A321" s="1" t="s">
        <v>1512</v>
      </c>
      <c r="B321" s="1" t="s">
        <v>1513</v>
      </c>
      <c r="C321" s="1">
        <v>2023.0</v>
      </c>
      <c r="D321" s="2">
        <v>45243.0</v>
      </c>
      <c r="F321" s="1" t="s">
        <v>1514</v>
      </c>
      <c r="H321" s="3">
        <v>0.0</v>
      </c>
      <c r="I321" s="4" t="s">
        <v>1515</v>
      </c>
      <c r="J321" s="1" t="s">
        <v>1516</v>
      </c>
      <c r="K321" s="1" t="s">
        <v>28</v>
      </c>
    </row>
    <row r="322">
      <c r="A322" s="1" t="s">
        <v>1517</v>
      </c>
      <c r="B322" s="1" t="s">
        <v>1518</v>
      </c>
      <c r="C322" s="1">
        <v>2023.0</v>
      </c>
      <c r="D322" s="2">
        <v>45243.0</v>
      </c>
      <c r="F322" s="1" t="s">
        <v>1519</v>
      </c>
      <c r="H322" s="3">
        <v>1.0</v>
      </c>
      <c r="I322" s="4" t="s">
        <v>1520</v>
      </c>
      <c r="J322" s="1" t="s">
        <v>1521</v>
      </c>
      <c r="K322" s="1" t="s">
        <v>68</v>
      </c>
    </row>
    <row r="323">
      <c r="A323" s="1" t="s">
        <v>1522</v>
      </c>
      <c r="B323" s="1" t="s">
        <v>1523</v>
      </c>
      <c r="C323" s="1">
        <v>2023.0</v>
      </c>
      <c r="D323" s="2">
        <v>45242.0</v>
      </c>
      <c r="F323" s="1" t="s">
        <v>1381</v>
      </c>
      <c r="H323" s="3">
        <v>1.0</v>
      </c>
      <c r="I323" s="4" t="s">
        <v>1524</v>
      </c>
      <c r="J323" s="1" t="s">
        <v>1525</v>
      </c>
      <c r="K323" s="1" t="s">
        <v>443</v>
      </c>
    </row>
    <row r="324">
      <c r="A324" s="1" t="s">
        <v>1526</v>
      </c>
      <c r="B324" s="1" t="s">
        <v>1527</v>
      </c>
      <c r="C324" s="1">
        <v>2023.0</v>
      </c>
      <c r="D324" s="2">
        <v>45241.0</v>
      </c>
      <c r="F324" s="1" t="s">
        <v>1528</v>
      </c>
      <c r="H324" s="3">
        <v>0.0</v>
      </c>
      <c r="I324" s="4" t="s">
        <v>1529</v>
      </c>
      <c r="J324" s="1" t="s">
        <v>1530</v>
      </c>
      <c r="K324" s="1" t="s">
        <v>323</v>
      </c>
    </row>
    <row r="325">
      <c r="A325" s="1" t="s">
        <v>1531</v>
      </c>
      <c r="B325" s="1" t="s">
        <v>1532</v>
      </c>
      <c r="C325" s="1">
        <v>2023.0</v>
      </c>
      <c r="D325" s="2">
        <v>45241.0</v>
      </c>
      <c r="F325" s="1" t="s">
        <v>142</v>
      </c>
      <c r="H325" s="3">
        <v>0.0</v>
      </c>
      <c r="I325" s="4" t="s">
        <v>1533</v>
      </c>
      <c r="J325" s="1" t="s">
        <v>1534</v>
      </c>
      <c r="K325" s="1" t="s">
        <v>16</v>
      </c>
    </row>
    <row r="326">
      <c r="A326" s="1" t="s">
        <v>1535</v>
      </c>
      <c r="B326" s="1" t="s">
        <v>1536</v>
      </c>
      <c r="C326" s="1">
        <v>2023.0</v>
      </c>
      <c r="D326" s="2">
        <v>45239.0</v>
      </c>
      <c r="F326" s="1" t="s">
        <v>835</v>
      </c>
      <c r="H326" s="3">
        <v>0.0</v>
      </c>
      <c r="I326" s="4" t="s">
        <v>1537</v>
      </c>
      <c r="J326" s="1" t="s">
        <v>1538</v>
      </c>
      <c r="K326" s="1" t="s">
        <v>28</v>
      </c>
    </row>
    <row r="327">
      <c r="A327" s="1" t="s">
        <v>1539</v>
      </c>
      <c r="B327" s="1" t="s">
        <v>1540</v>
      </c>
      <c r="C327" s="1">
        <v>2023.0</v>
      </c>
      <c r="D327" s="2">
        <v>45239.0</v>
      </c>
      <c r="F327" s="1" t="s">
        <v>59</v>
      </c>
      <c r="H327" s="3">
        <v>5.0</v>
      </c>
      <c r="I327" s="4" t="s">
        <v>1541</v>
      </c>
      <c r="J327" s="1" t="s">
        <v>1542</v>
      </c>
      <c r="K327" s="1" t="s">
        <v>418</v>
      </c>
    </row>
    <row r="328">
      <c r="A328" s="1" t="s">
        <v>1543</v>
      </c>
      <c r="B328" s="1" t="s">
        <v>1544</v>
      </c>
      <c r="C328" s="1">
        <v>2023.0</v>
      </c>
      <c r="D328" s="2">
        <v>45239.0</v>
      </c>
      <c r="F328" s="1" t="s">
        <v>59</v>
      </c>
      <c r="H328" s="3">
        <v>6.0</v>
      </c>
      <c r="I328" s="4" t="s">
        <v>1545</v>
      </c>
      <c r="J328" s="1" t="s">
        <v>1546</v>
      </c>
      <c r="K328" s="1" t="s">
        <v>295</v>
      </c>
    </row>
    <row r="329">
      <c r="A329" s="1" t="s">
        <v>1547</v>
      </c>
      <c r="B329" s="1" t="s">
        <v>1548</v>
      </c>
      <c r="C329" s="1">
        <v>2023.0</v>
      </c>
      <c r="D329" s="2">
        <v>45239.0</v>
      </c>
      <c r="F329" s="1" t="s">
        <v>59</v>
      </c>
      <c r="H329" s="3">
        <v>4.0</v>
      </c>
      <c r="I329" s="4" t="s">
        <v>1549</v>
      </c>
      <c r="J329" s="1" t="s">
        <v>1550</v>
      </c>
      <c r="K329" s="1" t="s">
        <v>926</v>
      </c>
    </row>
    <row r="330">
      <c r="A330" s="1" t="s">
        <v>1551</v>
      </c>
      <c r="B330" s="1" t="s">
        <v>1552</v>
      </c>
      <c r="C330" s="1">
        <v>2023.0</v>
      </c>
      <c r="D330" s="2">
        <v>45239.0</v>
      </c>
      <c r="F330" s="1" t="s">
        <v>1366</v>
      </c>
      <c r="H330" s="3">
        <v>0.0</v>
      </c>
      <c r="I330" s="4" t="s">
        <v>1553</v>
      </c>
      <c r="J330" s="1" t="s">
        <v>1554</v>
      </c>
      <c r="K330" s="1" t="s">
        <v>462</v>
      </c>
    </row>
    <row r="331">
      <c r="A331" s="1" t="s">
        <v>1555</v>
      </c>
      <c r="B331" s="1" t="s">
        <v>1556</v>
      </c>
      <c r="C331" s="1">
        <v>2023.0</v>
      </c>
      <c r="D331" s="2">
        <v>45238.0</v>
      </c>
      <c r="F331" s="1" t="s">
        <v>1557</v>
      </c>
      <c r="H331" s="3">
        <v>0.0</v>
      </c>
      <c r="I331" s="4" t="s">
        <v>1558</v>
      </c>
      <c r="J331" s="1" t="s">
        <v>1559</v>
      </c>
      <c r="K331" s="1" t="s">
        <v>413</v>
      </c>
    </row>
    <row r="332">
      <c r="A332" s="1" t="s">
        <v>1560</v>
      </c>
      <c r="B332" s="1" t="s">
        <v>1561</v>
      </c>
      <c r="C332" s="1">
        <v>2023.0</v>
      </c>
      <c r="D332" s="2">
        <v>45237.0</v>
      </c>
      <c r="F332" s="1" t="s">
        <v>1562</v>
      </c>
      <c r="H332" s="3">
        <v>0.0</v>
      </c>
      <c r="I332" s="4" t="s">
        <v>1563</v>
      </c>
      <c r="J332" s="1" t="s">
        <v>1564</v>
      </c>
      <c r="K332" s="1" t="s">
        <v>68</v>
      </c>
    </row>
    <row r="333">
      <c r="A333" s="1" t="s">
        <v>1565</v>
      </c>
      <c r="B333" s="1" t="s">
        <v>1566</v>
      </c>
      <c r="C333" s="1">
        <v>2023.0</v>
      </c>
      <c r="D333" s="2">
        <v>45234.0</v>
      </c>
      <c r="F333" s="1" t="s">
        <v>656</v>
      </c>
      <c r="H333" s="3">
        <v>0.0</v>
      </c>
      <c r="I333" s="4" t="s">
        <v>1567</v>
      </c>
      <c r="J333" s="1" t="s">
        <v>1568</v>
      </c>
      <c r="K333" s="1" t="s">
        <v>1569</v>
      </c>
    </row>
    <row r="334">
      <c r="A334" s="1" t="s">
        <v>1570</v>
      </c>
      <c r="B334" s="1" t="s">
        <v>1571</v>
      </c>
      <c r="C334" s="1">
        <v>2023.0</v>
      </c>
      <c r="D334" s="2">
        <v>45233.0</v>
      </c>
      <c r="F334" s="1" t="s">
        <v>1340</v>
      </c>
      <c r="H334" s="3">
        <v>1.0</v>
      </c>
      <c r="I334" s="4" t="s">
        <v>1572</v>
      </c>
      <c r="J334" s="1" t="s">
        <v>1573</v>
      </c>
      <c r="K334" s="1" t="s">
        <v>329</v>
      </c>
    </row>
    <row r="335">
      <c r="A335" s="1" t="s">
        <v>1574</v>
      </c>
      <c r="B335" s="1" t="s">
        <v>1575</v>
      </c>
      <c r="C335" s="1">
        <v>2023.0</v>
      </c>
      <c r="D335" s="2">
        <v>45233.0</v>
      </c>
      <c r="F335" s="1" t="s">
        <v>157</v>
      </c>
      <c r="H335" s="3">
        <v>5.0</v>
      </c>
      <c r="I335" s="4" t="s">
        <v>1576</v>
      </c>
      <c r="J335" s="1" t="s">
        <v>1577</v>
      </c>
      <c r="K335" s="1" t="s">
        <v>546</v>
      </c>
    </row>
    <row r="336">
      <c r="A336" s="1" t="s">
        <v>1578</v>
      </c>
      <c r="B336" s="1" t="s">
        <v>1579</v>
      </c>
      <c r="C336" s="1">
        <v>2023.0</v>
      </c>
      <c r="D336" s="2">
        <v>45232.0</v>
      </c>
      <c r="F336" s="1" t="s">
        <v>248</v>
      </c>
      <c r="H336" s="3">
        <v>1.0</v>
      </c>
      <c r="I336" s="4" t="s">
        <v>1580</v>
      </c>
      <c r="J336" s="1" t="s">
        <v>1581</v>
      </c>
      <c r="K336" s="1" t="s">
        <v>28</v>
      </c>
    </row>
    <row r="337">
      <c r="A337" s="1" t="s">
        <v>1582</v>
      </c>
      <c r="B337" s="1" t="s">
        <v>1583</v>
      </c>
      <c r="C337" s="1">
        <v>2023.0</v>
      </c>
      <c r="D337" s="2">
        <v>45232.0</v>
      </c>
      <c r="F337" s="1" t="s">
        <v>208</v>
      </c>
      <c r="H337" s="3">
        <v>1.0</v>
      </c>
      <c r="I337" s="4" t="s">
        <v>1584</v>
      </c>
      <c r="J337" s="1" t="s">
        <v>1585</v>
      </c>
      <c r="K337" s="1" t="s">
        <v>418</v>
      </c>
    </row>
    <row r="338">
      <c r="A338" s="1" t="s">
        <v>1586</v>
      </c>
      <c r="B338" s="1" t="s">
        <v>1587</v>
      </c>
      <c r="C338" s="1">
        <v>2023.0</v>
      </c>
      <c r="D338" s="2">
        <v>45231.0</v>
      </c>
      <c r="F338" s="1" t="s">
        <v>1588</v>
      </c>
      <c r="H338" s="3">
        <v>0.0</v>
      </c>
      <c r="I338" s="4" t="s">
        <v>1589</v>
      </c>
      <c r="J338" s="1"/>
      <c r="K338" s="1" t="s">
        <v>323</v>
      </c>
    </row>
    <row r="339">
      <c r="A339" s="1" t="s">
        <v>1590</v>
      </c>
      <c r="B339" s="1" t="s">
        <v>1591</v>
      </c>
      <c r="C339" s="1">
        <v>2023.0</v>
      </c>
      <c r="D339" s="2">
        <v>45231.0</v>
      </c>
      <c r="F339" s="1" t="s">
        <v>1592</v>
      </c>
      <c r="H339" s="3">
        <v>0.0</v>
      </c>
      <c r="I339" s="4" t="s">
        <v>1593</v>
      </c>
      <c r="J339" s="1" t="s">
        <v>1594</v>
      </c>
      <c r="K339" s="1" t="s">
        <v>1036</v>
      </c>
    </row>
    <row r="340">
      <c r="A340" s="1" t="s">
        <v>1595</v>
      </c>
      <c r="B340" s="1" t="s">
        <v>1596</v>
      </c>
      <c r="C340" s="1">
        <v>2023.0</v>
      </c>
      <c r="D340" s="2">
        <v>45231.0</v>
      </c>
      <c r="F340" s="1" t="s">
        <v>726</v>
      </c>
      <c r="H340" s="3">
        <v>2.0</v>
      </c>
      <c r="I340" s="4" t="s">
        <v>1597</v>
      </c>
      <c r="J340" s="1" t="s">
        <v>1598</v>
      </c>
      <c r="K340" s="1" t="s">
        <v>28</v>
      </c>
    </row>
    <row r="341">
      <c r="A341" s="1" t="s">
        <v>1599</v>
      </c>
      <c r="B341" s="1" t="s">
        <v>1600</v>
      </c>
      <c r="C341" s="1">
        <v>2023.0</v>
      </c>
      <c r="D341" s="2">
        <v>45231.0</v>
      </c>
      <c r="F341" s="1" t="s">
        <v>337</v>
      </c>
      <c r="H341" s="3">
        <v>0.0</v>
      </c>
      <c r="I341" s="4" t="s">
        <v>1601</v>
      </c>
      <c r="J341" s="1" t="s">
        <v>1602</v>
      </c>
      <c r="K341" s="1" t="s">
        <v>16</v>
      </c>
    </row>
    <row r="342">
      <c r="A342" s="1" t="s">
        <v>1603</v>
      </c>
      <c r="B342" s="1" t="s">
        <v>1604</v>
      </c>
      <c r="C342" s="1">
        <v>2023.0</v>
      </c>
      <c r="D342" s="2">
        <v>45230.0</v>
      </c>
      <c r="F342" s="1" t="s">
        <v>1605</v>
      </c>
      <c r="H342" s="3">
        <v>0.0</v>
      </c>
      <c r="I342" s="4" t="s">
        <v>1606</v>
      </c>
      <c r="J342" s="1"/>
      <c r="K342" s="1" t="s">
        <v>16</v>
      </c>
    </row>
    <row r="343">
      <c r="A343" s="1" t="s">
        <v>1607</v>
      </c>
      <c r="B343" s="1" t="s">
        <v>1608</v>
      </c>
      <c r="C343" s="1">
        <v>2023.0</v>
      </c>
      <c r="D343" s="2">
        <v>45230.0</v>
      </c>
      <c r="F343" s="1" t="s">
        <v>1609</v>
      </c>
      <c r="H343" s="3">
        <v>0.0</v>
      </c>
      <c r="I343" s="4" t="s">
        <v>1610</v>
      </c>
      <c r="J343" s="1" t="s">
        <v>1611</v>
      </c>
      <c r="K343" s="1" t="s">
        <v>16</v>
      </c>
    </row>
    <row r="344">
      <c r="A344" s="1" t="s">
        <v>1612</v>
      </c>
      <c r="B344" s="1" t="s">
        <v>1613</v>
      </c>
      <c r="C344" s="1">
        <v>2023.0</v>
      </c>
      <c r="D344" s="2">
        <v>45226.0</v>
      </c>
      <c r="F344" s="1" t="s">
        <v>1614</v>
      </c>
      <c r="H344" s="3">
        <v>1.0</v>
      </c>
      <c r="I344" s="4" t="s">
        <v>1615</v>
      </c>
      <c r="J344" s="1" t="s">
        <v>1616</v>
      </c>
      <c r="K344" s="1" t="s">
        <v>28</v>
      </c>
    </row>
    <row r="345">
      <c r="A345" s="1" t="s">
        <v>1617</v>
      </c>
      <c r="B345" s="1" t="s">
        <v>1618</v>
      </c>
      <c r="C345" s="1">
        <v>2023.0</v>
      </c>
      <c r="D345" s="2">
        <v>45226.0</v>
      </c>
      <c r="F345" s="1" t="s">
        <v>1619</v>
      </c>
      <c r="H345" s="3">
        <v>0.0</v>
      </c>
      <c r="I345" s="4" t="s">
        <v>1620</v>
      </c>
      <c r="J345" s="1" t="s">
        <v>1621</v>
      </c>
      <c r="K345" s="1" t="s">
        <v>295</v>
      </c>
    </row>
    <row r="346">
      <c r="A346" s="1" t="s">
        <v>1622</v>
      </c>
      <c r="B346" s="1" t="s">
        <v>1623</v>
      </c>
      <c r="C346" s="1">
        <v>2023.0</v>
      </c>
      <c r="D346" s="2">
        <v>45226.0</v>
      </c>
      <c r="F346" s="1" t="s">
        <v>157</v>
      </c>
      <c r="H346" s="3">
        <v>0.0</v>
      </c>
      <c r="I346" s="4" t="s">
        <v>1624</v>
      </c>
      <c r="J346" s="1" t="s">
        <v>1625</v>
      </c>
      <c r="K346" s="1" t="s">
        <v>546</v>
      </c>
    </row>
    <row r="347">
      <c r="A347" s="1" t="s">
        <v>1626</v>
      </c>
      <c r="B347" s="1" t="s">
        <v>1627</v>
      </c>
      <c r="C347" s="1">
        <v>2023.0</v>
      </c>
      <c r="D347" s="2">
        <v>45226.0</v>
      </c>
      <c r="F347" s="1" t="s">
        <v>1628</v>
      </c>
      <c r="H347" s="3">
        <v>0.0</v>
      </c>
      <c r="I347" s="4" t="s">
        <v>1629</v>
      </c>
      <c r="J347" s="1" t="s">
        <v>1630</v>
      </c>
      <c r="K347" s="1" t="s">
        <v>16</v>
      </c>
    </row>
    <row r="348">
      <c r="A348" s="1" t="s">
        <v>1631</v>
      </c>
      <c r="B348" s="1" t="s">
        <v>1632</v>
      </c>
      <c r="C348" s="1">
        <v>2023.0</v>
      </c>
      <c r="D348" s="2">
        <v>45225.0</v>
      </c>
      <c r="F348" s="1" t="s">
        <v>1415</v>
      </c>
      <c r="H348" s="3">
        <v>2.0</v>
      </c>
      <c r="I348" s="4" t="s">
        <v>1633</v>
      </c>
      <c r="J348" s="1" t="s">
        <v>1634</v>
      </c>
      <c r="K348" s="1" t="s">
        <v>28</v>
      </c>
    </row>
    <row r="349">
      <c r="A349" s="1" t="s">
        <v>1635</v>
      </c>
      <c r="B349" s="1" t="s">
        <v>1636</v>
      </c>
      <c r="C349" s="1">
        <v>2023.0</v>
      </c>
      <c r="D349" s="2">
        <v>45225.0</v>
      </c>
      <c r="F349" s="1" t="s">
        <v>1637</v>
      </c>
      <c r="H349" s="3">
        <v>0.0</v>
      </c>
      <c r="I349" s="4" t="s">
        <v>1638</v>
      </c>
      <c r="J349" s="1" t="s">
        <v>1639</v>
      </c>
      <c r="K349" s="1" t="s">
        <v>16</v>
      </c>
    </row>
    <row r="350">
      <c r="A350" s="1" t="s">
        <v>1640</v>
      </c>
      <c r="B350" s="1" t="s">
        <v>1641</v>
      </c>
      <c r="C350" s="1">
        <v>2023.0</v>
      </c>
      <c r="D350" s="2">
        <v>45225.0</v>
      </c>
      <c r="F350" s="1" t="s">
        <v>59</v>
      </c>
      <c r="H350" s="3">
        <v>4.0</v>
      </c>
      <c r="I350" s="4" t="s">
        <v>1642</v>
      </c>
      <c r="J350" s="1" t="s">
        <v>1643</v>
      </c>
      <c r="K350" s="1" t="s">
        <v>16</v>
      </c>
    </row>
    <row r="351">
      <c r="A351" s="1" t="s">
        <v>1644</v>
      </c>
      <c r="B351" s="1" t="s">
        <v>1645</v>
      </c>
      <c r="C351" s="1">
        <v>2023.0</v>
      </c>
      <c r="D351" s="2">
        <v>45225.0</v>
      </c>
      <c r="F351" s="1" t="s">
        <v>59</v>
      </c>
      <c r="H351" s="3">
        <v>0.0</v>
      </c>
      <c r="I351" s="4" t="s">
        <v>1646</v>
      </c>
      <c r="J351" s="1"/>
      <c r="K351" s="1" t="s">
        <v>16</v>
      </c>
    </row>
    <row r="352">
      <c r="A352" s="1" t="s">
        <v>1647</v>
      </c>
      <c r="B352" s="1" t="s">
        <v>1648</v>
      </c>
      <c r="C352" s="1">
        <v>2023.0</v>
      </c>
      <c r="D352" s="2">
        <v>45224.0</v>
      </c>
      <c r="F352" s="1" t="s">
        <v>1649</v>
      </c>
      <c r="H352" s="3">
        <v>2.0</v>
      </c>
      <c r="I352" s="4" t="s">
        <v>1650</v>
      </c>
      <c r="J352" s="1" t="s">
        <v>1651</v>
      </c>
      <c r="K352" s="1" t="s">
        <v>16</v>
      </c>
    </row>
    <row r="353">
      <c r="A353" s="1" t="s">
        <v>1652</v>
      </c>
      <c r="B353" s="1" t="s">
        <v>1653</v>
      </c>
      <c r="C353" s="1">
        <v>2023.0</v>
      </c>
      <c r="D353" s="2">
        <v>45223.0</v>
      </c>
      <c r="F353" s="1" t="s">
        <v>1654</v>
      </c>
      <c r="H353" s="3">
        <v>4.0</v>
      </c>
      <c r="I353" s="4" t="s">
        <v>1655</v>
      </c>
      <c r="J353" s="1" t="s">
        <v>1656</v>
      </c>
      <c r="K353" s="1" t="s">
        <v>16</v>
      </c>
    </row>
    <row r="354">
      <c r="A354" s="1" t="s">
        <v>1657</v>
      </c>
      <c r="B354" s="1" t="s">
        <v>1658</v>
      </c>
      <c r="C354" s="1">
        <v>2023.0</v>
      </c>
      <c r="D354" s="2">
        <v>45222.0</v>
      </c>
      <c r="F354" s="1" t="s">
        <v>1659</v>
      </c>
      <c r="H354" s="3">
        <v>1.0</v>
      </c>
      <c r="I354" s="4" t="s">
        <v>1660</v>
      </c>
      <c r="J354" s="1" t="s">
        <v>1661</v>
      </c>
      <c r="K354" s="1" t="s">
        <v>329</v>
      </c>
    </row>
    <row r="355">
      <c r="A355" s="1" t="s">
        <v>1662</v>
      </c>
      <c r="B355" s="1" t="s">
        <v>1663</v>
      </c>
      <c r="C355" s="1">
        <v>2023.0</v>
      </c>
      <c r="D355" s="2">
        <v>45222.0</v>
      </c>
      <c r="F355" s="1" t="s">
        <v>1664</v>
      </c>
      <c r="H355" s="3">
        <v>0.0</v>
      </c>
      <c r="I355" s="4" t="s">
        <v>1665</v>
      </c>
      <c r="J355" s="1"/>
      <c r="K355" s="1" t="s">
        <v>372</v>
      </c>
    </row>
    <row r="356">
      <c r="A356" s="1" t="s">
        <v>1666</v>
      </c>
      <c r="B356" s="1" t="s">
        <v>1667</v>
      </c>
      <c r="C356" s="1">
        <v>2023.0</v>
      </c>
      <c r="D356" s="2">
        <v>45222.0</v>
      </c>
      <c r="F356" s="1" t="s">
        <v>1668</v>
      </c>
      <c r="H356" s="3">
        <v>1.0</v>
      </c>
      <c r="I356" s="4" t="s">
        <v>1669</v>
      </c>
      <c r="J356" s="1" t="s">
        <v>1670</v>
      </c>
      <c r="K356" s="1" t="s">
        <v>28</v>
      </c>
    </row>
    <row r="357">
      <c r="A357" s="1" t="s">
        <v>1671</v>
      </c>
      <c r="B357" s="1" t="s">
        <v>1672</v>
      </c>
      <c r="C357" s="1">
        <v>2023.0</v>
      </c>
      <c r="D357" s="2">
        <v>45222.0</v>
      </c>
      <c r="F357" s="1" t="s">
        <v>248</v>
      </c>
      <c r="H357" s="3">
        <v>4.0</v>
      </c>
      <c r="I357" s="4" t="s">
        <v>1673</v>
      </c>
      <c r="J357" s="1" t="s">
        <v>1674</v>
      </c>
      <c r="K357" s="1" t="s">
        <v>68</v>
      </c>
    </row>
    <row r="358">
      <c r="A358" s="1" t="s">
        <v>1675</v>
      </c>
      <c r="B358" s="1" t="s">
        <v>1676</v>
      </c>
      <c r="C358" s="1">
        <v>2023.0</v>
      </c>
      <c r="D358" s="2">
        <v>45222.0</v>
      </c>
      <c r="F358" s="1" t="s">
        <v>248</v>
      </c>
      <c r="H358" s="3">
        <v>4.0</v>
      </c>
      <c r="I358" s="4" t="s">
        <v>1677</v>
      </c>
      <c r="J358" s="1" t="s">
        <v>1678</v>
      </c>
      <c r="K358" s="1" t="s">
        <v>68</v>
      </c>
    </row>
    <row r="359">
      <c r="A359" s="1" t="s">
        <v>1679</v>
      </c>
      <c r="B359" s="1" t="s">
        <v>1680</v>
      </c>
      <c r="C359" s="1">
        <v>2023.0</v>
      </c>
      <c r="D359" s="2">
        <v>45222.0</v>
      </c>
      <c r="F359" s="1" t="s">
        <v>298</v>
      </c>
      <c r="H359" s="3">
        <v>1.0</v>
      </c>
      <c r="I359" s="4" t="s">
        <v>1681</v>
      </c>
      <c r="J359" s="1" t="s">
        <v>1682</v>
      </c>
      <c r="K359" s="1" t="s">
        <v>323</v>
      </c>
    </row>
    <row r="360">
      <c r="A360" s="1" t="s">
        <v>1683</v>
      </c>
      <c r="B360" s="1" t="s">
        <v>1684</v>
      </c>
      <c r="C360" s="1">
        <v>2023.0</v>
      </c>
      <c r="D360" s="2">
        <v>45222.0</v>
      </c>
      <c r="F360" s="1" t="s">
        <v>248</v>
      </c>
      <c r="H360" s="3">
        <v>0.0</v>
      </c>
      <c r="I360" s="4" t="s">
        <v>1685</v>
      </c>
      <c r="J360" s="1" t="s">
        <v>1686</v>
      </c>
      <c r="K360" s="1" t="s">
        <v>68</v>
      </c>
    </row>
    <row r="361">
      <c r="A361" s="1" t="s">
        <v>1687</v>
      </c>
      <c r="B361" s="1" t="s">
        <v>1688</v>
      </c>
      <c r="C361" s="1">
        <v>2023.0</v>
      </c>
      <c r="D361" s="2">
        <v>45222.0</v>
      </c>
      <c r="F361" s="1" t="s">
        <v>1300</v>
      </c>
      <c r="H361" s="3">
        <v>1.0</v>
      </c>
      <c r="I361" s="4" t="s">
        <v>1689</v>
      </c>
      <c r="J361" s="1" t="s">
        <v>1690</v>
      </c>
      <c r="K361" s="1" t="s">
        <v>413</v>
      </c>
    </row>
    <row r="362">
      <c r="A362" s="1" t="s">
        <v>1691</v>
      </c>
      <c r="B362" s="1" t="s">
        <v>1692</v>
      </c>
      <c r="C362" s="1">
        <v>2023.0</v>
      </c>
      <c r="D362" s="2">
        <v>45219.0</v>
      </c>
      <c r="F362" s="1" t="s">
        <v>157</v>
      </c>
      <c r="H362" s="3">
        <v>0.0</v>
      </c>
      <c r="I362" s="4" t="s">
        <v>1693</v>
      </c>
      <c r="J362" s="1" t="s">
        <v>1694</v>
      </c>
      <c r="K362" s="1" t="s">
        <v>546</v>
      </c>
    </row>
    <row r="363">
      <c r="A363" s="1" t="s">
        <v>1695</v>
      </c>
      <c r="B363" s="1" t="s">
        <v>1696</v>
      </c>
      <c r="C363" s="1">
        <v>2023.0</v>
      </c>
      <c r="D363" s="2">
        <v>45219.0</v>
      </c>
      <c r="F363" s="1" t="s">
        <v>643</v>
      </c>
      <c r="H363" s="3">
        <v>0.0</v>
      </c>
      <c r="I363" s="4" t="s">
        <v>1697</v>
      </c>
      <c r="J363" s="1" t="s">
        <v>1698</v>
      </c>
      <c r="K363" s="1" t="s">
        <v>16</v>
      </c>
    </row>
    <row r="364">
      <c r="A364" s="1" t="s">
        <v>1699</v>
      </c>
      <c r="B364" s="1" t="s">
        <v>1700</v>
      </c>
      <c r="C364" s="1">
        <v>2023.0</v>
      </c>
      <c r="D364" s="2">
        <v>45218.0</v>
      </c>
      <c r="F364" s="1" t="s">
        <v>71</v>
      </c>
      <c r="H364" s="3">
        <v>1.0</v>
      </c>
      <c r="I364" s="4" t="s">
        <v>1701</v>
      </c>
      <c r="J364" s="1" t="s">
        <v>1702</v>
      </c>
      <c r="K364" s="1" t="s">
        <v>403</v>
      </c>
    </row>
    <row r="365">
      <c r="A365" s="1" t="s">
        <v>1703</v>
      </c>
      <c r="B365" s="1" t="s">
        <v>1704</v>
      </c>
      <c r="C365" s="1">
        <v>2023.0</v>
      </c>
      <c r="D365" s="2">
        <v>45218.0</v>
      </c>
      <c r="F365" s="1" t="s">
        <v>1705</v>
      </c>
      <c r="H365" s="3">
        <v>0.0</v>
      </c>
      <c r="I365" s="4" t="s">
        <v>1706</v>
      </c>
      <c r="J365" s="1" t="s">
        <v>1707</v>
      </c>
      <c r="K365" s="1" t="s">
        <v>926</v>
      </c>
    </row>
    <row r="366">
      <c r="A366" s="1" t="s">
        <v>1708</v>
      </c>
      <c r="B366" s="1" t="s">
        <v>1709</v>
      </c>
      <c r="C366" s="1">
        <v>2023.0</v>
      </c>
      <c r="D366" s="2">
        <v>45217.0</v>
      </c>
      <c r="F366" s="1" t="s">
        <v>71</v>
      </c>
      <c r="H366" s="3">
        <v>2.0</v>
      </c>
      <c r="I366" s="4" t="s">
        <v>1710</v>
      </c>
      <c r="J366" s="1" t="s">
        <v>1711</v>
      </c>
      <c r="K366" s="1" t="s">
        <v>16</v>
      </c>
    </row>
    <row r="367">
      <c r="A367" s="1" t="s">
        <v>1712</v>
      </c>
      <c r="B367" s="1" t="s">
        <v>1713</v>
      </c>
      <c r="C367" s="1">
        <v>2023.0</v>
      </c>
      <c r="D367" s="2">
        <v>45216.0</v>
      </c>
      <c r="F367" s="1" t="s">
        <v>1714</v>
      </c>
      <c r="H367" s="3">
        <v>1.0</v>
      </c>
      <c r="I367" s="4" t="s">
        <v>1715</v>
      </c>
      <c r="J367" s="1" t="s">
        <v>1716</v>
      </c>
      <c r="K367" s="1" t="s">
        <v>295</v>
      </c>
    </row>
    <row r="368">
      <c r="A368" s="1" t="s">
        <v>1717</v>
      </c>
      <c r="B368" s="1" t="s">
        <v>1718</v>
      </c>
      <c r="C368" s="1">
        <v>2023.0</v>
      </c>
      <c r="D368" s="2">
        <v>45216.0</v>
      </c>
      <c r="F368" s="1" t="s">
        <v>131</v>
      </c>
      <c r="H368" s="3">
        <v>1.0</v>
      </c>
      <c r="I368" s="4" t="s">
        <v>1719</v>
      </c>
      <c r="J368" s="1" t="s">
        <v>1720</v>
      </c>
      <c r="K368" s="1" t="s">
        <v>16</v>
      </c>
    </row>
    <row r="369">
      <c r="A369" s="1" t="s">
        <v>1721</v>
      </c>
      <c r="B369" s="1" t="s">
        <v>1722</v>
      </c>
      <c r="C369" s="1">
        <v>2023.0</v>
      </c>
      <c r="D369" s="2">
        <v>45215.0</v>
      </c>
      <c r="F369" s="1" t="s">
        <v>208</v>
      </c>
      <c r="H369" s="3">
        <v>1.0</v>
      </c>
      <c r="I369" s="4" t="s">
        <v>1723</v>
      </c>
      <c r="J369" s="1" t="s">
        <v>1724</v>
      </c>
      <c r="K369" s="1" t="s">
        <v>28</v>
      </c>
    </row>
    <row r="370">
      <c r="A370" s="1" t="s">
        <v>1725</v>
      </c>
      <c r="B370" s="1" t="s">
        <v>1726</v>
      </c>
      <c r="C370" s="1">
        <v>2023.0</v>
      </c>
      <c r="D370" s="2">
        <v>45214.0</v>
      </c>
      <c r="F370" s="1" t="s">
        <v>1727</v>
      </c>
      <c r="H370" s="3">
        <v>1.0</v>
      </c>
      <c r="I370" s="4" t="s">
        <v>1728</v>
      </c>
      <c r="J370" s="1" t="s">
        <v>1729</v>
      </c>
      <c r="K370" s="1" t="s">
        <v>16</v>
      </c>
    </row>
    <row r="371">
      <c r="A371" s="1" t="s">
        <v>1730</v>
      </c>
      <c r="B371" s="1" t="s">
        <v>1692</v>
      </c>
      <c r="C371" s="1">
        <v>2023.0</v>
      </c>
      <c r="D371" s="2">
        <v>45212.0</v>
      </c>
      <c r="F371" s="1" t="s">
        <v>157</v>
      </c>
      <c r="H371" s="3">
        <v>9.0</v>
      </c>
      <c r="I371" s="4" t="s">
        <v>1731</v>
      </c>
      <c r="J371" s="1" t="s">
        <v>1732</v>
      </c>
      <c r="K371" s="1" t="s">
        <v>546</v>
      </c>
    </row>
    <row r="372">
      <c r="A372" s="1" t="s">
        <v>1733</v>
      </c>
      <c r="B372" s="1" t="s">
        <v>1575</v>
      </c>
      <c r="C372" s="1">
        <v>2023.0</v>
      </c>
      <c r="D372" s="2">
        <v>45212.0</v>
      </c>
      <c r="F372" s="1" t="s">
        <v>157</v>
      </c>
      <c r="H372" s="3">
        <v>7.0</v>
      </c>
      <c r="I372" s="4" t="s">
        <v>1734</v>
      </c>
      <c r="J372" s="1" t="s">
        <v>1735</v>
      </c>
      <c r="K372" s="1" t="s">
        <v>546</v>
      </c>
    </row>
    <row r="373">
      <c r="A373" s="1" t="s">
        <v>1736</v>
      </c>
      <c r="B373" s="1" t="s">
        <v>946</v>
      </c>
      <c r="C373" s="1">
        <v>2023.0</v>
      </c>
      <c r="D373" s="2">
        <v>45210.0</v>
      </c>
      <c r="F373" s="1" t="s">
        <v>1737</v>
      </c>
      <c r="H373" s="3">
        <v>1.0</v>
      </c>
      <c r="I373" s="4" t="s">
        <v>1738</v>
      </c>
      <c r="J373" s="1" t="s">
        <v>1739</v>
      </c>
      <c r="K373" s="1" t="s">
        <v>68</v>
      </c>
    </row>
    <row r="374">
      <c r="A374" s="1" t="s">
        <v>1740</v>
      </c>
      <c r="B374" s="1" t="s">
        <v>1741</v>
      </c>
      <c r="C374" s="1">
        <v>2023.0</v>
      </c>
      <c r="D374" s="2">
        <v>45210.0</v>
      </c>
      <c r="F374" s="1" t="s">
        <v>996</v>
      </c>
      <c r="H374" s="3">
        <v>0.0</v>
      </c>
      <c r="I374" s="4" t="s">
        <v>1742</v>
      </c>
      <c r="J374" s="1" t="s">
        <v>1743</v>
      </c>
      <c r="K374" s="1" t="s">
        <v>16</v>
      </c>
    </row>
    <row r="375">
      <c r="A375" s="1" t="s">
        <v>1744</v>
      </c>
      <c r="B375" s="1" t="s">
        <v>1745</v>
      </c>
      <c r="C375" s="1">
        <v>2023.0</v>
      </c>
      <c r="D375" s="2">
        <v>45210.0</v>
      </c>
      <c r="F375" s="1" t="s">
        <v>643</v>
      </c>
      <c r="H375" s="3">
        <v>2.0</v>
      </c>
      <c r="I375" s="4" t="s">
        <v>1746</v>
      </c>
      <c r="J375" s="1" t="s">
        <v>1747</v>
      </c>
      <c r="K375" s="1" t="s">
        <v>413</v>
      </c>
    </row>
    <row r="376">
      <c r="A376" s="1" t="s">
        <v>1748</v>
      </c>
      <c r="B376" s="1" t="s">
        <v>1749</v>
      </c>
      <c r="C376" s="1">
        <v>2023.0</v>
      </c>
      <c r="D376" s="2">
        <v>45209.0</v>
      </c>
      <c r="F376" s="1" t="s">
        <v>1750</v>
      </c>
      <c r="H376" s="3">
        <v>0.0</v>
      </c>
      <c r="I376" s="4" t="s">
        <v>1751</v>
      </c>
      <c r="J376" s="1" t="s">
        <v>1752</v>
      </c>
      <c r="K376" s="1" t="s">
        <v>68</v>
      </c>
    </row>
    <row r="377">
      <c r="A377" s="1" t="s">
        <v>1753</v>
      </c>
      <c r="B377" s="1" t="s">
        <v>1754</v>
      </c>
      <c r="C377" s="1">
        <v>2023.0</v>
      </c>
      <c r="D377" s="2">
        <v>45208.0</v>
      </c>
      <c r="F377" s="1" t="s">
        <v>1001</v>
      </c>
      <c r="H377" s="3">
        <v>9.0</v>
      </c>
      <c r="I377" s="4" t="s">
        <v>1755</v>
      </c>
      <c r="J377" s="1" t="s">
        <v>1756</v>
      </c>
      <c r="K377" s="1" t="s">
        <v>340</v>
      </c>
    </row>
    <row r="378">
      <c r="A378" s="1" t="s">
        <v>1757</v>
      </c>
      <c r="B378" s="1" t="s">
        <v>1758</v>
      </c>
      <c r="C378" s="1">
        <v>2023.0</v>
      </c>
      <c r="D378" s="2">
        <v>45208.0</v>
      </c>
      <c r="F378" s="1" t="s">
        <v>1300</v>
      </c>
      <c r="H378" s="3">
        <v>0.0</v>
      </c>
      <c r="I378" s="4" t="s">
        <v>1759</v>
      </c>
      <c r="J378" s="1"/>
      <c r="K378" s="1" t="s">
        <v>16</v>
      </c>
    </row>
    <row r="379">
      <c r="A379" s="1" t="s">
        <v>1760</v>
      </c>
      <c r="B379" s="1" t="s">
        <v>1761</v>
      </c>
      <c r="C379" s="1">
        <v>2023.0</v>
      </c>
      <c r="D379" s="2">
        <v>45206.0</v>
      </c>
      <c r="F379" s="1" t="s">
        <v>1762</v>
      </c>
      <c r="H379" s="3">
        <v>0.0</v>
      </c>
      <c r="I379" s="4" t="s">
        <v>1763</v>
      </c>
      <c r="J379" s="1" t="s">
        <v>1764</v>
      </c>
      <c r="K379" s="1" t="s">
        <v>383</v>
      </c>
    </row>
    <row r="380">
      <c r="A380" s="1" t="s">
        <v>1765</v>
      </c>
      <c r="B380" s="1" t="s">
        <v>1766</v>
      </c>
      <c r="C380" s="1">
        <v>2023.0</v>
      </c>
      <c r="D380" s="2">
        <v>45205.0</v>
      </c>
      <c r="F380" s="1" t="s">
        <v>1767</v>
      </c>
      <c r="H380" s="3">
        <v>1.0</v>
      </c>
      <c r="I380" s="4" t="s">
        <v>1768</v>
      </c>
      <c r="J380" s="1" t="s">
        <v>1769</v>
      </c>
      <c r="K380" s="1" t="s">
        <v>443</v>
      </c>
    </row>
    <row r="381">
      <c r="A381" s="1" t="s">
        <v>1770</v>
      </c>
      <c r="B381" s="1" t="s">
        <v>1771</v>
      </c>
      <c r="C381" s="1">
        <v>2023.0</v>
      </c>
      <c r="D381" s="2">
        <v>45205.0</v>
      </c>
      <c r="F381" s="1" t="s">
        <v>1772</v>
      </c>
      <c r="H381" s="3">
        <v>2.0</v>
      </c>
      <c r="I381" s="4" t="s">
        <v>1773</v>
      </c>
      <c r="J381" s="1" t="s">
        <v>1774</v>
      </c>
      <c r="K381" s="1" t="s">
        <v>16</v>
      </c>
    </row>
    <row r="382">
      <c r="A382" s="1" t="s">
        <v>1775</v>
      </c>
      <c r="B382" s="1" t="s">
        <v>1776</v>
      </c>
      <c r="C382" s="1">
        <v>2023.0</v>
      </c>
      <c r="D382" s="2">
        <v>45205.0</v>
      </c>
      <c r="F382" s="1" t="s">
        <v>1777</v>
      </c>
      <c r="H382" s="3">
        <v>0.0</v>
      </c>
      <c r="I382" s="4" t="s">
        <v>1778</v>
      </c>
      <c r="J382" s="1" t="s">
        <v>1779</v>
      </c>
      <c r="K382" s="1" t="s">
        <v>383</v>
      </c>
    </row>
    <row r="383">
      <c r="A383" s="1" t="s">
        <v>1780</v>
      </c>
      <c r="B383" s="1" t="s">
        <v>1781</v>
      </c>
      <c r="C383" s="1">
        <v>2023.0</v>
      </c>
      <c r="D383" s="2">
        <v>45204.0</v>
      </c>
      <c r="F383" s="1" t="s">
        <v>1782</v>
      </c>
      <c r="H383" s="3">
        <v>1.0</v>
      </c>
      <c r="I383" s="4" t="s">
        <v>1783</v>
      </c>
      <c r="J383" s="1" t="s">
        <v>1784</v>
      </c>
      <c r="K383" s="1" t="s">
        <v>403</v>
      </c>
    </row>
    <row r="384">
      <c r="A384" s="1" t="s">
        <v>1785</v>
      </c>
      <c r="B384" s="1" t="s">
        <v>1786</v>
      </c>
      <c r="C384" s="1">
        <v>2023.0</v>
      </c>
      <c r="D384" s="2">
        <v>45202.0</v>
      </c>
      <c r="F384" s="1" t="s">
        <v>1528</v>
      </c>
      <c r="H384" s="3">
        <v>0.0</v>
      </c>
      <c r="I384" s="4" t="s">
        <v>1787</v>
      </c>
      <c r="J384" s="1" t="s">
        <v>1788</v>
      </c>
      <c r="K384" s="1" t="s">
        <v>68</v>
      </c>
    </row>
    <row r="385">
      <c r="A385" s="1" t="s">
        <v>1789</v>
      </c>
      <c r="B385" s="1" t="s">
        <v>1790</v>
      </c>
      <c r="C385" s="1">
        <v>2023.0</v>
      </c>
      <c r="D385" s="2">
        <v>45201.0</v>
      </c>
      <c r="F385" s="1" t="s">
        <v>726</v>
      </c>
      <c r="H385" s="3">
        <v>6.0</v>
      </c>
      <c r="I385" s="4" t="s">
        <v>1791</v>
      </c>
      <c r="J385" s="1" t="s">
        <v>1792</v>
      </c>
      <c r="K385" s="1" t="s">
        <v>372</v>
      </c>
    </row>
    <row r="386">
      <c r="A386" s="1" t="s">
        <v>1793</v>
      </c>
      <c r="B386" s="1" t="s">
        <v>1794</v>
      </c>
      <c r="C386" s="1">
        <v>2023.0</v>
      </c>
      <c r="D386" s="2">
        <v>45201.0</v>
      </c>
      <c r="F386" s="1" t="s">
        <v>1795</v>
      </c>
      <c r="H386" s="3">
        <v>0.0</v>
      </c>
      <c r="I386" s="4" t="s">
        <v>1796</v>
      </c>
      <c r="J386" s="1" t="s">
        <v>1797</v>
      </c>
      <c r="K386" s="1" t="s">
        <v>413</v>
      </c>
    </row>
    <row r="387">
      <c r="A387" s="1" t="s">
        <v>1798</v>
      </c>
      <c r="B387" s="1" t="s">
        <v>1799</v>
      </c>
      <c r="C387" s="1">
        <v>2023.0</v>
      </c>
      <c r="D387" s="2">
        <v>45200.0</v>
      </c>
      <c r="F387" s="1" t="s">
        <v>1800</v>
      </c>
      <c r="H387" s="3">
        <v>0.0</v>
      </c>
      <c r="I387" s="4" t="s">
        <v>1801</v>
      </c>
      <c r="J387" s="1" t="s">
        <v>1802</v>
      </c>
      <c r="K387" s="1" t="s">
        <v>403</v>
      </c>
    </row>
    <row r="388">
      <c r="A388" s="1" t="s">
        <v>1803</v>
      </c>
      <c r="B388" s="1" t="s">
        <v>1804</v>
      </c>
      <c r="C388" s="1">
        <v>2023.0</v>
      </c>
      <c r="D388" s="2">
        <v>45200.0</v>
      </c>
      <c r="F388" s="1" t="s">
        <v>1420</v>
      </c>
      <c r="H388" s="3">
        <v>2.0</v>
      </c>
      <c r="I388" s="4" t="s">
        <v>1805</v>
      </c>
      <c r="J388" s="1" t="s">
        <v>1806</v>
      </c>
      <c r="K388" s="1" t="s">
        <v>28</v>
      </c>
    </row>
    <row r="389">
      <c r="A389" s="1" t="s">
        <v>1807</v>
      </c>
      <c r="B389" s="1" t="s">
        <v>1808</v>
      </c>
      <c r="C389" s="1">
        <v>2023.0</v>
      </c>
      <c r="D389" s="2">
        <v>45200.0</v>
      </c>
      <c r="F389" s="1" t="s">
        <v>1809</v>
      </c>
      <c r="H389" s="3">
        <v>2.0</v>
      </c>
      <c r="I389" s="4" t="s">
        <v>1810</v>
      </c>
      <c r="J389" s="1" t="s">
        <v>1811</v>
      </c>
      <c r="K389" s="1" t="s">
        <v>68</v>
      </c>
    </row>
    <row r="390">
      <c r="A390" s="1" t="s">
        <v>1812</v>
      </c>
      <c r="B390" s="1" t="s">
        <v>1813</v>
      </c>
      <c r="C390" s="1">
        <v>2023.0</v>
      </c>
      <c r="D390" s="2">
        <v>45200.0</v>
      </c>
      <c r="F390" s="1" t="s">
        <v>1814</v>
      </c>
      <c r="H390" s="3">
        <v>0.0</v>
      </c>
      <c r="I390" s="4" t="s">
        <v>1815</v>
      </c>
      <c r="J390" s="1"/>
      <c r="K390" s="1" t="s">
        <v>1569</v>
      </c>
    </row>
    <row r="391">
      <c r="A391" s="1" t="s">
        <v>1816</v>
      </c>
      <c r="B391" s="1" t="s">
        <v>1817</v>
      </c>
      <c r="C391" s="1">
        <v>2023.0</v>
      </c>
      <c r="D391" s="2">
        <v>45200.0</v>
      </c>
      <c r="F391" s="1" t="s">
        <v>1233</v>
      </c>
      <c r="H391" s="3">
        <v>4.0</v>
      </c>
      <c r="I391" s="4" t="s">
        <v>1818</v>
      </c>
      <c r="J391" s="1" t="s">
        <v>1819</v>
      </c>
      <c r="K391" s="1" t="s">
        <v>16</v>
      </c>
    </row>
    <row r="392">
      <c r="A392" s="1" t="s">
        <v>1820</v>
      </c>
      <c r="B392" s="1" t="s">
        <v>1821</v>
      </c>
      <c r="C392" s="1">
        <v>2023.0</v>
      </c>
      <c r="D392" s="2">
        <v>45198.0</v>
      </c>
      <c r="F392" s="1" t="s">
        <v>1822</v>
      </c>
      <c r="H392" s="3">
        <v>0.0</v>
      </c>
      <c r="I392" s="4" t="s">
        <v>1823</v>
      </c>
      <c r="J392" s="1" t="s">
        <v>1824</v>
      </c>
      <c r="K392" s="1" t="s">
        <v>45</v>
      </c>
    </row>
    <row r="393">
      <c r="A393" s="1" t="s">
        <v>1825</v>
      </c>
      <c r="B393" s="1" t="s">
        <v>1826</v>
      </c>
      <c r="C393" s="1">
        <v>2023.0</v>
      </c>
      <c r="D393" s="2">
        <v>45198.0</v>
      </c>
      <c r="F393" s="1" t="s">
        <v>1822</v>
      </c>
      <c r="H393" s="3">
        <v>0.0</v>
      </c>
      <c r="I393" s="4" t="s">
        <v>1827</v>
      </c>
      <c r="J393" s="1" t="s">
        <v>1828</v>
      </c>
      <c r="K393" s="1" t="s">
        <v>28</v>
      </c>
    </row>
    <row r="394">
      <c r="A394" s="1" t="s">
        <v>1829</v>
      </c>
      <c r="B394" s="1" t="s">
        <v>1830</v>
      </c>
      <c r="C394" s="1">
        <v>2023.0</v>
      </c>
      <c r="D394" s="2">
        <v>45198.0</v>
      </c>
      <c r="F394" s="1" t="s">
        <v>1831</v>
      </c>
      <c r="H394" s="3">
        <v>1.0</v>
      </c>
      <c r="I394" s="4" t="s">
        <v>1832</v>
      </c>
      <c r="J394" s="1" t="s">
        <v>1833</v>
      </c>
      <c r="K394" s="1" t="s">
        <v>16</v>
      </c>
    </row>
    <row r="395">
      <c r="A395" s="1" t="s">
        <v>1834</v>
      </c>
      <c r="B395" s="1" t="s">
        <v>1835</v>
      </c>
      <c r="C395" s="1">
        <v>2023.0</v>
      </c>
      <c r="D395" s="2">
        <v>45197.0</v>
      </c>
      <c r="F395" s="1" t="s">
        <v>1836</v>
      </c>
      <c r="H395" s="3">
        <v>0.0</v>
      </c>
      <c r="I395" s="4" t="s">
        <v>1837</v>
      </c>
      <c r="J395" s="1" t="s">
        <v>1838</v>
      </c>
      <c r="K395" s="1" t="s">
        <v>443</v>
      </c>
    </row>
    <row r="396">
      <c r="A396" s="1" t="s">
        <v>1839</v>
      </c>
      <c r="B396" s="1" t="s">
        <v>1840</v>
      </c>
      <c r="C396" s="1">
        <v>2023.0</v>
      </c>
      <c r="D396" s="2">
        <v>45197.0</v>
      </c>
      <c r="F396" s="1" t="s">
        <v>1841</v>
      </c>
      <c r="H396" s="3">
        <v>0.0</v>
      </c>
      <c r="I396" s="4" t="s">
        <v>1842</v>
      </c>
      <c r="J396" s="1" t="s">
        <v>1843</v>
      </c>
      <c r="K396" s="1" t="s">
        <v>340</v>
      </c>
    </row>
    <row r="397">
      <c r="A397" s="1" t="s">
        <v>1844</v>
      </c>
      <c r="B397" s="1" t="s">
        <v>1845</v>
      </c>
      <c r="C397" s="1">
        <v>2023.0</v>
      </c>
      <c r="D397" s="2">
        <v>45197.0</v>
      </c>
      <c r="F397" s="1" t="s">
        <v>1846</v>
      </c>
      <c r="H397" s="3">
        <v>0.0</v>
      </c>
      <c r="I397" s="4" t="s">
        <v>1847</v>
      </c>
      <c r="J397" s="1" t="s">
        <v>1848</v>
      </c>
      <c r="K397" s="1" t="s">
        <v>413</v>
      </c>
    </row>
    <row r="398">
      <c r="A398" s="1" t="s">
        <v>1849</v>
      </c>
      <c r="B398" s="1" t="s">
        <v>1850</v>
      </c>
      <c r="C398" s="1">
        <v>2023.0</v>
      </c>
      <c r="D398" s="2">
        <v>45195.0</v>
      </c>
      <c r="F398" s="1" t="s">
        <v>1851</v>
      </c>
      <c r="H398" s="3">
        <v>0.0</v>
      </c>
      <c r="I398" s="4" t="s">
        <v>1852</v>
      </c>
      <c r="J398" s="1"/>
      <c r="K398" s="1" t="s">
        <v>28</v>
      </c>
    </row>
    <row r="399">
      <c r="A399" s="1" t="s">
        <v>1853</v>
      </c>
      <c r="B399" s="1" t="s">
        <v>1854</v>
      </c>
      <c r="C399" s="1">
        <v>2023.0</v>
      </c>
      <c r="D399" s="2">
        <v>45195.0</v>
      </c>
      <c r="F399" s="1" t="s">
        <v>248</v>
      </c>
      <c r="H399" s="3">
        <v>5.0</v>
      </c>
      <c r="I399" s="4" t="s">
        <v>1855</v>
      </c>
      <c r="J399" s="1" t="s">
        <v>1856</v>
      </c>
      <c r="K399" s="1" t="s">
        <v>68</v>
      </c>
    </row>
    <row r="400">
      <c r="A400" s="1" t="s">
        <v>1857</v>
      </c>
      <c r="B400" s="1" t="s">
        <v>1858</v>
      </c>
      <c r="C400" s="1">
        <v>2023.0</v>
      </c>
      <c r="D400" s="2">
        <v>45194.0</v>
      </c>
      <c r="F400" s="1" t="s">
        <v>1859</v>
      </c>
      <c r="H400" s="3">
        <v>1.0</v>
      </c>
      <c r="I400" s="4" t="s">
        <v>1860</v>
      </c>
      <c r="J400" s="1" t="s">
        <v>1861</v>
      </c>
      <c r="K400" s="1" t="s">
        <v>323</v>
      </c>
    </row>
    <row r="401">
      <c r="A401" s="1" t="s">
        <v>1862</v>
      </c>
      <c r="B401" s="1" t="s">
        <v>1863</v>
      </c>
      <c r="C401" s="1">
        <v>2023.0</v>
      </c>
      <c r="D401" s="2">
        <v>45194.0</v>
      </c>
      <c r="F401" s="1" t="s">
        <v>1864</v>
      </c>
      <c r="H401" s="3">
        <v>1.0</v>
      </c>
      <c r="I401" s="4" t="s">
        <v>1865</v>
      </c>
      <c r="J401" s="1" t="s">
        <v>1866</v>
      </c>
      <c r="K401" s="1" t="s">
        <v>295</v>
      </c>
    </row>
    <row r="402">
      <c r="A402" s="1" t="s">
        <v>1867</v>
      </c>
      <c r="B402" s="1" t="s">
        <v>1868</v>
      </c>
      <c r="C402" s="1">
        <v>2023.0</v>
      </c>
      <c r="D402" s="2">
        <v>45191.0</v>
      </c>
      <c r="F402" s="1" t="s">
        <v>86</v>
      </c>
      <c r="H402" s="3">
        <v>1.0</v>
      </c>
      <c r="I402" s="4" t="s">
        <v>1869</v>
      </c>
      <c r="J402" s="1" t="s">
        <v>1870</v>
      </c>
      <c r="K402" s="1" t="s">
        <v>45</v>
      </c>
    </row>
    <row r="403">
      <c r="A403" s="1" t="s">
        <v>1871</v>
      </c>
      <c r="B403" s="1" t="s">
        <v>1872</v>
      </c>
      <c r="C403" s="1">
        <v>2023.0</v>
      </c>
      <c r="D403" s="2">
        <v>45191.0</v>
      </c>
      <c r="F403" s="1" t="s">
        <v>1873</v>
      </c>
      <c r="H403" s="3">
        <v>0.0</v>
      </c>
      <c r="I403" s="4" t="s">
        <v>1874</v>
      </c>
      <c r="J403" s="1" t="s">
        <v>1875</v>
      </c>
      <c r="K403" s="1" t="s">
        <v>295</v>
      </c>
    </row>
    <row r="404">
      <c r="A404" s="1" t="s">
        <v>1876</v>
      </c>
      <c r="B404" s="1" t="s">
        <v>1877</v>
      </c>
      <c r="C404" s="1">
        <v>2023.0</v>
      </c>
      <c r="D404" s="2">
        <v>45191.0</v>
      </c>
      <c r="F404" s="1" t="s">
        <v>1605</v>
      </c>
      <c r="H404" s="3">
        <v>0.0</v>
      </c>
      <c r="I404" s="4" t="s">
        <v>1878</v>
      </c>
      <c r="J404" s="1"/>
      <c r="K404" s="1" t="s">
        <v>16</v>
      </c>
    </row>
    <row r="405">
      <c r="A405" s="1" t="s">
        <v>1879</v>
      </c>
      <c r="B405" s="1" t="s">
        <v>1880</v>
      </c>
      <c r="C405" s="1">
        <v>2023.0</v>
      </c>
      <c r="D405" s="2">
        <v>45190.0</v>
      </c>
      <c r="F405" s="1" t="s">
        <v>1881</v>
      </c>
      <c r="H405" s="3">
        <v>0.0</v>
      </c>
      <c r="I405" s="4" t="s">
        <v>1882</v>
      </c>
      <c r="J405" s="1" t="s">
        <v>1883</v>
      </c>
      <c r="K405" s="1" t="s">
        <v>28</v>
      </c>
    </row>
    <row r="406">
      <c r="A406" s="1" t="s">
        <v>1884</v>
      </c>
      <c r="B406" s="1" t="s">
        <v>1885</v>
      </c>
      <c r="C406" s="1">
        <v>2023.0</v>
      </c>
      <c r="D406" s="2">
        <v>45190.0</v>
      </c>
      <c r="F406" s="1" t="s">
        <v>1050</v>
      </c>
      <c r="H406" s="3">
        <v>0.0</v>
      </c>
      <c r="I406" s="4" t="s">
        <v>1886</v>
      </c>
      <c r="J406" s="1" t="s">
        <v>1887</v>
      </c>
      <c r="K406" s="1" t="s">
        <v>68</v>
      </c>
    </row>
    <row r="407">
      <c r="A407" s="1" t="s">
        <v>1888</v>
      </c>
      <c r="B407" s="1" t="s">
        <v>1889</v>
      </c>
      <c r="C407" s="1">
        <v>2023.0</v>
      </c>
      <c r="D407" s="2">
        <v>45189.0</v>
      </c>
      <c r="F407" s="1" t="s">
        <v>1841</v>
      </c>
      <c r="H407" s="3">
        <v>1.0</v>
      </c>
      <c r="I407" s="4" t="s">
        <v>1890</v>
      </c>
      <c r="J407" s="1" t="s">
        <v>1891</v>
      </c>
      <c r="K407" s="1" t="s">
        <v>926</v>
      </c>
    </row>
    <row r="408">
      <c r="A408" s="1" t="s">
        <v>1892</v>
      </c>
      <c r="B408" s="1" t="s">
        <v>1893</v>
      </c>
      <c r="C408" s="1">
        <v>2023.0</v>
      </c>
      <c r="D408" s="2">
        <v>45189.0</v>
      </c>
      <c r="F408" s="1" t="s">
        <v>1894</v>
      </c>
      <c r="H408" s="3">
        <v>0.0</v>
      </c>
      <c r="I408" s="4" t="s">
        <v>1895</v>
      </c>
      <c r="J408" s="1" t="s">
        <v>1896</v>
      </c>
      <c r="K408" s="1" t="s">
        <v>16</v>
      </c>
    </row>
    <row r="409">
      <c r="A409" s="1" t="s">
        <v>1897</v>
      </c>
      <c r="B409" s="1" t="s">
        <v>1898</v>
      </c>
      <c r="C409" s="1">
        <v>2023.0</v>
      </c>
      <c r="D409" s="2">
        <v>45187.0</v>
      </c>
      <c r="F409" s="1" t="s">
        <v>1899</v>
      </c>
      <c r="H409" s="3">
        <v>0.0</v>
      </c>
      <c r="I409" s="4" t="s">
        <v>1900</v>
      </c>
      <c r="J409" s="1" t="s">
        <v>1901</v>
      </c>
      <c r="K409" s="1" t="s">
        <v>28</v>
      </c>
    </row>
    <row r="410">
      <c r="A410" s="1" t="s">
        <v>1902</v>
      </c>
      <c r="B410" s="1" t="s">
        <v>1903</v>
      </c>
      <c r="C410" s="1">
        <v>2023.0</v>
      </c>
      <c r="D410" s="2">
        <v>45187.0</v>
      </c>
      <c r="F410" s="1" t="s">
        <v>1904</v>
      </c>
      <c r="H410" s="3">
        <v>1.0</v>
      </c>
      <c r="I410" s="4" t="s">
        <v>1905</v>
      </c>
      <c r="J410" s="1" t="s">
        <v>1906</v>
      </c>
      <c r="K410" s="1" t="s">
        <v>403</v>
      </c>
    </row>
    <row r="411">
      <c r="A411" s="1" t="s">
        <v>1907</v>
      </c>
      <c r="B411" s="1" t="s">
        <v>1908</v>
      </c>
      <c r="C411" s="1">
        <v>2023.0</v>
      </c>
      <c r="D411" s="2">
        <v>45185.0</v>
      </c>
      <c r="F411" s="1" t="s">
        <v>218</v>
      </c>
      <c r="H411" s="3">
        <v>1.0</v>
      </c>
      <c r="I411" s="4" t="s">
        <v>1909</v>
      </c>
      <c r="J411" s="1" t="s">
        <v>1910</v>
      </c>
      <c r="K411" s="1" t="s">
        <v>28</v>
      </c>
    </row>
    <row r="412">
      <c r="A412" s="1" t="s">
        <v>1911</v>
      </c>
      <c r="B412" s="1" t="s">
        <v>1912</v>
      </c>
      <c r="C412" s="1">
        <v>2023.0</v>
      </c>
      <c r="D412" s="2">
        <v>45184.0</v>
      </c>
      <c r="F412" s="1" t="s">
        <v>1913</v>
      </c>
      <c r="H412" s="3">
        <v>0.0</v>
      </c>
      <c r="I412" s="4" t="s">
        <v>1914</v>
      </c>
      <c r="J412" s="1" t="s">
        <v>1915</v>
      </c>
      <c r="K412" s="1" t="s">
        <v>28</v>
      </c>
    </row>
    <row r="413">
      <c r="A413" s="1" t="s">
        <v>1916</v>
      </c>
      <c r="B413" s="1" t="s">
        <v>1917</v>
      </c>
      <c r="C413" s="1">
        <v>2023.0</v>
      </c>
      <c r="D413" s="2">
        <v>45184.0</v>
      </c>
      <c r="F413" s="1" t="s">
        <v>71</v>
      </c>
      <c r="H413" s="3">
        <v>0.0</v>
      </c>
      <c r="I413" s="4" t="s">
        <v>1918</v>
      </c>
      <c r="J413" s="1" t="s">
        <v>1919</v>
      </c>
      <c r="K413" s="1" t="s">
        <v>443</v>
      </c>
    </row>
    <row r="414">
      <c r="A414" s="1" t="s">
        <v>1920</v>
      </c>
      <c r="B414" s="1" t="s">
        <v>1921</v>
      </c>
      <c r="C414" s="1">
        <v>2023.0</v>
      </c>
      <c r="D414" s="2">
        <v>45182.0</v>
      </c>
      <c r="F414" s="1" t="s">
        <v>1922</v>
      </c>
      <c r="H414" s="3">
        <v>0.0</v>
      </c>
      <c r="I414" s="4" t="s">
        <v>1923</v>
      </c>
      <c r="J414" s="1" t="s">
        <v>1924</v>
      </c>
      <c r="K414" s="1" t="s">
        <v>323</v>
      </c>
    </row>
    <row r="415">
      <c r="A415" s="1" t="s">
        <v>1925</v>
      </c>
      <c r="B415" s="1" t="s">
        <v>1926</v>
      </c>
      <c r="C415" s="1">
        <v>2023.0</v>
      </c>
      <c r="D415" s="2">
        <v>45182.0</v>
      </c>
      <c r="F415" s="1" t="s">
        <v>13</v>
      </c>
      <c r="H415" s="3">
        <v>4.0</v>
      </c>
      <c r="I415" s="4" t="s">
        <v>1927</v>
      </c>
      <c r="J415" s="1" t="s">
        <v>1928</v>
      </c>
      <c r="K415" s="1" t="s">
        <v>16</v>
      </c>
    </row>
    <row r="416">
      <c r="A416" s="1" t="s">
        <v>1929</v>
      </c>
      <c r="B416" s="1" t="s">
        <v>1930</v>
      </c>
      <c r="C416" s="1">
        <v>2023.0</v>
      </c>
      <c r="D416" s="2">
        <v>45182.0</v>
      </c>
      <c r="F416" s="1" t="s">
        <v>396</v>
      </c>
      <c r="H416" s="3">
        <v>0.0</v>
      </c>
      <c r="I416" s="4" t="s">
        <v>1931</v>
      </c>
      <c r="J416" s="1"/>
      <c r="K416" s="1" t="s">
        <v>295</v>
      </c>
    </row>
    <row r="417">
      <c r="A417" s="1" t="s">
        <v>1932</v>
      </c>
      <c r="B417" s="1" t="s">
        <v>1933</v>
      </c>
      <c r="C417" s="1">
        <v>2023.0</v>
      </c>
      <c r="D417" s="2">
        <v>45180.0</v>
      </c>
      <c r="F417" s="1" t="s">
        <v>198</v>
      </c>
      <c r="H417" s="3">
        <v>1.0</v>
      </c>
      <c r="I417" s="4" t="s">
        <v>1934</v>
      </c>
      <c r="J417" s="1" t="s">
        <v>1935</v>
      </c>
      <c r="K417" s="1" t="s">
        <v>571</v>
      </c>
    </row>
    <row r="418">
      <c r="A418" s="1" t="s">
        <v>1936</v>
      </c>
      <c r="B418" s="1" t="s">
        <v>1937</v>
      </c>
      <c r="C418" s="1">
        <v>2023.0</v>
      </c>
      <c r="D418" s="2">
        <v>45178.0</v>
      </c>
      <c r="F418" s="1" t="s">
        <v>1938</v>
      </c>
      <c r="H418" s="3">
        <v>1.0</v>
      </c>
      <c r="I418" s="4" t="s">
        <v>1939</v>
      </c>
      <c r="J418" s="1" t="s">
        <v>1940</v>
      </c>
      <c r="K418" s="1" t="s">
        <v>295</v>
      </c>
    </row>
    <row r="419">
      <c r="A419" s="1" t="s">
        <v>1941</v>
      </c>
      <c r="B419" s="1" t="s">
        <v>1942</v>
      </c>
      <c r="C419" s="1">
        <v>2023.0</v>
      </c>
      <c r="D419" s="2">
        <v>45177.0</v>
      </c>
      <c r="F419" s="1" t="s">
        <v>1415</v>
      </c>
      <c r="H419" s="3">
        <v>2.0</v>
      </c>
      <c r="I419" s="4" t="s">
        <v>1943</v>
      </c>
      <c r="J419" s="1" t="s">
        <v>1944</v>
      </c>
      <c r="K419" s="1" t="s">
        <v>28</v>
      </c>
    </row>
    <row r="420">
      <c r="A420" s="1" t="s">
        <v>1945</v>
      </c>
      <c r="B420" s="1" t="s">
        <v>1946</v>
      </c>
      <c r="C420" s="1">
        <v>2023.0</v>
      </c>
      <c r="D420" s="2">
        <v>45177.0</v>
      </c>
      <c r="F420" s="1" t="s">
        <v>877</v>
      </c>
      <c r="H420" s="3">
        <v>1.0</v>
      </c>
      <c r="I420" s="4" t="s">
        <v>1947</v>
      </c>
      <c r="J420" s="1" t="s">
        <v>1948</v>
      </c>
      <c r="K420" s="1" t="s">
        <v>462</v>
      </c>
    </row>
    <row r="421">
      <c r="A421" s="1" t="s">
        <v>1949</v>
      </c>
      <c r="B421" s="1" t="s">
        <v>1950</v>
      </c>
      <c r="C421" s="1">
        <v>2023.0</v>
      </c>
      <c r="D421" s="2">
        <v>45176.0</v>
      </c>
      <c r="F421" s="1" t="s">
        <v>1951</v>
      </c>
      <c r="H421" s="3">
        <v>0.0</v>
      </c>
      <c r="I421" s="4" t="s">
        <v>1952</v>
      </c>
      <c r="J421" s="1" t="s">
        <v>1953</v>
      </c>
      <c r="K421" s="1" t="s">
        <v>926</v>
      </c>
    </row>
    <row r="422">
      <c r="A422" s="1" t="s">
        <v>1954</v>
      </c>
      <c r="B422" s="1" t="s">
        <v>1955</v>
      </c>
      <c r="C422" s="1">
        <v>2023.0</v>
      </c>
      <c r="D422" s="2">
        <v>45175.0</v>
      </c>
      <c r="F422" s="1" t="s">
        <v>1956</v>
      </c>
      <c r="H422" s="3">
        <v>0.0</v>
      </c>
      <c r="I422" s="4" t="s">
        <v>1957</v>
      </c>
      <c r="J422" s="1" t="s">
        <v>1958</v>
      </c>
      <c r="K422" s="1" t="s">
        <v>16</v>
      </c>
    </row>
    <row r="423">
      <c r="A423" s="1" t="s">
        <v>1959</v>
      </c>
      <c r="B423" s="1" t="s">
        <v>1960</v>
      </c>
      <c r="C423" s="1">
        <v>2023.0</v>
      </c>
      <c r="D423" s="2">
        <v>45174.0</v>
      </c>
      <c r="F423" s="1" t="s">
        <v>1371</v>
      </c>
      <c r="H423" s="3">
        <v>0.0</v>
      </c>
      <c r="I423" s="4" t="s">
        <v>1961</v>
      </c>
      <c r="J423" s="1" t="s">
        <v>1962</v>
      </c>
      <c r="K423" s="1" t="s">
        <v>1423</v>
      </c>
    </row>
    <row r="424">
      <c r="A424" s="1" t="s">
        <v>1963</v>
      </c>
      <c r="B424" s="1" t="s">
        <v>1964</v>
      </c>
      <c r="C424" s="1">
        <v>2023.0</v>
      </c>
      <c r="D424" s="2">
        <v>45174.0</v>
      </c>
      <c r="F424" s="1" t="s">
        <v>1965</v>
      </c>
      <c r="H424" s="3">
        <v>1.0</v>
      </c>
      <c r="I424" s="4" t="s">
        <v>1966</v>
      </c>
      <c r="J424" s="1" t="s">
        <v>1967</v>
      </c>
      <c r="K424" s="1" t="s">
        <v>16</v>
      </c>
    </row>
    <row r="425">
      <c r="A425" s="1" t="s">
        <v>1968</v>
      </c>
      <c r="B425" s="1" t="s">
        <v>1969</v>
      </c>
      <c r="C425" s="1">
        <v>2023.0</v>
      </c>
      <c r="D425" s="2">
        <v>45174.0</v>
      </c>
      <c r="F425" s="1" t="s">
        <v>86</v>
      </c>
      <c r="H425" s="3">
        <v>0.0</v>
      </c>
      <c r="I425" s="4" t="s">
        <v>1970</v>
      </c>
      <c r="J425" s="1" t="s">
        <v>1971</v>
      </c>
      <c r="K425" s="1" t="s">
        <v>16</v>
      </c>
    </row>
    <row r="426">
      <c r="A426" s="1" t="s">
        <v>1972</v>
      </c>
      <c r="B426" s="1" t="s">
        <v>1973</v>
      </c>
      <c r="C426" s="1">
        <v>2023.0</v>
      </c>
      <c r="D426" s="2">
        <v>45171.0</v>
      </c>
      <c r="F426" s="1" t="s">
        <v>1974</v>
      </c>
      <c r="H426" s="3">
        <v>0.0</v>
      </c>
      <c r="I426" s="4" t="s">
        <v>1975</v>
      </c>
      <c r="J426" s="1" t="s">
        <v>1976</v>
      </c>
      <c r="K426" s="1" t="s">
        <v>16</v>
      </c>
    </row>
    <row r="427">
      <c r="A427" s="1" t="s">
        <v>1977</v>
      </c>
      <c r="B427" s="1" t="s">
        <v>1978</v>
      </c>
      <c r="C427" s="1">
        <v>2023.0</v>
      </c>
      <c r="D427" s="2">
        <v>45170.0</v>
      </c>
      <c r="F427" s="1" t="s">
        <v>1814</v>
      </c>
      <c r="H427" s="3">
        <v>3.0</v>
      </c>
      <c r="I427" s="4" t="s">
        <v>1979</v>
      </c>
      <c r="J427" s="1"/>
      <c r="K427" s="1" t="s">
        <v>317</v>
      </c>
    </row>
    <row r="428">
      <c r="A428" s="1" t="s">
        <v>1980</v>
      </c>
      <c r="B428" s="1" t="s">
        <v>1981</v>
      </c>
      <c r="C428" s="1">
        <v>2023.0</v>
      </c>
      <c r="D428" s="2">
        <v>45170.0</v>
      </c>
      <c r="F428" s="1" t="s">
        <v>1982</v>
      </c>
      <c r="H428" s="3">
        <v>4.0</v>
      </c>
      <c r="I428" s="4" t="s">
        <v>1983</v>
      </c>
      <c r="J428" s="1" t="s">
        <v>1984</v>
      </c>
      <c r="K428" s="1" t="s">
        <v>413</v>
      </c>
    </row>
    <row r="429">
      <c r="A429" s="1" t="s">
        <v>1985</v>
      </c>
      <c r="B429" s="1" t="s">
        <v>1986</v>
      </c>
      <c r="C429" s="1">
        <v>2023.0</v>
      </c>
      <c r="D429" s="2">
        <v>45170.0</v>
      </c>
      <c r="F429" s="1" t="s">
        <v>1800</v>
      </c>
      <c r="H429" s="3">
        <v>1.0</v>
      </c>
      <c r="I429" s="4" t="s">
        <v>1987</v>
      </c>
      <c r="J429" s="1" t="s">
        <v>1988</v>
      </c>
      <c r="K429" s="1" t="s">
        <v>413</v>
      </c>
    </row>
    <row r="430">
      <c r="A430" s="1" t="s">
        <v>1989</v>
      </c>
      <c r="B430" s="1" t="s">
        <v>1990</v>
      </c>
      <c r="C430" s="1">
        <v>2023.0</v>
      </c>
      <c r="D430" s="2">
        <v>45169.0</v>
      </c>
      <c r="F430" s="1" t="s">
        <v>1170</v>
      </c>
      <c r="H430" s="3">
        <v>1.0</v>
      </c>
      <c r="I430" s="4" t="s">
        <v>1991</v>
      </c>
      <c r="J430" s="1" t="s">
        <v>1992</v>
      </c>
      <c r="K430" s="1" t="s">
        <v>45</v>
      </c>
    </row>
    <row r="431">
      <c r="A431" s="1" t="s">
        <v>1993</v>
      </c>
      <c r="B431" s="1" t="s">
        <v>1994</v>
      </c>
      <c r="C431" s="1">
        <v>2023.0</v>
      </c>
      <c r="D431" s="2">
        <v>45169.0</v>
      </c>
      <c r="F431" s="1" t="s">
        <v>1995</v>
      </c>
      <c r="H431" s="3">
        <v>0.0</v>
      </c>
      <c r="I431" s="4" t="s">
        <v>1996</v>
      </c>
      <c r="J431" s="1" t="s">
        <v>1997</v>
      </c>
      <c r="K431" s="1" t="s">
        <v>443</v>
      </c>
    </row>
    <row r="432">
      <c r="A432" s="1" t="s">
        <v>1998</v>
      </c>
      <c r="B432" s="1" t="s">
        <v>1999</v>
      </c>
      <c r="C432" s="1">
        <v>2023.0</v>
      </c>
      <c r="D432" s="2">
        <v>45167.0</v>
      </c>
      <c r="F432" s="1" t="s">
        <v>1358</v>
      </c>
      <c r="H432" s="3">
        <v>1.0</v>
      </c>
      <c r="I432" s="4" t="s">
        <v>2000</v>
      </c>
      <c r="J432" s="1"/>
      <c r="K432" s="1" t="s">
        <v>443</v>
      </c>
    </row>
    <row r="433">
      <c r="A433" s="1" t="s">
        <v>2001</v>
      </c>
      <c r="B433" s="1" t="s">
        <v>2002</v>
      </c>
      <c r="C433" s="1">
        <v>2023.0</v>
      </c>
      <c r="D433" s="2">
        <v>45166.0</v>
      </c>
      <c r="F433" s="1" t="s">
        <v>314</v>
      </c>
      <c r="H433" s="3">
        <v>1.0</v>
      </c>
      <c r="I433" s="4" t="s">
        <v>2003</v>
      </c>
      <c r="J433" s="1" t="s">
        <v>2004</v>
      </c>
      <c r="K433" s="1" t="s">
        <v>418</v>
      </c>
    </row>
    <row r="434">
      <c r="A434" s="1" t="s">
        <v>2005</v>
      </c>
      <c r="B434" s="1" t="s">
        <v>2006</v>
      </c>
      <c r="C434" s="1">
        <v>2023.0</v>
      </c>
      <c r="D434" s="2">
        <v>45165.0</v>
      </c>
      <c r="F434" s="1" t="s">
        <v>2007</v>
      </c>
      <c r="H434" s="3">
        <v>17.0</v>
      </c>
      <c r="I434" s="4" t="s">
        <v>2008</v>
      </c>
      <c r="J434" s="1" t="s">
        <v>2009</v>
      </c>
      <c r="K434" s="1" t="s">
        <v>340</v>
      </c>
    </row>
    <row r="435">
      <c r="A435" s="1" t="s">
        <v>2010</v>
      </c>
      <c r="B435" s="1" t="s">
        <v>2011</v>
      </c>
      <c r="C435" s="1">
        <v>2023.0</v>
      </c>
      <c r="D435" s="2">
        <v>45163.0</v>
      </c>
      <c r="F435" s="1" t="s">
        <v>2012</v>
      </c>
      <c r="H435" s="3">
        <v>0.0</v>
      </c>
      <c r="I435" s="4" t="s">
        <v>2013</v>
      </c>
      <c r="J435" s="1" t="s">
        <v>2014</v>
      </c>
      <c r="K435" s="1" t="s">
        <v>28</v>
      </c>
    </row>
    <row r="436">
      <c r="A436" s="1" t="s">
        <v>2015</v>
      </c>
      <c r="B436" s="1" t="s">
        <v>2016</v>
      </c>
      <c r="C436" s="1">
        <v>2023.0</v>
      </c>
      <c r="D436" s="2">
        <v>45163.0</v>
      </c>
      <c r="F436" s="1" t="s">
        <v>2017</v>
      </c>
      <c r="H436" s="3">
        <v>1.0</v>
      </c>
      <c r="I436" s="4" t="s">
        <v>2018</v>
      </c>
      <c r="J436" s="1" t="s">
        <v>2019</v>
      </c>
      <c r="K436" s="1" t="s">
        <v>16</v>
      </c>
    </row>
    <row r="437">
      <c r="A437" s="1" t="s">
        <v>2020</v>
      </c>
      <c r="B437" s="1" t="s">
        <v>2021</v>
      </c>
      <c r="C437" s="1">
        <v>2023.0</v>
      </c>
      <c r="D437" s="2">
        <v>45162.0</v>
      </c>
      <c r="F437" s="1" t="s">
        <v>2022</v>
      </c>
      <c r="H437" s="3">
        <v>5.0</v>
      </c>
      <c r="I437" s="4" t="s">
        <v>2023</v>
      </c>
      <c r="J437" s="1" t="s">
        <v>2024</v>
      </c>
      <c r="K437" s="1" t="s">
        <v>329</v>
      </c>
    </row>
    <row r="438">
      <c r="A438" s="1" t="s">
        <v>2025</v>
      </c>
      <c r="B438" s="1" t="s">
        <v>2026</v>
      </c>
      <c r="C438" s="1">
        <v>2023.0</v>
      </c>
      <c r="D438" s="2">
        <v>45161.0</v>
      </c>
      <c r="F438" s="1" t="s">
        <v>271</v>
      </c>
      <c r="H438" s="3">
        <v>1.0</v>
      </c>
      <c r="I438" s="4" t="s">
        <v>2027</v>
      </c>
      <c r="J438" s="1" t="s">
        <v>2028</v>
      </c>
      <c r="K438" s="1" t="s">
        <v>323</v>
      </c>
    </row>
    <row r="439">
      <c r="A439" s="1" t="s">
        <v>2029</v>
      </c>
      <c r="B439" s="1" t="s">
        <v>2030</v>
      </c>
      <c r="C439" s="1">
        <v>2023.0</v>
      </c>
      <c r="D439" s="2">
        <v>45161.0</v>
      </c>
      <c r="F439" s="1" t="s">
        <v>2031</v>
      </c>
      <c r="H439" s="3">
        <v>0.0</v>
      </c>
      <c r="I439" s="4" t="s">
        <v>2032</v>
      </c>
      <c r="J439" s="1" t="s">
        <v>2033</v>
      </c>
      <c r="K439" s="1" t="s">
        <v>68</v>
      </c>
    </row>
    <row r="440">
      <c r="A440" s="1" t="s">
        <v>2034</v>
      </c>
      <c r="B440" s="1" t="s">
        <v>2035</v>
      </c>
      <c r="C440" s="1">
        <v>2023.0</v>
      </c>
      <c r="D440" s="2">
        <v>45161.0</v>
      </c>
      <c r="F440" s="1" t="s">
        <v>2036</v>
      </c>
      <c r="H440" s="3">
        <v>0.0</v>
      </c>
      <c r="I440" s="4" t="s">
        <v>2037</v>
      </c>
      <c r="J440" s="1" t="s">
        <v>2038</v>
      </c>
      <c r="K440" s="1" t="s">
        <v>443</v>
      </c>
    </row>
    <row r="441">
      <c r="A441" s="1" t="s">
        <v>2039</v>
      </c>
      <c r="B441" s="1" t="s">
        <v>2040</v>
      </c>
      <c r="C441" s="1">
        <v>2023.0</v>
      </c>
      <c r="D441" s="2">
        <v>45160.0</v>
      </c>
      <c r="F441" s="1" t="s">
        <v>2041</v>
      </c>
      <c r="H441" s="3">
        <v>1.0</v>
      </c>
      <c r="I441" s="4" t="s">
        <v>2042</v>
      </c>
      <c r="J441" s="1" t="s">
        <v>2043</v>
      </c>
      <c r="K441" s="1" t="s">
        <v>45</v>
      </c>
    </row>
    <row r="442">
      <c r="A442" s="1" t="s">
        <v>2044</v>
      </c>
      <c r="B442" s="1" t="s">
        <v>2045</v>
      </c>
      <c r="C442" s="1">
        <v>2023.0</v>
      </c>
      <c r="D442" s="2">
        <v>45160.0</v>
      </c>
      <c r="F442" s="1" t="s">
        <v>1366</v>
      </c>
      <c r="H442" s="3">
        <v>5.0</v>
      </c>
      <c r="I442" s="4" t="s">
        <v>2046</v>
      </c>
      <c r="J442" s="1" t="s">
        <v>2047</v>
      </c>
      <c r="K442" s="1" t="s">
        <v>492</v>
      </c>
    </row>
    <row r="443">
      <c r="A443" s="1" t="s">
        <v>2048</v>
      </c>
      <c r="B443" s="1" t="s">
        <v>2049</v>
      </c>
      <c r="C443" s="1">
        <v>2023.0</v>
      </c>
      <c r="D443" s="2">
        <v>45159.0</v>
      </c>
      <c r="F443" s="1" t="s">
        <v>2050</v>
      </c>
      <c r="H443" s="3">
        <v>0.0</v>
      </c>
      <c r="I443" s="4" t="s">
        <v>2051</v>
      </c>
      <c r="J443" s="1" t="s">
        <v>2052</v>
      </c>
      <c r="K443" s="1" t="s">
        <v>2053</v>
      </c>
    </row>
    <row r="444">
      <c r="A444" s="1" t="s">
        <v>2054</v>
      </c>
      <c r="B444" s="1" t="s">
        <v>2055</v>
      </c>
      <c r="C444" s="1">
        <v>2023.0</v>
      </c>
      <c r="D444" s="2">
        <v>45158.0</v>
      </c>
      <c r="F444" s="1" t="s">
        <v>2056</v>
      </c>
      <c r="H444" s="3">
        <v>0.0</v>
      </c>
      <c r="I444" s="4" t="s">
        <v>2057</v>
      </c>
      <c r="J444" s="1" t="s">
        <v>2058</v>
      </c>
      <c r="K444" s="1" t="s">
        <v>45</v>
      </c>
    </row>
    <row r="445">
      <c r="A445" s="1" t="s">
        <v>2059</v>
      </c>
      <c r="B445" s="1" t="s">
        <v>2060</v>
      </c>
      <c r="C445" s="1">
        <v>2023.0</v>
      </c>
      <c r="D445" s="2">
        <v>45158.0</v>
      </c>
      <c r="F445" s="1" t="s">
        <v>2061</v>
      </c>
      <c r="H445" s="3">
        <v>0.0</v>
      </c>
      <c r="I445" s="4" t="s">
        <v>2062</v>
      </c>
      <c r="J445" s="1" t="s">
        <v>2063</v>
      </c>
      <c r="K445" s="1" t="s">
        <v>16</v>
      </c>
    </row>
    <row r="446">
      <c r="A446" s="1" t="s">
        <v>2064</v>
      </c>
      <c r="B446" s="1" t="s">
        <v>2065</v>
      </c>
      <c r="C446" s="1">
        <v>2023.0</v>
      </c>
      <c r="D446" s="2">
        <v>45158.0</v>
      </c>
      <c r="F446" s="1" t="s">
        <v>510</v>
      </c>
      <c r="H446" s="3">
        <v>0.0</v>
      </c>
      <c r="I446" s="4" t="s">
        <v>2066</v>
      </c>
      <c r="J446" s="1" t="s">
        <v>2067</v>
      </c>
      <c r="K446" s="1" t="s">
        <v>413</v>
      </c>
    </row>
    <row r="447">
      <c r="A447" s="1" t="s">
        <v>2068</v>
      </c>
      <c r="B447" s="1" t="s">
        <v>2069</v>
      </c>
      <c r="C447" s="1">
        <v>2023.0</v>
      </c>
      <c r="D447" s="2">
        <v>45157.0</v>
      </c>
      <c r="F447" s="1" t="s">
        <v>2070</v>
      </c>
      <c r="H447" s="3">
        <v>3.0</v>
      </c>
      <c r="I447" s="4" t="s">
        <v>2071</v>
      </c>
      <c r="J447" s="1" t="s">
        <v>2072</v>
      </c>
      <c r="K447" s="1" t="s">
        <v>28</v>
      </c>
    </row>
    <row r="448">
      <c r="A448" s="1" t="s">
        <v>2073</v>
      </c>
      <c r="B448" s="1" t="s">
        <v>2074</v>
      </c>
      <c r="C448" s="1">
        <v>2023.0</v>
      </c>
      <c r="D448" s="2">
        <v>45156.0</v>
      </c>
      <c r="F448" s="1" t="s">
        <v>2075</v>
      </c>
      <c r="H448" s="3">
        <v>2.0</v>
      </c>
      <c r="I448" s="4" t="s">
        <v>2076</v>
      </c>
      <c r="J448" s="1" t="s">
        <v>2077</v>
      </c>
      <c r="K448" s="1" t="s">
        <v>45</v>
      </c>
    </row>
    <row r="449">
      <c r="A449" s="1" t="s">
        <v>2078</v>
      </c>
      <c r="B449" s="1" t="s">
        <v>2079</v>
      </c>
      <c r="C449" s="1">
        <v>2023.0</v>
      </c>
      <c r="D449" s="2">
        <v>45156.0</v>
      </c>
      <c r="F449" s="1" t="s">
        <v>2080</v>
      </c>
      <c r="H449" s="3">
        <v>1.0</v>
      </c>
      <c r="I449" s="4" t="s">
        <v>2081</v>
      </c>
      <c r="J449" s="1" t="s">
        <v>2082</v>
      </c>
      <c r="K449" s="1" t="s">
        <v>45</v>
      </c>
    </row>
    <row r="450">
      <c r="A450" s="1" t="s">
        <v>2083</v>
      </c>
      <c r="B450" s="1" t="s">
        <v>1575</v>
      </c>
      <c r="C450" s="1">
        <v>2023.0</v>
      </c>
      <c r="D450" s="2">
        <v>45156.0</v>
      </c>
      <c r="F450" s="1" t="s">
        <v>157</v>
      </c>
      <c r="H450" s="3">
        <v>0.0</v>
      </c>
      <c r="I450" s="4" t="s">
        <v>2084</v>
      </c>
      <c r="J450" s="1" t="s">
        <v>2085</v>
      </c>
      <c r="K450" s="1" t="s">
        <v>546</v>
      </c>
    </row>
    <row r="451">
      <c r="A451" s="1" t="s">
        <v>2086</v>
      </c>
      <c r="B451" s="1" t="s">
        <v>2087</v>
      </c>
      <c r="C451" s="1">
        <v>2023.0</v>
      </c>
      <c r="D451" s="2">
        <v>45156.0</v>
      </c>
      <c r="F451" s="1" t="s">
        <v>2088</v>
      </c>
      <c r="H451" s="3">
        <v>2.0</v>
      </c>
      <c r="I451" s="4" t="s">
        <v>2089</v>
      </c>
      <c r="J451" s="1" t="s">
        <v>2090</v>
      </c>
      <c r="K451" s="1" t="s">
        <v>68</v>
      </c>
    </row>
    <row r="452">
      <c r="A452" s="1" t="s">
        <v>2091</v>
      </c>
      <c r="B452" s="1" t="s">
        <v>2092</v>
      </c>
      <c r="C452" s="1">
        <v>2023.0</v>
      </c>
      <c r="D452" s="2">
        <v>45156.0</v>
      </c>
      <c r="F452" s="1" t="s">
        <v>248</v>
      </c>
      <c r="H452" s="3">
        <v>1.0</v>
      </c>
      <c r="I452" s="4" t="s">
        <v>2093</v>
      </c>
      <c r="J452" s="1" t="s">
        <v>2094</v>
      </c>
      <c r="K452" s="1" t="s">
        <v>68</v>
      </c>
    </row>
    <row r="453">
      <c r="A453" s="1" t="s">
        <v>2095</v>
      </c>
      <c r="B453" s="1" t="s">
        <v>2096</v>
      </c>
      <c r="C453" s="1">
        <v>2023.0</v>
      </c>
      <c r="D453" s="2">
        <v>45156.0</v>
      </c>
      <c r="F453" s="1" t="s">
        <v>271</v>
      </c>
      <c r="H453" s="3">
        <v>1.0</v>
      </c>
      <c r="I453" s="4" t="s">
        <v>2097</v>
      </c>
      <c r="J453" s="1" t="s">
        <v>2098</v>
      </c>
      <c r="K453" s="1" t="s">
        <v>403</v>
      </c>
    </row>
    <row r="454">
      <c r="A454" s="1" t="s">
        <v>2099</v>
      </c>
      <c r="B454" s="1" t="s">
        <v>2100</v>
      </c>
      <c r="C454" s="1">
        <v>2023.0</v>
      </c>
      <c r="D454" s="2">
        <v>45155.0</v>
      </c>
      <c r="F454" s="1" t="s">
        <v>2101</v>
      </c>
      <c r="H454" s="3">
        <v>2.0</v>
      </c>
      <c r="I454" s="4" t="s">
        <v>2102</v>
      </c>
      <c r="J454" s="1" t="s">
        <v>2103</v>
      </c>
      <c r="K454" s="1" t="s">
        <v>462</v>
      </c>
    </row>
    <row r="455">
      <c r="A455" s="1" t="s">
        <v>2104</v>
      </c>
      <c r="B455" s="1" t="s">
        <v>2105</v>
      </c>
      <c r="C455" s="1">
        <v>2023.0</v>
      </c>
      <c r="D455" s="2">
        <v>45154.0</v>
      </c>
      <c r="F455" s="1" t="s">
        <v>1300</v>
      </c>
      <c r="H455" s="3">
        <v>13.0</v>
      </c>
      <c r="I455" s="4" t="s">
        <v>2106</v>
      </c>
      <c r="J455" s="1" t="s">
        <v>2107</v>
      </c>
      <c r="K455" s="1" t="s">
        <v>323</v>
      </c>
    </row>
    <row r="456">
      <c r="A456" s="1" t="s">
        <v>2108</v>
      </c>
      <c r="B456" s="1" t="s">
        <v>2109</v>
      </c>
      <c r="C456" s="1">
        <v>2023.0</v>
      </c>
      <c r="D456" s="2">
        <v>45154.0</v>
      </c>
      <c r="F456" s="1" t="s">
        <v>2110</v>
      </c>
      <c r="H456" s="3">
        <v>1.0</v>
      </c>
      <c r="I456" s="4" t="s">
        <v>2111</v>
      </c>
      <c r="J456" s="1" t="s">
        <v>2112</v>
      </c>
      <c r="K456" s="1" t="s">
        <v>16</v>
      </c>
    </row>
    <row r="457">
      <c r="A457" s="1" t="s">
        <v>2113</v>
      </c>
      <c r="B457" s="1" t="s">
        <v>2114</v>
      </c>
      <c r="C457" s="1">
        <v>2023.0</v>
      </c>
      <c r="D457" s="2">
        <v>45153.0</v>
      </c>
      <c r="F457" s="1" t="s">
        <v>934</v>
      </c>
      <c r="H457" s="3">
        <v>0.0</v>
      </c>
      <c r="I457" s="4" t="s">
        <v>2115</v>
      </c>
      <c r="J457" s="1" t="s">
        <v>2116</v>
      </c>
      <c r="K457" s="1" t="s">
        <v>383</v>
      </c>
    </row>
    <row r="458">
      <c r="A458" s="1" t="s">
        <v>2117</v>
      </c>
      <c r="B458" s="1" t="s">
        <v>2118</v>
      </c>
      <c r="C458" s="1">
        <v>2023.0</v>
      </c>
      <c r="D458" s="2">
        <v>45152.0</v>
      </c>
      <c r="F458" s="1" t="s">
        <v>2119</v>
      </c>
      <c r="H458" s="3">
        <v>1.0</v>
      </c>
      <c r="I458" s="4" t="s">
        <v>2120</v>
      </c>
      <c r="J458" s="1" t="s">
        <v>2121</v>
      </c>
      <c r="K458" s="1" t="s">
        <v>16</v>
      </c>
    </row>
    <row r="459">
      <c r="A459" s="1" t="s">
        <v>2122</v>
      </c>
      <c r="B459" s="1" t="s">
        <v>2123</v>
      </c>
      <c r="C459" s="1">
        <v>2023.0</v>
      </c>
      <c r="D459" s="2">
        <v>45149.0</v>
      </c>
      <c r="F459" s="1" t="s">
        <v>157</v>
      </c>
      <c r="H459" s="3">
        <v>0.0</v>
      </c>
      <c r="I459" s="4" t="s">
        <v>2124</v>
      </c>
      <c r="J459" s="1" t="s">
        <v>2125</v>
      </c>
      <c r="K459" s="1" t="s">
        <v>546</v>
      </c>
    </row>
    <row r="460">
      <c r="A460" s="1" t="s">
        <v>2126</v>
      </c>
      <c r="B460" s="1" t="s">
        <v>2127</v>
      </c>
      <c r="C460" s="1">
        <v>2023.0</v>
      </c>
      <c r="D460" s="2">
        <v>45149.0</v>
      </c>
      <c r="F460" s="1" t="s">
        <v>157</v>
      </c>
      <c r="H460" s="3">
        <v>7.0</v>
      </c>
      <c r="I460" s="4" t="s">
        <v>2128</v>
      </c>
      <c r="J460" s="1" t="s">
        <v>2129</v>
      </c>
      <c r="K460" s="1" t="s">
        <v>546</v>
      </c>
    </row>
    <row r="461">
      <c r="A461" s="1" t="s">
        <v>2130</v>
      </c>
      <c r="B461" s="1" t="s">
        <v>2131</v>
      </c>
      <c r="C461" s="1">
        <v>2023.0</v>
      </c>
      <c r="D461" s="2">
        <v>45148.0</v>
      </c>
      <c r="F461" s="1" t="s">
        <v>1528</v>
      </c>
      <c r="H461" s="3">
        <v>1.0</v>
      </c>
      <c r="I461" s="4" t="s">
        <v>2132</v>
      </c>
      <c r="J461" s="1" t="s">
        <v>2133</v>
      </c>
      <c r="K461" s="1" t="s">
        <v>68</v>
      </c>
    </row>
    <row r="462">
      <c r="A462" s="1" t="s">
        <v>2134</v>
      </c>
      <c r="B462" s="1" t="s">
        <v>2135</v>
      </c>
      <c r="C462" s="1">
        <v>2023.0</v>
      </c>
      <c r="D462" s="2">
        <v>45148.0</v>
      </c>
      <c r="F462" s="1" t="s">
        <v>2136</v>
      </c>
      <c r="H462" s="3">
        <v>0.0</v>
      </c>
      <c r="I462" s="4" t="s">
        <v>2137</v>
      </c>
      <c r="J462" s="1" t="s">
        <v>2138</v>
      </c>
      <c r="K462" s="1" t="s">
        <v>323</v>
      </c>
    </row>
    <row r="463">
      <c r="A463" s="1" t="s">
        <v>2139</v>
      </c>
      <c r="B463" s="1" t="s">
        <v>2140</v>
      </c>
      <c r="C463" s="1">
        <v>2023.0</v>
      </c>
      <c r="D463" s="2">
        <v>45148.0</v>
      </c>
      <c r="F463" s="1" t="s">
        <v>2141</v>
      </c>
      <c r="H463" s="3">
        <v>6.0</v>
      </c>
      <c r="I463" s="4" t="s">
        <v>2142</v>
      </c>
      <c r="J463" s="1" t="s">
        <v>2143</v>
      </c>
      <c r="K463" s="1" t="s">
        <v>443</v>
      </c>
    </row>
    <row r="464">
      <c r="A464" s="1" t="s">
        <v>2144</v>
      </c>
      <c r="B464" s="1" t="s">
        <v>2145</v>
      </c>
      <c r="C464" s="1">
        <v>2023.0</v>
      </c>
      <c r="D464" s="2">
        <v>45148.0</v>
      </c>
      <c r="F464" s="1" t="s">
        <v>2146</v>
      </c>
      <c r="H464" s="3">
        <v>1.0</v>
      </c>
      <c r="I464" s="4" t="s">
        <v>2147</v>
      </c>
      <c r="J464" s="1" t="s">
        <v>2148</v>
      </c>
      <c r="K464" s="1" t="s">
        <v>383</v>
      </c>
    </row>
    <row r="465">
      <c r="A465" s="1" t="s">
        <v>2149</v>
      </c>
      <c r="B465" s="1" t="s">
        <v>2150</v>
      </c>
      <c r="C465" s="1">
        <v>2023.0</v>
      </c>
      <c r="D465" s="2">
        <v>45147.0</v>
      </c>
      <c r="F465" s="1" t="s">
        <v>2151</v>
      </c>
      <c r="H465" s="3">
        <v>0.0</v>
      </c>
      <c r="I465" s="4" t="s">
        <v>2152</v>
      </c>
      <c r="J465" s="1" t="s">
        <v>2153</v>
      </c>
      <c r="K465" s="1" t="s">
        <v>28</v>
      </c>
    </row>
    <row r="466">
      <c r="A466" s="1" t="s">
        <v>2154</v>
      </c>
      <c r="B466" s="1" t="s">
        <v>2155</v>
      </c>
      <c r="C466" s="1">
        <v>2023.0</v>
      </c>
      <c r="D466" s="2">
        <v>45147.0</v>
      </c>
      <c r="F466" s="1" t="s">
        <v>1300</v>
      </c>
      <c r="H466" s="3">
        <v>10.0</v>
      </c>
      <c r="I466" s="4" t="s">
        <v>2156</v>
      </c>
      <c r="J466" s="1" t="s">
        <v>2157</v>
      </c>
      <c r="K466" s="1" t="s">
        <v>383</v>
      </c>
    </row>
    <row r="467">
      <c r="A467" s="1" t="s">
        <v>2158</v>
      </c>
      <c r="B467" s="1" t="s">
        <v>2159</v>
      </c>
      <c r="C467" s="1">
        <v>2023.0</v>
      </c>
      <c r="D467" s="2">
        <v>45146.0</v>
      </c>
      <c r="F467" s="1" t="s">
        <v>1050</v>
      </c>
      <c r="H467" s="3">
        <v>0.0</v>
      </c>
      <c r="I467" s="4" t="s">
        <v>2160</v>
      </c>
      <c r="J467" s="1" t="s">
        <v>2161</v>
      </c>
      <c r="K467" s="1" t="s">
        <v>323</v>
      </c>
    </row>
    <row r="468">
      <c r="A468" s="1" t="s">
        <v>2162</v>
      </c>
      <c r="B468" s="1" t="s">
        <v>2163</v>
      </c>
      <c r="C468" s="1">
        <v>2023.0</v>
      </c>
      <c r="D468" s="2">
        <v>45146.0</v>
      </c>
      <c r="F468" s="1" t="s">
        <v>1514</v>
      </c>
      <c r="H468" s="3">
        <v>0.0</v>
      </c>
      <c r="I468" s="4" t="s">
        <v>2164</v>
      </c>
      <c r="J468" s="1" t="s">
        <v>2165</v>
      </c>
      <c r="K468" s="1" t="s">
        <v>16</v>
      </c>
    </row>
    <row r="469">
      <c r="A469" s="1" t="s">
        <v>2166</v>
      </c>
      <c r="B469" s="1" t="s">
        <v>2167</v>
      </c>
      <c r="C469" s="1">
        <v>2023.0</v>
      </c>
      <c r="D469" s="2">
        <v>45145.0</v>
      </c>
      <c r="F469" s="1" t="s">
        <v>2168</v>
      </c>
      <c r="H469" s="3">
        <v>4.0</v>
      </c>
      <c r="I469" s="4" t="s">
        <v>2169</v>
      </c>
      <c r="J469" s="1" t="s">
        <v>2170</v>
      </c>
      <c r="K469" s="1" t="s">
        <v>329</v>
      </c>
    </row>
    <row r="470">
      <c r="A470" s="1" t="s">
        <v>2171</v>
      </c>
      <c r="B470" s="1" t="s">
        <v>2172</v>
      </c>
      <c r="C470" s="1">
        <v>2023.0</v>
      </c>
      <c r="D470" s="2">
        <v>45141.0</v>
      </c>
      <c r="F470" s="1" t="s">
        <v>2173</v>
      </c>
      <c r="H470" s="3">
        <v>0.0</v>
      </c>
      <c r="I470" s="4" t="s">
        <v>2174</v>
      </c>
      <c r="J470" s="1" t="s">
        <v>2175</v>
      </c>
      <c r="K470" s="1" t="s">
        <v>329</v>
      </c>
    </row>
    <row r="471">
      <c r="A471" s="1" t="s">
        <v>2176</v>
      </c>
      <c r="B471" s="1" t="s">
        <v>2177</v>
      </c>
      <c r="C471" s="1">
        <v>2023.0</v>
      </c>
      <c r="D471" s="2">
        <v>45140.0</v>
      </c>
      <c r="F471" s="1" t="s">
        <v>208</v>
      </c>
      <c r="H471" s="3">
        <v>4.0</v>
      </c>
      <c r="I471" s="4" t="s">
        <v>2178</v>
      </c>
      <c r="J471" s="1" t="s">
        <v>2179</v>
      </c>
      <c r="K471" s="1" t="s">
        <v>45</v>
      </c>
    </row>
    <row r="472">
      <c r="A472" s="1" t="s">
        <v>2180</v>
      </c>
      <c r="B472" s="1" t="s">
        <v>2181</v>
      </c>
      <c r="C472" s="1">
        <v>2023.0</v>
      </c>
      <c r="D472" s="2">
        <v>45140.0</v>
      </c>
      <c r="F472" s="1" t="s">
        <v>1050</v>
      </c>
      <c r="H472" s="3">
        <v>0.0</v>
      </c>
      <c r="I472" s="4" t="s">
        <v>2182</v>
      </c>
      <c r="J472" s="1" t="s">
        <v>2183</v>
      </c>
      <c r="K472" s="1" t="s">
        <v>383</v>
      </c>
    </row>
    <row r="473">
      <c r="A473" s="1" t="s">
        <v>2184</v>
      </c>
      <c r="B473" s="1" t="s">
        <v>2185</v>
      </c>
      <c r="C473" s="1">
        <v>2023.0</v>
      </c>
      <c r="D473" s="2">
        <v>45139.0</v>
      </c>
      <c r="F473" s="1" t="s">
        <v>2186</v>
      </c>
      <c r="H473" s="3">
        <v>7.0</v>
      </c>
      <c r="I473" s="4" t="s">
        <v>2187</v>
      </c>
      <c r="J473" s="1" t="s">
        <v>2188</v>
      </c>
      <c r="K473" s="1" t="s">
        <v>45</v>
      </c>
    </row>
    <row r="474">
      <c r="A474" s="1" t="s">
        <v>2189</v>
      </c>
      <c r="B474" s="1" t="s">
        <v>2190</v>
      </c>
      <c r="C474" s="1">
        <v>2023.0</v>
      </c>
      <c r="D474" s="2">
        <v>45139.0</v>
      </c>
      <c r="F474" s="1" t="s">
        <v>2191</v>
      </c>
      <c r="H474" s="3">
        <v>3.0</v>
      </c>
      <c r="I474" s="4" t="s">
        <v>2192</v>
      </c>
      <c r="J474" s="1" t="s">
        <v>2193</v>
      </c>
      <c r="K474" s="1" t="s">
        <v>323</v>
      </c>
    </row>
    <row r="475">
      <c r="A475" s="1" t="s">
        <v>2194</v>
      </c>
      <c r="B475" s="1" t="s">
        <v>2195</v>
      </c>
      <c r="C475" s="1">
        <v>2023.0</v>
      </c>
      <c r="D475" s="2">
        <v>45139.0</v>
      </c>
      <c r="F475" s="1" t="s">
        <v>2196</v>
      </c>
      <c r="H475" s="3">
        <v>3.0</v>
      </c>
      <c r="I475" s="4" t="s">
        <v>2197</v>
      </c>
      <c r="J475" s="1" t="s">
        <v>2198</v>
      </c>
      <c r="K475" s="1" t="s">
        <v>28</v>
      </c>
    </row>
    <row r="476">
      <c r="A476" s="1" t="s">
        <v>2199</v>
      </c>
      <c r="B476" s="1" t="s">
        <v>2200</v>
      </c>
      <c r="C476" s="1">
        <v>2023.0</v>
      </c>
      <c r="D476" s="2">
        <v>45139.0</v>
      </c>
      <c r="F476" s="1" t="s">
        <v>591</v>
      </c>
      <c r="H476" s="3">
        <v>1.0</v>
      </c>
      <c r="I476" s="4" t="s">
        <v>2201</v>
      </c>
      <c r="J476" s="1" t="s">
        <v>2202</v>
      </c>
      <c r="K476" s="1" t="s">
        <v>477</v>
      </c>
    </row>
    <row r="477">
      <c r="A477" s="1" t="s">
        <v>2203</v>
      </c>
      <c r="B477" s="1" t="s">
        <v>2204</v>
      </c>
      <c r="C477" s="1">
        <v>2023.0</v>
      </c>
      <c r="D477" s="2">
        <v>45139.0</v>
      </c>
      <c r="F477" s="1" t="s">
        <v>2205</v>
      </c>
      <c r="H477" s="3">
        <v>1.0</v>
      </c>
      <c r="I477" s="4" t="s">
        <v>2206</v>
      </c>
      <c r="J477" s="1" t="s">
        <v>2207</v>
      </c>
      <c r="K477" s="1" t="s">
        <v>68</v>
      </c>
    </row>
    <row r="478">
      <c r="A478" s="1" t="s">
        <v>2208</v>
      </c>
      <c r="B478" s="1" t="s">
        <v>2209</v>
      </c>
      <c r="C478" s="1">
        <v>2023.0</v>
      </c>
      <c r="D478" s="2">
        <v>45139.0</v>
      </c>
      <c r="F478" s="1" t="s">
        <v>2210</v>
      </c>
      <c r="H478" s="3">
        <v>1.0</v>
      </c>
      <c r="I478" s="4" t="s">
        <v>2211</v>
      </c>
      <c r="J478" s="1" t="s">
        <v>2212</v>
      </c>
      <c r="K478" s="1" t="s">
        <v>413</v>
      </c>
    </row>
    <row r="479">
      <c r="A479" s="1" t="s">
        <v>2213</v>
      </c>
      <c r="B479" s="1" t="s">
        <v>2214</v>
      </c>
      <c r="C479" s="1">
        <v>2023.0</v>
      </c>
      <c r="D479" s="2">
        <v>45139.0</v>
      </c>
      <c r="F479" s="1" t="s">
        <v>762</v>
      </c>
      <c r="H479" s="3">
        <v>0.0</v>
      </c>
      <c r="I479" s="4" t="s">
        <v>2215</v>
      </c>
      <c r="J479" s="1" t="s">
        <v>2216</v>
      </c>
      <c r="K479" s="1" t="s">
        <v>16</v>
      </c>
    </row>
    <row r="480">
      <c r="A480" s="1" t="s">
        <v>2217</v>
      </c>
      <c r="B480" s="1" t="s">
        <v>1178</v>
      </c>
      <c r="C480" s="1">
        <v>2023.0</v>
      </c>
      <c r="D480" s="2">
        <v>45138.0</v>
      </c>
      <c r="F480" s="1" t="s">
        <v>1095</v>
      </c>
      <c r="H480" s="3">
        <v>2.0</v>
      </c>
      <c r="I480" s="4" t="s">
        <v>2218</v>
      </c>
      <c r="J480" s="1"/>
      <c r="K480" s="1" t="s">
        <v>16</v>
      </c>
    </row>
    <row r="481">
      <c r="A481" s="1" t="s">
        <v>2219</v>
      </c>
      <c r="B481" s="1" t="s">
        <v>2220</v>
      </c>
      <c r="C481" s="1">
        <v>2023.0</v>
      </c>
      <c r="D481" s="2">
        <v>45136.0</v>
      </c>
      <c r="F481" s="1" t="s">
        <v>2221</v>
      </c>
      <c r="H481" s="3">
        <v>0.0</v>
      </c>
      <c r="I481" s="4" t="s">
        <v>2222</v>
      </c>
      <c r="J481" s="1"/>
      <c r="K481" s="1" t="s">
        <v>28</v>
      </c>
    </row>
    <row r="482">
      <c r="A482" s="1" t="s">
        <v>2223</v>
      </c>
      <c r="B482" s="1" t="s">
        <v>2224</v>
      </c>
      <c r="C482" s="1">
        <v>2023.0</v>
      </c>
      <c r="D482" s="2">
        <v>45136.0</v>
      </c>
      <c r="F482" s="1" t="s">
        <v>81</v>
      </c>
      <c r="H482" s="3">
        <v>1.0</v>
      </c>
      <c r="I482" s="4" t="s">
        <v>2225</v>
      </c>
      <c r="J482" s="1" t="s">
        <v>2226</v>
      </c>
      <c r="K482" s="1" t="s">
        <v>443</v>
      </c>
    </row>
    <row r="483">
      <c r="A483" s="1" t="s">
        <v>2227</v>
      </c>
      <c r="B483" s="1" t="s">
        <v>336</v>
      </c>
      <c r="C483" s="1">
        <v>2023.0</v>
      </c>
      <c r="D483" s="2">
        <v>45135.0</v>
      </c>
      <c r="F483" s="1" t="s">
        <v>2228</v>
      </c>
      <c r="H483" s="3">
        <v>1.0</v>
      </c>
      <c r="I483" s="4" t="s">
        <v>2229</v>
      </c>
      <c r="J483" s="1" t="s">
        <v>2230</v>
      </c>
      <c r="K483" s="1" t="s">
        <v>340</v>
      </c>
    </row>
    <row r="484">
      <c r="A484" s="1" t="s">
        <v>2231</v>
      </c>
      <c r="B484" s="1" t="s">
        <v>2232</v>
      </c>
      <c r="C484" s="1">
        <v>2023.0</v>
      </c>
      <c r="D484" s="2">
        <v>45135.0</v>
      </c>
      <c r="F484" s="1" t="s">
        <v>2141</v>
      </c>
      <c r="H484" s="3">
        <v>2.0</v>
      </c>
      <c r="I484" s="4" t="s">
        <v>2233</v>
      </c>
      <c r="J484" s="1" t="s">
        <v>2234</v>
      </c>
      <c r="K484" s="1" t="s">
        <v>295</v>
      </c>
    </row>
    <row r="485">
      <c r="A485" s="1" t="s">
        <v>2235</v>
      </c>
      <c r="B485" s="1" t="s">
        <v>2236</v>
      </c>
      <c r="C485" s="1">
        <v>2023.0</v>
      </c>
      <c r="D485" s="2">
        <v>45135.0</v>
      </c>
      <c r="F485" s="1" t="s">
        <v>71</v>
      </c>
      <c r="H485" s="3">
        <v>3.0</v>
      </c>
      <c r="I485" s="4" t="s">
        <v>2237</v>
      </c>
      <c r="J485" s="1" t="s">
        <v>2238</v>
      </c>
      <c r="K485" s="1" t="s">
        <v>323</v>
      </c>
    </row>
    <row r="486">
      <c r="A486" s="1" t="s">
        <v>2239</v>
      </c>
      <c r="B486" s="1" t="s">
        <v>2240</v>
      </c>
      <c r="C486" s="1">
        <v>2023.0</v>
      </c>
      <c r="D486" s="2">
        <v>45133.0</v>
      </c>
      <c r="F486" s="1" t="s">
        <v>2241</v>
      </c>
      <c r="H486" s="3">
        <v>0.0</v>
      </c>
      <c r="I486" s="4" t="s">
        <v>2242</v>
      </c>
      <c r="J486" s="1" t="s">
        <v>2243</v>
      </c>
      <c r="K486" s="1" t="s">
        <v>28</v>
      </c>
    </row>
    <row r="487">
      <c r="A487" s="1" t="s">
        <v>2244</v>
      </c>
      <c r="B487" s="1" t="s">
        <v>2245</v>
      </c>
      <c r="C487" s="1">
        <v>2023.0</v>
      </c>
      <c r="D487" s="2">
        <v>45133.0</v>
      </c>
      <c r="F487" s="1" t="s">
        <v>2246</v>
      </c>
      <c r="H487" s="3">
        <v>0.0</v>
      </c>
      <c r="I487" s="4" t="s">
        <v>2247</v>
      </c>
      <c r="J487" s="1" t="s">
        <v>2248</v>
      </c>
      <c r="K487" s="1" t="s">
        <v>28</v>
      </c>
    </row>
    <row r="488">
      <c r="A488" s="1" t="s">
        <v>2249</v>
      </c>
      <c r="B488" s="1" t="s">
        <v>2250</v>
      </c>
      <c r="C488" s="1">
        <v>2023.0</v>
      </c>
      <c r="D488" s="2">
        <v>45133.0</v>
      </c>
      <c r="F488" s="1" t="s">
        <v>2251</v>
      </c>
      <c r="H488" s="3">
        <v>2.0</v>
      </c>
      <c r="I488" s="4" t="s">
        <v>2252</v>
      </c>
      <c r="J488" s="1" t="s">
        <v>2253</v>
      </c>
      <c r="K488" s="1" t="s">
        <v>16</v>
      </c>
    </row>
    <row r="489">
      <c r="A489" s="1" t="s">
        <v>2254</v>
      </c>
      <c r="B489" s="1" t="s">
        <v>2255</v>
      </c>
      <c r="C489" s="1">
        <v>2023.0</v>
      </c>
      <c r="D489" s="2">
        <v>45132.0</v>
      </c>
      <c r="F489" s="1" t="s">
        <v>1762</v>
      </c>
      <c r="H489" s="3">
        <v>4.0</v>
      </c>
      <c r="I489" s="4" t="s">
        <v>2256</v>
      </c>
      <c r="J489" s="1" t="s">
        <v>2257</v>
      </c>
      <c r="K489" s="1" t="s">
        <v>45</v>
      </c>
    </row>
    <row r="490">
      <c r="A490" s="1" t="s">
        <v>2258</v>
      </c>
      <c r="B490" s="1" t="s">
        <v>2259</v>
      </c>
      <c r="C490" s="1">
        <v>2023.0</v>
      </c>
      <c r="D490" s="2">
        <v>45131.0</v>
      </c>
      <c r="F490" s="1" t="s">
        <v>987</v>
      </c>
      <c r="H490" s="3">
        <v>0.0</v>
      </c>
      <c r="I490" s="4" t="s">
        <v>2260</v>
      </c>
      <c r="J490" s="1" t="s">
        <v>2261</v>
      </c>
      <c r="K490" s="1" t="s">
        <v>16</v>
      </c>
    </row>
    <row r="491">
      <c r="A491" s="1" t="s">
        <v>2262</v>
      </c>
      <c r="B491" s="1" t="s">
        <v>2263</v>
      </c>
      <c r="C491" s="1">
        <v>2023.0</v>
      </c>
      <c r="D491" s="2">
        <v>45128.0</v>
      </c>
      <c r="F491" s="1" t="s">
        <v>2264</v>
      </c>
      <c r="H491" s="3">
        <v>1.0</v>
      </c>
      <c r="I491" s="4" t="s">
        <v>2265</v>
      </c>
      <c r="J491" s="1" t="s">
        <v>2266</v>
      </c>
      <c r="K491" s="1" t="s">
        <v>323</v>
      </c>
    </row>
    <row r="492">
      <c r="A492" s="1" t="s">
        <v>2267</v>
      </c>
      <c r="B492" s="1" t="s">
        <v>2268</v>
      </c>
      <c r="C492" s="1">
        <v>2023.0</v>
      </c>
      <c r="D492" s="2">
        <v>45128.0</v>
      </c>
      <c r="F492" s="1" t="s">
        <v>1974</v>
      </c>
      <c r="H492" s="3">
        <v>1.0</v>
      </c>
      <c r="I492" s="4" t="s">
        <v>2269</v>
      </c>
      <c r="J492" s="1" t="s">
        <v>2270</v>
      </c>
      <c r="K492" s="1" t="s">
        <v>16</v>
      </c>
    </row>
    <row r="493">
      <c r="A493" s="1" t="s">
        <v>2271</v>
      </c>
      <c r="B493" s="1" t="s">
        <v>2272</v>
      </c>
      <c r="C493" s="1">
        <v>2023.0</v>
      </c>
      <c r="D493" s="2">
        <v>45127.0</v>
      </c>
      <c r="F493" s="1" t="s">
        <v>2273</v>
      </c>
      <c r="H493" s="3">
        <v>3.0</v>
      </c>
      <c r="I493" s="4" t="s">
        <v>2274</v>
      </c>
      <c r="J493" s="1" t="s">
        <v>2275</v>
      </c>
      <c r="K493" s="1" t="s">
        <v>28</v>
      </c>
    </row>
    <row r="494">
      <c r="A494" s="1" t="s">
        <v>2276</v>
      </c>
      <c r="B494" s="1" t="s">
        <v>2277</v>
      </c>
      <c r="C494" s="1">
        <v>2023.0</v>
      </c>
      <c r="D494" s="2">
        <v>45127.0</v>
      </c>
      <c r="F494" s="1" t="s">
        <v>2278</v>
      </c>
      <c r="H494" s="3">
        <v>0.0</v>
      </c>
      <c r="I494" s="4" t="s">
        <v>2279</v>
      </c>
      <c r="J494" s="1" t="s">
        <v>2280</v>
      </c>
      <c r="K494" s="1" t="s">
        <v>16</v>
      </c>
    </row>
    <row r="495">
      <c r="A495" s="1" t="s">
        <v>2281</v>
      </c>
      <c r="B495" s="1" t="s">
        <v>2282</v>
      </c>
      <c r="C495" s="1">
        <v>2023.0</v>
      </c>
      <c r="D495" s="2">
        <v>45127.0</v>
      </c>
      <c r="F495" s="1" t="s">
        <v>2283</v>
      </c>
      <c r="H495" s="3">
        <v>1.0</v>
      </c>
      <c r="I495" s="4" t="s">
        <v>2284</v>
      </c>
      <c r="J495" s="1" t="s">
        <v>2285</v>
      </c>
      <c r="K495" s="1" t="s">
        <v>926</v>
      </c>
    </row>
    <row r="496">
      <c r="A496" s="1" t="s">
        <v>2286</v>
      </c>
      <c r="B496" s="1" t="s">
        <v>2287</v>
      </c>
      <c r="C496" s="1">
        <v>2023.0</v>
      </c>
      <c r="D496" s="2">
        <v>45125.0</v>
      </c>
      <c r="F496" s="1" t="s">
        <v>2186</v>
      </c>
      <c r="H496" s="3">
        <v>0.0</v>
      </c>
      <c r="I496" s="4" t="s">
        <v>2288</v>
      </c>
      <c r="J496" s="1" t="s">
        <v>2289</v>
      </c>
      <c r="K496" s="1" t="s">
        <v>45</v>
      </c>
    </row>
    <row r="497">
      <c r="A497" s="1" t="s">
        <v>2290</v>
      </c>
      <c r="B497" s="1" t="s">
        <v>2291</v>
      </c>
      <c r="C497" s="1">
        <v>2023.0</v>
      </c>
      <c r="D497" s="2">
        <v>45125.0</v>
      </c>
      <c r="F497" s="1" t="s">
        <v>2292</v>
      </c>
      <c r="H497" s="3">
        <v>1.0</v>
      </c>
      <c r="I497" s="4" t="s">
        <v>2293</v>
      </c>
      <c r="J497" s="1" t="s">
        <v>2294</v>
      </c>
      <c r="K497" s="1" t="s">
        <v>383</v>
      </c>
    </row>
    <row r="498">
      <c r="A498" s="1" t="s">
        <v>2295</v>
      </c>
      <c r="B498" s="1" t="s">
        <v>2296</v>
      </c>
      <c r="C498" s="1">
        <v>2023.0</v>
      </c>
      <c r="D498" s="2">
        <v>45124.0</v>
      </c>
      <c r="F498" s="1" t="s">
        <v>2297</v>
      </c>
      <c r="H498" s="3">
        <v>1.0</v>
      </c>
      <c r="I498" s="4" t="s">
        <v>2298</v>
      </c>
      <c r="J498" s="1" t="s">
        <v>2299</v>
      </c>
      <c r="K498" s="1" t="s">
        <v>323</v>
      </c>
    </row>
    <row r="499">
      <c r="A499" s="1" t="s">
        <v>2300</v>
      </c>
      <c r="B499" s="1" t="s">
        <v>2301</v>
      </c>
      <c r="C499" s="1">
        <v>2023.0</v>
      </c>
      <c r="D499" s="2">
        <v>45124.0</v>
      </c>
      <c r="F499" s="1" t="s">
        <v>643</v>
      </c>
      <c r="H499" s="3">
        <v>0.0</v>
      </c>
      <c r="I499" s="4" t="s">
        <v>2302</v>
      </c>
      <c r="J499" s="1"/>
      <c r="K499" s="1" t="s">
        <v>383</v>
      </c>
    </row>
    <row r="500">
      <c r="A500" s="1" t="s">
        <v>2303</v>
      </c>
      <c r="B500" s="1" t="s">
        <v>2304</v>
      </c>
      <c r="C500" s="1">
        <v>2023.0</v>
      </c>
      <c r="D500" s="2">
        <v>45121.0</v>
      </c>
      <c r="F500" s="1" t="s">
        <v>71</v>
      </c>
      <c r="H500" s="3">
        <v>1.0</v>
      </c>
      <c r="I500" s="4" t="s">
        <v>2305</v>
      </c>
      <c r="J500" s="1" t="s">
        <v>2306</v>
      </c>
      <c r="K500" s="1" t="s">
        <v>16</v>
      </c>
    </row>
    <row r="501">
      <c r="A501" s="1" t="s">
        <v>2307</v>
      </c>
      <c r="B501" s="1" t="s">
        <v>2308</v>
      </c>
      <c r="C501" s="1">
        <v>2023.0</v>
      </c>
      <c r="D501" s="2">
        <v>45121.0</v>
      </c>
      <c r="F501" s="1" t="s">
        <v>2309</v>
      </c>
      <c r="H501" s="3">
        <v>1.0</v>
      </c>
      <c r="I501" s="4" t="s">
        <v>2310</v>
      </c>
      <c r="J501" s="1" t="s">
        <v>2311</v>
      </c>
      <c r="K501" s="1" t="s">
        <v>16</v>
      </c>
    </row>
    <row r="502">
      <c r="A502" s="1" t="s">
        <v>2312</v>
      </c>
      <c r="B502" s="1" t="s">
        <v>2313</v>
      </c>
      <c r="C502" s="1">
        <v>2023.0</v>
      </c>
      <c r="D502" s="2">
        <v>45119.0</v>
      </c>
      <c r="F502" s="1" t="s">
        <v>1300</v>
      </c>
      <c r="H502" s="3">
        <v>12.0</v>
      </c>
      <c r="I502" s="4" t="s">
        <v>2314</v>
      </c>
      <c r="J502" s="1" t="s">
        <v>2315</v>
      </c>
      <c r="K502" s="1" t="s">
        <v>28</v>
      </c>
    </row>
    <row r="503">
      <c r="A503" s="1" t="s">
        <v>2316</v>
      </c>
      <c r="B503" s="1" t="s">
        <v>2317</v>
      </c>
      <c r="C503" s="1">
        <v>2023.0</v>
      </c>
      <c r="D503" s="2">
        <v>45117.0</v>
      </c>
      <c r="F503" s="1" t="s">
        <v>1209</v>
      </c>
      <c r="H503" s="3">
        <v>0.0</v>
      </c>
      <c r="I503" s="4" t="s">
        <v>2318</v>
      </c>
      <c r="J503" s="1"/>
      <c r="K503" s="1" t="s">
        <v>28</v>
      </c>
    </row>
    <row r="504">
      <c r="A504" s="1" t="s">
        <v>2319</v>
      </c>
      <c r="B504" s="1" t="s">
        <v>2320</v>
      </c>
      <c r="C504" s="1">
        <v>2023.0</v>
      </c>
      <c r="D504" s="2">
        <v>45117.0</v>
      </c>
      <c r="F504" s="1" t="s">
        <v>2321</v>
      </c>
      <c r="H504" s="3">
        <v>4.0</v>
      </c>
      <c r="I504" s="4" t="s">
        <v>2322</v>
      </c>
      <c r="J504" s="1" t="s">
        <v>2323</v>
      </c>
      <c r="K504" s="1" t="s">
        <v>16</v>
      </c>
    </row>
    <row r="505">
      <c r="A505" s="1" t="s">
        <v>2324</v>
      </c>
      <c r="B505" s="1" t="s">
        <v>2325</v>
      </c>
      <c r="C505" s="1">
        <v>2023.0</v>
      </c>
      <c r="D505" s="2">
        <v>45116.0</v>
      </c>
      <c r="F505" s="1" t="s">
        <v>2326</v>
      </c>
      <c r="H505" s="3">
        <v>2.0</v>
      </c>
      <c r="I505" s="4" t="s">
        <v>2327</v>
      </c>
      <c r="J505" s="1" t="s">
        <v>2328</v>
      </c>
      <c r="K505" s="1" t="s">
        <v>413</v>
      </c>
    </row>
    <row r="506">
      <c r="A506" s="1" t="s">
        <v>2329</v>
      </c>
      <c r="B506" s="1" t="s">
        <v>2330</v>
      </c>
      <c r="C506" s="1">
        <v>2023.0</v>
      </c>
      <c r="D506" s="2">
        <v>45114.0</v>
      </c>
      <c r="F506" s="1" t="s">
        <v>666</v>
      </c>
      <c r="H506" s="3">
        <v>2.0</v>
      </c>
      <c r="I506" s="4" t="s">
        <v>2331</v>
      </c>
      <c r="J506" s="1" t="s">
        <v>2332</v>
      </c>
      <c r="K506" s="1" t="s">
        <v>68</v>
      </c>
    </row>
    <row r="507">
      <c r="A507" s="1" t="s">
        <v>2333</v>
      </c>
      <c r="B507" s="1" t="s">
        <v>2334</v>
      </c>
      <c r="C507" s="1">
        <v>2023.0</v>
      </c>
      <c r="D507" s="2">
        <v>45114.0</v>
      </c>
      <c r="F507" s="1" t="s">
        <v>2335</v>
      </c>
      <c r="H507" s="3">
        <v>0.0</v>
      </c>
      <c r="I507" s="4" t="s">
        <v>2336</v>
      </c>
      <c r="J507" s="1" t="s">
        <v>2337</v>
      </c>
      <c r="K507" s="1" t="s">
        <v>383</v>
      </c>
    </row>
    <row r="508">
      <c r="A508" s="1" t="s">
        <v>2338</v>
      </c>
      <c r="B508" s="1" t="s">
        <v>2339</v>
      </c>
      <c r="C508" s="1">
        <v>2023.0</v>
      </c>
      <c r="D508" s="2">
        <v>45113.0</v>
      </c>
      <c r="F508" s="1" t="s">
        <v>31</v>
      </c>
      <c r="H508" s="3">
        <v>2.0</v>
      </c>
      <c r="I508" s="4" t="s">
        <v>2340</v>
      </c>
      <c r="J508" s="1" t="s">
        <v>2341</v>
      </c>
      <c r="K508" s="1" t="s">
        <v>418</v>
      </c>
    </row>
    <row r="509">
      <c r="A509" s="1" t="s">
        <v>2342</v>
      </c>
      <c r="B509" s="1" t="s">
        <v>1587</v>
      </c>
      <c r="C509" s="1">
        <v>2023.0</v>
      </c>
      <c r="D509" s="2">
        <v>45113.0</v>
      </c>
      <c r="F509" s="1" t="s">
        <v>1588</v>
      </c>
      <c r="H509" s="3">
        <v>1.0</v>
      </c>
      <c r="I509" s="4" t="s">
        <v>2343</v>
      </c>
      <c r="J509" s="1" t="s">
        <v>2344</v>
      </c>
      <c r="K509" s="1" t="s">
        <v>323</v>
      </c>
    </row>
    <row r="510">
      <c r="A510" s="1" t="s">
        <v>2345</v>
      </c>
      <c r="B510" s="1" t="s">
        <v>2346</v>
      </c>
      <c r="C510" s="1">
        <v>2023.0</v>
      </c>
      <c r="D510" s="2">
        <v>45113.0</v>
      </c>
      <c r="F510" s="1" t="s">
        <v>2347</v>
      </c>
      <c r="H510" s="3">
        <v>0.0</v>
      </c>
      <c r="I510" s="4" t="s">
        <v>2348</v>
      </c>
      <c r="J510" s="1" t="s">
        <v>2349</v>
      </c>
      <c r="K510" s="1" t="s">
        <v>383</v>
      </c>
    </row>
    <row r="511">
      <c r="A511" s="1" t="s">
        <v>2350</v>
      </c>
      <c r="B511" s="1" t="s">
        <v>2351</v>
      </c>
      <c r="C511" s="1">
        <v>2023.0</v>
      </c>
      <c r="D511" s="2">
        <v>45112.0</v>
      </c>
      <c r="F511" s="1" t="s">
        <v>2352</v>
      </c>
      <c r="H511" s="3">
        <v>4.0</v>
      </c>
      <c r="I511" s="4" t="s">
        <v>2353</v>
      </c>
      <c r="J511" s="1" t="s">
        <v>2354</v>
      </c>
      <c r="K511" s="1" t="s">
        <v>45</v>
      </c>
    </row>
    <row r="512">
      <c r="A512" s="1" t="s">
        <v>2355</v>
      </c>
      <c r="B512" s="1" t="s">
        <v>2356</v>
      </c>
      <c r="C512" s="1">
        <v>2023.0</v>
      </c>
      <c r="D512" s="2">
        <v>45112.0</v>
      </c>
      <c r="F512" s="1" t="s">
        <v>440</v>
      </c>
      <c r="H512" s="3">
        <v>8.0</v>
      </c>
      <c r="I512" s="4" t="s">
        <v>2357</v>
      </c>
      <c r="J512" s="1" t="s">
        <v>2358</v>
      </c>
      <c r="K512" s="1" t="s">
        <v>443</v>
      </c>
    </row>
    <row r="513">
      <c r="A513" s="1" t="s">
        <v>2359</v>
      </c>
      <c r="B513" s="1" t="s">
        <v>2360</v>
      </c>
      <c r="C513" s="1">
        <v>2023.0</v>
      </c>
      <c r="D513" s="2">
        <v>45112.0</v>
      </c>
      <c r="F513" s="1" t="s">
        <v>666</v>
      </c>
      <c r="H513" s="3">
        <v>2.0</v>
      </c>
      <c r="I513" s="4" t="s">
        <v>2361</v>
      </c>
      <c r="J513" s="1" t="s">
        <v>2362</v>
      </c>
      <c r="K513" s="1" t="s">
        <v>68</v>
      </c>
    </row>
    <row r="514">
      <c r="A514" s="1" t="s">
        <v>2363</v>
      </c>
      <c r="B514" s="1" t="s">
        <v>2364</v>
      </c>
      <c r="C514" s="1">
        <v>2023.0</v>
      </c>
      <c r="D514" s="2">
        <v>45112.0</v>
      </c>
      <c r="F514" s="1" t="s">
        <v>2365</v>
      </c>
      <c r="H514" s="3">
        <v>1.0</v>
      </c>
      <c r="I514" s="4" t="s">
        <v>2366</v>
      </c>
      <c r="J514" s="1" t="s">
        <v>2367</v>
      </c>
      <c r="K514" s="1" t="s">
        <v>16</v>
      </c>
    </row>
    <row r="515">
      <c r="A515" s="1" t="s">
        <v>2368</v>
      </c>
      <c r="B515" s="1" t="s">
        <v>2369</v>
      </c>
      <c r="C515" s="1">
        <v>2023.0</v>
      </c>
      <c r="D515" s="2">
        <v>45111.0</v>
      </c>
      <c r="F515" s="1" t="s">
        <v>86</v>
      </c>
      <c r="H515" s="3">
        <v>2.0</v>
      </c>
      <c r="I515" s="4" t="s">
        <v>2370</v>
      </c>
      <c r="J515" s="1" t="s">
        <v>2371</v>
      </c>
      <c r="K515" s="1" t="s">
        <v>16</v>
      </c>
    </row>
    <row r="516">
      <c r="A516" s="1" t="s">
        <v>2372</v>
      </c>
      <c r="B516" s="1" t="s">
        <v>2373</v>
      </c>
      <c r="C516" s="1">
        <v>2023.0</v>
      </c>
      <c r="D516" s="2">
        <v>45110.0</v>
      </c>
      <c r="F516" s="1" t="s">
        <v>271</v>
      </c>
      <c r="H516" s="3">
        <v>1.0</v>
      </c>
      <c r="I516" s="4" t="s">
        <v>2374</v>
      </c>
      <c r="J516" s="1" t="s">
        <v>2375</v>
      </c>
      <c r="K516" s="1" t="s">
        <v>16</v>
      </c>
    </row>
    <row r="517">
      <c r="A517" s="1" t="s">
        <v>2376</v>
      </c>
      <c r="B517" s="1" t="s">
        <v>2377</v>
      </c>
      <c r="C517" s="1">
        <v>2023.0</v>
      </c>
      <c r="D517" s="2">
        <v>45108.0</v>
      </c>
      <c r="F517" s="1" t="s">
        <v>2378</v>
      </c>
      <c r="H517" s="3">
        <v>2.0</v>
      </c>
      <c r="I517" s="4" t="s">
        <v>2379</v>
      </c>
      <c r="J517" s="1" t="s">
        <v>2380</v>
      </c>
      <c r="K517" s="1" t="s">
        <v>45</v>
      </c>
    </row>
    <row r="518">
      <c r="A518" s="1" t="s">
        <v>2381</v>
      </c>
      <c r="B518" s="1" t="s">
        <v>2382</v>
      </c>
      <c r="C518" s="1">
        <v>2023.0</v>
      </c>
      <c r="D518" s="2">
        <v>45108.0</v>
      </c>
      <c r="F518" s="1" t="s">
        <v>1228</v>
      </c>
      <c r="H518" s="3">
        <v>2.0</v>
      </c>
      <c r="I518" s="4" t="s">
        <v>2383</v>
      </c>
      <c r="J518" s="1" t="s">
        <v>2384</v>
      </c>
      <c r="K518" s="1" t="s">
        <v>16</v>
      </c>
    </row>
    <row r="519">
      <c r="A519" s="1" t="s">
        <v>2385</v>
      </c>
      <c r="B519" s="1" t="s">
        <v>2386</v>
      </c>
      <c r="C519" s="1">
        <v>2023.0</v>
      </c>
      <c r="D519" s="2">
        <v>45108.0</v>
      </c>
      <c r="F519" s="1" t="s">
        <v>1055</v>
      </c>
      <c r="H519" s="3">
        <v>1.0</v>
      </c>
      <c r="I519" s="4" t="s">
        <v>2387</v>
      </c>
      <c r="J519" s="1" t="s">
        <v>2388</v>
      </c>
      <c r="K519" s="1" t="s">
        <v>16</v>
      </c>
    </row>
    <row r="520">
      <c r="A520" s="1" t="s">
        <v>2389</v>
      </c>
      <c r="B520" s="1" t="s">
        <v>2390</v>
      </c>
      <c r="C520" s="1">
        <v>2023.0</v>
      </c>
      <c r="D520" s="2">
        <v>45106.0</v>
      </c>
      <c r="F520" s="1" t="s">
        <v>2391</v>
      </c>
      <c r="H520" s="3">
        <v>1.0</v>
      </c>
      <c r="I520" s="4" t="s">
        <v>2392</v>
      </c>
      <c r="J520" s="1" t="s">
        <v>2393</v>
      </c>
      <c r="K520" s="1" t="s">
        <v>403</v>
      </c>
    </row>
    <row r="521">
      <c r="A521" s="1" t="s">
        <v>2394</v>
      </c>
      <c r="B521" s="1" t="s">
        <v>2395</v>
      </c>
      <c r="C521" s="1">
        <v>2023.0</v>
      </c>
      <c r="D521" s="2">
        <v>45105.0</v>
      </c>
      <c r="F521" s="1" t="s">
        <v>2396</v>
      </c>
      <c r="H521" s="3">
        <v>0.0</v>
      </c>
      <c r="I521" s="4" t="s">
        <v>2397</v>
      </c>
      <c r="J521" s="1" t="s">
        <v>2398</v>
      </c>
      <c r="K521" s="1" t="s">
        <v>28</v>
      </c>
    </row>
    <row r="522">
      <c r="A522" s="1" t="s">
        <v>2399</v>
      </c>
      <c r="B522" s="1" t="s">
        <v>2400</v>
      </c>
      <c r="C522" s="1">
        <v>2023.0</v>
      </c>
      <c r="D522" s="2">
        <v>45105.0</v>
      </c>
      <c r="F522" s="1" t="s">
        <v>1659</v>
      </c>
      <c r="H522" s="3">
        <v>2.0</v>
      </c>
      <c r="I522" s="4" t="s">
        <v>2401</v>
      </c>
      <c r="J522" s="1" t="s">
        <v>2402</v>
      </c>
      <c r="K522" s="1" t="s">
        <v>1036</v>
      </c>
    </row>
    <row r="523">
      <c r="A523" s="1" t="s">
        <v>2403</v>
      </c>
      <c r="B523" s="1" t="s">
        <v>2404</v>
      </c>
      <c r="C523" s="1">
        <v>2023.0</v>
      </c>
      <c r="D523" s="2">
        <v>45104.0</v>
      </c>
      <c r="F523" s="1" t="s">
        <v>218</v>
      </c>
      <c r="H523" s="3">
        <v>1.0</v>
      </c>
      <c r="I523" s="4" t="s">
        <v>2405</v>
      </c>
      <c r="J523" s="1" t="s">
        <v>2406</v>
      </c>
      <c r="K523" s="1" t="s">
        <v>295</v>
      </c>
    </row>
    <row r="524">
      <c r="A524" s="1" t="s">
        <v>2407</v>
      </c>
      <c r="B524" s="1" t="s">
        <v>2408</v>
      </c>
      <c r="C524" s="1">
        <v>2023.0</v>
      </c>
      <c r="D524" s="2">
        <v>45104.0</v>
      </c>
      <c r="F524" s="1" t="s">
        <v>776</v>
      </c>
      <c r="H524" s="3">
        <v>13.0</v>
      </c>
      <c r="I524" s="4" t="s">
        <v>2409</v>
      </c>
      <c r="J524" s="1" t="s">
        <v>2410</v>
      </c>
      <c r="K524" s="1" t="s">
        <v>323</v>
      </c>
    </row>
    <row r="525">
      <c r="A525" s="1" t="s">
        <v>2411</v>
      </c>
      <c r="B525" s="1" t="s">
        <v>2412</v>
      </c>
      <c r="C525" s="1">
        <v>2023.0</v>
      </c>
      <c r="D525" s="2">
        <v>45104.0</v>
      </c>
      <c r="F525" s="1" t="s">
        <v>142</v>
      </c>
      <c r="H525" s="3">
        <v>2.0</v>
      </c>
      <c r="I525" s="4" t="s">
        <v>2413</v>
      </c>
      <c r="J525" s="1" t="s">
        <v>2414</v>
      </c>
      <c r="K525" s="1" t="s">
        <v>492</v>
      </c>
    </row>
    <row r="526">
      <c r="A526" s="1" t="s">
        <v>2415</v>
      </c>
      <c r="B526" s="1" t="s">
        <v>2416</v>
      </c>
      <c r="C526" s="1">
        <v>2023.0</v>
      </c>
      <c r="D526" s="2">
        <v>45101.0</v>
      </c>
      <c r="F526" s="1" t="s">
        <v>2417</v>
      </c>
      <c r="H526" s="3">
        <v>0.0</v>
      </c>
      <c r="I526" s="4" t="s">
        <v>2418</v>
      </c>
      <c r="J526" s="1" t="s">
        <v>2419</v>
      </c>
      <c r="K526" s="1" t="s">
        <v>28</v>
      </c>
    </row>
    <row r="527">
      <c r="A527" s="1" t="s">
        <v>2420</v>
      </c>
      <c r="B527" s="1" t="s">
        <v>2421</v>
      </c>
      <c r="C527" s="1">
        <v>2023.0</v>
      </c>
      <c r="D527" s="2">
        <v>45098.0</v>
      </c>
      <c r="F527" s="1" t="s">
        <v>1873</v>
      </c>
      <c r="H527" s="3">
        <v>1.0</v>
      </c>
      <c r="I527" s="4" t="s">
        <v>2422</v>
      </c>
      <c r="J527" s="1" t="s">
        <v>2423</v>
      </c>
      <c r="K527" s="1" t="s">
        <v>295</v>
      </c>
    </row>
    <row r="528">
      <c r="A528" s="1" t="s">
        <v>2424</v>
      </c>
      <c r="B528" s="1" t="s">
        <v>2425</v>
      </c>
      <c r="C528" s="1">
        <v>2023.0</v>
      </c>
      <c r="D528" s="2">
        <v>45098.0</v>
      </c>
      <c r="F528" s="1" t="s">
        <v>2426</v>
      </c>
      <c r="H528" s="3">
        <v>3.0</v>
      </c>
      <c r="I528" s="4" t="s">
        <v>2427</v>
      </c>
      <c r="J528" s="1" t="s">
        <v>2428</v>
      </c>
      <c r="K528" s="1" t="s">
        <v>571</v>
      </c>
    </row>
    <row r="529">
      <c r="A529" s="1" t="s">
        <v>2429</v>
      </c>
      <c r="B529" s="1" t="s">
        <v>2430</v>
      </c>
      <c r="C529" s="1">
        <v>2023.0</v>
      </c>
      <c r="D529" s="2">
        <v>45096.0</v>
      </c>
      <c r="F529" s="1" t="s">
        <v>1123</v>
      </c>
      <c r="H529" s="3">
        <v>1.0</v>
      </c>
      <c r="I529" s="4" t="s">
        <v>2431</v>
      </c>
      <c r="J529" s="1" t="s">
        <v>2432</v>
      </c>
      <c r="K529" s="1" t="s">
        <v>28</v>
      </c>
    </row>
    <row r="530">
      <c r="A530" s="1" t="s">
        <v>2433</v>
      </c>
      <c r="B530" s="1" t="s">
        <v>2434</v>
      </c>
      <c r="C530" s="1">
        <v>2023.0</v>
      </c>
      <c r="D530" s="2">
        <v>45096.0</v>
      </c>
      <c r="F530" s="1" t="s">
        <v>2435</v>
      </c>
      <c r="H530" s="3">
        <v>7.0</v>
      </c>
      <c r="I530" s="4" t="s">
        <v>2436</v>
      </c>
      <c r="J530" s="1" t="s">
        <v>2437</v>
      </c>
      <c r="K530" s="1" t="s">
        <v>28</v>
      </c>
    </row>
    <row r="531">
      <c r="A531" s="1" t="s">
        <v>2438</v>
      </c>
      <c r="B531" s="1" t="s">
        <v>2439</v>
      </c>
      <c r="C531" s="1">
        <v>2023.0</v>
      </c>
      <c r="D531" s="2">
        <v>45094.0</v>
      </c>
      <c r="F531" s="1" t="s">
        <v>332</v>
      </c>
      <c r="H531" s="3">
        <v>0.0</v>
      </c>
      <c r="I531" s="4" t="s">
        <v>2440</v>
      </c>
      <c r="J531" s="1" t="s">
        <v>2441</v>
      </c>
      <c r="K531" s="1" t="s">
        <v>383</v>
      </c>
    </row>
    <row r="532">
      <c r="A532" s="1" t="s">
        <v>2442</v>
      </c>
      <c r="B532" s="1" t="s">
        <v>2443</v>
      </c>
      <c r="C532" s="1">
        <v>2023.0</v>
      </c>
      <c r="D532" s="2">
        <v>45093.0</v>
      </c>
      <c r="F532" s="1" t="s">
        <v>2444</v>
      </c>
      <c r="H532" s="3">
        <v>57.0</v>
      </c>
      <c r="I532" s="4" t="s">
        <v>2445</v>
      </c>
      <c r="J532" s="1" t="s">
        <v>2446</v>
      </c>
      <c r="K532" s="1" t="s">
        <v>28</v>
      </c>
    </row>
    <row r="533">
      <c r="A533" s="1" t="s">
        <v>2447</v>
      </c>
      <c r="B533" s="1" t="s">
        <v>2448</v>
      </c>
      <c r="C533" s="1">
        <v>2023.0</v>
      </c>
      <c r="D533" s="2">
        <v>45093.0</v>
      </c>
      <c r="F533" s="1" t="s">
        <v>2449</v>
      </c>
      <c r="H533" s="3">
        <v>6.0</v>
      </c>
      <c r="I533" s="4" t="s">
        <v>2450</v>
      </c>
      <c r="J533" s="1" t="s">
        <v>2451</v>
      </c>
      <c r="K533" s="1" t="s">
        <v>477</v>
      </c>
    </row>
    <row r="534">
      <c r="A534" s="1" t="s">
        <v>2452</v>
      </c>
      <c r="B534" s="1" t="s">
        <v>2453</v>
      </c>
      <c r="C534" s="1">
        <v>2023.0</v>
      </c>
      <c r="D534" s="2">
        <v>45092.0</v>
      </c>
      <c r="F534" s="1" t="s">
        <v>271</v>
      </c>
      <c r="H534" s="3">
        <v>3.0</v>
      </c>
      <c r="I534" s="4" t="s">
        <v>2454</v>
      </c>
      <c r="J534" s="1" t="s">
        <v>2455</v>
      </c>
      <c r="K534" s="1" t="s">
        <v>295</v>
      </c>
    </row>
    <row r="535">
      <c r="A535" s="1" t="s">
        <v>2456</v>
      </c>
      <c r="B535" s="1" t="s">
        <v>2457</v>
      </c>
      <c r="C535" s="1">
        <v>2023.0</v>
      </c>
      <c r="D535" s="2">
        <v>45091.0</v>
      </c>
      <c r="F535" s="1" t="s">
        <v>2458</v>
      </c>
      <c r="H535" s="3">
        <v>16.0</v>
      </c>
      <c r="I535" s="4" t="s">
        <v>2459</v>
      </c>
      <c r="J535" s="1" t="s">
        <v>2460</v>
      </c>
      <c r="K535" s="1" t="s">
        <v>295</v>
      </c>
    </row>
    <row r="536">
      <c r="A536" s="1" t="s">
        <v>2461</v>
      </c>
      <c r="B536" s="1" t="s">
        <v>2462</v>
      </c>
      <c r="C536" s="1">
        <v>2023.0</v>
      </c>
      <c r="D536" s="2">
        <v>45090.0</v>
      </c>
      <c r="F536" s="1" t="s">
        <v>1841</v>
      </c>
      <c r="H536" s="3">
        <v>1.0</v>
      </c>
      <c r="I536" s="4" t="s">
        <v>2463</v>
      </c>
      <c r="J536" s="1" t="s">
        <v>2464</v>
      </c>
      <c r="K536" s="1" t="s">
        <v>418</v>
      </c>
    </row>
    <row r="537">
      <c r="A537" s="1" t="s">
        <v>2465</v>
      </c>
      <c r="B537" s="1" t="s">
        <v>2466</v>
      </c>
      <c r="C537" s="1">
        <v>2023.0</v>
      </c>
      <c r="D537" s="2">
        <v>45090.0</v>
      </c>
      <c r="F537" s="1" t="s">
        <v>1170</v>
      </c>
      <c r="H537" s="3">
        <v>0.0</v>
      </c>
      <c r="I537" s="4" t="s">
        <v>2467</v>
      </c>
      <c r="J537" s="1" t="s">
        <v>2468</v>
      </c>
      <c r="K537" s="1" t="s">
        <v>443</v>
      </c>
    </row>
    <row r="538">
      <c r="A538" s="1" t="s">
        <v>2469</v>
      </c>
      <c r="B538" s="1" t="s">
        <v>2470</v>
      </c>
      <c r="C538" s="1">
        <v>2023.0</v>
      </c>
      <c r="D538" s="2">
        <v>45090.0</v>
      </c>
      <c r="F538" s="1" t="s">
        <v>1277</v>
      </c>
      <c r="H538" s="3">
        <v>5.0</v>
      </c>
      <c r="I538" s="4" t="s">
        <v>2471</v>
      </c>
      <c r="J538" s="1" t="s">
        <v>2472</v>
      </c>
      <c r="K538" s="1" t="s">
        <v>28</v>
      </c>
    </row>
    <row r="539">
      <c r="A539" s="1" t="s">
        <v>2473</v>
      </c>
      <c r="B539" s="1" t="s">
        <v>2474</v>
      </c>
      <c r="C539" s="1">
        <v>2023.0</v>
      </c>
      <c r="D539" s="2">
        <v>45090.0</v>
      </c>
      <c r="F539" s="1" t="s">
        <v>2475</v>
      </c>
      <c r="H539" s="3">
        <v>0.0</v>
      </c>
      <c r="I539" s="4" t="s">
        <v>2476</v>
      </c>
      <c r="J539" s="1" t="s">
        <v>2477</v>
      </c>
      <c r="K539" s="1" t="s">
        <v>16</v>
      </c>
    </row>
    <row r="540">
      <c r="A540" s="1" t="s">
        <v>2478</v>
      </c>
      <c r="B540" s="1" t="s">
        <v>2479</v>
      </c>
      <c r="C540" s="1">
        <v>2023.0</v>
      </c>
      <c r="D540" s="2">
        <v>45089.0</v>
      </c>
      <c r="F540" s="1" t="s">
        <v>2480</v>
      </c>
      <c r="H540" s="3">
        <v>0.0</v>
      </c>
      <c r="I540" s="4" t="s">
        <v>2481</v>
      </c>
      <c r="J540" s="1" t="s">
        <v>2482</v>
      </c>
      <c r="K540" s="1" t="s">
        <v>462</v>
      </c>
    </row>
    <row r="541">
      <c r="A541" s="1" t="s">
        <v>2483</v>
      </c>
      <c r="B541" s="1" t="s">
        <v>2484</v>
      </c>
      <c r="C541" s="1">
        <v>2023.0</v>
      </c>
      <c r="D541" s="2">
        <v>45087.0</v>
      </c>
      <c r="F541" s="1" t="s">
        <v>877</v>
      </c>
      <c r="H541" s="3">
        <v>2.0</v>
      </c>
      <c r="I541" s="4" t="s">
        <v>2485</v>
      </c>
      <c r="J541" s="1" t="s">
        <v>2486</v>
      </c>
      <c r="K541" s="1" t="s">
        <v>926</v>
      </c>
    </row>
    <row r="542">
      <c r="A542" s="1" t="s">
        <v>2487</v>
      </c>
      <c r="B542" s="1" t="s">
        <v>2488</v>
      </c>
      <c r="C542" s="1">
        <v>2023.0</v>
      </c>
      <c r="D542" s="2">
        <v>45087.0</v>
      </c>
      <c r="F542" s="1" t="s">
        <v>425</v>
      </c>
      <c r="H542" s="3">
        <v>3.0</v>
      </c>
      <c r="I542" s="4" t="s">
        <v>2489</v>
      </c>
      <c r="J542" s="1" t="s">
        <v>2490</v>
      </c>
      <c r="K542" s="1" t="s">
        <v>413</v>
      </c>
    </row>
    <row r="543">
      <c r="A543" s="1" t="s">
        <v>2491</v>
      </c>
      <c r="B543" s="1" t="s">
        <v>2492</v>
      </c>
      <c r="C543" s="1">
        <v>2023.0</v>
      </c>
      <c r="D543" s="2">
        <v>45087.0</v>
      </c>
      <c r="F543" s="1" t="s">
        <v>410</v>
      </c>
      <c r="H543" s="3">
        <v>2.0</v>
      </c>
      <c r="I543" s="4" t="s">
        <v>2493</v>
      </c>
      <c r="J543" s="1" t="s">
        <v>2494</v>
      </c>
      <c r="K543" s="1" t="s">
        <v>16</v>
      </c>
    </row>
    <row r="544">
      <c r="A544" s="1" t="s">
        <v>2495</v>
      </c>
      <c r="B544" s="1" t="s">
        <v>2496</v>
      </c>
      <c r="C544" s="1">
        <v>2023.0</v>
      </c>
      <c r="D544" s="2">
        <v>45086.0</v>
      </c>
      <c r="F544" s="1" t="s">
        <v>2497</v>
      </c>
      <c r="H544" s="3">
        <v>3.0</v>
      </c>
      <c r="I544" s="4" t="s">
        <v>2498</v>
      </c>
      <c r="J544" s="1" t="s">
        <v>2499</v>
      </c>
      <c r="K544" s="1" t="s">
        <v>462</v>
      </c>
    </row>
    <row r="545">
      <c r="A545" s="1" t="s">
        <v>2500</v>
      </c>
      <c r="B545" s="1" t="s">
        <v>2501</v>
      </c>
      <c r="C545" s="1">
        <v>2023.0</v>
      </c>
      <c r="D545" s="2">
        <v>45086.0</v>
      </c>
      <c r="F545" s="1" t="s">
        <v>2502</v>
      </c>
      <c r="H545" s="3">
        <v>3.0</v>
      </c>
      <c r="I545" s="4" t="s">
        <v>2503</v>
      </c>
      <c r="J545" s="1" t="s">
        <v>2504</v>
      </c>
      <c r="K545" s="1" t="s">
        <v>443</v>
      </c>
    </row>
    <row r="546">
      <c r="A546" s="1" t="s">
        <v>2505</v>
      </c>
      <c r="B546" s="1" t="s">
        <v>2506</v>
      </c>
      <c r="C546" s="1">
        <v>2023.0</v>
      </c>
      <c r="D546" s="2">
        <v>45085.0</v>
      </c>
      <c r="F546" s="1" t="s">
        <v>308</v>
      </c>
      <c r="H546" s="3">
        <v>10.0</v>
      </c>
      <c r="I546" s="4" t="s">
        <v>2507</v>
      </c>
      <c r="J546" s="1" t="s">
        <v>2508</v>
      </c>
      <c r="K546" s="1" t="s">
        <v>28</v>
      </c>
    </row>
    <row r="547">
      <c r="A547" s="1" t="s">
        <v>2509</v>
      </c>
      <c r="B547" s="1" t="s">
        <v>2510</v>
      </c>
      <c r="C547" s="1">
        <v>2023.0</v>
      </c>
      <c r="D547" s="2">
        <v>45085.0</v>
      </c>
      <c r="F547" s="1" t="s">
        <v>208</v>
      </c>
      <c r="H547" s="3">
        <v>2.0</v>
      </c>
      <c r="I547" s="4" t="s">
        <v>2511</v>
      </c>
      <c r="J547" s="1" t="s">
        <v>2512</v>
      </c>
      <c r="K547" s="1" t="s">
        <v>68</v>
      </c>
    </row>
    <row r="548">
      <c r="A548" s="1" t="s">
        <v>2513</v>
      </c>
      <c r="B548" s="1" t="s">
        <v>2514</v>
      </c>
      <c r="C548" s="1">
        <v>2023.0</v>
      </c>
      <c r="D548" s="2">
        <v>45085.0</v>
      </c>
      <c r="F548" s="1" t="s">
        <v>2515</v>
      </c>
      <c r="H548" s="3">
        <v>1.0</v>
      </c>
      <c r="I548" s="4" t="s">
        <v>2516</v>
      </c>
      <c r="J548" s="1" t="s">
        <v>2517</v>
      </c>
      <c r="K548" s="1" t="s">
        <v>16</v>
      </c>
    </row>
    <row r="549">
      <c r="A549" s="1" t="s">
        <v>2518</v>
      </c>
      <c r="B549" s="1" t="s">
        <v>2519</v>
      </c>
      <c r="C549" s="1">
        <v>2023.0</v>
      </c>
      <c r="D549" s="2">
        <v>45084.0</v>
      </c>
      <c r="F549" s="1" t="s">
        <v>1050</v>
      </c>
      <c r="H549" s="3">
        <v>0.0</v>
      </c>
      <c r="I549" s="4" t="s">
        <v>2520</v>
      </c>
      <c r="J549" s="1" t="s">
        <v>2521</v>
      </c>
      <c r="K549" s="1" t="s">
        <v>68</v>
      </c>
    </row>
    <row r="550">
      <c r="A550" s="1" t="s">
        <v>2522</v>
      </c>
      <c r="B550" s="1" t="s">
        <v>2523</v>
      </c>
      <c r="C550" s="1">
        <v>2023.0</v>
      </c>
      <c r="D550" s="2">
        <v>45082.0</v>
      </c>
      <c r="F550" s="1" t="s">
        <v>2524</v>
      </c>
      <c r="H550" s="3">
        <v>1.0</v>
      </c>
      <c r="I550" s="4" t="s">
        <v>2525</v>
      </c>
      <c r="J550" s="1" t="s">
        <v>2526</v>
      </c>
      <c r="K550" s="1" t="s">
        <v>295</v>
      </c>
    </row>
    <row r="551">
      <c r="A551" s="1" t="s">
        <v>2527</v>
      </c>
      <c r="B551" s="1" t="s">
        <v>2528</v>
      </c>
      <c r="C551" s="1">
        <v>2023.0</v>
      </c>
      <c r="D551" s="2">
        <v>45080.0</v>
      </c>
      <c r="F551" s="1" t="s">
        <v>347</v>
      </c>
      <c r="H551" s="3">
        <v>6.0</v>
      </c>
      <c r="I551" s="4" t="s">
        <v>2529</v>
      </c>
      <c r="J551" s="1" t="s">
        <v>2530</v>
      </c>
      <c r="K551" s="1" t="s">
        <v>323</v>
      </c>
    </row>
    <row r="552">
      <c r="A552" s="1" t="s">
        <v>2531</v>
      </c>
      <c r="B552" s="1" t="s">
        <v>2532</v>
      </c>
      <c r="C552" s="1">
        <v>2023.0</v>
      </c>
      <c r="D552" s="2">
        <v>45080.0</v>
      </c>
      <c r="F552" s="1" t="s">
        <v>1358</v>
      </c>
      <c r="H552" s="3">
        <v>1.0</v>
      </c>
      <c r="I552" s="4" t="s">
        <v>2533</v>
      </c>
      <c r="J552" s="1"/>
      <c r="K552" s="1" t="s">
        <v>16</v>
      </c>
    </row>
    <row r="553">
      <c r="A553" s="1" t="s">
        <v>2534</v>
      </c>
      <c r="B553" s="1" t="s">
        <v>2535</v>
      </c>
      <c r="C553" s="1">
        <v>2023.0</v>
      </c>
      <c r="D553" s="2">
        <v>45078.0</v>
      </c>
      <c r="F553" s="1" t="s">
        <v>1881</v>
      </c>
      <c r="H553" s="3">
        <v>0.0</v>
      </c>
      <c r="I553" s="4" t="s">
        <v>2536</v>
      </c>
      <c r="J553" s="1" t="s">
        <v>2537</v>
      </c>
      <c r="K553" s="1" t="s">
        <v>383</v>
      </c>
    </row>
    <row r="554">
      <c r="A554" s="1" t="s">
        <v>2538</v>
      </c>
      <c r="B554" s="1" t="s">
        <v>2539</v>
      </c>
      <c r="C554" s="1">
        <v>2023.0</v>
      </c>
      <c r="D554" s="2">
        <v>45078.0</v>
      </c>
      <c r="F554" s="1" t="s">
        <v>2540</v>
      </c>
      <c r="H554" s="3">
        <v>3.0</v>
      </c>
      <c r="I554" s="4" t="s">
        <v>2541</v>
      </c>
      <c r="J554" s="1"/>
      <c r="K554" s="1" t="s">
        <v>2542</v>
      </c>
    </row>
    <row r="555">
      <c r="A555" s="1" t="s">
        <v>2543</v>
      </c>
      <c r="B555" s="1" t="s">
        <v>2544</v>
      </c>
      <c r="C555" s="1">
        <v>2023.0</v>
      </c>
      <c r="D555" s="2">
        <v>45078.0</v>
      </c>
      <c r="F555" s="1" t="s">
        <v>59</v>
      </c>
      <c r="H555" s="3">
        <v>6.0</v>
      </c>
      <c r="I555" s="4" t="s">
        <v>2545</v>
      </c>
      <c r="J555" s="1" t="s">
        <v>2546</v>
      </c>
      <c r="K555" s="1" t="s">
        <v>16</v>
      </c>
    </row>
    <row r="556">
      <c r="A556" s="1" t="s">
        <v>2547</v>
      </c>
      <c r="B556" s="1" t="s">
        <v>2548</v>
      </c>
      <c r="C556" s="1">
        <v>2023.0</v>
      </c>
      <c r="D556" s="2">
        <v>45077.0</v>
      </c>
      <c r="F556" s="1" t="s">
        <v>1705</v>
      </c>
      <c r="H556" s="3">
        <v>0.0</v>
      </c>
      <c r="I556" s="4" t="s">
        <v>2549</v>
      </c>
      <c r="J556" s="1"/>
      <c r="K556" s="1" t="s">
        <v>68</v>
      </c>
    </row>
    <row r="557">
      <c r="A557" s="1" t="s">
        <v>2550</v>
      </c>
      <c r="B557" s="1" t="s">
        <v>2551</v>
      </c>
      <c r="C557" s="1">
        <v>2023.0</v>
      </c>
      <c r="D557" s="2">
        <v>45077.0</v>
      </c>
      <c r="F557" s="1" t="s">
        <v>218</v>
      </c>
      <c r="H557" s="3">
        <v>1.0</v>
      </c>
      <c r="I557" s="4" t="s">
        <v>2552</v>
      </c>
      <c r="J557" s="1" t="s">
        <v>2553</v>
      </c>
      <c r="K557" s="1" t="s">
        <v>383</v>
      </c>
    </row>
    <row r="558">
      <c r="A558" s="1" t="s">
        <v>2554</v>
      </c>
      <c r="B558" s="1" t="s">
        <v>2555</v>
      </c>
      <c r="C558" s="1">
        <v>2023.0</v>
      </c>
      <c r="D558" s="2">
        <v>45077.0</v>
      </c>
      <c r="F558" s="1" t="s">
        <v>1050</v>
      </c>
      <c r="H558" s="3">
        <v>0.0</v>
      </c>
      <c r="I558" s="4" t="s">
        <v>2556</v>
      </c>
      <c r="J558" s="1" t="s">
        <v>2557</v>
      </c>
      <c r="K558" s="1" t="s">
        <v>16</v>
      </c>
    </row>
    <row r="559">
      <c r="A559" s="1" t="s">
        <v>2558</v>
      </c>
      <c r="B559" s="1" t="s">
        <v>2559</v>
      </c>
      <c r="C559" s="1">
        <v>2023.0</v>
      </c>
      <c r="D559" s="2">
        <v>45076.0</v>
      </c>
      <c r="F559" s="1" t="s">
        <v>2560</v>
      </c>
      <c r="H559" s="3">
        <v>1.0</v>
      </c>
      <c r="I559" s="4" t="s">
        <v>2561</v>
      </c>
      <c r="J559" s="1" t="s">
        <v>2562</v>
      </c>
      <c r="K559" s="1" t="s">
        <v>329</v>
      </c>
    </row>
    <row r="560">
      <c r="A560" s="1" t="s">
        <v>2563</v>
      </c>
      <c r="B560" s="1" t="s">
        <v>2564</v>
      </c>
      <c r="C560" s="1">
        <v>2023.0</v>
      </c>
      <c r="D560" s="2">
        <v>45076.0</v>
      </c>
      <c r="F560" s="1" t="s">
        <v>1809</v>
      </c>
      <c r="H560" s="3">
        <v>1.0</v>
      </c>
      <c r="I560" s="4" t="s">
        <v>2565</v>
      </c>
      <c r="J560" s="1" t="s">
        <v>2566</v>
      </c>
      <c r="K560" s="1" t="s">
        <v>413</v>
      </c>
    </row>
    <row r="561">
      <c r="A561" s="1" t="s">
        <v>2567</v>
      </c>
      <c r="B561" s="1" t="s">
        <v>2568</v>
      </c>
      <c r="C561" s="1">
        <v>2023.0</v>
      </c>
      <c r="D561" s="2">
        <v>45075.0</v>
      </c>
      <c r="F561" s="1" t="s">
        <v>790</v>
      </c>
      <c r="H561" s="3">
        <v>1.0</v>
      </c>
      <c r="I561" s="4" t="s">
        <v>2569</v>
      </c>
      <c r="J561" s="1" t="s">
        <v>2570</v>
      </c>
      <c r="K561" s="1" t="s">
        <v>418</v>
      </c>
    </row>
    <row r="562">
      <c r="A562" s="1" t="s">
        <v>2571</v>
      </c>
      <c r="B562" s="1" t="s">
        <v>2572</v>
      </c>
      <c r="C562" s="1">
        <v>2023.0</v>
      </c>
      <c r="D562" s="2">
        <v>45072.0</v>
      </c>
      <c r="F562" s="1" t="s">
        <v>208</v>
      </c>
      <c r="H562" s="3">
        <v>0.0</v>
      </c>
      <c r="I562" s="4" t="s">
        <v>2573</v>
      </c>
      <c r="J562" s="1" t="s">
        <v>2574</v>
      </c>
      <c r="K562" s="1" t="s">
        <v>45</v>
      </c>
    </row>
    <row r="563">
      <c r="A563" s="1" t="s">
        <v>2575</v>
      </c>
      <c r="B563" s="1" t="s">
        <v>2576</v>
      </c>
      <c r="C563" s="1">
        <v>2023.0</v>
      </c>
      <c r="D563" s="2">
        <v>45072.0</v>
      </c>
      <c r="F563" s="1" t="s">
        <v>2577</v>
      </c>
      <c r="H563" s="3">
        <v>0.0</v>
      </c>
      <c r="I563" s="4" t="s">
        <v>2578</v>
      </c>
      <c r="J563" s="1" t="s">
        <v>2579</v>
      </c>
      <c r="K563" s="1" t="s">
        <v>16</v>
      </c>
    </row>
    <row r="564">
      <c r="A564" s="1" t="s">
        <v>2580</v>
      </c>
      <c r="B564" s="1" t="s">
        <v>2581</v>
      </c>
      <c r="C564" s="1">
        <v>2023.0</v>
      </c>
      <c r="D564" s="2">
        <v>45071.0</v>
      </c>
      <c r="F564" s="1" t="s">
        <v>71</v>
      </c>
      <c r="H564" s="3">
        <v>2.0</v>
      </c>
      <c r="I564" s="4" t="s">
        <v>2582</v>
      </c>
      <c r="J564" s="1" t="s">
        <v>2583</v>
      </c>
      <c r="K564" s="1" t="s">
        <v>323</v>
      </c>
    </row>
    <row r="565">
      <c r="A565" s="1" t="s">
        <v>2584</v>
      </c>
      <c r="B565" s="1" t="s">
        <v>2585</v>
      </c>
      <c r="C565" s="1">
        <v>2023.0</v>
      </c>
      <c r="D565" s="2">
        <v>45070.0</v>
      </c>
      <c r="F565" s="1" t="s">
        <v>2586</v>
      </c>
      <c r="H565" s="3">
        <v>0.0</v>
      </c>
      <c r="I565" s="4" t="s">
        <v>2587</v>
      </c>
      <c r="J565" s="1" t="s">
        <v>2588</v>
      </c>
      <c r="K565" s="1" t="s">
        <v>443</v>
      </c>
    </row>
    <row r="566">
      <c r="A566" s="1" t="s">
        <v>2589</v>
      </c>
      <c r="B566" s="1" t="s">
        <v>2590</v>
      </c>
      <c r="C566" s="1">
        <v>2023.0</v>
      </c>
      <c r="D566" s="2">
        <v>45067.0</v>
      </c>
      <c r="F566" s="1" t="s">
        <v>882</v>
      </c>
      <c r="H566" s="3">
        <v>11.0</v>
      </c>
      <c r="I566" s="4" t="s">
        <v>2591</v>
      </c>
      <c r="J566" s="1"/>
      <c r="K566" s="1" t="s">
        <v>16</v>
      </c>
    </row>
    <row r="567">
      <c r="A567" s="1" t="s">
        <v>2592</v>
      </c>
      <c r="B567" s="1" t="s">
        <v>2593</v>
      </c>
      <c r="C567" s="1">
        <v>2023.0</v>
      </c>
      <c r="D567" s="2">
        <v>45066.0</v>
      </c>
      <c r="F567" s="1" t="s">
        <v>2594</v>
      </c>
      <c r="H567" s="3">
        <v>0.0</v>
      </c>
      <c r="I567" s="4" t="s">
        <v>2595</v>
      </c>
      <c r="J567" s="1"/>
      <c r="K567" s="1" t="s">
        <v>45</v>
      </c>
    </row>
    <row r="568">
      <c r="A568" s="1" t="s">
        <v>2596</v>
      </c>
      <c r="B568" s="1" t="s">
        <v>2597</v>
      </c>
      <c r="C568" s="1">
        <v>2023.0</v>
      </c>
      <c r="D568" s="2">
        <v>45065.0</v>
      </c>
      <c r="F568" s="1" t="s">
        <v>2598</v>
      </c>
      <c r="H568" s="3">
        <v>2.0</v>
      </c>
      <c r="I568" s="4" t="s">
        <v>2599</v>
      </c>
      <c r="J568" s="1" t="s">
        <v>2600</v>
      </c>
      <c r="K568" s="1" t="s">
        <v>16</v>
      </c>
    </row>
    <row r="569">
      <c r="A569" s="1" t="s">
        <v>2601</v>
      </c>
      <c r="B569" s="1" t="s">
        <v>2602</v>
      </c>
      <c r="C569" s="1">
        <v>2023.0</v>
      </c>
      <c r="D569" s="2">
        <v>45064.0</v>
      </c>
      <c r="F569" s="1" t="s">
        <v>1822</v>
      </c>
      <c r="H569" s="3">
        <v>1.0</v>
      </c>
      <c r="I569" s="4" t="s">
        <v>2603</v>
      </c>
      <c r="J569" s="1" t="s">
        <v>2604</v>
      </c>
      <c r="K569" s="1" t="s">
        <v>45</v>
      </c>
    </row>
    <row r="570">
      <c r="A570" s="1" t="s">
        <v>2605</v>
      </c>
      <c r="B570" s="1" t="s">
        <v>2606</v>
      </c>
      <c r="C570" s="1">
        <v>2023.0</v>
      </c>
      <c r="D570" s="2">
        <v>45064.0</v>
      </c>
      <c r="F570" s="1" t="s">
        <v>676</v>
      </c>
      <c r="H570" s="3">
        <v>2.0</v>
      </c>
      <c r="I570" s="4" t="s">
        <v>2607</v>
      </c>
      <c r="J570" s="1" t="s">
        <v>2608</v>
      </c>
      <c r="K570" s="1" t="s">
        <v>443</v>
      </c>
    </row>
    <row r="571">
      <c r="A571" s="1" t="s">
        <v>2609</v>
      </c>
      <c r="B571" s="1" t="s">
        <v>2610</v>
      </c>
      <c r="C571" s="1">
        <v>2023.0</v>
      </c>
      <c r="D571" s="2">
        <v>45064.0</v>
      </c>
      <c r="F571" s="1" t="s">
        <v>2611</v>
      </c>
      <c r="H571" s="3">
        <v>4.0</v>
      </c>
      <c r="I571" s="4" t="s">
        <v>2612</v>
      </c>
      <c r="J571" s="1" t="s">
        <v>2613</v>
      </c>
      <c r="K571" s="1" t="s">
        <v>16</v>
      </c>
    </row>
    <row r="572">
      <c r="A572" s="1" t="s">
        <v>2614</v>
      </c>
      <c r="B572" s="1" t="s">
        <v>2615</v>
      </c>
      <c r="C572" s="1">
        <v>2023.0</v>
      </c>
      <c r="D572" s="2">
        <v>45063.0</v>
      </c>
      <c r="F572" s="1" t="s">
        <v>2616</v>
      </c>
      <c r="H572" s="3">
        <v>3.0</v>
      </c>
      <c r="I572" s="4" t="s">
        <v>2617</v>
      </c>
      <c r="J572" s="1" t="s">
        <v>2618</v>
      </c>
      <c r="K572" s="1" t="s">
        <v>28</v>
      </c>
    </row>
    <row r="573">
      <c r="A573" s="1" t="s">
        <v>2619</v>
      </c>
      <c r="B573" s="1" t="s">
        <v>2620</v>
      </c>
      <c r="C573" s="1">
        <v>2023.0</v>
      </c>
      <c r="D573" s="2">
        <v>45063.0</v>
      </c>
      <c r="F573" s="1" t="s">
        <v>2365</v>
      </c>
      <c r="H573" s="3">
        <v>4.0</v>
      </c>
      <c r="I573" s="4" t="s">
        <v>2621</v>
      </c>
      <c r="J573" s="1" t="s">
        <v>2622</v>
      </c>
      <c r="K573" s="1" t="s">
        <v>443</v>
      </c>
    </row>
    <row r="574">
      <c r="A574" s="1" t="s">
        <v>2623</v>
      </c>
      <c r="B574" s="1" t="s">
        <v>2624</v>
      </c>
      <c r="C574" s="1">
        <v>2023.0</v>
      </c>
      <c r="D574" s="2">
        <v>45062.0</v>
      </c>
      <c r="F574" s="1" t="s">
        <v>2586</v>
      </c>
      <c r="H574" s="3">
        <v>4.0</v>
      </c>
      <c r="I574" s="4" t="s">
        <v>2625</v>
      </c>
      <c r="J574" s="1" t="s">
        <v>2626</v>
      </c>
      <c r="K574" s="1" t="s">
        <v>383</v>
      </c>
    </row>
    <row r="575">
      <c r="A575" s="1" t="s">
        <v>2627</v>
      </c>
      <c r="B575" s="1" t="s">
        <v>2628</v>
      </c>
      <c r="C575" s="1">
        <v>2023.0</v>
      </c>
      <c r="D575" s="2">
        <v>45062.0</v>
      </c>
      <c r="F575" s="1" t="s">
        <v>2629</v>
      </c>
      <c r="H575" s="3">
        <v>1.0</v>
      </c>
      <c r="I575" s="4" t="s">
        <v>2630</v>
      </c>
      <c r="J575" s="1" t="s">
        <v>2631</v>
      </c>
      <c r="K575" s="1" t="s">
        <v>443</v>
      </c>
    </row>
    <row r="576">
      <c r="A576" s="1" t="s">
        <v>2632</v>
      </c>
      <c r="B576" s="1" t="s">
        <v>2633</v>
      </c>
      <c r="C576" s="1">
        <v>2023.0</v>
      </c>
      <c r="D576" s="2">
        <v>45062.0</v>
      </c>
      <c r="F576" s="1" t="s">
        <v>2634</v>
      </c>
      <c r="H576" s="3">
        <v>3.0</v>
      </c>
      <c r="I576" s="4" t="s">
        <v>2635</v>
      </c>
      <c r="J576" s="1" t="s">
        <v>2636</v>
      </c>
      <c r="K576" s="1" t="s">
        <v>16</v>
      </c>
    </row>
    <row r="577">
      <c r="A577" s="1" t="s">
        <v>2637</v>
      </c>
      <c r="B577" s="1" t="s">
        <v>2638</v>
      </c>
      <c r="C577" s="1">
        <v>2023.0</v>
      </c>
      <c r="D577" s="2">
        <v>45059.0</v>
      </c>
      <c r="F577" s="1" t="s">
        <v>369</v>
      </c>
      <c r="H577" s="3">
        <v>2.0</v>
      </c>
      <c r="I577" s="4" t="s">
        <v>2639</v>
      </c>
      <c r="J577" s="1" t="s">
        <v>2640</v>
      </c>
      <c r="K577" s="1" t="s">
        <v>418</v>
      </c>
    </row>
    <row r="578">
      <c r="A578" s="1" t="s">
        <v>2641</v>
      </c>
      <c r="B578" s="1" t="s">
        <v>2642</v>
      </c>
      <c r="C578" s="1">
        <v>2023.0</v>
      </c>
      <c r="D578" s="2">
        <v>45059.0</v>
      </c>
      <c r="F578" s="1" t="s">
        <v>2643</v>
      </c>
      <c r="H578" s="3">
        <v>1.0</v>
      </c>
      <c r="I578" s="4" t="s">
        <v>2644</v>
      </c>
      <c r="J578" s="1" t="s">
        <v>2645</v>
      </c>
      <c r="K578" s="1" t="s">
        <v>1036</v>
      </c>
    </row>
    <row r="579">
      <c r="A579" s="1" t="s">
        <v>2646</v>
      </c>
      <c r="B579" s="1" t="s">
        <v>2647</v>
      </c>
      <c r="C579" s="1">
        <v>2023.0</v>
      </c>
      <c r="D579" s="2">
        <v>45058.0</v>
      </c>
      <c r="F579" s="1" t="s">
        <v>271</v>
      </c>
      <c r="H579" s="3">
        <v>0.0</v>
      </c>
      <c r="I579" s="4" t="s">
        <v>2648</v>
      </c>
      <c r="J579" s="1" t="s">
        <v>2649</v>
      </c>
      <c r="K579" s="1" t="s">
        <v>28</v>
      </c>
    </row>
    <row r="580">
      <c r="A580" s="1" t="s">
        <v>2650</v>
      </c>
      <c r="B580" s="1" t="s">
        <v>2651</v>
      </c>
      <c r="C580" s="1">
        <v>2023.0</v>
      </c>
      <c r="D580" s="2">
        <v>45058.0</v>
      </c>
      <c r="F580" s="1" t="s">
        <v>1442</v>
      </c>
      <c r="H580" s="3">
        <v>0.0</v>
      </c>
      <c r="I580" s="4" t="s">
        <v>2652</v>
      </c>
      <c r="J580" s="1" t="s">
        <v>2653</v>
      </c>
      <c r="K580" s="1" t="s">
        <v>28</v>
      </c>
    </row>
    <row r="581">
      <c r="A581" s="1" t="s">
        <v>2654</v>
      </c>
      <c r="B581" s="1" t="s">
        <v>2655</v>
      </c>
      <c r="C581" s="1">
        <v>2023.0</v>
      </c>
      <c r="D581" s="2">
        <v>45058.0</v>
      </c>
      <c r="F581" s="1" t="s">
        <v>2656</v>
      </c>
      <c r="H581" s="3">
        <v>14.0</v>
      </c>
      <c r="I581" s="4" t="s">
        <v>2657</v>
      </c>
      <c r="J581" s="1" t="s">
        <v>2658</v>
      </c>
      <c r="K581" s="1" t="s">
        <v>28</v>
      </c>
    </row>
    <row r="582">
      <c r="A582" s="1" t="s">
        <v>2659</v>
      </c>
      <c r="B582" s="1" t="s">
        <v>2660</v>
      </c>
      <c r="C582" s="1">
        <v>2023.0</v>
      </c>
      <c r="D582" s="2">
        <v>45058.0</v>
      </c>
      <c r="F582" s="1" t="s">
        <v>2661</v>
      </c>
      <c r="H582" s="3">
        <v>12.0</v>
      </c>
      <c r="I582" s="4" t="s">
        <v>2662</v>
      </c>
      <c r="J582" s="1" t="s">
        <v>2663</v>
      </c>
      <c r="K582" s="1" t="s">
        <v>295</v>
      </c>
    </row>
    <row r="583">
      <c r="A583" s="1" t="s">
        <v>2664</v>
      </c>
      <c r="B583" s="1" t="s">
        <v>2665</v>
      </c>
      <c r="C583" s="1">
        <v>2023.0</v>
      </c>
      <c r="D583" s="2">
        <v>45058.0</v>
      </c>
      <c r="F583" s="1" t="s">
        <v>2666</v>
      </c>
      <c r="H583" s="3">
        <v>4.0</v>
      </c>
      <c r="I583" s="4" t="s">
        <v>2667</v>
      </c>
      <c r="J583" s="1" t="s">
        <v>2668</v>
      </c>
      <c r="K583" s="1" t="s">
        <v>16</v>
      </c>
    </row>
    <row r="584">
      <c r="A584" s="1" t="s">
        <v>2669</v>
      </c>
      <c r="B584" s="1" t="s">
        <v>2670</v>
      </c>
      <c r="C584" s="1">
        <v>2023.0</v>
      </c>
      <c r="D584" s="2">
        <v>45057.0</v>
      </c>
      <c r="F584" s="1" t="s">
        <v>2671</v>
      </c>
      <c r="H584" s="3">
        <v>2.0</v>
      </c>
      <c r="I584" s="4" t="s">
        <v>2672</v>
      </c>
      <c r="J584" s="1" t="s">
        <v>2673</v>
      </c>
      <c r="K584" s="1" t="s">
        <v>28</v>
      </c>
    </row>
    <row r="585">
      <c r="A585" s="1" t="s">
        <v>2674</v>
      </c>
      <c r="B585" s="1" t="s">
        <v>2675</v>
      </c>
      <c r="C585" s="1">
        <v>2023.0</v>
      </c>
      <c r="D585" s="2">
        <v>45055.0</v>
      </c>
      <c r="F585" s="1" t="s">
        <v>2676</v>
      </c>
      <c r="H585" s="3">
        <v>0.0</v>
      </c>
      <c r="I585" s="4" t="s">
        <v>2677</v>
      </c>
      <c r="J585" s="1" t="s">
        <v>2678</v>
      </c>
      <c r="K585" s="1" t="s">
        <v>372</v>
      </c>
    </row>
    <row r="586">
      <c r="A586" s="1" t="s">
        <v>2679</v>
      </c>
      <c r="B586" s="1" t="s">
        <v>2680</v>
      </c>
      <c r="C586" s="1">
        <v>2023.0</v>
      </c>
      <c r="D586" s="2">
        <v>45054.0</v>
      </c>
      <c r="F586" s="1" t="s">
        <v>276</v>
      </c>
      <c r="H586" s="3">
        <v>3.0</v>
      </c>
      <c r="I586" s="4" t="s">
        <v>2681</v>
      </c>
      <c r="J586" s="1" t="s">
        <v>2682</v>
      </c>
      <c r="K586" s="1" t="s">
        <v>317</v>
      </c>
    </row>
    <row r="587">
      <c r="A587" s="1" t="s">
        <v>2683</v>
      </c>
      <c r="B587" s="1" t="s">
        <v>2684</v>
      </c>
      <c r="C587" s="1">
        <v>2023.0</v>
      </c>
      <c r="D587" s="2">
        <v>45052.0</v>
      </c>
      <c r="F587" s="1" t="s">
        <v>1514</v>
      </c>
      <c r="H587" s="3">
        <v>2.0</v>
      </c>
      <c r="I587" s="4" t="s">
        <v>2685</v>
      </c>
      <c r="J587" s="1" t="s">
        <v>2686</v>
      </c>
      <c r="K587" s="1" t="s">
        <v>28</v>
      </c>
    </row>
    <row r="588">
      <c r="A588" s="1" t="s">
        <v>2687</v>
      </c>
      <c r="B588" s="1" t="s">
        <v>2688</v>
      </c>
      <c r="C588" s="1">
        <v>2023.0</v>
      </c>
      <c r="D588" s="2">
        <v>45052.0</v>
      </c>
      <c r="F588" s="1" t="s">
        <v>1899</v>
      </c>
      <c r="H588" s="3">
        <v>2.0</v>
      </c>
      <c r="I588" s="4" t="s">
        <v>2689</v>
      </c>
      <c r="J588" s="1" t="s">
        <v>2690</v>
      </c>
      <c r="K588" s="1" t="s">
        <v>28</v>
      </c>
    </row>
    <row r="589">
      <c r="A589" s="1" t="s">
        <v>2691</v>
      </c>
      <c r="B589" s="1" t="s">
        <v>2692</v>
      </c>
      <c r="C589" s="1">
        <v>2023.0</v>
      </c>
      <c r="D589" s="2">
        <v>45050.0</v>
      </c>
      <c r="F589" s="1" t="s">
        <v>2693</v>
      </c>
      <c r="H589" s="3">
        <v>0.0</v>
      </c>
      <c r="I589" s="4" t="s">
        <v>2694</v>
      </c>
      <c r="J589" s="1" t="s">
        <v>2695</v>
      </c>
      <c r="K589" s="1" t="s">
        <v>323</v>
      </c>
    </row>
    <row r="590">
      <c r="A590" s="1" t="s">
        <v>2696</v>
      </c>
      <c r="B590" s="1" t="s">
        <v>2697</v>
      </c>
      <c r="C590" s="1">
        <v>2023.0</v>
      </c>
      <c r="D590" s="2">
        <v>45050.0</v>
      </c>
      <c r="F590" s="1" t="s">
        <v>2698</v>
      </c>
      <c r="H590" s="3">
        <v>4.0</v>
      </c>
      <c r="I590" s="4" t="s">
        <v>2699</v>
      </c>
      <c r="J590" s="1" t="s">
        <v>2700</v>
      </c>
      <c r="K590" s="1" t="s">
        <v>68</v>
      </c>
    </row>
    <row r="591">
      <c r="A591" s="1" t="s">
        <v>2701</v>
      </c>
      <c r="B591" s="1" t="s">
        <v>2702</v>
      </c>
      <c r="C591" s="1">
        <v>2023.0</v>
      </c>
      <c r="D591" s="2">
        <v>45050.0</v>
      </c>
      <c r="F591" s="1" t="s">
        <v>1859</v>
      </c>
      <c r="H591" s="3">
        <v>1.0</v>
      </c>
      <c r="I591" s="4" t="s">
        <v>2703</v>
      </c>
      <c r="J591" s="1" t="s">
        <v>2704</v>
      </c>
      <c r="K591" s="1" t="s">
        <v>323</v>
      </c>
    </row>
    <row r="592">
      <c r="A592" s="1" t="s">
        <v>2705</v>
      </c>
      <c r="B592" s="1" t="s">
        <v>2706</v>
      </c>
      <c r="C592" s="1">
        <v>2023.0</v>
      </c>
      <c r="D592" s="2">
        <v>45050.0</v>
      </c>
      <c r="F592" s="1" t="s">
        <v>2707</v>
      </c>
      <c r="H592" s="3">
        <v>2.0</v>
      </c>
      <c r="I592" s="4" t="s">
        <v>2708</v>
      </c>
      <c r="J592" s="1" t="s">
        <v>2709</v>
      </c>
      <c r="K592" s="1" t="s">
        <v>462</v>
      </c>
    </row>
    <row r="593">
      <c r="A593" s="1" t="s">
        <v>2710</v>
      </c>
      <c r="B593" s="1" t="s">
        <v>2711</v>
      </c>
      <c r="C593" s="1">
        <v>2023.0</v>
      </c>
      <c r="D593" s="2">
        <v>45049.0</v>
      </c>
      <c r="F593" s="1" t="s">
        <v>519</v>
      </c>
      <c r="H593" s="3">
        <v>3.0</v>
      </c>
      <c r="I593" s="4" t="s">
        <v>2712</v>
      </c>
      <c r="J593" s="1" t="s">
        <v>2713</v>
      </c>
      <c r="K593" s="1" t="s">
        <v>443</v>
      </c>
    </row>
    <row r="594">
      <c r="A594" s="1" t="s">
        <v>2714</v>
      </c>
      <c r="B594" s="1" t="s">
        <v>2715</v>
      </c>
      <c r="C594" s="1">
        <v>2023.0</v>
      </c>
      <c r="D594" s="2">
        <v>45049.0</v>
      </c>
      <c r="F594" s="1" t="s">
        <v>2577</v>
      </c>
      <c r="H594" s="3">
        <v>0.0</v>
      </c>
      <c r="I594" s="4" t="s">
        <v>2716</v>
      </c>
      <c r="J594" s="1" t="s">
        <v>2717</v>
      </c>
      <c r="K594" s="1" t="s">
        <v>323</v>
      </c>
    </row>
    <row r="595">
      <c r="A595" s="1" t="s">
        <v>2718</v>
      </c>
      <c r="B595" s="1" t="s">
        <v>2719</v>
      </c>
      <c r="C595" s="1">
        <v>2023.0</v>
      </c>
      <c r="D595" s="2">
        <v>45049.0</v>
      </c>
      <c r="F595" s="1" t="s">
        <v>396</v>
      </c>
      <c r="H595" s="3">
        <v>19.0</v>
      </c>
      <c r="I595" s="4" t="s">
        <v>2720</v>
      </c>
      <c r="J595" s="1" t="s">
        <v>2721</v>
      </c>
      <c r="K595" s="1" t="s">
        <v>28</v>
      </c>
    </row>
    <row r="596">
      <c r="A596" s="1" t="s">
        <v>2722</v>
      </c>
      <c r="B596" s="1" t="s">
        <v>2723</v>
      </c>
      <c r="C596" s="1">
        <v>2023.0</v>
      </c>
      <c r="D596" s="2">
        <v>45049.0</v>
      </c>
      <c r="F596" s="1" t="s">
        <v>519</v>
      </c>
      <c r="H596" s="3">
        <v>1.0</v>
      </c>
      <c r="I596" s="4" t="s">
        <v>2724</v>
      </c>
      <c r="J596" s="1" t="s">
        <v>2725</v>
      </c>
      <c r="K596" s="1" t="s">
        <v>68</v>
      </c>
    </row>
    <row r="597">
      <c r="A597" s="1" t="s">
        <v>2726</v>
      </c>
      <c r="B597" s="1" t="s">
        <v>2727</v>
      </c>
      <c r="C597" s="1">
        <v>2023.0</v>
      </c>
      <c r="D597" s="2">
        <v>45049.0</v>
      </c>
      <c r="F597" s="1" t="s">
        <v>1300</v>
      </c>
      <c r="H597" s="3">
        <v>10.0</v>
      </c>
      <c r="I597" s="4" t="s">
        <v>2728</v>
      </c>
      <c r="J597" s="1" t="s">
        <v>2729</v>
      </c>
      <c r="K597" s="1" t="s">
        <v>16</v>
      </c>
    </row>
    <row r="598">
      <c r="A598" s="1" t="s">
        <v>2730</v>
      </c>
      <c r="B598" s="1" t="s">
        <v>2731</v>
      </c>
      <c r="C598" s="1">
        <v>2023.0</v>
      </c>
      <c r="D598" s="2">
        <v>45049.0</v>
      </c>
      <c r="F598" s="1" t="s">
        <v>2732</v>
      </c>
      <c r="H598" s="3">
        <v>8.0</v>
      </c>
      <c r="I598" s="4" t="s">
        <v>2733</v>
      </c>
      <c r="J598" s="1" t="s">
        <v>2734</v>
      </c>
      <c r="K598" s="1" t="s">
        <v>16</v>
      </c>
    </row>
    <row r="599">
      <c r="A599" s="1" t="s">
        <v>2735</v>
      </c>
      <c r="B599" s="1" t="s">
        <v>2736</v>
      </c>
      <c r="C599" s="1">
        <v>2023.0</v>
      </c>
      <c r="D599" s="2">
        <v>45049.0</v>
      </c>
      <c r="F599" s="1" t="s">
        <v>716</v>
      </c>
      <c r="H599" s="3">
        <v>1.0</v>
      </c>
      <c r="I599" s="4" t="s">
        <v>2737</v>
      </c>
      <c r="J599" s="1" t="s">
        <v>2738</v>
      </c>
      <c r="K599" s="1" t="s">
        <v>295</v>
      </c>
    </row>
    <row r="600">
      <c r="A600" s="1" t="s">
        <v>2739</v>
      </c>
      <c r="B600" s="1" t="s">
        <v>2740</v>
      </c>
      <c r="C600" s="1">
        <v>2023.0</v>
      </c>
      <c r="D600" s="2">
        <v>45047.0</v>
      </c>
      <c r="F600" s="1" t="s">
        <v>2741</v>
      </c>
      <c r="H600" s="3">
        <v>9.0</v>
      </c>
      <c r="I600" s="4" t="s">
        <v>2742</v>
      </c>
      <c r="J600" s="1"/>
      <c r="K600" s="1" t="s">
        <v>45</v>
      </c>
    </row>
    <row r="601">
      <c r="A601" s="1" t="s">
        <v>2743</v>
      </c>
      <c r="B601" s="1" t="s">
        <v>2744</v>
      </c>
      <c r="C601" s="1">
        <v>2023.0</v>
      </c>
      <c r="D601" s="2">
        <v>45047.0</v>
      </c>
      <c r="F601" s="1" t="s">
        <v>1420</v>
      </c>
      <c r="H601" s="3">
        <v>2.0</v>
      </c>
      <c r="I601" s="4" t="s">
        <v>2745</v>
      </c>
      <c r="J601" s="1" t="s">
        <v>2746</v>
      </c>
      <c r="K601" s="1" t="s">
        <v>403</v>
      </c>
    </row>
    <row r="602">
      <c r="A602" s="1" t="s">
        <v>2747</v>
      </c>
      <c r="B602" s="1" t="s">
        <v>2748</v>
      </c>
      <c r="C602" s="1">
        <v>2023.0</v>
      </c>
      <c r="D602" s="2">
        <v>45047.0</v>
      </c>
      <c r="F602" s="1" t="s">
        <v>2749</v>
      </c>
      <c r="H602" s="3">
        <v>0.0</v>
      </c>
      <c r="I602" s="4" t="s">
        <v>2750</v>
      </c>
      <c r="J602" s="1" t="s">
        <v>2751</v>
      </c>
      <c r="K602" s="1" t="s">
        <v>16</v>
      </c>
    </row>
    <row r="603">
      <c r="A603" s="1" t="s">
        <v>2752</v>
      </c>
      <c r="B603" s="1" t="s">
        <v>2753</v>
      </c>
      <c r="C603" s="1">
        <v>2023.0</v>
      </c>
      <c r="D603" s="2">
        <v>45044.0</v>
      </c>
      <c r="F603" s="1" t="s">
        <v>591</v>
      </c>
      <c r="H603" s="3">
        <v>2.0</v>
      </c>
      <c r="I603" s="4" t="s">
        <v>2754</v>
      </c>
      <c r="J603" s="1" t="s">
        <v>2755</v>
      </c>
      <c r="K603" s="1" t="s">
        <v>329</v>
      </c>
    </row>
    <row r="604">
      <c r="A604" s="1" t="s">
        <v>2756</v>
      </c>
      <c r="B604" s="1" t="s">
        <v>2757</v>
      </c>
      <c r="C604" s="1">
        <v>2023.0</v>
      </c>
      <c r="D604" s="2">
        <v>45043.0</v>
      </c>
      <c r="F604" s="1" t="s">
        <v>2151</v>
      </c>
      <c r="H604" s="3">
        <v>7.0</v>
      </c>
      <c r="I604" s="4" t="s">
        <v>2758</v>
      </c>
      <c r="J604" s="1" t="s">
        <v>2759</v>
      </c>
      <c r="K604" s="1" t="s">
        <v>45</v>
      </c>
    </row>
    <row r="605">
      <c r="A605" s="1" t="s">
        <v>2760</v>
      </c>
      <c r="B605" s="1" t="s">
        <v>2761</v>
      </c>
      <c r="C605" s="1">
        <v>2023.0</v>
      </c>
      <c r="D605" s="2">
        <v>45043.0</v>
      </c>
      <c r="F605" s="1" t="s">
        <v>2497</v>
      </c>
      <c r="H605" s="3">
        <v>4.0</v>
      </c>
      <c r="I605" s="4" t="s">
        <v>2762</v>
      </c>
      <c r="J605" s="1" t="s">
        <v>2763</v>
      </c>
      <c r="K605" s="1" t="s">
        <v>45</v>
      </c>
    </row>
    <row r="606">
      <c r="A606" s="1" t="s">
        <v>2764</v>
      </c>
      <c r="B606" s="1" t="s">
        <v>2765</v>
      </c>
      <c r="C606" s="1">
        <v>2023.0</v>
      </c>
      <c r="D606" s="2">
        <v>45043.0</v>
      </c>
      <c r="F606" s="1" t="s">
        <v>2444</v>
      </c>
      <c r="H606" s="3">
        <v>42.0</v>
      </c>
      <c r="I606" s="4" t="s">
        <v>2766</v>
      </c>
      <c r="J606" s="1" t="s">
        <v>2767</v>
      </c>
      <c r="K606" s="1" t="s">
        <v>329</v>
      </c>
    </row>
    <row r="607">
      <c r="A607" s="1" t="s">
        <v>2768</v>
      </c>
      <c r="B607" s="1" t="s">
        <v>2769</v>
      </c>
      <c r="C607" s="1">
        <v>2023.0</v>
      </c>
      <c r="D607" s="2">
        <v>45043.0</v>
      </c>
      <c r="F607" s="1" t="s">
        <v>1410</v>
      </c>
      <c r="H607" s="3">
        <v>2.0</v>
      </c>
      <c r="I607" s="4" t="s">
        <v>2770</v>
      </c>
      <c r="J607" s="1" t="s">
        <v>2771</v>
      </c>
      <c r="K607" s="1" t="s">
        <v>295</v>
      </c>
    </row>
    <row r="608">
      <c r="A608" s="1" t="s">
        <v>2772</v>
      </c>
      <c r="B608" s="1" t="s">
        <v>2773</v>
      </c>
      <c r="C608" s="1">
        <v>2023.0</v>
      </c>
      <c r="D608" s="2">
        <v>45043.0</v>
      </c>
      <c r="F608" s="1" t="s">
        <v>2774</v>
      </c>
      <c r="H608" s="3">
        <v>4.0</v>
      </c>
      <c r="I608" s="4" t="s">
        <v>2775</v>
      </c>
      <c r="J608" s="1" t="s">
        <v>2776</v>
      </c>
      <c r="K608" s="1" t="s">
        <v>16</v>
      </c>
    </row>
    <row r="609">
      <c r="A609" s="1" t="s">
        <v>2777</v>
      </c>
      <c r="B609" s="1" t="s">
        <v>2778</v>
      </c>
      <c r="C609" s="1">
        <v>2023.0</v>
      </c>
      <c r="D609" s="2">
        <v>45042.0</v>
      </c>
      <c r="F609" s="1" t="s">
        <v>510</v>
      </c>
      <c r="H609" s="3">
        <v>0.0</v>
      </c>
      <c r="I609" s="4" t="s">
        <v>2779</v>
      </c>
      <c r="J609" s="1" t="s">
        <v>2780</v>
      </c>
      <c r="K609" s="1" t="s">
        <v>28</v>
      </c>
    </row>
    <row r="610">
      <c r="A610" s="1" t="s">
        <v>2781</v>
      </c>
      <c r="B610" s="1" t="s">
        <v>2782</v>
      </c>
      <c r="C610" s="1">
        <v>2023.0</v>
      </c>
      <c r="D610" s="2">
        <v>45041.0</v>
      </c>
      <c r="F610" s="1" t="s">
        <v>208</v>
      </c>
      <c r="H610" s="3">
        <v>0.0</v>
      </c>
      <c r="I610" s="4" t="s">
        <v>2783</v>
      </c>
      <c r="J610" s="1" t="s">
        <v>2784</v>
      </c>
      <c r="K610" s="1" t="s">
        <v>28</v>
      </c>
    </row>
    <row r="611">
      <c r="A611" s="1" t="s">
        <v>2785</v>
      </c>
      <c r="B611" s="1" t="s">
        <v>2786</v>
      </c>
      <c r="C611" s="1">
        <v>2023.0</v>
      </c>
      <c r="D611" s="2">
        <v>45041.0</v>
      </c>
      <c r="F611" s="1" t="s">
        <v>1095</v>
      </c>
      <c r="H611" s="3">
        <v>1.0</v>
      </c>
      <c r="I611" s="4" t="s">
        <v>2787</v>
      </c>
      <c r="J611" s="1" t="s">
        <v>2788</v>
      </c>
      <c r="K611" s="1" t="s">
        <v>16</v>
      </c>
    </row>
    <row r="612">
      <c r="A612" s="1" t="s">
        <v>2789</v>
      </c>
      <c r="B612" s="1" t="s">
        <v>2790</v>
      </c>
      <c r="C612" s="1">
        <v>2023.0</v>
      </c>
      <c r="D612" s="2">
        <v>45040.0</v>
      </c>
      <c r="F612" s="1" t="s">
        <v>276</v>
      </c>
      <c r="H612" s="3">
        <v>2.0</v>
      </c>
      <c r="I612" s="4" t="s">
        <v>2791</v>
      </c>
      <c r="J612" s="1" t="s">
        <v>2792</v>
      </c>
      <c r="K612" s="1" t="s">
        <v>443</v>
      </c>
    </row>
    <row r="613">
      <c r="A613" s="1" t="s">
        <v>2793</v>
      </c>
      <c r="B613" s="1" t="s">
        <v>2794</v>
      </c>
      <c r="C613" s="1">
        <v>2023.0</v>
      </c>
      <c r="D613" s="2">
        <v>45039.0</v>
      </c>
      <c r="F613" s="1" t="s">
        <v>91</v>
      </c>
      <c r="H613" s="3">
        <v>0.0</v>
      </c>
      <c r="I613" s="4" t="s">
        <v>2795</v>
      </c>
      <c r="J613" s="1" t="s">
        <v>2796</v>
      </c>
      <c r="K613" s="1" t="s">
        <v>477</v>
      </c>
    </row>
    <row r="614">
      <c r="A614" s="1" t="s">
        <v>2797</v>
      </c>
      <c r="B614" s="1" t="s">
        <v>2798</v>
      </c>
      <c r="C614" s="1">
        <v>2023.0</v>
      </c>
      <c r="D614" s="2">
        <v>45038.0</v>
      </c>
      <c r="F614" s="1" t="s">
        <v>369</v>
      </c>
      <c r="H614" s="3">
        <v>0.0</v>
      </c>
      <c r="I614" s="4" t="s">
        <v>2799</v>
      </c>
      <c r="J614" s="1" t="s">
        <v>2800</v>
      </c>
      <c r="K614" s="1" t="s">
        <v>295</v>
      </c>
    </row>
    <row r="615">
      <c r="A615" s="1" t="s">
        <v>2801</v>
      </c>
      <c r="B615" s="1" t="s">
        <v>2802</v>
      </c>
      <c r="C615" s="1">
        <v>2023.0</v>
      </c>
      <c r="D615" s="2">
        <v>45037.0</v>
      </c>
      <c r="F615" s="1" t="s">
        <v>31</v>
      </c>
      <c r="H615" s="3">
        <v>1.0</v>
      </c>
      <c r="I615" s="4" t="s">
        <v>2803</v>
      </c>
      <c r="J615" s="1" t="s">
        <v>2804</v>
      </c>
      <c r="K615" s="1" t="s">
        <v>340</v>
      </c>
    </row>
    <row r="616">
      <c r="A616" s="1" t="s">
        <v>2805</v>
      </c>
      <c r="B616" s="1" t="s">
        <v>2806</v>
      </c>
      <c r="C616" s="1">
        <v>2023.0</v>
      </c>
      <c r="D616" s="2">
        <v>45037.0</v>
      </c>
      <c r="F616" s="1" t="s">
        <v>271</v>
      </c>
      <c r="H616" s="3">
        <v>1.0</v>
      </c>
      <c r="I616" s="4" t="s">
        <v>2807</v>
      </c>
      <c r="J616" s="1" t="s">
        <v>2808</v>
      </c>
      <c r="K616" s="1" t="s">
        <v>295</v>
      </c>
    </row>
    <row r="617">
      <c r="A617" s="1" t="s">
        <v>2809</v>
      </c>
      <c r="B617" s="1" t="s">
        <v>2810</v>
      </c>
      <c r="C617" s="1">
        <v>2023.0</v>
      </c>
      <c r="D617" s="2">
        <v>45037.0</v>
      </c>
      <c r="F617" s="1" t="s">
        <v>591</v>
      </c>
      <c r="H617" s="3">
        <v>0.0</v>
      </c>
      <c r="I617" s="4" t="s">
        <v>2811</v>
      </c>
      <c r="J617" s="1"/>
      <c r="K617" s="1" t="s">
        <v>443</v>
      </c>
    </row>
    <row r="618">
      <c r="A618" s="1" t="s">
        <v>2812</v>
      </c>
      <c r="B618" s="1" t="s">
        <v>2813</v>
      </c>
      <c r="C618" s="1">
        <v>2023.0</v>
      </c>
      <c r="D618" s="2">
        <v>45036.0</v>
      </c>
      <c r="F618" s="1" t="s">
        <v>2814</v>
      </c>
      <c r="H618" s="3">
        <v>2.0</v>
      </c>
      <c r="I618" s="4" t="s">
        <v>2815</v>
      </c>
      <c r="J618" s="1" t="s">
        <v>2816</v>
      </c>
      <c r="K618" s="1" t="s">
        <v>418</v>
      </c>
    </row>
    <row r="619">
      <c r="A619" s="1" t="s">
        <v>2817</v>
      </c>
      <c r="B619" s="1" t="s">
        <v>2818</v>
      </c>
      <c r="C619" s="1">
        <v>2023.0</v>
      </c>
      <c r="D619" s="2">
        <v>45036.0</v>
      </c>
      <c r="F619" s="1" t="s">
        <v>2819</v>
      </c>
      <c r="H619" s="3">
        <v>11.0</v>
      </c>
      <c r="I619" s="4" t="s">
        <v>2820</v>
      </c>
      <c r="J619" s="1" t="s">
        <v>2821</v>
      </c>
      <c r="K619" s="1" t="s">
        <v>383</v>
      </c>
    </row>
    <row r="620">
      <c r="A620" s="1" t="s">
        <v>2822</v>
      </c>
      <c r="B620" s="1" t="s">
        <v>2823</v>
      </c>
      <c r="C620" s="1">
        <v>2023.0</v>
      </c>
      <c r="D620" s="2">
        <v>45035.0</v>
      </c>
      <c r="F620" s="1" t="s">
        <v>271</v>
      </c>
      <c r="H620" s="3">
        <v>0.0</v>
      </c>
      <c r="I620" s="4" t="s">
        <v>2824</v>
      </c>
      <c r="J620" s="1" t="s">
        <v>2825</v>
      </c>
      <c r="K620" s="1" t="s">
        <v>323</v>
      </c>
    </row>
    <row r="621">
      <c r="A621" s="1" t="s">
        <v>2826</v>
      </c>
      <c r="B621" s="1" t="s">
        <v>2827</v>
      </c>
      <c r="C621" s="1">
        <v>2023.0</v>
      </c>
      <c r="D621" s="2">
        <v>45035.0</v>
      </c>
      <c r="F621" s="1" t="s">
        <v>2828</v>
      </c>
      <c r="H621" s="3">
        <v>14.0</v>
      </c>
      <c r="I621" s="4" t="s">
        <v>2829</v>
      </c>
      <c r="J621" s="1" t="s">
        <v>2830</v>
      </c>
      <c r="K621" s="1" t="s">
        <v>28</v>
      </c>
    </row>
    <row r="622">
      <c r="A622" s="1" t="s">
        <v>2831</v>
      </c>
      <c r="B622" s="1" t="s">
        <v>2832</v>
      </c>
      <c r="C622" s="1">
        <v>2023.0</v>
      </c>
      <c r="D622" s="2">
        <v>45035.0</v>
      </c>
      <c r="F622" s="1" t="s">
        <v>1514</v>
      </c>
      <c r="H622" s="3">
        <v>6.0</v>
      </c>
      <c r="I622" s="4" t="s">
        <v>2833</v>
      </c>
      <c r="J622" s="1" t="s">
        <v>2834</v>
      </c>
      <c r="K622" s="1" t="s">
        <v>28</v>
      </c>
    </row>
    <row r="623">
      <c r="A623" s="1" t="s">
        <v>2835</v>
      </c>
      <c r="B623" s="1" t="s">
        <v>2836</v>
      </c>
      <c r="C623" s="1">
        <v>2023.0</v>
      </c>
      <c r="D623" s="2">
        <v>45035.0</v>
      </c>
      <c r="F623" s="1" t="s">
        <v>1349</v>
      </c>
      <c r="H623" s="3">
        <v>0.0</v>
      </c>
      <c r="I623" s="4" t="s">
        <v>2837</v>
      </c>
      <c r="J623" s="1" t="s">
        <v>2838</v>
      </c>
      <c r="K623" s="1" t="s">
        <v>323</v>
      </c>
    </row>
    <row r="624">
      <c r="A624" s="1" t="s">
        <v>2839</v>
      </c>
      <c r="B624" s="1" t="s">
        <v>2840</v>
      </c>
      <c r="C624" s="1">
        <v>2023.0</v>
      </c>
      <c r="D624" s="2">
        <v>45033.0</v>
      </c>
      <c r="F624" s="1" t="s">
        <v>1654</v>
      </c>
      <c r="H624" s="3">
        <v>7.0</v>
      </c>
      <c r="I624" s="4" t="s">
        <v>2841</v>
      </c>
      <c r="J624" s="1" t="s">
        <v>2842</v>
      </c>
      <c r="K624" s="1" t="s">
        <v>571</v>
      </c>
    </row>
    <row r="625">
      <c r="A625" s="1" t="s">
        <v>2843</v>
      </c>
      <c r="B625" s="1" t="s">
        <v>2844</v>
      </c>
      <c r="C625" s="1">
        <v>2023.0</v>
      </c>
      <c r="D625" s="2">
        <v>45033.0</v>
      </c>
      <c r="F625" s="1" t="s">
        <v>877</v>
      </c>
      <c r="H625" s="3">
        <v>10.0</v>
      </c>
      <c r="I625" s="4" t="s">
        <v>2845</v>
      </c>
      <c r="J625" s="1" t="s">
        <v>2846</v>
      </c>
      <c r="K625" s="1" t="s">
        <v>383</v>
      </c>
    </row>
    <row r="626">
      <c r="A626" s="1" t="s">
        <v>2847</v>
      </c>
      <c r="B626" s="1" t="s">
        <v>2848</v>
      </c>
      <c r="C626" s="1">
        <v>2023.0</v>
      </c>
      <c r="D626" s="2">
        <v>45032.0</v>
      </c>
      <c r="F626" s="1" t="s">
        <v>743</v>
      </c>
      <c r="H626" s="3">
        <v>1.0</v>
      </c>
      <c r="I626" s="4" t="s">
        <v>2849</v>
      </c>
      <c r="J626" s="1" t="s">
        <v>2850</v>
      </c>
      <c r="K626" s="1" t="s">
        <v>68</v>
      </c>
    </row>
    <row r="627">
      <c r="A627" s="1" t="s">
        <v>2851</v>
      </c>
      <c r="B627" s="1" t="s">
        <v>2852</v>
      </c>
      <c r="C627" s="1">
        <v>2023.0</v>
      </c>
      <c r="D627" s="2">
        <v>45031.0</v>
      </c>
      <c r="F627" s="1" t="s">
        <v>568</v>
      </c>
      <c r="H627" s="3">
        <v>1.0</v>
      </c>
      <c r="I627" s="4" t="s">
        <v>2853</v>
      </c>
      <c r="J627" s="1" t="s">
        <v>2854</v>
      </c>
      <c r="K627" s="1" t="s">
        <v>68</v>
      </c>
    </row>
    <row r="628">
      <c r="A628" s="1" t="s">
        <v>2855</v>
      </c>
      <c r="B628" s="1" t="s">
        <v>2856</v>
      </c>
      <c r="C628" s="1">
        <v>2023.0</v>
      </c>
      <c r="D628" s="2">
        <v>45029.0</v>
      </c>
      <c r="F628" s="1" t="s">
        <v>2857</v>
      </c>
      <c r="H628" s="3">
        <v>0.0</v>
      </c>
      <c r="I628" s="4" t="s">
        <v>2858</v>
      </c>
      <c r="J628" s="1" t="s">
        <v>2859</v>
      </c>
      <c r="K628" s="1" t="s">
        <v>372</v>
      </c>
    </row>
    <row r="629">
      <c r="A629" s="1" t="s">
        <v>2860</v>
      </c>
      <c r="B629" s="1" t="s">
        <v>2861</v>
      </c>
      <c r="C629" s="1">
        <v>2023.0</v>
      </c>
      <c r="D629" s="2">
        <v>45029.0</v>
      </c>
      <c r="F629" s="1" t="s">
        <v>2862</v>
      </c>
      <c r="H629" s="3">
        <v>7.0</v>
      </c>
      <c r="I629" s="4" t="s">
        <v>2863</v>
      </c>
      <c r="J629" s="1" t="s">
        <v>2864</v>
      </c>
      <c r="K629" s="1" t="s">
        <v>28</v>
      </c>
    </row>
    <row r="630">
      <c r="A630" s="1" t="s">
        <v>2865</v>
      </c>
      <c r="B630" s="1" t="s">
        <v>2866</v>
      </c>
      <c r="C630" s="1">
        <v>2023.0</v>
      </c>
      <c r="D630" s="2">
        <v>45029.0</v>
      </c>
      <c r="F630" s="1" t="s">
        <v>1050</v>
      </c>
      <c r="H630" s="3">
        <v>1.0</v>
      </c>
      <c r="I630" s="4" t="s">
        <v>2867</v>
      </c>
      <c r="J630" s="1" t="s">
        <v>2868</v>
      </c>
      <c r="K630" s="1" t="s">
        <v>16</v>
      </c>
    </row>
    <row r="631">
      <c r="A631" s="1" t="s">
        <v>2869</v>
      </c>
      <c r="B631" s="1" t="s">
        <v>2870</v>
      </c>
      <c r="C631" s="1">
        <v>2023.0</v>
      </c>
      <c r="D631" s="2">
        <v>45028.0</v>
      </c>
      <c r="F631" s="1" t="s">
        <v>489</v>
      </c>
      <c r="H631" s="3">
        <v>10.0</v>
      </c>
      <c r="I631" s="4" t="s">
        <v>2871</v>
      </c>
      <c r="J631" s="1" t="s">
        <v>2872</v>
      </c>
      <c r="K631" s="1" t="s">
        <v>28</v>
      </c>
    </row>
    <row r="632">
      <c r="A632" s="1" t="s">
        <v>2873</v>
      </c>
      <c r="B632" s="1" t="s">
        <v>2874</v>
      </c>
      <c r="C632" s="1">
        <v>2023.0</v>
      </c>
      <c r="D632" s="2">
        <v>45028.0</v>
      </c>
      <c r="F632" s="1" t="s">
        <v>2875</v>
      </c>
      <c r="H632" s="3">
        <v>1.0</v>
      </c>
      <c r="I632" s="4" t="s">
        <v>2876</v>
      </c>
      <c r="J632" s="1" t="s">
        <v>2877</v>
      </c>
      <c r="K632" s="1" t="s">
        <v>16</v>
      </c>
    </row>
    <row r="633">
      <c r="A633" s="1" t="s">
        <v>2878</v>
      </c>
      <c r="B633" s="1" t="s">
        <v>2879</v>
      </c>
      <c r="C633" s="1">
        <v>2023.0</v>
      </c>
      <c r="D633" s="2">
        <v>45027.0</v>
      </c>
      <c r="F633" s="1" t="s">
        <v>2880</v>
      </c>
      <c r="H633" s="3">
        <v>1.0</v>
      </c>
      <c r="I633" s="4" t="s">
        <v>2881</v>
      </c>
      <c r="J633" s="1" t="s">
        <v>2882</v>
      </c>
      <c r="K633" s="1" t="s">
        <v>28</v>
      </c>
    </row>
    <row r="634">
      <c r="A634" s="1" t="s">
        <v>2883</v>
      </c>
      <c r="B634" s="1" t="s">
        <v>2884</v>
      </c>
      <c r="C634" s="1">
        <v>2023.0</v>
      </c>
      <c r="D634" s="2">
        <v>45027.0</v>
      </c>
      <c r="F634" s="1" t="s">
        <v>218</v>
      </c>
      <c r="H634" s="3">
        <v>5.0</v>
      </c>
      <c r="I634" s="4" t="s">
        <v>2885</v>
      </c>
      <c r="J634" s="1" t="s">
        <v>2886</v>
      </c>
      <c r="K634" s="1" t="s">
        <v>413</v>
      </c>
    </row>
    <row r="635">
      <c r="A635" s="1" t="s">
        <v>2887</v>
      </c>
      <c r="B635" s="1" t="s">
        <v>1758</v>
      </c>
      <c r="C635" s="1">
        <v>2023.0</v>
      </c>
      <c r="D635" s="2">
        <v>45027.0</v>
      </c>
      <c r="F635" s="1" t="s">
        <v>1300</v>
      </c>
      <c r="H635" s="3">
        <v>2.0</v>
      </c>
      <c r="I635" s="4" t="s">
        <v>2888</v>
      </c>
      <c r="J635" s="1" t="s">
        <v>2889</v>
      </c>
      <c r="K635" s="1" t="s">
        <v>16</v>
      </c>
    </row>
    <row r="636">
      <c r="A636" s="1" t="s">
        <v>2890</v>
      </c>
      <c r="B636" s="1" t="s">
        <v>2891</v>
      </c>
      <c r="C636" s="1">
        <v>2023.0</v>
      </c>
      <c r="D636" s="2">
        <v>45026.0</v>
      </c>
      <c r="F636" s="1" t="s">
        <v>2892</v>
      </c>
      <c r="H636" s="3">
        <v>2.0</v>
      </c>
      <c r="I636" s="4" t="s">
        <v>2893</v>
      </c>
      <c r="J636" s="1" t="s">
        <v>2894</v>
      </c>
      <c r="K636" s="1" t="s">
        <v>16</v>
      </c>
    </row>
    <row r="637">
      <c r="A637" s="1" t="s">
        <v>2895</v>
      </c>
      <c r="B637" s="1" t="s">
        <v>2896</v>
      </c>
      <c r="C637" s="1">
        <v>2023.0</v>
      </c>
      <c r="D637" s="2">
        <v>45026.0</v>
      </c>
      <c r="F637" s="1" t="s">
        <v>2897</v>
      </c>
      <c r="H637" s="3">
        <v>1.0</v>
      </c>
      <c r="I637" s="4" t="s">
        <v>2898</v>
      </c>
      <c r="J637" s="1" t="s">
        <v>2899</v>
      </c>
      <c r="K637" s="1" t="s">
        <v>413</v>
      </c>
    </row>
    <row r="638">
      <c r="A638" s="1" t="s">
        <v>2900</v>
      </c>
      <c r="B638" s="1" t="s">
        <v>2901</v>
      </c>
      <c r="C638" s="1">
        <v>2023.0</v>
      </c>
      <c r="D638" s="2">
        <v>45023.0</v>
      </c>
      <c r="F638" s="1" t="s">
        <v>2278</v>
      </c>
      <c r="H638" s="3">
        <v>3.0</v>
      </c>
      <c r="I638" s="4" t="s">
        <v>2902</v>
      </c>
      <c r="J638" s="1" t="s">
        <v>2903</v>
      </c>
      <c r="K638" s="1" t="s">
        <v>323</v>
      </c>
    </row>
    <row r="639">
      <c r="A639" s="1" t="s">
        <v>2904</v>
      </c>
      <c r="B639" s="1" t="s">
        <v>2905</v>
      </c>
      <c r="C639" s="1">
        <v>2023.0</v>
      </c>
      <c r="D639" s="2">
        <v>45023.0</v>
      </c>
      <c r="F639" s="1" t="s">
        <v>2906</v>
      </c>
      <c r="H639" s="3">
        <v>3.0</v>
      </c>
      <c r="I639" s="4" t="s">
        <v>2907</v>
      </c>
      <c r="J639" s="1" t="s">
        <v>2908</v>
      </c>
      <c r="K639" s="1" t="s">
        <v>16</v>
      </c>
    </row>
    <row r="640">
      <c r="A640" s="1" t="s">
        <v>2909</v>
      </c>
      <c r="B640" s="1" t="s">
        <v>2778</v>
      </c>
      <c r="C640" s="1">
        <v>2023.0</v>
      </c>
      <c r="D640" s="2">
        <v>45022.0</v>
      </c>
      <c r="F640" s="1" t="s">
        <v>510</v>
      </c>
      <c r="H640" s="3">
        <v>2.0</v>
      </c>
      <c r="I640" s="4" t="s">
        <v>2910</v>
      </c>
      <c r="J640" s="1" t="s">
        <v>2911</v>
      </c>
      <c r="K640" s="1" t="s">
        <v>28</v>
      </c>
    </row>
    <row r="641">
      <c r="A641" s="1" t="s">
        <v>2912</v>
      </c>
      <c r="B641" s="1" t="s">
        <v>2913</v>
      </c>
      <c r="C641" s="1">
        <v>2023.0</v>
      </c>
      <c r="D641" s="2">
        <v>45022.0</v>
      </c>
      <c r="F641" s="1" t="s">
        <v>2914</v>
      </c>
      <c r="H641" s="3">
        <v>2.0</v>
      </c>
      <c r="I641" s="4" t="s">
        <v>2915</v>
      </c>
      <c r="J641" s="1" t="s">
        <v>2916</v>
      </c>
      <c r="K641" s="1" t="s">
        <v>16</v>
      </c>
    </row>
    <row r="642">
      <c r="A642" s="1" t="s">
        <v>2917</v>
      </c>
      <c r="B642" s="1" t="s">
        <v>2918</v>
      </c>
      <c r="C642" s="1">
        <v>2023.0</v>
      </c>
      <c r="D642" s="2">
        <v>45021.0</v>
      </c>
      <c r="F642" s="1" t="s">
        <v>208</v>
      </c>
      <c r="H642" s="3">
        <v>9.0</v>
      </c>
      <c r="I642" s="4" t="s">
        <v>2919</v>
      </c>
      <c r="J642" s="1" t="s">
        <v>2920</v>
      </c>
      <c r="K642" s="1" t="s">
        <v>1423</v>
      </c>
    </row>
    <row r="643">
      <c r="A643" s="1" t="s">
        <v>2921</v>
      </c>
      <c r="B643" s="1" t="s">
        <v>2922</v>
      </c>
      <c r="C643" s="1">
        <v>2023.0</v>
      </c>
      <c r="D643" s="2">
        <v>45020.0</v>
      </c>
      <c r="F643" s="1" t="s">
        <v>1371</v>
      </c>
      <c r="H643" s="3">
        <v>2.0</v>
      </c>
      <c r="I643" s="4" t="s">
        <v>2923</v>
      </c>
      <c r="J643" s="1" t="s">
        <v>2924</v>
      </c>
      <c r="K643" s="1" t="s">
        <v>329</v>
      </c>
    </row>
    <row r="644">
      <c r="A644" s="1" t="s">
        <v>2925</v>
      </c>
      <c r="B644" s="1" t="s">
        <v>2926</v>
      </c>
      <c r="C644" s="1">
        <v>2023.0</v>
      </c>
      <c r="D644" s="2">
        <v>45019.0</v>
      </c>
      <c r="F644" s="1" t="s">
        <v>2927</v>
      </c>
      <c r="H644" s="3">
        <v>3.0</v>
      </c>
      <c r="I644" s="4" t="s">
        <v>2928</v>
      </c>
      <c r="J644" s="1" t="s">
        <v>2929</v>
      </c>
      <c r="K644" s="1" t="s">
        <v>28</v>
      </c>
    </row>
    <row r="645">
      <c r="A645" s="1" t="s">
        <v>2930</v>
      </c>
      <c r="B645" s="1" t="s">
        <v>2931</v>
      </c>
      <c r="C645" s="1">
        <v>2023.0</v>
      </c>
      <c r="D645" s="2">
        <v>45017.0</v>
      </c>
      <c r="F645" s="1" t="s">
        <v>1420</v>
      </c>
      <c r="H645" s="3">
        <v>1.0</v>
      </c>
      <c r="I645" s="4" t="s">
        <v>2932</v>
      </c>
      <c r="J645" s="1" t="s">
        <v>2933</v>
      </c>
      <c r="K645" s="1" t="s">
        <v>403</v>
      </c>
    </row>
    <row r="646">
      <c r="A646" s="1" t="s">
        <v>2934</v>
      </c>
      <c r="B646" s="1" t="s">
        <v>2935</v>
      </c>
      <c r="C646" s="1">
        <v>2023.0</v>
      </c>
      <c r="D646" s="2">
        <v>45017.0</v>
      </c>
      <c r="F646" s="1" t="s">
        <v>2210</v>
      </c>
      <c r="H646" s="3">
        <v>1.0</v>
      </c>
      <c r="I646" s="4" t="s">
        <v>2936</v>
      </c>
      <c r="J646" s="1" t="s">
        <v>2937</v>
      </c>
      <c r="K646" s="1" t="s">
        <v>1036</v>
      </c>
    </row>
    <row r="647">
      <c r="A647" s="1" t="s">
        <v>2938</v>
      </c>
      <c r="B647" s="1" t="s">
        <v>2939</v>
      </c>
      <c r="C647" s="1">
        <v>2023.0</v>
      </c>
      <c r="D647" s="2">
        <v>45017.0</v>
      </c>
      <c r="F647" s="1" t="s">
        <v>1592</v>
      </c>
      <c r="H647" s="3">
        <v>0.0</v>
      </c>
      <c r="I647" s="4" t="s">
        <v>2940</v>
      </c>
      <c r="J647" s="1" t="s">
        <v>2941</v>
      </c>
      <c r="K647" s="1" t="s">
        <v>413</v>
      </c>
    </row>
    <row r="648">
      <c r="A648" s="1" t="s">
        <v>2942</v>
      </c>
      <c r="B648" s="1" t="s">
        <v>2943</v>
      </c>
      <c r="C648" s="1">
        <v>2023.0</v>
      </c>
      <c r="D648" s="2">
        <v>45016.0</v>
      </c>
      <c r="F648" s="1" t="s">
        <v>1528</v>
      </c>
      <c r="H648" s="3">
        <v>7.0</v>
      </c>
      <c r="I648" s="4" t="s">
        <v>2944</v>
      </c>
      <c r="J648" s="1" t="s">
        <v>2945</v>
      </c>
      <c r="K648" s="1" t="s">
        <v>323</v>
      </c>
    </row>
    <row r="649">
      <c r="A649" s="1" t="s">
        <v>2946</v>
      </c>
      <c r="B649" s="1" t="s">
        <v>2947</v>
      </c>
      <c r="C649" s="1">
        <v>2023.0</v>
      </c>
      <c r="D649" s="2">
        <v>45015.0</v>
      </c>
      <c r="F649" s="1" t="s">
        <v>897</v>
      </c>
      <c r="H649" s="3">
        <v>1.0</v>
      </c>
      <c r="I649" s="4" t="s">
        <v>2948</v>
      </c>
      <c r="J649" s="1" t="s">
        <v>2949</v>
      </c>
      <c r="K649" s="1" t="s">
        <v>16</v>
      </c>
    </row>
    <row r="650">
      <c r="A650" s="1" t="s">
        <v>2950</v>
      </c>
      <c r="B650" s="1" t="s">
        <v>1059</v>
      </c>
      <c r="C650" s="1">
        <v>2023.0</v>
      </c>
      <c r="D650" s="2">
        <v>45015.0</v>
      </c>
      <c r="F650" s="1" t="s">
        <v>1060</v>
      </c>
      <c r="H650" s="3">
        <v>0.0</v>
      </c>
      <c r="I650" s="4" t="s">
        <v>2951</v>
      </c>
      <c r="J650" s="1" t="s">
        <v>2952</v>
      </c>
      <c r="K650" s="1" t="s">
        <v>16</v>
      </c>
    </row>
    <row r="651">
      <c r="A651" s="1" t="s">
        <v>2953</v>
      </c>
      <c r="B651" s="1" t="s">
        <v>2954</v>
      </c>
      <c r="C651" s="1">
        <v>2023.0</v>
      </c>
      <c r="D651" s="2">
        <v>45014.0</v>
      </c>
      <c r="F651" s="1" t="s">
        <v>2955</v>
      </c>
      <c r="H651" s="3">
        <v>4.0</v>
      </c>
      <c r="I651" s="4" t="s">
        <v>2956</v>
      </c>
      <c r="J651" s="1" t="s">
        <v>2957</v>
      </c>
      <c r="K651" s="1" t="s">
        <v>28</v>
      </c>
    </row>
    <row r="652">
      <c r="A652" s="1" t="s">
        <v>2958</v>
      </c>
      <c r="B652" s="1" t="s">
        <v>2959</v>
      </c>
      <c r="C652" s="1">
        <v>2023.0</v>
      </c>
      <c r="D652" s="2">
        <v>45014.0</v>
      </c>
      <c r="F652" s="1" t="s">
        <v>1050</v>
      </c>
      <c r="H652" s="3">
        <v>0.0</v>
      </c>
      <c r="I652" s="4" t="s">
        <v>2960</v>
      </c>
      <c r="J652" s="1" t="s">
        <v>2961</v>
      </c>
      <c r="K652" s="1" t="s">
        <v>403</v>
      </c>
    </row>
    <row r="653">
      <c r="A653" s="1" t="s">
        <v>2962</v>
      </c>
      <c r="B653" s="1" t="s">
        <v>2963</v>
      </c>
      <c r="C653" s="1">
        <v>2023.0</v>
      </c>
      <c r="D653" s="2">
        <v>45014.0</v>
      </c>
      <c r="F653" s="1" t="s">
        <v>2964</v>
      </c>
      <c r="H653" s="3">
        <v>1.0</v>
      </c>
      <c r="I653" s="4" t="s">
        <v>2965</v>
      </c>
      <c r="J653" s="1" t="s">
        <v>2966</v>
      </c>
      <c r="K653" s="1" t="s">
        <v>16</v>
      </c>
    </row>
    <row r="654">
      <c r="A654" s="1" t="s">
        <v>2967</v>
      </c>
      <c r="B654" s="1" t="s">
        <v>2968</v>
      </c>
      <c r="C654" s="1">
        <v>2023.0</v>
      </c>
      <c r="D654" s="2">
        <v>45014.0</v>
      </c>
      <c r="F654" s="1" t="s">
        <v>643</v>
      </c>
      <c r="H654" s="3">
        <v>1.0</v>
      </c>
      <c r="I654" s="4" t="s">
        <v>2969</v>
      </c>
      <c r="J654" s="1" t="s">
        <v>2970</v>
      </c>
      <c r="K654" s="1" t="s">
        <v>16</v>
      </c>
    </row>
    <row r="655">
      <c r="A655" s="1" t="s">
        <v>2971</v>
      </c>
      <c r="B655" s="1" t="s">
        <v>2972</v>
      </c>
      <c r="C655" s="1">
        <v>2023.0</v>
      </c>
      <c r="D655" s="2">
        <v>45013.0</v>
      </c>
      <c r="F655" s="1" t="s">
        <v>2973</v>
      </c>
      <c r="H655" s="3">
        <v>12.0</v>
      </c>
      <c r="I655" s="4" t="s">
        <v>2974</v>
      </c>
      <c r="J655" s="1" t="s">
        <v>2975</v>
      </c>
      <c r="K655" s="1" t="s">
        <v>295</v>
      </c>
    </row>
    <row r="656">
      <c r="A656" s="1" t="s">
        <v>2976</v>
      </c>
      <c r="B656" s="1" t="s">
        <v>2977</v>
      </c>
      <c r="C656" s="1">
        <v>2023.0</v>
      </c>
      <c r="D656" s="2">
        <v>45013.0</v>
      </c>
      <c r="F656" s="1" t="s">
        <v>2191</v>
      </c>
      <c r="H656" s="3">
        <v>5.0</v>
      </c>
      <c r="I656" s="4" t="s">
        <v>2978</v>
      </c>
      <c r="J656" s="1" t="s">
        <v>2979</v>
      </c>
      <c r="K656" s="1" t="s">
        <v>323</v>
      </c>
    </row>
    <row r="657">
      <c r="A657" s="1" t="s">
        <v>2980</v>
      </c>
      <c r="B657" s="1" t="s">
        <v>2981</v>
      </c>
      <c r="C657" s="1">
        <v>2023.0</v>
      </c>
      <c r="D657" s="2">
        <v>45013.0</v>
      </c>
      <c r="F657" s="1" t="s">
        <v>2982</v>
      </c>
      <c r="H657" s="3">
        <v>2.0</v>
      </c>
      <c r="I657" s="4" t="s">
        <v>2983</v>
      </c>
      <c r="J657" s="1" t="s">
        <v>2984</v>
      </c>
      <c r="K657" s="1" t="s">
        <v>68</v>
      </c>
    </row>
    <row r="658">
      <c r="A658" s="1" t="s">
        <v>2985</v>
      </c>
      <c r="B658" s="1" t="s">
        <v>2986</v>
      </c>
      <c r="C658" s="1">
        <v>2023.0</v>
      </c>
      <c r="D658" s="2">
        <v>45013.0</v>
      </c>
      <c r="F658" s="1" t="s">
        <v>2987</v>
      </c>
      <c r="H658" s="3">
        <v>2.0</v>
      </c>
      <c r="I658" s="4" t="s">
        <v>2988</v>
      </c>
      <c r="J658" s="1" t="s">
        <v>2989</v>
      </c>
      <c r="K658" s="1" t="s">
        <v>295</v>
      </c>
    </row>
    <row r="659">
      <c r="A659" s="1" t="s">
        <v>2990</v>
      </c>
      <c r="B659" s="1" t="s">
        <v>2991</v>
      </c>
      <c r="C659" s="1">
        <v>2023.0</v>
      </c>
      <c r="D659" s="2">
        <v>45012.0</v>
      </c>
      <c r="F659" s="1" t="s">
        <v>656</v>
      </c>
      <c r="H659" s="3">
        <v>0.0</v>
      </c>
      <c r="I659" s="4" t="s">
        <v>2992</v>
      </c>
      <c r="J659" s="1" t="s">
        <v>2993</v>
      </c>
      <c r="K659" s="1" t="s">
        <v>45</v>
      </c>
    </row>
    <row r="660">
      <c r="A660" s="1" t="s">
        <v>2994</v>
      </c>
      <c r="B660" s="1" t="s">
        <v>2995</v>
      </c>
      <c r="C660" s="1">
        <v>2023.0</v>
      </c>
      <c r="D660" s="2">
        <v>45010.0</v>
      </c>
      <c r="F660" s="1" t="s">
        <v>2996</v>
      </c>
      <c r="H660" s="3">
        <v>1.0</v>
      </c>
      <c r="I660" s="4" t="s">
        <v>2997</v>
      </c>
      <c r="J660" s="1" t="s">
        <v>2998</v>
      </c>
      <c r="K660" s="1" t="s">
        <v>16</v>
      </c>
    </row>
    <row r="661">
      <c r="A661" s="1" t="s">
        <v>2999</v>
      </c>
      <c r="B661" s="1" t="s">
        <v>3000</v>
      </c>
      <c r="C661" s="1">
        <v>2023.0</v>
      </c>
      <c r="D661" s="2">
        <v>45009.0</v>
      </c>
      <c r="F661" s="1" t="s">
        <v>1386</v>
      </c>
      <c r="H661" s="3">
        <v>0.0</v>
      </c>
      <c r="I661" s="4" t="s">
        <v>3001</v>
      </c>
      <c r="J661" s="1" t="s">
        <v>3002</v>
      </c>
      <c r="K661" s="1" t="s">
        <v>323</v>
      </c>
    </row>
    <row r="662">
      <c r="A662" s="1" t="s">
        <v>3003</v>
      </c>
      <c r="B662" s="1" t="s">
        <v>3004</v>
      </c>
      <c r="C662" s="1">
        <v>2023.0</v>
      </c>
      <c r="D662" s="2">
        <v>45007.0</v>
      </c>
      <c r="F662" s="1" t="s">
        <v>821</v>
      </c>
      <c r="H662" s="3">
        <v>7.0</v>
      </c>
      <c r="I662" s="4" t="s">
        <v>3005</v>
      </c>
      <c r="J662" s="1" t="s">
        <v>3006</v>
      </c>
      <c r="K662" s="1" t="s">
        <v>462</v>
      </c>
    </row>
    <row r="663">
      <c r="A663" s="1" t="s">
        <v>3007</v>
      </c>
      <c r="B663" s="1" t="s">
        <v>3008</v>
      </c>
      <c r="C663" s="1">
        <v>2023.0</v>
      </c>
      <c r="D663" s="2">
        <v>45006.0</v>
      </c>
      <c r="F663" s="1" t="s">
        <v>721</v>
      </c>
      <c r="H663" s="3">
        <v>4.0</v>
      </c>
      <c r="I663" s="4" t="s">
        <v>3009</v>
      </c>
      <c r="J663" s="1" t="s">
        <v>3010</v>
      </c>
      <c r="K663" s="1" t="s">
        <v>443</v>
      </c>
    </row>
    <row r="664">
      <c r="A664" s="1" t="s">
        <v>3011</v>
      </c>
      <c r="B664" s="1" t="s">
        <v>3012</v>
      </c>
      <c r="C664" s="1">
        <v>2023.0</v>
      </c>
      <c r="D664" s="2">
        <v>45004.0</v>
      </c>
      <c r="F664" s="1" t="s">
        <v>81</v>
      </c>
      <c r="H664" s="3">
        <v>0.0</v>
      </c>
      <c r="I664" s="4" t="s">
        <v>3013</v>
      </c>
      <c r="J664" s="1" t="s">
        <v>3014</v>
      </c>
      <c r="K664" s="1" t="s">
        <v>413</v>
      </c>
    </row>
    <row r="665">
      <c r="A665" s="1" t="s">
        <v>3015</v>
      </c>
      <c r="B665" s="1" t="s">
        <v>3016</v>
      </c>
      <c r="C665" s="1">
        <v>2023.0</v>
      </c>
      <c r="D665" s="2">
        <v>45003.0</v>
      </c>
      <c r="F665" s="1" t="s">
        <v>3017</v>
      </c>
      <c r="H665" s="3">
        <v>1.0</v>
      </c>
      <c r="I665" s="4" t="s">
        <v>3018</v>
      </c>
      <c r="J665" s="1"/>
      <c r="K665" s="1" t="s">
        <v>28</v>
      </c>
    </row>
    <row r="666">
      <c r="A666" s="1" t="s">
        <v>3019</v>
      </c>
      <c r="B666" s="1" t="s">
        <v>3020</v>
      </c>
      <c r="C666" s="1">
        <v>2023.0</v>
      </c>
      <c r="D666" s="2">
        <v>45002.0</v>
      </c>
      <c r="F666" s="1" t="s">
        <v>271</v>
      </c>
      <c r="H666" s="3">
        <v>0.0</v>
      </c>
      <c r="I666" s="4" t="s">
        <v>3021</v>
      </c>
      <c r="J666" s="1" t="s">
        <v>3022</v>
      </c>
      <c r="K666" s="1" t="s">
        <v>323</v>
      </c>
    </row>
    <row r="667">
      <c r="A667" s="1" t="s">
        <v>3023</v>
      </c>
      <c r="B667" s="1" t="s">
        <v>3024</v>
      </c>
      <c r="C667" s="1">
        <v>2023.0</v>
      </c>
      <c r="D667" s="2">
        <v>45002.0</v>
      </c>
      <c r="F667" s="1" t="s">
        <v>208</v>
      </c>
      <c r="H667" s="3">
        <v>7.0</v>
      </c>
      <c r="I667" s="4" t="s">
        <v>3025</v>
      </c>
      <c r="J667" s="1" t="s">
        <v>3026</v>
      </c>
      <c r="K667" s="1" t="s">
        <v>418</v>
      </c>
    </row>
    <row r="668">
      <c r="A668" s="1" t="s">
        <v>3027</v>
      </c>
      <c r="B668" s="1" t="s">
        <v>3028</v>
      </c>
      <c r="C668" s="1">
        <v>2023.0</v>
      </c>
      <c r="D668" s="2">
        <v>45000.0</v>
      </c>
      <c r="F668" s="1" t="s">
        <v>1637</v>
      </c>
      <c r="H668" s="3">
        <v>3.0</v>
      </c>
      <c r="I668" s="4" t="s">
        <v>3029</v>
      </c>
      <c r="J668" s="1" t="s">
        <v>3030</v>
      </c>
      <c r="K668" s="1" t="s">
        <v>926</v>
      </c>
    </row>
    <row r="669">
      <c r="A669" s="1" t="s">
        <v>3031</v>
      </c>
      <c r="B669" s="1" t="s">
        <v>3032</v>
      </c>
      <c r="C669" s="1">
        <v>2023.0</v>
      </c>
      <c r="D669" s="2">
        <v>45000.0</v>
      </c>
      <c r="F669" s="1" t="s">
        <v>2335</v>
      </c>
      <c r="H669" s="3">
        <v>0.0</v>
      </c>
      <c r="I669" s="4" t="s">
        <v>3033</v>
      </c>
      <c r="J669" s="1" t="s">
        <v>3034</v>
      </c>
      <c r="K669" s="1" t="s">
        <v>413</v>
      </c>
    </row>
    <row r="670">
      <c r="A670" s="1" t="s">
        <v>3035</v>
      </c>
      <c r="B670" s="1" t="s">
        <v>3036</v>
      </c>
      <c r="C670" s="1">
        <v>2023.0</v>
      </c>
      <c r="D670" s="2">
        <v>45000.0</v>
      </c>
      <c r="F670" s="1" t="s">
        <v>2309</v>
      </c>
      <c r="H670" s="3">
        <v>3.0</v>
      </c>
      <c r="I670" s="4" t="s">
        <v>3037</v>
      </c>
      <c r="J670" s="1" t="s">
        <v>3038</v>
      </c>
      <c r="K670" s="1" t="s">
        <v>16</v>
      </c>
    </row>
    <row r="671">
      <c r="A671" s="1" t="s">
        <v>3039</v>
      </c>
      <c r="B671" s="1" t="s">
        <v>3040</v>
      </c>
      <c r="C671" s="1">
        <v>2023.0</v>
      </c>
      <c r="D671" s="2">
        <v>44999.0</v>
      </c>
      <c r="F671" s="1" t="s">
        <v>1300</v>
      </c>
      <c r="H671" s="3">
        <v>1.0</v>
      </c>
      <c r="I671" s="4" t="s">
        <v>3041</v>
      </c>
      <c r="J671" s="1" t="s">
        <v>3042</v>
      </c>
      <c r="K671" s="1" t="s">
        <v>462</v>
      </c>
    </row>
    <row r="672">
      <c r="A672" s="1" t="s">
        <v>3043</v>
      </c>
      <c r="B672" s="1" t="s">
        <v>3044</v>
      </c>
      <c r="C672" s="1">
        <v>2023.0</v>
      </c>
      <c r="D672" s="2">
        <v>44999.0</v>
      </c>
      <c r="F672" s="1" t="s">
        <v>3045</v>
      </c>
      <c r="H672" s="3">
        <v>3.0</v>
      </c>
      <c r="I672" s="4" t="s">
        <v>3046</v>
      </c>
      <c r="J672" s="1" t="s">
        <v>3047</v>
      </c>
      <c r="K672" s="1" t="s">
        <v>323</v>
      </c>
    </row>
    <row r="673">
      <c r="A673" s="1" t="s">
        <v>3048</v>
      </c>
      <c r="B673" s="1" t="s">
        <v>3049</v>
      </c>
      <c r="C673" s="1">
        <v>2023.0</v>
      </c>
      <c r="D673" s="2">
        <v>44999.0</v>
      </c>
      <c r="F673" s="1" t="s">
        <v>91</v>
      </c>
      <c r="H673" s="3">
        <v>1.0</v>
      </c>
      <c r="I673" s="4" t="s">
        <v>3050</v>
      </c>
      <c r="J673" s="1" t="s">
        <v>3051</v>
      </c>
      <c r="K673" s="1" t="s">
        <v>68</v>
      </c>
    </row>
    <row r="674">
      <c r="A674" s="1" t="s">
        <v>3052</v>
      </c>
      <c r="B674" s="1" t="s">
        <v>3053</v>
      </c>
      <c r="C674" s="1">
        <v>2023.0</v>
      </c>
      <c r="D674" s="2">
        <v>44999.0</v>
      </c>
      <c r="F674" s="1" t="s">
        <v>271</v>
      </c>
      <c r="H674" s="3">
        <v>4.0</v>
      </c>
      <c r="I674" s="4" t="s">
        <v>3054</v>
      </c>
      <c r="J674" s="1" t="s">
        <v>3055</v>
      </c>
      <c r="K674" s="1" t="s">
        <v>413</v>
      </c>
    </row>
    <row r="675">
      <c r="A675" s="1" t="s">
        <v>3056</v>
      </c>
      <c r="B675" s="1" t="s">
        <v>3057</v>
      </c>
      <c r="C675" s="1">
        <v>2023.0</v>
      </c>
      <c r="D675" s="2">
        <v>44998.0</v>
      </c>
      <c r="F675" s="1" t="s">
        <v>2987</v>
      </c>
      <c r="H675" s="3">
        <v>2.0</v>
      </c>
      <c r="I675" s="4" t="s">
        <v>3058</v>
      </c>
      <c r="J675" s="1" t="s">
        <v>3059</v>
      </c>
      <c r="K675" s="1" t="s">
        <v>462</v>
      </c>
    </row>
    <row r="676">
      <c r="A676" s="1" t="s">
        <v>3060</v>
      </c>
      <c r="B676" s="1" t="s">
        <v>3061</v>
      </c>
      <c r="C676" s="1">
        <v>2023.0</v>
      </c>
      <c r="D676" s="2">
        <v>44996.0</v>
      </c>
      <c r="F676" s="1" t="s">
        <v>716</v>
      </c>
      <c r="H676" s="3">
        <v>6.0</v>
      </c>
      <c r="I676" s="4" t="s">
        <v>3062</v>
      </c>
      <c r="J676" s="1" t="s">
        <v>3063</v>
      </c>
      <c r="K676" s="1" t="s">
        <v>295</v>
      </c>
    </row>
    <row r="677">
      <c r="A677" s="1" t="s">
        <v>3064</v>
      </c>
      <c r="B677" s="1" t="s">
        <v>3065</v>
      </c>
      <c r="C677" s="1">
        <v>2023.0</v>
      </c>
      <c r="D677" s="2">
        <v>44995.0</v>
      </c>
      <c r="F677" s="1" t="s">
        <v>3066</v>
      </c>
      <c r="H677" s="3">
        <v>5.0</v>
      </c>
      <c r="I677" s="4" t="s">
        <v>3067</v>
      </c>
      <c r="J677" s="1"/>
      <c r="K677" s="1" t="s">
        <v>3068</v>
      </c>
    </row>
    <row r="678">
      <c r="A678" s="1" t="s">
        <v>3069</v>
      </c>
      <c r="B678" s="1" t="s">
        <v>3070</v>
      </c>
      <c r="C678" s="1">
        <v>2023.0</v>
      </c>
      <c r="D678" s="2">
        <v>44995.0</v>
      </c>
      <c r="F678" s="1" t="s">
        <v>2041</v>
      </c>
      <c r="H678" s="3">
        <v>0.0</v>
      </c>
      <c r="I678" s="4" t="s">
        <v>3071</v>
      </c>
      <c r="J678" s="1" t="s">
        <v>3072</v>
      </c>
      <c r="K678" s="1" t="s">
        <v>443</v>
      </c>
    </row>
    <row r="679">
      <c r="A679" s="1" t="s">
        <v>3073</v>
      </c>
      <c r="B679" s="1" t="s">
        <v>3074</v>
      </c>
      <c r="C679" s="1">
        <v>2023.0</v>
      </c>
      <c r="D679" s="2">
        <v>44994.0</v>
      </c>
      <c r="F679" s="1" t="s">
        <v>106</v>
      </c>
      <c r="H679" s="3">
        <v>5.0</v>
      </c>
      <c r="I679" s="4" t="s">
        <v>3075</v>
      </c>
      <c r="J679" s="1" t="s">
        <v>3076</v>
      </c>
      <c r="K679" s="1" t="s">
        <v>68</v>
      </c>
    </row>
    <row r="680">
      <c r="A680" s="1" t="s">
        <v>3077</v>
      </c>
      <c r="B680" s="1" t="s">
        <v>3078</v>
      </c>
      <c r="C680" s="1">
        <v>2023.0</v>
      </c>
      <c r="D680" s="2">
        <v>44993.0</v>
      </c>
      <c r="F680" s="1" t="s">
        <v>1381</v>
      </c>
      <c r="H680" s="3">
        <v>2.0</v>
      </c>
      <c r="I680" s="4" t="s">
        <v>3079</v>
      </c>
      <c r="J680" s="1" t="s">
        <v>3080</v>
      </c>
      <c r="K680" s="1" t="s">
        <v>45</v>
      </c>
    </row>
    <row r="681">
      <c r="A681" s="1" t="s">
        <v>3081</v>
      </c>
      <c r="B681" s="1" t="s">
        <v>3082</v>
      </c>
      <c r="C681" s="1">
        <v>2023.0</v>
      </c>
      <c r="D681" s="2">
        <v>44993.0</v>
      </c>
      <c r="F681" s="1" t="s">
        <v>643</v>
      </c>
      <c r="H681" s="3">
        <v>2.0</v>
      </c>
      <c r="I681" s="4" t="s">
        <v>3083</v>
      </c>
      <c r="J681" s="1" t="s">
        <v>3084</v>
      </c>
      <c r="K681" s="1" t="s">
        <v>28</v>
      </c>
    </row>
    <row r="682">
      <c r="A682" s="1" t="s">
        <v>3085</v>
      </c>
      <c r="B682" s="1" t="s">
        <v>914</v>
      </c>
      <c r="C682" s="1">
        <v>2023.0</v>
      </c>
      <c r="D682" s="2">
        <v>44993.0</v>
      </c>
      <c r="F682" s="1" t="s">
        <v>568</v>
      </c>
      <c r="H682" s="3">
        <v>1.0</v>
      </c>
      <c r="I682" s="4" t="s">
        <v>3086</v>
      </c>
      <c r="J682" s="1" t="s">
        <v>3087</v>
      </c>
      <c r="K682" s="1" t="s">
        <v>323</v>
      </c>
    </row>
    <row r="683">
      <c r="A683" s="1" t="s">
        <v>3088</v>
      </c>
      <c r="B683" s="1" t="s">
        <v>3089</v>
      </c>
      <c r="C683" s="1">
        <v>2023.0</v>
      </c>
      <c r="D683" s="2">
        <v>44992.0</v>
      </c>
      <c r="F683" s="1" t="s">
        <v>271</v>
      </c>
      <c r="H683" s="3">
        <v>5.0</v>
      </c>
      <c r="I683" s="4" t="s">
        <v>3090</v>
      </c>
      <c r="J683" s="1" t="s">
        <v>3091</v>
      </c>
      <c r="K683" s="1" t="s">
        <v>295</v>
      </c>
    </row>
    <row r="684">
      <c r="A684" s="1" t="s">
        <v>3092</v>
      </c>
      <c r="B684" s="1" t="s">
        <v>3093</v>
      </c>
      <c r="C684" s="1">
        <v>2023.0</v>
      </c>
      <c r="D684" s="2">
        <v>44992.0</v>
      </c>
      <c r="F684" s="1" t="s">
        <v>3094</v>
      </c>
      <c r="H684" s="3">
        <v>2.0</v>
      </c>
      <c r="I684" s="4" t="s">
        <v>3095</v>
      </c>
      <c r="J684" s="1" t="s">
        <v>3096</v>
      </c>
      <c r="K684" s="1" t="s">
        <v>68</v>
      </c>
    </row>
    <row r="685">
      <c r="A685" s="1" t="s">
        <v>3097</v>
      </c>
      <c r="B685" s="1" t="s">
        <v>3098</v>
      </c>
      <c r="C685" s="1">
        <v>2023.0</v>
      </c>
      <c r="D685" s="2">
        <v>44991.0</v>
      </c>
      <c r="F685" s="1" t="s">
        <v>643</v>
      </c>
      <c r="H685" s="3">
        <v>4.0</v>
      </c>
      <c r="I685" s="4" t="s">
        <v>3099</v>
      </c>
      <c r="J685" s="1" t="s">
        <v>3100</v>
      </c>
      <c r="K685" s="1" t="s">
        <v>16</v>
      </c>
    </row>
    <row r="686">
      <c r="A686" s="1" t="s">
        <v>3101</v>
      </c>
      <c r="B686" s="1" t="s">
        <v>3102</v>
      </c>
      <c r="C686" s="1">
        <v>2023.0</v>
      </c>
      <c r="D686" s="2">
        <v>44989.0</v>
      </c>
      <c r="F686" s="1" t="s">
        <v>243</v>
      </c>
      <c r="H686" s="3">
        <v>1.0</v>
      </c>
      <c r="I686" s="4" t="s">
        <v>3103</v>
      </c>
      <c r="J686" s="1" t="s">
        <v>3104</v>
      </c>
      <c r="K686" s="1" t="s">
        <v>295</v>
      </c>
    </row>
    <row r="687">
      <c r="A687" s="1" t="s">
        <v>3105</v>
      </c>
      <c r="B687" s="1" t="s">
        <v>3106</v>
      </c>
      <c r="C687" s="1">
        <v>2023.0</v>
      </c>
      <c r="D687" s="2">
        <v>44987.0</v>
      </c>
      <c r="F687" s="1" t="s">
        <v>71</v>
      </c>
      <c r="H687" s="3">
        <v>6.0</v>
      </c>
      <c r="I687" s="4" t="s">
        <v>3107</v>
      </c>
      <c r="J687" s="1" t="s">
        <v>3108</v>
      </c>
      <c r="K687" s="1" t="s">
        <v>323</v>
      </c>
    </row>
    <row r="688">
      <c r="A688" s="1" t="s">
        <v>3109</v>
      </c>
      <c r="B688" s="1" t="s">
        <v>3110</v>
      </c>
      <c r="C688" s="1">
        <v>2023.0</v>
      </c>
      <c r="D688" s="2">
        <v>44987.0</v>
      </c>
      <c r="F688" s="1" t="s">
        <v>1859</v>
      </c>
      <c r="H688" s="3">
        <v>1.0</v>
      </c>
      <c r="I688" s="4" t="s">
        <v>3111</v>
      </c>
      <c r="J688" s="1" t="s">
        <v>3112</v>
      </c>
      <c r="K688" s="1" t="s">
        <v>926</v>
      </c>
    </row>
    <row r="689">
      <c r="A689" s="1" t="s">
        <v>3113</v>
      </c>
      <c r="B689" s="1" t="s">
        <v>3114</v>
      </c>
      <c r="C689" s="1">
        <v>2023.0</v>
      </c>
      <c r="D689" s="2">
        <v>44986.0</v>
      </c>
      <c r="F689" s="1" t="s">
        <v>2352</v>
      </c>
      <c r="H689" s="3">
        <v>9.0</v>
      </c>
      <c r="I689" s="4" t="s">
        <v>3115</v>
      </c>
      <c r="J689" s="1" t="s">
        <v>3116</v>
      </c>
      <c r="K689" s="1" t="s">
        <v>418</v>
      </c>
    </row>
    <row r="690">
      <c r="A690" s="1" t="s">
        <v>3117</v>
      </c>
      <c r="B690" s="1" t="s">
        <v>3118</v>
      </c>
      <c r="C690" s="1">
        <v>2023.0</v>
      </c>
      <c r="D690" s="2">
        <v>44986.0</v>
      </c>
      <c r="F690" s="1" t="s">
        <v>3119</v>
      </c>
      <c r="H690" s="3">
        <v>14.0</v>
      </c>
      <c r="I690" s="4" t="s">
        <v>3120</v>
      </c>
      <c r="J690" s="1" t="s">
        <v>3121</v>
      </c>
      <c r="K690" s="1" t="s">
        <v>295</v>
      </c>
    </row>
    <row r="691">
      <c r="A691" s="1" t="s">
        <v>3122</v>
      </c>
      <c r="B691" s="1" t="s">
        <v>3123</v>
      </c>
      <c r="C691" s="1">
        <v>2023.0</v>
      </c>
      <c r="D691" s="2">
        <v>44986.0</v>
      </c>
      <c r="F691" s="1" t="s">
        <v>86</v>
      </c>
      <c r="H691" s="3">
        <v>4.0</v>
      </c>
      <c r="I691" s="4" t="s">
        <v>3124</v>
      </c>
      <c r="J691" s="1" t="s">
        <v>3125</v>
      </c>
      <c r="K691" s="1" t="s">
        <v>323</v>
      </c>
    </row>
    <row r="692">
      <c r="A692" s="1" t="s">
        <v>3126</v>
      </c>
      <c r="B692" s="1" t="s">
        <v>3127</v>
      </c>
      <c r="C692" s="1">
        <v>2023.0</v>
      </c>
      <c r="D692" s="2">
        <v>44986.0</v>
      </c>
      <c r="F692" s="1" t="s">
        <v>3128</v>
      </c>
      <c r="H692" s="3">
        <v>2.0</v>
      </c>
      <c r="I692" s="4" t="s">
        <v>3129</v>
      </c>
      <c r="J692" s="1" t="s">
        <v>3130</v>
      </c>
      <c r="K692" s="1" t="s">
        <v>68</v>
      </c>
    </row>
    <row r="693">
      <c r="A693" s="1" t="s">
        <v>3131</v>
      </c>
      <c r="B693" s="1" t="s">
        <v>3132</v>
      </c>
      <c r="C693" s="1">
        <v>2023.0</v>
      </c>
      <c r="D693" s="2">
        <v>44986.0</v>
      </c>
      <c r="F693" s="1" t="s">
        <v>1366</v>
      </c>
      <c r="H693" s="3">
        <v>15.0</v>
      </c>
      <c r="I693" s="4" t="s">
        <v>3133</v>
      </c>
      <c r="J693" s="1" t="s">
        <v>3134</v>
      </c>
      <c r="K693" s="1" t="s">
        <v>462</v>
      </c>
    </row>
    <row r="694">
      <c r="A694" s="1" t="s">
        <v>3135</v>
      </c>
      <c r="B694" s="1" t="s">
        <v>3136</v>
      </c>
      <c r="C694" s="1">
        <v>2023.0</v>
      </c>
      <c r="D694" s="2">
        <v>44986.0</v>
      </c>
      <c r="F694" s="1" t="s">
        <v>3137</v>
      </c>
      <c r="H694" s="3">
        <v>0.0</v>
      </c>
      <c r="I694" s="4" t="s">
        <v>3138</v>
      </c>
      <c r="J694" s="1" t="s">
        <v>3139</v>
      </c>
      <c r="K694" s="1" t="s">
        <v>16</v>
      </c>
    </row>
    <row r="695">
      <c r="A695" s="1" t="s">
        <v>3140</v>
      </c>
      <c r="B695" s="1" t="s">
        <v>3141</v>
      </c>
      <c r="C695" s="1">
        <v>2023.0</v>
      </c>
      <c r="D695" s="2">
        <v>44985.0</v>
      </c>
      <c r="F695" s="1" t="s">
        <v>2080</v>
      </c>
      <c r="H695" s="3">
        <v>1.0</v>
      </c>
      <c r="I695" s="4" t="s">
        <v>3142</v>
      </c>
      <c r="J695" s="1" t="s">
        <v>3143</v>
      </c>
      <c r="K695" s="1" t="s">
        <v>462</v>
      </c>
    </row>
    <row r="696">
      <c r="A696" s="1" t="s">
        <v>3144</v>
      </c>
      <c r="B696" s="1" t="s">
        <v>3145</v>
      </c>
      <c r="C696" s="1">
        <v>2023.0</v>
      </c>
      <c r="D696" s="2">
        <v>44985.0</v>
      </c>
      <c r="F696" s="1" t="s">
        <v>3146</v>
      </c>
      <c r="H696" s="3">
        <v>2.0</v>
      </c>
      <c r="I696" s="4" t="s">
        <v>3147</v>
      </c>
      <c r="J696" s="1" t="s">
        <v>3148</v>
      </c>
      <c r="K696" s="1" t="s">
        <v>477</v>
      </c>
    </row>
    <row r="697">
      <c r="A697" s="1" t="s">
        <v>3149</v>
      </c>
      <c r="B697" s="1" t="s">
        <v>3150</v>
      </c>
      <c r="C697" s="1">
        <v>2023.0</v>
      </c>
      <c r="D697" s="2">
        <v>44985.0</v>
      </c>
      <c r="F697" s="1" t="s">
        <v>3151</v>
      </c>
      <c r="H697" s="3">
        <v>5.0</v>
      </c>
      <c r="I697" s="4" t="s">
        <v>3152</v>
      </c>
      <c r="J697" s="1" t="s">
        <v>3153</v>
      </c>
      <c r="K697" s="1" t="s">
        <v>16</v>
      </c>
    </row>
    <row r="698">
      <c r="A698" s="1" t="s">
        <v>3154</v>
      </c>
      <c r="B698" s="1" t="s">
        <v>3155</v>
      </c>
      <c r="C698" s="1">
        <v>2023.0</v>
      </c>
      <c r="D698" s="2">
        <v>44984.0</v>
      </c>
      <c r="F698" s="1" t="s">
        <v>1277</v>
      </c>
      <c r="H698" s="3">
        <v>4.0</v>
      </c>
      <c r="I698" s="4" t="s">
        <v>3156</v>
      </c>
      <c r="J698" s="1" t="s">
        <v>3157</v>
      </c>
      <c r="K698" s="1" t="s">
        <v>418</v>
      </c>
    </row>
    <row r="699">
      <c r="A699" s="1" t="s">
        <v>3158</v>
      </c>
      <c r="B699" s="1" t="s">
        <v>3159</v>
      </c>
      <c r="C699" s="1">
        <v>2023.0</v>
      </c>
      <c r="D699" s="2">
        <v>44984.0</v>
      </c>
      <c r="F699" s="1" t="s">
        <v>3160</v>
      </c>
      <c r="H699" s="3">
        <v>3.0</v>
      </c>
      <c r="I699" s="4" t="s">
        <v>3161</v>
      </c>
      <c r="J699" s="1" t="s">
        <v>3162</v>
      </c>
      <c r="K699" s="1" t="s">
        <v>16</v>
      </c>
    </row>
    <row r="700">
      <c r="A700" s="1" t="s">
        <v>3163</v>
      </c>
      <c r="B700" s="1" t="s">
        <v>3164</v>
      </c>
      <c r="C700" s="1">
        <v>2023.0</v>
      </c>
      <c r="D700" s="2">
        <v>44983.0</v>
      </c>
      <c r="F700" s="1" t="s">
        <v>3165</v>
      </c>
      <c r="H700" s="3">
        <v>0.0</v>
      </c>
      <c r="I700" s="4" t="s">
        <v>3166</v>
      </c>
      <c r="J700" s="1" t="s">
        <v>3167</v>
      </c>
      <c r="K700" s="1" t="s">
        <v>926</v>
      </c>
    </row>
    <row r="701">
      <c r="A701" s="1" t="s">
        <v>3168</v>
      </c>
      <c r="B701" s="1" t="s">
        <v>3169</v>
      </c>
      <c r="C701" s="1">
        <v>2023.0</v>
      </c>
      <c r="D701" s="2">
        <v>44982.0</v>
      </c>
      <c r="F701" s="1" t="s">
        <v>934</v>
      </c>
      <c r="H701" s="3">
        <v>1.0</v>
      </c>
      <c r="I701" s="4" t="s">
        <v>3170</v>
      </c>
      <c r="J701" s="1" t="s">
        <v>3171</v>
      </c>
      <c r="K701" s="1" t="s">
        <v>295</v>
      </c>
    </row>
    <row r="702">
      <c r="A702" s="1" t="s">
        <v>3172</v>
      </c>
      <c r="B702" s="1" t="s">
        <v>3173</v>
      </c>
      <c r="C702" s="1">
        <v>2023.0</v>
      </c>
      <c r="D702" s="2">
        <v>44982.0</v>
      </c>
      <c r="F702" s="1" t="s">
        <v>3174</v>
      </c>
      <c r="H702" s="3">
        <v>2.0</v>
      </c>
      <c r="I702" s="4" t="s">
        <v>3175</v>
      </c>
      <c r="J702" s="1"/>
      <c r="K702" s="1" t="s">
        <v>68</v>
      </c>
    </row>
    <row r="703">
      <c r="A703" s="1" t="s">
        <v>3176</v>
      </c>
      <c r="B703" s="1" t="s">
        <v>3177</v>
      </c>
      <c r="C703" s="1">
        <v>2023.0</v>
      </c>
      <c r="D703" s="2">
        <v>44982.0</v>
      </c>
      <c r="F703" s="1" t="s">
        <v>2955</v>
      </c>
      <c r="H703" s="3">
        <v>12.0</v>
      </c>
      <c r="I703" s="4" t="s">
        <v>3178</v>
      </c>
      <c r="J703" s="1" t="s">
        <v>3179</v>
      </c>
      <c r="K703" s="1" t="s">
        <v>16</v>
      </c>
    </row>
    <row r="704">
      <c r="A704" s="1" t="s">
        <v>3180</v>
      </c>
      <c r="B704" s="1" t="s">
        <v>3181</v>
      </c>
      <c r="C704" s="1">
        <v>2023.0</v>
      </c>
      <c r="D704" s="2">
        <v>44981.0</v>
      </c>
      <c r="F704" s="1" t="s">
        <v>13</v>
      </c>
      <c r="H704" s="3">
        <v>48.0</v>
      </c>
      <c r="I704" s="4" t="s">
        <v>3182</v>
      </c>
      <c r="J704" s="1" t="s">
        <v>3183</v>
      </c>
      <c r="K704" s="1" t="s">
        <v>45</v>
      </c>
    </row>
    <row r="705">
      <c r="A705" s="1" t="s">
        <v>3184</v>
      </c>
      <c r="B705" s="1" t="s">
        <v>3185</v>
      </c>
      <c r="C705" s="1">
        <v>2023.0</v>
      </c>
      <c r="D705" s="2">
        <v>44981.0</v>
      </c>
      <c r="F705" s="1" t="s">
        <v>1381</v>
      </c>
      <c r="H705" s="3">
        <v>0.0</v>
      </c>
      <c r="I705" s="4" t="s">
        <v>3186</v>
      </c>
      <c r="J705" s="1" t="s">
        <v>3187</v>
      </c>
      <c r="K705" s="1" t="s">
        <v>295</v>
      </c>
    </row>
    <row r="706">
      <c r="A706" s="1" t="s">
        <v>3188</v>
      </c>
      <c r="B706" s="1" t="s">
        <v>3189</v>
      </c>
      <c r="C706" s="1">
        <v>2023.0</v>
      </c>
      <c r="D706" s="2">
        <v>44981.0</v>
      </c>
      <c r="F706" s="1" t="s">
        <v>410</v>
      </c>
      <c r="H706" s="3">
        <v>9.0</v>
      </c>
      <c r="I706" s="4" t="s">
        <v>3190</v>
      </c>
      <c r="J706" s="1" t="s">
        <v>3191</v>
      </c>
      <c r="K706" s="1" t="s">
        <v>413</v>
      </c>
    </row>
    <row r="707">
      <c r="A707" s="1" t="s">
        <v>3192</v>
      </c>
      <c r="B707" s="1" t="s">
        <v>3193</v>
      </c>
      <c r="C707" s="1">
        <v>2023.0</v>
      </c>
      <c r="D707" s="2">
        <v>44981.0</v>
      </c>
      <c r="F707" s="1" t="s">
        <v>347</v>
      </c>
      <c r="H707" s="3">
        <v>4.0</v>
      </c>
      <c r="I707" s="4" t="s">
        <v>3194</v>
      </c>
      <c r="J707" s="1" t="s">
        <v>3195</v>
      </c>
      <c r="K707" s="1" t="s">
        <v>16</v>
      </c>
    </row>
    <row r="708">
      <c r="A708" s="1" t="s">
        <v>3196</v>
      </c>
      <c r="B708" s="1" t="s">
        <v>3197</v>
      </c>
      <c r="C708" s="1">
        <v>2023.0</v>
      </c>
      <c r="D708" s="2">
        <v>44981.0</v>
      </c>
      <c r="F708" s="1" t="s">
        <v>3198</v>
      </c>
      <c r="H708" s="3">
        <v>3.0</v>
      </c>
      <c r="I708" s="4" t="s">
        <v>3199</v>
      </c>
      <c r="J708" s="1" t="s">
        <v>3200</v>
      </c>
      <c r="K708" s="1" t="s">
        <v>16</v>
      </c>
    </row>
    <row r="709">
      <c r="A709" s="1" t="s">
        <v>3201</v>
      </c>
      <c r="B709" s="1" t="s">
        <v>3202</v>
      </c>
      <c r="C709" s="1">
        <v>2023.0</v>
      </c>
      <c r="D709" s="2">
        <v>44980.0</v>
      </c>
      <c r="F709" s="1" t="s">
        <v>1410</v>
      </c>
      <c r="H709" s="3">
        <v>1.0</v>
      </c>
      <c r="I709" s="4" t="s">
        <v>3203</v>
      </c>
      <c r="J709" s="1" t="s">
        <v>3204</v>
      </c>
      <c r="K709" s="1" t="s">
        <v>323</v>
      </c>
    </row>
    <row r="710">
      <c r="A710" s="1" t="s">
        <v>3205</v>
      </c>
      <c r="B710" s="1" t="s">
        <v>3206</v>
      </c>
      <c r="C710" s="1">
        <v>2023.0</v>
      </c>
      <c r="D710" s="2">
        <v>44980.0</v>
      </c>
      <c r="F710" s="1" t="s">
        <v>3207</v>
      </c>
      <c r="H710" s="3">
        <v>2.0</v>
      </c>
      <c r="I710" s="4" t="s">
        <v>3208</v>
      </c>
      <c r="J710" s="1" t="s">
        <v>3209</v>
      </c>
      <c r="K710" s="1" t="s">
        <v>443</v>
      </c>
    </row>
    <row r="711">
      <c r="A711" s="1" t="s">
        <v>3210</v>
      </c>
      <c r="B711" s="1" t="s">
        <v>3211</v>
      </c>
      <c r="C711" s="1">
        <v>2023.0</v>
      </c>
      <c r="D711" s="2">
        <v>44979.0</v>
      </c>
      <c r="F711" s="1" t="s">
        <v>271</v>
      </c>
      <c r="H711" s="3">
        <v>0.0</v>
      </c>
      <c r="I711" s="4" t="s">
        <v>3212</v>
      </c>
      <c r="J711" s="1" t="s">
        <v>3213</v>
      </c>
      <c r="K711" s="1" t="s">
        <v>571</v>
      </c>
    </row>
    <row r="712">
      <c r="A712" s="1" t="s">
        <v>3214</v>
      </c>
      <c r="B712" s="1" t="s">
        <v>3215</v>
      </c>
      <c r="C712" s="1">
        <v>2023.0</v>
      </c>
      <c r="D712" s="2">
        <v>44979.0</v>
      </c>
      <c r="F712" s="1" t="s">
        <v>396</v>
      </c>
      <c r="H712" s="3">
        <v>9.0</v>
      </c>
      <c r="I712" s="4" t="s">
        <v>3216</v>
      </c>
      <c r="J712" s="1" t="s">
        <v>3217</v>
      </c>
      <c r="K712" s="1" t="s">
        <v>403</v>
      </c>
    </row>
    <row r="713">
      <c r="A713" s="1" t="s">
        <v>3218</v>
      </c>
      <c r="B713" s="1" t="s">
        <v>3219</v>
      </c>
      <c r="C713" s="1">
        <v>2023.0</v>
      </c>
      <c r="D713" s="2">
        <v>44977.0</v>
      </c>
      <c r="F713" s="1" t="s">
        <v>271</v>
      </c>
      <c r="H713" s="3">
        <v>18.0</v>
      </c>
      <c r="I713" s="4" t="s">
        <v>3220</v>
      </c>
      <c r="J713" s="1" t="s">
        <v>3221</v>
      </c>
      <c r="K713" s="1" t="s">
        <v>329</v>
      </c>
    </row>
    <row r="714">
      <c r="A714" s="1" t="s">
        <v>3222</v>
      </c>
      <c r="B714" s="1" t="s">
        <v>3223</v>
      </c>
      <c r="C714" s="1">
        <v>2023.0</v>
      </c>
      <c r="D714" s="2">
        <v>44977.0</v>
      </c>
      <c r="F714" s="1" t="s">
        <v>3224</v>
      </c>
      <c r="H714" s="3">
        <v>0.0</v>
      </c>
      <c r="I714" s="4" t="s">
        <v>3225</v>
      </c>
      <c r="J714" s="1" t="s">
        <v>3226</v>
      </c>
      <c r="K714" s="1" t="s">
        <v>295</v>
      </c>
    </row>
    <row r="715">
      <c r="A715" s="1" t="s">
        <v>3227</v>
      </c>
      <c r="B715" s="1" t="s">
        <v>3228</v>
      </c>
      <c r="C715" s="1">
        <v>2023.0</v>
      </c>
      <c r="D715" s="2">
        <v>44977.0</v>
      </c>
      <c r="F715" s="1" t="s">
        <v>410</v>
      </c>
      <c r="H715" s="3">
        <v>5.0</v>
      </c>
      <c r="I715" s="4" t="s">
        <v>3229</v>
      </c>
      <c r="J715" s="1" t="s">
        <v>3230</v>
      </c>
      <c r="K715" s="1" t="s">
        <v>443</v>
      </c>
    </row>
    <row r="716">
      <c r="A716" s="1" t="s">
        <v>3231</v>
      </c>
      <c r="B716" s="1" t="s">
        <v>3232</v>
      </c>
      <c r="C716" s="1">
        <v>2023.0</v>
      </c>
      <c r="D716" s="2">
        <v>44975.0</v>
      </c>
      <c r="F716" s="1" t="s">
        <v>3233</v>
      </c>
      <c r="H716" s="3">
        <v>1.0</v>
      </c>
      <c r="I716" s="4" t="s">
        <v>3234</v>
      </c>
      <c r="J716" s="1" t="s">
        <v>3235</v>
      </c>
      <c r="K716" s="1" t="s">
        <v>16</v>
      </c>
    </row>
    <row r="717">
      <c r="A717" s="1" t="s">
        <v>3236</v>
      </c>
      <c r="B717" s="1" t="s">
        <v>3237</v>
      </c>
      <c r="C717" s="1">
        <v>2023.0</v>
      </c>
      <c r="D717" s="2">
        <v>44974.0</v>
      </c>
      <c r="F717" s="1" t="s">
        <v>2335</v>
      </c>
      <c r="H717" s="3">
        <v>1.0</v>
      </c>
      <c r="I717" s="4" t="s">
        <v>3238</v>
      </c>
      <c r="J717" s="1" t="s">
        <v>3239</v>
      </c>
      <c r="K717" s="1" t="s">
        <v>462</v>
      </c>
    </row>
    <row r="718">
      <c r="A718" s="1" t="s">
        <v>3240</v>
      </c>
      <c r="B718" s="1" t="s">
        <v>3241</v>
      </c>
      <c r="C718" s="1">
        <v>2023.0</v>
      </c>
      <c r="D718" s="2">
        <v>44973.0</v>
      </c>
      <c r="F718" s="1" t="s">
        <v>3242</v>
      </c>
      <c r="H718" s="3">
        <v>8.0</v>
      </c>
      <c r="I718" s="4" t="s">
        <v>3243</v>
      </c>
      <c r="J718" s="1" t="s">
        <v>3244</v>
      </c>
      <c r="K718" s="1" t="s">
        <v>329</v>
      </c>
    </row>
    <row r="719">
      <c r="A719" s="1" t="s">
        <v>3245</v>
      </c>
      <c r="B719" s="1" t="s">
        <v>3246</v>
      </c>
      <c r="C719" s="1">
        <v>2023.0</v>
      </c>
      <c r="D719" s="2">
        <v>44973.0</v>
      </c>
      <c r="F719" s="1" t="s">
        <v>1300</v>
      </c>
      <c r="H719" s="3">
        <v>0.0</v>
      </c>
      <c r="I719" s="4" t="s">
        <v>3247</v>
      </c>
      <c r="J719" s="1" t="s">
        <v>3248</v>
      </c>
      <c r="K719" s="1" t="s">
        <v>28</v>
      </c>
    </row>
    <row r="720">
      <c r="A720" s="1" t="s">
        <v>3249</v>
      </c>
      <c r="B720" s="1" t="s">
        <v>2585</v>
      </c>
      <c r="C720" s="1">
        <v>2023.0</v>
      </c>
      <c r="D720" s="2">
        <v>44973.0</v>
      </c>
      <c r="F720" s="1" t="s">
        <v>2586</v>
      </c>
      <c r="H720" s="3">
        <v>2.0</v>
      </c>
      <c r="I720" s="4" t="s">
        <v>3250</v>
      </c>
      <c r="J720" s="1" t="s">
        <v>3251</v>
      </c>
      <c r="K720" s="1" t="s">
        <v>443</v>
      </c>
    </row>
    <row r="721">
      <c r="A721" s="1" t="s">
        <v>3252</v>
      </c>
      <c r="B721" s="1" t="s">
        <v>3253</v>
      </c>
      <c r="C721" s="1">
        <v>2023.0</v>
      </c>
      <c r="D721" s="2">
        <v>44973.0</v>
      </c>
      <c r="F721" s="1" t="s">
        <v>3254</v>
      </c>
      <c r="H721" s="3">
        <v>4.0</v>
      </c>
      <c r="I721" s="4" t="s">
        <v>3255</v>
      </c>
      <c r="J721" s="1" t="s">
        <v>3256</v>
      </c>
      <c r="K721" s="1" t="s">
        <v>413</v>
      </c>
    </row>
    <row r="722">
      <c r="A722" s="1" t="s">
        <v>3257</v>
      </c>
      <c r="B722" s="1" t="s">
        <v>3258</v>
      </c>
      <c r="C722" s="1">
        <v>2023.0</v>
      </c>
      <c r="D722" s="2">
        <v>44973.0</v>
      </c>
      <c r="F722" s="1" t="s">
        <v>1123</v>
      </c>
      <c r="H722" s="3">
        <v>1.0</v>
      </c>
      <c r="I722" s="4" t="s">
        <v>3259</v>
      </c>
      <c r="J722" s="1" t="s">
        <v>3260</v>
      </c>
      <c r="K722" s="1" t="s">
        <v>16</v>
      </c>
    </row>
    <row r="723">
      <c r="A723" s="1" t="s">
        <v>3261</v>
      </c>
      <c r="B723" s="1" t="s">
        <v>3262</v>
      </c>
      <c r="C723" s="1">
        <v>2023.0</v>
      </c>
      <c r="D723" s="2">
        <v>44973.0</v>
      </c>
      <c r="F723" s="1" t="s">
        <v>3263</v>
      </c>
      <c r="H723" s="3">
        <v>1.0</v>
      </c>
      <c r="I723" s="4" t="s">
        <v>3264</v>
      </c>
      <c r="J723" s="1" t="s">
        <v>3265</v>
      </c>
      <c r="K723" s="1" t="s">
        <v>16</v>
      </c>
    </row>
    <row r="724">
      <c r="A724" s="1" t="s">
        <v>3266</v>
      </c>
      <c r="B724" s="1" t="s">
        <v>3267</v>
      </c>
      <c r="C724" s="1">
        <v>2023.0</v>
      </c>
      <c r="D724" s="2">
        <v>44973.0</v>
      </c>
      <c r="F724" s="1" t="s">
        <v>1128</v>
      </c>
      <c r="H724" s="3">
        <v>4.0</v>
      </c>
      <c r="I724" s="4" t="s">
        <v>3268</v>
      </c>
      <c r="J724" s="1" t="s">
        <v>3269</v>
      </c>
      <c r="K724" s="1" t="s">
        <v>16</v>
      </c>
    </row>
    <row r="725">
      <c r="A725" s="1" t="s">
        <v>3270</v>
      </c>
      <c r="B725" s="1" t="s">
        <v>3271</v>
      </c>
      <c r="C725" s="1">
        <v>2023.0</v>
      </c>
      <c r="D725" s="2">
        <v>44972.0</v>
      </c>
      <c r="F725" s="1" t="s">
        <v>1199</v>
      </c>
      <c r="H725" s="3">
        <v>3.0</v>
      </c>
      <c r="I725" s="4" t="s">
        <v>3272</v>
      </c>
      <c r="J725" s="1" t="s">
        <v>3273</v>
      </c>
      <c r="K725" s="1" t="s">
        <v>443</v>
      </c>
    </row>
    <row r="726">
      <c r="A726" s="1" t="s">
        <v>3274</v>
      </c>
      <c r="B726" s="1" t="s">
        <v>3275</v>
      </c>
      <c r="C726" s="1">
        <v>2023.0</v>
      </c>
      <c r="D726" s="2">
        <v>44972.0</v>
      </c>
      <c r="F726" s="1" t="s">
        <v>3276</v>
      </c>
      <c r="H726" s="3">
        <v>7.0</v>
      </c>
      <c r="I726" s="4" t="s">
        <v>3277</v>
      </c>
      <c r="J726" s="1" t="s">
        <v>3278</v>
      </c>
      <c r="K726" s="1" t="s">
        <v>462</v>
      </c>
    </row>
    <row r="727">
      <c r="A727" s="1" t="s">
        <v>3279</v>
      </c>
      <c r="B727" s="1" t="s">
        <v>3280</v>
      </c>
      <c r="C727" s="1">
        <v>2023.0</v>
      </c>
      <c r="D727" s="2">
        <v>44972.0</v>
      </c>
      <c r="F727" s="1" t="s">
        <v>396</v>
      </c>
      <c r="H727" s="3">
        <v>8.0</v>
      </c>
      <c r="I727" s="4" t="s">
        <v>3281</v>
      </c>
      <c r="J727" s="1" t="s">
        <v>3282</v>
      </c>
      <c r="K727" s="1" t="s">
        <v>16</v>
      </c>
    </row>
    <row r="728">
      <c r="A728" s="1" t="s">
        <v>3283</v>
      </c>
      <c r="B728" s="1" t="s">
        <v>3284</v>
      </c>
      <c r="C728" s="1">
        <v>2023.0</v>
      </c>
      <c r="D728" s="2">
        <v>44971.0</v>
      </c>
      <c r="F728" s="1" t="s">
        <v>3285</v>
      </c>
      <c r="H728" s="3">
        <v>3.0</v>
      </c>
      <c r="I728" s="4" t="s">
        <v>3286</v>
      </c>
      <c r="J728" s="1" t="s">
        <v>3287</v>
      </c>
      <c r="K728" s="1" t="s">
        <v>45</v>
      </c>
    </row>
    <row r="729">
      <c r="A729" s="1" t="s">
        <v>3288</v>
      </c>
      <c r="B729" s="1" t="s">
        <v>3289</v>
      </c>
      <c r="C729" s="1">
        <v>2023.0</v>
      </c>
      <c r="D729" s="2">
        <v>44971.0</v>
      </c>
      <c r="F729" s="1" t="s">
        <v>1366</v>
      </c>
      <c r="H729" s="3">
        <v>5.0</v>
      </c>
      <c r="I729" s="4" t="s">
        <v>3290</v>
      </c>
      <c r="J729" s="1" t="s">
        <v>3291</v>
      </c>
      <c r="K729" s="1" t="s">
        <v>926</v>
      </c>
    </row>
    <row r="730">
      <c r="A730" s="1" t="s">
        <v>3292</v>
      </c>
      <c r="B730" s="1" t="s">
        <v>3293</v>
      </c>
      <c r="C730" s="1">
        <v>2023.0</v>
      </c>
      <c r="D730" s="2">
        <v>44971.0</v>
      </c>
      <c r="F730" s="1" t="s">
        <v>59</v>
      </c>
      <c r="H730" s="3">
        <v>2.0</v>
      </c>
      <c r="I730" s="4" t="s">
        <v>3294</v>
      </c>
      <c r="J730" s="1"/>
      <c r="K730" s="1" t="s">
        <v>16</v>
      </c>
    </row>
    <row r="731">
      <c r="A731" s="1" t="s">
        <v>3295</v>
      </c>
      <c r="B731" s="1" t="s">
        <v>3296</v>
      </c>
      <c r="C731" s="1">
        <v>2023.0</v>
      </c>
      <c r="D731" s="2">
        <v>44971.0</v>
      </c>
      <c r="F731" s="1" t="s">
        <v>3297</v>
      </c>
      <c r="H731" s="3">
        <v>3.0</v>
      </c>
      <c r="I731" s="4" t="s">
        <v>3298</v>
      </c>
      <c r="J731" s="1" t="s">
        <v>3299</v>
      </c>
      <c r="K731" s="1" t="s">
        <v>16</v>
      </c>
    </row>
    <row r="732">
      <c r="A732" s="1" t="s">
        <v>3300</v>
      </c>
      <c r="B732" s="1" t="s">
        <v>3301</v>
      </c>
      <c r="C732" s="1">
        <v>2023.0</v>
      </c>
      <c r="D732" s="2">
        <v>44970.0</v>
      </c>
      <c r="F732" s="1" t="s">
        <v>1654</v>
      </c>
      <c r="H732" s="3">
        <v>0.0</v>
      </c>
      <c r="I732" s="4" t="s">
        <v>3302</v>
      </c>
      <c r="J732" s="1" t="s">
        <v>3303</v>
      </c>
      <c r="K732" s="1" t="s">
        <v>295</v>
      </c>
    </row>
    <row r="733">
      <c r="A733" s="1" t="s">
        <v>3304</v>
      </c>
      <c r="B733" s="1" t="s">
        <v>3305</v>
      </c>
      <c r="C733" s="1">
        <v>2023.0</v>
      </c>
      <c r="D733" s="2">
        <v>44968.0</v>
      </c>
      <c r="F733" s="1" t="s">
        <v>3254</v>
      </c>
      <c r="H733" s="3">
        <v>1.0</v>
      </c>
      <c r="I733" s="4" t="s">
        <v>3306</v>
      </c>
      <c r="J733" s="1" t="s">
        <v>3307</v>
      </c>
      <c r="K733" s="1" t="s">
        <v>68</v>
      </c>
    </row>
    <row r="734">
      <c r="A734" s="1" t="s">
        <v>3308</v>
      </c>
      <c r="B734" s="1" t="s">
        <v>3309</v>
      </c>
      <c r="C734" s="1">
        <v>2023.0</v>
      </c>
      <c r="D734" s="2">
        <v>44967.0</v>
      </c>
      <c r="F734" s="1" t="s">
        <v>3310</v>
      </c>
      <c r="H734" s="3">
        <v>0.0</v>
      </c>
      <c r="I734" s="4" t="s">
        <v>3311</v>
      </c>
      <c r="J734" s="1" t="s">
        <v>3312</v>
      </c>
      <c r="K734" s="1" t="s">
        <v>28</v>
      </c>
    </row>
    <row r="735">
      <c r="A735" s="1" t="s">
        <v>3313</v>
      </c>
      <c r="B735" s="1" t="s">
        <v>3314</v>
      </c>
      <c r="C735" s="1">
        <v>2023.0</v>
      </c>
      <c r="D735" s="2">
        <v>44967.0</v>
      </c>
      <c r="F735" s="1" t="s">
        <v>867</v>
      </c>
      <c r="H735" s="3">
        <v>0.0</v>
      </c>
      <c r="I735" s="4" t="s">
        <v>3315</v>
      </c>
      <c r="J735" s="1" t="s">
        <v>3316</v>
      </c>
      <c r="K735" s="1" t="s">
        <v>28</v>
      </c>
    </row>
    <row r="736">
      <c r="A736" s="1" t="s">
        <v>3317</v>
      </c>
      <c r="B736" s="1" t="s">
        <v>3318</v>
      </c>
      <c r="C736" s="1">
        <v>2023.0</v>
      </c>
      <c r="D736" s="2">
        <v>44967.0</v>
      </c>
      <c r="F736" s="1" t="s">
        <v>3319</v>
      </c>
      <c r="H736" s="3">
        <v>3.0</v>
      </c>
      <c r="I736" s="4" t="s">
        <v>3320</v>
      </c>
      <c r="J736" s="1" t="s">
        <v>3321</v>
      </c>
      <c r="K736" s="1" t="s">
        <v>16</v>
      </c>
    </row>
    <row r="737">
      <c r="A737" s="1" t="s">
        <v>3322</v>
      </c>
      <c r="B737" s="1" t="s">
        <v>3323</v>
      </c>
      <c r="C737" s="1">
        <v>2023.0</v>
      </c>
      <c r="D737" s="2">
        <v>44967.0</v>
      </c>
      <c r="F737" s="1" t="s">
        <v>2186</v>
      </c>
      <c r="H737" s="3">
        <v>3.0</v>
      </c>
      <c r="I737" s="4" t="s">
        <v>3324</v>
      </c>
      <c r="J737" s="1" t="s">
        <v>3325</v>
      </c>
      <c r="K737" s="1" t="s">
        <v>16</v>
      </c>
    </row>
    <row r="738">
      <c r="A738" s="1" t="s">
        <v>3326</v>
      </c>
      <c r="B738" s="1" t="s">
        <v>3327</v>
      </c>
      <c r="C738" s="1">
        <v>2023.0</v>
      </c>
      <c r="D738" s="2">
        <v>44966.0</v>
      </c>
      <c r="F738" s="1" t="s">
        <v>1922</v>
      </c>
      <c r="H738" s="3">
        <v>0.0</v>
      </c>
      <c r="I738" s="4" t="s">
        <v>3328</v>
      </c>
      <c r="J738" s="1" t="s">
        <v>3329</v>
      </c>
      <c r="K738" s="1" t="s">
        <v>323</v>
      </c>
    </row>
    <row r="739">
      <c r="A739" s="1" t="s">
        <v>3330</v>
      </c>
      <c r="B739" s="1" t="s">
        <v>3331</v>
      </c>
      <c r="C739" s="1">
        <v>2023.0</v>
      </c>
      <c r="D739" s="2">
        <v>44965.0</v>
      </c>
      <c r="F739" s="1" t="s">
        <v>872</v>
      </c>
      <c r="H739" s="3">
        <v>0.0</v>
      </c>
      <c r="I739" s="4" t="s">
        <v>3332</v>
      </c>
      <c r="J739" s="1" t="s">
        <v>3333</v>
      </c>
      <c r="K739" s="1" t="s">
        <v>383</v>
      </c>
    </row>
    <row r="740">
      <c r="A740" s="1" t="s">
        <v>3334</v>
      </c>
      <c r="B740" s="1" t="s">
        <v>3335</v>
      </c>
      <c r="C740" s="1">
        <v>2023.0</v>
      </c>
      <c r="D740" s="2">
        <v>44965.0</v>
      </c>
      <c r="F740" s="1" t="s">
        <v>591</v>
      </c>
      <c r="H740" s="3">
        <v>2.0</v>
      </c>
      <c r="I740" s="4" t="s">
        <v>3336</v>
      </c>
      <c r="J740" s="1" t="s">
        <v>3337</v>
      </c>
      <c r="K740" s="1" t="s">
        <v>28</v>
      </c>
    </row>
    <row r="741">
      <c r="A741" s="1" t="s">
        <v>3338</v>
      </c>
      <c r="B741" s="1" t="s">
        <v>3339</v>
      </c>
      <c r="C741" s="1">
        <v>2023.0</v>
      </c>
      <c r="D741" s="2">
        <v>44965.0</v>
      </c>
      <c r="F741" s="1" t="s">
        <v>3340</v>
      </c>
      <c r="H741" s="3">
        <v>2.0</v>
      </c>
      <c r="I741" s="4" t="s">
        <v>3341</v>
      </c>
      <c r="J741" s="1"/>
      <c r="K741" s="1" t="s">
        <v>443</v>
      </c>
    </row>
    <row r="742">
      <c r="A742" s="1" t="s">
        <v>3342</v>
      </c>
      <c r="B742" s="1" t="s">
        <v>3343</v>
      </c>
      <c r="C742" s="1">
        <v>2023.0</v>
      </c>
      <c r="D742" s="2">
        <v>44964.0</v>
      </c>
      <c r="F742" s="1" t="s">
        <v>396</v>
      </c>
      <c r="H742" s="3">
        <v>8.0</v>
      </c>
      <c r="I742" s="4" t="s">
        <v>3344</v>
      </c>
      <c r="J742" s="1" t="s">
        <v>3345</v>
      </c>
      <c r="K742" s="1" t="s">
        <v>28</v>
      </c>
    </row>
    <row r="743">
      <c r="A743" s="1" t="s">
        <v>3346</v>
      </c>
      <c r="B743" s="1" t="s">
        <v>3343</v>
      </c>
      <c r="C743" s="1">
        <v>2023.0</v>
      </c>
      <c r="D743" s="2">
        <v>44964.0</v>
      </c>
      <c r="F743" s="1" t="s">
        <v>396</v>
      </c>
      <c r="H743" s="3">
        <v>13.0</v>
      </c>
      <c r="I743" s="4" t="s">
        <v>3347</v>
      </c>
      <c r="J743" s="1" t="s">
        <v>3348</v>
      </c>
      <c r="K743" s="1" t="s">
        <v>28</v>
      </c>
    </row>
    <row r="744">
      <c r="A744" s="1" t="s">
        <v>3349</v>
      </c>
      <c r="B744" s="1" t="s">
        <v>3350</v>
      </c>
      <c r="C744" s="1">
        <v>2023.0</v>
      </c>
      <c r="D744" s="2">
        <v>44963.0</v>
      </c>
      <c r="F744" s="1" t="s">
        <v>3351</v>
      </c>
      <c r="H744" s="3">
        <v>8.0</v>
      </c>
      <c r="I744" s="4" t="s">
        <v>3352</v>
      </c>
      <c r="J744" s="1" t="s">
        <v>3353</v>
      </c>
      <c r="K744" s="1" t="s">
        <v>383</v>
      </c>
    </row>
    <row r="745">
      <c r="A745" s="1" t="s">
        <v>3354</v>
      </c>
      <c r="B745" s="1" t="s">
        <v>3355</v>
      </c>
      <c r="C745" s="1">
        <v>2023.0</v>
      </c>
      <c r="D745" s="2">
        <v>44959.0</v>
      </c>
      <c r="F745" s="1" t="s">
        <v>1358</v>
      </c>
      <c r="H745" s="3">
        <v>11.0</v>
      </c>
      <c r="I745" s="4" t="s">
        <v>3356</v>
      </c>
      <c r="J745" s="1" t="s">
        <v>3357</v>
      </c>
      <c r="K745" s="1" t="s">
        <v>372</v>
      </c>
    </row>
    <row r="746">
      <c r="A746" s="1" t="s">
        <v>3358</v>
      </c>
      <c r="B746" s="1" t="s">
        <v>3359</v>
      </c>
      <c r="C746" s="1">
        <v>2023.0</v>
      </c>
      <c r="D746" s="2">
        <v>44959.0</v>
      </c>
      <c r="F746" s="1" t="s">
        <v>430</v>
      </c>
      <c r="H746" s="3">
        <v>1.0</v>
      </c>
      <c r="I746" s="4" t="s">
        <v>3360</v>
      </c>
      <c r="J746" s="1" t="s">
        <v>3361</v>
      </c>
      <c r="K746" s="1" t="s">
        <v>16</v>
      </c>
    </row>
    <row r="747">
      <c r="A747" s="1" t="s">
        <v>3362</v>
      </c>
      <c r="B747" s="1" t="s">
        <v>3363</v>
      </c>
      <c r="C747" s="1">
        <v>2023.0</v>
      </c>
      <c r="D747" s="2">
        <v>44958.0</v>
      </c>
      <c r="F747" s="1" t="s">
        <v>3364</v>
      </c>
      <c r="H747" s="3">
        <v>3.0</v>
      </c>
      <c r="I747" s="4" t="s">
        <v>3365</v>
      </c>
      <c r="J747" s="1" t="s">
        <v>3366</v>
      </c>
      <c r="K747" s="1" t="s">
        <v>45</v>
      </c>
    </row>
    <row r="748">
      <c r="A748" s="1" t="s">
        <v>3367</v>
      </c>
      <c r="B748" s="1" t="s">
        <v>3368</v>
      </c>
      <c r="C748" s="1">
        <v>2023.0</v>
      </c>
      <c r="D748" s="2">
        <v>44958.0</v>
      </c>
      <c r="F748" s="1" t="s">
        <v>3119</v>
      </c>
      <c r="H748" s="3">
        <v>7.0</v>
      </c>
      <c r="I748" s="4" t="s">
        <v>3369</v>
      </c>
      <c r="J748" s="1" t="s">
        <v>3370</v>
      </c>
      <c r="K748" s="1" t="s">
        <v>295</v>
      </c>
    </row>
    <row r="749">
      <c r="A749" s="1" t="s">
        <v>3371</v>
      </c>
      <c r="B749" s="1" t="s">
        <v>3372</v>
      </c>
      <c r="C749" s="1">
        <v>2023.0</v>
      </c>
      <c r="D749" s="2">
        <v>44958.0</v>
      </c>
      <c r="F749" s="1" t="s">
        <v>2228</v>
      </c>
      <c r="H749" s="3">
        <v>2.0</v>
      </c>
      <c r="I749" s="4" t="s">
        <v>3373</v>
      </c>
      <c r="J749" s="1" t="s">
        <v>3374</v>
      </c>
      <c r="K749" s="1" t="s">
        <v>28</v>
      </c>
    </row>
    <row r="750">
      <c r="A750" s="1" t="s">
        <v>3375</v>
      </c>
      <c r="B750" s="1" t="s">
        <v>3376</v>
      </c>
      <c r="C750" s="1">
        <v>2023.0</v>
      </c>
      <c r="D750" s="2">
        <v>44958.0</v>
      </c>
      <c r="F750" s="1" t="s">
        <v>530</v>
      </c>
      <c r="H750" s="3">
        <v>6.0</v>
      </c>
      <c r="I750" s="4" t="s">
        <v>3377</v>
      </c>
      <c r="J750" s="1" t="s">
        <v>3378</v>
      </c>
      <c r="K750" s="1" t="s">
        <v>383</v>
      </c>
    </row>
    <row r="751">
      <c r="A751" s="1" t="s">
        <v>3379</v>
      </c>
      <c r="B751" s="1" t="s">
        <v>3380</v>
      </c>
      <c r="C751" s="1">
        <v>2023.0</v>
      </c>
      <c r="D751" s="2">
        <v>44958.0</v>
      </c>
      <c r="F751" s="1" t="s">
        <v>1659</v>
      </c>
      <c r="H751" s="3">
        <v>7.0</v>
      </c>
      <c r="I751" s="4" t="s">
        <v>3381</v>
      </c>
      <c r="J751" s="1" t="s">
        <v>3382</v>
      </c>
      <c r="K751" s="1" t="s">
        <v>413</v>
      </c>
    </row>
    <row r="752">
      <c r="A752" s="1" t="s">
        <v>3383</v>
      </c>
      <c r="B752" s="1" t="s">
        <v>3384</v>
      </c>
      <c r="C752" s="1">
        <v>2023.0</v>
      </c>
      <c r="D752" s="2">
        <v>44958.0</v>
      </c>
      <c r="F752" s="1" t="s">
        <v>757</v>
      </c>
      <c r="H752" s="3">
        <v>24.0</v>
      </c>
      <c r="I752" s="4" t="s">
        <v>3385</v>
      </c>
      <c r="J752" s="1" t="s">
        <v>3386</v>
      </c>
      <c r="K752" s="1" t="s">
        <v>383</v>
      </c>
    </row>
    <row r="753">
      <c r="A753" s="1" t="s">
        <v>3387</v>
      </c>
      <c r="B753" s="1" t="s">
        <v>3388</v>
      </c>
      <c r="C753" s="1">
        <v>2023.0</v>
      </c>
      <c r="D753" s="2">
        <v>44957.0</v>
      </c>
      <c r="F753" s="1" t="s">
        <v>1381</v>
      </c>
      <c r="H753" s="3">
        <v>3.0</v>
      </c>
      <c r="I753" s="4" t="s">
        <v>3389</v>
      </c>
      <c r="J753" s="1" t="s">
        <v>3390</v>
      </c>
      <c r="K753" s="1" t="s">
        <v>492</v>
      </c>
    </row>
    <row r="754">
      <c r="A754" s="1" t="s">
        <v>3391</v>
      </c>
      <c r="B754" s="1" t="s">
        <v>3392</v>
      </c>
      <c r="C754" s="1">
        <v>2023.0</v>
      </c>
      <c r="D754" s="2">
        <v>44957.0</v>
      </c>
      <c r="F754" s="1" t="s">
        <v>1128</v>
      </c>
      <c r="H754" s="3">
        <v>0.0</v>
      </c>
      <c r="I754" s="4" t="s">
        <v>3393</v>
      </c>
      <c r="J754" s="1" t="s">
        <v>3394</v>
      </c>
      <c r="K754" s="1" t="s">
        <v>295</v>
      </c>
    </row>
    <row r="755">
      <c r="A755" s="1" t="s">
        <v>3395</v>
      </c>
      <c r="B755" s="1" t="s">
        <v>3396</v>
      </c>
      <c r="C755" s="1">
        <v>2023.0</v>
      </c>
      <c r="D755" s="2">
        <v>44957.0</v>
      </c>
      <c r="F755" s="1" t="s">
        <v>3397</v>
      </c>
      <c r="H755" s="3">
        <v>2.0</v>
      </c>
      <c r="I755" s="4" t="s">
        <v>3398</v>
      </c>
      <c r="J755" s="1" t="s">
        <v>3399</v>
      </c>
      <c r="K755" s="1" t="s">
        <v>68</v>
      </c>
    </row>
    <row r="756">
      <c r="A756" s="1" t="s">
        <v>3400</v>
      </c>
      <c r="B756" s="1" t="s">
        <v>3401</v>
      </c>
      <c r="C756" s="1">
        <v>2023.0</v>
      </c>
      <c r="D756" s="2">
        <v>44954.0</v>
      </c>
      <c r="F756" s="1" t="s">
        <v>2955</v>
      </c>
      <c r="H756" s="3">
        <v>12.0</v>
      </c>
      <c r="I756" s="4" t="s">
        <v>3402</v>
      </c>
      <c r="J756" s="1" t="s">
        <v>3403</v>
      </c>
      <c r="K756" s="1" t="s">
        <v>16</v>
      </c>
    </row>
    <row r="757">
      <c r="A757" s="1" t="s">
        <v>3404</v>
      </c>
      <c r="B757" s="1" t="s">
        <v>3405</v>
      </c>
      <c r="C757" s="1">
        <v>2023.0</v>
      </c>
      <c r="D757" s="2">
        <v>44950.0</v>
      </c>
      <c r="F757" s="1" t="s">
        <v>3151</v>
      </c>
      <c r="H757" s="3">
        <v>2.0</v>
      </c>
      <c r="I757" s="4" t="s">
        <v>3406</v>
      </c>
      <c r="J757" s="1" t="s">
        <v>3407</v>
      </c>
      <c r="K757" s="1" t="s">
        <v>383</v>
      </c>
    </row>
    <row r="758">
      <c r="A758" s="1" t="s">
        <v>3408</v>
      </c>
      <c r="B758" s="1" t="s">
        <v>3409</v>
      </c>
      <c r="C758" s="1">
        <v>2023.0</v>
      </c>
      <c r="D758" s="2">
        <v>44946.0</v>
      </c>
      <c r="F758" s="1" t="s">
        <v>430</v>
      </c>
      <c r="H758" s="3">
        <v>0.0</v>
      </c>
      <c r="I758" s="4" t="s">
        <v>3410</v>
      </c>
      <c r="J758" s="1" t="s">
        <v>3411</v>
      </c>
      <c r="K758" s="1" t="s">
        <v>418</v>
      </c>
    </row>
    <row r="759">
      <c r="A759" s="1" t="s">
        <v>3412</v>
      </c>
      <c r="B759" s="1" t="s">
        <v>3413</v>
      </c>
      <c r="C759" s="1">
        <v>2023.0</v>
      </c>
      <c r="D759" s="2">
        <v>44946.0</v>
      </c>
      <c r="F759" s="1" t="s">
        <v>71</v>
      </c>
      <c r="H759" s="3">
        <v>1.0</v>
      </c>
      <c r="I759" s="4" t="s">
        <v>3414</v>
      </c>
      <c r="J759" s="1" t="s">
        <v>3415</v>
      </c>
      <c r="K759" s="1" t="s">
        <v>45</v>
      </c>
    </row>
    <row r="760">
      <c r="A760" s="1" t="s">
        <v>3416</v>
      </c>
      <c r="B760" s="1" t="s">
        <v>3417</v>
      </c>
      <c r="C760" s="1">
        <v>2023.0</v>
      </c>
      <c r="D760" s="2">
        <v>44946.0</v>
      </c>
      <c r="F760" s="1" t="s">
        <v>1295</v>
      </c>
      <c r="H760" s="3">
        <v>3.0</v>
      </c>
      <c r="I760" s="4" t="s">
        <v>3418</v>
      </c>
      <c r="J760" s="1" t="s">
        <v>3419</v>
      </c>
      <c r="K760" s="1" t="s">
        <v>323</v>
      </c>
    </row>
    <row r="761">
      <c r="A761" s="1" t="s">
        <v>3420</v>
      </c>
      <c r="B761" s="1" t="s">
        <v>3421</v>
      </c>
      <c r="C761" s="1">
        <v>2023.0</v>
      </c>
      <c r="D761" s="2">
        <v>44945.0</v>
      </c>
      <c r="F761" s="1" t="s">
        <v>2151</v>
      </c>
      <c r="H761" s="3">
        <v>16.0</v>
      </c>
      <c r="I761" s="4" t="s">
        <v>3422</v>
      </c>
      <c r="J761" s="1" t="s">
        <v>3423</v>
      </c>
      <c r="K761" s="1" t="s">
        <v>45</v>
      </c>
    </row>
    <row r="762">
      <c r="A762" s="1" t="s">
        <v>3424</v>
      </c>
      <c r="B762" s="1" t="s">
        <v>3425</v>
      </c>
      <c r="C762" s="1">
        <v>2023.0</v>
      </c>
      <c r="D762" s="2">
        <v>44945.0</v>
      </c>
      <c r="F762" s="1" t="s">
        <v>298</v>
      </c>
      <c r="H762" s="3">
        <v>4.0</v>
      </c>
      <c r="I762" s="4" t="s">
        <v>3426</v>
      </c>
      <c r="J762" s="1" t="s">
        <v>3427</v>
      </c>
      <c r="K762" s="1" t="s">
        <v>68</v>
      </c>
    </row>
    <row r="763">
      <c r="A763" s="1" t="s">
        <v>3428</v>
      </c>
      <c r="B763" s="1" t="s">
        <v>3429</v>
      </c>
      <c r="C763" s="1">
        <v>2023.0</v>
      </c>
      <c r="D763" s="2">
        <v>44944.0</v>
      </c>
      <c r="F763" s="1" t="s">
        <v>3430</v>
      </c>
      <c r="H763" s="3">
        <v>5.0</v>
      </c>
      <c r="I763" s="4" t="s">
        <v>3431</v>
      </c>
      <c r="J763" s="1" t="s">
        <v>3432</v>
      </c>
      <c r="K763" s="1" t="s">
        <v>443</v>
      </c>
    </row>
    <row r="764">
      <c r="A764" s="1" t="s">
        <v>3433</v>
      </c>
      <c r="B764" s="1" t="s">
        <v>3434</v>
      </c>
      <c r="C764" s="1">
        <v>2023.0</v>
      </c>
      <c r="D764" s="2">
        <v>44943.0</v>
      </c>
      <c r="F764" s="1" t="s">
        <v>1040</v>
      </c>
      <c r="H764" s="3">
        <v>2.0</v>
      </c>
      <c r="I764" s="4" t="s">
        <v>3435</v>
      </c>
      <c r="J764" s="1" t="s">
        <v>3436</v>
      </c>
      <c r="K764" s="1" t="s">
        <v>28</v>
      </c>
    </row>
    <row r="765">
      <c r="A765" s="1" t="s">
        <v>3437</v>
      </c>
      <c r="B765" s="1" t="s">
        <v>3438</v>
      </c>
      <c r="C765" s="1">
        <v>2023.0</v>
      </c>
      <c r="D765" s="2">
        <v>44943.0</v>
      </c>
      <c r="F765" s="1" t="s">
        <v>3439</v>
      </c>
      <c r="H765" s="3">
        <v>0.0</v>
      </c>
      <c r="I765" s="4" t="s">
        <v>3440</v>
      </c>
      <c r="J765" s="1" t="s">
        <v>3441</v>
      </c>
      <c r="K765" s="1" t="s">
        <v>16</v>
      </c>
    </row>
    <row r="766">
      <c r="A766" s="1" t="s">
        <v>3442</v>
      </c>
      <c r="B766" s="1" t="s">
        <v>3443</v>
      </c>
      <c r="C766" s="1">
        <v>2023.0</v>
      </c>
      <c r="D766" s="2">
        <v>44939.0</v>
      </c>
      <c r="F766" s="1" t="s">
        <v>3444</v>
      </c>
      <c r="H766" s="3">
        <v>1.0</v>
      </c>
      <c r="I766" s="4" t="s">
        <v>3445</v>
      </c>
      <c r="J766" s="1" t="s">
        <v>3446</v>
      </c>
      <c r="K766" s="1" t="s">
        <v>28</v>
      </c>
    </row>
    <row r="767">
      <c r="A767" s="1" t="s">
        <v>3447</v>
      </c>
      <c r="B767" s="1" t="s">
        <v>3448</v>
      </c>
      <c r="C767" s="1">
        <v>2023.0</v>
      </c>
      <c r="D767" s="2">
        <v>44939.0</v>
      </c>
      <c r="F767" s="1" t="s">
        <v>3449</v>
      </c>
      <c r="H767" s="3">
        <v>0.0</v>
      </c>
      <c r="I767" s="4" t="s">
        <v>3450</v>
      </c>
      <c r="J767" s="1" t="s">
        <v>3451</v>
      </c>
      <c r="K767" s="1" t="s">
        <v>16</v>
      </c>
    </row>
    <row r="768">
      <c r="A768" s="1" t="s">
        <v>3452</v>
      </c>
      <c r="B768" s="1" t="s">
        <v>3453</v>
      </c>
      <c r="C768" s="1">
        <v>2023.0</v>
      </c>
      <c r="D768" s="2">
        <v>44938.0</v>
      </c>
      <c r="F768" s="1" t="s">
        <v>198</v>
      </c>
      <c r="H768" s="3">
        <v>15.0</v>
      </c>
      <c r="I768" s="4" t="s">
        <v>3454</v>
      </c>
      <c r="J768" s="1" t="s">
        <v>3455</v>
      </c>
      <c r="K768" s="1" t="s">
        <v>16</v>
      </c>
    </row>
    <row r="769">
      <c r="A769" s="1" t="s">
        <v>3456</v>
      </c>
      <c r="B769" s="1" t="s">
        <v>3457</v>
      </c>
      <c r="C769" s="1">
        <v>2023.0</v>
      </c>
      <c r="D769" s="2">
        <v>44938.0</v>
      </c>
      <c r="F769" s="1" t="s">
        <v>3458</v>
      </c>
      <c r="H769" s="3">
        <v>11.0</v>
      </c>
      <c r="I769" s="4" t="s">
        <v>3459</v>
      </c>
      <c r="J769" s="1" t="s">
        <v>3460</v>
      </c>
      <c r="K769" s="1" t="s">
        <v>1036</v>
      </c>
    </row>
    <row r="770">
      <c r="A770" s="1" t="s">
        <v>3461</v>
      </c>
      <c r="B770" s="1" t="s">
        <v>3462</v>
      </c>
      <c r="C770" s="1">
        <v>2023.0</v>
      </c>
      <c r="D770" s="2">
        <v>44935.0</v>
      </c>
      <c r="F770" s="1" t="s">
        <v>3463</v>
      </c>
      <c r="H770" s="3">
        <v>1.0</v>
      </c>
      <c r="I770" s="4" t="s">
        <v>3464</v>
      </c>
      <c r="J770" s="1" t="s">
        <v>3465</v>
      </c>
      <c r="K770" s="1" t="s">
        <v>28</v>
      </c>
    </row>
    <row r="771">
      <c r="A771" s="1" t="s">
        <v>3466</v>
      </c>
      <c r="B771" s="1" t="s">
        <v>3467</v>
      </c>
      <c r="C771" s="1">
        <v>2023.0</v>
      </c>
      <c r="D771" s="2">
        <v>44935.0</v>
      </c>
      <c r="F771" s="1" t="s">
        <v>3468</v>
      </c>
      <c r="H771" s="3">
        <v>0.0</v>
      </c>
      <c r="I771" s="4" t="s">
        <v>3469</v>
      </c>
      <c r="J771" s="1" t="s">
        <v>3470</v>
      </c>
      <c r="K771" s="1" t="s">
        <v>323</v>
      </c>
    </row>
    <row r="772">
      <c r="A772" s="1" t="s">
        <v>3471</v>
      </c>
      <c r="B772" s="1" t="s">
        <v>3472</v>
      </c>
      <c r="C772" s="1">
        <v>2023.0</v>
      </c>
      <c r="D772" s="2">
        <v>44935.0</v>
      </c>
      <c r="F772" s="1" t="s">
        <v>3463</v>
      </c>
      <c r="H772" s="3">
        <v>8.0</v>
      </c>
      <c r="I772" s="4" t="s">
        <v>3473</v>
      </c>
      <c r="J772" s="1" t="s">
        <v>3474</v>
      </c>
      <c r="K772" s="1" t="s">
        <v>383</v>
      </c>
    </row>
    <row r="773">
      <c r="A773" s="1" t="s">
        <v>3475</v>
      </c>
      <c r="B773" s="1" t="s">
        <v>3476</v>
      </c>
      <c r="C773" s="1">
        <v>2023.0</v>
      </c>
      <c r="D773" s="2">
        <v>44934.0</v>
      </c>
      <c r="F773" s="1" t="s">
        <v>1750</v>
      </c>
      <c r="H773" s="3">
        <v>3.0</v>
      </c>
      <c r="I773" s="4" t="s">
        <v>3477</v>
      </c>
      <c r="J773" s="1" t="s">
        <v>3478</v>
      </c>
      <c r="K773" s="1" t="s">
        <v>323</v>
      </c>
    </row>
    <row r="774">
      <c r="A774" s="1" t="s">
        <v>3479</v>
      </c>
      <c r="B774" s="1" t="s">
        <v>3480</v>
      </c>
      <c r="C774" s="1">
        <v>2023.0</v>
      </c>
      <c r="D774" s="2">
        <v>44933.0</v>
      </c>
      <c r="F774" s="1" t="s">
        <v>1859</v>
      </c>
      <c r="H774" s="3">
        <v>3.0</v>
      </c>
      <c r="I774" s="4" t="s">
        <v>3481</v>
      </c>
      <c r="J774" s="1" t="s">
        <v>3482</v>
      </c>
      <c r="K774" s="1" t="s">
        <v>477</v>
      </c>
    </row>
    <row r="775">
      <c r="A775" s="1" t="s">
        <v>3483</v>
      </c>
      <c r="B775" s="1" t="s">
        <v>3484</v>
      </c>
      <c r="C775" s="1">
        <v>2023.0</v>
      </c>
      <c r="D775" s="2">
        <v>44932.0</v>
      </c>
      <c r="F775" s="1" t="s">
        <v>643</v>
      </c>
      <c r="H775" s="3">
        <v>4.0</v>
      </c>
      <c r="I775" s="4" t="s">
        <v>3485</v>
      </c>
      <c r="J775" s="1" t="s">
        <v>3486</v>
      </c>
      <c r="K775" s="1" t="s">
        <v>16</v>
      </c>
    </row>
    <row r="776">
      <c r="A776" s="1" t="s">
        <v>3487</v>
      </c>
      <c r="B776" s="1" t="s">
        <v>3488</v>
      </c>
      <c r="C776" s="1">
        <v>2023.0</v>
      </c>
      <c r="D776" s="2">
        <v>44932.0</v>
      </c>
      <c r="F776" s="1" t="s">
        <v>3489</v>
      </c>
      <c r="H776" s="3">
        <v>2.0</v>
      </c>
      <c r="I776" s="4" t="s">
        <v>3490</v>
      </c>
      <c r="J776" s="1" t="s">
        <v>3491</v>
      </c>
      <c r="K776" s="1" t="s">
        <v>462</v>
      </c>
    </row>
    <row r="777">
      <c r="A777" s="1" t="s">
        <v>3492</v>
      </c>
      <c r="B777" s="1" t="s">
        <v>3493</v>
      </c>
      <c r="C777" s="1">
        <v>2023.0</v>
      </c>
      <c r="D777" s="2">
        <v>44932.0</v>
      </c>
      <c r="F777" s="1" t="s">
        <v>711</v>
      </c>
      <c r="H777" s="3">
        <v>0.0</v>
      </c>
      <c r="I777" s="4" t="s">
        <v>3494</v>
      </c>
      <c r="J777" s="1"/>
      <c r="K777" s="1" t="s">
        <v>16</v>
      </c>
    </row>
    <row r="778">
      <c r="A778" s="1" t="s">
        <v>3495</v>
      </c>
      <c r="B778" s="1" t="s">
        <v>3496</v>
      </c>
      <c r="C778" s="1">
        <v>2023.0</v>
      </c>
      <c r="D778" s="2">
        <v>44931.0</v>
      </c>
      <c r="F778" s="1" t="s">
        <v>286</v>
      </c>
      <c r="H778" s="3">
        <v>1.0</v>
      </c>
      <c r="I778" s="4" t="s">
        <v>3497</v>
      </c>
      <c r="J778" s="1" t="s">
        <v>3498</v>
      </c>
      <c r="K778" s="1" t="s">
        <v>403</v>
      </c>
    </row>
    <row r="779">
      <c r="A779" s="1" t="s">
        <v>3499</v>
      </c>
      <c r="B779" s="1" t="s">
        <v>3500</v>
      </c>
      <c r="C779" s="1">
        <v>2023.0</v>
      </c>
      <c r="D779" s="2">
        <v>44930.0</v>
      </c>
      <c r="F779" s="1" t="s">
        <v>3501</v>
      </c>
      <c r="H779" s="3">
        <v>5.0</v>
      </c>
      <c r="I779" s="4" t="s">
        <v>3502</v>
      </c>
      <c r="J779" s="1" t="s">
        <v>3503</v>
      </c>
      <c r="K779" s="1" t="s">
        <v>45</v>
      </c>
    </row>
    <row r="780">
      <c r="A780" s="1" t="s">
        <v>3504</v>
      </c>
      <c r="B780" s="1" t="s">
        <v>3505</v>
      </c>
      <c r="C780" s="1">
        <v>2023.0</v>
      </c>
      <c r="D780" s="2">
        <v>44930.0</v>
      </c>
      <c r="F780" s="1" t="s">
        <v>1664</v>
      </c>
      <c r="H780" s="3">
        <v>9.0</v>
      </c>
      <c r="I780" s="4" t="s">
        <v>3506</v>
      </c>
      <c r="J780" s="1" t="s">
        <v>3507</v>
      </c>
      <c r="K780" s="1" t="s">
        <v>418</v>
      </c>
    </row>
    <row r="781">
      <c r="A781" s="1" t="s">
        <v>3508</v>
      </c>
      <c r="B781" s="1" t="s">
        <v>3509</v>
      </c>
      <c r="C781" s="1">
        <v>2023.0</v>
      </c>
      <c r="D781" s="2">
        <v>44930.0</v>
      </c>
      <c r="F781" s="1" t="s">
        <v>3119</v>
      </c>
      <c r="H781" s="3">
        <v>6.0</v>
      </c>
      <c r="I781" s="4" t="s">
        <v>3510</v>
      </c>
      <c r="J781" s="1" t="s">
        <v>3511</v>
      </c>
      <c r="K781" s="1" t="s">
        <v>45</v>
      </c>
    </row>
    <row r="782">
      <c r="A782" s="1" t="s">
        <v>3512</v>
      </c>
      <c r="B782" s="1" t="s">
        <v>3513</v>
      </c>
      <c r="C782" s="1">
        <v>2023.0</v>
      </c>
      <c r="D782" s="2">
        <v>44930.0</v>
      </c>
      <c r="F782" s="1" t="s">
        <v>308</v>
      </c>
      <c r="H782" s="3">
        <v>2.0</v>
      </c>
      <c r="I782" s="4" t="s">
        <v>3514</v>
      </c>
      <c r="J782" s="1" t="s">
        <v>3515</v>
      </c>
      <c r="K782" s="1" t="s">
        <v>413</v>
      </c>
    </row>
    <row r="783">
      <c r="A783" s="1" t="s">
        <v>3516</v>
      </c>
      <c r="B783" s="1" t="s">
        <v>3517</v>
      </c>
      <c r="C783" s="1">
        <v>2023.0</v>
      </c>
      <c r="D783" s="2">
        <v>44928.0</v>
      </c>
      <c r="F783" s="1" t="s">
        <v>2560</v>
      </c>
      <c r="H783" s="3">
        <v>6.0</v>
      </c>
      <c r="I783" s="4" t="s">
        <v>3518</v>
      </c>
      <c r="J783" s="1" t="s">
        <v>3519</v>
      </c>
      <c r="K783" s="1" t="s">
        <v>926</v>
      </c>
    </row>
    <row r="784">
      <c r="A784" s="1" t="s">
        <v>3520</v>
      </c>
      <c r="B784" s="1" t="s">
        <v>3521</v>
      </c>
      <c r="C784" s="1">
        <v>2023.0</v>
      </c>
      <c r="D784" s="2">
        <v>44927.0</v>
      </c>
      <c r="F784" s="1" t="s">
        <v>3522</v>
      </c>
      <c r="H784" s="3">
        <v>4.0</v>
      </c>
      <c r="I784" s="4" t="s">
        <v>3523</v>
      </c>
      <c r="J784" s="1"/>
      <c r="K784" s="1" t="s">
        <v>329</v>
      </c>
    </row>
    <row r="785">
      <c r="A785" s="1" t="s">
        <v>3524</v>
      </c>
      <c r="B785" s="1" t="s">
        <v>3525</v>
      </c>
      <c r="C785" s="1">
        <v>2023.0</v>
      </c>
      <c r="D785" s="2">
        <v>44927.0</v>
      </c>
      <c r="F785" s="1" t="s">
        <v>337</v>
      </c>
      <c r="H785" s="3">
        <v>7.0</v>
      </c>
      <c r="I785" s="4" t="s">
        <v>3526</v>
      </c>
      <c r="J785" s="1" t="s">
        <v>3527</v>
      </c>
      <c r="K785" s="1" t="s">
        <v>45</v>
      </c>
    </row>
    <row r="786">
      <c r="A786" s="1" t="s">
        <v>3528</v>
      </c>
      <c r="B786" s="1" t="s">
        <v>3529</v>
      </c>
      <c r="C786" s="1">
        <v>2023.0</v>
      </c>
      <c r="D786" s="2">
        <v>44927.0</v>
      </c>
      <c r="F786" s="1" t="s">
        <v>3530</v>
      </c>
      <c r="H786" s="3">
        <v>2.0</v>
      </c>
      <c r="I786" s="4" t="s">
        <v>3531</v>
      </c>
      <c r="J786" s="1" t="s">
        <v>3532</v>
      </c>
      <c r="K786" s="1" t="s">
        <v>926</v>
      </c>
    </row>
    <row r="787">
      <c r="A787" s="1" t="s">
        <v>3533</v>
      </c>
      <c r="B787" s="1" t="s">
        <v>3534</v>
      </c>
      <c r="C787" s="1">
        <v>2023.0</v>
      </c>
      <c r="D787" s="2">
        <v>44927.0</v>
      </c>
      <c r="F787" s="1" t="s">
        <v>3535</v>
      </c>
      <c r="H787" s="3">
        <v>26.0</v>
      </c>
      <c r="I787" s="4" t="s">
        <v>3536</v>
      </c>
      <c r="J787" s="1"/>
      <c r="K787" s="1" t="s">
        <v>383</v>
      </c>
    </row>
    <row r="788">
      <c r="A788" s="1" t="s">
        <v>3537</v>
      </c>
      <c r="B788" s="1" t="s">
        <v>3538</v>
      </c>
      <c r="C788" s="1">
        <v>2023.0</v>
      </c>
      <c r="D788" s="2">
        <v>44927.0</v>
      </c>
      <c r="F788" s="1" t="s">
        <v>3535</v>
      </c>
      <c r="H788" s="3">
        <v>5.0</v>
      </c>
      <c r="I788" s="4" t="s">
        <v>3539</v>
      </c>
      <c r="J788" s="1"/>
      <c r="K788" s="1" t="s">
        <v>28</v>
      </c>
    </row>
    <row r="789">
      <c r="A789" s="1" t="s">
        <v>3540</v>
      </c>
      <c r="B789" s="1" t="s">
        <v>3541</v>
      </c>
      <c r="C789" s="1">
        <v>2023.0</v>
      </c>
      <c r="D789" s="2">
        <v>44927.0</v>
      </c>
      <c r="F789" s="1" t="s">
        <v>3542</v>
      </c>
      <c r="H789" s="3">
        <v>3.0</v>
      </c>
      <c r="I789" s="4" t="s">
        <v>3543</v>
      </c>
      <c r="J789" s="1" t="s">
        <v>3544</v>
      </c>
      <c r="K789" s="1" t="s">
        <v>68</v>
      </c>
    </row>
    <row r="790">
      <c r="A790" s="1" t="s">
        <v>3545</v>
      </c>
      <c r="B790" s="1" t="s">
        <v>3546</v>
      </c>
      <c r="C790" s="1">
        <v>2023.0</v>
      </c>
      <c r="D790" s="2">
        <v>44927.0</v>
      </c>
      <c r="F790" s="1" t="s">
        <v>3151</v>
      </c>
      <c r="H790" s="3">
        <v>5.0</v>
      </c>
      <c r="I790" s="4" t="s">
        <v>3547</v>
      </c>
      <c r="J790" s="1" t="s">
        <v>3548</v>
      </c>
      <c r="K790" s="1" t="s">
        <v>16</v>
      </c>
    </row>
    <row r="791">
      <c r="A791" s="1" t="s">
        <v>3549</v>
      </c>
      <c r="B791" s="1" t="s">
        <v>3550</v>
      </c>
      <c r="C791" s="1">
        <v>2023.0</v>
      </c>
      <c r="D791" s="2">
        <v>44927.0</v>
      </c>
      <c r="F791" s="1" t="s">
        <v>3551</v>
      </c>
      <c r="H791" s="3">
        <v>5.0</v>
      </c>
      <c r="I791" s="4" t="s">
        <v>3552</v>
      </c>
      <c r="J791" s="1" t="s">
        <v>3553</v>
      </c>
      <c r="K791" s="1" t="s">
        <v>16</v>
      </c>
    </row>
    <row r="792">
      <c r="A792" s="1" t="s">
        <v>3554</v>
      </c>
      <c r="B792" s="1" t="s">
        <v>3555</v>
      </c>
      <c r="C792" s="1">
        <v>2022.0</v>
      </c>
      <c r="D792" s="2">
        <v>44926.0</v>
      </c>
      <c r="F792" s="1" t="s">
        <v>223</v>
      </c>
      <c r="H792" s="3">
        <v>3.0</v>
      </c>
      <c r="I792" s="4" t="s">
        <v>3556</v>
      </c>
      <c r="J792" s="1" t="s">
        <v>3557</v>
      </c>
      <c r="K792" s="1" t="s">
        <v>16</v>
      </c>
    </row>
    <row r="793">
      <c r="A793" s="1" t="s">
        <v>3558</v>
      </c>
      <c r="B793" s="1" t="s">
        <v>3559</v>
      </c>
      <c r="C793" s="1">
        <v>2022.0</v>
      </c>
      <c r="D793" s="2">
        <v>44925.0</v>
      </c>
      <c r="F793" s="1" t="s">
        <v>3560</v>
      </c>
      <c r="H793" s="3">
        <v>4.0</v>
      </c>
      <c r="I793" s="4" t="s">
        <v>3561</v>
      </c>
      <c r="J793" s="1" t="s">
        <v>3562</v>
      </c>
      <c r="K793" s="1" t="s">
        <v>28</v>
      </c>
    </row>
    <row r="794">
      <c r="A794" s="1" t="s">
        <v>3563</v>
      </c>
      <c r="B794" s="1" t="s">
        <v>3564</v>
      </c>
      <c r="C794" s="1">
        <v>2022.0</v>
      </c>
      <c r="D794" s="2">
        <v>44924.0</v>
      </c>
      <c r="F794" s="1" t="s">
        <v>271</v>
      </c>
      <c r="H794" s="3">
        <v>2.0</v>
      </c>
      <c r="I794" s="4" t="s">
        <v>3565</v>
      </c>
      <c r="J794" s="1" t="s">
        <v>3566</v>
      </c>
      <c r="K794" s="1" t="s">
        <v>413</v>
      </c>
    </row>
    <row r="795">
      <c r="A795" s="1" t="s">
        <v>3567</v>
      </c>
      <c r="B795" s="1" t="s">
        <v>3568</v>
      </c>
      <c r="C795" s="1">
        <v>2022.0</v>
      </c>
      <c r="D795" s="2">
        <v>44922.0</v>
      </c>
      <c r="F795" s="1" t="s">
        <v>3569</v>
      </c>
      <c r="H795" s="3">
        <v>30.0</v>
      </c>
      <c r="I795" s="4" t="s">
        <v>3570</v>
      </c>
      <c r="J795" s="1" t="s">
        <v>3571</v>
      </c>
      <c r="K795" s="1" t="s">
        <v>45</v>
      </c>
    </row>
    <row r="796">
      <c r="A796" s="1" t="s">
        <v>3572</v>
      </c>
      <c r="B796" s="1" t="s">
        <v>3573</v>
      </c>
      <c r="C796" s="1">
        <v>2022.0</v>
      </c>
      <c r="D796" s="2">
        <v>44922.0</v>
      </c>
      <c r="F796" s="1" t="s">
        <v>13</v>
      </c>
      <c r="H796" s="3">
        <v>11.0</v>
      </c>
      <c r="I796" s="4" t="s">
        <v>3574</v>
      </c>
      <c r="J796" s="1" t="s">
        <v>3575</v>
      </c>
      <c r="K796" s="1" t="s">
        <v>403</v>
      </c>
    </row>
    <row r="797">
      <c r="A797" s="1" t="s">
        <v>3576</v>
      </c>
      <c r="B797" s="1" t="s">
        <v>3577</v>
      </c>
      <c r="C797" s="1">
        <v>2022.0</v>
      </c>
      <c r="D797" s="2">
        <v>44922.0</v>
      </c>
      <c r="F797" s="1" t="s">
        <v>3578</v>
      </c>
      <c r="H797" s="3">
        <v>17.0</v>
      </c>
      <c r="I797" s="4" t="s">
        <v>3579</v>
      </c>
      <c r="J797" s="1" t="s">
        <v>3580</v>
      </c>
      <c r="K797" s="1" t="s">
        <v>2542</v>
      </c>
    </row>
    <row r="798">
      <c r="A798" s="1" t="s">
        <v>3581</v>
      </c>
      <c r="B798" s="1" t="s">
        <v>3582</v>
      </c>
      <c r="C798" s="1">
        <v>2022.0</v>
      </c>
      <c r="D798" s="2">
        <v>44921.0</v>
      </c>
      <c r="F798" s="1" t="s">
        <v>3583</v>
      </c>
      <c r="H798" s="3">
        <v>2.0</v>
      </c>
      <c r="I798" s="4" t="s">
        <v>3584</v>
      </c>
      <c r="J798" s="1" t="s">
        <v>3585</v>
      </c>
      <c r="K798" s="1" t="s">
        <v>295</v>
      </c>
    </row>
    <row r="799">
      <c r="A799" s="1" t="s">
        <v>3586</v>
      </c>
      <c r="B799" s="1" t="s">
        <v>3587</v>
      </c>
      <c r="C799" s="1">
        <v>2022.0</v>
      </c>
      <c r="D799" s="2">
        <v>44919.0</v>
      </c>
      <c r="F799" s="1" t="s">
        <v>3588</v>
      </c>
      <c r="H799" s="3">
        <v>7.0</v>
      </c>
      <c r="I799" s="4" t="s">
        <v>3589</v>
      </c>
      <c r="J799" s="1" t="s">
        <v>3590</v>
      </c>
      <c r="K799" s="1" t="s">
        <v>418</v>
      </c>
    </row>
    <row r="800">
      <c r="A800" s="1" t="s">
        <v>3591</v>
      </c>
      <c r="B800" s="1" t="s">
        <v>3592</v>
      </c>
      <c r="C800" s="1">
        <v>2022.0</v>
      </c>
      <c r="D800" s="2">
        <v>44918.0</v>
      </c>
      <c r="F800" s="1" t="s">
        <v>2819</v>
      </c>
      <c r="H800" s="3">
        <v>5.0</v>
      </c>
      <c r="I800" s="4" t="s">
        <v>3593</v>
      </c>
      <c r="J800" s="1" t="s">
        <v>3594</v>
      </c>
      <c r="K800" s="1" t="s">
        <v>28</v>
      </c>
    </row>
    <row r="801">
      <c r="A801" s="1" t="s">
        <v>3595</v>
      </c>
      <c r="B801" s="1" t="s">
        <v>3596</v>
      </c>
      <c r="C801" s="1">
        <v>2022.0</v>
      </c>
      <c r="D801" s="2">
        <v>44918.0</v>
      </c>
      <c r="F801" s="1" t="s">
        <v>3207</v>
      </c>
      <c r="H801" s="3">
        <v>3.0</v>
      </c>
      <c r="I801" s="4" t="s">
        <v>3597</v>
      </c>
      <c r="J801" s="1" t="s">
        <v>3598</v>
      </c>
      <c r="K801" s="1" t="s">
        <v>323</v>
      </c>
    </row>
    <row r="802">
      <c r="A802" s="1" t="s">
        <v>3599</v>
      </c>
      <c r="B802" s="1" t="s">
        <v>3600</v>
      </c>
      <c r="C802" s="1">
        <v>2022.0</v>
      </c>
      <c r="D802" s="2">
        <v>44918.0</v>
      </c>
      <c r="F802" s="1" t="s">
        <v>2987</v>
      </c>
      <c r="H802" s="3">
        <v>2.0</v>
      </c>
      <c r="I802" s="4" t="s">
        <v>3601</v>
      </c>
      <c r="J802" s="1" t="s">
        <v>3602</v>
      </c>
      <c r="K802" s="1" t="s">
        <v>16</v>
      </c>
    </row>
    <row r="803">
      <c r="A803" s="1" t="s">
        <v>3603</v>
      </c>
      <c r="B803" s="1" t="s">
        <v>3604</v>
      </c>
      <c r="C803" s="1">
        <v>2022.0</v>
      </c>
      <c r="D803" s="2">
        <v>44917.0</v>
      </c>
      <c r="F803" s="1" t="s">
        <v>2560</v>
      </c>
      <c r="H803" s="3">
        <v>7.0</v>
      </c>
      <c r="I803" s="4" t="s">
        <v>3605</v>
      </c>
      <c r="J803" s="1" t="s">
        <v>3606</v>
      </c>
      <c r="K803" s="1" t="s">
        <v>329</v>
      </c>
    </row>
    <row r="804">
      <c r="A804" s="1" t="s">
        <v>3607</v>
      </c>
      <c r="B804" s="1" t="s">
        <v>3608</v>
      </c>
      <c r="C804" s="1">
        <v>2022.0</v>
      </c>
      <c r="D804" s="2">
        <v>44917.0</v>
      </c>
      <c r="F804" s="1" t="s">
        <v>835</v>
      </c>
      <c r="H804" s="3">
        <v>1.0</v>
      </c>
      <c r="I804" s="4" t="s">
        <v>3609</v>
      </c>
      <c r="J804" s="1" t="s">
        <v>3610</v>
      </c>
      <c r="K804" s="1" t="s">
        <v>28</v>
      </c>
    </row>
    <row r="805">
      <c r="A805" s="1" t="s">
        <v>3611</v>
      </c>
      <c r="B805" s="1" t="s">
        <v>3612</v>
      </c>
      <c r="C805" s="1">
        <v>2022.0</v>
      </c>
      <c r="D805" s="2">
        <v>44917.0</v>
      </c>
      <c r="F805" s="1" t="s">
        <v>2560</v>
      </c>
      <c r="H805" s="3">
        <v>2.0</v>
      </c>
      <c r="I805" s="4" t="s">
        <v>3613</v>
      </c>
      <c r="J805" s="1" t="s">
        <v>3614</v>
      </c>
      <c r="K805" s="1" t="s">
        <v>383</v>
      </c>
    </row>
    <row r="806">
      <c r="A806" s="1" t="s">
        <v>3615</v>
      </c>
      <c r="B806" s="1" t="s">
        <v>3616</v>
      </c>
      <c r="C806" s="1">
        <v>2022.0</v>
      </c>
      <c r="D806" s="2">
        <v>44916.0</v>
      </c>
      <c r="F806" s="1" t="s">
        <v>3617</v>
      </c>
      <c r="H806" s="3">
        <v>2.0</v>
      </c>
      <c r="I806" s="4" t="s">
        <v>3618</v>
      </c>
      <c r="J806" s="1" t="s">
        <v>3619</v>
      </c>
      <c r="K806" s="1" t="s">
        <v>462</v>
      </c>
    </row>
    <row r="807">
      <c r="A807" s="1" t="s">
        <v>3620</v>
      </c>
      <c r="B807" s="1" t="s">
        <v>3621</v>
      </c>
      <c r="C807" s="1">
        <v>2022.0</v>
      </c>
      <c r="D807" s="2">
        <v>44915.0</v>
      </c>
      <c r="F807" s="1" t="s">
        <v>500</v>
      </c>
      <c r="H807" s="3">
        <v>1.0</v>
      </c>
      <c r="I807" s="4" t="s">
        <v>3622</v>
      </c>
      <c r="J807" s="1" t="s">
        <v>3623</v>
      </c>
      <c r="K807" s="1" t="s">
        <v>323</v>
      </c>
    </row>
    <row r="808">
      <c r="A808" s="1" t="s">
        <v>3624</v>
      </c>
      <c r="B808" s="1" t="s">
        <v>3625</v>
      </c>
      <c r="C808" s="1">
        <v>2022.0</v>
      </c>
      <c r="D808" s="2">
        <v>44914.0</v>
      </c>
      <c r="F808" s="1" t="s">
        <v>3626</v>
      </c>
      <c r="H808" s="3">
        <v>2.0</v>
      </c>
      <c r="I808" s="4" t="s">
        <v>3627</v>
      </c>
      <c r="J808" s="1" t="s">
        <v>3628</v>
      </c>
      <c r="K808" s="1" t="s">
        <v>383</v>
      </c>
    </row>
    <row r="809">
      <c r="A809" s="1" t="s">
        <v>3629</v>
      </c>
      <c r="B809" s="1" t="s">
        <v>3630</v>
      </c>
      <c r="C809" s="1">
        <v>2022.0</v>
      </c>
      <c r="D809" s="2">
        <v>44914.0</v>
      </c>
      <c r="F809" s="1" t="s">
        <v>86</v>
      </c>
      <c r="H809" s="3">
        <v>0.0</v>
      </c>
      <c r="I809" s="4" t="s">
        <v>3631</v>
      </c>
      <c r="J809" s="1" t="s">
        <v>3632</v>
      </c>
      <c r="K809" s="1" t="s">
        <v>323</v>
      </c>
    </row>
    <row r="810">
      <c r="A810" s="1" t="s">
        <v>3633</v>
      </c>
      <c r="B810" s="1" t="s">
        <v>3634</v>
      </c>
      <c r="C810" s="1">
        <v>2022.0</v>
      </c>
      <c r="D810" s="2">
        <v>44914.0</v>
      </c>
      <c r="F810" s="1" t="s">
        <v>676</v>
      </c>
      <c r="H810" s="3">
        <v>1.0</v>
      </c>
      <c r="I810" s="4" t="s">
        <v>3635</v>
      </c>
      <c r="J810" s="1"/>
      <c r="K810" s="1" t="s">
        <v>16</v>
      </c>
    </row>
    <row r="811">
      <c r="A811" s="1" t="s">
        <v>3636</v>
      </c>
      <c r="B811" s="1" t="s">
        <v>3637</v>
      </c>
      <c r="C811" s="1">
        <v>2022.0</v>
      </c>
      <c r="D811" s="2">
        <v>44912.0</v>
      </c>
      <c r="F811" s="1" t="s">
        <v>3638</v>
      </c>
      <c r="H811" s="3">
        <v>14.0</v>
      </c>
      <c r="I811" s="4" t="s">
        <v>3639</v>
      </c>
      <c r="J811" s="1" t="s">
        <v>3640</v>
      </c>
      <c r="K811" s="1" t="s">
        <v>295</v>
      </c>
    </row>
    <row r="812">
      <c r="A812" s="1" t="s">
        <v>3641</v>
      </c>
      <c r="B812" s="1" t="s">
        <v>3642</v>
      </c>
      <c r="C812" s="1">
        <v>2022.0</v>
      </c>
      <c r="D812" s="2">
        <v>44911.0</v>
      </c>
      <c r="F812" s="1" t="s">
        <v>81</v>
      </c>
      <c r="H812" s="3">
        <v>2.0</v>
      </c>
      <c r="I812" s="4" t="s">
        <v>3643</v>
      </c>
      <c r="J812" s="1" t="s">
        <v>3644</v>
      </c>
      <c r="K812" s="1" t="s">
        <v>45</v>
      </c>
    </row>
    <row r="813">
      <c r="A813" s="1" t="s">
        <v>3645</v>
      </c>
      <c r="B813" s="1" t="s">
        <v>2628</v>
      </c>
      <c r="C813" s="1">
        <v>2022.0</v>
      </c>
      <c r="D813" s="2">
        <v>44911.0</v>
      </c>
      <c r="F813" s="1" t="s">
        <v>2629</v>
      </c>
      <c r="H813" s="3">
        <v>17.0</v>
      </c>
      <c r="I813" s="4" t="s">
        <v>3646</v>
      </c>
      <c r="J813" s="1" t="s">
        <v>3647</v>
      </c>
      <c r="K813" s="1" t="s">
        <v>443</v>
      </c>
    </row>
    <row r="814">
      <c r="A814" s="1" t="s">
        <v>3648</v>
      </c>
      <c r="B814" s="1" t="s">
        <v>3649</v>
      </c>
      <c r="C814" s="1">
        <v>2022.0</v>
      </c>
      <c r="D814" s="2">
        <v>44910.0</v>
      </c>
      <c r="F814" s="1" t="s">
        <v>3468</v>
      </c>
      <c r="H814" s="3">
        <v>0.0</v>
      </c>
      <c r="I814" s="4" t="s">
        <v>3650</v>
      </c>
      <c r="J814" s="1" t="s">
        <v>3651</v>
      </c>
      <c r="K814" s="1" t="s">
        <v>16</v>
      </c>
    </row>
    <row r="815">
      <c r="A815" s="1" t="s">
        <v>3652</v>
      </c>
      <c r="B815" s="1" t="s">
        <v>3653</v>
      </c>
      <c r="C815" s="1">
        <v>2022.0</v>
      </c>
      <c r="D815" s="2">
        <v>44909.0</v>
      </c>
      <c r="F815" s="1" t="s">
        <v>3654</v>
      </c>
      <c r="H815" s="3">
        <v>3.0</v>
      </c>
      <c r="I815" s="4" t="s">
        <v>3655</v>
      </c>
      <c r="J815" s="1" t="s">
        <v>3656</v>
      </c>
      <c r="K815" s="1" t="s">
        <v>295</v>
      </c>
    </row>
    <row r="816">
      <c r="A816" s="1" t="s">
        <v>3657</v>
      </c>
      <c r="B816" s="1" t="s">
        <v>3658</v>
      </c>
      <c r="C816" s="1">
        <v>2022.0</v>
      </c>
      <c r="D816" s="2">
        <v>44909.0</v>
      </c>
      <c r="F816" s="1" t="s">
        <v>208</v>
      </c>
      <c r="H816" s="3">
        <v>3.0</v>
      </c>
      <c r="I816" s="4" t="s">
        <v>3659</v>
      </c>
      <c r="J816" s="1" t="s">
        <v>3660</v>
      </c>
      <c r="K816" s="1" t="s">
        <v>418</v>
      </c>
    </row>
    <row r="817">
      <c r="A817" s="1" t="s">
        <v>3661</v>
      </c>
      <c r="B817" s="1" t="s">
        <v>3662</v>
      </c>
      <c r="C817" s="1">
        <v>2022.0</v>
      </c>
      <c r="D817" s="2">
        <v>44909.0</v>
      </c>
      <c r="F817" s="1" t="s">
        <v>2309</v>
      </c>
      <c r="H817" s="3">
        <v>1.0</v>
      </c>
      <c r="I817" s="4" t="s">
        <v>3663</v>
      </c>
      <c r="J817" s="1" t="s">
        <v>3664</v>
      </c>
      <c r="K817" s="1" t="s">
        <v>383</v>
      </c>
    </row>
    <row r="818">
      <c r="A818" s="1" t="s">
        <v>3665</v>
      </c>
      <c r="B818" s="1" t="s">
        <v>3666</v>
      </c>
      <c r="C818" s="1">
        <v>2022.0</v>
      </c>
      <c r="D818" s="2">
        <v>44909.0</v>
      </c>
      <c r="F818" s="1" t="s">
        <v>3667</v>
      </c>
      <c r="H818" s="3">
        <v>1.0</v>
      </c>
      <c r="I818" s="4" t="s">
        <v>3668</v>
      </c>
      <c r="J818" s="1" t="s">
        <v>3669</v>
      </c>
      <c r="K818" s="1" t="s">
        <v>1036</v>
      </c>
    </row>
    <row r="819">
      <c r="A819" s="1" t="s">
        <v>3670</v>
      </c>
      <c r="B819" s="1" t="s">
        <v>3671</v>
      </c>
      <c r="C819" s="1">
        <v>2022.0</v>
      </c>
      <c r="D819" s="2">
        <v>44909.0</v>
      </c>
      <c r="F819" s="1" t="s">
        <v>2297</v>
      </c>
      <c r="H819" s="3">
        <v>0.0</v>
      </c>
      <c r="I819" s="4" t="s">
        <v>3672</v>
      </c>
      <c r="J819" s="1" t="s">
        <v>3673</v>
      </c>
      <c r="K819" s="1" t="s">
        <v>413</v>
      </c>
    </row>
    <row r="820">
      <c r="A820" s="1" t="s">
        <v>3674</v>
      </c>
      <c r="B820" s="1" t="s">
        <v>3675</v>
      </c>
      <c r="C820" s="1">
        <v>2022.0</v>
      </c>
      <c r="D820" s="2">
        <v>44908.0</v>
      </c>
      <c r="F820" s="1" t="s">
        <v>3676</v>
      </c>
      <c r="H820" s="3">
        <v>0.0</v>
      </c>
      <c r="I820" s="4" t="s">
        <v>3677</v>
      </c>
      <c r="J820" s="1" t="s">
        <v>3678</v>
      </c>
      <c r="K820" s="1" t="s">
        <v>28</v>
      </c>
    </row>
    <row r="821">
      <c r="A821" s="1" t="s">
        <v>3679</v>
      </c>
      <c r="B821" s="1" t="s">
        <v>3680</v>
      </c>
      <c r="C821" s="1">
        <v>2022.0</v>
      </c>
      <c r="D821" s="2">
        <v>44908.0</v>
      </c>
      <c r="F821" s="1" t="s">
        <v>790</v>
      </c>
      <c r="H821" s="3">
        <v>6.0</v>
      </c>
      <c r="I821" s="4" t="s">
        <v>3681</v>
      </c>
      <c r="J821" s="1" t="s">
        <v>3682</v>
      </c>
      <c r="K821" s="1" t="s">
        <v>16</v>
      </c>
    </row>
    <row r="822">
      <c r="A822" s="1" t="s">
        <v>3683</v>
      </c>
      <c r="B822" s="1" t="s">
        <v>3684</v>
      </c>
      <c r="C822" s="1">
        <v>2022.0</v>
      </c>
      <c r="D822" s="2">
        <v>44907.0</v>
      </c>
      <c r="F822" s="1" t="s">
        <v>3685</v>
      </c>
      <c r="H822" s="3">
        <v>6.0</v>
      </c>
      <c r="I822" s="4" t="s">
        <v>3686</v>
      </c>
      <c r="J822" s="1" t="s">
        <v>3687</v>
      </c>
      <c r="K822" s="1" t="s">
        <v>443</v>
      </c>
    </row>
    <row r="823">
      <c r="A823" s="1" t="s">
        <v>3688</v>
      </c>
      <c r="B823" s="1" t="s">
        <v>3689</v>
      </c>
      <c r="C823" s="1">
        <v>2022.0</v>
      </c>
      <c r="D823" s="2">
        <v>44907.0</v>
      </c>
      <c r="F823" s="1" t="s">
        <v>3690</v>
      </c>
      <c r="H823" s="3">
        <v>8.0</v>
      </c>
      <c r="I823" s="4" t="s">
        <v>3691</v>
      </c>
      <c r="J823" s="1" t="s">
        <v>3692</v>
      </c>
      <c r="K823" s="1" t="s">
        <v>68</v>
      </c>
    </row>
    <row r="824">
      <c r="A824" s="1" t="s">
        <v>3693</v>
      </c>
      <c r="B824" s="1" t="s">
        <v>3694</v>
      </c>
      <c r="C824" s="1">
        <v>2022.0</v>
      </c>
      <c r="D824" s="2">
        <v>44904.0</v>
      </c>
      <c r="F824" s="1" t="s">
        <v>3017</v>
      </c>
      <c r="H824" s="3">
        <v>5.0</v>
      </c>
      <c r="I824" s="4" t="s">
        <v>3695</v>
      </c>
      <c r="J824" s="1" t="s">
        <v>3696</v>
      </c>
      <c r="K824" s="1" t="s">
        <v>28</v>
      </c>
    </row>
    <row r="825">
      <c r="A825" s="1" t="s">
        <v>3697</v>
      </c>
      <c r="B825" s="1" t="s">
        <v>3698</v>
      </c>
      <c r="C825" s="1">
        <v>2022.0</v>
      </c>
      <c r="D825" s="2">
        <v>44903.0</v>
      </c>
      <c r="F825" s="1" t="s">
        <v>3699</v>
      </c>
      <c r="H825" s="3">
        <v>5.0</v>
      </c>
      <c r="I825" s="4" t="s">
        <v>3700</v>
      </c>
      <c r="J825" s="1" t="s">
        <v>3701</v>
      </c>
      <c r="K825" s="1" t="s">
        <v>383</v>
      </c>
    </row>
    <row r="826">
      <c r="A826" s="1" t="s">
        <v>3702</v>
      </c>
      <c r="B826" s="1" t="s">
        <v>3703</v>
      </c>
      <c r="C826" s="1">
        <v>2022.0</v>
      </c>
      <c r="D826" s="2">
        <v>44903.0</v>
      </c>
      <c r="F826" s="1" t="s">
        <v>2444</v>
      </c>
      <c r="H826" s="3">
        <v>126.0</v>
      </c>
      <c r="I826" s="4" t="s">
        <v>3704</v>
      </c>
      <c r="J826" s="1" t="s">
        <v>3705</v>
      </c>
      <c r="K826" s="1" t="s">
        <v>492</v>
      </c>
    </row>
    <row r="827">
      <c r="A827" s="1" t="s">
        <v>3706</v>
      </c>
      <c r="B827" s="1" t="s">
        <v>3707</v>
      </c>
      <c r="C827" s="1">
        <v>2022.0</v>
      </c>
      <c r="D827" s="2">
        <v>44902.0</v>
      </c>
      <c r="F827" s="1" t="s">
        <v>71</v>
      </c>
      <c r="H827" s="3">
        <v>4.0</v>
      </c>
      <c r="I827" s="4" t="s">
        <v>3708</v>
      </c>
      <c r="J827" s="1" t="s">
        <v>3709</v>
      </c>
      <c r="K827" s="1" t="s">
        <v>16</v>
      </c>
    </row>
    <row r="828">
      <c r="A828" s="1" t="s">
        <v>3710</v>
      </c>
      <c r="B828" s="1" t="s">
        <v>3711</v>
      </c>
      <c r="C828" s="1">
        <v>2022.0</v>
      </c>
      <c r="D828" s="2">
        <v>44901.0</v>
      </c>
      <c r="F828" s="1" t="s">
        <v>2070</v>
      </c>
      <c r="H828" s="3">
        <v>1.0</v>
      </c>
      <c r="I828" s="4" t="s">
        <v>3712</v>
      </c>
      <c r="J828" s="1" t="s">
        <v>3713</v>
      </c>
      <c r="K828" s="1" t="s">
        <v>16</v>
      </c>
    </row>
    <row r="829">
      <c r="A829" s="1" t="s">
        <v>3714</v>
      </c>
      <c r="B829" s="1" t="s">
        <v>3715</v>
      </c>
      <c r="C829" s="1">
        <v>2022.0</v>
      </c>
      <c r="D829" s="2">
        <v>44900.0</v>
      </c>
      <c r="F829" s="1" t="s">
        <v>3716</v>
      </c>
      <c r="H829" s="3">
        <v>0.0</v>
      </c>
      <c r="I829" s="4" t="s">
        <v>3717</v>
      </c>
      <c r="J829" s="1" t="s">
        <v>3718</v>
      </c>
      <c r="K829" s="1" t="s">
        <v>477</v>
      </c>
    </row>
    <row r="830">
      <c r="A830" s="1" t="s">
        <v>3719</v>
      </c>
      <c r="B830" s="1" t="s">
        <v>3720</v>
      </c>
      <c r="C830" s="1">
        <v>2022.0</v>
      </c>
      <c r="D830" s="2">
        <v>44900.0</v>
      </c>
      <c r="F830" s="1" t="s">
        <v>3535</v>
      </c>
      <c r="H830" s="3">
        <v>37.0</v>
      </c>
      <c r="I830" s="4" t="s">
        <v>3721</v>
      </c>
      <c r="J830" s="1" t="s">
        <v>3722</v>
      </c>
      <c r="K830" s="1" t="s">
        <v>492</v>
      </c>
    </row>
    <row r="831">
      <c r="A831" s="1" t="s">
        <v>3723</v>
      </c>
      <c r="B831" s="1" t="s">
        <v>3724</v>
      </c>
      <c r="C831" s="1">
        <v>2022.0</v>
      </c>
      <c r="D831" s="2">
        <v>44900.0</v>
      </c>
      <c r="F831" s="1" t="s">
        <v>3725</v>
      </c>
      <c r="H831" s="3">
        <v>1.0</v>
      </c>
      <c r="I831" s="4" t="s">
        <v>3726</v>
      </c>
      <c r="J831" s="1" t="s">
        <v>3727</v>
      </c>
      <c r="K831" s="1" t="s">
        <v>16</v>
      </c>
    </row>
    <row r="832">
      <c r="A832" s="1" t="s">
        <v>3728</v>
      </c>
      <c r="B832" s="1" t="s">
        <v>3729</v>
      </c>
      <c r="C832" s="1">
        <v>2022.0</v>
      </c>
      <c r="D832" s="2">
        <v>44899.0</v>
      </c>
      <c r="F832" s="1" t="s">
        <v>3730</v>
      </c>
      <c r="H832" s="3">
        <v>0.0</v>
      </c>
      <c r="I832" s="4" t="s">
        <v>3731</v>
      </c>
      <c r="J832" s="1" t="s">
        <v>3732</v>
      </c>
      <c r="K832" s="1" t="s">
        <v>28</v>
      </c>
    </row>
    <row r="833">
      <c r="A833" s="1" t="s">
        <v>3733</v>
      </c>
      <c r="B833" s="1" t="s">
        <v>3734</v>
      </c>
      <c r="C833" s="1">
        <v>2022.0</v>
      </c>
      <c r="D833" s="2">
        <v>44898.0</v>
      </c>
      <c r="F833" s="1" t="s">
        <v>3066</v>
      </c>
      <c r="H833" s="3">
        <v>17.0</v>
      </c>
      <c r="I833" s="4" t="s">
        <v>3735</v>
      </c>
      <c r="J833" s="1"/>
      <c r="K833" s="1" t="s">
        <v>329</v>
      </c>
    </row>
    <row r="834">
      <c r="A834" s="1" t="s">
        <v>3736</v>
      </c>
      <c r="B834" s="1" t="s">
        <v>3737</v>
      </c>
      <c r="C834" s="1">
        <v>2022.0</v>
      </c>
      <c r="D834" s="2">
        <v>44897.0</v>
      </c>
      <c r="F834" s="1" t="s">
        <v>208</v>
      </c>
      <c r="H834" s="3">
        <v>3.0</v>
      </c>
      <c r="I834" s="4" t="s">
        <v>3738</v>
      </c>
      <c r="J834" s="1" t="s">
        <v>3739</v>
      </c>
      <c r="K834" s="1" t="s">
        <v>28</v>
      </c>
    </row>
    <row r="835">
      <c r="A835" s="1" t="s">
        <v>3740</v>
      </c>
      <c r="B835" s="1" t="s">
        <v>3741</v>
      </c>
      <c r="C835" s="1">
        <v>2022.0</v>
      </c>
      <c r="D835" s="2">
        <v>44897.0</v>
      </c>
      <c r="F835" s="1" t="s">
        <v>3742</v>
      </c>
      <c r="H835" s="3">
        <v>9.0</v>
      </c>
      <c r="I835" s="4" t="s">
        <v>3743</v>
      </c>
      <c r="J835" s="1" t="s">
        <v>3744</v>
      </c>
      <c r="K835" s="1" t="s">
        <v>68</v>
      </c>
    </row>
    <row r="836">
      <c r="A836" s="1" t="s">
        <v>3745</v>
      </c>
      <c r="B836" s="1" t="s">
        <v>3746</v>
      </c>
      <c r="C836" s="1">
        <v>2022.0</v>
      </c>
      <c r="D836" s="2">
        <v>44896.0</v>
      </c>
      <c r="F836" s="1" t="s">
        <v>3747</v>
      </c>
      <c r="H836" s="3">
        <v>3.0</v>
      </c>
      <c r="I836" s="4" t="s">
        <v>3748</v>
      </c>
      <c r="J836" s="1" t="s">
        <v>3749</v>
      </c>
      <c r="K836" s="1" t="s">
        <v>329</v>
      </c>
    </row>
    <row r="837">
      <c r="A837" s="1" t="s">
        <v>3750</v>
      </c>
      <c r="B837" s="1" t="s">
        <v>3751</v>
      </c>
      <c r="C837" s="1">
        <v>2022.0</v>
      </c>
      <c r="D837" s="2">
        <v>44896.0</v>
      </c>
      <c r="F837" s="1" t="s">
        <v>1420</v>
      </c>
      <c r="H837" s="3">
        <v>0.0</v>
      </c>
      <c r="I837" s="4" t="s">
        <v>3752</v>
      </c>
      <c r="J837" s="1" t="s">
        <v>3753</v>
      </c>
      <c r="K837" s="1" t="s">
        <v>45</v>
      </c>
    </row>
    <row r="838">
      <c r="A838" s="1" t="s">
        <v>3754</v>
      </c>
      <c r="B838" s="1" t="s">
        <v>3755</v>
      </c>
      <c r="C838" s="1">
        <v>2022.0</v>
      </c>
      <c r="D838" s="2">
        <v>44896.0</v>
      </c>
      <c r="F838" s="1" t="s">
        <v>3364</v>
      </c>
      <c r="H838" s="3">
        <v>6.0</v>
      </c>
      <c r="I838" s="4" t="s">
        <v>3756</v>
      </c>
      <c r="J838" s="1" t="s">
        <v>3757</v>
      </c>
      <c r="K838" s="1" t="s">
        <v>329</v>
      </c>
    </row>
    <row r="839">
      <c r="A839" s="1" t="s">
        <v>3758</v>
      </c>
      <c r="B839" s="1" t="s">
        <v>3759</v>
      </c>
      <c r="C839" s="1">
        <v>2022.0</v>
      </c>
      <c r="D839" s="2">
        <v>44896.0</v>
      </c>
      <c r="F839" s="1" t="s">
        <v>524</v>
      </c>
      <c r="H839" s="3">
        <v>38.0</v>
      </c>
      <c r="I839" s="4" t="s">
        <v>3760</v>
      </c>
      <c r="J839" s="1" t="s">
        <v>3761</v>
      </c>
      <c r="K839" s="1" t="s">
        <v>295</v>
      </c>
    </row>
    <row r="840">
      <c r="A840" s="1" t="s">
        <v>3762</v>
      </c>
      <c r="B840" s="1" t="s">
        <v>3763</v>
      </c>
      <c r="C840" s="1">
        <v>2022.0</v>
      </c>
      <c r="D840" s="2">
        <v>44896.0</v>
      </c>
      <c r="F840" s="1" t="s">
        <v>1396</v>
      </c>
      <c r="H840" s="3">
        <v>0.0</v>
      </c>
      <c r="I840" s="4" t="s">
        <v>3764</v>
      </c>
      <c r="J840" s="1" t="s">
        <v>3765</v>
      </c>
      <c r="K840" s="1" t="s">
        <v>28</v>
      </c>
    </row>
    <row r="841">
      <c r="A841" s="1" t="s">
        <v>3766</v>
      </c>
      <c r="B841" s="1" t="s">
        <v>3767</v>
      </c>
      <c r="C841" s="1">
        <v>2022.0</v>
      </c>
      <c r="D841" s="2">
        <v>44896.0</v>
      </c>
      <c r="F841" s="1" t="s">
        <v>1396</v>
      </c>
      <c r="H841" s="3">
        <v>6.0</v>
      </c>
      <c r="I841" s="4" t="s">
        <v>3768</v>
      </c>
      <c r="J841" s="1" t="s">
        <v>3769</v>
      </c>
      <c r="K841" s="1" t="s">
        <v>28</v>
      </c>
    </row>
    <row r="842">
      <c r="A842" s="1" t="s">
        <v>3770</v>
      </c>
      <c r="B842" s="1" t="s">
        <v>3771</v>
      </c>
      <c r="C842" s="1">
        <v>2022.0</v>
      </c>
      <c r="D842" s="2">
        <v>44896.0</v>
      </c>
      <c r="F842" s="1" t="s">
        <v>2540</v>
      </c>
      <c r="H842" s="3">
        <v>4.0</v>
      </c>
      <c r="I842" s="4" t="s">
        <v>3772</v>
      </c>
      <c r="J842" s="1"/>
      <c r="K842" s="1" t="s">
        <v>383</v>
      </c>
    </row>
    <row r="843">
      <c r="A843" s="1" t="s">
        <v>3773</v>
      </c>
      <c r="B843" s="1" t="s">
        <v>3774</v>
      </c>
      <c r="C843" s="1">
        <v>2022.0</v>
      </c>
      <c r="D843" s="2">
        <v>44896.0</v>
      </c>
      <c r="F843" s="1" t="s">
        <v>583</v>
      </c>
      <c r="H843" s="3">
        <v>14.0</v>
      </c>
      <c r="I843" s="4" t="s">
        <v>3775</v>
      </c>
      <c r="J843" s="1" t="s">
        <v>3776</v>
      </c>
      <c r="K843" s="1" t="s">
        <v>443</v>
      </c>
    </row>
    <row r="844">
      <c r="A844" s="1" t="s">
        <v>3777</v>
      </c>
      <c r="B844" s="1" t="s">
        <v>3778</v>
      </c>
      <c r="C844" s="1">
        <v>2022.0</v>
      </c>
      <c r="D844" s="2">
        <v>44896.0</v>
      </c>
      <c r="F844" s="1" t="s">
        <v>298</v>
      </c>
      <c r="H844" s="3">
        <v>11.0</v>
      </c>
      <c r="I844" s="4" t="s">
        <v>3779</v>
      </c>
      <c r="J844" s="1" t="s">
        <v>3780</v>
      </c>
      <c r="K844" s="1" t="s">
        <v>68</v>
      </c>
    </row>
    <row r="845">
      <c r="A845" s="1" t="s">
        <v>3781</v>
      </c>
      <c r="B845" s="1" t="s">
        <v>3782</v>
      </c>
      <c r="C845" s="1">
        <v>2022.0</v>
      </c>
      <c r="D845" s="2">
        <v>44896.0</v>
      </c>
      <c r="F845" s="1" t="s">
        <v>3783</v>
      </c>
      <c r="H845" s="3">
        <v>6.0</v>
      </c>
      <c r="I845" s="4" t="s">
        <v>3784</v>
      </c>
      <c r="J845" s="1" t="s">
        <v>3785</v>
      </c>
      <c r="K845" s="1" t="s">
        <v>323</v>
      </c>
    </row>
    <row r="846">
      <c r="A846" s="1" t="s">
        <v>3786</v>
      </c>
      <c r="B846" s="1" t="s">
        <v>3787</v>
      </c>
      <c r="C846" s="1">
        <v>2022.0</v>
      </c>
      <c r="D846" s="2">
        <v>44896.0</v>
      </c>
      <c r="F846" s="1" t="s">
        <v>3788</v>
      </c>
      <c r="H846" s="3">
        <v>2.0</v>
      </c>
      <c r="I846" s="4" t="s">
        <v>3789</v>
      </c>
      <c r="J846" s="1" t="s">
        <v>3790</v>
      </c>
      <c r="K846" s="1" t="s">
        <v>477</v>
      </c>
    </row>
    <row r="847">
      <c r="A847" s="1" t="s">
        <v>3791</v>
      </c>
      <c r="B847" s="1" t="s">
        <v>3792</v>
      </c>
      <c r="C847" s="1">
        <v>2022.0</v>
      </c>
      <c r="D847" s="2">
        <v>44896.0</v>
      </c>
      <c r="F847" s="1" t="s">
        <v>643</v>
      </c>
      <c r="H847" s="3">
        <v>1.0</v>
      </c>
      <c r="I847" s="4" t="s">
        <v>3793</v>
      </c>
      <c r="J847" s="1" t="s">
        <v>3794</v>
      </c>
      <c r="K847" s="1" t="s">
        <v>16</v>
      </c>
    </row>
    <row r="848">
      <c r="A848" s="1" t="s">
        <v>3795</v>
      </c>
      <c r="B848" s="1" t="s">
        <v>3796</v>
      </c>
      <c r="C848" s="1">
        <v>2022.0</v>
      </c>
      <c r="D848" s="2">
        <v>44896.0</v>
      </c>
      <c r="F848" s="1" t="s">
        <v>3797</v>
      </c>
      <c r="H848" s="3">
        <v>2.0</v>
      </c>
      <c r="I848" s="4" t="s">
        <v>3798</v>
      </c>
      <c r="J848" s="1" t="s">
        <v>3799</v>
      </c>
      <c r="K848" s="1" t="s">
        <v>16</v>
      </c>
    </row>
    <row r="849">
      <c r="A849" s="1" t="s">
        <v>3800</v>
      </c>
      <c r="B849" s="1" t="s">
        <v>3801</v>
      </c>
      <c r="C849" s="1">
        <v>2022.0</v>
      </c>
      <c r="D849" s="2">
        <v>44895.0</v>
      </c>
      <c r="F849" s="1" t="s">
        <v>776</v>
      </c>
      <c r="H849" s="3">
        <v>15.0</v>
      </c>
      <c r="I849" s="4" t="s">
        <v>3802</v>
      </c>
      <c r="J849" s="1" t="s">
        <v>3803</v>
      </c>
      <c r="K849" s="1" t="s">
        <v>443</v>
      </c>
    </row>
    <row r="850">
      <c r="A850" s="1" t="s">
        <v>3804</v>
      </c>
      <c r="B850" s="1" t="s">
        <v>3805</v>
      </c>
      <c r="C850" s="1">
        <v>2022.0</v>
      </c>
      <c r="D850" s="2">
        <v>44895.0</v>
      </c>
      <c r="F850" s="1" t="s">
        <v>31</v>
      </c>
      <c r="H850" s="3">
        <v>8.0</v>
      </c>
      <c r="I850" s="4" t="s">
        <v>3806</v>
      </c>
      <c r="J850" s="1" t="s">
        <v>3807</v>
      </c>
      <c r="K850" s="1" t="s">
        <v>28</v>
      </c>
    </row>
    <row r="851">
      <c r="A851" s="1" t="s">
        <v>3808</v>
      </c>
      <c r="B851" s="1" t="s">
        <v>3809</v>
      </c>
      <c r="C851" s="1">
        <v>2022.0</v>
      </c>
      <c r="D851" s="2">
        <v>44895.0</v>
      </c>
      <c r="F851" s="1" t="s">
        <v>243</v>
      </c>
      <c r="H851" s="3">
        <v>1.0</v>
      </c>
      <c r="I851" s="4" t="s">
        <v>3810</v>
      </c>
      <c r="J851" s="1" t="s">
        <v>3811</v>
      </c>
      <c r="K851" s="1" t="s">
        <v>295</v>
      </c>
    </row>
    <row r="852">
      <c r="A852" s="1" t="s">
        <v>3812</v>
      </c>
      <c r="B852" s="1" t="s">
        <v>3813</v>
      </c>
      <c r="C852" s="1">
        <v>2022.0</v>
      </c>
      <c r="D852" s="2">
        <v>44895.0</v>
      </c>
      <c r="F852" s="1" t="s">
        <v>332</v>
      </c>
      <c r="H852" s="3">
        <v>19.0</v>
      </c>
      <c r="I852" s="4" t="s">
        <v>3814</v>
      </c>
      <c r="J852" s="1" t="s">
        <v>3815</v>
      </c>
      <c r="K852" s="1" t="s">
        <v>443</v>
      </c>
    </row>
    <row r="853">
      <c r="A853" s="1" t="s">
        <v>3816</v>
      </c>
      <c r="B853" s="1" t="s">
        <v>3817</v>
      </c>
      <c r="C853" s="1">
        <v>2022.0</v>
      </c>
      <c r="D853" s="2">
        <v>44894.0</v>
      </c>
      <c r="F853" s="1" t="s">
        <v>1118</v>
      </c>
      <c r="H853" s="3">
        <v>2.0</v>
      </c>
      <c r="I853" s="4" t="s">
        <v>3818</v>
      </c>
      <c r="J853" s="1" t="s">
        <v>3819</v>
      </c>
      <c r="K853" s="1" t="s">
        <v>340</v>
      </c>
    </row>
    <row r="854">
      <c r="A854" s="1" t="s">
        <v>3820</v>
      </c>
      <c r="B854" s="1" t="s">
        <v>3821</v>
      </c>
      <c r="C854" s="1">
        <v>2022.0</v>
      </c>
      <c r="D854" s="2">
        <v>44894.0</v>
      </c>
      <c r="F854" s="1" t="s">
        <v>2335</v>
      </c>
      <c r="H854" s="3">
        <v>0.0</v>
      </c>
      <c r="I854" s="4" t="s">
        <v>3822</v>
      </c>
      <c r="J854" s="1" t="s">
        <v>3823</v>
      </c>
      <c r="K854" s="1" t="s">
        <v>16</v>
      </c>
    </row>
    <row r="855">
      <c r="A855" s="1" t="s">
        <v>3824</v>
      </c>
      <c r="B855" s="1" t="s">
        <v>3825</v>
      </c>
      <c r="C855" s="1">
        <v>2022.0</v>
      </c>
      <c r="D855" s="2">
        <v>44893.0</v>
      </c>
      <c r="F855" s="1" t="s">
        <v>3826</v>
      </c>
      <c r="H855" s="3">
        <v>2.0</v>
      </c>
      <c r="I855" s="4" t="s">
        <v>3827</v>
      </c>
      <c r="J855" s="1" t="s">
        <v>3828</v>
      </c>
      <c r="K855" s="1" t="s">
        <v>295</v>
      </c>
    </row>
    <row r="856">
      <c r="A856" s="1" t="s">
        <v>3829</v>
      </c>
      <c r="B856" s="1" t="s">
        <v>3830</v>
      </c>
      <c r="C856" s="1">
        <v>2022.0</v>
      </c>
      <c r="D856" s="2">
        <v>44890.0</v>
      </c>
      <c r="F856" s="1" t="s">
        <v>2101</v>
      </c>
      <c r="H856" s="3">
        <v>0.0</v>
      </c>
      <c r="I856" s="4" t="s">
        <v>3831</v>
      </c>
      <c r="J856" s="1"/>
      <c r="K856" s="1" t="s">
        <v>45</v>
      </c>
    </row>
    <row r="857">
      <c r="A857" s="1" t="s">
        <v>3832</v>
      </c>
      <c r="B857" s="1" t="s">
        <v>3833</v>
      </c>
      <c r="C857" s="1">
        <v>2022.0</v>
      </c>
      <c r="D857" s="2">
        <v>44890.0</v>
      </c>
      <c r="F857" s="1" t="s">
        <v>208</v>
      </c>
      <c r="H857" s="3">
        <v>19.0</v>
      </c>
      <c r="I857" s="4" t="s">
        <v>3834</v>
      </c>
      <c r="J857" s="1" t="s">
        <v>3835</v>
      </c>
      <c r="K857" s="1" t="s">
        <v>1423</v>
      </c>
    </row>
    <row r="858">
      <c r="A858" s="1" t="s">
        <v>3836</v>
      </c>
      <c r="B858" s="1" t="s">
        <v>3837</v>
      </c>
      <c r="C858" s="1">
        <v>2022.0</v>
      </c>
      <c r="D858" s="2">
        <v>44890.0</v>
      </c>
      <c r="F858" s="1" t="s">
        <v>1459</v>
      </c>
      <c r="H858" s="3">
        <v>3.0</v>
      </c>
      <c r="I858" s="4" t="s">
        <v>3838</v>
      </c>
      <c r="J858" s="1" t="s">
        <v>3839</v>
      </c>
      <c r="K858" s="1" t="s">
        <v>16</v>
      </c>
    </row>
    <row r="859">
      <c r="A859" s="1" t="s">
        <v>3840</v>
      </c>
      <c r="B859" s="1" t="s">
        <v>3841</v>
      </c>
      <c r="C859" s="1">
        <v>2022.0</v>
      </c>
      <c r="D859" s="2">
        <v>44889.0</v>
      </c>
      <c r="F859" s="1" t="s">
        <v>3242</v>
      </c>
      <c r="H859" s="3">
        <v>9.0</v>
      </c>
      <c r="I859" s="4" t="s">
        <v>3842</v>
      </c>
      <c r="J859" s="1" t="s">
        <v>3843</v>
      </c>
      <c r="K859" s="1" t="s">
        <v>329</v>
      </c>
    </row>
    <row r="860">
      <c r="A860" s="1" t="s">
        <v>3844</v>
      </c>
      <c r="B860" s="1" t="s">
        <v>3845</v>
      </c>
      <c r="C860" s="1">
        <v>2022.0</v>
      </c>
      <c r="D860" s="2">
        <v>44889.0</v>
      </c>
      <c r="F860" s="1" t="s">
        <v>2173</v>
      </c>
      <c r="H860" s="3">
        <v>1.0</v>
      </c>
      <c r="I860" s="4" t="s">
        <v>3846</v>
      </c>
      <c r="J860" s="1" t="s">
        <v>3847</v>
      </c>
      <c r="K860" s="1" t="s">
        <v>28</v>
      </c>
    </row>
    <row r="861">
      <c r="A861" s="1" t="s">
        <v>3848</v>
      </c>
      <c r="B861" s="1" t="s">
        <v>3849</v>
      </c>
      <c r="C861" s="1">
        <v>2022.0</v>
      </c>
      <c r="D861" s="2">
        <v>44889.0</v>
      </c>
      <c r="F861" s="1" t="s">
        <v>2101</v>
      </c>
      <c r="H861" s="3">
        <v>13.0</v>
      </c>
      <c r="I861" s="4" t="s">
        <v>3850</v>
      </c>
      <c r="J861" s="1" t="s">
        <v>3851</v>
      </c>
      <c r="K861" s="1" t="s">
        <v>372</v>
      </c>
    </row>
    <row r="862">
      <c r="A862" s="1" t="s">
        <v>3852</v>
      </c>
      <c r="B862" s="1" t="s">
        <v>3853</v>
      </c>
      <c r="C862" s="1">
        <v>2022.0</v>
      </c>
      <c r="D862" s="2">
        <v>44887.0</v>
      </c>
      <c r="F862" s="1" t="s">
        <v>1300</v>
      </c>
      <c r="H862" s="3">
        <v>28.0</v>
      </c>
      <c r="I862" s="4" t="s">
        <v>3854</v>
      </c>
      <c r="J862" s="1" t="s">
        <v>3855</v>
      </c>
      <c r="K862" s="1" t="s">
        <v>28</v>
      </c>
    </row>
    <row r="863">
      <c r="A863" s="1" t="s">
        <v>3856</v>
      </c>
      <c r="B863" s="1" t="s">
        <v>3857</v>
      </c>
      <c r="C863" s="1">
        <v>2022.0</v>
      </c>
      <c r="D863" s="2">
        <v>44887.0</v>
      </c>
      <c r="F863" s="1" t="s">
        <v>1050</v>
      </c>
      <c r="H863" s="3">
        <v>0.0</v>
      </c>
      <c r="I863" s="4" t="s">
        <v>3858</v>
      </c>
      <c r="J863" s="1" t="s">
        <v>3859</v>
      </c>
      <c r="K863" s="1" t="s">
        <v>68</v>
      </c>
    </row>
    <row r="864">
      <c r="A864" s="1" t="s">
        <v>3860</v>
      </c>
      <c r="B864" s="1" t="s">
        <v>3861</v>
      </c>
      <c r="C864" s="1">
        <v>2022.0</v>
      </c>
      <c r="D864" s="2">
        <v>44886.0</v>
      </c>
      <c r="F864" s="1" t="s">
        <v>3862</v>
      </c>
      <c r="H864" s="3">
        <v>1.0</v>
      </c>
      <c r="I864" s="4" t="s">
        <v>3863</v>
      </c>
      <c r="J864" s="1" t="s">
        <v>3864</v>
      </c>
      <c r="K864" s="1" t="s">
        <v>16</v>
      </c>
    </row>
    <row r="865">
      <c r="A865" s="1" t="s">
        <v>3865</v>
      </c>
      <c r="B865" s="1" t="s">
        <v>3866</v>
      </c>
      <c r="C865" s="1">
        <v>2022.0</v>
      </c>
      <c r="D865" s="2">
        <v>44885.0</v>
      </c>
      <c r="F865" s="1" t="s">
        <v>2707</v>
      </c>
      <c r="H865" s="3">
        <v>0.0</v>
      </c>
      <c r="I865" s="4" t="s">
        <v>3867</v>
      </c>
      <c r="J865" s="1" t="s">
        <v>3868</v>
      </c>
      <c r="K865" s="1" t="s">
        <v>16</v>
      </c>
    </row>
    <row r="866">
      <c r="A866" s="1" t="s">
        <v>3869</v>
      </c>
      <c r="B866" s="1" t="s">
        <v>3870</v>
      </c>
      <c r="C866" s="1">
        <v>2022.0</v>
      </c>
      <c r="D866" s="2">
        <v>44884.0</v>
      </c>
      <c r="F866" s="1" t="s">
        <v>347</v>
      </c>
      <c r="H866" s="3">
        <v>4.0</v>
      </c>
      <c r="I866" s="4" t="s">
        <v>3871</v>
      </c>
      <c r="J866" s="1" t="s">
        <v>3872</v>
      </c>
      <c r="K866" s="1" t="s">
        <v>28</v>
      </c>
    </row>
    <row r="867">
      <c r="A867" s="1" t="s">
        <v>3873</v>
      </c>
      <c r="B867" s="1" t="s">
        <v>3874</v>
      </c>
      <c r="C867" s="1">
        <v>2022.0</v>
      </c>
      <c r="D867" s="2">
        <v>44884.0</v>
      </c>
      <c r="F867" s="1" t="s">
        <v>2435</v>
      </c>
      <c r="H867" s="3">
        <v>4.0</v>
      </c>
      <c r="I867" s="4" t="s">
        <v>3875</v>
      </c>
      <c r="J867" s="1" t="s">
        <v>3876</v>
      </c>
      <c r="K867" s="1" t="s">
        <v>418</v>
      </c>
    </row>
    <row r="868">
      <c r="A868" s="1" t="s">
        <v>3877</v>
      </c>
      <c r="B868" s="1" t="s">
        <v>3878</v>
      </c>
      <c r="C868" s="1">
        <v>2022.0</v>
      </c>
      <c r="D868" s="2">
        <v>44884.0</v>
      </c>
      <c r="F868" s="1" t="s">
        <v>3879</v>
      </c>
      <c r="H868" s="3">
        <v>8.0</v>
      </c>
      <c r="I868" s="4" t="s">
        <v>3880</v>
      </c>
      <c r="J868" s="1" t="s">
        <v>3881</v>
      </c>
      <c r="K868" s="1" t="s">
        <v>413</v>
      </c>
    </row>
    <row r="869">
      <c r="A869" s="1" t="s">
        <v>3882</v>
      </c>
      <c r="B869" s="1" t="s">
        <v>3883</v>
      </c>
      <c r="C869" s="1">
        <v>2022.0</v>
      </c>
      <c r="D869" s="2">
        <v>44882.0</v>
      </c>
      <c r="F869" s="1" t="s">
        <v>248</v>
      </c>
      <c r="H869" s="3">
        <v>33.0</v>
      </c>
      <c r="I869" s="4" t="s">
        <v>3884</v>
      </c>
      <c r="J869" s="1" t="s">
        <v>3885</v>
      </c>
      <c r="K869" s="1" t="s">
        <v>323</v>
      </c>
    </row>
    <row r="870">
      <c r="A870" s="1" t="s">
        <v>3886</v>
      </c>
      <c r="B870" s="1" t="s">
        <v>3887</v>
      </c>
      <c r="C870" s="1">
        <v>2022.0</v>
      </c>
      <c r="D870" s="2">
        <v>44882.0</v>
      </c>
      <c r="F870" s="1" t="s">
        <v>3888</v>
      </c>
      <c r="H870" s="3">
        <v>2.0</v>
      </c>
      <c r="I870" s="4" t="s">
        <v>3889</v>
      </c>
      <c r="J870" s="1" t="s">
        <v>3890</v>
      </c>
      <c r="K870" s="1" t="s">
        <v>28</v>
      </c>
    </row>
    <row r="871">
      <c r="A871" s="1" t="s">
        <v>3891</v>
      </c>
      <c r="B871" s="1" t="s">
        <v>3892</v>
      </c>
      <c r="C871" s="1">
        <v>2022.0</v>
      </c>
      <c r="D871" s="2">
        <v>44882.0</v>
      </c>
      <c r="F871" s="1" t="s">
        <v>218</v>
      </c>
      <c r="H871" s="3">
        <v>1.0</v>
      </c>
      <c r="I871" s="4" t="s">
        <v>3893</v>
      </c>
      <c r="J871" s="1" t="s">
        <v>3894</v>
      </c>
      <c r="K871" s="1" t="s">
        <v>16</v>
      </c>
    </row>
    <row r="872">
      <c r="A872" s="1" t="s">
        <v>3895</v>
      </c>
      <c r="B872" s="1" t="s">
        <v>3896</v>
      </c>
      <c r="C872" s="1">
        <v>2022.0</v>
      </c>
      <c r="D872" s="2">
        <v>44880.0</v>
      </c>
      <c r="F872" s="1" t="s">
        <v>355</v>
      </c>
      <c r="H872" s="3">
        <v>0.0</v>
      </c>
      <c r="I872" s="4" t="s">
        <v>3897</v>
      </c>
      <c r="J872" s="1" t="s">
        <v>3898</v>
      </c>
      <c r="K872" s="1" t="s">
        <v>383</v>
      </c>
    </row>
    <row r="873">
      <c r="A873" s="1" t="s">
        <v>3899</v>
      </c>
      <c r="B873" s="1" t="s">
        <v>3900</v>
      </c>
      <c r="C873" s="1">
        <v>2022.0</v>
      </c>
      <c r="D873" s="2">
        <v>44880.0</v>
      </c>
      <c r="F873" s="1" t="s">
        <v>71</v>
      </c>
      <c r="H873" s="3">
        <v>2.0</v>
      </c>
      <c r="I873" s="4" t="s">
        <v>3901</v>
      </c>
      <c r="J873" s="1" t="s">
        <v>3902</v>
      </c>
      <c r="K873" s="1" t="s">
        <v>383</v>
      </c>
    </row>
    <row r="874">
      <c r="A874" s="1" t="s">
        <v>3903</v>
      </c>
      <c r="B874" s="1" t="s">
        <v>3904</v>
      </c>
      <c r="C874" s="1">
        <v>2022.0</v>
      </c>
      <c r="D874" s="2">
        <v>44879.0</v>
      </c>
      <c r="F874" s="1" t="s">
        <v>3501</v>
      </c>
      <c r="H874" s="3">
        <v>1.0</v>
      </c>
      <c r="I874" s="4" t="s">
        <v>3905</v>
      </c>
      <c r="J874" s="1" t="s">
        <v>3906</v>
      </c>
      <c r="K874" s="1" t="s">
        <v>372</v>
      </c>
    </row>
    <row r="875">
      <c r="A875" s="1" t="s">
        <v>3907</v>
      </c>
      <c r="B875" s="1" t="s">
        <v>3908</v>
      </c>
      <c r="C875" s="1">
        <v>2022.0</v>
      </c>
      <c r="D875" s="2">
        <v>44879.0</v>
      </c>
      <c r="F875" s="1" t="s">
        <v>3909</v>
      </c>
      <c r="H875" s="3">
        <v>1.0</v>
      </c>
      <c r="I875" s="4" t="s">
        <v>3910</v>
      </c>
      <c r="J875" s="1" t="s">
        <v>3911</v>
      </c>
      <c r="K875" s="1" t="s">
        <v>413</v>
      </c>
    </row>
    <row r="876">
      <c r="A876" s="1" t="s">
        <v>3912</v>
      </c>
      <c r="B876" s="1" t="s">
        <v>3913</v>
      </c>
      <c r="C876" s="1">
        <v>2022.0</v>
      </c>
      <c r="D876" s="2">
        <v>44878.0</v>
      </c>
      <c r="F876" s="1" t="s">
        <v>1358</v>
      </c>
      <c r="H876" s="3">
        <v>8.0</v>
      </c>
      <c r="I876" s="4" t="s">
        <v>3914</v>
      </c>
      <c r="J876" s="1" t="s">
        <v>3915</v>
      </c>
      <c r="K876" s="1" t="s">
        <v>571</v>
      </c>
    </row>
    <row r="877">
      <c r="A877" s="1" t="s">
        <v>3916</v>
      </c>
      <c r="B877" s="1" t="s">
        <v>3917</v>
      </c>
      <c r="C877" s="1">
        <v>2022.0</v>
      </c>
      <c r="D877" s="2">
        <v>44878.0</v>
      </c>
      <c r="F877" s="1" t="s">
        <v>1330</v>
      </c>
      <c r="H877" s="3">
        <v>0.0</v>
      </c>
      <c r="I877" s="4" t="s">
        <v>3918</v>
      </c>
      <c r="J877" s="1" t="s">
        <v>3919</v>
      </c>
      <c r="K877" s="1" t="s">
        <v>323</v>
      </c>
    </row>
    <row r="878">
      <c r="A878" s="1" t="s">
        <v>3920</v>
      </c>
      <c r="B878" s="1" t="s">
        <v>3921</v>
      </c>
      <c r="C878" s="1">
        <v>2022.0</v>
      </c>
      <c r="D878" s="2">
        <v>44877.0</v>
      </c>
      <c r="F878" s="1" t="s">
        <v>1305</v>
      </c>
      <c r="H878" s="3">
        <v>3.0</v>
      </c>
      <c r="I878" s="4" t="s">
        <v>3922</v>
      </c>
      <c r="J878" s="1" t="s">
        <v>3923</v>
      </c>
      <c r="K878" s="1" t="s">
        <v>28</v>
      </c>
    </row>
    <row r="879">
      <c r="A879" s="1" t="s">
        <v>3924</v>
      </c>
      <c r="B879" s="1" t="s">
        <v>3925</v>
      </c>
      <c r="C879" s="1">
        <v>2022.0</v>
      </c>
      <c r="D879" s="2">
        <v>44876.0</v>
      </c>
      <c r="F879" s="1" t="s">
        <v>3926</v>
      </c>
      <c r="H879" s="3">
        <v>2.0</v>
      </c>
      <c r="I879" s="4" t="s">
        <v>3927</v>
      </c>
      <c r="J879" s="1" t="s">
        <v>3928</v>
      </c>
      <c r="K879" s="1" t="s">
        <v>1036</v>
      </c>
    </row>
    <row r="880">
      <c r="A880" s="1" t="s">
        <v>3929</v>
      </c>
      <c r="B880" s="1" t="s">
        <v>3930</v>
      </c>
      <c r="C880" s="1">
        <v>2022.0</v>
      </c>
      <c r="D880" s="2">
        <v>44875.0</v>
      </c>
      <c r="F880" s="1" t="s">
        <v>3931</v>
      </c>
      <c r="H880" s="3">
        <v>0.0</v>
      </c>
      <c r="I880" s="4" t="s">
        <v>3932</v>
      </c>
      <c r="J880" s="1" t="s">
        <v>3933</v>
      </c>
      <c r="K880" s="1" t="s">
        <v>443</v>
      </c>
    </row>
    <row r="881">
      <c r="A881" s="1" t="s">
        <v>3934</v>
      </c>
      <c r="B881" s="1" t="s">
        <v>3935</v>
      </c>
      <c r="C881" s="1">
        <v>2022.0</v>
      </c>
      <c r="D881" s="2">
        <v>44875.0</v>
      </c>
      <c r="F881" s="1" t="s">
        <v>430</v>
      </c>
      <c r="H881" s="3">
        <v>3.0</v>
      </c>
      <c r="I881" s="4" t="s">
        <v>3936</v>
      </c>
      <c r="J881" s="1" t="s">
        <v>3937</v>
      </c>
      <c r="K881" s="1" t="s">
        <v>16</v>
      </c>
    </row>
    <row r="882">
      <c r="A882" s="1" t="s">
        <v>3938</v>
      </c>
      <c r="B882" s="1" t="s">
        <v>3939</v>
      </c>
      <c r="C882" s="1">
        <v>2022.0</v>
      </c>
      <c r="D882" s="2">
        <v>44874.0</v>
      </c>
      <c r="F882" s="1" t="s">
        <v>1767</v>
      </c>
      <c r="H882" s="3">
        <v>3.0</v>
      </c>
      <c r="I882" s="4" t="s">
        <v>3940</v>
      </c>
      <c r="J882" s="1" t="s">
        <v>3941</v>
      </c>
      <c r="K882" s="1" t="s">
        <v>28</v>
      </c>
    </row>
    <row r="883">
      <c r="A883" s="1" t="s">
        <v>3942</v>
      </c>
      <c r="B883" s="1" t="s">
        <v>3943</v>
      </c>
      <c r="C883" s="1">
        <v>2022.0</v>
      </c>
      <c r="D883" s="2">
        <v>44874.0</v>
      </c>
      <c r="F883" s="1" t="s">
        <v>3944</v>
      </c>
      <c r="H883" s="3">
        <v>8.0</v>
      </c>
      <c r="I883" s="4" t="s">
        <v>3945</v>
      </c>
      <c r="J883" s="1" t="s">
        <v>3946</v>
      </c>
      <c r="K883" s="1" t="s">
        <v>16</v>
      </c>
    </row>
    <row r="884">
      <c r="A884" s="1" t="s">
        <v>3947</v>
      </c>
      <c r="B884" s="1" t="s">
        <v>3948</v>
      </c>
      <c r="C884" s="1">
        <v>2022.0</v>
      </c>
      <c r="D884" s="2">
        <v>44873.0</v>
      </c>
      <c r="F884" s="1" t="s">
        <v>380</v>
      </c>
      <c r="H884" s="3">
        <v>4.0</v>
      </c>
      <c r="I884" s="4" t="s">
        <v>3949</v>
      </c>
      <c r="J884" s="1" t="s">
        <v>3950</v>
      </c>
      <c r="K884" s="1" t="s">
        <v>45</v>
      </c>
    </row>
    <row r="885">
      <c r="A885" s="1" t="s">
        <v>3951</v>
      </c>
      <c r="B885" s="1" t="s">
        <v>3952</v>
      </c>
      <c r="C885" s="1">
        <v>2022.0</v>
      </c>
      <c r="D885" s="2">
        <v>44873.0</v>
      </c>
      <c r="F885" s="1" t="s">
        <v>3879</v>
      </c>
      <c r="H885" s="3">
        <v>1.0</v>
      </c>
      <c r="I885" s="4" t="s">
        <v>3953</v>
      </c>
      <c r="J885" s="1" t="s">
        <v>3954</v>
      </c>
      <c r="K885" s="1" t="s">
        <v>68</v>
      </c>
    </row>
    <row r="886">
      <c r="A886" s="1" t="s">
        <v>3955</v>
      </c>
      <c r="B886" s="1" t="s">
        <v>3956</v>
      </c>
      <c r="C886" s="1">
        <v>2022.0</v>
      </c>
      <c r="D886" s="2">
        <v>44873.0</v>
      </c>
      <c r="F886" s="1" t="s">
        <v>410</v>
      </c>
      <c r="H886" s="3">
        <v>3.0</v>
      </c>
      <c r="I886" s="4" t="s">
        <v>3957</v>
      </c>
      <c r="J886" s="1" t="s">
        <v>3958</v>
      </c>
      <c r="K886" s="1" t="s">
        <v>16</v>
      </c>
    </row>
    <row r="887">
      <c r="A887" s="1" t="s">
        <v>3959</v>
      </c>
      <c r="B887" s="1" t="s">
        <v>3960</v>
      </c>
      <c r="C887" s="1">
        <v>2022.0</v>
      </c>
      <c r="D887" s="2">
        <v>44869.0</v>
      </c>
      <c r="F887" s="1" t="s">
        <v>347</v>
      </c>
      <c r="H887" s="3">
        <v>2.0</v>
      </c>
      <c r="I887" s="4" t="s">
        <v>3961</v>
      </c>
      <c r="J887" s="1" t="s">
        <v>3962</v>
      </c>
      <c r="K887" s="1" t="s">
        <v>926</v>
      </c>
    </row>
    <row r="888">
      <c r="A888" s="1" t="s">
        <v>3963</v>
      </c>
      <c r="B888" s="1" t="s">
        <v>3964</v>
      </c>
      <c r="C888" s="1">
        <v>2022.0</v>
      </c>
      <c r="D888" s="2">
        <v>44868.0</v>
      </c>
      <c r="F888" s="1" t="s">
        <v>1358</v>
      </c>
      <c r="H888" s="3">
        <v>8.0</v>
      </c>
      <c r="I888" s="4" t="s">
        <v>3965</v>
      </c>
      <c r="J888" s="1" t="s">
        <v>3966</v>
      </c>
      <c r="K888" s="1" t="s">
        <v>16</v>
      </c>
    </row>
    <row r="889">
      <c r="A889" s="1" t="s">
        <v>3967</v>
      </c>
      <c r="B889" s="1" t="s">
        <v>3968</v>
      </c>
      <c r="C889" s="1">
        <v>2022.0</v>
      </c>
      <c r="D889" s="2">
        <v>44867.0</v>
      </c>
      <c r="F889" s="1" t="s">
        <v>271</v>
      </c>
      <c r="H889" s="3">
        <v>3.0</v>
      </c>
      <c r="I889" s="4" t="s">
        <v>3969</v>
      </c>
      <c r="J889" s="1" t="s">
        <v>3970</v>
      </c>
      <c r="K889" s="1" t="s">
        <v>413</v>
      </c>
    </row>
    <row r="890">
      <c r="A890" s="1" t="s">
        <v>3971</v>
      </c>
      <c r="B890" s="1" t="s">
        <v>3972</v>
      </c>
      <c r="C890" s="1">
        <v>2022.0</v>
      </c>
      <c r="D890" s="2">
        <v>44866.0</v>
      </c>
      <c r="F890" s="1" t="s">
        <v>3973</v>
      </c>
      <c r="H890" s="3">
        <v>3.0</v>
      </c>
      <c r="I890" s="4" t="s">
        <v>3974</v>
      </c>
      <c r="J890" s="1" t="s">
        <v>3975</v>
      </c>
      <c r="K890" s="1" t="s">
        <v>295</v>
      </c>
    </row>
    <row r="891">
      <c r="A891" s="1" t="s">
        <v>3976</v>
      </c>
      <c r="B891" s="1" t="s">
        <v>3977</v>
      </c>
      <c r="C891" s="1">
        <v>2022.0</v>
      </c>
      <c r="D891" s="2">
        <v>44866.0</v>
      </c>
      <c r="F891" s="1" t="s">
        <v>1514</v>
      </c>
      <c r="H891" s="3">
        <v>0.0</v>
      </c>
      <c r="I891" s="4" t="s">
        <v>3978</v>
      </c>
      <c r="J891" s="1"/>
      <c r="K891" s="1" t="s">
        <v>383</v>
      </c>
    </row>
    <row r="892">
      <c r="A892" s="1" t="s">
        <v>3979</v>
      </c>
      <c r="B892" s="1" t="s">
        <v>3980</v>
      </c>
      <c r="C892" s="1">
        <v>2022.0</v>
      </c>
      <c r="D892" s="2">
        <v>44866.0</v>
      </c>
      <c r="F892" s="1" t="s">
        <v>271</v>
      </c>
      <c r="H892" s="3">
        <v>5.0</v>
      </c>
      <c r="I892" s="4" t="s">
        <v>3981</v>
      </c>
      <c r="J892" s="1" t="s">
        <v>3982</v>
      </c>
      <c r="K892" s="1" t="s">
        <v>68</v>
      </c>
    </row>
    <row r="893">
      <c r="A893" s="1" t="s">
        <v>3983</v>
      </c>
      <c r="B893" s="1" t="s">
        <v>3984</v>
      </c>
      <c r="C893" s="1">
        <v>2022.0</v>
      </c>
      <c r="D893" s="2">
        <v>44865.0</v>
      </c>
      <c r="F893" s="1" t="s">
        <v>2007</v>
      </c>
      <c r="H893" s="3">
        <v>18.0</v>
      </c>
      <c r="I893" s="4" t="s">
        <v>3985</v>
      </c>
      <c r="J893" s="1" t="s">
        <v>3986</v>
      </c>
      <c r="K893" s="1" t="s">
        <v>3987</v>
      </c>
    </row>
    <row r="894">
      <c r="A894" s="1" t="s">
        <v>3988</v>
      </c>
      <c r="B894" s="1" t="s">
        <v>3989</v>
      </c>
      <c r="C894" s="1">
        <v>2022.0</v>
      </c>
      <c r="D894" s="2">
        <v>44864.0</v>
      </c>
      <c r="F894" s="1" t="s">
        <v>934</v>
      </c>
      <c r="H894" s="3">
        <v>6.0</v>
      </c>
      <c r="I894" s="4" t="s">
        <v>3990</v>
      </c>
      <c r="J894" s="1" t="s">
        <v>3991</v>
      </c>
      <c r="K894" s="1" t="s">
        <v>1423</v>
      </c>
    </row>
    <row r="895">
      <c r="A895" s="1" t="s">
        <v>3992</v>
      </c>
      <c r="B895" s="1" t="s">
        <v>3993</v>
      </c>
      <c r="C895" s="1">
        <v>2022.0</v>
      </c>
      <c r="D895" s="2">
        <v>44862.0</v>
      </c>
      <c r="F895" s="1" t="s">
        <v>3862</v>
      </c>
      <c r="H895" s="3">
        <v>0.0</v>
      </c>
      <c r="I895" s="4" t="s">
        <v>3994</v>
      </c>
      <c r="J895" s="1" t="s">
        <v>3995</v>
      </c>
      <c r="K895" s="1" t="s">
        <v>295</v>
      </c>
    </row>
    <row r="896">
      <c r="A896" s="1" t="s">
        <v>3996</v>
      </c>
      <c r="B896" s="1" t="s">
        <v>3997</v>
      </c>
      <c r="C896" s="1">
        <v>2022.0</v>
      </c>
      <c r="D896" s="2">
        <v>44861.0</v>
      </c>
      <c r="F896" s="1" t="s">
        <v>3998</v>
      </c>
      <c r="H896" s="3">
        <v>2.0</v>
      </c>
      <c r="I896" s="4" t="s">
        <v>3999</v>
      </c>
      <c r="J896" s="1" t="s">
        <v>4000</v>
      </c>
      <c r="K896" s="1" t="s">
        <v>28</v>
      </c>
    </row>
    <row r="897">
      <c r="A897" s="1" t="s">
        <v>4001</v>
      </c>
      <c r="B897" s="1" t="s">
        <v>4002</v>
      </c>
      <c r="C897" s="1">
        <v>2022.0</v>
      </c>
      <c r="D897" s="2">
        <v>44860.0</v>
      </c>
      <c r="F897" s="1" t="s">
        <v>4003</v>
      </c>
      <c r="H897" s="3">
        <v>2.0</v>
      </c>
      <c r="I897" s="4" t="s">
        <v>4004</v>
      </c>
      <c r="J897" s="1" t="s">
        <v>4005</v>
      </c>
      <c r="K897" s="1" t="s">
        <v>28</v>
      </c>
    </row>
    <row r="898">
      <c r="A898" s="1" t="s">
        <v>4006</v>
      </c>
      <c r="B898" s="1" t="s">
        <v>4007</v>
      </c>
      <c r="C898" s="1">
        <v>2022.0</v>
      </c>
      <c r="D898" s="2">
        <v>44860.0</v>
      </c>
      <c r="F898" s="1" t="s">
        <v>2426</v>
      </c>
      <c r="H898" s="3">
        <v>11.0</v>
      </c>
      <c r="I898" s="4" t="s">
        <v>4008</v>
      </c>
      <c r="J898" s="1" t="s">
        <v>4009</v>
      </c>
      <c r="K898" s="1" t="s">
        <v>16</v>
      </c>
    </row>
    <row r="899">
      <c r="A899" s="1" t="s">
        <v>4010</v>
      </c>
      <c r="B899" s="1" t="s">
        <v>4011</v>
      </c>
      <c r="C899" s="1">
        <v>2022.0</v>
      </c>
      <c r="D899" s="2">
        <v>44860.0</v>
      </c>
      <c r="F899" s="1" t="s">
        <v>1514</v>
      </c>
      <c r="H899" s="3">
        <v>3.0</v>
      </c>
      <c r="I899" s="4" t="s">
        <v>4012</v>
      </c>
      <c r="J899" s="1" t="s">
        <v>4013</v>
      </c>
      <c r="K899" s="1" t="s">
        <v>413</v>
      </c>
    </row>
    <row r="900">
      <c r="A900" s="1" t="s">
        <v>4014</v>
      </c>
      <c r="B900" s="1" t="s">
        <v>4015</v>
      </c>
      <c r="C900" s="1">
        <v>2022.0</v>
      </c>
      <c r="D900" s="2">
        <v>44858.0</v>
      </c>
      <c r="F900" s="1" t="s">
        <v>13</v>
      </c>
      <c r="H900" s="3">
        <v>10.0</v>
      </c>
      <c r="I900" s="4" t="s">
        <v>4016</v>
      </c>
      <c r="J900" s="1" t="s">
        <v>4017</v>
      </c>
      <c r="K900" s="1" t="s">
        <v>571</v>
      </c>
    </row>
    <row r="901">
      <c r="A901" s="1" t="s">
        <v>4018</v>
      </c>
      <c r="B901" s="1" t="s">
        <v>1813</v>
      </c>
      <c r="C901" s="1">
        <v>2022.0</v>
      </c>
      <c r="D901" s="2">
        <v>44856.0</v>
      </c>
      <c r="F901" s="1" t="s">
        <v>1814</v>
      </c>
      <c r="H901" s="3">
        <v>4.0</v>
      </c>
      <c r="I901" s="4" t="s">
        <v>4019</v>
      </c>
      <c r="J901" s="1" t="s">
        <v>4020</v>
      </c>
      <c r="K901" s="1" t="s">
        <v>1569</v>
      </c>
    </row>
    <row r="902">
      <c r="A902" s="1" t="s">
        <v>4021</v>
      </c>
      <c r="B902" s="1" t="s">
        <v>4022</v>
      </c>
      <c r="C902" s="1">
        <v>2022.0</v>
      </c>
      <c r="D902" s="2">
        <v>44855.0</v>
      </c>
      <c r="F902" s="1" t="s">
        <v>4023</v>
      </c>
      <c r="H902" s="3">
        <v>3.0</v>
      </c>
      <c r="I902" s="4" t="s">
        <v>4024</v>
      </c>
      <c r="J902" s="1" t="s">
        <v>4025</v>
      </c>
      <c r="K902" s="1" t="s">
        <v>443</v>
      </c>
    </row>
    <row r="903">
      <c r="A903" s="1" t="s">
        <v>4026</v>
      </c>
      <c r="B903" s="1" t="s">
        <v>4027</v>
      </c>
      <c r="C903" s="1">
        <v>2022.0</v>
      </c>
      <c r="D903" s="2">
        <v>44854.0</v>
      </c>
      <c r="F903" s="1" t="s">
        <v>4028</v>
      </c>
      <c r="H903" s="3">
        <v>10.0</v>
      </c>
      <c r="I903" s="4" t="s">
        <v>4029</v>
      </c>
      <c r="J903" s="1" t="s">
        <v>4030</v>
      </c>
      <c r="K903" s="1" t="s">
        <v>16</v>
      </c>
    </row>
    <row r="904">
      <c r="A904" s="1" t="s">
        <v>4031</v>
      </c>
      <c r="B904" s="1" t="s">
        <v>4032</v>
      </c>
      <c r="C904" s="1">
        <v>2022.0</v>
      </c>
      <c r="D904" s="2">
        <v>44852.0</v>
      </c>
      <c r="F904" s="1" t="s">
        <v>934</v>
      </c>
      <c r="H904" s="3">
        <v>1.0</v>
      </c>
      <c r="I904" s="4" t="s">
        <v>4033</v>
      </c>
      <c r="J904" s="1" t="s">
        <v>4034</v>
      </c>
      <c r="K904" s="1" t="s">
        <v>418</v>
      </c>
    </row>
    <row r="905">
      <c r="A905" s="1" t="s">
        <v>4035</v>
      </c>
      <c r="B905" s="1" t="s">
        <v>4036</v>
      </c>
      <c r="C905" s="1">
        <v>2022.0</v>
      </c>
      <c r="D905" s="2">
        <v>44852.0</v>
      </c>
      <c r="F905" s="1" t="s">
        <v>4037</v>
      </c>
      <c r="H905" s="3">
        <v>12.0</v>
      </c>
      <c r="I905" s="4" t="s">
        <v>4038</v>
      </c>
      <c r="J905" s="1" t="s">
        <v>4039</v>
      </c>
      <c r="K905" s="1" t="s">
        <v>323</v>
      </c>
    </row>
    <row r="906">
      <c r="A906" s="1" t="s">
        <v>4040</v>
      </c>
      <c r="B906" s="1" t="s">
        <v>4041</v>
      </c>
      <c r="C906" s="1">
        <v>2022.0</v>
      </c>
      <c r="D906" s="2">
        <v>44852.0</v>
      </c>
      <c r="F906" s="1" t="s">
        <v>332</v>
      </c>
      <c r="H906" s="3">
        <v>13.0</v>
      </c>
      <c r="I906" s="4" t="s">
        <v>4042</v>
      </c>
      <c r="J906" s="1" t="s">
        <v>4043</v>
      </c>
      <c r="K906" s="1" t="s">
        <v>16</v>
      </c>
    </row>
    <row r="907">
      <c r="A907" s="1" t="s">
        <v>4044</v>
      </c>
      <c r="B907" s="1" t="s">
        <v>4045</v>
      </c>
      <c r="C907" s="1">
        <v>2022.0</v>
      </c>
      <c r="D907" s="2">
        <v>44851.0</v>
      </c>
      <c r="F907" s="1" t="s">
        <v>31</v>
      </c>
      <c r="H907" s="3">
        <v>1.0</v>
      </c>
      <c r="I907" s="4" t="s">
        <v>4046</v>
      </c>
      <c r="J907" s="1" t="s">
        <v>4047</v>
      </c>
      <c r="K907" s="1" t="s">
        <v>295</v>
      </c>
    </row>
    <row r="908">
      <c r="A908" s="1" t="s">
        <v>4048</v>
      </c>
      <c r="B908" s="1" t="s">
        <v>4049</v>
      </c>
      <c r="C908" s="1">
        <v>2022.0</v>
      </c>
      <c r="D908" s="2">
        <v>44851.0</v>
      </c>
      <c r="F908" s="1" t="s">
        <v>31</v>
      </c>
      <c r="H908" s="3">
        <v>4.0</v>
      </c>
      <c r="I908" s="4" t="s">
        <v>4050</v>
      </c>
      <c r="J908" s="1" t="s">
        <v>4051</v>
      </c>
      <c r="K908" s="1" t="s">
        <v>28</v>
      </c>
    </row>
    <row r="909">
      <c r="A909" s="1" t="s">
        <v>4052</v>
      </c>
      <c r="B909" s="1" t="s">
        <v>4053</v>
      </c>
      <c r="C909" s="1">
        <v>2022.0</v>
      </c>
      <c r="D909" s="2">
        <v>44851.0</v>
      </c>
      <c r="F909" s="1" t="s">
        <v>4054</v>
      </c>
      <c r="H909" s="3">
        <v>2.0</v>
      </c>
      <c r="I909" s="4" t="s">
        <v>4055</v>
      </c>
      <c r="J909" s="1" t="s">
        <v>4056</v>
      </c>
      <c r="K909" s="1" t="s">
        <v>323</v>
      </c>
    </row>
    <row r="910">
      <c r="A910" s="1" t="s">
        <v>4057</v>
      </c>
      <c r="B910" s="1" t="s">
        <v>4058</v>
      </c>
      <c r="C910" s="1">
        <v>2022.0</v>
      </c>
      <c r="D910" s="2">
        <v>44851.0</v>
      </c>
      <c r="F910" s="1" t="s">
        <v>1050</v>
      </c>
      <c r="H910" s="3">
        <v>0.0</v>
      </c>
      <c r="I910" s="4" t="s">
        <v>4059</v>
      </c>
      <c r="J910" s="1" t="s">
        <v>4060</v>
      </c>
      <c r="K910" s="1" t="s">
        <v>383</v>
      </c>
    </row>
    <row r="911">
      <c r="A911" s="1" t="s">
        <v>4061</v>
      </c>
      <c r="B911" s="1" t="s">
        <v>4062</v>
      </c>
      <c r="C911" s="1">
        <v>2022.0</v>
      </c>
      <c r="D911" s="2">
        <v>44850.0</v>
      </c>
      <c r="F911" s="1" t="s">
        <v>4063</v>
      </c>
      <c r="H911" s="3">
        <v>5.0</v>
      </c>
      <c r="I911" s="4" t="s">
        <v>4064</v>
      </c>
      <c r="J911" s="1" t="s">
        <v>4065</v>
      </c>
      <c r="K911" s="1" t="s">
        <v>28</v>
      </c>
    </row>
    <row r="912">
      <c r="A912" s="1" t="s">
        <v>4066</v>
      </c>
      <c r="B912" s="1" t="s">
        <v>4067</v>
      </c>
      <c r="C912" s="1">
        <v>2022.0</v>
      </c>
      <c r="D912" s="2">
        <v>44848.0</v>
      </c>
      <c r="F912" s="1" t="s">
        <v>4068</v>
      </c>
      <c r="H912" s="3">
        <v>1.0</v>
      </c>
      <c r="I912" s="4" t="s">
        <v>4069</v>
      </c>
      <c r="J912" s="1" t="s">
        <v>4070</v>
      </c>
      <c r="K912" s="1" t="s">
        <v>28</v>
      </c>
    </row>
    <row r="913">
      <c r="A913" s="1" t="s">
        <v>4071</v>
      </c>
      <c r="B913" s="1" t="s">
        <v>4072</v>
      </c>
      <c r="C913" s="1">
        <v>2022.0</v>
      </c>
      <c r="D913" s="2">
        <v>44846.0</v>
      </c>
      <c r="F913" s="1" t="s">
        <v>4073</v>
      </c>
      <c r="H913" s="3">
        <v>9.0</v>
      </c>
      <c r="I913" s="4" t="s">
        <v>4074</v>
      </c>
      <c r="J913" s="1" t="s">
        <v>4075</v>
      </c>
      <c r="K913" s="1" t="s">
        <v>28</v>
      </c>
    </row>
    <row r="914">
      <c r="A914" s="1" t="s">
        <v>4076</v>
      </c>
      <c r="B914" s="1" t="s">
        <v>4077</v>
      </c>
      <c r="C914" s="1">
        <v>2022.0</v>
      </c>
      <c r="D914" s="2">
        <v>44846.0</v>
      </c>
      <c r="F914" s="1" t="s">
        <v>3165</v>
      </c>
      <c r="H914" s="3">
        <v>1.0</v>
      </c>
      <c r="I914" s="4" t="s">
        <v>4078</v>
      </c>
      <c r="J914" s="1" t="s">
        <v>4079</v>
      </c>
      <c r="K914" s="1" t="s">
        <v>68</v>
      </c>
    </row>
    <row r="915">
      <c r="A915" s="1" t="s">
        <v>4080</v>
      </c>
      <c r="B915" s="1" t="s">
        <v>4081</v>
      </c>
      <c r="C915" s="1">
        <v>2022.0</v>
      </c>
      <c r="D915" s="2">
        <v>44846.0</v>
      </c>
      <c r="F915" s="1" t="s">
        <v>332</v>
      </c>
      <c r="H915" s="3">
        <v>9.0</v>
      </c>
      <c r="I915" s="4" t="s">
        <v>4082</v>
      </c>
      <c r="J915" s="1" t="s">
        <v>4083</v>
      </c>
      <c r="K915" s="1" t="s">
        <v>443</v>
      </c>
    </row>
    <row r="916">
      <c r="A916" s="1" t="s">
        <v>4084</v>
      </c>
      <c r="B916" s="1" t="s">
        <v>4085</v>
      </c>
      <c r="C916" s="1">
        <v>2022.0</v>
      </c>
      <c r="D916" s="2">
        <v>44846.0</v>
      </c>
      <c r="F916" s="1" t="s">
        <v>1050</v>
      </c>
      <c r="H916" s="3">
        <v>0.0</v>
      </c>
      <c r="I916" s="4" t="s">
        <v>4086</v>
      </c>
      <c r="J916" s="1" t="s">
        <v>4087</v>
      </c>
      <c r="K916" s="1" t="s">
        <v>295</v>
      </c>
    </row>
    <row r="917">
      <c r="A917" s="1" t="s">
        <v>4088</v>
      </c>
      <c r="B917" s="1" t="s">
        <v>4089</v>
      </c>
      <c r="C917" s="1">
        <v>2022.0</v>
      </c>
      <c r="D917" s="2">
        <v>44844.0</v>
      </c>
      <c r="F917" s="1" t="s">
        <v>1938</v>
      </c>
      <c r="H917" s="3">
        <v>4.0</v>
      </c>
      <c r="I917" s="4" t="s">
        <v>4090</v>
      </c>
      <c r="J917" s="1" t="s">
        <v>4091</v>
      </c>
      <c r="K917" s="1" t="s">
        <v>418</v>
      </c>
    </row>
    <row r="918">
      <c r="A918" s="1" t="s">
        <v>4092</v>
      </c>
      <c r="B918" s="1" t="s">
        <v>4093</v>
      </c>
      <c r="C918" s="1">
        <v>2022.0</v>
      </c>
      <c r="D918" s="2">
        <v>44844.0</v>
      </c>
      <c r="F918" s="1" t="s">
        <v>2875</v>
      </c>
      <c r="H918" s="3">
        <v>4.0</v>
      </c>
      <c r="I918" s="4" t="s">
        <v>4094</v>
      </c>
      <c r="J918" s="1" t="s">
        <v>4095</v>
      </c>
      <c r="K918" s="1" t="s">
        <v>926</v>
      </c>
    </row>
    <row r="919">
      <c r="A919" s="1" t="s">
        <v>4096</v>
      </c>
      <c r="B919" s="1" t="s">
        <v>4097</v>
      </c>
      <c r="C919" s="1">
        <v>2022.0</v>
      </c>
      <c r="D919" s="2">
        <v>44844.0</v>
      </c>
      <c r="F919" s="1" t="s">
        <v>1006</v>
      </c>
      <c r="H919" s="3">
        <v>1.0</v>
      </c>
      <c r="I919" s="4" t="s">
        <v>4098</v>
      </c>
      <c r="J919" s="1" t="s">
        <v>4099</v>
      </c>
      <c r="K919" s="1" t="s">
        <v>443</v>
      </c>
    </row>
    <row r="920">
      <c r="A920" s="1" t="s">
        <v>4100</v>
      </c>
      <c r="B920" s="1" t="s">
        <v>4101</v>
      </c>
      <c r="C920" s="1">
        <v>2022.0</v>
      </c>
      <c r="D920" s="2">
        <v>44842.0</v>
      </c>
      <c r="F920" s="1" t="s">
        <v>4102</v>
      </c>
      <c r="H920" s="3">
        <v>0.0</v>
      </c>
      <c r="I920" s="4" t="s">
        <v>4103</v>
      </c>
      <c r="J920" s="1" t="s">
        <v>4104</v>
      </c>
      <c r="K920" s="1" t="s">
        <v>383</v>
      </c>
    </row>
    <row r="921">
      <c r="A921" s="1" t="s">
        <v>4105</v>
      </c>
      <c r="B921" s="1" t="s">
        <v>4106</v>
      </c>
      <c r="C921" s="1">
        <v>2022.0</v>
      </c>
      <c r="D921" s="2">
        <v>44842.0</v>
      </c>
      <c r="F921" s="1" t="s">
        <v>4107</v>
      </c>
      <c r="H921" s="3">
        <v>0.0</v>
      </c>
      <c r="I921" s="4" t="s">
        <v>4108</v>
      </c>
      <c r="J921" s="1" t="s">
        <v>4109</v>
      </c>
      <c r="K921" s="1" t="s">
        <v>462</v>
      </c>
    </row>
    <row r="922">
      <c r="A922" s="1" t="s">
        <v>4110</v>
      </c>
      <c r="B922" s="1" t="s">
        <v>4111</v>
      </c>
      <c r="C922" s="1">
        <v>2022.0</v>
      </c>
      <c r="D922" s="2">
        <v>44840.0</v>
      </c>
      <c r="F922" s="1" t="s">
        <v>1859</v>
      </c>
      <c r="H922" s="3">
        <v>6.0</v>
      </c>
      <c r="I922" s="4" t="s">
        <v>4112</v>
      </c>
      <c r="J922" s="1" t="s">
        <v>4113</v>
      </c>
      <c r="K922" s="1" t="s">
        <v>16</v>
      </c>
    </row>
    <row r="923">
      <c r="A923" s="1" t="s">
        <v>4114</v>
      </c>
      <c r="B923" s="1" t="s">
        <v>4115</v>
      </c>
      <c r="C923" s="1">
        <v>2022.0</v>
      </c>
      <c r="D923" s="2">
        <v>44840.0</v>
      </c>
      <c r="F923" s="1" t="s">
        <v>198</v>
      </c>
      <c r="H923" s="3">
        <v>12.0</v>
      </c>
      <c r="I923" s="4" t="s">
        <v>4116</v>
      </c>
      <c r="J923" s="1" t="s">
        <v>4117</v>
      </c>
      <c r="K923" s="1" t="s">
        <v>16</v>
      </c>
    </row>
    <row r="924">
      <c r="A924" s="1" t="s">
        <v>4118</v>
      </c>
      <c r="B924" s="1" t="s">
        <v>4119</v>
      </c>
      <c r="C924" s="1">
        <v>2022.0</v>
      </c>
      <c r="D924" s="2">
        <v>44839.0</v>
      </c>
      <c r="F924" s="1" t="s">
        <v>271</v>
      </c>
      <c r="H924" s="3">
        <v>0.0</v>
      </c>
      <c r="I924" s="4" t="s">
        <v>4120</v>
      </c>
      <c r="J924" s="1" t="s">
        <v>4121</v>
      </c>
      <c r="K924" s="1" t="s">
        <v>492</v>
      </c>
    </row>
    <row r="925">
      <c r="A925" s="1" t="s">
        <v>4122</v>
      </c>
      <c r="B925" s="1" t="s">
        <v>4123</v>
      </c>
      <c r="C925" s="1">
        <v>2022.0</v>
      </c>
      <c r="D925" s="2">
        <v>44839.0</v>
      </c>
      <c r="F925" s="1" t="s">
        <v>4124</v>
      </c>
      <c r="H925" s="3">
        <v>0.0</v>
      </c>
      <c r="I925" s="4" t="s">
        <v>4125</v>
      </c>
      <c r="J925" s="1"/>
      <c r="K925" s="1" t="s">
        <v>16</v>
      </c>
    </row>
    <row r="926">
      <c r="A926" s="1" t="s">
        <v>4126</v>
      </c>
      <c r="B926" s="1" t="s">
        <v>4127</v>
      </c>
      <c r="C926" s="1">
        <v>2022.0</v>
      </c>
      <c r="D926" s="2">
        <v>44838.0</v>
      </c>
      <c r="F926" s="1" t="s">
        <v>1846</v>
      </c>
      <c r="H926" s="3">
        <v>2.0</v>
      </c>
      <c r="I926" s="4" t="s">
        <v>4128</v>
      </c>
      <c r="J926" s="1" t="s">
        <v>4129</v>
      </c>
      <c r="K926" s="1" t="s">
        <v>295</v>
      </c>
    </row>
    <row r="927">
      <c r="A927" s="1" t="s">
        <v>4130</v>
      </c>
      <c r="B927" s="1" t="s">
        <v>4131</v>
      </c>
      <c r="C927" s="1">
        <v>2022.0</v>
      </c>
      <c r="D927" s="2">
        <v>44837.0</v>
      </c>
      <c r="F927" s="1" t="s">
        <v>81</v>
      </c>
      <c r="H927" s="3">
        <v>0.0</v>
      </c>
      <c r="I927" s="4" t="s">
        <v>4132</v>
      </c>
      <c r="J927" s="1" t="s">
        <v>4133</v>
      </c>
      <c r="K927" s="1" t="s">
        <v>323</v>
      </c>
    </row>
    <row r="928">
      <c r="A928" s="1" t="s">
        <v>4134</v>
      </c>
      <c r="B928" s="1" t="s">
        <v>4135</v>
      </c>
      <c r="C928" s="1">
        <v>2022.0</v>
      </c>
      <c r="D928" s="2">
        <v>44837.0</v>
      </c>
      <c r="F928" s="1" t="s">
        <v>726</v>
      </c>
      <c r="H928" s="3">
        <v>11.0</v>
      </c>
      <c r="I928" s="4" t="s">
        <v>4136</v>
      </c>
      <c r="J928" s="1" t="s">
        <v>4137</v>
      </c>
      <c r="K928" s="1" t="s">
        <v>28</v>
      </c>
    </row>
    <row r="929">
      <c r="A929" s="1" t="s">
        <v>4138</v>
      </c>
      <c r="B929" s="1" t="s">
        <v>3771</v>
      </c>
      <c r="C929" s="1">
        <v>2022.0</v>
      </c>
      <c r="D929" s="2">
        <v>44834.0</v>
      </c>
      <c r="F929" s="1" t="s">
        <v>2540</v>
      </c>
      <c r="H929" s="3">
        <v>159.0</v>
      </c>
      <c r="I929" s="4" t="s">
        <v>4139</v>
      </c>
      <c r="J929" s="1" t="s">
        <v>4140</v>
      </c>
      <c r="K929" s="1" t="s">
        <v>383</v>
      </c>
    </row>
    <row r="930">
      <c r="A930" s="1" t="s">
        <v>4141</v>
      </c>
      <c r="B930" s="1" t="s">
        <v>4142</v>
      </c>
      <c r="C930" s="1">
        <v>2022.0</v>
      </c>
      <c r="D930" s="2">
        <v>44832.0</v>
      </c>
      <c r="F930" s="1" t="s">
        <v>131</v>
      </c>
      <c r="H930" s="3">
        <v>12.0</v>
      </c>
      <c r="I930" s="4" t="s">
        <v>4143</v>
      </c>
      <c r="J930" s="1" t="s">
        <v>4144</v>
      </c>
      <c r="K930" s="1" t="s">
        <v>16</v>
      </c>
    </row>
    <row r="931">
      <c r="A931" s="1" t="s">
        <v>4145</v>
      </c>
      <c r="B931" s="1" t="s">
        <v>4146</v>
      </c>
      <c r="C931" s="1">
        <v>2022.0</v>
      </c>
      <c r="D931" s="2">
        <v>44831.0</v>
      </c>
      <c r="F931" s="1" t="s">
        <v>4147</v>
      </c>
      <c r="H931" s="3">
        <v>0.0</v>
      </c>
      <c r="I931" s="4" t="s">
        <v>4148</v>
      </c>
      <c r="J931" s="1" t="s">
        <v>4149</v>
      </c>
      <c r="K931" s="1" t="s">
        <v>413</v>
      </c>
    </row>
    <row r="932">
      <c r="A932" s="1" t="s">
        <v>4150</v>
      </c>
      <c r="B932" s="1" t="s">
        <v>4151</v>
      </c>
      <c r="C932" s="1">
        <v>2022.0</v>
      </c>
      <c r="D932" s="2">
        <v>44830.0</v>
      </c>
      <c r="F932" s="1" t="s">
        <v>489</v>
      </c>
      <c r="H932" s="3">
        <v>16.0</v>
      </c>
      <c r="I932" s="4" t="s">
        <v>4152</v>
      </c>
      <c r="J932" s="1" t="s">
        <v>4153</v>
      </c>
      <c r="K932" s="1" t="s">
        <v>462</v>
      </c>
    </row>
    <row r="933">
      <c r="A933" s="1" t="s">
        <v>4154</v>
      </c>
      <c r="B933" s="1" t="s">
        <v>4155</v>
      </c>
      <c r="C933" s="1">
        <v>2022.0</v>
      </c>
      <c r="D933" s="2">
        <v>44830.0</v>
      </c>
      <c r="F933" s="1" t="s">
        <v>4156</v>
      </c>
      <c r="H933" s="3">
        <v>4.0</v>
      </c>
      <c r="I933" s="4" t="s">
        <v>4157</v>
      </c>
      <c r="J933" s="1" t="s">
        <v>4158</v>
      </c>
      <c r="K933" s="1" t="s">
        <v>28</v>
      </c>
    </row>
    <row r="934">
      <c r="A934" s="1" t="s">
        <v>4159</v>
      </c>
      <c r="B934" s="1" t="s">
        <v>4160</v>
      </c>
      <c r="C934" s="1">
        <v>2022.0</v>
      </c>
      <c r="D934" s="2">
        <v>44830.0</v>
      </c>
      <c r="F934" s="1" t="s">
        <v>3578</v>
      </c>
      <c r="H934" s="3">
        <v>7.0</v>
      </c>
      <c r="I934" s="4" t="s">
        <v>4161</v>
      </c>
      <c r="J934" s="1" t="s">
        <v>4162</v>
      </c>
      <c r="K934" s="1" t="s">
        <v>383</v>
      </c>
    </row>
    <row r="935">
      <c r="A935" s="1" t="s">
        <v>4163</v>
      </c>
      <c r="B935" s="1" t="s">
        <v>4164</v>
      </c>
      <c r="C935" s="1">
        <v>2022.0</v>
      </c>
      <c r="D935" s="2">
        <v>44827.0</v>
      </c>
      <c r="F935" s="1" t="s">
        <v>271</v>
      </c>
      <c r="H935" s="3">
        <v>2.0</v>
      </c>
      <c r="I935" s="4" t="s">
        <v>4165</v>
      </c>
      <c r="J935" s="1" t="s">
        <v>4166</v>
      </c>
      <c r="K935" s="1" t="s">
        <v>16</v>
      </c>
    </row>
    <row r="936">
      <c r="A936" s="1" t="s">
        <v>4167</v>
      </c>
      <c r="B936" s="1" t="s">
        <v>4168</v>
      </c>
      <c r="C936" s="1">
        <v>2022.0</v>
      </c>
      <c r="D936" s="2">
        <v>44826.0</v>
      </c>
      <c r="F936" s="1" t="s">
        <v>4068</v>
      </c>
      <c r="H936" s="3">
        <v>0.0</v>
      </c>
      <c r="I936" s="4" t="s">
        <v>4169</v>
      </c>
      <c r="J936" s="1" t="s">
        <v>4170</v>
      </c>
      <c r="K936" s="1" t="s">
        <v>323</v>
      </c>
    </row>
    <row r="937">
      <c r="A937" s="1" t="s">
        <v>4171</v>
      </c>
      <c r="B937" s="1" t="s">
        <v>4172</v>
      </c>
      <c r="C937" s="1">
        <v>2022.0</v>
      </c>
      <c r="D937" s="2">
        <v>44824.0</v>
      </c>
      <c r="F937" s="1" t="s">
        <v>2862</v>
      </c>
      <c r="H937" s="3">
        <v>10.0</v>
      </c>
      <c r="I937" s="4" t="s">
        <v>4173</v>
      </c>
      <c r="J937" s="1" t="s">
        <v>4174</v>
      </c>
      <c r="K937" s="1" t="s">
        <v>443</v>
      </c>
    </row>
    <row r="938">
      <c r="A938" s="1" t="s">
        <v>4175</v>
      </c>
      <c r="B938" s="1" t="s">
        <v>4176</v>
      </c>
      <c r="C938" s="1">
        <v>2022.0</v>
      </c>
      <c r="D938" s="2">
        <v>44824.0</v>
      </c>
      <c r="F938" s="1" t="s">
        <v>271</v>
      </c>
      <c r="H938" s="3">
        <v>3.0</v>
      </c>
      <c r="I938" s="4" t="s">
        <v>4177</v>
      </c>
      <c r="J938" s="1" t="s">
        <v>4178</v>
      </c>
      <c r="K938" s="1" t="s">
        <v>28</v>
      </c>
    </row>
    <row r="939">
      <c r="A939" s="1" t="s">
        <v>4179</v>
      </c>
      <c r="B939" s="1" t="s">
        <v>4180</v>
      </c>
      <c r="C939" s="1">
        <v>2022.0</v>
      </c>
      <c r="D939" s="2">
        <v>44824.0</v>
      </c>
      <c r="F939" s="1" t="s">
        <v>2119</v>
      </c>
      <c r="H939" s="3">
        <v>1.0</v>
      </c>
      <c r="I939" s="4" t="s">
        <v>4181</v>
      </c>
      <c r="J939" s="1" t="s">
        <v>4182</v>
      </c>
      <c r="K939" s="1" t="s">
        <v>16</v>
      </c>
    </row>
    <row r="940">
      <c r="A940" s="1" t="s">
        <v>4183</v>
      </c>
      <c r="B940" s="1" t="s">
        <v>4184</v>
      </c>
      <c r="C940" s="1">
        <v>2022.0</v>
      </c>
      <c r="D940" s="2">
        <v>44823.0</v>
      </c>
      <c r="F940" s="1" t="s">
        <v>1081</v>
      </c>
      <c r="H940" s="3">
        <v>16.0</v>
      </c>
      <c r="I940" s="4" t="s">
        <v>4185</v>
      </c>
      <c r="J940" s="1" t="s">
        <v>4186</v>
      </c>
      <c r="K940" s="1" t="s">
        <v>28</v>
      </c>
    </row>
    <row r="941">
      <c r="A941" s="1" t="s">
        <v>4187</v>
      </c>
      <c r="B941" s="1" t="s">
        <v>4188</v>
      </c>
      <c r="C941" s="1">
        <v>2022.0</v>
      </c>
      <c r="D941" s="2">
        <v>44820.0</v>
      </c>
      <c r="F941" s="1" t="s">
        <v>1705</v>
      </c>
      <c r="H941" s="3">
        <v>5.0</v>
      </c>
      <c r="I941" s="4" t="s">
        <v>4189</v>
      </c>
      <c r="J941" s="1" t="s">
        <v>4190</v>
      </c>
      <c r="K941" s="1" t="s">
        <v>323</v>
      </c>
    </row>
    <row r="942">
      <c r="A942" s="1" t="s">
        <v>4191</v>
      </c>
      <c r="B942" s="1" t="s">
        <v>4192</v>
      </c>
      <c r="C942" s="1">
        <v>2022.0</v>
      </c>
      <c r="D942" s="2">
        <v>44820.0</v>
      </c>
      <c r="F942" s="1" t="s">
        <v>643</v>
      </c>
      <c r="H942" s="3">
        <v>2.0</v>
      </c>
      <c r="I942" s="4" t="s">
        <v>4193</v>
      </c>
      <c r="J942" s="1" t="s">
        <v>4194</v>
      </c>
      <c r="K942" s="1" t="s">
        <v>16</v>
      </c>
    </row>
    <row r="943">
      <c r="A943" s="1" t="s">
        <v>4195</v>
      </c>
      <c r="B943" s="1" t="s">
        <v>4196</v>
      </c>
      <c r="C943" s="1">
        <v>2022.0</v>
      </c>
      <c r="D943" s="2">
        <v>44819.0</v>
      </c>
      <c r="F943" s="1" t="s">
        <v>4197</v>
      </c>
      <c r="H943" s="3">
        <v>15.0</v>
      </c>
      <c r="I943" s="4" t="s">
        <v>4198</v>
      </c>
      <c r="J943" s="1"/>
      <c r="K943" s="1" t="s">
        <v>571</v>
      </c>
    </row>
    <row r="944">
      <c r="A944" s="1" t="s">
        <v>4199</v>
      </c>
      <c r="B944" s="1" t="s">
        <v>4200</v>
      </c>
      <c r="C944" s="1">
        <v>2022.0</v>
      </c>
      <c r="D944" s="2">
        <v>44819.0</v>
      </c>
      <c r="F944" s="1" t="s">
        <v>271</v>
      </c>
      <c r="H944" s="3">
        <v>2.0</v>
      </c>
      <c r="I944" s="4" t="s">
        <v>4201</v>
      </c>
      <c r="J944" s="1" t="s">
        <v>4202</v>
      </c>
      <c r="K944" s="1" t="s">
        <v>68</v>
      </c>
    </row>
    <row r="945">
      <c r="A945" s="1" t="s">
        <v>4203</v>
      </c>
      <c r="B945" s="1" t="s">
        <v>4204</v>
      </c>
      <c r="C945" s="1">
        <v>2022.0</v>
      </c>
      <c r="D945" s="2">
        <v>44819.0</v>
      </c>
      <c r="F945" s="1" t="s">
        <v>2955</v>
      </c>
      <c r="H945" s="3">
        <v>3.0</v>
      </c>
      <c r="I945" s="4" t="s">
        <v>4205</v>
      </c>
      <c r="J945" s="1" t="s">
        <v>4206</v>
      </c>
      <c r="K945" s="1" t="s">
        <v>16</v>
      </c>
    </row>
    <row r="946">
      <c r="A946" s="1" t="s">
        <v>4207</v>
      </c>
      <c r="B946" s="1" t="s">
        <v>4208</v>
      </c>
      <c r="C946" s="1">
        <v>2022.0</v>
      </c>
      <c r="D946" s="2">
        <v>44818.0</v>
      </c>
      <c r="F946" s="1" t="s">
        <v>396</v>
      </c>
      <c r="H946" s="3">
        <v>24.0</v>
      </c>
      <c r="I946" s="4" t="s">
        <v>4209</v>
      </c>
      <c r="J946" s="1" t="s">
        <v>4210</v>
      </c>
      <c r="K946" s="1" t="s">
        <v>571</v>
      </c>
    </row>
    <row r="947">
      <c r="A947" s="1" t="s">
        <v>4211</v>
      </c>
      <c r="B947" s="1" t="s">
        <v>4212</v>
      </c>
      <c r="C947" s="1">
        <v>2022.0</v>
      </c>
      <c r="D947" s="2">
        <v>44816.0</v>
      </c>
      <c r="F947" s="1" t="s">
        <v>2480</v>
      </c>
      <c r="H947" s="3">
        <v>5.0</v>
      </c>
      <c r="I947" s="4" t="s">
        <v>4213</v>
      </c>
      <c r="J947" s="1" t="s">
        <v>4214</v>
      </c>
      <c r="K947" s="1" t="s">
        <v>28</v>
      </c>
    </row>
    <row r="948">
      <c r="A948" s="1" t="s">
        <v>4215</v>
      </c>
      <c r="B948" s="1" t="s">
        <v>4216</v>
      </c>
      <c r="C948" s="1">
        <v>2022.0</v>
      </c>
      <c r="D948" s="2">
        <v>44816.0</v>
      </c>
      <c r="F948" s="1" t="s">
        <v>4217</v>
      </c>
      <c r="H948" s="3">
        <v>1.0</v>
      </c>
      <c r="I948" s="4" t="s">
        <v>4218</v>
      </c>
      <c r="J948" s="1" t="s">
        <v>4219</v>
      </c>
      <c r="K948" s="1" t="s">
        <v>418</v>
      </c>
    </row>
    <row r="949">
      <c r="A949" s="1" t="s">
        <v>4220</v>
      </c>
      <c r="B949" s="1" t="s">
        <v>4221</v>
      </c>
      <c r="C949" s="1">
        <v>2022.0</v>
      </c>
      <c r="D949" s="2">
        <v>44815.0</v>
      </c>
      <c r="F949" s="1" t="s">
        <v>4222</v>
      </c>
      <c r="H949" s="3">
        <v>3.0</v>
      </c>
      <c r="I949" s="4" t="s">
        <v>4223</v>
      </c>
      <c r="J949" s="1" t="s">
        <v>4224</v>
      </c>
      <c r="K949" s="1" t="s">
        <v>68</v>
      </c>
    </row>
    <row r="950">
      <c r="A950" s="1" t="s">
        <v>4225</v>
      </c>
      <c r="B950" s="1" t="s">
        <v>4226</v>
      </c>
      <c r="C950" s="1">
        <v>2022.0</v>
      </c>
      <c r="D950" s="2">
        <v>44813.0</v>
      </c>
      <c r="F950" s="1" t="s">
        <v>1381</v>
      </c>
      <c r="H950" s="3">
        <v>12.0</v>
      </c>
      <c r="I950" s="4" t="s">
        <v>4227</v>
      </c>
      <c r="J950" s="1" t="s">
        <v>4228</v>
      </c>
      <c r="K950" s="1" t="s">
        <v>443</v>
      </c>
    </row>
    <row r="951">
      <c r="A951" s="1" t="s">
        <v>4229</v>
      </c>
      <c r="B951" s="1" t="s">
        <v>4230</v>
      </c>
      <c r="C951" s="1">
        <v>2022.0</v>
      </c>
      <c r="D951" s="2">
        <v>44813.0</v>
      </c>
      <c r="F951" s="1" t="s">
        <v>666</v>
      </c>
      <c r="H951" s="3">
        <v>7.0</v>
      </c>
      <c r="I951" s="4" t="s">
        <v>4231</v>
      </c>
      <c r="J951" s="1" t="s">
        <v>4232</v>
      </c>
      <c r="K951" s="1" t="s">
        <v>68</v>
      </c>
    </row>
    <row r="952">
      <c r="A952" s="1" t="s">
        <v>4233</v>
      </c>
      <c r="B952" s="1" t="s">
        <v>4234</v>
      </c>
      <c r="C952" s="1">
        <v>2022.0</v>
      </c>
      <c r="D952" s="2">
        <v>44813.0</v>
      </c>
      <c r="F952" s="1" t="s">
        <v>4235</v>
      </c>
      <c r="H952" s="3">
        <v>1.0</v>
      </c>
      <c r="I952" s="4" t="s">
        <v>4236</v>
      </c>
      <c r="J952" s="1" t="s">
        <v>4237</v>
      </c>
      <c r="K952" s="1" t="s">
        <v>16</v>
      </c>
    </row>
    <row r="953">
      <c r="A953" s="1" t="s">
        <v>4238</v>
      </c>
      <c r="B953" s="1" t="s">
        <v>4239</v>
      </c>
      <c r="C953" s="1">
        <v>2022.0</v>
      </c>
      <c r="D953" s="2">
        <v>44813.0</v>
      </c>
      <c r="F953" s="1" t="s">
        <v>1737</v>
      </c>
      <c r="H953" s="3">
        <v>6.0</v>
      </c>
      <c r="I953" s="4" t="s">
        <v>4240</v>
      </c>
      <c r="J953" s="1" t="s">
        <v>4241</v>
      </c>
      <c r="K953" s="1" t="s">
        <v>16</v>
      </c>
    </row>
    <row r="954">
      <c r="A954" s="1" t="s">
        <v>4242</v>
      </c>
      <c r="B954" s="1" t="s">
        <v>4243</v>
      </c>
      <c r="C954" s="1">
        <v>2022.0</v>
      </c>
      <c r="D954" s="2">
        <v>44811.0</v>
      </c>
      <c r="F954" s="1" t="s">
        <v>326</v>
      </c>
      <c r="H954" s="3">
        <v>1.0</v>
      </c>
      <c r="I954" s="4" t="s">
        <v>4244</v>
      </c>
      <c r="J954" s="1" t="s">
        <v>4245</v>
      </c>
      <c r="K954" s="1" t="s">
        <v>28</v>
      </c>
    </row>
    <row r="955">
      <c r="A955" s="1" t="s">
        <v>4246</v>
      </c>
      <c r="B955" s="1" t="s">
        <v>4247</v>
      </c>
      <c r="C955" s="1">
        <v>2022.0</v>
      </c>
      <c r="D955" s="2">
        <v>44811.0</v>
      </c>
      <c r="F955" s="1" t="s">
        <v>4248</v>
      </c>
      <c r="H955" s="3">
        <v>12.0</v>
      </c>
      <c r="I955" s="4" t="s">
        <v>4249</v>
      </c>
      <c r="J955" s="1" t="s">
        <v>4250</v>
      </c>
      <c r="K955" s="1" t="s">
        <v>16</v>
      </c>
    </row>
    <row r="956">
      <c r="A956" s="1" t="s">
        <v>4251</v>
      </c>
      <c r="B956" s="1" t="s">
        <v>4252</v>
      </c>
      <c r="C956" s="1">
        <v>2022.0</v>
      </c>
      <c r="D956" s="2">
        <v>44811.0</v>
      </c>
      <c r="F956" s="1" t="s">
        <v>4253</v>
      </c>
      <c r="H956" s="3">
        <v>8.0</v>
      </c>
      <c r="I956" s="4" t="s">
        <v>4254</v>
      </c>
      <c r="J956" s="1" t="s">
        <v>4255</v>
      </c>
      <c r="K956" s="1" t="s">
        <v>16</v>
      </c>
    </row>
    <row r="957">
      <c r="A957" s="1" t="s">
        <v>4256</v>
      </c>
      <c r="B957" s="1" t="s">
        <v>4257</v>
      </c>
      <c r="C957" s="1">
        <v>2022.0</v>
      </c>
      <c r="D957" s="2">
        <v>44811.0</v>
      </c>
      <c r="F957" s="1" t="s">
        <v>59</v>
      </c>
      <c r="H957" s="3">
        <v>6.0</v>
      </c>
      <c r="I957" s="4" t="s">
        <v>4258</v>
      </c>
      <c r="J957" s="1" t="s">
        <v>4259</v>
      </c>
      <c r="K957" s="1" t="s">
        <v>372</v>
      </c>
    </row>
    <row r="958">
      <c r="A958" s="1" t="s">
        <v>4260</v>
      </c>
      <c r="B958" s="1" t="s">
        <v>4261</v>
      </c>
      <c r="C958" s="1">
        <v>2022.0</v>
      </c>
      <c r="D958" s="2">
        <v>44810.0</v>
      </c>
      <c r="F958" s="1" t="s">
        <v>4262</v>
      </c>
      <c r="H958" s="3">
        <v>11.0</v>
      </c>
      <c r="I958" s="4" t="s">
        <v>4263</v>
      </c>
      <c r="J958" s="1" t="s">
        <v>4264</v>
      </c>
      <c r="K958" s="1" t="s">
        <v>383</v>
      </c>
    </row>
    <row r="959">
      <c r="A959" s="1" t="s">
        <v>4265</v>
      </c>
      <c r="B959" s="1" t="s">
        <v>4266</v>
      </c>
      <c r="C959" s="1">
        <v>2022.0</v>
      </c>
      <c r="D959" s="2">
        <v>44810.0</v>
      </c>
      <c r="F959" s="1" t="s">
        <v>1859</v>
      </c>
      <c r="H959" s="3">
        <v>3.0</v>
      </c>
      <c r="I959" s="4" t="s">
        <v>4267</v>
      </c>
      <c r="J959" s="1" t="s">
        <v>4268</v>
      </c>
      <c r="K959" s="1" t="s">
        <v>16</v>
      </c>
    </row>
    <row r="960">
      <c r="A960" s="1" t="s">
        <v>4269</v>
      </c>
      <c r="B960" s="1" t="s">
        <v>4270</v>
      </c>
      <c r="C960" s="1">
        <v>2022.0</v>
      </c>
      <c r="D960" s="2">
        <v>44810.0</v>
      </c>
      <c r="F960" s="1" t="s">
        <v>790</v>
      </c>
      <c r="H960" s="3">
        <v>9.0</v>
      </c>
      <c r="I960" s="4" t="s">
        <v>4271</v>
      </c>
      <c r="J960" s="1" t="s">
        <v>4272</v>
      </c>
      <c r="K960" s="1" t="s">
        <v>295</v>
      </c>
    </row>
    <row r="961">
      <c r="A961" s="1" t="s">
        <v>4273</v>
      </c>
      <c r="B961" s="1" t="s">
        <v>4274</v>
      </c>
      <c r="C961" s="1">
        <v>2022.0</v>
      </c>
      <c r="D961" s="2">
        <v>44810.0</v>
      </c>
      <c r="F961" s="1" t="s">
        <v>4275</v>
      </c>
      <c r="H961" s="3">
        <v>3.0</v>
      </c>
      <c r="I961" s="4" t="s">
        <v>4276</v>
      </c>
      <c r="J961" s="1" t="s">
        <v>4277</v>
      </c>
      <c r="K961" s="1" t="s">
        <v>462</v>
      </c>
    </row>
    <row r="962">
      <c r="A962" s="1" t="s">
        <v>4278</v>
      </c>
      <c r="B962" s="1" t="s">
        <v>4279</v>
      </c>
      <c r="C962" s="1">
        <v>2022.0</v>
      </c>
      <c r="D962" s="2">
        <v>44809.0</v>
      </c>
      <c r="F962" s="1" t="s">
        <v>1305</v>
      </c>
      <c r="H962" s="3">
        <v>14.0</v>
      </c>
      <c r="I962" s="4" t="s">
        <v>4280</v>
      </c>
      <c r="J962" s="1" t="s">
        <v>4281</v>
      </c>
      <c r="K962" s="1" t="s">
        <v>28</v>
      </c>
    </row>
    <row r="963">
      <c r="A963" s="1" t="s">
        <v>4282</v>
      </c>
      <c r="B963" s="1" t="s">
        <v>4283</v>
      </c>
      <c r="C963" s="1">
        <v>2022.0</v>
      </c>
      <c r="D963" s="2">
        <v>44805.0</v>
      </c>
      <c r="F963" s="1" t="s">
        <v>3747</v>
      </c>
      <c r="H963" s="3">
        <v>12.0</v>
      </c>
      <c r="I963" s="4" t="s">
        <v>4284</v>
      </c>
      <c r="J963" s="1" t="s">
        <v>4285</v>
      </c>
      <c r="K963" s="1" t="s">
        <v>329</v>
      </c>
    </row>
    <row r="964">
      <c r="A964" s="1" t="s">
        <v>4286</v>
      </c>
      <c r="B964" s="1" t="s">
        <v>4287</v>
      </c>
      <c r="C964" s="1">
        <v>2022.0</v>
      </c>
      <c r="D964" s="2">
        <v>44805.0</v>
      </c>
      <c r="F964" s="1" t="s">
        <v>4288</v>
      </c>
      <c r="H964" s="3">
        <v>0.0</v>
      </c>
      <c r="I964" s="4" t="s">
        <v>4289</v>
      </c>
      <c r="J964" s="1" t="s">
        <v>4290</v>
      </c>
      <c r="K964" s="1" t="s">
        <v>323</v>
      </c>
    </row>
    <row r="965">
      <c r="A965" s="1" t="s">
        <v>4291</v>
      </c>
      <c r="B965" s="1" t="s">
        <v>4292</v>
      </c>
      <c r="C965" s="1">
        <v>2022.0</v>
      </c>
      <c r="D965" s="2">
        <v>44805.0</v>
      </c>
      <c r="F965" s="1" t="s">
        <v>4293</v>
      </c>
      <c r="H965" s="3">
        <v>14.0</v>
      </c>
      <c r="I965" s="4" t="s">
        <v>4294</v>
      </c>
      <c r="J965" s="1" t="s">
        <v>4295</v>
      </c>
      <c r="K965" s="1" t="s">
        <v>16</v>
      </c>
    </row>
    <row r="966">
      <c r="A966" s="1" t="s">
        <v>4296</v>
      </c>
      <c r="B966" s="1" t="s">
        <v>4297</v>
      </c>
      <c r="C966" s="1">
        <v>2022.0</v>
      </c>
      <c r="D966" s="2">
        <v>44805.0</v>
      </c>
      <c r="F966" s="1" t="s">
        <v>4298</v>
      </c>
      <c r="H966" s="3">
        <v>0.0</v>
      </c>
      <c r="I966" s="4" t="s">
        <v>4299</v>
      </c>
      <c r="J966" s="1" t="s">
        <v>4300</v>
      </c>
      <c r="K966" s="1" t="s">
        <v>16</v>
      </c>
    </row>
    <row r="967">
      <c r="A967" s="1" t="s">
        <v>4301</v>
      </c>
      <c r="B967" s="1" t="s">
        <v>4302</v>
      </c>
      <c r="C967" s="1">
        <v>2022.0</v>
      </c>
      <c r="D967" s="2">
        <v>44804.0</v>
      </c>
      <c r="F967" s="1" t="s">
        <v>3045</v>
      </c>
      <c r="H967" s="3">
        <v>1.0</v>
      </c>
      <c r="I967" s="4" t="s">
        <v>4303</v>
      </c>
      <c r="J967" s="1" t="s">
        <v>4304</v>
      </c>
      <c r="K967" s="1" t="s">
        <v>68</v>
      </c>
    </row>
    <row r="968">
      <c r="A968" s="1" t="s">
        <v>4305</v>
      </c>
      <c r="B968" s="1" t="s">
        <v>4306</v>
      </c>
      <c r="C968" s="1">
        <v>2022.0</v>
      </c>
      <c r="D968" s="2">
        <v>44803.0</v>
      </c>
      <c r="F968" s="1" t="s">
        <v>500</v>
      </c>
      <c r="H968" s="3">
        <v>1.0</v>
      </c>
      <c r="I968" s="4" t="s">
        <v>4307</v>
      </c>
      <c r="J968" s="1" t="s">
        <v>4308</v>
      </c>
      <c r="K968" s="1" t="s">
        <v>295</v>
      </c>
    </row>
    <row r="969">
      <c r="A969" s="1" t="s">
        <v>4309</v>
      </c>
      <c r="B969" s="1" t="s">
        <v>4310</v>
      </c>
      <c r="C969" s="1">
        <v>2022.0</v>
      </c>
      <c r="D969" s="2">
        <v>44803.0</v>
      </c>
      <c r="F969" s="1" t="s">
        <v>1514</v>
      </c>
      <c r="H969" s="3">
        <v>4.0</v>
      </c>
      <c r="I969" s="4" t="s">
        <v>4311</v>
      </c>
      <c r="J969" s="1" t="s">
        <v>4312</v>
      </c>
      <c r="K969" s="1" t="s">
        <v>383</v>
      </c>
    </row>
    <row r="970">
      <c r="A970" s="1" t="s">
        <v>4313</v>
      </c>
      <c r="B970" s="1" t="s">
        <v>4314</v>
      </c>
      <c r="C970" s="1">
        <v>2022.0</v>
      </c>
      <c r="D970" s="2">
        <v>44803.0</v>
      </c>
      <c r="F970" s="1" t="s">
        <v>2335</v>
      </c>
      <c r="H970" s="3">
        <v>9.0</v>
      </c>
      <c r="I970" s="4" t="s">
        <v>4315</v>
      </c>
      <c r="J970" s="1" t="s">
        <v>4316</v>
      </c>
      <c r="K970" s="1" t="s">
        <v>68</v>
      </c>
    </row>
    <row r="971">
      <c r="A971" s="1" t="s">
        <v>4317</v>
      </c>
      <c r="B971" s="1" t="s">
        <v>4318</v>
      </c>
      <c r="C971" s="1">
        <v>2022.0</v>
      </c>
      <c r="D971" s="2">
        <v>44803.0</v>
      </c>
      <c r="F971" s="1" t="s">
        <v>500</v>
      </c>
      <c r="H971" s="3">
        <v>24.0</v>
      </c>
      <c r="I971" s="4" t="s">
        <v>4319</v>
      </c>
      <c r="J971" s="1" t="s">
        <v>4320</v>
      </c>
      <c r="K971" s="1" t="s">
        <v>1423</v>
      </c>
    </row>
    <row r="972">
      <c r="A972" s="1" t="s">
        <v>4321</v>
      </c>
      <c r="B972" s="1" t="s">
        <v>4322</v>
      </c>
      <c r="C972" s="1">
        <v>2022.0</v>
      </c>
      <c r="D972" s="2">
        <v>44803.0</v>
      </c>
      <c r="F972" s="1" t="s">
        <v>1050</v>
      </c>
      <c r="H972" s="3">
        <v>0.0</v>
      </c>
      <c r="I972" s="4" t="s">
        <v>4323</v>
      </c>
      <c r="J972" s="1" t="s">
        <v>4324</v>
      </c>
      <c r="K972" s="1" t="s">
        <v>68</v>
      </c>
    </row>
    <row r="973">
      <c r="A973" s="1" t="s">
        <v>4325</v>
      </c>
      <c r="B973" s="1" t="s">
        <v>4326</v>
      </c>
      <c r="C973" s="1">
        <v>2022.0</v>
      </c>
      <c r="D973" s="2">
        <v>44802.0</v>
      </c>
      <c r="F973" s="1" t="s">
        <v>31</v>
      </c>
      <c r="H973" s="3">
        <v>15.0</v>
      </c>
      <c r="I973" s="4" t="s">
        <v>4327</v>
      </c>
      <c r="J973" s="1" t="s">
        <v>4328</v>
      </c>
      <c r="K973" s="1" t="s">
        <v>28</v>
      </c>
    </row>
    <row r="974">
      <c r="A974" s="1" t="s">
        <v>4329</v>
      </c>
      <c r="B974" s="1" t="s">
        <v>4330</v>
      </c>
      <c r="C974" s="1">
        <v>2022.0</v>
      </c>
      <c r="D974" s="2">
        <v>44802.0</v>
      </c>
      <c r="F974" s="1" t="s">
        <v>2352</v>
      </c>
      <c r="H974" s="3">
        <v>26.0</v>
      </c>
      <c r="I974" s="4" t="s">
        <v>4331</v>
      </c>
      <c r="J974" s="1" t="s">
        <v>4332</v>
      </c>
      <c r="K974" s="1" t="s">
        <v>340</v>
      </c>
    </row>
    <row r="975">
      <c r="A975" s="1" t="s">
        <v>4333</v>
      </c>
      <c r="B975" s="1" t="s">
        <v>4334</v>
      </c>
      <c r="C975" s="1">
        <v>2022.0</v>
      </c>
      <c r="D975" s="2">
        <v>44802.0</v>
      </c>
      <c r="F975" s="1" t="s">
        <v>271</v>
      </c>
      <c r="H975" s="3">
        <v>7.0</v>
      </c>
      <c r="I975" s="4" t="s">
        <v>4335</v>
      </c>
      <c r="J975" s="1" t="s">
        <v>4336</v>
      </c>
      <c r="K975" s="1" t="s">
        <v>443</v>
      </c>
    </row>
    <row r="976">
      <c r="A976" s="1" t="s">
        <v>4337</v>
      </c>
      <c r="B976" s="1" t="s">
        <v>4338</v>
      </c>
      <c r="C976" s="1">
        <v>2022.0</v>
      </c>
      <c r="D976" s="2">
        <v>44802.0</v>
      </c>
      <c r="F976" s="1" t="s">
        <v>396</v>
      </c>
      <c r="H976" s="3">
        <v>11.0</v>
      </c>
      <c r="I976" s="4" t="s">
        <v>4339</v>
      </c>
      <c r="J976" s="1" t="s">
        <v>4340</v>
      </c>
      <c r="K976" s="1" t="s">
        <v>340</v>
      </c>
    </row>
    <row r="977">
      <c r="A977" s="1" t="s">
        <v>4341</v>
      </c>
      <c r="B977" s="1" t="s">
        <v>4342</v>
      </c>
      <c r="C977" s="1">
        <v>2022.0</v>
      </c>
      <c r="D977" s="2">
        <v>44800.0</v>
      </c>
      <c r="F977" s="1" t="s">
        <v>4343</v>
      </c>
      <c r="H977" s="3">
        <v>13.0</v>
      </c>
      <c r="I977" s="4" t="s">
        <v>4344</v>
      </c>
      <c r="J977" s="1"/>
      <c r="K977" s="1" t="s">
        <v>28</v>
      </c>
    </row>
    <row r="978">
      <c r="A978" s="1" t="s">
        <v>4345</v>
      </c>
      <c r="B978" s="1" t="s">
        <v>4346</v>
      </c>
      <c r="C978" s="1">
        <v>2022.0</v>
      </c>
      <c r="D978" s="2">
        <v>44799.0</v>
      </c>
      <c r="F978" s="1" t="s">
        <v>4347</v>
      </c>
      <c r="H978" s="3">
        <v>5.0</v>
      </c>
      <c r="I978" s="4" t="s">
        <v>4348</v>
      </c>
      <c r="J978" s="1" t="s">
        <v>4349</v>
      </c>
      <c r="K978" s="1" t="s">
        <v>323</v>
      </c>
    </row>
    <row r="979">
      <c r="A979" s="1" t="s">
        <v>4350</v>
      </c>
      <c r="B979" s="1" t="s">
        <v>4351</v>
      </c>
      <c r="C979" s="1">
        <v>2022.0</v>
      </c>
      <c r="D979" s="2">
        <v>44799.0</v>
      </c>
      <c r="F979" s="1" t="s">
        <v>1277</v>
      </c>
      <c r="H979" s="3">
        <v>6.0</v>
      </c>
      <c r="I979" s="4" t="s">
        <v>4352</v>
      </c>
      <c r="J979" s="1" t="s">
        <v>4353</v>
      </c>
      <c r="K979" s="1" t="s">
        <v>28</v>
      </c>
    </row>
    <row r="980">
      <c r="A980" s="1" t="s">
        <v>4354</v>
      </c>
      <c r="B980" s="1" t="s">
        <v>4355</v>
      </c>
      <c r="C980" s="1">
        <v>2022.0</v>
      </c>
      <c r="D980" s="2">
        <v>44798.0</v>
      </c>
      <c r="F980" s="1" t="s">
        <v>4356</v>
      </c>
      <c r="H980" s="3">
        <v>5.0</v>
      </c>
      <c r="I980" s="4" t="s">
        <v>4357</v>
      </c>
      <c r="J980" s="1" t="s">
        <v>4358</v>
      </c>
      <c r="K980" s="1" t="s">
        <v>383</v>
      </c>
    </row>
    <row r="981">
      <c r="A981" s="1" t="s">
        <v>4359</v>
      </c>
      <c r="B981" s="1" t="s">
        <v>4360</v>
      </c>
      <c r="C981" s="1">
        <v>2022.0</v>
      </c>
      <c r="D981" s="2">
        <v>44798.0</v>
      </c>
      <c r="F981" s="1" t="s">
        <v>440</v>
      </c>
      <c r="H981" s="3">
        <v>7.0</v>
      </c>
      <c r="I981" s="4" t="s">
        <v>4361</v>
      </c>
      <c r="J981" s="1" t="s">
        <v>4362</v>
      </c>
      <c r="K981" s="1" t="s">
        <v>329</v>
      </c>
    </row>
    <row r="982">
      <c r="A982" s="1" t="s">
        <v>4363</v>
      </c>
      <c r="B982" s="1" t="s">
        <v>4364</v>
      </c>
      <c r="C982" s="1">
        <v>2022.0</v>
      </c>
      <c r="D982" s="2">
        <v>44798.0</v>
      </c>
      <c r="F982" s="1" t="s">
        <v>81</v>
      </c>
      <c r="H982" s="3">
        <v>3.0</v>
      </c>
      <c r="I982" s="4" t="s">
        <v>4365</v>
      </c>
      <c r="J982" s="1" t="s">
        <v>4366</v>
      </c>
      <c r="K982" s="1" t="s">
        <v>443</v>
      </c>
    </row>
    <row r="983">
      <c r="A983" s="1" t="s">
        <v>4367</v>
      </c>
      <c r="B983" s="1" t="s">
        <v>4368</v>
      </c>
      <c r="C983" s="1">
        <v>2022.0</v>
      </c>
      <c r="D983" s="2">
        <v>44797.0</v>
      </c>
      <c r="F983" s="1" t="s">
        <v>4369</v>
      </c>
      <c r="H983" s="3">
        <v>5.0</v>
      </c>
      <c r="I983" s="4" t="s">
        <v>4370</v>
      </c>
      <c r="J983" s="1" t="s">
        <v>4371</v>
      </c>
      <c r="K983" s="1" t="s">
        <v>28</v>
      </c>
    </row>
    <row r="984">
      <c r="A984" s="1" t="s">
        <v>4372</v>
      </c>
      <c r="B984" s="1" t="s">
        <v>4373</v>
      </c>
      <c r="C984" s="1">
        <v>2022.0</v>
      </c>
      <c r="D984" s="2">
        <v>44796.0</v>
      </c>
      <c r="F984" s="1" t="s">
        <v>4374</v>
      </c>
      <c r="H984" s="3">
        <v>2.0</v>
      </c>
      <c r="I984" s="4" t="s">
        <v>4375</v>
      </c>
      <c r="J984" s="1" t="s">
        <v>4376</v>
      </c>
      <c r="K984" s="1" t="s">
        <v>28</v>
      </c>
    </row>
    <row r="985">
      <c r="A985" s="1" t="s">
        <v>4377</v>
      </c>
      <c r="B985" s="1" t="s">
        <v>4378</v>
      </c>
      <c r="C985" s="1">
        <v>2022.0</v>
      </c>
      <c r="D985" s="2">
        <v>44794.0</v>
      </c>
      <c r="F985" s="1" t="s">
        <v>2634</v>
      </c>
      <c r="H985" s="3">
        <v>3.0</v>
      </c>
      <c r="I985" s="4" t="s">
        <v>4379</v>
      </c>
      <c r="J985" s="1" t="s">
        <v>4380</v>
      </c>
      <c r="K985" s="1" t="s">
        <v>443</v>
      </c>
    </row>
    <row r="986">
      <c r="A986" s="1" t="s">
        <v>4381</v>
      </c>
      <c r="B986" s="1" t="s">
        <v>4382</v>
      </c>
      <c r="C986" s="1">
        <v>2022.0</v>
      </c>
      <c r="D986" s="2">
        <v>44792.0</v>
      </c>
      <c r="F986" s="1" t="s">
        <v>4383</v>
      </c>
      <c r="H986" s="3">
        <v>5.0</v>
      </c>
      <c r="I986" s="4" t="s">
        <v>4384</v>
      </c>
      <c r="J986" s="1" t="s">
        <v>4385</v>
      </c>
      <c r="K986" s="1" t="s">
        <v>16</v>
      </c>
    </row>
    <row r="987">
      <c r="A987" s="1" t="s">
        <v>4386</v>
      </c>
      <c r="B987" s="1" t="s">
        <v>4387</v>
      </c>
      <c r="C987" s="1">
        <v>2022.0</v>
      </c>
      <c r="D987" s="2">
        <v>44791.0</v>
      </c>
      <c r="F987" s="1" t="s">
        <v>465</v>
      </c>
      <c r="H987" s="3">
        <v>3.0</v>
      </c>
      <c r="I987" s="4" t="s">
        <v>4388</v>
      </c>
      <c r="J987" s="1" t="s">
        <v>4389</v>
      </c>
      <c r="K987" s="1" t="s">
        <v>16</v>
      </c>
    </row>
    <row r="988">
      <c r="A988" s="1" t="s">
        <v>4390</v>
      </c>
      <c r="B988" s="1" t="s">
        <v>4391</v>
      </c>
      <c r="C988" s="1">
        <v>2022.0</v>
      </c>
      <c r="D988" s="2">
        <v>44789.0</v>
      </c>
      <c r="F988" s="1" t="s">
        <v>4392</v>
      </c>
      <c r="H988" s="3">
        <v>76.0</v>
      </c>
      <c r="I988" s="4" t="s">
        <v>4393</v>
      </c>
      <c r="J988" s="1" t="s">
        <v>4394</v>
      </c>
      <c r="K988" s="1" t="s">
        <v>45</v>
      </c>
    </row>
    <row r="989">
      <c r="A989" s="1" t="s">
        <v>4395</v>
      </c>
      <c r="B989" s="1" t="s">
        <v>4396</v>
      </c>
      <c r="C989" s="1">
        <v>2022.0</v>
      </c>
      <c r="D989" s="2">
        <v>44787.0</v>
      </c>
      <c r="F989" s="1" t="s">
        <v>1366</v>
      </c>
      <c r="H989" s="3">
        <v>55.0</v>
      </c>
      <c r="I989" s="4" t="s">
        <v>4397</v>
      </c>
      <c r="J989" s="1" t="s">
        <v>4398</v>
      </c>
      <c r="K989" s="1" t="s">
        <v>418</v>
      </c>
    </row>
    <row r="990">
      <c r="A990" s="1" t="s">
        <v>4399</v>
      </c>
      <c r="B990" s="1" t="s">
        <v>4400</v>
      </c>
      <c r="C990" s="1">
        <v>2022.0</v>
      </c>
      <c r="D990" s="2">
        <v>44786.0</v>
      </c>
      <c r="F990" s="1" t="s">
        <v>76</v>
      </c>
      <c r="H990" s="3">
        <v>7.0</v>
      </c>
      <c r="I990" s="4" t="s">
        <v>4401</v>
      </c>
      <c r="J990" s="1" t="s">
        <v>4402</v>
      </c>
      <c r="K990" s="1" t="s">
        <v>28</v>
      </c>
    </row>
    <row r="991">
      <c r="A991" s="1" t="s">
        <v>4403</v>
      </c>
      <c r="B991" s="1" t="s">
        <v>4404</v>
      </c>
      <c r="C991" s="1">
        <v>2022.0</v>
      </c>
      <c r="D991" s="2">
        <v>44785.0</v>
      </c>
      <c r="F991" s="1" t="s">
        <v>4405</v>
      </c>
      <c r="H991" s="3">
        <v>2.0</v>
      </c>
      <c r="I991" s="4" t="s">
        <v>4406</v>
      </c>
      <c r="J991" s="1" t="s">
        <v>4407</v>
      </c>
      <c r="K991" s="1" t="s">
        <v>28</v>
      </c>
    </row>
    <row r="992">
      <c r="A992" s="1" t="s">
        <v>4408</v>
      </c>
      <c r="B992" s="1" t="s">
        <v>4409</v>
      </c>
      <c r="C992" s="1">
        <v>2022.0</v>
      </c>
      <c r="D992" s="2">
        <v>44785.0</v>
      </c>
      <c r="F992" s="1" t="s">
        <v>578</v>
      </c>
      <c r="H992" s="3">
        <v>4.0</v>
      </c>
      <c r="I992" s="4" t="s">
        <v>4410</v>
      </c>
      <c r="J992" s="1" t="s">
        <v>4411</v>
      </c>
      <c r="K992" s="1" t="s">
        <v>68</v>
      </c>
    </row>
    <row r="993">
      <c r="A993" s="1" t="s">
        <v>4412</v>
      </c>
      <c r="B993" s="1" t="s">
        <v>4413</v>
      </c>
      <c r="C993" s="1">
        <v>2022.0</v>
      </c>
      <c r="D993" s="2">
        <v>44785.0</v>
      </c>
      <c r="F993" s="1" t="s">
        <v>578</v>
      </c>
      <c r="H993" s="3">
        <v>9.0</v>
      </c>
      <c r="I993" s="4" t="s">
        <v>4414</v>
      </c>
      <c r="J993" s="1" t="s">
        <v>4415</v>
      </c>
      <c r="K993" s="1" t="s">
        <v>68</v>
      </c>
    </row>
    <row r="994">
      <c r="A994" s="1" t="s">
        <v>4416</v>
      </c>
      <c r="B994" s="1" t="s">
        <v>4417</v>
      </c>
      <c r="C994" s="1">
        <v>2022.0</v>
      </c>
      <c r="D994" s="2">
        <v>44785.0</v>
      </c>
      <c r="F994" s="1" t="s">
        <v>578</v>
      </c>
      <c r="H994" s="3">
        <v>13.0</v>
      </c>
      <c r="I994" s="4" t="s">
        <v>4418</v>
      </c>
      <c r="J994" s="1" t="s">
        <v>4419</v>
      </c>
      <c r="K994" s="1" t="s">
        <v>68</v>
      </c>
    </row>
    <row r="995">
      <c r="A995" s="1" t="s">
        <v>4420</v>
      </c>
      <c r="B995" s="1" t="s">
        <v>4421</v>
      </c>
      <c r="C995" s="1">
        <v>2022.0</v>
      </c>
      <c r="D995" s="2">
        <v>44784.0</v>
      </c>
      <c r="F995" s="1" t="s">
        <v>489</v>
      </c>
      <c r="H995" s="3">
        <v>2.0</v>
      </c>
      <c r="I995" s="4" t="s">
        <v>4422</v>
      </c>
      <c r="J995" s="1" t="s">
        <v>4423</v>
      </c>
      <c r="K995" s="1" t="s">
        <v>462</v>
      </c>
    </row>
    <row r="996">
      <c r="A996" s="1" t="s">
        <v>4424</v>
      </c>
      <c r="B996" s="1" t="s">
        <v>4425</v>
      </c>
      <c r="C996" s="1">
        <v>2022.0</v>
      </c>
      <c r="D996" s="2">
        <v>44784.0</v>
      </c>
      <c r="F996" s="1" t="s">
        <v>4147</v>
      </c>
      <c r="H996" s="3">
        <v>2.0</v>
      </c>
      <c r="I996" s="4" t="s">
        <v>4426</v>
      </c>
      <c r="J996" s="1" t="s">
        <v>4427</v>
      </c>
      <c r="K996" s="1" t="s">
        <v>477</v>
      </c>
    </row>
    <row r="997">
      <c r="A997" s="1" t="s">
        <v>4428</v>
      </c>
      <c r="B997" s="1" t="s">
        <v>4429</v>
      </c>
      <c r="C997" s="1">
        <v>2022.0</v>
      </c>
      <c r="D997" s="2">
        <v>44784.0</v>
      </c>
      <c r="F997" s="1" t="s">
        <v>3583</v>
      </c>
      <c r="H997" s="3">
        <v>6.0</v>
      </c>
      <c r="I997" s="4" t="s">
        <v>4430</v>
      </c>
      <c r="J997" s="1" t="s">
        <v>4431</v>
      </c>
      <c r="K997" s="1" t="s">
        <v>926</v>
      </c>
    </row>
    <row r="998">
      <c r="A998" s="1" t="s">
        <v>4432</v>
      </c>
      <c r="B998" s="1" t="s">
        <v>4433</v>
      </c>
      <c r="C998" s="1">
        <v>2022.0</v>
      </c>
      <c r="D998" s="2">
        <v>44783.0</v>
      </c>
      <c r="F998" s="1" t="s">
        <v>4434</v>
      </c>
      <c r="H998" s="3">
        <v>0.0</v>
      </c>
      <c r="I998" s="4" t="s">
        <v>4435</v>
      </c>
      <c r="J998" s="1"/>
      <c r="K998" s="1" t="s">
        <v>45</v>
      </c>
    </row>
    <row r="999">
      <c r="A999" s="1" t="s">
        <v>4436</v>
      </c>
      <c r="B999" s="1" t="s">
        <v>4437</v>
      </c>
      <c r="C999" s="1">
        <v>2022.0</v>
      </c>
      <c r="D999" s="2">
        <v>44783.0</v>
      </c>
      <c r="F999" s="1" t="s">
        <v>4438</v>
      </c>
      <c r="H999" s="3">
        <v>7.0</v>
      </c>
      <c r="I999" s="4" t="s">
        <v>4439</v>
      </c>
      <c r="J999" s="1" t="s">
        <v>4440</v>
      </c>
      <c r="K999" s="1" t="s">
        <v>16</v>
      </c>
    </row>
    <row r="1000">
      <c r="A1000" s="1" t="s">
        <v>4441</v>
      </c>
      <c r="B1000" s="1" t="s">
        <v>4442</v>
      </c>
      <c r="C1000" s="1">
        <v>2022.0</v>
      </c>
      <c r="D1000" s="2">
        <v>44782.0</v>
      </c>
      <c r="F1000" s="1" t="s">
        <v>743</v>
      </c>
      <c r="H1000" s="3">
        <v>1.0</v>
      </c>
      <c r="I1000" s="4" t="s">
        <v>4443</v>
      </c>
      <c r="J1000" s="1" t="s">
        <v>4444</v>
      </c>
      <c r="K1000" s="1" t="s">
        <v>323</v>
      </c>
    </row>
    <row r="1001">
      <c r="A1001" s="1" t="s">
        <v>4445</v>
      </c>
      <c r="B1001" s="1" t="s">
        <v>4446</v>
      </c>
      <c r="C1001" s="1">
        <v>2022.0</v>
      </c>
      <c r="D1001" s="2">
        <v>44778.0</v>
      </c>
      <c r="F1001" s="1" t="s">
        <v>934</v>
      </c>
      <c r="H1001" s="3">
        <v>1.0</v>
      </c>
      <c r="I1001" s="4" t="s">
        <v>4447</v>
      </c>
      <c r="J1001" s="1" t="s">
        <v>4448</v>
      </c>
      <c r="K1001" s="1" t="s">
        <v>28</v>
      </c>
    </row>
    <row r="1002">
      <c r="A1002" s="1" t="s">
        <v>4449</v>
      </c>
      <c r="B1002" s="1" t="s">
        <v>4450</v>
      </c>
      <c r="C1002" s="1">
        <v>2022.0</v>
      </c>
      <c r="D1002" s="2">
        <v>44778.0</v>
      </c>
      <c r="F1002" s="1" t="s">
        <v>1358</v>
      </c>
      <c r="H1002" s="3">
        <v>3.0</v>
      </c>
      <c r="I1002" s="4" t="s">
        <v>4451</v>
      </c>
      <c r="J1002" s="1"/>
      <c r="K1002" s="1" t="s">
        <v>323</v>
      </c>
    </row>
    <row r="1003">
      <c r="A1003" s="1" t="s">
        <v>4452</v>
      </c>
      <c r="B1003" s="1" t="s">
        <v>4453</v>
      </c>
      <c r="C1003" s="1">
        <v>2022.0</v>
      </c>
      <c r="D1003" s="2">
        <v>44778.0</v>
      </c>
      <c r="F1003" s="1" t="s">
        <v>157</v>
      </c>
      <c r="H1003" s="3">
        <v>10.0</v>
      </c>
      <c r="I1003" s="4" t="s">
        <v>4454</v>
      </c>
      <c r="J1003" s="1" t="s">
        <v>4455</v>
      </c>
      <c r="K1003" s="1" t="s">
        <v>546</v>
      </c>
    </row>
    <row r="1004">
      <c r="A1004" s="1" t="s">
        <v>4456</v>
      </c>
      <c r="B1004" s="1" t="s">
        <v>4457</v>
      </c>
      <c r="C1004" s="1">
        <v>2022.0</v>
      </c>
      <c r="D1004" s="2">
        <v>44778.0</v>
      </c>
      <c r="F1004" s="1" t="s">
        <v>877</v>
      </c>
      <c r="H1004" s="3">
        <v>8.0</v>
      </c>
      <c r="I1004" s="4" t="s">
        <v>4458</v>
      </c>
      <c r="J1004" s="1" t="s">
        <v>4459</v>
      </c>
      <c r="K1004" s="1" t="s">
        <v>16</v>
      </c>
    </row>
    <row r="1005">
      <c r="A1005" s="1" t="s">
        <v>4460</v>
      </c>
      <c r="B1005" s="1" t="s">
        <v>4461</v>
      </c>
      <c r="C1005" s="1">
        <v>2022.0</v>
      </c>
      <c r="D1005" s="2">
        <v>44778.0</v>
      </c>
      <c r="F1005" s="1" t="s">
        <v>347</v>
      </c>
      <c r="H1005" s="3">
        <v>1.0</v>
      </c>
      <c r="I1005" s="4" t="s">
        <v>4462</v>
      </c>
      <c r="J1005" s="1" t="s">
        <v>4463</v>
      </c>
      <c r="K1005" s="1" t="s">
        <v>16</v>
      </c>
    </row>
    <row r="1006">
      <c r="A1006" s="1" t="s">
        <v>4464</v>
      </c>
      <c r="B1006" s="1" t="s">
        <v>4465</v>
      </c>
      <c r="C1006" s="1">
        <v>2022.0</v>
      </c>
      <c r="D1006" s="2">
        <v>44777.0</v>
      </c>
      <c r="F1006" s="1" t="s">
        <v>1358</v>
      </c>
      <c r="H1006" s="3">
        <v>20.0</v>
      </c>
      <c r="I1006" s="4" t="s">
        <v>4466</v>
      </c>
      <c r="J1006" s="1" t="s">
        <v>4467</v>
      </c>
      <c r="K1006" s="1" t="s">
        <v>418</v>
      </c>
    </row>
    <row r="1007">
      <c r="A1007" s="1" t="s">
        <v>4468</v>
      </c>
      <c r="B1007" s="1" t="s">
        <v>4469</v>
      </c>
      <c r="C1007" s="1">
        <v>2022.0</v>
      </c>
      <c r="D1007" s="2">
        <v>44777.0</v>
      </c>
      <c r="F1007" s="1" t="s">
        <v>1300</v>
      </c>
      <c r="H1007" s="3">
        <v>29.0</v>
      </c>
      <c r="I1007" s="4" t="s">
        <v>4470</v>
      </c>
      <c r="J1007" s="1" t="s">
        <v>4471</v>
      </c>
      <c r="K1007" s="1" t="s">
        <v>443</v>
      </c>
    </row>
    <row r="1008">
      <c r="A1008" s="1" t="s">
        <v>4472</v>
      </c>
      <c r="B1008" s="1" t="s">
        <v>4473</v>
      </c>
      <c r="C1008" s="1">
        <v>2022.0</v>
      </c>
      <c r="D1008" s="2">
        <v>44777.0</v>
      </c>
      <c r="F1008" s="1" t="s">
        <v>233</v>
      </c>
      <c r="H1008" s="3">
        <v>21.0</v>
      </c>
      <c r="I1008" s="4" t="s">
        <v>4474</v>
      </c>
      <c r="J1008" s="1" t="s">
        <v>4475</v>
      </c>
      <c r="K1008" s="1" t="s">
        <v>2542</v>
      </c>
    </row>
    <row r="1009">
      <c r="A1009" s="1" t="s">
        <v>4476</v>
      </c>
      <c r="B1009" s="1" t="s">
        <v>4477</v>
      </c>
      <c r="C1009" s="1">
        <v>2022.0</v>
      </c>
      <c r="D1009" s="2">
        <v>44777.0</v>
      </c>
      <c r="F1009" s="1" t="s">
        <v>243</v>
      </c>
      <c r="H1009" s="3">
        <v>5.0</v>
      </c>
      <c r="I1009" s="4" t="s">
        <v>4478</v>
      </c>
      <c r="J1009" s="1" t="s">
        <v>4479</v>
      </c>
      <c r="K1009" s="1" t="s">
        <v>16</v>
      </c>
    </row>
    <row r="1010">
      <c r="A1010" s="1" t="s">
        <v>4480</v>
      </c>
      <c r="B1010" s="1" t="s">
        <v>4481</v>
      </c>
      <c r="C1010" s="1">
        <v>2022.0</v>
      </c>
      <c r="D1010" s="2">
        <v>44775.0</v>
      </c>
      <c r="F1010" s="1" t="s">
        <v>4482</v>
      </c>
      <c r="H1010" s="3">
        <v>0.0</v>
      </c>
      <c r="I1010" s="4" t="s">
        <v>4483</v>
      </c>
      <c r="J1010" s="1" t="s">
        <v>4484</v>
      </c>
      <c r="K1010" s="1" t="s">
        <v>45</v>
      </c>
    </row>
    <row r="1011">
      <c r="A1011" s="1" t="s">
        <v>4485</v>
      </c>
      <c r="B1011" s="1" t="s">
        <v>4486</v>
      </c>
      <c r="C1011" s="1">
        <v>2022.0</v>
      </c>
      <c r="D1011" s="2">
        <v>44775.0</v>
      </c>
      <c r="F1011" s="1" t="s">
        <v>610</v>
      </c>
      <c r="H1011" s="3">
        <v>4.0</v>
      </c>
      <c r="I1011" s="4" t="s">
        <v>4487</v>
      </c>
      <c r="J1011" s="1" t="s">
        <v>4488</v>
      </c>
      <c r="K1011" s="1" t="s">
        <v>323</v>
      </c>
    </row>
    <row r="1012">
      <c r="A1012" s="1" t="s">
        <v>4489</v>
      </c>
      <c r="B1012" s="1" t="s">
        <v>4490</v>
      </c>
      <c r="C1012" s="1">
        <v>2022.0</v>
      </c>
      <c r="D1012" s="2">
        <v>44774.0</v>
      </c>
      <c r="F1012" s="1" t="s">
        <v>1859</v>
      </c>
      <c r="H1012" s="3">
        <v>10.0</v>
      </c>
      <c r="I1012" s="4" t="s">
        <v>4491</v>
      </c>
      <c r="J1012" s="1" t="s">
        <v>4492</v>
      </c>
      <c r="K1012" s="1" t="s">
        <v>443</v>
      </c>
    </row>
    <row r="1013">
      <c r="A1013" s="1" t="s">
        <v>4493</v>
      </c>
      <c r="B1013" s="1" t="s">
        <v>4494</v>
      </c>
      <c r="C1013" s="1">
        <v>2022.0</v>
      </c>
      <c r="D1013" s="2">
        <v>44774.0</v>
      </c>
      <c r="F1013" s="1" t="s">
        <v>726</v>
      </c>
      <c r="H1013" s="3">
        <v>16.0</v>
      </c>
      <c r="I1013" s="4" t="s">
        <v>4495</v>
      </c>
      <c r="J1013" s="1" t="s">
        <v>4496</v>
      </c>
      <c r="K1013" s="1" t="s">
        <v>2053</v>
      </c>
    </row>
    <row r="1014">
      <c r="A1014" s="1" t="s">
        <v>4497</v>
      </c>
      <c r="B1014" s="1" t="s">
        <v>4498</v>
      </c>
      <c r="C1014" s="1">
        <v>2022.0</v>
      </c>
      <c r="D1014" s="2">
        <v>44774.0</v>
      </c>
      <c r="F1014" s="1" t="s">
        <v>4499</v>
      </c>
      <c r="H1014" s="3">
        <v>2.0</v>
      </c>
      <c r="I1014" s="4" t="s">
        <v>4500</v>
      </c>
      <c r="J1014" s="1" t="s">
        <v>4501</v>
      </c>
      <c r="K1014" s="1" t="s">
        <v>16</v>
      </c>
    </row>
    <row r="1015">
      <c r="A1015" s="1" t="s">
        <v>4502</v>
      </c>
      <c r="B1015" s="1" t="s">
        <v>4503</v>
      </c>
      <c r="C1015" s="1">
        <v>2022.0</v>
      </c>
      <c r="D1015" s="2">
        <v>44774.0</v>
      </c>
      <c r="F1015" s="1" t="s">
        <v>4504</v>
      </c>
      <c r="H1015" s="3">
        <v>11.0</v>
      </c>
      <c r="I1015" s="4" t="s">
        <v>4505</v>
      </c>
      <c r="J1015" s="1" t="s">
        <v>4506</v>
      </c>
      <c r="K1015" s="1" t="s">
        <v>413</v>
      </c>
    </row>
    <row r="1016">
      <c r="A1016" s="1" t="s">
        <v>4507</v>
      </c>
      <c r="B1016" s="1" t="s">
        <v>4508</v>
      </c>
      <c r="C1016" s="1">
        <v>2022.0</v>
      </c>
      <c r="D1016" s="2">
        <v>44771.0</v>
      </c>
      <c r="F1016" s="1" t="s">
        <v>1859</v>
      </c>
      <c r="H1016" s="3">
        <v>5.0</v>
      </c>
      <c r="I1016" s="4" t="s">
        <v>4509</v>
      </c>
      <c r="J1016" s="1" t="s">
        <v>4510</v>
      </c>
      <c r="K1016" s="1" t="s">
        <v>323</v>
      </c>
    </row>
    <row r="1017">
      <c r="A1017" s="1" t="s">
        <v>4511</v>
      </c>
      <c r="B1017" s="1" t="s">
        <v>4512</v>
      </c>
      <c r="C1017" s="1">
        <v>2022.0</v>
      </c>
      <c r="D1017" s="2">
        <v>44771.0</v>
      </c>
      <c r="F1017" s="1" t="s">
        <v>71</v>
      </c>
      <c r="H1017" s="3">
        <v>1.0</v>
      </c>
      <c r="I1017" s="4" t="s">
        <v>4513</v>
      </c>
      <c r="J1017" s="1" t="s">
        <v>4514</v>
      </c>
      <c r="K1017" s="1" t="s">
        <v>323</v>
      </c>
    </row>
    <row r="1018">
      <c r="A1018" s="1" t="s">
        <v>4515</v>
      </c>
      <c r="B1018" s="1" t="s">
        <v>4516</v>
      </c>
      <c r="C1018" s="1">
        <v>2022.0</v>
      </c>
      <c r="D1018" s="2">
        <v>44770.0</v>
      </c>
      <c r="F1018" s="1" t="s">
        <v>1410</v>
      </c>
      <c r="H1018" s="3">
        <v>3.0</v>
      </c>
      <c r="I1018" s="4" t="s">
        <v>4517</v>
      </c>
      <c r="J1018" s="1" t="s">
        <v>4518</v>
      </c>
      <c r="K1018" s="1" t="s">
        <v>323</v>
      </c>
    </row>
    <row r="1019">
      <c r="A1019" s="1" t="s">
        <v>4519</v>
      </c>
      <c r="B1019" s="1" t="s">
        <v>4520</v>
      </c>
      <c r="C1019" s="1">
        <v>2022.0</v>
      </c>
      <c r="D1019" s="2">
        <v>44770.0</v>
      </c>
      <c r="F1019" s="1" t="s">
        <v>71</v>
      </c>
      <c r="H1019" s="3">
        <v>3.0</v>
      </c>
      <c r="I1019" s="4" t="s">
        <v>4521</v>
      </c>
      <c r="J1019" s="1" t="s">
        <v>4522</v>
      </c>
      <c r="K1019" s="1" t="s">
        <v>68</v>
      </c>
    </row>
    <row r="1020">
      <c r="A1020" s="1" t="s">
        <v>4523</v>
      </c>
      <c r="B1020" s="1" t="s">
        <v>4524</v>
      </c>
      <c r="C1020" s="1">
        <v>2022.0</v>
      </c>
      <c r="D1020" s="2">
        <v>44769.0</v>
      </c>
      <c r="F1020" s="1" t="s">
        <v>4525</v>
      </c>
      <c r="H1020" s="3">
        <v>11.0</v>
      </c>
      <c r="I1020" s="4" t="s">
        <v>4526</v>
      </c>
      <c r="J1020" s="1" t="s">
        <v>4527</v>
      </c>
      <c r="K1020" s="1" t="s">
        <v>295</v>
      </c>
    </row>
    <row r="1021">
      <c r="A1021" s="1" t="s">
        <v>4528</v>
      </c>
      <c r="B1021" s="1" t="s">
        <v>4529</v>
      </c>
      <c r="C1021" s="1">
        <v>2022.0</v>
      </c>
      <c r="D1021" s="2">
        <v>44769.0</v>
      </c>
      <c r="F1021" s="1" t="s">
        <v>4530</v>
      </c>
      <c r="H1021" s="3">
        <v>1.0</v>
      </c>
      <c r="I1021" s="4" t="s">
        <v>4531</v>
      </c>
      <c r="J1021" s="1" t="s">
        <v>4532</v>
      </c>
      <c r="K1021" s="1" t="s">
        <v>16</v>
      </c>
    </row>
    <row r="1022">
      <c r="A1022" s="1" t="s">
        <v>4533</v>
      </c>
      <c r="B1022" s="1" t="s">
        <v>4534</v>
      </c>
      <c r="C1022" s="1">
        <v>2022.0</v>
      </c>
      <c r="D1022" s="2">
        <v>44767.0</v>
      </c>
      <c r="F1022" s="1" t="s">
        <v>877</v>
      </c>
      <c r="H1022" s="3">
        <v>6.0</v>
      </c>
      <c r="I1022" s="4" t="s">
        <v>4535</v>
      </c>
      <c r="J1022" s="1" t="s">
        <v>4536</v>
      </c>
      <c r="K1022" s="1" t="s">
        <v>926</v>
      </c>
    </row>
    <row r="1023">
      <c r="A1023" s="1" t="s">
        <v>4537</v>
      </c>
      <c r="B1023" s="1" t="s">
        <v>4538</v>
      </c>
      <c r="C1023" s="1">
        <v>2022.0</v>
      </c>
      <c r="D1023" s="2">
        <v>44766.0</v>
      </c>
      <c r="F1023" s="1" t="s">
        <v>4539</v>
      </c>
      <c r="H1023" s="3">
        <v>6.0</v>
      </c>
      <c r="I1023" s="4" t="s">
        <v>4540</v>
      </c>
      <c r="J1023" s="1" t="s">
        <v>4541</v>
      </c>
      <c r="K1023" s="1" t="s">
        <v>295</v>
      </c>
    </row>
    <row r="1024">
      <c r="A1024" s="1" t="s">
        <v>4542</v>
      </c>
      <c r="B1024" s="1" t="s">
        <v>4543</v>
      </c>
      <c r="C1024" s="1">
        <v>2022.0</v>
      </c>
      <c r="D1024" s="2">
        <v>44764.0</v>
      </c>
      <c r="F1024" s="1" t="s">
        <v>4544</v>
      </c>
      <c r="H1024" s="3">
        <v>4.0</v>
      </c>
      <c r="I1024" s="4" t="s">
        <v>4545</v>
      </c>
      <c r="J1024" s="1" t="s">
        <v>4546</v>
      </c>
      <c r="K1024" s="1" t="s">
        <v>571</v>
      </c>
    </row>
    <row r="1025">
      <c r="A1025" s="1" t="s">
        <v>4547</v>
      </c>
      <c r="B1025" s="1" t="s">
        <v>4548</v>
      </c>
      <c r="C1025" s="1">
        <v>2022.0</v>
      </c>
      <c r="D1025" s="2">
        <v>44764.0</v>
      </c>
      <c r="F1025" s="1" t="s">
        <v>248</v>
      </c>
      <c r="H1025" s="3">
        <v>66.0</v>
      </c>
      <c r="I1025" s="4" t="s">
        <v>4549</v>
      </c>
      <c r="J1025" s="1" t="s">
        <v>4550</v>
      </c>
      <c r="K1025" s="1" t="s">
        <v>323</v>
      </c>
    </row>
    <row r="1026">
      <c r="A1026" s="1" t="s">
        <v>4551</v>
      </c>
      <c r="B1026" s="1" t="s">
        <v>4552</v>
      </c>
      <c r="C1026" s="1">
        <v>2022.0</v>
      </c>
      <c r="D1026" s="2">
        <v>44764.0</v>
      </c>
      <c r="F1026" s="1" t="s">
        <v>3207</v>
      </c>
      <c r="H1026" s="3">
        <v>8.0</v>
      </c>
      <c r="I1026" s="4" t="s">
        <v>4553</v>
      </c>
      <c r="J1026" s="1" t="s">
        <v>4554</v>
      </c>
      <c r="K1026" s="1" t="s">
        <v>413</v>
      </c>
    </row>
    <row r="1027">
      <c r="A1027" s="1" t="s">
        <v>4555</v>
      </c>
      <c r="B1027" s="1" t="s">
        <v>4556</v>
      </c>
      <c r="C1027" s="1">
        <v>2022.0</v>
      </c>
      <c r="D1027" s="2">
        <v>44763.0</v>
      </c>
      <c r="F1027" s="1" t="s">
        <v>71</v>
      </c>
      <c r="H1027" s="3">
        <v>1.0</v>
      </c>
      <c r="I1027" s="4" t="s">
        <v>4557</v>
      </c>
      <c r="J1027" s="1" t="s">
        <v>4558</v>
      </c>
      <c r="K1027" s="1" t="s">
        <v>28</v>
      </c>
    </row>
    <row r="1028">
      <c r="A1028" s="1" t="s">
        <v>4559</v>
      </c>
      <c r="B1028" s="1" t="s">
        <v>4560</v>
      </c>
      <c r="C1028" s="1">
        <v>2022.0</v>
      </c>
      <c r="D1028" s="2">
        <v>44763.0</v>
      </c>
      <c r="F1028" s="1" t="s">
        <v>3165</v>
      </c>
      <c r="H1028" s="3">
        <v>4.0</v>
      </c>
      <c r="I1028" s="4" t="s">
        <v>4561</v>
      </c>
      <c r="J1028" s="1" t="s">
        <v>4562</v>
      </c>
      <c r="K1028" s="1" t="s">
        <v>323</v>
      </c>
    </row>
    <row r="1029">
      <c r="A1029" s="1" t="s">
        <v>4563</v>
      </c>
      <c r="B1029" s="1" t="s">
        <v>4564</v>
      </c>
      <c r="C1029" s="1">
        <v>2022.0</v>
      </c>
      <c r="D1029" s="2">
        <v>44762.0</v>
      </c>
      <c r="F1029" s="1" t="s">
        <v>3351</v>
      </c>
      <c r="H1029" s="3">
        <v>8.0</v>
      </c>
      <c r="I1029" s="4" t="s">
        <v>4565</v>
      </c>
      <c r="J1029" s="1" t="s">
        <v>4566</v>
      </c>
      <c r="K1029" s="1" t="s">
        <v>2053</v>
      </c>
    </row>
    <row r="1030">
      <c r="A1030" s="1" t="s">
        <v>4567</v>
      </c>
      <c r="B1030" s="1" t="s">
        <v>4568</v>
      </c>
      <c r="C1030" s="1">
        <v>2022.0</v>
      </c>
      <c r="D1030" s="2">
        <v>44760.0</v>
      </c>
      <c r="F1030" s="1" t="s">
        <v>4569</v>
      </c>
      <c r="H1030" s="3">
        <v>3.0</v>
      </c>
      <c r="I1030" s="4" t="s">
        <v>4570</v>
      </c>
      <c r="J1030" s="1"/>
      <c r="K1030" s="1" t="s">
        <v>16</v>
      </c>
    </row>
    <row r="1031">
      <c r="A1031" s="1" t="s">
        <v>4571</v>
      </c>
      <c r="B1031" s="1" t="s">
        <v>4572</v>
      </c>
      <c r="C1031" s="1">
        <v>2022.0</v>
      </c>
      <c r="D1031" s="2">
        <v>44760.0</v>
      </c>
      <c r="F1031" s="1" t="s">
        <v>1938</v>
      </c>
      <c r="H1031" s="3">
        <v>1.0</v>
      </c>
      <c r="I1031" s="4" t="s">
        <v>4573</v>
      </c>
      <c r="J1031" s="1" t="s">
        <v>4574</v>
      </c>
      <c r="K1031" s="1" t="s">
        <v>16</v>
      </c>
    </row>
    <row r="1032">
      <c r="A1032" s="1" t="s">
        <v>4575</v>
      </c>
      <c r="B1032" s="1" t="s">
        <v>4576</v>
      </c>
      <c r="C1032" s="1">
        <v>2022.0</v>
      </c>
      <c r="D1032" s="2">
        <v>44756.0</v>
      </c>
      <c r="F1032" s="1" t="s">
        <v>4577</v>
      </c>
      <c r="H1032" s="3">
        <v>6.0</v>
      </c>
      <c r="I1032" s="4" t="s">
        <v>4578</v>
      </c>
      <c r="J1032" s="1" t="s">
        <v>4579</v>
      </c>
      <c r="K1032" s="1" t="s">
        <v>329</v>
      </c>
    </row>
    <row r="1033">
      <c r="A1033" s="1" t="s">
        <v>4580</v>
      </c>
      <c r="B1033" s="1" t="s">
        <v>4581</v>
      </c>
      <c r="C1033" s="1">
        <v>2022.0</v>
      </c>
      <c r="D1033" s="2">
        <v>44754.0</v>
      </c>
      <c r="F1033" s="1" t="s">
        <v>396</v>
      </c>
      <c r="H1033" s="3">
        <v>23.0</v>
      </c>
      <c r="I1033" s="4" t="s">
        <v>4582</v>
      </c>
      <c r="J1033" s="1" t="s">
        <v>4583</v>
      </c>
      <c r="K1033" s="1" t="s">
        <v>329</v>
      </c>
    </row>
    <row r="1034">
      <c r="A1034" s="1" t="s">
        <v>4584</v>
      </c>
      <c r="B1034" s="1" t="s">
        <v>4585</v>
      </c>
      <c r="C1034" s="1">
        <v>2022.0</v>
      </c>
      <c r="D1034" s="2">
        <v>44751.0</v>
      </c>
      <c r="F1034" s="1" t="s">
        <v>4586</v>
      </c>
      <c r="H1034" s="3">
        <v>0.0</v>
      </c>
      <c r="I1034" s="4" t="s">
        <v>4587</v>
      </c>
      <c r="J1034" s="1" t="s">
        <v>4588</v>
      </c>
      <c r="K1034" s="1" t="s">
        <v>28</v>
      </c>
    </row>
    <row r="1035">
      <c r="A1035" s="1" t="s">
        <v>4589</v>
      </c>
      <c r="B1035" s="1" t="s">
        <v>4590</v>
      </c>
      <c r="C1035" s="1">
        <v>2022.0</v>
      </c>
      <c r="D1035" s="2">
        <v>44750.0</v>
      </c>
      <c r="F1035" s="1" t="s">
        <v>271</v>
      </c>
      <c r="H1035" s="3">
        <v>0.0</v>
      </c>
      <c r="I1035" s="4" t="s">
        <v>4591</v>
      </c>
      <c r="J1035" s="1" t="s">
        <v>4592</v>
      </c>
      <c r="K1035" s="1" t="s">
        <v>477</v>
      </c>
    </row>
    <row r="1036">
      <c r="A1036" s="1" t="s">
        <v>4593</v>
      </c>
      <c r="B1036" s="1" t="s">
        <v>3024</v>
      </c>
      <c r="C1036" s="1">
        <v>2022.0</v>
      </c>
      <c r="D1036" s="2">
        <v>44749.0</v>
      </c>
      <c r="F1036" s="1" t="s">
        <v>1371</v>
      </c>
      <c r="H1036" s="3">
        <v>19.0</v>
      </c>
      <c r="I1036" s="4" t="s">
        <v>4594</v>
      </c>
      <c r="J1036" s="1" t="s">
        <v>4595</v>
      </c>
      <c r="K1036" s="1" t="s">
        <v>418</v>
      </c>
    </row>
    <row r="1037">
      <c r="A1037" s="1" t="s">
        <v>4596</v>
      </c>
      <c r="B1037" s="1" t="s">
        <v>4597</v>
      </c>
      <c r="C1037" s="1">
        <v>2022.0</v>
      </c>
      <c r="D1037" s="2">
        <v>44748.0</v>
      </c>
      <c r="F1037" s="1" t="s">
        <v>1637</v>
      </c>
      <c r="H1037" s="3">
        <v>4.0</v>
      </c>
      <c r="I1037" s="4" t="s">
        <v>4598</v>
      </c>
      <c r="J1037" s="1" t="s">
        <v>4599</v>
      </c>
      <c r="K1037" s="1" t="s">
        <v>16</v>
      </c>
    </row>
    <row r="1038">
      <c r="A1038" s="1" t="s">
        <v>4600</v>
      </c>
      <c r="B1038" s="1" t="s">
        <v>4601</v>
      </c>
      <c r="C1038" s="1">
        <v>2022.0</v>
      </c>
      <c r="D1038" s="2">
        <v>44747.0</v>
      </c>
      <c r="F1038" s="1" t="s">
        <v>2982</v>
      </c>
      <c r="H1038" s="3">
        <v>14.0</v>
      </c>
      <c r="I1038" s="4" t="s">
        <v>4602</v>
      </c>
      <c r="J1038" s="1" t="s">
        <v>4603</v>
      </c>
      <c r="K1038" s="1" t="s">
        <v>68</v>
      </c>
    </row>
    <row r="1039">
      <c r="A1039" s="1" t="s">
        <v>4604</v>
      </c>
      <c r="B1039" s="1" t="s">
        <v>4605</v>
      </c>
      <c r="C1039" s="1">
        <v>2022.0</v>
      </c>
      <c r="D1039" s="2">
        <v>44744.0</v>
      </c>
      <c r="F1039" s="1" t="s">
        <v>979</v>
      </c>
      <c r="H1039" s="3">
        <v>1.0</v>
      </c>
      <c r="I1039" s="4" t="s">
        <v>4606</v>
      </c>
      <c r="J1039" s="1" t="s">
        <v>4607</v>
      </c>
      <c r="K1039" s="1" t="s">
        <v>295</v>
      </c>
    </row>
    <row r="1040">
      <c r="A1040" s="1" t="s">
        <v>4608</v>
      </c>
      <c r="B1040" s="1" t="s">
        <v>4609</v>
      </c>
      <c r="C1040" s="1">
        <v>2022.0</v>
      </c>
      <c r="D1040" s="2">
        <v>44743.0</v>
      </c>
      <c r="F1040" s="1" t="s">
        <v>3463</v>
      </c>
      <c r="H1040" s="3">
        <v>4.0</v>
      </c>
      <c r="I1040" s="4" t="s">
        <v>4610</v>
      </c>
      <c r="J1040" s="1" t="s">
        <v>4611</v>
      </c>
      <c r="K1040" s="1" t="s">
        <v>28</v>
      </c>
    </row>
    <row r="1041">
      <c r="A1041" s="1" t="s">
        <v>4612</v>
      </c>
      <c r="B1041" s="1" t="s">
        <v>4613</v>
      </c>
      <c r="C1041" s="1">
        <v>2022.0</v>
      </c>
      <c r="D1041" s="2">
        <v>44743.0</v>
      </c>
      <c r="F1041" s="1" t="s">
        <v>4614</v>
      </c>
      <c r="H1041" s="3">
        <v>10.0</v>
      </c>
      <c r="I1041" s="4" t="s">
        <v>4615</v>
      </c>
      <c r="J1041" s="1" t="s">
        <v>4616</v>
      </c>
      <c r="K1041" s="1" t="s">
        <v>926</v>
      </c>
    </row>
    <row r="1042">
      <c r="A1042" s="1" t="s">
        <v>4617</v>
      </c>
      <c r="B1042" s="1" t="s">
        <v>4618</v>
      </c>
      <c r="C1042" s="1">
        <v>2022.0</v>
      </c>
      <c r="D1042" s="2">
        <v>44743.0</v>
      </c>
      <c r="F1042" s="1" t="s">
        <v>790</v>
      </c>
      <c r="H1042" s="3">
        <v>2.0</v>
      </c>
      <c r="I1042" s="4" t="s">
        <v>4619</v>
      </c>
      <c r="J1042" s="1" t="s">
        <v>4620</v>
      </c>
      <c r="K1042" s="1" t="s">
        <v>16</v>
      </c>
    </row>
    <row r="1043">
      <c r="A1043" s="1" t="s">
        <v>4621</v>
      </c>
      <c r="B1043" s="1" t="s">
        <v>4622</v>
      </c>
      <c r="C1043" s="1">
        <v>2022.0</v>
      </c>
      <c r="D1043" s="2">
        <v>44741.0</v>
      </c>
      <c r="F1043" s="1" t="s">
        <v>425</v>
      </c>
      <c r="H1043" s="3">
        <v>2.0</v>
      </c>
      <c r="I1043" s="4" t="s">
        <v>4623</v>
      </c>
      <c r="J1043" s="1" t="s">
        <v>4624</v>
      </c>
      <c r="K1043" s="1" t="s">
        <v>68</v>
      </c>
    </row>
    <row r="1044">
      <c r="A1044" s="1" t="s">
        <v>4625</v>
      </c>
      <c r="B1044" s="1" t="s">
        <v>4626</v>
      </c>
      <c r="C1044" s="1">
        <v>2022.0</v>
      </c>
      <c r="D1044" s="2">
        <v>44741.0</v>
      </c>
      <c r="F1044" s="1" t="s">
        <v>1349</v>
      </c>
      <c r="H1044" s="3">
        <v>3.0</v>
      </c>
      <c r="I1044" s="4" t="s">
        <v>4627</v>
      </c>
      <c r="J1044" s="1"/>
      <c r="K1044" s="1" t="s">
        <v>16</v>
      </c>
    </row>
    <row r="1045">
      <c r="A1045" s="1" t="s">
        <v>4628</v>
      </c>
      <c r="B1045" s="1" t="s">
        <v>4629</v>
      </c>
      <c r="C1045" s="1">
        <v>2022.0</v>
      </c>
      <c r="D1045" s="2">
        <v>44740.0</v>
      </c>
      <c r="F1045" s="1" t="s">
        <v>208</v>
      </c>
      <c r="H1045" s="3">
        <v>3.0</v>
      </c>
      <c r="I1045" s="4" t="s">
        <v>4630</v>
      </c>
      <c r="J1045" s="1" t="s">
        <v>4631</v>
      </c>
      <c r="K1045" s="1" t="s">
        <v>28</v>
      </c>
    </row>
    <row r="1046">
      <c r="A1046" s="1" t="s">
        <v>4632</v>
      </c>
      <c r="B1046" s="1" t="s">
        <v>4633</v>
      </c>
      <c r="C1046" s="1">
        <v>2022.0</v>
      </c>
      <c r="D1046" s="2">
        <v>44740.0</v>
      </c>
      <c r="F1046" s="1" t="s">
        <v>4634</v>
      </c>
      <c r="H1046" s="3">
        <v>2.0</v>
      </c>
      <c r="I1046" s="4" t="s">
        <v>4635</v>
      </c>
      <c r="K1046" s="1" t="s">
        <v>443</v>
      </c>
    </row>
    <row r="1047">
      <c r="A1047" s="1" t="s">
        <v>4636</v>
      </c>
      <c r="B1047" s="1" t="s">
        <v>4637</v>
      </c>
      <c r="C1047" s="1">
        <v>2022.0</v>
      </c>
      <c r="D1047" s="2">
        <v>44740.0</v>
      </c>
      <c r="F1047" s="1" t="s">
        <v>4638</v>
      </c>
      <c r="H1047" s="3">
        <v>7.0</v>
      </c>
      <c r="I1047" s="4" t="s">
        <v>4639</v>
      </c>
      <c r="J1047" s="1" t="s">
        <v>4640</v>
      </c>
      <c r="K1047" s="1" t="s">
        <v>443</v>
      </c>
    </row>
    <row r="1048">
      <c r="A1048" s="1" t="s">
        <v>4641</v>
      </c>
      <c r="B1048" s="1" t="s">
        <v>4642</v>
      </c>
      <c r="C1048" s="1">
        <v>2022.0</v>
      </c>
      <c r="D1048" s="2">
        <v>44739.0</v>
      </c>
      <c r="F1048" s="1" t="s">
        <v>2914</v>
      </c>
      <c r="H1048" s="3">
        <v>2.0</v>
      </c>
      <c r="I1048" s="4" t="s">
        <v>4643</v>
      </c>
      <c r="J1048" s="1" t="s">
        <v>4644</v>
      </c>
      <c r="K1048" s="1" t="s">
        <v>295</v>
      </c>
    </row>
    <row r="1049">
      <c r="A1049" s="1" t="s">
        <v>4645</v>
      </c>
      <c r="B1049" s="1" t="s">
        <v>4646</v>
      </c>
      <c r="C1049" s="1">
        <v>2022.0</v>
      </c>
      <c r="D1049" s="2">
        <v>44736.0</v>
      </c>
      <c r="F1049" s="1" t="s">
        <v>489</v>
      </c>
      <c r="H1049" s="3">
        <v>7.0</v>
      </c>
      <c r="I1049" s="4" t="s">
        <v>4647</v>
      </c>
      <c r="J1049" s="1" t="s">
        <v>4648</v>
      </c>
      <c r="K1049" s="1" t="s">
        <v>2053</v>
      </c>
    </row>
    <row r="1050">
      <c r="A1050" s="1" t="s">
        <v>4649</v>
      </c>
      <c r="B1050" s="1" t="s">
        <v>4650</v>
      </c>
      <c r="C1050" s="1">
        <v>2022.0</v>
      </c>
      <c r="D1050" s="2">
        <v>44736.0</v>
      </c>
      <c r="F1050" s="1" t="s">
        <v>1123</v>
      </c>
      <c r="H1050" s="3">
        <v>3.0</v>
      </c>
      <c r="I1050" s="4" t="s">
        <v>4651</v>
      </c>
      <c r="J1050" s="1" t="s">
        <v>4652</v>
      </c>
      <c r="K1050" s="1" t="s">
        <v>28</v>
      </c>
    </row>
    <row r="1051">
      <c r="A1051" s="1" t="s">
        <v>4653</v>
      </c>
      <c r="B1051" s="1" t="s">
        <v>4654</v>
      </c>
      <c r="C1051" s="1">
        <v>2022.0</v>
      </c>
      <c r="D1051" s="2">
        <v>44736.0</v>
      </c>
      <c r="F1051" s="1" t="s">
        <v>4655</v>
      </c>
      <c r="H1051" s="3">
        <v>1.0</v>
      </c>
      <c r="I1051" s="4" t="s">
        <v>4656</v>
      </c>
      <c r="J1051" s="1" t="s">
        <v>4657</v>
      </c>
      <c r="K1051" s="1" t="s">
        <v>329</v>
      </c>
    </row>
    <row r="1052">
      <c r="A1052" s="1" t="s">
        <v>4658</v>
      </c>
      <c r="B1052" s="1" t="s">
        <v>4659</v>
      </c>
      <c r="C1052" s="1">
        <v>2022.0</v>
      </c>
      <c r="D1052" s="2">
        <v>44736.0</v>
      </c>
      <c r="F1052" s="1" t="s">
        <v>91</v>
      </c>
      <c r="H1052" s="3">
        <v>6.0</v>
      </c>
      <c r="I1052" s="4" t="s">
        <v>4660</v>
      </c>
      <c r="J1052" s="1" t="s">
        <v>4661</v>
      </c>
      <c r="K1052" s="1" t="s">
        <v>68</v>
      </c>
    </row>
    <row r="1053">
      <c r="A1053" s="1" t="s">
        <v>4662</v>
      </c>
      <c r="B1053" s="1" t="s">
        <v>4663</v>
      </c>
      <c r="C1053" s="1">
        <v>2022.0</v>
      </c>
      <c r="D1053" s="2">
        <v>44735.0</v>
      </c>
      <c r="F1053" s="1" t="s">
        <v>4664</v>
      </c>
      <c r="H1053" s="3">
        <v>1.0</v>
      </c>
      <c r="I1053" s="4" t="s">
        <v>4665</v>
      </c>
      <c r="J1053" s="1" t="s">
        <v>4666</v>
      </c>
      <c r="K1053" s="1" t="s">
        <v>323</v>
      </c>
    </row>
    <row r="1054">
      <c r="A1054" s="1" t="s">
        <v>4667</v>
      </c>
      <c r="B1054" s="1" t="s">
        <v>4668</v>
      </c>
      <c r="C1054" s="1">
        <v>2022.0</v>
      </c>
      <c r="D1054" s="2">
        <v>44735.0</v>
      </c>
      <c r="F1054" s="1" t="s">
        <v>2560</v>
      </c>
      <c r="H1054" s="3">
        <v>13.0</v>
      </c>
      <c r="I1054" s="4" t="s">
        <v>4669</v>
      </c>
      <c r="J1054" s="1" t="s">
        <v>4670</v>
      </c>
      <c r="K1054" s="1" t="s">
        <v>323</v>
      </c>
    </row>
    <row r="1055">
      <c r="A1055" s="1" t="s">
        <v>4671</v>
      </c>
      <c r="B1055" s="1" t="s">
        <v>4672</v>
      </c>
      <c r="C1055" s="1">
        <v>2022.0</v>
      </c>
      <c r="D1055" s="2">
        <v>44735.0</v>
      </c>
      <c r="F1055" s="1" t="s">
        <v>37</v>
      </c>
      <c r="H1055" s="3">
        <v>12.0</v>
      </c>
      <c r="I1055" s="4" t="s">
        <v>4673</v>
      </c>
      <c r="J1055" s="1" t="s">
        <v>4674</v>
      </c>
      <c r="K1055" s="1" t="s">
        <v>16</v>
      </c>
    </row>
    <row r="1056">
      <c r="A1056" s="1" t="s">
        <v>4675</v>
      </c>
      <c r="B1056" s="1" t="s">
        <v>4676</v>
      </c>
      <c r="C1056" s="1">
        <v>2022.0</v>
      </c>
      <c r="D1056" s="2">
        <v>44734.0</v>
      </c>
      <c r="F1056" s="1" t="s">
        <v>4677</v>
      </c>
      <c r="H1056" s="3">
        <v>37.0</v>
      </c>
      <c r="I1056" s="4" t="s">
        <v>4678</v>
      </c>
      <c r="J1056" s="1" t="s">
        <v>4679</v>
      </c>
      <c r="K1056" s="1" t="s">
        <v>45</v>
      </c>
    </row>
    <row r="1057">
      <c r="A1057" s="1" t="s">
        <v>4680</v>
      </c>
      <c r="B1057" s="1" t="s">
        <v>4681</v>
      </c>
      <c r="C1057" s="1">
        <v>2022.0</v>
      </c>
      <c r="D1057" s="2">
        <v>44734.0</v>
      </c>
      <c r="F1057" s="1" t="s">
        <v>1814</v>
      </c>
      <c r="H1057" s="3">
        <v>1090.0</v>
      </c>
      <c r="I1057" s="4" t="s">
        <v>4682</v>
      </c>
      <c r="J1057" s="1" t="s">
        <v>4683</v>
      </c>
      <c r="K1057" s="1" t="s">
        <v>317</v>
      </c>
    </row>
    <row r="1058">
      <c r="A1058" s="1" t="s">
        <v>4684</v>
      </c>
      <c r="B1058" s="1" t="s">
        <v>4685</v>
      </c>
      <c r="C1058" s="1">
        <v>2022.0</v>
      </c>
      <c r="D1058" s="2">
        <v>44734.0</v>
      </c>
      <c r="F1058" s="1" t="s">
        <v>1050</v>
      </c>
      <c r="H1058" s="3">
        <v>0.0</v>
      </c>
      <c r="I1058" s="4" t="s">
        <v>4686</v>
      </c>
      <c r="J1058" s="1" t="s">
        <v>4687</v>
      </c>
      <c r="K1058" s="1" t="s">
        <v>28</v>
      </c>
    </row>
    <row r="1059">
      <c r="A1059" s="1" t="s">
        <v>4688</v>
      </c>
      <c r="B1059" s="1" t="s">
        <v>4689</v>
      </c>
      <c r="C1059" s="1">
        <v>2022.0</v>
      </c>
      <c r="D1059" s="2">
        <v>44734.0</v>
      </c>
      <c r="F1059" s="1" t="s">
        <v>1050</v>
      </c>
      <c r="H1059" s="3">
        <v>0.0</v>
      </c>
      <c r="I1059" s="4" t="s">
        <v>4690</v>
      </c>
      <c r="J1059" s="1" t="s">
        <v>4691</v>
      </c>
      <c r="K1059" s="1" t="s">
        <v>323</v>
      </c>
    </row>
    <row r="1060">
      <c r="A1060" s="1" t="s">
        <v>4692</v>
      </c>
      <c r="B1060" s="1" t="s">
        <v>4693</v>
      </c>
      <c r="C1060" s="1">
        <v>2022.0</v>
      </c>
      <c r="D1060" s="2">
        <v>44734.0</v>
      </c>
      <c r="F1060" s="1" t="s">
        <v>396</v>
      </c>
      <c r="H1060" s="3">
        <v>20.0</v>
      </c>
      <c r="I1060" s="4" t="s">
        <v>4694</v>
      </c>
      <c r="J1060" s="1" t="s">
        <v>4695</v>
      </c>
      <c r="K1060" s="1" t="s">
        <v>383</v>
      </c>
    </row>
    <row r="1061">
      <c r="A1061" s="1" t="s">
        <v>4696</v>
      </c>
      <c r="B1061" s="1" t="s">
        <v>4697</v>
      </c>
      <c r="C1061" s="1">
        <v>2022.0</v>
      </c>
      <c r="D1061" s="2">
        <v>44734.0</v>
      </c>
      <c r="F1061" s="1" t="s">
        <v>4698</v>
      </c>
      <c r="H1061" s="3">
        <v>7.0</v>
      </c>
      <c r="I1061" s="4" t="s">
        <v>4699</v>
      </c>
      <c r="J1061" s="1" t="s">
        <v>4700</v>
      </c>
      <c r="K1061" s="1" t="s">
        <v>16</v>
      </c>
    </row>
    <row r="1062">
      <c r="A1062" s="1" t="s">
        <v>4701</v>
      </c>
      <c r="B1062" s="1" t="s">
        <v>4702</v>
      </c>
      <c r="C1062" s="1">
        <v>2022.0</v>
      </c>
      <c r="D1062" s="2">
        <v>44734.0</v>
      </c>
      <c r="F1062" s="1" t="s">
        <v>410</v>
      </c>
      <c r="H1062" s="3">
        <v>5.0</v>
      </c>
      <c r="I1062" s="4" t="s">
        <v>4703</v>
      </c>
      <c r="J1062" s="1" t="s">
        <v>4704</v>
      </c>
      <c r="K1062" s="1" t="s">
        <v>492</v>
      </c>
    </row>
    <row r="1063">
      <c r="A1063" s="1" t="s">
        <v>4705</v>
      </c>
      <c r="B1063" s="1" t="s">
        <v>4706</v>
      </c>
      <c r="C1063" s="1">
        <v>2022.0</v>
      </c>
      <c r="D1063" s="2">
        <v>44733.0</v>
      </c>
      <c r="F1063" s="1" t="s">
        <v>4707</v>
      </c>
      <c r="H1063" s="3">
        <v>5.0</v>
      </c>
      <c r="I1063" s="4" t="s">
        <v>4708</v>
      </c>
      <c r="J1063" s="1" t="s">
        <v>4709</v>
      </c>
      <c r="K1063" s="1" t="s">
        <v>28</v>
      </c>
    </row>
    <row r="1064">
      <c r="A1064" s="1" t="s">
        <v>4710</v>
      </c>
      <c r="B1064" s="1" t="s">
        <v>4711</v>
      </c>
      <c r="C1064" s="1">
        <v>2022.0</v>
      </c>
      <c r="D1064" s="2">
        <v>44733.0</v>
      </c>
      <c r="F1064" s="1" t="s">
        <v>271</v>
      </c>
      <c r="H1064" s="3">
        <v>6.0</v>
      </c>
      <c r="I1064" s="4" t="s">
        <v>4712</v>
      </c>
      <c r="J1064" s="1" t="s">
        <v>4713</v>
      </c>
      <c r="K1064" s="1" t="s">
        <v>16</v>
      </c>
    </row>
    <row r="1065">
      <c r="A1065" s="1" t="s">
        <v>4714</v>
      </c>
      <c r="B1065" s="1" t="s">
        <v>4715</v>
      </c>
      <c r="C1065" s="1">
        <v>2022.0</v>
      </c>
      <c r="D1065" s="2">
        <v>44733.0</v>
      </c>
      <c r="F1065" s="1" t="s">
        <v>271</v>
      </c>
      <c r="H1065" s="3">
        <v>16.0</v>
      </c>
      <c r="I1065" s="4" t="s">
        <v>4716</v>
      </c>
      <c r="J1065" s="1" t="s">
        <v>4717</v>
      </c>
      <c r="K1065" s="1" t="s">
        <v>462</v>
      </c>
    </row>
    <row r="1066">
      <c r="A1066" s="1" t="s">
        <v>4718</v>
      </c>
      <c r="B1066" s="1" t="s">
        <v>4719</v>
      </c>
      <c r="C1066" s="1">
        <v>2022.0</v>
      </c>
      <c r="D1066" s="2">
        <v>44732.0</v>
      </c>
      <c r="F1066" s="1" t="s">
        <v>2101</v>
      </c>
      <c r="H1066" s="3">
        <v>0.0</v>
      </c>
      <c r="I1066" s="4" t="s">
        <v>4720</v>
      </c>
      <c r="J1066" s="1" t="s">
        <v>4721</v>
      </c>
      <c r="K1066" s="1" t="s">
        <v>45</v>
      </c>
    </row>
    <row r="1067">
      <c r="A1067" s="1" t="s">
        <v>4722</v>
      </c>
      <c r="B1067" s="1" t="s">
        <v>4723</v>
      </c>
      <c r="C1067" s="1">
        <v>2022.0</v>
      </c>
      <c r="D1067" s="2">
        <v>44732.0</v>
      </c>
      <c r="F1067" s="1" t="s">
        <v>4724</v>
      </c>
      <c r="H1067" s="3">
        <v>7.0</v>
      </c>
      <c r="I1067" s="4" t="s">
        <v>4725</v>
      </c>
      <c r="J1067" s="1" t="s">
        <v>4726</v>
      </c>
      <c r="K1067" s="1" t="s">
        <v>443</v>
      </c>
    </row>
    <row r="1068">
      <c r="A1068" s="1" t="s">
        <v>4727</v>
      </c>
      <c r="B1068" s="1" t="s">
        <v>4728</v>
      </c>
      <c r="C1068" s="1">
        <v>2022.0</v>
      </c>
      <c r="D1068" s="2">
        <v>44732.0</v>
      </c>
      <c r="F1068" s="1" t="s">
        <v>86</v>
      </c>
      <c r="H1068" s="3">
        <v>15.0</v>
      </c>
      <c r="I1068" s="4" t="s">
        <v>4729</v>
      </c>
      <c r="J1068" s="1" t="s">
        <v>4730</v>
      </c>
      <c r="K1068" s="1" t="s">
        <v>443</v>
      </c>
    </row>
    <row r="1069">
      <c r="A1069" s="1" t="s">
        <v>4731</v>
      </c>
      <c r="B1069" s="1" t="s">
        <v>4732</v>
      </c>
      <c r="C1069" s="1">
        <v>2022.0</v>
      </c>
      <c r="D1069" s="2">
        <v>44729.0</v>
      </c>
      <c r="F1069" s="1" t="s">
        <v>934</v>
      </c>
      <c r="H1069" s="3">
        <v>11.0</v>
      </c>
      <c r="I1069" s="4" t="s">
        <v>4733</v>
      </c>
      <c r="J1069" s="1" t="s">
        <v>4734</v>
      </c>
      <c r="K1069" s="1" t="s">
        <v>28</v>
      </c>
    </row>
    <row r="1070">
      <c r="A1070" s="1" t="s">
        <v>4735</v>
      </c>
      <c r="B1070" s="1" t="s">
        <v>4736</v>
      </c>
      <c r="C1070" s="1">
        <v>2022.0</v>
      </c>
      <c r="D1070" s="2">
        <v>44728.0</v>
      </c>
      <c r="F1070" s="1" t="s">
        <v>1904</v>
      </c>
      <c r="H1070" s="3">
        <v>13.0</v>
      </c>
      <c r="I1070" s="4" t="s">
        <v>4737</v>
      </c>
      <c r="J1070" s="1" t="s">
        <v>4738</v>
      </c>
      <c r="K1070" s="1" t="s">
        <v>317</v>
      </c>
    </row>
    <row r="1071">
      <c r="A1071" s="1" t="s">
        <v>4739</v>
      </c>
      <c r="B1071" s="1" t="s">
        <v>4740</v>
      </c>
      <c r="C1071" s="1">
        <v>2022.0</v>
      </c>
      <c r="D1071" s="2">
        <v>44728.0</v>
      </c>
      <c r="F1071" s="1" t="s">
        <v>4741</v>
      </c>
      <c r="H1071" s="3">
        <v>20.0</v>
      </c>
      <c r="I1071" s="4" t="s">
        <v>4742</v>
      </c>
      <c r="J1071" s="1" t="s">
        <v>4743</v>
      </c>
      <c r="K1071" s="1" t="s">
        <v>16</v>
      </c>
    </row>
    <row r="1072">
      <c r="A1072" s="1" t="s">
        <v>4744</v>
      </c>
      <c r="B1072" s="1" t="s">
        <v>4745</v>
      </c>
      <c r="C1072" s="1">
        <v>2022.0</v>
      </c>
      <c r="D1072" s="2">
        <v>44727.0</v>
      </c>
      <c r="F1072" s="1" t="s">
        <v>4746</v>
      </c>
      <c r="H1072" s="3">
        <v>3.0</v>
      </c>
      <c r="I1072" s="4" t="s">
        <v>4747</v>
      </c>
      <c r="J1072" s="1" t="s">
        <v>4748</v>
      </c>
      <c r="K1072" s="1" t="s">
        <v>68</v>
      </c>
    </row>
    <row r="1073">
      <c r="A1073" s="1" t="s">
        <v>4749</v>
      </c>
      <c r="B1073" s="1" t="s">
        <v>4750</v>
      </c>
      <c r="C1073" s="1">
        <v>2022.0</v>
      </c>
      <c r="D1073" s="2">
        <v>44727.0</v>
      </c>
      <c r="F1073" s="1" t="s">
        <v>2036</v>
      </c>
      <c r="H1073" s="3">
        <v>3.0</v>
      </c>
      <c r="I1073" s="4" t="s">
        <v>4751</v>
      </c>
      <c r="J1073" s="1" t="s">
        <v>4752</v>
      </c>
      <c r="K1073" s="1" t="s">
        <v>16</v>
      </c>
    </row>
    <row r="1074">
      <c r="A1074" s="1" t="s">
        <v>4753</v>
      </c>
      <c r="B1074" s="1" t="s">
        <v>4754</v>
      </c>
      <c r="C1074" s="1">
        <v>2022.0</v>
      </c>
      <c r="D1074" s="2">
        <v>44727.0</v>
      </c>
      <c r="F1074" s="1" t="s">
        <v>4755</v>
      </c>
      <c r="H1074" s="3">
        <v>18.0</v>
      </c>
      <c r="I1074" s="4" t="s">
        <v>4756</v>
      </c>
      <c r="J1074" s="1" t="s">
        <v>4757</v>
      </c>
      <c r="K1074" s="1" t="s">
        <v>16</v>
      </c>
    </row>
    <row r="1075">
      <c r="A1075" s="1" t="s">
        <v>4758</v>
      </c>
      <c r="B1075" s="1" t="s">
        <v>4759</v>
      </c>
      <c r="C1075" s="1">
        <v>2022.0</v>
      </c>
      <c r="D1075" s="2">
        <v>44725.0</v>
      </c>
      <c r="F1075" s="1" t="s">
        <v>4760</v>
      </c>
      <c r="H1075" s="3">
        <v>9.0</v>
      </c>
      <c r="I1075" s="4" t="s">
        <v>4761</v>
      </c>
      <c r="J1075" s="1" t="s">
        <v>4762</v>
      </c>
      <c r="K1075" s="1" t="s">
        <v>295</v>
      </c>
    </row>
    <row r="1076">
      <c r="A1076" s="1" t="s">
        <v>4763</v>
      </c>
      <c r="B1076" s="1" t="s">
        <v>4764</v>
      </c>
      <c r="C1076" s="1">
        <v>2022.0</v>
      </c>
      <c r="D1076" s="2">
        <v>44725.0</v>
      </c>
      <c r="F1076" s="1" t="s">
        <v>1050</v>
      </c>
      <c r="H1076" s="3">
        <v>0.0</v>
      </c>
      <c r="I1076" s="4" t="s">
        <v>4765</v>
      </c>
      <c r="J1076" s="1" t="s">
        <v>4766</v>
      </c>
      <c r="K1076" s="1" t="s">
        <v>295</v>
      </c>
    </row>
    <row r="1077">
      <c r="A1077" s="1" t="s">
        <v>4767</v>
      </c>
      <c r="B1077" s="1" t="s">
        <v>4768</v>
      </c>
      <c r="C1077" s="1">
        <v>2022.0</v>
      </c>
      <c r="D1077" s="2">
        <v>44725.0</v>
      </c>
      <c r="F1077" s="1" t="s">
        <v>4769</v>
      </c>
      <c r="H1077" s="3">
        <v>2.0</v>
      </c>
      <c r="I1077" s="4" t="s">
        <v>4770</v>
      </c>
      <c r="J1077" s="1" t="s">
        <v>4771</v>
      </c>
      <c r="K1077" s="1" t="s">
        <v>68</v>
      </c>
    </row>
    <row r="1078">
      <c r="A1078" s="1" t="s">
        <v>4772</v>
      </c>
      <c r="B1078" s="1" t="s">
        <v>4773</v>
      </c>
      <c r="C1078" s="1">
        <v>2022.0</v>
      </c>
      <c r="D1078" s="2">
        <v>44725.0</v>
      </c>
      <c r="F1078" s="1" t="s">
        <v>1358</v>
      </c>
      <c r="H1078" s="3">
        <v>5.0</v>
      </c>
      <c r="I1078" s="4" t="s">
        <v>4774</v>
      </c>
      <c r="J1078" s="1" t="s">
        <v>4775</v>
      </c>
      <c r="K1078" s="1" t="s">
        <v>16</v>
      </c>
    </row>
    <row r="1079">
      <c r="A1079" s="1" t="s">
        <v>4776</v>
      </c>
      <c r="B1079" s="1" t="s">
        <v>4777</v>
      </c>
      <c r="C1079" s="1">
        <v>2022.0</v>
      </c>
      <c r="D1079" s="2">
        <v>44724.0</v>
      </c>
      <c r="F1079" s="1" t="s">
        <v>4778</v>
      </c>
      <c r="H1079" s="3">
        <v>7.0</v>
      </c>
      <c r="I1079" s="4" t="s">
        <v>4779</v>
      </c>
      <c r="J1079" s="1" t="s">
        <v>4780</v>
      </c>
      <c r="K1079" s="1" t="s">
        <v>16</v>
      </c>
    </row>
    <row r="1080">
      <c r="A1080" s="1" t="s">
        <v>4781</v>
      </c>
      <c r="B1080" s="1" t="s">
        <v>4782</v>
      </c>
      <c r="C1080" s="1">
        <v>2022.0</v>
      </c>
      <c r="D1080" s="2">
        <v>44723.0</v>
      </c>
      <c r="F1080" s="1" t="s">
        <v>332</v>
      </c>
      <c r="H1080" s="3">
        <v>9.0</v>
      </c>
      <c r="I1080" s="4" t="s">
        <v>4783</v>
      </c>
      <c r="J1080" s="1" t="s">
        <v>4784</v>
      </c>
      <c r="K1080" s="1" t="s">
        <v>16</v>
      </c>
    </row>
    <row r="1081">
      <c r="A1081" s="1" t="s">
        <v>4785</v>
      </c>
      <c r="B1081" s="1" t="s">
        <v>1926</v>
      </c>
      <c r="C1081" s="1">
        <v>2022.0</v>
      </c>
      <c r="D1081" s="2">
        <v>44722.0</v>
      </c>
      <c r="F1081" s="1" t="s">
        <v>489</v>
      </c>
      <c r="H1081" s="3">
        <v>4.0</v>
      </c>
      <c r="I1081" s="4" t="s">
        <v>4786</v>
      </c>
      <c r="J1081" s="1"/>
      <c r="K1081" s="1" t="s">
        <v>16</v>
      </c>
    </row>
    <row r="1082">
      <c r="A1082" s="1" t="s">
        <v>4787</v>
      </c>
      <c r="B1082" s="1" t="s">
        <v>4788</v>
      </c>
      <c r="C1082" s="1">
        <v>2022.0</v>
      </c>
      <c r="D1082" s="2">
        <v>44721.0</v>
      </c>
      <c r="F1082" s="1" t="s">
        <v>656</v>
      </c>
      <c r="H1082" s="3">
        <v>2.0</v>
      </c>
      <c r="I1082" s="4" t="s">
        <v>4789</v>
      </c>
      <c r="J1082" s="1" t="s">
        <v>4790</v>
      </c>
      <c r="K1082" s="1" t="s">
        <v>317</v>
      </c>
    </row>
    <row r="1083">
      <c r="A1083" s="1" t="s">
        <v>4791</v>
      </c>
      <c r="B1083" s="1" t="s">
        <v>4792</v>
      </c>
      <c r="C1083" s="1">
        <v>2022.0</v>
      </c>
      <c r="D1083" s="2">
        <v>44721.0</v>
      </c>
      <c r="F1083" s="1" t="s">
        <v>4793</v>
      </c>
      <c r="H1083" s="3">
        <v>5.0</v>
      </c>
      <c r="I1083" s="4" t="s">
        <v>4794</v>
      </c>
      <c r="J1083" s="1" t="s">
        <v>4795</v>
      </c>
      <c r="K1083" s="1" t="s">
        <v>413</v>
      </c>
    </row>
    <row r="1084">
      <c r="A1084" s="1" t="s">
        <v>4796</v>
      </c>
      <c r="B1084" s="1" t="s">
        <v>4797</v>
      </c>
      <c r="C1084" s="1">
        <v>2022.0</v>
      </c>
      <c r="D1084" s="2">
        <v>44720.0</v>
      </c>
      <c r="F1084" s="1" t="s">
        <v>308</v>
      </c>
      <c r="H1084" s="3">
        <v>5.0</v>
      </c>
      <c r="I1084" s="4" t="s">
        <v>4798</v>
      </c>
      <c r="J1084" s="1" t="s">
        <v>4799</v>
      </c>
      <c r="K1084" s="1" t="s">
        <v>323</v>
      </c>
    </row>
    <row r="1085">
      <c r="A1085" s="1" t="s">
        <v>4800</v>
      </c>
      <c r="B1085" s="1" t="s">
        <v>4801</v>
      </c>
      <c r="C1085" s="1">
        <v>2022.0</v>
      </c>
      <c r="D1085" s="2">
        <v>44720.0</v>
      </c>
      <c r="F1085" s="1" t="s">
        <v>1095</v>
      </c>
      <c r="H1085" s="3">
        <v>2.0</v>
      </c>
      <c r="I1085" s="4" t="s">
        <v>4802</v>
      </c>
      <c r="J1085" s="1" t="s">
        <v>4803</v>
      </c>
      <c r="K1085" s="1" t="s">
        <v>16</v>
      </c>
    </row>
    <row r="1086">
      <c r="A1086" s="1" t="s">
        <v>4804</v>
      </c>
      <c r="B1086" s="1" t="s">
        <v>4805</v>
      </c>
      <c r="C1086" s="1">
        <v>2022.0</v>
      </c>
      <c r="D1086" s="2">
        <v>44719.0</v>
      </c>
      <c r="F1086" s="1" t="s">
        <v>4806</v>
      </c>
      <c r="H1086" s="3">
        <v>2.0</v>
      </c>
      <c r="I1086" s="4" t="s">
        <v>4807</v>
      </c>
      <c r="J1086" s="1" t="s">
        <v>4808</v>
      </c>
      <c r="K1086" s="1" t="s">
        <v>323</v>
      </c>
    </row>
    <row r="1087">
      <c r="A1087" s="1" t="s">
        <v>4809</v>
      </c>
      <c r="B1087" s="1" t="s">
        <v>4810</v>
      </c>
      <c r="C1087" s="1">
        <v>2022.0</v>
      </c>
      <c r="D1087" s="2">
        <v>44716.0</v>
      </c>
      <c r="F1087" s="1" t="s">
        <v>568</v>
      </c>
      <c r="H1087" s="3">
        <v>0.0</v>
      </c>
      <c r="I1087" s="4" t="s">
        <v>4811</v>
      </c>
      <c r="J1087" s="1" t="s">
        <v>4812</v>
      </c>
      <c r="K1087" s="1" t="s">
        <v>323</v>
      </c>
    </row>
    <row r="1088">
      <c r="A1088" s="1" t="s">
        <v>4813</v>
      </c>
      <c r="B1088" s="1" t="s">
        <v>4814</v>
      </c>
      <c r="C1088" s="1">
        <v>2022.0</v>
      </c>
      <c r="D1088" s="2">
        <v>44715.0</v>
      </c>
      <c r="F1088" s="1" t="s">
        <v>3909</v>
      </c>
      <c r="H1088" s="3">
        <v>5.0</v>
      </c>
      <c r="I1088" s="4" t="s">
        <v>4815</v>
      </c>
      <c r="J1088" s="1" t="s">
        <v>4816</v>
      </c>
      <c r="K1088" s="1" t="s">
        <v>68</v>
      </c>
    </row>
    <row r="1089">
      <c r="A1089" s="1" t="s">
        <v>4817</v>
      </c>
      <c r="B1089" s="1" t="s">
        <v>4818</v>
      </c>
      <c r="C1089" s="1">
        <v>2022.0</v>
      </c>
      <c r="D1089" s="2">
        <v>44715.0</v>
      </c>
      <c r="F1089" s="1" t="s">
        <v>4819</v>
      </c>
      <c r="H1089" s="3">
        <v>4.0</v>
      </c>
      <c r="I1089" s="4" t="s">
        <v>4820</v>
      </c>
      <c r="J1089" s="1" t="s">
        <v>4821</v>
      </c>
      <c r="K1089" s="1" t="s">
        <v>16</v>
      </c>
    </row>
    <row r="1090">
      <c r="A1090" s="1" t="s">
        <v>4822</v>
      </c>
      <c r="B1090" s="1" t="s">
        <v>4823</v>
      </c>
      <c r="C1090" s="1">
        <v>2022.0</v>
      </c>
      <c r="D1090" s="2">
        <v>44714.0</v>
      </c>
      <c r="F1090" s="1" t="s">
        <v>2560</v>
      </c>
      <c r="H1090" s="3">
        <v>6.0</v>
      </c>
      <c r="I1090" s="4" t="s">
        <v>4824</v>
      </c>
      <c r="J1090" s="1" t="s">
        <v>4825</v>
      </c>
      <c r="K1090" s="1" t="s">
        <v>295</v>
      </c>
    </row>
    <row r="1091">
      <c r="A1091" s="1" t="s">
        <v>4826</v>
      </c>
      <c r="B1091" s="1" t="s">
        <v>4827</v>
      </c>
      <c r="C1091" s="1">
        <v>2022.0</v>
      </c>
      <c r="D1091" s="2">
        <v>44713.0</v>
      </c>
      <c r="F1091" s="1" t="s">
        <v>4828</v>
      </c>
      <c r="H1091" s="3">
        <v>1.0</v>
      </c>
      <c r="I1091" s="4" t="s">
        <v>4829</v>
      </c>
      <c r="J1091" s="1" t="s">
        <v>4830</v>
      </c>
      <c r="K1091" s="1" t="s">
        <v>45</v>
      </c>
    </row>
    <row r="1092">
      <c r="A1092" s="1" t="s">
        <v>4831</v>
      </c>
      <c r="B1092" s="1" t="s">
        <v>4832</v>
      </c>
      <c r="C1092" s="1">
        <v>2022.0</v>
      </c>
      <c r="D1092" s="2">
        <v>44713.0</v>
      </c>
      <c r="F1092" s="1" t="s">
        <v>530</v>
      </c>
      <c r="H1092" s="3">
        <v>0.0</v>
      </c>
      <c r="I1092" s="4" t="s">
        <v>4833</v>
      </c>
      <c r="J1092" s="1"/>
      <c r="K1092" s="1" t="s">
        <v>323</v>
      </c>
    </row>
    <row r="1093">
      <c r="A1093" s="1" t="s">
        <v>4834</v>
      </c>
      <c r="B1093" s="1" t="s">
        <v>4835</v>
      </c>
      <c r="C1093" s="1">
        <v>2022.0</v>
      </c>
      <c r="D1093" s="2">
        <v>44713.0</v>
      </c>
      <c r="F1093" s="1" t="s">
        <v>762</v>
      </c>
      <c r="H1093" s="3">
        <v>11.0</v>
      </c>
      <c r="I1093" s="4" t="s">
        <v>4836</v>
      </c>
      <c r="J1093" s="1" t="s">
        <v>4837</v>
      </c>
      <c r="K1093" s="1" t="s">
        <v>68</v>
      </c>
    </row>
    <row r="1094">
      <c r="A1094" s="1" t="s">
        <v>4838</v>
      </c>
      <c r="B1094" s="1" t="s">
        <v>4839</v>
      </c>
      <c r="C1094" s="1">
        <v>2022.0</v>
      </c>
      <c r="D1094" s="2">
        <v>44713.0</v>
      </c>
      <c r="F1094" s="1" t="s">
        <v>1233</v>
      </c>
      <c r="H1094" s="3">
        <v>41.0</v>
      </c>
      <c r="I1094" s="4" t="s">
        <v>4840</v>
      </c>
      <c r="J1094" s="1" t="s">
        <v>4841</v>
      </c>
      <c r="K1094" s="1" t="s">
        <v>16</v>
      </c>
    </row>
    <row r="1095">
      <c r="A1095" s="1" t="s">
        <v>4842</v>
      </c>
      <c r="B1095" s="1" t="s">
        <v>4843</v>
      </c>
      <c r="C1095" s="1">
        <v>2022.0</v>
      </c>
      <c r="D1095" s="2">
        <v>44709.0</v>
      </c>
      <c r="F1095" s="1" t="s">
        <v>2955</v>
      </c>
      <c r="H1095" s="3">
        <v>9.0</v>
      </c>
      <c r="I1095" s="4" t="s">
        <v>4844</v>
      </c>
      <c r="J1095" s="1" t="s">
        <v>4845</v>
      </c>
      <c r="K1095" s="1" t="s">
        <v>28</v>
      </c>
    </row>
    <row r="1096">
      <c r="A1096" s="1" t="s">
        <v>4846</v>
      </c>
      <c r="B1096" s="1" t="s">
        <v>4847</v>
      </c>
      <c r="C1096" s="1">
        <v>2022.0</v>
      </c>
      <c r="D1096" s="2">
        <v>44709.0</v>
      </c>
      <c r="F1096" s="1" t="s">
        <v>4848</v>
      </c>
      <c r="H1096" s="3">
        <v>0.0</v>
      </c>
      <c r="I1096" s="4" t="s">
        <v>4849</v>
      </c>
      <c r="J1096" s="1" t="s">
        <v>4850</v>
      </c>
      <c r="K1096" s="1" t="s">
        <v>323</v>
      </c>
    </row>
    <row r="1097">
      <c r="A1097" s="1" t="s">
        <v>4851</v>
      </c>
      <c r="B1097" s="1" t="s">
        <v>4852</v>
      </c>
      <c r="C1097" s="1">
        <v>2022.0</v>
      </c>
      <c r="D1097" s="2">
        <v>44708.0</v>
      </c>
      <c r="F1097" s="1" t="s">
        <v>59</v>
      </c>
      <c r="H1097" s="3">
        <v>3.0</v>
      </c>
      <c r="I1097" s="4" t="s">
        <v>4853</v>
      </c>
      <c r="J1097" s="1" t="s">
        <v>4854</v>
      </c>
      <c r="K1097" s="1" t="s">
        <v>443</v>
      </c>
    </row>
    <row r="1098">
      <c r="A1098" s="1" t="s">
        <v>4855</v>
      </c>
      <c r="B1098" s="1" t="s">
        <v>4856</v>
      </c>
      <c r="C1098" s="1">
        <v>2022.0</v>
      </c>
      <c r="D1098" s="2">
        <v>44707.0</v>
      </c>
      <c r="F1098" s="1" t="s">
        <v>4577</v>
      </c>
      <c r="H1098" s="3">
        <v>31.0</v>
      </c>
      <c r="I1098" s="4" t="s">
        <v>4857</v>
      </c>
      <c r="J1098" s="1" t="s">
        <v>4858</v>
      </c>
      <c r="K1098" s="1" t="s">
        <v>926</v>
      </c>
    </row>
    <row r="1099">
      <c r="A1099" s="1" t="s">
        <v>4859</v>
      </c>
      <c r="B1099" s="1" t="s">
        <v>4860</v>
      </c>
      <c r="C1099" s="1">
        <v>2022.0</v>
      </c>
      <c r="D1099" s="2">
        <v>44707.0</v>
      </c>
      <c r="F1099" s="1" t="s">
        <v>4861</v>
      </c>
      <c r="H1099" s="3">
        <v>1.0</v>
      </c>
      <c r="I1099" s="4" t="s">
        <v>4862</v>
      </c>
      <c r="J1099" s="1" t="s">
        <v>4863</v>
      </c>
      <c r="K1099" s="1" t="s">
        <v>28</v>
      </c>
    </row>
    <row r="1100">
      <c r="A1100" s="1" t="s">
        <v>4864</v>
      </c>
      <c r="B1100" s="1" t="s">
        <v>4865</v>
      </c>
      <c r="C1100" s="1">
        <v>2022.0</v>
      </c>
      <c r="D1100" s="2">
        <v>44707.0</v>
      </c>
      <c r="F1100" s="1" t="s">
        <v>1410</v>
      </c>
      <c r="H1100" s="3">
        <v>5.0</v>
      </c>
      <c r="I1100" s="4" t="s">
        <v>4866</v>
      </c>
      <c r="J1100" s="1" t="s">
        <v>4867</v>
      </c>
      <c r="K1100" s="1" t="s">
        <v>477</v>
      </c>
    </row>
    <row r="1101">
      <c r="A1101" s="1" t="s">
        <v>4868</v>
      </c>
      <c r="B1101" s="1" t="s">
        <v>4869</v>
      </c>
      <c r="C1101" s="1">
        <v>2022.0</v>
      </c>
      <c r="D1101" s="2">
        <v>44707.0</v>
      </c>
      <c r="F1101" s="1" t="s">
        <v>4870</v>
      </c>
      <c r="H1101" s="3">
        <v>0.0</v>
      </c>
      <c r="I1101" s="4" t="s">
        <v>4871</v>
      </c>
      <c r="J1101" s="1" t="s">
        <v>4872</v>
      </c>
      <c r="K1101" s="1" t="s">
        <v>16</v>
      </c>
    </row>
    <row r="1102">
      <c r="A1102" s="1" t="s">
        <v>4873</v>
      </c>
      <c r="B1102" s="1" t="s">
        <v>4874</v>
      </c>
      <c r="C1102" s="1">
        <v>2022.0</v>
      </c>
      <c r="D1102" s="2">
        <v>44706.0</v>
      </c>
      <c r="F1102" s="1" t="s">
        <v>1995</v>
      </c>
      <c r="H1102" s="3">
        <v>13.0</v>
      </c>
      <c r="I1102" s="4" t="s">
        <v>4875</v>
      </c>
      <c r="J1102" s="1" t="s">
        <v>4876</v>
      </c>
      <c r="K1102" s="1" t="s">
        <v>28</v>
      </c>
    </row>
    <row r="1103">
      <c r="A1103" s="1" t="s">
        <v>4877</v>
      </c>
      <c r="B1103" s="1" t="s">
        <v>4878</v>
      </c>
      <c r="C1103" s="1">
        <v>2022.0</v>
      </c>
      <c r="D1103" s="2">
        <v>44706.0</v>
      </c>
      <c r="F1103" s="1" t="s">
        <v>59</v>
      </c>
      <c r="H1103" s="3">
        <v>22.0</v>
      </c>
      <c r="I1103" s="4" t="s">
        <v>4879</v>
      </c>
      <c r="J1103" s="1" t="s">
        <v>4880</v>
      </c>
      <c r="K1103" s="1" t="s">
        <v>413</v>
      </c>
    </row>
    <row r="1104">
      <c r="A1104" s="1" t="s">
        <v>4881</v>
      </c>
      <c r="B1104" s="1" t="s">
        <v>4882</v>
      </c>
      <c r="C1104" s="1">
        <v>2022.0</v>
      </c>
      <c r="D1104" s="2">
        <v>44706.0</v>
      </c>
      <c r="F1104" s="1" t="s">
        <v>4883</v>
      </c>
      <c r="H1104" s="3">
        <v>7.0</v>
      </c>
      <c r="I1104" s="4" t="s">
        <v>4884</v>
      </c>
      <c r="J1104" s="1" t="s">
        <v>4885</v>
      </c>
      <c r="K1104" s="1" t="s">
        <v>16</v>
      </c>
    </row>
    <row r="1105">
      <c r="A1105" s="1" t="s">
        <v>4886</v>
      </c>
      <c r="B1105" s="1" t="s">
        <v>4887</v>
      </c>
      <c r="C1105" s="1">
        <v>2022.0</v>
      </c>
      <c r="D1105" s="2">
        <v>44705.0</v>
      </c>
      <c r="F1105" s="1" t="s">
        <v>2101</v>
      </c>
      <c r="H1105" s="3">
        <v>0.0</v>
      </c>
      <c r="I1105" s="4" t="s">
        <v>4888</v>
      </c>
      <c r="J1105" s="1"/>
      <c r="K1105" s="1" t="s">
        <v>45</v>
      </c>
    </row>
    <row r="1106">
      <c r="A1106" s="1" t="s">
        <v>4889</v>
      </c>
      <c r="B1106" s="1" t="s">
        <v>4890</v>
      </c>
      <c r="C1106" s="1">
        <v>2022.0</v>
      </c>
      <c r="D1106" s="2">
        <v>44705.0</v>
      </c>
      <c r="F1106" s="1" t="s">
        <v>1588</v>
      </c>
      <c r="H1106" s="3">
        <v>4.0</v>
      </c>
      <c r="I1106" s="4" t="s">
        <v>4891</v>
      </c>
      <c r="J1106" s="1" t="s">
        <v>4892</v>
      </c>
      <c r="K1106" s="1" t="s">
        <v>28</v>
      </c>
    </row>
    <row r="1107">
      <c r="A1107" s="1" t="s">
        <v>4893</v>
      </c>
      <c r="B1107" s="1" t="s">
        <v>4894</v>
      </c>
      <c r="C1107" s="1">
        <v>2022.0</v>
      </c>
      <c r="D1107" s="2">
        <v>44704.0</v>
      </c>
      <c r="F1107" s="1" t="s">
        <v>1514</v>
      </c>
      <c r="H1107" s="3">
        <v>0.0</v>
      </c>
      <c r="I1107" s="4" t="s">
        <v>4895</v>
      </c>
      <c r="J1107" s="1" t="s">
        <v>4896</v>
      </c>
      <c r="K1107" s="1" t="s">
        <v>28</v>
      </c>
    </row>
    <row r="1108">
      <c r="A1108" s="1" t="s">
        <v>4897</v>
      </c>
      <c r="B1108" s="1" t="s">
        <v>4898</v>
      </c>
      <c r="C1108" s="1">
        <v>2022.0</v>
      </c>
      <c r="D1108" s="2">
        <v>44704.0</v>
      </c>
      <c r="F1108" s="1" t="s">
        <v>243</v>
      </c>
      <c r="H1108" s="3">
        <v>0.0</v>
      </c>
      <c r="I1108" s="4" t="s">
        <v>4899</v>
      </c>
      <c r="J1108" s="1" t="s">
        <v>4900</v>
      </c>
      <c r="K1108" s="1" t="s">
        <v>926</v>
      </c>
    </row>
    <row r="1109">
      <c r="A1109" s="1" t="s">
        <v>4901</v>
      </c>
      <c r="B1109" s="1" t="s">
        <v>4902</v>
      </c>
      <c r="C1109" s="1">
        <v>2022.0</v>
      </c>
      <c r="D1109" s="2">
        <v>44701.0</v>
      </c>
      <c r="F1109" s="1" t="s">
        <v>2031</v>
      </c>
      <c r="H1109" s="3">
        <v>1.0</v>
      </c>
      <c r="I1109" s="4" t="s">
        <v>4903</v>
      </c>
      <c r="J1109" s="1" t="s">
        <v>4904</v>
      </c>
      <c r="K1109" s="1" t="s">
        <v>295</v>
      </c>
    </row>
    <row r="1110">
      <c r="A1110" s="1" t="s">
        <v>4905</v>
      </c>
      <c r="B1110" s="1" t="s">
        <v>4906</v>
      </c>
      <c r="C1110" s="1">
        <v>2022.0</v>
      </c>
      <c r="D1110" s="2">
        <v>44701.0</v>
      </c>
      <c r="F1110" s="1" t="s">
        <v>248</v>
      </c>
      <c r="H1110" s="3">
        <v>47.0</v>
      </c>
      <c r="I1110" s="4" t="s">
        <v>4907</v>
      </c>
      <c r="J1110" s="1" t="s">
        <v>4908</v>
      </c>
      <c r="K1110" s="1" t="s">
        <v>443</v>
      </c>
    </row>
    <row r="1111">
      <c r="A1111" s="1" t="s">
        <v>4909</v>
      </c>
      <c r="B1111" s="1" t="s">
        <v>4910</v>
      </c>
      <c r="C1111" s="1">
        <v>2022.0</v>
      </c>
      <c r="D1111" s="2">
        <v>44701.0</v>
      </c>
      <c r="F1111" s="1" t="s">
        <v>3583</v>
      </c>
      <c r="H1111" s="3">
        <v>7.0</v>
      </c>
      <c r="I1111" s="4" t="s">
        <v>4911</v>
      </c>
      <c r="J1111" s="1" t="s">
        <v>4912</v>
      </c>
      <c r="K1111" s="1" t="s">
        <v>418</v>
      </c>
    </row>
    <row r="1112">
      <c r="A1112" s="1" t="s">
        <v>4913</v>
      </c>
      <c r="B1112" s="1" t="s">
        <v>4914</v>
      </c>
      <c r="C1112" s="1">
        <v>2022.0</v>
      </c>
      <c r="D1112" s="2">
        <v>44701.0</v>
      </c>
      <c r="F1112" s="1" t="s">
        <v>355</v>
      </c>
      <c r="H1112" s="3">
        <v>0.0</v>
      </c>
      <c r="I1112" s="4" t="s">
        <v>4915</v>
      </c>
      <c r="J1112" s="1" t="s">
        <v>4916</v>
      </c>
      <c r="K1112" s="1" t="s">
        <v>413</v>
      </c>
    </row>
    <row r="1113">
      <c r="A1113" s="1" t="s">
        <v>4917</v>
      </c>
      <c r="B1113" s="1" t="s">
        <v>4918</v>
      </c>
      <c r="C1113" s="1">
        <v>2022.0</v>
      </c>
      <c r="D1113" s="2">
        <v>44701.0</v>
      </c>
      <c r="F1113" s="1" t="s">
        <v>2955</v>
      </c>
      <c r="H1113" s="3">
        <v>3.0</v>
      </c>
      <c r="I1113" s="4" t="s">
        <v>4919</v>
      </c>
      <c r="J1113" s="1" t="s">
        <v>4920</v>
      </c>
      <c r="K1113" s="1" t="s">
        <v>16</v>
      </c>
    </row>
    <row r="1114">
      <c r="A1114" s="1" t="s">
        <v>4921</v>
      </c>
      <c r="B1114" s="1" t="s">
        <v>4922</v>
      </c>
      <c r="C1114" s="1">
        <v>2022.0</v>
      </c>
      <c r="D1114" s="2">
        <v>44699.0</v>
      </c>
      <c r="F1114" s="1" t="s">
        <v>1340</v>
      </c>
      <c r="H1114" s="3">
        <v>21.0</v>
      </c>
      <c r="I1114" s="4" t="s">
        <v>4923</v>
      </c>
      <c r="J1114" s="1" t="s">
        <v>4924</v>
      </c>
      <c r="K1114" s="1" t="s">
        <v>323</v>
      </c>
    </row>
    <row r="1115">
      <c r="A1115" s="1" t="s">
        <v>4925</v>
      </c>
      <c r="B1115" s="1" t="s">
        <v>4926</v>
      </c>
      <c r="C1115" s="1">
        <v>2022.0</v>
      </c>
      <c r="D1115" s="2">
        <v>44698.0</v>
      </c>
      <c r="F1115" s="1" t="s">
        <v>808</v>
      </c>
      <c r="H1115" s="3">
        <v>26.0</v>
      </c>
      <c r="I1115" s="4" t="s">
        <v>4927</v>
      </c>
      <c r="J1115" s="1" t="s">
        <v>4928</v>
      </c>
      <c r="K1115" s="1" t="s">
        <v>443</v>
      </c>
    </row>
    <row r="1116">
      <c r="A1116" s="1" t="s">
        <v>4929</v>
      </c>
      <c r="B1116" s="1" t="s">
        <v>4930</v>
      </c>
      <c r="C1116" s="1">
        <v>2022.0</v>
      </c>
      <c r="D1116" s="2">
        <v>44698.0</v>
      </c>
      <c r="F1116" s="1" t="s">
        <v>3263</v>
      </c>
      <c r="H1116" s="3">
        <v>3.0</v>
      </c>
      <c r="I1116" s="4" t="s">
        <v>4931</v>
      </c>
      <c r="J1116" s="1" t="s">
        <v>4932</v>
      </c>
      <c r="K1116" s="1" t="s">
        <v>16</v>
      </c>
    </row>
    <row r="1117">
      <c r="A1117" s="1" t="s">
        <v>4933</v>
      </c>
      <c r="B1117" s="1" t="s">
        <v>4934</v>
      </c>
      <c r="C1117" s="1">
        <v>2022.0</v>
      </c>
      <c r="D1117" s="2">
        <v>44697.0</v>
      </c>
      <c r="F1117" s="1" t="s">
        <v>248</v>
      </c>
      <c r="H1117" s="3">
        <v>10.0</v>
      </c>
      <c r="I1117" s="4" t="s">
        <v>4935</v>
      </c>
      <c r="J1117" s="1" t="s">
        <v>4936</v>
      </c>
      <c r="K1117" s="1" t="s">
        <v>323</v>
      </c>
    </row>
    <row r="1118">
      <c r="A1118" s="1" t="s">
        <v>4937</v>
      </c>
      <c r="B1118" s="1" t="s">
        <v>4938</v>
      </c>
      <c r="C1118" s="1">
        <v>2022.0</v>
      </c>
      <c r="D1118" s="2">
        <v>44695.0</v>
      </c>
      <c r="F1118" s="1" t="s">
        <v>4939</v>
      </c>
      <c r="H1118" s="3">
        <v>0.0</v>
      </c>
      <c r="I1118" s="4" t="s">
        <v>4940</v>
      </c>
      <c r="J1118" s="1" t="s">
        <v>4941</v>
      </c>
      <c r="K1118" s="1" t="s">
        <v>413</v>
      </c>
    </row>
    <row r="1119">
      <c r="A1119" s="1" t="s">
        <v>4942</v>
      </c>
      <c r="B1119" s="1" t="s">
        <v>4943</v>
      </c>
      <c r="C1119" s="1">
        <v>2022.0</v>
      </c>
      <c r="D1119" s="2">
        <v>44693.0</v>
      </c>
      <c r="F1119" s="1" t="s">
        <v>1822</v>
      </c>
      <c r="H1119" s="3">
        <v>1.0</v>
      </c>
      <c r="I1119" s="4" t="s">
        <v>4944</v>
      </c>
      <c r="J1119" s="1" t="s">
        <v>4945</v>
      </c>
      <c r="K1119" s="1" t="s">
        <v>418</v>
      </c>
    </row>
    <row r="1120">
      <c r="A1120" s="1" t="s">
        <v>4946</v>
      </c>
      <c r="B1120" s="1" t="s">
        <v>4947</v>
      </c>
      <c r="C1120" s="1">
        <v>2022.0</v>
      </c>
      <c r="D1120" s="2">
        <v>44693.0</v>
      </c>
      <c r="F1120" s="1" t="s">
        <v>1050</v>
      </c>
      <c r="H1120" s="3">
        <v>0.0</v>
      </c>
      <c r="I1120" s="4" t="s">
        <v>4948</v>
      </c>
      <c r="J1120" s="1" t="s">
        <v>4949</v>
      </c>
      <c r="K1120" s="1" t="s">
        <v>28</v>
      </c>
    </row>
    <row r="1121">
      <c r="A1121" s="1" t="s">
        <v>4950</v>
      </c>
      <c r="B1121" s="1" t="s">
        <v>4951</v>
      </c>
      <c r="C1121" s="1">
        <v>2022.0</v>
      </c>
      <c r="D1121" s="2">
        <v>44691.0</v>
      </c>
      <c r="F1121" s="1" t="s">
        <v>934</v>
      </c>
      <c r="H1121" s="3">
        <v>4.0</v>
      </c>
      <c r="I1121" s="4" t="s">
        <v>4952</v>
      </c>
      <c r="J1121" s="1" t="s">
        <v>4953</v>
      </c>
      <c r="K1121" s="1" t="s">
        <v>443</v>
      </c>
    </row>
    <row r="1122">
      <c r="A1122" s="1" t="s">
        <v>4954</v>
      </c>
      <c r="B1122" s="1" t="s">
        <v>4955</v>
      </c>
      <c r="C1122" s="1">
        <v>2022.0</v>
      </c>
      <c r="D1122" s="2">
        <v>44691.0</v>
      </c>
      <c r="F1122" s="1" t="s">
        <v>2041</v>
      </c>
      <c r="H1122" s="3">
        <v>0.0</v>
      </c>
      <c r="I1122" s="4" t="s">
        <v>4956</v>
      </c>
      <c r="J1122" s="1" t="s">
        <v>4957</v>
      </c>
      <c r="K1122" s="1" t="s">
        <v>295</v>
      </c>
    </row>
    <row r="1123">
      <c r="A1123" s="1" t="s">
        <v>4958</v>
      </c>
      <c r="B1123" s="1" t="s">
        <v>4959</v>
      </c>
      <c r="C1123" s="1">
        <v>2022.0</v>
      </c>
      <c r="D1123" s="2">
        <v>44690.0</v>
      </c>
      <c r="F1123" s="1" t="s">
        <v>3340</v>
      </c>
      <c r="H1123" s="3">
        <v>18.0</v>
      </c>
      <c r="I1123" s="4" t="s">
        <v>4960</v>
      </c>
      <c r="J1123" s="1" t="s">
        <v>4961</v>
      </c>
      <c r="K1123" s="1" t="s">
        <v>45</v>
      </c>
    </row>
    <row r="1124">
      <c r="A1124" s="1" t="s">
        <v>4962</v>
      </c>
      <c r="B1124" s="1" t="s">
        <v>4963</v>
      </c>
      <c r="C1124" s="1">
        <v>2022.0</v>
      </c>
      <c r="D1124" s="2">
        <v>44690.0</v>
      </c>
      <c r="F1124" s="1" t="s">
        <v>465</v>
      </c>
      <c r="H1124" s="3">
        <v>4.0</v>
      </c>
      <c r="I1124" s="4" t="s">
        <v>4964</v>
      </c>
      <c r="J1124" s="1" t="s">
        <v>4965</v>
      </c>
      <c r="K1124" s="1" t="s">
        <v>28</v>
      </c>
    </row>
    <row r="1125">
      <c r="A1125" s="1" t="s">
        <v>4966</v>
      </c>
      <c r="B1125" s="1" t="s">
        <v>4967</v>
      </c>
      <c r="C1125" s="1">
        <v>2022.0</v>
      </c>
      <c r="D1125" s="2">
        <v>44690.0</v>
      </c>
      <c r="F1125" s="1" t="s">
        <v>474</v>
      </c>
      <c r="H1125" s="3">
        <v>1.0</v>
      </c>
      <c r="I1125" s="4" t="s">
        <v>4968</v>
      </c>
      <c r="J1125" s="1" t="s">
        <v>4969</v>
      </c>
      <c r="K1125" s="1" t="s">
        <v>295</v>
      </c>
    </row>
    <row r="1126">
      <c r="A1126" s="1" t="s">
        <v>4970</v>
      </c>
      <c r="B1126" s="1" t="s">
        <v>4971</v>
      </c>
      <c r="C1126" s="1">
        <v>2022.0</v>
      </c>
      <c r="D1126" s="2">
        <v>44686.0</v>
      </c>
      <c r="F1126" s="1" t="s">
        <v>1386</v>
      </c>
      <c r="H1126" s="3">
        <v>7.0</v>
      </c>
      <c r="I1126" s="4" t="s">
        <v>4972</v>
      </c>
      <c r="J1126" s="1" t="s">
        <v>4973</v>
      </c>
      <c r="K1126" s="1" t="s">
        <v>1423</v>
      </c>
    </row>
    <row r="1127">
      <c r="A1127" s="1" t="s">
        <v>4974</v>
      </c>
      <c r="B1127" s="1" t="s">
        <v>4975</v>
      </c>
      <c r="C1127" s="1">
        <v>2022.0</v>
      </c>
      <c r="D1127" s="2">
        <v>44686.0</v>
      </c>
      <c r="F1127" s="1" t="s">
        <v>286</v>
      </c>
      <c r="H1127" s="3">
        <v>11.0</v>
      </c>
      <c r="I1127" s="4" t="s">
        <v>4976</v>
      </c>
      <c r="J1127" s="1" t="s">
        <v>4977</v>
      </c>
      <c r="K1127" s="1" t="s">
        <v>443</v>
      </c>
    </row>
    <row r="1128">
      <c r="A1128" s="1" t="s">
        <v>4978</v>
      </c>
      <c r="B1128" s="1" t="s">
        <v>4979</v>
      </c>
      <c r="C1128" s="1">
        <v>2022.0</v>
      </c>
      <c r="D1128" s="2">
        <v>44684.0</v>
      </c>
      <c r="F1128" s="1" t="s">
        <v>4980</v>
      </c>
      <c r="H1128" s="3">
        <v>14.0</v>
      </c>
      <c r="I1128" s="4" t="s">
        <v>4981</v>
      </c>
      <c r="J1128" s="1" t="s">
        <v>4982</v>
      </c>
      <c r="K1128" s="1" t="s">
        <v>2053</v>
      </c>
    </row>
    <row r="1129">
      <c r="A1129" s="1" t="s">
        <v>4983</v>
      </c>
      <c r="B1129" s="1" t="s">
        <v>4984</v>
      </c>
      <c r="C1129" s="1">
        <v>2022.0</v>
      </c>
      <c r="D1129" s="2">
        <v>44684.0</v>
      </c>
      <c r="F1129" s="1" t="s">
        <v>71</v>
      </c>
      <c r="H1129" s="3">
        <v>3.0</v>
      </c>
      <c r="I1129" s="4" t="s">
        <v>4985</v>
      </c>
      <c r="J1129" s="1" t="s">
        <v>4986</v>
      </c>
      <c r="K1129" s="1" t="s">
        <v>28</v>
      </c>
    </row>
    <row r="1130">
      <c r="A1130" s="1" t="s">
        <v>4987</v>
      </c>
      <c r="B1130" s="1" t="s">
        <v>4988</v>
      </c>
      <c r="C1130" s="1">
        <v>2022.0</v>
      </c>
      <c r="D1130" s="2">
        <v>44684.0</v>
      </c>
      <c r="F1130" s="1" t="s">
        <v>86</v>
      </c>
      <c r="H1130" s="3">
        <v>2.0</v>
      </c>
      <c r="I1130" s="4" t="s">
        <v>4989</v>
      </c>
      <c r="J1130" s="1" t="s">
        <v>4990</v>
      </c>
      <c r="K1130" s="1" t="s">
        <v>16</v>
      </c>
    </row>
    <row r="1131">
      <c r="A1131" s="1" t="s">
        <v>4991</v>
      </c>
      <c r="B1131" s="1" t="s">
        <v>4992</v>
      </c>
      <c r="C1131" s="1">
        <v>2022.0</v>
      </c>
      <c r="D1131" s="2">
        <v>44683.0</v>
      </c>
      <c r="F1131" s="1" t="s">
        <v>1123</v>
      </c>
      <c r="H1131" s="3">
        <v>9.0</v>
      </c>
      <c r="I1131" s="4" t="s">
        <v>4993</v>
      </c>
      <c r="J1131" s="1" t="s">
        <v>4994</v>
      </c>
      <c r="K1131" s="1" t="s">
        <v>295</v>
      </c>
    </row>
    <row r="1132">
      <c r="A1132" s="1" t="s">
        <v>4995</v>
      </c>
      <c r="B1132" s="1" t="s">
        <v>4996</v>
      </c>
      <c r="C1132" s="1">
        <v>2022.0</v>
      </c>
      <c r="D1132" s="2">
        <v>44683.0</v>
      </c>
      <c r="F1132" s="1" t="s">
        <v>4997</v>
      </c>
      <c r="H1132" s="3">
        <v>4.0</v>
      </c>
      <c r="I1132" s="4" t="s">
        <v>4998</v>
      </c>
      <c r="J1132" s="1" t="s">
        <v>4999</v>
      </c>
      <c r="K1132" s="1" t="s">
        <v>926</v>
      </c>
    </row>
    <row r="1133">
      <c r="A1133" s="1" t="s">
        <v>5000</v>
      </c>
      <c r="B1133" s="1" t="s">
        <v>5001</v>
      </c>
      <c r="C1133" s="1">
        <v>2022.0</v>
      </c>
      <c r="D1133" s="2">
        <v>44683.0</v>
      </c>
      <c r="F1133" s="1" t="s">
        <v>568</v>
      </c>
      <c r="H1133" s="3">
        <v>4.0</v>
      </c>
      <c r="I1133" s="4" t="s">
        <v>5002</v>
      </c>
      <c r="J1133" s="1" t="s">
        <v>5003</v>
      </c>
      <c r="K1133" s="1" t="s">
        <v>323</v>
      </c>
    </row>
    <row r="1134">
      <c r="A1134" s="1" t="s">
        <v>5004</v>
      </c>
      <c r="B1134" s="1" t="s">
        <v>5005</v>
      </c>
      <c r="C1134" s="1">
        <v>2022.0</v>
      </c>
      <c r="D1134" s="2">
        <v>44683.0</v>
      </c>
      <c r="F1134" s="1" t="s">
        <v>5006</v>
      </c>
      <c r="H1134" s="3">
        <v>25.0</v>
      </c>
      <c r="I1134" s="4" t="s">
        <v>5007</v>
      </c>
      <c r="J1134" s="1" t="s">
        <v>5008</v>
      </c>
      <c r="K1134" s="1" t="s">
        <v>16</v>
      </c>
    </row>
    <row r="1135">
      <c r="A1135" s="1" t="s">
        <v>5009</v>
      </c>
      <c r="B1135" s="1" t="s">
        <v>5010</v>
      </c>
      <c r="C1135" s="1">
        <v>2022.0</v>
      </c>
      <c r="D1135" s="2">
        <v>44682.0</v>
      </c>
      <c r="F1135" s="1" t="s">
        <v>5011</v>
      </c>
      <c r="H1135" s="3">
        <v>4.0</v>
      </c>
      <c r="I1135" s="4" t="s">
        <v>5012</v>
      </c>
      <c r="J1135" s="1"/>
      <c r="K1135" s="1" t="s">
        <v>45</v>
      </c>
    </row>
    <row r="1136">
      <c r="A1136" s="1" t="s">
        <v>5013</v>
      </c>
      <c r="B1136" s="1" t="s">
        <v>5014</v>
      </c>
      <c r="C1136" s="1">
        <v>2022.0</v>
      </c>
      <c r="D1136" s="2">
        <v>44682.0</v>
      </c>
      <c r="F1136" s="1" t="s">
        <v>5015</v>
      </c>
      <c r="H1136" s="3">
        <v>5.0</v>
      </c>
      <c r="I1136" s="4" t="s">
        <v>5016</v>
      </c>
      <c r="J1136" s="1" t="s">
        <v>5017</v>
      </c>
      <c r="K1136" s="1" t="s">
        <v>317</v>
      </c>
    </row>
    <row r="1137">
      <c r="A1137" s="1" t="s">
        <v>5018</v>
      </c>
      <c r="B1137" s="1" t="s">
        <v>5019</v>
      </c>
      <c r="C1137" s="1">
        <v>2022.0</v>
      </c>
      <c r="D1137" s="2">
        <v>44682.0</v>
      </c>
      <c r="F1137" s="1" t="s">
        <v>5020</v>
      </c>
      <c r="H1137" s="3">
        <v>3.0</v>
      </c>
      <c r="I1137" s="4" t="s">
        <v>5021</v>
      </c>
      <c r="J1137" s="1" t="s">
        <v>5022</v>
      </c>
      <c r="K1137" s="1" t="s">
        <v>1036</v>
      </c>
    </row>
    <row r="1138">
      <c r="A1138" s="1" t="s">
        <v>5023</v>
      </c>
      <c r="B1138" s="1" t="s">
        <v>5024</v>
      </c>
      <c r="C1138" s="1">
        <v>2022.0</v>
      </c>
      <c r="D1138" s="2">
        <v>44682.0</v>
      </c>
      <c r="F1138" s="1" t="s">
        <v>2352</v>
      </c>
      <c r="H1138" s="3">
        <v>37.0</v>
      </c>
      <c r="I1138" s="4" t="s">
        <v>5025</v>
      </c>
      <c r="J1138" s="1" t="s">
        <v>5026</v>
      </c>
      <c r="K1138" s="1" t="s">
        <v>383</v>
      </c>
    </row>
    <row r="1139">
      <c r="A1139" s="1" t="s">
        <v>5027</v>
      </c>
      <c r="B1139" s="1" t="s">
        <v>5028</v>
      </c>
      <c r="C1139" s="1">
        <v>2022.0</v>
      </c>
      <c r="D1139" s="2">
        <v>44681.0</v>
      </c>
      <c r="F1139" s="1" t="s">
        <v>208</v>
      </c>
      <c r="H1139" s="3">
        <v>3.0</v>
      </c>
      <c r="I1139" s="4" t="s">
        <v>5029</v>
      </c>
      <c r="J1139" s="1"/>
      <c r="K1139" s="1" t="s">
        <v>926</v>
      </c>
    </row>
    <row r="1140">
      <c r="A1140" s="1" t="s">
        <v>5030</v>
      </c>
      <c r="B1140" s="1" t="s">
        <v>5031</v>
      </c>
      <c r="C1140" s="1">
        <v>2022.0</v>
      </c>
      <c r="D1140" s="2">
        <v>44679.0</v>
      </c>
      <c r="F1140" s="1" t="s">
        <v>5032</v>
      </c>
      <c r="H1140" s="3">
        <v>3.0</v>
      </c>
      <c r="I1140" s="4" t="s">
        <v>5033</v>
      </c>
      <c r="J1140" s="1" t="s">
        <v>5034</v>
      </c>
      <c r="K1140" s="1" t="s">
        <v>45</v>
      </c>
    </row>
    <row r="1141">
      <c r="A1141" s="1" t="s">
        <v>5035</v>
      </c>
      <c r="B1141" s="1" t="s">
        <v>5036</v>
      </c>
      <c r="C1141" s="1">
        <v>2022.0</v>
      </c>
      <c r="D1141" s="2">
        <v>44679.0</v>
      </c>
      <c r="F1141" s="1" t="s">
        <v>1358</v>
      </c>
      <c r="H1141" s="3">
        <v>39.0</v>
      </c>
      <c r="I1141" s="4" t="s">
        <v>5037</v>
      </c>
      <c r="J1141" s="1" t="s">
        <v>5038</v>
      </c>
      <c r="K1141" s="1" t="s">
        <v>329</v>
      </c>
    </row>
    <row r="1142">
      <c r="A1142" s="1" t="s">
        <v>5039</v>
      </c>
      <c r="B1142" s="1" t="s">
        <v>3801</v>
      </c>
      <c r="C1142" s="1">
        <v>2022.0</v>
      </c>
      <c r="D1142" s="2">
        <v>44679.0</v>
      </c>
      <c r="F1142" s="1" t="s">
        <v>440</v>
      </c>
      <c r="H1142" s="3">
        <v>23.0</v>
      </c>
      <c r="I1142" s="4" t="s">
        <v>5040</v>
      </c>
      <c r="J1142" s="1" t="s">
        <v>5041</v>
      </c>
      <c r="K1142" s="1" t="s">
        <v>443</v>
      </c>
    </row>
    <row r="1143">
      <c r="A1143" s="1" t="s">
        <v>5042</v>
      </c>
      <c r="B1143" s="1" t="s">
        <v>5043</v>
      </c>
      <c r="C1143" s="1">
        <v>2022.0</v>
      </c>
      <c r="D1143" s="2">
        <v>44679.0</v>
      </c>
      <c r="F1143" s="1" t="s">
        <v>882</v>
      </c>
      <c r="H1143" s="3">
        <v>60.0</v>
      </c>
      <c r="I1143" s="4" t="s">
        <v>5044</v>
      </c>
      <c r="J1143" s="1" t="s">
        <v>5045</v>
      </c>
      <c r="K1143" s="1" t="s">
        <v>295</v>
      </c>
    </row>
    <row r="1144">
      <c r="A1144" s="1" t="s">
        <v>5046</v>
      </c>
      <c r="B1144" s="1" t="s">
        <v>5047</v>
      </c>
      <c r="C1144" s="1">
        <v>2022.0</v>
      </c>
      <c r="D1144" s="2">
        <v>44679.0</v>
      </c>
      <c r="F1144" s="1" t="s">
        <v>440</v>
      </c>
      <c r="H1144" s="3">
        <v>0.0</v>
      </c>
      <c r="I1144" s="4" t="s">
        <v>5048</v>
      </c>
      <c r="J1144" s="1"/>
      <c r="K1144" s="1" t="s">
        <v>16</v>
      </c>
    </row>
    <row r="1145">
      <c r="A1145" s="1" t="s">
        <v>5049</v>
      </c>
      <c r="B1145" s="1" t="s">
        <v>5050</v>
      </c>
      <c r="C1145" s="1">
        <v>2022.0</v>
      </c>
      <c r="D1145" s="2">
        <v>44678.0</v>
      </c>
      <c r="F1145" s="1" t="s">
        <v>142</v>
      </c>
      <c r="H1145" s="3">
        <v>13.0</v>
      </c>
      <c r="I1145" s="4" t="s">
        <v>5051</v>
      </c>
      <c r="J1145" s="1" t="s">
        <v>5052</v>
      </c>
      <c r="K1145" s="1" t="s">
        <v>413</v>
      </c>
    </row>
    <row r="1146">
      <c r="A1146" s="1" t="s">
        <v>5053</v>
      </c>
      <c r="B1146" s="1" t="s">
        <v>5054</v>
      </c>
      <c r="C1146" s="1">
        <v>2022.0</v>
      </c>
      <c r="D1146" s="2">
        <v>44678.0</v>
      </c>
      <c r="F1146" s="1" t="s">
        <v>5055</v>
      </c>
      <c r="H1146" s="3">
        <v>6.0</v>
      </c>
      <c r="I1146" s="4" t="s">
        <v>5056</v>
      </c>
      <c r="J1146" s="1" t="s">
        <v>5057</v>
      </c>
      <c r="K1146" s="1" t="s">
        <v>16</v>
      </c>
    </row>
    <row r="1147">
      <c r="A1147" s="1" t="s">
        <v>5058</v>
      </c>
      <c r="B1147" s="1" t="s">
        <v>5059</v>
      </c>
      <c r="C1147" s="1">
        <v>2022.0</v>
      </c>
      <c r="D1147" s="2">
        <v>44673.0</v>
      </c>
      <c r="F1147" s="1" t="s">
        <v>1123</v>
      </c>
      <c r="H1147" s="3">
        <v>1.0</v>
      </c>
      <c r="I1147" s="4" t="s">
        <v>5060</v>
      </c>
      <c r="J1147" s="1" t="s">
        <v>5061</v>
      </c>
      <c r="K1147" s="1" t="s">
        <v>383</v>
      </c>
    </row>
    <row r="1148">
      <c r="A1148" s="1" t="s">
        <v>5062</v>
      </c>
      <c r="B1148" s="1" t="s">
        <v>5063</v>
      </c>
      <c r="C1148" s="1">
        <v>2022.0</v>
      </c>
      <c r="D1148" s="2">
        <v>44673.0</v>
      </c>
      <c r="F1148" s="1" t="s">
        <v>271</v>
      </c>
      <c r="H1148" s="3">
        <v>4.0</v>
      </c>
      <c r="I1148" s="4" t="s">
        <v>5064</v>
      </c>
      <c r="J1148" s="1" t="s">
        <v>5065</v>
      </c>
      <c r="K1148" s="1" t="s">
        <v>16</v>
      </c>
    </row>
    <row r="1149">
      <c r="A1149" s="1" t="s">
        <v>5066</v>
      </c>
      <c r="B1149" s="1" t="s">
        <v>5067</v>
      </c>
      <c r="C1149" s="1">
        <v>2022.0</v>
      </c>
      <c r="D1149" s="2">
        <v>44672.0</v>
      </c>
      <c r="F1149" s="1" t="s">
        <v>271</v>
      </c>
      <c r="H1149" s="3">
        <v>3.0</v>
      </c>
      <c r="I1149" s="4" t="s">
        <v>5068</v>
      </c>
      <c r="J1149" s="1" t="s">
        <v>5069</v>
      </c>
      <c r="K1149" s="1" t="s">
        <v>571</v>
      </c>
    </row>
    <row r="1150">
      <c r="A1150" s="1" t="s">
        <v>5070</v>
      </c>
      <c r="B1150" s="1" t="s">
        <v>5071</v>
      </c>
      <c r="C1150" s="1">
        <v>2022.0</v>
      </c>
      <c r="D1150" s="2">
        <v>44672.0</v>
      </c>
      <c r="F1150" s="1" t="s">
        <v>558</v>
      </c>
      <c r="H1150" s="3">
        <v>3.0</v>
      </c>
      <c r="I1150" s="4" t="s">
        <v>5072</v>
      </c>
      <c r="J1150" s="1" t="s">
        <v>5073</v>
      </c>
      <c r="K1150" s="1" t="s">
        <v>323</v>
      </c>
    </row>
    <row r="1151">
      <c r="A1151" s="1" t="s">
        <v>5074</v>
      </c>
      <c r="B1151" s="1" t="s">
        <v>5075</v>
      </c>
      <c r="C1151" s="1">
        <v>2022.0</v>
      </c>
      <c r="D1151" s="2">
        <v>44672.0</v>
      </c>
      <c r="F1151" s="1" t="s">
        <v>5076</v>
      </c>
      <c r="H1151" s="3">
        <v>5.0</v>
      </c>
      <c r="I1151" s="4" t="s">
        <v>5077</v>
      </c>
      <c r="J1151" s="1" t="s">
        <v>5078</v>
      </c>
      <c r="K1151" s="1" t="s">
        <v>383</v>
      </c>
    </row>
    <row r="1152">
      <c r="A1152" s="1" t="s">
        <v>5079</v>
      </c>
      <c r="B1152" s="1" t="s">
        <v>5080</v>
      </c>
      <c r="C1152" s="1">
        <v>2022.0</v>
      </c>
      <c r="D1152" s="2">
        <v>44671.0</v>
      </c>
      <c r="F1152" s="1" t="s">
        <v>5081</v>
      </c>
      <c r="H1152" s="3">
        <v>3.0</v>
      </c>
      <c r="I1152" s="4" t="s">
        <v>5082</v>
      </c>
      <c r="J1152" s="1" t="s">
        <v>5083</v>
      </c>
      <c r="K1152" s="1" t="s">
        <v>28</v>
      </c>
    </row>
    <row r="1153">
      <c r="A1153" s="1" t="s">
        <v>5084</v>
      </c>
      <c r="B1153" s="1" t="s">
        <v>5085</v>
      </c>
      <c r="C1153" s="1">
        <v>2022.0</v>
      </c>
      <c r="D1153" s="2">
        <v>44670.0</v>
      </c>
      <c r="F1153" s="1" t="s">
        <v>4037</v>
      </c>
      <c r="H1153" s="3">
        <v>12.0</v>
      </c>
      <c r="I1153" s="4" t="s">
        <v>5086</v>
      </c>
      <c r="J1153" s="1" t="s">
        <v>5087</v>
      </c>
      <c r="K1153" s="1" t="s">
        <v>1036</v>
      </c>
    </row>
    <row r="1154">
      <c r="A1154" s="1" t="s">
        <v>5088</v>
      </c>
      <c r="B1154" s="1" t="s">
        <v>5089</v>
      </c>
      <c r="C1154" s="1">
        <v>2022.0</v>
      </c>
      <c r="D1154" s="2">
        <v>44670.0</v>
      </c>
      <c r="F1154" s="1" t="s">
        <v>5090</v>
      </c>
      <c r="H1154" s="3">
        <v>4.0</v>
      </c>
      <c r="I1154" s="4" t="s">
        <v>5091</v>
      </c>
      <c r="J1154" s="1" t="s">
        <v>5092</v>
      </c>
      <c r="K1154" s="1" t="s">
        <v>28</v>
      </c>
    </row>
    <row r="1155">
      <c r="A1155" s="1" t="s">
        <v>5093</v>
      </c>
      <c r="B1155" s="1" t="s">
        <v>5094</v>
      </c>
      <c r="C1155" s="1">
        <v>2022.0</v>
      </c>
      <c r="D1155" s="2">
        <v>44669.0</v>
      </c>
      <c r="F1155" s="1" t="s">
        <v>1358</v>
      </c>
      <c r="H1155" s="3">
        <v>8.0</v>
      </c>
      <c r="I1155" s="4" t="s">
        <v>5095</v>
      </c>
      <c r="J1155" s="1" t="s">
        <v>5096</v>
      </c>
      <c r="K1155" s="1" t="s">
        <v>443</v>
      </c>
    </row>
    <row r="1156">
      <c r="A1156" s="1" t="s">
        <v>5097</v>
      </c>
      <c r="B1156" s="1" t="s">
        <v>5098</v>
      </c>
      <c r="C1156" s="1">
        <v>2022.0</v>
      </c>
      <c r="D1156" s="2">
        <v>44669.0</v>
      </c>
      <c r="F1156" s="1" t="s">
        <v>13</v>
      </c>
      <c r="H1156" s="3">
        <v>8.0</v>
      </c>
      <c r="I1156" s="4" t="s">
        <v>5099</v>
      </c>
      <c r="J1156" s="1" t="s">
        <v>5100</v>
      </c>
      <c r="K1156" s="1" t="s">
        <v>443</v>
      </c>
    </row>
    <row r="1157">
      <c r="A1157" s="1" t="s">
        <v>5101</v>
      </c>
      <c r="B1157" s="1" t="s">
        <v>5102</v>
      </c>
      <c r="C1157" s="1">
        <v>2022.0</v>
      </c>
      <c r="D1157" s="2">
        <v>44669.0</v>
      </c>
      <c r="F1157" s="1" t="s">
        <v>2515</v>
      </c>
      <c r="H1157" s="3">
        <v>3.0</v>
      </c>
      <c r="I1157" s="4" t="s">
        <v>5103</v>
      </c>
      <c r="J1157" s="1" t="s">
        <v>5104</v>
      </c>
      <c r="K1157" s="1" t="s">
        <v>492</v>
      </c>
    </row>
    <row r="1158">
      <c r="A1158" s="1" t="s">
        <v>5105</v>
      </c>
      <c r="B1158" s="1" t="s">
        <v>5106</v>
      </c>
      <c r="C1158" s="1">
        <v>2022.0</v>
      </c>
      <c r="D1158" s="2">
        <v>44669.0</v>
      </c>
      <c r="F1158" s="1" t="s">
        <v>271</v>
      </c>
      <c r="H1158" s="3">
        <v>2.0</v>
      </c>
      <c r="I1158" s="4" t="s">
        <v>5107</v>
      </c>
      <c r="J1158" s="1" t="s">
        <v>5108</v>
      </c>
      <c r="K1158" s="1" t="s">
        <v>1036</v>
      </c>
    </row>
    <row r="1159">
      <c r="A1159" s="1" t="s">
        <v>5109</v>
      </c>
      <c r="B1159" s="1" t="s">
        <v>5110</v>
      </c>
      <c r="C1159" s="1">
        <v>2022.0</v>
      </c>
      <c r="D1159" s="2">
        <v>44666.0</v>
      </c>
      <c r="F1159" s="1" t="s">
        <v>1777</v>
      </c>
      <c r="H1159" s="3">
        <v>0.0</v>
      </c>
      <c r="I1159" s="4" t="s">
        <v>5111</v>
      </c>
      <c r="J1159" s="1" t="s">
        <v>5112</v>
      </c>
      <c r="K1159" s="1" t="s">
        <v>477</v>
      </c>
    </row>
    <row r="1160">
      <c r="A1160" s="1" t="s">
        <v>5113</v>
      </c>
      <c r="B1160" s="1" t="s">
        <v>5114</v>
      </c>
      <c r="C1160" s="1">
        <v>2022.0</v>
      </c>
      <c r="D1160" s="2">
        <v>44666.0</v>
      </c>
      <c r="F1160" s="1" t="s">
        <v>208</v>
      </c>
      <c r="H1160" s="3">
        <v>6.0</v>
      </c>
      <c r="I1160" s="4" t="s">
        <v>5115</v>
      </c>
      <c r="J1160" s="1" t="s">
        <v>5116</v>
      </c>
      <c r="K1160" s="1" t="s">
        <v>477</v>
      </c>
    </row>
    <row r="1161">
      <c r="A1161" s="1" t="s">
        <v>5117</v>
      </c>
      <c r="B1161" s="1" t="s">
        <v>5118</v>
      </c>
      <c r="C1161" s="1">
        <v>2022.0</v>
      </c>
      <c r="D1161" s="2">
        <v>44666.0</v>
      </c>
      <c r="F1161" s="1" t="s">
        <v>1123</v>
      </c>
      <c r="H1161" s="3">
        <v>5.0</v>
      </c>
      <c r="I1161" s="4" t="s">
        <v>5119</v>
      </c>
      <c r="J1161" s="1" t="s">
        <v>5120</v>
      </c>
      <c r="K1161" s="1" t="s">
        <v>295</v>
      </c>
    </row>
    <row r="1162">
      <c r="A1162" s="1" t="s">
        <v>5121</v>
      </c>
      <c r="B1162" s="1" t="s">
        <v>5122</v>
      </c>
      <c r="C1162" s="1">
        <v>2022.0</v>
      </c>
      <c r="D1162" s="2">
        <v>44664.0</v>
      </c>
      <c r="F1162" s="1" t="s">
        <v>5123</v>
      </c>
      <c r="H1162" s="3">
        <v>4.0</v>
      </c>
      <c r="I1162" s="4" t="s">
        <v>5124</v>
      </c>
      <c r="J1162" s="1" t="s">
        <v>5125</v>
      </c>
      <c r="K1162" s="1" t="s">
        <v>1036</v>
      </c>
    </row>
    <row r="1163">
      <c r="A1163" s="1" t="s">
        <v>5126</v>
      </c>
      <c r="B1163" s="1" t="s">
        <v>5127</v>
      </c>
      <c r="C1163" s="1">
        <v>2022.0</v>
      </c>
      <c r="D1163" s="2">
        <v>44664.0</v>
      </c>
      <c r="F1163" s="1" t="s">
        <v>2540</v>
      </c>
      <c r="H1163" s="3">
        <v>249.0</v>
      </c>
      <c r="I1163" s="4" t="s">
        <v>5128</v>
      </c>
      <c r="J1163" s="1" t="s">
        <v>5129</v>
      </c>
      <c r="K1163" s="1" t="s">
        <v>16</v>
      </c>
    </row>
    <row r="1164">
      <c r="A1164" s="1" t="s">
        <v>5130</v>
      </c>
      <c r="B1164" s="1" t="s">
        <v>5131</v>
      </c>
      <c r="C1164" s="1">
        <v>2022.0</v>
      </c>
      <c r="D1164" s="2">
        <v>44664.0</v>
      </c>
      <c r="F1164" s="1" t="s">
        <v>271</v>
      </c>
      <c r="H1164" s="3">
        <v>3.0</v>
      </c>
      <c r="I1164" s="4" t="s">
        <v>5132</v>
      </c>
      <c r="J1164" s="1" t="s">
        <v>5133</v>
      </c>
      <c r="K1164" s="1" t="s">
        <v>16</v>
      </c>
    </row>
    <row r="1165">
      <c r="A1165" s="1" t="s">
        <v>5134</v>
      </c>
      <c r="B1165" s="1" t="s">
        <v>5135</v>
      </c>
      <c r="C1165" s="1">
        <v>2022.0</v>
      </c>
      <c r="D1165" s="2">
        <v>44664.0</v>
      </c>
      <c r="F1165" s="1" t="s">
        <v>1415</v>
      </c>
      <c r="H1165" s="3">
        <v>7.0</v>
      </c>
      <c r="I1165" s="4" t="s">
        <v>5136</v>
      </c>
      <c r="J1165" s="1" t="s">
        <v>5137</v>
      </c>
      <c r="K1165" s="1" t="s">
        <v>462</v>
      </c>
    </row>
    <row r="1166">
      <c r="A1166" s="1" t="s">
        <v>5138</v>
      </c>
      <c r="B1166" s="1" t="s">
        <v>5139</v>
      </c>
      <c r="C1166" s="1">
        <v>2022.0</v>
      </c>
      <c r="D1166" s="2">
        <v>44663.0</v>
      </c>
      <c r="F1166" s="1" t="s">
        <v>1123</v>
      </c>
      <c r="H1166" s="3">
        <v>5.0</v>
      </c>
      <c r="I1166" s="4" t="s">
        <v>5140</v>
      </c>
      <c r="J1166" s="1" t="s">
        <v>5141</v>
      </c>
      <c r="K1166" s="1" t="s">
        <v>295</v>
      </c>
    </row>
    <row r="1167">
      <c r="A1167" s="1" t="s">
        <v>5142</v>
      </c>
      <c r="B1167" s="1" t="s">
        <v>5143</v>
      </c>
      <c r="C1167" s="1">
        <v>2022.0</v>
      </c>
      <c r="D1167" s="2">
        <v>44663.0</v>
      </c>
      <c r="F1167" s="1" t="s">
        <v>5144</v>
      </c>
      <c r="H1167" s="3">
        <v>0.0</v>
      </c>
      <c r="I1167" s="4" t="s">
        <v>5145</v>
      </c>
      <c r="J1167" s="1"/>
      <c r="K1167" s="1" t="s">
        <v>16</v>
      </c>
    </row>
    <row r="1168">
      <c r="A1168" s="1" t="s">
        <v>5146</v>
      </c>
      <c r="B1168" s="1" t="s">
        <v>5147</v>
      </c>
      <c r="C1168" s="1">
        <v>2022.0</v>
      </c>
      <c r="D1168" s="2">
        <v>44662.0</v>
      </c>
      <c r="F1168" s="1" t="s">
        <v>71</v>
      </c>
      <c r="H1168" s="3">
        <v>3.0</v>
      </c>
      <c r="I1168" s="4" t="s">
        <v>5148</v>
      </c>
      <c r="J1168" s="1" t="s">
        <v>5149</v>
      </c>
      <c r="K1168" s="1" t="s">
        <v>403</v>
      </c>
    </row>
    <row r="1169">
      <c r="A1169" s="1" t="s">
        <v>5150</v>
      </c>
      <c r="B1169" s="1" t="s">
        <v>5151</v>
      </c>
      <c r="C1169" s="1">
        <v>2022.0</v>
      </c>
      <c r="D1169" s="2">
        <v>44662.0</v>
      </c>
      <c r="F1169" s="1" t="s">
        <v>1349</v>
      </c>
      <c r="H1169" s="3">
        <v>4.0</v>
      </c>
      <c r="I1169" s="4" t="s">
        <v>5152</v>
      </c>
      <c r="J1169" s="1" t="s">
        <v>5153</v>
      </c>
      <c r="K1169" s="1" t="s">
        <v>16</v>
      </c>
    </row>
    <row r="1170">
      <c r="A1170" s="1" t="s">
        <v>5154</v>
      </c>
      <c r="B1170" s="1" t="s">
        <v>5155</v>
      </c>
      <c r="C1170" s="1">
        <v>2022.0</v>
      </c>
      <c r="D1170" s="2">
        <v>44659.0</v>
      </c>
      <c r="F1170" s="1" t="s">
        <v>3276</v>
      </c>
      <c r="H1170" s="3">
        <v>38.0</v>
      </c>
      <c r="I1170" s="4" t="s">
        <v>5156</v>
      </c>
      <c r="J1170" s="1" t="s">
        <v>5157</v>
      </c>
      <c r="K1170" s="1" t="s">
        <v>28</v>
      </c>
    </row>
    <row r="1171">
      <c r="A1171" s="1" t="s">
        <v>5158</v>
      </c>
      <c r="B1171" s="1" t="s">
        <v>3024</v>
      </c>
      <c r="C1171" s="1">
        <v>2022.0</v>
      </c>
      <c r="D1171" s="2">
        <v>44659.0</v>
      </c>
      <c r="F1171" s="1" t="s">
        <v>369</v>
      </c>
      <c r="H1171" s="3">
        <v>41.0</v>
      </c>
      <c r="I1171" s="4" t="s">
        <v>5159</v>
      </c>
      <c r="J1171" s="1" t="s">
        <v>5160</v>
      </c>
      <c r="K1171" s="1" t="s">
        <v>418</v>
      </c>
    </row>
    <row r="1172">
      <c r="A1172" s="1" t="s">
        <v>5161</v>
      </c>
      <c r="B1172" s="1" t="s">
        <v>5162</v>
      </c>
      <c r="C1172" s="1">
        <v>2022.0</v>
      </c>
      <c r="D1172" s="2">
        <v>44659.0</v>
      </c>
      <c r="F1172" s="1" t="s">
        <v>2586</v>
      </c>
      <c r="H1172" s="3">
        <v>3.0</v>
      </c>
      <c r="I1172" s="4" t="s">
        <v>5163</v>
      </c>
      <c r="J1172" s="1" t="s">
        <v>5164</v>
      </c>
      <c r="K1172" s="1" t="s">
        <v>443</v>
      </c>
    </row>
    <row r="1173">
      <c r="A1173" s="1" t="s">
        <v>5165</v>
      </c>
      <c r="B1173" s="1" t="s">
        <v>5166</v>
      </c>
      <c r="C1173" s="1">
        <v>2022.0</v>
      </c>
      <c r="D1173" s="2">
        <v>44658.0</v>
      </c>
      <c r="F1173" s="1" t="s">
        <v>5167</v>
      </c>
      <c r="H1173" s="3">
        <v>90.0</v>
      </c>
      <c r="I1173" s="4" t="s">
        <v>5168</v>
      </c>
      <c r="J1173" s="1" t="s">
        <v>5169</v>
      </c>
      <c r="K1173" s="1" t="s">
        <v>295</v>
      </c>
    </row>
    <row r="1174">
      <c r="A1174" s="1" t="s">
        <v>5170</v>
      </c>
      <c r="B1174" s="1" t="s">
        <v>5171</v>
      </c>
      <c r="C1174" s="1">
        <v>2022.0</v>
      </c>
      <c r="D1174" s="2">
        <v>44657.0</v>
      </c>
      <c r="F1174" s="1" t="s">
        <v>2080</v>
      </c>
      <c r="H1174" s="3">
        <v>3.0</v>
      </c>
      <c r="I1174" s="4" t="s">
        <v>5172</v>
      </c>
      <c r="J1174" s="1" t="s">
        <v>5173</v>
      </c>
      <c r="K1174" s="1" t="s">
        <v>372</v>
      </c>
    </row>
    <row r="1175">
      <c r="A1175" s="1" t="s">
        <v>5174</v>
      </c>
      <c r="B1175" s="1" t="s">
        <v>5175</v>
      </c>
      <c r="C1175" s="1">
        <v>2022.0</v>
      </c>
      <c r="D1175" s="2">
        <v>44657.0</v>
      </c>
      <c r="F1175" s="1" t="s">
        <v>1050</v>
      </c>
      <c r="H1175" s="3">
        <v>0.0</v>
      </c>
      <c r="I1175" s="4" t="s">
        <v>5176</v>
      </c>
      <c r="J1175" s="1" t="s">
        <v>5177</v>
      </c>
      <c r="K1175" s="1" t="s">
        <v>28</v>
      </c>
    </row>
    <row r="1176">
      <c r="A1176" s="1" t="s">
        <v>5178</v>
      </c>
      <c r="B1176" s="1" t="s">
        <v>5179</v>
      </c>
      <c r="C1176" s="1">
        <v>2022.0</v>
      </c>
      <c r="D1176" s="2">
        <v>44657.0</v>
      </c>
      <c r="F1176" s="1" t="s">
        <v>558</v>
      </c>
      <c r="H1176" s="3">
        <v>4.0</v>
      </c>
      <c r="I1176" s="4" t="s">
        <v>5180</v>
      </c>
      <c r="J1176" s="1" t="s">
        <v>5181</v>
      </c>
      <c r="K1176" s="1" t="s">
        <v>16</v>
      </c>
    </row>
    <row r="1177">
      <c r="A1177" s="1" t="s">
        <v>5182</v>
      </c>
      <c r="B1177" s="1" t="s">
        <v>5183</v>
      </c>
      <c r="C1177" s="1">
        <v>2022.0</v>
      </c>
      <c r="D1177" s="2">
        <v>44656.0</v>
      </c>
      <c r="F1177" s="1" t="s">
        <v>2417</v>
      </c>
      <c r="H1177" s="3">
        <v>4.0</v>
      </c>
      <c r="I1177" s="4" t="s">
        <v>5184</v>
      </c>
      <c r="J1177" s="1" t="s">
        <v>5185</v>
      </c>
      <c r="K1177" s="1" t="s">
        <v>28</v>
      </c>
    </row>
    <row r="1178">
      <c r="A1178" s="1" t="s">
        <v>5186</v>
      </c>
      <c r="B1178" s="1" t="s">
        <v>5187</v>
      </c>
      <c r="C1178" s="1">
        <v>2022.0</v>
      </c>
      <c r="D1178" s="2">
        <v>44656.0</v>
      </c>
      <c r="F1178" s="1" t="s">
        <v>2088</v>
      </c>
      <c r="H1178" s="3">
        <v>1.0</v>
      </c>
      <c r="I1178" s="4" t="s">
        <v>5188</v>
      </c>
      <c r="J1178" s="1" t="s">
        <v>5189</v>
      </c>
      <c r="K1178" s="1" t="s">
        <v>68</v>
      </c>
    </row>
    <row r="1179">
      <c r="A1179" s="1" t="s">
        <v>5190</v>
      </c>
      <c r="B1179" s="1" t="s">
        <v>4123</v>
      </c>
      <c r="C1179" s="1">
        <v>2022.0</v>
      </c>
      <c r="D1179" s="2">
        <v>44656.0</v>
      </c>
      <c r="F1179" s="1" t="s">
        <v>4124</v>
      </c>
      <c r="H1179" s="3">
        <v>13.0</v>
      </c>
      <c r="I1179" s="4" t="s">
        <v>5191</v>
      </c>
      <c r="J1179" s="1" t="s">
        <v>5192</v>
      </c>
      <c r="K1179" s="1" t="s">
        <v>16</v>
      </c>
    </row>
    <row r="1180">
      <c r="A1180" s="1" t="s">
        <v>5193</v>
      </c>
      <c r="B1180" s="1" t="s">
        <v>4115</v>
      </c>
      <c r="C1180" s="1">
        <v>2022.0</v>
      </c>
      <c r="D1180" s="2">
        <v>44656.0</v>
      </c>
      <c r="F1180" s="1" t="s">
        <v>2774</v>
      </c>
      <c r="H1180" s="3">
        <v>37.0</v>
      </c>
      <c r="I1180" s="4" t="s">
        <v>5194</v>
      </c>
      <c r="J1180" s="1" t="s">
        <v>5195</v>
      </c>
      <c r="K1180" s="1" t="s">
        <v>16</v>
      </c>
    </row>
    <row r="1181">
      <c r="A1181" s="1" t="s">
        <v>5196</v>
      </c>
      <c r="B1181" s="1" t="s">
        <v>5197</v>
      </c>
      <c r="C1181" s="1">
        <v>2022.0</v>
      </c>
      <c r="D1181" s="2">
        <v>44655.0</v>
      </c>
      <c r="F1181" s="1" t="s">
        <v>1415</v>
      </c>
      <c r="H1181" s="3">
        <v>7.0</v>
      </c>
      <c r="I1181" s="4" t="s">
        <v>5198</v>
      </c>
      <c r="J1181" s="1" t="s">
        <v>5199</v>
      </c>
      <c r="K1181" s="1" t="s">
        <v>372</v>
      </c>
    </row>
    <row r="1182">
      <c r="A1182" s="1" t="s">
        <v>5200</v>
      </c>
      <c r="B1182" s="1" t="s">
        <v>5201</v>
      </c>
      <c r="C1182" s="1">
        <v>2022.0</v>
      </c>
      <c r="D1182" s="2">
        <v>44655.0</v>
      </c>
      <c r="F1182" s="1" t="s">
        <v>5202</v>
      </c>
      <c r="H1182" s="3">
        <v>1.0</v>
      </c>
      <c r="I1182" s="4" t="s">
        <v>5203</v>
      </c>
      <c r="J1182" s="1" t="s">
        <v>5204</v>
      </c>
      <c r="K1182" s="1" t="s">
        <v>413</v>
      </c>
    </row>
    <row r="1183">
      <c r="A1183" s="1" t="s">
        <v>5205</v>
      </c>
      <c r="B1183" s="1" t="s">
        <v>5206</v>
      </c>
      <c r="C1183" s="1">
        <v>2022.0</v>
      </c>
      <c r="D1183" s="2">
        <v>44652.0</v>
      </c>
      <c r="F1183" s="1" t="s">
        <v>726</v>
      </c>
      <c r="H1183" s="3">
        <v>10.0</v>
      </c>
      <c r="I1183" s="4" t="s">
        <v>5207</v>
      </c>
      <c r="J1183" s="1" t="s">
        <v>5208</v>
      </c>
      <c r="K1183" s="1" t="s">
        <v>571</v>
      </c>
    </row>
    <row r="1184">
      <c r="A1184" s="1" t="s">
        <v>5209</v>
      </c>
      <c r="B1184" s="1" t="s">
        <v>5210</v>
      </c>
      <c r="C1184" s="1">
        <v>2022.0</v>
      </c>
      <c r="D1184" s="2">
        <v>44652.0</v>
      </c>
      <c r="F1184" s="1" t="s">
        <v>726</v>
      </c>
      <c r="H1184" s="3">
        <v>9.0</v>
      </c>
      <c r="I1184" s="4" t="s">
        <v>5211</v>
      </c>
      <c r="J1184" s="1" t="s">
        <v>5212</v>
      </c>
      <c r="K1184" s="1" t="s">
        <v>1036</v>
      </c>
    </row>
    <row r="1185">
      <c r="A1185" s="1" t="s">
        <v>5213</v>
      </c>
      <c r="B1185" s="1" t="s">
        <v>5214</v>
      </c>
      <c r="C1185" s="1">
        <v>2022.0</v>
      </c>
      <c r="D1185" s="2">
        <v>44652.0</v>
      </c>
      <c r="F1185" s="1" t="s">
        <v>4073</v>
      </c>
      <c r="H1185" s="3">
        <v>8.0</v>
      </c>
      <c r="I1185" s="4" t="s">
        <v>5215</v>
      </c>
      <c r="J1185" s="1" t="s">
        <v>5216</v>
      </c>
      <c r="K1185" s="1" t="s">
        <v>329</v>
      </c>
    </row>
    <row r="1186">
      <c r="A1186" s="1" t="s">
        <v>5217</v>
      </c>
      <c r="B1186" s="1" t="s">
        <v>5218</v>
      </c>
      <c r="C1186" s="1">
        <v>2022.0</v>
      </c>
      <c r="D1186" s="2">
        <v>44652.0</v>
      </c>
      <c r="F1186" s="1" t="s">
        <v>1442</v>
      </c>
      <c r="H1186" s="3">
        <v>15.0</v>
      </c>
      <c r="I1186" s="4" t="s">
        <v>5219</v>
      </c>
      <c r="J1186" s="1" t="s">
        <v>5220</v>
      </c>
      <c r="K1186" s="1" t="s">
        <v>28</v>
      </c>
    </row>
    <row r="1187">
      <c r="A1187" s="1" t="s">
        <v>5221</v>
      </c>
      <c r="B1187" s="1" t="s">
        <v>5222</v>
      </c>
      <c r="C1187" s="1">
        <v>2022.0</v>
      </c>
      <c r="D1187" s="2">
        <v>44652.0</v>
      </c>
      <c r="F1187" s="1" t="s">
        <v>711</v>
      </c>
      <c r="H1187" s="3">
        <v>0.0</v>
      </c>
      <c r="I1187" s="4" t="s">
        <v>5223</v>
      </c>
      <c r="J1187" s="1"/>
      <c r="K1187" s="1" t="s">
        <v>295</v>
      </c>
    </row>
    <row r="1188">
      <c r="A1188" s="1" t="s">
        <v>5224</v>
      </c>
      <c r="B1188" s="1" t="s">
        <v>5225</v>
      </c>
      <c r="C1188" s="1">
        <v>2022.0</v>
      </c>
      <c r="D1188" s="2">
        <v>44652.0</v>
      </c>
      <c r="F1188" s="1" t="s">
        <v>5226</v>
      </c>
      <c r="H1188" s="3">
        <v>9.0</v>
      </c>
      <c r="I1188" s="4" t="s">
        <v>5227</v>
      </c>
      <c r="J1188" s="1" t="s">
        <v>5228</v>
      </c>
      <c r="K1188" s="1" t="s">
        <v>68</v>
      </c>
    </row>
    <row r="1189">
      <c r="A1189" s="1" t="s">
        <v>5229</v>
      </c>
      <c r="B1189" s="1" t="s">
        <v>5230</v>
      </c>
      <c r="C1189" s="1">
        <v>2022.0</v>
      </c>
      <c r="D1189" s="2">
        <v>44652.0</v>
      </c>
      <c r="F1189" s="1" t="s">
        <v>1420</v>
      </c>
      <c r="H1189" s="3">
        <v>7.0</v>
      </c>
      <c r="I1189" s="4" t="s">
        <v>5231</v>
      </c>
      <c r="J1189" s="1" t="s">
        <v>5232</v>
      </c>
      <c r="K1189" s="1" t="s">
        <v>571</v>
      </c>
    </row>
    <row r="1190">
      <c r="A1190" s="1" t="s">
        <v>5233</v>
      </c>
      <c r="B1190" s="1" t="s">
        <v>5234</v>
      </c>
      <c r="C1190" s="1">
        <v>2022.0</v>
      </c>
      <c r="D1190" s="2">
        <v>44652.0</v>
      </c>
      <c r="F1190" s="1" t="s">
        <v>3542</v>
      </c>
      <c r="H1190" s="3">
        <v>3.0</v>
      </c>
      <c r="I1190" s="4" t="s">
        <v>5235</v>
      </c>
      <c r="J1190" s="1" t="s">
        <v>5236</v>
      </c>
      <c r="K1190" s="1" t="s">
        <v>68</v>
      </c>
    </row>
    <row r="1191">
      <c r="A1191" s="1" t="s">
        <v>5237</v>
      </c>
      <c r="B1191" s="1" t="s">
        <v>5238</v>
      </c>
      <c r="C1191" s="1">
        <v>2022.0</v>
      </c>
      <c r="D1191" s="2">
        <v>44651.0</v>
      </c>
      <c r="F1191" s="1" t="s">
        <v>2497</v>
      </c>
      <c r="H1191" s="3">
        <v>10.0</v>
      </c>
      <c r="I1191" s="4" t="s">
        <v>5239</v>
      </c>
      <c r="J1191" s="1" t="s">
        <v>5240</v>
      </c>
      <c r="K1191" s="1" t="s">
        <v>45</v>
      </c>
    </row>
    <row r="1192">
      <c r="A1192" s="1" t="s">
        <v>5241</v>
      </c>
      <c r="B1192" s="1" t="s">
        <v>5242</v>
      </c>
      <c r="C1192" s="1">
        <v>2022.0</v>
      </c>
      <c r="D1192" s="2">
        <v>44650.0</v>
      </c>
      <c r="F1192" s="1" t="s">
        <v>59</v>
      </c>
      <c r="H1192" s="3">
        <v>3.0</v>
      </c>
      <c r="I1192" s="4" t="s">
        <v>5243</v>
      </c>
      <c r="J1192" s="1" t="s">
        <v>5244</v>
      </c>
      <c r="K1192" s="1" t="s">
        <v>443</v>
      </c>
    </row>
    <row r="1193">
      <c r="A1193" s="1" t="s">
        <v>5245</v>
      </c>
      <c r="B1193" s="1" t="s">
        <v>5246</v>
      </c>
      <c r="C1193" s="1">
        <v>2022.0</v>
      </c>
      <c r="D1193" s="2">
        <v>44650.0</v>
      </c>
      <c r="F1193" s="1" t="s">
        <v>2927</v>
      </c>
      <c r="H1193" s="3">
        <v>16.0</v>
      </c>
      <c r="I1193" s="4" t="s">
        <v>5247</v>
      </c>
      <c r="J1193" s="1" t="s">
        <v>5248</v>
      </c>
      <c r="K1193" s="1" t="s">
        <v>28</v>
      </c>
    </row>
    <row r="1194">
      <c r="A1194" s="1" t="s">
        <v>5249</v>
      </c>
      <c r="B1194" s="1" t="s">
        <v>5250</v>
      </c>
      <c r="C1194" s="1">
        <v>2022.0</v>
      </c>
      <c r="D1194" s="2">
        <v>44649.0</v>
      </c>
      <c r="F1194" s="1" t="s">
        <v>5251</v>
      </c>
      <c r="H1194" s="3">
        <v>2.0</v>
      </c>
      <c r="I1194" s="4" t="s">
        <v>5252</v>
      </c>
      <c r="J1194" s="1" t="s">
        <v>5253</v>
      </c>
      <c r="K1194" s="1" t="s">
        <v>323</v>
      </c>
    </row>
    <row r="1195">
      <c r="A1195" s="1" t="s">
        <v>5254</v>
      </c>
      <c r="B1195" s="1" t="s">
        <v>5255</v>
      </c>
      <c r="C1195" s="1">
        <v>2022.0</v>
      </c>
      <c r="D1195" s="2">
        <v>44649.0</v>
      </c>
      <c r="F1195" s="1" t="s">
        <v>1841</v>
      </c>
      <c r="H1195" s="3">
        <v>2.0</v>
      </c>
      <c r="I1195" s="4" t="s">
        <v>5256</v>
      </c>
      <c r="J1195" s="1" t="s">
        <v>5257</v>
      </c>
      <c r="K1195" s="1" t="s">
        <v>295</v>
      </c>
    </row>
    <row r="1196">
      <c r="A1196" s="1" t="s">
        <v>5258</v>
      </c>
      <c r="B1196" s="1" t="s">
        <v>5259</v>
      </c>
      <c r="C1196" s="1">
        <v>2022.0</v>
      </c>
      <c r="D1196" s="2">
        <v>44648.0</v>
      </c>
      <c r="F1196" s="1" t="s">
        <v>5260</v>
      </c>
      <c r="H1196" s="3">
        <v>2.0</v>
      </c>
      <c r="I1196" s="4" t="s">
        <v>5261</v>
      </c>
      <c r="J1196" s="1" t="s">
        <v>5262</v>
      </c>
      <c r="K1196" s="1" t="s">
        <v>68</v>
      </c>
    </row>
    <row r="1197">
      <c r="A1197" s="1" t="s">
        <v>5263</v>
      </c>
      <c r="B1197" s="1" t="s">
        <v>5264</v>
      </c>
      <c r="C1197" s="1">
        <v>2022.0</v>
      </c>
      <c r="D1197" s="2">
        <v>44647.0</v>
      </c>
      <c r="F1197" s="1" t="s">
        <v>5265</v>
      </c>
      <c r="H1197" s="3">
        <v>1.0</v>
      </c>
      <c r="I1197" s="4" t="s">
        <v>5266</v>
      </c>
      <c r="J1197" s="1" t="s">
        <v>5267</v>
      </c>
      <c r="K1197" s="1" t="s">
        <v>383</v>
      </c>
    </row>
    <row r="1198">
      <c r="A1198" s="1" t="s">
        <v>5268</v>
      </c>
      <c r="B1198" s="1" t="s">
        <v>5269</v>
      </c>
      <c r="C1198" s="1">
        <v>2022.0</v>
      </c>
      <c r="D1198" s="2">
        <v>44644.0</v>
      </c>
      <c r="F1198" s="1" t="s">
        <v>3583</v>
      </c>
      <c r="H1198" s="3">
        <v>16.0</v>
      </c>
      <c r="I1198" s="4" t="s">
        <v>5270</v>
      </c>
      <c r="J1198" s="1" t="s">
        <v>5271</v>
      </c>
      <c r="K1198" s="1" t="s">
        <v>443</v>
      </c>
    </row>
    <row r="1199">
      <c r="A1199" s="1" t="s">
        <v>5272</v>
      </c>
      <c r="B1199" s="1" t="s">
        <v>5273</v>
      </c>
      <c r="C1199" s="1">
        <v>2022.0</v>
      </c>
      <c r="D1199" s="2">
        <v>44644.0</v>
      </c>
      <c r="F1199" s="1" t="s">
        <v>3716</v>
      </c>
      <c r="H1199" s="3">
        <v>5.0</v>
      </c>
      <c r="I1199" s="4" t="s">
        <v>5274</v>
      </c>
      <c r="J1199" s="1" t="s">
        <v>5275</v>
      </c>
      <c r="K1199" s="1" t="s">
        <v>317</v>
      </c>
    </row>
    <row r="1200">
      <c r="A1200" s="1" t="s">
        <v>5276</v>
      </c>
      <c r="B1200" s="1" t="s">
        <v>5277</v>
      </c>
      <c r="C1200" s="1">
        <v>2022.0</v>
      </c>
      <c r="D1200" s="2">
        <v>44641.0</v>
      </c>
      <c r="F1200" s="1" t="s">
        <v>2031</v>
      </c>
      <c r="H1200" s="3">
        <v>7.0</v>
      </c>
      <c r="I1200" s="4" t="s">
        <v>5278</v>
      </c>
      <c r="J1200" s="1" t="s">
        <v>5279</v>
      </c>
      <c r="K1200" s="1" t="s">
        <v>317</v>
      </c>
    </row>
    <row r="1201">
      <c r="A1201" s="1" t="s">
        <v>5280</v>
      </c>
      <c r="B1201" s="1" t="s">
        <v>5281</v>
      </c>
      <c r="C1201" s="1">
        <v>2022.0</v>
      </c>
      <c r="D1201" s="2">
        <v>44641.0</v>
      </c>
      <c r="F1201" s="1" t="s">
        <v>656</v>
      </c>
      <c r="H1201" s="3">
        <v>1.0</v>
      </c>
      <c r="I1201" s="4" t="s">
        <v>5282</v>
      </c>
      <c r="J1201" s="1" t="s">
        <v>5283</v>
      </c>
      <c r="K1201" s="1" t="s">
        <v>16</v>
      </c>
    </row>
    <row r="1202">
      <c r="A1202" s="1" t="s">
        <v>5284</v>
      </c>
      <c r="B1202" s="1" t="s">
        <v>5285</v>
      </c>
      <c r="C1202" s="1">
        <v>2022.0</v>
      </c>
      <c r="D1202" s="2">
        <v>44638.0</v>
      </c>
      <c r="F1202" s="1" t="s">
        <v>2502</v>
      </c>
      <c r="H1202" s="3">
        <v>12.0</v>
      </c>
      <c r="I1202" s="4" t="s">
        <v>5286</v>
      </c>
      <c r="J1202" s="1"/>
      <c r="K1202" s="1" t="s">
        <v>329</v>
      </c>
    </row>
    <row r="1203">
      <c r="A1203" s="1" t="s">
        <v>5287</v>
      </c>
      <c r="B1203" s="1" t="s">
        <v>5288</v>
      </c>
      <c r="C1203" s="1">
        <v>2022.0</v>
      </c>
      <c r="D1203" s="2">
        <v>44638.0</v>
      </c>
      <c r="F1203" s="1" t="s">
        <v>3254</v>
      </c>
      <c r="H1203" s="3">
        <v>2.0</v>
      </c>
      <c r="I1203" s="4" t="s">
        <v>5289</v>
      </c>
      <c r="J1203" s="1" t="s">
        <v>5290</v>
      </c>
      <c r="K1203" s="1" t="s">
        <v>413</v>
      </c>
    </row>
    <row r="1204">
      <c r="A1204" s="1" t="s">
        <v>5291</v>
      </c>
      <c r="B1204" s="1" t="s">
        <v>5292</v>
      </c>
      <c r="C1204" s="1">
        <v>2022.0</v>
      </c>
      <c r="D1204" s="2">
        <v>44637.0</v>
      </c>
      <c r="F1204" s="1" t="s">
        <v>4614</v>
      </c>
      <c r="H1204" s="3">
        <v>1.0</v>
      </c>
      <c r="I1204" s="4" t="s">
        <v>5293</v>
      </c>
      <c r="J1204" s="1" t="s">
        <v>5294</v>
      </c>
      <c r="K1204" s="1" t="s">
        <v>45</v>
      </c>
    </row>
    <row r="1205">
      <c r="A1205" s="1" t="s">
        <v>5295</v>
      </c>
      <c r="B1205" s="1" t="s">
        <v>5296</v>
      </c>
      <c r="C1205" s="1">
        <v>2022.0</v>
      </c>
      <c r="D1205" s="2">
        <v>44637.0</v>
      </c>
      <c r="F1205" s="1" t="s">
        <v>71</v>
      </c>
      <c r="H1205" s="3">
        <v>8.0</v>
      </c>
      <c r="I1205" s="4" t="s">
        <v>5297</v>
      </c>
      <c r="J1205" s="1" t="s">
        <v>5298</v>
      </c>
      <c r="K1205" s="1" t="s">
        <v>28</v>
      </c>
    </row>
    <row r="1206">
      <c r="A1206" s="1" t="s">
        <v>5299</v>
      </c>
      <c r="B1206" s="1" t="s">
        <v>5300</v>
      </c>
      <c r="C1206" s="1">
        <v>2022.0</v>
      </c>
      <c r="D1206" s="2">
        <v>44637.0</v>
      </c>
      <c r="F1206" s="1" t="s">
        <v>4634</v>
      </c>
      <c r="H1206" s="3">
        <v>0.0</v>
      </c>
      <c r="I1206" s="4" t="s">
        <v>5301</v>
      </c>
      <c r="J1206" s="1"/>
      <c r="K1206" s="1" t="s">
        <v>383</v>
      </c>
    </row>
    <row r="1207">
      <c r="A1207" s="1" t="s">
        <v>5302</v>
      </c>
      <c r="B1207" s="1" t="s">
        <v>5303</v>
      </c>
      <c r="C1207" s="1">
        <v>2022.0</v>
      </c>
      <c r="D1207" s="2">
        <v>44637.0</v>
      </c>
      <c r="F1207" s="1" t="s">
        <v>332</v>
      </c>
      <c r="H1207" s="3">
        <v>7.0</v>
      </c>
      <c r="I1207" s="4" t="s">
        <v>5304</v>
      </c>
      <c r="J1207" s="1" t="s">
        <v>5305</v>
      </c>
      <c r="K1207" s="1" t="s">
        <v>16</v>
      </c>
    </row>
    <row r="1208">
      <c r="A1208" s="1" t="s">
        <v>5306</v>
      </c>
      <c r="B1208" s="1" t="s">
        <v>5307</v>
      </c>
      <c r="C1208" s="1">
        <v>2022.0</v>
      </c>
      <c r="D1208" s="2">
        <v>44637.0</v>
      </c>
      <c r="F1208" s="1" t="s">
        <v>558</v>
      </c>
      <c r="H1208" s="3">
        <v>5.0</v>
      </c>
      <c r="I1208" s="4" t="s">
        <v>5308</v>
      </c>
      <c r="J1208" s="1" t="s">
        <v>5309</v>
      </c>
      <c r="K1208" s="1" t="s">
        <v>16</v>
      </c>
    </row>
    <row r="1209">
      <c r="A1209" s="1" t="s">
        <v>5310</v>
      </c>
      <c r="B1209" s="1" t="s">
        <v>5311</v>
      </c>
      <c r="C1209" s="1">
        <v>2022.0</v>
      </c>
      <c r="D1209" s="2">
        <v>44636.0</v>
      </c>
      <c r="F1209" s="1" t="s">
        <v>3254</v>
      </c>
      <c r="H1209" s="3">
        <v>4.0</v>
      </c>
      <c r="I1209" s="4" t="s">
        <v>5312</v>
      </c>
      <c r="J1209" s="1" t="s">
        <v>5313</v>
      </c>
      <c r="K1209" s="1" t="s">
        <v>16</v>
      </c>
    </row>
    <row r="1210">
      <c r="A1210" s="1" t="s">
        <v>5314</v>
      </c>
      <c r="B1210" s="1" t="s">
        <v>5315</v>
      </c>
      <c r="C1210" s="1">
        <v>2022.0</v>
      </c>
      <c r="D1210" s="2">
        <v>44634.0</v>
      </c>
      <c r="F1210" s="1" t="s">
        <v>1045</v>
      </c>
      <c r="H1210" s="3">
        <v>1.0</v>
      </c>
      <c r="I1210" s="4" t="s">
        <v>5316</v>
      </c>
      <c r="J1210" s="1" t="s">
        <v>5317</v>
      </c>
      <c r="K1210" s="1" t="s">
        <v>418</v>
      </c>
    </row>
    <row r="1211">
      <c r="A1211" s="1" t="s">
        <v>5318</v>
      </c>
      <c r="B1211" s="1" t="s">
        <v>5319</v>
      </c>
      <c r="C1211" s="1">
        <v>2022.0</v>
      </c>
      <c r="D1211" s="2">
        <v>44634.0</v>
      </c>
      <c r="F1211" s="1" t="s">
        <v>71</v>
      </c>
      <c r="H1211" s="3">
        <v>13.0</v>
      </c>
      <c r="I1211" s="4" t="s">
        <v>5320</v>
      </c>
      <c r="J1211" s="1" t="s">
        <v>5321</v>
      </c>
      <c r="K1211" s="1" t="s">
        <v>413</v>
      </c>
    </row>
    <row r="1212">
      <c r="A1212" s="1" t="s">
        <v>5322</v>
      </c>
      <c r="B1212" s="1" t="s">
        <v>5323</v>
      </c>
      <c r="C1212" s="1">
        <v>2022.0</v>
      </c>
      <c r="D1212" s="2">
        <v>44634.0</v>
      </c>
      <c r="F1212" s="1" t="s">
        <v>3826</v>
      </c>
      <c r="H1212" s="3">
        <v>8.0</v>
      </c>
      <c r="I1212" s="4" t="s">
        <v>5324</v>
      </c>
      <c r="J1212" s="1" t="s">
        <v>5325</v>
      </c>
      <c r="K1212" s="1" t="s">
        <v>68</v>
      </c>
    </row>
    <row r="1213">
      <c r="A1213" s="1" t="s">
        <v>5326</v>
      </c>
      <c r="B1213" s="1" t="s">
        <v>5327</v>
      </c>
      <c r="C1213" s="1">
        <v>2022.0</v>
      </c>
      <c r="D1213" s="2">
        <v>44634.0</v>
      </c>
      <c r="F1213" s="1" t="s">
        <v>1762</v>
      </c>
      <c r="H1213" s="3">
        <v>0.0</v>
      </c>
      <c r="I1213" s="4" t="s">
        <v>5328</v>
      </c>
      <c r="J1213" s="1" t="s">
        <v>5329</v>
      </c>
      <c r="K1213" s="1" t="s">
        <v>413</v>
      </c>
    </row>
    <row r="1214">
      <c r="A1214" s="1" t="s">
        <v>5330</v>
      </c>
      <c r="B1214" s="1" t="s">
        <v>5331</v>
      </c>
      <c r="C1214" s="1">
        <v>2022.0</v>
      </c>
      <c r="D1214" s="2">
        <v>44634.0</v>
      </c>
      <c r="F1214" s="1" t="s">
        <v>3583</v>
      </c>
      <c r="H1214" s="3">
        <v>15.0</v>
      </c>
      <c r="I1214" s="4" t="s">
        <v>5332</v>
      </c>
      <c r="J1214" s="1" t="s">
        <v>5333</v>
      </c>
      <c r="K1214" s="1" t="s">
        <v>295</v>
      </c>
    </row>
    <row r="1215">
      <c r="A1215" s="1" t="s">
        <v>5334</v>
      </c>
      <c r="B1215" s="1" t="s">
        <v>5335</v>
      </c>
      <c r="C1215" s="1">
        <v>2022.0</v>
      </c>
      <c r="D1215" s="2">
        <v>44632.0</v>
      </c>
      <c r="F1215" s="1" t="s">
        <v>5336</v>
      </c>
      <c r="H1215" s="3">
        <v>3.0</v>
      </c>
      <c r="I1215" s="4" t="s">
        <v>5337</v>
      </c>
      <c r="J1215" s="1" t="s">
        <v>5338</v>
      </c>
      <c r="K1215" s="1" t="s">
        <v>295</v>
      </c>
    </row>
    <row r="1216">
      <c r="A1216" s="1" t="s">
        <v>5339</v>
      </c>
      <c r="B1216" s="1" t="s">
        <v>5340</v>
      </c>
      <c r="C1216" s="1">
        <v>2022.0</v>
      </c>
      <c r="D1216" s="2">
        <v>44631.0</v>
      </c>
      <c r="F1216" s="1" t="s">
        <v>1777</v>
      </c>
      <c r="H1216" s="3">
        <v>1.0</v>
      </c>
      <c r="I1216" s="4" t="s">
        <v>5341</v>
      </c>
      <c r="J1216" s="1" t="s">
        <v>5342</v>
      </c>
      <c r="K1216" s="1" t="s">
        <v>28</v>
      </c>
    </row>
    <row r="1217">
      <c r="A1217" s="1" t="s">
        <v>5343</v>
      </c>
      <c r="B1217" s="1" t="s">
        <v>5344</v>
      </c>
      <c r="C1217" s="1">
        <v>2022.0</v>
      </c>
      <c r="D1217" s="2">
        <v>44631.0</v>
      </c>
      <c r="F1217" s="1" t="s">
        <v>2264</v>
      </c>
      <c r="H1217" s="3">
        <v>6.0</v>
      </c>
      <c r="I1217" s="4" t="s">
        <v>5345</v>
      </c>
      <c r="J1217" s="1" t="s">
        <v>5346</v>
      </c>
      <c r="K1217" s="1" t="s">
        <v>28</v>
      </c>
    </row>
    <row r="1218">
      <c r="A1218" s="1" t="s">
        <v>5347</v>
      </c>
      <c r="B1218" s="1" t="s">
        <v>5348</v>
      </c>
      <c r="C1218" s="1">
        <v>2022.0</v>
      </c>
      <c r="D1218" s="2">
        <v>44630.0</v>
      </c>
      <c r="F1218" s="1" t="s">
        <v>1381</v>
      </c>
      <c r="H1218" s="3">
        <v>8.0</v>
      </c>
      <c r="I1218" s="4" t="s">
        <v>5349</v>
      </c>
      <c r="J1218" s="1" t="s">
        <v>5350</v>
      </c>
      <c r="K1218" s="1" t="s">
        <v>295</v>
      </c>
    </row>
    <row r="1219">
      <c r="A1219" s="1" t="s">
        <v>5351</v>
      </c>
      <c r="B1219" s="1" t="s">
        <v>5352</v>
      </c>
      <c r="C1219" s="1">
        <v>2022.0</v>
      </c>
      <c r="D1219" s="2">
        <v>44630.0</v>
      </c>
      <c r="F1219" s="1" t="s">
        <v>271</v>
      </c>
      <c r="H1219" s="3">
        <v>0.0</v>
      </c>
      <c r="I1219" s="4" t="s">
        <v>5353</v>
      </c>
      <c r="J1219" s="1" t="s">
        <v>5354</v>
      </c>
      <c r="K1219" s="1" t="s">
        <v>323</v>
      </c>
    </row>
    <row r="1220">
      <c r="A1220" s="1" t="s">
        <v>5355</v>
      </c>
      <c r="B1220" s="1" t="s">
        <v>5356</v>
      </c>
      <c r="C1220" s="1">
        <v>2022.0</v>
      </c>
      <c r="D1220" s="2">
        <v>44628.0</v>
      </c>
      <c r="F1220" s="1" t="s">
        <v>1095</v>
      </c>
      <c r="H1220" s="3">
        <v>6.0</v>
      </c>
      <c r="I1220" s="4" t="s">
        <v>5357</v>
      </c>
      <c r="J1220" s="1" t="s">
        <v>5358</v>
      </c>
      <c r="K1220" s="1" t="s">
        <v>383</v>
      </c>
    </row>
    <row r="1221">
      <c r="A1221" s="1" t="s">
        <v>5359</v>
      </c>
      <c r="B1221" s="1" t="s">
        <v>5360</v>
      </c>
      <c r="C1221" s="1">
        <v>2022.0</v>
      </c>
      <c r="D1221" s="2">
        <v>44628.0</v>
      </c>
      <c r="F1221" s="1" t="s">
        <v>2982</v>
      </c>
      <c r="H1221" s="3">
        <v>9.0</v>
      </c>
      <c r="I1221" s="4" t="s">
        <v>5361</v>
      </c>
      <c r="J1221" s="1"/>
      <c r="K1221" s="1" t="s">
        <v>68</v>
      </c>
    </row>
    <row r="1222">
      <c r="A1222" s="1" t="s">
        <v>5362</v>
      </c>
      <c r="B1222" s="1" t="s">
        <v>5363</v>
      </c>
      <c r="C1222" s="1">
        <v>2022.0</v>
      </c>
      <c r="D1222" s="2">
        <v>44628.0</v>
      </c>
      <c r="F1222" s="1" t="s">
        <v>2707</v>
      </c>
      <c r="H1222" s="3">
        <v>12.0</v>
      </c>
      <c r="I1222" s="4" t="s">
        <v>5364</v>
      </c>
      <c r="J1222" s="1" t="s">
        <v>5365</v>
      </c>
      <c r="K1222" s="1" t="s">
        <v>16</v>
      </c>
    </row>
    <row r="1223">
      <c r="A1223" s="1" t="s">
        <v>5366</v>
      </c>
      <c r="B1223" s="1" t="s">
        <v>5367</v>
      </c>
      <c r="C1223" s="1">
        <v>2022.0</v>
      </c>
      <c r="D1223" s="2">
        <v>44627.0</v>
      </c>
      <c r="F1223" s="1" t="s">
        <v>5368</v>
      </c>
      <c r="H1223" s="3">
        <v>0.0</v>
      </c>
      <c r="I1223" s="4" t="s">
        <v>5369</v>
      </c>
      <c r="J1223" s="1" t="s">
        <v>5370</v>
      </c>
      <c r="K1223" s="1" t="s">
        <v>372</v>
      </c>
    </row>
    <row r="1224">
      <c r="A1224" s="1" t="s">
        <v>5371</v>
      </c>
      <c r="B1224" s="1" t="s">
        <v>5372</v>
      </c>
      <c r="C1224" s="1">
        <v>2022.0</v>
      </c>
      <c r="D1224" s="2">
        <v>44625.0</v>
      </c>
      <c r="F1224" s="1" t="s">
        <v>3207</v>
      </c>
      <c r="H1224" s="3">
        <v>32.0</v>
      </c>
      <c r="I1224" s="4" t="s">
        <v>5373</v>
      </c>
      <c r="J1224" s="1" t="s">
        <v>5374</v>
      </c>
      <c r="K1224" s="1" t="s">
        <v>418</v>
      </c>
    </row>
    <row r="1225">
      <c r="A1225" s="1" t="s">
        <v>5375</v>
      </c>
      <c r="B1225" s="1" t="s">
        <v>5376</v>
      </c>
      <c r="C1225" s="1">
        <v>2022.0</v>
      </c>
      <c r="D1225" s="2">
        <v>44625.0</v>
      </c>
      <c r="F1225" s="1" t="s">
        <v>1381</v>
      </c>
      <c r="H1225" s="3">
        <v>4.0</v>
      </c>
      <c r="I1225" s="4" t="s">
        <v>5377</v>
      </c>
      <c r="J1225" s="1" t="s">
        <v>5378</v>
      </c>
      <c r="K1225" s="1" t="s">
        <v>28</v>
      </c>
    </row>
    <row r="1226">
      <c r="A1226" s="1" t="s">
        <v>5379</v>
      </c>
      <c r="B1226" s="1" t="s">
        <v>5380</v>
      </c>
      <c r="C1226" s="1">
        <v>2022.0</v>
      </c>
      <c r="D1226" s="2">
        <v>44624.0</v>
      </c>
      <c r="F1226" s="1" t="s">
        <v>676</v>
      </c>
      <c r="H1226" s="3">
        <v>0.0</v>
      </c>
      <c r="I1226" s="4" t="s">
        <v>5381</v>
      </c>
      <c r="J1226" s="1"/>
      <c r="K1226" s="1" t="s">
        <v>16</v>
      </c>
    </row>
    <row r="1227">
      <c r="A1227" s="1" t="s">
        <v>5382</v>
      </c>
      <c r="B1227" s="1" t="s">
        <v>5383</v>
      </c>
      <c r="C1227" s="1">
        <v>2022.0</v>
      </c>
      <c r="D1227" s="2">
        <v>44623.0</v>
      </c>
      <c r="F1227" s="1" t="s">
        <v>1040</v>
      </c>
      <c r="H1227" s="3">
        <v>7.0</v>
      </c>
      <c r="I1227" s="4" t="s">
        <v>5384</v>
      </c>
      <c r="J1227" s="1" t="s">
        <v>5385</v>
      </c>
      <c r="K1227" s="1" t="s">
        <v>323</v>
      </c>
    </row>
    <row r="1228">
      <c r="A1228" s="1" t="s">
        <v>5386</v>
      </c>
      <c r="B1228" s="1" t="s">
        <v>5387</v>
      </c>
      <c r="C1228" s="1">
        <v>2022.0</v>
      </c>
      <c r="D1228" s="2">
        <v>44622.0</v>
      </c>
      <c r="F1228" s="1" t="s">
        <v>3716</v>
      </c>
      <c r="H1228" s="3">
        <v>4.0</v>
      </c>
      <c r="I1228" s="4" t="s">
        <v>5388</v>
      </c>
      <c r="J1228" s="1" t="s">
        <v>5389</v>
      </c>
      <c r="K1228" s="1" t="s">
        <v>295</v>
      </c>
    </row>
    <row r="1229">
      <c r="A1229" s="1" t="s">
        <v>5390</v>
      </c>
      <c r="B1229" s="1" t="s">
        <v>5391</v>
      </c>
      <c r="C1229" s="1">
        <v>2022.0</v>
      </c>
      <c r="D1229" s="2">
        <v>44622.0</v>
      </c>
      <c r="F1229" s="1" t="s">
        <v>5392</v>
      </c>
      <c r="H1229" s="3">
        <v>6.0</v>
      </c>
      <c r="I1229" s="4" t="s">
        <v>5393</v>
      </c>
      <c r="J1229" s="1" t="s">
        <v>5394</v>
      </c>
      <c r="K1229" s="1" t="s">
        <v>28</v>
      </c>
    </row>
    <row r="1230">
      <c r="A1230" s="1" t="s">
        <v>5395</v>
      </c>
      <c r="B1230" s="1" t="s">
        <v>5396</v>
      </c>
      <c r="C1230" s="1">
        <v>2022.0</v>
      </c>
      <c r="D1230" s="2">
        <v>44622.0</v>
      </c>
      <c r="F1230" s="1" t="s">
        <v>136</v>
      </c>
      <c r="H1230" s="3">
        <v>16.0</v>
      </c>
      <c r="I1230" s="4" t="s">
        <v>5397</v>
      </c>
      <c r="J1230" s="1" t="s">
        <v>5398</v>
      </c>
      <c r="K1230" s="1" t="s">
        <v>571</v>
      </c>
    </row>
    <row r="1231">
      <c r="A1231" s="1" t="s">
        <v>5399</v>
      </c>
      <c r="B1231" s="1" t="s">
        <v>5400</v>
      </c>
      <c r="C1231" s="1">
        <v>2022.0</v>
      </c>
      <c r="D1231" s="2">
        <v>44622.0</v>
      </c>
      <c r="F1231" s="1" t="s">
        <v>4288</v>
      </c>
      <c r="H1231" s="3">
        <v>4.0</v>
      </c>
      <c r="I1231" s="4" t="s">
        <v>5401</v>
      </c>
      <c r="J1231" s="1" t="s">
        <v>5402</v>
      </c>
      <c r="K1231" s="1" t="s">
        <v>323</v>
      </c>
    </row>
    <row r="1232">
      <c r="A1232" s="1" t="s">
        <v>5403</v>
      </c>
      <c r="B1232" s="1" t="s">
        <v>5404</v>
      </c>
      <c r="C1232" s="1">
        <v>2022.0</v>
      </c>
      <c r="D1232" s="2">
        <v>44621.0</v>
      </c>
      <c r="F1232" s="1" t="s">
        <v>5405</v>
      </c>
      <c r="H1232" s="3">
        <v>2.0</v>
      </c>
      <c r="I1232" s="4" t="s">
        <v>5406</v>
      </c>
      <c r="J1232" s="1" t="s">
        <v>5407</v>
      </c>
      <c r="K1232" s="1" t="s">
        <v>28</v>
      </c>
    </row>
    <row r="1233">
      <c r="A1233" s="1" t="s">
        <v>5408</v>
      </c>
      <c r="B1233" s="1" t="s">
        <v>5409</v>
      </c>
      <c r="C1233" s="1">
        <v>2022.0</v>
      </c>
      <c r="D1233" s="2">
        <v>44621.0</v>
      </c>
      <c r="F1233" s="1" t="s">
        <v>1128</v>
      </c>
      <c r="H1233" s="3">
        <v>1.0</v>
      </c>
      <c r="I1233" s="4" t="s">
        <v>5410</v>
      </c>
      <c r="J1233" s="1" t="s">
        <v>5411</v>
      </c>
      <c r="K1233" s="1" t="s">
        <v>323</v>
      </c>
    </row>
    <row r="1234">
      <c r="A1234" s="1" t="s">
        <v>5412</v>
      </c>
      <c r="B1234" s="1" t="s">
        <v>5413</v>
      </c>
      <c r="C1234" s="1">
        <v>2022.0</v>
      </c>
      <c r="D1234" s="2">
        <v>44621.0</v>
      </c>
      <c r="F1234" s="1" t="s">
        <v>5414</v>
      </c>
      <c r="H1234" s="3">
        <v>3.0</v>
      </c>
      <c r="I1234" s="4" t="s">
        <v>5415</v>
      </c>
      <c r="J1234" s="1" t="s">
        <v>5416</v>
      </c>
      <c r="K1234" s="1" t="s">
        <v>28</v>
      </c>
    </row>
    <row r="1235">
      <c r="A1235" s="1" t="s">
        <v>5417</v>
      </c>
      <c r="B1235" s="1" t="s">
        <v>5418</v>
      </c>
      <c r="C1235" s="1">
        <v>2022.0</v>
      </c>
      <c r="D1235" s="2">
        <v>44621.0</v>
      </c>
      <c r="F1235" s="1" t="s">
        <v>5419</v>
      </c>
      <c r="H1235" s="3">
        <v>0.0</v>
      </c>
      <c r="I1235" s="4" t="s">
        <v>5420</v>
      </c>
      <c r="J1235" s="1"/>
      <c r="K1235" s="1" t="s">
        <v>295</v>
      </c>
    </row>
    <row r="1236">
      <c r="A1236" s="1" t="s">
        <v>5421</v>
      </c>
      <c r="B1236" s="1" t="s">
        <v>5422</v>
      </c>
      <c r="C1236" s="1">
        <v>2022.0</v>
      </c>
      <c r="D1236" s="2">
        <v>44621.0</v>
      </c>
      <c r="F1236" s="1" t="s">
        <v>86</v>
      </c>
      <c r="H1236" s="3">
        <v>7.0</v>
      </c>
      <c r="I1236" s="4" t="s">
        <v>5423</v>
      </c>
      <c r="J1236" s="1" t="s">
        <v>5424</v>
      </c>
      <c r="K1236" s="1" t="s">
        <v>5425</v>
      </c>
    </row>
    <row r="1237">
      <c r="A1237" s="1" t="s">
        <v>5426</v>
      </c>
      <c r="B1237" s="1" t="s">
        <v>5427</v>
      </c>
      <c r="C1237" s="1">
        <v>2022.0</v>
      </c>
      <c r="D1237" s="2">
        <v>44621.0</v>
      </c>
      <c r="F1237" s="1" t="s">
        <v>2458</v>
      </c>
      <c r="H1237" s="3">
        <v>40.0</v>
      </c>
      <c r="I1237" s="4" t="s">
        <v>5428</v>
      </c>
      <c r="J1237" s="1" t="s">
        <v>5429</v>
      </c>
      <c r="K1237" s="1" t="s">
        <v>443</v>
      </c>
    </row>
    <row r="1238">
      <c r="A1238" s="1" t="s">
        <v>5430</v>
      </c>
      <c r="B1238" s="1" t="s">
        <v>5431</v>
      </c>
      <c r="C1238" s="1">
        <v>2022.0</v>
      </c>
      <c r="D1238" s="2">
        <v>44621.0</v>
      </c>
      <c r="F1238" s="1" t="s">
        <v>337</v>
      </c>
      <c r="H1238" s="3">
        <v>30.0</v>
      </c>
      <c r="I1238" s="4" t="s">
        <v>5432</v>
      </c>
      <c r="J1238" s="1" t="s">
        <v>5433</v>
      </c>
      <c r="K1238" s="1" t="s">
        <v>329</v>
      </c>
    </row>
    <row r="1239">
      <c r="A1239" s="1" t="s">
        <v>5434</v>
      </c>
      <c r="B1239" s="1" t="s">
        <v>5435</v>
      </c>
      <c r="C1239" s="1">
        <v>2022.0</v>
      </c>
      <c r="D1239" s="2">
        <v>44620.0</v>
      </c>
      <c r="F1239" s="1" t="s">
        <v>5436</v>
      </c>
      <c r="H1239" s="3">
        <v>0.0</v>
      </c>
      <c r="I1239" s="4" t="s">
        <v>5437</v>
      </c>
      <c r="J1239" s="1" t="s">
        <v>5438</v>
      </c>
      <c r="K1239" s="1" t="s">
        <v>16</v>
      </c>
    </row>
    <row r="1240">
      <c r="A1240" s="1" t="s">
        <v>5439</v>
      </c>
      <c r="B1240" s="1" t="s">
        <v>5440</v>
      </c>
      <c r="C1240" s="1">
        <v>2022.0</v>
      </c>
      <c r="D1240" s="2">
        <v>44619.0</v>
      </c>
      <c r="F1240" s="1" t="s">
        <v>2560</v>
      </c>
      <c r="H1240" s="3">
        <v>4.0</v>
      </c>
      <c r="I1240" s="4" t="s">
        <v>5441</v>
      </c>
      <c r="J1240" s="1" t="s">
        <v>5442</v>
      </c>
      <c r="K1240" s="1" t="s">
        <v>295</v>
      </c>
    </row>
    <row r="1241">
      <c r="A1241" s="1" t="s">
        <v>5443</v>
      </c>
      <c r="B1241" s="1" t="s">
        <v>5444</v>
      </c>
      <c r="C1241" s="1">
        <v>2022.0</v>
      </c>
      <c r="D1241" s="2">
        <v>44619.0</v>
      </c>
      <c r="F1241" s="1" t="s">
        <v>1381</v>
      </c>
      <c r="H1241" s="3">
        <v>10.0</v>
      </c>
      <c r="I1241" s="4" t="s">
        <v>5445</v>
      </c>
      <c r="J1241" s="1" t="s">
        <v>5446</v>
      </c>
      <c r="K1241" s="1" t="s">
        <v>28</v>
      </c>
    </row>
    <row r="1242">
      <c r="A1242" s="1" t="s">
        <v>5447</v>
      </c>
      <c r="B1242" s="1" t="s">
        <v>5448</v>
      </c>
      <c r="C1242" s="1">
        <v>2022.0</v>
      </c>
      <c r="D1242" s="2">
        <v>44619.0</v>
      </c>
      <c r="F1242" s="1" t="s">
        <v>198</v>
      </c>
      <c r="H1242" s="3">
        <v>4.0</v>
      </c>
      <c r="I1242" s="4" t="s">
        <v>5449</v>
      </c>
      <c r="J1242" s="1" t="s">
        <v>5450</v>
      </c>
      <c r="K1242" s="1" t="s">
        <v>16</v>
      </c>
    </row>
    <row r="1243">
      <c r="A1243" s="1" t="s">
        <v>5451</v>
      </c>
      <c r="B1243" s="1" t="s">
        <v>5452</v>
      </c>
      <c r="C1243" s="1">
        <v>2022.0</v>
      </c>
      <c r="D1243" s="2">
        <v>44617.0</v>
      </c>
      <c r="F1243" s="1" t="s">
        <v>71</v>
      </c>
      <c r="H1243" s="3">
        <v>16.0</v>
      </c>
      <c r="I1243" s="4" t="s">
        <v>5453</v>
      </c>
      <c r="J1243" s="1" t="s">
        <v>5454</v>
      </c>
      <c r="K1243" s="1" t="s">
        <v>28</v>
      </c>
    </row>
    <row r="1244">
      <c r="A1244" s="1" t="s">
        <v>5455</v>
      </c>
      <c r="B1244" s="1" t="s">
        <v>5456</v>
      </c>
      <c r="C1244" s="1">
        <v>2022.0</v>
      </c>
      <c r="D1244" s="2">
        <v>44617.0</v>
      </c>
      <c r="F1244" s="1" t="s">
        <v>4073</v>
      </c>
      <c r="H1244" s="3">
        <v>2.0</v>
      </c>
      <c r="I1244" s="4" t="s">
        <v>5457</v>
      </c>
      <c r="J1244" s="1" t="s">
        <v>5458</v>
      </c>
      <c r="K1244" s="1" t="s">
        <v>28</v>
      </c>
    </row>
    <row r="1245">
      <c r="A1245" s="1" t="s">
        <v>5459</v>
      </c>
      <c r="B1245" s="1" t="s">
        <v>5460</v>
      </c>
      <c r="C1245" s="1">
        <v>2022.0</v>
      </c>
      <c r="D1245" s="2">
        <v>44617.0</v>
      </c>
      <c r="F1245" s="1" t="s">
        <v>5461</v>
      </c>
      <c r="H1245" s="3">
        <v>5.0</v>
      </c>
      <c r="I1245" s="4" t="s">
        <v>5462</v>
      </c>
      <c r="J1245" s="1" t="s">
        <v>5463</v>
      </c>
      <c r="K1245" s="1" t="s">
        <v>323</v>
      </c>
    </row>
    <row r="1246">
      <c r="A1246" s="1" t="s">
        <v>5464</v>
      </c>
      <c r="B1246" s="1" t="s">
        <v>5465</v>
      </c>
      <c r="C1246" s="1">
        <v>2022.0</v>
      </c>
      <c r="D1246" s="2">
        <v>44616.0</v>
      </c>
      <c r="F1246" s="1" t="s">
        <v>13</v>
      </c>
      <c r="H1246" s="3">
        <v>11.0</v>
      </c>
      <c r="I1246" s="4" t="s">
        <v>5466</v>
      </c>
      <c r="J1246" s="1" t="s">
        <v>5467</v>
      </c>
      <c r="K1246" s="1" t="s">
        <v>571</v>
      </c>
    </row>
    <row r="1247">
      <c r="A1247" s="1" t="s">
        <v>5468</v>
      </c>
      <c r="B1247" s="1" t="s">
        <v>5469</v>
      </c>
      <c r="C1247" s="1">
        <v>2022.0</v>
      </c>
      <c r="D1247" s="2">
        <v>44616.0</v>
      </c>
      <c r="F1247" s="1" t="s">
        <v>1410</v>
      </c>
      <c r="H1247" s="3">
        <v>3.0</v>
      </c>
      <c r="I1247" s="4" t="s">
        <v>5470</v>
      </c>
      <c r="J1247" s="1" t="s">
        <v>5471</v>
      </c>
      <c r="K1247" s="1" t="s">
        <v>1423</v>
      </c>
    </row>
    <row r="1248">
      <c r="A1248" s="1" t="s">
        <v>5472</v>
      </c>
      <c r="B1248" s="1" t="s">
        <v>5473</v>
      </c>
      <c r="C1248" s="1">
        <v>2022.0</v>
      </c>
      <c r="D1248" s="2">
        <v>44616.0</v>
      </c>
      <c r="F1248" s="1" t="s">
        <v>1841</v>
      </c>
      <c r="H1248" s="3">
        <v>13.0</v>
      </c>
      <c r="I1248" s="4" t="s">
        <v>5474</v>
      </c>
      <c r="J1248" s="1" t="s">
        <v>5475</v>
      </c>
      <c r="K1248" s="1" t="s">
        <v>413</v>
      </c>
    </row>
    <row r="1249">
      <c r="A1249" s="1" t="s">
        <v>5476</v>
      </c>
      <c r="B1249" s="1" t="s">
        <v>5477</v>
      </c>
      <c r="C1249" s="1">
        <v>2022.0</v>
      </c>
      <c r="D1249" s="2">
        <v>44616.0</v>
      </c>
      <c r="F1249" s="1" t="s">
        <v>1349</v>
      </c>
      <c r="H1249" s="3">
        <v>3.0</v>
      </c>
      <c r="I1249" s="4" t="s">
        <v>5478</v>
      </c>
      <c r="J1249" s="1" t="s">
        <v>5479</v>
      </c>
      <c r="K1249" s="1" t="s">
        <v>16</v>
      </c>
    </row>
    <row r="1250">
      <c r="A1250" s="1" t="s">
        <v>5480</v>
      </c>
      <c r="B1250" s="1" t="s">
        <v>5481</v>
      </c>
      <c r="C1250" s="1">
        <v>2022.0</v>
      </c>
      <c r="D1250" s="2">
        <v>44615.0</v>
      </c>
      <c r="F1250" s="1" t="s">
        <v>1859</v>
      </c>
      <c r="H1250" s="3">
        <v>5.0</v>
      </c>
      <c r="I1250" s="4" t="s">
        <v>5482</v>
      </c>
      <c r="J1250" s="1" t="s">
        <v>5483</v>
      </c>
      <c r="K1250" s="1" t="s">
        <v>492</v>
      </c>
    </row>
    <row r="1251">
      <c r="A1251" s="1" t="s">
        <v>5484</v>
      </c>
      <c r="B1251" s="1" t="s">
        <v>5485</v>
      </c>
      <c r="C1251" s="1">
        <v>2022.0</v>
      </c>
      <c r="D1251" s="2">
        <v>44614.0</v>
      </c>
      <c r="F1251" s="1" t="s">
        <v>1381</v>
      </c>
      <c r="H1251" s="3">
        <v>3.0</v>
      </c>
      <c r="I1251" s="4" t="s">
        <v>5486</v>
      </c>
      <c r="J1251" s="1" t="s">
        <v>5487</v>
      </c>
      <c r="K1251" s="1" t="s">
        <v>28</v>
      </c>
    </row>
    <row r="1252">
      <c r="A1252" s="1" t="s">
        <v>5488</v>
      </c>
      <c r="B1252" s="1" t="s">
        <v>5489</v>
      </c>
      <c r="C1252" s="1">
        <v>2022.0</v>
      </c>
      <c r="D1252" s="2">
        <v>44614.0</v>
      </c>
      <c r="F1252" s="1" t="s">
        <v>5090</v>
      </c>
      <c r="H1252" s="3">
        <v>24.0</v>
      </c>
      <c r="I1252" s="4" t="s">
        <v>5490</v>
      </c>
      <c r="J1252" s="1" t="s">
        <v>5491</v>
      </c>
      <c r="K1252" s="1" t="s">
        <v>28</v>
      </c>
    </row>
    <row r="1253">
      <c r="A1253" s="1" t="s">
        <v>5492</v>
      </c>
      <c r="B1253" s="1" t="s">
        <v>5493</v>
      </c>
      <c r="C1253" s="1">
        <v>2022.0</v>
      </c>
      <c r="D1253" s="2">
        <v>44614.0</v>
      </c>
      <c r="F1253" s="1" t="s">
        <v>5494</v>
      </c>
      <c r="H1253" s="3">
        <v>13.0</v>
      </c>
      <c r="I1253" s="4" t="s">
        <v>5495</v>
      </c>
      <c r="J1253" s="1" t="s">
        <v>5496</v>
      </c>
      <c r="K1253" s="1" t="s">
        <v>16</v>
      </c>
    </row>
    <row r="1254">
      <c r="A1254" s="1" t="s">
        <v>5497</v>
      </c>
      <c r="B1254" s="1" t="s">
        <v>5498</v>
      </c>
      <c r="C1254" s="1">
        <v>2022.0</v>
      </c>
      <c r="D1254" s="2">
        <v>44613.0</v>
      </c>
      <c r="F1254" s="1" t="s">
        <v>808</v>
      </c>
      <c r="H1254" s="3">
        <v>2.0</v>
      </c>
      <c r="I1254" s="4" t="s">
        <v>5499</v>
      </c>
      <c r="J1254" s="1" t="s">
        <v>5500</v>
      </c>
      <c r="K1254" s="1" t="s">
        <v>443</v>
      </c>
    </row>
    <row r="1255">
      <c r="A1255" s="1" t="s">
        <v>5501</v>
      </c>
      <c r="B1255" s="1" t="s">
        <v>5502</v>
      </c>
      <c r="C1255" s="1">
        <v>2022.0</v>
      </c>
      <c r="D1255" s="2">
        <v>44613.0</v>
      </c>
      <c r="F1255" s="1" t="s">
        <v>355</v>
      </c>
      <c r="H1255" s="3">
        <v>1.0</v>
      </c>
      <c r="I1255" s="4" t="s">
        <v>5503</v>
      </c>
      <c r="J1255" s="1" t="s">
        <v>5504</v>
      </c>
      <c r="K1255" s="1" t="s">
        <v>16</v>
      </c>
    </row>
    <row r="1256">
      <c r="A1256" s="1" t="s">
        <v>5505</v>
      </c>
      <c r="B1256" s="1" t="s">
        <v>5506</v>
      </c>
      <c r="C1256" s="1">
        <v>2022.0</v>
      </c>
      <c r="D1256" s="2">
        <v>44611.0</v>
      </c>
      <c r="F1256" s="1" t="s">
        <v>59</v>
      </c>
      <c r="H1256" s="3">
        <v>26.0</v>
      </c>
      <c r="I1256" s="4" t="s">
        <v>5507</v>
      </c>
      <c r="J1256" s="1" t="s">
        <v>5508</v>
      </c>
      <c r="K1256" s="1" t="s">
        <v>462</v>
      </c>
    </row>
    <row r="1257">
      <c r="A1257" s="1" t="s">
        <v>5509</v>
      </c>
      <c r="B1257" s="1" t="s">
        <v>5510</v>
      </c>
      <c r="C1257" s="1">
        <v>2022.0</v>
      </c>
      <c r="D1257" s="2">
        <v>44610.0</v>
      </c>
      <c r="F1257" s="1" t="s">
        <v>5511</v>
      </c>
      <c r="H1257" s="3">
        <v>3.0</v>
      </c>
      <c r="I1257" s="4" t="s">
        <v>5512</v>
      </c>
      <c r="J1257" s="1" t="s">
        <v>5513</v>
      </c>
      <c r="K1257" s="1" t="s">
        <v>68</v>
      </c>
    </row>
    <row r="1258">
      <c r="A1258" s="1" t="s">
        <v>5514</v>
      </c>
      <c r="B1258" s="1" t="s">
        <v>5515</v>
      </c>
      <c r="C1258" s="1">
        <v>2022.0</v>
      </c>
      <c r="D1258" s="2">
        <v>44609.0</v>
      </c>
      <c r="F1258" s="1" t="s">
        <v>86</v>
      </c>
      <c r="H1258" s="3">
        <v>16.0</v>
      </c>
      <c r="I1258" s="4" t="s">
        <v>5516</v>
      </c>
      <c r="J1258" s="1" t="s">
        <v>5517</v>
      </c>
      <c r="K1258" s="1" t="s">
        <v>28</v>
      </c>
    </row>
    <row r="1259">
      <c r="A1259" s="1" t="s">
        <v>5518</v>
      </c>
      <c r="B1259" s="1" t="s">
        <v>5519</v>
      </c>
      <c r="C1259" s="1">
        <v>2022.0</v>
      </c>
      <c r="D1259" s="2">
        <v>44608.0</v>
      </c>
      <c r="F1259" s="1" t="s">
        <v>934</v>
      </c>
      <c r="H1259" s="3">
        <v>2.0</v>
      </c>
      <c r="I1259" s="4" t="s">
        <v>5520</v>
      </c>
      <c r="J1259" s="1" t="s">
        <v>5521</v>
      </c>
      <c r="K1259" s="1" t="s">
        <v>295</v>
      </c>
    </row>
    <row r="1260">
      <c r="A1260" s="1" t="s">
        <v>5522</v>
      </c>
      <c r="B1260" s="1" t="s">
        <v>5523</v>
      </c>
      <c r="C1260" s="1">
        <v>2022.0</v>
      </c>
      <c r="D1260" s="2">
        <v>44608.0</v>
      </c>
      <c r="F1260" s="1" t="s">
        <v>5090</v>
      </c>
      <c r="H1260" s="3">
        <v>13.0</v>
      </c>
      <c r="I1260" s="4" t="s">
        <v>5524</v>
      </c>
      <c r="J1260" s="1" t="s">
        <v>5525</v>
      </c>
      <c r="K1260" s="1" t="s">
        <v>16</v>
      </c>
    </row>
    <row r="1261">
      <c r="A1261" s="1" t="s">
        <v>5526</v>
      </c>
      <c r="B1261" s="1" t="s">
        <v>5527</v>
      </c>
      <c r="C1261" s="1">
        <v>2022.0</v>
      </c>
      <c r="D1261" s="2">
        <v>44607.0</v>
      </c>
      <c r="F1261" s="1" t="s">
        <v>410</v>
      </c>
      <c r="H1261" s="3">
        <v>30.0</v>
      </c>
      <c r="I1261" s="4" t="s">
        <v>5528</v>
      </c>
      <c r="J1261" s="1" t="s">
        <v>5529</v>
      </c>
      <c r="K1261" s="1" t="s">
        <v>443</v>
      </c>
    </row>
    <row r="1262">
      <c r="A1262" s="1" t="s">
        <v>5530</v>
      </c>
      <c r="B1262" s="1" t="s">
        <v>5531</v>
      </c>
      <c r="C1262" s="1">
        <v>2022.0</v>
      </c>
      <c r="D1262" s="2">
        <v>44606.0</v>
      </c>
      <c r="F1262" s="1" t="s">
        <v>3583</v>
      </c>
      <c r="H1262" s="3">
        <v>1.0</v>
      </c>
      <c r="I1262" s="4" t="s">
        <v>5532</v>
      </c>
      <c r="J1262" s="1" t="s">
        <v>5533</v>
      </c>
      <c r="K1262" s="1" t="s">
        <v>5534</v>
      </c>
    </row>
    <row r="1263">
      <c r="A1263" s="1" t="s">
        <v>5535</v>
      </c>
      <c r="B1263" s="1" t="s">
        <v>5536</v>
      </c>
      <c r="C1263" s="1">
        <v>2022.0</v>
      </c>
      <c r="D1263" s="2">
        <v>44606.0</v>
      </c>
      <c r="F1263" s="1" t="s">
        <v>2036</v>
      </c>
      <c r="H1263" s="3">
        <v>6.0</v>
      </c>
      <c r="I1263" s="4" t="s">
        <v>5537</v>
      </c>
      <c r="J1263" s="1" t="s">
        <v>5538</v>
      </c>
      <c r="K1263" s="1" t="s">
        <v>16</v>
      </c>
    </row>
    <row r="1264">
      <c r="A1264" s="1" t="s">
        <v>5539</v>
      </c>
      <c r="B1264" s="1" t="s">
        <v>5540</v>
      </c>
      <c r="C1264" s="1">
        <v>2022.0</v>
      </c>
      <c r="D1264" s="2">
        <v>44606.0</v>
      </c>
      <c r="F1264" s="1" t="s">
        <v>1300</v>
      </c>
      <c r="H1264" s="3">
        <v>10.0</v>
      </c>
      <c r="I1264" s="4" t="s">
        <v>5541</v>
      </c>
      <c r="J1264" s="1" t="s">
        <v>5542</v>
      </c>
      <c r="K1264" s="1" t="s">
        <v>16</v>
      </c>
    </row>
    <row r="1265">
      <c r="A1265" s="1" t="s">
        <v>5543</v>
      </c>
      <c r="B1265" s="1" t="s">
        <v>5544</v>
      </c>
      <c r="C1265" s="1">
        <v>2022.0</v>
      </c>
      <c r="D1265" s="2">
        <v>44603.0</v>
      </c>
      <c r="F1265" s="1" t="s">
        <v>5545</v>
      </c>
      <c r="H1265" s="3">
        <v>32.0</v>
      </c>
      <c r="I1265" s="4" t="s">
        <v>5546</v>
      </c>
      <c r="J1265" s="1" t="s">
        <v>5547</v>
      </c>
      <c r="K1265" s="1" t="s">
        <v>28</v>
      </c>
    </row>
    <row r="1266">
      <c r="A1266" s="1" t="s">
        <v>5548</v>
      </c>
      <c r="B1266" s="1" t="s">
        <v>5549</v>
      </c>
      <c r="C1266" s="1">
        <v>2022.0</v>
      </c>
      <c r="D1266" s="2">
        <v>44603.0</v>
      </c>
      <c r="F1266" s="1" t="s">
        <v>1277</v>
      </c>
      <c r="H1266" s="3">
        <v>7.0</v>
      </c>
      <c r="I1266" s="4" t="s">
        <v>5550</v>
      </c>
      <c r="J1266" s="1" t="s">
        <v>5551</v>
      </c>
      <c r="K1266" s="1" t="s">
        <v>418</v>
      </c>
    </row>
    <row r="1267">
      <c r="A1267" s="1" t="s">
        <v>5552</v>
      </c>
      <c r="B1267" s="1" t="s">
        <v>5553</v>
      </c>
      <c r="C1267" s="1">
        <v>2022.0</v>
      </c>
      <c r="D1267" s="2">
        <v>44603.0</v>
      </c>
      <c r="F1267" s="1" t="s">
        <v>5554</v>
      </c>
      <c r="H1267" s="3">
        <v>2.0</v>
      </c>
      <c r="I1267" s="4" t="s">
        <v>5555</v>
      </c>
      <c r="J1267" s="1" t="s">
        <v>5556</v>
      </c>
      <c r="K1267" s="1" t="s">
        <v>295</v>
      </c>
    </row>
    <row r="1268">
      <c r="A1268" s="1" t="s">
        <v>5557</v>
      </c>
      <c r="B1268" s="1" t="s">
        <v>5558</v>
      </c>
      <c r="C1268" s="1">
        <v>2022.0</v>
      </c>
      <c r="D1268" s="2">
        <v>44603.0</v>
      </c>
      <c r="F1268" s="1" t="s">
        <v>5559</v>
      </c>
      <c r="H1268" s="3">
        <v>8.0</v>
      </c>
      <c r="I1268" s="4" t="s">
        <v>5560</v>
      </c>
      <c r="J1268" s="1" t="s">
        <v>5561</v>
      </c>
      <c r="K1268" s="1" t="s">
        <v>295</v>
      </c>
    </row>
    <row r="1269">
      <c r="A1269" s="1" t="s">
        <v>5562</v>
      </c>
      <c r="B1269" s="1" t="s">
        <v>5563</v>
      </c>
      <c r="C1269" s="1">
        <v>2022.0</v>
      </c>
      <c r="D1269" s="2">
        <v>44602.0</v>
      </c>
      <c r="F1269" s="1" t="s">
        <v>5564</v>
      </c>
      <c r="H1269" s="3">
        <v>6.0</v>
      </c>
      <c r="I1269" s="4" t="s">
        <v>5565</v>
      </c>
      <c r="J1269" s="1" t="s">
        <v>5566</v>
      </c>
      <c r="K1269" s="1" t="s">
        <v>413</v>
      </c>
    </row>
    <row r="1270">
      <c r="A1270" s="1" t="s">
        <v>5567</v>
      </c>
      <c r="B1270" s="1" t="s">
        <v>5568</v>
      </c>
      <c r="C1270" s="1">
        <v>2022.0</v>
      </c>
      <c r="D1270" s="2">
        <v>44601.0</v>
      </c>
      <c r="F1270" s="1" t="s">
        <v>71</v>
      </c>
      <c r="H1270" s="3">
        <v>4.0</v>
      </c>
      <c r="I1270" s="4" t="s">
        <v>5569</v>
      </c>
      <c r="J1270" s="1" t="s">
        <v>5570</v>
      </c>
      <c r="K1270" s="1" t="s">
        <v>16</v>
      </c>
    </row>
    <row r="1271">
      <c r="A1271" s="1" t="s">
        <v>5571</v>
      </c>
      <c r="B1271" s="1" t="s">
        <v>5572</v>
      </c>
      <c r="C1271" s="1">
        <v>2022.0</v>
      </c>
      <c r="D1271" s="2">
        <v>44601.0</v>
      </c>
      <c r="F1271" s="1" t="s">
        <v>5573</v>
      </c>
      <c r="H1271" s="3">
        <v>18.0</v>
      </c>
      <c r="I1271" s="4" t="s">
        <v>5574</v>
      </c>
      <c r="J1271" s="1" t="s">
        <v>5575</v>
      </c>
      <c r="K1271" s="1" t="s">
        <v>16</v>
      </c>
    </row>
    <row r="1272">
      <c r="A1272" s="1" t="s">
        <v>5576</v>
      </c>
      <c r="B1272" s="1" t="s">
        <v>5577</v>
      </c>
      <c r="C1272" s="1">
        <v>2022.0</v>
      </c>
      <c r="D1272" s="2">
        <v>44601.0</v>
      </c>
      <c r="F1272" s="1" t="s">
        <v>5554</v>
      </c>
      <c r="H1272" s="3">
        <v>3.0</v>
      </c>
      <c r="I1272" s="4" t="s">
        <v>5578</v>
      </c>
      <c r="J1272" s="1" t="s">
        <v>5579</v>
      </c>
      <c r="K1272" s="1" t="s">
        <v>16</v>
      </c>
    </row>
    <row r="1273">
      <c r="A1273" s="1" t="s">
        <v>5580</v>
      </c>
      <c r="B1273" s="1" t="s">
        <v>5581</v>
      </c>
      <c r="C1273" s="1">
        <v>2022.0</v>
      </c>
      <c r="D1273" s="2">
        <v>44600.0</v>
      </c>
      <c r="F1273" s="1" t="s">
        <v>2191</v>
      </c>
      <c r="H1273" s="3">
        <v>28.0</v>
      </c>
      <c r="I1273" s="4" t="s">
        <v>5582</v>
      </c>
      <c r="J1273" s="1" t="s">
        <v>5583</v>
      </c>
      <c r="K1273" s="1" t="s">
        <v>443</v>
      </c>
    </row>
    <row r="1274">
      <c r="A1274" s="1" t="s">
        <v>5584</v>
      </c>
      <c r="B1274" s="1" t="s">
        <v>5585</v>
      </c>
      <c r="C1274" s="1">
        <v>2022.0</v>
      </c>
      <c r="D1274" s="2">
        <v>44599.0</v>
      </c>
      <c r="F1274" s="1" t="s">
        <v>3128</v>
      </c>
      <c r="H1274" s="3">
        <v>6.0</v>
      </c>
      <c r="I1274" s="4" t="s">
        <v>5586</v>
      </c>
      <c r="J1274" s="1" t="s">
        <v>5587</v>
      </c>
      <c r="K1274" s="1" t="s">
        <v>68</v>
      </c>
    </row>
    <row r="1275">
      <c r="A1275" s="1" t="s">
        <v>5588</v>
      </c>
      <c r="B1275" s="1" t="s">
        <v>5589</v>
      </c>
      <c r="C1275" s="1">
        <v>2022.0</v>
      </c>
      <c r="D1275" s="2">
        <v>44599.0</v>
      </c>
      <c r="F1275" s="1" t="s">
        <v>1782</v>
      </c>
      <c r="H1275" s="3">
        <v>25.0</v>
      </c>
      <c r="I1275" s="4" t="s">
        <v>5590</v>
      </c>
      <c r="J1275" s="1" t="s">
        <v>5591</v>
      </c>
      <c r="K1275" s="1" t="s">
        <v>16</v>
      </c>
    </row>
    <row r="1276">
      <c r="A1276" s="1" t="s">
        <v>5592</v>
      </c>
      <c r="B1276" s="1" t="s">
        <v>5593</v>
      </c>
      <c r="C1276" s="1">
        <v>2022.0</v>
      </c>
      <c r="D1276" s="2">
        <v>44599.0</v>
      </c>
      <c r="F1276" s="1" t="s">
        <v>198</v>
      </c>
      <c r="H1276" s="3">
        <v>2.0</v>
      </c>
      <c r="I1276" s="4" t="s">
        <v>5594</v>
      </c>
      <c r="J1276" s="1" t="s">
        <v>5595</v>
      </c>
      <c r="K1276" s="1" t="s">
        <v>16</v>
      </c>
    </row>
    <row r="1277">
      <c r="A1277" s="1" t="s">
        <v>5596</v>
      </c>
      <c r="B1277" s="1" t="s">
        <v>5597</v>
      </c>
      <c r="C1277" s="1">
        <v>2022.0</v>
      </c>
      <c r="D1277" s="2">
        <v>44596.0</v>
      </c>
      <c r="F1277" s="1" t="s">
        <v>5598</v>
      </c>
      <c r="H1277" s="3">
        <v>4.0</v>
      </c>
      <c r="I1277" s="4" t="s">
        <v>5599</v>
      </c>
      <c r="J1277" s="1" t="s">
        <v>5600</v>
      </c>
      <c r="K1277" s="1" t="s">
        <v>45</v>
      </c>
    </row>
    <row r="1278">
      <c r="A1278" s="1" t="s">
        <v>5601</v>
      </c>
      <c r="B1278" s="1" t="s">
        <v>5602</v>
      </c>
      <c r="C1278" s="1">
        <v>2022.0</v>
      </c>
      <c r="D1278" s="2">
        <v>44596.0</v>
      </c>
      <c r="F1278" s="1" t="s">
        <v>208</v>
      </c>
      <c r="H1278" s="3">
        <v>6.0</v>
      </c>
      <c r="I1278" s="4" t="s">
        <v>5603</v>
      </c>
      <c r="J1278" s="1" t="s">
        <v>5604</v>
      </c>
      <c r="K1278" s="1" t="s">
        <v>45</v>
      </c>
    </row>
    <row r="1279">
      <c r="A1279" s="1" t="s">
        <v>5605</v>
      </c>
      <c r="B1279" s="1" t="s">
        <v>5606</v>
      </c>
      <c r="C1279" s="1">
        <v>2022.0</v>
      </c>
      <c r="D1279" s="2">
        <v>44596.0</v>
      </c>
      <c r="F1279" s="1" t="s">
        <v>1006</v>
      </c>
      <c r="H1279" s="3">
        <v>8.0</v>
      </c>
      <c r="I1279" s="4" t="s">
        <v>5607</v>
      </c>
      <c r="J1279" s="1" t="s">
        <v>5608</v>
      </c>
      <c r="K1279" s="1" t="s">
        <v>403</v>
      </c>
    </row>
    <row r="1280">
      <c r="A1280" s="1" t="s">
        <v>5609</v>
      </c>
      <c r="B1280" s="1" t="s">
        <v>5610</v>
      </c>
      <c r="C1280" s="1">
        <v>2022.0</v>
      </c>
      <c r="D1280" s="2">
        <v>44595.0</v>
      </c>
      <c r="F1280" s="1" t="s">
        <v>4197</v>
      </c>
      <c r="H1280" s="3">
        <v>37.0</v>
      </c>
      <c r="I1280" s="4" t="s">
        <v>5611</v>
      </c>
      <c r="J1280" s="1" t="s">
        <v>5612</v>
      </c>
      <c r="K1280" s="1" t="s">
        <v>418</v>
      </c>
    </row>
    <row r="1281">
      <c r="A1281" s="1" t="s">
        <v>5613</v>
      </c>
      <c r="B1281" s="1" t="s">
        <v>5614</v>
      </c>
      <c r="C1281" s="1">
        <v>2022.0</v>
      </c>
      <c r="D1281" s="2">
        <v>44595.0</v>
      </c>
      <c r="F1281" s="1" t="s">
        <v>743</v>
      </c>
      <c r="H1281" s="3">
        <v>3.0</v>
      </c>
      <c r="I1281" s="4" t="s">
        <v>5615</v>
      </c>
      <c r="J1281" s="1" t="s">
        <v>5616</v>
      </c>
      <c r="K1281" s="1" t="s">
        <v>295</v>
      </c>
    </row>
    <row r="1282">
      <c r="A1282" s="1" t="s">
        <v>5617</v>
      </c>
      <c r="B1282" s="1" t="s">
        <v>5618</v>
      </c>
      <c r="C1282" s="1">
        <v>2022.0</v>
      </c>
      <c r="D1282" s="2">
        <v>44595.0</v>
      </c>
      <c r="F1282" s="1" t="s">
        <v>1358</v>
      </c>
      <c r="H1282" s="3">
        <v>8.0</v>
      </c>
      <c r="I1282" s="4" t="s">
        <v>5619</v>
      </c>
      <c r="J1282" s="1" t="s">
        <v>5620</v>
      </c>
      <c r="K1282" s="1" t="s">
        <v>16</v>
      </c>
    </row>
    <row r="1283">
      <c r="A1283" s="1" t="s">
        <v>5621</v>
      </c>
      <c r="B1283" s="1" t="s">
        <v>5622</v>
      </c>
      <c r="C1283" s="1">
        <v>2022.0</v>
      </c>
      <c r="D1283" s="2">
        <v>44594.0</v>
      </c>
      <c r="F1283" s="1" t="s">
        <v>568</v>
      </c>
      <c r="H1283" s="3">
        <v>4.0</v>
      </c>
      <c r="I1283" s="4" t="s">
        <v>5623</v>
      </c>
      <c r="J1283" s="1" t="s">
        <v>5624</v>
      </c>
      <c r="K1283" s="1" t="s">
        <v>571</v>
      </c>
    </row>
    <row r="1284">
      <c r="A1284" s="1" t="s">
        <v>5625</v>
      </c>
      <c r="B1284" s="1" t="s">
        <v>5264</v>
      </c>
      <c r="C1284" s="1">
        <v>2022.0</v>
      </c>
      <c r="D1284" s="2">
        <v>44593.0</v>
      </c>
      <c r="F1284" s="1" t="s">
        <v>1514</v>
      </c>
      <c r="H1284" s="3">
        <v>1.0</v>
      </c>
      <c r="I1284" s="4" t="s">
        <v>5626</v>
      </c>
      <c r="J1284" s="1" t="s">
        <v>5627</v>
      </c>
      <c r="K1284" s="1" t="s">
        <v>383</v>
      </c>
    </row>
    <row r="1285">
      <c r="A1285" s="1" t="s">
        <v>5628</v>
      </c>
      <c r="B1285" s="1" t="s">
        <v>5629</v>
      </c>
      <c r="C1285" s="1">
        <v>2022.0</v>
      </c>
      <c r="D1285" s="2">
        <v>44593.0</v>
      </c>
      <c r="F1285" s="1" t="s">
        <v>5630</v>
      </c>
      <c r="H1285" s="3">
        <v>1.0</v>
      </c>
      <c r="I1285" s="4" t="s">
        <v>5631</v>
      </c>
      <c r="J1285" s="1" t="s">
        <v>5632</v>
      </c>
      <c r="K1285" s="1" t="s">
        <v>28</v>
      </c>
    </row>
    <row r="1286">
      <c r="A1286" s="1" t="s">
        <v>5633</v>
      </c>
      <c r="B1286" s="1" t="s">
        <v>5634</v>
      </c>
      <c r="C1286" s="1">
        <v>2022.0</v>
      </c>
      <c r="D1286" s="2">
        <v>44593.0</v>
      </c>
      <c r="F1286" s="1" t="s">
        <v>3017</v>
      </c>
      <c r="H1286" s="3">
        <v>3.0</v>
      </c>
      <c r="I1286" s="4" t="s">
        <v>5635</v>
      </c>
      <c r="J1286" s="1" t="s">
        <v>5636</v>
      </c>
      <c r="K1286" s="1" t="s">
        <v>28</v>
      </c>
    </row>
    <row r="1287">
      <c r="A1287" s="1" t="s">
        <v>5637</v>
      </c>
      <c r="B1287" s="1" t="s">
        <v>5638</v>
      </c>
      <c r="C1287" s="1">
        <v>2022.0</v>
      </c>
      <c r="D1287" s="2">
        <v>44593.0</v>
      </c>
      <c r="F1287" s="1" t="s">
        <v>5554</v>
      </c>
      <c r="H1287" s="3">
        <v>3.0</v>
      </c>
      <c r="I1287" s="4" t="s">
        <v>5639</v>
      </c>
      <c r="J1287" s="1" t="s">
        <v>5640</v>
      </c>
      <c r="K1287" s="1" t="s">
        <v>295</v>
      </c>
    </row>
    <row r="1288">
      <c r="A1288" s="1" t="s">
        <v>5641</v>
      </c>
      <c r="B1288" s="1" t="s">
        <v>5642</v>
      </c>
      <c r="C1288" s="1">
        <v>2022.0</v>
      </c>
      <c r="D1288" s="2">
        <v>44593.0</v>
      </c>
      <c r="F1288" s="1" t="s">
        <v>5554</v>
      </c>
      <c r="H1288" s="3">
        <v>4.0</v>
      </c>
      <c r="I1288" s="4" t="s">
        <v>5643</v>
      </c>
      <c r="J1288" s="1" t="s">
        <v>5644</v>
      </c>
      <c r="K1288" s="1" t="s">
        <v>16</v>
      </c>
    </row>
    <row r="1289">
      <c r="A1289" s="1" t="s">
        <v>5645</v>
      </c>
      <c r="B1289" s="1" t="s">
        <v>5646</v>
      </c>
      <c r="C1289" s="1">
        <v>2022.0</v>
      </c>
      <c r="D1289" s="2">
        <v>44592.0</v>
      </c>
      <c r="F1289" s="1" t="s">
        <v>1366</v>
      </c>
      <c r="H1289" s="3">
        <v>27.0</v>
      </c>
      <c r="I1289" s="4" t="s">
        <v>5647</v>
      </c>
      <c r="J1289" s="1" t="s">
        <v>5648</v>
      </c>
      <c r="K1289" s="1" t="s">
        <v>45</v>
      </c>
    </row>
    <row r="1290">
      <c r="A1290" s="1" t="s">
        <v>5649</v>
      </c>
      <c r="B1290" s="1" t="s">
        <v>5650</v>
      </c>
      <c r="C1290" s="1">
        <v>2022.0</v>
      </c>
      <c r="D1290" s="2">
        <v>44592.0</v>
      </c>
      <c r="F1290" s="1" t="s">
        <v>5651</v>
      </c>
      <c r="H1290" s="3">
        <v>10.0</v>
      </c>
      <c r="I1290" s="4" t="s">
        <v>5652</v>
      </c>
      <c r="J1290" s="1" t="s">
        <v>5653</v>
      </c>
      <c r="K1290" s="1" t="s">
        <v>28</v>
      </c>
    </row>
    <row r="1291">
      <c r="A1291" s="1" t="s">
        <v>5654</v>
      </c>
      <c r="B1291" s="1" t="s">
        <v>5655</v>
      </c>
      <c r="C1291" s="1">
        <v>2022.0</v>
      </c>
      <c r="D1291" s="2">
        <v>44589.0</v>
      </c>
      <c r="F1291" s="1" t="s">
        <v>5656</v>
      </c>
      <c r="H1291" s="3">
        <v>7.0</v>
      </c>
      <c r="I1291" s="4" t="s">
        <v>5657</v>
      </c>
      <c r="J1291" s="1" t="s">
        <v>5658</v>
      </c>
      <c r="K1291" s="1" t="s">
        <v>28</v>
      </c>
    </row>
    <row r="1292">
      <c r="A1292" s="1" t="s">
        <v>5659</v>
      </c>
      <c r="B1292" s="1" t="s">
        <v>5660</v>
      </c>
      <c r="C1292" s="1">
        <v>2022.0</v>
      </c>
      <c r="D1292" s="2">
        <v>44587.0</v>
      </c>
      <c r="F1292" s="1" t="s">
        <v>5661</v>
      </c>
      <c r="H1292" s="3">
        <v>9.0</v>
      </c>
      <c r="I1292" s="4" t="s">
        <v>5662</v>
      </c>
      <c r="J1292" s="1"/>
      <c r="K1292" s="1" t="s">
        <v>45</v>
      </c>
    </row>
    <row r="1293">
      <c r="A1293" s="1" t="s">
        <v>5663</v>
      </c>
      <c r="B1293" s="1" t="s">
        <v>5664</v>
      </c>
      <c r="C1293" s="1">
        <v>2022.0</v>
      </c>
      <c r="D1293" s="2">
        <v>44587.0</v>
      </c>
      <c r="F1293" s="1" t="s">
        <v>2611</v>
      </c>
      <c r="H1293" s="3">
        <v>14.0</v>
      </c>
      <c r="I1293" s="4" t="s">
        <v>5665</v>
      </c>
      <c r="J1293" s="1" t="s">
        <v>5666</v>
      </c>
      <c r="K1293" s="1" t="s">
        <v>16</v>
      </c>
    </row>
    <row r="1294">
      <c r="A1294" s="1" t="s">
        <v>5667</v>
      </c>
      <c r="B1294" s="1" t="s">
        <v>5668</v>
      </c>
      <c r="C1294" s="1">
        <v>2022.0</v>
      </c>
      <c r="D1294" s="2">
        <v>44586.0</v>
      </c>
      <c r="F1294" s="1" t="s">
        <v>5669</v>
      </c>
      <c r="H1294" s="3">
        <v>3.0</v>
      </c>
      <c r="I1294" s="4" t="s">
        <v>5670</v>
      </c>
      <c r="J1294" s="1" t="s">
        <v>5671</v>
      </c>
      <c r="K1294" s="1" t="s">
        <v>418</v>
      </c>
    </row>
    <row r="1295">
      <c r="A1295" s="1" t="s">
        <v>5672</v>
      </c>
      <c r="B1295" s="1" t="s">
        <v>5673</v>
      </c>
      <c r="C1295" s="1">
        <v>2022.0</v>
      </c>
      <c r="D1295" s="2">
        <v>44586.0</v>
      </c>
      <c r="F1295" s="1" t="s">
        <v>2774</v>
      </c>
      <c r="H1295" s="3">
        <v>21.0</v>
      </c>
      <c r="I1295" s="4" t="s">
        <v>5674</v>
      </c>
      <c r="J1295" s="1" t="s">
        <v>5675</v>
      </c>
      <c r="K1295" s="1" t="s">
        <v>492</v>
      </c>
    </row>
    <row r="1296">
      <c r="A1296" s="1" t="s">
        <v>5676</v>
      </c>
      <c r="B1296" s="1" t="s">
        <v>5677</v>
      </c>
      <c r="C1296" s="1">
        <v>2022.0</v>
      </c>
      <c r="D1296" s="2">
        <v>44586.0</v>
      </c>
      <c r="F1296" s="1" t="s">
        <v>5678</v>
      </c>
      <c r="H1296" s="3">
        <v>2.0</v>
      </c>
      <c r="I1296" s="4" t="s">
        <v>5679</v>
      </c>
      <c r="J1296" s="1" t="s">
        <v>5680</v>
      </c>
      <c r="K1296" s="1" t="s">
        <v>68</v>
      </c>
    </row>
    <row r="1297">
      <c r="A1297" s="1" t="s">
        <v>5681</v>
      </c>
      <c r="B1297" s="1" t="s">
        <v>5682</v>
      </c>
      <c r="C1297" s="1">
        <v>2022.0</v>
      </c>
      <c r="D1297" s="2">
        <v>44585.0</v>
      </c>
      <c r="F1297" s="1" t="s">
        <v>326</v>
      </c>
      <c r="H1297" s="3">
        <v>40.0</v>
      </c>
      <c r="I1297" s="4" t="s">
        <v>5683</v>
      </c>
      <c r="J1297" s="1" t="s">
        <v>5684</v>
      </c>
      <c r="K1297" s="1" t="s">
        <v>323</v>
      </c>
    </row>
    <row r="1298">
      <c r="A1298" s="1" t="s">
        <v>5685</v>
      </c>
      <c r="B1298" s="1" t="s">
        <v>5536</v>
      </c>
      <c r="C1298" s="1">
        <v>2022.0</v>
      </c>
      <c r="D1298" s="2">
        <v>44585.0</v>
      </c>
      <c r="F1298" s="1" t="s">
        <v>5686</v>
      </c>
      <c r="H1298" s="3">
        <v>1.0</v>
      </c>
      <c r="I1298" s="4" t="s">
        <v>5687</v>
      </c>
      <c r="J1298" s="1" t="s">
        <v>5688</v>
      </c>
      <c r="K1298" s="1" t="s">
        <v>16</v>
      </c>
    </row>
    <row r="1299">
      <c r="A1299" s="1" t="s">
        <v>5689</v>
      </c>
      <c r="B1299" s="1" t="s">
        <v>5690</v>
      </c>
      <c r="C1299" s="1">
        <v>2022.0</v>
      </c>
      <c r="D1299" s="2">
        <v>44584.0</v>
      </c>
      <c r="F1299" s="1" t="s">
        <v>208</v>
      </c>
      <c r="H1299" s="3">
        <v>15.0</v>
      </c>
      <c r="I1299" s="4" t="s">
        <v>5691</v>
      </c>
      <c r="J1299" s="1" t="s">
        <v>5692</v>
      </c>
      <c r="K1299" s="1" t="s">
        <v>28</v>
      </c>
    </row>
    <row r="1300">
      <c r="A1300" s="1" t="s">
        <v>5693</v>
      </c>
      <c r="B1300" s="1" t="s">
        <v>5694</v>
      </c>
      <c r="C1300" s="1">
        <v>2022.0</v>
      </c>
      <c r="D1300" s="2">
        <v>44582.0</v>
      </c>
      <c r="F1300" s="1" t="s">
        <v>208</v>
      </c>
      <c r="H1300" s="3">
        <v>26.0</v>
      </c>
      <c r="I1300" s="4" t="s">
        <v>5695</v>
      </c>
      <c r="J1300" s="1" t="s">
        <v>5696</v>
      </c>
      <c r="K1300" s="1" t="s">
        <v>295</v>
      </c>
    </row>
    <row r="1301">
      <c r="A1301" s="1" t="s">
        <v>5697</v>
      </c>
      <c r="B1301" s="1" t="s">
        <v>5698</v>
      </c>
      <c r="C1301" s="1">
        <v>2022.0</v>
      </c>
      <c r="D1301" s="2">
        <v>44582.0</v>
      </c>
      <c r="F1301" s="1" t="s">
        <v>1415</v>
      </c>
      <c r="H1301" s="3">
        <v>5.0</v>
      </c>
      <c r="I1301" s="4" t="s">
        <v>5699</v>
      </c>
      <c r="J1301" s="1" t="s">
        <v>5700</v>
      </c>
      <c r="K1301" s="1" t="s">
        <v>295</v>
      </c>
    </row>
    <row r="1302">
      <c r="A1302" s="1" t="s">
        <v>5701</v>
      </c>
      <c r="B1302" s="1" t="s">
        <v>5702</v>
      </c>
      <c r="C1302" s="1">
        <v>2022.0</v>
      </c>
      <c r="D1302" s="2">
        <v>44582.0</v>
      </c>
      <c r="F1302" s="1" t="s">
        <v>271</v>
      </c>
      <c r="H1302" s="3">
        <v>57.0</v>
      </c>
      <c r="I1302" s="4" t="s">
        <v>5703</v>
      </c>
      <c r="J1302" s="1" t="s">
        <v>5704</v>
      </c>
      <c r="K1302" s="1" t="s">
        <v>16</v>
      </c>
    </row>
    <row r="1303">
      <c r="A1303" s="1" t="s">
        <v>5705</v>
      </c>
      <c r="B1303" s="1" t="s">
        <v>5706</v>
      </c>
      <c r="C1303" s="1">
        <v>2022.0</v>
      </c>
      <c r="D1303" s="2">
        <v>44581.0</v>
      </c>
      <c r="F1303" s="1" t="s">
        <v>71</v>
      </c>
      <c r="H1303" s="3">
        <v>2.0</v>
      </c>
      <c r="I1303" s="4" t="s">
        <v>5707</v>
      </c>
      <c r="J1303" s="1" t="s">
        <v>5708</v>
      </c>
      <c r="K1303" s="1" t="s">
        <v>16</v>
      </c>
    </row>
    <row r="1304">
      <c r="A1304" s="1" t="s">
        <v>5709</v>
      </c>
      <c r="B1304" s="1" t="s">
        <v>5710</v>
      </c>
      <c r="C1304" s="1">
        <v>2022.0</v>
      </c>
      <c r="D1304" s="2">
        <v>44579.0</v>
      </c>
      <c r="F1304" s="1" t="s">
        <v>2036</v>
      </c>
      <c r="H1304" s="3">
        <v>10.0</v>
      </c>
      <c r="I1304" s="4" t="s">
        <v>5711</v>
      </c>
      <c r="J1304" s="1" t="s">
        <v>5712</v>
      </c>
      <c r="K1304" s="1" t="s">
        <v>418</v>
      </c>
    </row>
    <row r="1305">
      <c r="A1305" s="1" t="s">
        <v>5713</v>
      </c>
      <c r="B1305" s="1" t="s">
        <v>5714</v>
      </c>
      <c r="C1305" s="1">
        <v>2022.0</v>
      </c>
      <c r="D1305" s="2">
        <v>44579.0</v>
      </c>
      <c r="F1305" s="1" t="s">
        <v>3501</v>
      </c>
      <c r="H1305" s="3">
        <v>5.0</v>
      </c>
      <c r="I1305" s="4" t="s">
        <v>5715</v>
      </c>
      <c r="J1305" s="1"/>
      <c r="K1305" s="1" t="s">
        <v>28</v>
      </c>
    </row>
    <row r="1306">
      <c r="A1306" s="1" t="s">
        <v>5716</v>
      </c>
      <c r="B1306" s="1" t="s">
        <v>5717</v>
      </c>
      <c r="C1306" s="1">
        <v>2022.0</v>
      </c>
      <c r="D1306" s="2">
        <v>44579.0</v>
      </c>
      <c r="F1306" s="1" t="s">
        <v>218</v>
      </c>
      <c r="H1306" s="3">
        <v>2.0</v>
      </c>
      <c r="I1306" s="4" t="s">
        <v>5718</v>
      </c>
      <c r="J1306" s="1" t="s">
        <v>5719</v>
      </c>
      <c r="K1306" s="1" t="s">
        <v>16</v>
      </c>
    </row>
    <row r="1307">
      <c r="A1307" s="1" t="s">
        <v>5720</v>
      </c>
      <c r="B1307" s="1" t="s">
        <v>5721</v>
      </c>
      <c r="C1307" s="1">
        <v>2022.0</v>
      </c>
      <c r="D1307" s="2">
        <v>44578.0</v>
      </c>
      <c r="F1307" s="1" t="s">
        <v>1649</v>
      </c>
      <c r="H1307" s="3">
        <v>8.0</v>
      </c>
      <c r="I1307" s="4" t="s">
        <v>5722</v>
      </c>
      <c r="J1307" s="1" t="s">
        <v>5723</v>
      </c>
      <c r="K1307" s="1" t="s">
        <v>16</v>
      </c>
    </row>
    <row r="1308">
      <c r="A1308" s="1" t="s">
        <v>5724</v>
      </c>
      <c r="B1308" s="1" t="s">
        <v>5725</v>
      </c>
      <c r="C1308" s="1">
        <v>2022.0</v>
      </c>
      <c r="D1308" s="2">
        <v>44578.0</v>
      </c>
      <c r="F1308" s="1" t="s">
        <v>13</v>
      </c>
      <c r="H1308" s="3">
        <v>16.0</v>
      </c>
      <c r="I1308" s="4" t="s">
        <v>5726</v>
      </c>
      <c r="J1308" s="1" t="s">
        <v>5727</v>
      </c>
      <c r="K1308" s="1" t="s">
        <v>16</v>
      </c>
    </row>
    <row r="1309">
      <c r="A1309" s="1" t="s">
        <v>5728</v>
      </c>
      <c r="B1309" s="1" t="s">
        <v>5729</v>
      </c>
      <c r="C1309" s="1">
        <v>2022.0</v>
      </c>
      <c r="D1309" s="2">
        <v>44577.0</v>
      </c>
      <c r="F1309" s="1" t="s">
        <v>208</v>
      </c>
      <c r="H1309" s="3">
        <v>3.0</v>
      </c>
      <c r="I1309" s="4" t="s">
        <v>5730</v>
      </c>
      <c r="J1309" s="1" t="s">
        <v>5731</v>
      </c>
      <c r="K1309" s="1" t="s">
        <v>372</v>
      </c>
    </row>
    <row r="1310">
      <c r="A1310" s="1" t="s">
        <v>5732</v>
      </c>
      <c r="B1310" s="1" t="s">
        <v>5733</v>
      </c>
      <c r="C1310" s="1">
        <v>2022.0</v>
      </c>
      <c r="D1310" s="2">
        <v>44577.0</v>
      </c>
      <c r="F1310" s="1" t="s">
        <v>1459</v>
      </c>
      <c r="H1310" s="3">
        <v>8.0</v>
      </c>
      <c r="I1310" s="4" t="s">
        <v>5734</v>
      </c>
      <c r="J1310" s="1" t="s">
        <v>5735</v>
      </c>
      <c r="K1310" s="1" t="s">
        <v>16</v>
      </c>
    </row>
    <row r="1311">
      <c r="A1311" s="1" t="s">
        <v>5736</v>
      </c>
      <c r="B1311" s="1" t="s">
        <v>5737</v>
      </c>
      <c r="C1311" s="1">
        <v>2022.0</v>
      </c>
      <c r="D1311" s="2">
        <v>44575.0</v>
      </c>
      <c r="F1311" s="1" t="s">
        <v>86</v>
      </c>
      <c r="H1311" s="3">
        <v>13.0</v>
      </c>
      <c r="I1311" s="4" t="s">
        <v>5738</v>
      </c>
      <c r="J1311" s="1" t="s">
        <v>5739</v>
      </c>
      <c r="K1311" s="1" t="s">
        <v>16</v>
      </c>
    </row>
    <row r="1312">
      <c r="A1312" s="1" t="s">
        <v>5740</v>
      </c>
      <c r="B1312" s="1" t="s">
        <v>2918</v>
      </c>
      <c r="C1312" s="1">
        <v>2022.0</v>
      </c>
      <c r="D1312" s="2">
        <v>44574.0</v>
      </c>
      <c r="F1312" s="1" t="s">
        <v>369</v>
      </c>
      <c r="H1312" s="3">
        <v>49.0</v>
      </c>
      <c r="I1312" s="4" t="s">
        <v>5741</v>
      </c>
      <c r="J1312" s="1" t="s">
        <v>5742</v>
      </c>
      <c r="K1312" s="1" t="s">
        <v>1423</v>
      </c>
    </row>
    <row r="1313">
      <c r="A1313" s="1" t="s">
        <v>5743</v>
      </c>
      <c r="B1313" s="1" t="s">
        <v>5744</v>
      </c>
      <c r="C1313" s="1">
        <v>2022.0</v>
      </c>
      <c r="D1313" s="2">
        <v>44574.0</v>
      </c>
      <c r="F1313" s="1" t="s">
        <v>5745</v>
      </c>
      <c r="H1313" s="3">
        <v>1.0</v>
      </c>
      <c r="I1313" s="4" t="s">
        <v>5746</v>
      </c>
      <c r="J1313" s="1"/>
      <c r="K1313" s="1" t="s">
        <v>329</v>
      </c>
    </row>
    <row r="1314">
      <c r="A1314" s="1" t="s">
        <v>5747</v>
      </c>
      <c r="B1314" s="1" t="s">
        <v>5748</v>
      </c>
      <c r="C1314" s="1">
        <v>2022.0</v>
      </c>
      <c r="D1314" s="2">
        <v>44573.0</v>
      </c>
      <c r="F1314" s="1" t="s">
        <v>5336</v>
      </c>
      <c r="H1314" s="3">
        <v>18.0</v>
      </c>
      <c r="I1314" s="4" t="s">
        <v>5749</v>
      </c>
      <c r="J1314" s="1" t="s">
        <v>5750</v>
      </c>
      <c r="K1314" s="1" t="s">
        <v>323</v>
      </c>
    </row>
    <row r="1315">
      <c r="A1315" s="1" t="s">
        <v>5751</v>
      </c>
      <c r="B1315" s="1" t="s">
        <v>5752</v>
      </c>
      <c r="C1315" s="1">
        <v>2022.0</v>
      </c>
      <c r="D1315" s="2">
        <v>44573.0</v>
      </c>
      <c r="F1315" s="1" t="s">
        <v>5753</v>
      </c>
      <c r="H1315" s="3">
        <v>4.0</v>
      </c>
      <c r="I1315" s="4" t="s">
        <v>5754</v>
      </c>
      <c r="J1315" s="1" t="s">
        <v>5755</v>
      </c>
      <c r="K1315" s="1" t="s">
        <v>16</v>
      </c>
    </row>
    <row r="1316">
      <c r="A1316" s="1" t="s">
        <v>5756</v>
      </c>
      <c r="B1316" s="1" t="s">
        <v>5757</v>
      </c>
      <c r="C1316" s="1">
        <v>2022.0</v>
      </c>
      <c r="D1316" s="2">
        <v>44572.0</v>
      </c>
      <c r="F1316" s="1" t="s">
        <v>5758</v>
      </c>
      <c r="H1316" s="3">
        <v>0.0</v>
      </c>
      <c r="I1316" s="4" t="s">
        <v>5759</v>
      </c>
      <c r="J1316" s="1" t="s">
        <v>5760</v>
      </c>
      <c r="K1316" s="1" t="s">
        <v>28</v>
      </c>
    </row>
    <row r="1317">
      <c r="A1317" s="1" t="s">
        <v>5761</v>
      </c>
      <c r="B1317" s="1" t="s">
        <v>5762</v>
      </c>
      <c r="C1317" s="1">
        <v>2022.0</v>
      </c>
      <c r="D1317" s="2">
        <v>44572.0</v>
      </c>
      <c r="F1317" s="1" t="s">
        <v>1371</v>
      </c>
      <c r="H1317" s="3">
        <v>10.0</v>
      </c>
      <c r="I1317" s="4" t="s">
        <v>5763</v>
      </c>
      <c r="J1317" s="1" t="s">
        <v>5764</v>
      </c>
      <c r="K1317" s="1" t="s">
        <v>418</v>
      </c>
    </row>
    <row r="1318">
      <c r="A1318" s="1" t="s">
        <v>5765</v>
      </c>
      <c r="B1318" s="1" t="s">
        <v>5766</v>
      </c>
      <c r="C1318" s="1">
        <v>2022.0</v>
      </c>
      <c r="D1318" s="2">
        <v>44572.0</v>
      </c>
      <c r="F1318" s="1" t="s">
        <v>877</v>
      </c>
      <c r="H1318" s="3">
        <v>81.0</v>
      </c>
      <c r="I1318" s="4" t="s">
        <v>5767</v>
      </c>
      <c r="J1318" s="1" t="s">
        <v>5768</v>
      </c>
      <c r="K1318" s="1" t="s">
        <v>16</v>
      </c>
    </row>
    <row r="1319">
      <c r="A1319" s="1" t="s">
        <v>5769</v>
      </c>
      <c r="B1319" s="1" t="s">
        <v>5770</v>
      </c>
      <c r="C1319" s="1">
        <v>2022.0</v>
      </c>
      <c r="D1319" s="2">
        <v>44571.0</v>
      </c>
      <c r="F1319" s="1" t="s">
        <v>213</v>
      </c>
      <c r="H1319" s="3">
        <v>150.0</v>
      </c>
      <c r="I1319" s="4" t="s">
        <v>5771</v>
      </c>
      <c r="J1319" s="1" t="s">
        <v>5772</v>
      </c>
      <c r="K1319" s="1" t="s">
        <v>418</v>
      </c>
    </row>
    <row r="1320">
      <c r="A1320" s="1" t="s">
        <v>5773</v>
      </c>
      <c r="B1320" s="1" t="s">
        <v>5774</v>
      </c>
      <c r="C1320" s="1">
        <v>2022.0</v>
      </c>
      <c r="D1320" s="2">
        <v>44571.0</v>
      </c>
      <c r="F1320" s="1" t="s">
        <v>1899</v>
      </c>
      <c r="H1320" s="3">
        <v>7.0</v>
      </c>
      <c r="I1320" s="4" t="s">
        <v>5775</v>
      </c>
      <c r="J1320" s="1" t="s">
        <v>5776</v>
      </c>
      <c r="K1320" s="1" t="s">
        <v>323</v>
      </c>
    </row>
    <row r="1321">
      <c r="A1321" s="1" t="s">
        <v>5777</v>
      </c>
      <c r="B1321" s="1" t="s">
        <v>5778</v>
      </c>
      <c r="C1321" s="1">
        <v>2022.0</v>
      </c>
      <c r="D1321" s="2">
        <v>44571.0</v>
      </c>
      <c r="F1321" s="1" t="s">
        <v>86</v>
      </c>
      <c r="H1321" s="3">
        <v>27.0</v>
      </c>
      <c r="I1321" s="4" t="s">
        <v>5779</v>
      </c>
      <c r="J1321" s="1" t="s">
        <v>5780</v>
      </c>
      <c r="K1321" s="1" t="s">
        <v>28</v>
      </c>
    </row>
    <row r="1322">
      <c r="A1322" s="1" t="s">
        <v>5781</v>
      </c>
      <c r="B1322" s="1" t="s">
        <v>5782</v>
      </c>
      <c r="C1322" s="1">
        <v>2022.0</v>
      </c>
      <c r="D1322" s="2">
        <v>44571.0</v>
      </c>
      <c r="F1322" s="1" t="s">
        <v>5783</v>
      </c>
      <c r="H1322" s="3">
        <v>8.0</v>
      </c>
      <c r="I1322" s="4" t="s">
        <v>5784</v>
      </c>
      <c r="J1322" s="1" t="s">
        <v>5785</v>
      </c>
      <c r="K1322" s="1" t="s">
        <v>16</v>
      </c>
    </row>
    <row r="1323">
      <c r="A1323" s="1" t="s">
        <v>5786</v>
      </c>
      <c r="B1323" s="1" t="s">
        <v>5787</v>
      </c>
      <c r="C1323" s="1">
        <v>2022.0</v>
      </c>
      <c r="D1323" s="2">
        <v>44571.0</v>
      </c>
      <c r="F1323" s="1" t="s">
        <v>5788</v>
      </c>
      <c r="H1323" s="3">
        <v>2.0</v>
      </c>
      <c r="I1323" s="4" t="s">
        <v>5789</v>
      </c>
      <c r="J1323" s="1" t="s">
        <v>5790</v>
      </c>
      <c r="K1323" s="1" t="s">
        <v>16</v>
      </c>
    </row>
    <row r="1324">
      <c r="A1324" s="1" t="s">
        <v>5791</v>
      </c>
      <c r="B1324" s="1" t="s">
        <v>5792</v>
      </c>
      <c r="C1324" s="1">
        <v>2022.0</v>
      </c>
      <c r="D1324" s="2">
        <v>44570.0</v>
      </c>
      <c r="F1324" s="1" t="s">
        <v>3045</v>
      </c>
      <c r="H1324" s="3">
        <v>1.0</v>
      </c>
      <c r="I1324" s="4" t="s">
        <v>5793</v>
      </c>
      <c r="J1324" s="1" t="s">
        <v>5794</v>
      </c>
      <c r="K1324" s="1" t="s">
        <v>323</v>
      </c>
    </row>
    <row r="1325">
      <c r="A1325" s="1" t="s">
        <v>5795</v>
      </c>
      <c r="B1325" s="1" t="s">
        <v>5796</v>
      </c>
      <c r="C1325" s="1">
        <v>2022.0</v>
      </c>
      <c r="D1325" s="2">
        <v>44569.0</v>
      </c>
      <c r="F1325" s="1" t="s">
        <v>5797</v>
      </c>
      <c r="H1325" s="3">
        <v>2.0</v>
      </c>
      <c r="I1325" s="4" t="s">
        <v>5798</v>
      </c>
      <c r="J1325" s="1" t="s">
        <v>5799</v>
      </c>
      <c r="K1325" s="1" t="s">
        <v>16</v>
      </c>
    </row>
    <row r="1326">
      <c r="A1326" s="1" t="s">
        <v>5800</v>
      </c>
      <c r="B1326" s="1" t="s">
        <v>5801</v>
      </c>
      <c r="C1326" s="1">
        <v>2022.0</v>
      </c>
      <c r="D1326" s="2">
        <v>44567.0</v>
      </c>
      <c r="F1326" s="1" t="s">
        <v>2774</v>
      </c>
      <c r="H1326" s="3">
        <v>7.0</v>
      </c>
      <c r="I1326" s="4" t="s">
        <v>5802</v>
      </c>
      <c r="J1326" s="1" t="s">
        <v>5803</v>
      </c>
      <c r="K1326" s="1" t="s">
        <v>16</v>
      </c>
    </row>
    <row r="1327">
      <c r="A1327" s="1" t="s">
        <v>5804</v>
      </c>
      <c r="B1327" s="1" t="s">
        <v>5805</v>
      </c>
      <c r="C1327" s="1">
        <v>2022.0</v>
      </c>
      <c r="D1327" s="2">
        <v>44566.0</v>
      </c>
      <c r="F1327" s="1" t="s">
        <v>5806</v>
      </c>
      <c r="H1327" s="3">
        <v>15.0</v>
      </c>
      <c r="I1327" s="4" t="s">
        <v>5807</v>
      </c>
      <c r="J1327" s="1" t="s">
        <v>5808</v>
      </c>
      <c r="K1327" s="1" t="s">
        <v>28</v>
      </c>
    </row>
    <row r="1328">
      <c r="A1328" s="1" t="s">
        <v>5809</v>
      </c>
      <c r="B1328" s="1" t="s">
        <v>5810</v>
      </c>
      <c r="C1328" s="1">
        <v>2022.0</v>
      </c>
      <c r="D1328" s="2">
        <v>44566.0</v>
      </c>
      <c r="F1328" s="1" t="s">
        <v>1277</v>
      </c>
      <c r="H1328" s="3">
        <v>22.0</v>
      </c>
      <c r="I1328" s="4" t="s">
        <v>5811</v>
      </c>
      <c r="J1328" s="1" t="s">
        <v>5812</v>
      </c>
      <c r="K1328" s="1" t="s">
        <v>383</v>
      </c>
    </row>
    <row r="1329">
      <c r="A1329" s="1" t="s">
        <v>5813</v>
      </c>
      <c r="B1329" s="1" t="s">
        <v>5814</v>
      </c>
      <c r="C1329" s="1">
        <v>2022.0</v>
      </c>
      <c r="D1329" s="2">
        <v>44565.0</v>
      </c>
      <c r="F1329" s="1" t="s">
        <v>5815</v>
      </c>
      <c r="H1329" s="3">
        <v>3.0</v>
      </c>
      <c r="I1329" s="4" t="s">
        <v>5816</v>
      </c>
      <c r="J1329" s="1" t="s">
        <v>5817</v>
      </c>
      <c r="K1329" s="1" t="s">
        <v>28</v>
      </c>
    </row>
    <row r="1330">
      <c r="A1330" s="1" t="s">
        <v>5818</v>
      </c>
      <c r="B1330" s="1" t="s">
        <v>5819</v>
      </c>
      <c r="C1330" s="1">
        <v>2022.0</v>
      </c>
      <c r="D1330" s="2">
        <v>44565.0</v>
      </c>
      <c r="F1330" s="1" t="s">
        <v>2119</v>
      </c>
      <c r="H1330" s="3">
        <v>5.0</v>
      </c>
      <c r="I1330" s="4" t="s">
        <v>5820</v>
      </c>
      <c r="J1330" s="1" t="s">
        <v>5821</v>
      </c>
      <c r="K1330" s="1" t="s">
        <v>413</v>
      </c>
    </row>
    <row r="1331">
      <c r="A1331" s="1" t="s">
        <v>5822</v>
      </c>
      <c r="B1331" s="1" t="s">
        <v>5823</v>
      </c>
      <c r="C1331" s="1">
        <v>2022.0</v>
      </c>
      <c r="D1331" s="2">
        <v>44565.0</v>
      </c>
      <c r="F1331" s="1" t="s">
        <v>5824</v>
      </c>
      <c r="H1331" s="3">
        <v>9.0</v>
      </c>
      <c r="I1331" s="4" t="s">
        <v>5825</v>
      </c>
      <c r="J1331" s="1" t="s">
        <v>5826</v>
      </c>
      <c r="K1331" s="1" t="s">
        <v>16</v>
      </c>
    </row>
    <row r="1332">
      <c r="A1332" s="1" t="s">
        <v>5827</v>
      </c>
      <c r="B1332" s="1" t="s">
        <v>5828</v>
      </c>
      <c r="C1332" s="1">
        <v>2022.0</v>
      </c>
      <c r="D1332" s="2">
        <v>44565.0</v>
      </c>
      <c r="F1332" s="1" t="s">
        <v>5829</v>
      </c>
      <c r="H1332" s="3">
        <v>9.0</v>
      </c>
      <c r="I1332" s="4" t="s">
        <v>5830</v>
      </c>
      <c r="J1332" s="1" t="s">
        <v>5831</v>
      </c>
      <c r="K1332" s="1" t="s">
        <v>413</v>
      </c>
    </row>
    <row r="1333">
      <c r="A1333" s="1" t="s">
        <v>5832</v>
      </c>
      <c r="B1333" s="1" t="s">
        <v>5833</v>
      </c>
      <c r="C1333" s="1">
        <v>2022.0</v>
      </c>
      <c r="D1333" s="2">
        <v>44562.0</v>
      </c>
      <c r="F1333" s="1" t="s">
        <v>5834</v>
      </c>
      <c r="H1333" s="3">
        <v>8.0</v>
      </c>
      <c r="I1333" s="4" t="s">
        <v>5835</v>
      </c>
      <c r="J1333" s="1" t="s">
        <v>5836</v>
      </c>
      <c r="K1333" s="1" t="s">
        <v>28</v>
      </c>
    </row>
    <row r="1334">
      <c r="A1334" s="1" t="s">
        <v>5837</v>
      </c>
      <c r="B1334" s="1" t="s">
        <v>5838</v>
      </c>
      <c r="C1334" s="1">
        <v>2022.0</v>
      </c>
      <c r="D1334" s="2">
        <v>44562.0</v>
      </c>
      <c r="F1334" s="1" t="s">
        <v>4544</v>
      </c>
      <c r="H1334" s="3">
        <v>37.0</v>
      </c>
      <c r="I1334" s="4" t="s">
        <v>5839</v>
      </c>
      <c r="J1334" s="1" t="s">
        <v>5840</v>
      </c>
      <c r="K1334" s="1" t="s">
        <v>295</v>
      </c>
    </row>
    <row r="1335">
      <c r="A1335" s="1" t="s">
        <v>5841</v>
      </c>
      <c r="B1335" s="1" t="s">
        <v>5842</v>
      </c>
      <c r="C1335" s="1">
        <v>2022.0</v>
      </c>
      <c r="D1335" s="2">
        <v>44562.0</v>
      </c>
      <c r="F1335" s="1" t="s">
        <v>5843</v>
      </c>
      <c r="H1335" s="3">
        <v>0.0</v>
      </c>
      <c r="I1335" s="4" t="s">
        <v>5844</v>
      </c>
      <c r="J1335" s="1" t="s">
        <v>5845</v>
      </c>
      <c r="K1335" s="1" t="s">
        <v>1036</v>
      </c>
    </row>
    <row r="1336">
      <c r="A1336" s="1" t="s">
        <v>5846</v>
      </c>
      <c r="B1336" s="1" t="s">
        <v>5847</v>
      </c>
      <c r="C1336" s="1">
        <v>2022.0</v>
      </c>
      <c r="D1336" s="2">
        <v>44562.0</v>
      </c>
      <c r="F1336" s="1" t="s">
        <v>1228</v>
      </c>
      <c r="H1336" s="3">
        <v>140.0</v>
      </c>
      <c r="I1336" s="4" t="s">
        <v>5848</v>
      </c>
      <c r="J1336" s="1" t="s">
        <v>5849</v>
      </c>
      <c r="K1336" s="1" t="s">
        <v>383</v>
      </c>
    </row>
    <row r="1337">
      <c r="A1337" s="1" t="s">
        <v>5850</v>
      </c>
      <c r="B1337" s="1" t="s">
        <v>5851</v>
      </c>
      <c r="C1337" s="1">
        <v>2022.0</v>
      </c>
      <c r="D1337" s="2">
        <v>44562.0</v>
      </c>
      <c r="F1337" s="1" t="s">
        <v>2611</v>
      </c>
      <c r="H1337" s="3">
        <v>42.0</v>
      </c>
      <c r="I1337" s="4" t="s">
        <v>5852</v>
      </c>
      <c r="J1337" s="1" t="s">
        <v>5853</v>
      </c>
      <c r="K1337" s="1" t="s">
        <v>462</v>
      </c>
    </row>
    <row r="1338">
      <c r="A1338" s="1" t="s">
        <v>5854</v>
      </c>
      <c r="B1338" s="1" t="s">
        <v>5855</v>
      </c>
      <c r="C1338" s="1">
        <v>2022.0</v>
      </c>
      <c r="D1338" s="2">
        <v>44562.0</v>
      </c>
      <c r="F1338" s="1" t="s">
        <v>5554</v>
      </c>
      <c r="H1338" s="3">
        <v>2.0</v>
      </c>
      <c r="I1338" s="4" t="s">
        <v>5856</v>
      </c>
      <c r="J1338" s="1" t="s">
        <v>5857</v>
      </c>
      <c r="K1338" s="1" t="s">
        <v>16</v>
      </c>
    </row>
    <row r="1339">
      <c r="A1339" s="1" t="s">
        <v>5858</v>
      </c>
      <c r="B1339" s="1" t="s">
        <v>5859</v>
      </c>
      <c r="C1339" s="1">
        <v>2022.0</v>
      </c>
      <c r="D1339" s="2">
        <v>44562.0</v>
      </c>
      <c r="F1339" s="1" t="s">
        <v>1228</v>
      </c>
      <c r="H1339" s="3">
        <v>12.0</v>
      </c>
      <c r="I1339" s="4" t="s">
        <v>5860</v>
      </c>
      <c r="J1339" s="1" t="s">
        <v>5861</v>
      </c>
      <c r="K1339" s="1" t="s">
        <v>383</v>
      </c>
    </row>
    <row r="1340">
      <c r="A1340" s="1" t="s">
        <v>5862</v>
      </c>
      <c r="B1340" s="1" t="s">
        <v>5863</v>
      </c>
      <c r="C1340" s="1">
        <v>2022.0</v>
      </c>
      <c r="D1340" s="2">
        <v>44562.0</v>
      </c>
      <c r="F1340" s="1" t="s">
        <v>1846</v>
      </c>
      <c r="H1340" s="3">
        <v>4.0</v>
      </c>
      <c r="I1340" s="4" t="s">
        <v>5864</v>
      </c>
      <c r="J1340" s="1" t="s">
        <v>5865</v>
      </c>
      <c r="K1340" s="1" t="s">
        <v>16</v>
      </c>
    </row>
    <row r="1341">
      <c r="A1341" s="1" t="s">
        <v>5866</v>
      </c>
      <c r="B1341" s="1" t="s">
        <v>5867</v>
      </c>
      <c r="C1341" s="1">
        <v>2021.0</v>
      </c>
      <c r="D1341" s="2">
        <v>44561.0</v>
      </c>
      <c r="F1341" s="1" t="s">
        <v>157</v>
      </c>
      <c r="H1341" s="3">
        <v>8.0</v>
      </c>
      <c r="I1341" s="4" t="s">
        <v>5868</v>
      </c>
      <c r="J1341" s="1" t="s">
        <v>5869</v>
      </c>
      <c r="K1341" s="1" t="s">
        <v>546</v>
      </c>
    </row>
    <row r="1342">
      <c r="A1342" s="1" t="s">
        <v>5870</v>
      </c>
      <c r="B1342" s="1" t="s">
        <v>5871</v>
      </c>
      <c r="C1342" s="1">
        <v>2021.0</v>
      </c>
      <c r="D1342" s="2">
        <v>44561.0</v>
      </c>
      <c r="F1342" s="1" t="s">
        <v>1060</v>
      </c>
      <c r="H1342" s="3">
        <v>4.0</v>
      </c>
      <c r="I1342" s="4" t="s">
        <v>5872</v>
      </c>
      <c r="J1342" s="1" t="s">
        <v>5873</v>
      </c>
      <c r="K1342" s="1" t="s">
        <v>16</v>
      </c>
    </row>
    <row r="1343">
      <c r="A1343" s="1" t="s">
        <v>5874</v>
      </c>
      <c r="B1343" s="1" t="s">
        <v>5875</v>
      </c>
      <c r="C1343" s="1">
        <v>2021.0</v>
      </c>
      <c r="D1343" s="2">
        <v>44560.0</v>
      </c>
      <c r="F1343" s="1" t="s">
        <v>2036</v>
      </c>
      <c r="H1343" s="3">
        <v>4.0</v>
      </c>
      <c r="I1343" s="4" t="s">
        <v>5876</v>
      </c>
      <c r="J1343" s="1" t="s">
        <v>5877</v>
      </c>
      <c r="K1343" s="1" t="s">
        <v>462</v>
      </c>
    </row>
    <row r="1344">
      <c r="A1344" s="1" t="s">
        <v>5878</v>
      </c>
      <c r="B1344" s="1" t="s">
        <v>5879</v>
      </c>
      <c r="C1344" s="1">
        <v>2021.0</v>
      </c>
      <c r="D1344" s="2">
        <v>44559.0</v>
      </c>
      <c r="F1344" s="1" t="s">
        <v>31</v>
      </c>
      <c r="H1344" s="3">
        <v>9.0</v>
      </c>
      <c r="I1344" s="4" t="s">
        <v>5880</v>
      </c>
      <c r="J1344" s="1" t="s">
        <v>5881</v>
      </c>
      <c r="K1344" s="1" t="s">
        <v>413</v>
      </c>
    </row>
    <row r="1345">
      <c r="A1345" s="1" t="s">
        <v>5882</v>
      </c>
      <c r="B1345" s="1" t="s">
        <v>5883</v>
      </c>
      <c r="C1345" s="1">
        <v>2021.0</v>
      </c>
      <c r="D1345" s="2">
        <v>44559.0</v>
      </c>
      <c r="F1345" s="1" t="s">
        <v>59</v>
      </c>
      <c r="H1345" s="3">
        <v>3.0</v>
      </c>
      <c r="I1345" s="4" t="s">
        <v>5884</v>
      </c>
      <c r="J1345" s="1"/>
      <c r="K1345" s="1" t="s">
        <v>16</v>
      </c>
    </row>
    <row r="1346">
      <c r="A1346" s="1" t="s">
        <v>5885</v>
      </c>
      <c r="B1346" s="1" t="s">
        <v>5886</v>
      </c>
      <c r="C1346" s="1">
        <v>2021.0</v>
      </c>
      <c r="D1346" s="2">
        <v>44558.0</v>
      </c>
      <c r="F1346" s="1" t="s">
        <v>835</v>
      </c>
      <c r="H1346" s="3">
        <v>21.0</v>
      </c>
      <c r="I1346" s="4" t="s">
        <v>5887</v>
      </c>
      <c r="J1346" s="1" t="s">
        <v>5888</v>
      </c>
      <c r="K1346" s="1" t="s">
        <v>418</v>
      </c>
    </row>
    <row r="1347">
      <c r="A1347" s="1" t="s">
        <v>5889</v>
      </c>
      <c r="B1347" s="1" t="s">
        <v>5890</v>
      </c>
      <c r="C1347" s="1">
        <v>2021.0</v>
      </c>
      <c r="D1347" s="2">
        <v>44558.0</v>
      </c>
      <c r="F1347" s="1" t="s">
        <v>1366</v>
      </c>
      <c r="H1347" s="3">
        <v>3.0</v>
      </c>
      <c r="I1347" s="4" t="s">
        <v>5891</v>
      </c>
      <c r="J1347" s="1"/>
      <c r="K1347" s="1" t="s">
        <v>16</v>
      </c>
    </row>
    <row r="1348">
      <c r="A1348" s="1" t="s">
        <v>5892</v>
      </c>
      <c r="B1348" s="1" t="s">
        <v>5893</v>
      </c>
      <c r="C1348" s="1">
        <v>2021.0</v>
      </c>
      <c r="D1348" s="2">
        <v>44557.0</v>
      </c>
      <c r="F1348" s="1" t="s">
        <v>308</v>
      </c>
      <c r="H1348" s="3">
        <v>2.0</v>
      </c>
      <c r="I1348" s="4" t="s">
        <v>5894</v>
      </c>
      <c r="J1348" s="1" t="s">
        <v>5895</v>
      </c>
      <c r="K1348" s="1" t="s">
        <v>28</v>
      </c>
    </row>
    <row r="1349">
      <c r="A1349" s="1" t="s">
        <v>5896</v>
      </c>
      <c r="B1349" s="1" t="s">
        <v>5897</v>
      </c>
      <c r="C1349" s="1">
        <v>2021.0</v>
      </c>
      <c r="D1349" s="2">
        <v>44555.0</v>
      </c>
      <c r="F1349" s="1" t="s">
        <v>435</v>
      </c>
      <c r="H1349" s="3">
        <v>0.0</v>
      </c>
      <c r="I1349" s="4" t="s">
        <v>5898</v>
      </c>
      <c r="J1349" s="1"/>
      <c r="K1349" s="1" t="s">
        <v>16</v>
      </c>
    </row>
    <row r="1350">
      <c r="A1350" s="1" t="s">
        <v>5899</v>
      </c>
      <c r="B1350" s="1" t="s">
        <v>5900</v>
      </c>
      <c r="C1350" s="1">
        <v>2021.0</v>
      </c>
      <c r="D1350" s="2">
        <v>44554.0</v>
      </c>
      <c r="F1350" s="1" t="s">
        <v>5901</v>
      </c>
      <c r="H1350" s="3">
        <v>6.0</v>
      </c>
      <c r="I1350" s="4" t="s">
        <v>5902</v>
      </c>
      <c r="J1350" s="1" t="s">
        <v>5903</v>
      </c>
      <c r="K1350" s="1" t="s">
        <v>340</v>
      </c>
    </row>
    <row r="1351">
      <c r="A1351" s="1" t="s">
        <v>5904</v>
      </c>
      <c r="B1351" s="1" t="s">
        <v>5905</v>
      </c>
      <c r="C1351" s="1">
        <v>2021.0</v>
      </c>
      <c r="D1351" s="2">
        <v>44553.0</v>
      </c>
      <c r="F1351" s="1" t="s">
        <v>188</v>
      </c>
      <c r="H1351" s="3">
        <v>29.0</v>
      </c>
      <c r="I1351" s="4" t="s">
        <v>5906</v>
      </c>
      <c r="J1351" s="1" t="s">
        <v>5907</v>
      </c>
      <c r="K1351" s="1" t="s">
        <v>28</v>
      </c>
    </row>
    <row r="1352">
      <c r="A1352" s="1" t="s">
        <v>5908</v>
      </c>
      <c r="B1352" s="1" t="s">
        <v>5909</v>
      </c>
      <c r="C1352" s="1">
        <v>2021.0</v>
      </c>
      <c r="D1352" s="2">
        <v>44552.0</v>
      </c>
      <c r="F1352" s="1" t="s">
        <v>877</v>
      </c>
      <c r="H1352" s="3">
        <v>2.0</v>
      </c>
      <c r="I1352" s="4" t="s">
        <v>5910</v>
      </c>
      <c r="J1352" s="1" t="s">
        <v>5911</v>
      </c>
      <c r="K1352" s="1" t="s">
        <v>295</v>
      </c>
    </row>
    <row r="1353">
      <c r="A1353" s="1" t="s">
        <v>5912</v>
      </c>
      <c r="B1353" s="1" t="s">
        <v>5913</v>
      </c>
      <c r="C1353" s="1">
        <v>2021.0</v>
      </c>
      <c r="D1353" s="2">
        <v>44551.0</v>
      </c>
      <c r="F1353" s="1" t="s">
        <v>2586</v>
      </c>
      <c r="H1353" s="3">
        <v>13.0</v>
      </c>
      <c r="I1353" s="4" t="s">
        <v>5914</v>
      </c>
      <c r="J1353" s="1" t="s">
        <v>5915</v>
      </c>
      <c r="K1353" s="1" t="s">
        <v>2053</v>
      </c>
    </row>
    <row r="1354">
      <c r="A1354" s="1" t="s">
        <v>5916</v>
      </c>
      <c r="B1354" s="1" t="s">
        <v>5917</v>
      </c>
      <c r="C1354" s="1">
        <v>2021.0</v>
      </c>
      <c r="D1354" s="2">
        <v>44551.0</v>
      </c>
      <c r="F1354" s="1" t="s">
        <v>1095</v>
      </c>
      <c r="H1354" s="3">
        <v>6.0</v>
      </c>
      <c r="I1354" s="4" t="s">
        <v>5918</v>
      </c>
      <c r="J1354" s="1" t="s">
        <v>5919</v>
      </c>
      <c r="K1354" s="1" t="s">
        <v>443</v>
      </c>
    </row>
    <row r="1355">
      <c r="A1355" s="1" t="s">
        <v>5920</v>
      </c>
      <c r="B1355" s="1" t="s">
        <v>5921</v>
      </c>
      <c r="C1355" s="1">
        <v>2021.0</v>
      </c>
      <c r="D1355" s="2">
        <v>44551.0</v>
      </c>
      <c r="F1355" s="1" t="s">
        <v>5922</v>
      </c>
      <c r="H1355" s="3">
        <v>7.0</v>
      </c>
      <c r="I1355" s="4" t="s">
        <v>5923</v>
      </c>
      <c r="J1355" s="1" t="s">
        <v>5924</v>
      </c>
      <c r="K1355" s="1" t="s">
        <v>28</v>
      </c>
    </row>
    <row r="1356">
      <c r="A1356" s="1" t="s">
        <v>5925</v>
      </c>
      <c r="B1356" s="1" t="s">
        <v>5926</v>
      </c>
      <c r="C1356" s="1">
        <v>2021.0</v>
      </c>
      <c r="D1356" s="2">
        <v>44551.0</v>
      </c>
      <c r="F1356" s="1" t="s">
        <v>248</v>
      </c>
      <c r="H1356" s="3">
        <v>14.0</v>
      </c>
      <c r="I1356" s="4" t="s">
        <v>5927</v>
      </c>
      <c r="J1356" s="1" t="s">
        <v>5928</v>
      </c>
      <c r="K1356" s="1" t="s">
        <v>323</v>
      </c>
    </row>
    <row r="1357">
      <c r="A1357" s="1" t="s">
        <v>5929</v>
      </c>
      <c r="B1357" s="1" t="s">
        <v>5930</v>
      </c>
      <c r="C1357" s="1">
        <v>2021.0</v>
      </c>
      <c r="D1357" s="2">
        <v>44550.0</v>
      </c>
      <c r="F1357" s="1" t="s">
        <v>3926</v>
      </c>
      <c r="H1357" s="3">
        <v>2.0</v>
      </c>
      <c r="I1357" s="4" t="s">
        <v>5931</v>
      </c>
      <c r="J1357" s="1" t="s">
        <v>5932</v>
      </c>
      <c r="K1357" s="1" t="s">
        <v>28</v>
      </c>
    </row>
    <row r="1358">
      <c r="A1358" s="1" t="s">
        <v>5933</v>
      </c>
      <c r="B1358" s="1" t="s">
        <v>5934</v>
      </c>
      <c r="C1358" s="1">
        <v>2021.0</v>
      </c>
      <c r="D1358" s="2">
        <v>44550.0</v>
      </c>
      <c r="F1358" s="1" t="s">
        <v>5935</v>
      </c>
      <c r="H1358" s="3">
        <v>4.0</v>
      </c>
      <c r="I1358" s="4" t="s">
        <v>5936</v>
      </c>
      <c r="J1358" s="1"/>
      <c r="K1358" s="1" t="s">
        <v>28</v>
      </c>
    </row>
    <row r="1359">
      <c r="A1359" s="1" t="s">
        <v>5937</v>
      </c>
      <c r="B1359" s="1" t="s">
        <v>5938</v>
      </c>
      <c r="C1359" s="1">
        <v>2021.0</v>
      </c>
      <c r="D1359" s="2">
        <v>44550.0</v>
      </c>
      <c r="F1359" s="1" t="s">
        <v>5939</v>
      </c>
      <c r="H1359" s="3">
        <v>6.0</v>
      </c>
      <c r="I1359" s="4" t="s">
        <v>5940</v>
      </c>
      <c r="J1359" s="1" t="s">
        <v>5941</v>
      </c>
      <c r="K1359" s="1" t="s">
        <v>16</v>
      </c>
    </row>
    <row r="1360">
      <c r="A1360" s="1" t="s">
        <v>5942</v>
      </c>
      <c r="B1360" s="1" t="s">
        <v>5943</v>
      </c>
      <c r="C1360" s="1">
        <v>2021.0</v>
      </c>
      <c r="D1360" s="2">
        <v>44547.0</v>
      </c>
      <c r="F1360" s="1" t="s">
        <v>5944</v>
      </c>
      <c r="H1360" s="3">
        <v>8.0</v>
      </c>
      <c r="I1360" s="4" t="s">
        <v>5945</v>
      </c>
      <c r="J1360" s="1" t="s">
        <v>5946</v>
      </c>
      <c r="K1360" s="1" t="s">
        <v>403</v>
      </c>
    </row>
    <row r="1361">
      <c r="A1361" s="1" t="s">
        <v>5947</v>
      </c>
      <c r="B1361" s="1" t="s">
        <v>5948</v>
      </c>
      <c r="C1361" s="1">
        <v>2021.0</v>
      </c>
      <c r="D1361" s="2">
        <v>44547.0</v>
      </c>
      <c r="F1361" s="1" t="s">
        <v>2666</v>
      </c>
      <c r="H1361" s="3">
        <v>2.0</v>
      </c>
      <c r="I1361" s="4" t="s">
        <v>5949</v>
      </c>
      <c r="J1361" s="1" t="s">
        <v>5950</v>
      </c>
      <c r="K1361" s="1" t="s">
        <v>323</v>
      </c>
    </row>
    <row r="1362">
      <c r="A1362" s="1" t="s">
        <v>5951</v>
      </c>
      <c r="B1362" s="1" t="s">
        <v>5952</v>
      </c>
      <c r="C1362" s="1">
        <v>2021.0</v>
      </c>
      <c r="D1362" s="2">
        <v>44547.0</v>
      </c>
      <c r="F1362" s="1" t="s">
        <v>4655</v>
      </c>
      <c r="H1362" s="3">
        <v>12.0</v>
      </c>
      <c r="I1362" s="4" t="s">
        <v>5953</v>
      </c>
      <c r="J1362" s="1" t="s">
        <v>5954</v>
      </c>
      <c r="K1362" s="1" t="s">
        <v>295</v>
      </c>
    </row>
    <row r="1363">
      <c r="A1363" s="1" t="s">
        <v>5955</v>
      </c>
      <c r="B1363" s="1" t="s">
        <v>5956</v>
      </c>
      <c r="C1363" s="1">
        <v>2021.0</v>
      </c>
      <c r="D1363" s="2">
        <v>44547.0</v>
      </c>
      <c r="F1363" s="1" t="s">
        <v>208</v>
      </c>
      <c r="H1363" s="3">
        <v>1.0</v>
      </c>
      <c r="I1363" s="4" t="s">
        <v>5957</v>
      </c>
      <c r="J1363" s="1" t="s">
        <v>5958</v>
      </c>
      <c r="K1363" s="1" t="s">
        <v>16</v>
      </c>
    </row>
    <row r="1364">
      <c r="A1364" s="1" t="s">
        <v>5959</v>
      </c>
      <c r="B1364" s="1" t="s">
        <v>5960</v>
      </c>
      <c r="C1364" s="1">
        <v>2021.0</v>
      </c>
      <c r="D1364" s="2">
        <v>44546.0</v>
      </c>
      <c r="F1364" s="1" t="s">
        <v>1170</v>
      </c>
      <c r="H1364" s="3">
        <v>34.0</v>
      </c>
      <c r="I1364" s="4" t="s">
        <v>5961</v>
      </c>
      <c r="J1364" s="1" t="s">
        <v>5962</v>
      </c>
      <c r="K1364" s="1" t="s">
        <v>45</v>
      </c>
    </row>
    <row r="1365">
      <c r="A1365" s="1" t="s">
        <v>5963</v>
      </c>
      <c r="B1365" s="1" t="s">
        <v>5964</v>
      </c>
      <c r="C1365" s="1">
        <v>2021.0</v>
      </c>
      <c r="D1365" s="2">
        <v>44546.0</v>
      </c>
      <c r="F1365" s="1" t="s">
        <v>271</v>
      </c>
      <c r="H1365" s="3">
        <v>9.0</v>
      </c>
      <c r="I1365" s="4" t="s">
        <v>5965</v>
      </c>
      <c r="J1365" s="1" t="s">
        <v>5966</v>
      </c>
      <c r="K1365" s="1" t="s">
        <v>28</v>
      </c>
    </row>
    <row r="1366">
      <c r="A1366" s="1" t="s">
        <v>5967</v>
      </c>
      <c r="B1366" s="1" t="s">
        <v>5968</v>
      </c>
      <c r="C1366" s="1">
        <v>2021.0</v>
      </c>
      <c r="D1366" s="2">
        <v>44546.0</v>
      </c>
      <c r="F1366" s="1" t="s">
        <v>877</v>
      </c>
      <c r="H1366" s="3">
        <v>4.0</v>
      </c>
      <c r="I1366" s="4" t="s">
        <v>5969</v>
      </c>
      <c r="J1366" s="1" t="s">
        <v>5970</v>
      </c>
      <c r="K1366" s="1" t="s">
        <v>28</v>
      </c>
    </row>
    <row r="1367">
      <c r="A1367" s="1" t="s">
        <v>5971</v>
      </c>
      <c r="B1367" s="1" t="s">
        <v>5972</v>
      </c>
      <c r="C1367" s="1">
        <v>2021.0</v>
      </c>
      <c r="D1367" s="2">
        <v>44546.0</v>
      </c>
      <c r="F1367" s="1" t="s">
        <v>271</v>
      </c>
      <c r="H1367" s="3">
        <v>2.0</v>
      </c>
      <c r="I1367" s="4" t="s">
        <v>5973</v>
      </c>
      <c r="J1367" s="1" t="s">
        <v>5974</v>
      </c>
      <c r="K1367" s="1" t="s">
        <v>477</v>
      </c>
    </row>
    <row r="1368">
      <c r="A1368" s="1" t="s">
        <v>5975</v>
      </c>
      <c r="B1368" s="1" t="s">
        <v>5976</v>
      </c>
      <c r="C1368" s="1">
        <v>2021.0</v>
      </c>
      <c r="D1368" s="2">
        <v>44546.0</v>
      </c>
      <c r="F1368" s="1" t="s">
        <v>2335</v>
      </c>
      <c r="H1368" s="3">
        <v>7.0</v>
      </c>
      <c r="I1368" s="4" t="s">
        <v>5977</v>
      </c>
      <c r="J1368" s="1" t="s">
        <v>5978</v>
      </c>
      <c r="K1368" s="1" t="s">
        <v>68</v>
      </c>
    </row>
    <row r="1369">
      <c r="A1369" s="1" t="s">
        <v>5979</v>
      </c>
      <c r="B1369" s="1" t="s">
        <v>5980</v>
      </c>
      <c r="C1369" s="1">
        <v>2021.0</v>
      </c>
      <c r="D1369" s="2">
        <v>44544.0</v>
      </c>
      <c r="F1369" s="1" t="s">
        <v>3569</v>
      </c>
      <c r="H1369" s="3">
        <v>29.0</v>
      </c>
      <c r="I1369" s="4" t="s">
        <v>5981</v>
      </c>
      <c r="J1369" s="1" t="s">
        <v>5982</v>
      </c>
      <c r="K1369" s="1" t="s">
        <v>492</v>
      </c>
    </row>
    <row r="1370">
      <c r="A1370" s="1" t="s">
        <v>5983</v>
      </c>
      <c r="B1370" s="1" t="s">
        <v>5984</v>
      </c>
      <c r="C1370" s="1">
        <v>2021.0</v>
      </c>
      <c r="D1370" s="2">
        <v>44543.0</v>
      </c>
      <c r="F1370" s="1" t="s">
        <v>5985</v>
      </c>
      <c r="H1370" s="3">
        <v>10.0</v>
      </c>
      <c r="I1370" s="4" t="s">
        <v>5986</v>
      </c>
      <c r="J1370" s="1" t="s">
        <v>5987</v>
      </c>
      <c r="K1370" s="1" t="s">
        <v>372</v>
      </c>
    </row>
    <row r="1371">
      <c r="A1371" s="1" t="s">
        <v>5988</v>
      </c>
      <c r="B1371" s="1" t="s">
        <v>5989</v>
      </c>
      <c r="C1371" s="1">
        <v>2021.0</v>
      </c>
      <c r="D1371" s="2">
        <v>44543.0</v>
      </c>
      <c r="F1371" s="1" t="s">
        <v>3045</v>
      </c>
      <c r="H1371" s="3">
        <v>6.0</v>
      </c>
      <c r="I1371" s="4" t="s">
        <v>5990</v>
      </c>
      <c r="J1371" s="1" t="s">
        <v>5991</v>
      </c>
      <c r="K1371" s="1" t="s">
        <v>68</v>
      </c>
    </row>
    <row r="1372">
      <c r="A1372" s="1" t="s">
        <v>5992</v>
      </c>
      <c r="B1372" s="1" t="s">
        <v>5993</v>
      </c>
      <c r="C1372" s="1">
        <v>2021.0</v>
      </c>
      <c r="D1372" s="2">
        <v>44542.0</v>
      </c>
      <c r="F1372" s="1" t="s">
        <v>1170</v>
      </c>
      <c r="H1372" s="3">
        <v>8.0</v>
      </c>
      <c r="I1372" s="4" t="s">
        <v>5994</v>
      </c>
      <c r="J1372" s="1" t="s">
        <v>5995</v>
      </c>
      <c r="K1372" s="1" t="s">
        <v>45</v>
      </c>
    </row>
    <row r="1373">
      <c r="A1373" s="1" t="s">
        <v>5996</v>
      </c>
      <c r="B1373" s="1" t="s">
        <v>5997</v>
      </c>
      <c r="C1373" s="1">
        <v>2021.0</v>
      </c>
      <c r="D1373" s="2">
        <v>44542.0</v>
      </c>
      <c r="F1373" s="1" t="s">
        <v>743</v>
      </c>
      <c r="H1373" s="3">
        <v>11.0</v>
      </c>
      <c r="I1373" s="4" t="s">
        <v>5998</v>
      </c>
      <c r="J1373" s="1" t="s">
        <v>5999</v>
      </c>
      <c r="K1373" s="1" t="s">
        <v>323</v>
      </c>
    </row>
    <row r="1374">
      <c r="A1374" s="1" t="s">
        <v>6000</v>
      </c>
      <c r="B1374" s="1" t="s">
        <v>6001</v>
      </c>
      <c r="C1374" s="1">
        <v>2021.0</v>
      </c>
      <c r="D1374" s="2">
        <v>44542.0</v>
      </c>
      <c r="F1374" s="1" t="s">
        <v>1777</v>
      </c>
      <c r="H1374" s="3">
        <v>2.0</v>
      </c>
      <c r="I1374" s="4" t="s">
        <v>6002</v>
      </c>
      <c r="J1374" s="1" t="s">
        <v>6003</v>
      </c>
      <c r="K1374" s="1" t="s">
        <v>295</v>
      </c>
    </row>
    <row r="1375">
      <c r="A1375" s="1" t="s">
        <v>6004</v>
      </c>
      <c r="B1375" s="1" t="s">
        <v>6005</v>
      </c>
      <c r="C1375" s="1">
        <v>2021.0</v>
      </c>
      <c r="D1375" s="2">
        <v>44541.0</v>
      </c>
      <c r="F1375" s="1" t="s">
        <v>6006</v>
      </c>
      <c r="H1375" s="3">
        <v>7.0</v>
      </c>
      <c r="I1375" s="4" t="s">
        <v>6007</v>
      </c>
      <c r="J1375" s="1" t="s">
        <v>6008</v>
      </c>
      <c r="K1375" s="1" t="s">
        <v>68</v>
      </c>
    </row>
    <row r="1376">
      <c r="A1376" s="1" t="s">
        <v>6009</v>
      </c>
      <c r="B1376" s="1" t="s">
        <v>6010</v>
      </c>
      <c r="C1376" s="1">
        <v>2021.0</v>
      </c>
      <c r="D1376" s="2">
        <v>44540.0</v>
      </c>
      <c r="F1376" s="1" t="s">
        <v>13</v>
      </c>
      <c r="H1376" s="3">
        <v>8.0</v>
      </c>
      <c r="I1376" s="4" t="s">
        <v>6011</v>
      </c>
      <c r="J1376" s="1" t="s">
        <v>6012</v>
      </c>
      <c r="K1376" s="1" t="s">
        <v>28</v>
      </c>
    </row>
    <row r="1377">
      <c r="A1377" s="1" t="s">
        <v>6013</v>
      </c>
      <c r="B1377" s="1" t="s">
        <v>6014</v>
      </c>
      <c r="C1377" s="1">
        <v>2021.0</v>
      </c>
      <c r="D1377" s="2">
        <v>44540.0</v>
      </c>
      <c r="F1377" s="1" t="s">
        <v>1386</v>
      </c>
      <c r="H1377" s="3">
        <v>8.0</v>
      </c>
      <c r="I1377" s="4" t="s">
        <v>6015</v>
      </c>
      <c r="J1377" s="1" t="s">
        <v>6016</v>
      </c>
      <c r="K1377" s="1" t="s">
        <v>443</v>
      </c>
    </row>
    <row r="1378">
      <c r="A1378" s="1" t="s">
        <v>6017</v>
      </c>
      <c r="B1378" s="1" t="s">
        <v>6018</v>
      </c>
      <c r="C1378" s="1">
        <v>2021.0</v>
      </c>
      <c r="D1378" s="2">
        <v>44539.0</v>
      </c>
      <c r="F1378" s="1" t="s">
        <v>558</v>
      </c>
      <c r="H1378" s="3">
        <v>17.0</v>
      </c>
      <c r="I1378" s="4" t="s">
        <v>6019</v>
      </c>
      <c r="J1378" s="1" t="s">
        <v>6020</v>
      </c>
      <c r="K1378" s="1" t="s">
        <v>295</v>
      </c>
    </row>
    <row r="1379">
      <c r="A1379" s="1" t="s">
        <v>6021</v>
      </c>
      <c r="B1379" s="1" t="s">
        <v>6022</v>
      </c>
      <c r="C1379" s="1">
        <v>2021.0</v>
      </c>
      <c r="D1379" s="2">
        <v>44539.0</v>
      </c>
      <c r="F1379" s="1" t="s">
        <v>71</v>
      </c>
      <c r="H1379" s="3">
        <v>2.0</v>
      </c>
      <c r="I1379" s="4" t="s">
        <v>6023</v>
      </c>
      <c r="J1379" s="1" t="s">
        <v>6024</v>
      </c>
      <c r="K1379" s="1" t="s">
        <v>28</v>
      </c>
    </row>
    <row r="1380">
      <c r="A1380" s="1" t="s">
        <v>6025</v>
      </c>
      <c r="B1380" s="1" t="s">
        <v>2539</v>
      </c>
      <c r="C1380" s="1">
        <v>2021.0</v>
      </c>
      <c r="D1380" s="2">
        <v>44539.0</v>
      </c>
      <c r="F1380" s="1" t="s">
        <v>2540</v>
      </c>
      <c r="H1380" s="3">
        <v>364.0</v>
      </c>
      <c r="I1380" s="4" t="s">
        <v>6026</v>
      </c>
      <c r="J1380" s="1" t="s">
        <v>6027</v>
      </c>
      <c r="K1380" s="1" t="s">
        <v>2542</v>
      </c>
    </row>
    <row r="1381">
      <c r="A1381" s="1" t="s">
        <v>6028</v>
      </c>
      <c r="B1381" s="1" t="s">
        <v>6029</v>
      </c>
      <c r="C1381" s="1">
        <v>2021.0</v>
      </c>
      <c r="D1381" s="2">
        <v>44539.0</v>
      </c>
      <c r="F1381" s="1" t="s">
        <v>681</v>
      </c>
      <c r="H1381" s="3">
        <v>25.0</v>
      </c>
      <c r="I1381" s="4" t="s">
        <v>6030</v>
      </c>
      <c r="J1381" s="1" t="s">
        <v>6031</v>
      </c>
      <c r="K1381" s="1" t="s">
        <v>16</v>
      </c>
    </row>
    <row r="1382">
      <c r="A1382" s="1" t="s">
        <v>6032</v>
      </c>
      <c r="B1382" s="1" t="s">
        <v>6033</v>
      </c>
      <c r="C1382" s="1">
        <v>2021.0</v>
      </c>
      <c r="D1382" s="2">
        <v>44538.0</v>
      </c>
      <c r="F1382" s="1" t="s">
        <v>530</v>
      </c>
      <c r="H1382" s="3">
        <v>37.0</v>
      </c>
      <c r="I1382" s="4" t="s">
        <v>6034</v>
      </c>
      <c r="J1382" s="1" t="s">
        <v>6035</v>
      </c>
      <c r="K1382" s="1" t="s">
        <v>1036</v>
      </c>
    </row>
    <row r="1383">
      <c r="A1383" s="1" t="s">
        <v>6036</v>
      </c>
      <c r="B1383" s="1" t="s">
        <v>6037</v>
      </c>
      <c r="C1383" s="1">
        <v>2021.0</v>
      </c>
      <c r="D1383" s="2">
        <v>44536.0</v>
      </c>
      <c r="F1383" s="1" t="s">
        <v>440</v>
      </c>
      <c r="H1383" s="3">
        <v>2.0</v>
      </c>
      <c r="I1383" s="4" t="s">
        <v>6038</v>
      </c>
      <c r="J1383" s="1" t="s">
        <v>6039</v>
      </c>
      <c r="K1383" s="1" t="s">
        <v>443</v>
      </c>
    </row>
    <row r="1384">
      <c r="A1384" s="1" t="s">
        <v>6040</v>
      </c>
      <c r="B1384" s="1" t="s">
        <v>6041</v>
      </c>
      <c r="C1384" s="1">
        <v>2021.0</v>
      </c>
      <c r="D1384" s="2">
        <v>44536.0</v>
      </c>
      <c r="F1384" s="1" t="s">
        <v>198</v>
      </c>
      <c r="H1384" s="3">
        <v>13.0</v>
      </c>
      <c r="I1384" s="4" t="s">
        <v>6042</v>
      </c>
      <c r="J1384" s="1" t="s">
        <v>6043</v>
      </c>
      <c r="K1384" s="1" t="s">
        <v>16</v>
      </c>
    </row>
    <row r="1385">
      <c r="A1385" s="1" t="s">
        <v>6044</v>
      </c>
      <c r="B1385" s="1" t="s">
        <v>6045</v>
      </c>
      <c r="C1385" s="1">
        <v>2021.0</v>
      </c>
      <c r="D1385" s="2">
        <v>44534.0</v>
      </c>
      <c r="F1385" s="1" t="s">
        <v>208</v>
      </c>
      <c r="H1385" s="3">
        <v>1.0</v>
      </c>
      <c r="I1385" s="4" t="s">
        <v>6046</v>
      </c>
      <c r="J1385" s="1"/>
      <c r="K1385" s="1" t="s">
        <v>317</v>
      </c>
    </row>
    <row r="1386">
      <c r="A1386" s="1" t="s">
        <v>6047</v>
      </c>
      <c r="B1386" s="1" t="s">
        <v>6048</v>
      </c>
      <c r="C1386" s="1">
        <v>2021.0</v>
      </c>
      <c r="D1386" s="2">
        <v>44534.0</v>
      </c>
      <c r="F1386" s="1" t="s">
        <v>6049</v>
      </c>
      <c r="H1386" s="3">
        <v>1.0</v>
      </c>
      <c r="I1386" s="4" t="s">
        <v>6050</v>
      </c>
      <c r="J1386" s="1" t="s">
        <v>6051</v>
      </c>
      <c r="K1386" s="1" t="s">
        <v>295</v>
      </c>
    </row>
    <row r="1387">
      <c r="A1387" s="1" t="s">
        <v>6052</v>
      </c>
      <c r="B1387" s="1" t="s">
        <v>6053</v>
      </c>
      <c r="C1387" s="1">
        <v>2021.0</v>
      </c>
      <c r="D1387" s="2">
        <v>44533.0</v>
      </c>
      <c r="F1387" s="1" t="s">
        <v>332</v>
      </c>
      <c r="H1387" s="3">
        <v>23.0</v>
      </c>
      <c r="I1387" s="4" t="s">
        <v>6054</v>
      </c>
      <c r="J1387" s="1" t="s">
        <v>6055</v>
      </c>
      <c r="K1387" s="1" t="s">
        <v>16</v>
      </c>
    </row>
    <row r="1388">
      <c r="A1388" s="1" t="s">
        <v>6056</v>
      </c>
      <c r="B1388" s="1" t="s">
        <v>6057</v>
      </c>
      <c r="C1388" s="1">
        <v>2021.0</v>
      </c>
      <c r="D1388" s="2">
        <v>44532.0</v>
      </c>
      <c r="F1388" s="1" t="s">
        <v>208</v>
      </c>
      <c r="H1388" s="3">
        <v>4.0</v>
      </c>
      <c r="I1388" s="4" t="s">
        <v>6058</v>
      </c>
      <c r="J1388" s="1" t="s">
        <v>6059</v>
      </c>
      <c r="K1388" s="1" t="s">
        <v>323</v>
      </c>
    </row>
    <row r="1389">
      <c r="A1389" s="1" t="s">
        <v>6060</v>
      </c>
      <c r="B1389" s="1" t="s">
        <v>6061</v>
      </c>
      <c r="C1389" s="1">
        <v>2021.0</v>
      </c>
      <c r="D1389" s="2">
        <v>44532.0</v>
      </c>
      <c r="F1389" s="1" t="s">
        <v>271</v>
      </c>
      <c r="H1389" s="3">
        <v>5.0</v>
      </c>
      <c r="I1389" s="4" t="s">
        <v>6062</v>
      </c>
      <c r="J1389" s="1" t="s">
        <v>6063</v>
      </c>
      <c r="K1389" s="1" t="s">
        <v>16</v>
      </c>
    </row>
    <row r="1390">
      <c r="A1390" s="1" t="s">
        <v>6064</v>
      </c>
      <c r="B1390" s="1" t="s">
        <v>6065</v>
      </c>
      <c r="C1390" s="1">
        <v>2021.0</v>
      </c>
      <c r="D1390" s="2">
        <v>44531.0</v>
      </c>
      <c r="F1390" s="1" t="s">
        <v>6066</v>
      </c>
      <c r="H1390" s="3">
        <v>0.0</v>
      </c>
      <c r="I1390" s="4" t="s">
        <v>6067</v>
      </c>
      <c r="J1390" s="1"/>
      <c r="K1390" s="1" t="s">
        <v>28</v>
      </c>
    </row>
    <row r="1391">
      <c r="A1391" s="1" t="s">
        <v>6068</v>
      </c>
      <c r="B1391" s="1" t="s">
        <v>6069</v>
      </c>
      <c r="C1391" s="1">
        <v>2021.0</v>
      </c>
      <c r="D1391" s="2">
        <v>44531.0</v>
      </c>
      <c r="F1391" s="1" t="s">
        <v>31</v>
      </c>
      <c r="H1391" s="3">
        <v>21.0</v>
      </c>
      <c r="I1391" s="4" t="s">
        <v>6070</v>
      </c>
      <c r="J1391" s="1" t="s">
        <v>6071</v>
      </c>
      <c r="K1391" s="1" t="s">
        <v>28</v>
      </c>
    </row>
    <row r="1392">
      <c r="A1392" s="1" t="s">
        <v>6072</v>
      </c>
      <c r="B1392" s="1" t="s">
        <v>6073</v>
      </c>
      <c r="C1392" s="1">
        <v>2021.0</v>
      </c>
      <c r="D1392" s="2">
        <v>44531.0</v>
      </c>
      <c r="F1392" s="1" t="s">
        <v>6074</v>
      </c>
      <c r="H1392" s="3">
        <v>3.0</v>
      </c>
      <c r="I1392" s="4" t="s">
        <v>6075</v>
      </c>
      <c r="J1392" s="1" t="s">
        <v>6076</v>
      </c>
      <c r="K1392" s="1" t="s">
        <v>323</v>
      </c>
    </row>
    <row r="1393">
      <c r="A1393" s="1" t="s">
        <v>6077</v>
      </c>
      <c r="B1393" s="1" t="s">
        <v>6078</v>
      </c>
      <c r="C1393" s="1">
        <v>2021.0</v>
      </c>
      <c r="D1393" s="2">
        <v>44531.0</v>
      </c>
      <c r="F1393" s="1" t="s">
        <v>530</v>
      </c>
      <c r="H1393" s="3">
        <v>33.0</v>
      </c>
      <c r="I1393" s="4" t="s">
        <v>6079</v>
      </c>
      <c r="J1393" s="1" t="s">
        <v>6080</v>
      </c>
      <c r="K1393" s="1" t="s">
        <v>295</v>
      </c>
    </row>
    <row r="1394">
      <c r="A1394" s="1" t="s">
        <v>6081</v>
      </c>
      <c r="B1394" s="1" t="s">
        <v>6082</v>
      </c>
      <c r="C1394" s="1">
        <v>2021.0</v>
      </c>
      <c r="D1394" s="2">
        <v>44531.0</v>
      </c>
      <c r="F1394" s="1" t="s">
        <v>5511</v>
      </c>
      <c r="H1394" s="3">
        <v>0.0</v>
      </c>
      <c r="I1394" s="4" t="s">
        <v>6083</v>
      </c>
      <c r="J1394" s="1" t="s">
        <v>6084</v>
      </c>
      <c r="K1394" s="1" t="s">
        <v>68</v>
      </c>
    </row>
    <row r="1395">
      <c r="A1395" s="1" t="s">
        <v>6085</v>
      </c>
      <c r="B1395" s="1" t="s">
        <v>6086</v>
      </c>
      <c r="C1395" s="1">
        <v>2021.0</v>
      </c>
      <c r="D1395" s="2">
        <v>44531.0</v>
      </c>
      <c r="F1395" s="1" t="s">
        <v>298</v>
      </c>
      <c r="H1395" s="3">
        <v>0.0</v>
      </c>
      <c r="I1395" s="4" t="s">
        <v>6087</v>
      </c>
      <c r="J1395" s="1" t="s">
        <v>6088</v>
      </c>
      <c r="K1395" s="1" t="s">
        <v>323</v>
      </c>
    </row>
    <row r="1396">
      <c r="A1396" s="1" t="s">
        <v>6089</v>
      </c>
      <c r="B1396" s="1" t="s">
        <v>5143</v>
      </c>
      <c r="C1396" s="1">
        <v>2021.0</v>
      </c>
      <c r="D1396" s="2">
        <v>44531.0</v>
      </c>
      <c r="F1396" s="1" t="s">
        <v>238</v>
      </c>
      <c r="H1396" s="3">
        <v>3.0</v>
      </c>
      <c r="I1396" s="4" t="s">
        <v>6090</v>
      </c>
      <c r="J1396" s="1" t="s">
        <v>6091</v>
      </c>
      <c r="K1396" s="1" t="s">
        <v>16</v>
      </c>
    </row>
    <row r="1397">
      <c r="A1397" s="1" t="s">
        <v>6092</v>
      </c>
      <c r="B1397" s="1" t="s">
        <v>6093</v>
      </c>
      <c r="C1397" s="1">
        <v>2021.0</v>
      </c>
      <c r="D1397" s="2">
        <v>44530.0</v>
      </c>
      <c r="F1397" s="1" t="s">
        <v>248</v>
      </c>
      <c r="H1397" s="3">
        <v>0.0</v>
      </c>
      <c r="I1397" s="4" t="s">
        <v>6094</v>
      </c>
      <c r="J1397" s="1" t="s">
        <v>6095</v>
      </c>
      <c r="K1397" s="1" t="s">
        <v>28</v>
      </c>
    </row>
    <row r="1398">
      <c r="A1398" s="1" t="s">
        <v>6096</v>
      </c>
      <c r="B1398" s="1" t="s">
        <v>6097</v>
      </c>
      <c r="C1398" s="1">
        <v>2021.0</v>
      </c>
      <c r="D1398" s="2">
        <v>44530.0</v>
      </c>
      <c r="F1398" s="1" t="s">
        <v>1349</v>
      </c>
      <c r="H1398" s="3">
        <v>2.0</v>
      </c>
      <c r="I1398" s="4" t="s">
        <v>6098</v>
      </c>
      <c r="J1398" s="1" t="s">
        <v>6099</v>
      </c>
      <c r="K1398" s="1" t="s">
        <v>383</v>
      </c>
    </row>
    <row r="1399">
      <c r="A1399" s="1" t="s">
        <v>6100</v>
      </c>
      <c r="B1399" s="1" t="s">
        <v>6101</v>
      </c>
      <c r="C1399" s="1">
        <v>2021.0</v>
      </c>
      <c r="D1399" s="2">
        <v>44529.0</v>
      </c>
      <c r="F1399" s="1" t="s">
        <v>1873</v>
      </c>
      <c r="H1399" s="3">
        <v>4.0</v>
      </c>
      <c r="I1399" s="4" t="s">
        <v>6102</v>
      </c>
      <c r="J1399" s="1" t="s">
        <v>6103</v>
      </c>
      <c r="K1399" s="1" t="s">
        <v>16</v>
      </c>
    </row>
    <row r="1400">
      <c r="A1400" s="1" t="s">
        <v>6104</v>
      </c>
      <c r="B1400" s="1" t="s">
        <v>6105</v>
      </c>
      <c r="C1400" s="1">
        <v>2021.0</v>
      </c>
      <c r="D1400" s="2">
        <v>44527.0</v>
      </c>
      <c r="F1400" s="1" t="s">
        <v>4374</v>
      </c>
      <c r="H1400" s="3">
        <v>6.0</v>
      </c>
      <c r="I1400" s="4" t="s">
        <v>6106</v>
      </c>
      <c r="J1400" s="1" t="s">
        <v>6107</v>
      </c>
      <c r="K1400" s="1" t="s">
        <v>28</v>
      </c>
    </row>
    <row r="1401">
      <c r="A1401" s="1" t="s">
        <v>6108</v>
      </c>
      <c r="B1401" s="1" t="s">
        <v>6109</v>
      </c>
      <c r="C1401" s="1">
        <v>2021.0</v>
      </c>
      <c r="D1401" s="2">
        <v>44524.0</v>
      </c>
      <c r="F1401" s="1" t="s">
        <v>2012</v>
      </c>
      <c r="H1401" s="3">
        <v>8.0</v>
      </c>
      <c r="I1401" s="4" t="s">
        <v>6110</v>
      </c>
      <c r="J1401" s="1" t="s">
        <v>6111</v>
      </c>
      <c r="K1401" s="1" t="s">
        <v>323</v>
      </c>
    </row>
    <row r="1402">
      <c r="A1402" s="1" t="s">
        <v>6112</v>
      </c>
      <c r="B1402" s="1" t="s">
        <v>6113</v>
      </c>
      <c r="C1402" s="1">
        <v>2021.0</v>
      </c>
      <c r="D1402" s="2">
        <v>44523.0</v>
      </c>
      <c r="F1402" s="1" t="s">
        <v>1737</v>
      </c>
      <c r="H1402" s="3">
        <v>0.0</v>
      </c>
      <c r="I1402" s="4" t="s">
        <v>6114</v>
      </c>
      <c r="J1402" s="1" t="s">
        <v>6115</v>
      </c>
      <c r="K1402" s="1" t="s">
        <v>383</v>
      </c>
    </row>
    <row r="1403">
      <c r="A1403" s="1" t="s">
        <v>6116</v>
      </c>
      <c r="B1403" s="1" t="s">
        <v>6117</v>
      </c>
      <c r="C1403" s="1">
        <v>2021.0</v>
      </c>
      <c r="D1403" s="2">
        <v>44520.0</v>
      </c>
      <c r="F1403" s="1" t="s">
        <v>6118</v>
      </c>
      <c r="H1403" s="3">
        <v>12.0</v>
      </c>
      <c r="I1403" s="4" t="s">
        <v>6119</v>
      </c>
      <c r="J1403" s="1" t="s">
        <v>6120</v>
      </c>
      <c r="K1403" s="1" t="s">
        <v>28</v>
      </c>
    </row>
    <row r="1404">
      <c r="A1404" s="1" t="s">
        <v>6121</v>
      </c>
      <c r="B1404" s="1" t="s">
        <v>6122</v>
      </c>
      <c r="C1404" s="1">
        <v>2021.0</v>
      </c>
      <c r="D1404" s="2">
        <v>44520.0</v>
      </c>
      <c r="F1404" s="1" t="s">
        <v>6123</v>
      </c>
      <c r="H1404" s="3">
        <v>2.0</v>
      </c>
      <c r="I1404" s="4" t="s">
        <v>6124</v>
      </c>
      <c r="J1404" s="1" t="s">
        <v>6125</v>
      </c>
      <c r="K1404" s="1" t="s">
        <v>16</v>
      </c>
    </row>
    <row r="1405">
      <c r="A1405" s="1" t="s">
        <v>6126</v>
      </c>
      <c r="B1405" s="1" t="s">
        <v>6127</v>
      </c>
      <c r="C1405" s="1">
        <v>2021.0</v>
      </c>
      <c r="D1405" s="2">
        <v>44519.0</v>
      </c>
      <c r="F1405" s="1" t="s">
        <v>2335</v>
      </c>
      <c r="H1405" s="3">
        <v>6.0</v>
      </c>
      <c r="I1405" s="4" t="s">
        <v>6128</v>
      </c>
      <c r="J1405" s="1" t="s">
        <v>6129</v>
      </c>
      <c r="K1405" s="1" t="s">
        <v>462</v>
      </c>
    </row>
    <row r="1406">
      <c r="A1406" s="1" t="s">
        <v>6130</v>
      </c>
      <c r="B1406" s="1" t="s">
        <v>6131</v>
      </c>
      <c r="C1406" s="1">
        <v>2021.0</v>
      </c>
      <c r="D1406" s="2">
        <v>44519.0</v>
      </c>
      <c r="F1406" s="1" t="s">
        <v>877</v>
      </c>
      <c r="H1406" s="3">
        <v>30.0</v>
      </c>
      <c r="I1406" s="4" t="s">
        <v>6132</v>
      </c>
      <c r="J1406" s="1" t="s">
        <v>6133</v>
      </c>
      <c r="K1406" s="1" t="s">
        <v>383</v>
      </c>
    </row>
    <row r="1407">
      <c r="A1407" s="1" t="s">
        <v>6134</v>
      </c>
      <c r="B1407" s="1" t="s">
        <v>6135</v>
      </c>
      <c r="C1407" s="1">
        <v>2021.0</v>
      </c>
      <c r="D1407" s="2">
        <v>44518.0</v>
      </c>
      <c r="F1407" s="1" t="s">
        <v>2173</v>
      </c>
      <c r="H1407" s="3">
        <v>4.0</v>
      </c>
      <c r="I1407" s="4" t="s">
        <v>6136</v>
      </c>
      <c r="J1407" s="1" t="s">
        <v>6137</v>
      </c>
      <c r="K1407" s="1" t="s">
        <v>443</v>
      </c>
    </row>
    <row r="1408">
      <c r="A1408" s="1" t="s">
        <v>6138</v>
      </c>
      <c r="B1408" s="1" t="s">
        <v>6139</v>
      </c>
      <c r="C1408" s="1">
        <v>2021.0</v>
      </c>
      <c r="D1408" s="2">
        <v>44518.0</v>
      </c>
      <c r="F1408" s="1" t="s">
        <v>410</v>
      </c>
      <c r="H1408" s="3">
        <v>53.0</v>
      </c>
      <c r="I1408" s="4" t="s">
        <v>6140</v>
      </c>
      <c r="J1408" s="1" t="s">
        <v>6141</v>
      </c>
      <c r="K1408" s="1" t="s">
        <v>16</v>
      </c>
    </row>
    <row r="1409">
      <c r="A1409" s="1" t="s">
        <v>6142</v>
      </c>
      <c r="B1409" s="1" t="s">
        <v>6143</v>
      </c>
      <c r="C1409" s="1">
        <v>2021.0</v>
      </c>
      <c r="D1409" s="2">
        <v>44517.0</v>
      </c>
      <c r="F1409" s="1" t="s">
        <v>5419</v>
      </c>
      <c r="H1409" s="3">
        <v>8.0</v>
      </c>
      <c r="I1409" s="4" t="s">
        <v>6144</v>
      </c>
      <c r="J1409" s="1" t="s">
        <v>6145</v>
      </c>
      <c r="K1409" s="1" t="s">
        <v>295</v>
      </c>
    </row>
    <row r="1410">
      <c r="A1410" s="1" t="s">
        <v>6146</v>
      </c>
      <c r="B1410" s="1" t="s">
        <v>6147</v>
      </c>
      <c r="C1410" s="1">
        <v>2021.0</v>
      </c>
      <c r="D1410" s="2">
        <v>44516.0</v>
      </c>
      <c r="F1410" s="1" t="s">
        <v>208</v>
      </c>
      <c r="H1410" s="3">
        <v>63.0</v>
      </c>
      <c r="I1410" s="4" t="s">
        <v>6148</v>
      </c>
      <c r="J1410" s="1" t="s">
        <v>6149</v>
      </c>
      <c r="K1410" s="1" t="s">
        <v>28</v>
      </c>
    </row>
    <row r="1411">
      <c r="A1411" s="1" t="s">
        <v>6150</v>
      </c>
      <c r="B1411" s="1" t="s">
        <v>6151</v>
      </c>
      <c r="C1411" s="1">
        <v>2021.0</v>
      </c>
      <c r="D1411" s="2">
        <v>44515.0</v>
      </c>
      <c r="F1411" s="1" t="s">
        <v>6152</v>
      </c>
      <c r="H1411" s="3">
        <v>0.0</v>
      </c>
      <c r="I1411" s="4" t="s">
        <v>6153</v>
      </c>
      <c r="J1411" s="1"/>
      <c r="K1411" s="1" t="s">
        <v>45</v>
      </c>
    </row>
    <row r="1412">
      <c r="A1412" s="1" t="s">
        <v>6154</v>
      </c>
      <c r="B1412" s="1" t="s">
        <v>6155</v>
      </c>
      <c r="C1412" s="1">
        <v>2021.0</v>
      </c>
      <c r="D1412" s="2">
        <v>44515.0</v>
      </c>
      <c r="F1412" s="1" t="s">
        <v>5260</v>
      </c>
      <c r="H1412" s="3">
        <v>8.0</v>
      </c>
      <c r="I1412" s="4" t="s">
        <v>6156</v>
      </c>
      <c r="J1412" s="1" t="s">
        <v>6157</v>
      </c>
      <c r="K1412" s="1" t="s">
        <v>926</v>
      </c>
    </row>
    <row r="1413">
      <c r="A1413" s="1" t="s">
        <v>6158</v>
      </c>
      <c r="B1413" s="1" t="s">
        <v>4914</v>
      </c>
      <c r="C1413" s="1">
        <v>2021.0</v>
      </c>
      <c r="D1413" s="2">
        <v>44515.0</v>
      </c>
      <c r="F1413" s="1" t="s">
        <v>355</v>
      </c>
      <c r="H1413" s="3">
        <v>2.0</v>
      </c>
      <c r="I1413" s="4" t="s">
        <v>6159</v>
      </c>
      <c r="J1413" s="1" t="s">
        <v>6160</v>
      </c>
      <c r="K1413" s="1" t="s">
        <v>413</v>
      </c>
    </row>
    <row r="1414">
      <c r="A1414" s="1" t="s">
        <v>6161</v>
      </c>
      <c r="B1414" s="1" t="s">
        <v>6162</v>
      </c>
      <c r="C1414" s="1">
        <v>2021.0</v>
      </c>
      <c r="D1414" s="2">
        <v>44515.0</v>
      </c>
      <c r="F1414" s="1" t="s">
        <v>2335</v>
      </c>
      <c r="H1414" s="3">
        <v>3.0</v>
      </c>
      <c r="I1414" s="4" t="s">
        <v>6163</v>
      </c>
      <c r="J1414" s="1" t="s">
        <v>6164</v>
      </c>
      <c r="K1414" s="1" t="s">
        <v>16</v>
      </c>
    </row>
    <row r="1415">
      <c r="A1415" s="1" t="s">
        <v>6165</v>
      </c>
      <c r="B1415" s="1" t="s">
        <v>6166</v>
      </c>
      <c r="C1415" s="1">
        <v>2021.0</v>
      </c>
      <c r="D1415" s="2">
        <v>44512.0</v>
      </c>
      <c r="F1415" s="1" t="s">
        <v>271</v>
      </c>
      <c r="H1415" s="3">
        <v>4.0</v>
      </c>
      <c r="I1415" s="4" t="s">
        <v>6167</v>
      </c>
      <c r="J1415" s="1" t="s">
        <v>6168</v>
      </c>
      <c r="K1415" s="1" t="s">
        <v>372</v>
      </c>
    </row>
    <row r="1416">
      <c r="A1416" s="1" t="s">
        <v>6169</v>
      </c>
      <c r="B1416" s="1" t="s">
        <v>6170</v>
      </c>
      <c r="C1416" s="1">
        <v>2021.0</v>
      </c>
      <c r="D1416" s="2">
        <v>44511.0</v>
      </c>
      <c r="F1416" s="1" t="s">
        <v>2041</v>
      </c>
      <c r="H1416" s="3">
        <v>5.0</v>
      </c>
      <c r="I1416" s="4" t="s">
        <v>6171</v>
      </c>
      <c r="J1416" s="1" t="s">
        <v>6172</v>
      </c>
      <c r="K1416" s="1" t="s">
        <v>295</v>
      </c>
    </row>
    <row r="1417">
      <c r="A1417" s="1" t="s">
        <v>6173</v>
      </c>
      <c r="B1417" s="1" t="s">
        <v>6174</v>
      </c>
      <c r="C1417" s="1">
        <v>2021.0</v>
      </c>
      <c r="D1417" s="2">
        <v>44510.0</v>
      </c>
      <c r="F1417" s="1" t="s">
        <v>877</v>
      </c>
      <c r="H1417" s="3">
        <v>13.0</v>
      </c>
      <c r="I1417" s="4" t="s">
        <v>6175</v>
      </c>
      <c r="J1417" s="1" t="s">
        <v>6176</v>
      </c>
      <c r="K1417" s="1" t="s">
        <v>2053</v>
      </c>
    </row>
    <row r="1418">
      <c r="A1418" s="1" t="s">
        <v>6177</v>
      </c>
      <c r="B1418" s="1" t="s">
        <v>6178</v>
      </c>
      <c r="C1418" s="1">
        <v>2021.0</v>
      </c>
      <c r="D1418" s="2">
        <v>44510.0</v>
      </c>
      <c r="F1418" s="1" t="s">
        <v>6179</v>
      </c>
      <c r="H1418" s="3">
        <v>0.0</v>
      </c>
      <c r="I1418" s="4" t="s">
        <v>6180</v>
      </c>
      <c r="J1418" s="1" t="s">
        <v>6181</v>
      </c>
      <c r="K1418" s="1" t="s">
        <v>28</v>
      </c>
    </row>
    <row r="1419">
      <c r="A1419" s="1" t="s">
        <v>6182</v>
      </c>
      <c r="B1419" s="1" t="s">
        <v>6183</v>
      </c>
      <c r="C1419" s="1">
        <v>2021.0</v>
      </c>
      <c r="D1419" s="2">
        <v>44509.0</v>
      </c>
      <c r="F1419" s="1" t="s">
        <v>1982</v>
      </c>
      <c r="H1419" s="3">
        <v>61.0</v>
      </c>
      <c r="I1419" s="4" t="s">
        <v>6184</v>
      </c>
      <c r="J1419" s="1" t="s">
        <v>6185</v>
      </c>
      <c r="K1419" s="1" t="s">
        <v>295</v>
      </c>
    </row>
    <row r="1420">
      <c r="A1420" s="1" t="s">
        <v>6186</v>
      </c>
      <c r="B1420" s="1" t="s">
        <v>6187</v>
      </c>
      <c r="C1420" s="1">
        <v>2021.0</v>
      </c>
      <c r="D1420" s="2">
        <v>44509.0</v>
      </c>
      <c r="F1420" s="1" t="s">
        <v>6188</v>
      </c>
      <c r="H1420" s="3">
        <v>3.0</v>
      </c>
      <c r="I1420" s="4" t="s">
        <v>6189</v>
      </c>
      <c r="J1420" s="1" t="s">
        <v>6190</v>
      </c>
      <c r="K1420" s="1" t="s">
        <v>68</v>
      </c>
    </row>
    <row r="1421">
      <c r="A1421" s="1" t="s">
        <v>6191</v>
      </c>
      <c r="B1421" s="1" t="s">
        <v>6192</v>
      </c>
      <c r="C1421" s="1">
        <v>2021.0</v>
      </c>
      <c r="D1421" s="2">
        <v>44506.0</v>
      </c>
      <c r="F1421" s="1" t="s">
        <v>6193</v>
      </c>
      <c r="H1421" s="3">
        <v>11.0</v>
      </c>
      <c r="I1421" s="4" t="s">
        <v>6194</v>
      </c>
      <c r="J1421" s="1" t="s">
        <v>6195</v>
      </c>
      <c r="K1421" s="1" t="s">
        <v>28</v>
      </c>
    </row>
    <row r="1422">
      <c r="A1422" s="1" t="s">
        <v>6196</v>
      </c>
      <c r="B1422" s="1" t="s">
        <v>6197</v>
      </c>
      <c r="C1422" s="1">
        <v>2021.0</v>
      </c>
      <c r="D1422" s="2">
        <v>44506.0</v>
      </c>
      <c r="F1422" s="1" t="s">
        <v>5336</v>
      </c>
      <c r="H1422" s="3">
        <v>9.0</v>
      </c>
      <c r="I1422" s="4" t="s">
        <v>6198</v>
      </c>
      <c r="J1422" s="1" t="s">
        <v>6199</v>
      </c>
      <c r="K1422" s="1" t="s">
        <v>413</v>
      </c>
    </row>
    <row r="1423">
      <c r="A1423" s="1" t="s">
        <v>6200</v>
      </c>
      <c r="B1423" s="1" t="s">
        <v>6201</v>
      </c>
      <c r="C1423" s="1">
        <v>2021.0</v>
      </c>
      <c r="D1423" s="2">
        <v>44504.0</v>
      </c>
      <c r="F1423" s="1" t="s">
        <v>6202</v>
      </c>
      <c r="H1423" s="3">
        <v>23.0</v>
      </c>
      <c r="I1423" s="4" t="s">
        <v>6203</v>
      </c>
      <c r="J1423" s="1" t="s">
        <v>6204</v>
      </c>
      <c r="K1423" s="1" t="s">
        <v>45</v>
      </c>
    </row>
    <row r="1424">
      <c r="A1424" s="1" t="s">
        <v>6205</v>
      </c>
      <c r="B1424" s="1" t="s">
        <v>6206</v>
      </c>
      <c r="C1424" s="1">
        <v>2021.0</v>
      </c>
      <c r="D1424" s="2">
        <v>44503.0</v>
      </c>
      <c r="F1424" s="1" t="s">
        <v>2101</v>
      </c>
      <c r="H1424" s="3">
        <v>7.0</v>
      </c>
      <c r="I1424" s="4" t="s">
        <v>6207</v>
      </c>
      <c r="J1424" s="1" t="s">
        <v>6208</v>
      </c>
      <c r="K1424" s="1" t="s">
        <v>16</v>
      </c>
    </row>
    <row r="1425">
      <c r="A1425" s="1" t="s">
        <v>6209</v>
      </c>
      <c r="B1425" s="1" t="s">
        <v>6210</v>
      </c>
      <c r="C1425" s="1">
        <v>2021.0</v>
      </c>
      <c r="D1425" s="2">
        <v>44503.0</v>
      </c>
      <c r="F1425" s="1" t="s">
        <v>3066</v>
      </c>
      <c r="H1425" s="3">
        <v>16.0</v>
      </c>
      <c r="I1425" s="4" t="s">
        <v>6211</v>
      </c>
      <c r="J1425" s="1"/>
      <c r="K1425" s="1" t="s">
        <v>383</v>
      </c>
    </row>
    <row r="1426">
      <c r="A1426" s="1" t="s">
        <v>6212</v>
      </c>
      <c r="B1426" s="1" t="s">
        <v>6213</v>
      </c>
      <c r="C1426" s="1">
        <v>2021.0</v>
      </c>
      <c r="D1426" s="2">
        <v>44502.0</v>
      </c>
      <c r="F1426" s="1" t="s">
        <v>6214</v>
      </c>
      <c r="H1426" s="3">
        <v>0.0</v>
      </c>
      <c r="I1426" s="4" t="s">
        <v>6215</v>
      </c>
      <c r="J1426" s="1" t="s">
        <v>6216</v>
      </c>
      <c r="K1426" s="1" t="s">
        <v>323</v>
      </c>
    </row>
    <row r="1427">
      <c r="A1427" s="1" t="s">
        <v>6217</v>
      </c>
      <c r="B1427" s="1" t="s">
        <v>6218</v>
      </c>
      <c r="C1427" s="1">
        <v>2021.0</v>
      </c>
      <c r="D1427" s="2">
        <v>44502.0</v>
      </c>
      <c r="F1427" s="1" t="s">
        <v>484</v>
      </c>
      <c r="H1427" s="3">
        <v>41.0</v>
      </c>
      <c r="I1427" s="4" t="s">
        <v>6219</v>
      </c>
      <c r="J1427" s="1" t="s">
        <v>6220</v>
      </c>
      <c r="K1427" s="1" t="s">
        <v>323</v>
      </c>
    </row>
    <row r="1428">
      <c r="A1428" s="1" t="s">
        <v>6221</v>
      </c>
      <c r="B1428" s="1" t="s">
        <v>6222</v>
      </c>
      <c r="C1428" s="1">
        <v>2021.0</v>
      </c>
      <c r="D1428" s="2">
        <v>44502.0</v>
      </c>
      <c r="F1428" s="1" t="s">
        <v>1505</v>
      </c>
      <c r="H1428" s="3">
        <v>156.0</v>
      </c>
      <c r="I1428" s="4" t="s">
        <v>6223</v>
      </c>
      <c r="J1428" s="1" t="s">
        <v>6224</v>
      </c>
      <c r="K1428" s="1" t="s">
        <v>443</v>
      </c>
    </row>
    <row r="1429">
      <c r="A1429" s="1" t="s">
        <v>6225</v>
      </c>
      <c r="B1429" s="1" t="s">
        <v>6226</v>
      </c>
      <c r="C1429" s="1">
        <v>2021.0</v>
      </c>
      <c r="D1429" s="2">
        <v>44502.0</v>
      </c>
      <c r="F1429" s="1" t="s">
        <v>4147</v>
      </c>
      <c r="H1429" s="3">
        <v>13.0</v>
      </c>
      <c r="I1429" s="4" t="s">
        <v>6227</v>
      </c>
      <c r="J1429" s="1" t="s">
        <v>6228</v>
      </c>
      <c r="K1429" s="1" t="s">
        <v>1036</v>
      </c>
    </row>
    <row r="1430">
      <c r="A1430" s="1" t="s">
        <v>6229</v>
      </c>
      <c r="B1430" s="1" t="s">
        <v>6230</v>
      </c>
      <c r="C1430" s="1">
        <v>2021.0</v>
      </c>
      <c r="D1430" s="2">
        <v>44501.0</v>
      </c>
      <c r="F1430" s="1" t="s">
        <v>208</v>
      </c>
      <c r="H1430" s="3">
        <v>0.0</v>
      </c>
      <c r="I1430" s="4" t="s">
        <v>6231</v>
      </c>
      <c r="J1430" s="1"/>
      <c r="K1430" s="1" t="s">
        <v>45</v>
      </c>
    </row>
    <row r="1431">
      <c r="A1431" s="1" t="s">
        <v>6232</v>
      </c>
      <c r="B1431" s="1" t="s">
        <v>6233</v>
      </c>
      <c r="C1431" s="1">
        <v>2021.0</v>
      </c>
      <c r="D1431" s="2">
        <v>44501.0</v>
      </c>
      <c r="F1431" s="1" t="s">
        <v>19</v>
      </c>
      <c r="H1431" s="3">
        <v>45.0</v>
      </c>
      <c r="I1431" s="4" t="s">
        <v>6234</v>
      </c>
      <c r="J1431" s="1" t="s">
        <v>6235</v>
      </c>
      <c r="K1431" s="1" t="s">
        <v>1036</v>
      </c>
    </row>
    <row r="1432">
      <c r="A1432" s="1" t="s">
        <v>6236</v>
      </c>
      <c r="B1432" s="1" t="s">
        <v>6237</v>
      </c>
      <c r="C1432" s="1">
        <v>2021.0</v>
      </c>
      <c r="D1432" s="2">
        <v>44501.0</v>
      </c>
      <c r="F1432" s="1" t="s">
        <v>178</v>
      </c>
      <c r="H1432" s="3">
        <v>47.0</v>
      </c>
      <c r="I1432" s="4" t="s">
        <v>6238</v>
      </c>
      <c r="J1432" s="1" t="s">
        <v>6239</v>
      </c>
      <c r="K1432" s="1" t="s">
        <v>1036</v>
      </c>
    </row>
    <row r="1433">
      <c r="A1433" s="1" t="s">
        <v>6240</v>
      </c>
      <c r="B1433" s="1" t="s">
        <v>6241</v>
      </c>
      <c r="C1433" s="1">
        <v>2021.0</v>
      </c>
      <c r="D1433" s="2">
        <v>44501.0</v>
      </c>
      <c r="F1433" s="1" t="s">
        <v>1592</v>
      </c>
      <c r="H1433" s="3">
        <v>2.0</v>
      </c>
      <c r="I1433" s="4" t="s">
        <v>6242</v>
      </c>
      <c r="J1433" s="1" t="s">
        <v>6243</v>
      </c>
      <c r="K1433" s="1" t="s">
        <v>323</v>
      </c>
    </row>
    <row r="1434">
      <c r="A1434" s="1" t="s">
        <v>6244</v>
      </c>
      <c r="B1434" s="1" t="s">
        <v>6245</v>
      </c>
      <c r="C1434" s="1">
        <v>2021.0</v>
      </c>
      <c r="D1434" s="2">
        <v>44501.0</v>
      </c>
      <c r="F1434" s="1" t="s">
        <v>6246</v>
      </c>
      <c r="H1434" s="3">
        <v>2.0</v>
      </c>
      <c r="I1434" s="4" t="s">
        <v>6247</v>
      </c>
      <c r="J1434" s="1" t="s">
        <v>6248</v>
      </c>
      <c r="K1434" s="1" t="s">
        <v>28</v>
      </c>
    </row>
    <row r="1435">
      <c r="A1435" s="1" t="s">
        <v>6249</v>
      </c>
      <c r="B1435" s="1" t="s">
        <v>6250</v>
      </c>
      <c r="C1435" s="1">
        <v>2021.0</v>
      </c>
      <c r="D1435" s="2">
        <v>44501.0</v>
      </c>
      <c r="F1435" s="1" t="s">
        <v>6251</v>
      </c>
      <c r="H1435" s="3">
        <v>32.0</v>
      </c>
      <c r="I1435" s="4" t="s">
        <v>6252</v>
      </c>
      <c r="J1435" s="1" t="s">
        <v>6253</v>
      </c>
      <c r="K1435" s="1" t="s">
        <v>68</v>
      </c>
    </row>
    <row r="1436">
      <c r="A1436" s="1" t="s">
        <v>6254</v>
      </c>
      <c r="B1436" s="1" t="s">
        <v>6255</v>
      </c>
      <c r="C1436" s="1">
        <v>2021.0</v>
      </c>
      <c r="D1436" s="2">
        <v>44501.0</v>
      </c>
      <c r="F1436" s="1" t="s">
        <v>6256</v>
      </c>
      <c r="H1436" s="3">
        <v>18.0</v>
      </c>
      <c r="I1436" s="4" t="s">
        <v>6257</v>
      </c>
      <c r="J1436" s="1" t="s">
        <v>6258</v>
      </c>
      <c r="K1436" s="1" t="s">
        <v>16</v>
      </c>
    </row>
    <row r="1437">
      <c r="A1437" s="1" t="s">
        <v>6259</v>
      </c>
      <c r="B1437" s="1" t="s">
        <v>6260</v>
      </c>
      <c r="C1437" s="1">
        <v>2021.0</v>
      </c>
      <c r="D1437" s="2">
        <v>44501.0</v>
      </c>
      <c r="F1437" s="1" t="s">
        <v>1800</v>
      </c>
      <c r="H1437" s="3">
        <v>19.0</v>
      </c>
      <c r="I1437" s="4" t="s">
        <v>6261</v>
      </c>
      <c r="J1437" s="1"/>
      <c r="K1437" s="1" t="s">
        <v>16</v>
      </c>
    </row>
    <row r="1438">
      <c r="A1438" s="1" t="s">
        <v>6262</v>
      </c>
      <c r="B1438" s="1" t="s">
        <v>6263</v>
      </c>
      <c r="C1438" s="1">
        <v>2021.0</v>
      </c>
      <c r="D1438" s="2">
        <v>44498.0</v>
      </c>
      <c r="F1438" s="1" t="s">
        <v>6264</v>
      </c>
      <c r="H1438" s="3">
        <v>5.0</v>
      </c>
      <c r="I1438" s="4" t="s">
        <v>6265</v>
      </c>
      <c r="J1438" s="1" t="s">
        <v>6266</v>
      </c>
      <c r="K1438" s="1" t="s">
        <v>28</v>
      </c>
    </row>
    <row r="1439">
      <c r="A1439" s="1" t="s">
        <v>6267</v>
      </c>
      <c r="B1439" s="1" t="s">
        <v>6268</v>
      </c>
      <c r="C1439" s="1">
        <v>2021.0</v>
      </c>
      <c r="D1439" s="2">
        <v>44497.0</v>
      </c>
      <c r="F1439" s="1" t="s">
        <v>271</v>
      </c>
      <c r="H1439" s="3">
        <v>27.0</v>
      </c>
      <c r="I1439" s="4" t="s">
        <v>6269</v>
      </c>
      <c r="J1439" s="1" t="s">
        <v>6270</v>
      </c>
      <c r="K1439" s="1" t="s">
        <v>418</v>
      </c>
    </row>
    <row r="1440">
      <c r="A1440" s="1" t="s">
        <v>6271</v>
      </c>
      <c r="B1440" s="1" t="s">
        <v>6272</v>
      </c>
      <c r="C1440" s="1">
        <v>2021.0</v>
      </c>
      <c r="D1440" s="2">
        <v>44497.0</v>
      </c>
      <c r="F1440" s="1" t="s">
        <v>6273</v>
      </c>
      <c r="H1440" s="3">
        <v>3.0</v>
      </c>
      <c r="I1440" s="4" t="s">
        <v>6274</v>
      </c>
      <c r="J1440" s="1" t="s">
        <v>6275</v>
      </c>
      <c r="K1440" s="1" t="s">
        <v>329</v>
      </c>
    </row>
    <row r="1441">
      <c r="A1441" s="1" t="s">
        <v>6276</v>
      </c>
      <c r="B1441" s="1" t="s">
        <v>6277</v>
      </c>
      <c r="C1441" s="1">
        <v>2021.0</v>
      </c>
      <c r="D1441" s="2">
        <v>44496.0</v>
      </c>
      <c r="F1441" s="1" t="s">
        <v>4253</v>
      </c>
      <c r="H1441" s="3">
        <v>1.0</v>
      </c>
      <c r="I1441" s="4" t="s">
        <v>6278</v>
      </c>
      <c r="J1441" s="1" t="s">
        <v>6279</v>
      </c>
      <c r="K1441" s="1" t="s">
        <v>45</v>
      </c>
    </row>
    <row r="1442">
      <c r="A1442" s="1" t="s">
        <v>6280</v>
      </c>
      <c r="B1442" s="1" t="s">
        <v>6281</v>
      </c>
      <c r="C1442" s="1">
        <v>2021.0</v>
      </c>
      <c r="D1442" s="2">
        <v>44495.0</v>
      </c>
      <c r="F1442" s="1" t="s">
        <v>605</v>
      </c>
      <c r="H1442" s="3">
        <v>5.0</v>
      </c>
      <c r="I1442" s="4" t="s">
        <v>6282</v>
      </c>
      <c r="J1442" s="1" t="s">
        <v>6283</v>
      </c>
      <c r="K1442" s="1" t="s">
        <v>323</v>
      </c>
    </row>
    <row r="1443">
      <c r="A1443" s="1" t="s">
        <v>6284</v>
      </c>
      <c r="B1443" s="1" t="s">
        <v>6285</v>
      </c>
      <c r="C1443" s="1">
        <v>2021.0</v>
      </c>
      <c r="D1443" s="2">
        <v>44495.0</v>
      </c>
      <c r="F1443" s="1" t="s">
        <v>271</v>
      </c>
      <c r="H1443" s="3">
        <v>5.0</v>
      </c>
      <c r="I1443" s="4" t="s">
        <v>6286</v>
      </c>
      <c r="J1443" s="1" t="s">
        <v>6287</v>
      </c>
      <c r="K1443" s="1" t="s">
        <v>1036</v>
      </c>
    </row>
    <row r="1444">
      <c r="A1444" s="1" t="s">
        <v>6288</v>
      </c>
      <c r="B1444" s="1" t="s">
        <v>6289</v>
      </c>
      <c r="C1444" s="1">
        <v>2021.0</v>
      </c>
      <c r="D1444" s="2">
        <v>44495.0</v>
      </c>
      <c r="F1444" s="1" t="s">
        <v>605</v>
      </c>
      <c r="H1444" s="3">
        <v>39.0</v>
      </c>
      <c r="I1444" s="4" t="s">
        <v>6290</v>
      </c>
      <c r="J1444" s="1" t="s">
        <v>6291</v>
      </c>
      <c r="K1444" s="1" t="s">
        <v>16</v>
      </c>
    </row>
    <row r="1445">
      <c r="A1445" s="1" t="s">
        <v>6292</v>
      </c>
      <c r="B1445" s="1" t="s">
        <v>6293</v>
      </c>
      <c r="C1445" s="1">
        <v>2021.0</v>
      </c>
      <c r="D1445" s="2">
        <v>44495.0</v>
      </c>
      <c r="F1445" s="1" t="s">
        <v>86</v>
      </c>
      <c r="H1445" s="3">
        <v>0.0</v>
      </c>
      <c r="I1445" s="4" t="s">
        <v>6294</v>
      </c>
      <c r="J1445" s="1" t="s">
        <v>6295</v>
      </c>
      <c r="K1445" s="1" t="s">
        <v>16</v>
      </c>
    </row>
    <row r="1446">
      <c r="A1446" s="1" t="s">
        <v>6296</v>
      </c>
      <c r="B1446" s="1" t="s">
        <v>6297</v>
      </c>
      <c r="C1446" s="1">
        <v>2021.0</v>
      </c>
      <c r="D1446" s="2">
        <v>44491.0</v>
      </c>
      <c r="F1446" s="1" t="s">
        <v>2634</v>
      </c>
      <c r="H1446" s="3">
        <v>0.0</v>
      </c>
      <c r="I1446" s="4" t="s">
        <v>6298</v>
      </c>
      <c r="J1446" s="1"/>
      <c r="K1446" s="1" t="s">
        <v>16</v>
      </c>
    </row>
    <row r="1447">
      <c r="A1447" s="1" t="s">
        <v>6299</v>
      </c>
      <c r="B1447" s="1" t="s">
        <v>6300</v>
      </c>
      <c r="C1447" s="1">
        <v>2021.0</v>
      </c>
      <c r="D1447" s="2">
        <v>44490.0</v>
      </c>
      <c r="F1447" s="1" t="s">
        <v>6301</v>
      </c>
      <c r="H1447" s="3">
        <v>3.0</v>
      </c>
      <c r="I1447" s="4" t="s">
        <v>6302</v>
      </c>
      <c r="J1447" s="1" t="s">
        <v>6303</v>
      </c>
      <c r="K1447" s="1" t="s">
        <v>443</v>
      </c>
    </row>
    <row r="1448">
      <c r="A1448" s="1" t="s">
        <v>6304</v>
      </c>
      <c r="B1448" s="1" t="s">
        <v>6305</v>
      </c>
      <c r="C1448" s="1">
        <v>2021.0</v>
      </c>
      <c r="D1448" s="2">
        <v>44489.0</v>
      </c>
      <c r="F1448" s="1" t="s">
        <v>6306</v>
      </c>
      <c r="H1448" s="3">
        <v>0.0</v>
      </c>
      <c r="I1448" s="4" t="s">
        <v>6307</v>
      </c>
      <c r="J1448" s="1"/>
      <c r="K1448" s="1" t="s">
        <v>418</v>
      </c>
    </row>
    <row r="1449">
      <c r="A1449" s="1" t="s">
        <v>6308</v>
      </c>
      <c r="B1449" s="1" t="s">
        <v>6309</v>
      </c>
      <c r="C1449" s="1">
        <v>2021.0</v>
      </c>
      <c r="D1449" s="2">
        <v>44489.0</v>
      </c>
      <c r="F1449" s="1" t="s">
        <v>31</v>
      </c>
      <c r="H1449" s="3">
        <v>4.0</v>
      </c>
      <c r="I1449" s="4" t="s">
        <v>6310</v>
      </c>
      <c r="J1449" s="1" t="s">
        <v>6311</v>
      </c>
      <c r="K1449" s="1" t="s">
        <v>383</v>
      </c>
    </row>
    <row r="1450">
      <c r="A1450" s="1" t="s">
        <v>6312</v>
      </c>
      <c r="B1450" s="1" t="s">
        <v>2918</v>
      </c>
      <c r="C1450" s="1">
        <v>2021.0</v>
      </c>
      <c r="D1450" s="2">
        <v>44489.0</v>
      </c>
      <c r="F1450" s="1" t="s">
        <v>396</v>
      </c>
      <c r="H1450" s="3">
        <v>107.0</v>
      </c>
      <c r="I1450" s="4" t="s">
        <v>6313</v>
      </c>
      <c r="J1450" s="1" t="s">
        <v>6314</v>
      </c>
      <c r="K1450" s="1" t="s">
        <v>1423</v>
      </c>
    </row>
    <row r="1451">
      <c r="A1451" s="1" t="s">
        <v>6315</v>
      </c>
      <c r="B1451" s="1" t="s">
        <v>6316</v>
      </c>
      <c r="C1451" s="1">
        <v>2021.0</v>
      </c>
      <c r="D1451" s="2">
        <v>44488.0</v>
      </c>
      <c r="F1451" s="1" t="s">
        <v>6317</v>
      </c>
      <c r="H1451" s="3">
        <v>4.0</v>
      </c>
      <c r="I1451" s="4" t="s">
        <v>6318</v>
      </c>
      <c r="J1451" s="1" t="s">
        <v>6319</v>
      </c>
      <c r="K1451" s="1" t="s">
        <v>403</v>
      </c>
    </row>
    <row r="1452">
      <c r="A1452" s="1" t="s">
        <v>6320</v>
      </c>
      <c r="B1452" s="1" t="s">
        <v>6321</v>
      </c>
      <c r="C1452" s="1">
        <v>2021.0</v>
      </c>
      <c r="D1452" s="2">
        <v>44488.0</v>
      </c>
      <c r="F1452" s="1" t="s">
        <v>3207</v>
      </c>
      <c r="H1452" s="3">
        <v>0.0</v>
      </c>
      <c r="I1452" s="4" t="s">
        <v>6322</v>
      </c>
      <c r="J1452" s="1" t="s">
        <v>6323</v>
      </c>
      <c r="K1452" s="1" t="s">
        <v>295</v>
      </c>
    </row>
    <row r="1453">
      <c r="A1453" s="1" t="s">
        <v>6324</v>
      </c>
      <c r="B1453" s="1" t="s">
        <v>6325</v>
      </c>
      <c r="C1453" s="1">
        <v>2021.0</v>
      </c>
      <c r="D1453" s="2">
        <v>44488.0</v>
      </c>
      <c r="F1453" s="1" t="s">
        <v>4634</v>
      </c>
      <c r="H1453" s="3">
        <v>1.0</v>
      </c>
      <c r="I1453" s="4" t="s">
        <v>6326</v>
      </c>
      <c r="J1453" s="1" t="s">
        <v>6327</v>
      </c>
      <c r="K1453" s="1" t="s">
        <v>16</v>
      </c>
    </row>
    <row r="1454">
      <c r="A1454" s="1" t="s">
        <v>6328</v>
      </c>
      <c r="B1454" s="1" t="s">
        <v>6329</v>
      </c>
      <c r="C1454" s="1">
        <v>2021.0</v>
      </c>
      <c r="D1454" s="2">
        <v>44487.0</v>
      </c>
      <c r="F1454" s="1" t="s">
        <v>2774</v>
      </c>
      <c r="H1454" s="3">
        <v>7.0</v>
      </c>
      <c r="I1454" s="4" t="s">
        <v>6330</v>
      </c>
      <c r="J1454" s="1" t="s">
        <v>6331</v>
      </c>
      <c r="K1454" s="1" t="s">
        <v>16</v>
      </c>
    </row>
    <row r="1455">
      <c r="A1455" s="1" t="s">
        <v>6332</v>
      </c>
      <c r="B1455" s="1" t="s">
        <v>6333</v>
      </c>
      <c r="C1455" s="1">
        <v>2021.0</v>
      </c>
      <c r="D1455" s="2">
        <v>44485.0</v>
      </c>
      <c r="F1455" s="1" t="s">
        <v>6334</v>
      </c>
      <c r="H1455" s="3">
        <v>4.0</v>
      </c>
      <c r="I1455" s="4" t="s">
        <v>6335</v>
      </c>
      <c r="J1455" s="1" t="s">
        <v>6336</v>
      </c>
      <c r="K1455" s="1" t="s">
        <v>28</v>
      </c>
    </row>
    <row r="1456">
      <c r="A1456" s="1" t="s">
        <v>6337</v>
      </c>
      <c r="B1456" s="1" t="s">
        <v>6338</v>
      </c>
      <c r="C1456" s="1">
        <v>2021.0</v>
      </c>
      <c r="D1456" s="2">
        <v>44485.0</v>
      </c>
      <c r="F1456" s="1" t="s">
        <v>228</v>
      </c>
      <c r="H1456" s="3">
        <v>11.0</v>
      </c>
      <c r="I1456" s="4" t="s">
        <v>6339</v>
      </c>
      <c r="J1456" s="1" t="s">
        <v>6340</v>
      </c>
      <c r="K1456" s="1" t="s">
        <v>323</v>
      </c>
    </row>
    <row r="1457">
      <c r="A1457" s="1" t="s">
        <v>6341</v>
      </c>
      <c r="B1457" s="1" t="s">
        <v>6342</v>
      </c>
      <c r="C1457" s="1">
        <v>2021.0</v>
      </c>
      <c r="D1457" s="2">
        <v>44485.0</v>
      </c>
      <c r="F1457" s="1" t="s">
        <v>6343</v>
      </c>
      <c r="H1457" s="3">
        <v>0.0</v>
      </c>
      <c r="I1457" s="4" t="s">
        <v>6344</v>
      </c>
      <c r="J1457" s="1"/>
      <c r="K1457" s="1" t="s">
        <v>16</v>
      </c>
    </row>
    <row r="1458">
      <c r="A1458" s="1" t="s">
        <v>6345</v>
      </c>
      <c r="B1458" s="1" t="s">
        <v>6346</v>
      </c>
      <c r="C1458" s="1">
        <v>2021.0</v>
      </c>
      <c r="D1458" s="2">
        <v>44484.0</v>
      </c>
      <c r="F1458" s="1" t="s">
        <v>6347</v>
      </c>
      <c r="H1458" s="3">
        <v>6.0</v>
      </c>
      <c r="I1458" s="4" t="s">
        <v>6348</v>
      </c>
      <c r="J1458" s="1" t="s">
        <v>6349</v>
      </c>
      <c r="K1458" s="1" t="s">
        <v>16</v>
      </c>
    </row>
    <row r="1459">
      <c r="A1459" s="1" t="s">
        <v>6350</v>
      </c>
      <c r="B1459" s="1" t="s">
        <v>6351</v>
      </c>
      <c r="C1459" s="1">
        <v>2021.0</v>
      </c>
      <c r="D1459" s="2">
        <v>44483.0</v>
      </c>
      <c r="F1459" s="1" t="s">
        <v>6352</v>
      </c>
      <c r="H1459" s="3">
        <v>3.0</v>
      </c>
      <c r="I1459" s="4" t="s">
        <v>6353</v>
      </c>
      <c r="J1459" s="1"/>
      <c r="K1459" s="1" t="s">
        <v>68</v>
      </c>
    </row>
    <row r="1460">
      <c r="A1460" s="1" t="s">
        <v>6354</v>
      </c>
      <c r="B1460" s="1" t="s">
        <v>6355</v>
      </c>
      <c r="C1460" s="1">
        <v>2021.0</v>
      </c>
      <c r="D1460" s="2">
        <v>44482.0</v>
      </c>
      <c r="F1460" s="1" t="s">
        <v>31</v>
      </c>
      <c r="H1460" s="3">
        <v>26.0</v>
      </c>
      <c r="I1460" s="4" t="s">
        <v>6356</v>
      </c>
      <c r="J1460" s="1" t="s">
        <v>6357</v>
      </c>
      <c r="K1460" s="1" t="s">
        <v>16</v>
      </c>
    </row>
    <row r="1461">
      <c r="A1461" s="1" t="s">
        <v>6358</v>
      </c>
      <c r="B1461" s="1" t="s">
        <v>6359</v>
      </c>
      <c r="C1461" s="1">
        <v>2021.0</v>
      </c>
      <c r="D1461" s="2">
        <v>44481.0</v>
      </c>
      <c r="F1461" s="1" t="s">
        <v>1277</v>
      </c>
      <c r="H1461" s="3">
        <v>10.0</v>
      </c>
      <c r="I1461" s="4" t="s">
        <v>6360</v>
      </c>
      <c r="J1461" s="1" t="s">
        <v>6361</v>
      </c>
      <c r="K1461" s="1" t="s">
        <v>28</v>
      </c>
    </row>
    <row r="1462">
      <c r="A1462" s="1" t="s">
        <v>6362</v>
      </c>
      <c r="B1462" s="1" t="s">
        <v>6363</v>
      </c>
      <c r="C1462" s="1">
        <v>2021.0</v>
      </c>
      <c r="D1462" s="2">
        <v>44480.0</v>
      </c>
      <c r="F1462" s="1" t="s">
        <v>1859</v>
      </c>
      <c r="H1462" s="3">
        <v>7.0</v>
      </c>
      <c r="I1462" s="4" t="s">
        <v>6364</v>
      </c>
      <c r="J1462" s="1" t="s">
        <v>6365</v>
      </c>
      <c r="K1462" s="1" t="s">
        <v>443</v>
      </c>
    </row>
    <row r="1463">
      <c r="A1463" s="1" t="s">
        <v>6366</v>
      </c>
      <c r="B1463" s="1" t="s">
        <v>6367</v>
      </c>
      <c r="C1463" s="1">
        <v>2021.0</v>
      </c>
      <c r="D1463" s="2">
        <v>44478.0</v>
      </c>
      <c r="F1463" s="1" t="s">
        <v>308</v>
      </c>
      <c r="H1463" s="3">
        <v>8.0</v>
      </c>
      <c r="I1463" s="4" t="s">
        <v>6368</v>
      </c>
      <c r="J1463" s="1" t="s">
        <v>6369</v>
      </c>
      <c r="K1463" s="1" t="s">
        <v>295</v>
      </c>
    </row>
    <row r="1464">
      <c r="A1464" s="1" t="s">
        <v>6370</v>
      </c>
      <c r="B1464" s="1" t="s">
        <v>6371</v>
      </c>
      <c r="C1464" s="1">
        <v>2021.0</v>
      </c>
      <c r="D1464" s="2">
        <v>44478.0</v>
      </c>
      <c r="F1464" s="1" t="s">
        <v>5144</v>
      </c>
      <c r="H1464" s="3">
        <v>0.0</v>
      </c>
      <c r="I1464" s="4" t="s">
        <v>6372</v>
      </c>
      <c r="J1464" s="1" t="s">
        <v>6373</v>
      </c>
      <c r="K1464" s="1" t="s">
        <v>323</v>
      </c>
    </row>
    <row r="1465">
      <c r="A1465" s="1" t="s">
        <v>6374</v>
      </c>
      <c r="B1465" s="1" t="s">
        <v>6375</v>
      </c>
      <c r="C1465" s="1">
        <v>2021.0</v>
      </c>
      <c r="D1465" s="2">
        <v>44478.0</v>
      </c>
      <c r="F1465" s="1" t="s">
        <v>6376</v>
      </c>
      <c r="H1465" s="3">
        <v>2.0</v>
      </c>
      <c r="I1465" s="4" t="s">
        <v>6377</v>
      </c>
      <c r="J1465" s="1" t="s">
        <v>6378</v>
      </c>
      <c r="K1465" s="1" t="s">
        <v>16</v>
      </c>
    </row>
    <row r="1466">
      <c r="A1466" s="1" t="s">
        <v>6379</v>
      </c>
      <c r="B1466" s="1" t="s">
        <v>6380</v>
      </c>
      <c r="C1466" s="1">
        <v>2021.0</v>
      </c>
      <c r="D1466" s="2">
        <v>44476.0</v>
      </c>
      <c r="F1466" s="1" t="s">
        <v>5545</v>
      </c>
      <c r="H1466" s="3">
        <v>3.0</v>
      </c>
      <c r="I1466" s="4" t="s">
        <v>6381</v>
      </c>
      <c r="J1466" s="1" t="s">
        <v>6382</v>
      </c>
      <c r="K1466" s="1" t="s">
        <v>383</v>
      </c>
    </row>
    <row r="1467">
      <c r="A1467" s="1" t="s">
        <v>6383</v>
      </c>
      <c r="B1467" s="1" t="s">
        <v>6384</v>
      </c>
      <c r="C1467" s="1">
        <v>2021.0</v>
      </c>
      <c r="D1467" s="2">
        <v>44476.0</v>
      </c>
      <c r="F1467" s="1" t="s">
        <v>711</v>
      </c>
      <c r="H1467" s="3">
        <v>14.0</v>
      </c>
      <c r="I1467" s="4" t="s">
        <v>6385</v>
      </c>
      <c r="J1467" s="1" t="s">
        <v>6386</v>
      </c>
      <c r="K1467" s="1" t="s">
        <v>295</v>
      </c>
    </row>
    <row r="1468">
      <c r="A1468" s="1" t="s">
        <v>6387</v>
      </c>
      <c r="B1468" s="1" t="s">
        <v>6388</v>
      </c>
      <c r="C1468" s="1">
        <v>2021.0</v>
      </c>
      <c r="D1468" s="2">
        <v>44476.0</v>
      </c>
      <c r="F1468" s="1" t="s">
        <v>1050</v>
      </c>
      <c r="H1468" s="3">
        <v>0.0</v>
      </c>
      <c r="I1468" s="4" t="s">
        <v>6389</v>
      </c>
      <c r="J1468" s="1" t="s">
        <v>6390</v>
      </c>
      <c r="K1468" s="1" t="s">
        <v>323</v>
      </c>
    </row>
    <row r="1469">
      <c r="A1469" s="1" t="s">
        <v>6391</v>
      </c>
      <c r="B1469" s="1" t="s">
        <v>6392</v>
      </c>
      <c r="C1469" s="1">
        <v>2021.0</v>
      </c>
      <c r="D1469" s="2">
        <v>44476.0</v>
      </c>
      <c r="F1469" s="1" t="s">
        <v>6393</v>
      </c>
      <c r="H1469" s="3">
        <v>4.0</v>
      </c>
      <c r="I1469" s="4" t="s">
        <v>6394</v>
      </c>
      <c r="J1469" s="1" t="s">
        <v>6395</v>
      </c>
      <c r="K1469" s="1" t="s">
        <v>68</v>
      </c>
    </row>
    <row r="1470">
      <c r="A1470" s="1" t="s">
        <v>6396</v>
      </c>
      <c r="B1470" s="1" t="s">
        <v>6397</v>
      </c>
      <c r="C1470" s="1">
        <v>2021.0</v>
      </c>
      <c r="D1470" s="2">
        <v>44476.0</v>
      </c>
      <c r="F1470" s="1" t="s">
        <v>271</v>
      </c>
      <c r="H1470" s="3">
        <v>6.0</v>
      </c>
      <c r="I1470" s="4" t="s">
        <v>6398</v>
      </c>
      <c r="J1470" s="1" t="s">
        <v>6399</v>
      </c>
      <c r="K1470" s="1" t="s">
        <v>403</v>
      </c>
    </row>
    <row r="1471">
      <c r="A1471" s="1" t="s">
        <v>6400</v>
      </c>
      <c r="B1471" s="1" t="s">
        <v>6401</v>
      </c>
      <c r="C1471" s="1">
        <v>2021.0</v>
      </c>
      <c r="D1471" s="2">
        <v>44476.0</v>
      </c>
      <c r="F1471" s="1" t="s">
        <v>2996</v>
      </c>
      <c r="H1471" s="3">
        <v>5.0</v>
      </c>
      <c r="I1471" s="4" t="s">
        <v>6402</v>
      </c>
      <c r="J1471" s="1" t="s">
        <v>6403</v>
      </c>
      <c r="K1471" s="1" t="s">
        <v>16</v>
      </c>
    </row>
    <row r="1472">
      <c r="A1472" s="1" t="s">
        <v>6404</v>
      </c>
      <c r="B1472" s="1" t="s">
        <v>6405</v>
      </c>
      <c r="C1472" s="1">
        <v>2021.0</v>
      </c>
      <c r="D1472" s="2">
        <v>44474.0</v>
      </c>
      <c r="F1472" s="1" t="s">
        <v>6406</v>
      </c>
      <c r="H1472" s="3">
        <v>4.0</v>
      </c>
      <c r="I1472" s="4" t="s">
        <v>6407</v>
      </c>
      <c r="J1472" s="1" t="s">
        <v>6408</v>
      </c>
      <c r="K1472" s="1" t="s">
        <v>28</v>
      </c>
    </row>
    <row r="1473">
      <c r="A1473" s="1" t="s">
        <v>6409</v>
      </c>
      <c r="B1473" s="1" t="s">
        <v>4053</v>
      </c>
      <c r="C1473" s="1">
        <v>2021.0</v>
      </c>
      <c r="D1473" s="2">
        <v>44474.0</v>
      </c>
      <c r="F1473" s="1" t="s">
        <v>2191</v>
      </c>
      <c r="H1473" s="3">
        <v>33.0</v>
      </c>
      <c r="I1473" s="4" t="s">
        <v>6410</v>
      </c>
      <c r="J1473" s="1" t="s">
        <v>6411</v>
      </c>
      <c r="K1473" s="1" t="s">
        <v>323</v>
      </c>
    </row>
    <row r="1474">
      <c r="A1474" s="1" t="s">
        <v>6412</v>
      </c>
      <c r="B1474" s="1" t="s">
        <v>6413</v>
      </c>
      <c r="C1474" s="1">
        <v>2021.0</v>
      </c>
      <c r="D1474" s="2">
        <v>44474.0</v>
      </c>
      <c r="F1474" s="1" t="s">
        <v>6066</v>
      </c>
      <c r="H1474" s="3">
        <v>4.0</v>
      </c>
      <c r="I1474" s="4" t="s">
        <v>6414</v>
      </c>
      <c r="J1474" s="1" t="s">
        <v>6415</v>
      </c>
      <c r="K1474" s="1" t="s">
        <v>295</v>
      </c>
    </row>
    <row r="1475">
      <c r="A1475" s="1" t="s">
        <v>6416</v>
      </c>
      <c r="B1475" s="1" t="s">
        <v>6417</v>
      </c>
      <c r="C1475" s="1">
        <v>2021.0</v>
      </c>
      <c r="D1475" s="2">
        <v>44470.0</v>
      </c>
      <c r="F1475" s="1" t="s">
        <v>6418</v>
      </c>
      <c r="H1475" s="3">
        <v>36.0</v>
      </c>
      <c r="I1475" s="4" t="s">
        <v>6419</v>
      </c>
      <c r="J1475" s="1" t="s">
        <v>6420</v>
      </c>
      <c r="K1475" s="1" t="s">
        <v>329</v>
      </c>
    </row>
    <row r="1476">
      <c r="A1476" s="1" t="s">
        <v>6421</v>
      </c>
      <c r="B1476" s="1" t="s">
        <v>6422</v>
      </c>
      <c r="C1476" s="1">
        <v>2021.0</v>
      </c>
      <c r="D1476" s="2">
        <v>44470.0</v>
      </c>
      <c r="F1476" s="1" t="s">
        <v>3119</v>
      </c>
      <c r="H1476" s="3">
        <v>20.0</v>
      </c>
      <c r="I1476" s="4" t="s">
        <v>6423</v>
      </c>
      <c r="J1476" s="1" t="s">
        <v>6424</v>
      </c>
      <c r="K1476" s="1" t="s">
        <v>323</v>
      </c>
    </row>
    <row r="1477">
      <c r="A1477" s="1" t="s">
        <v>6425</v>
      </c>
      <c r="B1477" s="1" t="s">
        <v>5867</v>
      </c>
      <c r="C1477" s="1">
        <v>2021.0</v>
      </c>
      <c r="D1477" s="2">
        <v>44470.0</v>
      </c>
      <c r="F1477" s="1" t="s">
        <v>157</v>
      </c>
      <c r="H1477" s="3">
        <v>6.0</v>
      </c>
      <c r="I1477" s="4" t="s">
        <v>6426</v>
      </c>
      <c r="J1477" s="1" t="s">
        <v>6427</v>
      </c>
      <c r="K1477" s="1" t="s">
        <v>546</v>
      </c>
    </row>
    <row r="1478">
      <c r="A1478" s="1" t="s">
        <v>6428</v>
      </c>
      <c r="B1478" s="1" t="s">
        <v>6429</v>
      </c>
      <c r="C1478" s="1">
        <v>2021.0</v>
      </c>
      <c r="D1478" s="2">
        <v>44470.0</v>
      </c>
      <c r="F1478" s="1" t="s">
        <v>1386</v>
      </c>
      <c r="H1478" s="3">
        <v>3.0</v>
      </c>
      <c r="I1478" s="4" t="s">
        <v>6430</v>
      </c>
      <c r="J1478" s="1" t="s">
        <v>6431</v>
      </c>
      <c r="K1478" s="1" t="s">
        <v>68</v>
      </c>
    </row>
    <row r="1479">
      <c r="A1479" s="1" t="s">
        <v>6432</v>
      </c>
      <c r="B1479" s="1" t="s">
        <v>6433</v>
      </c>
      <c r="C1479" s="1">
        <v>2021.0</v>
      </c>
      <c r="D1479" s="2">
        <v>44470.0</v>
      </c>
      <c r="F1479" s="1" t="s">
        <v>726</v>
      </c>
      <c r="H1479" s="3">
        <v>9.0</v>
      </c>
      <c r="I1479" s="4" t="s">
        <v>6434</v>
      </c>
      <c r="J1479" s="1" t="s">
        <v>6435</v>
      </c>
      <c r="K1479" s="1" t="s">
        <v>413</v>
      </c>
    </row>
    <row r="1480">
      <c r="A1480" s="1" t="s">
        <v>6436</v>
      </c>
      <c r="B1480" s="1" t="s">
        <v>6437</v>
      </c>
      <c r="C1480" s="1">
        <v>2021.0</v>
      </c>
      <c r="D1480" s="2">
        <v>44470.0</v>
      </c>
      <c r="F1480" s="1" t="s">
        <v>410</v>
      </c>
      <c r="H1480" s="3">
        <v>1.0</v>
      </c>
      <c r="I1480" s="4" t="s">
        <v>6438</v>
      </c>
      <c r="J1480" s="1"/>
      <c r="K1480" s="1" t="s">
        <v>16</v>
      </c>
    </row>
    <row r="1481">
      <c r="A1481" s="1" t="s">
        <v>6439</v>
      </c>
      <c r="B1481" s="1" t="s">
        <v>6440</v>
      </c>
      <c r="C1481" s="1">
        <v>2021.0</v>
      </c>
      <c r="D1481" s="2">
        <v>44469.0</v>
      </c>
      <c r="F1481" s="1" t="s">
        <v>1528</v>
      </c>
      <c r="H1481" s="3">
        <v>10.0</v>
      </c>
      <c r="I1481" s="4" t="s">
        <v>6441</v>
      </c>
      <c r="J1481" s="1" t="s">
        <v>6442</v>
      </c>
      <c r="K1481" s="1" t="s">
        <v>462</v>
      </c>
    </row>
    <row r="1482">
      <c r="A1482" s="1" t="s">
        <v>6443</v>
      </c>
      <c r="B1482" s="1" t="s">
        <v>6444</v>
      </c>
      <c r="C1482" s="1">
        <v>2021.0</v>
      </c>
      <c r="D1482" s="2">
        <v>44468.0</v>
      </c>
      <c r="F1482" s="1" t="s">
        <v>2819</v>
      </c>
      <c r="H1482" s="3">
        <v>6.0</v>
      </c>
      <c r="I1482" s="4" t="s">
        <v>6445</v>
      </c>
      <c r="J1482" s="1" t="s">
        <v>6446</v>
      </c>
      <c r="K1482" s="1" t="s">
        <v>16</v>
      </c>
    </row>
    <row r="1483">
      <c r="A1483" s="1" t="s">
        <v>6447</v>
      </c>
      <c r="B1483" s="1" t="s">
        <v>6448</v>
      </c>
      <c r="C1483" s="1">
        <v>2021.0</v>
      </c>
      <c r="D1483" s="2">
        <v>44467.0</v>
      </c>
      <c r="F1483" s="1" t="s">
        <v>396</v>
      </c>
      <c r="H1483" s="3">
        <v>22.0</v>
      </c>
      <c r="I1483" s="4" t="s">
        <v>6449</v>
      </c>
      <c r="J1483" s="1" t="s">
        <v>6450</v>
      </c>
      <c r="K1483" s="1" t="s">
        <v>295</v>
      </c>
    </row>
    <row r="1484">
      <c r="A1484" s="1" t="s">
        <v>6451</v>
      </c>
      <c r="B1484" s="1" t="s">
        <v>6452</v>
      </c>
      <c r="C1484" s="1">
        <v>2021.0</v>
      </c>
      <c r="D1484" s="2">
        <v>44467.0</v>
      </c>
      <c r="F1484" s="1" t="s">
        <v>2321</v>
      </c>
      <c r="H1484" s="3">
        <v>21.0</v>
      </c>
      <c r="I1484" s="4" t="s">
        <v>6453</v>
      </c>
      <c r="J1484" s="1" t="s">
        <v>6454</v>
      </c>
      <c r="K1484" s="1" t="s">
        <v>418</v>
      </c>
    </row>
    <row r="1485">
      <c r="A1485" s="1" t="s">
        <v>6455</v>
      </c>
      <c r="B1485" s="1" t="s">
        <v>6456</v>
      </c>
      <c r="C1485" s="1">
        <v>2021.0</v>
      </c>
      <c r="D1485" s="2">
        <v>44467.0</v>
      </c>
      <c r="F1485" s="1" t="s">
        <v>6457</v>
      </c>
      <c r="H1485" s="3">
        <v>6.0</v>
      </c>
      <c r="I1485" s="4" t="s">
        <v>6458</v>
      </c>
      <c r="J1485" s="1" t="s">
        <v>6459</v>
      </c>
      <c r="K1485" s="1" t="s">
        <v>323</v>
      </c>
    </row>
    <row r="1486">
      <c r="A1486" s="1" t="s">
        <v>6460</v>
      </c>
      <c r="B1486" s="1" t="s">
        <v>6461</v>
      </c>
      <c r="C1486" s="1">
        <v>2021.0</v>
      </c>
      <c r="D1486" s="2">
        <v>44464.0</v>
      </c>
      <c r="F1486" s="1" t="s">
        <v>4848</v>
      </c>
      <c r="H1486" s="3">
        <v>4.0</v>
      </c>
      <c r="I1486" s="4" t="s">
        <v>6462</v>
      </c>
      <c r="J1486" s="1" t="s">
        <v>6463</v>
      </c>
      <c r="K1486" s="1" t="s">
        <v>68</v>
      </c>
    </row>
    <row r="1487">
      <c r="A1487" s="1" t="s">
        <v>6464</v>
      </c>
      <c r="B1487" s="1" t="s">
        <v>6465</v>
      </c>
      <c r="C1487" s="1">
        <v>2021.0</v>
      </c>
      <c r="D1487" s="2">
        <v>44462.0</v>
      </c>
      <c r="F1487" s="1" t="s">
        <v>6152</v>
      </c>
      <c r="H1487" s="3">
        <v>12.0</v>
      </c>
      <c r="I1487" s="4" t="s">
        <v>6466</v>
      </c>
      <c r="J1487" s="1" t="s">
        <v>6467</v>
      </c>
      <c r="K1487" s="1" t="s">
        <v>403</v>
      </c>
    </row>
    <row r="1488">
      <c r="A1488" s="1" t="s">
        <v>6468</v>
      </c>
      <c r="B1488" s="1" t="s">
        <v>6469</v>
      </c>
      <c r="C1488" s="1">
        <v>2021.0</v>
      </c>
      <c r="D1488" s="2">
        <v>44462.0</v>
      </c>
      <c r="F1488" s="1" t="s">
        <v>71</v>
      </c>
      <c r="H1488" s="3">
        <v>6.0</v>
      </c>
      <c r="I1488" s="4" t="s">
        <v>6470</v>
      </c>
      <c r="J1488" s="1" t="s">
        <v>6471</v>
      </c>
      <c r="K1488" s="1" t="s">
        <v>295</v>
      </c>
    </row>
    <row r="1489">
      <c r="A1489" s="1" t="s">
        <v>6472</v>
      </c>
      <c r="B1489" s="1" t="s">
        <v>6473</v>
      </c>
      <c r="C1489" s="1">
        <v>2021.0</v>
      </c>
      <c r="D1489" s="2">
        <v>44461.0</v>
      </c>
      <c r="F1489" s="1" t="s">
        <v>208</v>
      </c>
      <c r="H1489" s="3">
        <v>3.0</v>
      </c>
      <c r="I1489" s="4" t="s">
        <v>6474</v>
      </c>
      <c r="J1489" s="1"/>
      <c r="K1489" s="1" t="s">
        <v>45</v>
      </c>
    </row>
    <row r="1490">
      <c r="A1490" s="1" t="s">
        <v>6475</v>
      </c>
      <c r="B1490" s="1" t="s">
        <v>6476</v>
      </c>
      <c r="C1490" s="1">
        <v>2021.0</v>
      </c>
      <c r="D1490" s="2">
        <v>44460.0</v>
      </c>
      <c r="F1490" s="1" t="s">
        <v>396</v>
      </c>
      <c r="H1490" s="3">
        <v>21.0</v>
      </c>
      <c r="I1490" s="4" t="s">
        <v>6477</v>
      </c>
      <c r="J1490" s="1" t="s">
        <v>6478</v>
      </c>
      <c r="K1490" s="1" t="s">
        <v>68</v>
      </c>
    </row>
    <row r="1491">
      <c r="A1491" s="1" t="s">
        <v>6479</v>
      </c>
      <c r="B1491" s="1" t="s">
        <v>6480</v>
      </c>
      <c r="C1491" s="1">
        <v>2021.0</v>
      </c>
      <c r="D1491" s="2">
        <v>44459.0</v>
      </c>
      <c r="F1491" s="1" t="s">
        <v>2577</v>
      </c>
      <c r="H1491" s="3">
        <v>2.0</v>
      </c>
      <c r="I1491" s="4" t="s">
        <v>6481</v>
      </c>
      <c r="J1491" s="1" t="s">
        <v>6482</v>
      </c>
      <c r="K1491" s="1" t="s">
        <v>413</v>
      </c>
    </row>
    <row r="1492">
      <c r="A1492" s="1" t="s">
        <v>6483</v>
      </c>
      <c r="B1492" s="1" t="s">
        <v>6484</v>
      </c>
      <c r="C1492" s="1">
        <v>2021.0</v>
      </c>
      <c r="D1492" s="2">
        <v>44456.0</v>
      </c>
      <c r="F1492" s="1" t="s">
        <v>6485</v>
      </c>
      <c r="H1492" s="3">
        <v>37.0</v>
      </c>
      <c r="I1492" s="4" t="s">
        <v>6486</v>
      </c>
      <c r="J1492" s="1" t="s">
        <v>6487</v>
      </c>
      <c r="K1492" s="1" t="s">
        <v>295</v>
      </c>
    </row>
    <row r="1493">
      <c r="A1493" s="1" t="s">
        <v>6488</v>
      </c>
      <c r="B1493" s="1" t="s">
        <v>6489</v>
      </c>
      <c r="C1493" s="1">
        <v>2021.0</v>
      </c>
      <c r="D1493" s="2">
        <v>44456.0</v>
      </c>
      <c r="F1493" s="1" t="s">
        <v>6490</v>
      </c>
      <c r="H1493" s="3">
        <v>15.0</v>
      </c>
      <c r="I1493" s="4" t="s">
        <v>6491</v>
      </c>
      <c r="J1493" s="1" t="s">
        <v>6492</v>
      </c>
      <c r="K1493" s="1" t="s">
        <v>462</v>
      </c>
    </row>
    <row r="1494">
      <c r="A1494" s="1" t="s">
        <v>6493</v>
      </c>
      <c r="B1494" s="1" t="s">
        <v>6494</v>
      </c>
      <c r="C1494" s="1">
        <v>2021.0</v>
      </c>
      <c r="D1494" s="2">
        <v>44455.0</v>
      </c>
      <c r="F1494" s="1" t="s">
        <v>1050</v>
      </c>
      <c r="H1494" s="3">
        <v>0.0</v>
      </c>
      <c r="I1494" s="4" t="s">
        <v>6495</v>
      </c>
      <c r="J1494" s="1" t="s">
        <v>6496</v>
      </c>
      <c r="K1494" s="1" t="s">
        <v>68</v>
      </c>
    </row>
    <row r="1495">
      <c r="A1495" s="1" t="s">
        <v>6497</v>
      </c>
      <c r="B1495" s="1" t="s">
        <v>6498</v>
      </c>
      <c r="C1495" s="1">
        <v>2021.0</v>
      </c>
      <c r="D1495" s="2">
        <v>44455.0</v>
      </c>
      <c r="F1495" s="1" t="s">
        <v>271</v>
      </c>
      <c r="H1495" s="3">
        <v>5.0</v>
      </c>
      <c r="I1495" s="4" t="s">
        <v>6499</v>
      </c>
      <c r="J1495" s="1" t="s">
        <v>6500</v>
      </c>
      <c r="K1495" s="1" t="s">
        <v>16</v>
      </c>
    </row>
    <row r="1496">
      <c r="A1496" s="1" t="s">
        <v>6501</v>
      </c>
      <c r="B1496" s="1" t="s">
        <v>6502</v>
      </c>
      <c r="C1496" s="1">
        <v>2021.0</v>
      </c>
      <c r="D1496" s="2">
        <v>44454.0</v>
      </c>
      <c r="F1496" s="1" t="s">
        <v>6503</v>
      </c>
      <c r="H1496" s="3">
        <v>4.0</v>
      </c>
      <c r="I1496" s="4" t="s">
        <v>6504</v>
      </c>
      <c r="J1496" s="1" t="s">
        <v>6505</v>
      </c>
      <c r="K1496" s="1" t="s">
        <v>462</v>
      </c>
    </row>
    <row r="1497">
      <c r="A1497" s="1" t="s">
        <v>6506</v>
      </c>
      <c r="B1497" s="1" t="s">
        <v>6507</v>
      </c>
      <c r="C1497" s="1">
        <v>2021.0</v>
      </c>
      <c r="D1497" s="2">
        <v>44453.0</v>
      </c>
      <c r="F1497" s="1" t="s">
        <v>835</v>
      </c>
      <c r="H1497" s="3">
        <v>7.0</v>
      </c>
      <c r="I1497" s="4" t="s">
        <v>6508</v>
      </c>
      <c r="J1497" s="1" t="s">
        <v>6509</v>
      </c>
      <c r="K1497" s="1" t="s">
        <v>28</v>
      </c>
    </row>
    <row r="1498">
      <c r="A1498" s="1" t="s">
        <v>6510</v>
      </c>
      <c r="B1498" s="1" t="s">
        <v>6511</v>
      </c>
      <c r="C1498" s="1">
        <v>2021.0</v>
      </c>
      <c r="D1498" s="2">
        <v>44453.0</v>
      </c>
      <c r="F1498" s="1" t="s">
        <v>6512</v>
      </c>
      <c r="H1498" s="3">
        <v>3.0</v>
      </c>
      <c r="I1498" s="4" t="s">
        <v>6513</v>
      </c>
      <c r="J1498" s="1" t="s">
        <v>6514</v>
      </c>
      <c r="K1498" s="1" t="s">
        <v>323</v>
      </c>
    </row>
    <row r="1499">
      <c r="A1499" s="1" t="s">
        <v>6515</v>
      </c>
      <c r="B1499" s="1" t="s">
        <v>6516</v>
      </c>
      <c r="C1499" s="1">
        <v>2021.0</v>
      </c>
      <c r="D1499" s="2">
        <v>44453.0</v>
      </c>
      <c r="F1499" s="1" t="s">
        <v>3569</v>
      </c>
      <c r="H1499" s="3">
        <v>65.0</v>
      </c>
      <c r="I1499" s="4" t="s">
        <v>6517</v>
      </c>
      <c r="J1499" s="1" t="s">
        <v>6518</v>
      </c>
      <c r="K1499" s="1" t="s">
        <v>403</v>
      </c>
    </row>
    <row r="1500">
      <c r="A1500" s="1" t="s">
        <v>6519</v>
      </c>
      <c r="B1500" s="1" t="s">
        <v>6520</v>
      </c>
      <c r="C1500" s="1">
        <v>2021.0</v>
      </c>
      <c r="D1500" s="2">
        <v>44453.0</v>
      </c>
      <c r="F1500" s="1" t="s">
        <v>2666</v>
      </c>
      <c r="H1500" s="3">
        <v>5.0</v>
      </c>
      <c r="I1500" s="4" t="s">
        <v>6521</v>
      </c>
      <c r="J1500" s="1" t="s">
        <v>6522</v>
      </c>
      <c r="K1500" s="1" t="s">
        <v>413</v>
      </c>
    </row>
    <row r="1501">
      <c r="A1501" s="1" t="s">
        <v>6523</v>
      </c>
      <c r="B1501" s="1" t="s">
        <v>6524</v>
      </c>
      <c r="C1501" s="1">
        <v>2021.0</v>
      </c>
      <c r="D1501" s="2">
        <v>44452.0</v>
      </c>
      <c r="F1501" s="1" t="s">
        <v>86</v>
      </c>
      <c r="H1501" s="3">
        <v>6.0</v>
      </c>
      <c r="I1501" s="4" t="s">
        <v>6525</v>
      </c>
      <c r="J1501" s="1" t="s">
        <v>6526</v>
      </c>
      <c r="K1501" s="1" t="s">
        <v>418</v>
      </c>
    </row>
    <row r="1502">
      <c r="A1502" s="1" t="s">
        <v>6527</v>
      </c>
      <c r="B1502" s="1" t="s">
        <v>6528</v>
      </c>
      <c r="C1502" s="1">
        <v>2021.0</v>
      </c>
      <c r="D1502" s="2">
        <v>44452.0</v>
      </c>
      <c r="F1502" s="1" t="s">
        <v>3151</v>
      </c>
      <c r="H1502" s="3">
        <v>1.0</v>
      </c>
      <c r="I1502" s="4" t="s">
        <v>6529</v>
      </c>
      <c r="J1502" s="1" t="s">
        <v>6530</v>
      </c>
      <c r="K1502" s="1" t="s">
        <v>413</v>
      </c>
    </row>
    <row r="1503">
      <c r="A1503" s="1" t="s">
        <v>6531</v>
      </c>
      <c r="B1503" s="1" t="s">
        <v>6230</v>
      </c>
      <c r="C1503" s="1">
        <v>2021.0</v>
      </c>
      <c r="D1503" s="2">
        <v>44450.0</v>
      </c>
      <c r="F1503" s="1" t="s">
        <v>208</v>
      </c>
      <c r="H1503" s="3">
        <v>23.0</v>
      </c>
      <c r="I1503" s="4" t="s">
        <v>6532</v>
      </c>
      <c r="J1503" s="1" t="s">
        <v>6533</v>
      </c>
      <c r="K1503" s="1" t="s">
        <v>45</v>
      </c>
    </row>
    <row r="1504">
      <c r="A1504" s="1" t="s">
        <v>6534</v>
      </c>
      <c r="B1504" s="1" t="s">
        <v>6535</v>
      </c>
      <c r="C1504" s="1">
        <v>2021.0</v>
      </c>
      <c r="D1504" s="2">
        <v>44448.0</v>
      </c>
      <c r="F1504" s="1" t="s">
        <v>5758</v>
      </c>
      <c r="H1504" s="3">
        <v>2.0</v>
      </c>
      <c r="I1504" s="4" t="s">
        <v>6536</v>
      </c>
      <c r="J1504" s="1" t="s">
        <v>6537</v>
      </c>
      <c r="K1504" s="1" t="s">
        <v>28</v>
      </c>
    </row>
    <row r="1505">
      <c r="A1505" s="1" t="s">
        <v>6538</v>
      </c>
      <c r="B1505" s="1" t="s">
        <v>6539</v>
      </c>
      <c r="C1505" s="1">
        <v>2021.0</v>
      </c>
      <c r="D1505" s="2">
        <v>44448.0</v>
      </c>
      <c r="F1505" s="1" t="s">
        <v>6540</v>
      </c>
      <c r="H1505" s="3">
        <v>8.0</v>
      </c>
      <c r="I1505" s="4" t="s">
        <v>6541</v>
      </c>
      <c r="J1505" s="1"/>
      <c r="K1505" s="1" t="s">
        <v>413</v>
      </c>
    </row>
    <row r="1506">
      <c r="A1506" s="1" t="s">
        <v>6542</v>
      </c>
      <c r="B1506" s="1" t="s">
        <v>6543</v>
      </c>
      <c r="C1506" s="1">
        <v>2021.0</v>
      </c>
      <c r="D1506" s="2">
        <v>44448.0</v>
      </c>
      <c r="F1506" s="1" t="s">
        <v>1095</v>
      </c>
      <c r="H1506" s="3">
        <v>13.0</v>
      </c>
      <c r="I1506" s="4" t="s">
        <v>6544</v>
      </c>
      <c r="J1506" s="1" t="s">
        <v>6545</v>
      </c>
      <c r="K1506" s="1" t="s">
        <v>16</v>
      </c>
    </row>
    <row r="1507">
      <c r="A1507" s="1" t="s">
        <v>6546</v>
      </c>
      <c r="B1507" s="1" t="s">
        <v>6547</v>
      </c>
      <c r="C1507" s="1">
        <v>2021.0</v>
      </c>
      <c r="D1507" s="2">
        <v>44446.0</v>
      </c>
      <c r="F1507" s="1" t="s">
        <v>308</v>
      </c>
      <c r="H1507" s="3">
        <v>0.0</v>
      </c>
      <c r="I1507" s="4" t="s">
        <v>6548</v>
      </c>
      <c r="J1507" s="1" t="s">
        <v>6549</v>
      </c>
      <c r="K1507" s="1" t="s">
        <v>323</v>
      </c>
    </row>
    <row r="1508">
      <c r="A1508" s="1" t="s">
        <v>6550</v>
      </c>
      <c r="B1508" s="1" t="s">
        <v>6551</v>
      </c>
      <c r="C1508" s="1">
        <v>2021.0</v>
      </c>
      <c r="D1508" s="2">
        <v>44446.0</v>
      </c>
      <c r="F1508" s="1" t="s">
        <v>276</v>
      </c>
      <c r="H1508" s="3">
        <v>10.0</v>
      </c>
      <c r="I1508" s="4" t="s">
        <v>6552</v>
      </c>
      <c r="J1508" s="1" t="s">
        <v>6553</v>
      </c>
      <c r="K1508" s="1" t="s">
        <v>443</v>
      </c>
    </row>
    <row r="1509">
      <c r="A1509" s="1" t="s">
        <v>6554</v>
      </c>
      <c r="B1509" s="1" t="s">
        <v>6555</v>
      </c>
      <c r="C1509" s="1">
        <v>2021.0</v>
      </c>
      <c r="D1509" s="2">
        <v>44446.0</v>
      </c>
      <c r="F1509" s="1" t="s">
        <v>4634</v>
      </c>
      <c r="H1509" s="3">
        <v>4.0</v>
      </c>
      <c r="I1509" s="4" t="s">
        <v>6556</v>
      </c>
      <c r="J1509" s="1" t="s">
        <v>6557</v>
      </c>
      <c r="K1509" s="1" t="s">
        <v>16</v>
      </c>
    </row>
    <row r="1510">
      <c r="A1510" s="1" t="s">
        <v>6558</v>
      </c>
      <c r="B1510" s="1" t="s">
        <v>6559</v>
      </c>
      <c r="C1510" s="1">
        <v>2021.0</v>
      </c>
      <c r="D1510" s="2">
        <v>44445.0</v>
      </c>
      <c r="F1510" s="1" t="s">
        <v>271</v>
      </c>
      <c r="H1510" s="3">
        <v>1.0</v>
      </c>
      <c r="I1510" s="4" t="s">
        <v>6560</v>
      </c>
      <c r="J1510" s="1" t="s">
        <v>6561</v>
      </c>
      <c r="K1510" s="1" t="s">
        <v>68</v>
      </c>
    </row>
    <row r="1511">
      <c r="A1511" s="1" t="s">
        <v>6562</v>
      </c>
      <c r="B1511" s="1" t="s">
        <v>6563</v>
      </c>
      <c r="C1511" s="1">
        <v>2021.0</v>
      </c>
      <c r="D1511" s="2">
        <v>44441.0</v>
      </c>
      <c r="F1511" s="1" t="s">
        <v>877</v>
      </c>
      <c r="H1511" s="3">
        <v>17.0</v>
      </c>
      <c r="I1511" s="4" t="s">
        <v>6564</v>
      </c>
      <c r="J1511" s="1" t="s">
        <v>6565</v>
      </c>
      <c r="K1511" s="1" t="s">
        <v>28</v>
      </c>
    </row>
    <row r="1512">
      <c r="A1512" s="1" t="s">
        <v>6566</v>
      </c>
      <c r="B1512" s="1" t="s">
        <v>6567</v>
      </c>
      <c r="C1512" s="1">
        <v>2021.0</v>
      </c>
      <c r="D1512" s="2">
        <v>44441.0</v>
      </c>
      <c r="F1512" s="1" t="s">
        <v>6568</v>
      </c>
      <c r="H1512" s="3">
        <v>7.0</v>
      </c>
      <c r="I1512" s="4" t="s">
        <v>6569</v>
      </c>
      <c r="J1512" s="1" t="s">
        <v>6570</v>
      </c>
      <c r="K1512" s="1" t="s">
        <v>329</v>
      </c>
    </row>
    <row r="1513">
      <c r="A1513" s="1" t="s">
        <v>6571</v>
      </c>
      <c r="B1513" s="1" t="s">
        <v>6572</v>
      </c>
      <c r="C1513" s="1">
        <v>2021.0</v>
      </c>
      <c r="D1513" s="2">
        <v>44440.0</v>
      </c>
      <c r="F1513" s="1" t="s">
        <v>726</v>
      </c>
      <c r="H1513" s="3">
        <v>4.0</v>
      </c>
      <c r="I1513" s="4" t="s">
        <v>6573</v>
      </c>
      <c r="J1513" s="1" t="s">
        <v>6574</v>
      </c>
      <c r="K1513" s="1" t="s">
        <v>418</v>
      </c>
    </row>
    <row r="1514">
      <c r="A1514" s="1" t="s">
        <v>6575</v>
      </c>
      <c r="B1514" s="1" t="s">
        <v>6576</v>
      </c>
      <c r="C1514" s="1">
        <v>2021.0</v>
      </c>
      <c r="D1514" s="2">
        <v>44440.0</v>
      </c>
      <c r="F1514" s="1" t="s">
        <v>6577</v>
      </c>
      <c r="H1514" s="3">
        <v>2.0</v>
      </c>
      <c r="I1514" s="4" t="s">
        <v>6578</v>
      </c>
      <c r="J1514" s="1" t="s">
        <v>6579</v>
      </c>
      <c r="K1514" s="1" t="s">
        <v>323</v>
      </c>
    </row>
    <row r="1515">
      <c r="A1515" s="1" t="s">
        <v>6580</v>
      </c>
      <c r="B1515" s="1" t="s">
        <v>6581</v>
      </c>
      <c r="C1515" s="1">
        <v>2021.0</v>
      </c>
      <c r="D1515" s="2">
        <v>44440.0</v>
      </c>
      <c r="F1515" s="1" t="s">
        <v>1295</v>
      </c>
      <c r="H1515" s="3">
        <v>0.0</v>
      </c>
      <c r="I1515" s="4" t="s">
        <v>6582</v>
      </c>
      <c r="J1515" s="1"/>
      <c r="K1515" s="1" t="s">
        <v>323</v>
      </c>
    </row>
    <row r="1516">
      <c r="A1516" s="1" t="s">
        <v>6583</v>
      </c>
      <c r="B1516" s="1" t="s">
        <v>6584</v>
      </c>
      <c r="C1516" s="1">
        <v>2021.0</v>
      </c>
      <c r="D1516" s="2">
        <v>44440.0</v>
      </c>
      <c r="F1516" s="1" t="s">
        <v>6585</v>
      </c>
      <c r="H1516" s="3">
        <v>7.0</v>
      </c>
      <c r="I1516" s="4" t="s">
        <v>6586</v>
      </c>
      <c r="J1516" s="1" t="s">
        <v>6587</v>
      </c>
      <c r="K1516" s="1" t="s">
        <v>323</v>
      </c>
    </row>
    <row r="1517">
      <c r="A1517" s="1" t="s">
        <v>6588</v>
      </c>
      <c r="B1517" s="1" t="s">
        <v>6589</v>
      </c>
      <c r="C1517" s="1">
        <v>2021.0</v>
      </c>
      <c r="D1517" s="2">
        <v>44440.0</v>
      </c>
      <c r="F1517" s="1" t="s">
        <v>5260</v>
      </c>
      <c r="H1517" s="3">
        <v>9.0</v>
      </c>
      <c r="I1517" s="4" t="s">
        <v>6590</v>
      </c>
      <c r="J1517" s="1" t="s">
        <v>6591</v>
      </c>
      <c r="K1517" s="1" t="s">
        <v>68</v>
      </c>
    </row>
    <row r="1518">
      <c r="A1518" s="1" t="s">
        <v>6592</v>
      </c>
      <c r="B1518" s="1" t="s">
        <v>6593</v>
      </c>
      <c r="C1518" s="1">
        <v>2021.0</v>
      </c>
      <c r="D1518" s="2">
        <v>44440.0</v>
      </c>
      <c r="F1518" s="1" t="s">
        <v>676</v>
      </c>
      <c r="H1518" s="3">
        <v>8.0</v>
      </c>
      <c r="I1518" s="4" t="s">
        <v>6594</v>
      </c>
      <c r="J1518" s="1" t="s">
        <v>6595</v>
      </c>
      <c r="K1518" s="1" t="s">
        <v>317</v>
      </c>
    </row>
    <row r="1519">
      <c r="A1519" s="1" t="s">
        <v>6596</v>
      </c>
      <c r="B1519" s="1" t="s">
        <v>6597</v>
      </c>
      <c r="C1519" s="1">
        <v>2021.0</v>
      </c>
      <c r="D1519" s="2">
        <v>44440.0</v>
      </c>
      <c r="F1519" s="1" t="s">
        <v>396</v>
      </c>
      <c r="H1519" s="3">
        <v>95.0</v>
      </c>
      <c r="I1519" s="4" t="s">
        <v>6598</v>
      </c>
      <c r="J1519" s="1" t="s">
        <v>6599</v>
      </c>
      <c r="K1519" s="1" t="s">
        <v>443</v>
      </c>
    </row>
    <row r="1520">
      <c r="A1520" s="1" t="s">
        <v>6600</v>
      </c>
      <c r="B1520" s="1" t="s">
        <v>6601</v>
      </c>
      <c r="C1520" s="1">
        <v>2021.0</v>
      </c>
      <c r="D1520" s="2">
        <v>44440.0</v>
      </c>
      <c r="F1520" s="1" t="s">
        <v>1228</v>
      </c>
      <c r="H1520" s="3">
        <v>124.0</v>
      </c>
      <c r="I1520" s="4" t="s">
        <v>6602</v>
      </c>
      <c r="J1520" s="1" t="s">
        <v>6603</v>
      </c>
      <c r="K1520" s="1" t="s">
        <v>443</v>
      </c>
    </row>
    <row r="1521">
      <c r="A1521" s="1" t="s">
        <v>6604</v>
      </c>
      <c r="B1521" s="1" t="s">
        <v>1926</v>
      </c>
      <c r="C1521" s="1">
        <v>2021.0</v>
      </c>
      <c r="D1521" s="2">
        <v>44438.0</v>
      </c>
      <c r="F1521" s="1" t="s">
        <v>3340</v>
      </c>
      <c r="H1521" s="3">
        <v>9.0</v>
      </c>
      <c r="I1521" s="4" t="s">
        <v>6605</v>
      </c>
      <c r="J1521" s="1" t="s">
        <v>6606</v>
      </c>
      <c r="K1521" s="1" t="s">
        <v>16</v>
      </c>
    </row>
    <row r="1522">
      <c r="A1522" s="1" t="s">
        <v>6607</v>
      </c>
      <c r="B1522" s="1" t="s">
        <v>6608</v>
      </c>
      <c r="C1522" s="1">
        <v>2021.0</v>
      </c>
      <c r="D1522" s="2">
        <v>44435.0</v>
      </c>
      <c r="F1522" s="1" t="s">
        <v>13</v>
      </c>
      <c r="H1522" s="3">
        <v>20.0</v>
      </c>
      <c r="I1522" s="4" t="s">
        <v>6609</v>
      </c>
      <c r="J1522" s="1" t="s">
        <v>6610</v>
      </c>
      <c r="K1522" s="1" t="s">
        <v>418</v>
      </c>
    </row>
    <row r="1523">
      <c r="A1523" s="1" t="s">
        <v>6611</v>
      </c>
      <c r="B1523" s="1" t="s">
        <v>6612</v>
      </c>
      <c r="C1523" s="1">
        <v>2021.0</v>
      </c>
      <c r="D1523" s="2">
        <v>44435.0</v>
      </c>
      <c r="F1523" s="1" t="s">
        <v>6613</v>
      </c>
      <c r="H1523" s="3">
        <v>3.0</v>
      </c>
      <c r="I1523" s="4" t="s">
        <v>6614</v>
      </c>
      <c r="J1523" s="1" t="s">
        <v>6615</v>
      </c>
      <c r="K1523" s="1" t="s">
        <v>68</v>
      </c>
    </row>
    <row r="1524">
      <c r="A1524" s="1" t="s">
        <v>6616</v>
      </c>
      <c r="B1524" s="1" t="s">
        <v>6617</v>
      </c>
      <c r="C1524" s="1">
        <v>2021.0</v>
      </c>
      <c r="D1524" s="2">
        <v>44434.0</v>
      </c>
      <c r="F1524" s="1" t="s">
        <v>2586</v>
      </c>
      <c r="H1524" s="3">
        <v>7.0</v>
      </c>
      <c r="I1524" s="4" t="s">
        <v>6618</v>
      </c>
      <c r="J1524" s="1" t="s">
        <v>6619</v>
      </c>
      <c r="K1524" s="1" t="s">
        <v>5534</v>
      </c>
    </row>
    <row r="1525">
      <c r="A1525" s="1" t="s">
        <v>6620</v>
      </c>
      <c r="B1525" s="1" t="s">
        <v>6621</v>
      </c>
      <c r="C1525" s="1">
        <v>2021.0</v>
      </c>
      <c r="D1525" s="2">
        <v>44434.0</v>
      </c>
      <c r="F1525" s="1" t="s">
        <v>6622</v>
      </c>
      <c r="H1525" s="3">
        <v>1.0</v>
      </c>
      <c r="I1525" s="4" t="s">
        <v>6623</v>
      </c>
      <c r="J1525" s="1" t="s">
        <v>6624</v>
      </c>
      <c r="K1525" s="1" t="s">
        <v>403</v>
      </c>
    </row>
    <row r="1526">
      <c r="A1526" s="1" t="s">
        <v>6625</v>
      </c>
      <c r="B1526" s="1" t="s">
        <v>6626</v>
      </c>
      <c r="C1526" s="1">
        <v>2021.0</v>
      </c>
      <c r="D1526" s="2">
        <v>44432.0</v>
      </c>
      <c r="F1526" s="1" t="s">
        <v>1040</v>
      </c>
      <c r="H1526" s="3">
        <v>14.0</v>
      </c>
      <c r="I1526" s="4" t="s">
        <v>6627</v>
      </c>
      <c r="J1526" s="1" t="s">
        <v>6628</v>
      </c>
      <c r="K1526" s="1" t="s">
        <v>28</v>
      </c>
    </row>
    <row r="1527">
      <c r="A1527" s="1" t="s">
        <v>6629</v>
      </c>
      <c r="B1527" s="1" t="s">
        <v>6630</v>
      </c>
      <c r="C1527" s="1">
        <v>2021.0</v>
      </c>
      <c r="D1527" s="2">
        <v>44432.0</v>
      </c>
      <c r="F1527" s="1" t="s">
        <v>4698</v>
      </c>
      <c r="H1527" s="3">
        <v>27.0</v>
      </c>
      <c r="I1527" s="4" t="s">
        <v>6631</v>
      </c>
      <c r="J1527" s="1" t="s">
        <v>6632</v>
      </c>
      <c r="K1527" s="1" t="s">
        <v>16</v>
      </c>
    </row>
    <row r="1528">
      <c r="A1528" s="1" t="s">
        <v>6633</v>
      </c>
      <c r="B1528" s="1" t="s">
        <v>6634</v>
      </c>
      <c r="C1528" s="1">
        <v>2021.0</v>
      </c>
      <c r="D1528" s="2">
        <v>44432.0</v>
      </c>
      <c r="F1528" s="1" t="s">
        <v>5260</v>
      </c>
      <c r="H1528" s="3">
        <v>2.0</v>
      </c>
      <c r="I1528" s="4" t="s">
        <v>6635</v>
      </c>
      <c r="J1528" s="1" t="s">
        <v>6636</v>
      </c>
      <c r="K1528" s="1" t="s">
        <v>16</v>
      </c>
    </row>
    <row r="1529">
      <c r="A1529" s="1" t="s">
        <v>6637</v>
      </c>
      <c r="B1529" s="1" t="s">
        <v>6638</v>
      </c>
      <c r="C1529" s="1">
        <v>2021.0</v>
      </c>
      <c r="D1529" s="2">
        <v>44430.0</v>
      </c>
      <c r="F1529" s="1" t="s">
        <v>2560</v>
      </c>
      <c r="H1529" s="3">
        <v>20.0</v>
      </c>
      <c r="I1529" s="4" t="s">
        <v>6639</v>
      </c>
      <c r="J1529" s="1" t="s">
        <v>6640</v>
      </c>
      <c r="K1529" s="1" t="s">
        <v>403</v>
      </c>
    </row>
    <row r="1530">
      <c r="A1530" s="1" t="s">
        <v>6641</v>
      </c>
      <c r="B1530" s="1" t="s">
        <v>6642</v>
      </c>
      <c r="C1530" s="1">
        <v>2021.0</v>
      </c>
      <c r="D1530" s="2">
        <v>44430.0</v>
      </c>
      <c r="F1530" s="1" t="s">
        <v>2955</v>
      </c>
      <c r="H1530" s="3">
        <v>28.0</v>
      </c>
      <c r="I1530" s="4" t="s">
        <v>6643</v>
      </c>
      <c r="J1530" s="1" t="s">
        <v>6644</v>
      </c>
      <c r="K1530" s="1" t="s">
        <v>462</v>
      </c>
    </row>
    <row r="1531">
      <c r="A1531" s="1" t="s">
        <v>6645</v>
      </c>
      <c r="B1531" s="1" t="s">
        <v>6646</v>
      </c>
      <c r="C1531" s="1">
        <v>2021.0</v>
      </c>
      <c r="D1531" s="2">
        <v>44429.0</v>
      </c>
      <c r="F1531" s="1" t="s">
        <v>2365</v>
      </c>
      <c r="H1531" s="3">
        <v>52.0</v>
      </c>
      <c r="I1531" s="4" t="s">
        <v>6647</v>
      </c>
      <c r="J1531" s="1" t="s">
        <v>6648</v>
      </c>
      <c r="K1531" s="1" t="s">
        <v>443</v>
      </c>
    </row>
    <row r="1532">
      <c r="A1532" s="1" t="s">
        <v>6649</v>
      </c>
      <c r="B1532" s="1" t="s">
        <v>6650</v>
      </c>
      <c r="C1532" s="1">
        <v>2021.0</v>
      </c>
      <c r="D1532" s="2">
        <v>44427.0</v>
      </c>
      <c r="F1532" s="1" t="s">
        <v>1199</v>
      </c>
      <c r="H1532" s="3">
        <v>5.0</v>
      </c>
      <c r="I1532" s="4" t="s">
        <v>6651</v>
      </c>
      <c r="J1532" s="1" t="s">
        <v>6652</v>
      </c>
      <c r="K1532" s="1" t="s">
        <v>28</v>
      </c>
    </row>
    <row r="1533">
      <c r="A1533" s="1" t="s">
        <v>6653</v>
      </c>
      <c r="B1533" s="1" t="s">
        <v>6654</v>
      </c>
      <c r="C1533" s="1">
        <v>2021.0</v>
      </c>
      <c r="D1533" s="2">
        <v>44426.0</v>
      </c>
      <c r="F1533" s="1" t="s">
        <v>1371</v>
      </c>
      <c r="H1533" s="3">
        <v>4.0</v>
      </c>
      <c r="I1533" s="4" t="s">
        <v>6655</v>
      </c>
      <c r="J1533" s="1" t="s">
        <v>6656</v>
      </c>
      <c r="K1533" s="1" t="s">
        <v>1423</v>
      </c>
    </row>
    <row r="1534">
      <c r="A1534" s="1" t="s">
        <v>6657</v>
      </c>
      <c r="B1534" s="1" t="s">
        <v>6658</v>
      </c>
      <c r="C1534" s="1">
        <v>2021.0</v>
      </c>
      <c r="D1534" s="2">
        <v>44426.0</v>
      </c>
      <c r="F1534" s="1" t="s">
        <v>2987</v>
      </c>
      <c r="H1534" s="3">
        <v>18.0</v>
      </c>
      <c r="I1534" s="4" t="s">
        <v>6659</v>
      </c>
      <c r="J1534" s="1" t="s">
        <v>6660</v>
      </c>
      <c r="K1534" s="1" t="s">
        <v>527</v>
      </c>
    </row>
    <row r="1535">
      <c r="A1535" s="1" t="s">
        <v>6661</v>
      </c>
      <c r="B1535" s="1" t="s">
        <v>6662</v>
      </c>
      <c r="C1535" s="1">
        <v>2021.0</v>
      </c>
      <c r="D1535" s="2">
        <v>44425.0</v>
      </c>
      <c r="F1535" s="1" t="s">
        <v>2191</v>
      </c>
      <c r="H1535" s="3">
        <v>10.0</v>
      </c>
      <c r="I1535" s="4" t="s">
        <v>6663</v>
      </c>
      <c r="J1535" s="1" t="s">
        <v>6664</v>
      </c>
      <c r="K1535" s="1" t="s">
        <v>323</v>
      </c>
    </row>
    <row r="1536">
      <c r="A1536" s="1" t="s">
        <v>6665</v>
      </c>
      <c r="B1536" s="1" t="s">
        <v>6666</v>
      </c>
      <c r="C1536" s="1">
        <v>2021.0</v>
      </c>
      <c r="D1536" s="2">
        <v>44425.0</v>
      </c>
      <c r="F1536" s="1" t="s">
        <v>6667</v>
      </c>
      <c r="H1536" s="3">
        <v>9.0</v>
      </c>
      <c r="I1536" s="4" t="s">
        <v>6668</v>
      </c>
      <c r="J1536" s="1" t="s">
        <v>6669</v>
      </c>
      <c r="K1536" s="1" t="s">
        <v>16</v>
      </c>
    </row>
    <row r="1537">
      <c r="A1537" s="1" t="s">
        <v>6670</v>
      </c>
      <c r="B1537" s="1" t="s">
        <v>6671</v>
      </c>
      <c r="C1537" s="1">
        <v>2021.0</v>
      </c>
      <c r="D1537" s="2">
        <v>44425.0</v>
      </c>
      <c r="F1537" s="1" t="s">
        <v>355</v>
      </c>
      <c r="H1537" s="3">
        <v>3.0</v>
      </c>
      <c r="I1537" s="4" t="s">
        <v>6672</v>
      </c>
      <c r="J1537" s="1" t="s">
        <v>6673</v>
      </c>
      <c r="K1537" s="1" t="s">
        <v>16</v>
      </c>
    </row>
    <row r="1538">
      <c r="A1538" s="1" t="s">
        <v>6674</v>
      </c>
      <c r="B1538" s="1" t="s">
        <v>6675</v>
      </c>
      <c r="C1538" s="1">
        <v>2021.0</v>
      </c>
      <c r="D1538" s="2">
        <v>44424.0</v>
      </c>
      <c r="F1538" s="1" t="s">
        <v>1170</v>
      </c>
      <c r="H1538" s="3">
        <v>22.0</v>
      </c>
      <c r="I1538" s="4" t="s">
        <v>6676</v>
      </c>
      <c r="J1538" s="1" t="s">
        <v>6677</v>
      </c>
      <c r="K1538" s="1" t="s">
        <v>28</v>
      </c>
    </row>
    <row r="1539">
      <c r="A1539" s="1" t="s">
        <v>6678</v>
      </c>
      <c r="B1539" s="1" t="s">
        <v>6679</v>
      </c>
      <c r="C1539" s="1">
        <v>2021.0</v>
      </c>
      <c r="D1539" s="2">
        <v>44424.0</v>
      </c>
      <c r="F1539" s="1" t="s">
        <v>6680</v>
      </c>
      <c r="H1539" s="3">
        <v>7.0</v>
      </c>
      <c r="I1539" s="4" t="s">
        <v>6681</v>
      </c>
      <c r="J1539" s="1" t="s">
        <v>6682</v>
      </c>
      <c r="K1539" s="1" t="s">
        <v>16</v>
      </c>
    </row>
    <row r="1540">
      <c r="A1540" s="1" t="s">
        <v>6683</v>
      </c>
      <c r="B1540" s="1" t="s">
        <v>6684</v>
      </c>
      <c r="C1540" s="1">
        <v>2021.0</v>
      </c>
      <c r="D1540" s="2">
        <v>44422.0</v>
      </c>
      <c r="F1540" s="1" t="s">
        <v>243</v>
      </c>
      <c r="H1540" s="3">
        <v>36.0</v>
      </c>
      <c r="I1540" s="4" t="s">
        <v>6685</v>
      </c>
      <c r="J1540" s="1" t="s">
        <v>6686</v>
      </c>
      <c r="K1540" s="1" t="s">
        <v>383</v>
      </c>
    </row>
    <row r="1541">
      <c r="A1541" s="1" t="s">
        <v>6687</v>
      </c>
      <c r="B1541" s="1" t="s">
        <v>6688</v>
      </c>
      <c r="C1541" s="1">
        <v>2021.0</v>
      </c>
      <c r="D1541" s="2">
        <v>44421.0</v>
      </c>
      <c r="F1541" s="1" t="s">
        <v>2671</v>
      </c>
      <c r="H1541" s="3">
        <v>6.0</v>
      </c>
      <c r="I1541" s="4" t="s">
        <v>6689</v>
      </c>
      <c r="J1541" s="1" t="s">
        <v>6690</v>
      </c>
      <c r="K1541" s="1" t="s">
        <v>28</v>
      </c>
    </row>
    <row r="1542">
      <c r="A1542" s="1" t="s">
        <v>6691</v>
      </c>
      <c r="B1542" s="1" t="s">
        <v>6692</v>
      </c>
      <c r="C1542" s="1">
        <v>2021.0</v>
      </c>
      <c r="D1542" s="2">
        <v>44420.0</v>
      </c>
      <c r="F1542" s="1" t="s">
        <v>3501</v>
      </c>
      <c r="H1542" s="3">
        <v>2.0</v>
      </c>
      <c r="I1542" s="4" t="s">
        <v>6693</v>
      </c>
      <c r="J1542" s="1" t="s">
        <v>6694</v>
      </c>
      <c r="K1542" s="1" t="s">
        <v>317</v>
      </c>
    </row>
    <row r="1543">
      <c r="A1543" s="1" t="s">
        <v>6695</v>
      </c>
      <c r="B1543" s="1" t="s">
        <v>6696</v>
      </c>
      <c r="C1543" s="1">
        <v>2021.0</v>
      </c>
      <c r="D1543" s="2">
        <v>44420.0</v>
      </c>
      <c r="F1543" s="1" t="s">
        <v>96</v>
      </c>
      <c r="H1543" s="3">
        <v>1.0</v>
      </c>
      <c r="I1543" s="4" t="s">
        <v>6697</v>
      </c>
      <c r="J1543" s="1" t="s">
        <v>6698</v>
      </c>
      <c r="K1543" s="1" t="s">
        <v>443</v>
      </c>
    </row>
    <row r="1544">
      <c r="A1544" s="1" t="s">
        <v>6699</v>
      </c>
      <c r="B1544" s="1" t="s">
        <v>6700</v>
      </c>
      <c r="C1544" s="1">
        <v>2021.0</v>
      </c>
      <c r="D1544" s="2">
        <v>44420.0</v>
      </c>
      <c r="F1544" s="1" t="s">
        <v>1381</v>
      </c>
      <c r="H1544" s="3">
        <v>0.0</v>
      </c>
      <c r="I1544" s="4" t="s">
        <v>6701</v>
      </c>
      <c r="J1544" s="1"/>
      <c r="K1544" s="1" t="s">
        <v>16</v>
      </c>
    </row>
    <row r="1545">
      <c r="A1545" s="1" t="s">
        <v>6702</v>
      </c>
      <c r="B1545" s="1" t="s">
        <v>6703</v>
      </c>
      <c r="C1545" s="1">
        <v>2021.0</v>
      </c>
      <c r="D1545" s="2">
        <v>44420.0</v>
      </c>
      <c r="F1545" s="1" t="s">
        <v>6704</v>
      </c>
      <c r="H1545" s="3">
        <v>7.0</v>
      </c>
      <c r="I1545" s="4" t="s">
        <v>6705</v>
      </c>
      <c r="J1545" s="1" t="s">
        <v>6706</v>
      </c>
      <c r="K1545" s="1" t="s">
        <v>16</v>
      </c>
    </row>
    <row r="1546">
      <c r="A1546" s="1" t="s">
        <v>6707</v>
      </c>
      <c r="B1546" s="1" t="s">
        <v>6708</v>
      </c>
      <c r="C1546" s="1">
        <v>2021.0</v>
      </c>
      <c r="D1546" s="2">
        <v>44419.0</v>
      </c>
      <c r="F1546" s="1" t="s">
        <v>3444</v>
      </c>
      <c r="H1546" s="3">
        <v>11.0</v>
      </c>
      <c r="I1546" s="4" t="s">
        <v>6709</v>
      </c>
      <c r="J1546" s="1" t="s">
        <v>6710</v>
      </c>
      <c r="K1546" s="1" t="s">
        <v>28</v>
      </c>
    </row>
    <row r="1547">
      <c r="A1547" s="1" t="s">
        <v>6711</v>
      </c>
      <c r="B1547" s="1" t="s">
        <v>6712</v>
      </c>
      <c r="C1547" s="1">
        <v>2021.0</v>
      </c>
      <c r="D1547" s="2">
        <v>44418.0</v>
      </c>
      <c r="F1547" s="1" t="s">
        <v>6713</v>
      </c>
      <c r="H1547" s="3">
        <v>29.0</v>
      </c>
      <c r="I1547" s="4" t="s">
        <v>6714</v>
      </c>
      <c r="J1547" s="1" t="s">
        <v>6715</v>
      </c>
      <c r="K1547" s="1" t="s">
        <v>413</v>
      </c>
    </row>
    <row r="1548">
      <c r="A1548" s="1" t="s">
        <v>6716</v>
      </c>
      <c r="B1548" s="1" t="s">
        <v>6717</v>
      </c>
      <c r="C1548" s="1">
        <v>2021.0</v>
      </c>
      <c r="D1548" s="2">
        <v>44418.0</v>
      </c>
      <c r="F1548" s="1" t="s">
        <v>142</v>
      </c>
      <c r="H1548" s="3">
        <v>27.0</v>
      </c>
      <c r="I1548" s="4" t="s">
        <v>6718</v>
      </c>
      <c r="J1548" s="1" t="s">
        <v>6719</v>
      </c>
      <c r="K1548" s="1" t="s">
        <v>16</v>
      </c>
    </row>
    <row r="1549">
      <c r="A1549" s="1" t="s">
        <v>6720</v>
      </c>
      <c r="B1549" s="1" t="s">
        <v>6721</v>
      </c>
      <c r="C1549" s="1">
        <v>2021.0</v>
      </c>
      <c r="D1549" s="2">
        <v>44412.0</v>
      </c>
      <c r="F1549" s="1" t="s">
        <v>2540</v>
      </c>
      <c r="H1549" s="3">
        <v>184.0</v>
      </c>
      <c r="I1549" s="4" t="s">
        <v>6722</v>
      </c>
      <c r="J1549" s="1" t="s">
        <v>6723</v>
      </c>
      <c r="K1549" s="1" t="s">
        <v>1569</v>
      </c>
    </row>
    <row r="1550">
      <c r="A1550" s="1" t="s">
        <v>6724</v>
      </c>
      <c r="B1550" s="1" t="s">
        <v>6725</v>
      </c>
      <c r="C1550" s="1">
        <v>2021.0</v>
      </c>
      <c r="D1550" s="2">
        <v>44410.0</v>
      </c>
      <c r="F1550" s="1" t="s">
        <v>440</v>
      </c>
      <c r="H1550" s="3">
        <v>0.0</v>
      </c>
      <c r="I1550" s="4" t="s">
        <v>6726</v>
      </c>
      <c r="J1550" s="1"/>
      <c r="K1550" s="1" t="s">
        <v>45</v>
      </c>
    </row>
    <row r="1551">
      <c r="A1551" s="1" t="s">
        <v>6727</v>
      </c>
      <c r="B1551" s="1" t="s">
        <v>6728</v>
      </c>
      <c r="C1551" s="1">
        <v>2021.0</v>
      </c>
      <c r="D1551" s="2">
        <v>44410.0</v>
      </c>
      <c r="F1551" s="1" t="s">
        <v>1074</v>
      </c>
      <c r="H1551" s="3">
        <v>6.0</v>
      </c>
      <c r="I1551" s="4" t="s">
        <v>6729</v>
      </c>
      <c r="J1551" s="1" t="s">
        <v>6730</v>
      </c>
      <c r="K1551" s="1" t="s">
        <v>926</v>
      </c>
    </row>
    <row r="1552">
      <c r="A1552" s="1" t="s">
        <v>6731</v>
      </c>
      <c r="B1552" s="1" t="s">
        <v>6732</v>
      </c>
      <c r="C1552" s="1">
        <v>2021.0</v>
      </c>
      <c r="D1552" s="2">
        <v>44410.0</v>
      </c>
      <c r="F1552" s="1" t="s">
        <v>698</v>
      </c>
      <c r="H1552" s="3">
        <v>370.0</v>
      </c>
      <c r="I1552" s="4" t="s">
        <v>6733</v>
      </c>
      <c r="J1552" s="1" t="s">
        <v>6734</v>
      </c>
      <c r="K1552" s="1" t="s">
        <v>413</v>
      </c>
    </row>
    <row r="1553">
      <c r="A1553" s="1" t="s">
        <v>6735</v>
      </c>
      <c r="B1553" s="1" t="s">
        <v>6736</v>
      </c>
      <c r="C1553" s="1">
        <v>2021.0</v>
      </c>
      <c r="D1553" s="2">
        <v>44410.0</v>
      </c>
      <c r="F1553" s="1" t="s">
        <v>698</v>
      </c>
      <c r="H1553" s="3">
        <v>218.0</v>
      </c>
      <c r="I1553" s="4" t="s">
        <v>6737</v>
      </c>
      <c r="J1553" s="1" t="s">
        <v>6734</v>
      </c>
      <c r="K1553" s="1" t="s">
        <v>413</v>
      </c>
    </row>
    <row r="1554">
      <c r="A1554" s="1" t="s">
        <v>6738</v>
      </c>
      <c r="B1554" s="1" t="s">
        <v>6739</v>
      </c>
      <c r="C1554" s="1">
        <v>2021.0</v>
      </c>
      <c r="D1554" s="2">
        <v>44410.0</v>
      </c>
      <c r="F1554" s="1" t="s">
        <v>676</v>
      </c>
      <c r="H1554" s="3">
        <v>13.0</v>
      </c>
      <c r="I1554" s="4" t="s">
        <v>6740</v>
      </c>
      <c r="J1554" s="1" t="s">
        <v>6741</v>
      </c>
      <c r="K1554" s="1" t="s">
        <v>16</v>
      </c>
    </row>
    <row r="1555">
      <c r="A1555" s="1" t="s">
        <v>6742</v>
      </c>
      <c r="B1555" s="1" t="s">
        <v>6743</v>
      </c>
      <c r="C1555" s="1">
        <v>2021.0</v>
      </c>
      <c r="D1555" s="2">
        <v>44409.0</v>
      </c>
      <c r="F1555" s="1" t="s">
        <v>208</v>
      </c>
      <c r="H1555" s="3">
        <v>1.0</v>
      </c>
      <c r="I1555" s="4" t="s">
        <v>6744</v>
      </c>
      <c r="J1555" s="1"/>
      <c r="K1555" s="1" t="s">
        <v>45</v>
      </c>
    </row>
    <row r="1556">
      <c r="A1556" s="1" t="s">
        <v>6745</v>
      </c>
      <c r="B1556" s="1" t="s">
        <v>6746</v>
      </c>
      <c r="C1556" s="1">
        <v>2021.0</v>
      </c>
      <c r="D1556" s="2">
        <v>44409.0</v>
      </c>
      <c r="F1556" s="1" t="s">
        <v>530</v>
      </c>
      <c r="H1556" s="3">
        <v>33.0</v>
      </c>
      <c r="I1556" s="4" t="s">
        <v>6747</v>
      </c>
      <c r="J1556" s="1" t="s">
        <v>6748</v>
      </c>
      <c r="K1556" s="1" t="s">
        <v>295</v>
      </c>
    </row>
    <row r="1557">
      <c r="A1557" s="1" t="s">
        <v>6749</v>
      </c>
      <c r="B1557" s="1" t="s">
        <v>6750</v>
      </c>
      <c r="C1557" s="1">
        <v>2021.0</v>
      </c>
      <c r="D1557" s="2">
        <v>44409.0</v>
      </c>
      <c r="F1557" s="1" t="s">
        <v>6751</v>
      </c>
      <c r="H1557" s="3">
        <v>10.0</v>
      </c>
      <c r="I1557" s="4" t="s">
        <v>6752</v>
      </c>
      <c r="J1557" s="1" t="s">
        <v>6753</v>
      </c>
      <c r="K1557" s="1" t="s">
        <v>68</v>
      </c>
    </row>
    <row r="1558">
      <c r="A1558" s="1" t="s">
        <v>6754</v>
      </c>
      <c r="B1558" s="1" t="s">
        <v>6755</v>
      </c>
      <c r="C1558" s="1">
        <v>2021.0</v>
      </c>
      <c r="D1558" s="2">
        <v>44409.0</v>
      </c>
      <c r="F1558" s="1" t="s">
        <v>380</v>
      </c>
      <c r="H1558" s="3">
        <v>20.0</v>
      </c>
      <c r="I1558" s="4" t="s">
        <v>6756</v>
      </c>
      <c r="J1558" s="1" t="s">
        <v>6757</v>
      </c>
      <c r="K1558" s="1" t="s">
        <v>323</v>
      </c>
    </row>
    <row r="1559">
      <c r="A1559" s="1" t="s">
        <v>6758</v>
      </c>
      <c r="B1559" s="1" t="s">
        <v>6759</v>
      </c>
      <c r="C1559" s="1">
        <v>2021.0</v>
      </c>
      <c r="D1559" s="2">
        <v>44409.0</v>
      </c>
      <c r="F1559" s="1" t="s">
        <v>1800</v>
      </c>
      <c r="H1559" s="3">
        <v>2.0</v>
      </c>
      <c r="I1559" s="4" t="s">
        <v>6760</v>
      </c>
      <c r="J1559" s="1"/>
      <c r="K1559" s="1" t="s">
        <v>16</v>
      </c>
    </row>
    <row r="1560">
      <c r="A1560" s="1" t="s">
        <v>6761</v>
      </c>
      <c r="B1560" s="1" t="s">
        <v>6762</v>
      </c>
      <c r="C1560" s="1">
        <v>2021.0</v>
      </c>
      <c r="D1560" s="2">
        <v>44407.0</v>
      </c>
      <c r="F1560" s="1" t="s">
        <v>4504</v>
      </c>
      <c r="H1560" s="3">
        <v>16.0</v>
      </c>
      <c r="I1560" s="4" t="s">
        <v>6763</v>
      </c>
      <c r="J1560" s="1" t="s">
        <v>6764</v>
      </c>
      <c r="K1560" s="1" t="s">
        <v>323</v>
      </c>
    </row>
    <row r="1561">
      <c r="A1561" s="1" t="s">
        <v>6765</v>
      </c>
      <c r="B1561" s="1" t="s">
        <v>6766</v>
      </c>
      <c r="C1561" s="1">
        <v>2021.0</v>
      </c>
      <c r="D1561" s="2">
        <v>44407.0</v>
      </c>
      <c r="F1561" s="1" t="s">
        <v>157</v>
      </c>
      <c r="H1561" s="3">
        <v>17.0</v>
      </c>
      <c r="I1561" s="4" t="s">
        <v>6767</v>
      </c>
      <c r="J1561" s="1" t="s">
        <v>6768</v>
      </c>
      <c r="K1561" s="1" t="s">
        <v>546</v>
      </c>
    </row>
    <row r="1562">
      <c r="A1562" s="1" t="s">
        <v>6769</v>
      </c>
      <c r="B1562" s="1" t="s">
        <v>6770</v>
      </c>
      <c r="C1562" s="1">
        <v>2021.0</v>
      </c>
      <c r="D1562" s="2">
        <v>44407.0</v>
      </c>
      <c r="F1562" s="1" t="s">
        <v>271</v>
      </c>
      <c r="H1562" s="3">
        <v>12.0</v>
      </c>
      <c r="I1562" s="4" t="s">
        <v>6771</v>
      </c>
      <c r="J1562" s="1" t="s">
        <v>6772</v>
      </c>
      <c r="K1562" s="1" t="s">
        <v>323</v>
      </c>
    </row>
    <row r="1563">
      <c r="A1563" s="1" t="s">
        <v>6773</v>
      </c>
      <c r="B1563" s="1" t="s">
        <v>6774</v>
      </c>
      <c r="C1563" s="1">
        <v>2021.0</v>
      </c>
      <c r="D1563" s="2">
        <v>44406.0</v>
      </c>
      <c r="F1563" s="1" t="s">
        <v>2502</v>
      </c>
      <c r="H1563" s="3">
        <v>6.0</v>
      </c>
      <c r="I1563" s="4" t="s">
        <v>6775</v>
      </c>
      <c r="J1563" s="1" t="s">
        <v>6776</v>
      </c>
      <c r="K1563" s="1" t="s">
        <v>295</v>
      </c>
    </row>
    <row r="1564">
      <c r="A1564" s="1" t="s">
        <v>6777</v>
      </c>
      <c r="B1564" s="1" t="s">
        <v>6778</v>
      </c>
      <c r="C1564" s="1">
        <v>2021.0</v>
      </c>
      <c r="D1564" s="2">
        <v>44406.0</v>
      </c>
      <c r="F1564" s="1" t="s">
        <v>1654</v>
      </c>
      <c r="H1564" s="3">
        <v>17.0</v>
      </c>
      <c r="I1564" s="4" t="s">
        <v>6779</v>
      </c>
      <c r="J1564" s="1" t="s">
        <v>6780</v>
      </c>
      <c r="K1564" s="1" t="s">
        <v>295</v>
      </c>
    </row>
    <row r="1565">
      <c r="A1565" s="1" t="s">
        <v>6781</v>
      </c>
      <c r="B1565" s="1" t="s">
        <v>6782</v>
      </c>
      <c r="C1565" s="1">
        <v>2021.0</v>
      </c>
      <c r="D1565" s="2">
        <v>44406.0</v>
      </c>
      <c r="F1565" s="1" t="s">
        <v>271</v>
      </c>
      <c r="H1565" s="3">
        <v>13.0</v>
      </c>
      <c r="I1565" s="4" t="s">
        <v>6783</v>
      </c>
      <c r="J1565" s="1" t="s">
        <v>6784</v>
      </c>
      <c r="K1565" s="1" t="s">
        <v>323</v>
      </c>
    </row>
    <row r="1566">
      <c r="A1566" s="1" t="s">
        <v>6785</v>
      </c>
      <c r="B1566" s="1" t="s">
        <v>6786</v>
      </c>
      <c r="C1566" s="1">
        <v>2021.0</v>
      </c>
      <c r="D1566" s="2">
        <v>44406.0</v>
      </c>
      <c r="F1566" s="1" t="s">
        <v>6343</v>
      </c>
      <c r="H1566" s="3">
        <v>15.0</v>
      </c>
      <c r="I1566" s="4" t="s">
        <v>6787</v>
      </c>
      <c r="J1566" s="1" t="s">
        <v>6788</v>
      </c>
      <c r="K1566" s="1" t="s">
        <v>16</v>
      </c>
    </row>
    <row r="1567">
      <c r="A1567" s="1" t="s">
        <v>6789</v>
      </c>
      <c r="B1567" s="1" t="s">
        <v>6790</v>
      </c>
      <c r="C1567" s="1">
        <v>2021.0</v>
      </c>
      <c r="D1567" s="2">
        <v>44405.0</v>
      </c>
      <c r="F1567" s="1" t="s">
        <v>6791</v>
      </c>
      <c r="H1567" s="3">
        <v>1.0</v>
      </c>
      <c r="I1567" s="4" t="s">
        <v>6792</v>
      </c>
      <c r="J1567" s="1" t="s">
        <v>6793</v>
      </c>
      <c r="K1567" s="1" t="s">
        <v>477</v>
      </c>
    </row>
    <row r="1568">
      <c r="A1568" s="1" t="s">
        <v>6794</v>
      </c>
      <c r="B1568" s="1" t="s">
        <v>6795</v>
      </c>
      <c r="C1568" s="1">
        <v>2021.0</v>
      </c>
      <c r="D1568" s="2">
        <v>44405.0</v>
      </c>
      <c r="F1568" s="1" t="s">
        <v>1899</v>
      </c>
      <c r="H1568" s="3">
        <v>51.0</v>
      </c>
      <c r="I1568" s="4" t="s">
        <v>6796</v>
      </c>
      <c r="J1568" s="1" t="s">
        <v>6797</v>
      </c>
      <c r="K1568" s="1" t="s">
        <v>443</v>
      </c>
    </row>
    <row r="1569">
      <c r="A1569" s="1" t="s">
        <v>6798</v>
      </c>
      <c r="B1569" s="1" t="s">
        <v>6799</v>
      </c>
      <c r="C1569" s="1">
        <v>2021.0</v>
      </c>
      <c r="D1569" s="2">
        <v>44405.0</v>
      </c>
      <c r="F1569" s="1" t="s">
        <v>6800</v>
      </c>
      <c r="H1569" s="3">
        <v>69.0</v>
      </c>
      <c r="I1569" s="4" t="s">
        <v>6801</v>
      </c>
      <c r="J1569" s="1" t="s">
        <v>6802</v>
      </c>
      <c r="K1569" s="1" t="s">
        <v>28</v>
      </c>
    </row>
    <row r="1570">
      <c r="A1570" s="1" t="s">
        <v>6803</v>
      </c>
      <c r="B1570" s="1" t="s">
        <v>6804</v>
      </c>
      <c r="C1570" s="1">
        <v>2021.0</v>
      </c>
      <c r="D1570" s="2">
        <v>44405.0</v>
      </c>
      <c r="F1570" s="1" t="s">
        <v>4848</v>
      </c>
      <c r="H1570" s="3">
        <v>10.0</v>
      </c>
      <c r="I1570" s="4" t="s">
        <v>6805</v>
      </c>
      <c r="J1570" s="1" t="s">
        <v>6806</v>
      </c>
      <c r="K1570" s="1" t="s">
        <v>68</v>
      </c>
    </row>
    <row r="1571">
      <c r="A1571" s="1" t="s">
        <v>6807</v>
      </c>
      <c r="B1571" s="1" t="s">
        <v>6808</v>
      </c>
      <c r="C1571" s="1">
        <v>2021.0</v>
      </c>
      <c r="D1571" s="2">
        <v>44404.0</v>
      </c>
      <c r="F1571" s="1" t="s">
        <v>31</v>
      </c>
      <c r="H1571" s="3">
        <v>20.0</v>
      </c>
      <c r="I1571" s="4" t="s">
        <v>6809</v>
      </c>
      <c r="J1571" s="1" t="s">
        <v>6810</v>
      </c>
      <c r="K1571" s="1" t="s">
        <v>340</v>
      </c>
    </row>
    <row r="1572">
      <c r="A1572" s="1" t="s">
        <v>6811</v>
      </c>
      <c r="B1572" s="1" t="s">
        <v>6812</v>
      </c>
      <c r="C1572" s="1">
        <v>2021.0</v>
      </c>
      <c r="D1572" s="2">
        <v>44404.0</v>
      </c>
      <c r="F1572" s="1" t="s">
        <v>396</v>
      </c>
      <c r="H1572" s="3">
        <v>67.0</v>
      </c>
      <c r="I1572" s="4" t="s">
        <v>6813</v>
      </c>
      <c r="J1572" s="1" t="s">
        <v>6814</v>
      </c>
      <c r="K1572" s="1" t="s">
        <v>295</v>
      </c>
    </row>
    <row r="1573">
      <c r="A1573" s="1" t="s">
        <v>6815</v>
      </c>
      <c r="B1573" s="1" t="s">
        <v>6816</v>
      </c>
      <c r="C1573" s="1">
        <v>2021.0</v>
      </c>
      <c r="D1573" s="2">
        <v>44404.0</v>
      </c>
      <c r="F1573" s="1" t="s">
        <v>5368</v>
      </c>
      <c r="H1573" s="3">
        <v>13.0</v>
      </c>
      <c r="I1573" s="4" t="s">
        <v>6817</v>
      </c>
      <c r="J1573" s="1" t="s">
        <v>6818</v>
      </c>
      <c r="K1573" s="1" t="s">
        <v>323</v>
      </c>
    </row>
    <row r="1574">
      <c r="A1574" s="1" t="s">
        <v>6819</v>
      </c>
      <c r="B1574" s="1" t="s">
        <v>6820</v>
      </c>
      <c r="C1574" s="1">
        <v>2021.0</v>
      </c>
      <c r="D1574" s="2">
        <v>44404.0</v>
      </c>
      <c r="F1574" s="1" t="s">
        <v>1137</v>
      </c>
      <c r="H1574" s="3">
        <v>4.0</v>
      </c>
      <c r="I1574" s="4" t="s">
        <v>6821</v>
      </c>
      <c r="J1574" s="1" t="s">
        <v>6822</v>
      </c>
      <c r="K1574" s="1" t="s">
        <v>413</v>
      </c>
    </row>
    <row r="1575">
      <c r="A1575" s="1" t="s">
        <v>6823</v>
      </c>
      <c r="B1575" s="1" t="s">
        <v>6824</v>
      </c>
      <c r="C1575" s="1">
        <v>2021.0</v>
      </c>
      <c r="D1575" s="2">
        <v>44403.0</v>
      </c>
      <c r="F1575" s="1" t="s">
        <v>1277</v>
      </c>
      <c r="H1575" s="3">
        <v>5.0</v>
      </c>
      <c r="I1575" s="4" t="s">
        <v>6825</v>
      </c>
      <c r="J1575" s="1" t="s">
        <v>6826</v>
      </c>
      <c r="K1575" s="1" t="s">
        <v>28</v>
      </c>
    </row>
    <row r="1576">
      <c r="A1576" s="1" t="s">
        <v>6827</v>
      </c>
      <c r="B1576" s="1" t="s">
        <v>6828</v>
      </c>
      <c r="C1576" s="1">
        <v>2021.0</v>
      </c>
      <c r="D1576" s="2">
        <v>44403.0</v>
      </c>
      <c r="F1576" s="1" t="s">
        <v>2987</v>
      </c>
      <c r="H1576" s="3">
        <v>5.0</v>
      </c>
      <c r="I1576" s="4" t="s">
        <v>6829</v>
      </c>
      <c r="J1576" s="1" t="s">
        <v>6830</v>
      </c>
      <c r="K1576" s="1" t="s">
        <v>16</v>
      </c>
    </row>
    <row r="1577">
      <c r="A1577" s="1" t="s">
        <v>6831</v>
      </c>
      <c r="B1577" s="1" t="s">
        <v>6832</v>
      </c>
      <c r="C1577" s="1">
        <v>2021.0</v>
      </c>
      <c r="D1577" s="2">
        <v>44402.0</v>
      </c>
      <c r="F1577" s="1" t="s">
        <v>2955</v>
      </c>
      <c r="H1577" s="3">
        <v>5.0</v>
      </c>
      <c r="I1577" s="4" t="s">
        <v>6833</v>
      </c>
      <c r="J1577" s="1" t="s">
        <v>6834</v>
      </c>
      <c r="K1577" s="1" t="s">
        <v>28</v>
      </c>
    </row>
    <row r="1578">
      <c r="A1578" s="1" t="s">
        <v>6835</v>
      </c>
      <c r="B1578" s="1" t="s">
        <v>5897</v>
      </c>
      <c r="C1578" s="1">
        <v>2021.0</v>
      </c>
      <c r="D1578" s="2">
        <v>44401.0</v>
      </c>
      <c r="F1578" s="1" t="s">
        <v>435</v>
      </c>
      <c r="H1578" s="3">
        <v>4.0</v>
      </c>
      <c r="I1578" s="4" t="s">
        <v>6836</v>
      </c>
      <c r="J1578" s="1" t="s">
        <v>6837</v>
      </c>
      <c r="K1578" s="1" t="s">
        <v>16</v>
      </c>
    </row>
    <row r="1579">
      <c r="A1579" s="1" t="s">
        <v>6838</v>
      </c>
      <c r="B1579" s="1" t="s">
        <v>6839</v>
      </c>
      <c r="C1579" s="1">
        <v>2021.0</v>
      </c>
      <c r="D1579" s="2">
        <v>44400.0</v>
      </c>
      <c r="F1579" s="1" t="s">
        <v>6273</v>
      </c>
      <c r="H1579" s="3">
        <v>4.0</v>
      </c>
      <c r="I1579" s="4" t="s">
        <v>6840</v>
      </c>
      <c r="J1579" s="1" t="s">
        <v>6841</v>
      </c>
      <c r="K1579" s="1" t="s">
        <v>926</v>
      </c>
    </row>
    <row r="1580">
      <c r="A1580" s="1" t="s">
        <v>6842</v>
      </c>
      <c r="B1580" s="1" t="s">
        <v>6843</v>
      </c>
      <c r="C1580" s="1">
        <v>2021.0</v>
      </c>
      <c r="D1580" s="2">
        <v>44400.0</v>
      </c>
      <c r="F1580" s="1" t="s">
        <v>1199</v>
      </c>
      <c r="H1580" s="3">
        <v>16.0</v>
      </c>
      <c r="I1580" s="4" t="s">
        <v>6844</v>
      </c>
      <c r="J1580" s="1" t="s">
        <v>6845</v>
      </c>
      <c r="K1580" s="1" t="s">
        <v>28</v>
      </c>
    </row>
    <row r="1581">
      <c r="A1581" s="1" t="s">
        <v>6846</v>
      </c>
      <c r="B1581" s="1" t="s">
        <v>6847</v>
      </c>
      <c r="C1581" s="1">
        <v>2021.0</v>
      </c>
      <c r="D1581" s="2">
        <v>44400.0</v>
      </c>
      <c r="F1581" s="1" t="s">
        <v>1995</v>
      </c>
      <c r="H1581" s="3">
        <v>27.0</v>
      </c>
      <c r="I1581" s="4" t="s">
        <v>6848</v>
      </c>
      <c r="J1581" s="1" t="s">
        <v>6849</v>
      </c>
      <c r="K1581" s="1" t="s">
        <v>413</v>
      </c>
    </row>
    <row r="1582">
      <c r="A1582" s="1" t="s">
        <v>6850</v>
      </c>
      <c r="B1582" s="1" t="s">
        <v>6851</v>
      </c>
      <c r="C1582" s="1">
        <v>2021.0</v>
      </c>
      <c r="D1582" s="2">
        <v>44399.0</v>
      </c>
      <c r="F1582" s="1" t="s">
        <v>6852</v>
      </c>
      <c r="H1582" s="3">
        <v>6.0</v>
      </c>
      <c r="I1582" s="4" t="s">
        <v>6853</v>
      </c>
      <c r="J1582" s="1" t="s">
        <v>6854</v>
      </c>
      <c r="K1582" s="1" t="s">
        <v>68</v>
      </c>
    </row>
    <row r="1583">
      <c r="A1583" s="1" t="s">
        <v>6855</v>
      </c>
      <c r="B1583" s="1" t="s">
        <v>6856</v>
      </c>
      <c r="C1583" s="1">
        <v>2021.0</v>
      </c>
      <c r="D1583" s="2">
        <v>44398.0</v>
      </c>
      <c r="F1583" s="1" t="s">
        <v>31</v>
      </c>
      <c r="H1583" s="3">
        <v>4.0</v>
      </c>
      <c r="I1583" s="4" t="s">
        <v>6857</v>
      </c>
      <c r="J1583" s="1" t="s">
        <v>6858</v>
      </c>
      <c r="K1583" s="1" t="s">
        <v>28</v>
      </c>
    </row>
    <row r="1584">
      <c r="A1584" s="1" t="s">
        <v>6859</v>
      </c>
      <c r="B1584" s="1" t="s">
        <v>6860</v>
      </c>
      <c r="C1584" s="1">
        <v>2021.0</v>
      </c>
      <c r="D1584" s="2">
        <v>44398.0</v>
      </c>
      <c r="F1584" s="1" t="s">
        <v>934</v>
      </c>
      <c r="H1584" s="3">
        <v>14.0</v>
      </c>
      <c r="I1584" s="4" t="s">
        <v>6861</v>
      </c>
      <c r="J1584" s="1" t="s">
        <v>6862</v>
      </c>
      <c r="K1584" s="1" t="s">
        <v>28</v>
      </c>
    </row>
    <row r="1585">
      <c r="A1585" s="1" t="s">
        <v>6863</v>
      </c>
      <c r="B1585" s="1" t="s">
        <v>6864</v>
      </c>
      <c r="C1585" s="1">
        <v>2021.0</v>
      </c>
      <c r="D1585" s="2">
        <v>44398.0</v>
      </c>
      <c r="F1585" s="1" t="s">
        <v>6865</v>
      </c>
      <c r="H1585" s="3">
        <v>7.0</v>
      </c>
      <c r="I1585" s="4" t="s">
        <v>6866</v>
      </c>
      <c r="J1585" s="1" t="s">
        <v>6867</v>
      </c>
      <c r="K1585" s="1" t="s">
        <v>16</v>
      </c>
    </row>
    <row r="1586">
      <c r="A1586" s="1" t="s">
        <v>6868</v>
      </c>
      <c r="B1586" s="1" t="s">
        <v>6869</v>
      </c>
      <c r="C1586" s="1">
        <v>2021.0</v>
      </c>
      <c r="D1586" s="2">
        <v>44396.0</v>
      </c>
      <c r="F1586" s="1" t="s">
        <v>1349</v>
      </c>
      <c r="H1586" s="3">
        <v>16.0</v>
      </c>
      <c r="I1586" s="4" t="s">
        <v>6870</v>
      </c>
      <c r="J1586" s="1" t="s">
        <v>6871</v>
      </c>
      <c r="K1586" s="1" t="s">
        <v>28</v>
      </c>
    </row>
    <row r="1587">
      <c r="A1587" s="1" t="s">
        <v>6872</v>
      </c>
      <c r="B1587" s="1" t="s">
        <v>6873</v>
      </c>
      <c r="C1587" s="1">
        <v>2021.0</v>
      </c>
      <c r="D1587" s="2">
        <v>44393.0</v>
      </c>
      <c r="F1587" s="1" t="s">
        <v>271</v>
      </c>
      <c r="H1587" s="3">
        <v>7.0</v>
      </c>
      <c r="I1587" s="4" t="s">
        <v>6874</v>
      </c>
      <c r="J1587" s="1" t="s">
        <v>6875</v>
      </c>
      <c r="K1587" s="1" t="s">
        <v>295</v>
      </c>
    </row>
    <row r="1588">
      <c r="A1588" s="1" t="s">
        <v>6876</v>
      </c>
      <c r="B1588" s="1" t="s">
        <v>6877</v>
      </c>
      <c r="C1588" s="1">
        <v>2021.0</v>
      </c>
      <c r="D1588" s="2">
        <v>44393.0</v>
      </c>
      <c r="F1588" s="1" t="s">
        <v>4539</v>
      </c>
      <c r="H1588" s="3">
        <v>2.0</v>
      </c>
      <c r="I1588" s="4" t="s">
        <v>6878</v>
      </c>
      <c r="J1588" s="1" t="s">
        <v>6879</v>
      </c>
      <c r="K1588" s="1" t="s">
        <v>323</v>
      </c>
    </row>
    <row r="1589">
      <c r="A1589" s="1" t="s">
        <v>6880</v>
      </c>
      <c r="B1589" s="1" t="s">
        <v>6881</v>
      </c>
      <c r="C1589" s="1">
        <v>2021.0</v>
      </c>
      <c r="D1589" s="2">
        <v>44393.0</v>
      </c>
      <c r="F1589" s="1" t="s">
        <v>131</v>
      </c>
      <c r="H1589" s="3">
        <v>5.0</v>
      </c>
      <c r="I1589" s="4" t="s">
        <v>6882</v>
      </c>
      <c r="J1589" s="1" t="s">
        <v>6883</v>
      </c>
      <c r="K1589" s="1" t="s">
        <v>383</v>
      </c>
    </row>
    <row r="1590">
      <c r="A1590" s="1" t="s">
        <v>6884</v>
      </c>
      <c r="B1590" s="1" t="s">
        <v>6885</v>
      </c>
      <c r="C1590" s="1">
        <v>2021.0</v>
      </c>
      <c r="D1590" s="2">
        <v>44392.0</v>
      </c>
      <c r="F1590" s="1" t="s">
        <v>440</v>
      </c>
      <c r="H1590" s="3">
        <v>3.0</v>
      </c>
      <c r="I1590" s="4" t="s">
        <v>6886</v>
      </c>
      <c r="J1590" s="1" t="s">
        <v>6887</v>
      </c>
      <c r="K1590" s="1" t="s">
        <v>16</v>
      </c>
    </row>
    <row r="1591">
      <c r="A1591" s="1" t="s">
        <v>6888</v>
      </c>
      <c r="B1591" s="1" t="s">
        <v>6889</v>
      </c>
      <c r="C1591" s="1">
        <v>2021.0</v>
      </c>
      <c r="D1591" s="2">
        <v>44392.0</v>
      </c>
      <c r="F1591" s="1" t="s">
        <v>6890</v>
      </c>
      <c r="H1591" s="3">
        <v>6.0</v>
      </c>
      <c r="I1591" s="4" t="s">
        <v>6891</v>
      </c>
      <c r="J1591" s="1" t="s">
        <v>6892</v>
      </c>
      <c r="K1591" s="1" t="s">
        <v>16</v>
      </c>
    </row>
    <row r="1592">
      <c r="A1592" s="1" t="s">
        <v>6893</v>
      </c>
      <c r="B1592" s="1" t="s">
        <v>6894</v>
      </c>
      <c r="C1592" s="1">
        <v>2021.0</v>
      </c>
      <c r="D1592" s="2">
        <v>44391.0</v>
      </c>
      <c r="F1592" s="1" t="s">
        <v>489</v>
      </c>
      <c r="H1592" s="3">
        <v>21.0</v>
      </c>
      <c r="I1592" s="4" t="s">
        <v>6895</v>
      </c>
      <c r="J1592" s="1" t="s">
        <v>6896</v>
      </c>
      <c r="K1592" s="1" t="s">
        <v>372</v>
      </c>
    </row>
    <row r="1593">
      <c r="A1593" s="1" t="s">
        <v>6897</v>
      </c>
      <c r="B1593" s="1" t="s">
        <v>6898</v>
      </c>
      <c r="C1593" s="1">
        <v>2021.0</v>
      </c>
      <c r="D1593" s="2">
        <v>44391.0</v>
      </c>
      <c r="F1593" s="1" t="s">
        <v>6301</v>
      </c>
      <c r="H1593" s="3">
        <v>8.0</v>
      </c>
      <c r="I1593" s="4" t="s">
        <v>6899</v>
      </c>
      <c r="J1593" s="1" t="s">
        <v>6900</v>
      </c>
      <c r="K1593" s="1" t="s">
        <v>16</v>
      </c>
    </row>
    <row r="1594">
      <c r="A1594" s="1" t="s">
        <v>6901</v>
      </c>
      <c r="B1594" s="1" t="s">
        <v>6902</v>
      </c>
      <c r="C1594" s="1">
        <v>2021.0</v>
      </c>
      <c r="D1594" s="2">
        <v>44389.0</v>
      </c>
      <c r="F1594" s="1" t="s">
        <v>271</v>
      </c>
      <c r="H1594" s="3">
        <v>32.0</v>
      </c>
      <c r="I1594" s="4" t="s">
        <v>6903</v>
      </c>
      <c r="J1594" s="1" t="s">
        <v>6904</v>
      </c>
      <c r="K1594" s="1" t="s">
        <v>418</v>
      </c>
    </row>
    <row r="1595">
      <c r="A1595" s="1" t="s">
        <v>6905</v>
      </c>
      <c r="B1595" s="1" t="s">
        <v>6906</v>
      </c>
      <c r="C1595" s="1">
        <v>2021.0</v>
      </c>
      <c r="D1595" s="2">
        <v>44389.0</v>
      </c>
      <c r="F1595" s="1" t="s">
        <v>6907</v>
      </c>
      <c r="H1595" s="3">
        <v>60.0</v>
      </c>
      <c r="I1595" s="4" t="s">
        <v>6908</v>
      </c>
      <c r="J1595" s="1" t="s">
        <v>6909</v>
      </c>
      <c r="K1595" s="1" t="s">
        <v>443</v>
      </c>
    </row>
    <row r="1596">
      <c r="A1596" s="1" t="s">
        <v>6910</v>
      </c>
      <c r="B1596" s="1" t="s">
        <v>6911</v>
      </c>
      <c r="C1596" s="1">
        <v>2021.0</v>
      </c>
      <c r="D1596" s="2">
        <v>44389.0</v>
      </c>
      <c r="F1596" s="1" t="s">
        <v>5090</v>
      </c>
      <c r="H1596" s="3">
        <v>10.0</v>
      </c>
      <c r="I1596" s="4" t="s">
        <v>6912</v>
      </c>
      <c r="J1596" s="1" t="s">
        <v>6913</v>
      </c>
      <c r="K1596" s="1" t="s">
        <v>443</v>
      </c>
    </row>
    <row r="1597">
      <c r="A1597" s="1" t="s">
        <v>6914</v>
      </c>
      <c r="B1597" s="1" t="s">
        <v>6915</v>
      </c>
      <c r="C1597" s="1">
        <v>2021.0</v>
      </c>
      <c r="D1597" s="2">
        <v>44389.0</v>
      </c>
      <c r="F1597" s="1" t="s">
        <v>6916</v>
      </c>
      <c r="H1597" s="3">
        <v>2.0</v>
      </c>
      <c r="I1597" s="4" t="s">
        <v>6917</v>
      </c>
      <c r="J1597" s="1" t="s">
        <v>6918</v>
      </c>
      <c r="K1597" s="1" t="s">
        <v>68</v>
      </c>
    </row>
    <row r="1598">
      <c r="A1598" s="1" t="s">
        <v>6919</v>
      </c>
      <c r="B1598" s="1" t="s">
        <v>6920</v>
      </c>
      <c r="C1598" s="1">
        <v>2021.0</v>
      </c>
      <c r="D1598" s="2">
        <v>44387.0</v>
      </c>
      <c r="F1598" s="1" t="s">
        <v>1762</v>
      </c>
      <c r="H1598" s="3">
        <v>8.0</v>
      </c>
      <c r="I1598" s="4" t="s">
        <v>6921</v>
      </c>
      <c r="J1598" s="1" t="s">
        <v>6922</v>
      </c>
      <c r="K1598" s="1" t="s">
        <v>443</v>
      </c>
    </row>
    <row r="1599">
      <c r="A1599" s="1" t="s">
        <v>6923</v>
      </c>
      <c r="B1599" s="1" t="s">
        <v>6924</v>
      </c>
      <c r="C1599" s="1">
        <v>2021.0</v>
      </c>
      <c r="D1599" s="2">
        <v>44387.0</v>
      </c>
      <c r="F1599" s="1" t="s">
        <v>4235</v>
      </c>
      <c r="H1599" s="3">
        <v>1.0</v>
      </c>
      <c r="I1599" s="4" t="s">
        <v>6925</v>
      </c>
      <c r="J1599" s="1" t="s">
        <v>6926</v>
      </c>
      <c r="K1599" s="1" t="s">
        <v>16</v>
      </c>
    </row>
    <row r="1600">
      <c r="A1600" s="1" t="s">
        <v>6927</v>
      </c>
      <c r="B1600" s="1" t="s">
        <v>6928</v>
      </c>
      <c r="C1600" s="1">
        <v>2021.0</v>
      </c>
      <c r="D1600" s="2">
        <v>44386.0</v>
      </c>
      <c r="F1600" s="1" t="s">
        <v>6929</v>
      </c>
      <c r="H1600" s="3">
        <v>2.0</v>
      </c>
      <c r="I1600" s="4" t="s">
        <v>6930</v>
      </c>
      <c r="J1600" s="1" t="s">
        <v>6931</v>
      </c>
      <c r="K1600" s="1" t="s">
        <v>443</v>
      </c>
    </row>
    <row r="1601">
      <c r="A1601" s="1" t="s">
        <v>6932</v>
      </c>
      <c r="B1601" s="1" t="s">
        <v>6933</v>
      </c>
      <c r="C1601" s="1">
        <v>2021.0</v>
      </c>
      <c r="D1601" s="2">
        <v>44386.0</v>
      </c>
      <c r="F1601" s="1" t="s">
        <v>271</v>
      </c>
      <c r="H1601" s="3">
        <v>320.0</v>
      </c>
      <c r="I1601" s="4" t="s">
        <v>6934</v>
      </c>
      <c r="J1601" s="1" t="s">
        <v>6935</v>
      </c>
      <c r="K1601" s="1" t="s">
        <v>418</v>
      </c>
    </row>
    <row r="1602">
      <c r="A1602" s="1" t="s">
        <v>6936</v>
      </c>
      <c r="B1602" s="1" t="s">
        <v>6937</v>
      </c>
      <c r="C1602" s="1">
        <v>2021.0</v>
      </c>
      <c r="D1602" s="2">
        <v>44385.0</v>
      </c>
      <c r="F1602" s="1" t="s">
        <v>558</v>
      </c>
      <c r="H1602" s="3">
        <v>20.0</v>
      </c>
      <c r="I1602" s="4" t="s">
        <v>6938</v>
      </c>
      <c r="J1602" s="1" t="s">
        <v>6939</v>
      </c>
      <c r="K1602" s="1" t="s">
        <v>403</v>
      </c>
    </row>
    <row r="1603">
      <c r="A1603" s="1" t="s">
        <v>6940</v>
      </c>
      <c r="B1603" s="1" t="s">
        <v>6941</v>
      </c>
      <c r="C1603" s="1">
        <v>2021.0</v>
      </c>
      <c r="D1603" s="2">
        <v>44385.0</v>
      </c>
      <c r="F1603" s="1" t="s">
        <v>6942</v>
      </c>
      <c r="H1603" s="3">
        <v>2.0</v>
      </c>
      <c r="I1603" s="4" t="s">
        <v>6943</v>
      </c>
      <c r="J1603" s="1" t="s">
        <v>6944</v>
      </c>
      <c r="K1603" s="1" t="s">
        <v>477</v>
      </c>
    </row>
    <row r="1604">
      <c r="A1604" s="1" t="s">
        <v>6945</v>
      </c>
      <c r="B1604" s="1" t="s">
        <v>6946</v>
      </c>
      <c r="C1604" s="1">
        <v>2021.0</v>
      </c>
      <c r="D1604" s="2">
        <v>44384.0</v>
      </c>
      <c r="F1604" s="1" t="s">
        <v>1358</v>
      </c>
      <c r="H1604" s="3">
        <v>0.0</v>
      </c>
      <c r="I1604" s="4" t="s">
        <v>6947</v>
      </c>
      <c r="J1604" s="1" t="s">
        <v>6948</v>
      </c>
      <c r="K1604" s="1" t="s">
        <v>295</v>
      </c>
    </row>
    <row r="1605">
      <c r="A1605" s="1" t="s">
        <v>6949</v>
      </c>
      <c r="B1605" s="1" t="s">
        <v>6950</v>
      </c>
      <c r="C1605" s="1">
        <v>2021.0</v>
      </c>
      <c r="D1605" s="2">
        <v>44383.0</v>
      </c>
      <c r="F1605" s="1" t="s">
        <v>2774</v>
      </c>
      <c r="H1605" s="3">
        <v>18.0</v>
      </c>
      <c r="I1605" s="4" t="s">
        <v>6951</v>
      </c>
      <c r="J1605" s="1" t="s">
        <v>6952</v>
      </c>
      <c r="K1605" s="1" t="s">
        <v>323</v>
      </c>
    </row>
    <row r="1606">
      <c r="A1606" s="1" t="s">
        <v>6953</v>
      </c>
      <c r="B1606" s="1" t="s">
        <v>6954</v>
      </c>
      <c r="C1606" s="1">
        <v>2021.0</v>
      </c>
      <c r="D1606" s="2">
        <v>44383.0</v>
      </c>
      <c r="F1606" s="1" t="s">
        <v>3045</v>
      </c>
      <c r="H1606" s="3">
        <v>0.0</v>
      </c>
      <c r="I1606" s="4" t="s">
        <v>6955</v>
      </c>
      <c r="J1606" s="1" t="s">
        <v>6956</v>
      </c>
      <c r="K1606" s="1" t="s">
        <v>323</v>
      </c>
    </row>
    <row r="1607">
      <c r="A1607" s="1" t="s">
        <v>6957</v>
      </c>
      <c r="B1607" s="1" t="s">
        <v>6437</v>
      </c>
      <c r="C1607" s="1">
        <v>2021.0</v>
      </c>
      <c r="D1607" s="2">
        <v>44383.0</v>
      </c>
      <c r="F1607" s="1" t="s">
        <v>410</v>
      </c>
      <c r="H1607" s="3">
        <v>24.0</v>
      </c>
      <c r="I1607" s="4" t="s">
        <v>6958</v>
      </c>
      <c r="J1607" s="1" t="s">
        <v>6959</v>
      </c>
      <c r="K1607" s="1" t="s">
        <v>16</v>
      </c>
    </row>
    <row r="1608">
      <c r="A1608" s="1" t="s">
        <v>6960</v>
      </c>
      <c r="B1608" s="1" t="s">
        <v>6961</v>
      </c>
      <c r="C1608" s="1">
        <v>2021.0</v>
      </c>
      <c r="D1608" s="2">
        <v>44382.0</v>
      </c>
      <c r="F1608" s="1" t="s">
        <v>2586</v>
      </c>
      <c r="H1608" s="3">
        <v>7.0</v>
      </c>
      <c r="I1608" s="4" t="s">
        <v>6962</v>
      </c>
      <c r="J1608" s="1" t="s">
        <v>6963</v>
      </c>
      <c r="K1608" s="1" t="s">
        <v>16</v>
      </c>
    </row>
    <row r="1609">
      <c r="A1609" s="1" t="s">
        <v>6964</v>
      </c>
      <c r="B1609" s="1" t="s">
        <v>6965</v>
      </c>
      <c r="C1609" s="1">
        <v>2021.0</v>
      </c>
      <c r="D1609" s="2">
        <v>44381.0</v>
      </c>
      <c r="F1609" s="1" t="s">
        <v>6966</v>
      </c>
      <c r="H1609" s="3">
        <v>2.0</v>
      </c>
      <c r="I1609" s="4" t="s">
        <v>6967</v>
      </c>
      <c r="J1609" s="1" t="s">
        <v>6968</v>
      </c>
      <c r="K1609" s="1" t="s">
        <v>16</v>
      </c>
    </row>
    <row r="1610">
      <c r="A1610" s="1" t="s">
        <v>6969</v>
      </c>
      <c r="B1610" s="1" t="s">
        <v>6970</v>
      </c>
      <c r="C1610" s="1">
        <v>2021.0</v>
      </c>
      <c r="D1610" s="2">
        <v>44380.0</v>
      </c>
      <c r="F1610" s="1" t="s">
        <v>6971</v>
      </c>
      <c r="H1610" s="3">
        <v>5.0</v>
      </c>
      <c r="I1610" s="4" t="s">
        <v>6972</v>
      </c>
      <c r="J1610" s="1" t="s">
        <v>6973</v>
      </c>
      <c r="K1610" s="1" t="s">
        <v>45</v>
      </c>
    </row>
    <row r="1611">
      <c r="A1611" s="1" t="s">
        <v>6974</v>
      </c>
      <c r="B1611" s="1" t="s">
        <v>6975</v>
      </c>
      <c r="C1611" s="1">
        <v>2021.0</v>
      </c>
      <c r="D1611" s="2">
        <v>44380.0</v>
      </c>
      <c r="F1611" s="1" t="s">
        <v>3583</v>
      </c>
      <c r="H1611" s="3">
        <v>0.0</v>
      </c>
      <c r="I1611" s="4" t="s">
        <v>6976</v>
      </c>
      <c r="J1611" s="1" t="s">
        <v>6977</v>
      </c>
      <c r="K1611" s="1" t="s">
        <v>28</v>
      </c>
    </row>
    <row r="1612">
      <c r="A1612" s="1" t="s">
        <v>6978</v>
      </c>
      <c r="B1612" s="1" t="s">
        <v>6979</v>
      </c>
      <c r="C1612" s="1">
        <v>2021.0</v>
      </c>
      <c r="D1612" s="2">
        <v>44380.0</v>
      </c>
      <c r="F1612" s="1" t="s">
        <v>6980</v>
      </c>
      <c r="H1612" s="3">
        <v>8.0</v>
      </c>
      <c r="I1612" s="4" t="s">
        <v>6981</v>
      </c>
      <c r="J1612" s="1" t="s">
        <v>6982</v>
      </c>
      <c r="K1612" s="1" t="s">
        <v>16</v>
      </c>
    </row>
    <row r="1613">
      <c r="A1613" s="1" t="s">
        <v>6983</v>
      </c>
      <c r="B1613" s="1" t="s">
        <v>6984</v>
      </c>
      <c r="C1613" s="1">
        <v>2021.0</v>
      </c>
      <c r="D1613" s="2">
        <v>44379.0</v>
      </c>
      <c r="F1613" s="1" t="s">
        <v>1974</v>
      </c>
      <c r="H1613" s="3">
        <v>10.0</v>
      </c>
      <c r="I1613" s="4" t="s">
        <v>6985</v>
      </c>
      <c r="J1613" s="1" t="s">
        <v>6986</v>
      </c>
      <c r="K1613" s="1" t="s">
        <v>16</v>
      </c>
    </row>
    <row r="1614">
      <c r="A1614" s="1" t="s">
        <v>6987</v>
      </c>
      <c r="B1614" s="1" t="s">
        <v>6988</v>
      </c>
      <c r="C1614" s="1">
        <v>2021.0</v>
      </c>
      <c r="D1614" s="2">
        <v>44379.0</v>
      </c>
      <c r="F1614" s="1" t="s">
        <v>218</v>
      </c>
      <c r="H1614" s="3">
        <v>5.0</v>
      </c>
      <c r="I1614" s="4" t="s">
        <v>6989</v>
      </c>
      <c r="J1614" s="1" t="s">
        <v>6990</v>
      </c>
      <c r="K1614" s="1" t="s">
        <v>16</v>
      </c>
    </row>
    <row r="1615">
      <c r="A1615" s="1" t="s">
        <v>6991</v>
      </c>
      <c r="B1615" s="1" t="s">
        <v>6992</v>
      </c>
      <c r="C1615" s="1">
        <v>2021.0</v>
      </c>
      <c r="D1615" s="2">
        <v>44378.0</v>
      </c>
      <c r="F1615" s="1" t="s">
        <v>6993</v>
      </c>
      <c r="H1615" s="3">
        <v>23.0</v>
      </c>
      <c r="I1615" s="4" t="s">
        <v>6994</v>
      </c>
      <c r="J1615" s="1" t="s">
        <v>6995</v>
      </c>
      <c r="K1615" s="1" t="s">
        <v>926</v>
      </c>
    </row>
    <row r="1616">
      <c r="A1616" s="1" t="s">
        <v>6996</v>
      </c>
      <c r="B1616" s="1" t="s">
        <v>6997</v>
      </c>
      <c r="C1616" s="1">
        <v>2021.0</v>
      </c>
      <c r="D1616" s="2">
        <v>44378.0</v>
      </c>
      <c r="F1616" s="1" t="s">
        <v>6998</v>
      </c>
      <c r="H1616" s="3">
        <v>10.0</v>
      </c>
      <c r="I1616" s="4" t="s">
        <v>6999</v>
      </c>
      <c r="J1616" s="1" t="s">
        <v>7000</v>
      </c>
      <c r="K1616" s="1" t="s">
        <v>28</v>
      </c>
    </row>
    <row r="1617">
      <c r="A1617" s="1" t="s">
        <v>7001</v>
      </c>
      <c r="B1617" s="1" t="s">
        <v>7002</v>
      </c>
      <c r="C1617" s="1">
        <v>2021.0</v>
      </c>
      <c r="D1617" s="2">
        <v>44378.0</v>
      </c>
      <c r="F1617" s="1" t="s">
        <v>271</v>
      </c>
      <c r="H1617" s="3">
        <v>1.0</v>
      </c>
      <c r="I1617" s="4" t="s">
        <v>7003</v>
      </c>
      <c r="J1617" s="1" t="s">
        <v>7004</v>
      </c>
      <c r="K1617" s="1" t="s">
        <v>1423</v>
      </c>
    </row>
    <row r="1618">
      <c r="A1618" s="1" t="s">
        <v>7005</v>
      </c>
      <c r="B1618" s="1" t="s">
        <v>7006</v>
      </c>
      <c r="C1618" s="1">
        <v>2021.0</v>
      </c>
      <c r="D1618" s="2">
        <v>44378.0</v>
      </c>
      <c r="F1618" s="1" t="s">
        <v>7007</v>
      </c>
      <c r="H1618" s="3">
        <v>7.0</v>
      </c>
      <c r="I1618" s="4" t="s">
        <v>7008</v>
      </c>
      <c r="J1618" s="1" t="s">
        <v>7009</v>
      </c>
      <c r="K1618" s="1" t="s">
        <v>295</v>
      </c>
    </row>
    <row r="1619">
      <c r="A1619" s="1" t="s">
        <v>7010</v>
      </c>
      <c r="B1619" s="1" t="s">
        <v>7011</v>
      </c>
      <c r="C1619" s="1">
        <v>2021.0</v>
      </c>
      <c r="D1619" s="2">
        <v>44378.0</v>
      </c>
      <c r="F1619" s="1" t="s">
        <v>1358</v>
      </c>
      <c r="H1619" s="3">
        <v>27.0</v>
      </c>
      <c r="I1619" s="4" t="s">
        <v>7012</v>
      </c>
      <c r="J1619" s="1" t="s">
        <v>7013</v>
      </c>
      <c r="K1619" s="1" t="s">
        <v>323</v>
      </c>
    </row>
    <row r="1620">
      <c r="A1620" s="1" t="s">
        <v>7014</v>
      </c>
      <c r="B1620" s="1" t="s">
        <v>7015</v>
      </c>
      <c r="C1620" s="1">
        <v>2021.0</v>
      </c>
      <c r="D1620" s="2">
        <v>44378.0</v>
      </c>
      <c r="F1620" s="1" t="s">
        <v>7016</v>
      </c>
      <c r="H1620" s="3">
        <v>1.0</v>
      </c>
      <c r="I1620" s="4" t="s">
        <v>7017</v>
      </c>
      <c r="J1620" s="1" t="s">
        <v>7018</v>
      </c>
      <c r="K1620" s="1" t="s">
        <v>323</v>
      </c>
    </row>
    <row r="1621">
      <c r="A1621" s="1" t="s">
        <v>7019</v>
      </c>
      <c r="B1621" s="1" t="s">
        <v>7020</v>
      </c>
      <c r="C1621" s="1">
        <v>2021.0</v>
      </c>
      <c r="D1621" s="2">
        <v>44378.0</v>
      </c>
      <c r="F1621" s="1" t="s">
        <v>4544</v>
      </c>
      <c r="H1621" s="3">
        <v>0.0</v>
      </c>
      <c r="I1621" s="4" t="s">
        <v>7021</v>
      </c>
      <c r="J1621" s="1"/>
      <c r="K1621" s="1" t="s">
        <v>323</v>
      </c>
    </row>
    <row r="1622">
      <c r="A1622" s="1" t="s">
        <v>7022</v>
      </c>
      <c r="B1622" s="1" t="s">
        <v>7023</v>
      </c>
      <c r="C1622" s="1">
        <v>2021.0</v>
      </c>
      <c r="D1622" s="2">
        <v>44378.0</v>
      </c>
      <c r="F1622" s="1" t="s">
        <v>7024</v>
      </c>
      <c r="H1622" s="3">
        <v>4.0</v>
      </c>
      <c r="I1622" s="4" t="s">
        <v>7025</v>
      </c>
      <c r="J1622" s="1"/>
      <c r="K1622" s="1" t="s">
        <v>16</v>
      </c>
    </row>
    <row r="1623">
      <c r="A1623" s="1" t="s">
        <v>7026</v>
      </c>
      <c r="B1623" s="1" t="s">
        <v>7027</v>
      </c>
      <c r="C1623" s="1">
        <v>2021.0</v>
      </c>
      <c r="D1623" s="2">
        <v>44378.0</v>
      </c>
      <c r="F1623" s="1" t="s">
        <v>440</v>
      </c>
      <c r="H1623" s="3">
        <v>46.0</v>
      </c>
      <c r="I1623" s="4" t="s">
        <v>7028</v>
      </c>
      <c r="J1623" s="1"/>
      <c r="K1623" s="1" t="s">
        <v>413</v>
      </c>
    </row>
    <row r="1624">
      <c r="A1624" s="1" t="s">
        <v>7029</v>
      </c>
      <c r="B1624" s="1" t="s">
        <v>4930</v>
      </c>
      <c r="C1624" s="1">
        <v>2021.0</v>
      </c>
      <c r="D1624" s="2">
        <v>44378.0</v>
      </c>
      <c r="F1624" s="1" t="s">
        <v>7030</v>
      </c>
      <c r="H1624" s="3">
        <v>14.0</v>
      </c>
      <c r="I1624" s="4" t="s">
        <v>7031</v>
      </c>
      <c r="J1624" s="1" t="s">
        <v>7032</v>
      </c>
      <c r="K1624" s="1" t="s">
        <v>16</v>
      </c>
    </row>
    <row r="1625">
      <c r="A1625" s="1" t="s">
        <v>7033</v>
      </c>
      <c r="B1625" s="1" t="s">
        <v>7034</v>
      </c>
      <c r="C1625" s="1">
        <v>2021.0</v>
      </c>
      <c r="D1625" s="2">
        <v>44378.0</v>
      </c>
      <c r="F1625" s="1" t="s">
        <v>71</v>
      </c>
      <c r="H1625" s="3">
        <v>5.0</v>
      </c>
      <c r="I1625" s="4" t="s">
        <v>7035</v>
      </c>
      <c r="J1625" s="1" t="s">
        <v>7036</v>
      </c>
      <c r="K1625" s="1" t="s">
        <v>16</v>
      </c>
    </row>
    <row r="1626">
      <c r="A1626" s="1" t="s">
        <v>7037</v>
      </c>
      <c r="B1626" s="1" t="s">
        <v>7038</v>
      </c>
      <c r="C1626" s="1">
        <v>2021.0</v>
      </c>
      <c r="D1626" s="2">
        <v>44377.0</v>
      </c>
      <c r="F1626" s="1" t="s">
        <v>4063</v>
      </c>
      <c r="H1626" s="3">
        <v>6.0</v>
      </c>
      <c r="I1626" s="4" t="s">
        <v>7039</v>
      </c>
      <c r="J1626" s="1" t="s">
        <v>7040</v>
      </c>
      <c r="K1626" s="1" t="s">
        <v>28</v>
      </c>
    </row>
    <row r="1627">
      <c r="A1627" s="1" t="s">
        <v>7041</v>
      </c>
      <c r="B1627" s="1" t="s">
        <v>7042</v>
      </c>
      <c r="C1627" s="1">
        <v>2021.0</v>
      </c>
      <c r="D1627" s="2">
        <v>44377.0</v>
      </c>
      <c r="F1627" s="1" t="s">
        <v>830</v>
      </c>
      <c r="H1627" s="3">
        <v>48.0</v>
      </c>
      <c r="I1627" s="4" t="s">
        <v>7043</v>
      </c>
      <c r="J1627" s="1" t="s">
        <v>7044</v>
      </c>
      <c r="K1627" s="1" t="s">
        <v>28</v>
      </c>
    </row>
    <row r="1628">
      <c r="A1628" s="1" t="s">
        <v>7045</v>
      </c>
      <c r="B1628" s="1" t="s">
        <v>7046</v>
      </c>
      <c r="C1628" s="1">
        <v>2021.0</v>
      </c>
      <c r="D1628" s="2">
        <v>44377.0</v>
      </c>
      <c r="F1628" s="1" t="s">
        <v>1074</v>
      </c>
      <c r="H1628" s="3">
        <v>0.0</v>
      </c>
      <c r="I1628" s="4" t="s">
        <v>7047</v>
      </c>
      <c r="J1628" s="1"/>
      <c r="K1628" s="1" t="s">
        <v>16</v>
      </c>
    </row>
    <row r="1629">
      <c r="A1629" s="1" t="s">
        <v>7048</v>
      </c>
      <c r="B1629" s="1" t="s">
        <v>7049</v>
      </c>
      <c r="C1629" s="1">
        <v>2021.0</v>
      </c>
      <c r="D1629" s="2">
        <v>44376.0</v>
      </c>
      <c r="F1629" s="1" t="s">
        <v>835</v>
      </c>
      <c r="H1629" s="3">
        <v>9.0</v>
      </c>
      <c r="I1629" s="4" t="s">
        <v>7050</v>
      </c>
      <c r="J1629" s="1" t="s">
        <v>7051</v>
      </c>
      <c r="K1629" s="1" t="s">
        <v>418</v>
      </c>
    </row>
    <row r="1630">
      <c r="A1630" s="1" t="s">
        <v>7052</v>
      </c>
      <c r="B1630" s="1" t="s">
        <v>7053</v>
      </c>
      <c r="C1630" s="1">
        <v>2021.0</v>
      </c>
      <c r="D1630" s="2">
        <v>44376.0</v>
      </c>
      <c r="F1630" s="1" t="s">
        <v>208</v>
      </c>
      <c r="H1630" s="3">
        <v>52.0</v>
      </c>
      <c r="I1630" s="4" t="s">
        <v>7054</v>
      </c>
      <c r="J1630" s="1" t="s">
        <v>7055</v>
      </c>
      <c r="K1630" s="1" t="s">
        <v>418</v>
      </c>
    </row>
    <row r="1631">
      <c r="A1631" s="1" t="s">
        <v>7056</v>
      </c>
      <c r="B1631" s="1" t="s">
        <v>7057</v>
      </c>
      <c r="C1631" s="1">
        <v>2021.0</v>
      </c>
      <c r="D1631" s="2">
        <v>44375.0</v>
      </c>
      <c r="F1631" s="1" t="s">
        <v>271</v>
      </c>
      <c r="H1631" s="3">
        <v>107.0</v>
      </c>
      <c r="I1631" s="4" t="s">
        <v>7058</v>
      </c>
      <c r="J1631" s="1" t="s">
        <v>7059</v>
      </c>
      <c r="K1631" s="1" t="s">
        <v>295</v>
      </c>
    </row>
    <row r="1632">
      <c r="A1632" s="1" t="s">
        <v>7060</v>
      </c>
      <c r="B1632" s="1" t="s">
        <v>7061</v>
      </c>
      <c r="C1632" s="1">
        <v>2021.0</v>
      </c>
      <c r="D1632" s="2">
        <v>44375.0</v>
      </c>
      <c r="F1632" s="1" t="s">
        <v>71</v>
      </c>
      <c r="H1632" s="3">
        <v>4.0</v>
      </c>
      <c r="I1632" s="4" t="s">
        <v>7062</v>
      </c>
      <c r="J1632" s="1" t="s">
        <v>7063</v>
      </c>
      <c r="K1632" s="1" t="s">
        <v>383</v>
      </c>
    </row>
    <row r="1633">
      <c r="A1633" s="1" t="s">
        <v>7064</v>
      </c>
      <c r="B1633" s="1" t="s">
        <v>7065</v>
      </c>
      <c r="C1633" s="1">
        <v>2021.0</v>
      </c>
      <c r="D1633" s="2">
        <v>44375.0</v>
      </c>
      <c r="F1633" s="1" t="s">
        <v>5167</v>
      </c>
      <c r="H1633" s="3">
        <v>32.0</v>
      </c>
      <c r="I1633" s="4" t="s">
        <v>7066</v>
      </c>
      <c r="J1633" s="1" t="s">
        <v>7067</v>
      </c>
      <c r="K1633" s="1" t="s">
        <v>323</v>
      </c>
    </row>
    <row r="1634">
      <c r="A1634" s="1" t="s">
        <v>7068</v>
      </c>
      <c r="B1634" s="1" t="s">
        <v>7069</v>
      </c>
      <c r="C1634" s="1">
        <v>2021.0</v>
      </c>
      <c r="D1634" s="2">
        <v>44374.0</v>
      </c>
      <c r="F1634" s="1" t="s">
        <v>5144</v>
      </c>
      <c r="H1634" s="3">
        <v>4.0</v>
      </c>
      <c r="I1634" s="4" t="s">
        <v>7070</v>
      </c>
      <c r="J1634" s="1" t="s">
        <v>7071</v>
      </c>
      <c r="K1634" s="1" t="s">
        <v>16</v>
      </c>
    </row>
    <row r="1635">
      <c r="A1635" s="1" t="s">
        <v>7072</v>
      </c>
      <c r="B1635" s="1" t="s">
        <v>7073</v>
      </c>
      <c r="C1635" s="1">
        <v>2021.0</v>
      </c>
      <c r="D1635" s="2">
        <v>44372.0</v>
      </c>
      <c r="F1635" s="1" t="s">
        <v>7074</v>
      </c>
      <c r="H1635" s="3">
        <v>34.0</v>
      </c>
      <c r="I1635" s="4" t="s">
        <v>7075</v>
      </c>
      <c r="J1635" s="1" t="s">
        <v>7076</v>
      </c>
      <c r="K1635" s="1" t="s">
        <v>372</v>
      </c>
    </row>
    <row r="1636">
      <c r="A1636" s="1" t="s">
        <v>7077</v>
      </c>
      <c r="B1636" s="1" t="s">
        <v>7078</v>
      </c>
      <c r="C1636" s="1">
        <v>2021.0</v>
      </c>
      <c r="D1636" s="2">
        <v>44372.0</v>
      </c>
      <c r="F1636" s="1" t="s">
        <v>1295</v>
      </c>
      <c r="H1636" s="3">
        <v>0.0</v>
      </c>
      <c r="I1636" s="4" t="s">
        <v>7079</v>
      </c>
      <c r="J1636" s="1" t="s">
        <v>7080</v>
      </c>
      <c r="K1636" s="1" t="s">
        <v>323</v>
      </c>
    </row>
    <row r="1637">
      <c r="A1637" s="1" t="s">
        <v>7081</v>
      </c>
      <c r="B1637" s="1" t="s">
        <v>7082</v>
      </c>
      <c r="C1637" s="1">
        <v>2021.0</v>
      </c>
      <c r="D1637" s="2">
        <v>44372.0</v>
      </c>
      <c r="F1637" s="1" t="s">
        <v>271</v>
      </c>
      <c r="H1637" s="3">
        <v>6.0</v>
      </c>
      <c r="I1637" s="4" t="s">
        <v>7083</v>
      </c>
      <c r="J1637" s="1" t="s">
        <v>7084</v>
      </c>
      <c r="K1637" s="1" t="s">
        <v>492</v>
      </c>
    </row>
    <row r="1638">
      <c r="A1638" s="1" t="s">
        <v>7085</v>
      </c>
      <c r="B1638" s="1" t="s">
        <v>7086</v>
      </c>
      <c r="C1638" s="1">
        <v>2021.0</v>
      </c>
      <c r="D1638" s="2">
        <v>44370.0</v>
      </c>
      <c r="F1638" s="1" t="s">
        <v>3463</v>
      </c>
      <c r="H1638" s="3">
        <v>0.0</v>
      </c>
      <c r="I1638" s="4" t="s">
        <v>7087</v>
      </c>
      <c r="J1638" s="1" t="s">
        <v>7088</v>
      </c>
      <c r="K1638" s="1" t="s">
        <v>383</v>
      </c>
    </row>
    <row r="1639">
      <c r="A1639" s="1" t="s">
        <v>7089</v>
      </c>
      <c r="B1639" s="1" t="s">
        <v>6363</v>
      </c>
      <c r="C1639" s="1">
        <v>2021.0</v>
      </c>
      <c r="D1639" s="2">
        <v>44369.0</v>
      </c>
      <c r="F1639" s="1" t="s">
        <v>1859</v>
      </c>
      <c r="H1639" s="3">
        <v>14.0</v>
      </c>
      <c r="I1639" s="4" t="s">
        <v>7090</v>
      </c>
      <c r="J1639" s="1" t="s">
        <v>7091</v>
      </c>
      <c r="K1639" s="1" t="s">
        <v>443</v>
      </c>
    </row>
    <row r="1640">
      <c r="A1640" s="1" t="s">
        <v>7092</v>
      </c>
      <c r="B1640" s="1" t="s">
        <v>7093</v>
      </c>
      <c r="C1640" s="1">
        <v>2021.0</v>
      </c>
      <c r="D1640" s="2">
        <v>44368.0</v>
      </c>
      <c r="F1640" s="1" t="s">
        <v>4707</v>
      </c>
      <c r="H1640" s="3">
        <v>7.0</v>
      </c>
      <c r="I1640" s="4" t="s">
        <v>7094</v>
      </c>
      <c r="J1640" s="1" t="s">
        <v>7095</v>
      </c>
      <c r="K1640" s="1" t="s">
        <v>28</v>
      </c>
    </row>
    <row r="1641">
      <c r="A1641" s="1" t="s">
        <v>7096</v>
      </c>
      <c r="B1641" s="1" t="s">
        <v>7097</v>
      </c>
      <c r="C1641" s="1">
        <v>2021.0</v>
      </c>
      <c r="D1641" s="2">
        <v>44367.0</v>
      </c>
      <c r="F1641" s="1" t="s">
        <v>7098</v>
      </c>
      <c r="H1641" s="3">
        <v>5.0</v>
      </c>
      <c r="I1641" s="4" t="s">
        <v>7099</v>
      </c>
      <c r="J1641" s="1" t="s">
        <v>7100</v>
      </c>
      <c r="K1641" s="1" t="s">
        <v>45</v>
      </c>
    </row>
    <row r="1642">
      <c r="A1642" s="1" t="s">
        <v>7101</v>
      </c>
      <c r="B1642" s="1" t="s">
        <v>7102</v>
      </c>
      <c r="C1642" s="1">
        <v>2021.0</v>
      </c>
      <c r="D1642" s="2">
        <v>44367.0</v>
      </c>
      <c r="F1642" s="1" t="s">
        <v>2955</v>
      </c>
      <c r="H1642" s="3">
        <v>9.0</v>
      </c>
      <c r="I1642" s="4" t="s">
        <v>7103</v>
      </c>
      <c r="J1642" s="1" t="s">
        <v>7104</v>
      </c>
      <c r="K1642" s="1" t="s">
        <v>28</v>
      </c>
    </row>
    <row r="1643">
      <c r="A1643" s="1" t="s">
        <v>7105</v>
      </c>
      <c r="B1643" s="1" t="s">
        <v>7106</v>
      </c>
      <c r="C1643" s="1">
        <v>2021.0</v>
      </c>
      <c r="D1643" s="2">
        <v>44366.0</v>
      </c>
      <c r="F1643" s="1" t="s">
        <v>5144</v>
      </c>
      <c r="H1643" s="3">
        <v>23.0</v>
      </c>
      <c r="I1643" s="4" t="s">
        <v>7107</v>
      </c>
      <c r="J1643" s="1" t="s">
        <v>7108</v>
      </c>
      <c r="K1643" s="1" t="s">
        <v>413</v>
      </c>
    </row>
    <row r="1644">
      <c r="A1644" s="1" t="s">
        <v>7109</v>
      </c>
      <c r="B1644" s="1" t="s">
        <v>7110</v>
      </c>
      <c r="C1644" s="1">
        <v>2021.0</v>
      </c>
      <c r="D1644" s="2">
        <v>44365.0</v>
      </c>
      <c r="F1644" s="1" t="s">
        <v>7111</v>
      </c>
      <c r="H1644" s="3">
        <v>4.0</v>
      </c>
      <c r="I1644" s="4" t="s">
        <v>7112</v>
      </c>
      <c r="J1644" s="1" t="s">
        <v>7113</v>
      </c>
      <c r="K1644" s="1" t="s">
        <v>28</v>
      </c>
    </row>
    <row r="1645">
      <c r="A1645" s="1" t="s">
        <v>7114</v>
      </c>
      <c r="B1645" s="1" t="s">
        <v>7115</v>
      </c>
      <c r="C1645" s="1">
        <v>2021.0</v>
      </c>
      <c r="D1645" s="2">
        <v>44365.0</v>
      </c>
      <c r="F1645" s="1" t="s">
        <v>228</v>
      </c>
      <c r="H1645" s="3">
        <v>6.0</v>
      </c>
      <c r="I1645" s="4" t="s">
        <v>7116</v>
      </c>
      <c r="J1645" s="1" t="s">
        <v>7117</v>
      </c>
      <c r="K1645" s="1" t="s">
        <v>16</v>
      </c>
    </row>
    <row r="1646">
      <c r="A1646" s="1" t="s">
        <v>7118</v>
      </c>
      <c r="B1646" s="1" t="s">
        <v>7119</v>
      </c>
      <c r="C1646" s="1">
        <v>2021.0</v>
      </c>
      <c r="D1646" s="2">
        <v>44364.0</v>
      </c>
      <c r="F1646" s="1" t="s">
        <v>7120</v>
      </c>
      <c r="H1646" s="3">
        <v>8.0</v>
      </c>
      <c r="I1646" s="4" t="s">
        <v>7121</v>
      </c>
      <c r="J1646" s="1" t="s">
        <v>7122</v>
      </c>
      <c r="K1646" s="1" t="s">
        <v>45</v>
      </c>
    </row>
    <row r="1647">
      <c r="A1647" s="1" t="s">
        <v>7123</v>
      </c>
      <c r="B1647" s="1" t="s">
        <v>7124</v>
      </c>
      <c r="C1647" s="1">
        <v>2021.0</v>
      </c>
      <c r="D1647" s="2">
        <v>44364.0</v>
      </c>
      <c r="F1647" s="1" t="s">
        <v>7125</v>
      </c>
      <c r="H1647" s="3">
        <v>0.0</v>
      </c>
      <c r="I1647" s="4" t="s">
        <v>7126</v>
      </c>
      <c r="J1647" s="1" t="s">
        <v>7127</v>
      </c>
      <c r="K1647" s="1" t="s">
        <v>16</v>
      </c>
    </row>
    <row r="1648">
      <c r="A1648" s="1" t="s">
        <v>7128</v>
      </c>
      <c r="B1648" s="1" t="s">
        <v>7129</v>
      </c>
      <c r="C1648" s="1">
        <v>2021.0</v>
      </c>
      <c r="D1648" s="2">
        <v>44363.0</v>
      </c>
      <c r="F1648" s="1" t="s">
        <v>1300</v>
      </c>
      <c r="H1648" s="3">
        <v>93.0</v>
      </c>
      <c r="I1648" s="4" t="s">
        <v>7130</v>
      </c>
      <c r="J1648" s="1" t="s">
        <v>7131</v>
      </c>
      <c r="K1648" s="1" t="s">
        <v>28</v>
      </c>
    </row>
    <row r="1649">
      <c r="A1649" s="1" t="s">
        <v>7132</v>
      </c>
      <c r="B1649" s="1" t="s">
        <v>7133</v>
      </c>
      <c r="C1649" s="1">
        <v>2021.0</v>
      </c>
      <c r="D1649" s="2">
        <v>44363.0</v>
      </c>
      <c r="F1649" s="1" t="s">
        <v>1982</v>
      </c>
      <c r="H1649" s="3">
        <v>9.0</v>
      </c>
      <c r="I1649" s="4" t="s">
        <v>7134</v>
      </c>
      <c r="J1649" s="1" t="s">
        <v>7135</v>
      </c>
      <c r="K1649" s="1" t="s">
        <v>323</v>
      </c>
    </row>
    <row r="1650">
      <c r="A1650" s="1" t="s">
        <v>7136</v>
      </c>
      <c r="B1650" s="1" t="s">
        <v>7137</v>
      </c>
      <c r="C1650" s="1">
        <v>2021.0</v>
      </c>
      <c r="D1650" s="2">
        <v>44363.0</v>
      </c>
      <c r="F1650" s="1" t="s">
        <v>4634</v>
      </c>
      <c r="H1650" s="3">
        <v>11.0</v>
      </c>
      <c r="I1650" s="4" t="s">
        <v>7138</v>
      </c>
      <c r="J1650" s="1" t="s">
        <v>7139</v>
      </c>
      <c r="K1650" s="1" t="s">
        <v>383</v>
      </c>
    </row>
    <row r="1651">
      <c r="A1651" s="1" t="s">
        <v>7140</v>
      </c>
      <c r="B1651" s="1" t="s">
        <v>7141</v>
      </c>
      <c r="C1651" s="1">
        <v>2021.0</v>
      </c>
      <c r="D1651" s="2">
        <v>44362.0</v>
      </c>
      <c r="F1651" s="1" t="s">
        <v>4755</v>
      </c>
      <c r="H1651" s="3">
        <v>45.0</v>
      </c>
      <c r="I1651" s="4" t="s">
        <v>7142</v>
      </c>
      <c r="J1651" s="1" t="s">
        <v>7143</v>
      </c>
      <c r="K1651" s="1" t="s">
        <v>295</v>
      </c>
    </row>
    <row r="1652">
      <c r="A1652" s="1" t="s">
        <v>7144</v>
      </c>
      <c r="B1652" s="1" t="s">
        <v>7145</v>
      </c>
      <c r="C1652" s="1">
        <v>2021.0</v>
      </c>
      <c r="D1652" s="2">
        <v>44361.0</v>
      </c>
      <c r="F1652" s="1" t="s">
        <v>5944</v>
      </c>
      <c r="H1652" s="3">
        <v>3.0</v>
      </c>
      <c r="I1652" s="4" t="s">
        <v>7146</v>
      </c>
      <c r="J1652" s="1" t="s">
        <v>7147</v>
      </c>
      <c r="K1652" s="1" t="s">
        <v>403</v>
      </c>
    </row>
    <row r="1653">
      <c r="A1653" s="1" t="s">
        <v>7148</v>
      </c>
      <c r="B1653" s="1" t="s">
        <v>7149</v>
      </c>
      <c r="C1653" s="1">
        <v>2021.0</v>
      </c>
      <c r="D1653" s="2">
        <v>44361.0</v>
      </c>
      <c r="F1653" s="1" t="s">
        <v>2449</v>
      </c>
      <c r="H1653" s="3">
        <v>5.0</v>
      </c>
      <c r="I1653" s="4" t="s">
        <v>7150</v>
      </c>
      <c r="J1653" s="1" t="s">
        <v>7151</v>
      </c>
      <c r="K1653" s="1" t="s">
        <v>28</v>
      </c>
    </row>
    <row r="1654">
      <c r="A1654" s="1" t="s">
        <v>7152</v>
      </c>
      <c r="B1654" s="1" t="s">
        <v>7153</v>
      </c>
      <c r="C1654" s="1">
        <v>2021.0</v>
      </c>
      <c r="D1654" s="2">
        <v>44361.0</v>
      </c>
      <c r="F1654" s="1" t="s">
        <v>2173</v>
      </c>
      <c r="H1654" s="3">
        <v>0.0</v>
      </c>
      <c r="I1654" s="4" t="s">
        <v>7154</v>
      </c>
      <c r="J1654" s="1" t="s">
        <v>7155</v>
      </c>
      <c r="K1654" s="1" t="s">
        <v>477</v>
      </c>
    </row>
    <row r="1655">
      <c r="A1655" s="1" t="s">
        <v>7156</v>
      </c>
      <c r="B1655" s="1" t="s">
        <v>7157</v>
      </c>
      <c r="C1655" s="1">
        <v>2021.0</v>
      </c>
      <c r="D1655" s="2">
        <v>44361.0</v>
      </c>
      <c r="F1655" s="1" t="s">
        <v>7158</v>
      </c>
      <c r="H1655" s="3">
        <v>17.0</v>
      </c>
      <c r="I1655" s="4" t="s">
        <v>7159</v>
      </c>
      <c r="J1655" s="1"/>
      <c r="K1655" s="1" t="s">
        <v>16</v>
      </c>
    </row>
    <row r="1656">
      <c r="A1656" s="1" t="s">
        <v>7160</v>
      </c>
      <c r="B1656" s="1" t="s">
        <v>7161</v>
      </c>
      <c r="C1656" s="1">
        <v>2021.0</v>
      </c>
      <c r="D1656" s="2">
        <v>44359.0</v>
      </c>
      <c r="F1656" s="1" t="s">
        <v>7162</v>
      </c>
      <c r="H1656" s="3">
        <v>18.0</v>
      </c>
      <c r="I1656" s="4" t="s">
        <v>7163</v>
      </c>
      <c r="J1656" s="1" t="s">
        <v>7164</v>
      </c>
      <c r="K1656" s="1" t="s">
        <v>28</v>
      </c>
    </row>
    <row r="1657">
      <c r="A1657" s="1" t="s">
        <v>7165</v>
      </c>
      <c r="B1657" s="1" t="s">
        <v>7166</v>
      </c>
      <c r="C1657" s="1">
        <v>2021.0</v>
      </c>
      <c r="D1657" s="2">
        <v>44358.0</v>
      </c>
      <c r="F1657" s="1" t="s">
        <v>396</v>
      </c>
      <c r="H1657" s="3">
        <v>3.0</v>
      </c>
      <c r="I1657" s="4" t="s">
        <v>7167</v>
      </c>
      <c r="J1657" s="1"/>
      <c r="K1657" s="1" t="s">
        <v>28</v>
      </c>
    </row>
    <row r="1658">
      <c r="A1658" s="1" t="s">
        <v>7168</v>
      </c>
      <c r="B1658" s="1" t="s">
        <v>7169</v>
      </c>
      <c r="C1658" s="1">
        <v>2021.0</v>
      </c>
      <c r="D1658" s="2">
        <v>44358.0</v>
      </c>
      <c r="F1658" s="1" t="s">
        <v>7170</v>
      </c>
      <c r="H1658" s="3">
        <v>5.0</v>
      </c>
      <c r="I1658" s="4" t="s">
        <v>7171</v>
      </c>
      <c r="J1658" s="1" t="s">
        <v>7172</v>
      </c>
      <c r="K1658" s="1" t="s">
        <v>413</v>
      </c>
    </row>
    <row r="1659">
      <c r="A1659" s="1" t="s">
        <v>7173</v>
      </c>
      <c r="B1659" s="1" t="s">
        <v>7174</v>
      </c>
      <c r="C1659" s="1">
        <v>2021.0</v>
      </c>
      <c r="D1659" s="2">
        <v>44357.0</v>
      </c>
      <c r="F1659" s="1" t="s">
        <v>4235</v>
      </c>
      <c r="H1659" s="3">
        <v>5.0</v>
      </c>
      <c r="I1659" s="4" t="s">
        <v>7175</v>
      </c>
      <c r="J1659" s="1" t="s">
        <v>7176</v>
      </c>
      <c r="K1659" s="1" t="s">
        <v>418</v>
      </c>
    </row>
    <row r="1660">
      <c r="A1660" s="1" t="s">
        <v>7177</v>
      </c>
      <c r="B1660" s="1" t="s">
        <v>7178</v>
      </c>
      <c r="C1660" s="1">
        <v>2021.0</v>
      </c>
      <c r="D1660" s="2">
        <v>44357.0</v>
      </c>
      <c r="F1660" s="1" t="s">
        <v>410</v>
      </c>
      <c r="H1660" s="3">
        <v>43.0</v>
      </c>
      <c r="I1660" s="4" t="s">
        <v>7179</v>
      </c>
      <c r="J1660" s="1" t="s">
        <v>7180</v>
      </c>
      <c r="K1660" s="1" t="s">
        <v>413</v>
      </c>
    </row>
    <row r="1661">
      <c r="A1661" s="1" t="s">
        <v>7181</v>
      </c>
      <c r="B1661" s="1" t="s">
        <v>7182</v>
      </c>
      <c r="C1661" s="1">
        <v>2021.0</v>
      </c>
      <c r="D1661" s="2">
        <v>44357.0</v>
      </c>
      <c r="F1661" s="1" t="s">
        <v>1659</v>
      </c>
      <c r="H1661" s="3">
        <v>5.0</v>
      </c>
      <c r="I1661" s="4" t="s">
        <v>7183</v>
      </c>
      <c r="J1661" s="1" t="s">
        <v>7184</v>
      </c>
      <c r="K1661" s="1" t="s">
        <v>1036</v>
      </c>
    </row>
    <row r="1662">
      <c r="A1662" s="1" t="s">
        <v>7185</v>
      </c>
      <c r="B1662" s="1" t="s">
        <v>7186</v>
      </c>
      <c r="C1662" s="1">
        <v>2021.0</v>
      </c>
      <c r="D1662" s="2">
        <v>44355.0</v>
      </c>
      <c r="F1662" s="1" t="s">
        <v>1358</v>
      </c>
      <c r="H1662" s="3">
        <v>5.0</v>
      </c>
      <c r="I1662" s="4" t="s">
        <v>7187</v>
      </c>
      <c r="J1662" s="1" t="s">
        <v>7188</v>
      </c>
      <c r="K1662" s="1" t="s">
        <v>295</v>
      </c>
    </row>
    <row r="1663">
      <c r="A1663" s="1" t="s">
        <v>7189</v>
      </c>
      <c r="B1663" s="1" t="s">
        <v>7190</v>
      </c>
      <c r="C1663" s="1">
        <v>2021.0</v>
      </c>
      <c r="D1663" s="2">
        <v>44354.0</v>
      </c>
      <c r="F1663" s="1" t="s">
        <v>86</v>
      </c>
      <c r="H1663" s="3">
        <v>9.0</v>
      </c>
      <c r="I1663" s="4" t="s">
        <v>7191</v>
      </c>
      <c r="J1663" s="1" t="s">
        <v>7192</v>
      </c>
      <c r="K1663" s="1" t="s">
        <v>28</v>
      </c>
    </row>
    <row r="1664">
      <c r="A1664" s="1" t="s">
        <v>7193</v>
      </c>
      <c r="B1664" s="1" t="s">
        <v>7194</v>
      </c>
      <c r="C1664" s="1">
        <v>2021.0</v>
      </c>
      <c r="D1664" s="2">
        <v>44354.0</v>
      </c>
      <c r="F1664" s="1" t="s">
        <v>2335</v>
      </c>
      <c r="H1664" s="3">
        <v>12.0</v>
      </c>
      <c r="I1664" s="4" t="s">
        <v>7195</v>
      </c>
      <c r="J1664" s="1" t="s">
        <v>7196</v>
      </c>
      <c r="K1664" s="1" t="s">
        <v>16</v>
      </c>
    </row>
    <row r="1665">
      <c r="A1665" s="1" t="s">
        <v>7197</v>
      </c>
      <c r="B1665" s="1" t="s">
        <v>7198</v>
      </c>
      <c r="C1665" s="1">
        <v>2021.0</v>
      </c>
      <c r="D1665" s="2">
        <v>44353.0</v>
      </c>
      <c r="F1665" s="1" t="s">
        <v>2497</v>
      </c>
      <c r="H1665" s="3">
        <v>9.0</v>
      </c>
      <c r="I1665" s="4" t="s">
        <v>7199</v>
      </c>
      <c r="J1665" s="1" t="s">
        <v>7200</v>
      </c>
      <c r="K1665" s="1" t="s">
        <v>295</v>
      </c>
    </row>
    <row r="1666">
      <c r="A1666" s="1" t="s">
        <v>7201</v>
      </c>
      <c r="B1666" s="1" t="s">
        <v>7202</v>
      </c>
      <c r="C1666" s="1">
        <v>2021.0</v>
      </c>
      <c r="D1666" s="2">
        <v>44351.0</v>
      </c>
      <c r="F1666" s="1" t="s">
        <v>2119</v>
      </c>
      <c r="H1666" s="3">
        <v>6.0</v>
      </c>
      <c r="I1666" s="4" t="s">
        <v>7203</v>
      </c>
      <c r="J1666" s="1" t="s">
        <v>7204</v>
      </c>
      <c r="K1666" s="1" t="s">
        <v>16</v>
      </c>
    </row>
    <row r="1667">
      <c r="A1667" s="1" t="s">
        <v>7205</v>
      </c>
      <c r="B1667" s="1" t="s">
        <v>7206</v>
      </c>
      <c r="C1667" s="1">
        <v>2021.0</v>
      </c>
      <c r="D1667" s="2">
        <v>44350.0</v>
      </c>
      <c r="F1667" s="1" t="s">
        <v>835</v>
      </c>
      <c r="H1667" s="3">
        <v>20.0</v>
      </c>
      <c r="I1667" s="4" t="s">
        <v>7207</v>
      </c>
      <c r="J1667" s="1" t="s">
        <v>7208</v>
      </c>
      <c r="K1667" s="1" t="s">
        <v>383</v>
      </c>
    </row>
    <row r="1668">
      <c r="A1668" s="1" t="s">
        <v>7209</v>
      </c>
      <c r="B1668" s="1" t="s">
        <v>7210</v>
      </c>
      <c r="C1668" s="1">
        <v>2021.0</v>
      </c>
      <c r="D1668" s="2">
        <v>44350.0</v>
      </c>
      <c r="F1668" s="1" t="s">
        <v>1277</v>
      </c>
      <c r="H1668" s="3">
        <v>26.0</v>
      </c>
      <c r="I1668" s="4" t="s">
        <v>7211</v>
      </c>
      <c r="J1668" s="1" t="s">
        <v>7212</v>
      </c>
      <c r="K1668" s="1" t="s">
        <v>317</v>
      </c>
    </row>
    <row r="1669">
      <c r="A1669" s="1" t="s">
        <v>7213</v>
      </c>
      <c r="B1669" s="1" t="s">
        <v>7214</v>
      </c>
      <c r="C1669" s="1">
        <v>2021.0</v>
      </c>
      <c r="D1669" s="2">
        <v>44349.0</v>
      </c>
      <c r="F1669" s="1" t="s">
        <v>3207</v>
      </c>
      <c r="H1669" s="3">
        <v>18.0</v>
      </c>
      <c r="I1669" s="4" t="s">
        <v>7215</v>
      </c>
      <c r="J1669" s="1" t="s">
        <v>7216</v>
      </c>
      <c r="K1669" s="1" t="s">
        <v>413</v>
      </c>
    </row>
    <row r="1670">
      <c r="A1670" s="1" t="s">
        <v>7217</v>
      </c>
      <c r="B1670" s="1" t="s">
        <v>7218</v>
      </c>
      <c r="C1670" s="1">
        <v>2021.0</v>
      </c>
      <c r="D1670" s="2">
        <v>44348.0</v>
      </c>
      <c r="F1670" s="1" t="s">
        <v>5554</v>
      </c>
      <c r="H1670" s="3">
        <v>25.0</v>
      </c>
      <c r="I1670" s="4" t="s">
        <v>7219</v>
      </c>
      <c r="J1670" s="1" t="s">
        <v>7220</v>
      </c>
      <c r="K1670" s="1" t="s">
        <v>926</v>
      </c>
    </row>
    <row r="1671">
      <c r="A1671" s="1" t="s">
        <v>7221</v>
      </c>
      <c r="B1671" s="1" t="s">
        <v>7222</v>
      </c>
      <c r="C1671" s="1">
        <v>2021.0</v>
      </c>
      <c r="D1671" s="2">
        <v>44346.0</v>
      </c>
      <c r="F1671" s="1" t="s">
        <v>208</v>
      </c>
      <c r="H1671" s="3">
        <v>52.0</v>
      </c>
      <c r="I1671" s="4" t="s">
        <v>7223</v>
      </c>
      <c r="J1671" s="1" t="s">
        <v>7224</v>
      </c>
      <c r="K1671" s="1" t="s">
        <v>45</v>
      </c>
    </row>
    <row r="1672">
      <c r="A1672" s="1" t="s">
        <v>7225</v>
      </c>
      <c r="B1672" s="1" t="s">
        <v>7226</v>
      </c>
      <c r="C1672" s="1">
        <v>2021.0</v>
      </c>
      <c r="D1672" s="2">
        <v>44344.0</v>
      </c>
      <c r="F1672" s="1" t="s">
        <v>2119</v>
      </c>
      <c r="H1672" s="3">
        <v>11.0</v>
      </c>
      <c r="I1672" s="4" t="s">
        <v>7227</v>
      </c>
      <c r="J1672" s="1" t="s">
        <v>7228</v>
      </c>
      <c r="K1672" s="1" t="s">
        <v>16</v>
      </c>
    </row>
    <row r="1673">
      <c r="A1673" s="1" t="s">
        <v>7229</v>
      </c>
      <c r="B1673" s="1" t="s">
        <v>7230</v>
      </c>
      <c r="C1673" s="1">
        <v>2021.0</v>
      </c>
      <c r="D1673" s="2">
        <v>44343.0</v>
      </c>
      <c r="F1673" s="1" t="s">
        <v>1300</v>
      </c>
      <c r="H1673" s="3">
        <v>45.0</v>
      </c>
      <c r="I1673" s="4" t="s">
        <v>7231</v>
      </c>
      <c r="J1673" s="1" t="s">
        <v>7232</v>
      </c>
      <c r="K1673" s="1" t="s">
        <v>383</v>
      </c>
    </row>
    <row r="1674">
      <c r="A1674" s="1" t="s">
        <v>7233</v>
      </c>
      <c r="B1674" s="1" t="s">
        <v>7234</v>
      </c>
      <c r="C1674" s="1">
        <v>2021.0</v>
      </c>
      <c r="D1674" s="2">
        <v>44343.0</v>
      </c>
      <c r="F1674" s="1" t="s">
        <v>1199</v>
      </c>
      <c r="H1674" s="3">
        <v>7.0</v>
      </c>
      <c r="I1674" s="4" t="s">
        <v>7235</v>
      </c>
      <c r="J1674" s="1" t="s">
        <v>7236</v>
      </c>
      <c r="K1674" s="1" t="s">
        <v>28</v>
      </c>
    </row>
    <row r="1675">
      <c r="A1675" s="1" t="s">
        <v>7237</v>
      </c>
      <c r="B1675" s="1" t="s">
        <v>7238</v>
      </c>
      <c r="C1675" s="1">
        <v>2021.0</v>
      </c>
      <c r="D1675" s="2">
        <v>44343.0</v>
      </c>
      <c r="F1675" s="1" t="s">
        <v>71</v>
      </c>
      <c r="H1675" s="3">
        <v>6.0</v>
      </c>
      <c r="I1675" s="4" t="s">
        <v>7239</v>
      </c>
      <c r="J1675" s="1" t="s">
        <v>7240</v>
      </c>
      <c r="K1675" s="1" t="s">
        <v>16</v>
      </c>
    </row>
    <row r="1676">
      <c r="A1676" s="1" t="s">
        <v>7241</v>
      </c>
      <c r="B1676" s="1" t="s">
        <v>7242</v>
      </c>
      <c r="C1676" s="1">
        <v>2021.0</v>
      </c>
      <c r="D1676" s="2">
        <v>44343.0</v>
      </c>
      <c r="F1676" s="1" t="s">
        <v>6264</v>
      </c>
      <c r="H1676" s="3">
        <v>31.0</v>
      </c>
      <c r="I1676" s="4" t="s">
        <v>7243</v>
      </c>
      <c r="J1676" s="1" t="s">
        <v>7244</v>
      </c>
      <c r="K1676" s="1" t="s">
        <v>1036</v>
      </c>
    </row>
    <row r="1677">
      <c r="A1677" s="1" t="s">
        <v>7245</v>
      </c>
      <c r="B1677" s="1" t="s">
        <v>7246</v>
      </c>
      <c r="C1677" s="1">
        <v>2021.0</v>
      </c>
      <c r="D1677" s="2">
        <v>44342.0</v>
      </c>
      <c r="F1677" s="1" t="s">
        <v>1095</v>
      </c>
      <c r="H1677" s="3">
        <v>13.0</v>
      </c>
      <c r="I1677" s="4" t="s">
        <v>7247</v>
      </c>
      <c r="J1677" s="1" t="s">
        <v>7248</v>
      </c>
      <c r="K1677" s="1" t="s">
        <v>443</v>
      </c>
    </row>
    <row r="1678">
      <c r="A1678" s="1" t="s">
        <v>7249</v>
      </c>
      <c r="B1678" s="1" t="s">
        <v>7250</v>
      </c>
      <c r="C1678" s="1">
        <v>2021.0</v>
      </c>
      <c r="D1678" s="2">
        <v>44342.0</v>
      </c>
      <c r="F1678" s="1" t="s">
        <v>2982</v>
      </c>
      <c r="H1678" s="3">
        <v>9.0</v>
      </c>
      <c r="I1678" s="4" t="s">
        <v>7251</v>
      </c>
      <c r="J1678" s="1" t="s">
        <v>7252</v>
      </c>
      <c r="K1678" s="1" t="s">
        <v>413</v>
      </c>
    </row>
    <row r="1679">
      <c r="A1679" s="1" t="s">
        <v>7253</v>
      </c>
      <c r="B1679" s="1" t="s">
        <v>7254</v>
      </c>
      <c r="C1679" s="1">
        <v>2021.0</v>
      </c>
      <c r="D1679" s="2">
        <v>44341.0</v>
      </c>
      <c r="F1679" s="1" t="s">
        <v>7255</v>
      </c>
      <c r="H1679" s="3">
        <v>16.0</v>
      </c>
      <c r="I1679" s="4" t="s">
        <v>7256</v>
      </c>
      <c r="J1679" s="1" t="s">
        <v>7257</v>
      </c>
      <c r="K1679" s="1" t="s">
        <v>413</v>
      </c>
    </row>
    <row r="1680">
      <c r="A1680" s="1" t="s">
        <v>7258</v>
      </c>
      <c r="B1680" s="1" t="s">
        <v>7259</v>
      </c>
      <c r="C1680" s="1">
        <v>2021.0</v>
      </c>
      <c r="D1680" s="2">
        <v>44340.0</v>
      </c>
      <c r="F1680" s="1" t="s">
        <v>1170</v>
      </c>
      <c r="H1680" s="3">
        <v>124.0</v>
      </c>
      <c r="I1680" s="4" t="s">
        <v>7260</v>
      </c>
      <c r="J1680" s="1" t="s">
        <v>7261</v>
      </c>
      <c r="K1680" s="1" t="s">
        <v>45</v>
      </c>
    </row>
    <row r="1681">
      <c r="A1681" s="1" t="s">
        <v>7262</v>
      </c>
      <c r="B1681" s="1" t="s">
        <v>7263</v>
      </c>
      <c r="C1681" s="1">
        <v>2021.0</v>
      </c>
      <c r="D1681" s="2">
        <v>44340.0</v>
      </c>
      <c r="F1681" s="1" t="s">
        <v>2987</v>
      </c>
      <c r="H1681" s="3">
        <v>43.0</v>
      </c>
      <c r="I1681" s="4" t="s">
        <v>7264</v>
      </c>
      <c r="J1681" s="1" t="s">
        <v>7265</v>
      </c>
      <c r="K1681" s="1" t="s">
        <v>16</v>
      </c>
    </row>
    <row r="1682">
      <c r="A1682" s="1" t="s">
        <v>7266</v>
      </c>
      <c r="B1682" s="1" t="s">
        <v>7267</v>
      </c>
      <c r="C1682" s="1">
        <v>2021.0</v>
      </c>
      <c r="D1682" s="2">
        <v>44340.0</v>
      </c>
      <c r="F1682" s="1" t="s">
        <v>711</v>
      </c>
      <c r="H1682" s="3">
        <v>2.0</v>
      </c>
      <c r="I1682" s="4" t="s">
        <v>7268</v>
      </c>
      <c r="J1682" s="1"/>
      <c r="K1682" s="1" t="s">
        <v>16</v>
      </c>
    </row>
    <row r="1683">
      <c r="A1683" s="1" t="s">
        <v>7269</v>
      </c>
      <c r="B1683" s="1" t="s">
        <v>7270</v>
      </c>
      <c r="C1683" s="1">
        <v>2021.0</v>
      </c>
      <c r="D1683" s="2">
        <v>44338.0</v>
      </c>
      <c r="F1683" s="1" t="s">
        <v>7271</v>
      </c>
      <c r="H1683" s="3">
        <v>12.0</v>
      </c>
      <c r="I1683" s="4" t="s">
        <v>7272</v>
      </c>
      <c r="J1683" s="1" t="s">
        <v>7273</v>
      </c>
      <c r="K1683" s="1" t="s">
        <v>413</v>
      </c>
    </row>
    <row r="1684">
      <c r="A1684" s="1" t="s">
        <v>7274</v>
      </c>
      <c r="B1684" s="1" t="s">
        <v>7275</v>
      </c>
      <c r="C1684" s="1">
        <v>2021.0</v>
      </c>
      <c r="D1684" s="2">
        <v>44336.0</v>
      </c>
      <c r="F1684" s="1" t="s">
        <v>2444</v>
      </c>
      <c r="H1684" s="3">
        <v>306.0</v>
      </c>
      <c r="I1684" s="4" t="s">
        <v>7276</v>
      </c>
      <c r="J1684" s="1" t="s">
        <v>7277</v>
      </c>
      <c r="K1684" s="1" t="s">
        <v>383</v>
      </c>
    </row>
    <row r="1685">
      <c r="A1685" s="1" t="s">
        <v>7278</v>
      </c>
      <c r="B1685" s="1" t="s">
        <v>4115</v>
      </c>
      <c r="C1685" s="1">
        <v>2021.0</v>
      </c>
      <c r="D1685" s="2">
        <v>44335.0</v>
      </c>
      <c r="F1685" s="1" t="s">
        <v>13</v>
      </c>
      <c r="H1685" s="3">
        <v>45.0</v>
      </c>
      <c r="I1685" s="4" t="s">
        <v>7279</v>
      </c>
      <c r="J1685" s="1" t="s">
        <v>7280</v>
      </c>
      <c r="K1685" s="1" t="s">
        <v>16</v>
      </c>
    </row>
    <row r="1686">
      <c r="A1686" s="1" t="s">
        <v>7281</v>
      </c>
      <c r="B1686" s="1" t="s">
        <v>7282</v>
      </c>
      <c r="C1686" s="1">
        <v>2021.0</v>
      </c>
      <c r="D1686" s="2">
        <v>44334.0</v>
      </c>
      <c r="F1686" s="1" t="s">
        <v>3542</v>
      </c>
      <c r="H1686" s="3">
        <v>4.0</v>
      </c>
      <c r="I1686" s="4" t="s">
        <v>7283</v>
      </c>
      <c r="J1686" s="1" t="s">
        <v>7284</v>
      </c>
      <c r="K1686" s="1" t="s">
        <v>413</v>
      </c>
    </row>
    <row r="1687">
      <c r="A1687" s="1" t="s">
        <v>7285</v>
      </c>
      <c r="B1687" s="1" t="s">
        <v>7286</v>
      </c>
      <c r="C1687" s="1">
        <v>2021.0</v>
      </c>
      <c r="D1687" s="2">
        <v>44333.0</v>
      </c>
      <c r="F1687" s="1" t="s">
        <v>1233</v>
      </c>
      <c r="H1687" s="3">
        <v>11.0</v>
      </c>
      <c r="I1687" s="4" t="s">
        <v>7287</v>
      </c>
      <c r="J1687" s="1" t="s">
        <v>7288</v>
      </c>
      <c r="K1687" s="1" t="s">
        <v>413</v>
      </c>
    </row>
    <row r="1688">
      <c r="A1688" s="1" t="s">
        <v>7289</v>
      </c>
      <c r="B1688" s="1" t="s">
        <v>7290</v>
      </c>
      <c r="C1688" s="1">
        <v>2021.0</v>
      </c>
      <c r="D1688" s="2">
        <v>44333.0</v>
      </c>
      <c r="F1688" s="1" t="s">
        <v>2335</v>
      </c>
      <c r="H1688" s="3">
        <v>2.0</v>
      </c>
      <c r="I1688" s="4" t="s">
        <v>7291</v>
      </c>
      <c r="J1688" s="1" t="s">
        <v>7292</v>
      </c>
      <c r="K1688" s="1" t="s">
        <v>16</v>
      </c>
    </row>
    <row r="1689">
      <c r="A1689" s="1" t="s">
        <v>7293</v>
      </c>
      <c r="B1689" s="1" t="s">
        <v>7294</v>
      </c>
      <c r="C1689" s="1">
        <v>2021.0</v>
      </c>
      <c r="D1689" s="2">
        <v>44332.0</v>
      </c>
      <c r="F1689" s="1" t="s">
        <v>1851</v>
      </c>
      <c r="H1689" s="3">
        <v>5.0</v>
      </c>
      <c r="I1689" s="4" t="s">
        <v>7295</v>
      </c>
      <c r="J1689" s="1" t="s">
        <v>7296</v>
      </c>
      <c r="K1689" s="1" t="s">
        <v>16</v>
      </c>
    </row>
    <row r="1690">
      <c r="A1690" s="1" t="s">
        <v>7297</v>
      </c>
      <c r="B1690" s="1" t="s">
        <v>7298</v>
      </c>
      <c r="C1690" s="1">
        <v>2021.0</v>
      </c>
      <c r="D1690" s="2">
        <v>44331.0</v>
      </c>
      <c r="F1690" s="1" t="s">
        <v>7299</v>
      </c>
      <c r="H1690" s="3">
        <v>37.0</v>
      </c>
      <c r="I1690" s="4" t="s">
        <v>7300</v>
      </c>
      <c r="J1690" s="1" t="s">
        <v>7301</v>
      </c>
      <c r="K1690" s="1" t="s">
        <v>295</v>
      </c>
    </row>
    <row r="1691">
      <c r="A1691" s="1" t="s">
        <v>7302</v>
      </c>
      <c r="B1691" s="1" t="s">
        <v>7303</v>
      </c>
      <c r="C1691" s="1">
        <v>2021.0</v>
      </c>
      <c r="D1691" s="2">
        <v>44329.0</v>
      </c>
      <c r="F1691" s="1" t="s">
        <v>5392</v>
      </c>
      <c r="H1691" s="3">
        <v>3.0</v>
      </c>
      <c r="I1691" s="4" t="s">
        <v>7304</v>
      </c>
      <c r="J1691" s="1" t="s">
        <v>7305</v>
      </c>
      <c r="K1691" s="1" t="s">
        <v>323</v>
      </c>
    </row>
    <row r="1692">
      <c r="A1692" s="1" t="s">
        <v>7306</v>
      </c>
      <c r="B1692" s="1" t="s">
        <v>7307</v>
      </c>
      <c r="C1692" s="1">
        <v>2021.0</v>
      </c>
      <c r="D1692" s="2">
        <v>44328.0</v>
      </c>
      <c r="F1692" s="1" t="s">
        <v>519</v>
      </c>
      <c r="H1692" s="3">
        <v>3.0</v>
      </c>
      <c r="I1692" s="4" t="s">
        <v>7308</v>
      </c>
      <c r="J1692" s="1" t="s">
        <v>7309</v>
      </c>
      <c r="K1692" s="1" t="s">
        <v>28</v>
      </c>
    </row>
    <row r="1693">
      <c r="A1693" s="1" t="s">
        <v>7310</v>
      </c>
      <c r="B1693" s="1" t="s">
        <v>7311</v>
      </c>
      <c r="C1693" s="1">
        <v>2021.0</v>
      </c>
      <c r="D1693" s="2">
        <v>44328.0</v>
      </c>
      <c r="F1693" s="1" t="s">
        <v>5686</v>
      </c>
      <c r="H1693" s="3">
        <v>4.0</v>
      </c>
      <c r="I1693" s="4" t="s">
        <v>7312</v>
      </c>
      <c r="J1693" s="1" t="s">
        <v>7313</v>
      </c>
      <c r="K1693" s="1" t="s">
        <v>323</v>
      </c>
    </row>
    <row r="1694">
      <c r="A1694" s="1" t="s">
        <v>7314</v>
      </c>
      <c r="B1694" s="1" t="s">
        <v>7315</v>
      </c>
      <c r="C1694" s="1">
        <v>2021.0</v>
      </c>
      <c r="D1694" s="2">
        <v>44327.0</v>
      </c>
      <c r="F1694" s="1" t="s">
        <v>7316</v>
      </c>
      <c r="H1694" s="3">
        <v>8.0</v>
      </c>
      <c r="I1694" s="4" t="s">
        <v>7317</v>
      </c>
      <c r="J1694" s="1" t="s">
        <v>7318</v>
      </c>
      <c r="K1694" s="1" t="s">
        <v>443</v>
      </c>
    </row>
    <row r="1695">
      <c r="A1695" s="1" t="s">
        <v>7319</v>
      </c>
      <c r="B1695" s="1" t="s">
        <v>7320</v>
      </c>
      <c r="C1695" s="1">
        <v>2021.0</v>
      </c>
      <c r="D1695" s="2">
        <v>44327.0</v>
      </c>
      <c r="F1695" s="1" t="s">
        <v>2693</v>
      </c>
      <c r="H1695" s="3">
        <v>7.0</v>
      </c>
      <c r="I1695" s="4" t="s">
        <v>7321</v>
      </c>
      <c r="J1695" s="1" t="s">
        <v>7322</v>
      </c>
      <c r="K1695" s="1" t="s">
        <v>16</v>
      </c>
    </row>
    <row r="1696">
      <c r="A1696" s="1" t="s">
        <v>7323</v>
      </c>
      <c r="B1696" s="1" t="s">
        <v>7324</v>
      </c>
      <c r="C1696" s="1">
        <v>2021.0</v>
      </c>
      <c r="D1696" s="2">
        <v>44326.0</v>
      </c>
      <c r="F1696" s="1" t="s">
        <v>276</v>
      </c>
      <c r="H1696" s="3">
        <v>7.0</v>
      </c>
      <c r="I1696" s="4" t="s">
        <v>7325</v>
      </c>
      <c r="J1696" s="1" t="s">
        <v>7326</v>
      </c>
      <c r="K1696" s="1" t="s">
        <v>418</v>
      </c>
    </row>
    <row r="1697">
      <c r="A1697" s="1" t="s">
        <v>7327</v>
      </c>
      <c r="B1697" s="1" t="s">
        <v>7328</v>
      </c>
      <c r="C1697" s="1">
        <v>2021.0</v>
      </c>
      <c r="D1697" s="2">
        <v>44325.0</v>
      </c>
      <c r="F1697" s="1" t="s">
        <v>2022</v>
      </c>
      <c r="H1697" s="3">
        <v>14.0</v>
      </c>
      <c r="I1697" s="4" t="s">
        <v>7329</v>
      </c>
      <c r="J1697" s="1" t="s">
        <v>7330</v>
      </c>
      <c r="K1697" s="1" t="s">
        <v>28</v>
      </c>
    </row>
    <row r="1698">
      <c r="A1698" s="1" t="s">
        <v>7331</v>
      </c>
      <c r="B1698" s="1" t="s">
        <v>7332</v>
      </c>
      <c r="C1698" s="1">
        <v>2021.0</v>
      </c>
      <c r="D1698" s="2">
        <v>44324.0</v>
      </c>
      <c r="F1698" s="1" t="s">
        <v>1358</v>
      </c>
      <c r="H1698" s="3">
        <v>91.0</v>
      </c>
      <c r="I1698" s="4" t="s">
        <v>7333</v>
      </c>
      <c r="J1698" s="1" t="s">
        <v>7334</v>
      </c>
      <c r="K1698" s="1" t="s">
        <v>16</v>
      </c>
    </row>
    <row r="1699">
      <c r="A1699" s="1" t="s">
        <v>7335</v>
      </c>
      <c r="B1699" s="1" t="s">
        <v>7336</v>
      </c>
      <c r="C1699" s="1">
        <v>2021.0</v>
      </c>
      <c r="D1699" s="2">
        <v>44324.0</v>
      </c>
      <c r="F1699" s="1" t="s">
        <v>676</v>
      </c>
      <c r="H1699" s="3">
        <v>28.0</v>
      </c>
      <c r="I1699" s="4" t="s">
        <v>7337</v>
      </c>
      <c r="J1699" s="1" t="s">
        <v>7338</v>
      </c>
      <c r="K1699" s="1" t="s">
        <v>16</v>
      </c>
    </row>
    <row r="1700">
      <c r="A1700" s="1" t="s">
        <v>7339</v>
      </c>
      <c r="B1700" s="1" t="s">
        <v>7340</v>
      </c>
      <c r="C1700" s="1">
        <v>2021.0</v>
      </c>
      <c r="D1700" s="2">
        <v>44324.0</v>
      </c>
      <c r="F1700" s="1" t="s">
        <v>7341</v>
      </c>
      <c r="H1700" s="3">
        <v>13.0</v>
      </c>
      <c r="I1700" s="4" t="s">
        <v>7342</v>
      </c>
      <c r="J1700" s="1" t="s">
        <v>7343</v>
      </c>
      <c r="K1700" s="1" t="s">
        <v>16</v>
      </c>
    </row>
    <row r="1701">
      <c r="A1701" s="1" t="s">
        <v>7344</v>
      </c>
      <c r="B1701" s="1" t="s">
        <v>7345</v>
      </c>
      <c r="C1701" s="1">
        <v>2021.0</v>
      </c>
      <c r="D1701" s="2">
        <v>44323.0</v>
      </c>
      <c r="F1701" s="1" t="s">
        <v>1982</v>
      </c>
      <c r="H1701" s="3">
        <v>24.0</v>
      </c>
      <c r="I1701" s="4" t="s">
        <v>7346</v>
      </c>
      <c r="J1701" s="1" t="s">
        <v>7347</v>
      </c>
      <c r="K1701" s="1" t="s">
        <v>443</v>
      </c>
    </row>
    <row r="1702">
      <c r="A1702" s="1" t="s">
        <v>7348</v>
      </c>
      <c r="B1702" s="1" t="s">
        <v>7349</v>
      </c>
      <c r="C1702" s="1">
        <v>2021.0</v>
      </c>
      <c r="D1702" s="2">
        <v>44322.0</v>
      </c>
      <c r="F1702" s="1" t="s">
        <v>7350</v>
      </c>
      <c r="H1702" s="3">
        <v>13.0</v>
      </c>
      <c r="I1702" s="4" t="s">
        <v>7351</v>
      </c>
      <c r="J1702" s="1" t="s">
        <v>7352</v>
      </c>
      <c r="K1702" s="1" t="s">
        <v>443</v>
      </c>
    </row>
    <row r="1703">
      <c r="A1703" s="1" t="s">
        <v>7353</v>
      </c>
      <c r="B1703" s="1" t="s">
        <v>7354</v>
      </c>
      <c r="C1703" s="1">
        <v>2021.0</v>
      </c>
      <c r="D1703" s="2">
        <v>44322.0</v>
      </c>
      <c r="F1703" s="1" t="s">
        <v>540</v>
      </c>
      <c r="H1703" s="3">
        <v>9.0</v>
      </c>
      <c r="I1703" s="4" t="s">
        <v>7355</v>
      </c>
      <c r="J1703" s="1" t="s">
        <v>7356</v>
      </c>
      <c r="K1703" s="1" t="s">
        <v>443</v>
      </c>
    </row>
    <row r="1704">
      <c r="A1704" s="1" t="s">
        <v>7357</v>
      </c>
      <c r="B1704" s="1" t="s">
        <v>7358</v>
      </c>
      <c r="C1704" s="1">
        <v>2021.0</v>
      </c>
      <c r="D1704" s="2">
        <v>44322.0</v>
      </c>
      <c r="F1704" s="1" t="s">
        <v>743</v>
      </c>
      <c r="H1704" s="3">
        <v>7.0</v>
      </c>
      <c r="I1704" s="4" t="s">
        <v>7359</v>
      </c>
      <c r="J1704" s="1" t="s">
        <v>7360</v>
      </c>
      <c r="K1704" s="1" t="s">
        <v>68</v>
      </c>
    </row>
    <row r="1705">
      <c r="A1705" s="1" t="s">
        <v>7361</v>
      </c>
      <c r="B1705" s="1" t="s">
        <v>7362</v>
      </c>
      <c r="C1705" s="1">
        <v>2021.0</v>
      </c>
      <c r="D1705" s="2">
        <v>44322.0</v>
      </c>
      <c r="F1705" s="1" t="s">
        <v>1050</v>
      </c>
      <c r="H1705" s="3">
        <v>0.0</v>
      </c>
      <c r="I1705" s="4" t="s">
        <v>7363</v>
      </c>
      <c r="J1705" s="1" t="s">
        <v>7364</v>
      </c>
      <c r="K1705" s="1" t="s">
        <v>68</v>
      </c>
    </row>
    <row r="1706">
      <c r="A1706" s="1" t="s">
        <v>7365</v>
      </c>
      <c r="B1706" s="1" t="s">
        <v>7366</v>
      </c>
      <c r="C1706" s="1">
        <v>2021.0</v>
      </c>
      <c r="D1706" s="2">
        <v>44322.0</v>
      </c>
      <c r="F1706" s="1" t="s">
        <v>7367</v>
      </c>
      <c r="H1706" s="3">
        <v>1.0</v>
      </c>
      <c r="I1706" s="4" t="s">
        <v>7368</v>
      </c>
      <c r="J1706" s="1" t="s">
        <v>7369</v>
      </c>
      <c r="K1706" s="1" t="s">
        <v>16</v>
      </c>
    </row>
    <row r="1707">
      <c r="A1707" s="1" t="s">
        <v>7370</v>
      </c>
      <c r="B1707" s="1" t="s">
        <v>7371</v>
      </c>
      <c r="C1707" s="1">
        <v>2021.0</v>
      </c>
      <c r="D1707" s="2">
        <v>44322.0</v>
      </c>
      <c r="F1707" s="1" t="s">
        <v>7372</v>
      </c>
      <c r="H1707" s="3">
        <v>4.0</v>
      </c>
      <c r="I1707" s="4" t="s">
        <v>7373</v>
      </c>
      <c r="J1707" s="1" t="s">
        <v>7374</v>
      </c>
      <c r="K1707" s="1" t="s">
        <v>16</v>
      </c>
    </row>
    <row r="1708">
      <c r="A1708" s="1" t="s">
        <v>7375</v>
      </c>
      <c r="B1708" s="1" t="s">
        <v>7376</v>
      </c>
      <c r="C1708" s="1">
        <v>2021.0</v>
      </c>
      <c r="D1708" s="2">
        <v>44321.0</v>
      </c>
      <c r="F1708" s="1" t="s">
        <v>1170</v>
      </c>
      <c r="H1708" s="3">
        <v>18.0</v>
      </c>
      <c r="I1708" s="4" t="s">
        <v>7377</v>
      </c>
      <c r="J1708" s="1" t="s">
        <v>7378</v>
      </c>
      <c r="K1708" s="1" t="s">
        <v>443</v>
      </c>
    </row>
    <row r="1709">
      <c r="A1709" s="1" t="s">
        <v>7379</v>
      </c>
      <c r="B1709" s="1" t="s">
        <v>6970</v>
      </c>
      <c r="C1709" s="1">
        <v>2021.0</v>
      </c>
      <c r="D1709" s="2">
        <v>44320.0</v>
      </c>
      <c r="F1709" s="1" t="s">
        <v>7380</v>
      </c>
      <c r="H1709" s="3">
        <v>2.0</v>
      </c>
      <c r="I1709" s="4" t="s">
        <v>7381</v>
      </c>
      <c r="J1709" s="1" t="s">
        <v>7382</v>
      </c>
      <c r="K1709" s="1" t="s">
        <v>45</v>
      </c>
    </row>
    <row r="1710">
      <c r="A1710" s="1" t="s">
        <v>7383</v>
      </c>
      <c r="B1710" s="1" t="s">
        <v>7384</v>
      </c>
      <c r="C1710" s="1">
        <v>2021.0</v>
      </c>
      <c r="D1710" s="2">
        <v>44320.0</v>
      </c>
      <c r="F1710" s="1" t="s">
        <v>7385</v>
      </c>
      <c r="H1710" s="3">
        <v>6.0</v>
      </c>
      <c r="I1710" s="4" t="s">
        <v>7386</v>
      </c>
      <c r="J1710" s="1" t="s">
        <v>7387</v>
      </c>
      <c r="K1710" s="1" t="s">
        <v>28</v>
      </c>
    </row>
    <row r="1711">
      <c r="A1711" s="1" t="s">
        <v>7388</v>
      </c>
      <c r="B1711" s="1" t="s">
        <v>7389</v>
      </c>
      <c r="C1711" s="1">
        <v>2021.0</v>
      </c>
      <c r="D1711" s="2">
        <v>44320.0</v>
      </c>
      <c r="F1711" s="1" t="s">
        <v>2560</v>
      </c>
      <c r="H1711" s="3">
        <v>3.0</v>
      </c>
      <c r="I1711" s="4" t="s">
        <v>7390</v>
      </c>
      <c r="J1711" s="1" t="s">
        <v>7391</v>
      </c>
      <c r="K1711" s="1" t="s">
        <v>323</v>
      </c>
    </row>
    <row r="1712">
      <c r="A1712" s="1" t="s">
        <v>7392</v>
      </c>
      <c r="B1712" s="1" t="s">
        <v>7393</v>
      </c>
      <c r="C1712" s="1">
        <v>2021.0</v>
      </c>
      <c r="D1712" s="2">
        <v>44320.0</v>
      </c>
      <c r="F1712" s="1" t="s">
        <v>1505</v>
      </c>
      <c r="H1712" s="3">
        <v>6.0</v>
      </c>
      <c r="I1712" s="4" t="s">
        <v>7394</v>
      </c>
      <c r="J1712" s="1"/>
      <c r="K1712" s="1" t="s">
        <v>295</v>
      </c>
    </row>
    <row r="1713">
      <c r="A1713" s="1" t="s">
        <v>7395</v>
      </c>
      <c r="B1713" s="1" t="s">
        <v>7396</v>
      </c>
      <c r="C1713" s="1">
        <v>2021.0</v>
      </c>
      <c r="D1713" s="2">
        <v>44320.0</v>
      </c>
      <c r="F1713" s="1" t="s">
        <v>689</v>
      </c>
      <c r="H1713" s="3">
        <v>12.0</v>
      </c>
      <c r="I1713" s="4" t="s">
        <v>7397</v>
      </c>
      <c r="J1713" s="1" t="s">
        <v>7398</v>
      </c>
      <c r="K1713" s="1" t="s">
        <v>16</v>
      </c>
    </row>
    <row r="1714">
      <c r="A1714" s="1" t="s">
        <v>7399</v>
      </c>
      <c r="B1714" s="1" t="s">
        <v>7400</v>
      </c>
      <c r="C1714" s="1">
        <v>2021.0</v>
      </c>
      <c r="D1714" s="2">
        <v>44320.0</v>
      </c>
      <c r="F1714" s="1" t="s">
        <v>71</v>
      </c>
      <c r="H1714" s="3">
        <v>2.0</v>
      </c>
      <c r="I1714" s="4" t="s">
        <v>7401</v>
      </c>
      <c r="J1714" s="1" t="s">
        <v>7402</v>
      </c>
      <c r="K1714" s="1" t="s">
        <v>383</v>
      </c>
    </row>
    <row r="1715">
      <c r="A1715" s="1" t="s">
        <v>7403</v>
      </c>
      <c r="B1715" s="1" t="s">
        <v>7404</v>
      </c>
      <c r="C1715" s="1">
        <v>2021.0</v>
      </c>
      <c r="D1715" s="2">
        <v>44319.0</v>
      </c>
      <c r="F1715" s="1" t="s">
        <v>7271</v>
      </c>
      <c r="H1715" s="3">
        <v>5.0</v>
      </c>
      <c r="I1715" s="4" t="s">
        <v>7405</v>
      </c>
      <c r="J1715" s="1" t="s">
        <v>7406</v>
      </c>
      <c r="K1715" s="1" t="s">
        <v>68</v>
      </c>
    </row>
    <row r="1716">
      <c r="A1716" s="1" t="s">
        <v>7407</v>
      </c>
      <c r="B1716" s="1" t="s">
        <v>7408</v>
      </c>
      <c r="C1716" s="1">
        <v>2021.0</v>
      </c>
      <c r="D1716" s="2">
        <v>44319.0</v>
      </c>
      <c r="F1716" s="1" t="s">
        <v>5944</v>
      </c>
      <c r="H1716" s="3">
        <v>4.0</v>
      </c>
      <c r="I1716" s="4" t="s">
        <v>7409</v>
      </c>
      <c r="J1716" s="1" t="s">
        <v>7410</v>
      </c>
      <c r="K1716" s="1" t="s">
        <v>403</v>
      </c>
    </row>
    <row r="1717">
      <c r="A1717" s="1" t="s">
        <v>7411</v>
      </c>
      <c r="B1717" s="1" t="s">
        <v>7412</v>
      </c>
      <c r="C1717" s="1">
        <v>2021.0</v>
      </c>
      <c r="D1717" s="2">
        <v>44319.0</v>
      </c>
      <c r="F1717" s="1" t="s">
        <v>106</v>
      </c>
      <c r="H1717" s="3">
        <v>10.0</v>
      </c>
      <c r="I1717" s="4" t="s">
        <v>7413</v>
      </c>
      <c r="J1717" s="1" t="s">
        <v>7414</v>
      </c>
      <c r="K1717" s="1" t="s">
        <v>413</v>
      </c>
    </row>
    <row r="1718">
      <c r="A1718" s="1" t="s">
        <v>7415</v>
      </c>
      <c r="B1718" s="1" t="s">
        <v>7416</v>
      </c>
      <c r="C1718" s="1">
        <v>2021.0</v>
      </c>
      <c r="D1718" s="2">
        <v>44317.0</v>
      </c>
      <c r="F1718" s="1" t="s">
        <v>1800</v>
      </c>
      <c r="H1718" s="3">
        <v>4.0</v>
      </c>
      <c r="I1718" s="4" t="s">
        <v>7417</v>
      </c>
      <c r="J1718" s="1" t="s">
        <v>7418</v>
      </c>
      <c r="K1718" s="1" t="s">
        <v>28</v>
      </c>
    </row>
    <row r="1719">
      <c r="A1719" s="1" t="s">
        <v>7419</v>
      </c>
      <c r="B1719" s="1" t="s">
        <v>7420</v>
      </c>
      <c r="C1719" s="1">
        <v>2021.0</v>
      </c>
      <c r="D1719" s="2">
        <v>44317.0</v>
      </c>
      <c r="F1719" s="1" t="s">
        <v>6074</v>
      </c>
      <c r="H1719" s="3">
        <v>13.0</v>
      </c>
      <c r="I1719" s="4" t="s">
        <v>7421</v>
      </c>
      <c r="J1719" s="1" t="s">
        <v>7422</v>
      </c>
      <c r="K1719" s="1" t="s">
        <v>28</v>
      </c>
    </row>
    <row r="1720">
      <c r="A1720" s="1" t="s">
        <v>7423</v>
      </c>
      <c r="B1720" s="1" t="s">
        <v>7424</v>
      </c>
      <c r="C1720" s="1">
        <v>2021.0</v>
      </c>
      <c r="D1720" s="2">
        <v>44317.0</v>
      </c>
      <c r="F1720" s="1" t="s">
        <v>7425</v>
      </c>
      <c r="H1720" s="3">
        <v>0.0</v>
      </c>
      <c r="I1720" s="4" t="s">
        <v>7426</v>
      </c>
      <c r="J1720" s="1"/>
      <c r="K1720" s="1" t="s">
        <v>7427</v>
      </c>
    </row>
    <row r="1721">
      <c r="A1721" s="1" t="s">
        <v>7428</v>
      </c>
      <c r="B1721" s="1" t="s">
        <v>7429</v>
      </c>
      <c r="C1721" s="1">
        <v>2021.0</v>
      </c>
      <c r="D1721" s="2">
        <v>44317.0</v>
      </c>
      <c r="F1721" s="1" t="s">
        <v>2458</v>
      </c>
      <c r="H1721" s="3">
        <v>5.0</v>
      </c>
      <c r="I1721" s="4" t="s">
        <v>7430</v>
      </c>
      <c r="J1721" s="1"/>
      <c r="K1721" s="1" t="s">
        <v>477</v>
      </c>
    </row>
    <row r="1722">
      <c r="A1722" s="1" t="s">
        <v>7431</v>
      </c>
      <c r="B1722" s="1" t="s">
        <v>7432</v>
      </c>
      <c r="C1722" s="1">
        <v>2021.0</v>
      </c>
      <c r="D1722" s="2">
        <v>44317.0</v>
      </c>
      <c r="F1722" s="1" t="s">
        <v>2611</v>
      </c>
      <c r="H1722" s="3">
        <v>68.0</v>
      </c>
      <c r="I1722" s="4" t="s">
        <v>7433</v>
      </c>
      <c r="J1722" s="1" t="s">
        <v>7434</v>
      </c>
      <c r="K1722" s="1" t="s">
        <v>16</v>
      </c>
    </row>
    <row r="1723">
      <c r="A1723" s="1" t="s">
        <v>7435</v>
      </c>
      <c r="B1723" s="1" t="s">
        <v>7436</v>
      </c>
      <c r="C1723" s="1">
        <v>2021.0</v>
      </c>
      <c r="D1723" s="2">
        <v>44315.0</v>
      </c>
      <c r="F1723" s="1" t="s">
        <v>2634</v>
      </c>
      <c r="H1723" s="3">
        <v>7.0</v>
      </c>
      <c r="I1723" s="4" t="s">
        <v>7437</v>
      </c>
      <c r="J1723" s="1" t="s">
        <v>7438</v>
      </c>
      <c r="K1723" s="1" t="s">
        <v>28</v>
      </c>
    </row>
    <row r="1724">
      <c r="A1724" s="1" t="s">
        <v>7439</v>
      </c>
      <c r="B1724" s="1" t="s">
        <v>7440</v>
      </c>
      <c r="C1724" s="1">
        <v>2021.0</v>
      </c>
      <c r="D1724" s="2">
        <v>44315.0</v>
      </c>
      <c r="F1724" s="1" t="s">
        <v>71</v>
      </c>
      <c r="H1724" s="3">
        <v>3.0</v>
      </c>
      <c r="I1724" s="4" t="s">
        <v>7441</v>
      </c>
      <c r="J1724" s="1" t="s">
        <v>7442</v>
      </c>
      <c r="K1724" s="1" t="s">
        <v>372</v>
      </c>
    </row>
    <row r="1725">
      <c r="A1725" s="1" t="s">
        <v>7443</v>
      </c>
      <c r="B1725" s="1" t="s">
        <v>7444</v>
      </c>
      <c r="C1725" s="1">
        <v>2021.0</v>
      </c>
      <c r="D1725" s="2">
        <v>44315.0</v>
      </c>
      <c r="F1725" s="1" t="s">
        <v>5006</v>
      </c>
      <c r="H1725" s="3">
        <v>0.0</v>
      </c>
      <c r="I1725" s="4" t="s">
        <v>7445</v>
      </c>
      <c r="J1725" s="1"/>
      <c r="K1725" s="1" t="s">
        <v>16</v>
      </c>
    </row>
    <row r="1726">
      <c r="A1726" s="1" t="s">
        <v>7446</v>
      </c>
      <c r="B1726" s="1" t="s">
        <v>7447</v>
      </c>
      <c r="C1726" s="1">
        <v>2021.0</v>
      </c>
      <c r="D1726" s="2">
        <v>44314.0</v>
      </c>
      <c r="F1726" s="1" t="s">
        <v>1300</v>
      </c>
      <c r="H1726" s="3">
        <v>46.0</v>
      </c>
      <c r="I1726" s="4" t="s">
        <v>7448</v>
      </c>
      <c r="J1726" s="1" t="s">
        <v>7449</v>
      </c>
      <c r="K1726" s="1" t="s">
        <v>443</v>
      </c>
    </row>
    <row r="1727">
      <c r="A1727" s="1" t="s">
        <v>7450</v>
      </c>
      <c r="B1727" s="1" t="s">
        <v>7451</v>
      </c>
      <c r="C1727" s="1">
        <v>2021.0</v>
      </c>
      <c r="D1727" s="2">
        <v>44314.0</v>
      </c>
      <c r="F1727" s="1" t="s">
        <v>2012</v>
      </c>
      <c r="H1727" s="3">
        <v>14.0</v>
      </c>
      <c r="I1727" s="4" t="s">
        <v>7452</v>
      </c>
      <c r="J1727" s="1" t="s">
        <v>7453</v>
      </c>
      <c r="K1727" s="1" t="s">
        <v>413</v>
      </c>
    </row>
    <row r="1728">
      <c r="A1728" s="1" t="s">
        <v>7454</v>
      </c>
      <c r="B1728" s="1" t="s">
        <v>7455</v>
      </c>
      <c r="C1728" s="1">
        <v>2021.0</v>
      </c>
      <c r="D1728" s="2">
        <v>44313.0</v>
      </c>
      <c r="F1728" s="1" t="s">
        <v>410</v>
      </c>
      <c r="H1728" s="3">
        <v>9.0</v>
      </c>
      <c r="I1728" s="4" t="s">
        <v>7456</v>
      </c>
      <c r="J1728" s="1" t="s">
        <v>7457</v>
      </c>
      <c r="K1728" s="1" t="s">
        <v>383</v>
      </c>
    </row>
    <row r="1729">
      <c r="A1729" s="1" t="s">
        <v>7458</v>
      </c>
      <c r="B1729" s="1" t="s">
        <v>7459</v>
      </c>
      <c r="C1729" s="1">
        <v>2021.0</v>
      </c>
      <c r="D1729" s="2">
        <v>44313.0</v>
      </c>
      <c r="F1729" s="1" t="s">
        <v>2365</v>
      </c>
      <c r="H1729" s="3">
        <v>12.0</v>
      </c>
      <c r="I1729" s="4" t="s">
        <v>7460</v>
      </c>
      <c r="J1729" s="1" t="s">
        <v>7461</v>
      </c>
      <c r="K1729" s="1" t="s">
        <v>16</v>
      </c>
    </row>
    <row r="1730">
      <c r="A1730" s="1" t="s">
        <v>7462</v>
      </c>
      <c r="B1730" s="1" t="s">
        <v>7463</v>
      </c>
      <c r="C1730" s="1">
        <v>2021.0</v>
      </c>
      <c r="D1730" s="2">
        <v>44313.0</v>
      </c>
      <c r="F1730" s="1" t="s">
        <v>7464</v>
      </c>
      <c r="H1730" s="3">
        <v>36.0</v>
      </c>
      <c r="I1730" s="4" t="s">
        <v>7465</v>
      </c>
      <c r="J1730" s="1" t="s">
        <v>7466</v>
      </c>
      <c r="K1730" s="1" t="s">
        <v>16</v>
      </c>
    </row>
    <row r="1731">
      <c r="A1731" s="1" t="s">
        <v>7467</v>
      </c>
      <c r="B1731" s="1" t="s">
        <v>7468</v>
      </c>
      <c r="C1731" s="1">
        <v>2021.0</v>
      </c>
      <c r="D1731" s="2">
        <v>44312.0</v>
      </c>
      <c r="F1731" s="1" t="s">
        <v>500</v>
      </c>
      <c r="H1731" s="3">
        <v>1.0</v>
      </c>
      <c r="I1731" s="4" t="s">
        <v>7469</v>
      </c>
      <c r="J1731" s="1" t="s">
        <v>7470</v>
      </c>
      <c r="K1731" s="1" t="s">
        <v>323</v>
      </c>
    </row>
    <row r="1732">
      <c r="A1732" s="1" t="s">
        <v>7471</v>
      </c>
      <c r="B1732" s="1" t="s">
        <v>7472</v>
      </c>
      <c r="C1732" s="1">
        <v>2021.0</v>
      </c>
      <c r="D1732" s="2">
        <v>44311.0</v>
      </c>
      <c r="F1732" s="1" t="s">
        <v>743</v>
      </c>
      <c r="H1732" s="3">
        <v>11.0</v>
      </c>
      <c r="I1732" s="4" t="s">
        <v>7473</v>
      </c>
      <c r="J1732" s="1" t="s">
        <v>7474</v>
      </c>
      <c r="K1732" s="1" t="s">
        <v>68</v>
      </c>
    </row>
    <row r="1733">
      <c r="A1733" s="1" t="s">
        <v>7475</v>
      </c>
      <c r="B1733" s="1" t="s">
        <v>7476</v>
      </c>
      <c r="C1733" s="1">
        <v>2021.0</v>
      </c>
      <c r="D1733" s="2">
        <v>44309.0</v>
      </c>
      <c r="F1733" s="1" t="s">
        <v>1340</v>
      </c>
      <c r="H1733" s="3">
        <v>300.0</v>
      </c>
      <c r="I1733" s="4" t="s">
        <v>7477</v>
      </c>
      <c r="J1733" s="1" t="s">
        <v>7478</v>
      </c>
      <c r="K1733" s="1" t="s">
        <v>443</v>
      </c>
    </row>
    <row r="1734">
      <c r="A1734" s="1" t="s">
        <v>7479</v>
      </c>
      <c r="B1734" s="1" t="s">
        <v>7480</v>
      </c>
      <c r="C1734" s="1">
        <v>2021.0</v>
      </c>
      <c r="D1734" s="2">
        <v>44309.0</v>
      </c>
      <c r="F1734" s="1" t="s">
        <v>7481</v>
      </c>
      <c r="H1734" s="3">
        <v>6.0</v>
      </c>
      <c r="I1734" s="4" t="s">
        <v>7482</v>
      </c>
      <c r="J1734" s="1" t="s">
        <v>7483</v>
      </c>
      <c r="K1734" s="1" t="s">
        <v>413</v>
      </c>
    </row>
    <row r="1735">
      <c r="A1735" s="1" t="s">
        <v>7484</v>
      </c>
      <c r="B1735" s="1" t="s">
        <v>7485</v>
      </c>
      <c r="C1735" s="1">
        <v>2021.0</v>
      </c>
      <c r="D1735" s="2">
        <v>44306.0</v>
      </c>
      <c r="F1735" s="1" t="s">
        <v>3463</v>
      </c>
      <c r="H1735" s="3">
        <v>15.0</v>
      </c>
      <c r="I1735" s="4" t="s">
        <v>7486</v>
      </c>
      <c r="J1735" s="1" t="s">
        <v>7487</v>
      </c>
      <c r="K1735" s="1" t="s">
        <v>462</v>
      </c>
    </row>
    <row r="1736">
      <c r="A1736" s="1" t="s">
        <v>7488</v>
      </c>
      <c r="B1736" s="1" t="s">
        <v>7489</v>
      </c>
      <c r="C1736" s="1">
        <v>2021.0</v>
      </c>
      <c r="D1736" s="2">
        <v>44306.0</v>
      </c>
      <c r="F1736" s="1" t="s">
        <v>7490</v>
      </c>
      <c r="H1736" s="3">
        <v>7.0</v>
      </c>
      <c r="I1736" s="4" t="s">
        <v>7491</v>
      </c>
      <c r="J1736" s="1" t="s">
        <v>7492</v>
      </c>
      <c r="K1736" s="1" t="s">
        <v>28</v>
      </c>
    </row>
    <row r="1737">
      <c r="A1737" s="1" t="s">
        <v>7493</v>
      </c>
      <c r="B1737" s="1" t="s">
        <v>7494</v>
      </c>
      <c r="C1737" s="1">
        <v>2021.0</v>
      </c>
      <c r="D1737" s="2">
        <v>44306.0</v>
      </c>
      <c r="F1737" s="1" t="s">
        <v>7495</v>
      </c>
      <c r="H1737" s="3">
        <v>1.0</v>
      </c>
      <c r="I1737" s="4" t="s">
        <v>7496</v>
      </c>
      <c r="J1737" s="1" t="s">
        <v>7497</v>
      </c>
      <c r="K1737" s="1" t="s">
        <v>413</v>
      </c>
    </row>
    <row r="1738">
      <c r="A1738" s="1" t="s">
        <v>7498</v>
      </c>
      <c r="B1738" s="1" t="s">
        <v>7499</v>
      </c>
      <c r="C1738" s="1">
        <v>2021.0</v>
      </c>
      <c r="D1738" s="2">
        <v>44306.0</v>
      </c>
      <c r="F1738" s="1" t="s">
        <v>7500</v>
      </c>
      <c r="H1738" s="3">
        <v>0.0</v>
      </c>
      <c r="I1738" s="4" t="s">
        <v>7501</v>
      </c>
      <c r="J1738" s="1" t="s">
        <v>7502</v>
      </c>
      <c r="K1738" s="1" t="s">
        <v>383</v>
      </c>
    </row>
    <row r="1739">
      <c r="A1739" s="1" t="s">
        <v>7503</v>
      </c>
      <c r="B1739" s="1" t="s">
        <v>7504</v>
      </c>
      <c r="C1739" s="1">
        <v>2021.0</v>
      </c>
      <c r="D1739" s="2">
        <v>44305.0</v>
      </c>
      <c r="F1739" s="1" t="s">
        <v>7505</v>
      </c>
      <c r="H1739" s="3">
        <v>53.0</v>
      </c>
      <c r="I1739" s="4" t="s">
        <v>7506</v>
      </c>
      <c r="J1739" s="1" t="s">
        <v>7507</v>
      </c>
      <c r="K1739" s="1" t="s">
        <v>28</v>
      </c>
    </row>
    <row r="1740">
      <c r="A1740" s="1" t="s">
        <v>7508</v>
      </c>
      <c r="B1740" s="1" t="s">
        <v>7509</v>
      </c>
      <c r="C1740" s="1">
        <v>2021.0</v>
      </c>
      <c r="D1740" s="2">
        <v>44305.0</v>
      </c>
      <c r="F1740" s="1" t="s">
        <v>355</v>
      </c>
      <c r="H1740" s="3">
        <v>0.0</v>
      </c>
      <c r="I1740" s="4" t="s">
        <v>7510</v>
      </c>
      <c r="J1740" s="1" t="s">
        <v>7511</v>
      </c>
      <c r="K1740" s="1" t="s">
        <v>16</v>
      </c>
    </row>
    <row r="1741">
      <c r="A1741" s="1" t="s">
        <v>7512</v>
      </c>
      <c r="B1741" s="1" t="s">
        <v>7513</v>
      </c>
      <c r="C1741" s="1">
        <v>2021.0</v>
      </c>
      <c r="D1741" s="2">
        <v>44301.0</v>
      </c>
      <c r="F1741" s="1" t="s">
        <v>7514</v>
      </c>
      <c r="H1741" s="3">
        <v>17.0</v>
      </c>
      <c r="I1741" s="4" t="s">
        <v>7515</v>
      </c>
      <c r="J1741" s="1" t="s">
        <v>7516</v>
      </c>
      <c r="K1741" s="1" t="s">
        <v>323</v>
      </c>
    </row>
    <row r="1742">
      <c r="A1742" s="1" t="s">
        <v>7517</v>
      </c>
      <c r="B1742" s="1" t="s">
        <v>7518</v>
      </c>
      <c r="C1742" s="1">
        <v>2021.0</v>
      </c>
      <c r="D1742" s="2">
        <v>44301.0</v>
      </c>
      <c r="F1742" s="1" t="s">
        <v>2586</v>
      </c>
      <c r="H1742" s="3">
        <v>24.0</v>
      </c>
      <c r="I1742" s="4" t="s">
        <v>7519</v>
      </c>
      <c r="J1742" s="1" t="s">
        <v>7520</v>
      </c>
      <c r="K1742" s="1" t="s">
        <v>571</v>
      </c>
    </row>
    <row r="1743">
      <c r="A1743" s="1" t="s">
        <v>7521</v>
      </c>
      <c r="B1743" s="1" t="s">
        <v>7522</v>
      </c>
      <c r="C1743" s="1">
        <v>2021.0</v>
      </c>
      <c r="D1743" s="2">
        <v>44300.0</v>
      </c>
      <c r="F1743" s="1" t="s">
        <v>1300</v>
      </c>
      <c r="H1743" s="3">
        <v>22.0</v>
      </c>
      <c r="I1743" s="4" t="s">
        <v>7523</v>
      </c>
      <c r="J1743" s="1" t="s">
        <v>7524</v>
      </c>
      <c r="K1743" s="1" t="s">
        <v>295</v>
      </c>
    </row>
    <row r="1744">
      <c r="A1744" s="1" t="s">
        <v>7525</v>
      </c>
      <c r="B1744" s="1" t="s">
        <v>7526</v>
      </c>
      <c r="C1744" s="1">
        <v>2021.0</v>
      </c>
      <c r="D1744" s="2">
        <v>44300.0</v>
      </c>
      <c r="F1744" s="1" t="s">
        <v>1300</v>
      </c>
      <c r="H1744" s="3">
        <v>40.0</v>
      </c>
      <c r="I1744" s="4" t="s">
        <v>7527</v>
      </c>
      <c r="J1744" s="1" t="s">
        <v>7528</v>
      </c>
      <c r="K1744" s="1" t="s">
        <v>477</v>
      </c>
    </row>
    <row r="1745">
      <c r="A1745" s="1" t="s">
        <v>7529</v>
      </c>
      <c r="B1745" s="1" t="s">
        <v>7530</v>
      </c>
      <c r="C1745" s="1">
        <v>2021.0</v>
      </c>
      <c r="D1745" s="2">
        <v>44298.0</v>
      </c>
      <c r="F1745" s="1" t="s">
        <v>2656</v>
      </c>
      <c r="H1745" s="3">
        <v>115.0</v>
      </c>
      <c r="I1745" s="4" t="s">
        <v>7531</v>
      </c>
      <c r="J1745" s="1" t="s">
        <v>7532</v>
      </c>
      <c r="K1745" s="1" t="s">
        <v>28</v>
      </c>
    </row>
    <row r="1746">
      <c r="A1746" s="1" t="s">
        <v>7533</v>
      </c>
      <c r="B1746" s="1" t="s">
        <v>7534</v>
      </c>
      <c r="C1746" s="1">
        <v>2021.0</v>
      </c>
      <c r="D1746" s="2">
        <v>44298.0</v>
      </c>
      <c r="F1746" s="1" t="s">
        <v>6540</v>
      </c>
      <c r="H1746" s="3">
        <v>54.0</v>
      </c>
      <c r="I1746" s="4" t="s">
        <v>7535</v>
      </c>
      <c r="J1746" s="1" t="s">
        <v>7536</v>
      </c>
      <c r="K1746" s="1" t="s">
        <v>443</v>
      </c>
    </row>
    <row r="1747">
      <c r="A1747" s="1" t="s">
        <v>7537</v>
      </c>
      <c r="B1747" s="1" t="s">
        <v>7538</v>
      </c>
      <c r="C1747" s="1">
        <v>2021.0</v>
      </c>
      <c r="D1747" s="2">
        <v>44296.0</v>
      </c>
      <c r="F1747" s="1" t="s">
        <v>1381</v>
      </c>
      <c r="H1747" s="3">
        <v>4.0</v>
      </c>
      <c r="I1747" s="4" t="s">
        <v>7539</v>
      </c>
      <c r="J1747" s="1" t="s">
        <v>7540</v>
      </c>
      <c r="K1747" s="1" t="s">
        <v>28</v>
      </c>
    </row>
    <row r="1748">
      <c r="A1748" s="1" t="s">
        <v>7541</v>
      </c>
      <c r="B1748" s="1" t="s">
        <v>7542</v>
      </c>
      <c r="C1748" s="1">
        <v>2021.0</v>
      </c>
      <c r="D1748" s="2">
        <v>44295.0</v>
      </c>
      <c r="F1748" s="1" t="s">
        <v>7543</v>
      </c>
      <c r="H1748" s="3">
        <v>2.0</v>
      </c>
      <c r="I1748" s="4" t="s">
        <v>7544</v>
      </c>
      <c r="J1748" s="1" t="s">
        <v>7545</v>
      </c>
      <c r="K1748" s="1" t="s">
        <v>68</v>
      </c>
    </row>
    <row r="1749">
      <c r="A1749" s="1" t="s">
        <v>7546</v>
      </c>
      <c r="B1749" s="1" t="s">
        <v>7547</v>
      </c>
      <c r="C1749" s="1">
        <v>2021.0</v>
      </c>
      <c r="D1749" s="2">
        <v>44294.0</v>
      </c>
      <c r="F1749" s="1" t="s">
        <v>86</v>
      </c>
      <c r="H1749" s="3">
        <v>33.0</v>
      </c>
      <c r="I1749" s="4" t="s">
        <v>7548</v>
      </c>
      <c r="J1749" s="1" t="s">
        <v>7549</v>
      </c>
      <c r="K1749" s="1" t="s">
        <v>28</v>
      </c>
    </row>
    <row r="1750">
      <c r="A1750" s="1" t="s">
        <v>7550</v>
      </c>
      <c r="B1750" s="1" t="s">
        <v>7551</v>
      </c>
      <c r="C1750" s="1">
        <v>2021.0</v>
      </c>
      <c r="D1750" s="2">
        <v>44294.0</v>
      </c>
      <c r="F1750" s="1" t="s">
        <v>440</v>
      </c>
      <c r="H1750" s="3">
        <v>3.0</v>
      </c>
      <c r="I1750" s="4" t="s">
        <v>7552</v>
      </c>
      <c r="J1750" s="1" t="s">
        <v>7553</v>
      </c>
      <c r="K1750" s="1" t="s">
        <v>28</v>
      </c>
    </row>
    <row r="1751">
      <c r="A1751" s="1" t="s">
        <v>7554</v>
      </c>
      <c r="B1751" s="1" t="s">
        <v>7555</v>
      </c>
      <c r="C1751" s="1">
        <v>2021.0</v>
      </c>
      <c r="D1751" s="2">
        <v>44293.0</v>
      </c>
      <c r="F1751" s="1" t="s">
        <v>743</v>
      </c>
      <c r="H1751" s="3">
        <v>7.0</v>
      </c>
      <c r="I1751" s="4" t="s">
        <v>7556</v>
      </c>
      <c r="J1751" s="1" t="s">
        <v>7557</v>
      </c>
      <c r="K1751" s="1" t="s">
        <v>68</v>
      </c>
    </row>
    <row r="1752">
      <c r="A1752" s="1" t="s">
        <v>7558</v>
      </c>
      <c r="B1752" s="1" t="s">
        <v>7559</v>
      </c>
      <c r="C1752" s="1">
        <v>2021.0</v>
      </c>
      <c r="D1752" s="2">
        <v>44293.0</v>
      </c>
      <c r="F1752" s="1" t="s">
        <v>1366</v>
      </c>
      <c r="H1752" s="3">
        <v>10.0</v>
      </c>
      <c r="I1752" s="4" t="s">
        <v>7560</v>
      </c>
      <c r="J1752" s="1"/>
      <c r="K1752" s="1" t="s">
        <v>68</v>
      </c>
    </row>
    <row r="1753">
      <c r="A1753" s="1" t="s">
        <v>7561</v>
      </c>
      <c r="B1753" s="1" t="s">
        <v>7562</v>
      </c>
      <c r="C1753" s="1">
        <v>2021.0</v>
      </c>
      <c r="D1753" s="2">
        <v>44293.0</v>
      </c>
      <c r="F1753" s="1" t="s">
        <v>2036</v>
      </c>
      <c r="H1753" s="3">
        <v>8.0</v>
      </c>
      <c r="I1753" s="4" t="s">
        <v>7563</v>
      </c>
      <c r="J1753" s="1" t="s">
        <v>7564</v>
      </c>
      <c r="K1753" s="1" t="s">
        <v>16</v>
      </c>
    </row>
    <row r="1754">
      <c r="A1754" s="1" t="s">
        <v>7565</v>
      </c>
      <c r="B1754" s="1" t="s">
        <v>7444</v>
      </c>
      <c r="C1754" s="1">
        <v>2021.0</v>
      </c>
      <c r="D1754" s="2">
        <v>44293.0</v>
      </c>
      <c r="F1754" s="1" t="s">
        <v>5006</v>
      </c>
      <c r="H1754" s="3">
        <v>8.0</v>
      </c>
      <c r="I1754" s="4" t="s">
        <v>7566</v>
      </c>
      <c r="J1754" s="1" t="s">
        <v>7567</v>
      </c>
      <c r="K1754" s="1" t="s">
        <v>16</v>
      </c>
    </row>
    <row r="1755">
      <c r="A1755" s="1" t="s">
        <v>7568</v>
      </c>
      <c r="B1755" s="1" t="s">
        <v>7569</v>
      </c>
      <c r="C1755" s="1">
        <v>2021.0</v>
      </c>
      <c r="D1755" s="2">
        <v>44293.0</v>
      </c>
      <c r="F1755" s="1" t="s">
        <v>7570</v>
      </c>
      <c r="H1755" s="3">
        <v>5.0</v>
      </c>
      <c r="I1755" s="4" t="s">
        <v>7571</v>
      </c>
      <c r="J1755" s="1" t="s">
        <v>7572</v>
      </c>
      <c r="K1755" s="1" t="s">
        <v>16</v>
      </c>
    </row>
    <row r="1756">
      <c r="A1756" s="1" t="s">
        <v>7573</v>
      </c>
      <c r="B1756" s="1" t="s">
        <v>7574</v>
      </c>
      <c r="C1756" s="1">
        <v>2021.0</v>
      </c>
      <c r="D1756" s="2">
        <v>44292.0</v>
      </c>
      <c r="F1756" s="1" t="s">
        <v>208</v>
      </c>
      <c r="H1756" s="3">
        <v>22.0</v>
      </c>
      <c r="I1756" s="4" t="s">
        <v>7575</v>
      </c>
      <c r="J1756" s="1" t="s">
        <v>7576</v>
      </c>
      <c r="K1756" s="1" t="s">
        <v>413</v>
      </c>
    </row>
    <row r="1757">
      <c r="A1757" s="1" t="s">
        <v>7577</v>
      </c>
      <c r="B1757" s="1" t="s">
        <v>7578</v>
      </c>
      <c r="C1757" s="1">
        <v>2021.0</v>
      </c>
      <c r="D1757" s="2">
        <v>44292.0</v>
      </c>
      <c r="F1757" s="1" t="s">
        <v>5006</v>
      </c>
      <c r="H1757" s="3">
        <v>6.0</v>
      </c>
      <c r="I1757" s="4" t="s">
        <v>7579</v>
      </c>
      <c r="J1757" s="1" t="s">
        <v>7580</v>
      </c>
      <c r="K1757" s="1" t="s">
        <v>16</v>
      </c>
    </row>
    <row r="1758">
      <c r="A1758" s="1" t="s">
        <v>7581</v>
      </c>
      <c r="B1758" s="1" t="s">
        <v>7582</v>
      </c>
      <c r="C1758" s="1">
        <v>2021.0</v>
      </c>
      <c r="D1758" s="2">
        <v>44291.0</v>
      </c>
      <c r="F1758" s="1" t="s">
        <v>136</v>
      </c>
      <c r="H1758" s="3">
        <v>21.0</v>
      </c>
      <c r="I1758" s="4" t="s">
        <v>7583</v>
      </c>
      <c r="J1758" s="1" t="s">
        <v>7584</v>
      </c>
      <c r="K1758" s="1" t="s">
        <v>418</v>
      </c>
    </row>
    <row r="1759">
      <c r="A1759" s="1" t="s">
        <v>7585</v>
      </c>
      <c r="B1759" s="1" t="s">
        <v>7586</v>
      </c>
      <c r="C1759" s="1">
        <v>2021.0</v>
      </c>
      <c r="D1759" s="2">
        <v>44290.0</v>
      </c>
      <c r="F1759" s="1" t="s">
        <v>1170</v>
      </c>
      <c r="H1759" s="3">
        <v>1.0</v>
      </c>
      <c r="I1759" s="4" t="s">
        <v>7587</v>
      </c>
      <c r="J1759" s="1" t="s">
        <v>7588</v>
      </c>
      <c r="K1759" s="1" t="s">
        <v>45</v>
      </c>
    </row>
    <row r="1760">
      <c r="A1760" s="1" t="s">
        <v>7589</v>
      </c>
      <c r="B1760" s="1" t="s">
        <v>7590</v>
      </c>
      <c r="C1760" s="1">
        <v>2021.0</v>
      </c>
      <c r="D1760" s="2">
        <v>44289.0</v>
      </c>
      <c r="F1760" s="1" t="s">
        <v>3998</v>
      </c>
      <c r="H1760" s="3">
        <v>10.0</v>
      </c>
      <c r="I1760" s="4" t="s">
        <v>7591</v>
      </c>
      <c r="J1760" s="1" t="s">
        <v>7592</v>
      </c>
      <c r="K1760" s="1" t="s">
        <v>443</v>
      </c>
    </row>
    <row r="1761">
      <c r="A1761" s="1" t="s">
        <v>7593</v>
      </c>
      <c r="B1761" s="1" t="s">
        <v>7594</v>
      </c>
      <c r="C1761" s="1">
        <v>2021.0</v>
      </c>
      <c r="D1761" s="2">
        <v>44288.0</v>
      </c>
      <c r="F1761" s="1" t="s">
        <v>808</v>
      </c>
      <c r="H1761" s="3">
        <v>12.0</v>
      </c>
      <c r="I1761" s="4" t="s">
        <v>7595</v>
      </c>
      <c r="J1761" s="1" t="s">
        <v>7596</v>
      </c>
      <c r="K1761" s="1" t="s">
        <v>443</v>
      </c>
    </row>
    <row r="1762">
      <c r="A1762" s="1" t="s">
        <v>7597</v>
      </c>
      <c r="B1762" s="1" t="s">
        <v>7598</v>
      </c>
      <c r="C1762" s="1">
        <v>2021.0</v>
      </c>
      <c r="D1762" s="2">
        <v>44287.0</v>
      </c>
      <c r="F1762" s="1" t="s">
        <v>380</v>
      </c>
      <c r="H1762" s="3">
        <v>5.0</v>
      </c>
      <c r="I1762" s="4" t="s">
        <v>7599</v>
      </c>
      <c r="J1762" s="1" t="s">
        <v>7600</v>
      </c>
      <c r="K1762" s="1" t="s">
        <v>323</v>
      </c>
    </row>
    <row r="1763">
      <c r="A1763" s="1" t="s">
        <v>7601</v>
      </c>
      <c r="B1763" s="1" t="s">
        <v>7602</v>
      </c>
      <c r="C1763" s="1">
        <v>2021.0</v>
      </c>
      <c r="D1763" s="2">
        <v>44287.0</v>
      </c>
      <c r="F1763" s="1" t="s">
        <v>208</v>
      </c>
      <c r="H1763" s="3">
        <v>61.0</v>
      </c>
      <c r="I1763" s="4" t="s">
        <v>7603</v>
      </c>
      <c r="J1763" s="1" t="s">
        <v>7604</v>
      </c>
      <c r="K1763" s="1" t="s">
        <v>418</v>
      </c>
    </row>
    <row r="1764">
      <c r="A1764" s="1" t="s">
        <v>7605</v>
      </c>
      <c r="B1764" s="1" t="s">
        <v>7606</v>
      </c>
      <c r="C1764" s="1">
        <v>2021.0</v>
      </c>
      <c r="D1764" s="2">
        <v>44287.0</v>
      </c>
      <c r="F1764" s="1" t="s">
        <v>2458</v>
      </c>
      <c r="H1764" s="3">
        <v>107.0</v>
      </c>
      <c r="I1764" s="4" t="s">
        <v>7607</v>
      </c>
      <c r="J1764" s="1" t="s">
        <v>7608</v>
      </c>
      <c r="K1764" s="1" t="s">
        <v>443</v>
      </c>
    </row>
    <row r="1765">
      <c r="A1765" s="1" t="s">
        <v>7609</v>
      </c>
      <c r="B1765" s="1" t="s">
        <v>7610</v>
      </c>
      <c r="C1765" s="1">
        <v>2021.0</v>
      </c>
      <c r="D1765" s="2">
        <v>44287.0</v>
      </c>
      <c r="F1765" s="1" t="s">
        <v>347</v>
      </c>
      <c r="H1765" s="3">
        <v>6.0</v>
      </c>
      <c r="I1765" s="4" t="s">
        <v>7611</v>
      </c>
      <c r="J1765" s="1" t="s">
        <v>7612</v>
      </c>
      <c r="K1765" s="1" t="s">
        <v>323</v>
      </c>
    </row>
    <row r="1766">
      <c r="A1766" s="1" t="s">
        <v>7613</v>
      </c>
      <c r="B1766" s="1" t="s">
        <v>7614</v>
      </c>
      <c r="C1766" s="1">
        <v>2021.0</v>
      </c>
      <c r="D1766" s="2">
        <v>44287.0</v>
      </c>
      <c r="F1766" s="1" t="s">
        <v>1358</v>
      </c>
      <c r="H1766" s="3">
        <v>9.0</v>
      </c>
      <c r="I1766" s="4" t="s">
        <v>7615</v>
      </c>
      <c r="J1766" s="1" t="s">
        <v>7616</v>
      </c>
      <c r="K1766" s="1" t="s">
        <v>443</v>
      </c>
    </row>
    <row r="1767">
      <c r="A1767" s="1" t="s">
        <v>7617</v>
      </c>
      <c r="B1767" s="1" t="s">
        <v>7618</v>
      </c>
      <c r="C1767" s="1">
        <v>2021.0</v>
      </c>
      <c r="D1767" s="2">
        <v>44287.0</v>
      </c>
      <c r="F1767" s="1" t="s">
        <v>2540</v>
      </c>
      <c r="H1767" s="3">
        <v>8.0</v>
      </c>
      <c r="I1767" s="4" t="s">
        <v>7619</v>
      </c>
      <c r="J1767" s="1"/>
      <c r="K1767" s="1" t="s">
        <v>16</v>
      </c>
    </row>
    <row r="1768">
      <c r="A1768" s="1" t="s">
        <v>7620</v>
      </c>
      <c r="B1768" s="1" t="s">
        <v>7621</v>
      </c>
      <c r="C1768" s="1">
        <v>2021.0</v>
      </c>
      <c r="D1768" s="2">
        <v>44287.0</v>
      </c>
      <c r="F1768" s="1" t="s">
        <v>7622</v>
      </c>
      <c r="H1768" s="3">
        <v>2.0</v>
      </c>
      <c r="I1768" s="4" t="s">
        <v>7623</v>
      </c>
      <c r="J1768" s="1"/>
      <c r="K1768" s="1" t="s">
        <v>16</v>
      </c>
    </row>
    <row r="1769">
      <c r="A1769" s="1" t="s">
        <v>7624</v>
      </c>
      <c r="B1769" s="1" t="s">
        <v>7625</v>
      </c>
      <c r="C1769" s="1">
        <v>2021.0</v>
      </c>
      <c r="D1769" s="2">
        <v>44286.0</v>
      </c>
      <c r="F1769" s="1" t="s">
        <v>71</v>
      </c>
      <c r="H1769" s="3">
        <v>9.0</v>
      </c>
      <c r="I1769" s="4" t="s">
        <v>7626</v>
      </c>
      <c r="J1769" s="1" t="s">
        <v>7627</v>
      </c>
      <c r="K1769" s="1" t="s">
        <v>28</v>
      </c>
    </row>
    <row r="1770">
      <c r="A1770" s="1" t="s">
        <v>7628</v>
      </c>
      <c r="B1770" s="1" t="s">
        <v>7629</v>
      </c>
      <c r="C1770" s="1">
        <v>2021.0</v>
      </c>
      <c r="D1770" s="2">
        <v>44285.0</v>
      </c>
      <c r="F1770" s="1" t="s">
        <v>2080</v>
      </c>
      <c r="H1770" s="3">
        <v>4.0</v>
      </c>
      <c r="I1770" s="4" t="s">
        <v>7630</v>
      </c>
      <c r="J1770" s="1" t="s">
        <v>7631</v>
      </c>
      <c r="K1770" s="1" t="s">
        <v>443</v>
      </c>
    </row>
    <row r="1771">
      <c r="A1771" s="1" t="s">
        <v>7632</v>
      </c>
      <c r="B1771" s="1" t="s">
        <v>7633</v>
      </c>
      <c r="C1771" s="1">
        <v>2021.0</v>
      </c>
      <c r="D1771" s="2">
        <v>44284.0</v>
      </c>
      <c r="F1771" s="1" t="s">
        <v>19</v>
      </c>
      <c r="H1771" s="3">
        <v>4.0</v>
      </c>
      <c r="I1771" s="4" t="s">
        <v>7634</v>
      </c>
      <c r="J1771" s="1"/>
      <c r="K1771" s="1" t="s">
        <v>28</v>
      </c>
    </row>
    <row r="1772">
      <c r="A1772" s="1" t="s">
        <v>7635</v>
      </c>
      <c r="B1772" s="1" t="s">
        <v>7636</v>
      </c>
      <c r="C1772" s="1">
        <v>2021.0</v>
      </c>
      <c r="D1772" s="2">
        <v>44284.0</v>
      </c>
      <c r="F1772" s="1" t="s">
        <v>396</v>
      </c>
      <c r="H1772" s="3">
        <v>18.0</v>
      </c>
      <c r="I1772" s="4" t="s">
        <v>7637</v>
      </c>
      <c r="J1772" s="1"/>
      <c r="K1772" s="1" t="s">
        <v>28</v>
      </c>
    </row>
    <row r="1773">
      <c r="A1773" s="1" t="s">
        <v>7638</v>
      </c>
      <c r="B1773" s="1" t="s">
        <v>7639</v>
      </c>
      <c r="C1773" s="1">
        <v>2021.0</v>
      </c>
      <c r="D1773" s="2">
        <v>44282.0</v>
      </c>
      <c r="F1773" s="1" t="s">
        <v>1381</v>
      </c>
      <c r="H1773" s="3">
        <v>14.0</v>
      </c>
      <c r="I1773" s="4" t="s">
        <v>7640</v>
      </c>
      <c r="J1773" s="1" t="s">
        <v>7641</v>
      </c>
      <c r="K1773" s="1" t="s">
        <v>16</v>
      </c>
    </row>
    <row r="1774">
      <c r="A1774" s="1" t="s">
        <v>7642</v>
      </c>
      <c r="B1774" s="1" t="s">
        <v>7643</v>
      </c>
      <c r="C1774" s="1">
        <v>2021.0</v>
      </c>
      <c r="D1774" s="2">
        <v>44281.0</v>
      </c>
      <c r="F1774" s="1" t="s">
        <v>1170</v>
      </c>
      <c r="H1774" s="3">
        <v>10.0</v>
      </c>
      <c r="I1774" s="4" t="s">
        <v>7644</v>
      </c>
      <c r="J1774" s="1" t="s">
        <v>7645</v>
      </c>
      <c r="K1774" s="1" t="s">
        <v>28</v>
      </c>
    </row>
    <row r="1775">
      <c r="A1775" s="1" t="s">
        <v>7646</v>
      </c>
      <c r="B1775" s="1" t="s">
        <v>7647</v>
      </c>
      <c r="C1775" s="1">
        <v>2021.0</v>
      </c>
      <c r="D1775" s="2">
        <v>44281.0</v>
      </c>
      <c r="F1775" s="1" t="s">
        <v>157</v>
      </c>
      <c r="H1775" s="3">
        <v>5.0</v>
      </c>
      <c r="I1775" s="4" t="s">
        <v>7648</v>
      </c>
      <c r="J1775" s="1" t="s">
        <v>7649</v>
      </c>
      <c r="K1775" s="1" t="s">
        <v>546</v>
      </c>
    </row>
    <row r="1776">
      <c r="A1776" s="1" t="s">
        <v>7650</v>
      </c>
      <c r="B1776" s="1" t="s">
        <v>7651</v>
      </c>
      <c r="C1776" s="1">
        <v>2021.0</v>
      </c>
      <c r="D1776" s="2">
        <v>44281.0</v>
      </c>
      <c r="F1776" s="1" t="s">
        <v>157</v>
      </c>
      <c r="H1776" s="3">
        <v>17.0</v>
      </c>
      <c r="I1776" s="4" t="s">
        <v>7652</v>
      </c>
      <c r="J1776" s="1" t="s">
        <v>7653</v>
      </c>
      <c r="K1776" s="1" t="s">
        <v>546</v>
      </c>
    </row>
    <row r="1777">
      <c r="A1777" s="1" t="s">
        <v>7654</v>
      </c>
      <c r="B1777" s="1" t="s">
        <v>7655</v>
      </c>
      <c r="C1777" s="1">
        <v>2021.0</v>
      </c>
      <c r="D1777" s="2">
        <v>44281.0</v>
      </c>
      <c r="F1777" s="1" t="s">
        <v>1938</v>
      </c>
      <c r="H1777" s="3">
        <v>3.0</v>
      </c>
      <c r="I1777" s="4" t="s">
        <v>7656</v>
      </c>
      <c r="J1777" s="1" t="s">
        <v>7657</v>
      </c>
      <c r="K1777" s="1" t="s">
        <v>295</v>
      </c>
    </row>
    <row r="1778">
      <c r="A1778" s="1" t="s">
        <v>7658</v>
      </c>
      <c r="B1778" s="1" t="s">
        <v>7659</v>
      </c>
      <c r="C1778" s="1">
        <v>2021.0</v>
      </c>
      <c r="D1778" s="2">
        <v>44280.0</v>
      </c>
      <c r="F1778" s="1" t="s">
        <v>7660</v>
      </c>
      <c r="H1778" s="3">
        <v>13.0</v>
      </c>
      <c r="I1778" s="4" t="s">
        <v>7661</v>
      </c>
      <c r="J1778" s="1" t="s">
        <v>7662</v>
      </c>
      <c r="K1778" s="1" t="s">
        <v>68</v>
      </c>
    </row>
    <row r="1779">
      <c r="A1779" s="1" t="s">
        <v>7663</v>
      </c>
      <c r="B1779" s="1" t="s">
        <v>7664</v>
      </c>
      <c r="C1779" s="1">
        <v>2021.0</v>
      </c>
      <c r="D1779" s="2">
        <v>44279.0</v>
      </c>
      <c r="F1779" s="1" t="s">
        <v>248</v>
      </c>
      <c r="H1779" s="3">
        <v>392.0</v>
      </c>
      <c r="I1779" s="4" t="s">
        <v>7665</v>
      </c>
      <c r="J1779" s="1" t="s">
        <v>7666</v>
      </c>
      <c r="K1779" s="1" t="s">
        <v>323</v>
      </c>
    </row>
    <row r="1780">
      <c r="A1780" s="1" t="s">
        <v>7667</v>
      </c>
      <c r="B1780" s="1" t="s">
        <v>7668</v>
      </c>
      <c r="C1780" s="1">
        <v>2021.0</v>
      </c>
      <c r="D1780" s="2">
        <v>44279.0</v>
      </c>
      <c r="F1780" s="1" t="s">
        <v>7669</v>
      </c>
      <c r="H1780" s="3">
        <v>3.0</v>
      </c>
      <c r="I1780" s="4" t="s">
        <v>7670</v>
      </c>
      <c r="J1780" s="1" t="s">
        <v>7671</v>
      </c>
      <c r="K1780" s="1" t="s">
        <v>323</v>
      </c>
    </row>
    <row r="1781">
      <c r="A1781" s="1" t="s">
        <v>7672</v>
      </c>
      <c r="B1781" s="1" t="s">
        <v>7673</v>
      </c>
      <c r="C1781" s="1">
        <v>2021.0</v>
      </c>
      <c r="D1781" s="2">
        <v>44279.0</v>
      </c>
      <c r="F1781" s="1" t="s">
        <v>86</v>
      </c>
      <c r="H1781" s="3">
        <v>6.0</v>
      </c>
      <c r="I1781" s="4" t="s">
        <v>7674</v>
      </c>
      <c r="J1781" s="1" t="s">
        <v>7675</v>
      </c>
      <c r="K1781" s="1" t="s">
        <v>16</v>
      </c>
    </row>
    <row r="1782">
      <c r="A1782" s="1" t="s">
        <v>7676</v>
      </c>
      <c r="B1782" s="1" t="s">
        <v>7677</v>
      </c>
      <c r="C1782" s="1">
        <v>2021.0</v>
      </c>
      <c r="D1782" s="2">
        <v>44279.0</v>
      </c>
      <c r="F1782" s="1" t="s">
        <v>1873</v>
      </c>
      <c r="H1782" s="3">
        <v>1.0</v>
      </c>
      <c r="I1782" s="4" t="s">
        <v>7678</v>
      </c>
      <c r="J1782" s="1" t="s">
        <v>7679</v>
      </c>
      <c r="K1782" s="1" t="s">
        <v>16</v>
      </c>
    </row>
    <row r="1783">
      <c r="A1783" s="1" t="s">
        <v>7680</v>
      </c>
      <c r="B1783" s="1" t="s">
        <v>7681</v>
      </c>
      <c r="C1783" s="1">
        <v>2021.0</v>
      </c>
      <c r="D1783" s="2">
        <v>44278.0</v>
      </c>
      <c r="F1783" s="1" t="s">
        <v>271</v>
      </c>
      <c r="H1783" s="3">
        <v>0.0</v>
      </c>
      <c r="I1783" s="4" t="s">
        <v>7682</v>
      </c>
      <c r="J1783" s="1" t="s">
        <v>7683</v>
      </c>
      <c r="K1783" s="1" t="s">
        <v>68</v>
      </c>
    </row>
    <row r="1784">
      <c r="A1784" s="1" t="s">
        <v>7684</v>
      </c>
      <c r="B1784" s="1" t="s">
        <v>7685</v>
      </c>
      <c r="C1784" s="1">
        <v>2021.0</v>
      </c>
      <c r="D1784" s="2">
        <v>44277.0</v>
      </c>
      <c r="F1784" s="1" t="s">
        <v>1371</v>
      </c>
      <c r="H1784" s="3">
        <v>9.0</v>
      </c>
      <c r="I1784" s="4" t="s">
        <v>7686</v>
      </c>
      <c r="J1784" s="1" t="s">
        <v>7687</v>
      </c>
      <c r="K1784" s="1" t="s">
        <v>45</v>
      </c>
    </row>
    <row r="1785">
      <c r="A1785" s="1" t="s">
        <v>7688</v>
      </c>
      <c r="B1785" s="1" t="s">
        <v>7689</v>
      </c>
      <c r="C1785" s="1">
        <v>2021.0</v>
      </c>
      <c r="D1785" s="2">
        <v>44276.0</v>
      </c>
      <c r="F1785" s="1" t="s">
        <v>5598</v>
      </c>
      <c r="H1785" s="3">
        <v>19.0</v>
      </c>
      <c r="I1785" s="4" t="s">
        <v>7690</v>
      </c>
      <c r="J1785" s="1" t="s">
        <v>7691</v>
      </c>
      <c r="K1785" s="1" t="s">
        <v>68</v>
      </c>
    </row>
    <row r="1786">
      <c r="A1786" s="1" t="s">
        <v>7692</v>
      </c>
      <c r="B1786" s="1" t="s">
        <v>7693</v>
      </c>
      <c r="C1786" s="1">
        <v>2021.0</v>
      </c>
      <c r="D1786" s="2">
        <v>44276.0</v>
      </c>
      <c r="F1786" s="1" t="s">
        <v>2309</v>
      </c>
      <c r="H1786" s="3">
        <v>13.0</v>
      </c>
      <c r="I1786" s="4" t="s">
        <v>7694</v>
      </c>
      <c r="J1786" s="1" t="s">
        <v>7695</v>
      </c>
      <c r="K1786" s="1" t="s">
        <v>413</v>
      </c>
    </row>
    <row r="1787">
      <c r="A1787" s="1" t="s">
        <v>7696</v>
      </c>
      <c r="B1787" s="1" t="s">
        <v>7697</v>
      </c>
      <c r="C1787" s="1">
        <v>2021.0</v>
      </c>
      <c r="D1787" s="2">
        <v>44275.0</v>
      </c>
      <c r="F1787" s="1" t="s">
        <v>2119</v>
      </c>
      <c r="H1787" s="3">
        <v>11.0</v>
      </c>
      <c r="I1787" s="4" t="s">
        <v>7698</v>
      </c>
      <c r="J1787" s="1" t="s">
        <v>7699</v>
      </c>
      <c r="K1787" s="1" t="s">
        <v>28</v>
      </c>
    </row>
    <row r="1788">
      <c r="A1788" s="1" t="s">
        <v>7700</v>
      </c>
      <c r="B1788" s="1" t="s">
        <v>7701</v>
      </c>
      <c r="C1788" s="1">
        <v>2021.0</v>
      </c>
      <c r="D1788" s="2">
        <v>44274.0</v>
      </c>
      <c r="F1788" s="1" t="s">
        <v>1095</v>
      </c>
      <c r="H1788" s="3">
        <v>2.0</v>
      </c>
      <c r="I1788" s="4" t="s">
        <v>7702</v>
      </c>
      <c r="J1788" s="1" t="s">
        <v>7703</v>
      </c>
      <c r="K1788" s="1" t="s">
        <v>926</v>
      </c>
    </row>
    <row r="1789">
      <c r="A1789" s="1" t="s">
        <v>7704</v>
      </c>
      <c r="B1789" s="1" t="s">
        <v>7705</v>
      </c>
      <c r="C1789" s="1">
        <v>2021.0</v>
      </c>
      <c r="D1789" s="2">
        <v>44274.0</v>
      </c>
      <c r="F1789" s="1" t="s">
        <v>6865</v>
      </c>
      <c r="H1789" s="3">
        <v>5.0</v>
      </c>
      <c r="I1789" s="4" t="s">
        <v>7706</v>
      </c>
      <c r="J1789" s="1" t="s">
        <v>7707</v>
      </c>
      <c r="K1789" s="1" t="s">
        <v>16</v>
      </c>
    </row>
    <row r="1790">
      <c r="A1790" s="1" t="s">
        <v>7708</v>
      </c>
      <c r="B1790" s="1" t="s">
        <v>7709</v>
      </c>
      <c r="C1790" s="1">
        <v>2021.0</v>
      </c>
      <c r="D1790" s="2">
        <v>44274.0</v>
      </c>
      <c r="F1790" s="1" t="s">
        <v>1514</v>
      </c>
      <c r="H1790" s="3">
        <v>6.0</v>
      </c>
      <c r="I1790" s="4" t="s">
        <v>7710</v>
      </c>
      <c r="J1790" s="1" t="s">
        <v>7711</v>
      </c>
      <c r="K1790" s="1" t="s">
        <v>16</v>
      </c>
    </row>
    <row r="1791">
      <c r="A1791" s="1" t="s">
        <v>7712</v>
      </c>
      <c r="B1791" s="1" t="s">
        <v>7713</v>
      </c>
      <c r="C1791" s="1">
        <v>2021.0</v>
      </c>
      <c r="D1791" s="2">
        <v>44274.0</v>
      </c>
      <c r="F1791" s="1" t="s">
        <v>86</v>
      </c>
      <c r="H1791" s="3">
        <v>2.0</v>
      </c>
      <c r="I1791" s="4" t="s">
        <v>7714</v>
      </c>
      <c r="J1791" s="1" t="s">
        <v>7715</v>
      </c>
      <c r="K1791" s="1" t="s">
        <v>527</v>
      </c>
    </row>
    <row r="1792">
      <c r="A1792" s="1" t="s">
        <v>7716</v>
      </c>
      <c r="B1792" s="1" t="s">
        <v>7717</v>
      </c>
      <c r="C1792" s="1">
        <v>2021.0</v>
      </c>
      <c r="D1792" s="2">
        <v>44273.0</v>
      </c>
      <c r="F1792" s="1" t="s">
        <v>1113</v>
      </c>
      <c r="H1792" s="3">
        <v>5.0</v>
      </c>
      <c r="I1792" s="4" t="s">
        <v>7718</v>
      </c>
      <c r="J1792" s="1" t="s">
        <v>7719</v>
      </c>
      <c r="K1792" s="1" t="s">
        <v>45</v>
      </c>
    </row>
    <row r="1793">
      <c r="A1793" s="1" t="s">
        <v>7720</v>
      </c>
      <c r="B1793" s="1" t="s">
        <v>7157</v>
      </c>
      <c r="C1793" s="1">
        <v>2021.0</v>
      </c>
      <c r="D1793" s="2">
        <v>44273.0</v>
      </c>
      <c r="F1793" s="1" t="s">
        <v>7158</v>
      </c>
      <c r="H1793" s="3">
        <v>97.0</v>
      </c>
      <c r="I1793" s="4" t="s">
        <v>7721</v>
      </c>
      <c r="J1793" s="1" t="s">
        <v>7722</v>
      </c>
      <c r="K1793" s="1" t="s">
        <v>16</v>
      </c>
    </row>
    <row r="1794">
      <c r="A1794" s="1" t="s">
        <v>7723</v>
      </c>
      <c r="B1794" s="1" t="s">
        <v>7724</v>
      </c>
      <c r="C1794" s="1">
        <v>2021.0</v>
      </c>
      <c r="D1794" s="2">
        <v>44273.0</v>
      </c>
      <c r="F1794" s="1" t="s">
        <v>4980</v>
      </c>
      <c r="H1794" s="3">
        <v>2.0</v>
      </c>
      <c r="I1794" s="4" t="s">
        <v>7725</v>
      </c>
      <c r="J1794" s="1" t="s">
        <v>7726</v>
      </c>
      <c r="K1794" s="1" t="s">
        <v>295</v>
      </c>
    </row>
    <row r="1795">
      <c r="A1795" s="1" t="s">
        <v>7727</v>
      </c>
      <c r="B1795" s="1" t="s">
        <v>7728</v>
      </c>
      <c r="C1795" s="1">
        <v>2021.0</v>
      </c>
      <c r="D1795" s="2">
        <v>44272.0</v>
      </c>
      <c r="F1795" s="1" t="s">
        <v>7729</v>
      </c>
      <c r="H1795" s="3">
        <v>5.0</v>
      </c>
      <c r="I1795" s="4" t="s">
        <v>7730</v>
      </c>
      <c r="J1795" s="1" t="s">
        <v>7731</v>
      </c>
      <c r="K1795" s="1" t="s">
        <v>28</v>
      </c>
    </row>
    <row r="1796">
      <c r="A1796" s="1" t="s">
        <v>7732</v>
      </c>
      <c r="B1796" s="1" t="s">
        <v>7733</v>
      </c>
      <c r="C1796" s="1">
        <v>2021.0</v>
      </c>
      <c r="D1796" s="2">
        <v>44272.0</v>
      </c>
      <c r="F1796" s="1" t="s">
        <v>178</v>
      </c>
      <c r="H1796" s="3">
        <v>40.0</v>
      </c>
      <c r="I1796" s="4" t="s">
        <v>7734</v>
      </c>
      <c r="J1796" s="1" t="s">
        <v>7735</v>
      </c>
      <c r="K1796" s="1" t="s">
        <v>28</v>
      </c>
    </row>
    <row r="1797">
      <c r="A1797" s="1" t="s">
        <v>7736</v>
      </c>
      <c r="B1797" s="1" t="s">
        <v>7737</v>
      </c>
      <c r="C1797" s="1">
        <v>2021.0</v>
      </c>
      <c r="D1797" s="2">
        <v>44272.0</v>
      </c>
      <c r="F1797" s="1" t="s">
        <v>7738</v>
      </c>
      <c r="H1797" s="3">
        <v>54.0</v>
      </c>
      <c r="I1797" s="4" t="s">
        <v>7739</v>
      </c>
      <c r="J1797" s="1" t="s">
        <v>7740</v>
      </c>
      <c r="K1797" s="1" t="s">
        <v>462</v>
      </c>
    </row>
    <row r="1798">
      <c r="A1798" s="1" t="s">
        <v>7741</v>
      </c>
      <c r="B1798" s="1" t="s">
        <v>7742</v>
      </c>
      <c r="C1798" s="1">
        <v>2021.0</v>
      </c>
      <c r="D1798" s="2">
        <v>44271.0</v>
      </c>
      <c r="F1798" s="1" t="s">
        <v>31</v>
      </c>
      <c r="H1798" s="3">
        <v>22.0</v>
      </c>
      <c r="I1798" s="4" t="s">
        <v>7743</v>
      </c>
      <c r="J1798" s="1" t="s">
        <v>7744</v>
      </c>
      <c r="K1798" s="1" t="s">
        <v>28</v>
      </c>
    </row>
    <row r="1799">
      <c r="A1799" s="1" t="s">
        <v>7745</v>
      </c>
      <c r="B1799" s="1" t="s">
        <v>7746</v>
      </c>
      <c r="C1799" s="1">
        <v>2021.0</v>
      </c>
      <c r="D1799" s="2">
        <v>44271.0</v>
      </c>
      <c r="F1799" s="1" t="s">
        <v>2191</v>
      </c>
      <c r="H1799" s="3">
        <v>69.0</v>
      </c>
      <c r="I1799" s="4" t="s">
        <v>7747</v>
      </c>
      <c r="J1799" s="1" t="s">
        <v>7748</v>
      </c>
      <c r="K1799" s="1" t="s">
        <v>477</v>
      </c>
    </row>
    <row r="1800">
      <c r="A1800" s="1" t="s">
        <v>7749</v>
      </c>
      <c r="B1800" s="1" t="s">
        <v>7750</v>
      </c>
      <c r="C1800" s="1">
        <v>2021.0</v>
      </c>
      <c r="D1800" s="2">
        <v>44270.0</v>
      </c>
      <c r="F1800" s="1" t="s">
        <v>2426</v>
      </c>
      <c r="H1800" s="3">
        <v>3.0</v>
      </c>
      <c r="I1800" s="4" t="s">
        <v>7751</v>
      </c>
      <c r="J1800" s="1"/>
      <c r="K1800" s="1" t="s">
        <v>45</v>
      </c>
    </row>
    <row r="1801">
      <c r="A1801" s="1" t="s">
        <v>7752</v>
      </c>
      <c r="B1801" s="1" t="s">
        <v>7753</v>
      </c>
      <c r="C1801" s="1">
        <v>2021.0</v>
      </c>
      <c r="D1801" s="2">
        <v>44270.0</v>
      </c>
      <c r="F1801" s="1" t="s">
        <v>1295</v>
      </c>
      <c r="H1801" s="3">
        <v>8.0</v>
      </c>
      <c r="I1801" s="4" t="s">
        <v>7754</v>
      </c>
      <c r="J1801" s="1"/>
      <c r="K1801" s="1" t="s">
        <v>323</v>
      </c>
    </row>
    <row r="1802">
      <c r="A1802" s="1" t="s">
        <v>7755</v>
      </c>
      <c r="B1802" s="1" t="s">
        <v>7756</v>
      </c>
      <c r="C1802" s="1">
        <v>2021.0</v>
      </c>
      <c r="D1802" s="2">
        <v>44270.0</v>
      </c>
      <c r="F1802" s="1" t="s">
        <v>396</v>
      </c>
      <c r="H1802" s="3">
        <v>31.0</v>
      </c>
      <c r="I1802" s="4" t="s">
        <v>7757</v>
      </c>
      <c r="J1802" s="1" t="s">
        <v>7758</v>
      </c>
      <c r="K1802" s="1" t="s">
        <v>323</v>
      </c>
    </row>
    <row r="1803">
      <c r="A1803" s="1" t="s">
        <v>7759</v>
      </c>
      <c r="B1803" s="1" t="s">
        <v>7760</v>
      </c>
      <c r="C1803" s="1">
        <v>2021.0</v>
      </c>
      <c r="D1803" s="2">
        <v>44268.0</v>
      </c>
      <c r="F1803" s="1" t="s">
        <v>7761</v>
      </c>
      <c r="H1803" s="3">
        <v>2.0</v>
      </c>
      <c r="I1803" s="4" t="s">
        <v>7762</v>
      </c>
      <c r="J1803" s="1" t="s">
        <v>7763</v>
      </c>
      <c r="K1803" s="1" t="s">
        <v>28</v>
      </c>
    </row>
    <row r="1804">
      <c r="A1804" s="1" t="s">
        <v>7764</v>
      </c>
      <c r="B1804" s="1" t="s">
        <v>7765</v>
      </c>
      <c r="C1804" s="1">
        <v>2021.0</v>
      </c>
      <c r="D1804" s="2">
        <v>44268.0</v>
      </c>
      <c r="F1804" s="1" t="s">
        <v>1777</v>
      </c>
      <c r="H1804" s="3">
        <v>13.0</v>
      </c>
      <c r="I1804" s="4" t="s">
        <v>7766</v>
      </c>
      <c r="J1804" s="1" t="s">
        <v>7767</v>
      </c>
      <c r="K1804" s="1" t="s">
        <v>443</v>
      </c>
    </row>
    <row r="1805">
      <c r="A1805" s="1" t="s">
        <v>7768</v>
      </c>
      <c r="B1805" s="1" t="s">
        <v>7769</v>
      </c>
      <c r="C1805" s="1">
        <v>2021.0</v>
      </c>
      <c r="D1805" s="2">
        <v>44267.0</v>
      </c>
      <c r="F1805" s="1" t="s">
        <v>7770</v>
      </c>
      <c r="H1805" s="3">
        <v>4.0</v>
      </c>
      <c r="I1805" s="4" t="s">
        <v>7771</v>
      </c>
      <c r="J1805" s="1" t="s">
        <v>7772</v>
      </c>
      <c r="K1805" s="1" t="s">
        <v>443</v>
      </c>
    </row>
    <row r="1806">
      <c r="A1806" s="1" t="s">
        <v>7773</v>
      </c>
      <c r="B1806" s="1" t="s">
        <v>7774</v>
      </c>
      <c r="C1806" s="1">
        <v>2021.0</v>
      </c>
      <c r="D1806" s="2">
        <v>44267.0</v>
      </c>
      <c r="F1806" s="1" t="s">
        <v>1300</v>
      </c>
      <c r="H1806" s="3">
        <v>53.0</v>
      </c>
      <c r="I1806" s="4" t="s">
        <v>7775</v>
      </c>
      <c r="J1806" s="1" t="s">
        <v>7776</v>
      </c>
      <c r="K1806" s="1" t="s">
        <v>418</v>
      </c>
    </row>
    <row r="1807">
      <c r="A1807" s="1" t="s">
        <v>7777</v>
      </c>
      <c r="B1807" s="1" t="s">
        <v>7778</v>
      </c>
      <c r="C1807" s="1">
        <v>2021.0</v>
      </c>
      <c r="D1807" s="2">
        <v>44267.0</v>
      </c>
      <c r="F1807" s="1" t="s">
        <v>519</v>
      </c>
      <c r="H1807" s="3">
        <v>17.0</v>
      </c>
      <c r="I1807" s="4" t="s">
        <v>7779</v>
      </c>
      <c r="J1807" s="1" t="s">
        <v>7780</v>
      </c>
      <c r="K1807" s="1" t="s">
        <v>28</v>
      </c>
    </row>
    <row r="1808">
      <c r="A1808" s="1" t="s">
        <v>7781</v>
      </c>
      <c r="B1808" s="1" t="s">
        <v>7782</v>
      </c>
      <c r="C1808" s="1">
        <v>2021.0</v>
      </c>
      <c r="D1808" s="2">
        <v>44267.0</v>
      </c>
      <c r="F1808" s="1" t="s">
        <v>2297</v>
      </c>
      <c r="H1808" s="3">
        <v>26.0</v>
      </c>
      <c r="I1808" s="4" t="s">
        <v>7783</v>
      </c>
      <c r="J1808" s="1" t="s">
        <v>7784</v>
      </c>
      <c r="K1808" s="1" t="s">
        <v>477</v>
      </c>
    </row>
    <row r="1809">
      <c r="A1809" s="1" t="s">
        <v>7785</v>
      </c>
      <c r="B1809" s="1" t="s">
        <v>7786</v>
      </c>
      <c r="C1809" s="1">
        <v>2021.0</v>
      </c>
      <c r="D1809" s="2">
        <v>44266.0</v>
      </c>
      <c r="F1809" s="1" t="s">
        <v>13</v>
      </c>
      <c r="H1809" s="3">
        <v>6.0</v>
      </c>
      <c r="I1809" s="4" t="s">
        <v>7787</v>
      </c>
      <c r="J1809" s="1" t="s">
        <v>7788</v>
      </c>
      <c r="K1809" s="1" t="s">
        <v>323</v>
      </c>
    </row>
    <row r="1810">
      <c r="A1810" s="1" t="s">
        <v>7789</v>
      </c>
      <c r="B1810" s="1" t="s">
        <v>7790</v>
      </c>
      <c r="C1810" s="1">
        <v>2021.0</v>
      </c>
      <c r="D1810" s="2">
        <v>44266.0</v>
      </c>
      <c r="F1810" s="1" t="s">
        <v>1050</v>
      </c>
      <c r="H1810" s="3">
        <v>0.0</v>
      </c>
      <c r="I1810" s="4" t="s">
        <v>7791</v>
      </c>
      <c r="J1810" s="1" t="s">
        <v>7792</v>
      </c>
      <c r="K1810" s="1" t="s">
        <v>28</v>
      </c>
    </row>
    <row r="1811">
      <c r="A1811" s="1" t="s">
        <v>7793</v>
      </c>
      <c r="B1811" s="1" t="s">
        <v>7794</v>
      </c>
      <c r="C1811" s="1">
        <v>2021.0</v>
      </c>
      <c r="D1811" s="2">
        <v>44265.0</v>
      </c>
      <c r="F1811" s="1" t="s">
        <v>1899</v>
      </c>
      <c r="H1811" s="3">
        <v>21.0</v>
      </c>
      <c r="I1811" s="4" t="s">
        <v>7795</v>
      </c>
      <c r="J1811" s="1" t="s">
        <v>7796</v>
      </c>
      <c r="K1811" s="1" t="s">
        <v>383</v>
      </c>
    </row>
    <row r="1812">
      <c r="A1812" s="1" t="s">
        <v>7797</v>
      </c>
      <c r="B1812" s="1" t="s">
        <v>7798</v>
      </c>
      <c r="C1812" s="1">
        <v>2021.0</v>
      </c>
      <c r="D1812" s="2">
        <v>44263.0</v>
      </c>
      <c r="F1812" s="1" t="s">
        <v>271</v>
      </c>
      <c r="H1812" s="3">
        <v>2.0</v>
      </c>
      <c r="I1812" s="4" t="s">
        <v>7799</v>
      </c>
      <c r="J1812" s="1" t="s">
        <v>7800</v>
      </c>
      <c r="K1812" s="1" t="s">
        <v>323</v>
      </c>
    </row>
    <row r="1813">
      <c r="A1813" s="1" t="s">
        <v>7801</v>
      </c>
      <c r="B1813" s="1" t="s">
        <v>7802</v>
      </c>
      <c r="C1813" s="1">
        <v>2021.0</v>
      </c>
      <c r="D1813" s="2">
        <v>44263.0</v>
      </c>
      <c r="F1813" s="1" t="s">
        <v>142</v>
      </c>
      <c r="H1813" s="3">
        <v>13.0</v>
      </c>
      <c r="I1813" s="4" t="s">
        <v>7803</v>
      </c>
      <c r="J1813" s="1" t="s">
        <v>7804</v>
      </c>
      <c r="K1813" s="1" t="s">
        <v>16</v>
      </c>
    </row>
    <row r="1814">
      <c r="A1814" s="1" t="s">
        <v>7805</v>
      </c>
      <c r="B1814" s="1" t="s">
        <v>7806</v>
      </c>
      <c r="C1814" s="1">
        <v>2021.0</v>
      </c>
      <c r="D1814" s="2">
        <v>44262.0</v>
      </c>
      <c r="F1814" s="1" t="s">
        <v>7807</v>
      </c>
      <c r="H1814" s="3">
        <v>22.0</v>
      </c>
      <c r="I1814" s="4" t="s">
        <v>7808</v>
      </c>
      <c r="J1814" s="1" t="s">
        <v>7809</v>
      </c>
      <c r="K1814" s="1" t="s">
        <v>323</v>
      </c>
    </row>
    <row r="1815">
      <c r="A1815" s="1" t="s">
        <v>7810</v>
      </c>
      <c r="B1815" s="1" t="s">
        <v>7811</v>
      </c>
      <c r="C1815" s="1">
        <v>2021.0</v>
      </c>
      <c r="D1815" s="2">
        <v>44262.0</v>
      </c>
      <c r="F1815" s="1" t="s">
        <v>13</v>
      </c>
      <c r="H1815" s="3">
        <v>1.0</v>
      </c>
      <c r="I1815" s="4" t="s">
        <v>7812</v>
      </c>
      <c r="J1815" s="1"/>
      <c r="K1815" s="1" t="s">
        <v>16</v>
      </c>
    </row>
    <row r="1816">
      <c r="A1816" s="1" t="s">
        <v>7813</v>
      </c>
      <c r="B1816" s="1" t="s">
        <v>7814</v>
      </c>
      <c r="C1816" s="1">
        <v>2021.0</v>
      </c>
      <c r="D1816" s="2">
        <v>44259.0</v>
      </c>
      <c r="F1816" s="1" t="s">
        <v>347</v>
      </c>
      <c r="H1816" s="3">
        <v>7.0</v>
      </c>
      <c r="I1816" s="4" t="s">
        <v>7815</v>
      </c>
      <c r="J1816" s="1" t="s">
        <v>7816</v>
      </c>
      <c r="K1816" s="1" t="s">
        <v>323</v>
      </c>
    </row>
    <row r="1817">
      <c r="A1817" s="1" t="s">
        <v>7817</v>
      </c>
      <c r="B1817" s="1" t="s">
        <v>7818</v>
      </c>
      <c r="C1817" s="1">
        <v>2021.0</v>
      </c>
      <c r="D1817" s="2">
        <v>44259.0</v>
      </c>
      <c r="F1817" s="1" t="s">
        <v>81</v>
      </c>
      <c r="H1817" s="3">
        <v>0.0</v>
      </c>
      <c r="I1817" s="4" t="s">
        <v>7819</v>
      </c>
      <c r="J1817" s="1" t="s">
        <v>7820</v>
      </c>
      <c r="K1817" s="1" t="s">
        <v>443</v>
      </c>
    </row>
    <row r="1818">
      <c r="A1818" s="1" t="s">
        <v>7821</v>
      </c>
      <c r="B1818" s="1" t="s">
        <v>7822</v>
      </c>
      <c r="C1818" s="1">
        <v>2021.0</v>
      </c>
      <c r="D1818" s="2">
        <v>44257.0</v>
      </c>
      <c r="F1818" s="1" t="s">
        <v>2335</v>
      </c>
      <c r="H1818" s="3">
        <v>2.0</v>
      </c>
      <c r="I1818" s="4" t="s">
        <v>7823</v>
      </c>
      <c r="J1818" s="1" t="s">
        <v>7824</v>
      </c>
      <c r="K1818" s="1" t="s">
        <v>16</v>
      </c>
    </row>
    <row r="1819">
      <c r="A1819" s="1" t="s">
        <v>7825</v>
      </c>
      <c r="B1819" s="1" t="s">
        <v>7826</v>
      </c>
      <c r="C1819" s="1">
        <v>2021.0</v>
      </c>
      <c r="D1819" s="2">
        <v>44257.0</v>
      </c>
      <c r="F1819" s="1" t="s">
        <v>271</v>
      </c>
      <c r="H1819" s="3">
        <v>7.0</v>
      </c>
      <c r="I1819" s="4" t="s">
        <v>7827</v>
      </c>
      <c r="J1819" s="1" t="s">
        <v>7828</v>
      </c>
      <c r="K1819" s="1" t="s">
        <v>16</v>
      </c>
    </row>
    <row r="1820">
      <c r="A1820" s="1" t="s">
        <v>7829</v>
      </c>
      <c r="B1820" s="1" t="s">
        <v>7830</v>
      </c>
      <c r="C1820" s="1">
        <v>2021.0</v>
      </c>
      <c r="D1820" s="2">
        <v>44256.0</v>
      </c>
      <c r="F1820" s="1" t="s">
        <v>1442</v>
      </c>
      <c r="H1820" s="3">
        <v>36.0</v>
      </c>
      <c r="I1820" s="4" t="s">
        <v>7831</v>
      </c>
      <c r="J1820" s="1" t="s">
        <v>7832</v>
      </c>
      <c r="K1820" s="1" t="s">
        <v>28</v>
      </c>
    </row>
    <row r="1821">
      <c r="A1821" s="1" t="s">
        <v>7833</v>
      </c>
      <c r="B1821" s="1" t="s">
        <v>7834</v>
      </c>
      <c r="C1821" s="1">
        <v>2021.0</v>
      </c>
      <c r="D1821" s="2">
        <v>44256.0</v>
      </c>
      <c r="F1821" s="1" t="s">
        <v>7835</v>
      </c>
      <c r="H1821" s="3">
        <v>4.0</v>
      </c>
      <c r="I1821" s="4" t="s">
        <v>7836</v>
      </c>
      <c r="J1821" s="1" t="s">
        <v>7837</v>
      </c>
      <c r="K1821" s="1" t="s">
        <v>28</v>
      </c>
    </row>
    <row r="1822">
      <c r="A1822" s="1" t="s">
        <v>7838</v>
      </c>
      <c r="B1822" s="1" t="s">
        <v>7839</v>
      </c>
      <c r="C1822" s="1">
        <v>2021.0</v>
      </c>
      <c r="D1822" s="2">
        <v>44256.0</v>
      </c>
      <c r="F1822" s="1" t="s">
        <v>7840</v>
      </c>
      <c r="H1822" s="3">
        <v>11.0</v>
      </c>
      <c r="I1822" s="4" t="s">
        <v>7841</v>
      </c>
      <c r="J1822" s="1" t="s">
        <v>7842</v>
      </c>
      <c r="K1822" s="1" t="s">
        <v>323</v>
      </c>
    </row>
    <row r="1823">
      <c r="A1823" s="1" t="s">
        <v>7843</v>
      </c>
      <c r="B1823" s="1" t="s">
        <v>7844</v>
      </c>
      <c r="C1823" s="1">
        <v>2021.0</v>
      </c>
      <c r="D1823" s="2">
        <v>44256.0</v>
      </c>
      <c r="F1823" s="1" t="s">
        <v>440</v>
      </c>
      <c r="H1823" s="3">
        <v>6.0</v>
      </c>
      <c r="I1823" s="4" t="s">
        <v>7845</v>
      </c>
      <c r="J1823" s="1" t="s">
        <v>7846</v>
      </c>
      <c r="K1823" s="1" t="s">
        <v>16</v>
      </c>
    </row>
    <row r="1824">
      <c r="A1824" s="1" t="s">
        <v>7847</v>
      </c>
      <c r="B1824" s="1" t="s">
        <v>7848</v>
      </c>
      <c r="C1824" s="1">
        <v>2021.0</v>
      </c>
      <c r="D1824" s="2">
        <v>44256.0</v>
      </c>
      <c r="F1824" s="1" t="s">
        <v>5686</v>
      </c>
      <c r="H1824" s="3">
        <v>5.0</v>
      </c>
      <c r="I1824" s="4" t="s">
        <v>7849</v>
      </c>
      <c r="J1824" s="1" t="s">
        <v>7850</v>
      </c>
      <c r="K1824" s="1" t="s">
        <v>295</v>
      </c>
    </row>
    <row r="1825">
      <c r="A1825" s="1" t="s">
        <v>7851</v>
      </c>
      <c r="B1825" s="1" t="s">
        <v>7852</v>
      </c>
      <c r="C1825" s="1">
        <v>2021.0</v>
      </c>
      <c r="D1825" s="2">
        <v>44254.0</v>
      </c>
      <c r="F1825" s="1" t="s">
        <v>7853</v>
      </c>
      <c r="H1825" s="3">
        <v>15.0</v>
      </c>
      <c r="I1825" s="4" t="s">
        <v>7854</v>
      </c>
      <c r="J1825" s="1" t="s">
        <v>7855</v>
      </c>
      <c r="K1825" s="1" t="s">
        <v>45</v>
      </c>
    </row>
    <row r="1826">
      <c r="A1826" s="1" t="s">
        <v>7856</v>
      </c>
      <c r="B1826" s="1" t="s">
        <v>6581</v>
      </c>
      <c r="C1826" s="1">
        <v>2021.0</v>
      </c>
      <c r="D1826" s="2">
        <v>44254.0</v>
      </c>
      <c r="F1826" s="1" t="s">
        <v>1295</v>
      </c>
      <c r="H1826" s="3">
        <v>7.0</v>
      </c>
      <c r="I1826" s="4" t="s">
        <v>7857</v>
      </c>
      <c r="J1826" s="1" t="s">
        <v>7858</v>
      </c>
      <c r="K1826" s="1" t="s">
        <v>323</v>
      </c>
    </row>
    <row r="1827">
      <c r="A1827" s="1" t="s">
        <v>7859</v>
      </c>
      <c r="B1827" s="1" t="s">
        <v>7860</v>
      </c>
      <c r="C1827" s="1">
        <v>2021.0</v>
      </c>
      <c r="D1827" s="2">
        <v>44253.0</v>
      </c>
      <c r="F1827" s="1" t="s">
        <v>71</v>
      </c>
      <c r="H1827" s="3">
        <v>10.0</v>
      </c>
      <c r="I1827" s="4" t="s">
        <v>7861</v>
      </c>
      <c r="J1827" s="1" t="s">
        <v>7862</v>
      </c>
      <c r="K1827" s="1" t="s">
        <v>45</v>
      </c>
    </row>
    <row r="1828">
      <c r="A1828" s="1" t="s">
        <v>7863</v>
      </c>
      <c r="B1828" s="1" t="s">
        <v>7864</v>
      </c>
      <c r="C1828" s="1">
        <v>2021.0</v>
      </c>
      <c r="D1828" s="2">
        <v>44253.0</v>
      </c>
      <c r="F1828" s="1" t="s">
        <v>762</v>
      </c>
      <c r="H1828" s="3">
        <v>3.0</v>
      </c>
      <c r="I1828" s="4" t="s">
        <v>7865</v>
      </c>
      <c r="J1828" s="1" t="s">
        <v>7866</v>
      </c>
      <c r="K1828" s="1" t="s">
        <v>68</v>
      </c>
    </row>
    <row r="1829">
      <c r="A1829" s="1" t="s">
        <v>7867</v>
      </c>
      <c r="B1829" s="1" t="s">
        <v>7868</v>
      </c>
      <c r="C1829" s="1">
        <v>2021.0</v>
      </c>
      <c r="D1829" s="2">
        <v>44252.0</v>
      </c>
      <c r="F1829" s="1" t="s">
        <v>86</v>
      </c>
      <c r="H1829" s="3">
        <v>16.0</v>
      </c>
      <c r="I1829" s="4" t="s">
        <v>7869</v>
      </c>
      <c r="J1829" s="1" t="s">
        <v>7870</v>
      </c>
      <c r="K1829" s="1" t="s">
        <v>7871</v>
      </c>
    </row>
    <row r="1830">
      <c r="A1830" s="1" t="s">
        <v>7872</v>
      </c>
      <c r="B1830" s="1" t="s">
        <v>7873</v>
      </c>
      <c r="C1830" s="1">
        <v>2021.0</v>
      </c>
      <c r="D1830" s="2">
        <v>44252.0</v>
      </c>
      <c r="F1830" s="1" t="s">
        <v>308</v>
      </c>
      <c r="H1830" s="3">
        <v>3.0</v>
      </c>
      <c r="I1830" s="4" t="s">
        <v>7874</v>
      </c>
      <c r="J1830" s="1" t="s">
        <v>7875</v>
      </c>
      <c r="K1830" s="1" t="s">
        <v>28</v>
      </c>
    </row>
    <row r="1831">
      <c r="A1831" s="1" t="s">
        <v>7876</v>
      </c>
      <c r="B1831" s="1" t="s">
        <v>7877</v>
      </c>
      <c r="C1831" s="1">
        <v>2021.0</v>
      </c>
      <c r="D1831" s="2">
        <v>44252.0</v>
      </c>
      <c r="F1831" s="1" t="s">
        <v>228</v>
      </c>
      <c r="H1831" s="3">
        <v>3.0</v>
      </c>
      <c r="I1831" s="4" t="s">
        <v>7878</v>
      </c>
      <c r="J1831" s="1" t="s">
        <v>7879</v>
      </c>
      <c r="K1831" s="1" t="s">
        <v>383</v>
      </c>
    </row>
    <row r="1832">
      <c r="A1832" s="1" t="s">
        <v>7880</v>
      </c>
      <c r="B1832" s="1" t="s">
        <v>7881</v>
      </c>
      <c r="C1832" s="1">
        <v>2021.0</v>
      </c>
      <c r="D1832" s="2">
        <v>44251.0</v>
      </c>
      <c r="F1832" s="1" t="s">
        <v>7882</v>
      </c>
      <c r="H1832" s="3">
        <v>2.0</v>
      </c>
      <c r="I1832" s="4" t="s">
        <v>7883</v>
      </c>
      <c r="J1832" s="1" t="s">
        <v>7884</v>
      </c>
      <c r="K1832" s="1" t="s">
        <v>45</v>
      </c>
    </row>
    <row r="1833">
      <c r="A1833" s="1" t="s">
        <v>7885</v>
      </c>
      <c r="B1833" s="1" t="s">
        <v>7886</v>
      </c>
      <c r="C1833" s="1">
        <v>2021.0</v>
      </c>
      <c r="D1833" s="2">
        <v>44251.0</v>
      </c>
      <c r="F1833" s="1" t="s">
        <v>5758</v>
      </c>
      <c r="H1833" s="3">
        <v>5.0</v>
      </c>
      <c r="I1833" s="4" t="s">
        <v>7887</v>
      </c>
      <c r="J1833" s="1" t="s">
        <v>7888</v>
      </c>
      <c r="K1833" s="1" t="s">
        <v>28</v>
      </c>
    </row>
    <row r="1834">
      <c r="A1834" s="1" t="s">
        <v>7889</v>
      </c>
      <c r="B1834" s="1" t="s">
        <v>7890</v>
      </c>
      <c r="C1834" s="1">
        <v>2021.0</v>
      </c>
      <c r="D1834" s="2">
        <v>44250.0</v>
      </c>
      <c r="F1834" s="1" t="s">
        <v>500</v>
      </c>
      <c r="H1834" s="3">
        <v>14.0</v>
      </c>
      <c r="I1834" s="4" t="s">
        <v>7891</v>
      </c>
      <c r="J1834" s="1" t="s">
        <v>7892</v>
      </c>
      <c r="K1834" s="1" t="s">
        <v>323</v>
      </c>
    </row>
    <row r="1835">
      <c r="A1835" s="1" t="s">
        <v>7893</v>
      </c>
      <c r="B1835" s="1" t="s">
        <v>7894</v>
      </c>
      <c r="C1835" s="1">
        <v>2021.0</v>
      </c>
      <c r="D1835" s="2">
        <v>44250.0</v>
      </c>
      <c r="F1835" s="1" t="s">
        <v>500</v>
      </c>
      <c r="H1835" s="3">
        <v>0.0</v>
      </c>
      <c r="I1835" s="4" t="s">
        <v>7895</v>
      </c>
      <c r="J1835" s="1" t="s">
        <v>7896</v>
      </c>
      <c r="K1835" s="1" t="s">
        <v>413</v>
      </c>
    </row>
    <row r="1836">
      <c r="A1836" s="1" t="s">
        <v>7897</v>
      </c>
      <c r="B1836" s="1" t="s">
        <v>7898</v>
      </c>
      <c r="C1836" s="1">
        <v>2021.0</v>
      </c>
      <c r="D1836" s="2">
        <v>44250.0</v>
      </c>
      <c r="F1836" s="1" t="s">
        <v>7899</v>
      </c>
      <c r="H1836" s="3">
        <v>3.0</v>
      </c>
      <c r="I1836" s="4" t="s">
        <v>7900</v>
      </c>
      <c r="J1836" s="1" t="s">
        <v>7901</v>
      </c>
      <c r="K1836" s="1" t="s">
        <v>16</v>
      </c>
    </row>
    <row r="1837">
      <c r="A1837" s="1" t="s">
        <v>7902</v>
      </c>
      <c r="B1837" s="1" t="s">
        <v>7903</v>
      </c>
      <c r="C1837" s="1">
        <v>2021.0</v>
      </c>
      <c r="D1837" s="2">
        <v>44249.0</v>
      </c>
      <c r="F1837" s="1" t="s">
        <v>31</v>
      </c>
      <c r="H1837" s="3">
        <v>18.0</v>
      </c>
      <c r="I1837" s="4" t="s">
        <v>7904</v>
      </c>
      <c r="J1837" s="1" t="s">
        <v>7905</v>
      </c>
      <c r="K1837" s="1" t="s">
        <v>413</v>
      </c>
    </row>
    <row r="1838">
      <c r="A1838" s="1" t="s">
        <v>7906</v>
      </c>
      <c r="B1838" s="1" t="s">
        <v>7907</v>
      </c>
      <c r="C1838" s="1">
        <v>2021.0</v>
      </c>
      <c r="D1838" s="2">
        <v>44249.0</v>
      </c>
      <c r="F1838" s="1" t="s">
        <v>430</v>
      </c>
      <c r="H1838" s="3">
        <v>11.0</v>
      </c>
      <c r="I1838" s="4" t="s">
        <v>7908</v>
      </c>
      <c r="J1838" s="1" t="s">
        <v>7909</v>
      </c>
      <c r="K1838" s="1" t="s">
        <v>443</v>
      </c>
    </row>
    <row r="1839">
      <c r="A1839" s="1" t="s">
        <v>7910</v>
      </c>
      <c r="B1839" s="1" t="s">
        <v>7911</v>
      </c>
      <c r="C1839" s="1">
        <v>2021.0</v>
      </c>
      <c r="D1839" s="2">
        <v>44246.0</v>
      </c>
      <c r="F1839" s="1" t="s">
        <v>157</v>
      </c>
      <c r="H1839" s="3">
        <v>7.0</v>
      </c>
      <c r="I1839" s="4" t="s">
        <v>7912</v>
      </c>
      <c r="J1839" s="1" t="s">
        <v>7913</v>
      </c>
      <c r="K1839" s="1" t="s">
        <v>546</v>
      </c>
    </row>
    <row r="1840">
      <c r="A1840" s="1" t="s">
        <v>7914</v>
      </c>
      <c r="B1840" s="1" t="s">
        <v>7915</v>
      </c>
      <c r="C1840" s="1">
        <v>2021.0</v>
      </c>
      <c r="D1840" s="2">
        <v>44246.0</v>
      </c>
      <c r="F1840" s="1" t="s">
        <v>2996</v>
      </c>
      <c r="H1840" s="3">
        <v>6.0</v>
      </c>
      <c r="I1840" s="4" t="s">
        <v>7916</v>
      </c>
      <c r="J1840" s="1" t="s">
        <v>7917</v>
      </c>
      <c r="K1840" s="1" t="s">
        <v>16</v>
      </c>
    </row>
    <row r="1841">
      <c r="A1841" s="1" t="s">
        <v>7918</v>
      </c>
      <c r="B1841" s="1" t="s">
        <v>7919</v>
      </c>
      <c r="C1841" s="1">
        <v>2021.0</v>
      </c>
      <c r="D1841" s="2">
        <v>44245.0</v>
      </c>
      <c r="F1841" s="1" t="s">
        <v>1340</v>
      </c>
      <c r="H1841" s="3">
        <v>27.0</v>
      </c>
      <c r="I1841" s="4" t="s">
        <v>7920</v>
      </c>
      <c r="J1841" s="1" t="s">
        <v>7921</v>
      </c>
      <c r="K1841" s="1" t="s">
        <v>28</v>
      </c>
    </row>
    <row r="1842">
      <c r="A1842" s="1" t="s">
        <v>7922</v>
      </c>
      <c r="B1842" s="1" t="s">
        <v>7923</v>
      </c>
      <c r="C1842" s="1">
        <v>2021.0</v>
      </c>
      <c r="D1842" s="2">
        <v>44245.0</v>
      </c>
      <c r="F1842" s="1" t="s">
        <v>3045</v>
      </c>
      <c r="H1842" s="3">
        <v>52.0</v>
      </c>
      <c r="I1842" s="4" t="s">
        <v>7924</v>
      </c>
      <c r="J1842" s="1" t="s">
        <v>7925</v>
      </c>
      <c r="K1842" s="1" t="s">
        <v>68</v>
      </c>
    </row>
    <row r="1843">
      <c r="A1843" s="1" t="s">
        <v>7926</v>
      </c>
      <c r="B1843" s="1" t="s">
        <v>7927</v>
      </c>
      <c r="C1843" s="1">
        <v>2021.0</v>
      </c>
      <c r="D1843" s="2">
        <v>44244.0</v>
      </c>
      <c r="F1843" s="1" t="s">
        <v>271</v>
      </c>
      <c r="H1843" s="3">
        <v>26.0</v>
      </c>
      <c r="I1843" s="4" t="s">
        <v>7928</v>
      </c>
      <c r="J1843" s="1" t="s">
        <v>7929</v>
      </c>
      <c r="K1843" s="1" t="s">
        <v>413</v>
      </c>
    </row>
    <row r="1844">
      <c r="A1844" s="1" t="s">
        <v>7930</v>
      </c>
      <c r="B1844" s="1" t="s">
        <v>7931</v>
      </c>
      <c r="C1844" s="1">
        <v>2021.0</v>
      </c>
      <c r="D1844" s="2">
        <v>44243.0</v>
      </c>
      <c r="F1844" s="1" t="s">
        <v>86</v>
      </c>
      <c r="H1844" s="3">
        <v>14.0</v>
      </c>
      <c r="I1844" s="4" t="s">
        <v>7932</v>
      </c>
      <c r="J1844" s="1" t="s">
        <v>7933</v>
      </c>
      <c r="K1844" s="1" t="s">
        <v>28</v>
      </c>
    </row>
    <row r="1845">
      <c r="A1845" s="1" t="s">
        <v>7934</v>
      </c>
      <c r="B1845" s="1" t="s">
        <v>7935</v>
      </c>
      <c r="C1845" s="1">
        <v>2021.0</v>
      </c>
      <c r="D1845" s="2">
        <v>44243.0</v>
      </c>
      <c r="F1845" s="1" t="s">
        <v>71</v>
      </c>
      <c r="H1845" s="3">
        <v>3.0</v>
      </c>
      <c r="I1845" s="4" t="s">
        <v>7936</v>
      </c>
      <c r="J1845" s="1" t="s">
        <v>7937</v>
      </c>
      <c r="K1845" s="1" t="s">
        <v>16</v>
      </c>
    </row>
    <row r="1846">
      <c r="A1846" s="1" t="s">
        <v>7938</v>
      </c>
      <c r="B1846" s="1" t="s">
        <v>7939</v>
      </c>
      <c r="C1846" s="1">
        <v>2021.0</v>
      </c>
      <c r="D1846" s="2">
        <v>44243.0</v>
      </c>
      <c r="F1846" s="1" t="s">
        <v>86</v>
      </c>
      <c r="H1846" s="3">
        <v>21.0</v>
      </c>
      <c r="I1846" s="4" t="s">
        <v>7940</v>
      </c>
      <c r="J1846" s="1" t="s">
        <v>7941</v>
      </c>
      <c r="K1846" s="1" t="s">
        <v>383</v>
      </c>
    </row>
    <row r="1847">
      <c r="A1847" s="1" t="s">
        <v>7942</v>
      </c>
      <c r="B1847" s="1" t="s">
        <v>7943</v>
      </c>
      <c r="C1847" s="1">
        <v>2021.0</v>
      </c>
      <c r="D1847" s="2">
        <v>44240.0</v>
      </c>
      <c r="F1847" s="1" t="s">
        <v>7944</v>
      </c>
      <c r="H1847" s="3">
        <v>13.0</v>
      </c>
      <c r="I1847" s="4" t="s">
        <v>7945</v>
      </c>
      <c r="J1847" s="1" t="s">
        <v>7946</v>
      </c>
      <c r="K1847" s="1" t="s">
        <v>443</v>
      </c>
    </row>
    <row r="1848">
      <c r="A1848" s="1" t="s">
        <v>7947</v>
      </c>
      <c r="B1848" s="1" t="s">
        <v>7948</v>
      </c>
      <c r="C1848" s="1">
        <v>2021.0</v>
      </c>
      <c r="D1848" s="2">
        <v>44239.0</v>
      </c>
      <c r="F1848" s="1" t="s">
        <v>7949</v>
      </c>
      <c r="H1848" s="3">
        <v>25.0</v>
      </c>
      <c r="I1848" s="4" t="s">
        <v>7950</v>
      </c>
      <c r="J1848" s="1" t="s">
        <v>7951</v>
      </c>
      <c r="K1848" s="1" t="s">
        <v>45</v>
      </c>
    </row>
    <row r="1849">
      <c r="A1849" s="1" t="s">
        <v>7952</v>
      </c>
      <c r="B1849" s="1" t="s">
        <v>7953</v>
      </c>
      <c r="C1849" s="1">
        <v>2021.0</v>
      </c>
      <c r="D1849" s="2">
        <v>44239.0</v>
      </c>
      <c r="F1849" s="1" t="s">
        <v>7954</v>
      </c>
      <c r="H1849" s="3">
        <v>5.0</v>
      </c>
      <c r="I1849" s="4" t="s">
        <v>7955</v>
      </c>
      <c r="J1849" s="1" t="s">
        <v>7956</v>
      </c>
      <c r="K1849" s="1" t="s">
        <v>295</v>
      </c>
    </row>
    <row r="1850">
      <c r="A1850" s="1" t="s">
        <v>7957</v>
      </c>
      <c r="B1850" s="1" t="s">
        <v>7958</v>
      </c>
      <c r="C1850" s="1">
        <v>2021.0</v>
      </c>
      <c r="D1850" s="2">
        <v>44239.0</v>
      </c>
      <c r="F1850" s="1" t="s">
        <v>6800</v>
      </c>
      <c r="H1850" s="3">
        <v>41.0</v>
      </c>
      <c r="I1850" s="4" t="s">
        <v>7959</v>
      </c>
      <c r="J1850" s="1" t="s">
        <v>7960</v>
      </c>
      <c r="K1850" s="1" t="s">
        <v>28</v>
      </c>
    </row>
    <row r="1851">
      <c r="A1851" s="1" t="s">
        <v>7961</v>
      </c>
      <c r="B1851" s="1" t="s">
        <v>7962</v>
      </c>
      <c r="C1851" s="1">
        <v>2021.0</v>
      </c>
      <c r="D1851" s="2">
        <v>44239.0</v>
      </c>
      <c r="F1851" s="1" t="s">
        <v>1095</v>
      </c>
      <c r="H1851" s="3">
        <v>2.0</v>
      </c>
      <c r="I1851" s="4" t="s">
        <v>7963</v>
      </c>
      <c r="J1851" s="1" t="s">
        <v>7964</v>
      </c>
      <c r="K1851" s="1" t="s">
        <v>413</v>
      </c>
    </row>
    <row r="1852">
      <c r="A1852" s="1" t="s">
        <v>7965</v>
      </c>
      <c r="B1852" s="1" t="s">
        <v>7966</v>
      </c>
      <c r="C1852" s="1">
        <v>2021.0</v>
      </c>
      <c r="D1852" s="2">
        <v>44237.0</v>
      </c>
      <c r="F1852" s="1" t="s">
        <v>13</v>
      </c>
      <c r="H1852" s="3">
        <v>13.0</v>
      </c>
      <c r="I1852" s="4" t="s">
        <v>7967</v>
      </c>
      <c r="J1852" s="1" t="s">
        <v>7968</v>
      </c>
      <c r="K1852" s="1" t="s">
        <v>1036</v>
      </c>
    </row>
    <row r="1853">
      <c r="A1853" s="1" t="s">
        <v>7969</v>
      </c>
      <c r="B1853" s="1" t="s">
        <v>7970</v>
      </c>
      <c r="C1853" s="1">
        <v>2021.0</v>
      </c>
      <c r="D1853" s="2">
        <v>44237.0</v>
      </c>
      <c r="F1853" s="1" t="s">
        <v>2141</v>
      </c>
      <c r="H1853" s="3">
        <v>13.0</v>
      </c>
      <c r="I1853" s="4" t="s">
        <v>7971</v>
      </c>
      <c r="J1853" s="1" t="s">
        <v>7972</v>
      </c>
      <c r="K1853" s="1" t="s">
        <v>372</v>
      </c>
    </row>
    <row r="1854">
      <c r="A1854" s="1" t="s">
        <v>7973</v>
      </c>
      <c r="B1854" s="1" t="s">
        <v>7974</v>
      </c>
      <c r="C1854" s="1">
        <v>2021.0</v>
      </c>
      <c r="D1854" s="2">
        <v>44236.0</v>
      </c>
      <c r="F1854" s="1" t="s">
        <v>465</v>
      </c>
      <c r="H1854" s="3">
        <v>3.0</v>
      </c>
      <c r="I1854" s="4" t="s">
        <v>7975</v>
      </c>
      <c r="J1854" s="1" t="s">
        <v>7976</v>
      </c>
      <c r="K1854" s="1" t="s">
        <v>16</v>
      </c>
    </row>
    <row r="1855">
      <c r="A1855" s="1" t="s">
        <v>7977</v>
      </c>
      <c r="B1855" s="1" t="s">
        <v>7978</v>
      </c>
      <c r="C1855" s="1">
        <v>2021.0</v>
      </c>
      <c r="D1855" s="2">
        <v>44235.0</v>
      </c>
      <c r="F1855" s="1" t="s">
        <v>7979</v>
      </c>
      <c r="H1855" s="3">
        <v>1399.0</v>
      </c>
      <c r="I1855" s="4" t="s">
        <v>7980</v>
      </c>
      <c r="J1855" s="1" t="s">
        <v>7981</v>
      </c>
      <c r="K1855" s="1" t="s">
        <v>546</v>
      </c>
    </row>
    <row r="1856">
      <c r="A1856" s="1" t="s">
        <v>7982</v>
      </c>
      <c r="B1856" s="1" t="s">
        <v>7983</v>
      </c>
      <c r="C1856" s="1">
        <v>2021.0</v>
      </c>
      <c r="D1856" s="2">
        <v>44235.0</v>
      </c>
      <c r="F1856" s="1" t="s">
        <v>286</v>
      </c>
      <c r="H1856" s="3">
        <v>7.0</v>
      </c>
      <c r="I1856" s="4" t="s">
        <v>7984</v>
      </c>
      <c r="J1856" s="1" t="s">
        <v>7985</v>
      </c>
      <c r="K1856" s="1" t="s">
        <v>16</v>
      </c>
    </row>
    <row r="1857">
      <c r="A1857" s="1" t="s">
        <v>7986</v>
      </c>
      <c r="B1857" s="1" t="s">
        <v>7987</v>
      </c>
      <c r="C1857" s="1">
        <v>2021.0</v>
      </c>
      <c r="D1857" s="2">
        <v>44233.0</v>
      </c>
      <c r="F1857" s="1" t="s">
        <v>7988</v>
      </c>
      <c r="H1857" s="3">
        <v>6.0</v>
      </c>
      <c r="I1857" s="4" t="s">
        <v>7989</v>
      </c>
      <c r="J1857" s="1" t="s">
        <v>7990</v>
      </c>
      <c r="K1857" s="1" t="s">
        <v>68</v>
      </c>
    </row>
    <row r="1858">
      <c r="A1858" s="1" t="s">
        <v>7991</v>
      </c>
      <c r="B1858" s="1" t="s">
        <v>7992</v>
      </c>
      <c r="C1858" s="1">
        <v>2021.0</v>
      </c>
      <c r="D1858" s="2">
        <v>44232.0</v>
      </c>
      <c r="F1858" s="1" t="s">
        <v>1737</v>
      </c>
      <c r="H1858" s="3">
        <v>8.0</v>
      </c>
      <c r="I1858" s="4" t="s">
        <v>7993</v>
      </c>
      <c r="J1858" s="1" t="s">
        <v>7994</v>
      </c>
      <c r="K1858" s="1" t="s">
        <v>926</v>
      </c>
    </row>
    <row r="1859">
      <c r="A1859" s="1" t="s">
        <v>7995</v>
      </c>
      <c r="B1859" s="1" t="s">
        <v>7996</v>
      </c>
      <c r="C1859" s="1">
        <v>2021.0</v>
      </c>
      <c r="D1859" s="2">
        <v>44231.0</v>
      </c>
      <c r="F1859" s="1" t="s">
        <v>7997</v>
      </c>
      <c r="H1859" s="3">
        <v>9.0</v>
      </c>
      <c r="I1859" s="4" t="s">
        <v>7998</v>
      </c>
      <c r="J1859" s="1" t="s">
        <v>7999</v>
      </c>
      <c r="K1859" s="1" t="s">
        <v>45</v>
      </c>
    </row>
    <row r="1860">
      <c r="A1860" s="1" t="s">
        <v>8000</v>
      </c>
      <c r="B1860" s="1" t="s">
        <v>8001</v>
      </c>
      <c r="C1860" s="1">
        <v>2021.0</v>
      </c>
      <c r="D1860" s="2">
        <v>44231.0</v>
      </c>
      <c r="F1860" s="1" t="s">
        <v>2862</v>
      </c>
      <c r="H1860" s="3">
        <v>3.0</v>
      </c>
      <c r="I1860" s="4" t="s">
        <v>8002</v>
      </c>
      <c r="J1860" s="1" t="s">
        <v>8003</v>
      </c>
      <c r="K1860" s="1" t="s">
        <v>443</v>
      </c>
    </row>
    <row r="1861">
      <c r="A1861" s="1" t="s">
        <v>8004</v>
      </c>
      <c r="B1861" s="1" t="s">
        <v>8005</v>
      </c>
      <c r="C1861" s="1">
        <v>2021.0</v>
      </c>
      <c r="D1861" s="2">
        <v>44230.0</v>
      </c>
      <c r="F1861" s="1" t="s">
        <v>835</v>
      </c>
      <c r="H1861" s="3">
        <v>53.0</v>
      </c>
      <c r="I1861" s="4" t="s">
        <v>8006</v>
      </c>
      <c r="J1861" s="1" t="s">
        <v>8007</v>
      </c>
      <c r="K1861" s="1" t="s">
        <v>28</v>
      </c>
    </row>
    <row r="1862">
      <c r="A1862" s="1" t="s">
        <v>8008</v>
      </c>
      <c r="B1862" s="1" t="s">
        <v>8009</v>
      </c>
      <c r="C1862" s="1">
        <v>2021.0</v>
      </c>
      <c r="D1862" s="2">
        <v>44230.0</v>
      </c>
      <c r="F1862" s="1" t="s">
        <v>6393</v>
      </c>
      <c r="H1862" s="3">
        <v>10.0</v>
      </c>
      <c r="I1862" s="4" t="s">
        <v>8010</v>
      </c>
      <c r="J1862" s="1" t="s">
        <v>8011</v>
      </c>
      <c r="K1862" s="1" t="s">
        <v>323</v>
      </c>
    </row>
    <row r="1863">
      <c r="A1863" s="1" t="s">
        <v>8012</v>
      </c>
      <c r="B1863" s="1" t="s">
        <v>8013</v>
      </c>
      <c r="C1863" s="1">
        <v>2021.0</v>
      </c>
      <c r="D1863" s="2">
        <v>44229.0</v>
      </c>
      <c r="F1863" s="1" t="s">
        <v>5901</v>
      </c>
      <c r="H1863" s="3">
        <v>30.0</v>
      </c>
      <c r="I1863" s="4" t="s">
        <v>8014</v>
      </c>
      <c r="J1863" s="1" t="s">
        <v>8015</v>
      </c>
      <c r="K1863" s="1" t="s">
        <v>340</v>
      </c>
    </row>
    <row r="1864">
      <c r="A1864" s="1" t="s">
        <v>8016</v>
      </c>
      <c r="B1864" s="1" t="s">
        <v>8017</v>
      </c>
      <c r="C1864" s="1">
        <v>2021.0</v>
      </c>
      <c r="D1864" s="2">
        <v>44229.0</v>
      </c>
      <c r="F1864" s="1" t="s">
        <v>4156</v>
      </c>
      <c r="H1864" s="3">
        <v>5.0</v>
      </c>
      <c r="I1864" s="4" t="s">
        <v>8018</v>
      </c>
      <c r="J1864" s="1" t="s">
        <v>8019</v>
      </c>
      <c r="K1864" s="1" t="s">
        <v>323</v>
      </c>
    </row>
    <row r="1865">
      <c r="A1865" s="1" t="s">
        <v>8020</v>
      </c>
      <c r="B1865" s="1" t="s">
        <v>8021</v>
      </c>
      <c r="C1865" s="1">
        <v>2021.0</v>
      </c>
      <c r="D1865" s="2">
        <v>44229.0</v>
      </c>
      <c r="F1865" s="1" t="s">
        <v>8022</v>
      </c>
      <c r="H1865" s="3">
        <v>8.0</v>
      </c>
      <c r="I1865" s="4" t="s">
        <v>8023</v>
      </c>
      <c r="J1865" s="1" t="s">
        <v>8024</v>
      </c>
      <c r="K1865" s="1" t="s">
        <v>28</v>
      </c>
    </row>
    <row r="1866">
      <c r="A1866" s="1" t="s">
        <v>8025</v>
      </c>
      <c r="B1866" s="1" t="s">
        <v>8026</v>
      </c>
      <c r="C1866" s="1">
        <v>2021.0</v>
      </c>
      <c r="D1866" s="2">
        <v>44229.0</v>
      </c>
      <c r="F1866" s="1" t="s">
        <v>86</v>
      </c>
      <c r="H1866" s="3">
        <v>0.0</v>
      </c>
      <c r="I1866" s="4" t="s">
        <v>8027</v>
      </c>
      <c r="J1866" s="1" t="s">
        <v>8028</v>
      </c>
      <c r="K1866" s="1" t="s">
        <v>383</v>
      </c>
    </row>
    <row r="1867">
      <c r="A1867" s="1" t="s">
        <v>8029</v>
      </c>
      <c r="B1867" s="1" t="s">
        <v>8030</v>
      </c>
      <c r="C1867" s="1">
        <v>2021.0</v>
      </c>
      <c r="D1867" s="2">
        <v>44229.0</v>
      </c>
      <c r="F1867" s="1" t="s">
        <v>71</v>
      </c>
      <c r="H1867" s="3">
        <v>9.0</v>
      </c>
      <c r="I1867" s="4" t="s">
        <v>8031</v>
      </c>
      <c r="J1867" s="1" t="s">
        <v>8032</v>
      </c>
      <c r="K1867" s="1" t="s">
        <v>16</v>
      </c>
    </row>
    <row r="1868">
      <c r="A1868" s="1" t="s">
        <v>8033</v>
      </c>
      <c r="B1868" s="1" t="s">
        <v>8034</v>
      </c>
      <c r="C1868" s="1">
        <v>2021.0</v>
      </c>
      <c r="D1868" s="2">
        <v>44228.0</v>
      </c>
      <c r="F1868" s="1" t="s">
        <v>3747</v>
      </c>
      <c r="H1868" s="3">
        <v>20.0</v>
      </c>
      <c r="I1868" s="4" t="s">
        <v>8035</v>
      </c>
      <c r="J1868" s="1" t="s">
        <v>8036</v>
      </c>
      <c r="K1868" s="1" t="s">
        <v>28</v>
      </c>
    </row>
    <row r="1869">
      <c r="A1869" s="1" t="s">
        <v>8037</v>
      </c>
      <c r="B1869" s="1" t="s">
        <v>8038</v>
      </c>
      <c r="C1869" s="1">
        <v>2021.0</v>
      </c>
      <c r="D1869" s="2">
        <v>44228.0</v>
      </c>
      <c r="F1869" s="1" t="s">
        <v>524</v>
      </c>
      <c r="H1869" s="3">
        <v>57.0</v>
      </c>
      <c r="I1869" s="4" t="s">
        <v>8039</v>
      </c>
      <c r="J1869" s="1" t="s">
        <v>8040</v>
      </c>
      <c r="K1869" s="1" t="s">
        <v>323</v>
      </c>
    </row>
    <row r="1870">
      <c r="A1870" s="1" t="s">
        <v>8041</v>
      </c>
      <c r="B1870" s="1" t="s">
        <v>8042</v>
      </c>
      <c r="C1870" s="1">
        <v>2021.0</v>
      </c>
      <c r="D1870" s="2">
        <v>44228.0</v>
      </c>
      <c r="F1870" s="1" t="s">
        <v>6418</v>
      </c>
      <c r="H1870" s="3">
        <v>58.0</v>
      </c>
      <c r="I1870" s="4" t="s">
        <v>8043</v>
      </c>
      <c r="J1870" s="1" t="s">
        <v>8044</v>
      </c>
      <c r="K1870" s="1" t="s">
        <v>28</v>
      </c>
    </row>
    <row r="1871">
      <c r="A1871" s="1" t="s">
        <v>8045</v>
      </c>
      <c r="B1871" s="1" t="s">
        <v>8046</v>
      </c>
      <c r="C1871" s="1">
        <v>2021.0</v>
      </c>
      <c r="D1871" s="2">
        <v>44228.0</v>
      </c>
      <c r="F1871" s="1" t="s">
        <v>952</v>
      </c>
      <c r="H1871" s="3">
        <v>60.0</v>
      </c>
      <c r="I1871" s="4" t="s">
        <v>8047</v>
      </c>
      <c r="J1871" s="1" t="s">
        <v>8048</v>
      </c>
      <c r="K1871" s="1" t="s">
        <v>16</v>
      </c>
    </row>
    <row r="1872">
      <c r="A1872" s="1" t="s">
        <v>8049</v>
      </c>
      <c r="B1872" s="1" t="s">
        <v>8050</v>
      </c>
      <c r="C1872" s="1">
        <v>2021.0</v>
      </c>
      <c r="D1872" s="2">
        <v>44228.0</v>
      </c>
      <c r="F1872" s="1" t="s">
        <v>7425</v>
      </c>
      <c r="H1872" s="3">
        <v>4.0</v>
      </c>
      <c r="I1872" s="4" t="s">
        <v>8051</v>
      </c>
      <c r="J1872" s="1"/>
      <c r="K1872" s="1" t="s">
        <v>527</v>
      </c>
    </row>
    <row r="1873">
      <c r="A1873" s="1" t="s">
        <v>8052</v>
      </c>
      <c r="B1873" s="1" t="s">
        <v>8053</v>
      </c>
      <c r="C1873" s="1">
        <v>2021.0</v>
      </c>
      <c r="D1873" s="2">
        <v>44228.0</v>
      </c>
      <c r="F1873" s="1" t="s">
        <v>1762</v>
      </c>
      <c r="H1873" s="3">
        <v>0.0</v>
      </c>
      <c r="I1873" s="4" t="s">
        <v>8054</v>
      </c>
      <c r="J1873" s="1"/>
      <c r="K1873" s="1" t="s">
        <v>413</v>
      </c>
    </row>
    <row r="1874">
      <c r="A1874" s="1" t="s">
        <v>8055</v>
      </c>
      <c r="B1874" s="1" t="s">
        <v>8056</v>
      </c>
      <c r="C1874" s="1">
        <v>2021.0</v>
      </c>
      <c r="D1874" s="2">
        <v>44228.0</v>
      </c>
      <c r="F1874" s="1" t="s">
        <v>1800</v>
      </c>
      <c r="H1874" s="3">
        <v>15.0</v>
      </c>
      <c r="I1874" s="4" t="s">
        <v>8057</v>
      </c>
      <c r="J1874" s="1" t="s">
        <v>8058</v>
      </c>
      <c r="K1874" s="1" t="s">
        <v>16</v>
      </c>
    </row>
    <row r="1875">
      <c r="A1875" s="1" t="s">
        <v>8059</v>
      </c>
      <c r="B1875" s="1" t="s">
        <v>8060</v>
      </c>
      <c r="C1875" s="1">
        <v>2021.0</v>
      </c>
      <c r="D1875" s="2">
        <v>44225.0</v>
      </c>
      <c r="F1875" s="1" t="s">
        <v>8061</v>
      </c>
      <c r="H1875" s="3">
        <v>6.0</v>
      </c>
      <c r="I1875" s="4" t="s">
        <v>8062</v>
      </c>
      <c r="J1875" s="1" t="s">
        <v>8063</v>
      </c>
      <c r="K1875" s="1" t="s">
        <v>28</v>
      </c>
    </row>
    <row r="1876">
      <c r="A1876" s="1" t="s">
        <v>8064</v>
      </c>
      <c r="B1876" s="1" t="s">
        <v>8065</v>
      </c>
      <c r="C1876" s="1">
        <v>2021.0</v>
      </c>
      <c r="D1876" s="2">
        <v>44225.0</v>
      </c>
      <c r="F1876" s="1" t="s">
        <v>6264</v>
      </c>
      <c r="H1876" s="3">
        <v>3.0</v>
      </c>
      <c r="I1876" s="4" t="s">
        <v>8066</v>
      </c>
      <c r="J1876" s="1" t="s">
        <v>8067</v>
      </c>
      <c r="K1876" s="1" t="s">
        <v>28</v>
      </c>
    </row>
    <row r="1877">
      <c r="A1877" s="1" t="s">
        <v>8068</v>
      </c>
      <c r="B1877" s="1" t="s">
        <v>8069</v>
      </c>
      <c r="C1877" s="1">
        <v>2021.0</v>
      </c>
      <c r="D1877" s="2">
        <v>44225.0</v>
      </c>
      <c r="F1877" s="1" t="s">
        <v>8070</v>
      </c>
      <c r="H1877" s="3">
        <v>1.0</v>
      </c>
      <c r="I1877" s="4" t="s">
        <v>8071</v>
      </c>
      <c r="J1877" s="1" t="s">
        <v>8072</v>
      </c>
      <c r="K1877" s="1" t="s">
        <v>323</v>
      </c>
    </row>
    <row r="1878">
      <c r="A1878" s="1" t="s">
        <v>8073</v>
      </c>
      <c r="B1878" s="1" t="s">
        <v>8074</v>
      </c>
      <c r="C1878" s="1">
        <v>2021.0</v>
      </c>
      <c r="D1878" s="2">
        <v>44225.0</v>
      </c>
      <c r="F1878" s="1" t="s">
        <v>8075</v>
      </c>
      <c r="H1878" s="3">
        <v>8.0</v>
      </c>
      <c r="I1878" s="4" t="s">
        <v>8076</v>
      </c>
      <c r="J1878" s="1" t="s">
        <v>8077</v>
      </c>
      <c r="K1878" s="1" t="s">
        <v>926</v>
      </c>
    </row>
    <row r="1879">
      <c r="A1879" s="1" t="s">
        <v>8078</v>
      </c>
      <c r="B1879" s="1" t="s">
        <v>8079</v>
      </c>
      <c r="C1879" s="1">
        <v>2021.0</v>
      </c>
      <c r="D1879" s="2">
        <v>44223.0</v>
      </c>
      <c r="F1879" s="1" t="s">
        <v>440</v>
      </c>
      <c r="H1879" s="3">
        <v>13.0</v>
      </c>
      <c r="I1879" s="4" t="s">
        <v>8080</v>
      </c>
      <c r="J1879" s="1" t="s">
        <v>8081</v>
      </c>
      <c r="K1879" s="1" t="s">
        <v>28</v>
      </c>
    </row>
    <row r="1880">
      <c r="A1880" s="1" t="s">
        <v>8082</v>
      </c>
      <c r="B1880" s="1" t="s">
        <v>8083</v>
      </c>
      <c r="C1880" s="1">
        <v>2021.0</v>
      </c>
      <c r="D1880" s="2">
        <v>44221.0</v>
      </c>
      <c r="F1880" s="1" t="s">
        <v>1277</v>
      </c>
      <c r="H1880" s="3">
        <v>9.0</v>
      </c>
      <c r="I1880" s="4" t="s">
        <v>8084</v>
      </c>
      <c r="J1880" s="1" t="s">
        <v>8085</v>
      </c>
      <c r="K1880" s="1" t="s">
        <v>418</v>
      </c>
    </row>
    <row r="1881">
      <c r="A1881" s="1" t="s">
        <v>8086</v>
      </c>
      <c r="B1881" s="1" t="s">
        <v>8087</v>
      </c>
      <c r="C1881" s="1">
        <v>2021.0</v>
      </c>
      <c r="D1881" s="2">
        <v>44221.0</v>
      </c>
      <c r="F1881" s="1" t="s">
        <v>243</v>
      </c>
      <c r="H1881" s="3">
        <v>2.0</v>
      </c>
      <c r="I1881" s="4" t="s">
        <v>8088</v>
      </c>
      <c r="J1881" s="1" t="s">
        <v>8089</v>
      </c>
      <c r="K1881" s="1" t="s">
        <v>443</v>
      </c>
    </row>
    <row r="1882">
      <c r="A1882" s="1" t="s">
        <v>8090</v>
      </c>
      <c r="B1882" s="1" t="s">
        <v>8091</v>
      </c>
      <c r="C1882" s="1">
        <v>2021.0</v>
      </c>
      <c r="D1882" s="2">
        <v>44221.0</v>
      </c>
      <c r="F1882" s="1" t="s">
        <v>86</v>
      </c>
      <c r="H1882" s="3">
        <v>0.0</v>
      </c>
      <c r="I1882" s="4" t="s">
        <v>8092</v>
      </c>
      <c r="J1882" s="1" t="s">
        <v>8093</v>
      </c>
      <c r="K1882" s="1" t="s">
        <v>28</v>
      </c>
    </row>
    <row r="1883">
      <c r="A1883" s="1" t="s">
        <v>8094</v>
      </c>
      <c r="B1883" s="1" t="s">
        <v>8095</v>
      </c>
      <c r="C1883" s="1">
        <v>2021.0</v>
      </c>
      <c r="D1883" s="2">
        <v>44221.0</v>
      </c>
      <c r="F1883" s="1" t="s">
        <v>4147</v>
      </c>
      <c r="H1883" s="3">
        <v>1.0</v>
      </c>
      <c r="I1883" s="4" t="s">
        <v>8096</v>
      </c>
      <c r="J1883" s="1" t="s">
        <v>8097</v>
      </c>
      <c r="K1883" s="1" t="s">
        <v>323</v>
      </c>
    </row>
    <row r="1884">
      <c r="A1884" s="1" t="s">
        <v>8098</v>
      </c>
      <c r="B1884" s="1" t="s">
        <v>8099</v>
      </c>
      <c r="C1884" s="1">
        <v>2021.0</v>
      </c>
      <c r="D1884" s="2">
        <v>44221.0</v>
      </c>
      <c r="F1884" s="1" t="s">
        <v>4980</v>
      </c>
      <c r="H1884" s="3">
        <v>5.0</v>
      </c>
      <c r="I1884" s="4" t="s">
        <v>8100</v>
      </c>
      <c r="J1884" s="1" t="s">
        <v>8101</v>
      </c>
      <c r="K1884" s="1" t="s">
        <v>16</v>
      </c>
    </row>
    <row r="1885">
      <c r="A1885" s="1" t="s">
        <v>8102</v>
      </c>
      <c r="B1885" s="1" t="s">
        <v>8103</v>
      </c>
      <c r="C1885" s="1">
        <v>2021.0</v>
      </c>
      <c r="D1885" s="2">
        <v>44221.0</v>
      </c>
      <c r="F1885" s="1" t="s">
        <v>2426</v>
      </c>
      <c r="H1885" s="3">
        <v>104.0</v>
      </c>
      <c r="I1885" s="4" t="s">
        <v>8104</v>
      </c>
      <c r="J1885" s="1" t="s">
        <v>8105</v>
      </c>
      <c r="K1885" s="1" t="s">
        <v>16</v>
      </c>
    </row>
    <row r="1886">
      <c r="A1886" s="1" t="s">
        <v>8106</v>
      </c>
      <c r="B1886" s="1" t="s">
        <v>8107</v>
      </c>
      <c r="C1886" s="1">
        <v>2021.0</v>
      </c>
      <c r="D1886" s="2">
        <v>44220.0</v>
      </c>
      <c r="F1886" s="1" t="s">
        <v>6006</v>
      </c>
      <c r="H1886" s="3">
        <v>4.0</v>
      </c>
      <c r="I1886" s="4" t="s">
        <v>8108</v>
      </c>
      <c r="J1886" s="1" t="s">
        <v>8109</v>
      </c>
      <c r="K1886" s="1" t="s">
        <v>68</v>
      </c>
    </row>
    <row r="1887">
      <c r="A1887" s="1" t="s">
        <v>8110</v>
      </c>
      <c r="B1887" s="1" t="s">
        <v>8111</v>
      </c>
      <c r="C1887" s="1">
        <v>2021.0</v>
      </c>
      <c r="D1887" s="2">
        <v>44218.0</v>
      </c>
      <c r="F1887" s="1" t="s">
        <v>8022</v>
      </c>
      <c r="H1887" s="3">
        <v>1.0</v>
      </c>
      <c r="I1887" s="4" t="s">
        <v>8112</v>
      </c>
      <c r="J1887" s="1" t="s">
        <v>8113</v>
      </c>
      <c r="K1887" s="1" t="s">
        <v>1036</v>
      </c>
    </row>
    <row r="1888">
      <c r="A1888" s="1" t="s">
        <v>8114</v>
      </c>
      <c r="B1888" s="1" t="s">
        <v>8115</v>
      </c>
      <c r="C1888" s="1">
        <v>2021.0</v>
      </c>
      <c r="D1888" s="2">
        <v>44216.0</v>
      </c>
      <c r="F1888" s="1" t="s">
        <v>1340</v>
      </c>
      <c r="H1888" s="3">
        <v>271.0</v>
      </c>
      <c r="I1888" s="4" t="s">
        <v>8116</v>
      </c>
      <c r="J1888" s="1" t="s">
        <v>8117</v>
      </c>
      <c r="K1888" s="1" t="s">
        <v>28</v>
      </c>
    </row>
    <row r="1889">
      <c r="A1889" s="1" t="s">
        <v>8118</v>
      </c>
      <c r="B1889" s="1" t="s">
        <v>8119</v>
      </c>
      <c r="C1889" s="1">
        <v>2021.0</v>
      </c>
      <c r="D1889" s="2">
        <v>44216.0</v>
      </c>
      <c r="F1889" s="1" t="s">
        <v>8120</v>
      </c>
      <c r="H1889" s="3">
        <v>8.0</v>
      </c>
      <c r="I1889" s="4" t="s">
        <v>8121</v>
      </c>
      <c r="J1889" s="1" t="s">
        <v>8122</v>
      </c>
      <c r="K1889" s="1" t="s">
        <v>28</v>
      </c>
    </row>
    <row r="1890">
      <c r="A1890" s="1" t="s">
        <v>8123</v>
      </c>
      <c r="B1890" s="1" t="s">
        <v>8124</v>
      </c>
      <c r="C1890" s="1">
        <v>2021.0</v>
      </c>
      <c r="D1890" s="2">
        <v>44216.0</v>
      </c>
      <c r="F1890" s="1" t="s">
        <v>271</v>
      </c>
      <c r="H1890" s="3">
        <v>4.0</v>
      </c>
      <c r="I1890" s="4" t="s">
        <v>8125</v>
      </c>
      <c r="J1890" s="1" t="s">
        <v>8126</v>
      </c>
      <c r="K1890" s="1" t="s">
        <v>323</v>
      </c>
    </row>
    <row r="1891">
      <c r="A1891" s="1" t="s">
        <v>8127</v>
      </c>
      <c r="B1891" s="1" t="s">
        <v>8128</v>
      </c>
      <c r="C1891" s="1">
        <v>2021.0</v>
      </c>
      <c r="D1891" s="2">
        <v>44216.0</v>
      </c>
      <c r="F1891" s="1" t="s">
        <v>2666</v>
      </c>
      <c r="H1891" s="3">
        <v>5.0</v>
      </c>
      <c r="I1891" s="4" t="s">
        <v>8129</v>
      </c>
      <c r="J1891" s="1" t="s">
        <v>8130</v>
      </c>
      <c r="K1891" s="1" t="s">
        <v>323</v>
      </c>
    </row>
    <row r="1892">
      <c r="A1892" s="1" t="s">
        <v>8131</v>
      </c>
      <c r="B1892" s="1" t="s">
        <v>8132</v>
      </c>
      <c r="C1892" s="1">
        <v>2021.0</v>
      </c>
      <c r="D1892" s="2">
        <v>44216.0</v>
      </c>
      <c r="F1892" s="1" t="s">
        <v>3263</v>
      </c>
      <c r="H1892" s="3">
        <v>28.0</v>
      </c>
      <c r="I1892" s="4" t="s">
        <v>8133</v>
      </c>
      <c r="J1892" s="1" t="s">
        <v>8134</v>
      </c>
      <c r="K1892" s="1" t="s">
        <v>16</v>
      </c>
    </row>
    <row r="1893">
      <c r="A1893" s="1" t="s">
        <v>8135</v>
      </c>
      <c r="B1893" s="1" t="s">
        <v>8136</v>
      </c>
      <c r="C1893" s="1">
        <v>2021.0</v>
      </c>
      <c r="D1893" s="2">
        <v>44215.0</v>
      </c>
      <c r="F1893" s="1" t="s">
        <v>2497</v>
      </c>
      <c r="H1893" s="3">
        <v>26.0</v>
      </c>
      <c r="I1893" s="4" t="s">
        <v>8137</v>
      </c>
      <c r="J1893" s="1" t="s">
        <v>8138</v>
      </c>
      <c r="K1893" s="1" t="s">
        <v>45</v>
      </c>
    </row>
    <row r="1894">
      <c r="A1894" s="1" t="s">
        <v>8139</v>
      </c>
      <c r="B1894" s="1" t="s">
        <v>8140</v>
      </c>
      <c r="C1894" s="1">
        <v>2021.0</v>
      </c>
      <c r="D1894" s="2">
        <v>44215.0</v>
      </c>
      <c r="F1894" s="1" t="s">
        <v>208</v>
      </c>
      <c r="H1894" s="3">
        <v>24.0</v>
      </c>
      <c r="I1894" s="4" t="s">
        <v>8141</v>
      </c>
      <c r="J1894" s="1" t="s">
        <v>8142</v>
      </c>
      <c r="K1894" s="1" t="s">
        <v>28</v>
      </c>
    </row>
    <row r="1895">
      <c r="A1895" s="1" t="s">
        <v>8143</v>
      </c>
      <c r="B1895" s="1" t="s">
        <v>8144</v>
      </c>
      <c r="C1895" s="1">
        <v>2021.0</v>
      </c>
      <c r="D1895" s="2">
        <v>44215.0</v>
      </c>
      <c r="F1895" s="1" t="s">
        <v>71</v>
      </c>
      <c r="H1895" s="3">
        <v>4.0</v>
      </c>
      <c r="I1895" s="4" t="s">
        <v>8145</v>
      </c>
      <c r="J1895" s="1" t="s">
        <v>8146</v>
      </c>
      <c r="K1895" s="1" t="s">
        <v>443</v>
      </c>
    </row>
    <row r="1896">
      <c r="A1896" s="1" t="s">
        <v>8147</v>
      </c>
      <c r="B1896" s="1" t="s">
        <v>8148</v>
      </c>
      <c r="C1896" s="1">
        <v>2021.0</v>
      </c>
      <c r="D1896" s="2">
        <v>44215.0</v>
      </c>
      <c r="F1896" s="1" t="s">
        <v>8149</v>
      </c>
      <c r="H1896" s="3">
        <v>5.0</v>
      </c>
      <c r="I1896" s="4" t="s">
        <v>8150</v>
      </c>
      <c r="J1896" s="1" t="s">
        <v>8151</v>
      </c>
      <c r="K1896" s="1" t="s">
        <v>28</v>
      </c>
    </row>
    <row r="1897">
      <c r="A1897" s="1" t="s">
        <v>8152</v>
      </c>
      <c r="B1897" s="1" t="s">
        <v>8153</v>
      </c>
      <c r="C1897" s="1">
        <v>2021.0</v>
      </c>
      <c r="D1897" s="2">
        <v>44212.0</v>
      </c>
      <c r="F1897" s="1" t="s">
        <v>8154</v>
      </c>
      <c r="H1897" s="3">
        <v>1.0</v>
      </c>
      <c r="I1897" s="4" t="s">
        <v>8155</v>
      </c>
      <c r="J1897" s="1" t="s">
        <v>8156</v>
      </c>
      <c r="K1897" s="1" t="s">
        <v>45</v>
      </c>
    </row>
    <row r="1898">
      <c r="A1898" s="1" t="s">
        <v>8157</v>
      </c>
      <c r="B1898" s="1" t="s">
        <v>8158</v>
      </c>
      <c r="C1898" s="1">
        <v>2021.0</v>
      </c>
      <c r="D1898" s="2">
        <v>44212.0</v>
      </c>
      <c r="F1898" s="1" t="s">
        <v>8159</v>
      </c>
      <c r="H1898" s="3">
        <v>0.0</v>
      </c>
      <c r="I1898" s="4" t="s">
        <v>8160</v>
      </c>
      <c r="J1898" s="1" t="s">
        <v>8161</v>
      </c>
      <c r="K1898" s="1" t="s">
        <v>323</v>
      </c>
    </row>
    <row r="1899">
      <c r="A1899" s="1" t="s">
        <v>8162</v>
      </c>
      <c r="B1899" s="1" t="s">
        <v>8163</v>
      </c>
      <c r="C1899" s="1">
        <v>2021.0</v>
      </c>
      <c r="D1899" s="2">
        <v>44212.0</v>
      </c>
      <c r="F1899" s="1" t="s">
        <v>5753</v>
      </c>
      <c r="H1899" s="3">
        <v>3.0</v>
      </c>
      <c r="I1899" s="4" t="s">
        <v>8164</v>
      </c>
      <c r="J1899" s="1" t="s">
        <v>8165</v>
      </c>
      <c r="K1899" s="1" t="s">
        <v>16</v>
      </c>
    </row>
    <row r="1900">
      <c r="A1900" s="1" t="s">
        <v>8166</v>
      </c>
      <c r="B1900" s="1" t="s">
        <v>8167</v>
      </c>
      <c r="C1900" s="1">
        <v>2021.0</v>
      </c>
      <c r="D1900" s="2">
        <v>44211.0</v>
      </c>
      <c r="F1900" s="1" t="s">
        <v>106</v>
      </c>
      <c r="H1900" s="3">
        <v>12.0</v>
      </c>
      <c r="I1900" s="4" t="s">
        <v>8168</v>
      </c>
      <c r="J1900" s="1" t="s">
        <v>8169</v>
      </c>
      <c r="K1900" s="1" t="s">
        <v>28</v>
      </c>
    </row>
    <row r="1901">
      <c r="A1901" s="1" t="s">
        <v>8170</v>
      </c>
      <c r="B1901" s="1" t="s">
        <v>8171</v>
      </c>
      <c r="C1901" s="1">
        <v>2021.0</v>
      </c>
      <c r="D1901" s="2">
        <v>44210.0</v>
      </c>
      <c r="F1901" s="1" t="s">
        <v>2586</v>
      </c>
      <c r="H1901" s="3">
        <v>20.0</v>
      </c>
      <c r="I1901" s="4" t="s">
        <v>8172</v>
      </c>
      <c r="J1901" s="1" t="s">
        <v>8173</v>
      </c>
      <c r="K1901" s="1" t="s">
        <v>28</v>
      </c>
    </row>
    <row r="1902">
      <c r="A1902" s="1" t="s">
        <v>8174</v>
      </c>
      <c r="B1902" s="1" t="s">
        <v>8175</v>
      </c>
      <c r="C1902" s="1">
        <v>2021.0</v>
      </c>
      <c r="D1902" s="2">
        <v>44210.0</v>
      </c>
      <c r="F1902" s="1" t="s">
        <v>71</v>
      </c>
      <c r="H1902" s="3">
        <v>8.0</v>
      </c>
      <c r="I1902" s="4" t="s">
        <v>8176</v>
      </c>
      <c r="J1902" s="1" t="s">
        <v>8177</v>
      </c>
      <c r="K1902" s="1" t="s">
        <v>16</v>
      </c>
    </row>
    <row r="1903">
      <c r="A1903" s="1" t="s">
        <v>8178</v>
      </c>
      <c r="B1903" s="1" t="s">
        <v>8179</v>
      </c>
      <c r="C1903" s="1">
        <v>2021.0</v>
      </c>
      <c r="D1903" s="2">
        <v>44209.0</v>
      </c>
      <c r="F1903" s="1" t="s">
        <v>1128</v>
      </c>
      <c r="H1903" s="3">
        <v>7.0</v>
      </c>
      <c r="I1903" s="4" t="s">
        <v>8180</v>
      </c>
      <c r="J1903" s="1" t="s">
        <v>8181</v>
      </c>
      <c r="K1903" s="1" t="s">
        <v>16</v>
      </c>
    </row>
    <row r="1904">
      <c r="A1904" s="1" t="s">
        <v>8182</v>
      </c>
      <c r="B1904" s="1" t="s">
        <v>8183</v>
      </c>
      <c r="C1904" s="1">
        <v>2021.0</v>
      </c>
      <c r="D1904" s="2">
        <v>44207.0</v>
      </c>
      <c r="F1904" s="1" t="s">
        <v>8184</v>
      </c>
      <c r="H1904" s="3">
        <v>143.0</v>
      </c>
      <c r="I1904" s="4" t="s">
        <v>8185</v>
      </c>
      <c r="J1904" s="1" t="s">
        <v>8186</v>
      </c>
      <c r="K1904" s="1" t="s">
        <v>45</v>
      </c>
    </row>
    <row r="1905">
      <c r="A1905" s="1" t="s">
        <v>8187</v>
      </c>
      <c r="B1905" s="1" t="s">
        <v>8188</v>
      </c>
      <c r="C1905" s="1">
        <v>2021.0</v>
      </c>
      <c r="D1905" s="2">
        <v>44203.0</v>
      </c>
      <c r="F1905" s="1" t="s">
        <v>8189</v>
      </c>
      <c r="H1905" s="3">
        <v>2.0</v>
      </c>
      <c r="I1905" s="4" t="s">
        <v>8190</v>
      </c>
      <c r="J1905" s="1" t="s">
        <v>8191</v>
      </c>
      <c r="K1905" s="1" t="s">
        <v>926</v>
      </c>
    </row>
    <row r="1906">
      <c r="A1906" s="1" t="s">
        <v>8192</v>
      </c>
      <c r="B1906" s="1" t="s">
        <v>8193</v>
      </c>
      <c r="C1906" s="1">
        <v>2021.0</v>
      </c>
      <c r="D1906" s="2">
        <v>44202.0</v>
      </c>
      <c r="F1906" s="1" t="s">
        <v>6306</v>
      </c>
      <c r="H1906" s="3">
        <v>12.0</v>
      </c>
      <c r="I1906" s="4" t="s">
        <v>8194</v>
      </c>
      <c r="J1906" s="1" t="s">
        <v>8195</v>
      </c>
      <c r="K1906" s="1" t="s">
        <v>418</v>
      </c>
    </row>
    <row r="1907">
      <c r="A1907" s="1" t="s">
        <v>8196</v>
      </c>
      <c r="B1907" s="1" t="s">
        <v>8197</v>
      </c>
      <c r="C1907" s="1">
        <v>2021.0</v>
      </c>
      <c r="D1907" s="2">
        <v>44202.0</v>
      </c>
      <c r="F1907" s="1" t="s">
        <v>1358</v>
      </c>
      <c r="H1907" s="3">
        <v>0.0</v>
      </c>
      <c r="I1907" s="4" t="s">
        <v>8198</v>
      </c>
      <c r="J1907" s="1"/>
      <c r="K1907" s="1" t="s">
        <v>295</v>
      </c>
    </row>
    <row r="1908">
      <c r="A1908" s="1" t="s">
        <v>8199</v>
      </c>
      <c r="B1908" s="1" t="s">
        <v>8200</v>
      </c>
      <c r="C1908" s="1">
        <v>2021.0</v>
      </c>
      <c r="D1908" s="2">
        <v>44202.0</v>
      </c>
      <c r="F1908" s="1" t="s">
        <v>271</v>
      </c>
      <c r="H1908" s="3">
        <v>86.0</v>
      </c>
      <c r="I1908" s="4" t="s">
        <v>8201</v>
      </c>
      <c r="J1908" s="1" t="s">
        <v>8202</v>
      </c>
      <c r="K1908" s="1" t="s">
        <v>295</v>
      </c>
    </row>
    <row r="1909">
      <c r="A1909" s="1" t="s">
        <v>8203</v>
      </c>
      <c r="B1909" s="1" t="s">
        <v>8204</v>
      </c>
      <c r="C1909" s="1">
        <v>2021.0</v>
      </c>
      <c r="D1909" s="2">
        <v>44202.0</v>
      </c>
      <c r="F1909" s="1" t="s">
        <v>1340</v>
      </c>
      <c r="H1909" s="3">
        <v>111.0</v>
      </c>
      <c r="I1909" s="4" t="s">
        <v>8205</v>
      </c>
      <c r="J1909" s="1" t="s">
        <v>8206</v>
      </c>
      <c r="K1909" s="1" t="s">
        <v>383</v>
      </c>
    </row>
    <row r="1910">
      <c r="A1910" s="1" t="s">
        <v>8207</v>
      </c>
      <c r="B1910" s="1" t="s">
        <v>8208</v>
      </c>
      <c r="C1910" s="1">
        <v>2021.0</v>
      </c>
      <c r="D1910" s="2">
        <v>44202.0</v>
      </c>
      <c r="F1910" s="1" t="s">
        <v>8209</v>
      </c>
      <c r="H1910" s="3">
        <v>9.0</v>
      </c>
      <c r="I1910" s="4" t="s">
        <v>8210</v>
      </c>
      <c r="J1910" s="1" t="s">
        <v>8211</v>
      </c>
      <c r="K1910" s="1" t="s">
        <v>295</v>
      </c>
    </row>
    <row r="1911">
      <c r="A1911" s="1" t="s">
        <v>8212</v>
      </c>
      <c r="B1911" s="1" t="s">
        <v>8213</v>
      </c>
      <c r="C1911" s="1">
        <v>2021.0</v>
      </c>
      <c r="D1911" s="2">
        <v>44202.0</v>
      </c>
      <c r="F1911" s="1" t="s">
        <v>8214</v>
      </c>
      <c r="H1911" s="3">
        <v>7.0</v>
      </c>
      <c r="I1911" s="4" t="s">
        <v>8215</v>
      </c>
      <c r="J1911" s="1" t="s">
        <v>8216</v>
      </c>
      <c r="K1911" s="1" t="s">
        <v>16</v>
      </c>
    </row>
    <row r="1912">
      <c r="A1912" s="1" t="s">
        <v>8217</v>
      </c>
      <c r="B1912" s="1" t="s">
        <v>8218</v>
      </c>
      <c r="C1912" s="1">
        <v>2021.0</v>
      </c>
      <c r="D1912" s="2">
        <v>44201.0</v>
      </c>
      <c r="F1912" s="1" t="s">
        <v>8219</v>
      </c>
      <c r="H1912" s="3">
        <v>3.0</v>
      </c>
      <c r="I1912" s="4" t="s">
        <v>8220</v>
      </c>
      <c r="J1912" s="1" t="s">
        <v>8221</v>
      </c>
      <c r="K1912" s="1" t="s">
        <v>443</v>
      </c>
    </row>
    <row r="1913">
      <c r="A1913" s="1" t="s">
        <v>8222</v>
      </c>
      <c r="B1913" s="1" t="s">
        <v>8223</v>
      </c>
      <c r="C1913" s="1">
        <v>2021.0</v>
      </c>
      <c r="D1913" s="2">
        <v>44200.0</v>
      </c>
      <c r="F1913" s="1" t="s">
        <v>13</v>
      </c>
      <c r="H1913" s="3">
        <v>37.0</v>
      </c>
      <c r="I1913" s="4" t="s">
        <v>8224</v>
      </c>
      <c r="J1913" s="1" t="s">
        <v>8225</v>
      </c>
      <c r="K1913" s="1" t="s">
        <v>28</v>
      </c>
    </row>
    <row r="1914">
      <c r="A1914" s="1" t="s">
        <v>8226</v>
      </c>
      <c r="B1914" s="1" t="s">
        <v>8227</v>
      </c>
      <c r="C1914" s="1">
        <v>2021.0</v>
      </c>
      <c r="D1914" s="2">
        <v>44200.0</v>
      </c>
      <c r="F1914" s="1" t="s">
        <v>1095</v>
      </c>
      <c r="H1914" s="3">
        <v>1.0</v>
      </c>
      <c r="I1914" s="4" t="s">
        <v>8228</v>
      </c>
      <c r="J1914" s="1" t="s">
        <v>8229</v>
      </c>
      <c r="K1914" s="1" t="s">
        <v>16</v>
      </c>
    </row>
    <row r="1915">
      <c r="A1915" s="1" t="s">
        <v>8230</v>
      </c>
      <c r="B1915" s="1" t="s">
        <v>8231</v>
      </c>
      <c r="C1915" s="1">
        <v>2021.0</v>
      </c>
      <c r="D1915" s="2">
        <v>44199.0</v>
      </c>
      <c r="F1915" s="1" t="s">
        <v>2982</v>
      </c>
      <c r="H1915" s="3">
        <v>7.0</v>
      </c>
      <c r="I1915" s="4" t="s">
        <v>8232</v>
      </c>
      <c r="J1915" s="1" t="s">
        <v>8233</v>
      </c>
      <c r="K1915" s="1" t="s">
        <v>323</v>
      </c>
    </row>
    <row r="1916">
      <c r="A1916" s="1" t="s">
        <v>8234</v>
      </c>
      <c r="B1916" s="1" t="s">
        <v>8235</v>
      </c>
      <c r="C1916" s="1">
        <v>2021.0</v>
      </c>
      <c r="D1916" s="2">
        <v>44197.0</v>
      </c>
      <c r="F1916" s="1" t="s">
        <v>8236</v>
      </c>
      <c r="H1916" s="3">
        <v>2.0</v>
      </c>
      <c r="I1916" s="4" t="s">
        <v>8237</v>
      </c>
      <c r="J1916" s="1" t="s">
        <v>8238</v>
      </c>
      <c r="K1916" s="1" t="s">
        <v>45</v>
      </c>
    </row>
    <row r="1917">
      <c r="A1917" s="1" t="s">
        <v>8239</v>
      </c>
      <c r="B1917" s="1" t="s">
        <v>8240</v>
      </c>
      <c r="C1917" s="1">
        <v>2021.0</v>
      </c>
      <c r="D1917" s="2">
        <v>44197.0</v>
      </c>
      <c r="F1917" s="1" t="s">
        <v>4124</v>
      </c>
      <c r="H1917" s="3">
        <v>17.0</v>
      </c>
      <c r="I1917" s="4" t="s">
        <v>8241</v>
      </c>
      <c r="J1917" s="1"/>
      <c r="K1917" s="1" t="s">
        <v>45</v>
      </c>
    </row>
    <row r="1918">
      <c r="A1918" s="1" t="s">
        <v>8242</v>
      </c>
      <c r="B1918" s="1" t="s">
        <v>8243</v>
      </c>
      <c r="C1918" s="1">
        <v>2021.0</v>
      </c>
      <c r="D1918" s="2">
        <v>44197.0</v>
      </c>
      <c r="F1918" s="1" t="s">
        <v>8244</v>
      </c>
      <c r="H1918" s="3">
        <v>0.0</v>
      </c>
      <c r="I1918" s="4" t="s">
        <v>8245</v>
      </c>
      <c r="J1918" s="1" t="s">
        <v>8246</v>
      </c>
      <c r="K1918" s="1" t="s">
        <v>45</v>
      </c>
    </row>
    <row r="1919">
      <c r="A1919" s="1" t="s">
        <v>8247</v>
      </c>
      <c r="B1919" s="1" t="s">
        <v>8248</v>
      </c>
      <c r="C1919" s="1">
        <v>2021.0</v>
      </c>
      <c r="D1919" s="2">
        <v>44197.0</v>
      </c>
      <c r="F1919" s="1" t="s">
        <v>8244</v>
      </c>
      <c r="H1919" s="3">
        <v>0.0</v>
      </c>
      <c r="I1919" s="4" t="s">
        <v>8249</v>
      </c>
      <c r="J1919" s="1" t="s">
        <v>8250</v>
      </c>
      <c r="K1919" s="1" t="s">
        <v>45</v>
      </c>
    </row>
    <row r="1920">
      <c r="A1920" s="1" t="s">
        <v>8251</v>
      </c>
      <c r="B1920" s="1" t="s">
        <v>8252</v>
      </c>
      <c r="C1920" s="1">
        <v>2021.0</v>
      </c>
      <c r="D1920" s="2">
        <v>44197.0</v>
      </c>
      <c r="F1920" s="1" t="s">
        <v>2497</v>
      </c>
      <c r="H1920" s="3">
        <v>3.0</v>
      </c>
      <c r="I1920" s="4" t="s">
        <v>8253</v>
      </c>
      <c r="J1920" s="1" t="s">
        <v>8254</v>
      </c>
      <c r="K1920" s="1" t="s">
        <v>571</v>
      </c>
    </row>
    <row r="1921">
      <c r="A1921" s="1" t="s">
        <v>8255</v>
      </c>
      <c r="B1921" s="1" t="s">
        <v>8256</v>
      </c>
      <c r="C1921" s="1">
        <v>2021.0</v>
      </c>
      <c r="D1921" s="2">
        <v>44197.0</v>
      </c>
      <c r="F1921" s="1" t="s">
        <v>2497</v>
      </c>
      <c r="H1921" s="3">
        <v>7.0</v>
      </c>
      <c r="I1921" s="4" t="s">
        <v>8257</v>
      </c>
      <c r="J1921" s="1" t="s">
        <v>8258</v>
      </c>
      <c r="K1921" s="1" t="s">
        <v>45</v>
      </c>
    </row>
    <row r="1922">
      <c r="A1922" s="1" t="s">
        <v>8259</v>
      </c>
      <c r="B1922" s="1" t="s">
        <v>8260</v>
      </c>
      <c r="C1922" s="1">
        <v>2021.0</v>
      </c>
      <c r="D1922" s="2">
        <v>44197.0</v>
      </c>
      <c r="F1922" s="1" t="s">
        <v>5834</v>
      </c>
      <c r="H1922" s="3">
        <v>7.0</v>
      </c>
      <c r="I1922" s="4" t="s">
        <v>8261</v>
      </c>
      <c r="J1922" s="1" t="s">
        <v>8262</v>
      </c>
      <c r="K1922" s="1" t="s">
        <v>28</v>
      </c>
    </row>
    <row r="1923">
      <c r="A1923" s="1" t="s">
        <v>8263</v>
      </c>
      <c r="B1923" s="1" t="s">
        <v>8264</v>
      </c>
      <c r="C1923" s="1">
        <v>2021.0</v>
      </c>
      <c r="D1923" s="2">
        <v>44197.0</v>
      </c>
      <c r="F1923" s="1" t="s">
        <v>5834</v>
      </c>
      <c r="H1923" s="3">
        <v>3.0</v>
      </c>
      <c r="I1923" s="4" t="s">
        <v>8265</v>
      </c>
      <c r="J1923" s="1" t="s">
        <v>8266</v>
      </c>
      <c r="K1923" s="1" t="s">
        <v>28</v>
      </c>
    </row>
    <row r="1924">
      <c r="A1924" s="1" t="s">
        <v>8267</v>
      </c>
      <c r="B1924" s="1" t="s">
        <v>8268</v>
      </c>
      <c r="C1924" s="1">
        <v>2021.0</v>
      </c>
      <c r="D1924" s="2">
        <v>44197.0</v>
      </c>
      <c r="F1924" s="1" t="s">
        <v>1562</v>
      </c>
      <c r="H1924" s="3">
        <v>10.0</v>
      </c>
      <c r="I1924" s="4" t="s">
        <v>8269</v>
      </c>
      <c r="J1924" s="1" t="s">
        <v>8270</v>
      </c>
      <c r="K1924" s="1" t="s">
        <v>383</v>
      </c>
    </row>
    <row r="1925">
      <c r="A1925" s="1" t="s">
        <v>8271</v>
      </c>
      <c r="B1925" s="1" t="s">
        <v>8272</v>
      </c>
      <c r="C1925" s="1">
        <v>2021.0</v>
      </c>
      <c r="D1925" s="2">
        <v>44197.0</v>
      </c>
      <c r="F1925" s="1" t="s">
        <v>8273</v>
      </c>
      <c r="H1925" s="3">
        <v>20.0</v>
      </c>
      <c r="I1925" s="4" t="s">
        <v>8274</v>
      </c>
      <c r="J1925" s="1" t="s">
        <v>8275</v>
      </c>
      <c r="K1925" s="1" t="s">
        <v>28</v>
      </c>
    </row>
    <row r="1926">
      <c r="A1926" s="1" t="s">
        <v>8276</v>
      </c>
      <c r="B1926" s="1" t="s">
        <v>7647</v>
      </c>
      <c r="C1926" s="1">
        <v>2020.0</v>
      </c>
      <c r="D1926" s="2">
        <v>44196.0</v>
      </c>
      <c r="F1926" s="1" t="s">
        <v>157</v>
      </c>
      <c r="H1926" s="3">
        <v>15.0</v>
      </c>
      <c r="I1926" s="4" t="s">
        <v>8277</v>
      </c>
      <c r="J1926" s="1" t="s">
        <v>8278</v>
      </c>
      <c r="K1926" s="1" t="s">
        <v>546</v>
      </c>
    </row>
    <row r="1927">
      <c r="A1927" s="1" t="s">
        <v>8279</v>
      </c>
      <c r="B1927" s="1" t="s">
        <v>8280</v>
      </c>
      <c r="C1927" s="1">
        <v>2020.0</v>
      </c>
      <c r="D1927" s="2">
        <v>44196.0</v>
      </c>
      <c r="F1927" s="1" t="s">
        <v>223</v>
      </c>
      <c r="H1927" s="3">
        <v>19.0</v>
      </c>
      <c r="I1927" s="4" t="s">
        <v>8281</v>
      </c>
      <c r="J1927" s="1" t="s">
        <v>8282</v>
      </c>
      <c r="K1927" s="1" t="s">
        <v>413</v>
      </c>
    </row>
    <row r="1928">
      <c r="A1928" s="1" t="s">
        <v>8283</v>
      </c>
      <c r="B1928" s="1" t="s">
        <v>8284</v>
      </c>
      <c r="C1928" s="1">
        <v>2020.0</v>
      </c>
      <c r="D1928" s="2">
        <v>44196.0</v>
      </c>
      <c r="F1928" s="1" t="s">
        <v>223</v>
      </c>
      <c r="H1928" s="3">
        <v>14.0</v>
      </c>
      <c r="I1928" s="4" t="s">
        <v>8285</v>
      </c>
      <c r="J1928" s="1" t="s">
        <v>8286</v>
      </c>
      <c r="K1928" s="1" t="s">
        <v>16</v>
      </c>
    </row>
    <row r="1929">
      <c r="A1929" s="1" t="s">
        <v>8287</v>
      </c>
      <c r="B1929" s="1" t="s">
        <v>8288</v>
      </c>
      <c r="C1929" s="1">
        <v>2020.0</v>
      </c>
      <c r="D1929" s="2">
        <v>44194.0</v>
      </c>
      <c r="F1929" s="1" t="s">
        <v>8289</v>
      </c>
      <c r="H1929" s="3">
        <v>113.0</v>
      </c>
      <c r="I1929" s="4" t="s">
        <v>8290</v>
      </c>
      <c r="J1929" s="1" t="s">
        <v>8291</v>
      </c>
      <c r="K1929" s="1" t="s">
        <v>443</v>
      </c>
    </row>
    <row r="1930">
      <c r="A1930" s="1" t="s">
        <v>8292</v>
      </c>
      <c r="B1930" s="1" t="s">
        <v>8293</v>
      </c>
      <c r="C1930" s="1">
        <v>2020.0</v>
      </c>
      <c r="D1930" s="2">
        <v>44194.0</v>
      </c>
      <c r="F1930" s="1" t="s">
        <v>3045</v>
      </c>
      <c r="H1930" s="3">
        <v>24.0</v>
      </c>
      <c r="I1930" s="4" t="s">
        <v>8294</v>
      </c>
      <c r="J1930" s="1" t="s">
        <v>8295</v>
      </c>
      <c r="K1930" s="1" t="s">
        <v>413</v>
      </c>
    </row>
    <row r="1931">
      <c r="A1931" s="1" t="s">
        <v>8296</v>
      </c>
      <c r="B1931" s="1" t="s">
        <v>8297</v>
      </c>
      <c r="C1931" s="1">
        <v>2020.0</v>
      </c>
      <c r="D1931" s="2">
        <v>44193.0</v>
      </c>
      <c r="F1931" s="1" t="s">
        <v>271</v>
      </c>
      <c r="H1931" s="3">
        <v>3.0</v>
      </c>
      <c r="I1931" s="4" t="s">
        <v>8298</v>
      </c>
      <c r="J1931" s="1" t="s">
        <v>8299</v>
      </c>
      <c r="K1931" s="1" t="s">
        <v>323</v>
      </c>
    </row>
    <row r="1932">
      <c r="A1932" s="1" t="s">
        <v>8300</v>
      </c>
      <c r="B1932" s="1" t="s">
        <v>8301</v>
      </c>
      <c r="C1932" s="1">
        <v>2020.0</v>
      </c>
      <c r="D1932" s="2">
        <v>44191.0</v>
      </c>
      <c r="F1932" s="1" t="s">
        <v>8302</v>
      </c>
      <c r="H1932" s="3">
        <v>2.0</v>
      </c>
      <c r="I1932" s="4" t="s">
        <v>8303</v>
      </c>
      <c r="J1932" s="1" t="s">
        <v>8304</v>
      </c>
      <c r="K1932" s="1" t="s">
        <v>45</v>
      </c>
    </row>
    <row r="1933">
      <c r="A1933" s="1" t="s">
        <v>8305</v>
      </c>
      <c r="B1933" s="1" t="s">
        <v>8306</v>
      </c>
      <c r="C1933" s="1">
        <v>2020.0</v>
      </c>
      <c r="D1933" s="2">
        <v>44190.0</v>
      </c>
      <c r="F1933" s="1" t="s">
        <v>8307</v>
      </c>
      <c r="H1933" s="3">
        <v>22.0</v>
      </c>
      <c r="I1933" s="4" t="s">
        <v>8308</v>
      </c>
      <c r="J1933" s="1"/>
      <c r="K1933" s="1" t="s">
        <v>28</v>
      </c>
    </row>
    <row r="1934">
      <c r="A1934" s="1" t="s">
        <v>8309</v>
      </c>
      <c r="B1934" s="1" t="s">
        <v>8310</v>
      </c>
      <c r="C1934" s="1">
        <v>2020.0</v>
      </c>
      <c r="D1934" s="2">
        <v>44189.0</v>
      </c>
      <c r="F1934" s="1" t="s">
        <v>4197</v>
      </c>
      <c r="H1934" s="3">
        <v>130.0</v>
      </c>
      <c r="I1934" s="4" t="s">
        <v>8311</v>
      </c>
      <c r="J1934" s="1" t="s">
        <v>8312</v>
      </c>
      <c r="K1934" s="1" t="s">
        <v>462</v>
      </c>
    </row>
    <row r="1935">
      <c r="A1935" s="1" t="s">
        <v>8313</v>
      </c>
      <c r="B1935" s="1" t="s">
        <v>8314</v>
      </c>
      <c r="C1935" s="1">
        <v>2020.0</v>
      </c>
      <c r="D1935" s="2">
        <v>44189.0</v>
      </c>
      <c r="F1935" s="1" t="s">
        <v>271</v>
      </c>
      <c r="H1935" s="3">
        <v>8.0</v>
      </c>
      <c r="I1935" s="4" t="s">
        <v>8315</v>
      </c>
      <c r="J1935" s="1" t="s">
        <v>8316</v>
      </c>
      <c r="K1935" s="1" t="s">
        <v>28</v>
      </c>
    </row>
    <row r="1936">
      <c r="A1936" s="1" t="s">
        <v>8317</v>
      </c>
      <c r="B1936" s="1" t="s">
        <v>8318</v>
      </c>
      <c r="C1936" s="1">
        <v>2020.0</v>
      </c>
      <c r="D1936" s="2">
        <v>44189.0</v>
      </c>
      <c r="F1936" s="1" t="s">
        <v>5336</v>
      </c>
      <c r="H1936" s="3">
        <v>8.0</v>
      </c>
      <c r="I1936" s="4" t="s">
        <v>8319</v>
      </c>
      <c r="J1936" s="1" t="s">
        <v>8320</v>
      </c>
      <c r="K1936" s="1" t="s">
        <v>28</v>
      </c>
    </row>
    <row r="1937">
      <c r="A1937" s="1" t="s">
        <v>8321</v>
      </c>
      <c r="B1937" s="1" t="s">
        <v>8322</v>
      </c>
      <c r="C1937" s="1">
        <v>2020.0</v>
      </c>
      <c r="D1937" s="2">
        <v>44188.0</v>
      </c>
      <c r="F1937" s="1" t="s">
        <v>4870</v>
      </c>
      <c r="H1937" s="3">
        <v>8.0</v>
      </c>
      <c r="I1937" s="4" t="s">
        <v>8323</v>
      </c>
      <c r="J1937" s="1" t="s">
        <v>8324</v>
      </c>
      <c r="K1937" s="1" t="s">
        <v>323</v>
      </c>
    </row>
    <row r="1938">
      <c r="A1938" s="1" t="s">
        <v>8325</v>
      </c>
      <c r="B1938" s="1" t="s">
        <v>8326</v>
      </c>
      <c r="C1938" s="1">
        <v>2020.0</v>
      </c>
      <c r="D1938" s="2">
        <v>44188.0</v>
      </c>
      <c r="F1938" s="1" t="s">
        <v>8327</v>
      </c>
      <c r="H1938" s="3">
        <v>3.0</v>
      </c>
      <c r="I1938" s="4" t="s">
        <v>8328</v>
      </c>
      <c r="J1938" s="1" t="s">
        <v>8329</v>
      </c>
      <c r="K1938" s="1" t="s">
        <v>323</v>
      </c>
    </row>
    <row r="1939">
      <c r="A1939" s="1" t="s">
        <v>8330</v>
      </c>
      <c r="B1939" s="1" t="s">
        <v>8331</v>
      </c>
      <c r="C1939" s="1">
        <v>2020.0</v>
      </c>
      <c r="D1939" s="2">
        <v>44188.0</v>
      </c>
      <c r="F1939" s="1" t="s">
        <v>2982</v>
      </c>
      <c r="H1939" s="3">
        <v>16.0</v>
      </c>
      <c r="I1939" s="4" t="s">
        <v>8332</v>
      </c>
      <c r="J1939" s="1" t="s">
        <v>8333</v>
      </c>
      <c r="K1939" s="1" t="s">
        <v>68</v>
      </c>
    </row>
    <row r="1940">
      <c r="A1940" s="1" t="s">
        <v>8334</v>
      </c>
      <c r="B1940" s="1" t="s">
        <v>8335</v>
      </c>
      <c r="C1940" s="1">
        <v>2020.0</v>
      </c>
      <c r="D1940" s="2">
        <v>44188.0</v>
      </c>
      <c r="F1940" s="1" t="s">
        <v>8336</v>
      </c>
      <c r="H1940" s="3">
        <v>1.0</v>
      </c>
      <c r="I1940" s="4" t="s">
        <v>8337</v>
      </c>
      <c r="J1940" s="1" t="s">
        <v>8338</v>
      </c>
      <c r="K1940" s="1" t="s">
        <v>413</v>
      </c>
    </row>
    <row r="1941">
      <c r="A1941" s="1" t="s">
        <v>8339</v>
      </c>
      <c r="B1941" s="1" t="s">
        <v>8340</v>
      </c>
      <c r="C1941" s="1">
        <v>2020.0</v>
      </c>
      <c r="D1941" s="2">
        <v>44187.0</v>
      </c>
      <c r="F1941" s="1" t="s">
        <v>1822</v>
      </c>
      <c r="H1941" s="3">
        <v>0.0</v>
      </c>
      <c r="I1941" s="4" t="s">
        <v>8341</v>
      </c>
      <c r="J1941" s="1" t="s">
        <v>8342</v>
      </c>
      <c r="K1941" s="1" t="s">
        <v>45</v>
      </c>
    </row>
    <row r="1942">
      <c r="A1942" s="1" t="s">
        <v>8343</v>
      </c>
      <c r="B1942" s="1" t="s">
        <v>8344</v>
      </c>
      <c r="C1942" s="1">
        <v>2020.0</v>
      </c>
      <c r="D1942" s="2">
        <v>44187.0</v>
      </c>
      <c r="F1942" s="1" t="s">
        <v>5167</v>
      </c>
      <c r="H1942" s="3">
        <v>11.0</v>
      </c>
      <c r="I1942" s="4" t="s">
        <v>8345</v>
      </c>
      <c r="J1942" s="1" t="s">
        <v>8346</v>
      </c>
      <c r="K1942" s="1" t="s">
        <v>323</v>
      </c>
    </row>
    <row r="1943">
      <c r="A1943" s="1" t="s">
        <v>8347</v>
      </c>
      <c r="B1943" s="1" t="s">
        <v>8348</v>
      </c>
      <c r="C1943" s="1">
        <v>2020.0</v>
      </c>
      <c r="D1943" s="2">
        <v>44187.0</v>
      </c>
      <c r="F1943" s="1" t="s">
        <v>6865</v>
      </c>
      <c r="H1943" s="3">
        <v>9.0</v>
      </c>
      <c r="I1943" s="4" t="s">
        <v>8349</v>
      </c>
      <c r="J1943" s="1" t="s">
        <v>8350</v>
      </c>
      <c r="K1943" s="1" t="s">
        <v>16</v>
      </c>
    </row>
    <row r="1944">
      <c r="A1944" s="1" t="s">
        <v>8351</v>
      </c>
      <c r="B1944" s="1" t="s">
        <v>8352</v>
      </c>
      <c r="C1944" s="1">
        <v>2020.0</v>
      </c>
      <c r="D1944" s="2">
        <v>44186.0</v>
      </c>
      <c r="F1944" s="1" t="s">
        <v>4655</v>
      </c>
      <c r="H1944" s="3">
        <v>15.0</v>
      </c>
      <c r="I1944" s="4" t="s">
        <v>8353</v>
      </c>
      <c r="J1944" s="1" t="s">
        <v>8354</v>
      </c>
      <c r="K1944" s="1" t="s">
        <v>28</v>
      </c>
    </row>
    <row r="1945">
      <c r="A1945" s="1" t="s">
        <v>8355</v>
      </c>
      <c r="B1945" s="1" t="s">
        <v>8356</v>
      </c>
      <c r="C1945" s="1">
        <v>2020.0</v>
      </c>
      <c r="D1945" s="2">
        <v>44186.0</v>
      </c>
      <c r="F1945" s="1" t="s">
        <v>689</v>
      </c>
      <c r="H1945" s="3">
        <v>6.0</v>
      </c>
      <c r="I1945" s="4" t="s">
        <v>8357</v>
      </c>
      <c r="J1945" s="1" t="s">
        <v>8358</v>
      </c>
      <c r="K1945" s="1" t="s">
        <v>413</v>
      </c>
    </row>
    <row r="1946">
      <c r="A1946" s="1" t="s">
        <v>8359</v>
      </c>
      <c r="B1946" s="1" t="s">
        <v>8360</v>
      </c>
      <c r="C1946" s="1">
        <v>2020.0</v>
      </c>
      <c r="D1946" s="2">
        <v>44184.0</v>
      </c>
      <c r="F1946" s="1" t="s">
        <v>2031</v>
      </c>
      <c r="H1946" s="3">
        <v>7.0</v>
      </c>
      <c r="I1946" s="4" t="s">
        <v>8361</v>
      </c>
      <c r="J1946" s="1" t="s">
        <v>8362</v>
      </c>
      <c r="K1946" s="1" t="s">
        <v>28</v>
      </c>
    </row>
    <row r="1947">
      <c r="A1947" s="1" t="s">
        <v>8363</v>
      </c>
      <c r="B1947" s="1" t="s">
        <v>7911</v>
      </c>
      <c r="C1947" s="1">
        <v>2020.0</v>
      </c>
      <c r="D1947" s="2">
        <v>44183.0</v>
      </c>
      <c r="F1947" s="1" t="s">
        <v>157</v>
      </c>
      <c r="H1947" s="3">
        <v>5.0</v>
      </c>
      <c r="I1947" s="4" t="s">
        <v>8364</v>
      </c>
      <c r="J1947" s="1" t="s">
        <v>8365</v>
      </c>
      <c r="K1947" s="1" t="s">
        <v>546</v>
      </c>
    </row>
    <row r="1948">
      <c r="A1948" s="1" t="s">
        <v>8366</v>
      </c>
      <c r="B1948" s="1" t="s">
        <v>8367</v>
      </c>
      <c r="C1948" s="1">
        <v>2020.0</v>
      </c>
      <c r="D1948" s="2">
        <v>44183.0</v>
      </c>
      <c r="F1948" s="1" t="s">
        <v>86</v>
      </c>
      <c r="H1948" s="3">
        <v>24.0</v>
      </c>
      <c r="I1948" s="4" t="s">
        <v>8368</v>
      </c>
      <c r="J1948" s="1" t="s">
        <v>8369</v>
      </c>
      <c r="K1948" s="1" t="s">
        <v>28</v>
      </c>
    </row>
    <row r="1949">
      <c r="A1949" s="1" t="s">
        <v>8370</v>
      </c>
      <c r="B1949" s="1" t="s">
        <v>8371</v>
      </c>
      <c r="C1949" s="1">
        <v>2020.0</v>
      </c>
      <c r="D1949" s="2">
        <v>44183.0</v>
      </c>
      <c r="F1949" s="1" t="s">
        <v>71</v>
      </c>
      <c r="H1949" s="3">
        <v>8.0</v>
      </c>
      <c r="I1949" s="4" t="s">
        <v>8372</v>
      </c>
      <c r="J1949" s="1" t="s">
        <v>8373</v>
      </c>
      <c r="K1949" s="1" t="s">
        <v>462</v>
      </c>
    </row>
    <row r="1950">
      <c r="A1950" s="1" t="s">
        <v>8374</v>
      </c>
      <c r="B1950" s="1" t="s">
        <v>8375</v>
      </c>
      <c r="C1950" s="1">
        <v>2020.0</v>
      </c>
      <c r="D1950" s="2">
        <v>44182.0</v>
      </c>
      <c r="F1950" s="1" t="s">
        <v>13</v>
      </c>
      <c r="H1950" s="3">
        <v>76.0</v>
      </c>
      <c r="I1950" s="4" t="s">
        <v>8376</v>
      </c>
      <c r="J1950" s="1" t="s">
        <v>8377</v>
      </c>
      <c r="K1950" s="1" t="s">
        <v>28</v>
      </c>
    </row>
    <row r="1951">
      <c r="A1951" s="1" t="s">
        <v>8378</v>
      </c>
      <c r="B1951" s="1" t="s">
        <v>8379</v>
      </c>
      <c r="C1951" s="1">
        <v>2020.0</v>
      </c>
      <c r="D1951" s="2">
        <v>44182.0</v>
      </c>
      <c r="F1951" s="1" t="s">
        <v>271</v>
      </c>
      <c r="H1951" s="3">
        <v>0.0</v>
      </c>
      <c r="I1951" s="4" t="s">
        <v>8380</v>
      </c>
      <c r="J1951" s="1" t="s">
        <v>8381</v>
      </c>
      <c r="K1951" s="1" t="s">
        <v>1036</v>
      </c>
    </row>
    <row r="1952">
      <c r="A1952" s="1" t="s">
        <v>8382</v>
      </c>
      <c r="B1952" s="1" t="s">
        <v>8383</v>
      </c>
      <c r="C1952" s="1">
        <v>2020.0</v>
      </c>
      <c r="D1952" s="2">
        <v>44182.0</v>
      </c>
      <c r="F1952" s="1" t="s">
        <v>2335</v>
      </c>
      <c r="H1952" s="3">
        <v>9.0</v>
      </c>
      <c r="I1952" s="4" t="s">
        <v>8384</v>
      </c>
      <c r="J1952" s="1" t="s">
        <v>8385</v>
      </c>
      <c r="K1952" s="1" t="s">
        <v>68</v>
      </c>
    </row>
    <row r="1953">
      <c r="A1953" s="1" t="s">
        <v>8386</v>
      </c>
      <c r="B1953" s="1" t="s">
        <v>8387</v>
      </c>
      <c r="C1953" s="1">
        <v>2020.0</v>
      </c>
      <c r="D1953" s="2">
        <v>44181.0</v>
      </c>
      <c r="F1953" s="1" t="s">
        <v>7024</v>
      </c>
      <c r="H1953" s="3">
        <v>31.0</v>
      </c>
      <c r="I1953" s="4" t="s">
        <v>8388</v>
      </c>
      <c r="J1953" s="1" t="s">
        <v>8389</v>
      </c>
      <c r="K1953" s="1" t="s">
        <v>443</v>
      </c>
    </row>
    <row r="1954">
      <c r="A1954" s="1" t="s">
        <v>8390</v>
      </c>
      <c r="B1954" s="1" t="s">
        <v>8391</v>
      </c>
      <c r="C1954" s="1">
        <v>2020.0</v>
      </c>
      <c r="D1954" s="2">
        <v>44180.0</v>
      </c>
      <c r="F1954" s="1" t="s">
        <v>271</v>
      </c>
      <c r="H1954" s="3">
        <v>4.0</v>
      </c>
      <c r="I1954" s="4" t="s">
        <v>8392</v>
      </c>
      <c r="J1954" s="1" t="s">
        <v>8393</v>
      </c>
      <c r="K1954" s="1" t="s">
        <v>418</v>
      </c>
    </row>
    <row r="1955">
      <c r="A1955" s="1" t="s">
        <v>8394</v>
      </c>
      <c r="B1955" s="1" t="s">
        <v>8395</v>
      </c>
      <c r="C1955" s="1">
        <v>2020.0</v>
      </c>
      <c r="D1955" s="2">
        <v>44180.0</v>
      </c>
      <c r="F1955" s="1" t="s">
        <v>7853</v>
      </c>
      <c r="H1955" s="3">
        <v>10.0</v>
      </c>
      <c r="I1955" s="4" t="s">
        <v>8396</v>
      </c>
      <c r="J1955" s="1" t="s">
        <v>8397</v>
      </c>
      <c r="K1955" s="1" t="s">
        <v>477</v>
      </c>
    </row>
    <row r="1956">
      <c r="A1956" s="1" t="s">
        <v>8398</v>
      </c>
      <c r="B1956" s="1" t="s">
        <v>8399</v>
      </c>
      <c r="C1956" s="1">
        <v>2020.0</v>
      </c>
      <c r="D1956" s="2">
        <v>44180.0</v>
      </c>
      <c r="F1956" s="1" t="s">
        <v>500</v>
      </c>
      <c r="H1956" s="3">
        <v>4.0</v>
      </c>
      <c r="I1956" s="4" t="s">
        <v>8400</v>
      </c>
      <c r="J1956" s="1" t="s">
        <v>8401</v>
      </c>
      <c r="K1956" s="1" t="s">
        <v>323</v>
      </c>
    </row>
    <row r="1957">
      <c r="A1957" s="1" t="s">
        <v>8402</v>
      </c>
      <c r="B1957" s="1" t="s">
        <v>8403</v>
      </c>
      <c r="C1957" s="1">
        <v>2020.0</v>
      </c>
      <c r="D1957" s="2">
        <v>44180.0</v>
      </c>
      <c r="F1957" s="1" t="s">
        <v>500</v>
      </c>
      <c r="H1957" s="3">
        <v>0.0</v>
      </c>
      <c r="I1957" s="4" t="s">
        <v>8404</v>
      </c>
      <c r="J1957" s="1" t="s">
        <v>8405</v>
      </c>
      <c r="K1957" s="1" t="s">
        <v>323</v>
      </c>
    </row>
    <row r="1958">
      <c r="A1958" s="1" t="s">
        <v>8406</v>
      </c>
      <c r="B1958" s="1" t="s">
        <v>8407</v>
      </c>
      <c r="C1958" s="1">
        <v>2020.0</v>
      </c>
      <c r="D1958" s="2">
        <v>44180.0</v>
      </c>
      <c r="F1958" s="1" t="s">
        <v>314</v>
      </c>
      <c r="H1958" s="3">
        <v>4.0</v>
      </c>
      <c r="I1958" s="4" t="s">
        <v>8408</v>
      </c>
      <c r="J1958" s="1" t="s">
        <v>8409</v>
      </c>
      <c r="K1958" s="1" t="s">
        <v>383</v>
      </c>
    </row>
    <row r="1959">
      <c r="A1959" s="1" t="s">
        <v>8410</v>
      </c>
      <c r="B1959" s="1" t="s">
        <v>8411</v>
      </c>
      <c r="C1959" s="1">
        <v>2020.0</v>
      </c>
      <c r="D1959" s="2">
        <v>44179.0</v>
      </c>
      <c r="F1959" s="1" t="s">
        <v>208</v>
      </c>
      <c r="H1959" s="3">
        <v>7.0</v>
      </c>
      <c r="I1959" s="4" t="s">
        <v>8412</v>
      </c>
      <c r="J1959" s="1" t="s">
        <v>8413</v>
      </c>
      <c r="K1959" s="1" t="s">
        <v>323</v>
      </c>
    </row>
    <row r="1960">
      <c r="A1960" s="1" t="s">
        <v>8414</v>
      </c>
      <c r="B1960" s="1" t="s">
        <v>8415</v>
      </c>
      <c r="C1960" s="1">
        <v>2020.0</v>
      </c>
      <c r="D1960" s="2">
        <v>44175.0</v>
      </c>
      <c r="F1960" s="1" t="s">
        <v>71</v>
      </c>
      <c r="H1960" s="3">
        <v>7.0</v>
      </c>
      <c r="I1960" s="4" t="s">
        <v>8416</v>
      </c>
      <c r="J1960" s="1" t="s">
        <v>8417</v>
      </c>
      <c r="K1960" s="1" t="s">
        <v>45</v>
      </c>
    </row>
    <row r="1961">
      <c r="A1961" s="1" t="s">
        <v>8418</v>
      </c>
      <c r="B1961" s="1" t="s">
        <v>8419</v>
      </c>
      <c r="C1961" s="1">
        <v>2020.0</v>
      </c>
      <c r="D1961" s="2">
        <v>44175.0</v>
      </c>
      <c r="F1961" s="1" t="s">
        <v>8420</v>
      </c>
      <c r="H1961" s="3">
        <v>9.0</v>
      </c>
      <c r="I1961" s="4" t="s">
        <v>8421</v>
      </c>
      <c r="J1961" s="1" t="s">
        <v>8422</v>
      </c>
      <c r="K1961" s="1" t="s">
        <v>16</v>
      </c>
    </row>
    <row r="1962">
      <c r="A1962" s="1" t="s">
        <v>8423</v>
      </c>
      <c r="B1962" s="1" t="s">
        <v>8424</v>
      </c>
      <c r="C1962" s="1">
        <v>2020.0</v>
      </c>
      <c r="D1962" s="2">
        <v>44175.0</v>
      </c>
      <c r="F1962" s="1" t="s">
        <v>1050</v>
      </c>
      <c r="H1962" s="3">
        <v>0.0</v>
      </c>
      <c r="I1962" s="4" t="s">
        <v>8425</v>
      </c>
      <c r="J1962" s="1" t="s">
        <v>8426</v>
      </c>
      <c r="K1962" s="1" t="s">
        <v>16</v>
      </c>
    </row>
    <row r="1963">
      <c r="A1963" s="1" t="s">
        <v>8427</v>
      </c>
      <c r="B1963" s="1" t="s">
        <v>4975</v>
      </c>
      <c r="C1963" s="1">
        <v>2020.0</v>
      </c>
      <c r="D1963" s="2">
        <v>44173.0</v>
      </c>
      <c r="F1963" s="1" t="s">
        <v>337</v>
      </c>
      <c r="H1963" s="3">
        <v>12.0</v>
      </c>
      <c r="I1963" s="4" t="s">
        <v>8428</v>
      </c>
      <c r="J1963" s="1"/>
      <c r="K1963" s="1" t="s">
        <v>443</v>
      </c>
    </row>
    <row r="1964">
      <c r="A1964" s="1" t="s">
        <v>8429</v>
      </c>
      <c r="B1964" s="1" t="s">
        <v>8430</v>
      </c>
      <c r="C1964" s="1">
        <v>2020.0</v>
      </c>
      <c r="D1964" s="2">
        <v>44172.0</v>
      </c>
      <c r="F1964" s="1" t="s">
        <v>192</v>
      </c>
      <c r="H1964" s="3">
        <v>20.0</v>
      </c>
      <c r="I1964" s="4" t="s">
        <v>8431</v>
      </c>
      <c r="J1964" s="1" t="s">
        <v>8432</v>
      </c>
      <c r="K1964" s="1" t="s">
        <v>16</v>
      </c>
    </row>
    <row r="1965">
      <c r="A1965" s="1" t="s">
        <v>8433</v>
      </c>
      <c r="B1965" s="1" t="s">
        <v>8434</v>
      </c>
      <c r="C1965" s="1">
        <v>2020.0</v>
      </c>
      <c r="D1965" s="2">
        <v>44170.0</v>
      </c>
      <c r="F1965" s="1" t="s">
        <v>7495</v>
      </c>
      <c r="H1965" s="3">
        <v>4.0</v>
      </c>
      <c r="I1965" s="4" t="s">
        <v>8435</v>
      </c>
      <c r="J1965" s="1" t="s">
        <v>8436</v>
      </c>
      <c r="K1965" s="1" t="s">
        <v>1036</v>
      </c>
    </row>
    <row r="1966">
      <c r="A1966" s="1" t="s">
        <v>8437</v>
      </c>
      <c r="B1966" s="1" t="s">
        <v>8438</v>
      </c>
      <c r="C1966" s="1">
        <v>2020.0</v>
      </c>
      <c r="D1966" s="2">
        <v>44169.0</v>
      </c>
      <c r="F1966" s="1" t="s">
        <v>2335</v>
      </c>
      <c r="H1966" s="3">
        <v>0.0</v>
      </c>
      <c r="I1966" s="4" t="s">
        <v>8439</v>
      </c>
      <c r="J1966" s="1" t="s">
        <v>8440</v>
      </c>
      <c r="K1966" s="1" t="s">
        <v>323</v>
      </c>
    </row>
    <row r="1967">
      <c r="A1967" s="1" t="s">
        <v>8441</v>
      </c>
      <c r="B1967" s="1" t="s">
        <v>8442</v>
      </c>
      <c r="C1967" s="1">
        <v>2020.0</v>
      </c>
      <c r="D1967" s="2">
        <v>44169.0</v>
      </c>
      <c r="F1967" s="1" t="s">
        <v>337</v>
      </c>
      <c r="H1967" s="3">
        <v>21.0</v>
      </c>
      <c r="I1967" s="4" t="s">
        <v>8443</v>
      </c>
      <c r="J1967" s="1" t="s">
        <v>8444</v>
      </c>
      <c r="K1967" s="1" t="s">
        <v>16</v>
      </c>
    </row>
    <row r="1968">
      <c r="A1968" s="1" t="s">
        <v>8445</v>
      </c>
      <c r="B1968" s="1" t="s">
        <v>8446</v>
      </c>
      <c r="C1968" s="1">
        <v>2020.0</v>
      </c>
      <c r="D1968" s="2">
        <v>44168.0</v>
      </c>
      <c r="F1968" s="1" t="s">
        <v>8447</v>
      </c>
      <c r="H1968" s="3">
        <v>3.0</v>
      </c>
      <c r="I1968" s="4" t="s">
        <v>8448</v>
      </c>
      <c r="J1968" s="1"/>
      <c r="K1968" s="1" t="s">
        <v>16</v>
      </c>
    </row>
    <row r="1969">
      <c r="A1969" s="1" t="s">
        <v>8449</v>
      </c>
      <c r="B1969" s="1" t="s">
        <v>8450</v>
      </c>
      <c r="C1969" s="1">
        <v>2020.0</v>
      </c>
      <c r="D1969" s="2">
        <v>44168.0</v>
      </c>
      <c r="F1969" s="1" t="s">
        <v>71</v>
      </c>
      <c r="H1969" s="3">
        <v>8.0</v>
      </c>
      <c r="I1969" s="4" t="s">
        <v>8451</v>
      </c>
      <c r="J1969" s="1" t="s">
        <v>8452</v>
      </c>
      <c r="K1969" s="1" t="s">
        <v>16</v>
      </c>
    </row>
    <row r="1970">
      <c r="A1970" s="1" t="s">
        <v>8453</v>
      </c>
      <c r="B1970" s="1" t="s">
        <v>8454</v>
      </c>
      <c r="C1970" s="1">
        <v>2020.0</v>
      </c>
      <c r="D1970" s="2">
        <v>44167.0</v>
      </c>
      <c r="F1970" s="1" t="s">
        <v>131</v>
      </c>
      <c r="H1970" s="3">
        <v>33.0</v>
      </c>
      <c r="I1970" s="4" t="s">
        <v>8455</v>
      </c>
      <c r="J1970" s="1" t="s">
        <v>8456</v>
      </c>
      <c r="K1970" s="1" t="s">
        <v>443</v>
      </c>
    </row>
    <row r="1971">
      <c r="A1971" s="1" t="s">
        <v>8457</v>
      </c>
      <c r="B1971" s="1" t="s">
        <v>8458</v>
      </c>
      <c r="C1971" s="1">
        <v>2020.0</v>
      </c>
      <c r="D1971" s="2">
        <v>44167.0</v>
      </c>
      <c r="F1971" s="1" t="s">
        <v>8459</v>
      </c>
      <c r="H1971" s="3">
        <v>11.0</v>
      </c>
      <c r="I1971" s="4" t="s">
        <v>8460</v>
      </c>
      <c r="J1971" s="1" t="s">
        <v>8461</v>
      </c>
      <c r="K1971" s="1" t="s">
        <v>28</v>
      </c>
    </row>
    <row r="1972">
      <c r="A1972" s="1" t="s">
        <v>8462</v>
      </c>
      <c r="B1972" s="1" t="s">
        <v>8463</v>
      </c>
      <c r="C1972" s="1">
        <v>2020.0</v>
      </c>
      <c r="D1972" s="2">
        <v>44167.0</v>
      </c>
      <c r="F1972" s="1" t="s">
        <v>8464</v>
      </c>
      <c r="H1972" s="3">
        <v>17.0</v>
      </c>
      <c r="I1972" s="4" t="s">
        <v>8465</v>
      </c>
      <c r="J1972" s="1" t="s">
        <v>8466</v>
      </c>
      <c r="K1972" s="1" t="s">
        <v>68</v>
      </c>
    </row>
    <row r="1973">
      <c r="A1973" s="1" t="s">
        <v>8467</v>
      </c>
      <c r="B1973" s="1" t="s">
        <v>8468</v>
      </c>
      <c r="C1973" s="1">
        <v>2020.0</v>
      </c>
      <c r="D1973" s="2">
        <v>44166.0</v>
      </c>
      <c r="F1973" s="1" t="s">
        <v>1562</v>
      </c>
      <c r="H1973" s="3">
        <v>40.0</v>
      </c>
      <c r="I1973" s="4" t="s">
        <v>8469</v>
      </c>
      <c r="J1973" s="1" t="s">
        <v>8470</v>
      </c>
      <c r="K1973" s="1" t="s">
        <v>45</v>
      </c>
    </row>
    <row r="1974">
      <c r="A1974" s="1" t="s">
        <v>8471</v>
      </c>
      <c r="B1974" s="1" t="s">
        <v>8472</v>
      </c>
      <c r="C1974" s="1">
        <v>2020.0</v>
      </c>
      <c r="D1974" s="2">
        <v>44166.0</v>
      </c>
      <c r="F1974" s="1" t="s">
        <v>2458</v>
      </c>
      <c r="H1974" s="3">
        <v>1.0</v>
      </c>
      <c r="I1974" s="4" t="s">
        <v>8473</v>
      </c>
      <c r="J1974" s="1"/>
      <c r="K1974" s="1" t="s">
        <v>443</v>
      </c>
    </row>
    <row r="1975">
      <c r="A1975" s="1" t="s">
        <v>8474</v>
      </c>
      <c r="B1975" s="1" t="s">
        <v>8475</v>
      </c>
      <c r="C1975" s="1">
        <v>2020.0</v>
      </c>
      <c r="D1975" s="2">
        <v>44166.0</v>
      </c>
      <c r="F1975" s="1" t="s">
        <v>3530</v>
      </c>
      <c r="H1975" s="3">
        <v>19.0</v>
      </c>
      <c r="I1975" s="4" t="s">
        <v>8476</v>
      </c>
      <c r="J1975" s="1" t="s">
        <v>8477</v>
      </c>
      <c r="K1975" s="1" t="s">
        <v>68</v>
      </c>
    </row>
    <row r="1976">
      <c r="A1976" s="1" t="s">
        <v>8478</v>
      </c>
      <c r="B1976" s="1" t="s">
        <v>8479</v>
      </c>
      <c r="C1976" s="1">
        <v>2020.0</v>
      </c>
      <c r="D1976" s="2">
        <v>44166.0</v>
      </c>
      <c r="F1976" s="1" t="s">
        <v>7255</v>
      </c>
      <c r="H1976" s="3">
        <v>2.0</v>
      </c>
      <c r="I1976" s="4" t="s">
        <v>8480</v>
      </c>
      <c r="J1976" s="1"/>
      <c r="K1976" s="1" t="s">
        <v>16</v>
      </c>
    </row>
    <row r="1977">
      <c r="A1977" s="1" t="s">
        <v>8481</v>
      </c>
      <c r="B1977" s="1" t="s">
        <v>8482</v>
      </c>
      <c r="C1977" s="1">
        <v>2020.0</v>
      </c>
      <c r="D1977" s="2">
        <v>44166.0</v>
      </c>
      <c r="F1977" s="1" t="s">
        <v>8483</v>
      </c>
      <c r="H1977" s="3">
        <v>13.0</v>
      </c>
      <c r="I1977" s="4" t="s">
        <v>8484</v>
      </c>
      <c r="J1977" s="1" t="s">
        <v>8485</v>
      </c>
      <c r="K1977" s="1" t="s">
        <v>16</v>
      </c>
    </row>
    <row r="1978">
      <c r="A1978" s="1" t="s">
        <v>8486</v>
      </c>
      <c r="B1978" s="1" t="s">
        <v>8487</v>
      </c>
      <c r="C1978" s="1">
        <v>2020.0</v>
      </c>
      <c r="D1978" s="2">
        <v>44165.0</v>
      </c>
      <c r="F1978" s="1" t="s">
        <v>4405</v>
      </c>
      <c r="H1978" s="3">
        <v>5.0</v>
      </c>
      <c r="I1978" s="4" t="s">
        <v>8488</v>
      </c>
      <c r="J1978" s="1" t="s">
        <v>8489</v>
      </c>
      <c r="K1978" s="1" t="s">
        <v>28</v>
      </c>
    </row>
    <row r="1979">
      <c r="A1979" s="1" t="s">
        <v>8490</v>
      </c>
      <c r="B1979" s="1" t="s">
        <v>8491</v>
      </c>
      <c r="C1979" s="1">
        <v>2020.0</v>
      </c>
      <c r="D1979" s="2">
        <v>44165.0</v>
      </c>
      <c r="F1979" s="1" t="s">
        <v>71</v>
      </c>
      <c r="H1979" s="3">
        <v>7.0</v>
      </c>
      <c r="I1979" s="4" t="s">
        <v>8492</v>
      </c>
      <c r="J1979" s="1" t="s">
        <v>8493</v>
      </c>
      <c r="K1979" s="1" t="s">
        <v>527</v>
      </c>
    </row>
    <row r="1980">
      <c r="A1980" s="1" t="s">
        <v>8494</v>
      </c>
      <c r="B1980" s="1" t="s">
        <v>8495</v>
      </c>
      <c r="C1980" s="1">
        <v>2020.0</v>
      </c>
      <c r="D1980" s="2">
        <v>44163.0</v>
      </c>
      <c r="F1980" s="1" t="s">
        <v>19</v>
      </c>
      <c r="H1980" s="3">
        <v>26.0</v>
      </c>
      <c r="I1980" s="4" t="s">
        <v>8496</v>
      </c>
      <c r="J1980" s="1" t="s">
        <v>8497</v>
      </c>
      <c r="K1980" s="1" t="s">
        <v>28</v>
      </c>
    </row>
    <row r="1981">
      <c r="A1981" s="1" t="s">
        <v>8498</v>
      </c>
      <c r="B1981" s="1" t="s">
        <v>8499</v>
      </c>
      <c r="C1981" s="1">
        <v>2020.0</v>
      </c>
      <c r="D1981" s="2">
        <v>44162.0</v>
      </c>
      <c r="F1981" s="1" t="s">
        <v>6585</v>
      </c>
      <c r="H1981" s="3">
        <v>6.0</v>
      </c>
      <c r="I1981" s="4" t="s">
        <v>8500</v>
      </c>
      <c r="J1981" s="1" t="s">
        <v>8501</v>
      </c>
      <c r="K1981" s="1" t="s">
        <v>383</v>
      </c>
    </row>
    <row r="1982">
      <c r="A1982" s="1" t="s">
        <v>8502</v>
      </c>
      <c r="B1982" s="1" t="s">
        <v>8503</v>
      </c>
      <c r="C1982" s="1">
        <v>2020.0</v>
      </c>
      <c r="D1982" s="2">
        <v>44162.0</v>
      </c>
      <c r="F1982" s="1" t="s">
        <v>157</v>
      </c>
      <c r="H1982" s="3">
        <v>12.0</v>
      </c>
      <c r="I1982" s="4" t="s">
        <v>8504</v>
      </c>
      <c r="J1982" s="1" t="s">
        <v>8505</v>
      </c>
      <c r="K1982" s="1" t="s">
        <v>546</v>
      </c>
    </row>
    <row r="1983">
      <c r="A1983" s="1" t="s">
        <v>8506</v>
      </c>
      <c r="B1983" s="1" t="s">
        <v>8507</v>
      </c>
      <c r="C1983" s="1">
        <v>2020.0</v>
      </c>
      <c r="D1983" s="2">
        <v>44161.0</v>
      </c>
      <c r="F1983" s="1" t="s">
        <v>6490</v>
      </c>
      <c r="H1983" s="3">
        <v>21.0</v>
      </c>
      <c r="I1983" s="4" t="s">
        <v>8508</v>
      </c>
      <c r="J1983" s="1" t="s">
        <v>8509</v>
      </c>
      <c r="K1983" s="1" t="s">
        <v>462</v>
      </c>
    </row>
    <row r="1984">
      <c r="A1984" s="1" t="s">
        <v>8510</v>
      </c>
      <c r="B1984" s="1" t="s">
        <v>8511</v>
      </c>
      <c r="C1984" s="1">
        <v>2020.0</v>
      </c>
      <c r="D1984" s="2">
        <v>44161.0</v>
      </c>
      <c r="F1984" s="1" t="s">
        <v>1410</v>
      </c>
      <c r="H1984" s="3">
        <v>5.0</v>
      </c>
      <c r="I1984" s="4" t="s">
        <v>8512</v>
      </c>
      <c r="J1984" s="1" t="s">
        <v>8513</v>
      </c>
      <c r="K1984" s="1" t="s">
        <v>323</v>
      </c>
    </row>
    <row r="1985">
      <c r="A1985" s="1" t="s">
        <v>8514</v>
      </c>
      <c r="B1985" s="1" t="s">
        <v>8515</v>
      </c>
      <c r="C1985" s="1">
        <v>2020.0</v>
      </c>
      <c r="D1985" s="2">
        <v>44161.0</v>
      </c>
      <c r="F1985" s="1" t="s">
        <v>3233</v>
      </c>
      <c r="H1985" s="3">
        <v>11.0</v>
      </c>
      <c r="I1985" s="4" t="s">
        <v>8516</v>
      </c>
      <c r="J1985" s="1" t="s">
        <v>8517</v>
      </c>
      <c r="K1985" s="1" t="s">
        <v>16</v>
      </c>
    </row>
    <row r="1986">
      <c r="A1986" s="1" t="s">
        <v>8518</v>
      </c>
      <c r="B1986" s="1" t="s">
        <v>8519</v>
      </c>
      <c r="C1986" s="1">
        <v>2020.0</v>
      </c>
      <c r="D1986" s="2">
        <v>44160.0</v>
      </c>
      <c r="F1986" s="1" t="s">
        <v>208</v>
      </c>
      <c r="H1986" s="3">
        <v>21.0</v>
      </c>
      <c r="I1986" s="4" t="s">
        <v>8520</v>
      </c>
      <c r="J1986" s="1" t="s">
        <v>8521</v>
      </c>
      <c r="K1986" s="1" t="s">
        <v>926</v>
      </c>
    </row>
    <row r="1987">
      <c r="A1987" s="1" t="s">
        <v>8522</v>
      </c>
      <c r="B1987" s="1" t="s">
        <v>8523</v>
      </c>
      <c r="C1987" s="1">
        <v>2020.0</v>
      </c>
      <c r="D1987" s="2">
        <v>44160.0</v>
      </c>
      <c r="F1987" s="1" t="s">
        <v>1095</v>
      </c>
      <c r="H1987" s="3">
        <v>12.0</v>
      </c>
      <c r="I1987" s="4" t="s">
        <v>8524</v>
      </c>
      <c r="J1987" s="1" t="s">
        <v>8525</v>
      </c>
      <c r="K1987" s="1" t="s">
        <v>16</v>
      </c>
    </row>
    <row r="1988">
      <c r="A1988" s="1" t="s">
        <v>8526</v>
      </c>
      <c r="B1988" s="1" t="s">
        <v>8527</v>
      </c>
      <c r="C1988" s="1">
        <v>2020.0</v>
      </c>
      <c r="D1988" s="2">
        <v>44159.0</v>
      </c>
      <c r="F1988" s="1" t="s">
        <v>308</v>
      </c>
      <c r="H1988" s="3">
        <v>8.0</v>
      </c>
      <c r="I1988" s="4" t="s">
        <v>8528</v>
      </c>
      <c r="J1988" s="1"/>
      <c r="K1988" s="1" t="s">
        <v>45</v>
      </c>
    </row>
    <row r="1989">
      <c r="A1989" s="1" t="s">
        <v>8529</v>
      </c>
      <c r="B1989" s="1" t="s">
        <v>8530</v>
      </c>
      <c r="C1989" s="1">
        <v>2020.0</v>
      </c>
      <c r="D1989" s="2">
        <v>44159.0</v>
      </c>
      <c r="F1989" s="1" t="s">
        <v>248</v>
      </c>
      <c r="H1989" s="3">
        <v>7.0</v>
      </c>
      <c r="I1989" s="4" t="s">
        <v>8531</v>
      </c>
      <c r="J1989" s="1" t="s">
        <v>8532</v>
      </c>
      <c r="K1989" s="1" t="s">
        <v>68</v>
      </c>
    </row>
    <row r="1990">
      <c r="A1990" s="1" t="s">
        <v>8533</v>
      </c>
      <c r="B1990" s="1" t="s">
        <v>8534</v>
      </c>
      <c r="C1990" s="1">
        <v>2020.0</v>
      </c>
      <c r="D1990" s="2">
        <v>44159.0</v>
      </c>
      <c r="F1990" s="1" t="s">
        <v>1762</v>
      </c>
      <c r="H1990" s="3">
        <v>10.0</v>
      </c>
      <c r="I1990" s="4" t="s">
        <v>8535</v>
      </c>
      <c r="J1990" s="1" t="s">
        <v>8536</v>
      </c>
      <c r="K1990" s="1" t="s">
        <v>383</v>
      </c>
    </row>
    <row r="1991">
      <c r="A1991" s="1" t="s">
        <v>8537</v>
      </c>
      <c r="B1991" s="1" t="s">
        <v>7424</v>
      </c>
      <c r="C1991" s="1">
        <v>2020.0</v>
      </c>
      <c r="D1991" s="2">
        <v>44158.0</v>
      </c>
      <c r="F1991" s="1" t="s">
        <v>7425</v>
      </c>
      <c r="H1991" s="3">
        <v>91.0</v>
      </c>
      <c r="I1991" s="4" t="s">
        <v>8538</v>
      </c>
      <c r="J1991" s="1" t="s">
        <v>8539</v>
      </c>
      <c r="K1991" s="1" t="s">
        <v>7427</v>
      </c>
    </row>
    <row r="1992">
      <c r="A1992" s="1" t="s">
        <v>8540</v>
      </c>
      <c r="B1992" s="1" t="s">
        <v>8541</v>
      </c>
      <c r="C1992" s="1">
        <v>2020.0</v>
      </c>
      <c r="D1992" s="2">
        <v>44158.0</v>
      </c>
      <c r="F1992" s="1" t="s">
        <v>4655</v>
      </c>
      <c r="H1992" s="3">
        <v>21.0</v>
      </c>
      <c r="I1992" s="4" t="s">
        <v>8542</v>
      </c>
      <c r="J1992" s="1" t="s">
        <v>8543</v>
      </c>
      <c r="K1992" s="1" t="s">
        <v>28</v>
      </c>
    </row>
    <row r="1993">
      <c r="A1993" s="1" t="s">
        <v>8544</v>
      </c>
      <c r="B1993" s="1" t="s">
        <v>8545</v>
      </c>
      <c r="C1993" s="1">
        <v>2020.0</v>
      </c>
      <c r="D1993" s="2">
        <v>44158.0</v>
      </c>
      <c r="F1993" s="1" t="s">
        <v>2897</v>
      </c>
      <c r="H1993" s="3">
        <v>15.0</v>
      </c>
      <c r="I1993" s="4" t="s">
        <v>8546</v>
      </c>
      <c r="J1993" s="1" t="s">
        <v>8547</v>
      </c>
      <c r="K1993" s="1" t="s">
        <v>413</v>
      </c>
    </row>
    <row r="1994">
      <c r="A1994" s="1" t="s">
        <v>8548</v>
      </c>
      <c r="B1994" s="1" t="s">
        <v>8549</v>
      </c>
      <c r="C1994" s="1">
        <v>2020.0</v>
      </c>
      <c r="D1994" s="2">
        <v>44156.0</v>
      </c>
      <c r="F1994" s="1" t="s">
        <v>8550</v>
      </c>
      <c r="H1994" s="3">
        <v>108.0</v>
      </c>
      <c r="I1994" s="4" t="s">
        <v>8551</v>
      </c>
      <c r="J1994" s="1" t="s">
        <v>8552</v>
      </c>
      <c r="K1994" s="1" t="s">
        <v>492</v>
      </c>
    </row>
    <row r="1995">
      <c r="A1995" s="1" t="s">
        <v>8553</v>
      </c>
      <c r="B1995" s="1" t="s">
        <v>8554</v>
      </c>
      <c r="C1995" s="1">
        <v>2020.0</v>
      </c>
      <c r="D1995" s="2">
        <v>44155.0</v>
      </c>
      <c r="F1995" s="1" t="s">
        <v>6622</v>
      </c>
      <c r="H1995" s="3">
        <v>3.0</v>
      </c>
      <c r="I1995" s="4" t="s">
        <v>8555</v>
      </c>
      <c r="J1995" s="1" t="s">
        <v>8556</v>
      </c>
      <c r="K1995" s="1" t="s">
        <v>295</v>
      </c>
    </row>
    <row r="1996">
      <c r="A1996" s="1" t="s">
        <v>8557</v>
      </c>
      <c r="B1996" s="1" t="s">
        <v>8558</v>
      </c>
      <c r="C1996" s="1">
        <v>2020.0</v>
      </c>
      <c r="D1996" s="2">
        <v>44155.0</v>
      </c>
      <c r="F1996" s="1" t="s">
        <v>8559</v>
      </c>
      <c r="H1996" s="3">
        <v>51.0</v>
      </c>
      <c r="I1996" s="4" t="s">
        <v>8560</v>
      </c>
      <c r="J1996" s="1" t="s">
        <v>8561</v>
      </c>
      <c r="K1996" s="1" t="s">
        <v>403</v>
      </c>
    </row>
    <row r="1997">
      <c r="A1997" s="1" t="s">
        <v>8562</v>
      </c>
      <c r="B1997" s="1" t="s">
        <v>8563</v>
      </c>
      <c r="C1997" s="1">
        <v>2020.0</v>
      </c>
      <c r="D1997" s="2">
        <v>44154.0</v>
      </c>
      <c r="F1997" s="1" t="s">
        <v>248</v>
      </c>
      <c r="H1997" s="3">
        <v>36.0</v>
      </c>
      <c r="I1997" s="4" t="s">
        <v>8564</v>
      </c>
      <c r="J1997" s="1" t="s">
        <v>8565</v>
      </c>
      <c r="K1997" s="1" t="s">
        <v>28</v>
      </c>
    </row>
    <row r="1998">
      <c r="A1998" s="1" t="s">
        <v>8566</v>
      </c>
      <c r="B1998" s="1" t="s">
        <v>8567</v>
      </c>
      <c r="C1998" s="1">
        <v>2020.0</v>
      </c>
      <c r="D1998" s="2">
        <v>44154.0</v>
      </c>
      <c r="F1998" s="1" t="s">
        <v>2141</v>
      </c>
      <c r="H1998" s="3">
        <v>13.0</v>
      </c>
      <c r="I1998" s="4" t="s">
        <v>8568</v>
      </c>
      <c r="J1998" s="1" t="s">
        <v>8569</v>
      </c>
      <c r="K1998" s="1" t="s">
        <v>372</v>
      </c>
    </row>
    <row r="1999">
      <c r="A1999" s="1" t="s">
        <v>8570</v>
      </c>
      <c r="B1999" s="1" t="s">
        <v>8571</v>
      </c>
      <c r="C1999" s="1">
        <v>2020.0</v>
      </c>
      <c r="D1999" s="2">
        <v>44154.0</v>
      </c>
      <c r="F1999" s="1" t="s">
        <v>465</v>
      </c>
      <c r="H1999" s="3">
        <v>5.0</v>
      </c>
      <c r="I1999" s="4" t="s">
        <v>8572</v>
      </c>
      <c r="J1999" s="1" t="s">
        <v>8573</v>
      </c>
      <c r="K1999" s="1" t="s">
        <v>68</v>
      </c>
    </row>
    <row r="2000">
      <c r="A2000" s="1" t="s">
        <v>8574</v>
      </c>
      <c r="B2000" s="1" t="s">
        <v>8575</v>
      </c>
      <c r="C2000" s="1">
        <v>2020.0</v>
      </c>
      <c r="D2000" s="2">
        <v>44153.0</v>
      </c>
      <c r="F2000" s="1" t="s">
        <v>396</v>
      </c>
      <c r="H2000" s="3">
        <v>7.0</v>
      </c>
      <c r="I2000" s="4" t="s">
        <v>8576</v>
      </c>
      <c r="J2000" s="1"/>
      <c r="K2000" s="1" t="s">
        <v>68</v>
      </c>
    </row>
    <row r="2001">
      <c r="A2001" s="1" t="s">
        <v>8577</v>
      </c>
      <c r="B2001" s="1" t="s">
        <v>8578</v>
      </c>
      <c r="C2001" s="1">
        <v>2020.0</v>
      </c>
      <c r="D2001" s="2">
        <v>44153.0</v>
      </c>
      <c r="F2001" s="1" t="s">
        <v>2136</v>
      </c>
      <c r="H2001" s="3">
        <v>8.0</v>
      </c>
      <c r="I2001" s="4" t="s">
        <v>8579</v>
      </c>
      <c r="J2001" s="1" t="s">
        <v>8580</v>
      </c>
      <c r="K2001" s="1" t="s">
        <v>68</v>
      </c>
    </row>
    <row r="2002">
      <c r="A2002" s="1" t="s">
        <v>8581</v>
      </c>
      <c r="B2002" s="1" t="s">
        <v>8582</v>
      </c>
      <c r="C2002" s="1">
        <v>2020.0</v>
      </c>
      <c r="D2002" s="2">
        <v>44152.0</v>
      </c>
      <c r="F2002" s="1" t="s">
        <v>271</v>
      </c>
      <c r="H2002" s="3">
        <v>14.0</v>
      </c>
      <c r="I2002" s="4" t="s">
        <v>8583</v>
      </c>
      <c r="J2002" s="1" t="s">
        <v>8584</v>
      </c>
      <c r="K2002" s="1" t="s">
        <v>295</v>
      </c>
    </row>
    <row r="2003">
      <c r="A2003" s="1" t="s">
        <v>8585</v>
      </c>
      <c r="B2003" s="1" t="s">
        <v>8586</v>
      </c>
      <c r="C2003" s="1">
        <v>2020.0</v>
      </c>
      <c r="D2003" s="2">
        <v>44152.0</v>
      </c>
      <c r="F2003" s="1" t="s">
        <v>337</v>
      </c>
      <c r="H2003" s="3">
        <v>71.0</v>
      </c>
      <c r="I2003" s="4" t="s">
        <v>8587</v>
      </c>
      <c r="J2003" s="1" t="s">
        <v>8588</v>
      </c>
      <c r="K2003" s="1" t="s">
        <v>462</v>
      </c>
    </row>
    <row r="2004">
      <c r="A2004" s="1" t="s">
        <v>8589</v>
      </c>
      <c r="B2004" s="1" t="s">
        <v>8050</v>
      </c>
      <c r="C2004" s="1">
        <v>2020.0</v>
      </c>
      <c r="D2004" s="2">
        <v>44151.0</v>
      </c>
      <c r="F2004" s="1" t="s">
        <v>7425</v>
      </c>
      <c r="H2004" s="3">
        <v>167.0</v>
      </c>
      <c r="I2004" s="4" t="s">
        <v>8590</v>
      </c>
      <c r="J2004" s="1" t="s">
        <v>8591</v>
      </c>
      <c r="K2004" s="1" t="s">
        <v>527</v>
      </c>
    </row>
    <row r="2005">
      <c r="A2005" s="1" t="s">
        <v>8592</v>
      </c>
      <c r="B2005" s="1" t="s">
        <v>8593</v>
      </c>
      <c r="C2005" s="1">
        <v>2020.0</v>
      </c>
      <c r="D2005" s="2">
        <v>44151.0</v>
      </c>
      <c r="F2005" s="1" t="s">
        <v>8594</v>
      </c>
      <c r="H2005" s="3">
        <v>188.0</v>
      </c>
      <c r="I2005" s="4" t="s">
        <v>8595</v>
      </c>
      <c r="J2005" s="1" t="s">
        <v>8596</v>
      </c>
      <c r="K2005" s="1" t="s">
        <v>329</v>
      </c>
    </row>
    <row r="2006">
      <c r="A2006" s="1" t="s">
        <v>8597</v>
      </c>
      <c r="B2006" s="1" t="s">
        <v>8598</v>
      </c>
      <c r="C2006" s="1">
        <v>2020.0</v>
      </c>
      <c r="D2006" s="2">
        <v>44148.0</v>
      </c>
      <c r="F2006" s="1" t="s">
        <v>8599</v>
      </c>
      <c r="H2006" s="3">
        <v>3.0</v>
      </c>
      <c r="I2006" s="4" t="s">
        <v>8600</v>
      </c>
      <c r="J2006" s="1" t="s">
        <v>8601</v>
      </c>
      <c r="K2006" s="1" t="s">
        <v>403</v>
      </c>
    </row>
    <row r="2007">
      <c r="A2007" s="1" t="s">
        <v>8602</v>
      </c>
      <c r="B2007" s="1" t="s">
        <v>8603</v>
      </c>
      <c r="C2007" s="1">
        <v>2020.0</v>
      </c>
      <c r="D2007" s="2">
        <v>44148.0</v>
      </c>
      <c r="F2007" s="1" t="s">
        <v>332</v>
      </c>
      <c r="H2007" s="3">
        <v>78.0</v>
      </c>
      <c r="I2007" s="4" t="s">
        <v>8604</v>
      </c>
      <c r="J2007" s="1" t="s">
        <v>8605</v>
      </c>
      <c r="K2007" s="1" t="s">
        <v>443</v>
      </c>
    </row>
    <row r="2008">
      <c r="A2008" s="1" t="s">
        <v>8606</v>
      </c>
      <c r="B2008" s="1" t="s">
        <v>8607</v>
      </c>
      <c r="C2008" s="1">
        <v>2020.0</v>
      </c>
      <c r="D2008" s="2">
        <v>44148.0</v>
      </c>
      <c r="F2008" s="1" t="s">
        <v>2774</v>
      </c>
      <c r="H2008" s="3">
        <v>68.0</v>
      </c>
      <c r="I2008" s="4" t="s">
        <v>8608</v>
      </c>
      <c r="J2008" s="1" t="s">
        <v>8609</v>
      </c>
      <c r="K2008" s="1" t="s">
        <v>413</v>
      </c>
    </row>
    <row r="2009">
      <c r="A2009" s="1" t="s">
        <v>8610</v>
      </c>
      <c r="B2009" s="1" t="s">
        <v>8611</v>
      </c>
      <c r="C2009" s="1">
        <v>2020.0</v>
      </c>
      <c r="D2009" s="2">
        <v>44148.0</v>
      </c>
      <c r="F2009" s="1" t="s">
        <v>8612</v>
      </c>
      <c r="H2009" s="3">
        <v>31.0</v>
      </c>
      <c r="I2009" s="4" t="s">
        <v>8613</v>
      </c>
      <c r="J2009" s="1" t="s">
        <v>8614</v>
      </c>
      <c r="K2009" s="1" t="s">
        <v>16</v>
      </c>
    </row>
    <row r="2010">
      <c r="A2010" s="1" t="s">
        <v>8615</v>
      </c>
      <c r="B2010" s="1" t="s">
        <v>8616</v>
      </c>
      <c r="C2010" s="1">
        <v>2020.0</v>
      </c>
      <c r="D2010" s="2">
        <v>44148.0</v>
      </c>
      <c r="F2010" s="1" t="s">
        <v>8617</v>
      </c>
      <c r="H2010" s="3">
        <v>21.0</v>
      </c>
      <c r="I2010" s="4" t="s">
        <v>8618</v>
      </c>
      <c r="J2010" s="1" t="s">
        <v>8619</v>
      </c>
      <c r="K2010" s="1" t="s">
        <v>16</v>
      </c>
    </row>
    <row r="2011">
      <c r="A2011" s="1" t="s">
        <v>8620</v>
      </c>
      <c r="B2011" s="1" t="s">
        <v>8621</v>
      </c>
      <c r="C2011" s="1">
        <v>2020.0</v>
      </c>
      <c r="D2011" s="2">
        <v>44148.0</v>
      </c>
      <c r="F2011" s="1" t="s">
        <v>2611</v>
      </c>
      <c r="H2011" s="3">
        <v>6.0</v>
      </c>
      <c r="I2011" s="4" t="s">
        <v>8622</v>
      </c>
      <c r="J2011" s="1"/>
      <c r="K2011" s="1" t="s">
        <v>16</v>
      </c>
    </row>
    <row r="2012">
      <c r="A2012" s="1" t="s">
        <v>8623</v>
      </c>
      <c r="B2012" s="1" t="s">
        <v>8624</v>
      </c>
      <c r="C2012" s="1">
        <v>2020.0</v>
      </c>
      <c r="D2012" s="2">
        <v>44147.0</v>
      </c>
      <c r="F2012" s="1" t="s">
        <v>1381</v>
      </c>
      <c r="H2012" s="3">
        <v>31.0</v>
      </c>
      <c r="I2012" s="4" t="s">
        <v>8625</v>
      </c>
      <c r="J2012" s="1" t="s">
        <v>8626</v>
      </c>
      <c r="K2012" s="1" t="s">
        <v>443</v>
      </c>
    </row>
    <row r="2013">
      <c r="A2013" s="1" t="s">
        <v>8627</v>
      </c>
      <c r="B2013" s="1" t="s">
        <v>8628</v>
      </c>
      <c r="C2013" s="1">
        <v>2020.0</v>
      </c>
      <c r="D2013" s="2">
        <v>44146.0</v>
      </c>
      <c r="F2013" s="1" t="s">
        <v>1859</v>
      </c>
      <c r="H2013" s="3">
        <v>2.0</v>
      </c>
      <c r="I2013" s="4" t="s">
        <v>8629</v>
      </c>
      <c r="J2013" s="1" t="s">
        <v>8630</v>
      </c>
      <c r="K2013" s="1" t="s">
        <v>28</v>
      </c>
    </row>
    <row r="2014">
      <c r="A2014" s="1" t="s">
        <v>8631</v>
      </c>
      <c r="B2014" s="1" t="s">
        <v>8632</v>
      </c>
      <c r="C2014" s="1">
        <v>2020.0</v>
      </c>
      <c r="D2014" s="2">
        <v>44146.0</v>
      </c>
      <c r="F2014" s="1" t="s">
        <v>271</v>
      </c>
      <c r="H2014" s="3">
        <v>60.0</v>
      </c>
      <c r="I2014" s="4" t="s">
        <v>8633</v>
      </c>
      <c r="J2014" s="1" t="s">
        <v>8634</v>
      </c>
      <c r="K2014" s="1" t="s">
        <v>1423</v>
      </c>
    </row>
    <row r="2015">
      <c r="A2015" s="1" t="s">
        <v>8635</v>
      </c>
      <c r="B2015" s="1" t="s">
        <v>8636</v>
      </c>
      <c r="C2015" s="1">
        <v>2020.0</v>
      </c>
      <c r="D2015" s="2">
        <v>44146.0</v>
      </c>
      <c r="F2015" s="1" t="s">
        <v>1795</v>
      </c>
      <c r="H2015" s="3">
        <v>5.0</v>
      </c>
      <c r="I2015" s="4" t="s">
        <v>8637</v>
      </c>
      <c r="J2015" s="1" t="s">
        <v>8638</v>
      </c>
      <c r="K2015" s="1" t="s">
        <v>28</v>
      </c>
    </row>
    <row r="2016">
      <c r="A2016" s="1" t="s">
        <v>8639</v>
      </c>
      <c r="B2016" s="1" t="s">
        <v>8640</v>
      </c>
      <c r="C2016" s="1">
        <v>2020.0</v>
      </c>
      <c r="D2016" s="2">
        <v>44146.0</v>
      </c>
      <c r="F2016" s="1" t="s">
        <v>5511</v>
      </c>
      <c r="H2016" s="3">
        <v>3.0</v>
      </c>
      <c r="I2016" s="4" t="s">
        <v>8641</v>
      </c>
      <c r="J2016" s="1" t="s">
        <v>8642</v>
      </c>
      <c r="K2016" s="1" t="s">
        <v>68</v>
      </c>
    </row>
    <row r="2017">
      <c r="A2017" s="1" t="s">
        <v>8643</v>
      </c>
      <c r="B2017" s="1" t="s">
        <v>8644</v>
      </c>
      <c r="C2017" s="1">
        <v>2020.0</v>
      </c>
      <c r="D2017" s="2">
        <v>44146.0</v>
      </c>
      <c r="F2017" s="1" t="s">
        <v>1358</v>
      </c>
      <c r="H2017" s="3">
        <v>11.0</v>
      </c>
      <c r="I2017" s="4" t="s">
        <v>8645</v>
      </c>
      <c r="J2017" s="1" t="s">
        <v>8646</v>
      </c>
      <c r="K2017" s="1" t="s">
        <v>16</v>
      </c>
    </row>
    <row r="2018">
      <c r="A2018" s="1" t="s">
        <v>8647</v>
      </c>
      <c r="B2018" s="1" t="s">
        <v>8648</v>
      </c>
      <c r="C2018" s="1">
        <v>2020.0</v>
      </c>
      <c r="D2018" s="2">
        <v>44145.0</v>
      </c>
      <c r="F2018" s="1" t="s">
        <v>6343</v>
      </c>
      <c r="H2018" s="3">
        <v>3.0</v>
      </c>
      <c r="I2018" s="4" t="s">
        <v>8649</v>
      </c>
      <c r="J2018" s="1" t="s">
        <v>8650</v>
      </c>
      <c r="K2018" s="1" t="s">
        <v>68</v>
      </c>
    </row>
    <row r="2019">
      <c r="A2019" s="1" t="s">
        <v>8651</v>
      </c>
      <c r="B2019" s="1" t="s">
        <v>8652</v>
      </c>
      <c r="C2019" s="1">
        <v>2020.0</v>
      </c>
      <c r="D2019" s="2">
        <v>44145.0</v>
      </c>
      <c r="F2019" s="1" t="s">
        <v>228</v>
      </c>
      <c r="H2019" s="3">
        <v>18.0</v>
      </c>
      <c r="I2019" s="4" t="s">
        <v>8653</v>
      </c>
      <c r="J2019" s="1" t="s">
        <v>8654</v>
      </c>
      <c r="K2019" s="1" t="s">
        <v>16</v>
      </c>
    </row>
    <row r="2020">
      <c r="A2020" s="1" t="s">
        <v>8655</v>
      </c>
      <c r="B2020" s="1" t="s">
        <v>8656</v>
      </c>
      <c r="C2020" s="1">
        <v>2020.0</v>
      </c>
      <c r="D2020" s="2">
        <v>44141.0</v>
      </c>
      <c r="F2020" s="1" t="s">
        <v>7495</v>
      </c>
      <c r="H2020" s="3">
        <v>1.0</v>
      </c>
      <c r="I2020" s="4" t="s">
        <v>8657</v>
      </c>
      <c r="J2020" s="1" t="s">
        <v>8658</v>
      </c>
      <c r="K2020" s="1" t="s">
        <v>323</v>
      </c>
    </row>
    <row r="2021">
      <c r="A2021" s="1" t="s">
        <v>8659</v>
      </c>
      <c r="B2021" s="1" t="s">
        <v>8660</v>
      </c>
      <c r="C2021" s="1">
        <v>2020.0</v>
      </c>
      <c r="D2021" s="2">
        <v>44140.0</v>
      </c>
      <c r="F2021" s="1" t="s">
        <v>440</v>
      </c>
      <c r="H2021" s="3">
        <v>15.0</v>
      </c>
      <c r="I2021" s="4" t="s">
        <v>8661</v>
      </c>
      <c r="J2021" s="1" t="s">
        <v>8662</v>
      </c>
      <c r="K2021" s="1" t="s">
        <v>418</v>
      </c>
    </row>
    <row r="2022">
      <c r="A2022" s="1" t="s">
        <v>8663</v>
      </c>
      <c r="B2022" s="1" t="s">
        <v>8664</v>
      </c>
      <c r="C2022" s="1">
        <v>2020.0</v>
      </c>
      <c r="D2022" s="2">
        <v>44139.0</v>
      </c>
      <c r="F2022" s="1" t="s">
        <v>8665</v>
      </c>
      <c r="H2022" s="3">
        <v>4.0</v>
      </c>
      <c r="I2022" s="4" t="s">
        <v>8666</v>
      </c>
      <c r="J2022" s="1" t="s">
        <v>8667</v>
      </c>
      <c r="K2022" s="1" t="s">
        <v>16</v>
      </c>
    </row>
    <row r="2023">
      <c r="A2023" s="1" t="s">
        <v>8668</v>
      </c>
      <c r="B2023" s="1" t="s">
        <v>8669</v>
      </c>
      <c r="C2023" s="1">
        <v>2020.0</v>
      </c>
      <c r="D2023" s="2">
        <v>44138.0</v>
      </c>
      <c r="F2023" s="1" t="s">
        <v>3463</v>
      </c>
      <c r="H2023" s="3">
        <v>6.0</v>
      </c>
      <c r="I2023" s="4" t="s">
        <v>8670</v>
      </c>
      <c r="J2023" s="1" t="s">
        <v>8671</v>
      </c>
      <c r="K2023" s="1" t="s">
        <v>45</v>
      </c>
    </row>
    <row r="2024">
      <c r="A2024" s="1" t="s">
        <v>8672</v>
      </c>
      <c r="B2024" s="1" t="s">
        <v>8673</v>
      </c>
      <c r="C2024" s="1">
        <v>2020.0</v>
      </c>
      <c r="D2024" s="2">
        <v>44138.0</v>
      </c>
      <c r="F2024" s="1" t="s">
        <v>271</v>
      </c>
      <c r="H2024" s="3">
        <v>2.0</v>
      </c>
      <c r="I2024" s="4" t="s">
        <v>8674</v>
      </c>
      <c r="J2024" s="1" t="s">
        <v>8675</v>
      </c>
      <c r="K2024" s="1" t="s">
        <v>323</v>
      </c>
    </row>
    <row r="2025">
      <c r="A2025" s="1" t="s">
        <v>8676</v>
      </c>
      <c r="B2025" s="1" t="s">
        <v>8677</v>
      </c>
      <c r="C2025" s="1">
        <v>2020.0</v>
      </c>
      <c r="D2025" s="2">
        <v>44138.0</v>
      </c>
      <c r="F2025" s="1" t="s">
        <v>271</v>
      </c>
      <c r="H2025" s="3">
        <v>1.0</v>
      </c>
      <c r="I2025" s="4" t="s">
        <v>8678</v>
      </c>
      <c r="J2025" s="1" t="s">
        <v>8679</v>
      </c>
      <c r="K2025" s="1" t="s">
        <v>16</v>
      </c>
    </row>
    <row r="2026">
      <c r="A2026" s="1" t="s">
        <v>8680</v>
      </c>
      <c r="B2026" s="1" t="s">
        <v>8681</v>
      </c>
      <c r="C2026" s="1">
        <v>2020.0</v>
      </c>
      <c r="D2026" s="2">
        <v>44138.0</v>
      </c>
      <c r="F2026" s="1" t="s">
        <v>2707</v>
      </c>
      <c r="H2026" s="3">
        <v>2.0</v>
      </c>
      <c r="I2026" s="4" t="s">
        <v>8682</v>
      </c>
      <c r="J2026" s="1" t="s">
        <v>8683</v>
      </c>
      <c r="K2026" s="1" t="s">
        <v>413</v>
      </c>
    </row>
    <row r="2027">
      <c r="A2027" s="1" t="s">
        <v>8684</v>
      </c>
      <c r="B2027" s="1" t="s">
        <v>8685</v>
      </c>
      <c r="C2027" s="1">
        <v>2020.0</v>
      </c>
      <c r="D2027" s="2">
        <v>44137.0</v>
      </c>
      <c r="F2027" s="1" t="s">
        <v>8686</v>
      </c>
      <c r="H2027" s="3">
        <v>1.0</v>
      </c>
      <c r="I2027" s="4" t="s">
        <v>8687</v>
      </c>
      <c r="J2027" s="1"/>
      <c r="K2027" s="1" t="s">
        <v>28</v>
      </c>
    </row>
    <row r="2028">
      <c r="A2028" s="1" t="s">
        <v>8688</v>
      </c>
      <c r="B2028" s="1" t="s">
        <v>8689</v>
      </c>
      <c r="C2028" s="1">
        <v>2020.0</v>
      </c>
      <c r="D2028" s="2">
        <v>44137.0</v>
      </c>
      <c r="F2028" s="1" t="s">
        <v>656</v>
      </c>
      <c r="H2028" s="3">
        <v>1.0</v>
      </c>
      <c r="I2028" s="4" t="s">
        <v>8690</v>
      </c>
      <c r="J2028" s="1" t="s">
        <v>8691</v>
      </c>
      <c r="K2028" s="1" t="s">
        <v>372</v>
      </c>
    </row>
    <row r="2029">
      <c r="A2029" s="1" t="s">
        <v>8692</v>
      </c>
      <c r="B2029" s="1" t="s">
        <v>8693</v>
      </c>
      <c r="C2029" s="1">
        <v>2020.0</v>
      </c>
      <c r="D2029" s="2">
        <v>44137.0</v>
      </c>
      <c r="F2029" s="1" t="s">
        <v>13</v>
      </c>
      <c r="H2029" s="3">
        <v>11.0</v>
      </c>
      <c r="I2029" s="4" t="s">
        <v>8694</v>
      </c>
      <c r="J2029" s="1" t="s">
        <v>8695</v>
      </c>
      <c r="K2029" s="1" t="s">
        <v>1036</v>
      </c>
    </row>
    <row r="2030">
      <c r="A2030" s="1" t="s">
        <v>8696</v>
      </c>
      <c r="B2030" s="1" t="s">
        <v>8697</v>
      </c>
      <c r="C2030" s="1">
        <v>2020.0</v>
      </c>
      <c r="D2030" s="2">
        <v>44137.0</v>
      </c>
      <c r="F2030" s="1" t="s">
        <v>4405</v>
      </c>
      <c r="H2030" s="3">
        <v>76.0</v>
      </c>
      <c r="I2030" s="4" t="s">
        <v>8698</v>
      </c>
      <c r="J2030" s="1" t="s">
        <v>8699</v>
      </c>
      <c r="K2030" s="1" t="s">
        <v>16</v>
      </c>
    </row>
    <row r="2031">
      <c r="A2031" s="1" t="s">
        <v>8700</v>
      </c>
      <c r="B2031" s="1" t="s">
        <v>8701</v>
      </c>
      <c r="C2031" s="1">
        <v>2020.0</v>
      </c>
      <c r="D2031" s="2">
        <v>44136.0</v>
      </c>
      <c r="F2031" s="1" t="s">
        <v>8702</v>
      </c>
      <c r="H2031" s="3">
        <v>0.0</v>
      </c>
      <c r="I2031" s="4" t="s">
        <v>8703</v>
      </c>
      <c r="J2031" s="1"/>
      <c r="K2031" s="1" t="s">
        <v>28</v>
      </c>
    </row>
    <row r="2032">
      <c r="A2032" s="1" t="s">
        <v>8704</v>
      </c>
      <c r="B2032" s="1" t="s">
        <v>8705</v>
      </c>
      <c r="C2032" s="1">
        <v>2020.0</v>
      </c>
      <c r="D2032" s="2">
        <v>44136.0</v>
      </c>
      <c r="F2032" s="1" t="s">
        <v>519</v>
      </c>
      <c r="H2032" s="3">
        <v>16.0</v>
      </c>
      <c r="I2032" s="4" t="s">
        <v>8706</v>
      </c>
      <c r="J2032" s="1" t="s">
        <v>8707</v>
      </c>
      <c r="K2032" s="1" t="s">
        <v>323</v>
      </c>
    </row>
    <row r="2033">
      <c r="A2033" s="1" t="s">
        <v>8708</v>
      </c>
      <c r="B2033" s="1" t="s">
        <v>8709</v>
      </c>
      <c r="C2033" s="1">
        <v>2020.0</v>
      </c>
      <c r="D2033" s="2">
        <v>44136.0</v>
      </c>
      <c r="F2033" s="1" t="s">
        <v>2927</v>
      </c>
      <c r="H2033" s="3">
        <v>14.0</v>
      </c>
      <c r="I2033" s="4" t="s">
        <v>8710</v>
      </c>
      <c r="J2033" s="1" t="s">
        <v>8711</v>
      </c>
      <c r="K2033" s="1" t="s">
        <v>295</v>
      </c>
    </row>
    <row r="2034">
      <c r="A2034" s="1" t="s">
        <v>8712</v>
      </c>
      <c r="B2034" s="1" t="s">
        <v>8713</v>
      </c>
      <c r="C2034" s="1">
        <v>2020.0</v>
      </c>
      <c r="D2034" s="2">
        <v>44136.0</v>
      </c>
      <c r="F2034" s="1" t="s">
        <v>8714</v>
      </c>
      <c r="H2034" s="3">
        <v>14.0</v>
      </c>
      <c r="I2034" s="4" t="s">
        <v>8715</v>
      </c>
      <c r="J2034" s="1" t="s">
        <v>8716</v>
      </c>
      <c r="K2034" s="1" t="s">
        <v>68</v>
      </c>
    </row>
    <row r="2035">
      <c r="A2035" s="1" t="s">
        <v>8717</v>
      </c>
      <c r="B2035" s="1" t="s">
        <v>8718</v>
      </c>
      <c r="C2035" s="1">
        <v>2020.0</v>
      </c>
      <c r="D2035" s="2">
        <v>44136.0</v>
      </c>
      <c r="F2035" s="1" t="s">
        <v>1128</v>
      </c>
      <c r="H2035" s="3">
        <v>2.0</v>
      </c>
      <c r="I2035" s="4" t="s">
        <v>8719</v>
      </c>
      <c r="J2035" s="1" t="s">
        <v>8720</v>
      </c>
      <c r="K2035" s="1" t="s">
        <v>403</v>
      </c>
    </row>
    <row r="2036">
      <c r="A2036" s="1" t="s">
        <v>8721</v>
      </c>
      <c r="B2036" s="1" t="s">
        <v>8722</v>
      </c>
      <c r="C2036" s="1">
        <v>2020.0</v>
      </c>
      <c r="D2036" s="2">
        <v>44135.0</v>
      </c>
      <c r="F2036" s="1" t="s">
        <v>208</v>
      </c>
      <c r="H2036" s="3">
        <v>7.0</v>
      </c>
      <c r="I2036" s="4" t="s">
        <v>8723</v>
      </c>
      <c r="J2036" s="1" t="s">
        <v>8724</v>
      </c>
      <c r="K2036" s="1" t="s">
        <v>477</v>
      </c>
    </row>
    <row r="2037">
      <c r="A2037" s="1" t="s">
        <v>8725</v>
      </c>
      <c r="B2037" s="1" t="s">
        <v>8726</v>
      </c>
      <c r="C2037" s="1">
        <v>2020.0</v>
      </c>
      <c r="D2037" s="2">
        <v>44134.0</v>
      </c>
      <c r="F2037" s="1" t="s">
        <v>271</v>
      </c>
      <c r="H2037" s="3">
        <v>35.0</v>
      </c>
      <c r="I2037" s="4" t="s">
        <v>8727</v>
      </c>
      <c r="J2037" s="1" t="s">
        <v>8728</v>
      </c>
      <c r="K2037" s="1" t="s">
        <v>28</v>
      </c>
    </row>
    <row r="2038">
      <c r="A2038" s="1" t="s">
        <v>8729</v>
      </c>
      <c r="B2038" s="1" t="s">
        <v>8730</v>
      </c>
      <c r="C2038" s="1">
        <v>2020.0</v>
      </c>
      <c r="D2038" s="2">
        <v>44134.0</v>
      </c>
      <c r="F2038" s="1" t="s">
        <v>8731</v>
      </c>
      <c r="H2038" s="3">
        <v>4.0</v>
      </c>
      <c r="I2038" s="4" t="s">
        <v>8732</v>
      </c>
      <c r="J2038" s="1" t="s">
        <v>8733</v>
      </c>
      <c r="K2038" s="1" t="s">
        <v>16</v>
      </c>
    </row>
    <row r="2039">
      <c r="A2039" s="1" t="s">
        <v>8734</v>
      </c>
      <c r="B2039" s="1" t="s">
        <v>8735</v>
      </c>
      <c r="C2039" s="1">
        <v>2020.0</v>
      </c>
      <c r="D2039" s="2">
        <v>44134.0</v>
      </c>
      <c r="F2039" s="1" t="s">
        <v>13</v>
      </c>
      <c r="H2039" s="3">
        <v>23.0</v>
      </c>
      <c r="I2039" s="4" t="s">
        <v>8736</v>
      </c>
      <c r="J2039" s="1" t="s">
        <v>8737</v>
      </c>
      <c r="K2039" s="1" t="s">
        <v>16</v>
      </c>
    </row>
    <row r="2040">
      <c r="A2040" s="1" t="s">
        <v>8738</v>
      </c>
      <c r="B2040" s="1" t="s">
        <v>8739</v>
      </c>
      <c r="C2040" s="1">
        <v>2020.0</v>
      </c>
      <c r="D2040" s="2">
        <v>44131.0</v>
      </c>
      <c r="F2040" s="1" t="s">
        <v>500</v>
      </c>
      <c r="H2040" s="3">
        <v>3.0</v>
      </c>
      <c r="I2040" s="4" t="s">
        <v>8740</v>
      </c>
      <c r="J2040" s="1" t="s">
        <v>8741</v>
      </c>
      <c r="K2040" s="1" t="s">
        <v>403</v>
      </c>
    </row>
    <row r="2041">
      <c r="A2041" s="1" t="s">
        <v>8742</v>
      </c>
      <c r="B2041" s="1" t="s">
        <v>8743</v>
      </c>
      <c r="C2041" s="1">
        <v>2020.0</v>
      </c>
      <c r="D2041" s="2">
        <v>44131.0</v>
      </c>
      <c r="F2041" s="1" t="s">
        <v>142</v>
      </c>
      <c r="H2041" s="3">
        <v>2.0</v>
      </c>
      <c r="I2041" s="4" t="s">
        <v>8744</v>
      </c>
      <c r="J2041" s="1" t="s">
        <v>8745</v>
      </c>
      <c r="K2041" s="1" t="s">
        <v>16</v>
      </c>
    </row>
    <row r="2042">
      <c r="A2042" s="1" t="s">
        <v>8746</v>
      </c>
      <c r="B2042" s="1" t="s">
        <v>8747</v>
      </c>
      <c r="C2042" s="1">
        <v>2020.0</v>
      </c>
      <c r="D2042" s="2">
        <v>44128.0</v>
      </c>
      <c r="F2042" s="1" t="s">
        <v>435</v>
      </c>
      <c r="H2042" s="3">
        <v>80.0</v>
      </c>
      <c r="I2042" s="4" t="s">
        <v>8748</v>
      </c>
      <c r="J2042" s="1" t="s">
        <v>8749</v>
      </c>
      <c r="K2042" s="1" t="s">
        <v>383</v>
      </c>
    </row>
    <row r="2043">
      <c r="A2043" s="1" t="s">
        <v>8750</v>
      </c>
      <c r="B2043" s="1" t="s">
        <v>8751</v>
      </c>
      <c r="C2043" s="1">
        <v>2020.0</v>
      </c>
      <c r="D2043" s="2">
        <v>44127.0</v>
      </c>
      <c r="F2043" s="1" t="s">
        <v>5392</v>
      </c>
      <c r="H2043" s="3">
        <v>18.0</v>
      </c>
      <c r="I2043" s="4" t="s">
        <v>8752</v>
      </c>
      <c r="J2043" s="1" t="s">
        <v>8753</v>
      </c>
      <c r="K2043" s="1" t="s">
        <v>28</v>
      </c>
    </row>
    <row r="2044">
      <c r="A2044" s="1" t="s">
        <v>8754</v>
      </c>
      <c r="B2044" s="1" t="s">
        <v>8755</v>
      </c>
      <c r="C2044" s="1">
        <v>2020.0</v>
      </c>
      <c r="D2044" s="2">
        <v>44125.0</v>
      </c>
      <c r="F2044" s="1" t="s">
        <v>2012</v>
      </c>
      <c r="H2044" s="3">
        <v>6.0</v>
      </c>
      <c r="I2044" s="4" t="s">
        <v>8756</v>
      </c>
      <c r="J2044" s="1" t="s">
        <v>8757</v>
      </c>
      <c r="K2044" s="1" t="s">
        <v>443</v>
      </c>
    </row>
    <row r="2045">
      <c r="A2045" s="1" t="s">
        <v>8758</v>
      </c>
      <c r="B2045" s="1" t="s">
        <v>8759</v>
      </c>
      <c r="C2045" s="1">
        <v>2020.0</v>
      </c>
      <c r="D2045" s="2">
        <v>44124.0</v>
      </c>
      <c r="F2045" s="1" t="s">
        <v>3463</v>
      </c>
      <c r="H2045" s="3">
        <v>10.0</v>
      </c>
      <c r="I2045" s="4" t="s">
        <v>8760</v>
      </c>
      <c r="J2045" s="1" t="s">
        <v>8761</v>
      </c>
      <c r="K2045" s="1" t="s">
        <v>28</v>
      </c>
    </row>
    <row r="2046">
      <c r="A2046" s="1" t="s">
        <v>8762</v>
      </c>
      <c r="B2046" s="1" t="s">
        <v>8763</v>
      </c>
      <c r="C2046" s="1">
        <v>2020.0</v>
      </c>
      <c r="D2046" s="2">
        <v>44124.0</v>
      </c>
      <c r="F2046" s="1" t="s">
        <v>2611</v>
      </c>
      <c r="H2046" s="3">
        <v>183.0</v>
      </c>
      <c r="I2046" s="4" t="s">
        <v>8764</v>
      </c>
      <c r="J2046" s="1" t="s">
        <v>8765</v>
      </c>
      <c r="K2046" s="1" t="s">
        <v>68</v>
      </c>
    </row>
    <row r="2047">
      <c r="A2047" s="1" t="s">
        <v>8766</v>
      </c>
      <c r="B2047" s="1" t="s">
        <v>8767</v>
      </c>
      <c r="C2047" s="1">
        <v>2020.0</v>
      </c>
      <c r="D2047" s="2">
        <v>44124.0</v>
      </c>
      <c r="F2047" s="1" t="s">
        <v>2982</v>
      </c>
      <c r="H2047" s="3">
        <v>2.0</v>
      </c>
      <c r="I2047" s="4" t="s">
        <v>8768</v>
      </c>
      <c r="J2047" s="1"/>
      <c r="K2047" s="1" t="s">
        <v>68</v>
      </c>
    </row>
    <row r="2048">
      <c r="A2048" s="1" t="s">
        <v>8769</v>
      </c>
      <c r="B2048" s="1" t="s">
        <v>8770</v>
      </c>
      <c r="C2048" s="1">
        <v>2020.0</v>
      </c>
      <c r="D2048" s="2">
        <v>44123.0</v>
      </c>
      <c r="F2048" s="1" t="s">
        <v>8771</v>
      </c>
      <c r="H2048" s="3">
        <v>6.0</v>
      </c>
      <c r="I2048" s="4" t="s">
        <v>8772</v>
      </c>
      <c r="J2048" s="1" t="s">
        <v>8773</v>
      </c>
      <c r="K2048" s="1" t="s">
        <v>28</v>
      </c>
    </row>
    <row r="2049">
      <c r="A2049" s="1" t="s">
        <v>8774</v>
      </c>
      <c r="B2049" s="1" t="s">
        <v>8775</v>
      </c>
      <c r="C2049" s="1">
        <v>2020.0</v>
      </c>
      <c r="D2049" s="2">
        <v>44123.0</v>
      </c>
      <c r="F2049" s="1" t="s">
        <v>2391</v>
      </c>
      <c r="H2049" s="3">
        <v>11.0</v>
      </c>
      <c r="I2049" s="4" t="s">
        <v>8776</v>
      </c>
      <c r="J2049" s="1" t="s">
        <v>8777</v>
      </c>
      <c r="K2049" s="1" t="s">
        <v>16</v>
      </c>
    </row>
    <row r="2050">
      <c r="A2050" s="1" t="s">
        <v>8778</v>
      </c>
      <c r="B2050" s="1" t="s">
        <v>8779</v>
      </c>
      <c r="C2050" s="1">
        <v>2020.0</v>
      </c>
      <c r="D2050" s="2">
        <v>44121.0</v>
      </c>
      <c r="F2050" s="1" t="s">
        <v>2707</v>
      </c>
      <c r="H2050" s="3">
        <v>15.0</v>
      </c>
      <c r="I2050" s="4" t="s">
        <v>8780</v>
      </c>
      <c r="J2050" s="1" t="s">
        <v>8781</v>
      </c>
      <c r="K2050" s="1" t="s">
        <v>16</v>
      </c>
    </row>
    <row r="2051">
      <c r="A2051" s="1" t="s">
        <v>8782</v>
      </c>
      <c r="B2051" s="1" t="s">
        <v>8783</v>
      </c>
      <c r="C2051" s="1">
        <v>2020.0</v>
      </c>
      <c r="D2051" s="2">
        <v>44121.0</v>
      </c>
      <c r="F2051" s="1" t="s">
        <v>1762</v>
      </c>
      <c r="H2051" s="3">
        <v>20.0</v>
      </c>
      <c r="I2051" s="4" t="s">
        <v>8784</v>
      </c>
      <c r="J2051" s="1" t="s">
        <v>8785</v>
      </c>
      <c r="K2051" s="1" t="s">
        <v>383</v>
      </c>
    </row>
    <row r="2052">
      <c r="A2052" s="1" t="s">
        <v>8786</v>
      </c>
      <c r="B2052" s="1" t="s">
        <v>8787</v>
      </c>
      <c r="C2052" s="1">
        <v>2020.0</v>
      </c>
      <c r="D2052" s="2">
        <v>44120.0</v>
      </c>
      <c r="F2052" s="1" t="s">
        <v>8788</v>
      </c>
      <c r="H2052" s="3">
        <v>9.0</v>
      </c>
      <c r="I2052" s="4" t="s">
        <v>8789</v>
      </c>
      <c r="J2052" s="1" t="s">
        <v>8790</v>
      </c>
      <c r="K2052" s="1" t="s">
        <v>418</v>
      </c>
    </row>
    <row r="2053">
      <c r="A2053" s="1" t="s">
        <v>8791</v>
      </c>
      <c r="B2053" s="1" t="s">
        <v>8792</v>
      </c>
      <c r="C2053" s="1">
        <v>2020.0</v>
      </c>
      <c r="D2053" s="2">
        <v>44120.0</v>
      </c>
      <c r="F2053" s="1" t="s">
        <v>31</v>
      </c>
      <c r="H2053" s="3">
        <v>66.0</v>
      </c>
      <c r="I2053" s="4" t="s">
        <v>8793</v>
      </c>
      <c r="J2053" s="1" t="s">
        <v>8794</v>
      </c>
      <c r="K2053" s="1" t="s">
        <v>16</v>
      </c>
    </row>
    <row r="2054">
      <c r="A2054" s="1" t="s">
        <v>8795</v>
      </c>
      <c r="B2054" s="1" t="s">
        <v>8796</v>
      </c>
      <c r="C2054" s="1">
        <v>2020.0</v>
      </c>
      <c r="D2054" s="2">
        <v>44120.0</v>
      </c>
      <c r="F2054" s="1" t="s">
        <v>489</v>
      </c>
      <c r="H2054" s="3">
        <v>8.0</v>
      </c>
      <c r="I2054" s="4" t="s">
        <v>8797</v>
      </c>
      <c r="J2054" s="1" t="s">
        <v>8798</v>
      </c>
      <c r="K2054" s="1" t="s">
        <v>16</v>
      </c>
    </row>
    <row r="2055">
      <c r="A2055" s="1" t="s">
        <v>8799</v>
      </c>
      <c r="B2055" s="1" t="s">
        <v>8800</v>
      </c>
      <c r="C2055" s="1">
        <v>2020.0</v>
      </c>
      <c r="D2055" s="2">
        <v>44120.0</v>
      </c>
      <c r="F2055" s="1" t="s">
        <v>2774</v>
      </c>
      <c r="H2055" s="3">
        <v>45.0</v>
      </c>
      <c r="I2055" s="4" t="s">
        <v>8801</v>
      </c>
      <c r="J2055" s="1" t="s">
        <v>8802</v>
      </c>
      <c r="K2055" s="1" t="s">
        <v>16</v>
      </c>
    </row>
    <row r="2056">
      <c r="A2056" s="1" t="s">
        <v>8803</v>
      </c>
      <c r="B2056" s="1" t="s">
        <v>8804</v>
      </c>
      <c r="C2056" s="1">
        <v>2020.0</v>
      </c>
      <c r="D2056" s="2">
        <v>44119.0</v>
      </c>
      <c r="F2056" s="1" t="s">
        <v>8805</v>
      </c>
      <c r="H2056" s="3">
        <v>9.0</v>
      </c>
      <c r="I2056" s="4" t="s">
        <v>8806</v>
      </c>
      <c r="J2056" s="1" t="s">
        <v>8807</v>
      </c>
      <c r="K2056" s="1" t="s">
        <v>45</v>
      </c>
    </row>
    <row r="2057">
      <c r="A2057" s="1" t="s">
        <v>8808</v>
      </c>
      <c r="B2057" s="1" t="s">
        <v>8809</v>
      </c>
      <c r="C2057" s="1">
        <v>2020.0</v>
      </c>
      <c r="D2057" s="2">
        <v>44117.0</v>
      </c>
      <c r="F2057" s="1" t="s">
        <v>410</v>
      </c>
      <c r="H2057" s="3">
        <v>9.0</v>
      </c>
      <c r="I2057" s="4" t="s">
        <v>8810</v>
      </c>
      <c r="J2057" s="1" t="s">
        <v>8811</v>
      </c>
      <c r="K2057" s="1" t="s">
        <v>317</v>
      </c>
    </row>
    <row r="2058">
      <c r="A2058" s="1" t="s">
        <v>8812</v>
      </c>
      <c r="B2058" s="1" t="s">
        <v>8813</v>
      </c>
      <c r="C2058" s="1">
        <v>2020.0</v>
      </c>
      <c r="D2058" s="2">
        <v>44117.0</v>
      </c>
      <c r="F2058" s="1" t="s">
        <v>5090</v>
      </c>
      <c r="H2058" s="3">
        <v>18.0</v>
      </c>
      <c r="I2058" s="4" t="s">
        <v>8814</v>
      </c>
      <c r="J2058" s="1" t="s">
        <v>8815</v>
      </c>
      <c r="K2058" s="1" t="s">
        <v>295</v>
      </c>
    </row>
    <row r="2059">
      <c r="A2059" s="1" t="s">
        <v>8816</v>
      </c>
      <c r="B2059" s="1" t="s">
        <v>8817</v>
      </c>
      <c r="C2059" s="1">
        <v>2020.0</v>
      </c>
      <c r="D2059" s="2">
        <v>44117.0</v>
      </c>
      <c r="F2059" s="1" t="s">
        <v>8818</v>
      </c>
      <c r="H2059" s="3">
        <v>24.0</v>
      </c>
      <c r="I2059" s="4" t="s">
        <v>8819</v>
      </c>
      <c r="J2059" s="1" t="s">
        <v>8820</v>
      </c>
      <c r="K2059" s="1" t="s">
        <v>16</v>
      </c>
    </row>
    <row r="2060">
      <c r="A2060" s="1" t="s">
        <v>8821</v>
      </c>
      <c r="B2060" s="1" t="s">
        <v>8822</v>
      </c>
      <c r="C2060" s="1">
        <v>2020.0</v>
      </c>
      <c r="D2060" s="2">
        <v>44115.0</v>
      </c>
      <c r="F2060" s="1" t="s">
        <v>689</v>
      </c>
      <c r="H2060" s="3">
        <v>62.0</v>
      </c>
      <c r="I2060" s="4" t="s">
        <v>8823</v>
      </c>
      <c r="J2060" s="1" t="s">
        <v>8824</v>
      </c>
      <c r="K2060" s="1" t="s">
        <v>16</v>
      </c>
    </row>
    <row r="2061">
      <c r="A2061" s="1" t="s">
        <v>8825</v>
      </c>
      <c r="B2061" s="1" t="s">
        <v>8826</v>
      </c>
      <c r="C2061" s="1">
        <v>2020.0</v>
      </c>
      <c r="D2061" s="2">
        <v>44112.0</v>
      </c>
      <c r="F2061" s="1" t="s">
        <v>1528</v>
      </c>
      <c r="H2061" s="3">
        <v>18.0</v>
      </c>
      <c r="I2061" s="4" t="s">
        <v>8827</v>
      </c>
      <c r="J2061" s="1" t="s">
        <v>8828</v>
      </c>
      <c r="K2061" s="1" t="s">
        <v>413</v>
      </c>
    </row>
    <row r="2062">
      <c r="A2062" s="1" t="s">
        <v>8829</v>
      </c>
      <c r="B2062" s="1" t="s">
        <v>8830</v>
      </c>
      <c r="C2062" s="1">
        <v>2020.0</v>
      </c>
      <c r="D2062" s="2">
        <v>44111.0</v>
      </c>
      <c r="F2062" s="1" t="s">
        <v>8302</v>
      </c>
      <c r="H2062" s="3">
        <v>27.0</v>
      </c>
      <c r="I2062" s="4" t="s">
        <v>8831</v>
      </c>
      <c r="J2062" s="1" t="s">
        <v>8832</v>
      </c>
      <c r="K2062" s="1" t="s">
        <v>1423</v>
      </c>
    </row>
    <row r="2063">
      <c r="A2063" s="1" t="s">
        <v>8833</v>
      </c>
      <c r="B2063" s="1" t="s">
        <v>8834</v>
      </c>
      <c r="C2063" s="1">
        <v>2020.0</v>
      </c>
      <c r="D2063" s="2">
        <v>44111.0</v>
      </c>
      <c r="F2063" s="1" t="s">
        <v>271</v>
      </c>
      <c r="H2063" s="3">
        <v>5.0</v>
      </c>
      <c r="I2063" s="4" t="s">
        <v>8835</v>
      </c>
      <c r="J2063" s="1" t="s">
        <v>8836</v>
      </c>
      <c r="K2063" s="1" t="s">
        <v>383</v>
      </c>
    </row>
    <row r="2064">
      <c r="A2064" s="1" t="s">
        <v>8837</v>
      </c>
      <c r="B2064" s="1" t="s">
        <v>8838</v>
      </c>
      <c r="C2064" s="1">
        <v>2020.0</v>
      </c>
      <c r="D2064" s="2">
        <v>44110.0</v>
      </c>
      <c r="F2064" s="1" t="s">
        <v>1505</v>
      </c>
      <c r="H2064" s="3">
        <v>605.0</v>
      </c>
      <c r="I2064" s="4" t="s">
        <v>8839</v>
      </c>
      <c r="J2064" s="1" t="s">
        <v>8840</v>
      </c>
      <c r="K2064" s="1" t="s">
        <v>329</v>
      </c>
    </row>
    <row r="2065">
      <c r="A2065" s="1" t="s">
        <v>8841</v>
      </c>
      <c r="B2065" s="1" t="s">
        <v>8842</v>
      </c>
      <c r="C2065" s="1">
        <v>2020.0</v>
      </c>
      <c r="D2065" s="2">
        <v>44110.0</v>
      </c>
      <c r="F2065" s="1" t="s">
        <v>8843</v>
      </c>
      <c r="H2065" s="3">
        <v>7.0</v>
      </c>
      <c r="I2065" s="4" t="s">
        <v>8844</v>
      </c>
      <c r="J2065" s="1" t="s">
        <v>8845</v>
      </c>
      <c r="K2065" s="1" t="s">
        <v>383</v>
      </c>
    </row>
    <row r="2066">
      <c r="A2066" s="1" t="s">
        <v>8846</v>
      </c>
      <c r="B2066" s="1" t="s">
        <v>8847</v>
      </c>
      <c r="C2066" s="1">
        <v>2020.0</v>
      </c>
      <c r="D2066" s="2">
        <v>44110.0</v>
      </c>
      <c r="F2066" s="1" t="s">
        <v>4063</v>
      </c>
      <c r="H2066" s="3">
        <v>14.0</v>
      </c>
      <c r="I2066" s="4" t="s">
        <v>8848</v>
      </c>
      <c r="J2066" s="1" t="s">
        <v>8849</v>
      </c>
      <c r="K2066" s="1" t="s">
        <v>323</v>
      </c>
    </row>
    <row r="2067">
      <c r="A2067" s="1" t="s">
        <v>8850</v>
      </c>
      <c r="B2067" s="1" t="s">
        <v>8851</v>
      </c>
      <c r="C2067" s="1">
        <v>2020.0</v>
      </c>
      <c r="D2067" s="2">
        <v>44110.0</v>
      </c>
      <c r="F2067" s="1" t="s">
        <v>681</v>
      </c>
      <c r="H2067" s="3">
        <v>2.0</v>
      </c>
      <c r="I2067" s="4" t="s">
        <v>8852</v>
      </c>
      <c r="J2067" s="1" t="s">
        <v>8853</v>
      </c>
      <c r="K2067" s="1" t="s">
        <v>295</v>
      </c>
    </row>
    <row r="2068">
      <c r="A2068" s="1" t="s">
        <v>8854</v>
      </c>
      <c r="B2068" s="1" t="s">
        <v>8855</v>
      </c>
      <c r="C2068" s="1">
        <v>2020.0</v>
      </c>
      <c r="D2068" s="2">
        <v>44110.0</v>
      </c>
      <c r="F2068" s="1" t="s">
        <v>8856</v>
      </c>
      <c r="H2068" s="3">
        <v>5.0</v>
      </c>
      <c r="I2068" s="4" t="s">
        <v>8857</v>
      </c>
      <c r="J2068" s="1" t="s">
        <v>8858</v>
      </c>
      <c r="K2068" s="1" t="s">
        <v>323</v>
      </c>
    </row>
    <row r="2069">
      <c r="A2069" s="1" t="s">
        <v>8859</v>
      </c>
      <c r="B2069" s="1" t="s">
        <v>8860</v>
      </c>
      <c r="C2069" s="1">
        <v>2020.0</v>
      </c>
      <c r="D2069" s="2">
        <v>44110.0</v>
      </c>
      <c r="F2069" s="1" t="s">
        <v>8861</v>
      </c>
      <c r="H2069" s="3">
        <v>2.0</v>
      </c>
      <c r="I2069" s="4" t="s">
        <v>8862</v>
      </c>
      <c r="J2069" s="1"/>
      <c r="K2069" s="1" t="s">
        <v>16</v>
      </c>
    </row>
    <row r="2070">
      <c r="A2070" s="1" t="s">
        <v>8863</v>
      </c>
      <c r="B2070" s="1" t="s">
        <v>8864</v>
      </c>
      <c r="C2070" s="1">
        <v>2020.0</v>
      </c>
      <c r="D2070" s="2">
        <v>44109.0</v>
      </c>
      <c r="F2070" s="1" t="s">
        <v>2480</v>
      </c>
      <c r="H2070" s="3">
        <v>3.0</v>
      </c>
      <c r="I2070" s="4" t="s">
        <v>8865</v>
      </c>
      <c r="J2070" s="1" t="s">
        <v>8866</v>
      </c>
      <c r="K2070" s="1" t="s">
        <v>383</v>
      </c>
    </row>
    <row r="2071">
      <c r="A2071" s="1" t="s">
        <v>8867</v>
      </c>
      <c r="B2071" s="1" t="s">
        <v>8868</v>
      </c>
      <c r="C2071" s="1">
        <v>2020.0</v>
      </c>
      <c r="D2071" s="2">
        <v>44108.0</v>
      </c>
      <c r="F2071" s="1" t="s">
        <v>2611</v>
      </c>
      <c r="H2071" s="3">
        <v>90.0</v>
      </c>
      <c r="I2071" s="4" t="s">
        <v>8869</v>
      </c>
      <c r="J2071" s="1" t="s">
        <v>8870</v>
      </c>
      <c r="K2071" s="1" t="s">
        <v>68</v>
      </c>
    </row>
    <row r="2072">
      <c r="A2072" s="1" t="s">
        <v>8871</v>
      </c>
      <c r="B2072" s="1" t="s">
        <v>8872</v>
      </c>
      <c r="C2072" s="1">
        <v>2020.0</v>
      </c>
      <c r="D2072" s="2">
        <v>44108.0</v>
      </c>
      <c r="F2072" s="1" t="s">
        <v>2666</v>
      </c>
      <c r="H2072" s="3">
        <v>7.0</v>
      </c>
      <c r="I2072" s="4" t="s">
        <v>8873</v>
      </c>
      <c r="J2072" s="1" t="s">
        <v>8874</v>
      </c>
      <c r="K2072" s="1" t="s">
        <v>383</v>
      </c>
    </row>
    <row r="2073">
      <c r="A2073" s="1" t="s">
        <v>8875</v>
      </c>
      <c r="B2073" s="1" t="s">
        <v>8876</v>
      </c>
      <c r="C2073" s="1">
        <v>2020.0</v>
      </c>
      <c r="D2073" s="2">
        <v>44107.0</v>
      </c>
      <c r="F2073" s="1" t="s">
        <v>3045</v>
      </c>
      <c r="H2073" s="3">
        <v>5.0</v>
      </c>
      <c r="I2073" s="4" t="s">
        <v>8877</v>
      </c>
      <c r="J2073" s="1" t="s">
        <v>8878</v>
      </c>
      <c r="K2073" s="1" t="s">
        <v>68</v>
      </c>
    </row>
    <row r="2074">
      <c r="A2074" s="1" t="s">
        <v>8879</v>
      </c>
      <c r="B2074" s="1" t="s">
        <v>8880</v>
      </c>
      <c r="C2074" s="1">
        <v>2020.0</v>
      </c>
      <c r="D2074" s="2">
        <v>44106.0</v>
      </c>
      <c r="F2074" s="1" t="s">
        <v>3463</v>
      </c>
      <c r="H2074" s="3">
        <v>17.0</v>
      </c>
      <c r="I2074" s="4" t="s">
        <v>8881</v>
      </c>
      <c r="J2074" s="1" t="s">
        <v>8882</v>
      </c>
      <c r="K2074" s="1" t="s">
        <v>28</v>
      </c>
    </row>
    <row r="2075">
      <c r="A2075" s="1" t="s">
        <v>8883</v>
      </c>
      <c r="B2075" s="1" t="s">
        <v>8884</v>
      </c>
      <c r="C2075" s="1">
        <v>2020.0</v>
      </c>
      <c r="D2075" s="2">
        <v>44105.0</v>
      </c>
      <c r="F2075" s="1" t="s">
        <v>1410</v>
      </c>
      <c r="H2075" s="3">
        <v>7.0</v>
      </c>
      <c r="I2075" s="4" t="s">
        <v>8885</v>
      </c>
      <c r="J2075" s="1" t="s">
        <v>8886</v>
      </c>
      <c r="K2075" s="1" t="s">
        <v>403</v>
      </c>
    </row>
    <row r="2076">
      <c r="A2076" s="1" t="s">
        <v>8887</v>
      </c>
      <c r="B2076" s="1" t="s">
        <v>8888</v>
      </c>
      <c r="C2076" s="1">
        <v>2020.0</v>
      </c>
      <c r="D2076" s="2">
        <v>44105.0</v>
      </c>
      <c r="F2076" s="1" t="s">
        <v>1514</v>
      </c>
      <c r="H2076" s="3">
        <v>27.0</v>
      </c>
      <c r="I2076" s="4" t="s">
        <v>8889</v>
      </c>
      <c r="J2076" s="1" t="s">
        <v>8890</v>
      </c>
      <c r="K2076" s="1" t="s">
        <v>413</v>
      </c>
    </row>
    <row r="2077">
      <c r="A2077" s="1" t="s">
        <v>8891</v>
      </c>
      <c r="B2077" s="1" t="s">
        <v>8892</v>
      </c>
      <c r="C2077" s="1">
        <v>2020.0</v>
      </c>
      <c r="D2077" s="2">
        <v>44105.0</v>
      </c>
      <c r="F2077" s="1" t="s">
        <v>1128</v>
      </c>
      <c r="H2077" s="3">
        <v>1.0</v>
      </c>
      <c r="I2077" s="4" t="s">
        <v>8893</v>
      </c>
      <c r="J2077" s="1" t="s">
        <v>8894</v>
      </c>
      <c r="K2077" s="1" t="s">
        <v>413</v>
      </c>
    </row>
    <row r="2078">
      <c r="A2078" s="1" t="s">
        <v>8895</v>
      </c>
      <c r="B2078" s="1" t="s">
        <v>8896</v>
      </c>
      <c r="C2078" s="1">
        <v>2020.0</v>
      </c>
      <c r="D2078" s="2">
        <v>44105.0</v>
      </c>
      <c r="F2078" s="1" t="s">
        <v>3530</v>
      </c>
      <c r="H2078" s="3">
        <v>14.0</v>
      </c>
      <c r="I2078" s="4" t="s">
        <v>8897</v>
      </c>
      <c r="J2078" s="1" t="s">
        <v>8898</v>
      </c>
      <c r="K2078" s="1" t="s">
        <v>443</v>
      </c>
    </row>
    <row r="2079">
      <c r="A2079" s="1" t="s">
        <v>8899</v>
      </c>
      <c r="B2079" s="1" t="s">
        <v>8900</v>
      </c>
      <c r="C2079" s="1">
        <v>2020.0</v>
      </c>
      <c r="D2079" s="2">
        <v>44104.0</v>
      </c>
      <c r="F2079" s="1" t="s">
        <v>8901</v>
      </c>
      <c r="H2079" s="3">
        <v>18.0</v>
      </c>
      <c r="I2079" s="4" t="s">
        <v>8902</v>
      </c>
      <c r="J2079" s="1" t="s">
        <v>8903</v>
      </c>
      <c r="K2079" s="1" t="s">
        <v>571</v>
      </c>
    </row>
    <row r="2080">
      <c r="A2080" s="1" t="s">
        <v>8904</v>
      </c>
      <c r="B2080" s="1" t="s">
        <v>8905</v>
      </c>
      <c r="C2080" s="1">
        <v>2020.0</v>
      </c>
      <c r="D2080" s="2">
        <v>44100.0</v>
      </c>
      <c r="F2080" s="1" t="s">
        <v>1982</v>
      </c>
      <c r="H2080" s="3">
        <v>28.0</v>
      </c>
      <c r="I2080" s="4" t="s">
        <v>8906</v>
      </c>
      <c r="J2080" s="1" t="s">
        <v>8907</v>
      </c>
      <c r="K2080" s="1" t="s">
        <v>16</v>
      </c>
    </row>
    <row r="2081">
      <c r="A2081" s="1" t="s">
        <v>8908</v>
      </c>
      <c r="B2081" s="1" t="s">
        <v>8909</v>
      </c>
      <c r="C2081" s="1">
        <v>2020.0</v>
      </c>
      <c r="D2081" s="2">
        <v>44099.0</v>
      </c>
      <c r="F2081" s="1" t="s">
        <v>2634</v>
      </c>
      <c r="H2081" s="3">
        <v>10.0</v>
      </c>
      <c r="I2081" s="4" t="s">
        <v>8910</v>
      </c>
      <c r="J2081" s="1" t="s">
        <v>8911</v>
      </c>
      <c r="K2081" s="1" t="s">
        <v>295</v>
      </c>
    </row>
    <row r="2082">
      <c r="A2082" s="1" t="s">
        <v>8912</v>
      </c>
      <c r="B2082" s="1" t="s">
        <v>7911</v>
      </c>
      <c r="C2082" s="1">
        <v>2020.0</v>
      </c>
      <c r="D2082" s="2">
        <v>44099.0</v>
      </c>
      <c r="F2082" s="1" t="s">
        <v>157</v>
      </c>
      <c r="H2082" s="3">
        <v>49.0</v>
      </c>
      <c r="I2082" s="4" t="s">
        <v>8913</v>
      </c>
      <c r="J2082" s="1" t="s">
        <v>8914</v>
      </c>
      <c r="K2082" s="1" t="s">
        <v>546</v>
      </c>
    </row>
    <row r="2083">
      <c r="A2083" s="1" t="s">
        <v>8915</v>
      </c>
      <c r="B2083" s="1" t="s">
        <v>8916</v>
      </c>
      <c r="C2083" s="1">
        <v>2020.0</v>
      </c>
      <c r="D2083" s="2">
        <v>44099.0</v>
      </c>
      <c r="F2083" s="1" t="s">
        <v>308</v>
      </c>
      <c r="H2083" s="3">
        <v>1.0</v>
      </c>
      <c r="I2083" s="4" t="s">
        <v>8917</v>
      </c>
      <c r="J2083" s="1" t="s">
        <v>8918</v>
      </c>
      <c r="K2083" s="1" t="s">
        <v>295</v>
      </c>
    </row>
    <row r="2084">
      <c r="A2084" s="1" t="s">
        <v>8919</v>
      </c>
      <c r="B2084" s="1" t="s">
        <v>8920</v>
      </c>
      <c r="C2084" s="1">
        <v>2020.0</v>
      </c>
      <c r="D2084" s="2">
        <v>44099.0</v>
      </c>
      <c r="F2084" s="1" t="s">
        <v>5686</v>
      </c>
      <c r="H2084" s="3">
        <v>11.0</v>
      </c>
      <c r="I2084" s="4" t="s">
        <v>8921</v>
      </c>
      <c r="J2084" s="1" t="s">
        <v>8922</v>
      </c>
      <c r="K2084" s="1" t="s">
        <v>16</v>
      </c>
    </row>
    <row r="2085">
      <c r="A2085" s="1" t="s">
        <v>8923</v>
      </c>
      <c r="B2085" s="1" t="s">
        <v>8924</v>
      </c>
      <c r="C2085" s="1">
        <v>2020.0</v>
      </c>
      <c r="D2085" s="2">
        <v>44098.0</v>
      </c>
      <c r="F2085" s="1" t="s">
        <v>1050</v>
      </c>
      <c r="H2085" s="3">
        <v>0.0</v>
      </c>
      <c r="I2085" s="4" t="s">
        <v>8925</v>
      </c>
      <c r="J2085" s="1" t="s">
        <v>8926</v>
      </c>
      <c r="K2085" s="1" t="s">
        <v>68</v>
      </c>
    </row>
    <row r="2086">
      <c r="A2086" s="1" t="s">
        <v>8927</v>
      </c>
      <c r="B2086" s="1" t="s">
        <v>8928</v>
      </c>
      <c r="C2086" s="1">
        <v>2020.0</v>
      </c>
      <c r="D2086" s="2">
        <v>44096.0</v>
      </c>
      <c r="F2086" s="1" t="s">
        <v>8929</v>
      </c>
      <c r="H2086" s="3">
        <v>3.0</v>
      </c>
      <c r="I2086" s="4" t="s">
        <v>8930</v>
      </c>
      <c r="J2086" s="1" t="s">
        <v>8931</v>
      </c>
      <c r="K2086" s="1" t="s">
        <v>323</v>
      </c>
    </row>
    <row r="2087">
      <c r="A2087" s="1" t="s">
        <v>8932</v>
      </c>
      <c r="B2087" s="1" t="s">
        <v>8933</v>
      </c>
      <c r="C2087" s="1">
        <v>2020.0</v>
      </c>
      <c r="D2087" s="2">
        <v>44096.0</v>
      </c>
      <c r="F2087" s="1" t="s">
        <v>2352</v>
      </c>
      <c r="H2087" s="3">
        <v>15.0</v>
      </c>
      <c r="I2087" s="4" t="s">
        <v>8934</v>
      </c>
      <c r="J2087" s="1"/>
      <c r="K2087" s="1" t="s">
        <v>28</v>
      </c>
    </row>
    <row r="2088">
      <c r="A2088" s="1" t="s">
        <v>8935</v>
      </c>
      <c r="B2088" s="1" t="s">
        <v>8197</v>
      </c>
      <c r="C2088" s="1">
        <v>2020.0</v>
      </c>
      <c r="D2088" s="2">
        <v>44096.0</v>
      </c>
      <c r="F2088" s="1" t="s">
        <v>1358</v>
      </c>
      <c r="H2088" s="3">
        <v>12.0</v>
      </c>
      <c r="I2088" s="4" t="s">
        <v>8936</v>
      </c>
      <c r="J2088" s="1" t="s">
        <v>8937</v>
      </c>
      <c r="K2088" s="1" t="s">
        <v>295</v>
      </c>
    </row>
    <row r="2089">
      <c r="A2089" s="1" t="s">
        <v>8938</v>
      </c>
      <c r="B2089" s="1" t="s">
        <v>8939</v>
      </c>
      <c r="C2089" s="1">
        <v>2020.0</v>
      </c>
      <c r="D2089" s="2">
        <v>44095.0</v>
      </c>
      <c r="F2089" s="1" t="s">
        <v>2007</v>
      </c>
      <c r="H2089" s="3">
        <v>49.0</v>
      </c>
      <c r="I2089" s="4" t="s">
        <v>8940</v>
      </c>
      <c r="J2089" s="1" t="s">
        <v>8941</v>
      </c>
      <c r="K2089" s="1" t="s">
        <v>16</v>
      </c>
    </row>
    <row r="2090">
      <c r="A2090" s="1" t="s">
        <v>8942</v>
      </c>
      <c r="B2090" s="1" t="s">
        <v>8943</v>
      </c>
      <c r="C2090" s="1">
        <v>2020.0</v>
      </c>
      <c r="D2090" s="2">
        <v>44095.0</v>
      </c>
      <c r="F2090" s="1" t="s">
        <v>2119</v>
      </c>
      <c r="H2090" s="3">
        <v>3.0</v>
      </c>
      <c r="I2090" s="4" t="s">
        <v>8944</v>
      </c>
      <c r="J2090" s="1" t="s">
        <v>8945</v>
      </c>
      <c r="K2090" s="1" t="s">
        <v>16</v>
      </c>
    </row>
    <row r="2091">
      <c r="A2091" s="1" t="s">
        <v>8946</v>
      </c>
      <c r="B2091" s="1" t="s">
        <v>8947</v>
      </c>
      <c r="C2091" s="1">
        <v>2020.0</v>
      </c>
      <c r="D2091" s="2">
        <v>44093.0</v>
      </c>
      <c r="F2091" s="1" t="s">
        <v>8948</v>
      </c>
      <c r="H2091" s="3">
        <v>18.0</v>
      </c>
      <c r="I2091" s="4" t="s">
        <v>8949</v>
      </c>
      <c r="J2091" s="1" t="s">
        <v>8950</v>
      </c>
      <c r="K2091" s="1" t="s">
        <v>295</v>
      </c>
    </row>
    <row r="2092">
      <c r="A2092" s="1" t="s">
        <v>8951</v>
      </c>
      <c r="B2092" s="1" t="s">
        <v>8952</v>
      </c>
      <c r="C2092" s="1">
        <v>2020.0</v>
      </c>
      <c r="D2092" s="2">
        <v>44093.0</v>
      </c>
      <c r="F2092" s="1" t="s">
        <v>882</v>
      </c>
      <c r="H2092" s="3">
        <v>1.0</v>
      </c>
      <c r="I2092" s="4" t="s">
        <v>8953</v>
      </c>
      <c r="J2092" s="1"/>
      <c r="K2092" s="1" t="s">
        <v>295</v>
      </c>
    </row>
    <row r="2093">
      <c r="A2093" s="1" t="s">
        <v>8954</v>
      </c>
      <c r="B2093" s="1" t="s">
        <v>8955</v>
      </c>
      <c r="C2093" s="1">
        <v>2020.0</v>
      </c>
      <c r="D2093" s="2">
        <v>44092.0</v>
      </c>
      <c r="F2093" s="1" t="s">
        <v>271</v>
      </c>
      <c r="H2093" s="3">
        <v>45.0</v>
      </c>
      <c r="I2093" s="4" t="s">
        <v>8956</v>
      </c>
      <c r="J2093" s="1" t="s">
        <v>8957</v>
      </c>
      <c r="K2093" s="1" t="s">
        <v>28</v>
      </c>
    </row>
    <row r="2094">
      <c r="A2094" s="1" t="s">
        <v>8958</v>
      </c>
      <c r="B2094" s="1" t="s">
        <v>8959</v>
      </c>
      <c r="C2094" s="1">
        <v>2020.0</v>
      </c>
      <c r="D2094" s="2">
        <v>44091.0</v>
      </c>
      <c r="F2094" s="1" t="s">
        <v>3207</v>
      </c>
      <c r="H2094" s="3">
        <v>13.0</v>
      </c>
      <c r="I2094" s="4" t="s">
        <v>8960</v>
      </c>
      <c r="J2094" s="1" t="s">
        <v>8961</v>
      </c>
      <c r="K2094" s="1" t="s">
        <v>926</v>
      </c>
    </row>
    <row r="2095">
      <c r="A2095" s="1" t="s">
        <v>8962</v>
      </c>
      <c r="B2095" s="1" t="s">
        <v>4442</v>
      </c>
      <c r="C2095" s="1">
        <v>2020.0</v>
      </c>
      <c r="D2095" s="2">
        <v>44091.0</v>
      </c>
      <c r="F2095" s="1" t="s">
        <v>558</v>
      </c>
      <c r="H2095" s="3">
        <v>3.0</v>
      </c>
      <c r="I2095" s="4" t="s">
        <v>8963</v>
      </c>
      <c r="J2095" s="1" t="s">
        <v>8964</v>
      </c>
      <c r="K2095" s="1" t="s">
        <v>323</v>
      </c>
    </row>
    <row r="2096">
      <c r="A2096" s="1" t="s">
        <v>8965</v>
      </c>
      <c r="B2096" s="1" t="s">
        <v>8966</v>
      </c>
      <c r="C2096" s="1">
        <v>2020.0</v>
      </c>
      <c r="D2096" s="2">
        <v>44091.0</v>
      </c>
      <c r="F2096" s="1" t="s">
        <v>1777</v>
      </c>
      <c r="H2096" s="3">
        <v>3.0</v>
      </c>
      <c r="I2096" s="4" t="s">
        <v>8967</v>
      </c>
      <c r="J2096" s="1" t="s">
        <v>8968</v>
      </c>
      <c r="K2096" s="1" t="s">
        <v>16</v>
      </c>
    </row>
    <row r="2097">
      <c r="A2097" s="1" t="s">
        <v>8969</v>
      </c>
      <c r="B2097" s="1" t="s">
        <v>8970</v>
      </c>
      <c r="C2097" s="1">
        <v>2020.0</v>
      </c>
      <c r="D2097" s="2">
        <v>44091.0</v>
      </c>
      <c r="F2097" s="1" t="s">
        <v>4634</v>
      </c>
      <c r="H2097" s="3">
        <v>44.0</v>
      </c>
      <c r="I2097" s="4" t="s">
        <v>8971</v>
      </c>
      <c r="J2097" s="1" t="s">
        <v>8972</v>
      </c>
      <c r="K2097" s="1" t="s">
        <v>383</v>
      </c>
    </row>
    <row r="2098">
      <c r="A2098" s="1" t="s">
        <v>8973</v>
      </c>
      <c r="B2098" s="1" t="s">
        <v>8974</v>
      </c>
      <c r="C2098" s="1">
        <v>2020.0</v>
      </c>
      <c r="D2098" s="2">
        <v>44090.0</v>
      </c>
      <c r="F2098" s="1" t="s">
        <v>8975</v>
      </c>
      <c r="H2098" s="3">
        <v>9.0</v>
      </c>
      <c r="I2098" s="4" t="s">
        <v>8976</v>
      </c>
      <c r="J2098" s="1" t="s">
        <v>8977</v>
      </c>
      <c r="K2098" s="1" t="s">
        <v>68</v>
      </c>
    </row>
    <row r="2099">
      <c r="A2099" s="1" t="s">
        <v>8978</v>
      </c>
      <c r="B2099" s="1" t="s">
        <v>8979</v>
      </c>
      <c r="C2099" s="1">
        <v>2020.0</v>
      </c>
      <c r="D2099" s="2">
        <v>44090.0</v>
      </c>
      <c r="F2099" s="1" t="s">
        <v>396</v>
      </c>
      <c r="H2099" s="3">
        <v>51.0</v>
      </c>
      <c r="I2099" s="4" t="s">
        <v>8980</v>
      </c>
      <c r="J2099" s="1" t="s">
        <v>8981</v>
      </c>
      <c r="K2099" s="1" t="s">
        <v>443</v>
      </c>
    </row>
    <row r="2100">
      <c r="A2100" s="1" t="s">
        <v>8982</v>
      </c>
      <c r="B2100" s="1" t="s">
        <v>8983</v>
      </c>
      <c r="C2100" s="1">
        <v>2020.0</v>
      </c>
      <c r="D2100" s="2">
        <v>44089.0</v>
      </c>
      <c r="F2100" s="1" t="s">
        <v>8984</v>
      </c>
      <c r="H2100" s="3">
        <v>1.0</v>
      </c>
      <c r="I2100" s="4" t="s">
        <v>8985</v>
      </c>
      <c r="J2100" s="1" t="s">
        <v>8986</v>
      </c>
      <c r="K2100" s="1" t="s">
        <v>45</v>
      </c>
    </row>
    <row r="2101">
      <c r="A2101" s="1" t="s">
        <v>8987</v>
      </c>
      <c r="B2101" s="1" t="s">
        <v>8988</v>
      </c>
      <c r="C2101" s="1">
        <v>2020.0</v>
      </c>
      <c r="D2101" s="2">
        <v>44089.0</v>
      </c>
      <c r="F2101" s="1" t="s">
        <v>1505</v>
      </c>
      <c r="H2101" s="3">
        <v>19.0</v>
      </c>
      <c r="I2101" s="4" t="s">
        <v>8989</v>
      </c>
      <c r="J2101" s="1" t="s">
        <v>8990</v>
      </c>
      <c r="K2101" s="1" t="s">
        <v>323</v>
      </c>
    </row>
    <row r="2102">
      <c r="A2102" s="1" t="s">
        <v>8991</v>
      </c>
      <c r="B2102" s="1" t="s">
        <v>8992</v>
      </c>
      <c r="C2102" s="1">
        <v>2020.0</v>
      </c>
      <c r="D2102" s="2">
        <v>44088.0</v>
      </c>
      <c r="F2102" s="1" t="s">
        <v>8993</v>
      </c>
      <c r="H2102" s="3">
        <v>1.0</v>
      </c>
      <c r="I2102" s="4" t="s">
        <v>8994</v>
      </c>
      <c r="J2102" s="1" t="s">
        <v>8995</v>
      </c>
      <c r="K2102" s="1" t="s">
        <v>16</v>
      </c>
    </row>
    <row r="2103">
      <c r="A2103" s="1" t="s">
        <v>8996</v>
      </c>
      <c r="B2103" s="1" t="s">
        <v>8997</v>
      </c>
      <c r="C2103" s="1">
        <v>2020.0</v>
      </c>
      <c r="D2103" s="2">
        <v>44085.0</v>
      </c>
      <c r="F2103" s="1" t="s">
        <v>1074</v>
      </c>
      <c r="H2103" s="3">
        <v>3.0</v>
      </c>
      <c r="I2103" s="4" t="s">
        <v>8998</v>
      </c>
      <c r="J2103" s="1" t="s">
        <v>8999</v>
      </c>
      <c r="K2103" s="1" t="s">
        <v>16</v>
      </c>
    </row>
    <row r="2104">
      <c r="A2104" s="1" t="s">
        <v>9000</v>
      </c>
      <c r="B2104" s="1" t="s">
        <v>9001</v>
      </c>
      <c r="C2104" s="1">
        <v>2020.0</v>
      </c>
      <c r="D2104" s="2">
        <v>44084.0</v>
      </c>
      <c r="F2104" s="1" t="s">
        <v>4197</v>
      </c>
      <c r="H2104" s="3">
        <v>16.0</v>
      </c>
      <c r="I2104" s="4" t="s">
        <v>9002</v>
      </c>
      <c r="J2104" s="1" t="s">
        <v>9003</v>
      </c>
      <c r="K2104" s="1" t="s">
        <v>45</v>
      </c>
    </row>
    <row r="2105">
      <c r="A2105" s="1" t="s">
        <v>9004</v>
      </c>
      <c r="B2105" s="1" t="s">
        <v>9005</v>
      </c>
      <c r="C2105" s="1">
        <v>2020.0</v>
      </c>
      <c r="D2105" s="2">
        <v>44084.0</v>
      </c>
      <c r="F2105" s="1" t="s">
        <v>9006</v>
      </c>
      <c r="H2105" s="3">
        <v>7.0</v>
      </c>
      <c r="I2105" s="4" t="s">
        <v>9007</v>
      </c>
      <c r="J2105" s="1" t="s">
        <v>9008</v>
      </c>
      <c r="K2105" s="1" t="s">
        <v>68</v>
      </c>
    </row>
    <row r="2106">
      <c r="A2106" s="1" t="s">
        <v>9009</v>
      </c>
      <c r="B2106" s="1" t="s">
        <v>9010</v>
      </c>
      <c r="C2106" s="1">
        <v>2020.0</v>
      </c>
      <c r="D2106" s="2">
        <v>44081.0</v>
      </c>
      <c r="F2106" s="1" t="s">
        <v>5144</v>
      </c>
      <c r="H2106" s="3">
        <v>23.0</v>
      </c>
      <c r="I2106" s="4" t="s">
        <v>9011</v>
      </c>
      <c r="J2106" s="1" t="s">
        <v>9012</v>
      </c>
      <c r="K2106" s="1" t="s">
        <v>16</v>
      </c>
    </row>
    <row r="2107">
      <c r="A2107" s="1" t="s">
        <v>9013</v>
      </c>
      <c r="B2107" s="1" t="s">
        <v>7618</v>
      </c>
      <c r="C2107" s="1">
        <v>2020.0</v>
      </c>
      <c r="D2107" s="2">
        <v>44081.0</v>
      </c>
      <c r="F2107" s="1" t="s">
        <v>2540</v>
      </c>
      <c r="H2107" s="3">
        <v>106.0</v>
      </c>
      <c r="I2107" s="4" t="s">
        <v>9014</v>
      </c>
      <c r="J2107" s="1" t="s">
        <v>9015</v>
      </c>
      <c r="K2107" s="1" t="s">
        <v>16</v>
      </c>
    </row>
    <row r="2108">
      <c r="A2108" s="1" t="s">
        <v>9016</v>
      </c>
      <c r="B2108" s="1" t="s">
        <v>9017</v>
      </c>
      <c r="C2108" s="1">
        <v>2020.0</v>
      </c>
      <c r="D2108" s="2">
        <v>44081.0</v>
      </c>
      <c r="F2108" s="1" t="s">
        <v>9018</v>
      </c>
      <c r="H2108" s="3">
        <v>4.0</v>
      </c>
      <c r="I2108" s="4" t="s">
        <v>9019</v>
      </c>
      <c r="J2108" s="1" t="s">
        <v>9020</v>
      </c>
      <c r="K2108" s="1" t="s">
        <v>16</v>
      </c>
    </row>
    <row r="2109">
      <c r="A2109" s="1" t="s">
        <v>9021</v>
      </c>
      <c r="B2109" s="1" t="s">
        <v>9022</v>
      </c>
      <c r="C2109" s="1">
        <v>2020.0</v>
      </c>
      <c r="D2109" s="2">
        <v>44078.0</v>
      </c>
      <c r="F2109" s="1" t="s">
        <v>1123</v>
      </c>
      <c r="H2109" s="3">
        <v>13.0</v>
      </c>
      <c r="I2109" s="4" t="s">
        <v>9023</v>
      </c>
      <c r="J2109" s="1" t="s">
        <v>9024</v>
      </c>
      <c r="K2109" s="1" t="s">
        <v>443</v>
      </c>
    </row>
    <row r="2110">
      <c r="A2110" s="1" t="s">
        <v>9025</v>
      </c>
      <c r="B2110" s="1" t="s">
        <v>9026</v>
      </c>
      <c r="C2110" s="1">
        <v>2020.0</v>
      </c>
      <c r="D2110" s="2">
        <v>44078.0</v>
      </c>
      <c r="F2110" s="1" t="s">
        <v>489</v>
      </c>
      <c r="H2110" s="3">
        <v>20.0</v>
      </c>
      <c r="I2110" s="4" t="s">
        <v>9027</v>
      </c>
      <c r="J2110" s="1" t="s">
        <v>9028</v>
      </c>
      <c r="K2110" s="1" t="s">
        <v>16</v>
      </c>
    </row>
    <row r="2111">
      <c r="A2111" s="1" t="s">
        <v>9029</v>
      </c>
      <c r="B2111" s="1" t="s">
        <v>9030</v>
      </c>
      <c r="C2111" s="1">
        <v>2020.0</v>
      </c>
      <c r="D2111" s="2">
        <v>44077.0</v>
      </c>
      <c r="F2111" s="1" t="s">
        <v>86</v>
      </c>
      <c r="H2111" s="3">
        <v>85.0</v>
      </c>
      <c r="I2111" s="4" t="s">
        <v>9031</v>
      </c>
      <c r="J2111" s="1" t="s">
        <v>9032</v>
      </c>
      <c r="K2111" s="1" t="s">
        <v>383</v>
      </c>
    </row>
    <row r="2112">
      <c r="A2112" s="1" t="s">
        <v>9033</v>
      </c>
      <c r="B2112" s="1" t="s">
        <v>9034</v>
      </c>
      <c r="C2112" s="1">
        <v>2020.0</v>
      </c>
      <c r="D2112" s="2">
        <v>44077.0</v>
      </c>
      <c r="F2112" s="1" t="s">
        <v>375</v>
      </c>
      <c r="H2112" s="3">
        <v>16.0</v>
      </c>
      <c r="I2112" s="4" t="s">
        <v>9035</v>
      </c>
      <c r="J2112" s="1" t="s">
        <v>9036</v>
      </c>
      <c r="K2112" s="1" t="s">
        <v>323</v>
      </c>
    </row>
    <row r="2113">
      <c r="A2113" s="1" t="s">
        <v>9037</v>
      </c>
      <c r="B2113" s="1" t="s">
        <v>9038</v>
      </c>
      <c r="C2113" s="1">
        <v>2020.0</v>
      </c>
      <c r="D2113" s="2">
        <v>44077.0</v>
      </c>
      <c r="F2113" s="1" t="s">
        <v>1277</v>
      </c>
      <c r="H2113" s="3">
        <v>17.0</v>
      </c>
      <c r="I2113" s="4" t="s">
        <v>9039</v>
      </c>
      <c r="J2113" s="1" t="s">
        <v>9040</v>
      </c>
      <c r="K2113" s="1" t="s">
        <v>413</v>
      </c>
    </row>
    <row r="2114">
      <c r="A2114" s="1" t="s">
        <v>9041</v>
      </c>
      <c r="B2114" s="1" t="s">
        <v>9042</v>
      </c>
      <c r="C2114" s="1">
        <v>2020.0</v>
      </c>
      <c r="D2114" s="2">
        <v>44076.0</v>
      </c>
      <c r="F2114" s="1" t="s">
        <v>5758</v>
      </c>
      <c r="H2114" s="3">
        <v>15.0</v>
      </c>
      <c r="I2114" s="4" t="s">
        <v>9043</v>
      </c>
      <c r="J2114" s="1" t="s">
        <v>9044</v>
      </c>
      <c r="K2114" s="1" t="s">
        <v>443</v>
      </c>
    </row>
    <row r="2115">
      <c r="A2115" s="1" t="s">
        <v>9045</v>
      </c>
      <c r="B2115" s="1" t="s">
        <v>9046</v>
      </c>
      <c r="C2115" s="1">
        <v>2020.0</v>
      </c>
      <c r="D2115" s="2">
        <v>44076.0</v>
      </c>
      <c r="F2115" s="1" t="s">
        <v>2228</v>
      </c>
      <c r="H2115" s="3">
        <v>12.0</v>
      </c>
      <c r="I2115" s="4" t="s">
        <v>9047</v>
      </c>
      <c r="J2115" s="1" t="s">
        <v>9048</v>
      </c>
      <c r="K2115" s="1" t="s">
        <v>383</v>
      </c>
    </row>
    <row r="2116">
      <c r="A2116" s="1" t="s">
        <v>9049</v>
      </c>
      <c r="B2116" s="1" t="s">
        <v>9050</v>
      </c>
      <c r="C2116" s="1">
        <v>2020.0</v>
      </c>
      <c r="D2116" s="2">
        <v>44076.0</v>
      </c>
      <c r="F2116" s="1" t="s">
        <v>4262</v>
      </c>
      <c r="H2116" s="3">
        <v>20.0</v>
      </c>
      <c r="I2116" s="4" t="s">
        <v>9051</v>
      </c>
      <c r="J2116" s="1" t="s">
        <v>9052</v>
      </c>
      <c r="K2116" s="1" t="s">
        <v>16</v>
      </c>
    </row>
    <row r="2117">
      <c r="A2117" s="1" t="s">
        <v>9053</v>
      </c>
      <c r="B2117" s="1" t="s">
        <v>9054</v>
      </c>
      <c r="C2117" s="1">
        <v>2020.0</v>
      </c>
      <c r="D2117" s="2">
        <v>44075.0</v>
      </c>
      <c r="F2117" s="1" t="s">
        <v>726</v>
      </c>
      <c r="H2117" s="3">
        <v>23.0</v>
      </c>
      <c r="I2117" s="4" t="s">
        <v>9055</v>
      </c>
      <c r="J2117" s="1" t="s">
        <v>9056</v>
      </c>
      <c r="K2117" s="1" t="s">
        <v>28</v>
      </c>
    </row>
    <row r="2118">
      <c r="A2118" s="1" t="s">
        <v>9057</v>
      </c>
      <c r="B2118" s="1" t="s">
        <v>9058</v>
      </c>
      <c r="C2118" s="1">
        <v>2020.0</v>
      </c>
      <c r="D2118" s="2">
        <v>44075.0</v>
      </c>
      <c r="F2118" s="1" t="s">
        <v>7024</v>
      </c>
      <c r="H2118" s="3">
        <v>1.0</v>
      </c>
      <c r="I2118" s="4" t="s">
        <v>9059</v>
      </c>
      <c r="J2118" s="1" t="s">
        <v>9060</v>
      </c>
      <c r="K2118" s="1" t="s">
        <v>295</v>
      </c>
    </row>
    <row r="2119">
      <c r="A2119" s="1" t="s">
        <v>9061</v>
      </c>
      <c r="B2119" s="1" t="s">
        <v>9062</v>
      </c>
      <c r="C2119" s="1">
        <v>2020.0</v>
      </c>
      <c r="D2119" s="2">
        <v>44075.0</v>
      </c>
      <c r="F2119" s="1" t="s">
        <v>1277</v>
      </c>
      <c r="H2119" s="3">
        <v>5.0</v>
      </c>
      <c r="I2119" s="4" t="s">
        <v>9063</v>
      </c>
      <c r="J2119" s="1" t="s">
        <v>9064</v>
      </c>
      <c r="K2119" s="1" t="s">
        <v>28</v>
      </c>
    </row>
    <row r="2120">
      <c r="A2120" s="1" t="s">
        <v>9065</v>
      </c>
      <c r="B2120" s="1" t="s">
        <v>9066</v>
      </c>
      <c r="C2120" s="1">
        <v>2020.0</v>
      </c>
      <c r="D2120" s="2">
        <v>44075.0</v>
      </c>
      <c r="F2120" s="1" t="s">
        <v>142</v>
      </c>
      <c r="H2120" s="3">
        <v>28.0</v>
      </c>
      <c r="I2120" s="4" t="s">
        <v>9067</v>
      </c>
      <c r="J2120" s="1" t="s">
        <v>9068</v>
      </c>
      <c r="K2120" s="1" t="s">
        <v>16</v>
      </c>
    </row>
    <row r="2121">
      <c r="A2121" s="1" t="s">
        <v>9069</v>
      </c>
      <c r="B2121" s="1" t="s">
        <v>9070</v>
      </c>
      <c r="C2121" s="1">
        <v>2020.0</v>
      </c>
      <c r="D2121" s="2">
        <v>44075.0</v>
      </c>
      <c r="F2121" s="1" t="s">
        <v>676</v>
      </c>
      <c r="H2121" s="3">
        <v>19.0</v>
      </c>
      <c r="I2121" s="4" t="s">
        <v>9071</v>
      </c>
      <c r="J2121" s="1" t="s">
        <v>9072</v>
      </c>
      <c r="K2121" s="1" t="s">
        <v>383</v>
      </c>
    </row>
    <row r="2122">
      <c r="A2122" s="1" t="s">
        <v>9073</v>
      </c>
      <c r="B2122" s="1" t="s">
        <v>9074</v>
      </c>
      <c r="C2122" s="1">
        <v>2020.0</v>
      </c>
      <c r="D2122" s="2">
        <v>44075.0</v>
      </c>
      <c r="F2122" s="1" t="s">
        <v>3535</v>
      </c>
      <c r="H2122" s="3">
        <v>19.0</v>
      </c>
      <c r="I2122" s="4" t="s">
        <v>9075</v>
      </c>
      <c r="J2122" s="1"/>
      <c r="K2122" s="1" t="s">
        <v>295</v>
      </c>
    </row>
    <row r="2123">
      <c r="A2123" s="1" t="s">
        <v>9076</v>
      </c>
      <c r="B2123" s="1" t="s">
        <v>9077</v>
      </c>
      <c r="C2123" s="1">
        <v>2020.0</v>
      </c>
      <c r="D2123" s="2">
        <v>44074.0</v>
      </c>
      <c r="F2123" s="1" t="s">
        <v>337</v>
      </c>
      <c r="H2123" s="3">
        <v>36.0</v>
      </c>
      <c r="I2123" s="4" t="s">
        <v>9078</v>
      </c>
      <c r="J2123" s="1" t="s">
        <v>9079</v>
      </c>
      <c r="K2123" s="1" t="s">
        <v>16</v>
      </c>
    </row>
    <row r="2124">
      <c r="A2124" s="1" t="s">
        <v>9080</v>
      </c>
      <c r="B2124" s="1" t="s">
        <v>9081</v>
      </c>
      <c r="C2124" s="1">
        <v>2020.0</v>
      </c>
      <c r="D2124" s="2">
        <v>44072.0</v>
      </c>
      <c r="F2124" s="1" t="s">
        <v>1381</v>
      </c>
      <c r="H2124" s="3">
        <v>8.0</v>
      </c>
      <c r="I2124" s="4" t="s">
        <v>9082</v>
      </c>
      <c r="J2124" s="1" t="s">
        <v>9083</v>
      </c>
      <c r="K2124" s="1" t="s">
        <v>28</v>
      </c>
    </row>
    <row r="2125">
      <c r="A2125" s="1" t="s">
        <v>9084</v>
      </c>
      <c r="B2125" s="1" t="s">
        <v>9085</v>
      </c>
      <c r="C2125" s="1">
        <v>2020.0</v>
      </c>
      <c r="D2125" s="2">
        <v>44071.0</v>
      </c>
      <c r="F2125" s="1" t="s">
        <v>4037</v>
      </c>
      <c r="H2125" s="3">
        <v>9.0</v>
      </c>
      <c r="I2125" s="4" t="s">
        <v>9086</v>
      </c>
      <c r="J2125" s="1" t="s">
        <v>9087</v>
      </c>
      <c r="K2125" s="1" t="s">
        <v>295</v>
      </c>
    </row>
    <row r="2126">
      <c r="A2126" s="1" t="s">
        <v>9088</v>
      </c>
      <c r="B2126" s="1" t="s">
        <v>9089</v>
      </c>
      <c r="C2126" s="1">
        <v>2020.0</v>
      </c>
      <c r="D2126" s="2">
        <v>44071.0</v>
      </c>
      <c r="F2126" s="1" t="s">
        <v>9090</v>
      </c>
      <c r="H2126" s="3">
        <v>2.0</v>
      </c>
      <c r="I2126" s="4" t="s">
        <v>9091</v>
      </c>
      <c r="J2126" s="1" t="s">
        <v>9092</v>
      </c>
      <c r="K2126" s="1" t="s">
        <v>443</v>
      </c>
    </row>
    <row r="2127">
      <c r="A2127" s="1" t="s">
        <v>9093</v>
      </c>
      <c r="B2127" s="1" t="s">
        <v>9094</v>
      </c>
      <c r="C2127" s="1">
        <v>2020.0</v>
      </c>
      <c r="D2127" s="2">
        <v>44071.0</v>
      </c>
      <c r="F2127" s="1" t="s">
        <v>4707</v>
      </c>
      <c r="H2127" s="3">
        <v>8.0</v>
      </c>
      <c r="I2127" s="4" t="s">
        <v>9095</v>
      </c>
      <c r="J2127" s="1" t="s">
        <v>9096</v>
      </c>
      <c r="K2127" s="1" t="s">
        <v>28</v>
      </c>
    </row>
    <row r="2128">
      <c r="A2128" s="1" t="s">
        <v>9097</v>
      </c>
      <c r="B2128" s="1" t="s">
        <v>9098</v>
      </c>
      <c r="C2128" s="1">
        <v>2020.0</v>
      </c>
      <c r="D2128" s="2">
        <v>44069.0</v>
      </c>
      <c r="F2128" s="1" t="s">
        <v>396</v>
      </c>
      <c r="H2128" s="3">
        <v>14.0</v>
      </c>
      <c r="I2128" s="4" t="s">
        <v>9099</v>
      </c>
      <c r="J2128" s="1" t="s">
        <v>9100</v>
      </c>
      <c r="K2128" s="1" t="s">
        <v>28</v>
      </c>
    </row>
    <row r="2129">
      <c r="A2129" s="1" t="s">
        <v>9101</v>
      </c>
      <c r="B2129" s="1" t="s">
        <v>9102</v>
      </c>
      <c r="C2129" s="1">
        <v>2020.0</v>
      </c>
      <c r="D2129" s="2">
        <v>44069.0</v>
      </c>
      <c r="F2129" s="1" t="s">
        <v>1371</v>
      </c>
      <c r="H2129" s="3">
        <v>4.0</v>
      </c>
      <c r="I2129" s="4" t="s">
        <v>9103</v>
      </c>
      <c r="J2129" s="1" t="s">
        <v>9104</v>
      </c>
      <c r="K2129" s="1" t="s">
        <v>28</v>
      </c>
    </row>
    <row r="2130">
      <c r="A2130" s="1" t="s">
        <v>9105</v>
      </c>
      <c r="B2130" s="1" t="s">
        <v>9106</v>
      </c>
      <c r="C2130" s="1">
        <v>2020.0</v>
      </c>
      <c r="D2130" s="2">
        <v>44067.0</v>
      </c>
      <c r="F2130" s="1" t="s">
        <v>271</v>
      </c>
      <c r="H2130" s="3">
        <v>7.0</v>
      </c>
      <c r="I2130" s="4" t="s">
        <v>9107</v>
      </c>
      <c r="J2130" s="1" t="s">
        <v>9108</v>
      </c>
      <c r="K2130" s="1" t="s">
        <v>329</v>
      </c>
    </row>
    <row r="2131">
      <c r="A2131" s="1" t="s">
        <v>9109</v>
      </c>
      <c r="B2131" s="1" t="s">
        <v>5300</v>
      </c>
      <c r="C2131" s="1">
        <v>2020.0</v>
      </c>
      <c r="D2131" s="2">
        <v>44067.0</v>
      </c>
      <c r="F2131" s="1" t="s">
        <v>4634</v>
      </c>
      <c r="H2131" s="3">
        <v>10.0</v>
      </c>
      <c r="I2131" s="4" t="s">
        <v>9110</v>
      </c>
      <c r="J2131" s="1" t="s">
        <v>9111</v>
      </c>
      <c r="K2131" s="1" t="s">
        <v>383</v>
      </c>
    </row>
    <row r="2132">
      <c r="A2132" s="1" t="s">
        <v>9112</v>
      </c>
      <c r="B2132" s="1" t="s">
        <v>9113</v>
      </c>
      <c r="C2132" s="1">
        <v>2020.0</v>
      </c>
      <c r="D2132" s="2">
        <v>44067.0</v>
      </c>
      <c r="F2132" s="1" t="s">
        <v>9114</v>
      </c>
      <c r="H2132" s="3">
        <v>34.0</v>
      </c>
      <c r="I2132" s="4" t="s">
        <v>9115</v>
      </c>
      <c r="J2132" s="1" t="s">
        <v>9116</v>
      </c>
      <c r="K2132" s="1" t="s">
        <v>413</v>
      </c>
    </row>
    <row r="2133">
      <c r="A2133" s="1" t="s">
        <v>9117</v>
      </c>
      <c r="B2133" s="1" t="s">
        <v>9118</v>
      </c>
      <c r="C2133" s="1">
        <v>2020.0</v>
      </c>
      <c r="D2133" s="2">
        <v>44066.0</v>
      </c>
      <c r="F2133" s="1" t="s">
        <v>9119</v>
      </c>
      <c r="H2133" s="3">
        <v>10.0</v>
      </c>
      <c r="I2133" s="4" t="s">
        <v>9120</v>
      </c>
      <c r="J2133" s="1" t="s">
        <v>9121</v>
      </c>
      <c r="K2133" s="1" t="s">
        <v>68</v>
      </c>
    </row>
    <row r="2134">
      <c r="A2134" s="1" t="s">
        <v>9122</v>
      </c>
      <c r="B2134" s="1" t="s">
        <v>9123</v>
      </c>
      <c r="C2134" s="1">
        <v>2020.0</v>
      </c>
      <c r="D2134" s="2">
        <v>44066.0</v>
      </c>
      <c r="F2134" s="1" t="s">
        <v>9124</v>
      </c>
      <c r="H2134" s="3">
        <v>6.0</v>
      </c>
      <c r="I2134" s="4" t="s">
        <v>9125</v>
      </c>
      <c r="J2134" s="1" t="s">
        <v>9126</v>
      </c>
      <c r="K2134" s="1" t="s">
        <v>68</v>
      </c>
    </row>
    <row r="2135">
      <c r="A2135" s="1" t="s">
        <v>9127</v>
      </c>
      <c r="B2135" s="1" t="s">
        <v>9128</v>
      </c>
      <c r="C2135" s="1">
        <v>2020.0</v>
      </c>
      <c r="D2135" s="2">
        <v>44065.0</v>
      </c>
      <c r="F2135" s="1" t="s">
        <v>3276</v>
      </c>
      <c r="H2135" s="3">
        <v>54.0</v>
      </c>
      <c r="I2135" s="4" t="s">
        <v>9129</v>
      </c>
      <c r="J2135" s="1" t="s">
        <v>9130</v>
      </c>
      <c r="K2135" s="1" t="s">
        <v>323</v>
      </c>
    </row>
    <row r="2136">
      <c r="A2136" s="1" t="s">
        <v>9131</v>
      </c>
      <c r="B2136" s="1" t="s">
        <v>9132</v>
      </c>
      <c r="C2136" s="1">
        <v>2020.0</v>
      </c>
      <c r="D2136" s="2">
        <v>44064.0</v>
      </c>
      <c r="F2136" s="1" t="s">
        <v>9133</v>
      </c>
      <c r="H2136" s="3">
        <v>16.0</v>
      </c>
      <c r="I2136" s="4" t="s">
        <v>9134</v>
      </c>
      <c r="J2136" s="1" t="s">
        <v>9135</v>
      </c>
      <c r="K2136" s="1" t="s">
        <v>329</v>
      </c>
    </row>
    <row r="2137">
      <c r="A2137" s="1" t="s">
        <v>9136</v>
      </c>
      <c r="B2137" s="1" t="s">
        <v>9137</v>
      </c>
      <c r="C2137" s="1">
        <v>2020.0</v>
      </c>
      <c r="D2137" s="2">
        <v>44063.0</v>
      </c>
      <c r="F2137" s="1" t="s">
        <v>6152</v>
      </c>
      <c r="H2137" s="3">
        <v>24.0</v>
      </c>
      <c r="I2137" s="4" t="s">
        <v>9138</v>
      </c>
      <c r="J2137" s="1" t="s">
        <v>9139</v>
      </c>
      <c r="K2137" s="1" t="s">
        <v>323</v>
      </c>
    </row>
    <row r="2138">
      <c r="A2138" s="1" t="s">
        <v>9140</v>
      </c>
      <c r="B2138" s="1" t="s">
        <v>9141</v>
      </c>
      <c r="C2138" s="1">
        <v>2020.0</v>
      </c>
      <c r="D2138" s="2">
        <v>44063.0</v>
      </c>
      <c r="F2138" s="1" t="s">
        <v>2515</v>
      </c>
      <c r="H2138" s="3">
        <v>12.0</v>
      </c>
      <c r="I2138" s="4" t="s">
        <v>9142</v>
      </c>
      <c r="J2138" s="1" t="s">
        <v>9143</v>
      </c>
      <c r="K2138" s="1" t="s">
        <v>16</v>
      </c>
    </row>
    <row r="2139">
      <c r="A2139" s="1" t="s">
        <v>9144</v>
      </c>
      <c r="B2139" s="1" t="s">
        <v>9145</v>
      </c>
      <c r="C2139" s="1">
        <v>2020.0</v>
      </c>
      <c r="D2139" s="2">
        <v>44062.0</v>
      </c>
      <c r="F2139" s="1" t="s">
        <v>1386</v>
      </c>
      <c r="H2139" s="3">
        <v>14.0</v>
      </c>
      <c r="I2139" s="4" t="s">
        <v>9146</v>
      </c>
      <c r="J2139" s="1" t="s">
        <v>9147</v>
      </c>
      <c r="K2139" s="1" t="s">
        <v>443</v>
      </c>
    </row>
    <row r="2140">
      <c r="A2140" s="1" t="s">
        <v>9148</v>
      </c>
      <c r="B2140" s="1" t="s">
        <v>9149</v>
      </c>
      <c r="C2140" s="1">
        <v>2020.0</v>
      </c>
      <c r="D2140" s="2">
        <v>44061.0</v>
      </c>
      <c r="F2140" s="1" t="s">
        <v>1123</v>
      </c>
      <c r="H2140" s="3">
        <v>9.0</v>
      </c>
      <c r="I2140" s="4" t="s">
        <v>9150</v>
      </c>
      <c r="J2140" s="1" t="s">
        <v>9151</v>
      </c>
      <c r="K2140" s="1" t="s">
        <v>1036</v>
      </c>
    </row>
    <row r="2141">
      <c r="A2141" s="1" t="s">
        <v>9152</v>
      </c>
      <c r="B2141" s="1" t="s">
        <v>9153</v>
      </c>
      <c r="C2141" s="1">
        <v>2020.0</v>
      </c>
      <c r="D2141" s="2">
        <v>44061.0</v>
      </c>
      <c r="F2141" s="1" t="s">
        <v>86</v>
      </c>
      <c r="H2141" s="3">
        <v>11.0</v>
      </c>
      <c r="I2141" s="4" t="s">
        <v>9154</v>
      </c>
      <c r="J2141" s="1" t="s">
        <v>9155</v>
      </c>
      <c r="K2141" s="1" t="s">
        <v>68</v>
      </c>
    </row>
    <row r="2142">
      <c r="A2142" s="1" t="s">
        <v>9156</v>
      </c>
      <c r="B2142" s="1" t="s">
        <v>9157</v>
      </c>
      <c r="C2142" s="1">
        <v>2020.0</v>
      </c>
      <c r="D2142" s="2">
        <v>44060.0</v>
      </c>
      <c r="F2142" s="1" t="s">
        <v>9158</v>
      </c>
      <c r="H2142" s="3">
        <v>11.0</v>
      </c>
      <c r="I2142" s="4" t="s">
        <v>9159</v>
      </c>
      <c r="J2142" s="1" t="s">
        <v>9160</v>
      </c>
      <c r="K2142" s="1" t="s">
        <v>323</v>
      </c>
    </row>
    <row r="2143">
      <c r="A2143" s="1" t="s">
        <v>9161</v>
      </c>
      <c r="B2143" s="1" t="s">
        <v>9162</v>
      </c>
      <c r="C2143" s="1">
        <v>2020.0</v>
      </c>
      <c r="D2143" s="2">
        <v>44060.0</v>
      </c>
      <c r="F2143" s="1" t="s">
        <v>4063</v>
      </c>
      <c r="H2143" s="3">
        <v>9.0</v>
      </c>
      <c r="I2143" s="4" t="s">
        <v>9163</v>
      </c>
      <c r="J2143" s="1" t="s">
        <v>9164</v>
      </c>
      <c r="K2143" s="1" t="s">
        <v>418</v>
      </c>
    </row>
    <row r="2144">
      <c r="A2144" s="1" t="s">
        <v>9165</v>
      </c>
      <c r="B2144" s="1" t="s">
        <v>9166</v>
      </c>
      <c r="C2144" s="1">
        <v>2020.0</v>
      </c>
      <c r="D2144" s="2">
        <v>44058.0</v>
      </c>
      <c r="F2144" s="1" t="s">
        <v>2634</v>
      </c>
      <c r="H2144" s="3">
        <v>14.0</v>
      </c>
      <c r="I2144" s="4" t="s">
        <v>9167</v>
      </c>
      <c r="J2144" s="1" t="s">
        <v>9168</v>
      </c>
      <c r="K2144" s="1" t="s">
        <v>28</v>
      </c>
    </row>
    <row r="2145">
      <c r="A2145" s="1" t="s">
        <v>9169</v>
      </c>
      <c r="B2145" s="1" t="s">
        <v>9170</v>
      </c>
      <c r="C2145" s="1">
        <v>2020.0</v>
      </c>
      <c r="D2145" s="2">
        <v>44057.0</v>
      </c>
      <c r="F2145" s="1" t="s">
        <v>396</v>
      </c>
      <c r="H2145" s="3">
        <v>259.0</v>
      </c>
      <c r="I2145" s="4" t="s">
        <v>9171</v>
      </c>
      <c r="J2145" s="1"/>
      <c r="K2145" s="1" t="s">
        <v>323</v>
      </c>
    </row>
    <row r="2146">
      <c r="A2146" s="1" t="s">
        <v>9172</v>
      </c>
      <c r="B2146" s="1" t="s">
        <v>9173</v>
      </c>
      <c r="C2146" s="1">
        <v>2020.0</v>
      </c>
      <c r="D2146" s="2">
        <v>44057.0</v>
      </c>
      <c r="F2146" s="1" t="s">
        <v>4539</v>
      </c>
      <c r="H2146" s="3">
        <v>9.0</v>
      </c>
      <c r="I2146" s="4" t="s">
        <v>9174</v>
      </c>
      <c r="J2146" s="1" t="s">
        <v>9175</v>
      </c>
      <c r="K2146" s="1" t="s">
        <v>295</v>
      </c>
    </row>
    <row r="2147">
      <c r="A2147" s="1" t="s">
        <v>9176</v>
      </c>
      <c r="B2147" s="1" t="s">
        <v>9177</v>
      </c>
      <c r="C2147" s="1">
        <v>2020.0</v>
      </c>
      <c r="D2147" s="2">
        <v>44057.0</v>
      </c>
      <c r="F2147" s="1" t="s">
        <v>86</v>
      </c>
      <c r="H2147" s="3">
        <v>3.0</v>
      </c>
      <c r="I2147" s="4" t="s">
        <v>9178</v>
      </c>
      <c r="J2147" s="1" t="s">
        <v>9179</v>
      </c>
      <c r="K2147" s="1" t="s">
        <v>413</v>
      </c>
    </row>
    <row r="2148">
      <c r="A2148" s="1" t="s">
        <v>9180</v>
      </c>
      <c r="B2148" s="1" t="s">
        <v>9181</v>
      </c>
      <c r="C2148" s="1">
        <v>2020.0</v>
      </c>
      <c r="D2148" s="2">
        <v>44056.0</v>
      </c>
      <c r="F2148" s="1" t="s">
        <v>9182</v>
      </c>
      <c r="H2148" s="3">
        <v>2.0</v>
      </c>
      <c r="I2148" s="4" t="s">
        <v>9183</v>
      </c>
      <c r="J2148" s="1" t="s">
        <v>9184</v>
      </c>
      <c r="K2148" s="1" t="s">
        <v>571</v>
      </c>
    </row>
    <row r="2149">
      <c r="A2149" s="1" t="s">
        <v>9185</v>
      </c>
      <c r="B2149" s="1" t="s">
        <v>9186</v>
      </c>
      <c r="C2149" s="1">
        <v>2020.0</v>
      </c>
      <c r="D2149" s="2">
        <v>44055.0</v>
      </c>
      <c r="F2149" s="1" t="s">
        <v>681</v>
      </c>
      <c r="H2149" s="3">
        <v>10.0</v>
      </c>
      <c r="I2149" s="4" t="s">
        <v>9187</v>
      </c>
      <c r="J2149" s="1"/>
      <c r="K2149" s="1" t="s">
        <v>28</v>
      </c>
    </row>
    <row r="2150">
      <c r="A2150" s="1" t="s">
        <v>9188</v>
      </c>
      <c r="B2150" s="1" t="s">
        <v>9189</v>
      </c>
      <c r="C2150" s="1">
        <v>2020.0</v>
      </c>
      <c r="D2150" s="2">
        <v>44055.0</v>
      </c>
      <c r="F2150" s="1" t="s">
        <v>1137</v>
      </c>
      <c r="H2150" s="3">
        <v>7.0</v>
      </c>
      <c r="I2150" s="4" t="s">
        <v>9190</v>
      </c>
      <c r="J2150" s="1" t="s">
        <v>9191</v>
      </c>
      <c r="K2150" s="1" t="s">
        <v>443</v>
      </c>
    </row>
    <row r="2151">
      <c r="A2151" s="1" t="s">
        <v>9192</v>
      </c>
      <c r="B2151" s="1" t="s">
        <v>9193</v>
      </c>
      <c r="C2151" s="1">
        <v>2020.0</v>
      </c>
      <c r="D2151" s="2">
        <v>44054.0</v>
      </c>
      <c r="F2151" s="1" t="s">
        <v>535</v>
      </c>
      <c r="H2151" s="3">
        <v>5.0</v>
      </c>
      <c r="I2151" s="4" t="s">
        <v>9194</v>
      </c>
      <c r="J2151" s="1" t="s">
        <v>9195</v>
      </c>
      <c r="K2151" s="1" t="s">
        <v>295</v>
      </c>
    </row>
    <row r="2152">
      <c r="A2152" s="1" t="s">
        <v>9196</v>
      </c>
      <c r="B2152" s="1" t="s">
        <v>9197</v>
      </c>
      <c r="C2152" s="1">
        <v>2020.0</v>
      </c>
      <c r="D2152" s="2">
        <v>44051.0</v>
      </c>
      <c r="F2152" s="1" t="s">
        <v>2707</v>
      </c>
      <c r="H2152" s="3">
        <v>1.0</v>
      </c>
      <c r="I2152" s="4" t="s">
        <v>9198</v>
      </c>
      <c r="J2152" s="1" t="s">
        <v>9199</v>
      </c>
      <c r="K2152" s="1" t="s">
        <v>413</v>
      </c>
    </row>
    <row r="2153">
      <c r="A2153" s="1" t="s">
        <v>9200</v>
      </c>
      <c r="B2153" s="1" t="s">
        <v>9201</v>
      </c>
      <c r="C2153" s="1">
        <v>2020.0</v>
      </c>
      <c r="D2153" s="2">
        <v>44051.0</v>
      </c>
      <c r="F2153" s="1" t="s">
        <v>9202</v>
      </c>
      <c r="H2153" s="3">
        <v>3.0</v>
      </c>
      <c r="I2153" s="4" t="s">
        <v>9203</v>
      </c>
      <c r="J2153" s="1" t="s">
        <v>9204</v>
      </c>
      <c r="K2153" s="1" t="s">
        <v>443</v>
      </c>
    </row>
    <row r="2154">
      <c r="A2154" s="1" t="s">
        <v>9205</v>
      </c>
      <c r="B2154" s="1" t="s">
        <v>9206</v>
      </c>
      <c r="C2154" s="1">
        <v>2020.0</v>
      </c>
      <c r="D2154" s="2">
        <v>44050.0</v>
      </c>
      <c r="F2154" s="1" t="s">
        <v>1366</v>
      </c>
      <c r="H2154" s="3">
        <v>40.0</v>
      </c>
      <c r="I2154" s="4" t="s">
        <v>9207</v>
      </c>
      <c r="J2154" s="1" t="s">
        <v>9208</v>
      </c>
      <c r="K2154" s="1" t="s">
        <v>323</v>
      </c>
    </row>
    <row r="2155">
      <c r="A2155" s="1" t="s">
        <v>9209</v>
      </c>
      <c r="B2155" s="1" t="s">
        <v>7911</v>
      </c>
      <c r="C2155" s="1">
        <v>2020.0</v>
      </c>
      <c r="D2155" s="2">
        <v>44050.0</v>
      </c>
      <c r="F2155" s="1" t="s">
        <v>157</v>
      </c>
      <c r="H2155" s="3">
        <v>38.0</v>
      </c>
      <c r="I2155" s="4" t="s">
        <v>9210</v>
      </c>
      <c r="J2155" s="1" t="s">
        <v>9211</v>
      </c>
      <c r="K2155" s="1" t="s">
        <v>546</v>
      </c>
    </row>
    <row r="2156">
      <c r="A2156" s="1" t="s">
        <v>9212</v>
      </c>
      <c r="B2156" s="1" t="s">
        <v>9213</v>
      </c>
      <c r="C2156" s="1">
        <v>2020.0</v>
      </c>
      <c r="D2156" s="2">
        <v>44050.0</v>
      </c>
      <c r="F2156" s="1" t="s">
        <v>6343</v>
      </c>
      <c r="H2156" s="3">
        <v>13.0</v>
      </c>
      <c r="I2156" s="4" t="s">
        <v>9214</v>
      </c>
      <c r="J2156" s="1" t="s">
        <v>9215</v>
      </c>
      <c r="K2156" s="1" t="s">
        <v>295</v>
      </c>
    </row>
    <row r="2157">
      <c r="A2157" s="1" t="s">
        <v>9216</v>
      </c>
      <c r="B2157" s="1" t="s">
        <v>9217</v>
      </c>
      <c r="C2157" s="1">
        <v>2020.0</v>
      </c>
      <c r="D2157" s="2">
        <v>44050.0</v>
      </c>
      <c r="F2157" s="1" t="s">
        <v>610</v>
      </c>
      <c r="H2157" s="3">
        <v>9.0</v>
      </c>
      <c r="I2157" s="4" t="s">
        <v>9218</v>
      </c>
      <c r="J2157" s="1" t="s">
        <v>9219</v>
      </c>
      <c r="K2157" s="1" t="s">
        <v>295</v>
      </c>
    </row>
    <row r="2158">
      <c r="A2158" s="1" t="s">
        <v>9220</v>
      </c>
      <c r="B2158" s="1" t="s">
        <v>9221</v>
      </c>
      <c r="C2158" s="1">
        <v>2020.0</v>
      </c>
      <c r="D2158" s="2">
        <v>44050.0</v>
      </c>
      <c r="F2158" s="1" t="s">
        <v>2611</v>
      </c>
      <c r="H2158" s="3">
        <v>16.0</v>
      </c>
      <c r="I2158" s="4" t="s">
        <v>9222</v>
      </c>
      <c r="J2158" s="1" t="s">
        <v>9223</v>
      </c>
      <c r="K2158" s="1" t="s">
        <v>443</v>
      </c>
    </row>
    <row r="2159">
      <c r="A2159" s="1" t="s">
        <v>9224</v>
      </c>
      <c r="B2159" s="1" t="s">
        <v>7586</v>
      </c>
      <c r="C2159" s="1">
        <v>2020.0</v>
      </c>
      <c r="D2159" s="2">
        <v>44049.0</v>
      </c>
      <c r="F2159" s="1" t="s">
        <v>9225</v>
      </c>
      <c r="H2159" s="3">
        <v>7.0</v>
      </c>
      <c r="I2159" s="4" t="s">
        <v>9226</v>
      </c>
      <c r="J2159" s="1" t="s">
        <v>9227</v>
      </c>
      <c r="K2159" s="1" t="s">
        <v>45</v>
      </c>
    </row>
    <row r="2160">
      <c r="A2160" s="1" t="s">
        <v>9228</v>
      </c>
      <c r="B2160" s="1" t="s">
        <v>9229</v>
      </c>
      <c r="C2160" s="1">
        <v>2020.0</v>
      </c>
      <c r="D2160" s="2">
        <v>44049.0</v>
      </c>
      <c r="F2160" s="1" t="s">
        <v>1371</v>
      </c>
      <c r="H2160" s="3">
        <v>3.0</v>
      </c>
      <c r="I2160" s="4" t="s">
        <v>9230</v>
      </c>
      <c r="J2160" s="1" t="s">
        <v>9231</v>
      </c>
      <c r="K2160" s="1" t="s">
        <v>323</v>
      </c>
    </row>
    <row r="2161">
      <c r="A2161" s="1" t="s">
        <v>9232</v>
      </c>
      <c r="B2161" s="1" t="s">
        <v>9233</v>
      </c>
      <c r="C2161" s="1">
        <v>2020.0</v>
      </c>
      <c r="D2161" s="2">
        <v>44049.0</v>
      </c>
      <c r="F2161" s="1" t="s">
        <v>1095</v>
      </c>
      <c r="H2161" s="3">
        <v>2.0</v>
      </c>
      <c r="I2161" s="4" t="s">
        <v>9234</v>
      </c>
      <c r="J2161" s="1" t="s">
        <v>9235</v>
      </c>
      <c r="K2161" s="1" t="s">
        <v>16</v>
      </c>
    </row>
    <row r="2162">
      <c r="A2162" s="1" t="s">
        <v>9236</v>
      </c>
      <c r="B2162" s="1" t="s">
        <v>9237</v>
      </c>
      <c r="C2162" s="1">
        <v>2020.0</v>
      </c>
      <c r="D2162" s="2">
        <v>44048.0</v>
      </c>
      <c r="F2162" s="1" t="s">
        <v>5559</v>
      </c>
      <c r="H2162" s="3">
        <v>73.0</v>
      </c>
      <c r="I2162" s="4" t="s">
        <v>9238</v>
      </c>
      <c r="J2162" s="1" t="s">
        <v>9239</v>
      </c>
      <c r="K2162" s="1" t="s">
        <v>492</v>
      </c>
    </row>
    <row r="2163">
      <c r="A2163" s="1" t="s">
        <v>9240</v>
      </c>
      <c r="B2163" s="1" t="s">
        <v>9241</v>
      </c>
      <c r="C2163" s="1">
        <v>2020.0</v>
      </c>
      <c r="D2163" s="2">
        <v>44048.0</v>
      </c>
      <c r="F2163" s="1" t="s">
        <v>9242</v>
      </c>
      <c r="H2163" s="3">
        <v>18.0</v>
      </c>
      <c r="I2163" s="4" t="s">
        <v>9243</v>
      </c>
      <c r="J2163" s="1" t="s">
        <v>9244</v>
      </c>
      <c r="K2163" s="1" t="s">
        <v>28</v>
      </c>
    </row>
    <row r="2164">
      <c r="A2164" s="1" t="s">
        <v>9245</v>
      </c>
      <c r="B2164" s="1" t="s">
        <v>9246</v>
      </c>
      <c r="C2164" s="1">
        <v>2020.0</v>
      </c>
      <c r="D2164" s="2">
        <v>44048.0</v>
      </c>
      <c r="F2164" s="1" t="s">
        <v>71</v>
      </c>
      <c r="H2164" s="3">
        <v>7.0</v>
      </c>
      <c r="I2164" s="4" t="s">
        <v>9247</v>
      </c>
      <c r="J2164" s="1" t="s">
        <v>9248</v>
      </c>
      <c r="K2164" s="1" t="s">
        <v>413</v>
      </c>
    </row>
    <row r="2165">
      <c r="A2165" s="1" t="s">
        <v>9249</v>
      </c>
      <c r="B2165" s="1" t="s">
        <v>9250</v>
      </c>
      <c r="C2165" s="1">
        <v>2020.0</v>
      </c>
      <c r="D2165" s="2">
        <v>44047.0</v>
      </c>
      <c r="F2165" s="1" t="s">
        <v>9251</v>
      </c>
      <c r="H2165" s="3">
        <v>61.0</v>
      </c>
      <c r="I2165" s="4" t="s">
        <v>9252</v>
      </c>
      <c r="J2165" s="1" t="s">
        <v>9253</v>
      </c>
      <c r="K2165" s="1" t="s">
        <v>16</v>
      </c>
    </row>
    <row r="2166">
      <c r="A2166" s="1" t="s">
        <v>9254</v>
      </c>
      <c r="B2166" s="1" t="s">
        <v>9255</v>
      </c>
      <c r="C2166" s="1">
        <v>2020.0</v>
      </c>
      <c r="D2166" s="2">
        <v>44046.0</v>
      </c>
      <c r="F2166" s="1" t="s">
        <v>5006</v>
      </c>
      <c r="H2166" s="3">
        <v>46.0</v>
      </c>
      <c r="I2166" s="4" t="s">
        <v>9256</v>
      </c>
      <c r="J2166" s="1" t="s">
        <v>9257</v>
      </c>
      <c r="K2166" s="1" t="s">
        <v>16</v>
      </c>
    </row>
    <row r="2167">
      <c r="A2167" s="1" t="s">
        <v>9258</v>
      </c>
      <c r="B2167" s="1" t="s">
        <v>9259</v>
      </c>
      <c r="C2167" s="1">
        <v>2020.0</v>
      </c>
      <c r="D2167" s="2">
        <v>44044.0</v>
      </c>
      <c r="F2167" s="1" t="s">
        <v>9260</v>
      </c>
      <c r="H2167" s="3">
        <v>4.0</v>
      </c>
      <c r="I2167" s="4" t="s">
        <v>9261</v>
      </c>
      <c r="J2167" s="1" t="s">
        <v>9262</v>
      </c>
      <c r="K2167" s="1" t="s">
        <v>443</v>
      </c>
    </row>
    <row r="2168">
      <c r="A2168" s="1" t="s">
        <v>9263</v>
      </c>
      <c r="B2168" s="1" t="s">
        <v>9264</v>
      </c>
      <c r="C2168" s="1">
        <v>2020.0</v>
      </c>
      <c r="D2168" s="2">
        <v>44044.0</v>
      </c>
      <c r="F2168" s="1" t="s">
        <v>1420</v>
      </c>
      <c r="H2168" s="3">
        <v>14.0</v>
      </c>
      <c r="I2168" s="4" t="s">
        <v>9265</v>
      </c>
      <c r="J2168" s="1" t="s">
        <v>9266</v>
      </c>
      <c r="K2168" s="1" t="s">
        <v>1036</v>
      </c>
    </row>
    <row r="2169">
      <c r="A2169" s="1" t="s">
        <v>9267</v>
      </c>
      <c r="B2169" s="1" t="s">
        <v>9268</v>
      </c>
      <c r="C2169" s="1">
        <v>2020.0</v>
      </c>
      <c r="D2169" s="2">
        <v>44044.0</v>
      </c>
      <c r="F2169" s="1" t="s">
        <v>1128</v>
      </c>
      <c r="H2169" s="3">
        <v>1.0</v>
      </c>
      <c r="I2169" s="4" t="s">
        <v>9269</v>
      </c>
      <c r="J2169" s="1" t="s">
        <v>9270</v>
      </c>
      <c r="K2169" s="1" t="s">
        <v>477</v>
      </c>
    </row>
    <row r="2170">
      <c r="A2170" s="1" t="s">
        <v>9271</v>
      </c>
      <c r="B2170" s="1" t="s">
        <v>9272</v>
      </c>
      <c r="C2170" s="1">
        <v>2020.0</v>
      </c>
      <c r="D2170" s="2">
        <v>44044.0</v>
      </c>
      <c r="F2170" s="1" t="s">
        <v>549</v>
      </c>
      <c r="H2170" s="3">
        <v>11.0</v>
      </c>
      <c r="I2170" s="4" t="s">
        <v>9273</v>
      </c>
      <c r="J2170" s="1" t="s">
        <v>9274</v>
      </c>
      <c r="K2170" s="1" t="s">
        <v>323</v>
      </c>
    </row>
    <row r="2171">
      <c r="A2171" s="1" t="s">
        <v>9275</v>
      </c>
      <c r="B2171" s="1" t="s">
        <v>1926</v>
      </c>
      <c r="C2171" s="1">
        <v>2020.0</v>
      </c>
      <c r="D2171" s="2">
        <v>44044.0</v>
      </c>
      <c r="F2171" s="1" t="s">
        <v>9276</v>
      </c>
      <c r="H2171" s="3">
        <v>1.0</v>
      </c>
      <c r="I2171" s="4" t="s">
        <v>9277</v>
      </c>
      <c r="J2171" s="1"/>
      <c r="K2171" s="1" t="s">
        <v>16</v>
      </c>
    </row>
    <row r="2172">
      <c r="A2172" s="1" t="s">
        <v>9278</v>
      </c>
      <c r="B2172" s="1" t="s">
        <v>9279</v>
      </c>
      <c r="C2172" s="1">
        <v>2020.0</v>
      </c>
      <c r="D2172" s="2">
        <v>44044.0</v>
      </c>
      <c r="F2172" s="1" t="s">
        <v>605</v>
      </c>
      <c r="H2172" s="3">
        <v>8.0</v>
      </c>
      <c r="I2172" s="4" t="s">
        <v>9280</v>
      </c>
      <c r="J2172" s="1" t="s">
        <v>9281</v>
      </c>
      <c r="K2172" s="1" t="s">
        <v>16</v>
      </c>
    </row>
    <row r="2173">
      <c r="A2173" s="1" t="s">
        <v>9282</v>
      </c>
      <c r="B2173" s="1" t="s">
        <v>9283</v>
      </c>
      <c r="C2173" s="1">
        <v>2020.0</v>
      </c>
      <c r="D2173" s="2">
        <v>44043.0</v>
      </c>
      <c r="F2173" s="1" t="s">
        <v>157</v>
      </c>
      <c r="H2173" s="3">
        <v>95.0</v>
      </c>
      <c r="I2173" s="4" t="s">
        <v>9284</v>
      </c>
      <c r="J2173" s="1" t="s">
        <v>9285</v>
      </c>
      <c r="K2173" s="1" t="s">
        <v>546</v>
      </c>
    </row>
    <row r="2174">
      <c r="A2174" s="1" t="s">
        <v>9286</v>
      </c>
      <c r="B2174" s="1" t="s">
        <v>9287</v>
      </c>
      <c r="C2174" s="1">
        <v>2020.0</v>
      </c>
      <c r="D2174" s="2">
        <v>44043.0</v>
      </c>
      <c r="F2174" s="1" t="s">
        <v>71</v>
      </c>
      <c r="H2174" s="3">
        <v>13.0</v>
      </c>
      <c r="I2174" s="4" t="s">
        <v>9288</v>
      </c>
      <c r="J2174" s="1" t="s">
        <v>9289</v>
      </c>
      <c r="K2174" s="1" t="s">
        <v>16</v>
      </c>
    </row>
    <row r="2175">
      <c r="A2175" s="1" t="s">
        <v>9290</v>
      </c>
      <c r="B2175" s="1" t="s">
        <v>9291</v>
      </c>
      <c r="C2175" s="1">
        <v>2020.0</v>
      </c>
      <c r="D2175" s="2">
        <v>44042.0</v>
      </c>
      <c r="F2175" s="1" t="s">
        <v>3463</v>
      </c>
      <c r="H2175" s="3">
        <v>6.0</v>
      </c>
      <c r="I2175" s="4" t="s">
        <v>9292</v>
      </c>
      <c r="J2175" s="1" t="s">
        <v>9293</v>
      </c>
      <c r="K2175" s="1" t="s">
        <v>1423</v>
      </c>
    </row>
    <row r="2176">
      <c r="A2176" s="1" t="s">
        <v>9294</v>
      </c>
      <c r="B2176" s="1" t="s">
        <v>9295</v>
      </c>
      <c r="C2176" s="1">
        <v>2020.0</v>
      </c>
      <c r="D2176" s="2">
        <v>44040.0</v>
      </c>
      <c r="F2176" s="1" t="s">
        <v>208</v>
      </c>
      <c r="H2176" s="3">
        <v>1.0</v>
      </c>
      <c r="I2176" s="4" t="s">
        <v>9296</v>
      </c>
      <c r="J2176" s="1" t="s">
        <v>9297</v>
      </c>
      <c r="K2176" s="1" t="s">
        <v>1036</v>
      </c>
    </row>
    <row r="2177">
      <c r="A2177" s="1" t="s">
        <v>9298</v>
      </c>
      <c r="B2177" s="1" t="s">
        <v>9299</v>
      </c>
      <c r="C2177" s="1">
        <v>2020.0</v>
      </c>
      <c r="D2177" s="2">
        <v>44039.0</v>
      </c>
      <c r="F2177" s="1" t="s">
        <v>9300</v>
      </c>
      <c r="H2177" s="3">
        <v>65.0</v>
      </c>
      <c r="I2177" s="4" t="s">
        <v>9301</v>
      </c>
      <c r="J2177" s="1" t="s">
        <v>9302</v>
      </c>
      <c r="K2177" s="1" t="s">
        <v>45</v>
      </c>
    </row>
    <row r="2178">
      <c r="A2178" s="1" t="s">
        <v>9303</v>
      </c>
      <c r="B2178" s="1" t="s">
        <v>9304</v>
      </c>
      <c r="C2178" s="1">
        <v>2020.0</v>
      </c>
      <c r="D2178" s="2">
        <v>44035.0</v>
      </c>
      <c r="F2178" s="1" t="s">
        <v>2502</v>
      </c>
      <c r="H2178" s="3">
        <v>8.0</v>
      </c>
      <c r="I2178" s="4" t="s">
        <v>9305</v>
      </c>
      <c r="J2178" s="1" t="s">
        <v>9306</v>
      </c>
      <c r="K2178" s="1" t="s">
        <v>295</v>
      </c>
    </row>
    <row r="2179">
      <c r="A2179" s="1" t="s">
        <v>9307</v>
      </c>
      <c r="B2179" s="1" t="s">
        <v>9308</v>
      </c>
      <c r="C2179" s="1">
        <v>2020.0</v>
      </c>
      <c r="D2179" s="2">
        <v>44035.0</v>
      </c>
      <c r="F2179" s="1" t="s">
        <v>86</v>
      </c>
      <c r="H2179" s="3">
        <v>16.0</v>
      </c>
      <c r="I2179" s="4" t="s">
        <v>9309</v>
      </c>
      <c r="J2179" s="1" t="s">
        <v>9310</v>
      </c>
      <c r="K2179" s="1" t="s">
        <v>413</v>
      </c>
    </row>
    <row r="2180">
      <c r="A2180" s="1" t="s">
        <v>9311</v>
      </c>
      <c r="B2180" s="1" t="s">
        <v>9312</v>
      </c>
      <c r="C2180" s="1">
        <v>2020.0</v>
      </c>
      <c r="D2180" s="2">
        <v>44035.0</v>
      </c>
      <c r="F2180" s="1" t="s">
        <v>3439</v>
      </c>
      <c r="H2180" s="3">
        <v>2.0</v>
      </c>
      <c r="I2180" s="4" t="s">
        <v>9313</v>
      </c>
      <c r="J2180" s="1" t="s">
        <v>9314</v>
      </c>
      <c r="K2180" s="1" t="s">
        <v>16</v>
      </c>
    </row>
    <row r="2181">
      <c r="A2181" s="1" t="s">
        <v>9315</v>
      </c>
      <c r="B2181" s="1" t="s">
        <v>9316</v>
      </c>
      <c r="C2181" s="1">
        <v>2020.0</v>
      </c>
      <c r="D2181" s="2">
        <v>44034.0</v>
      </c>
      <c r="F2181" s="1" t="s">
        <v>2292</v>
      </c>
      <c r="H2181" s="3">
        <v>5.0</v>
      </c>
      <c r="I2181" s="4" t="s">
        <v>9317</v>
      </c>
      <c r="J2181" s="1" t="s">
        <v>9318</v>
      </c>
      <c r="K2181" s="1" t="s">
        <v>45</v>
      </c>
    </row>
    <row r="2182">
      <c r="A2182" s="1" t="s">
        <v>9319</v>
      </c>
      <c r="B2182" s="1" t="s">
        <v>9320</v>
      </c>
      <c r="C2182" s="1">
        <v>2020.0</v>
      </c>
      <c r="D2182" s="2">
        <v>44033.0</v>
      </c>
      <c r="F2182" s="1" t="s">
        <v>2774</v>
      </c>
      <c r="H2182" s="3">
        <v>193.0</v>
      </c>
      <c r="I2182" s="4" t="s">
        <v>9321</v>
      </c>
      <c r="J2182" s="1" t="s">
        <v>9322</v>
      </c>
      <c r="K2182" s="1" t="s">
        <v>418</v>
      </c>
    </row>
    <row r="2183">
      <c r="A2183" s="1" t="s">
        <v>9323</v>
      </c>
      <c r="B2183" s="1" t="s">
        <v>9324</v>
      </c>
      <c r="C2183" s="1">
        <v>2020.0</v>
      </c>
      <c r="D2183" s="2">
        <v>44033.0</v>
      </c>
      <c r="F2183" s="1" t="s">
        <v>1366</v>
      </c>
      <c r="H2183" s="3">
        <v>59.0</v>
      </c>
      <c r="I2183" s="4" t="s">
        <v>9325</v>
      </c>
      <c r="J2183" s="1" t="s">
        <v>9326</v>
      </c>
      <c r="K2183" s="1" t="s">
        <v>443</v>
      </c>
    </row>
    <row r="2184">
      <c r="A2184" s="1" t="s">
        <v>9327</v>
      </c>
      <c r="B2184" s="1" t="s">
        <v>9328</v>
      </c>
      <c r="C2184" s="1">
        <v>2020.0</v>
      </c>
      <c r="D2184" s="2">
        <v>44032.0</v>
      </c>
      <c r="F2184" s="1" t="s">
        <v>375</v>
      </c>
      <c r="H2184" s="3">
        <v>9.0</v>
      </c>
      <c r="I2184" s="4" t="s">
        <v>9329</v>
      </c>
      <c r="J2184" s="1" t="s">
        <v>9330</v>
      </c>
      <c r="K2184" s="1" t="s">
        <v>323</v>
      </c>
    </row>
    <row r="2185">
      <c r="A2185" s="1" t="s">
        <v>9331</v>
      </c>
      <c r="B2185" s="1" t="s">
        <v>9332</v>
      </c>
      <c r="C2185" s="1">
        <v>2020.0</v>
      </c>
      <c r="D2185" s="2">
        <v>44032.0</v>
      </c>
      <c r="F2185" s="1" t="s">
        <v>1170</v>
      </c>
      <c r="H2185" s="3">
        <v>27.0</v>
      </c>
      <c r="I2185" s="4" t="s">
        <v>9333</v>
      </c>
      <c r="J2185" s="1" t="s">
        <v>9334</v>
      </c>
      <c r="K2185" s="1" t="s">
        <v>28</v>
      </c>
    </row>
    <row r="2186">
      <c r="A2186" s="1" t="s">
        <v>9335</v>
      </c>
      <c r="B2186" s="1" t="s">
        <v>9336</v>
      </c>
      <c r="C2186" s="1">
        <v>2020.0</v>
      </c>
      <c r="D2186" s="2">
        <v>44032.0</v>
      </c>
      <c r="F2186" s="1" t="s">
        <v>243</v>
      </c>
      <c r="H2186" s="3">
        <v>25.0</v>
      </c>
      <c r="I2186" s="4" t="s">
        <v>9337</v>
      </c>
      <c r="J2186" s="1" t="s">
        <v>9338</v>
      </c>
      <c r="K2186" s="1" t="s">
        <v>317</v>
      </c>
    </row>
    <row r="2187">
      <c r="A2187" s="1" t="s">
        <v>9339</v>
      </c>
      <c r="B2187" s="1" t="s">
        <v>9340</v>
      </c>
      <c r="C2187" s="1">
        <v>2020.0</v>
      </c>
      <c r="D2187" s="2">
        <v>44032.0</v>
      </c>
      <c r="F2187" s="1" t="s">
        <v>31</v>
      </c>
      <c r="H2187" s="3">
        <v>41.0</v>
      </c>
      <c r="I2187" s="4" t="s">
        <v>9341</v>
      </c>
      <c r="J2187" s="1" t="s">
        <v>9342</v>
      </c>
      <c r="K2187" s="1" t="s">
        <v>28</v>
      </c>
    </row>
    <row r="2188">
      <c r="A2188" s="1" t="s">
        <v>9343</v>
      </c>
      <c r="B2188" s="1" t="s">
        <v>9344</v>
      </c>
      <c r="C2188" s="1">
        <v>2020.0</v>
      </c>
      <c r="D2188" s="2">
        <v>44032.0</v>
      </c>
      <c r="F2188" s="1" t="s">
        <v>9345</v>
      </c>
      <c r="H2188" s="3">
        <v>26.0</v>
      </c>
      <c r="I2188" s="4" t="s">
        <v>9346</v>
      </c>
      <c r="J2188" s="1" t="s">
        <v>9347</v>
      </c>
      <c r="K2188" s="1" t="s">
        <v>443</v>
      </c>
    </row>
    <row r="2189">
      <c r="A2189" s="1" t="s">
        <v>9348</v>
      </c>
      <c r="B2189" s="1" t="s">
        <v>9349</v>
      </c>
      <c r="C2189" s="1">
        <v>2020.0</v>
      </c>
      <c r="D2189" s="2">
        <v>44031.0</v>
      </c>
      <c r="F2189" s="1" t="s">
        <v>1358</v>
      </c>
      <c r="H2189" s="3">
        <v>9.0</v>
      </c>
      <c r="I2189" s="4" t="s">
        <v>9350</v>
      </c>
      <c r="J2189" s="1" t="s">
        <v>9351</v>
      </c>
      <c r="K2189" s="1" t="s">
        <v>323</v>
      </c>
    </row>
    <row r="2190">
      <c r="A2190" s="1" t="s">
        <v>9352</v>
      </c>
      <c r="B2190" s="1" t="s">
        <v>9353</v>
      </c>
      <c r="C2190" s="1">
        <v>2020.0</v>
      </c>
      <c r="D2190" s="2">
        <v>44029.0</v>
      </c>
      <c r="F2190" s="1" t="s">
        <v>71</v>
      </c>
      <c r="H2190" s="3">
        <v>4.0</v>
      </c>
      <c r="I2190" s="4" t="s">
        <v>9354</v>
      </c>
      <c r="J2190" s="1" t="s">
        <v>9355</v>
      </c>
      <c r="K2190" s="1" t="s">
        <v>28</v>
      </c>
    </row>
    <row r="2191">
      <c r="A2191" s="1" t="s">
        <v>9356</v>
      </c>
      <c r="B2191" s="1" t="s">
        <v>9357</v>
      </c>
      <c r="C2191" s="1">
        <v>2020.0</v>
      </c>
      <c r="D2191" s="2">
        <v>44028.0</v>
      </c>
      <c r="F2191" s="1" t="s">
        <v>1282</v>
      </c>
      <c r="H2191" s="3">
        <v>581.0</v>
      </c>
      <c r="I2191" s="4" t="s">
        <v>9358</v>
      </c>
      <c r="J2191" s="1" t="s">
        <v>9359</v>
      </c>
      <c r="K2191" s="1" t="s">
        <v>418</v>
      </c>
    </row>
    <row r="2192">
      <c r="A2192" s="1" t="s">
        <v>9360</v>
      </c>
      <c r="B2192" s="1" t="s">
        <v>8804</v>
      </c>
      <c r="C2192" s="1">
        <v>2020.0</v>
      </c>
      <c r="D2192" s="2">
        <v>44027.0</v>
      </c>
      <c r="F2192" s="1" t="s">
        <v>8805</v>
      </c>
      <c r="H2192" s="3">
        <v>14.0</v>
      </c>
      <c r="I2192" s="4" t="s">
        <v>9361</v>
      </c>
      <c r="J2192" s="1" t="s">
        <v>9362</v>
      </c>
      <c r="K2192" s="1" t="s">
        <v>45</v>
      </c>
    </row>
    <row r="2193">
      <c r="A2193" s="1" t="s">
        <v>9363</v>
      </c>
      <c r="B2193" s="1" t="s">
        <v>9364</v>
      </c>
      <c r="C2193" s="1">
        <v>2020.0</v>
      </c>
      <c r="D2193" s="2">
        <v>44027.0</v>
      </c>
      <c r="F2193" s="1" t="s">
        <v>9365</v>
      </c>
      <c r="H2193" s="3">
        <v>1.0</v>
      </c>
      <c r="I2193" s="4" t="s">
        <v>9366</v>
      </c>
      <c r="J2193" s="1" t="s">
        <v>9367</v>
      </c>
      <c r="K2193" s="1" t="s">
        <v>295</v>
      </c>
    </row>
    <row r="2194">
      <c r="A2194" s="1" t="s">
        <v>9368</v>
      </c>
      <c r="B2194" s="1" t="s">
        <v>9369</v>
      </c>
      <c r="C2194" s="1">
        <v>2020.0</v>
      </c>
      <c r="D2194" s="2">
        <v>44027.0</v>
      </c>
      <c r="F2194" s="1" t="s">
        <v>2982</v>
      </c>
      <c r="H2194" s="3">
        <v>58.0</v>
      </c>
      <c r="I2194" s="4" t="s">
        <v>9370</v>
      </c>
      <c r="J2194" s="1" t="s">
        <v>9371</v>
      </c>
      <c r="K2194" s="1" t="s">
        <v>68</v>
      </c>
    </row>
    <row r="2195">
      <c r="A2195" s="1" t="s">
        <v>9372</v>
      </c>
      <c r="B2195" s="1" t="s">
        <v>9373</v>
      </c>
      <c r="C2195" s="1">
        <v>2020.0</v>
      </c>
      <c r="D2195" s="2">
        <v>44027.0</v>
      </c>
      <c r="F2195" s="1" t="s">
        <v>2693</v>
      </c>
      <c r="H2195" s="3">
        <v>8.0</v>
      </c>
      <c r="I2195" s="4" t="s">
        <v>9374</v>
      </c>
      <c r="J2195" s="1" t="s">
        <v>9375</v>
      </c>
      <c r="K2195" s="1" t="s">
        <v>1036</v>
      </c>
    </row>
    <row r="2196">
      <c r="A2196" s="1" t="s">
        <v>9376</v>
      </c>
      <c r="B2196" s="1" t="s">
        <v>9377</v>
      </c>
      <c r="C2196" s="1">
        <v>2020.0</v>
      </c>
      <c r="D2196" s="2">
        <v>44027.0</v>
      </c>
      <c r="F2196" s="1" t="s">
        <v>821</v>
      </c>
      <c r="H2196" s="3">
        <v>12.0</v>
      </c>
      <c r="I2196" s="4" t="s">
        <v>9378</v>
      </c>
      <c r="J2196" s="1" t="s">
        <v>9379</v>
      </c>
      <c r="K2196" s="1" t="s">
        <v>16</v>
      </c>
    </row>
    <row r="2197">
      <c r="A2197" s="1" t="s">
        <v>9380</v>
      </c>
      <c r="B2197" s="1" t="s">
        <v>9381</v>
      </c>
      <c r="C2197" s="1">
        <v>2020.0</v>
      </c>
      <c r="D2197" s="2">
        <v>44026.0</v>
      </c>
      <c r="F2197" s="1" t="s">
        <v>7341</v>
      </c>
      <c r="H2197" s="3">
        <v>4.0</v>
      </c>
      <c r="I2197" s="4" t="s">
        <v>9382</v>
      </c>
      <c r="J2197" s="1" t="s">
        <v>9383</v>
      </c>
      <c r="K2197" s="1" t="s">
        <v>16</v>
      </c>
    </row>
    <row r="2198">
      <c r="A2198" s="1" t="s">
        <v>9384</v>
      </c>
      <c r="B2198" s="1" t="s">
        <v>9385</v>
      </c>
      <c r="C2198" s="1">
        <v>2020.0</v>
      </c>
      <c r="D2198" s="2">
        <v>44026.0</v>
      </c>
      <c r="F2198" s="1" t="s">
        <v>1366</v>
      </c>
      <c r="H2198" s="3">
        <v>21.0</v>
      </c>
      <c r="I2198" s="4" t="s">
        <v>9386</v>
      </c>
      <c r="J2198" s="1" t="s">
        <v>9387</v>
      </c>
      <c r="K2198" s="1" t="s">
        <v>16</v>
      </c>
    </row>
    <row r="2199">
      <c r="A2199" s="1" t="s">
        <v>9388</v>
      </c>
      <c r="B2199" s="1" t="s">
        <v>9389</v>
      </c>
      <c r="C2199" s="1">
        <v>2020.0</v>
      </c>
      <c r="D2199" s="2">
        <v>44025.0</v>
      </c>
      <c r="F2199" s="1" t="s">
        <v>2007</v>
      </c>
      <c r="H2199" s="3">
        <v>11.0</v>
      </c>
      <c r="I2199" s="4" t="s">
        <v>9390</v>
      </c>
      <c r="J2199" s="1" t="s">
        <v>9391</v>
      </c>
      <c r="K2199" s="1" t="s">
        <v>295</v>
      </c>
    </row>
    <row r="2200">
      <c r="A2200" s="1" t="s">
        <v>9392</v>
      </c>
      <c r="B2200" s="1" t="s">
        <v>9393</v>
      </c>
      <c r="C2200" s="1">
        <v>2020.0</v>
      </c>
      <c r="D2200" s="2">
        <v>44025.0</v>
      </c>
      <c r="F2200" s="1" t="s">
        <v>71</v>
      </c>
      <c r="H2200" s="3">
        <v>34.0</v>
      </c>
      <c r="I2200" s="4" t="s">
        <v>9394</v>
      </c>
      <c r="J2200" s="1" t="s">
        <v>9395</v>
      </c>
      <c r="K2200" s="1" t="s">
        <v>295</v>
      </c>
    </row>
    <row r="2201">
      <c r="A2201" s="1" t="s">
        <v>9396</v>
      </c>
      <c r="B2201" s="1" t="s">
        <v>9397</v>
      </c>
      <c r="C2201" s="1">
        <v>2020.0</v>
      </c>
      <c r="D2201" s="2">
        <v>44025.0</v>
      </c>
      <c r="F2201" s="1" t="s">
        <v>1795</v>
      </c>
      <c r="H2201" s="3">
        <v>8.0</v>
      </c>
      <c r="I2201" s="4" t="s">
        <v>9398</v>
      </c>
      <c r="J2201" s="1" t="s">
        <v>9399</v>
      </c>
      <c r="K2201" s="1" t="s">
        <v>413</v>
      </c>
    </row>
    <row r="2202">
      <c r="A2202" s="1" t="s">
        <v>9400</v>
      </c>
      <c r="B2202" s="1" t="s">
        <v>9401</v>
      </c>
      <c r="C2202" s="1">
        <v>2020.0</v>
      </c>
      <c r="D2202" s="2">
        <v>44023.0</v>
      </c>
      <c r="F2202" s="1" t="s">
        <v>830</v>
      </c>
      <c r="H2202" s="3">
        <v>8.0</v>
      </c>
      <c r="I2202" s="4" t="s">
        <v>9402</v>
      </c>
      <c r="J2202" s="1" t="s">
        <v>9403</v>
      </c>
      <c r="K2202" s="1" t="s">
        <v>28</v>
      </c>
    </row>
    <row r="2203">
      <c r="A2203" s="1" t="s">
        <v>9404</v>
      </c>
      <c r="B2203" s="1" t="s">
        <v>9405</v>
      </c>
      <c r="C2203" s="1">
        <v>2020.0</v>
      </c>
      <c r="D2203" s="2">
        <v>44023.0</v>
      </c>
      <c r="F2203" s="1" t="s">
        <v>6800</v>
      </c>
      <c r="H2203" s="3">
        <v>19.0</v>
      </c>
      <c r="I2203" s="4" t="s">
        <v>9406</v>
      </c>
      <c r="J2203" s="1" t="s">
        <v>9407</v>
      </c>
      <c r="K2203" s="1" t="s">
        <v>16</v>
      </c>
    </row>
    <row r="2204">
      <c r="A2204" s="1" t="s">
        <v>9408</v>
      </c>
      <c r="B2204" s="1" t="s">
        <v>9409</v>
      </c>
      <c r="C2204" s="1">
        <v>2020.0</v>
      </c>
      <c r="D2204" s="2">
        <v>44022.0</v>
      </c>
      <c r="F2204" s="1" t="s">
        <v>4614</v>
      </c>
      <c r="H2204" s="3">
        <v>5.0</v>
      </c>
      <c r="I2204" s="4" t="s">
        <v>9410</v>
      </c>
      <c r="J2204" s="1" t="s">
        <v>9411</v>
      </c>
      <c r="K2204" s="1" t="s">
        <v>28</v>
      </c>
    </row>
    <row r="2205">
      <c r="A2205" s="1" t="s">
        <v>9412</v>
      </c>
      <c r="B2205" s="1" t="s">
        <v>9413</v>
      </c>
      <c r="C2205" s="1">
        <v>2020.0</v>
      </c>
      <c r="D2205" s="2">
        <v>44022.0</v>
      </c>
      <c r="F2205" s="1" t="s">
        <v>71</v>
      </c>
      <c r="H2205" s="3">
        <v>5.0</v>
      </c>
      <c r="I2205" s="4" t="s">
        <v>9414</v>
      </c>
      <c r="J2205" s="1" t="s">
        <v>9415</v>
      </c>
      <c r="K2205" s="1" t="s">
        <v>295</v>
      </c>
    </row>
    <row r="2206">
      <c r="A2206" s="1" t="s">
        <v>9416</v>
      </c>
      <c r="B2206" s="1" t="s">
        <v>4975</v>
      </c>
      <c r="C2206" s="1">
        <v>2020.0</v>
      </c>
      <c r="D2206" s="2">
        <v>44022.0</v>
      </c>
      <c r="F2206" s="1" t="s">
        <v>337</v>
      </c>
      <c r="H2206" s="3">
        <v>57.0</v>
      </c>
      <c r="I2206" s="4" t="s">
        <v>9417</v>
      </c>
      <c r="J2206" s="1" t="s">
        <v>9418</v>
      </c>
      <c r="K2206" s="1" t="s">
        <v>443</v>
      </c>
    </row>
    <row r="2207">
      <c r="A2207" s="1" t="s">
        <v>9419</v>
      </c>
      <c r="B2207" s="1" t="s">
        <v>9420</v>
      </c>
      <c r="C2207" s="1">
        <v>2020.0</v>
      </c>
      <c r="D2207" s="2">
        <v>44022.0</v>
      </c>
      <c r="F2207" s="1" t="s">
        <v>558</v>
      </c>
      <c r="H2207" s="3">
        <v>15.0</v>
      </c>
      <c r="I2207" s="4" t="s">
        <v>9421</v>
      </c>
      <c r="J2207" s="1" t="s">
        <v>9422</v>
      </c>
      <c r="K2207" s="1" t="s">
        <v>295</v>
      </c>
    </row>
    <row r="2208">
      <c r="A2208" s="1" t="s">
        <v>9423</v>
      </c>
      <c r="B2208" s="1" t="s">
        <v>9424</v>
      </c>
      <c r="C2208" s="1">
        <v>2020.0</v>
      </c>
      <c r="D2208" s="2">
        <v>44021.0</v>
      </c>
      <c r="F2208" s="1" t="s">
        <v>2449</v>
      </c>
      <c r="H2208" s="3">
        <v>13.0</v>
      </c>
      <c r="I2208" s="4" t="s">
        <v>9425</v>
      </c>
      <c r="J2208" s="1" t="s">
        <v>9426</v>
      </c>
      <c r="K2208" s="1" t="s">
        <v>1036</v>
      </c>
    </row>
    <row r="2209">
      <c r="A2209" s="1" t="s">
        <v>9427</v>
      </c>
      <c r="B2209" s="1" t="s">
        <v>9428</v>
      </c>
      <c r="C2209" s="1">
        <v>2020.0</v>
      </c>
      <c r="D2209" s="2">
        <v>44021.0</v>
      </c>
      <c r="F2209" s="1" t="s">
        <v>830</v>
      </c>
      <c r="H2209" s="3">
        <v>12.0</v>
      </c>
      <c r="I2209" s="4" t="s">
        <v>9429</v>
      </c>
      <c r="J2209" s="1" t="s">
        <v>9430</v>
      </c>
      <c r="K2209" s="1" t="s">
        <v>329</v>
      </c>
    </row>
    <row r="2210">
      <c r="A2210" s="1" t="s">
        <v>9431</v>
      </c>
      <c r="B2210" s="1" t="s">
        <v>9432</v>
      </c>
      <c r="C2210" s="1">
        <v>2020.0</v>
      </c>
      <c r="D2210" s="2">
        <v>44020.0</v>
      </c>
      <c r="F2210" s="1" t="s">
        <v>2560</v>
      </c>
      <c r="H2210" s="3">
        <v>6.0</v>
      </c>
      <c r="I2210" s="4" t="s">
        <v>9433</v>
      </c>
      <c r="J2210" s="1" t="s">
        <v>9434</v>
      </c>
      <c r="K2210" s="1" t="s">
        <v>323</v>
      </c>
    </row>
    <row r="2211">
      <c r="A2211" s="1" t="s">
        <v>9435</v>
      </c>
      <c r="B2211" s="1" t="s">
        <v>9436</v>
      </c>
      <c r="C2211" s="1">
        <v>2020.0</v>
      </c>
      <c r="D2211" s="2">
        <v>44020.0</v>
      </c>
      <c r="F2211" s="1" t="s">
        <v>9437</v>
      </c>
      <c r="H2211" s="3">
        <v>3.0</v>
      </c>
      <c r="I2211" s="4" t="s">
        <v>9438</v>
      </c>
      <c r="J2211" s="1"/>
      <c r="K2211" s="1" t="s">
        <v>16</v>
      </c>
    </row>
    <row r="2212">
      <c r="A2212" s="1" t="s">
        <v>9439</v>
      </c>
      <c r="B2212" s="1" t="s">
        <v>9440</v>
      </c>
      <c r="C2212" s="1">
        <v>2020.0</v>
      </c>
      <c r="D2212" s="2">
        <v>44020.0</v>
      </c>
      <c r="F2212" s="1" t="s">
        <v>396</v>
      </c>
      <c r="H2212" s="3">
        <v>72.0</v>
      </c>
      <c r="I2212" s="4" t="s">
        <v>9441</v>
      </c>
      <c r="J2212" s="1" t="s">
        <v>9442</v>
      </c>
      <c r="K2212" s="1" t="s">
        <v>16</v>
      </c>
    </row>
    <row r="2213">
      <c r="A2213" s="1" t="s">
        <v>9443</v>
      </c>
      <c r="B2213" s="1" t="s">
        <v>9444</v>
      </c>
      <c r="C2213" s="1">
        <v>2020.0</v>
      </c>
      <c r="D2213" s="2">
        <v>44019.0</v>
      </c>
      <c r="F2213" s="1" t="s">
        <v>248</v>
      </c>
      <c r="H2213" s="3">
        <v>249.0</v>
      </c>
      <c r="I2213" s="4" t="s">
        <v>9445</v>
      </c>
      <c r="J2213" s="1" t="s">
        <v>9446</v>
      </c>
      <c r="K2213" s="1" t="s">
        <v>28</v>
      </c>
    </row>
    <row r="2214">
      <c r="A2214" s="1" t="s">
        <v>9447</v>
      </c>
      <c r="B2214" s="1" t="s">
        <v>9448</v>
      </c>
      <c r="C2214" s="1">
        <v>2020.0</v>
      </c>
      <c r="D2214" s="2">
        <v>44019.0</v>
      </c>
      <c r="F2214" s="1" t="s">
        <v>147</v>
      </c>
      <c r="H2214" s="3">
        <v>8.0</v>
      </c>
      <c r="I2214" s="4" t="s">
        <v>9449</v>
      </c>
      <c r="J2214" s="1" t="s">
        <v>9450</v>
      </c>
      <c r="K2214" s="1" t="s">
        <v>68</v>
      </c>
    </row>
    <row r="2215">
      <c r="A2215" s="1" t="s">
        <v>9451</v>
      </c>
      <c r="B2215" s="1" t="s">
        <v>9452</v>
      </c>
      <c r="C2215" s="1">
        <v>2020.0</v>
      </c>
      <c r="D2215" s="2">
        <v>44018.0</v>
      </c>
      <c r="F2215" s="1" t="s">
        <v>31</v>
      </c>
      <c r="H2215" s="3">
        <v>8.0</v>
      </c>
      <c r="I2215" s="4" t="s">
        <v>9453</v>
      </c>
      <c r="J2215" s="1" t="s">
        <v>9454</v>
      </c>
      <c r="K2215" s="1" t="s">
        <v>477</v>
      </c>
    </row>
    <row r="2216">
      <c r="A2216" s="1" t="s">
        <v>9455</v>
      </c>
      <c r="B2216" s="1" t="s">
        <v>9456</v>
      </c>
      <c r="C2216" s="1">
        <v>2020.0</v>
      </c>
      <c r="D2216" s="2">
        <v>44015.0</v>
      </c>
      <c r="F2216" s="1" t="s">
        <v>430</v>
      </c>
      <c r="H2216" s="3">
        <v>3.0</v>
      </c>
      <c r="I2216" s="4" t="s">
        <v>9457</v>
      </c>
      <c r="J2216" s="1"/>
      <c r="K2216" s="1" t="s">
        <v>16</v>
      </c>
    </row>
    <row r="2217">
      <c r="A2217" s="1" t="s">
        <v>9458</v>
      </c>
      <c r="B2217" s="1" t="s">
        <v>9459</v>
      </c>
      <c r="C2217" s="1">
        <v>2020.0</v>
      </c>
      <c r="D2217" s="2">
        <v>44014.0</v>
      </c>
      <c r="F2217" s="1" t="s">
        <v>13</v>
      </c>
      <c r="H2217" s="3">
        <v>11.0</v>
      </c>
      <c r="I2217" s="4" t="s">
        <v>9460</v>
      </c>
      <c r="J2217" s="1" t="s">
        <v>9461</v>
      </c>
      <c r="K2217" s="1" t="s">
        <v>323</v>
      </c>
    </row>
    <row r="2218">
      <c r="A2218" s="1" t="s">
        <v>9462</v>
      </c>
      <c r="B2218" s="1" t="s">
        <v>9463</v>
      </c>
      <c r="C2218" s="1">
        <v>2020.0</v>
      </c>
      <c r="D2218" s="2">
        <v>44014.0</v>
      </c>
      <c r="F2218" s="1" t="s">
        <v>4197</v>
      </c>
      <c r="H2218" s="3">
        <v>50.0</v>
      </c>
      <c r="I2218" s="4" t="s">
        <v>9464</v>
      </c>
      <c r="J2218" s="1" t="s">
        <v>9465</v>
      </c>
      <c r="K2218" s="1" t="s">
        <v>295</v>
      </c>
    </row>
    <row r="2219">
      <c r="A2219" s="1" t="s">
        <v>9466</v>
      </c>
      <c r="B2219" s="1" t="s">
        <v>9467</v>
      </c>
      <c r="C2219" s="1">
        <v>2020.0</v>
      </c>
      <c r="D2219" s="2">
        <v>44013.0</v>
      </c>
      <c r="F2219" s="1" t="s">
        <v>4054</v>
      </c>
      <c r="H2219" s="3">
        <v>24.0</v>
      </c>
      <c r="I2219" s="4" t="s">
        <v>9468</v>
      </c>
      <c r="J2219" s="1" t="s">
        <v>9469</v>
      </c>
      <c r="K2219" s="1" t="s">
        <v>28</v>
      </c>
    </row>
    <row r="2220">
      <c r="A2220" s="1" t="s">
        <v>9470</v>
      </c>
      <c r="B2220" s="1" t="s">
        <v>9471</v>
      </c>
      <c r="C2220" s="1">
        <v>2020.0</v>
      </c>
      <c r="D2220" s="2">
        <v>44013.0</v>
      </c>
      <c r="F2220" s="1" t="s">
        <v>5829</v>
      </c>
      <c r="H2220" s="3">
        <v>4.0</v>
      </c>
      <c r="I2220" s="4" t="s">
        <v>9472</v>
      </c>
      <c r="J2220" s="1" t="s">
        <v>9473</v>
      </c>
      <c r="K2220" s="1" t="s">
        <v>926</v>
      </c>
    </row>
    <row r="2221">
      <c r="A2221" s="1" t="s">
        <v>9474</v>
      </c>
      <c r="B2221" s="1" t="s">
        <v>9475</v>
      </c>
      <c r="C2221" s="1">
        <v>2020.0</v>
      </c>
      <c r="D2221" s="2">
        <v>44013.0</v>
      </c>
      <c r="F2221" s="1" t="s">
        <v>5015</v>
      </c>
      <c r="H2221" s="3">
        <v>236.0</v>
      </c>
      <c r="I2221" s="4" t="s">
        <v>9476</v>
      </c>
      <c r="J2221" s="1" t="s">
        <v>9477</v>
      </c>
      <c r="K2221" s="1" t="s">
        <v>295</v>
      </c>
    </row>
    <row r="2222">
      <c r="A2222" s="1" t="s">
        <v>9478</v>
      </c>
      <c r="B2222" s="1" t="s">
        <v>9479</v>
      </c>
      <c r="C2222" s="1">
        <v>2020.0</v>
      </c>
      <c r="D2222" s="2">
        <v>44013.0</v>
      </c>
      <c r="F2222" s="1" t="s">
        <v>8420</v>
      </c>
      <c r="H2222" s="3">
        <v>1.0</v>
      </c>
      <c r="I2222" s="4" t="s">
        <v>9480</v>
      </c>
      <c r="J2222" s="1" t="s">
        <v>9481</v>
      </c>
      <c r="K2222" s="1" t="s">
        <v>295</v>
      </c>
    </row>
    <row r="2223">
      <c r="A2223" s="1" t="s">
        <v>9482</v>
      </c>
      <c r="B2223" s="1" t="s">
        <v>9483</v>
      </c>
      <c r="C2223" s="1">
        <v>2020.0</v>
      </c>
      <c r="D2223" s="2">
        <v>44013.0</v>
      </c>
      <c r="F2223" s="1" t="s">
        <v>71</v>
      </c>
      <c r="H2223" s="3">
        <v>6.0</v>
      </c>
      <c r="I2223" s="4" t="s">
        <v>9484</v>
      </c>
      <c r="J2223" s="1" t="s">
        <v>9485</v>
      </c>
      <c r="K2223" s="1" t="s">
        <v>413</v>
      </c>
    </row>
    <row r="2224">
      <c r="A2224" s="1" t="s">
        <v>9486</v>
      </c>
      <c r="B2224" s="1" t="s">
        <v>9487</v>
      </c>
      <c r="C2224" s="1">
        <v>2020.0</v>
      </c>
      <c r="D2224" s="2">
        <v>44013.0</v>
      </c>
      <c r="F2224" s="1" t="s">
        <v>689</v>
      </c>
      <c r="H2224" s="3">
        <v>8.0</v>
      </c>
      <c r="I2224" s="4" t="s">
        <v>9488</v>
      </c>
      <c r="J2224" s="1" t="s">
        <v>9489</v>
      </c>
      <c r="K2224" s="1" t="s">
        <v>16</v>
      </c>
    </row>
    <row r="2225">
      <c r="A2225" s="1" t="s">
        <v>9490</v>
      </c>
      <c r="B2225" s="1" t="s">
        <v>9491</v>
      </c>
      <c r="C2225" s="1">
        <v>2020.0</v>
      </c>
      <c r="D2225" s="2">
        <v>44013.0</v>
      </c>
      <c r="F2225" s="1" t="s">
        <v>3530</v>
      </c>
      <c r="H2225" s="3">
        <v>10.0</v>
      </c>
      <c r="I2225" s="4" t="s">
        <v>9492</v>
      </c>
      <c r="J2225" s="1" t="s">
        <v>9493</v>
      </c>
      <c r="K2225" s="1" t="s">
        <v>413</v>
      </c>
    </row>
    <row r="2226">
      <c r="A2226" s="1" t="s">
        <v>9494</v>
      </c>
      <c r="B2226" s="1" t="s">
        <v>9495</v>
      </c>
      <c r="C2226" s="1">
        <v>2020.0</v>
      </c>
      <c r="D2226" s="2">
        <v>44008.0</v>
      </c>
      <c r="F2226" s="1" t="s">
        <v>2774</v>
      </c>
      <c r="H2226" s="3">
        <v>11.0</v>
      </c>
      <c r="I2226" s="4" t="s">
        <v>9496</v>
      </c>
      <c r="J2226" s="1" t="s">
        <v>9497</v>
      </c>
      <c r="K2226" s="1" t="s">
        <v>1423</v>
      </c>
    </row>
    <row r="2227">
      <c r="A2227" s="1" t="s">
        <v>9498</v>
      </c>
      <c r="B2227" s="1" t="s">
        <v>9499</v>
      </c>
      <c r="C2227" s="1">
        <v>2020.0</v>
      </c>
      <c r="D2227" s="2">
        <v>44008.0</v>
      </c>
      <c r="F2227" s="1" t="s">
        <v>6343</v>
      </c>
      <c r="H2227" s="3">
        <v>32.0</v>
      </c>
      <c r="I2227" s="4" t="s">
        <v>9500</v>
      </c>
      <c r="J2227" s="1" t="s">
        <v>9501</v>
      </c>
      <c r="K2227" s="1" t="s">
        <v>16</v>
      </c>
    </row>
    <row r="2228">
      <c r="A2228" s="1" t="s">
        <v>9502</v>
      </c>
      <c r="B2228" s="1" t="s">
        <v>9503</v>
      </c>
      <c r="C2228" s="1">
        <v>2020.0</v>
      </c>
      <c r="D2228" s="2">
        <v>44007.0</v>
      </c>
      <c r="F2228" s="1" t="s">
        <v>1410</v>
      </c>
      <c r="H2228" s="3">
        <v>10.0</v>
      </c>
      <c r="I2228" s="4" t="s">
        <v>9504</v>
      </c>
      <c r="J2228" s="1" t="s">
        <v>9505</v>
      </c>
      <c r="K2228" s="1" t="s">
        <v>1423</v>
      </c>
    </row>
    <row r="2229">
      <c r="A2229" s="1" t="s">
        <v>9506</v>
      </c>
      <c r="B2229" s="1" t="s">
        <v>9507</v>
      </c>
      <c r="C2229" s="1">
        <v>2020.0</v>
      </c>
      <c r="D2229" s="2">
        <v>44006.0</v>
      </c>
      <c r="F2229" s="1" t="s">
        <v>9508</v>
      </c>
      <c r="H2229" s="3">
        <v>17.0</v>
      </c>
      <c r="I2229" s="4" t="s">
        <v>9509</v>
      </c>
      <c r="J2229" s="1" t="s">
        <v>9510</v>
      </c>
      <c r="K2229" s="1" t="s">
        <v>372</v>
      </c>
    </row>
    <row r="2230">
      <c r="A2230" s="1" t="s">
        <v>9511</v>
      </c>
      <c r="B2230" s="1" t="s">
        <v>9512</v>
      </c>
      <c r="C2230" s="1">
        <v>2020.0</v>
      </c>
      <c r="D2230" s="2">
        <v>44006.0</v>
      </c>
      <c r="F2230" s="1" t="s">
        <v>4819</v>
      </c>
      <c r="H2230" s="3">
        <v>9.0</v>
      </c>
      <c r="I2230" s="4" t="s">
        <v>9513</v>
      </c>
      <c r="J2230" s="1" t="s">
        <v>9514</v>
      </c>
      <c r="K2230" s="1" t="s">
        <v>16</v>
      </c>
    </row>
    <row r="2231">
      <c r="A2231" s="1" t="s">
        <v>9515</v>
      </c>
      <c r="B2231" s="1" t="s">
        <v>9516</v>
      </c>
      <c r="C2231" s="1">
        <v>2020.0</v>
      </c>
      <c r="D2231" s="2">
        <v>44002.0</v>
      </c>
      <c r="F2231" s="1" t="s">
        <v>1762</v>
      </c>
      <c r="H2231" s="3">
        <v>2.0</v>
      </c>
      <c r="I2231" s="4" t="s">
        <v>9517</v>
      </c>
      <c r="J2231" s="1" t="s">
        <v>9518</v>
      </c>
      <c r="K2231" s="1" t="s">
        <v>295</v>
      </c>
    </row>
    <row r="2232">
      <c r="A2232" s="1" t="s">
        <v>9519</v>
      </c>
      <c r="B2232" s="1" t="s">
        <v>9520</v>
      </c>
      <c r="C2232" s="1">
        <v>2020.0</v>
      </c>
      <c r="D2232" s="2">
        <v>44001.0</v>
      </c>
      <c r="F2232" s="1" t="s">
        <v>208</v>
      </c>
      <c r="H2232" s="3">
        <v>20.0</v>
      </c>
      <c r="I2232" s="4" t="s">
        <v>9521</v>
      </c>
      <c r="J2232" s="1"/>
      <c r="K2232" s="1" t="s">
        <v>418</v>
      </c>
    </row>
    <row r="2233">
      <c r="A2233" s="1" t="s">
        <v>9522</v>
      </c>
      <c r="B2233" s="1" t="s">
        <v>9523</v>
      </c>
      <c r="C2233" s="1">
        <v>2020.0</v>
      </c>
      <c r="D2233" s="2">
        <v>44001.0</v>
      </c>
      <c r="F2233" s="1" t="s">
        <v>2774</v>
      </c>
      <c r="H2233" s="3">
        <v>47.0</v>
      </c>
      <c r="I2233" s="4" t="s">
        <v>9524</v>
      </c>
      <c r="J2233" s="1" t="s">
        <v>9525</v>
      </c>
      <c r="K2233" s="1" t="s">
        <v>340</v>
      </c>
    </row>
    <row r="2234">
      <c r="A2234" s="1" t="s">
        <v>9526</v>
      </c>
      <c r="B2234" s="1" t="s">
        <v>9527</v>
      </c>
      <c r="C2234" s="1">
        <v>2020.0</v>
      </c>
      <c r="D2234" s="2">
        <v>44000.0</v>
      </c>
      <c r="F2234" s="1" t="s">
        <v>1371</v>
      </c>
      <c r="H2234" s="3">
        <v>10.0</v>
      </c>
      <c r="I2234" s="4" t="s">
        <v>9528</v>
      </c>
      <c r="J2234" s="1" t="s">
        <v>9529</v>
      </c>
      <c r="K2234" s="1" t="s">
        <v>443</v>
      </c>
    </row>
    <row r="2235">
      <c r="A2235" s="1" t="s">
        <v>9530</v>
      </c>
      <c r="B2235" s="1" t="s">
        <v>9531</v>
      </c>
      <c r="C2235" s="1">
        <v>2020.0</v>
      </c>
      <c r="D2235" s="2">
        <v>43999.0</v>
      </c>
      <c r="F2235" s="1" t="s">
        <v>2007</v>
      </c>
      <c r="H2235" s="3">
        <v>228.0</v>
      </c>
      <c r="I2235" s="4" t="s">
        <v>9532</v>
      </c>
      <c r="J2235" s="1" t="s">
        <v>9533</v>
      </c>
      <c r="K2235" s="1" t="s">
        <v>383</v>
      </c>
    </row>
    <row r="2236">
      <c r="A2236" s="1" t="s">
        <v>9534</v>
      </c>
      <c r="B2236" s="1" t="s">
        <v>9535</v>
      </c>
      <c r="C2236" s="1">
        <v>2020.0</v>
      </c>
      <c r="D2236" s="2">
        <v>43999.0</v>
      </c>
      <c r="F2236" s="1" t="s">
        <v>106</v>
      </c>
      <c r="H2236" s="3">
        <v>115.0</v>
      </c>
      <c r="I2236" s="4" t="s">
        <v>9536</v>
      </c>
      <c r="J2236" s="1" t="s">
        <v>9537</v>
      </c>
      <c r="K2236" s="1" t="s">
        <v>413</v>
      </c>
    </row>
    <row r="2237">
      <c r="A2237" s="1" t="s">
        <v>9538</v>
      </c>
      <c r="B2237" s="1" t="s">
        <v>9539</v>
      </c>
      <c r="C2237" s="1">
        <v>2020.0</v>
      </c>
      <c r="D2237" s="2">
        <v>43999.0</v>
      </c>
      <c r="F2237" s="1" t="s">
        <v>558</v>
      </c>
      <c r="H2237" s="3">
        <v>12.0</v>
      </c>
      <c r="I2237" s="4" t="s">
        <v>9540</v>
      </c>
      <c r="J2237" s="1" t="s">
        <v>9541</v>
      </c>
      <c r="K2237" s="1" t="s">
        <v>16</v>
      </c>
    </row>
    <row r="2238">
      <c r="A2238" s="1" t="s">
        <v>9542</v>
      </c>
      <c r="B2238" s="1" t="s">
        <v>9543</v>
      </c>
      <c r="C2238" s="1">
        <v>2020.0</v>
      </c>
      <c r="D2238" s="2">
        <v>43997.0</v>
      </c>
      <c r="F2238" s="1" t="s">
        <v>1415</v>
      </c>
      <c r="H2238" s="3">
        <v>9.0</v>
      </c>
      <c r="I2238" s="4" t="s">
        <v>9544</v>
      </c>
      <c r="J2238" s="1" t="s">
        <v>9545</v>
      </c>
      <c r="K2238" s="1" t="s">
        <v>492</v>
      </c>
    </row>
    <row r="2239">
      <c r="A2239" s="1" t="s">
        <v>9546</v>
      </c>
      <c r="B2239" s="1" t="s">
        <v>9547</v>
      </c>
      <c r="C2239" s="1">
        <v>2020.0</v>
      </c>
      <c r="D2239" s="2">
        <v>43997.0</v>
      </c>
      <c r="F2239" s="1" t="s">
        <v>106</v>
      </c>
      <c r="H2239" s="3">
        <v>40.0</v>
      </c>
      <c r="I2239" s="4" t="s">
        <v>9548</v>
      </c>
      <c r="J2239" s="1" t="s">
        <v>9549</v>
      </c>
      <c r="K2239" s="1" t="s">
        <v>68</v>
      </c>
    </row>
    <row r="2240">
      <c r="A2240" s="1" t="s">
        <v>9550</v>
      </c>
      <c r="B2240" s="1" t="s">
        <v>9551</v>
      </c>
      <c r="C2240" s="1">
        <v>2020.0</v>
      </c>
      <c r="D2240" s="2">
        <v>43997.0</v>
      </c>
      <c r="F2240" s="1" t="s">
        <v>435</v>
      </c>
      <c r="H2240" s="3">
        <v>35.0</v>
      </c>
      <c r="I2240" s="4" t="s">
        <v>9552</v>
      </c>
      <c r="J2240" s="1" t="s">
        <v>9553</v>
      </c>
      <c r="K2240" s="1" t="s">
        <v>16</v>
      </c>
    </row>
    <row r="2241">
      <c r="A2241" s="1" t="s">
        <v>9554</v>
      </c>
      <c r="B2241" s="1" t="s">
        <v>9555</v>
      </c>
      <c r="C2241" s="1">
        <v>2020.0</v>
      </c>
      <c r="D2241" s="2">
        <v>43996.0</v>
      </c>
      <c r="F2241" s="1" t="s">
        <v>276</v>
      </c>
      <c r="H2241" s="3">
        <v>3.0</v>
      </c>
      <c r="I2241" s="4" t="s">
        <v>9556</v>
      </c>
      <c r="J2241" s="1" t="s">
        <v>9557</v>
      </c>
      <c r="K2241" s="1" t="s">
        <v>443</v>
      </c>
    </row>
    <row r="2242">
      <c r="A2242" s="1" t="s">
        <v>9558</v>
      </c>
      <c r="B2242" s="1" t="s">
        <v>9559</v>
      </c>
      <c r="C2242" s="1">
        <v>2020.0</v>
      </c>
      <c r="D2242" s="2">
        <v>43995.0</v>
      </c>
      <c r="F2242" s="1" t="s">
        <v>1528</v>
      </c>
      <c r="H2242" s="3">
        <v>4.0</v>
      </c>
      <c r="I2242" s="4" t="s">
        <v>9560</v>
      </c>
      <c r="J2242" s="1" t="s">
        <v>9561</v>
      </c>
      <c r="K2242" s="1" t="s">
        <v>295</v>
      </c>
    </row>
    <row r="2243">
      <c r="A2243" s="1" t="s">
        <v>9562</v>
      </c>
      <c r="B2243" s="1" t="s">
        <v>9563</v>
      </c>
      <c r="C2243" s="1">
        <v>2020.0</v>
      </c>
      <c r="D2243" s="2">
        <v>43994.0</v>
      </c>
      <c r="F2243" s="1" t="s">
        <v>208</v>
      </c>
      <c r="H2243" s="3">
        <v>0.0</v>
      </c>
      <c r="I2243" s="4" t="s">
        <v>9564</v>
      </c>
      <c r="J2243" s="1"/>
      <c r="K2243" s="1" t="s">
        <v>413</v>
      </c>
    </row>
    <row r="2244">
      <c r="A2244" s="1" t="s">
        <v>9565</v>
      </c>
      <c r="B2244" s="1" t="s">
        <v>9566</v>
      </c>
      <c r="C2244" s="1">
        <v>2020.0</v>
      </c>
      <c r="D2244" s="2">
        <v>43993.0</v>
      </c>
      <c r="F2244" s="1" t="s">
        <v>1588</v>
      </c>
      <c r="H2244" s="3">
        <v>14.0</v>
      </c>
      <c r="I2244" s="4" t="s">
        <v>9567</v>
      </c>
      <c r="J2244" s="1" t="s">
        <v>9568</v>
      </c>
      <c r="K2244" s="1" t="s">
        <v>295</v>
      </c>
    </row>
    <row r="2245">
      <c r="A2245" s="1" t="s">
        <v>9569</v>
      </c>
      <c r="B2245" s="1" t="s">
        <v>9570</v>
      </c>
      <c r="C2245" s="1">
        <v>2020.0</v>
      </c>
      <c r="D2245" s="2">
        <v>43990.0</v>
      </c>
      <c r="F2245" s="1" t="s">
        <v>9571</v>
      </c>
      <c r="H2245" s="3">
        <v>11.0</v>
      </c>
      <c r="I2245" s="4" t="s">
        <v>9572</v>
      </c>
      <c r="J2245" s="1" t="s">
        <v>9573</v>
      </c>
      <c r="K2245" s="1" t="s">
        <v>443</v>
      </c>
    </row>
    <row r="2246">
      <c r="A2246" s="1" t="s">
        <v>9574</v>
      </c>
      <c r="B2246" s="1" t="s">
        <v>9575</v>
      </c>
      <c r="C2246" s="1">
        <v>2020.0</v>
      </c>
      <c r="D2246" s="2">
        <v>43987.0</v>
      </c>
      <c r="F2246" s="1" t="s">
        <v>1123</v>
      </c>
      <c r="H2246" s="3">
        <v>24.0</v>
      </c>
      <c r="I2246" s="4" t="s">
        <v>9576</v>
      </c>
      <c r="J2246" s="1" t="s">
        <v>9577</v>
      </c>
      <c r="K2246" s="1" t="s">
        <v>329</v>
      </c>
    </row>
    <row r="2247">
      <c r="A2247" s="1" t="s">
        <v>9578</v>
      </c>
      <c r="B2247" s="1" t="s">
        <v>9579</v>
      </c>
      <c r="C2247" s="1">
        <v>2020.0</v>
      </c>
      <c r="D2247" s="2">
        <v>43987.0</v>
      </c>
      <c r="F2247" s="1" t="s">
        <v>157</v>
      </c>
      <c r="H2247" s="3">
        <v>18.0</v>
      </c>
      <c r="I2247" s="4" t="s">
        <v>9580</v>
      </c>
      <c r="J2247" s="1" t="s">
        <v>9581</v>
      </c>
      <c r="K2247" s="1" t="s">
        <v>546</v>
      </c>
    </row>
    <row r="2248">
      <c r="A2248" s="1" t="s">
        <v>9582</v>
      </c>
      <c r="B2248" s="1" t="s">
        <v>9583</v>
      </c>
      <c r="C2248" s="1">
        <v>2020.0</v>
      </c>
      <c r="D2248" s="2">
        <v>43987.0</v>
      </c>
      <c r="F2248" s="1" t="s">
        <v>656</v>
      </c>
      <c r="H2248" s="3">
        <v>21.0</v>
      </c>
      <c r="I2248" s="4" t="s">
        <v>9584</v>
      </c>
      <c r="J2248" s="1" t="s">
        <v>9585</v>
      </c>
      <c r="K2248" s="1" t="s">
        <v>16</v>
      </c>
    </row>
    <row r="2249">
      <c r="A2249" s="1" t="s">
        <v>9586</v>
      </c>
      <c r="B2249" s="1" t="s">
        <v>9587</v>
      </c>
      <c r="C2249" s="1">
        <v>2020.0</v>
      </c>
      <c r="D2249" s="2">
        <v>43986.0</v>
      </c>
      <c r="F2249" s="1" t="s">
        <v>71</v>
      </c>
      <c r="H2249" s="3">
        <v>2.0</v>
      </c>
      <c r="I2249" s="4" t="s">
        <v>9588</v>
      </c>
      <c r="J2249" s="1" t="s">
        <v>9589</v>
      </c>
      <c r="K2249" s="1" t="s">
        <v>413</v>
      </c>
    </row>
    <row r="2250">
      <c r="A2250" s="1" t="s">
        <v>9590</v>
      </c>
      <c r="B2250" s="1" t="s">
        <v>9591</v>
      </c>
      <c r="C2250" s="1">
        <v>2020.0</v>
      </c>
      <c r="D2250" s="2">
        <v>43985.0</v>
      </c>
      <c r="F2250" s="1" t="s">
        <v>1767</v>
      </c>
      <c r="H2250" s="3">
        <v>4.0</v>
      </c>
      <c r="I2250" s="4" t="s">
        <v>9592</v>
      </c>
      <c r="J2250" s="1" t="s">
        <v>9593</v>
      </c>
      <c r="K2250" s="1" t="s">
        <v>1036</v>
      </c>
    </row>
    <row r="2251">
      <c r="A2251" s="1" t="s">
        <v>9594</v>
      </c>
      <c r="B2251" s="1" t="s">
        <v>9595</v>
      </c>
      <c r="C2251" s="1">
        <v>2020.0</v>
      </c>
      <c r="D2251" s="2">
        <v>43984.0</v>
      </c>
      <c r="F2251" s="1" t="s">
        <v>3569</v>
      </c>
      <c r="H2251" s="3">
        <v>39.0</v>
      </c>
      <c r="I2251" s="4" t="s">
        <v>9596</v>
      </c>
      <c r="J2251" s="1" t="s">
        <v>9597</v>
      </c>
      <c r="K2251" s="1" t="s">
        <v>28</v>
      </c>
    </row>
    <row r="2252">
      <c r="A2252" s="1" t="s">
        <v>9598</v>
      </c>
      <c r="B2252" s="1" t="s">
        <v>9599</v>
      </c>
      <c r="C2252" s="1">
        <v>2020.0</v>
      </c>
      <c r="D2252" s="2">
        <v>43984.0</v>
      </c>
      <c r="F2252" s="1" t="s">
        <v>1358</v>
      </c>
      <c r="H2252" s="3">
        <v>61.0</v>
      </c>
      <c r="I2252" s="4" t="s">
        <v>9600</v>
      </c>
      <c r="J2252" s="1" t="s">
        <v>9601</v>
      </c>
      <c r="K2252" s="1" t="s">
        <v>413</v>
      </c>
    </row>
    <row r="2253">
      <c r="A2253" s="1" t="s">
        <v>9602</v>
      </c>
      <c r="B2253" s="1" t="s">
        <v>9603</v>
      </c>
      <c r="C2253" s="1">
        <v>2020.0</v>
      </c>
      <c r="D2253" s="2">
        <v>43983.0</v>
      </c>
      <c r="F2253" s="1" t="s">
        <v>9604</v>
      </c>
      <c r="H2253" s="3">
        <v>2.0</v>
      </c>
      <c r="I2253" s="4" t="s">
        <v>9605</v>
      </c>
      <c r="J2253" s="1" t="s">
        <v>9606</v>
      </c>
      <c r="K2253" s="1" t="s">
        <v>28</v>
      </c>
    </row>
    <row r="2254">
      <c r="A2254" s="1" t="s">
        <v>9607</v>
      </c>
      <c r="B2254" s="1" t="s">
        <v>9608</v>
      </c>
      <c r="C2254" s="1">
        <v>2020.0</v>
      </c>
      <c r="D2254" s="2">
        <v>43983.0</v>
      </c>
      <c r="F2254" s="1" t="s">
        <v>218</v>
      </c>
      <c r="H2254" s="3">
        <v>27.0</v>
      </c>
      <c r="I2254" s="4" t="s">
        <v>9609</v>
      </c>
      <c r="J2254" s="1" t="s">
        <v>9610</v>
      </c>
      <c r="K2254" s="1" t="s">
        <v>1423</v>
      </c>
    </row>
    <row r="2255">
      <c r="A2255" s="1" t="s">
        <v>9611</v>
      </c>
      <c r="B2255" s="1" t="s">
        <v>9612</v>
      </c>
      <c r="C2255" s="1">
        <v>2020.0</v>
      </c>
      <c r="D2255" s="2">
        <v>43983.0</v>
      </c>
      <c r="F2255" s="1" t="s">
        <v>1410</v>
      </c>
      <c r="H2255" s="3">
        <v>0.0</v>
      </c>
      <c r="I2255" s="4" t="s">
        <v>9613</v>
      </c>
      <c r="J2255" s="1" t="s">
        <v>9614</v>
      </c>
      <c r="K2255" s="1" t="s">
        <v>1036</v>
      </c>
    </row>
    <row r="2256">
      <c r="A2256" s="1" t="s">
        <v>9615</v>
      </c>
      <c r="B2256" s="1" t="s">
        <v>9616</v>
      </c>
      <c r="C2256" s="1">
        <v>2020.0</v>
      </c>
      <c r="D2256" s="2">
        <v>43983.0</v>
      </c>
      <c r="F2256" s="1" t="s">
        <v>2611</v>
      </c>
      <c r="H2256" s="3">
        <v>964.0</v>
      </c>
      <c r="I2256" s="4" t="s">
        <v>9617</v>
      </c>
      <c r="J2256" s="1" t="s">
        <v>9618</v>
      </c>
      <c r="K2256" s="1" t="s">
        <v>68</v>
      </c>
    </row>
    <row r="2257">
      <c r="A2257" s="1" t="s">
        <v>9619</v>
      </c>
      <c r="B2257" s="1" t="s">
        <v>9620</v>
      </c>
      <c r="C2257" s="1">
        <v>2020.0</v>
      </c>
      <c r="D2257" s="2">
        <v>43983.0</v>
      </c>
      <c r="F2257" s="1" t="s">
        <v>1410</v>
      </c>
      <c r="H2257" s="3">
        <v>1.0</v>
      </c>
      <c r="I2257" s="4" t="s">
        <v>9621</v>
      </c>
      <c r="J2257" s="1" t="s">
        <v>9622</v>
      </c>
      <c r="K2257" s="1" t="s">
        <v>1036</v>
      </c>
    </row>
    <row r="2258">
      <c r="A2258" s="1" t="s">
        <v>9623</v>
      </c>
      <c r="B2258" s="1" t="s">
        <v>9624</v>
      </c>
      <c r="C2258" s="1">
        <v>2020.0</v>
      </c>
      <c r="D2258" s="2">
        <v>43983.0</v>
      </c>
      <c r="F2258" s="1" t="s">
        <v>605</v>
      </c>
      <c r="H2258" s="3">
        <v>2.0</v>
      </c>
      <c r="I2258" s="4" t="s">
        <v>9625</v>
      </c>
      <c r="J2258" s="1" t="s">
        <v>9626</v>
      </c>
      <c r="K2258" s="1" t="s">
        <v>323</v>
      </c>
    </row>
    <row r="2259">
      <c r="A2259" s="1" t="s">
        <v>9627</v>
      </c>
      <c r="B2259" s="1" t="s">
        <v>9628</v>
      </c>
      <c r="C2259" s="1">
        <v>2020.0</v>
      </c>
      <c r="D2259" s="2">
        <v>43983.0</v>
      </c>
      <c r="F2259" s="1" t="s">
        <v>4298</v>
      </c>
      <c r="H2259" s="3">
        <v>3.0</v>
      </c>
      <c r="I2259" s="4" t="s">
        <v>9629</v>
      </c>
      <c r="J2259" s="1" t="s">
        <v>9630</v>
      </c>
      <c r="K2259" s="1" t="s">
        <v>16</v>
      </c>
    </row>
    <row r="2260">
      <c r="A2260" s="1" t="s">
        <v>9631</v>
      </c>
      <c r="B2260" s="1" t="s">
        <v>9632</v>
      </c>
      <c r="C2260" s="1">
        <v>2020.0</v>
      </c>
      <c r="D2260" s="2">
        <v>43983.0</v>
      </c>
      <c r="F2260" s="1" t="s">
        <v>271</v>
      </c>
      <c r="H2260" s="3">
        <v>4.0</v>
      </c>
      <c r="I2260" s="4" t="s">
        <v>9633</v>
      </c>
      <c r="J2260" s="1" t="s">
        <v>9634</v>
      </c>
      <c r="K2260" s="1" t="s">
        <v>16</v>
      </c>
    </row>
    <row r="2261">
      <c r="A2261" s="1" t="s">
        <v>9635</v>
      </c>
      <c r="B2261" s="1" t="s">
        <v>9636</v>
      </c>
      <c r="C2261" s="1">
        <v>2020.0</v>
      </c>
      <c r="D2261" s="2">
        <v>43983.0</v>
      </c>
      <c r="F2261" s="1" t="s">
        <v>8420</v>
      </c>
      <c r="H2261" s="3">
        <v>10.0</v>
      </c>
      <c r="I2261" s="4" t="s">
        <v>9637</v>
      </c>
      <c r="J2261" s="1" t="s">
        <v>9638</v>
      </c>
      <c r="K2261" s="1" t="s">
        <v>926</v>
      </c>
    </row>
    <row r="2262">
      <c r="A2262" s="1" t="s">
        <v>9639</v>
      </c>
      <c r="B2262" s="1" t="s">
        <v>9640</v>
      </c>
      <c r="C2262" s="1">
        <v>2020.0</v>
      </c>
      <c r="D2262" s="2">
        <v>43983.0</v>
      </c>
      <c r="F2262" s="1" t="s">
        <v>605</v>
      </c>
      <c r="H2262" s="3">
        <v>11.0</v>
      </c>
      <c r="I2262" s="4" t="s">
        <v>9641</v>
      </c>
      <c r="J2262" s="1" t="s">
        <v>9642</v>
      </c>
      <c r="K2262" s="1" t="s">
        <v>16</v>
      </c>
    </row>
    <row r="2263">
      <c r="A2263" s="1" t="s">
        <v>9643</v>
      </c>
      <c r="B2263" s="1" t="s">
        <v>9644</v>
      </c>
      <c r="C2263" s="1">
        <v>2020.0</v>
      </c>
      <c r="D2263" s="2">
        <v>43979.0</v>
      </c>
      <c r="F2263" s="1" t="s">
        <v>3463</v>
      </c>
      <c r="H2263" s="3">
        <v>3.0</v>
      </c>
      <c r="I2263" s="4" t="s">
        <v>9645</v>
      </c>
      <c r="J2263" s="1" t="s">
        <v>9646</v>
      </c>
      <c r="K2263" s="1" t="s">
        <v>418</v>
      </c>
    </row>
    <row r="2264">
      <c r="A2264" s="1" t="s">
        <v>9647</v>
      </c>
      <c r="B2264" s="1" t="s">
        <v>9648</v>
      </c>
      <c r="C2264" s="1">
        <v>2020.0</v>
      </c>
      <c r="D2264" s="2">
        <v>43979.0</v>
      </c>
      <c r="F2264" s="1" t="s">
        <v>9649</v>
      </c>
      <c r="H2264" s="3">
        <v>3.0</v>
      </c>
      <c r="I2264" s="4" t="s">
        <v>9650</v>
      </c>
      <c r="J2264" s="1" t="s">
        <v>9651</v>
      </c>
      <c r="K2264" s="1" t="s">
        <v>323</v>
      </c>
    </row>
    <row r="2265">
      <c r="A2265" s="1" t="s">
        <v>9652</v>
      </c>
      <c r="B2265" s="1" t="s">
        <v>9653</v>
      </c>
      <c r="C2265" s="1">
        <v>2020.0</v>
      </c>
      <c r="D2265" s="2">
        <v>43979.0</v>
      </c>
      <c r="F2265" s="1" t="s">
        <v>1410</v>
      </c>
      <c r="H2265" s="3">
        <v>32.0</v>
      </c>
      <c r="I2265" s="4" t="s">
        <v>9654</v>
      </c>
      <c r="J2265" s="1" t="s">
        <v>9655</v>
      </c>
      <c r="K2265" s="1" t="s">
        <v>68</v>
      </c>
    </row>
    <row r="2266">
      <c r="A2266" s="1" t="s">
        <v>9656</v>
      </c>
      <c r="B2266" s="1" t="s">
        <v>9657</v>
      </c>
      <c r="C2266" s="1">
        <v>2020.0</v>
      </c>
      <c r="D2266" s="2">
        <v>43978.0</v>
      </c>
      <c r="F2266" s="1" t="s">
        <v>3725</v>
      </c>
      <c r="H2266" s="3">
        <v>4.0</v>
      </c>
      <c r="I2266" s="4" t="s">
        <v>9658</v>
      </c>
      <c r="J2266" s="1" t="s">
        <v>9659</v>
      </c>
      <c r="K2266" s="1" t="s">
        <v>28</v>
      </c>
    </row>
    <row r="2267">
      <c r="A2267" s="1" t="s">
        <v>9660</v>
      </c>
      <c r="B2267" s="1" t="s">
        <v>9661</v>
      </c>
      <c r="C2267" s="1">
        <v>2020.0</v>
      </c>
      <c r="D2267" s="2">
        <v>43978.0</v>
      </c>
      <c r="F2267" s="1" t="s">
        <v>830</v>
      </c>
      <c r="H2267" s="3">
        <v>7.0</v>
      </c>
      <c r="I2267" s="4" t="s">
        <v>9662</v>
      </c>
      <c r="J2267" s="1" t="s">
        <v>9663</v>
      </c>
      <c r="K2267" s="1" t="s">
        <v>1036</v>
      </c>
    </row>
    <row r="2268">
      <c r="A2268" s="1" t="s">
        <v>9664</v>
      </c>
      <c r="B2268" s="1" t="s">
        <v>9665</v>
      </c>
      <c r="C2268" s="1">
        <v>2020.0</v>
      </c>
      <c r="D2268" s="2">
        <v>43978.0</v>
      </c>
      <c r="F2268" s="1" t="s">
        <v>9666</v>
      </c>
      <c r="H2268" s="3">
        <v>8.0</v>
      </c>
      <c r="I2268" s="4" t="s">
        <v>9667</v>
      </c>
      <c r="J2268" s="1" t="s">
        <v>9668</v>
      </c>
      <c r="K2268" s="1" t="s">
        <v>323</v>
      </c>
    </row>
    <row r="2269">
      <c r="A2269" s="1" t="s">
        <v>9669</v>
      </c>
      <c r="B2269" s="1" t="s">
        <v>9670</v>
      </c>
      <c r="C2269" s="1">
        <v>2020.0</v>
      </c>
      <c r="D2269" s="2">
        <v>43977.0</v>
      </c>
      <c r="F2269" s="1" t="s">
        <v>9671</v>
      </c>
      <c r="H2269" s="3">
        <v>28.0</v>
      </c>
      <c r="I2269" s="4" t="s">
        <v>9672</v>
      </c>
      <c r="J2269" s="1" t="s">
        <v>9673</v>
      </c>
      <c r="K2269" s="1" t="s">
        <v>68</v>
      </c>
    </row>
    <row r="2270">
      <c r="A2270" s="1" t="s">
        <v>9674</v>
      </c>
      <c r="B2270" s="1" t="s">
        <v>9675</v>
      </c>
      <c r="C2270" s="1">
        <v>2020.0</v>
      </c>
      <c r="D2270" s="2">
        <v>43973.0</v>
      </c>
      <c r="F2270" s="1" t="s">
        <v>1899</v>
      </c>
      <c r="H2270" s="3">
        <v>10.0</v>
      </c>
      <c r="I2270" s="4" t="s">
        <v>9676</v>
      </c>
      <c r="J2270" s="1" t="s">
        <v>9677</v>
      </c>
      <c r="K2270" s="1" t="s">
        <v>329</v>
      </c>
    </row>
    <row r="2271">
      <c r="A2271" s="1" t="s">
        <v>9678</v>
      </c>
      <c r="B2271" s="1" t="s">
        <v>9679</v>
      </c>
      <c r="C2271" s="1">
        <v>2020.0</v>
      </c>
      <c r="D2271" s="2">
        <v>43972.0</v>
      </c>
      <c r="F2271" s="1" t="s">
        <v>711</v>
      </c>
      <c r="H2271" s="3">
        <v>0.0</v>
      </c>
      <c r="I2271" s="4" t="s">
        <v>9680</v>
      </c>
      <c r="J2271" s="1"/>
      <c r="K2271" s="1" t="s">
        <v>68</v>
      </c>
    </row>
    <row r="2272">
      <c r="A2272" s="1" t="s">
        <v>9681</v>
      </c>
      <c r="B2272" s="1" t="s">
        <v>9682</v>
      </c>
      <c r="C2272" s="1">
        <v>2020.0</v>
      </c>
      <c r="D2272" s="2">
        <v>43972.0</v>
      </c>
      <c r="F2272" s="1" t="s">
        <v>9683</v>
      </c>
      <c r="H2272" s="3">
        <v>4.0</v>
      </c>
      <c r="I2272" s="4" t="s">
        <v>9684</v>
      </c>
      <c r="J2272" s="1" t="s">
        <v>9685</v>
      </c>
      <c r="K2272" s="1" t="s">
        <v>383</v>
      </c>
    </row>
    <row r="2273">
      <c r="A2273" s="1" t="s">
        <v>9686</v>
      </c>
      <c r="B2273" s="1" t="s">
        <v>9687</v>
      </c>
      <c r="C2273" s="1">
        <v>2020.0</v>
      </c>
      <c r="D2273" s="2">
        <v>43971.0</v>
      </c>
      <c r="F2273" s="1" t="s">
        <v>218</v>
      </c>
      <c r="H2273" s="3">
        <v>12.0</v>
      </c>
      <c r="I2273" s="4" t="s">
        <v>9688</v>
      </c>
      <c r="J2273" s="1" t="s">
        <v>9689</v>
      </c>
      <c r="K2273" s="1" t="s">
        <v>323</v>
      </c>
    </row>
    <row r="2274">
      <c r="A2274" s="1" t="s">
        <v>9690</v>
      </c>
      <c r="B2274" s="1" t="s">
        <v>9691</v>
      </c>
      <c r="C2274" s="1">
        <v>2020.0</v>
      </c>
      <c r="D2274" s="2">
        <v>43971.0</v>
      </c>
      <c r="F2274" s="1" t="s">
        <v>877</v>
      </c>
      <c r="H2274" s="3">
        <v>115.0</v>
      </c>
      <c r="I2274" s="4" t="s">
        <v>9692</v>
      </c>
      <c r="J2274" s="1" t="s">
        <v>9693</v>
      </c>
      <c r="K2274" s="1" t="s">
        <v>16</v>
      </c>
    </row>
    <row r="2275">
      <c r="A2275" s="1" t="s">
        <v>9694</v>
      </c>
      <c r="B2275" s="1" t="s">
        <v>9695</v>
      </c>
      <c r="C2275" s="1">
        <v>2020.0</v>
      </c>
      <c r="D2275" s="2">
        <v>43970.0</v>
      </c>
      <c r="F2275" s="1" t="s">
        <v>8149</v>
      </c>
      <c r="H2275" s="3">
        <v>6.0</v>
      </c>
      <c r="I2275" s="4" t="s">
        <v>9696</v>
      </c>
      <c r="J2275" s="1" t="s">
        <v>9697</v>
      </c>
      <c r="K2275" s="1" t="s">
        <v>45</v>
      </c>
    </row>
    <row r="2276">
      <c r="A2276" s="1" t="s">
        <v>9698</v>
      </c>
      <c r="B2276" s="1" t="s">
        <v>9699</v>
      </c>
      <c r="C2276" s="1">
        <v>2020.0</v>
      </c>
      <c r="D2276" s="2">
        <v>43970.0</v>
      </c>
      <c r="F2276" s="1" t="s">
        <v>9700</v>
      </c>
      <c r="H2276" s="3">
        <v>4.0</v>
      </c>
      <c r="I2276" s="4" t="s">
        <v>9701</v>
      </c>
      <c r="J2276" s="1" t="s">
        <v>9702</v>
      </c>
      <c r="K2276" s="1" t="s">
        <v>462</v>
      </c>
    </row>
    <row r="2277">
      <c r="A2277" s="1" t="s">
        <v>9703</v>
      </c>
      <c r="B2277" s="1" t="s">
        <v>9704</v>
      </c>
      <c r="C2277" s="1">
        <v>2020.0</v>
      </c>
      <c r="D2277" s="2">
        <v>43970.0</v>
      </c>
      <c r="F2277" s="1" t="s">
        <v>271</v>
      </c>
      <c r="H2277" s="3">
        <v>1.0</v>
      </c>
      <c r="I2277" s="4" t="s">
        <v>9705</v>
      </c>
      <c r="J2277" s="1" t="s">
        <v>9706</v>
      </c>
      <c r="K2277" s="1" t="s">
        <v>28</v>
      </c>
    </row>
    <row r="2278">
      <c r="A2278" s="1" t="s">
        <v>9707</v>
      </c>
      <c r="B2278" s="1" t="s">
        <v>4633</v>
      </c>
      <c r="C2278" s="1">
        <v>2020.0</v>
      </c>
      <c r="D2278" s="2">
        <v>43970.0</v>
      </c>
      <c r="F2278" s="1" t="s">
        <v>4634</v>
      </c>
      <c r="H2278" s="3">
        <v>11.0</v>
      </c>
      <c r="I2278" s="4" t="s">
        <v>9708</v>
      </c>
      <c r="J2278" s="1" t="s">
        <v>9709</v>
      </c>
      <c r="K2278" s="1" t="s">
        <v>443</v>
      </c>
    </row>
    <row r="2279">
      <c r="A2279" s="1" t="s">
        <v>9710</v>
      </c>
      <c r="B2279" s="1" t="s">
        <v>9711</v>
      </c>
      <c r="C2279" s="1">
        <v>2020.0</v>
      </c>
      <c r="D2279" s="2">
        <v>43966.0</v>
      </c>
      <c r="F2279" s="1" t="s">
        <v>1705</v>
      </c>
      <c r="H2279" s="3">
        <v>11.0</v>
      </c>
      <c r="I2279" s="4" t="s">
        <v>9712</v>
      </c>
      <c r="J2279" s="1" t="s">
        <v>9713</v>
      </c>
      <c r="K2279" s="1" t="s">
        <v>340</v>
      </c>
    </row>
    <row r="2280">
      <c r="A2280" s="1" t="s">
        <v>9714</v>
      </c>
      <c r="B2280" s="1" t="s">
        <v>9715</v>
      </c>
      <c r="C2280" s="1">
        <v>2020.0</v>
      </c>
      <c r="D2280" s="2">
        <v>43964.0</v>
      </c>
      <c r="F2280" s="1" t="s">
        <v>9716</v>
      </c>
      <c r="H2280" s="3">
        <v>1.0</v>
      </c>
      <c r="I2280" s="4" t="s">
        <v>9717</v>
      </c>
      <c r="J2280" s="1" t="s">
        <v>9718</v>
      </c>
      <c r="K2280" s="1" t="s">
        <v>403</v>
      </c>
    </row>
    <row r="2281">
      <c r="A2281" s="1" t="s">
        <v>9719</v>
      </c>
      <c r="B2281" s="1" t="s">
        <v>9720</v>
      </c>
      <c r="C2281" s="1">
        <v>2020.0</v>
      </c>
      <c r="D2281" s="2">
        <v>43963.0</v>
      </c>
      <c r="F2281" s="1" t="s">
        <v>9721</v>
      </c>
      <c r="H2281" s="3">
        <v>12.0</v>
      </c>
      <c r="I2281" s="4" t="s">
        <v>9722</v>
      </c>
      <c r="J2281" s="1" t="s">
        <v>9723</v>
      </c>
      <c r="K2281" s="1" t="s">
        <v>295</v>
      </c>
    </row>
    <row r="2282">
      <c r="A2282" s="1" t="s">
        <v>9724</v>
      </c>
      <c r="B2282" s="1" t="s">
        <v>9725</v>
      </c>
      <c r="C2282" s="1">
        <v>2020.0</v>
      </c>
      <c r="D2282" s="2">
        <v>43963.0</v>
      </c>
      <c r="F2282" s="1" t="s">
        <v>7944</v>
      </c>
      <c r="H2282" s="3">
        <v>31.0</v>
      </c>
      <c r="I2282" s="4" t="s">
        <v>9726</v>
      </c>
      <c r="J2282" s="1" t="s">
        <v>9727</v>
      </c>
      <c r="K2282" s="1" t="s">
        <v>295</v>
      </c>
    </row>
    <row r="2283">
      <c r="A2283" s="1" t="s">
        <v>9728</v>
      </c>
      <c r="B2283" s="1" t="s">
        <v>9729</v>
      </c>
      <c r="C2283" s="1">
        <v>2020.0</v>
      </c>
      <c r="D2283" s="2">
        <v>43963.0</v>
      </c>
      <c r="F2283" s="1" t="s">
        <v>9730</v>
      </c>
      <c r="H2283" s="3">
        <v>31.0</v>
      </c>
      <c r="I2283" s="4" t="s">
        <v>9731</v>
      </c>
      <c r="J2283" s="1" t="s">
        <v>9732</v>
      </c>
      <c r="K2283" s="1" t="s">
        <v>527</v>
      </c>
    </row>
    <row r="2284">
      <c r="A2284" s="1" t="s">
        <v>9733</v>
      </c>
      <c r="B2284" s="1" t="s">
        <v>9734</v>
      </c>
      <c r="C2284" s="1">
        <v>2020.0</v>
      </c>
      <c r="D2284" s="2">
        <v>43962.0</v>
      </c>
      <c r="F2284" s="1" t="s">
        <v>276</v>
      </c>
      <c r="H2284" s="3">
        <v>3.0</v>
      </c>
      <c r="I2284" s="4" t="s">
        <v>9735</v>
      </c>
      <c r="J2284" s="1" t="s">
        <v>9736</v>
      </c>
      <c r="K2284" s="1" t="s">
        <v>443</v>
      </c>
    </row>
    <row r="2285">
      <c r="A2285" s="1" t="s">
        <v>9737</v>
      </c>
      <c r="B2285" s="1" t="s">
        <v>9738</v>
      </c>
      <c r="C2285" s="1">
        <v>2020.0</v>
      </c>
      <c r="D2285" s="2">
        <v>43958.0</v>
      </c>
      <c r="F2285" s="1" t="s">
        <v>1859</v>
      </c>
      <c r="H2285" s="3">
        <v>20.0</v>
      </c>
      <c r="I2285" s="4" t="s">
        <v>9739</v>
      </c>
      <c r="J2285" s="1" t="s">
        <v>9740</v>
      </c>
      <c r="K2285" s="1" t="s">
        <v>295</v>
      </c>
    </row>
    <row r="2286">
      <c r="A2286" s="1" t="s">
        <v>9741</v>
      </c>
      <c r="B2286" s="1" t="s">
        <v>9742</v>
      </c>
      <c r="C2286" s="1">
        <v>2020.0</v>
      </c>
      <c r="D2286" s="2">
        <v>43958.0</v>
      </c>
      <c r="F2286" s="1" t="s">
        <v>2996</v>
      </c>
      <c r="H2286" s="3">
        <v>13.0</v>
      </c>
      <c r="I2286" s="4" t="s">
        <v>9743</v>
      </c>
      <c r="J2286" s="1" t="s">
        <v>9744</v>
      </c>
      <c r="K2286" s="1" t="s">
        <v>16</v>
      </c>
    </row>
    <row r="2287">
      <c r="A2287" s="1" t="s">
        <v>9745</v>
      </c>
      <c r="B2287" s="1" t="s">
        <v>9746</v>
      </c>
      <c r="C2287" s="1">
        <v>2020.0</v>
      </c>
      <c r="D2287" s="2">
        <v>43957.0</v>
      </c>
      <c r="F2287" s="1" t="s">
        <v>9747</v>
      </c>
      <c r="H2287" s="3">
        <v>13.0</v>
      </c>
      <c r="I2287" s="4" t="s">
        <v>9748</v>
      </c>
      <c r="J2287" s="1" t="s">
        <v>9749</v>
      </c>
      <c r="K2287" s="1" t="s">
        <v>323</v>
      </c>
    </row>
    <row r="2288">
      <c r="A2288" s="1" t="s">
        <v>9750</v>
      </c>
      <c r="B2288" s="1" t="s">
        <v>9751</v>
      </c>
      <c r="C2288" s="1">
        <v>2020.0</v>
      </c>
      <c r="D2288" s="2">
        <v>43957.0</v>
      </c>
      <c r="F2288" s="1" t="s">
        <v>1358</v>
      </c>
      <c r="H2288" s="3">
        <v>14.0</v>
      </c>
      <c r="I2288" s="4" t="s">
        <v>9752</v>
      </c>
      <c r="J2288" s="1" t="s">
        <v>9753</v>
      </c>
      <c r="K2288" s="1" t="s">
        <v>323</v>
      </c>
    </row>
    <row r="2289">
      <c r="A2289" s="1" t="s">
        <v>9754</v>
      </c>
      <c r="B2289" s="1" t="s">
        <v>9755</v>
      </c>
      <c r="C2289" s="1">
        <v>2020.0</v>
      </c>
      <c r="D2289" s="2">
        <v>43957.0</v>
      </c>
      <c r="F2289" s="1" t="s">
        <v>9756</v>
      </c>
      <c r="H2289" s="3">
        <v>4.0</v>
      </c>
      <c r="I2289" s="4" t="s">
        <v>9757</v>
      </c>
      <c r="J2289" s="1" t="s">
        <v>9758</v>
      </c>
      <c r="K2289" s="1" t="s">
        <v>323</v>
      </c>
    </row>
    <row r="2290">
      <c r="A2290" s="1" t="s">
        <v>9759</v>
      </c>
      <c r="B2290" s="1" t="s">
        <v>9760</v>
      </c>
      <c r="C2290" s="1">
        <v>2020.0</v>
      </c>
      <c r="D2290" s="2">
        <v>43955.0</v>
      </c>
      <c r="F2290" s="1" t="s">
        <v>4003</v>
      </c>
      <c r="H2290" s="3">
        <v>14.0</v>
      </c>
      <c r="I2290" s="4" t="s">
        <v>9761</v>
      </c>
      <c r="J2290" s="1" t="s">
        <v>9762</v>
      </c>
      <c r="K2290" s="1" t="s">
        <v>28</v>
      </c>
    </row>
    <row r="2291">
      <c r="A2291" s="1" t="s">
        <v>9763</v>
      </c>
      <c r="B2291" s="1" t="s">
        <v>9764</v>
      </c>
      <c r="C2291" s="1">
        <v>2020.0</v>
      </c>
      <c r="D2291" s="2">
        <v>43955.0</v>
      </c>
      <c r="F2291" s="1" t="s">
        <v>877</v>
      </c>
      <c r="H2291" s="3">
        <v>92.0</v>
      </c>
      <c r="I2291" s="4" t="s">
        <v>9765</v>
      </c>
      <c r="J2291" s="1" t="s">
        <v>9766</v>
      </c>
      <c r="K2291" s="1" t="s">
        <v>295</v>
      </c>
    </row>
    <row r="2292">
      <c r="A2292" s="1" t="s">
        <v>9767</v>
      </c>
      <c r="B2292" s="1" t="s">
        <v>9768</v>
      </c>
      <c r="C2292" s="1">
        <v>2020.0</v>
      </c>
      <c r="D2292" s="2">
        <v>43952.0</v>
      </c>
      <c r="F2292" s="1" t="s">
        <v>5824</v>
      </c>
      <c r="H2292" s="3">
        <v>40.0</v>
      </c>
      <c r="I2292" s="4" t="s">
        <v>9769</v>
      </c>
      <c r="J2292" s="1" t="s">
        <v>9770</v>
      </c>
      <c r="K2292" s="1" t="s">
        <v>28</v>
      </c>
    </row>
    <row r="2293">
      <c r="A2293" s="1" t="s">
        <v>9771</v>
      </c>
      <c r="B2293" s="1" t="s">
        <v>9772</v>
      </c>
      <c r="C2293" s="1">
        <v>2020.0</v>
      </c>
      <c r="D2293" s="2">
        <v>43952.0</v>
      </c>
      <c r="F2293" s="1" t="s">
        <v>1562</v>
      </c>
      <c r="H2293" s="3">
        <v>16.0</v>
      </c>
      <c r="I2293" s="4" t="s">
        <v>9773</v>
      </c>
      <c r="J2293" s="1" t="s">
        <v>9774</v>
      </c>
      <c r="K2293" s="1" t="s">
        <v>1036</v>
      </c>
    </row>
    <row r="2294">
      <c r="A2294" s="1" t="s">
        <v>9775</v>
      </c>
      <c r="B2294" s="1" t="s">
        <v>9776</v>
      </c>
      <c r="C2294" s="1">
        <v>2020.0</v>
      </c>
      <c r="D2294" s="2">
        <v>43952.0</v>
      </c>
      <c r="F2294" s="1" t="s">
        <v>425</v>
      </c>
      <c r="H2294" s="3">
        <v>20.0</v>
      </c>
      <c r="I2294" s="4" t="s">
        <v>9777</v>
      </c>
      <c r="J2294" s="1" t="s">
        <v>9778</v>
      </c>
      <c r="K2294" s="1" t="s">
        <v>1423</v>
      </c>
    </row>
    <row r="2295">
      <c r="A2295" s="1" t="s">
        <v>9779</v>
      </c>
      <c r="B2295" s="1" t="s">
        <v>9780</v>
      </c>
      <c r="C2295" s="1">
        <v>2020.0</v>
      </c>
      <c r="D2295" s="2">
        <v>43952.0</v>
      </c>
      <c r="F2295" s="1" t="s">
        <v>484</v>
      </c>
      <c r="H2295" s="3">
        <v>67.0</v>
      </c>
      <c r="I2295" s="4" t="s">
        <v>9781</v>
      </c>
      <c r="J2295" s="1" t="s">
        <v>9782</v>
      </c>
      <c r="K2295" s="1" t="s">
        <v>28</v>
      </c>
    </row>
    <row r="2296">
      <c r="A2296" s="1" t="s">
        <v>9783</v>
      </c>
      <c r="B2296" s="1" t="s">
        <v>9784</v>
      </c>
      <c r="C2296" s="1">
        <v>2020.0</v>
      </c>
      <c r="D2296" s="2">
        <v>43952.0</v>
      </c>
      <c r="F2296" s="1" t="s">
        <v>1562</v>
      </c>
      <c r="H2296" s="3">
        <v>16.0</v>
      </c>
      <c r="I2296" s="4" t="s">
        <v>9785</v>
      </c>
      <c r="J2296" s="1" t="s">
        <v>9786</v>
      </c>
      <c r="K2296" s="1" t="s">
        <v>413</v>
      </c>
    </row>
    <row r="2297">
      <c r="A2297" s="1" t="s">
        <v>9787</v>
      </c>
      <c r="B2297" s="1" t="s">
        <v>9788</v>
      </c>
      <c r="C2297" s="1">
        <v>2020.0</v>
      </c>
      <c r="D2297" s="2">
        <v>43951.0</v>
      </c>
      <c r="F2297" s="1" t="s">
        <v>1170</v>
      </c>
      <c r="H2297" s="3">
        <v>88.0</v>
      </c>
      <c r="I2297" s="4" t="s">
        <v>9789</v>
      </c>
      <c r="J2297" s="1" t="s">
        <v>9790</v>
      </c>
      <c r="K2297" s="1" t="s">
        <v>28</v>
      </c>
    </row>
    <row r="2298">
      <c r="A2298" s="1" t="s">
        <v>9791</v>
      </c>
      <c r="B2298" s="1" t="s">
        <v>9792</v>
      </c>
      <c r="C2298" s="1">
        <v>2020.0</v>
      </c>
      <c r="D2298" s="2">
        <v>43951.0</v>
      </c>
      <c r="F2298" s="1" t="s">
        <v>4861</v>
      </c>
      <c r="H2298" s="3">
        <v>0.0</v>
      </c>
      <c r="I2298" s="4" t="s">
        <v>9793</v>
      </c>
      <c r="J2298" s="1"/>
      <c r="K2298" s="1" t="s">
        <v>323</v>
      </c>
    </row>
    <row r="2299">
      <c r="A2299" s="1" t="s">
        <v>9794</v>
      </c>
      <c r="B2299" s="1" t="s">
        <v>9795</v>
      </c>
      <c r="C2299" s="1">
        <v>2020.0</v>
      </c>
      <c r="D2299" s="2">
        <v>43950.0</v>
      </c>
      <c r="F2299" s="1" t="s">
        <v>9796</v>
      </c>
      <c r="H2299" s="3">
        <v>2.0</v>
      </c>
      <c r="I2299" s="4" t="s">
        <v>9797</v>
      </c>
      <c r="J2299" s="1" t="s">
        <v>9798</v>
      </c>
      <c r="K2299" s="1" t="s">
        <v>295</v>
      </c>
    </row>
    <row r="2300">
      <c r="A2300" s="1" t="s">
        <v>9799</v>
      </c>
      <c r="B2300" s="1" t="s">
        <v>9800</v>
      </c>
      <c r="C2300" s="1">
        <v>2020.0</v>
      </c>
      <c r="D2300" s="2">
        <v>43950.0</v>
      </c>
      <c r="F2300" s="1" t="s">
        <v>248</v>
      </c>
      <c r="H2300" s="3">
        <v>19.0</v>
      </c>
      <c r="I2300" s="4" t="s">
        <v>9801</v>
      </c>
      <c r="J2300" s="1" t="s">
        <v>9802</v>
      </c>
      <c r="K2300" s="1" t="s">
        <v>323</v>
      </c>
    </row>
    <row r="2301">
      <c r="A2301" s="1" t="s">
        <v>9803</v>
      </c>
      <c r="B2301" s="1" t="s">
        <v>9804</v>
      </c>
      <c r="C2301" s="1">
        <v>2020.0</v>
      </c>
      <c r="D2301" s="2">
        <v>43949.0</v>
      </c>
      <c r="F2301" s="1" t="s">
        <v>1006</v>
      </c>
      <c r="H2301" s="3">
        <v>11.0</v>
      </c>
      <c r="I2301" s="4" t="s">
        <v>9805</v>
      </c>
      <c r="J2301" s="1" t="s">
        <v>9806</v>
      </c>
      <c r="K2301" s="1" t="s">
        <v>462</v>
      </c>
    </row>
    <row r="2302">
      <c r="A2302" s="1" t="s">
        <v>9807</v>
      </c>
      <c r="B2302" s="1" t="s">
        <v>9808</v>
      </c>
      <c r="C2302" s="1">
        <v>2020.0</v>
      </c>
      <c r="D2302" s="2">
        <v>43948.0</v>
      </c>
      <c r="F2302" s="1" t="s">
        <v>762</v>
      </c>
      <c r="H2302" s="3">
        <v>8.0</v>
      </c>
      <c r="I2302" s="4" t="s">
        <v>9809</v>
      </c>
      <c r="J2302" s="1" t="s">
        <v>9810</v>
      </c>
      <c r="K2302" s="1" t="s">
        <v>383</v>
      </c>
    </row>
    <row r="2303">
      <c r="A2303" s="1" t="s">
        <v>9811</v>
      </c>
      <c r="B2303" s="1" t="s">
        <v>9812</v>
      </c>
      <c r="C2303" s="1">
        <v>2020.0</v>
      </c>
      <c r="D2303" s="2">
        <v>43947.0</v>
      </c>
      <c r="F2303" s="1" t="s">
        <v>271</v>
      </c>
      <c r="H2303" s="3">
        <v>10.0</v>
      </c>
      <c r="I2303" s="4" t="s">
        <v>9813</v>
      </c>
      <c r="J2303" s="1" t="s">
        <v>9814</v>
      </c>
      <c r="K2303" s="1" t="s">
        <v>418</v>
      </c>
    </row>
    <row r="2304">
      <c r="A2304" s="1" t="s">
        <v>9815</v>
      </c>
      <c r="B2304" s="1" t="s">
        <v>9816</v>
      </c>
      <c r="C2304" s="1">
        <v>2020.0</v>
      </c>
      <c r="D2304" s="2">
        <v>43947.0</v>
      </c>
      <c r="F2304" s="1" t="s">
        <v>9817</v>
      </c>
      <c r="H2304" s="3">
        <v>6.0</v>
      </c>
      <c r="I2304" s="4" t="s">
        <v>9818</v>
      </c>
      <c r="J2304" s="1" t="s">
        <v>9819</v>
      </c>
      <c r="K2304" s="1" t="s">
        <v>16</v>
      </c>
    </row>
    <row r="2305">
      <c r="A2305" s="1" t="s">
        <v>9820</v>
      </c>
      <c r="B2305" s="1" t="s">
        <v>9821</v>
      </c>
      <c r="C2305" s="1">
        <v>2020.0</v>
      </c>
      <c r="D2305" s="2">
        <v>43945.0</v>
      </c>
      <c r="F2305" s="1" t="s">
        <v>243</v>
      </c>
      <c r="H2305" s="3">
        <v>29.0</v>
      </c>
      <c r="I2305" s="4" t="s">
        <v>9822</v>
      </c>
      <c r="J2305" s="1" t="s">
        <v>9823</v>
      </c>
      <c r="K2305" s="1" t="s">
        <v>45</v>
      </c>
    </row>
    <row r="2306">
      <c r="A2306" s="1" t="s">
        <v>9824</v>
      </c>
      <c r="B2306" s="1" t="s">
        <v>9825</v>
      </c>
      <c r="C2306" s="1">
        <v>2020.0</v>
      </c>
      <c r="D2306" s="2">
        <v>43944.0</v>
      </c>
      <c r="F2306" s="1" t="s">
        <v>835</v>
      </c>
      <c r="H2306" s="3">
        <v>24.0</v>
      </c>
      <c r="I2306" s="4" t="s">
        <v>9826</v>
      </c>
      <c r="J2306" s="1" t="s">
        <v>9827</v>
      </c>
      <c r="K2306" s="1" t="s">
        <v>28</v>
      </c>
    </row>
    <row r="2307">
      <c r="A2307" s="1" t="s">
        <v>9828</v>
      </c>
      <c r="B2307" s="1" t="s">
        <v>9829</v>
      </c>
      <c r="C2307" s="1">
        <v>2020.0</v>
      </c>
      <c r="D2307" s="2">
        <v>43942.0</v>
      </c>
      <c r="F2307" s="1" t="s">
        <v>248</v>
      </c>
      <c r="H2307" s="3">
        <v>16.0</v>
      </c>
      <c r="I2307" s="4" t="s">
        <v>9830</v>
      </c>
      <c r="J2307" s="1" t="s">
        <v>9831</v>
      </c>
      <c r="K2307" s="1" t="s">
        <v>28</v>
      </c>
    </row>
    <row r="2308">
      <c r="A2308" s="1" t="s">
        <v>9832</v>
      </c>
      <c r="B2308" s="1" t="s">
        <v>9833</v>
      </c>
      <c r="C2308" s="1">
        <v>2020.0</v>
      </c>
      <c r="D2308" s="2">
        <v>43942.0</v>
      </c>
      <c r="F2308" s="1" t="s">
        <v>2774</v>
      </c>
      <c r="H2308" s="3">
        <v>0.0</v>
      </c>
      <c r="I2308" s="4" t="s">
        <v>9834</v>
      </c>
      <c r="J2308" s="1" t="s">
        <v>9835</v>
      </c>
      <c r="K2308" s="1" t="s">
        <v>443</v>
      </c>
    </row>
    <row r="2309">
      <c r="A2309" s="1" t="s">
        <v>9836</v>
      </c>
      <c r="B2309" s="1" t="s">
        <v>9837</v>
      </c>
      <c r="C2309" s="1">
        <v>2020.0</v>
      </c>
      <c r="D2309" s="2">
        <v>43942.0</v>
      </c>
      <c r="F2309" s="1" t="s">
        <v>71</v>
      </c>
      <c r="H2309" s="3">
        <v>44.0</v>
      </c>
      <c r="I2309" s="4" t="s">
        <v>9838</v>
      </c>
      <c r="J2309" s="1" t="s">
        <v>9839</v>
      </c>
      <c r="K2309" s="1" t="s">
        <v>16</v>
      </c>
    </row>
    <row r="2310">
      <c r="A2310" s="1" t="s">
        <v>9840</v>
      </c>
      <c r="B2310" s="1" t="s">
        <v>9841</v>
      </c>
      <c r="C2310" s="1">
        <v>2020.0</v>
      </c>
      <c r="D2310" s="2">
        <v>43942.0</v>
      </c>
      <c r="F2310" s="1" t="s">
        <v>681</v>
      </c>
      <c r="H2310" s="3">
        <v>1.0</v>
      </c>
      <c r="I2310" s="4" t="s">
        <v>9842</v>
      </c>
      <c r="J2310" s="1" t="s">
        <v>9843</v>
      </c>
      <c r="K2310" s="1" t="s">
        <v>295</v>
      </c>
    </row>
    <row r="2311">
      <c r="A2311" s="1" t="s">
        <v>9844</v>
      </c>
      <c r="B2311" s="1" t="s">
        <v>9845</v>
      </c>
      <c r="C2311" s="1">
        <v>2020.0</v>
      </c>
      <c r="D2311" s="2">
        <v>43937.0</v>
      </c>
      <c r="F2311" s="1" t="s">
        <v>71</v>
      </c>
      <c r="H2311" s="3">
        <v>1.0</v>
      </c>
      <c r="I2311" s="4" t="s">
        <v>9846</v>
      </c>
      <c r="J2311" s="1" t="s">
        <v>9847</v>
      </c>
      <c r="K2311" s="1" t="s">
        <v>28</v>
      </c>
    </row>
    <row r="2312">
      <c r="A2312" s="1" t="s">
        <v>9848</v>
      </c>
      <c r="B2312" s="1" t="s">
        <v>9849</v>
      </c>
      <c r="C2312" s="1">
        <v>2020.0</v>
      </c>
      <c r="D2312" s="2">
        <v>43937.0</v>
      </c>
      <c r="F2312" s="1" t="s">
        <v>369</v>
      </c>
      <c r="H2312" s="3">
        <v>3.0</v>
      </c>
      <c r="I2312" s="4" t="s">
        <v>9850</v>
      </c>
      <c r="J2312" s="1" t="s">
        <v>9851</v>
      </c>
      <c r="K2312" s="1" t="s">
        <v>28</v>
      </c>
    </row>
    <row r="2313">
      <c r="A2313" s="1" t="s">
        <v>9852</v>
      </c>
      <c r="B2313" s="1" t="s">
        <v>9853</v>
      </c>
      <c r="C2313" s="1">
        <v>2020.0</v>
      </c>
      <c r="D2313" s="2">
        <v>43937.0</v>
      </c>
      <c r="F2313" s="1" t="s">
        <v>1859</v>
      </c>
      <c r="H2313" s="3">
        <v>13.0</v>
      </c>
      <c r="I2313" s="4" t="s">
        <v>9854</v>
      </c>
      <c r="J2313" s="1" t="s">
        <v>9855</v>
      </c>
      <c r="K2313" s="1" t="s">
        <v>295</v>
      </c>
    </row>
    <row r="2314">
      <c r="A2314" s="1" t="s">
        <v>9856</v>
      </c>
      <c r="B2314" s="1" t="s">
        <v>9857</v>
      </c>
      <c r="C2314" s="1">
        <v>2020.0</v>
      </c>
      <c r="D2314" s="2">
        <v>43937.0</v>
      </c>
      <c r="F2314" s="1" t="s">
        <v>71</v>
      </c>
      <c r="H2314" s="3">
        <v>5.0</v>
      </c>
      <c r="I2314" s="4" t="s">
        <v>9858</v>
      </c>
      <c r="J2314" s="1" t="s">
        <v>9859</v>
      </c>
      <c r="K2314" s="1" t="s">
        <v>28</v>
      </c>
    </row>
    <row r="2315">
      <c r="A2315" s="1" t="s">
        <v>9860</v>
      </c>
      <c r="B2315" s="1" t="s">
        <v>9861</v>
      </c>
      <c r="C2315" s="1">
        <v>2020.0</v>
      </c>
      <c r="D2315" s="2">
        <v>43937.0</v>
      </c>
      <c r="F2315" s="1" t="s">
        <v>1358</v>
      </c>
      <c r="H2315" s="3">
        <v>1.0</v>
      </c>
      <c r="I2315" s="4" t="s">
        <v>9862</v>
      </c>
      <c r="J2315" s="1"/>
      <c r="K2315" s="1" t="s">
        <v>28</v>
      </c>
    </row>
    <row r="2316">
      <c r="A2316" s="1" t="s">
        <v>9863</v>
      </c>
      <c r="B2316" s="1" t="s">
        <v>9864</v>
      </c>
      <c r="C2316" s="1">
        <v>2020.0</v>
      </c>
      <c r="D2316" s="2">
        <v>43937.0</v>
      </c>
      <c r="F2316" s="1" t="s">
        <v>6343</v>
      </c>
      <c r="H2316" s="3">
        <v>11.0</v>
      </c>
      <c r="I2316" s="4" t="s">
        <v>9865</v>
      </c>
      <c r="J2316" s="1" t="s">
        <v>9866</v>
      </c>
      <c r="K2316" s="1" t="s">
        <v>413</v>
      </c>
    </row>
    <row r="2317">
      <c r="A2317" s="1" t="s">
        <v>9867</v>
      </c>
      <c r="B2317" s="1" t="s">
        <v>9868</v>
      </c>
      <c r="C2317" s="1">
        <v>2020.0</v>
      </c>
      <c r="D2317" s="2">
        <v>43937.0</v>
      </c>
      <c r="F2317" s="1" t="s">
        <v>308</v>
      </c>
      <c r="H2317" s="3">
        <v>2.0</v>
      </c>
      <c r="I2317" s="4" t="s">
        <v>9869</v>
      </c>
      <c r="J2317" s="1" t="s">
        <v>9870</v>
      </c>
      <c r="K2317" s="1" t="s">
        <v>16</v>
      </c>
    </row>
    <row r="2318">
      <c r="A2318" s="1" t="s">
        <v>9871</v>
      </c>
      <c r="B2318" s="1" t="s">
        <v>9872</v>
      </c>
      <c r="C2318" s="1">
        <v>2020.0</v>
      </c>
      <c r="D2318" s="2">
        <v>43937.0</v>
      </c>
      <c r="F2318" s="1" t="s">
        <v>2335</v>
      </c>
      <c r="H2318" s="3">
        <v>24.0</v>
      </c>
      <c r="I2318" s="4" t="s">
        <v>9873</v>
      </c>
      <c r="J2318" s="1" t="s">
        <v>9874</v>
      </c>
      <c r="K2318" s="1" t="s">
        <v>16</v>
      </c>
    </row>
    <row r="2319">
      <c r="A2319" s="1" t="s">
        <v>9875</v>
      </c>
      <c r="B2319" s="1" t="s">
        <v>9876</v>
      </c>
      <c r="C2319" s="1">
        <v>2020.0</v>
      </c>
      <c r="D2319" s="2">
        <v>43936.0</v>
      </c>
      <c r="F2319" s="1" t="s">
        <v>6251</v>
      </c>
      <c r="H2319" s="3">
        <v>27.0</v>
      </c>
      <c r="I2319" s="4" t="s">
        <v>9877</v>
      </c>
      <c r="J2319" s="1" t="s">
        <v>9878</v>
      </c>
      <c r="K2319" s="1" t="s">
        <v>28</v>
      </c>
    </row>
    <row r="2320">
      <c r="A2320" s="1" t="s">
        <v>9879</v>
      </c>
      <c r="B2320" s="1" t="s">
        <v>9880</v>
      </c>
      <c r="C2320" s="1">
        <v>2020.0</v>
      </c>
      <c r="D2320" s="2">
        <v>43931.0</v>
      </c>
      <c r="F2320" s="1" t="s">
        <v>9881</v>
      </c>
      <c r="H2320" s="3">
        <v>8.0</v>
      </c>
      <c r="I2320" s="4" t="s">
        <v>9882</v>
      </c>
      <c r="J2320" s="1" t="s">
        <v>9883</v>
      </c>
      <c r="K2320" s="1" t="s">
        <v>323</v>
      </c>
    </row>
    <row r="2321">
      <c r="A2321" s="1" t="s">
        <v>9884</v>
      </c>
      <c r="B2321" s="1" t="s">
        <v>9885</v>
      </c>
      <c r="C2321" s="1">
        <v>2020.0</v>
      </c>
      <c r="D2321" s="2">
        <v>43931.0</v>
      </c>
      <c r="F2321" s="1" t="s">
        <v>1095</v>
      </c>
      <c r="H2321" s="3">
        <v>6.0</v>
      </c>
      <c r="I2321" s="4" t="s">
        <v>9886</v>
      </c>
      <c r="J2321" s="1" t="s">
        <v>9887</v>
      </c>
      <c r="K2321" s="1" t="s">
        <v>16</v>
      </c>
    </row>
    <row r="2322">
      <c r="A2322" s="1" t="s">
        <v>9888</v>
      </c>
      <c r="B2322" s="1" t="s">
        <v>9889</v>
      </c>
      <c r="C2322" s="1">
        <v>2020.0</v>
      </c>
      <c r="D2322" s="2">
        <v>43930.0</v>
      </c>
      <c r="F2322" s="1" t="s">
        <v>1095</v>
      </c>
      <c r="H2322" s="3">
        <v>33.0</v>
      </c>
      <c r="I2322" s="4" t="s">
        <v>9890</v>
      </c>
      <c r="J2322" s="1" t="s">
        <v>9891</v>
      </c>
      <c r="K2322" s="1" t="s">
        <v>16</v>
      </c>
    </row>
    <row r="2323">
      <c r="A2323" s="1" t="s">
        <v>9892</v>
      </c>
      <c r="B2323" s="1" t="s">
        <v>9893</v>
      </c>
      <c r="C2323" s="1">
        <v>2020.0</v>
      </c>
      <c r="D2323" s="2">
        <v>43929.0</v>
      </c>
      <c r="F2323" s="1" t="s">
        <v>2914</v>
      </c>
      <c r="H2323" s="3">
        <v>9.0</v>
      </c>
      <c r="I2323" s="4" t="s">
        <v>9894</v>
      </c>
      <c r="J2323" s="1" t="s">
        <v>9895</v>
      </c>
      <c r="K2323" s="1" t="s">
        <v>323</v>
      </c>
    </row>
    <row r="2324">
      <c r="A2324" s="1" t="s">
        <v>9896</v>
      </c>
      <c r="B2324" s="1" t="s">
        <v>9897</v>
      </c>
      <c r="C2324" s="1">
        <v>2020.0</v>
      </c>
      <c r="D2324" s="2">
        <v>43928.0</v>
      </c>
      <c r="F2324" s="1" t="s">
        <v>396</v>
      </c>
      <c r="H2324" s="3">
        <v>1744.0</v>
      </c>
      <c r="I2324" s="4" t="s">
        <v>9898</v>
      </c>
      <c r="J2324" s="1" t="s">
        <v>9899</v>
      </c>
      <c r="K2324" s="1" t="s">
        <v>492</v>
      </c>
    </row>
    <row r="2325">
      <c r="A2325" s="1" t="s">
        <v>9900</v>
      </c>
      <c r="B2325" s="1" t="s">
        <v>9901</v>
      </c>
      <c r="C2325" s="1">
        <v>2020.0</v>
      </c>
      <c r="D2325" s="2">
        <v>43928.0</v>
      </c>
      <c r="F2325" s="1" t="s">
        <v>9902</v>
      </c>
      <c r="H2325" s="3">
        <v>33.0</v>
      </c>
      <c r="I2325" s="4" t="s">
        <v>9903</v>
      </c>
      <c r="J2325" s="1" t="s">
        <v>9904</v>
      </c>
      <c r="K2325" s="1" t="s">
        <v>28</v>
      </c>
    </row>
    <row r="2326">
      <c r="A2326" s="1" t="s">
        <v>9905</v>
      </c>
      <c r="B2326" s="1" t="s">
        <v>9906</v>
      </c>
      <c r="C2326" s="1">
        <v>2020.0</v>
      </c>
      <c r="D2326" s="2">
        <v>43927.0</v>
      </c>
      <c r="F2326" s="1" t="s">
        <v>1777</v>
      </c>
      <c r="H2326" s="3">
        <v>24.0</v>
      </c>
      <c r="I2326" s="4" t="s">
        <v>9907</v>
      </c>
      <c r="J2326" s="1" t="s">
        <v>9908</v>
      </c>
      <c r="K2326" s="1" t="s">
        <v>295</v>
      </c>
    </row>
    <row r="2327">
      <c r="A2327" s="1" t="s">
        <v>9909</v>
      </c>
      <c r="B2327" s="1" t="s">
        <v>9910</v>
      </c>
      <c r="C2327" s="1">
        <v>2020.0</v>
      </c>
      <c r="D2327" s="2">
        <v>43927.0</v>
      </c>
      <c r="F2327" s="1" t="s">
        <v>2141</v>
      </c>
      <c r="H2327" s="3">
        <v>15.0</v>
      </c>
      <c r="I2327" s="4" t="s">
        <v>9911</v>
      </c>
      <c r="J2327" s="1" t="s">
        <v>9912</v>
      </c>
      <c r="K2327" s="1" t="s">
        <v>323</v>
      </c>
    </row>
    <row r="2328">
      <c r="A2328" s="1" t="s">
        <v>9913</v>
      </c>
      <c r="B2328" s="1" t="s">
        <v>9914</v>
      </c>
      <c r="C2328" s="1">
        <v>2020.0</v>
      </c>
      <c r="D2328" s="2">
        <v>43927.0</v>
      </c>
      <c r="F2328" s="1" t="s">
        <v>59</v>
      </c>
      <c r="H2328" s="3">
        <v>14.0</v>
      </c>
      <c r="I2328" s="4" t="s">
        <v>9915</v>
      </c>
      <c r="J2328" s="1" t="s">
        <v>9916</v>
      </c>
      <c r="K2328" s="1" t="s">
        <v>16</v>
      </c>
    </row>
    <row r="2329">
      <c r="A2329" s="1" t="s">
        <v>9917</v>
      </c>
      <c r="B2329" s="1" t="s">
        <v>9918</v>
      </c>
      <c r="C2329" s="1">
        <v>2020.0</v>
      </c>
      <c r="D2329" s="2">
        <v>43924.0</v>
      </c>
      <c r="F2329" s="1" t="s">
        <v>410</v>
      </c>
      <c r="H2329" s="3">
        <v>27.0</v>
      </c>
      <c r="I2329" s="4" t="s">
        <v>9919</v>
      </c>
      <c r="J2329" s="1" t="s">
        <v>9920</v>
      </c>
      <c r="K2329" s="1" t="s">
        <v>443</v>
      </c>
    </row>
    <row r="2330">
      <c r="A2330" s="1" t="s">
        <v>9921</v>
      </c>
      <c r="B2330" s="1" t="s">
        <v>9922</v>
      </c>
      <c r="C2330" s="1">
        <v>2020.0</v>
      </c>
      <c r="D2330" s="2">
        <v>43923.0</v>
      </c>
      <c r="F2330" s="1" t="s">
        <v>5669</v>
      </c>
      <c r="H2330" s="3">
        <v>3.0</v>
      </c>
      <c r="I2330" s="4" t="s">
        <v>9923</v>
      </c>
      <c r="J2330" s="1" t="s">
        <v>9924</v>
      </c>
      <c r="K2330" s="1" t="s">
        <v>28</v>
      </c>
    </row>
    <row r="2331">
      <c r="A2331" s="1" t="s">
        <v>9925</v>
      </c>
      <c r="B2331" s="1" t="s">
        <v>9926</v>
      </c>
      <c r="C2331" s="1">
        <v>2020.0</v>
      </c>
      <c r="D2331" s="2">
        <v>43923.0</v>
      </c>
      <c r="F2331" s="1" t="s">
        <v>9927</v>
      </c>
      <c r="H2331" s="3">
        <v>35.0</v>
      </c>
      <c r="I2331" s="4" t="s">
        <v>9928</v>
      </c>
      <c r="J2331" s="1" t="s">
        <v>9929</v>
      </c>
      <c r="K2331" s="1" t="s">
        <v>16</v>
      </c>
    </row>
    <row r="2332">
      <c r="A2332" s="1" t="s">
        <v>9930</v>
      </c>
      <c r="B2332" s="1" t="s">
        <v>9931</v>
      </c>
      <c r="C2332" s="1">
        <v>2020.0</v>
      </c>
      <c r="D2332" s="2">
        <v>43922.0</v>
      </c>
      <c r="F2332" s="1" t="s">
        <v>9932</v>
      </c>
      <c r="H2332" s="3">
        <v>0.0</v>
      </c>
      <c r="I2332" s="4" t="s">
        <v>9933</v>
      </c>
      <c r="J2332" s="1" t="s">
        <v>9934</v>
      </c>
      <c r="K2332" s="1" t="s">
        <v>462</v>
      </c>
    </row>
    <row r="2333">
      <c r="A2333" s="1" t="s">
        <v>9935</v>
      </c>
      <c r="B2333" s="1" t="s">
        <v>9936</v>
      </c>
      <c r="C2333" s="1">
        <v>2020.0</v>
      </c>
      <c r="D2333" s="2">
        <v>43922.0</v>
      </c>
      <c r="F2333" s="1" t="s">
        <v>2927</v>
      </c>
      <c r="H2333" s="3">
        <v>13.0</v>
      </c>
      <c r="I2333" s="4" t="s">
        <v>9937</v>
      </c>
      <c r="J2333" s="1" t="s">
        <v>9938</v>
      </c>
      <c r="K2333" s="1" t="s">
        <v>1036</v>
      </c>
    </row>
    <row r="2334">
      <c r="A2334" s="1" t="s">
        <v>9939</v>
      </c>
      <c r="B2334" s="1" t="s">
        <v>9940</v>
      </c>
      <c r="C2334" s="1">
        <v>2020.0</v>
      </c>
      <c r="D2334" s="2">
        <v>43922.0</v>
      </c>
      <c r="F2334" s="1" t="s">
        <v>835</v>
      </c>
      <c r="H2334" s="3">
        <v>114.0</v>
      </c>
      <c r="I2334" s="4" t="s">
        <v>9941</v>
      </c>
      <c r="J2334" s="1" t="s">
        <v>9942</v>
      </c>
      <c r="K2334" s="1" t="s">
        <v>28</v>
      </c>
    </row>
    <row r="2335">
      <c r="A2335" s="1" t="s">
        <v>9943</v>
      </c>
      <c r="B2335" s="1" t="s">
        <v>9944</v>
      </c>
      <c r="C2335" s="1">
        <v>2020.0</v>
      </c>
      <c r="D2335" s="2">
        <v>43922.0</v>
      </c>
      <c r="F2335" s="1" t="s">
        <v>9945</v>
      </c>
      <c r="H2335" s="3">
        <v>12.0</v>
      </c>
      <c r="I2335" s="4" t="s">
        <v>9946</v>
      </c>
      <c r="J2335" s="1" t="s">
        <v>9947</v>
      </c>
      <c r="K2335" s="1" t="s">
        <v>68</v>
      </c>
    </row>
    <row r="2336">
      <c r="A2336" s="1" t="s">
        <v>9948</v>
      </c>
      <c r="B2336" s="1" t="s">
        <v>9949</v>
      </c>
      <c r="C2336" s="1">
        <v>2020.0</v>
      </c>
      <c r="D2336" s="2">
        <v>43922.0</v>
      </c>
      <c r="F2336" s="1" t="s">
        <v>9950</v>
      </c>
      <c r="H2336" s="3">
        <v>26.0</v>
      </c>
      <c r="I2336" s="4" t="s">
        <v>9951</v>
      </c>
      <c r="J2336" s="1" t="s">
        <v>9952</v>
      </c>
      <c r="K2336" s="1" t="s">
        <v>462</v>
      </c>
    </row>
    <row r="2337">
      <c r="A2337" s="1" t="s">
        <v>9953</v>
      </c>
      <c r="B2337" s="1" t="s">
        <v>9954</v>
      </c>
      <c r="C2337" s="1">
        <v>2020.0</v>
      </c>
      <c r="D2337" s="2">
        <v>43921.0</v>
      </c>
      <c r="F2337" s="1" t="s">
        <v>1358</v>
      </c>
      <c r="H2337" s="3">
        <v>42.0</v>
      </c>
      <c r="I2337" s="4" t="s">
        <v>9955</v>
      </c>
      <c r="J2337" s="1" t="s">
        <v>9956</v>
      </c>
      <c r="K2337" s="1" t="s">
        <v>492</v>
      </c>
    </row>
    <row r="2338">
      <c r="A2338" s="1" t="s">
        <v>9957</v>
      </c>
      <c r="B2338" s="1" t="s">
        <v>9958</v>
      </c>
      <c r="C2338" s="1">
        <v>2020.0</v>
      </c>
      <c r="D2338" s="2">
        <v>43920.0</v>
      </c>
      <c r="F2338" s="1" t="s">
        <v>218</v>
      </c>
      <c r="H2338" s="3">
        <v>5.0</v>
      </c>
      <c r="I2338" s="4" t="s">
        <v>9959</v>
      </c>
      <c r="J2338" s="1" t="s">
        <v>9960</v>
      </c>
      <c r="K2338" s="1" t="s">
        <v>323</v>
      </c>
    </row>
    <row r="2339">
      <c r="A2339" s="1" t="s">
        <v>9961</v>
      </c>
      <c r="B2339" s="1" t="s">
        <v>9962</v>
      </c>
      <c r="C2339" s="1">
        <v>2020.0</v>
      </c>
      <c r="D2339" s="2">
        <v>43920.0</v>
      </c>
      <c r="F2339" s="1" t="s">
        <v>877</v>
      </c>
      <c r="H2339" s="3">
        <v>18.0</v>
      </c>
      <c r="I2339" s="4" t="s">
        <v>9963</v>
      </c>
      <c r="J2339" s="1" t="s">
        <v>9964</v>
      </c>
      <c r="K2339" s="1" t="s">
        <v>16</v>
      </c>
    </row>
    <row r="2340">
      <c r="A2340" s="1" t="s">
        <v>9965</v>
      </c>
      <c r="B2340" s="1" t="s">
        <v>9966</v>
      </c>
      <c r="C2340" s="1">
        <v>2020.0</v>
      </c>
      <c r="D2340" s="2">
        <v>43918.0</v>
      </c>
      <c r="F2340" s="1" t="s">
        <v>578</v>
      </c>
      <c r="H2340" s="3">
        <v>3.0</v>
      </c>
      <c r="I2340" s="4" t="s">
        <v>9967</v>
      </c>
      <c r="J2340" s="1" t="s">
        <v>9968</v>
      </c>
      <c r="K2340" s="1" t="s">
        <v>16</v>
      </c>
    </row>
    <row r="2341">
      <c r="A2341" s="1" t="s">
        <v>9969</v>
      </c>
      <c r="B2341" s="1" t="s">
        <v>9970</v>
      </c>
      <c r="C2341" s="1">
        <v>2020.0</v>
      </c>
      <c r="D2341" s="2">
        <v>43916.0</v>
      </c>
      <c r="F2341" s="1" t="s">
        <v>9971</v>
      </c>
      <c r="H2341" s="3">
        <v>12.0</v>
      </c>
      <c r="I2341" s="4" t="s">
        <v>9972</v>
      </c>
      <c r="J2341" s="1" t="s">
        <v>9973</v>
      </c>
      <c r="K2341" s="1" t="s">
        <v>323</v>
      </c>
    </row>
    <row r="2342">
      <c r="A2342" s="1" t="s">
        <v>9974</v>
      </c>
      <c r="B2342" s="1" t="s">
        <v>9975</v>
      </c>
      <c r="C2342" s="1">
        <v>2020.0</v>
      </c>
      <c r="D2342" s="2">
        <v>43915.0</v>
      </c>
      <c r="F2342" s="1" t="s">
        <v>248</v>
      </c>
      <c r="H2342" s="3">
        <v>1.0</v>
      </c>
      <c r="I2342" s="4" t="s">
        <v>9976</v>
      </c>
      <c r="J2342" s="1" t="s">
        <v>9977</v>
      </c>
      <c r="K2342" s="1" t="s">
        <v>68</v>
      </c>
    </row>
    <row r="2343">
      <c r="A2343" s="1" t="s">
        <v>9978</v>
      </c>
      <c r="B2343" s="1" t="s">
        <v>9979</v>
      </c>
      <c r="C2343" s="1">
        <v>2020.0</v>
      </c>
      <c r="D2343" s="2">
        <v>43915.0</v>
      </c>
      <c r="F2343" s="1" t="s">
        <v>1050</v>
      </c>
      <c r="H2343" s="3">
        <v>1.0</v>
      </c>
      <c r="I2343" s="4" t="s">
        <v>9980</v>
      </c>
      <c r="J2343" s="1" t="s">
        <v>9981</v>
      </c>
      <c r="K2343" s="1" t="s">
        <v>295</v>
      </c>
    </row>
    <row r="2344">
      <c r="A2344" s="1" t="s">
        <v>9982</v>
      </c>
      <c r="B2344" s="1" t="s">
        <v>9983</v>
      </c>
      <c r="C2344" s="1">
        <v>2020.0</v>
      </c>
      <c r="D2344" s="2">
        <v>43914.0</v>
      </c>
      <c r="F2344" s="1" t="s">
        <v>2335</v>
      </c>
      <c r="H2344" s="3">
        <v>5.0</v>
      </c>
      <c r="I2344" s="4" t="s">
        <v>9984</v>
      </c>
      <c r="J2344" s="1" t="s">
        <v>9985</v>
      </c>
      <c r="K2344" s="1" t="s">
        <v>323</v>
      </c>
    </row>
    <row r="2345">
      <c r="A2345" s="1" t="s">
        <v>9986</v>
      </c>
      <c r="B2345" s="1" t="s">
        <v>9987</v>
      </c>
      <c r="C2345" s="1">
        <v>2020.0</v>
      </c>
      <c r="D2345" s="2">
        <v>43914.0</v>
      </c>
      <c r="F2345" s="1" t="s">
        <v>1095</v>
      </c>
      <c r="H2345" s="3">
        <v>2.0</v>
      </c>
      <c r="I2345" s="4" t="s">
        <v>9988</v>
      </c>
      <c r="J2345" s="1"/>
      <c r="K2345" s="1" t="s">
        <v>16</v>
      </c>
    </row>
    <row r="2346">
      <c r="A2346" s="1" t="s">
        <v>9989</v>
      </c>
      <c r="B2346" s="1" t="s">
        <v>9990</v>
      </c>
      <c r="C2346" s="1">
        <v>2020.0</v>
      </c>
      <c r="D2346" s="2">
        <v>43911.0</v>
      </c>
      <c r="F2346" s="1" t="s">
        <v>9991</v>
      </c>
      <c r="H2346" s="3">
        <v>4.0</v>
      </c>
      <c r="I2346" s="4" t="s">
        <v>9992</v>
      </c>
      <c r="J2346" s="1" t="s">
        <v>9993</v>
      </c>
      <c r="K2346" s="1" t="s">
        <v>295</v>
      </c>
    </row>
    <row r="2347">
      <c r="A2347" s="1" t="s">
        <v>9994</v>
      </c>
      <c r="B2347" s="1" t="s">
        <v>9995</v>
      </c>
      <c r="C2347" s="1">
        <v>2020.0</v>
      </c>
      <c r="D2347" s="2">
        <v>43911.0</v>
      </c>
      <c r="F2347" s="1" t="s">
        <v>877</v>
      </c>
      <c r="H2347" s="3">
        <v>7.0</v>
      </c>
      <c r="I2347" s="4" t="s">
        <v>9996</v>
      </c>
      <c r="J2347" s="1" t="s">
        <v>9997</v>
      </c>
      <c r="K2347" s="1" t="s">
        <v>16</v>
      </c>
    </row>
    <row r="2348">
      <c r="A2348" s="1" t="s">
        <v>9998</v>
      </c>
      <c r="B2348" s="1" t="s">
        <v>9999</v>
      </c>
      <c r="C2348" s="1">
        <v>2020.0</v>
      </c>
      <c r="D2348" s="2">
        <v>43910.0</v>
      </c>
      <c r="F2348" s="1" t="s">
        <v>3364</v>
      </c>
      <c r="H2348" s="3">
        <v>25.0</v>
      </c>
      <c r="I2348" s="4" t="s">
        <v>10000</v>
      </c>
      <c r="J2348" s="1" t="s">
        <v>10001</v>
      </c>
      <c r="K2348" s="1" t="s">
        <v>462</v>
      </c>
    </row>
    <row r="2349">
      <c r="A2349" s="1" t="s">
        <v>10002</v>
      </c>
      <c r="B2349" s="1" t="s">
        <v>10003</v>
      </c>
      <c r="C2349" s="1">
        <v>2020.0</v>
      </c>
      <c r="D2349" s="2">
        <v>43910.0</v>
      </c>
      <c r="F2349" s="1" t="s">
        <v>591</v>
      </c>
      <c r="H2349" s="3">
        <v>3.0</v>
      </c>
      <c r="I2349" s="4" t="s">
        <v>10004</v>
      </c>
      <c r="J2349" s="1" t="s">
        <v>10005</v>
      </c>
      <c r="K2349" s="1" t="s">
        <v>28</v>
      </c>
    </row>
    <row r="2350">
      <c r="A2350" s="1" t="s">
        <v>10006</v>
      </c>
      <c r="B2350" s="1" t="s">
        <v>10007</v>
      </c>
      <c r="C2350" s="1">
        <v>2020.0</v>
      </c>
      <c r="D2350" s="2">
        <v>43910.0</v>
      </c>
      <c r="F2350" s="1" t="s">
        <v>396</v>
      </c>
      <c r="H2350" s="3">
        <v>191.0</v>
      </c>
      <c r="I2350" s="4" t="s">
        <v>10008</v>
      </c>
      <c r="J2350" s="1"/>
      <c r="K2350" s="1" t="s">
        <v>323</v>
      </c>
    </row>
    <row r="2351">
      <c r="A2351" s="1" t="s">
        <v>10009</v>
      </c>
      <c r="B2351" s="1" t="s">
        <v>10010</v>
      </c>
      <c r="C2351" s="1">
        <v>2020.0</v>
      </c>
      <c r="D2351" s="2">
        <v>43909.0</v>
      </c>
      <c r="F2351" s="1" t="s">
        <v>1528</v>
      </c>
      <c r="H2351" s="3">
        <v>27.0</v>
      </c>
      <c r="I2351" s="4" t="s">
        <v>10011</v>
      </c>
      <c r="J2351" s="1" t="s">
        <v>10012</v>
      </c>
      <c r="K2351" s="1" t="s">
        <v>413</v>
      </c>
    </row>
    <row r="2352">
      <c r="A2352" s="1" t="s">
        <v>10013</v>
      </c>
      <c r="B2352" s="1" t="s">
        <v>10014</v>
      </c>
      <c r="C2352" s="1">
        <v>2020.0</v>
      </c>
      <c r="D2352" s="2">
        <v>43909.0</v>
      </c>
      <c r="F2352" s="1" t="s">
        <v>308</v>
      </c>
      <c r="H2352" s="3">
        <v>11.0</v>
      </c>
      <c r="I2352" s="4" t="s">
        <v>10015</v>
      </c>
      <c r="J2352" s="1" t="s">
        <v>10016</v>
      </c>
      <c r="K2352" s="1" t="s">
        <v>16</v>
      </c>
    </row>
    <row r="2353">
      <c r="A2353" s="1" t="s">
        <v>10017</v>
      </c>
      <c r="B2353" s="1" t="s">
        <v>10018</v>
      </c>
      <c r="C2353" s="1">
        <v>2020.0</v>
      </c>
      <c r="D2353" s="2">
        <v>43908.0</v>
      </c>
      <c r="F2353" s="1" t="s">
        <v>396</v>
      </c>
      <c r="H2353" s="3">
        <v>795.0</v>
      </c>
      <c r="I2353" s="4" t="s">
        <v>10019</v>
      </c>
      <c r="J2353" s="1"/>
      <c r="K2353" s="1" t="s">
        <v>418</v>
      </c>
    </row>
    <row r="2354">
      <c r="A2354" s="1" t="s">
        <v>10020</v>
      </c>
      <c r="B2354" s="1" t="s">
        <v>10021</v>
      </c>
      <c r="C2354" s="1">
        <v>2020.0</v>
      </c>
      <c r="D2354" s="2">
        <v>43908.0</v>
      </c>
      <c r="F2354" s="1" t="s">
        <v>86</v>
      </c>
      <c r="H2354" s="3">
        <v>7.0</v>
      </c>
      <c r="I2354" s="4" t="s">
        <v>10022</v>
      </c>
      <c r="J2354" s="1" t="s">
        <v>10023</v>
      </c>
      <c r="K2354" s="1" t="s">
        <v>413</v>
      </c>
    </row>
    <row r="2355">
      <c r="A2355" s="1" t="s">
        <v>10024</v>
      </c>
      <c r="B2355" s="1" t="s">
        <v>10025</v>
      </c>
      <c r="C2355" s="1">
        <v>2020.0</v>
      </c>
      <c r="D2355" s="2">
        <v>43907.0</v>
      </c>
      <c r="F2355" s="1" t="s">
        <v>218</v>
      </c>
      <c r="H2355" s="3">
        <v>0.0</v>
      </c>
      <c r="I2355" s="4" t="s">
        <v>10026</v>
      </c>
      <c r="J2355" s="1" t="s">
        <v>10027</v>
      </c>
      <c r="K2355" s="1" t="s">
        <v>28</v>
      </c>
    </row>
    <row r="2356">
      <c r="A2356" s="1" t="s">
        <v>10028</v>
      </c>
      <c r="B2356" s="1" t="s">
        <v>10029</v>
      </c>
      <c r="C2356" s="1">
        <v>2020.0</v>
      </c>
      <c r="D2356" s="2">
        <v>43907.0</v>
      </c>
      <c r="F2356" s="1" t="s">
        <v>1006</v>
      </c>
      <c r="H2356" s="3">
        <v>2.0</v>
      </c>
      <c r="I2356" s="4" t="s">
        <v>10030</v>
      </c>
      <c r="J2356" s="1" t="s">
        <v>10031</v>
      </c>
      <c r="K2356" s="1" t="s">
        <v>295</v>
      </c>
    </row>
    <row r="2357">
      <c r="A2357" s="1" t="s">
        <v>10032</v>
      </c>
      <c r="B2357" s="1" t="s">
        <v>10033</v>
      </c>
      <c r="C2357" s="1">
        <v>2020.0</v>
      </c>
      <c r="D2357" s="2">
        <v>43904.0</v>
      </c>
      <c r="F2357" s="1" t="s">
        <v>1366</v>
      </c>
      <c r="H2357" s="3">
        <v>68.0</v>
      </c>
      <c r="I2357" s="4" t="s">
        <v>10034</v>
      </c>
      <c r="J2357" s="1" t="s">
        <v>10035</v>
      </c>
      <c r="K2357" s="1" t="s">
        <v>926</v>
      </c>
    </row>
    <row r="2358">
      <c r="A2358" s="1" t="s">
        <v>10036</v>
      </c>
      <c r="B2358" s="1" t="s">
        <v>10037</v>
      </c>
      <c r="C2358" s="1">
        <v>2020.0</v>
      </c>
      <c r="D2358" s="2">
        <v>43904.0</v>
      </c>
      <c r="F2358" s="1" t="s">
        <v>2996</v>
      </c>
      <c r="H2358" s="3">
        <v>19.0</v>
      </c>
      <c r="I2358" s="4" t="s">
        <v>10038</v>
      </c>
      <c r="J2358" s="1" t="s">
        <v>10039</v>
      </c>
      <c r="K2358" s="1" t="s">
        <v>329</v>
      </c>
    </row>
    <row r="2359">
      <c r="A2359" s="1" t="s">
        <v>10040</v>
      </c>
      <c r="B2359" s="1" t="s">
        <v>10041</v>
      </c>
      <c r="C2359" s="1">
        <v>2020.0</v>
      </c>
      <c r="D2359" s="2">
        <v>43903.0</v>
      </c>
      <c r="F2359" s="1" t="s">
        <v>2611</v>
      </c>
      <c r="H2359" s="3">
        <v>36.0</v>
      </c>
      <c r="I2359" s="4" t="s">
        <v>10042</v>
      </c>
      <c r="J2359" s="1"/>
      <c r="K2359" s="1" t="s">
        <v>45</v>
      </c>
    </row>
    <row r="2360">
      <c r="A2360" s="1" t="s">
        <v>10043</v>
      </c>
      <c r="B2360" s="1" t="s">
        <v>10044</v>
      </c>
      <c r="C2360" s="1">
        <v>2020.0</v>
      </c>
      <c r="D2360" s="2">
        <v>43903.0</v>
      </c>
      <c r="F2360" s="1" t="s">
        <v>489</v>
      </c>
      <c r="H2360" s="3">
        <v>9.0</v>
      </c>
      <c r="I2360" s="4" t="s">
        <v>10045</v>
      </c>
      <c r="J2360" s="1" t="s">
        <v>10046</v>
      </c>
      <c r="K2360" s="1" t="s">
        <v>28</v>
      </c>
    </row>
    <row r="2361">
      <c r="A2361" s="1" t="s">
        <v>10047</v>
      </c>
      <c r="B2361" s="1" t="s">
        <v>10048</v>
      </c>
      <c r="C2361" s="1">
        <v>2020.0</v>
      </c>
      <c r="D2361" s="2">
        <v>43903.0</v>
      </c>
      <c r="F2361" s="1" t="s">
        <v>10049</v>
      </c>
      <c r="H2361" s="3">
        <v>10.0</v>
      </c>
      <c r="I2361" s="4" t="s">
        <v>10050</v>
      </c>
      <c r="J2361" s="1" t="s">
        <v>10051</v>
      </c>
      <c r="K2361" s="1" t="s">
        <v>68</v>
      </c>
    </row>
    <row r="2362">
      <c r="A2362" s="1" t="s">
        <v>10052</v>
      </c>
      <c r="B2362" s="1" t="s">
        <v>10053</v>
      </c>
      <c r="C2362" s="1">
        <v>2020.0</v>
      </c>
      <c r="D2362" s="2">
        <v>43902.0</v>
      </c>
      <c r="F2362" s="1" t="s">
        <v>1199</v>
      </c>
      <c r="H2362" s="3">
        <v>4.0</v>
      </c>
      <c r="I2362" s="4" t="s">
        <v>10054</v>
      </c>
      <c r="J2362" s="1" t="s">
        <v>10055</v>
      </c>
      <c r="K2362" s="1" t="s">
        <v>28</v>
      </c>
    </row>
    <row r="2363">
      <c r="A2363" s="1" t="s">
        <v>10056</v>
      </c>
      <c r="B2363" s="1" t="s">
        <v>10057</v>
      </c>
      <c r="C2363" s="1">
        <v>2020.0</v>
      </c>
      <c r="D2363" s="2">
        <v>43902.0</v>
      </c>
      <c r="F2363" s="1" t="s">
        <v>1637</v>
      </c>
      <c r="H2363" s="3">
        <v>50.0</v>
      </c>
      <c r="I2363" s="4" t="s">
        <v>10058</v>
      </c>
      <c r="J2363" s="1" t="s">
        <v>10059</v>
      </c>
      <c r="K2363" s="1" t="s">
        <v>68</v>
      </c>
    </row>
    <row r="2364">
      <c r="A2364" s="1" t="s">
        <v>10060</v>
      </c>
      <c r="B2364" s="1" t="s">
        <v>10061</v>
      </c>
      <c r="C2364" s="1">
        <v>2020.0</v>
      </c>
      <c r="D2364" s="2">
        <v>43902.0</v>
      </c>
      <c r="F2364" s="1" t="s">
        <v>1050</v>
      </c>
      <c r="H2364" s="3">
        <v>0.0</v>
      </c>
      <c r="I2364" s="4" t="s">
        <v>10062</v>
      </c>
      <c r="J2364" s="1" t="s">
        <v>10063</v>
      </c>
      <c r="K2364" s="1" t="s">
        <v>68</v>
      </c>
    </row>
    <row r="2365">
      <c r="A2365" s="1" t="s">
        <v>10064</v>
      </c>
      <c r="B2365" s="1" t="s">
        <v>10065</v>
      </c>
      <c r="C2365" s="1">
        <v>2020.0</v>
      </c>
      <c r="D2365" s="2">
        <v>43901.0</v>
      </c>
      <c r="F2365" s="1" t="s">
        <v>4347</v>
      </c>
      <c r="H2365" s="3">
        <v>5.0</v>
      </c>
      <c r="I2365" s="4" t="s">
        <v>10066</v>
      </c>
      <c r="J2365" s="1" t="s">
        <v>10067</v>
      </c>
      <c r="K2365" s="1" t="s">
        <v>28</v>
      </c>
    </row>
    <row r="2366">
      <c r="A2366" s="1" t="s">
        <v>10068</v>
      </c>
      <c r="B2366" s="1" t="s">
        <v>10069</v>
      </c>
      <c r="C2366" s="1">
        <v>2020.0</v>
      </c>
      <c r="D2366" s="2">
        <v>43900.0</v>
      </c>
      <c r="F2366" s="1" t="s">
        <v>59</v>
      </c>
      <c r="H2366" s="3">
        <v>0.0</v>
      </c>
      <c r="I2366" s="4" t="s">
        <v>10070</v>
      </c>
      <c r="J2366" s="1"/>
      <c r="K2366" s="1" t="s">
        <v>383</v>
      </c>
    </row>
    <row r="2367">
      <c r="A2367" s="1" t="s">
        <v>10071</v>
      </c>
      <c r="B2367" s="1" t="s">
        <v>10072</v>
      </c>
      <c r="C2367" s="1">
        <v>2020.0</v>
      </c>
      <c r="D2367" s="2">
        <v>43900.0</v>
      </c>
      <c r="F2367" s="1" t="s">
        <v>10073</v>
      </c>
      <c r="H2367" s="3">
        <v>2.0</v>
      </c>
      <c r="I2367" s="4" t="s">
        <v>10074</v>
      </c>
      <c r="J2367" s="1" t="s">
        <v>10075</v>
      </c>
      <c r="K2367" s="1" t="s">
        <v>443</v>
      </c>
    </row>
    <row r="2368">
      <c r="A2368" s="1" t="s">
        <v>10076</v>
      </c>
      <c r="B2368" s="1" t="s">
        <v>10077</v>
      </c>
      <c r="C2368" s="1">
        <v>2020.0</v>
      </c>
      <c r="D2368" s="2">
        <v>43899.0</v>
      </c>
      <c r="F2368" s="1" t="s">
        <v>656</v>
      </c>
      <c r="H2368" s="3">
        <v>4.0</v>
      </c>
      <c r="I2368" s="4" t="s">
        <v>10078</v>
      </c>
      <c r="J2368" s="1" t="s">
        <v>10079</v>
      </c>
      <c r="K2368" s="1" t="s">
        <v>372</v>
      </c>
    </row>
    <row r="2369">
      <c r="A2369" s="1" t="s">
        <v>10080</v>
      </c>
      <c r="B2369" s="1" t="s">
        <v>10081</v>
      </c>
      <c r="C2369" s="1">
        <v>2020.0</v>
      </c>
      <c r="D2369" s="2">
        <v>43899.0</v>
      </c>
      <c r="F2369" s="1" t="s">
        <v>1358</v>
      </c>
      <c r="H2369" s="3">
        <v>18.0</v>
      </c>
      <c r="I2369" s="4" t="s">
        <v>10082</v>
      </c>
      <c r="J2369" s="1" t="s">
        <v>10083</v>
      </c>
      <c r="K2369" s="1" t="s">
        <v>443</v>
      </c>
    </row>
    <row r="2370">
      <c r="A2370" s="1" t="s">
        <v>10084</v>
      </c>
      <c r="B2370" s="1" t="s">
        <v>10085</v>
      </c>
      <c r="C2370" s="1">
        <v>2020.0</v>
      </c>
      <c r="D2370" s="2">
        <v>43895.0</v>
      </c>
      <c r="F2370" s="1" t="s">
        <v>308</v>
      </c>
      <c r="H2370" s="3">
        <v>4.0</v>
      </c>
      <c r="I2370" s="4" t="s">
        <v>10086</v>
      </c>
      <c r="J2370" s="1" t="s">
        <v>10087</v>
      </c>
      <c r="K2370" s="1" t="s">
        <v>45</v>
      </c>
    </row>
    <row r="2371">
      <c r="A2371" s="1" t="s">
        <v>10088</v>
      </c>
      <c r="B2371" s="1" t="s">
        <v>10089</v>
      </c>
      <c r="C2371" s="1">
        <v>2020.0</v>
      </c>
      <c r="D2371" s="2">
        <v>43895.0</v>
      </c>
      <c r="F2371" s="1" t="s">
        <v>1514</v>
      </c>
      <c r="H2371" s="3">
        <v>12.0</v>
      </c>
      <c r="I2371" s="4" t="s">
        <v>10090</v>
      </c>
      <c r="J2371" s="1" t="s">
        <v>10091</v>
      </c>
      <c r="K2371" s="1" t="s">
        <v>28</v>
      </c>
    </row>
    <row r="2372">
      <c r="A2372" s="1" t="s">
        <v>10092</v>
      </c>
      <c r="B2372" s="1" t="s">
        <v>10093</v>
      </c>
      <c r="C2372" s="1">
        <v>2020.0</v>
      </c>
      <c r="D2372" s="2">
        <v>43895.0</v>
      </c>
      <c r="F2372" s="1" t="s">
        <v>2611</v>
      </c>
      <c r="H2372" s="3">
        <v>196.0</v>
      </c>
      <c r="I2372" s="4" t="s">
        <v>10094</v>
      </c>
      <c r="J2372" s="1" t="s">
        <v>10095</v>
      </c>
      <c r="K2372" s="1" t="s">
        <v>323</v>
      </c>
    </row>
    <row r="2373">
      <c r="A2373" s="1" t="s">
        <v>10096</v>
      </c>
      <c r="B2373" s="1" t="s">
        <v>10097</v>
      </c>
      <c r="C2373" s="1">
        <v>2020.0</v>
      </c>
      <c r="D2373" s="2">
        <v>43895.0</v>
      </c>
      <c r="F2373" s="1" t="s">
        <v>10098</v>
      </c>
      <c r="H2373" s="3">
        <v>9.0</v>
      </c>
      <c r="I2373" s="4" t="s">
        <v>10099</v>
      </c>
      <c r="J2373" s="1" t="s">
        <v>10100</v>
      </c>
      <c r="K2373" s="1" t="s">
        <v>323</v>
      </c>
    </row>
    <row r="2374">
      <c r="A2374" s="1" t="s">
        <v>10101</v>
      </c>
      <c r="B2374" s="1" t="s">
        <v>10102</v>
      </c>
      <c r="C2374" s="1">
        <v>2020.0</v>
      </c>
      <c r="D2374" s="2">
        <v>43895.0</v>
      </c>
      <c r="F2374" s="1" t="s">
        <v>10103</v>
      </c>
      <c r="H2374" s="3">
        <v>9.0</v>
      </c>
      <c r="I2374" s="4" t="s">
        <v>10104</v>
      </c>
      <c r="J2374" s="1" t="s">
        <v>10105</v>
      </c>
      <c r="K2374" s="1" t="s">
        <v>462</v>
      </c>
    </row>
    <row r="2375">
      <c r="A2375" s="1" t="s">
        <v>10106</v>
      </c>
      <c r="B2375" s="1" t="s">
        <v>10107</v>
      </c>
      <c r="C2375" s="1">
        <v>2020.0</v>
      </c>
      <c r="D2375" s="2">
        <v>43894.0</v>
      </c>
      <c r="F2375" s="1" t="s">
        <v>10108</v>
      </c>
      <c r="H2375" s="3">
        <v>51.0</v>
      </c>
      <c r="I2375" s="4" t="s">
        <v>10109</v>
      </c>
      <c r="J2375" s="1" t="s">
        <v>10110</v>
      </c>
      <c r="K2375" s="1" t="s">
        <v>28</v>
      </c>
    </row>
    <row r="2376">
      <c r="A2376" s="1" t="s">
        <v>10111</v>
      </c>
      <c r="B2376" s="1" t="s">
        <v>10112</v>
      </c>
      <c r="C2376" s="1">
        <v>2020.0</v>
      </c>
      <c r="D2376" s="2">
        <v>43893.0</v>
      </c>
      <c r="F2376" s="1" t="s">
        <v>276</v>
      </c>
      <c r="H2376" s="3">
        <v>4.0</v>
      </c>
      <c r="I2376" s="4" t="s">
        <v>10113</v>
      </c>
      <c r="J2376" s="1" t="s">
        <v>10114</v>
      </c>
      <c r="K2376" s="1" t="s">
        <v>45</v>
      </c>
    </row>
    <row r="2377">
      <c r="A2377" s="1" t="s">
        <v>10115</v>
      </c>
      <c r="B2377" s="1" t="s">
        <v>10116</v>
      </c>
      <c r="C2377" s="1">
        <v>2020.0</v>
      </c>
      <c r="D2377" s="2">
        <v>43893.0</v>
      </c>
      <c r="F2377" s="1" t="s">
        <v>86</v>
      </c>
      <c r="H2377" s="3">
        <v>37.0</v>
      </c>
      <c r="I2377" s="4" t="s">
        <v>10117</v>
      </c>
      <c r="J2377" s="1" t="s">
        <v>10118</v>
      </c>
      <c r="K2377" s="1" t="s">
        <v>28</v>
      </c>
    </row>
    <row r="2378">
      <c r="A2378" s="1" t="s">
        <v>10119</v>
      </c>
      <c r="B2378" s="1" t="s">
        <v>10120</v>
      </c>
      <c r="C2378" s="1">
        <v>2020.0</v>
      </c>
      <c r="D2378" s="2">
        <v>43892.0</v>
      </c>
      <c r="F2378" s="1" t="s">
        <v>10121</v>
      </c>
      <c r="H2378" s="3">
        <v>4.0</v>
      </c>
      <c r="I2378" s="4" t="s">
        <v>10122</v>
      </c>
      <c r="J2378" s="1" t="s">
        <v>10123</v>
      </c>
      <c r="K2378" s="1" t="s">
        <v>323</v>
      </c>
    </row>
    <row r="2379">
      <c r="A2379" s="1" t="s">
        <v>10124</v>
      </c>
      <c r="B2379" s="1" t="s">
        <v>10125</v>
      </c>
      <c r="C2379" s="1">
        <v>2020.0</v>
      </c>
      <c r="D2379" s="2">
        <v>43892.0</v>
      </c>
      <c r="F2379" s="1" t="s">
        <v>10126</v>
      </c>
      <c r="H2379" s="3">
        <v>159.0</v>
      </c>
      <c r="I2379" s="4" t="s">
        <v>10127</v>
      </c>
      <c r="J2379" s="1" t="s">
        <v>10128</v>
      </c>
      <c r="K2379" s="1" t="s">
        <v>16</v>
      </c>
    </row>
    <row r="2380">
      <c r="A2380" s="1" t="s">
        <v>10129</v>
      </c>
      <c r="B2380" s="1" t="s">
        <v>10130</v>
      </c>
      <c r="C2380" s="1">
        <v>2020.0</v>
      </c>
      <c r="D2380" s="2">
        <v>43891.0</v>
      </c>
      <c r="F2380" s="1" t="s">
        <v>3530</v>
      </c>
      <c r="H2380" s="3">
        <v>4.0</v>
      </c>
      <c r="I2380" s="4" t="s">
        <v>10131</v>
      </c>
      <c r="J2380" s="1" t="s">
        <v>10132</v>
      </c>
      <c r="K2380" s="1" t="s">
        <v>413</v>
      </c>
    </row>
    <row r="2381">
      <c r="A2381" s="1" t="s">
        <v>10133</v>
      </c>
      <c r="B2381" s="1" t="s">
        <v>10134</v>
      </c>
      <c r="C2381" s="1">
        <v>2020.0</v>
      </c>
      <c r="D2381" s="2">
        <v>43891.0</v>
      </c>
      <c r="F2381" s="1" t="s">
        <v>634</v>
      </c>
      <c r="H2381" s="3">
        <v>18.0</v>
      </c>
      <c r="I2381" s="4" t="s">
        <v>10135</v>
      </c>
      <c r="J2381" s="1" t="s">
        <v>10136</v>
      </c>
      <c r="K2381" s="1" t="s">
        <v>16</v>
      </c>
    </row>
    <row r="2382">
      <c r="A2382" s="1" t="s">
        <v>10137</v>
      </c>
      <c r="B2382" s="1" t="s">
        <v>10138</v>
      </c>
      <c r="C2382" s="1">
        <v>2020.0</v>
      </c>
      <c r="D2382" s="2">
        <v>43891.0</v>
      </c>
      <c r="F2382" s="1" t="s">
        <v>8420</v>
      </c>
      <c r="H2382" s="3">
        <v>0.0</v>
      </c>
      <c r="I2382" s="4" t="s">
        <v>10139</v>
      </c>
      <c r="J2382" s="1"/>
      <c r="K2382" s="1" t="s">
        <v>413</v>
      </c>
    </row>
    <row r="2383">
      <c r="A2383" s="1" t="s">
        <v>10140</v>
      </c>
      <c r="B2383" s="1" t="s">
        <v>10141</v>
      </c>
      <c r="C2383" s="1">
        <v>2020.0</v>
      </c>
      <c r="D2383" s="2">
        <v>43891.0</v>
      </c>
      <c r="F2383" s="1" t="s">
        <v>5824</v>
      </c>
      <c r="H2383" s="3">
        <v>5.0</v>
      </c>
      <c r="I2383" s="4" t="s">
        <v>10142</v>
      </c>
      <c r="J2383" s="1" t="s">
        <v>10143</v>
      </c>
      <c r="K2383" s="1" t="s">
        <v>295</v>
      </c>
    </row>
    <row r="2384">
      <c r="A2384" s="1" t="s">
        <v>10144</v>
      </c>
      <c r="B2384" s="1" t="s">
        <v>10145</v>
      </c>
      <c r="C2384" s="1">
        <v>2020.0</v>
      </c>
      <c r="D2384" s="2">
        <v>43890.0</v>
      </c>
      <c r="F2384" s="1" t="s">
        <v>1358</v>
      </c>
      <c r="H2384" s="3">
        <v>60.0</v>
      </c>
      <c r="I2384" s="4" t="s">
        <v>10146</v>
      </c>
      <c r="J2384" s="1" t="s">
        <v>10147</v>
      </c>
      <c r="K2384" s="1" t="s">
        <v>28</v>
      </c>
    </row>
    <row r="2385">
      <c r="A2385" s="1" t="s">
        <v>10148</v>
      </c>
      <c r="B2385" s="1" t="s">
        <v>10149</v>
      </c>
      <c r="C2385" s="1">
        <v>2020.0</v>
      </c>
      <c r="D2385" s="2">
        <v>43889.0</v>
      </c>
      <c r="F2385" s="1" t="s">
        <v>308</v>
      </c>
      <c r="H2385" s="3">
        <v>1.0</v>
      </c>
      <c r="I2385" s="4" t="s">
        <v>10150</v>
      </c>
      <c r="J2385" s="1" t="s">
        <v>10151</v>
      </c>
      <c r="K2385" s="1" t="s">
        <v>28</v>
      </c>
    </row>
    <row r="2386">
      <c r="A2386" s="1" t="s">
        <v>10152</v>
      </c>
      <c r="B2386" s="1" t="s">
        <v>10153</v>
      </c>
      <c r="C2386" s="1">
        <v>2020.0</v>
      </c>
      <c r="D2386" s="2">
        <v>43889.0</v>
      </c>
      <c r="F2386" s="1" t="s">
        <v>157</v>
      </c>
      <c r="H2386" s="3">
        <v>19.0</v>
      </c>
      <c r="I2386" s="4" t="s">
        <v>10154</v>
      </c>
      <c r="J2386" s="1" t="s">
        <v>10155</v>
      </c>
      <c r="K2386" s="1" t="s">
        <v>546</v>
      </c>
    </row>
    <row r="2387">
      <c r="A2387" s="1" t="s">
        <v>10156</v>
      </c>
      <c r="B2387" s="1" t="s">
        <v>10157</v>
      </c>
      <c r="C2387" s="1">
        <v>2020.0</v>
      </c>
      <c r="D2387" s="2">
        <v>43888.0</v>
      </c>
      <c r="F2387" s="1" t="s">
        <v>540</v>
      </c>
      <c r="H2387" s="3">
        <v>14.0</v>
      </c>
      <c r="I2387" s="4" t="s">
        <v>10158</v>
      </c>
      <c r="J2387" s="1" t="s">
        <v>10159</v>
      </c>
      <c r="K2387" s="1" t="s">
        <v>295</v>
      </c>
    </row>
    <row r="2388">
      <c r="A2388" s="1" t="s">
        <v>10160</v>
      </c>
      <c r="B2388" s="1" t="s">
        <v>10161</v>
      </c>
      <c r="C2388" s="1">
        <v>2020.0</v>
      </c>
      <c r="D2388" s="2">
        <v>43888.0</v>
      </c>
      <c r="F2388" s="1" t="s">
        <v>347</v>
      </c>
      <c r="H2388" s="3">
        <v>9.0</v>
      </c>
      <c r="I2388" s="4" t="s">
        <v>10162</v>
      </c>
      <c r="J2388" s="1" t="s">
        <v>10163</v>
      </c>
      <c r="K2388" s="1" t="s">
        <v>68</v>
      </c>
    </row>
    <row r="2389">
      <c r="A2389" s="1" t="s">
        <v>10164</v>
      </c>
      <c r="B2389" s="1" t="s">
        <v>10165</v>
      </c>
      <c r="C2389" s="1">
        <v>2020.0</v>
      </c>
      <c r="D2389" s="2">
        <v>43888.0</v>
      </c>
      <c r="F2389" s="1" t="s">
        <v>233</v>
      </c>
      <c r="H2389" s="3">
        <v>115.0</v>
      </c>
      <c r="I2389" s="4" t="s">
        <v>10166</v>
      </c>
      <c r="J2389" s="1" t="s">
        <v>10167</v>
      </c>
      <c r="K2389" s="1" t="s">
        <v>413</v>
      </c>
    </row>
    <row r="2390">
      <c r="A2390" s="1" t="s">
        <v>10168</v>
      </c>
      <c r="B2390" s="1" t="s">
        <v>10169</v>
      </c>
      <c r="C2390" s="1">
        <v>2020.0</v>
      </c>
      <c r="D2390" s="2">
        <v>43888.0</v>
      </c>
      <c r="F2390" s="1" t="s">
        <v>292</v>
      </c>
      <c r="H2390" s="3">
        <v>4.0</v>
      </c>
      <c r="I2390" s="4" t="s">
        <v>10170</v>
      </c>
      <c r="J2390" s="1" t="s">
        <v>10171</v>
      </c>
      <c r="K2390" s="1" t="s">
        <v>1036</v>
      </c>
    </row>
    <row r="2391">
      <c r="A2391" s="1" t="s">
        <v>10172</v>
      </c>
      <c r="B2391" s="1" t="s">
        <v>10173</v>
      </c>
      <c r="C2391" s="1">
        <v>2020.0</v>
      </c>
      <c r="D2391" s="2">
        <v>43888.0</v>
      </c>
      <c r="F2391" s="1" t="s">
        <v>2515</v>
      </c>
      <c r="H2391" s="3">
        <v>7.0</v>
      </c>
      <c r="I2391" s="4" t="s">
        <v>10174</v>
      </c>
      <c r="J2391" s="1" t="s">
        <v>10175</v>
      </c>
      <c r="K2391" s="1" t="s">
        <v>295</v>
      </c>
    </row>
    <row r="2392">
      <c r="A2392" s="1" t="s">
        <v>10176</v>
      </c>
      <c r="B2392" s="1" t="s">
        <v>10177</v>
      </c>
      <c r="C2392" s="1">
        <v>2020.0</v>
      </c>
      <c r="D2392" s="2">
        <v>43886.0</v>
      </c>
      <c r="F2392" s="1" t="s">
        <v>2774</v>
      </c>
      <c r="H2392" s="3">
        <v>33.0</v>
      </c>
      <c r="I2392" s="4" t="s">
        <v>10178</v>
      </c>
      <c r="J2392" s="1" t="s">
        <v>10179</v>
      </c>
      <c r="K2392" s="1" t="s">
        <v>443</v>
      </c>
    </row>
    <row r="2393">
      <c r="A2393" s="1" t="s">
        <v>10180</v>
      </c>
      <c r="B2393" s="1" t="s">
        <v>10181</v>
      </c>
      <c r="C2393" s="1">
        <v>2020.0</v>
      </c>
      <c r="D2393" s="2">
        <v>43885.0</v>
      </c>
      <c r="F2393" s="1" t="s">
        <v>10182</v>
      </c>
      <c r="H2393" s="3">
        <v>10.0</v>
      </c>
      <c r="I2393" s="4" t="s">
        <v>10183</v>
      </c>
      <c r="J2393" s="1" t="s">
        <v>10184</v>
      </c>
      <c r="K2393" s="1" t="s">
        <v>477</v>
      </c>
    </row>
    <row r="2394">
      <c r="A2394" s="1" t="s">
        <v>10185</v>
      </c>
      <c r="B2394" s="1" t="s">
        <v>10186</v>
      </c>
      <c r="C2394" s="1">
        <v>2020.0</v>
      </c>
      <c r="D2394" s="2">
        <v>43883.0</v>
      </c>
      <c r="F2394" s="1" t="s">
        <v>2996</v>
      </c>
      <c r="H2394" s="3">
        <v>38.0</v>
      </c>
      <c r="I2394" s="4" t="s">
        <v>10187</v>
      </c>
      <c r="J2394" s="1" t="s">
        <v>10188</v>
      </c>
      <c r="K2394" s="1" t="s">
        <v>16</v>
      </c>
    </row>
    <row r="2395">
      <c r="A2395" s="1" t="s">
        <v>10189</v>
      </c>
      <c r="B2395" s="1" t="s">
        <v>10190</v>
      </c>
      <c r="C2395" s="1">
        <v>2020.0</v>
      </c>
      <c r="D2395" s="2">
        <v>43882.0</v>
      </c>
      <c r="F2395" s="1" t="s">
        <v>10191</v>
      </c>
      <c r="H2395" s="3">
        <v>15.0</v>
      </c>
      <c r="I2395" s="4" t="s">
        <v>10192</v>
      </c>
      <c r="J2395" s="1" t="s">
        <v>10193</v>
      </c>
      <c r="K2395" s="1" t="s">
        <v>28</v>
      </c>
    </row>
    <row r="2396">
      <c r="A2396" s="1" t="s">
        <v>10194</v>
      </c>
      <c r="B2396" s="1" t="s">
        <v>10195</v>
      </c>
      <c r="C2396" s="1">
        <v>2020.0</v>
      </c>
      <c r="D2396" s="2">
        <v>43882.0</v>
      </c>
      <c r="F2396" s="1" t="s">
        <v>71</v>
      </c>
      <c r="H2396" s="3">
        <v>7.0</v>
      </c>
      <c r="I2396" s="4" t="s">
        <v>10196</v>
      </c>
      <c r="J2396" s="1" t="s">
        <v>10197</v>
      </c>
      <c r="K2396" s="1" t="s">
        <v>16</v>
      </c>
    </row>
    <row r="2397">
      <c r="A2397" s="1" t="s">
        <v>10198</v>
      </c>
      <c r="B2397" s="1" t="s">
        <v>10199</v>
      </c>
      <c r="C2397" s="1">
        <v>2020.0</v>
      </c>
      <c r="D2397" s="2">
        <v>43881.0</v>
      </c>
      <c r="F2397" s="1" t="s">
        <v>711</v>
      </c>
      <c r="H2397" s="3">
        <v>32.0</v>
      </c>
      <c r="I2397" s="4" t="s">
        <v>10200</v>
      </c>
      <c r="J2397" s="1" t="s">
        <v>10201</v>
      </c>
      <c r="K2397" s="1" t="s">
        <v>28</v>
      </c>
    </row>
    <row r="2398">
      <c r="A2398" s="1" t="s">
        <v>10202</v>
      </c>
      <c r="B2398" s="1" t="s">
        <v>10203</v>
      </c>
      <c r="C2398" s="1">
        <v>2020.0</v>
      </c>
      <c r="D2398" s="2">
        <v>43879.0</v>
      </c>
      <c r="F2398" s="1" t="s">
        <v>1505</v>
      </c>
      <c r="H2398" s="3">
        <v>297.0</v>
      </c>
      <c r="I2398" s="4" t="s">
        <v>10204</v>
      </c>
      <c r="J2398" s="1" t="s">
        <v>10205</v>
      </c>
      <c r="K2398" s="1" t="s">
        <v>443</v>
      </c>
    </row>
    <row r="2399">
      <c r="A2399" s="1" t="s">
        <v>10206</v>
      </c>
      <c r="B2399" s="1" t="s">
        <v>10207</v>
      </c>
      <c r="C2399" s="1">
        <v>2020.0</v>
      </c>
      <c r="D2399" s="2">
        <v>43879.0</v>
      </c>
      <c r="F2399" s="1" t="s">
        <v>243</v>
      </c>
      <c r="H2399" s="3">
        <v>5.0</v>
      </c>
      <c r="I2399" s="4" t="s">
        <v>10208</v>
      </c>
      <c r="J2399" s="1" t="s">
        <v>10209</v>
      </c>
      <c r="K2399" s="1" t="s">
        <v>28</v>
      </c>
    </row>
    <row r="2400">
      <c r="A2400" s="1" t="s">
        <v>10210</v>
      </c>
      <c r="B2400" s="1" t="s">
        <v>10211</v>
      </c>
      <c r="C2400" s="1">
        <v>2020.0</v>
      </c>
      <c r="D2400" s="2">
        <v>43879.0</v>
      </c>
      <c r="F2400" s="1" t="s">
        <v>2611</v>
      </c>
      <c r="H2400" s="3">
        <v>6.0</v>
      </c>
      <c r="I2400" s="4" t="s">
        <v>10212</v>
      </c>
      <c r="J2400" s="1"/>
      <c r="K2400" s="1" t="s">
        <v>68</v>
      </c>
    </row>
    <row r="2401">
      <c r="A2401" s="1" t="s">
        <v>10213</v>
      </c>
      <c r="B2401" s="1" t="s">
        <v>10214</v>
      </c>
      <c r="C2401" s="1">
        <v>2020.0</v>
      </c>
      <c r="D2401" s="2">
        <v>43875.0</v>
      </c>
      <c r="F2401" s="1" t="s">
        <v>86</v>
      </c>
      <c r="H2401" s="3">
        <v>4.0</v>
      </c>
      <c r="I2401" s="4" t="s">
        <v>10215</v>
      </c>
      <c r="J2401" s="1" t="s">
        <v>10216</v>
      </c>
      <c r="K2401" s="1" t="s">
        <v>372</v>
      </c>
    </row>
    <row r="2402">
      <c r="A2402" s="1" t="s">
        <v>10217</v>
      </c>
      <c r="B2402" s="1" t="s">
        <v>10218</v>
      </c>
      <c r="C2402" s="1">
        <v>2020.0</v>
      </c>
      <c r="D2402" s="2">
        <v>43875.0</v>
      </c>
      <c r="F2402" s="1" t="s">
        <v>440</v>
      </c>
      <c r="H2402" s="3">
        <v>2.0</v>
      </c>
      <c r="I2402" s="4" t="s">
        <v>10219</v>
      </c>
      <c r="J2402" s="1"/>
      <c r="K2402" s="1" t="s">
        <v>16</v>
      </c>
    </row>
    <row r="2403">
      <c r="A2403" s="1" t="s">
        <v>10220</v>
      </c>
      <c r="B2403" s="1" t="s">
        <v>10221</v>
      </c>
      <c r="C2403" s="1">
        <v>2020.0</v>
      </c>
      <c r="D2403" s="2">
        <v>43875.0</v>
      </c>
      <c r="F2403" s="1" t="s">
        <v>10222</v>
      </c>
      <c r="H2403" s="3">
        <v>14.0</v>
      </c>
      <c r="I2403" s="4" t="s">
        <v>10223</v>
      </c>
      <c r="J2403" s="1" t="s">
        <v>10224</v>
      </c>
      <c r="K2403" s="1" t="s">
        <v>926</v>
      </c>
    </row>
    <row r="2404">
      <c r="A2404" s="1" t="s">
        <v>10225</v>
      </c>
      <c r="B2404" s="1" t="s">
        <v>10226</v>
      </c>
      <c r="C2404" s="1">
        <v>2020.0</v>
      </c>
      <c r="D2404" s="2">
        <v>43874.0</v>
      </c>
      <c r="F2404" s="1" t="s">
        <v>59</v>
      </c>
      <c r="H2404" s="3">
        <v>9.0</v>
      </c>
      <c r="I2404" s="4" t="s">
        <v>10227</v>
      </c>
      <c r="J2404" s="1" t="s">
        <v>10228</v>
      </c>
      <c r="K2404" s="1" t="s">
        <v>323</v>
      </c>
    </row>
    <row r="2405">
      <c r="A2405" s="1" t="s">
        <v>10229</v>
      </c>
      <c r="B2405" s="1" t="s">
        <v>10230</v>
      </c>
      <c r="C2405" s="1">
        <v>2020.0</v>
      </c>
      <c r="D2405" s="2">
        <v>43873.0</v>
      </c>
      <c r="F2405" s="1" t="s">
        <v>208</v>
      </c>
      <c r="H2405" s="3">
        <v>164.0</v>
      </c>
      <c r="I2405" s="4" t="s">
        <v>10231</v>
      </c>
      <c r="J2405" s="1" t="s">
        <v>10232</v>
      </c>
      <c r="K2405" s="1" t="s">
        <v>1036</v>
      </c>
    </row>
    <row r="2406">
      <c r="A2406" s="1" t="s">
        <v>10233</v>
      </c>
      <c r="B2406" s="1" t="s">
        <v>10234</v>
      </c>
      <c r="C2406" s="1">
        <v>2020.0</v>
      </c>
      <c r="D2406" s="2">
        <v>43873.0</v>
      </c>
      <c r="F2406" s="1" t="s">
        <v>1095</v>
      </c>
      <c r="H2406" s="3">
        <v>7.0</v>
      </c>
      <c r="I2406" s="4" t="s">
        <v>10235</v>
      </c>
      <c r="J2406" s="1" t="s">
        <v>10236</v>
      </c>
      <c r="K2406" s="1" t="s">
        <v>16</v>
      </c>
    </row>
    <row r="2407">
      <c r="A2407" s="1" t="s">
        <v>10237</v>
      </c>
      <c r="B2407" s="1" t="s">
        <v>10238</v>
      </c>
      <c r="C2407" s="1">
        <v>2020.0</v>
      </c>
      <c r="D2407" s="2">
        <v>43873.0</v>
      </c>
      <c r="F2407" s="1" t="s">
        <v>10239</v>
      </c>
      <c r="H2407" s="3">
        <v>10.0</v>
      </c>
      <c r="I2407" s="4" t="s">
        <v>10240</v>
      </c>
      <c r="J2407" s="1" t="s">
        <v>10241</v>
      </c>
      <c r="K2407" s="1" t="s">
        <v>16</v>
      </c>
    </row>
    <row r="2408">
      <c r="A2408" s="1" t="s">
        <v>10242</v>
      </c>
      <c r="B2408" s="1" t="s">
        <v>10230</v>
      </c>
      <c r="C2408" s="1">
        <v>2020.0</v>
      </c>
      <c r="D2408" s="2">
        <v>43871.0</v>
      </c>
      <c r="F2408" s="1" t="s">
        <v>208</v>
      </c>
      <c r="H2408" s="3">
        <v>159.0</v>
      </c>
      <c r="I2408" s="4" t="s">
        <v>10243</v>
      </c>
      <c r="J2408" s="1" t="s">
        <v>10244</v>
      </c>
      <c r="K2408" s="1" t="s">
        <v>1036</v>
      </c>
    </row>
    <row r="2409">
      <c r="A2409" s="1" t="s">
        <v>10245</v>
      </c>
      <c r="B2409" s="1" t="s">
        <v>10246</v>
      </c>
      <c r="C2409" s="1">
        <v>2020.0</v>
      </c>
      <c r="D2409" s="2">
        <v>43870.0</v>
      </c>
      <c r="F2409" s="1" t="s">
        <v>10247</v>
      </c>
      <c r="H2409" s="3">
        <v>2.0</v>
      </c>
      <c r="I2409" s="4" t="s">
        <v>10248</v>
      </c>
      <c r="J2409" s="1" t="s">
        <v>10249</v>
      </c>
      <c r="K2409" s="1" t="s">
        <v>323</v>
      </c>
    </row>
    <row r="2410">
      <c r="A2410" s="1" t="s">
        <v>10250</v>
      </c>
      <c r="B2410" s="1" t="s">
        <v>10251</v>
      </c>
      <c r="C2410" s="1">
        <v>2020.0</v>
      </c>
      <c r="D2410" s="2">
        <v>43869.0</v>
      </c>
      <c r="F2410" s="1" t="s">
        <v>882</v>
      </c>
      <c r="H2410" s="3">
        <v>2.0</v>
      </c>
      <c r="I2410" s="4" t="s">
        <v>10252</v>
      </c>
      <c r="J2410" s="1"/>
      <c r="K2410" s="1" t="s">
        <v>28</v>
      </c>
    </row>
    <row r="2411">
      <c r="A2411" s="1" t="s">
        <v>10253</v>
      </c>
      <c r="B2411" s="1" t="s">
        <v>10254</v>
      </c>
      <c r="C2411" s="1">
        <v>2020.0</v>
      </c>
      <c r="D2411" s="2">
        <v>43868.0</v>
      </c>
      <c r="F2411" s="1" t="s">
        <v>10255</v>
      </c>
      <c r="H2411" s="3">
        <v>28.0</v>
      </c>
      <c r="I2411" s="4" t="s">
        <v>10256</v>
      </c>
      <c r="J2411" s="1" t="s">
        <v>10257</v>
      </c>
      <c r="K2411" s="1" t="s">
        <v>926</v>
      </c>
    </row>
    <row r="2412">
      <c r="A2412" s="1" t="s">
        <v>10258</v>
      </c>
      <c r="B2412" s="1" t="s">
        <v>10259</v>
      </c>
      <c r="C2412" s="1">
        <v>2020.0</v>
      </c>
      <c r="D2412" s="2">
        <v>43868.0</v>
      </c>
      <c r="F2412" s="1" t="s">
        <v>8731</v>
      </c>
      <c r="H2412" s="3">
        <v>10.0</v>
      </c>
      <c r="I2412" s="4" t="s">
        <v>10260</v>
      </c>
      <c r="J2412" s="1" t="s">
        <v>10261</v>
      </c>
      <c r="K2412" s="1" t="s">
        <v>16</v>
      </c>
    </row>
    <row r="2413">
      <c r="A2413" s="1" t="s">
        <v>10262</v>
      </c>
      <c r="B2413" s="1" t="s">
        <v>10263</v>
      </c>
      <c r="C2413" s="1">
        <v>2020.0</v>
      </c>
      <c r="D2413" s="2">
        <v>43867.0</v>
      </c>
      <c r="F2413" s="1" t="s">
        <v>3501</v>
      </c>
      <c r="H2413" s="3">
        <v>43.0</v>
      </c>
      <c r="I2413" s="4" t="s">
        <v>10264</v>
      </c>
      <c r="J2413" s="1" t="s">
        <v>10265</v>
      </c>
      <c r="K2413" s="1" t="s">
        <v>443</v>
      </c>
    </row>
    <row r="2414">
      <c r="A2414" s="1" t="s">
        <v>10266</v>
      </c>
      <c r="B2414" s="1" t="s">
        <v>10267</v>
      </c>
      <c r="C2414" s="1">
        <v>2020.0</v>
      </c>
      <c r="D2414" s="2">
        <v>43866.0</v>
      </c>
      <c r="F2414" s="1" t="s">
        <v>271</v>
      </c>
      <c r="H2414" s="3">
        <v>36.0</v>
      </c>
      <c r="I2414" s="4" t="s">
        <v>10268</v>
      </c>
      <c r="J2414" s="1" t="s">
        <v>10269</v>
      </c>
      <c r="K2414" s="1" t="s">
        <v>926</v>
      </c>
    </row>
    <row r="2415">
      <c r="A2415" s="1" t="s">
        <v>10270</v>
      </c>
      <c r="B2415" s="1" t="s">
        <v>10271</v>
      </c>
      <c r="C2415" s="1">
        <v>2020.0</v>
      </c>
      <c r="D2415" s="2">
        <v>43866.0</v>
      </c>
      <c r="F2415" s="1" t="s">
        <v>9971</v>
      </c>
      <c r="H2415" s="3">
        <v>25.0</v>
      </c>
      <c r="I2415" s="4" t="s">
        <v>10272</v>
      </c>
      <c r="J2415" s="1" t="s">
        <v>10273</v>
      </c>
      <c r="K2415" s="1" t="s">
        <v>317</v>
      </c>
    </row>
    <row r="2416">
      <c r="A2416" s="1" t="s">
        <v>10274</v>
      </c>
      <c r="B2416" s="1" t="s">
        <v>10275</v>
      </c>
      <c r="C2416" s="1">
        <v>2020.0</v>
      </c>
      <c r="D2416" s="2">
        <v>43866.0</v>
      </c>
      <c r="F2416" s="1" t="s">
        <v>1170</v>
      </c>
      <c r="H2416" s="3">
        <v>3.0</v>
      </c>
      <c r="I2416" s="4" t="s">
        <v>10276</v>
      </c>
      <c r="J2416" s="1" t="s">
        <v>10277</v>
      </c>
      <c r="K2416" s="1" t="s">
        <v>28</v>
      </c>
    </row>
    <row r="2417">
      <c r="A2417" s="1" t="s">
        <v>10278</v>
      </c>
      <c r="B2417" s="1" t="s">
        <v>10279</v>
      </c>
      <c r="C2417" s="1">
        <v>2020.0</v>
      </c>
      <c r="D2417" s="2">
        <v>43865.0</v>
      </c>
      <c r="F2417" s="1" t="s">
        <v>2191</v>
      </c>
      <c r="H2417" s="3">
        <v>19.0</v>
      </c>
      <c r="I2417" s="4" t="s">
        <v>10280</v>
      </c>
      <c r="J2417" s="1" t="s">
        <v>10281</v>
      </c>
      <c r="K2417" s="1" t="s">
        <v>323</v>
      </c>
    </row>
    <row r="2418">
      <c r="A2418" s="1" t="s">
        <v>10282</v>
      </c>
      <c r="B2418" s="1" t="s">
        <v>10283</v>
      </c>
      <c r="C2418" s="1">
        <v>2020.0</v>
      </c>
      <c r="D2418" s="2">
        <v>43862.0</v>
      </c>
      <c r="F2418" s="1" t="s">
        <v>10284</v>
      </c>
      <c r="H2418" s="3">
        <v>8.0</v>
      </c>
      <c r="I2418" s="4" t="s">
        <v>10285</v>
      </c>
      <c r="J2418" s="1" t="s">
        <v>10286</v>
      </c>
      <c r="K2418" s="1" t="s">
        <v>45</v>
      </c>
    </row>
    <row r="2419">
      <c r="A2419" s="1" t="s">
        <v>10287</v>
      </c>
      <c r="B2419" s="1" t="s">
        <v>10288</v>
      </c>
      <c r="C2419" s="1">
        <v>2020.0</v>
      </c>
      <c r="D2419" s="2">
        <v>43862.0</v>
      </c>
      <c r="F2419" s="1" t="s">
        <v>519</v>
      </c>
      <c r="H2419" s="3">
        <v>51.0</v>
      </c>
      <c r="I2419" s="4" t="s">
        <v>10289</v>
      </c>
      <c r="J2419" s="1" t="s">
        <v>10290</v>
      </c>
      <c r="K2419" s="1" t="s">
        <v>323</v>
      </c>
    </row>
    <row r="2420">
      <c r="A2420" s="1" t="s">
        <v>10291</v>
      </c>
      <c r="B2420" s="1" t="s">
        <v>10292</v>
      </c>
      <c r="C2420" s="1">
        <v>2020.0</v>
      </c>
      <c r="D2420" s="2">
        <v>43862.0</v>
      </c>
      <c r="F2420" s="1" t="s">
        <v>1442</v>
      </c>
      <c r="H2420" s="3">
        <v>50.0</v>
      </c>
      <c r="I2420" s="4" t="s">
        <v>10293</v>
      </c>
      <c r="J2420" s="1" t="s">
        <v>10294</v>
      </c>
      <c r="K2420" s="1" t="s">
        <v>372</v>
      </c>
    </row>
    <row r="2421">
      <c r="A2421" s="1" t="s">
        <v>10295</v>
      </c>
      <c r="B2421" s="1" t="s">
        <v>10296</v>
      </c>
      <c r="C2421" s="1">
        <v>2020.0</v>
      </c>
      <c r="D2421" s="2">
        <v>43862.0</v>
      </c>
      <c r="F2421" s="1" t="s">
        <v>9276</v>
      </c>
      <c r="H2421" s="3">
        <v>2.0</v>
      </c>
      <c r="I2421" s="4" t="s">
        <v>10297</v>
      </c>
      <c r="J2421" s="1"/>
      <c r="K2421" s="1" t="s">
        <v>383</v>
      </c>
    </row>
    <row r="2422">
      <c r="A2422" s="1" t="s">
        <v>10298</v>
      </c>
      <c r="B2422" s="1" t="s">
        <v>10299</v>
      </c>
      <c r="C2422" s="1">
        <v>2020.0</v>
      </c>
      <c r="D2422" s="2">
        <v>43861.0</v>
      </c>
      <c r="F2422" s="1" t="s">
        <v>2070</v>
      </c>
      <c r="H2422" s="3">
        <v>5.0</v>
      </c>
      <c r="I2422" s="4" t="s">
        <v>10300</v>
      </c>
      <c r="J2422" s="1" t="s">
        <v>10301</v>
      </c>
      <c r="K2422" s="1" t="s">
        <v>443</v>
      </c>
    </row>
    <row r="2423">
      <c r="A2423" s="1" t="s">
        <v>10302</v>
      </c>
      <c r="B2423" s="1" t="s">
        <v>10303</v>
      </c>
      <c r="C2423" s="1">
        <v>2020.0</v>
      </c>
      <c r="D2423" s="2">
        <v>43861.0</v>
      </c>
      <c r="F2423" s="1" t="s">
        <v>10304</v>
      </c>
      <c r="H2423" s="3">
        <v>10.0</v>
      </c>
      <c r="I2423" s="4" t="s">
        <v>10305</v>
      </c>
      <c r="J2423" s="1" t="s">
        <v>10306</v>
      </c>
      <c r="K2423" s="1" t="s">
        <v>16</v>
      </c>
    </row>
    <row r="2424">
      <c r="A2424" s="1" t="s">
        <v>10307</v>
      </c>
      <c r="B2424" s="1" t="s">
        <v>10308</v>
      </c>
      <c r="C2424" s="1">
        <v>2020.0</v>
      </c>
      <c r="D2424" s="2">
        <v>43860.0</v>
      </c>
      <c r="F2424" s="1" t="s">
        <v>1300</v>
      </c>
      <c r="H2424" s="3">
        <v>208.0</v>
      </c>
      <c r="I2424" s="4" t="s">
        <v>10309</v>
      </c>
      <c r="J2424" s="1" t="s">
        <v>10310</v>
      </c>
      <c r="K2424" s="1" t="s">
        <v>418</v>
      </c>
    </row>
    <row r="2425">
      <c r="A2425" s="1" t="s">
        <v>10311</v>
      </c>
      <c r="B2425" s="1" t="s">
        <v>10312</v>
      </c>
      <c r="C2425" s="1">
        <v>2020.0</v>
      </c>
      <c r="D2425" s="2">
        <v>43859.0</v>
      </c>
      <c r="F2425" s="1" t="s">
        <v>10313</v>
      </c>
      <c r="H2425" s="3">
        <v>17.0</v>
      </c>
      <c r="I2425" s="4" t="s">
        <v>10314</v>
      </c>
      <c r="J2425" s="1" t="s">
        <v>10315</v>
      </c>
      <c r="K2425" s="1" t="s">
        <v>413</v>
      </c>
    </row>
    <row r="2426">
      <c r="A2426" s="1" t="s">
        <v>10316</v>
      </c>
      <c r="B2426" s="1" t="s">
        <v>10317</v>
      </c>
      <c r="C2426" s="1">
        <v>2020.0</v>
      </c>
      <c r="D2426" s="2">
        <v>43858.0</v>
      </c>
      <c r="F2426" s="1" t="s">
        <v>3501</v>
      </c>
      <c r="H2426" s="3">
        <v>5.0</v>
      </c>
      <c r="I2426" s="4" t="s">
        <v>10318</v>
      </c>
      <c r="J2426" s="1" t="s">
        <v>10319</v>
      </c>
      <c r="K2426" s="1" t="s">
        <v>295</v>
      </c>
    </row>
    <row r="2427">
      <c r="A2427" s="1" t="s">
        <v>10320</v>
      </c>
      <c r="B2427" s="1" t="s">
        <v>10321</v>
      </c>
      <c r="C2427" s="1">
        <v>2020.0</v>
      </c>
      <c r="D2427" s="2">
        <v>43858.0</v>
      </c>
      <c r="F2427" s="1" t="s">
        <v>4262</v>
      </c>
      <c r="H2427" s="3">
        <v>6.0</v>
      </c>
      <c r="I2427" s="4" t="s">
        <v>10322</v>
      </c>
      <c r="J2427" s="1" t="s">
        <v>10323</v>
      </c>
      <c r="K2427" s="1" t="s">
        <v>383</v>
      </c>
    </row>
    <row r="2428">
      <c r="A2428" s="1" t="s">
        <v>10324</v>
      </c>
      <c r="B2428" s="1" t="s">
        <v>10325</v>
      </c>
      <c r="C2428" s="1">
        <v>2020.0</v>
      </c>
      <c r="D2428" s="2">
        <v>43858.0</v>
      </c>
      <c r="F2428" s="1" t="s">
        <v>6301</v>
      </c>
      <c r="H2428" s="3">
        <v>17.0</v>
      </c>
      <c r="I2428" s="4" t="s">
        <v>10326</v>
      </c>
      <c r="J2428" s="1" t="s">
        <v>10327</v>
      </c>
      <c r="K2428" s="1" t="s">
        <v>16</v>
      </c>
    </row>
    <row r="2429">
      <c r="A2429" s="1" t="s">
        <v>10328</v>
      </c>
      <c r="B2429" s="1" t="s">
        <v>10329</v>
      </c>
      <c r="C2429" s="1">
        <v>2020.0</v>
      </c>
      <c r="D2429" s="2">
        <v>43858.0</v>
      </c>
      <c r="F2429" s="1" t="s">
        <v>1050</v>
      </c>
      <c r="H2429" s="3">
        <v>0.0</v>
      </c>
      <c r="I2429" s="4" t="s">
        <v>10330</v>
      </c>
      <c r="J2429" s="1" t="s">
        <v>10331</v>
      </c>
      <c r="K2429" s="1" t="s">
        <v>926</v>
      </c>
    </row>
    <row r="2430">
      <c r="A2430" s="1" t="s">
        <v>10332</v>
      </c>
      <c r="B2430" s="1" t="s">
        <v>10333</v>
      </c>
      <c r="C2430" s="1">
        <v>2020.0</v>
      </c>
      <c r="D2430" s="2">
        <v>43857.0</v>
      </c>
      <c r="F2430" s="1" t="s">
        <v>3119</v>
      </c>
      <c r="H2430" s="3">
        <v>112.0</v>
      </c>
      <c r="I2430" s="4" t="s">
        <v>10334</v>
      </c>
      <c r="J2430" s="1" t="s">
        <v>10335</v>
      </c>
      <c r="K2430" s="1" t="s">
        <v>295</v>
      </c>
    </row>
    <row r="2431">
      <c r="A2431" s="1" t="s">
        <v>10336</v>
      </c>
      <c r="B2431" s="1" t="s">
        <v>10337</v>
      </c>
      <c r="C2431" s="1">
        <v>2020.0</v>
      </c>
      <c r="D2431" s="2">
        <v>43855.0</v>
      </c>
      <c r="F2431" s="1" t="s">
        <v>1137</v>
      </c>
      <c r="H2431" s="3">
        <v>2.0</v>
      </c>
      <c r="I2431" s="4" t="s">
        <v>10338</v>
      </c>
      <c r="J2431" s="1" t="s">
        <v>10339</v>
      </c>
      <c r="K2431" s="1" t="s">
        <v>462</v>
      </c>
    </row>
    <row r="2432">
      <c r="A2432" s="1" t="s">
        <v>10340</v>
      </c>
      <c r="B2432" s="1" t="s">
        <v>10341</v>
      </c>
      <c r="C2432" s="1">
        <v>2020.0</v>
      </c>
      <c r="D2432" s="2">
        <v>43854.0</v>
      </c>
      <c r="F2432" s="1" t="s">
        <v>157</v>
      </c>
      <c r="H2432" s="3">
        <v>23.0</v>
      </c>
      <c r="I2432" s="4" t="s">
        <v>10342</v>
      </c>
      <c r="J2432" s="1" t="s">
        <v>10343</v>
      </c>
      <c r="K2432" s="1" t="s">
        <v>546</v>
      </c>
    </row>
    <row r="2433">
      <c r="A2433" s="1" t="s">
        <v>10344</v>
      </c>
      <c r="B2433" s="1" t="s">
        <v>10345</v>
      </c>
      <c r="C2433" s="1">
        <v>2020.0</v>
      </c>
      <c r="D2433" s="2">
        <v>43853.0</v>
      </c>
      <c r="F2433" s="1" t="s">
        <v>5260</v>
      </c>
      <c r="H2433" s="3">
        <v>10.0</v>
      </c>
      <c r="I2433" s="4" t="s">
        <v>10346</v>
      </c>
      <c r="J2433" s="1" t="s">
        <v>10347</v>
      </c>
      <c r="K2433" s="1" t="s">
        <v>68</v>
      </c>
    </row>
    <row r="2434">
      <c r="A2434" s="1" t="s">
        <v>10348</v>
      </c>
      <c r="B2434" s="1" t="s">
        <v>10349</v>
      </c>
      <c r="C2434" s="1">
        <v>2020.0</v>
      </c>
      <c r="D2434" s="2">
        <v>43853.0</v>
      </c>
      <c r="F2434" s="1" t="s">
        <v>743</v>
      </c>
      <c r="H2434" s="3">
        <v>23.0</v>
      </c>
      <c r="I2434" s="4" t="s">
        <v>10350</v>
      </c>
      <c r="J2434" s="1" t="s">
        <v>10351</v>
      </c>
      <c r="K2434" s="1" t="s">
        <v>1036</v>
      </c>
    </row>
    <row r="2435">
      <c r="A2435" s="1" t="s">
        <v>10352</v>
      </c>
      <c r="B2435" s="1" t="s">
        <v>10353</v>
      </c>
      <c r="C2435" s="1">
        <v>2020.0</v>
      </c>
      <c r="D2435" s="2">
        <v>43851.0</v>
      </c>
      <c r="F2435" s="1" t="s">
        <v>4217</v>
      </c>
      <c r="H2435" s="3">
        <v>12.0</v>
      </c>
      <c r="I2435" s="4" t="s">
        <v>10354</v>
      </c>
      <c r="J2435" s="1" t="s">
        <v>10355</v>
      </c>
      <c r="K2435" s="1" t="s">
        <v>295</v>
      </c>
    </row>
    <row r="2436">
      <c r="A2436" s="1" t="s">
        <v>10356</v>
      </c>
      <c r="B2436" s="1" t="s">
        <v>10357</v>
      </c>
      <c r="C2436" s="1">
        <v>2020.0</v>
      </c>
      <c r="D2436" s="2">
        <v>43850.0</v>
      </c>
      <c r="F2436" s="1" t="s">
        <v>9182</v>
      </c>
      <c r="H2436" s="3">
        <v>2.0</v>
      </c>
      <c r="I2436" s="4" t="s">
        <v>10358</v>
      </c>
      <c r="J2436" s="1" t="s">
        <v>10359</v>
      </c>
      <c r="K2436" s="1" t="s">
        <v>28</v>
      </c>
    </row>
    <row r="2437">
      <c r="A2437" s="1" t="s">
        <v>10360</v>
      </c>
      <c r="B2437" s="1" t="s">
        <v>10361</v>
      </c>
      <c r="C2437" s="1">
        <v>2020.0</v>
      </c>
      <c r="D2437" s="2">
        <v>43849.0</v>
      </c>
      <c r="F2437" s="1" t="s">
        <v>2041</v>
      </c>
      <c r="H2437" s="3">
        <v>1.0</v>
      </c>
      <c r="I2437" s="4" t="s">
        <v>10362</v>
      </c>
      <c r="J2437" s="1" t="s">
        <v>10363</v>
      </c>
      <c r="K2437" s="1" t="s">
        <v>28</v>
      </c>
    </row>
    <row r="2438">
      <c r="A2438" s="1" t="s">
        <v>10364</v>
      </c>
      <c r="B2438" s="1" t="s">
        <v>10365</v>
      </c>
      <c r="C2438" s="1">
        <v>2020.0</v>
      </c>
      <c r="D2438" s="2">
        <v>43847.0</v>
      </c>
      <c r="F2438" s="1" t="s">
        <v>808</v>
      </c>
      <c r="H2438" s="3">
        <v>4.0</v>
      </c>
      <c r="I2438" s="4" t="s">
        <v>10366</v>
      </c>
      <c r="J2438" s="1"/>
      <c r="K2438" s="1" t="s">
        <v>28</v>
      </c>
    </row>
    <row r="2439">
      <c r="A2439" s="1" t="s">
        <v>10367</v>
      </c>
      <c r="B2439" s="1" t="s">
        <v>10368</v>
      </c>
      <c r="C2439" s="1">
        <v>2020.0</v>
      </c>
      <c r="D2439" s="2">
        <v>43847.0</v>
      </c>
      <c r="F2439" s="1" t="s">
        <v>5006</v>
      </c>
      <c r="H2439" s="3">
        <v>19.0</v>
      </c>
      <c r="I2439" s="4" t="s">
        <v>10369</v>
      </c>
      <c r="J2439" s="1" t="s">
        <v>10370</v>
      </c>
      <c r="K2439" s="1" t="s">
        <v>413</v>
      </c>
    </row>
    <row r="2440">
      <c r="A2440" s="1" t="s">
        <v>10371</v>
      </c>
      <c r="B2440" s="1" t="s">
        <v>10372</v>
      </c>
      <c r="C2440" s="1">
        <v>2020.0</v>
      </c>
      <c r="D2440" s="2">
        <v>43846.0</v>
      </c>
      <c r="F2440" s="1" t="s">
        <v>3198</v>
      </c>
      <c r="H2440" s="3">
        <v>6.0</v>
      </c>
      <c r="I2440" s="4" t="s">
        <v>10373</v>
      </c>
      <c r="J2440" s="1" t="s">
        <v>10374</v>
      </c>
      <c r="K2440" s="1" t="s">
        <v>329</v>
      </c>
    </row>
    <row r="2441">
      <c r="A2441" s="1" t="s">
        <v>10375</v>
      </c>
      <c r="B2441" s="1" t="s">
        <v>10376</v>
      </c>
      <c r="C2441" s="1">
        <v>2020.0</v>
      </c>
      <c r="D2441" s="2">
        <v>43846.0</v>
      </c>
      <c r="F2441" s="1" t="s">
        <v>830</v>
      </c>
      <c r="H2441" s="3">
        <v>11.0</v>
      </c>
      <c r="I2441" s="4" t="s">
        <v>10377</v>
      </c>
      <c r="J2441" s="1" t="s">
        <v>10378</v>
      </c>
      <c r="K2441" s="1" t="s">
        <v>323</v>
      </c>
    </row>
    <row r="2442">
      <c r="A2442" s="1" t="s">
        <v>10379</v>
      </c>
      <c r="B2442" s="1" t="s">
        <v>10380</v>
      </c>
      <c r="C2442" s="1">
        <v>2020.0</v>
      </c>
      <c r="D2442" s="2">
        <v>43846.0</v>
      </c>
      <c r="F2442" s="1" t="s">
        <v>59</v>
      </c>
      <c r="H2442" s="3">
        <v>5.0</v>
      </c>
      <c r="I2442" s="4" t="s">
        <v>10381</v>
      </c>
      <c r="J2442" s="1"/>
      <c r="K2442" s="1" t="s">
        <v>16</v>
      </c>
    </row>
    <row r="2443">
      <c r="A2443" s="1" t="s">
        <v>10382</v>
      </c>
      <c r="B2443" s="1" t="s">
        <v>10383</v>
      </c>
      <c r="C2443" s="1">
        <v>2020.0</v>
      </c>
      <c r="D2443" s="2">
        <v>43845.0</v>
      </c>
      <c r="F2443" s="1" t="s">
        <v>9756</v>
      </c>
      <c r="H2443" s="3">
        <v>8.0</v>
      </c>
      <c r="I2443" s="4" t="s">
        <v>10384</v>
      </c>
      <c r="J2443" s="1" t="s">
        <v>10385</v>
      </c>
      <c r="K2443" s="1" t="s">
        <v>323</v>
      </c>
    </row>
    <row r="2444">
      <c r="A2444" s="1" t="s">
        <v>10386</v>
      </c>
      <c r="B2444" s="1" t="s">
        <v>10387</v>
      </c>
      <c r="C2444" s="1">
        <v>2020.0</v>
      </c>
      <c r="D2444" s="2">
        <v>43845.0</v>
      </c>
      <c r="F2444" s="1" t="s">
        <v>743</v>
      </c>
      <c r="H2444" s="3">
        <v>18.0</v>
      </c>
      <c r="I2444" s="4" t="s">
        <v>10388</v>
      </c>
      <c r="J2444" s="1" t="s">
        <v>10389</v>
      </c>
      <c r="K2444" s="1" t="s">
        <v>68</v>
      </c>
    </row>
    <row r="2445">
      <c r="A2445" s="1" t="s">
        <v>10390</v>
      </c>
      <c r="B2445" s="1" t="s">
        <v>10391</v>
      </c>
      <c r="C2445" s="1">
        <v>2020.0</v>
      </c>
      <c r="D2445" s="2">
        <v>43844.0</v>
      </c>
      <c r="F2445" s="1" t="s">
        <v>6074</v>
      </c>
      <c r="H2445" s="3">
        <v>6.0</v>
      </c>
      <c r="I2445" s="4" t="s">
        <v>10392</v>
      </c>
      <c r="J2445" s="1" t="s">
        <v>10393</v>
      </c>
      <c r="K2445" s="1" t="s">
        <v>45</v>
      </c>
    </row>
    <row r="2446">
      <c r="A2446" s="1" t="s">
        <v>10394</v>
      </c>
      <c r="B2446" s="1" t="s">
        <v>10395</v>
      </c>
      <c r="C2446" s="1">
        <v>2020.0</v>
      </c>
      <c r="D2446" s="2">
        <v>43844.0</v>
      </c>
      <c r="F2446" s="1" t="s">
        <v>71</v>
      </c>
      <c r="H2446" s="3">
        <v>26.0</v>
      </c>
      <c r="I2446" s="4" t="s">
        <v>10396</v>
      </c>
      <c r="J2446" s="1" t="s">
        <v>10397</v>
      </c>
      <c r="K2446" s="1" t="s">
        <v>28</v>
      </c>
    </row>
    <row r="2447">
      <c r="A2447" s="1" t="s">
        <v>10398</v>
      </c>
      <c r="B2447" s="1" t="s">
        <v>10399</v>
      </c>
      <c r="C2447" s="1">
        <v>2020.0</v>
      </c>
      <c r="D2447" s="2">
        <v>43844.0</v>
      </c>
      <c r="F2447" s="1" t="s">
        <v>2560</v>
      </c>
      <c r="H2447" s="3">
        <v>14.0</v>
      </c>
      <c r="I2447" s="4" t="s">
        <v>10400</v>
      </c>
      <c r="J2447" s="1" t="s">
        <v>10401</v>
      </c>
      <c r="K2447" s="1" t="s">
        <v>68</v>
      </c>
    </row>
    <row r="2448">
      <c r="A2448" s="1" t="s">
        <v>10402</v>
      </c>
      <c r="B2448" s="1" t="s">
        <v>10403</v>
      </c>
      <c r="C2448" s="1">
        <v>2020.0</v>
      </c>
      <c r="D2448" s="2">
        <v>43844.0</v>
      </c>
      <c r="F2448" s="1" t="s">
        <v>10404</v>
      </c>
      <c r="H2448" s="3">
        <v>57.0</v>
      </c>
      <c r="I2448" s="4" t="s">
        <v>10405</v>
      </c>
      <c r="J2448" s="1" t="s">
        <v>10406</v>
      </c>
      <c r="K2448" s="1" t="s">
        <v>295</v>
      </c>
    </row>
    <row r="2449">
      <c r="A2449" s="1" t="s">
        <v>10407</v>
      </c>
      <c r="B2449" s="1" t="s">
        <v>10408</v>
      </c>
      <c r="C2449" s="1">
        <v>2020.0</v>
      </c>
      <c r="D2449" s="2">
        <v>43843.0</v>
      </c>
      <c r="F2449" s="1" t="s">
        <v>10409</v>
      </c>
      <c r="H2449" s="3">
        <v>34.0</v>
      </c>
      <c r="I2449" s="4" t="s">
        <v>10410</v>
      </c>
      <c r="J2449" s="1" t="s">
        <v>10411</v>
      </c>
      <c r="K2449" s="1" t="s">
        <v>329</v>
      </c>
    </row>
    <row r="2450">
      <c r="A2450" s="1" t="s">
        <v>10412</v>
      </c>
      <c r="B2450" s="1" t="s">
        <v>10413</v>
      </c>
      <c r="C2450" s="1">
        <v>2020.0</v>
      </c>
      <c r="D2450" s="2">
        <v>43843.0</v>
      </c>
      <c r="F2450" s="1" t="s">
        <v>4577</v>
      </c>
      <c r="H2450" s="3">
        <v>27.0</v>
      </c>
      <c r="I2450" s="4" t="s">
        <v>10414</v>
      </c>
      <c r="J2450" s="1" t="s">
        <v>10415</v>
      </c>
      <c r="K2450" s="1" t="s">
        <v>383</v>
      </c>
    </row>
    <row r="2451">
      <c r="A2451" s="1" t="s">
        <v>10416</v>
      </c>
      <c r="B2451" s="1" t="s">
        <v>10417</v>
      </c>
      <c r="C2451" s="1">
        <v>2020.0</v>
      </c>
      <c r="D2451" s="2">
        <v>43843.0</v>
      </c>
      <c r="F2451" s="1" t="s">
        <v>10418</v>
      </c>
      <c r="H2451" s="3">
        <v>21.0</v>
      </c>
      <c r="I2451" s="4" t="s">
        <v>10419</v>
      </c>
      <c r="J2451" s="1" t="s">
        <v>10420</v>
      </c>
      <c r="K2451" s="1" t="s">
        <v>1036</v>
      </c>
    </row>
    <row r="2452">
      <c r="A2452" s="1" t="s">
        <v>10421</v>
      </c>
      <c r="B2452" s="1" t="s">
        <v>10422</v>
      </c>
      <c r="C2452" s="1">
        <v>2020.0</v>
      </c>
      <c r="D2452" s="2">
        <v>43840.0</v>
      </c>
      <c r="F2452" s="1" t="s">
        <v>218</v>
      </c>
      <c r="H2452" s="3">
        <v>26.0</v>
      </c>
      <c r="I2452" s="4" t="s">
        <v>10423</v>
      </c>
      <c r="J2452" s="1" t="s">
        <v>10424</v>
      </c>
      <c r="K2452" s="1" t="s">
        <v>1036</v>
      </c>
    </row>
    <row r="2453">
      <c r="A2453" s="1" t="s">
        <v>10425</v>
      </c>
      <c r="B2453" s="1" t="s">
        <v>10426</v>
      </c>
      <c r="C2453" s="1">
        <v>2020.0</v>
      </c>
      <c r="D2453" s="2">
        <v>43840.0</v>
      </c>
      <c r="F2453" s="1" t="s">
        <v>10427</v>
      </c>
      <c r="H2453" s="3">
        <v>5.0</v>
      </c>
      <c r="I2453" s="4" t="s">
        <v>10428</v>
      </c>
      <c r="J2453" s="1" t="s">
        <v>10429</v>
      </c>
      <c r="K2453" s="1" t="s">
        <v>413</v>
      </c>
    </row>
    <row r="2454">
      <c r="A2454" s="1" t="s">
        <v>10430</v>
      </c>
      <c r="B2454" s="1" t="s">
        <v>10431</v>
      </c>
      <c r="C2454" s="1">
        <v>2020.0</v>
      </c>
      <c r="D2454" s="2">
        <v>43838.0</v>
      </c>
      <c r="F2454" s="1" t="s">
        <v>7495</v>
      </c>
      <c r="H2454" s="3">
        <v>7.0</v>
      </c>
      <c r="I2454" s="4" t="s">
        <v>10432</v>
      </c>
      <c r="J2454" s="1" t="s">
        <v>10433</v>
      </c>
      <c r="K2454" s="1" t="s">
        <v>323</v>
      </c>
    </row>
    <row r="2455">
      <c r="A2455" s="1" t="s">
        <v>10434</v>
      </c>
      <c r="B2455" s="1" t="s">
        <v>10435</v>
      </c>
      <c r="C2455" s="1">
        <v>2020.0</v>
      </c>
      <c r="D2455" s="2">
        <v>43837.0</v>
      </c>
      <c r="F2455" s="1" t="s">
        <v>1762</v>
      </c>
      <c r="H2455" s="3">
        <v>5.0</v>
      </c>
      <c r="I2455" s="4" t="s">
        <v>10436</v>
      </c>
      <c r="J2455" s="1" t="s">
        <v>10437</v>
      </c>
      <c r="K2455" s="1" t="s">
        <v>443</v>
      </c>
    </row>
    <row r="2456">
      <c r="A2456" s="1" t="s">
        <v>10438</v>
      </c>
      <c r="B2456" s="1" t="s">
        <v>10439</v>
      </c>
      <c r="C2456" s="1">
        <v>2020.0</v>
      </c>
      <c r="D2456" s="2">
        <v>43837.0</v>
      </c>
      <c r="F2456" s="1" t="s">
        <v>7158</v>
      </c>
      <c r="H2456" s="3">
        <v>5.0</v>
      </c>
      <c r="I2456" s="4" t="s">
        <v>10440</v>
      </c>
      <c r="J2456" s="1" t="s">
        <v>10441</v>
      </c>
      <c r="K2456" s="1" t="s">
        <v>462</v>
      </c>
    </row>
    <row r="2457">
      <c r="A2457" s="1" t="s">
        <v>10442</v>
      </c>
      <c r="B2457" s="1" t="s">
        <v>10443</v>
      </c>
      <c r="C2457" s="1">
        <v>2020.0</v>
      </c>
      <c r="D2457" s="2">
        <v>43833.0</v>
      </c>
      <c r="F2457" s="1" t="s">
        <v>1894</v>
      </c>
      <c r="H2457" s="3">
        <v>73.0</v>
      </c>
      <c r="I2457" s="4" t="s">
        <v>10444</v>
      </c>
      <c r="J2457" s="1" t="s">
        <v>10445</v>
      </c>
      <c r="K2457" s="1" t="s">
        <v>443</v>
      </c>
    </row>
    <row r="2458">
      <c r="A2458" s="1" t="s">
        <v>10446</v>
      </c>
      <c r="B2458" s="1" t="s">
        <v>10447</v>
      </c>
      <c r="C2458" s="1">
        <v>2020.0</v>
      </c>
      <c r="D2458" s="2">
        <v>43833.0</v>
      </c>
      <c r="F2458" s="1" t="s">
        <v>3207</v>
      </c>
      <c r="H2458" s="3">
        <v>36.0</v>
      </c>
      <c r="I2458" s="4" t="s">
        <v>10448</v>
      </c>
      <c r="J2458" s="1" t="s">
        <v>10449</v>
      </c>
      <c r="K2458" s="1" t="s">
        <v>323</v>
      </c>
    </row>
    <row r="2459">
      <c r="A2459" s="1" t="s">
        <v>10450</v>
      </c>
      <c r="B2459" s="1" t="s">
        <v>10451</v>
      </c>
      <c r="C2459" s="1">
        <v>2020.0</v>
      </c>
      <c r="D2459" s="2">
        <v>43831.0</v>
      </c>
      <c r="F2459" s="1" t="s">
        <v>2497</v>
      </c>
      <c r="H2459" s="3">
        <v>9.0</v>
      </c>
      <c r="I2459" s="4" t="s">
        <v>10452</v>
      </c>
      <c r="J2459" s="1" t="s">
        <v>10453</v>
      </c>
      <c r="K2459" s="1" t="s">
        <v>45</v>
      </c>
    </row>
    <row r="2460">
      <c r="A2460" s="1" t="s">
        <v>10454</v>
      </c>
      <c r="B2460" s="1" t="s">
        <v>10455</v>
      </c>
      <c r="C2460" s="1">
        <v>2020.0</v>
      </c>
      <c r="D2460" s="2">
        <v>43831.0</v>
      </c>
      <c r="F2460" s="1" t="s">
        <v>2497</v>
      </c>
      <c r="H2460" s="3">
        <v>6.0</v>
      </c>
      <c r="I2460" s="4" t="s">
        <v>10456</v>
      </c>
      <c r="J2460" s="1" t="s">
        <v>10457</v>
      </c>
      <c r="K2460" s="1" t="s">
        <v>462</v>
      </c>
    </row>
    <row r="2461">
      <c r="A2461" s="1" t="s">
        <v>10458</v>
      </c>
      <c r="B2461" s="1" t="s">
        <v>10459</v>
      </c>
      <c r="C2461" s="1">
        <v>2020.0</v>
      </c>
      <c r="D2461" s="2">
        <v>43831.0</v>
      </c>
      <c r="F2461" s="1" t="s">
        <v>1846</v>
      </c>
      <c r="H2461" s="3">
        <v>12.0</v>
      </c>
      <c r="I2461" s="4" t="s">
        <v>10460</v>
      </c>
      <c r="J2461" s="1" t="s">
        <v>10461</v>
      </c>
      <c r="K2461" s="1" t="s">
        <v>28</v>
      </c>
    </row>
    <row r="2462">
      <c r="A2462" s="1" t="s">
        <v>10462</v>
      </c>
      <c r="B2462" s="1" t="s">
        <v>10463</v>
      </c>
      <c r="C2462" s="1">
        <v>2020.0</v>
      </c>
      <c r="D2462" s="2">
        <v>43831.0</v>
      </c>
      <c r="F2462" s="1" t="s">
        <v>19</v>
      </c>
      <c r="H2462" s="3">
        <v>1.0</v>
      </c>
      <c r="I2462" s="4" t="s">
        <v>10464</v>
      </c>
      <c r="J2462" s="1"/>
      <c r="K2462" s="1" t="s">
        <v>28</v>
      </c>
    </row>
    <row r="2463">
      <c r="A2463" s="1" t="s">
        <v>10465</v>
      </c>
      <c r="B2463" s="1" t="s">
        <v>10466</v>
      </c>
      <c r="C2463" s="1">
        <v>2020.0</v>
      </c>
      <c r="D2463" s="2">
        <v>43831.0</v>
      </c>
      <c r="F2463" s="1" t="s">
        <v>5834</v>
      </c>
      <c r="H2463" s="3">
        <v>5.0</v>
      </c>
      <c r="I2463" s="4" t="s">
        <v>10467</v>
      </c>
      <c r="J2463" s="1" t="s">
        <v>10468</v>
      </c>
      <c r="K2463" s="1" t="s">
        <v>28</v>
      </c>
    </row>
    <row r="2464">
      <c r="A2464" s="1" t="s">
        <v>10469</v>
      </c>
      <c r="B2464" s="1" t="s">
        <v>10470</v>
      </c>
      <c r="C2464" s="1">
        <v>2020.0</v>
      </c>
      <c r="D2464" s="2">
        <v>43831.0</v>
      </c>
      <c r="F2464" s="1" t="s">
        <v>1001</v>
      </c>
      <c r="H2464" s="3">
        <v>12.0</v>
      </c>
      <c r="I2464" s="4" t="s">
        <v>10471</v>
      </c>
      <c r="J2464" s="1" t="s">
        <v>10472</v>
      </c>
      <c r="K2464" s="1" t="s">
        <v>340</v>
      </c>
    </row>
    <row r="2465">
      <c r="A2465" s="1" t="s">
        <v>10473</v>
      </c>
      <c r="B2465" s="1" t="s">
        <v>10474</v>
      </c>
      <c r="C2465" s="1">
        <v>2019.0</v>
      </c>
      <c r="D2465" s="2">
        <v>43829.0</v>
      </c>
      <c r="F2465" s="1" t="s">
        <v>248</v>
      </c>
      <c r="H2465" s="3">
        <v>13.0</v>
      </c>
      <c r="I2465" s="4" t="s">
        <v>10475</v>
      </c>
      <c r="J2465" s="1" t="s">
        <v>10476</v>
      </c>
      <c r="K2465" s="1" t="s">
        <v>403</v>
      </c>
    </row>
    <row r="2466">
      <c r="A2466" s="1" t="s">
        <v>10477</v>
      </c>
      <c r="B2466" s="1" t="s">
        <v>10478</v>
      </c>
      <c r="C2466" s="1">
        <v>2019.0</v>
      </c>
      <c r="D2466" s="2">
        <v>43829.0</v>
      </c>
      <c r="F2466" s="1" t="s">
        <v>71</v>
      </c>
      <c r="H2466" s="3">
        <v>4.0</v>
      </c>
      <c r="I2466" s="4" t="s">
        <v>10479</v>
      </c>
      <c r="J2466" s="1" t="s">
        <v>10480</v>
      </c>
      <c r="K2466" s="1" t="s">
        <v>295</v>
      </c>
    </row>
    <row r="2467">
      <c r="A2467" s="1" t="s">
        <v>10481</v>
      </c>
      <c r="B2467" s="1" t="s">
        <v>10482</v>
      </c>
      <c r="C2467" s="1">
        <v>2019.0</v>
      </c>
      <c r="D2467" s="2">
        <v>43829.0</v>
      </c>
      <c r="F2467" s="1" t="s">
        <v>314</v>
      </c>
      <c r="H2467" s="3">
        <v>20.0</v>
      </c>
      <c r="I2467" s="4" t="s">
        <v>10483</v>
      </c>
      <c r="J2467" s="1" t="s">
        <v>10484</v>
      </c>
      <c r="K2467" s="1" t="s">
        <v>16</v>
      </c>
    </row>
    <row r="2468">
      <c r="A2468" s="1" t="s">
        <v>10485</v>
      </c>
      <c r="B2468" s="1" t="s">
        <v>10486</v>
      </c>
      <c r="C2468" s="1">
        <v>2019.0</v>
      </c>
      <c r="D2468" s="2">
        <v>43828.0</v>
      </c>
      <c r="F2468" s="1" t="s">
        <v>271</v>
      </c>
      <c r="H2468" s="3">
        <v>11.0</v>
      </c>
      <c r="I2468" s="4" t="s">
        <v>10487</v>
      </c>
      <c r="J2468" s="1" t="s">
        <v>10488</v>
      </c>
      <c r="K2468" s="1" t="s">
        <v>340</v>
      </c>
    </row>
    <row r="2469">
      <c r="A2469" s="1" t="s">
        <v>10489</v>
      </c>
      <c r="B2469" s="1" t="s">
        <v>10490</v>
      </c>
      <c r="C2469" s="1">
        <v>2019.0</v>
      </c>
      <c r="D2469" s="2">
        <v>43827.0</v>
      </c>
      <c r="F2469" s="1" t="s">
        <v>1381</v>
      </c>
      <c r="H2469" s="3">
        <v>37.0</v>
      </c>
      <c r="I2469" s="4" t="s">
        <v>10491</v>
      </c>
      <c r="J2469" s="1" t="s">
        <v>10492</v>
      </c>
      <c r="K2469" s="1" t="s">
        <v>323</v>
      </c>
    </row>
    <row r="2470">
      <c r="A2470" s="1" t="s">
        <v>10493</v>
      </c>
      <c r="B2470" s="1" t="s">
        <v>10494</v>
      </c>
      <c r="C2470" s="1">
        <v>2019.0</v>
      </c>
      <c r="D2470" s="2">
        <v>43826.0</v>
      </c>
      <c r="F2470" s="1" t="s">
        <v>8289</v>
      </c>
      <c r="H2470" s="3">
        <v>84.0</v>
      </c>
      <c r="I2470" s="4" t="s">
        <v>10495</v>
      </c>
      <c r="J2470" s="1" t="s">
        <v>10496</v>
      </c>
      <c r="K2470" s="1" t="s">
        <v>45</v>
      </c>
    </row>
    <row r="2471">
      <c r="A2471" s="1" t="s">
        <v>10497</v>
      </c>
      <c r="B2471" s="1" t="s">
        <v>10498</v>
      </c>
      <c r="C2471" s="1">
        <v>2019.0</v>
      </c>
      <c r="D2471" s="2">
        <v>43823.0</v>
      </c>
      <c r="F2471" s="1" t="s">
        <v>767</v>
      </c>
      <c r="H2471" s="3">
        <v>18.0</v>
      </c>
      <c r="I2471" s="4" t="s">
        <v>10499</v>
      </c>
      <c r="J2471" s="1" t="s">
        <v>10500</v>
      </c>
      <c r="K2471" s="1" t="s">
        <v>477</v>
      </c>
    </row>
    <row r="2472">
      <c r="A2472" s="1" t="s">
        <v>10501</v>
      </c>
      <c r="B2472" s="1" t="s">
        <v>10502</v>
      </c>
      <c r="C2472" s="1">
        <v>2019.0</v>
      </c>
      <c r="D2472" s="2">
        <v>43823.0</v>
      </c>
      <c r="F2472" s="1" t="s">
        <v>656</v>
      </c>
      <c r="H2472" s="3">
        <v>9.0</v>
      </c>
      <c r="I2472" s="4" t="s">
        <v>10503</v>
      </c>
      <c r="J2472" s="1" t="s">
        <v>10504</v>
      </c>
      <c r="K2472" s="1" t="s">
        <v>462</v>
      </c>
    </row>
    <row r="2473">
      <c r="A2473" s="1" t="s">
        <v>10505</v>
      </c>
      <c r="B2473" s="1" t="s">
        <v>10506</v>
      </c>
      <c r="C2473" s="1">
        <v>2019.0</v>
      </c>
      <c r="D2473" s="2">
        <v>43820.0</v>
      </c>
      <c r="F2473" s="1" t="s">
        <v>1366</v>
      </c>
      <c r="H2473" s="3">
        <v>52.0</v>
      </c>
      <c r="I2473" s="4" t="s">
        <v>10507</v>
      </c>
      <c r="J2473" s="1" t="s">
        <v>10508</v>
      </c>
      <c r="K2473" s="1" t="s">
        <v>295</v>
      </c>
    </row>
    <row r="2474">
      <c r="A2474" s="1" t="s">
        <v>10509</v>
      </c>
      <c r="B2474" s="1" t="s">
        <v>10510</v>
      </c>
      <c r="C2474" s="1">
        <v>2019.0</v>
      </c>
      <c r="D2474" s="2">
        <v>43819.0</v>
      </c>
      <c r="F2474" s="1" t="s">
        <v>1519</v>
      </c>
      <c r="H2474" s="3">
        <v>20.0</v>
      </c>
      <c r="I2474" s="4" t="s">
        <v>10511</v>
      </c>
      <c r="J2474" s="1" t="s">
        <v>10512</v>
      </c>
      <c r="K2474" s="1" t="s">
        <v>68</v>
      </c>
    </row>
    <row r="2475">
      <c r="A2475" s="1" t="s">
        <v>10513</v>
      </c>
      <c r="B2475" s="1" t="s">
        <v>10514</v>
      </c>
      <c r="C2475" s="1">
        <v>2019.0</v>
      </c>
      <c r="D2475" s="2">
        <v>43818.0</v>
      </c>
      <c r="F2475" s="1" t="s">
        <v>208</v>
      </c>
      <c r="H2475" s="3">
        <v>26.0</v>
      </c>
      <c r="I2475" s="4" t="s">
        <v>10515</v>
      </c>
      <c r="J2475" s="1" t="s">
        <v>10516</v>
      </c>
      <c r="K2475" s="1" t="s">
        <v>28</v>
      </c>
    </row>
    <row r="2476">
      <c r="A2476" s="1" t="s">
        <v>10517</v>
      </c>
      <c r="B2476" s="1" t="s">
        <v>10518</v>
      </c>
      <c r="C2476" s="1">
        <v>2019.0</v>
      </c>
      <c r="D2476" s="2">
        <v>43818.0</v>
      </c>
      <c r="F2476" s="1" t="s">
        <v>1859</v>
      </c>
      <c r="H2476" s="3">
        <v>8.0</v>
      </c>
      <c r="I2476" s="4" t="s">
        <v>10519</v>
      </c>
      <c r="J2476" s="1" t="s">
        <v>10520</v>
      </c>
      <c r="K2476" s="1" t="s">
        <v>295</v>
      </c>
    </row>
    <row r="2477">
      <c r="A2477" s="1" t="s">
        <v>10521</v>
      </c>
      <c r="B2477" s="1" t="s">
        <v>10522</v>
      </c>
      <c r="C2477" s="1">
        <v>2019.0</v>
      </c>
      <c r="D2477" s="2">
        <v>43818.0</v>
      </c>
      <c r="F2477" s="1" t="s">
        <v>1859</v>
      </c>
      <c r="H2477" s="3">
        <v>5.0</v>
      </c>
      <c r="I2477" s="4" t="s">
        <v>10523</v>
      </c>
      <c r="J2477" s="1" t="s">
        <v>10524</v>
      </c>
      <c r="K2477" s="1" t="s">
        <v>295</v>
      </c>
    </row>
    <row r="2478">
      <c r="A2478" s="1" t="s">
        <v>10525</v>
      </c>
      <c r="B2478" s="1" t="s">
        <v>10526</v>
      </c>
      <c r="C2478" s="1">
        <v>2019.0</v>
      </c>
      <c r="D2478" s="2">
        <v>43817.0</v>
      </c>
      <c r="F2478" s="1" t="s">
        <v>2449</v>
      </c>
      <c r="H2478" s="3">
        <v>22.0</v>
      </c>
      <c r="I2478" s="4" t="s">
        <v>10527</v>
      </c>
      <c r="J2478" s="1" t="s">
        <v>10528</v>
      </c>
      <c r="K2478" s="1" t="s">
        <v>295</v>
      </c>
    </row>
    <row r="2479">
      <c r="A2479" s="1" t="s">
        <v>10529</v>
      </c>
      <c r="B2479" s="1" t="s">
        <v>10530</v>
      </c>
      <c r="C2479" s="1">
        <v>2019.0</v>
      </c>
      <c r="D2479" s="2">
        <v>43817.0</v>
      </c>
      <c r="F2479" s="1" t="s">
        <v>610</v>
      </c>
      <c r="H2479" s="3">
        <v>20.0</v>
      </c>
      <c r="I2479" s="4" t="s">
        <v>10531</v>
      </c>
      <c r="J2479" s="1" t="s">
        <v>10532</v>
      </c>
      <c r="K2479" s="1" t="s">
        <v>323</v>
      </c>
    </row>
    <row r="2480">
      <c r="A2480" s="1" t="s">
        <v>10533</v>
      </c>
      <c r="B2480" s="1" t="s">
        <v>10534</v>
      </c>
      <c r="C2480" s="1">
        <v>2019.0</v>
      </c>
      <c r="D2480" s="2">
        <v>43817.0</v>
      </c>
      <c r="F2480" s="1" t="s">
        <v>10535</v>
      </c>
      <c r="H2480" s="3">
        <v>9.0</v>
      </c>
      <c r="I2480" s="4" t="s">
        <v>10536</v>
      </c>
      <c r="J2480" s="1" t="s">
        <v>10537</v>
      </c>
      <c r="K2480" s="1" t="s">
        <v>16</v>
      </c>
    </row>
    <row r="2481">
      <c r="A2481" s="1" t="s">
        <v>10538</v>
      </c>
      <c r="B2481" s="1" t="s">
        <v>10539</v>
      </c>
      <c r="C2481" s="1">
        <v>2019.0</v>
      </c>
      <c r="D2481" s="2">
        <v>43817.0</v>
      </c>
      <c r="F2481" s="1" t="s">
        <v>71</v>
      </c>
      <c r="H2481" s="3">
        <v>26.0</v>
      </c>
      <c r="I2481" s="4" t="s">
        <v>10540</v>
      </c>
      <c r="J2481" s="1" t="s">
        <v>10541</v>
      </c>
      <c r="K2481" s="1" t="s">
        <v>413</v>
      </c>
    </row>
    <row r="2482">
      <c r="A2482" s="1" t="s">
        <v>10542</v>
      </c>
      <c r="B2482" s="1" t="s">
        <v>10543</v>
      </c>
      <c r="C2482" s="1">
        <v>2019.0</v>
      </c>
      <c r="D2482" s="2">
        <v>43816.0</v>
      </c>
      <c r="F2482" s="1" t="s">
        <v>1376</v>
      </c>
      <c r="H2482" s="3">
        <v>16.0</v>
      </c>
      <c r="I2482" s="4" t="s">
        <v>10544</v>
      </c>
      <c r="J2482" s="1" t="s">
        <v>10545</v>
      </c>
      <c r="K2482" s="1" t="s">
        <v>372</v>
      </c>
    </row>
    <row r="2483">
      <c r="A2483" s="1" t="s">
        <v>10546</v>
      </c>
      <c r="B2483" s="1" t="s">
        <v>10547</v>
      </c>
      <c r="C2483" s="1">
        <v>2019.0</v>
      </c>
      <c r="D2483" s="2">
        <v>43816.0</v>
      </c>
      <c r="F2483" s="1" t="s">
        <v>71</v>
      </c>
      <c r="H2483" s="3">
        <v>5.0</v>
      </c>
      <c r="I2483" s="4" t="s">
        <v>10548</v>
      </c>
      <c r="J2483" s="1" t="s">
        <v>10549</v>
      </c>
      <c r="K2483" s="1" t="s">
        <v>28</v>
      </c>
    </row>
    <row r="2484">
      <c r="A2484" s="1" t="s">
        <v>10550</v>
      </c>
      <c r="B2484" s="1" t="s">
        <v>10551</v>
      </c>
      <c r="C2484" s="1">
        <v>2019.0</v>
      </c>
      <c r="D2484" s="2">
        <v>43816.0</v>
      </c>
      <c r="F2484" s="1" t="s">
        <v>7495</v>
      </c>
      <c r="H2484" s="3">
        <v>20.0</v>
      </c>
      <c r="I2484" s="4" t="s">
        <v>10552</v>
      </c>
      <c r="J2484" s="1" t="s">
        <v>10553</v>
      </c>
      <c r="K2484" s="1" t="s">
        <v>16</v>
      </c>
    </row>
    <row r="2485">
      <c r="A2485" s="1" t="s">
        <v>10554</v>
      </c>
      <c r="B2485" s="1" t="s">
        <v>10555</v>
      </c>
      <c r="C2485" s="1">
        <v>2019.0</v>
      </c>
      <c r="D2485" s="2">
        <v>43815.0</v>
      </c>
      <c r="F2485" s="1" t="s">
        <v>308</v>
      </c>
      <c r="H2485" s="3">
        <v>5.0</v>
      </c>
      <c r="I2485" s="4" t="s">
        <v>10556</v>
      </c>
      <c r="J2485" s="1" t="s">
        <v>10557</v>
      </c>
      <c r="K2485" s="1" t="s">
        <v>295</v>
      </c>
    </row>
    <row r="2486">
      <c r="A2486" s="1" t="s">
        <v>10558</v>
      </c>
      <c r="B2486" s="1" t="s">
        <v>10559</v>
      </c>
      <c r="C2486" s="1">
        <v>2019.0</v>
      </c>
      <c r="D2486" s="2">
        <v>43815.0</v>
      </c>
      <c r="F2486" s="1" t="s">
        <v>59</v>
      </c>
      <c r="H2486" s="3">
        <v>2.0</v>
      </c>
      <c r="I2486" s="4" t="s">
        <v>10560</v>
      </c>
      <c r="J2486" s="1"/>
      <c r="K2486" s="1" t="s">
        <v>413</v>
      </c>
    </row>
    <row r="2487">
      <c r="A2487" s="1" t="s">
        <v>10561</v>
      </c>
      <c r="B2487" s="1" t="s">
        <v>10562</v>
      </c>
      <c r="C2487" s="1">
        <v>2019.0</v>
      </c>
      <c r="D2487" s="2">
        <v>43813.0</v>
      </c>
      <c r="F2487" s="1" t="s">
        <v>2634</v>
      </c>
      <c r="H2487" s="3">
        <v>6.0</v>
      </c>
      <c r="I2487" s="4" t="s">
        <v>10563</v>
      </c>
      <c r="J2487" s="1" t="s">
        <v>10564</v>
      </c>
      <c r="K2487" s="1" t="s">
        <v>477</v>
      </c>
    </row>
    <row r="2488">
      <c r="A2488" s="1" t="s">
        <v>10565</v>
      </c>
      <c r="B2488" s="1" t="s">
        <v>10566</v>
      </c>
      <c r="C2488" s="1">
        <v>2019.0</v>
      </c>
      <c r="D2488" s="2">
        <v>43812.0</v>
      </c>
      <c r="F2488" s="1" t="s">
        <v>474</v>
      </c>
      <c r="H2488" s="3">
        <v>5.0</v>
      </c>
      <c r="I2488" s="4" t="s">
        <v>10567</v>
      </c>
      <c r="J2488" s="1" t="s">
        <v>10568</v>
      </c>
      <c r="K2488" s="1" t="s">
        <v>295</v>
      </c>
    </row>
    <row r="2489">
      <c r="A2489" s="1" t="s">
        <v>10569</v>
      </c>
      <c r="B2489" s="1" t="s">
        <v>10570</v>
      </c>
      <c r="C2489" s="1">
        <v>2019.0</v>
      </c>
      <c r="D2489" s="2">
        <v>43811.0</v>
      </c>
      <c r="F2489" s="1" t="s">
        <v>882</v>
      </c>
      <c r="H2489" s="3">
        <v>67.0</v>
      </c>
      <c r="I2489" s="4" t="s">
        <v>10571</v>
      </c>
      <c r="J2489" s="1" t="s">
        <v>10572</v>
      </c>
      <c r="K2489" s="1" t="s">
        <v>477</v>
      </c>
    </row>
    <row r="2490">
      <c r="A2490" s="1" t="s">
        <v>10573</v>
      </c>
      <c r="B2490" s="1" t="s">
        <v>10574</v>
      </c>
      <c r="C2490" s="1">
        <v>2019.0</v>
      </c>
      <c r="D2490" s="2">
        <v>43811.0</v>
      </c>
      <c r="F2490" s="1" t="s">
        <v>1982</v>
      </c>
      <c r="H2490" s="3">
        <v>22.0</v>
      </c>
      <c r="I2490" s="4" t="s">
        <v>10575</v>
      </c>
      <c r="J2490" s="1" t="s">
        <v>10576</v>
      </c>
      <c r="K2490" s="1" t="s">
        <v>413</v>
      </c>
    </row>
    <row r="2491">
      <c r="A2491" s="1" t="s">
        <v>10577</v>
      </c>
      <c r="B2491" s="1" t="s">
        <v>10578</v>
      </c>
      <c r="C2491" s="1">
        <v>2019.0</v>
      </c>
      <c r="D2491" s="2">
        <v>43810.0</v>
      </c>
      <c r="F2491" s="1" t="s">
        <v>10579</v>
      </c>
      <c r="H2491" s="3">
        <v>10.0</v>
      </c>
      <c r="I2491" s="4" t="s">
        <v>10580</v>
      </c>
      <c r="J2491" s="1" t="s">
        <v>10581</v>
      </c>
      <c r="K2491" s="1" t="s">
        <v>323</v>
      </c>
    </row>
    <row r="2492">
      <c r="A2492" s="1" t="s">
        <v>10582</v>
      </c>
      <c r="B2492" s="1" t="s">
        <v>10583</v>
      </c>
      <c r="C2492" s="1">
        <v>2019.0</v>
      </c>
      <c r="D2492" s="2">
        <v>43809.0</v>
      </c>
      <c r="F2492" s="1" t="s">
        <v>213</v>
      </c>
      <c r="H2492" s="3">
        <v>10.0</v>
      </c>
      <c r="I2492" s="4" t="s">
        <v>10584</v>
      </c>
      <c r="J2492" s="1" t="s">
        <v>10585</v>
      </c>
      <c r="K2492" s="1" t="s">
        <v>317</v>
      </c>
    </row>
    <row r="2493">
      <c r="A2493" s="1" t="s">
        <v>10586</v>
      </c>
      <c r="B2493" s="1" t="s">
        <v>10587</v>
      </c>
      <c r="C2493" s="1">
        <v>2019.0</v>
      </c>
      <c r="D2493" s="2">
        <v>43808.0</v>
      </c>
      <c r="F2493" s="1" t="s">
        <v>6907</v>
      </c>
      <c r="H2493" s="3">
        <v>54.0</v>
      </c>
      <c r="I2493" s="4" t="s">
        <v>10588</v>
      </c>
      <c r="J2493" s="1" t="s">
        <v>10589</v>
      </c>
      <c r="K2493" s="1" t="s">
        <v>28</v>
      </c>
    </row>
    <row r="2494">
      <c r="A2494" s="1" t="s">
        <v>10590</v>
      </c>
      <c r="B2494" s="1" t="s">
        <v>10591</v>
      </c>
      <c r="C2494" s="1">
        <v>2019.0</v>
      </c>
      <c r="D2494" s="2">
        <v>43808.0</v>
      </c>
      <c r="F2494" s="1" t="s">
        <v>474</v>
      </c>
      <c r="H2494" s="3">
        <v>5.0</v>
      </c>
      <c r="I2494" s="4" t="s">
        <v>10592</v>
      </c>
      <c r="J2494" s="1" t="s">
        <v>10593</v>
      </c>
      <c r="K2494" s="1" t="s">
        <v>295</v>
      </c>
    </row>
    <row r="2495">
      <c r="A2495" s="1" t="s">
        <v>10594</v>
      </c>
      <c r="B2495" s="1" t="s">
        <v>10595</v>
      </c>
      <c r="C2495" s="1">
        <v>2019.0</v>
      </c>
      <c r="D2495" s="2">
        <v>43806.0</v>
      </c>
      <c r="F2495" s="1" t="s">
        <v>1366</v>
      </c>
      <c r="H2495" s="3">
        <v>33.0</v>
      </c>
      <c r="I2495" s="4" t="s">
        <v>10596</v>
      </c>
      <c r="J2495" s="1" t="s">
        <v>10597</v>
      </c>
      <c r="K2495" s="1" t="s">
        <v>295</v>
      </c>
    </row>
    <row r="2496">
      <c r="A2496" s="1" t="s">
        <v>10598</v>
      </c>
      <c r="B2496" s="1" t="s">
        <v>10599</v>
      </c>
      <c r="C2496" s="1">
        <v>2019.0</v>
      </c>
      <c r="D2496" s="2">
        <v>43804.0</v>
      </c>
      <c r="F2496" s="1" t="s">
        <v>4861</v>
      </c>
      <c r="H2496" s="3">
        <v>8.0</v>
      </c>
      <c r="I2496" s="4" t="s">
        <v>10600</v>
      </c>
      <c r="J2496" s="1" t="s">
        <v>10601</v>
      </c>
      <c r="K2496" s="1" t="s">
        <v>323</v>
      </c>
    </row>
    <row r="2497">
      <c r="A2497" s="1" t="s">
        <v>10602</v>
      </c>
      <c r="B2497" s="1" t="s">
        <v>10603</v>
      </c>
      <c r="C2497" s="1">
        <v>2019.0</v>
      </c>
      <c r="D2497" s="2">
        <v>43803.0</v>
      </c>
      <c r="F2497" s="1" t="s">
        <v>2309</v>
      </c>
      <c r="H2497" s="3">
        <v>56.0</v>
      </c>
      <c r="I2497" s="4" t="s">
        <v>10604</v>
      </c>
      <c r="J2497" s="1" t="s">
        <v>10605</v>
      </c>
      <c r="K2497" s="1" t="s">
        <v>383</v>
      </c>
    </row>
    <row r="2498">
      <c r="A2498" s="1" t="s">
        <v>10606</v>
      </c>
      <c r="B2498" s="1" t="s">
        <v>10607</v>
      </c>
      <c r="C2498" s="1">
        <v>2019.0</v>
      </c>
      <c r="D2498" s="2">
        <v>43803.0</v>
      </c>
      <c r="F2498" s="1" t="s">
        <v>59</v>
      </c>
      <c r="H2498" s="3">
        <v>14.0</v>
      </c>
      <c r="I2498" s="4" t="s">
        <v>10608</v>
      </c>
      <c r="J2498" s="1"/>
      <c r="K2498" s="1" t="s">
        <v>443</v>
      </c>
    </row>
    <row r="2499">
      <c r="A2499" s="1" t="s">
        <v>10609</v>
      </c>
      <c r="B2499" s="1" t="s">
        <v>10610</v>
      </c>
      <c r="C2499" s="1">
        <v>2019.0</v>
      </c>
      <c r="D2499" s="2">
        <v>43802.0</v>
      </c>
      <c r="F2499" s="1" t="s">
        <v>5985</v>
      </c>
      <c r="H2499" s="3">
        <v>10.0</v>
      </c>
      <c r="I2499" s="4" t="s">
        <v>10611</v>
      </c>
      <c r="J2499" s="1" t="s">
        <v>10612</v>
      </c>
      <c r="K2499" s="1" t="s">
        <v>383</v>
      </c>
    </row>
    <row r="2500">
      <c r="A2500" s="1" t="s">
        <v>10613</v>
      </c>
      <c r="B2500" s="1" t="s">
        <v>10614</v>
      </c>
      <c r="C2500" s="1">
        <v>2019.0</v>
      </c>
      <c r="D2500" s="2">
        <v>43801.0</v>
      </c>
      <c r="F2500" s="1" t="s">
        <v>13</v>
      </c>
      <c r="H2500" s="3">
        <v>17.0</v>
      </c>
      <c r="I2500" s="4" t="s">
        <v>10615</v>
      </c>
      <c r="J2500" s="1" t="s">
        <v>10616</v>
      </c>
      <c r="K2500" s="1" t="s">
        <v>28</v>
      </c>
    </row>
    <row r="2501">
      <c r="A2501" s="1" t="s">
        <v>10617</v>
      </c>
      <c r="B2501" s="1" t="s">
        <v>10618</v>
      </c>
      <c r="C2501" s="1">
        <v>2019.0</v>
      </c>
      <c r="D2501" s="2">
        <v>43801.0</v>
      </c>
      <c r="F2501" s="1" t="s">
        <v>2205</v>
      </c>
      <c r="H2501" s="3">
        <v>8.0</v>
      </c>
      <c r="I2501" s="4" t="s">
        <v>10619</v>
      </c>
      <c r="J2501" s="1" t="s">
        <v>10620</v>
      </c>
      <c r="K2501" s="1" t="s">
        <v>443</v>
      </c>
    </row>
    <row r="2502">
      <c r="A2502" s="1" t="s">
        <v>10621</v>
      </c>
      <c r="B2502" s="1" t="s">
        <v>10622</v>
      </c>
      <c r="C2502" s="1">
        <v>2019.0</v>
      </c>
      <c r="D2502" s="2">
        <v>43801.0</v>
      </c>
      <c r="F2502" s="1" t="s">
        <v>2022</v>
      </c>
      <c r="H2502" s="3">
        <v>11.0</v>
      </c>
      <c r="I2502" s="4" t="s">
        <v>10623</v>
      </c>
      <c r="J2502" s="1" t="s">
        <v>10624</v>
      </c>
      <c r="K2502" s="1" t="s">
        <v>68</v>
      </c>
    </row>
    <row r="2503">
      <c r="A2503" s="1" t="s">
        <v>10625</v>
      </c>
      <c r="B2503" s="1" t="s">
        <v>10626</v>
      </c>
      <c r="C2503" s="1">
        <v>2019.0</v>
      </c>
      <c r="D2503" s="2">
        <v>43800.0</v>
      </c>
      <c r="F2503" s="1" t="s">
        <v>10627</v>
      </c>
      <c r="H2503" s="3">
        <v>19.0</v>
      </c>
      <c r="I2503" s="4" t="s">
        <v>10628</v>
      </c>
      <c r="J2503" s="1"/>
      <c r="K2503" s="1" t="s">
        <v>28</v>
      </c>
    </row>
    <row r="2504">
      <c r="A2504" s="1" t="s">
        <v>10629</v>
      </c>
      <c r="B2504" s="1" t="s">
        <v>10630</v>
      </c>
      <c r="C2504" s="1">
        <v>2019.0</v>
      </c>
      <c r="D2504" s="2">
        <v>43800.0</v>
      </c>
      <c r="F2504" s="1" t="s">
        <v>519</v>
      </c>
      <c r="H2504" s="3">
        <v>18.0</v>
      </c>
      <c r="I2504" s="4" t="s">
        <v>10631</v>
      </c>
      <c r="J2504" s="1"/>
      <c r="K2504" s="1" t="s">
        <v>28</v>
      </c>
    </row>
    <row r="2505">
      <c r="A2505" s="1" t="s">
        <v>10632</v>
      </c>
      <c r="B2505" s="1" t="s">
        <v>10633</v>
      </c>
      <c r="C2505" s="1">
        <v>2019.0</v>
      </c>
      <c r="D2505" s="2">
        <v>43800.0</v>
      </c>
      <c r="F2505" s="1" t="s">
        <v>676</v>
      </c>
      <c r="H2505" s="3">
        <v>15.0</v>
      </c>
      <c r="I2505" s="4" t="s">
        <v>10634</v>
      </c>
      <c r="J2505" s="1" t="s">
        <v>10635</v>
      </c>
      <c r="K2505" s="1" t="s">
        <v>317</v>
      </c>
    </row>
    <row r="2506">
      <c r="A2506" s="1" t="s">
        <v>10636</v>
      </c>
      <c r="B2506" s="1" t="s">
        <v>10637</v>
      </c>
      <c r="C2506" s="1">
        <v>2019.0</v>
      </c>
      <c r="D2506" s="2">
        <v>43800.0</v>
      </c>
      <c r="F2506" s="1" t="s">
        <v>10126</v>
      </c>
      <c r="H2506" s="3">
        <v>38.0</v>
      </c>
      <c r="I2506" s="4" t="s">
        <v>10638</v>
      </c>
      <c r="J2506" s="1" t="s">
        <v>10639</v>
      </c>
      <c r="K2506" s="1" t="s">
        <v>413</v>
      </c>
    </row>
    <row r="2507">
      <c r="A2507" s="1" t="s">
        <v>10640</v>
      </c>
      <c r="B2507" s="1" t="s">
        <v>10641</v>
      </c>
      <c r="C2507" s="1">
        <v>2019.0</v>
      </c>
      <c r="D2507" s="2">
        <v>43800.0</v>
      </c>
      <c r="F2507" s="1" t="s">
        <v>59</v>
      </c>
      <c r="H2507" s="3">
        <v>84.0</v>
      </c>
      <c r="I2507" s="4" t="s">
        <v>10642</v>
      </c>
      <c r="J2507" s="1" t="s">
        <v>10643</v>
      </c>
      <c r="K2507" s="1" t="s">
        <v>413</v>
      </c>
    </row>
    <row r="2508">
      <c r="A2508" s="1" t="s">
        <v>10644</v>
      </c>
      <c r="B2508" s="1" t="s">
        <v>10645</v>
      </c>
      <c r="C2508" s="1">
        <v>2019.0</v>
      </c>
      <c r="D2508" s="2">
        <v>43800.0</v>
      </c>
      <c r="F2508" s="1" t="s">
        <v>380</v>
      </c>
      <c r="H2508" s="3">
        <v>6.0</v>
      </c>
      <c r="I2508" s="4" t="s">
        <v>10646</v>
      </c>
      <c r="J2508" s="1" t="s">
        <v>10647</v>
      </c>
      <c r="K2508" s="1" t="s">
        <v>383</v>
      </c>
    </row>
    <row r="2509">
      <c r="A2509" s="1" t="s">
        <v>10648</v>
      </c>
      <c r="B2509" s="1" t="s">
        <v>8479</v>
      </c>
      <c r="C2509" s="1">
        <v>2019.0</v>
      </c>
      <c r="D2509" s="2">
        <v>43800.0</v>
      </c>
      <c r="F2509" s="1" t="s">
        <v>1095</v>
      </c>
      <c r="H2509" s="3">
        <v>0.0</v>
      </c>
      <c r="I2509" s="4" t="s">
        <v>10649</v>
      </c>
      <c r="J2509" s="1"/>
      <c r="K2509" s="1" t="s">
        <v>16</v>
      </c>
    </row>
    <row r="2510">
      <c r="A2510" s="1" t="s">
        <v>10650</v>
      </c>
      <c r="B2510" s="1" t="s">
        <v>10651</v>
      </c>
      <c r="C2510" s="1">
        <v>2019.0</v>
      </c>
      <c r="D2510" s="2">
        <v>43800.0</v>
      </c>
      <c r="F2510" s="1" t="s">
        <v>8420</v>
      </c>
      <c r="H2510" s="3">
        <v>18.0</v>
      </c>
      <c r="I2510" s="4" t="s">
        <v>10652</v>
      </c>
      <c r="J2510" s="1" t="s">
        <v>10653</v>
      </c>
      <c r="K2510" s="1" t="s">
        <v>16</v>
      </c>
    </row>
    <row r="2511">
      <c r="A2511" s="1" t="s">
        <v>10654</v>
      </c>
      <c r="B2511" s="1" t="s">
        <v>10655</v>
      </c>
      <c r="C2511" s="1">
        <v>2019.0</v>
      </c>
      <c r="D2511" s="2">
        <v>43800.0</v>
      </c>
      <c r="F2511" s="1" t="s">
        <v>8483</v>
      </c>
      <c r="H2511" s="3">
        <v>20.0</v>
      </c>
      <c r="I2511" s="4" t="s">
        <v>10656</v>
      </c>
      <c r="J2511" s="1" t="s">
        <v>10657</v>
      </c>
      <c r="K2511" s="1" t="s">
        <v>16</v>
      </c>
    </row>
    <row r="2512">
      <c r="A2512" s="1" t="s">
        <v>10658</v>
      </c>
      <c r="B2512" s="1" t="s">
        <v>10659</v>
      </c>
      <c r="C2512" s="1">
        <v>2019.0</v>
      </c>
      <c r="D2512" s="2">
        <v>43798.0</v>
      </c>
      <c r="F2512" s="1" t="s">
        <v>86</v>
      </c>
      <c r="H2512" s="3">
        <v>14.0</v>
      </c>
      <c r="I2512" s="4" t="s">
        <v>10660</v>
      </c>
      <c r="J2512" s="1" t="s">
        <v>10661</v>
      </c>
      <c r="K2512" s="1" t="s">
        <v>1036</v>
      </c>
    </row>
    <row r="2513">
      <c r="A2513" s="1" t="s">
        <v>10662</v>
      </c>
      <c r="B2513" s="1" t="s">
        <v>10663</v>
      </c>
      <c r="C2513" s="1">
        <v>2019.0</v>
      </c>
      <c r="D2513" s="2">
        <v>43797.0</v>
      </c>
      <c r="F2513" s="1" t="s">
        <v>2444</v>
      </c>
      <c r="H2513" s="3">
        <v>387.0</v>
      </c>
      <c r="I2513" s="4" t="s">
        <v>10664</v>
      </c>
      <c r="J2513" s="1" t="s">
        <v>10665</v>
      </c>
      <c r="K2513" s="1" t="s">
        <v>477</v>
      </c>
    </row>
    <row r="2514">
      <c r="A2514" s="1" t="s">
        <v>10666</v>
      </c>
      <c r="B2514" s="1" t="s">
        <v>10667</v>
      </c>
      <c r="C2514" s="1">
        <v>2019.0</v>
      </c>
      <c r="D2514" s="2">
        <v>43797.0</v>
      </c>
      <c r="F2514" s="1" t="s">
        <v>1050</v>
      </c>
      <c r="H2514" s="3">
        <v>0.0</v>
      </c>
      <c r="I2514" s="4" t="s">
        <v>10668</v>
      </c>
      <c r="J2514" s="1" t="s">
        <v>10669</v>
      </c>
      <c r="K2514" s="1" t="s">
        <v>413</v>
      </c>
    </row>
    <row r="2515">
      <c r="A2515" s="1" t="s">
        <v>10670</v>
      </c>
      <c r="B2515" s="1" t="s">
        <v>10671</v>
      </c>
      <c r="C2515" s="1">
        <v>2019.0</v>
      </c>
      <c r="D2515" s="2">
        <v>43795.0</v>
      </c>
      <c r="F2515" s="1" t="s">
        <v>10672</v>
      </c>
      <c r="H2515" s="3">
        <v>10.0</v>
      </c>
      <c r="I2515" s="4" t="s">
        <v>10673</v>
      </c>
      <c r="J2515" s="1" t="s">
        <v>10674</v>
      </c>
      <c r="K2515" s="1" t="s">
        <v>462</v>
      </c>
    </row>
    <row r="2516">
      <c r="A2516" s="1" t="s">
        <v>10675</v>
      </c>
      <c r="B2516" s="1" t="s">
        <v>10676</v>
      </c>
      <c r="C2516" s="1">
        <v>2019.0</v>
      </c>
      <c r="D2516" s="2">
        <v>43795.0</v>
      </c>
      <c r="F2516" s="1" t="s">
        <v>271</v>
      </c>
      <c r="H2516" s="3">
        <v>6.0</v>
      </c>
      <c r="I2516" s="4" t="s">
        <v>10677</v>
      </c>
      <c r="J2516" s="1" t="s">
        <v>10678</v>
      </c>
      <c r="K2516" s="1" t="s">
        <v>323</v>
      </c>
    </row>
    <row r="2517">
      <c r="A2517" s="1" t="s">
        <v>10679</v>
      </c>
      <c r="B2517" s="1" t="s">
        <v>10680</v>
      </c>
      <c r="C2517" s="1">
        <v>2019.0</v>
      </c>
      <c r="D2517" s="2">
        <v>43795.0</v>
      </c>
      <c r="F2517" s="1" t="s">
        <v>10681</v>
      </c>
      <c r="H2517" s="3">
        <v>3.0</v>
      </c>
      <c r="I2517" s="4" t="s">
        <v>10682</v>
      </c>
      <c r="J2517" s="1" t="s">
        <v>10683</v>
      </c>
      <c r="K2517" s="1" t="s">
        <v>443</v>
      </c>
    </row>
    <row r="2518">
      <c r="A2518" s="1" t="s">
        <v>10684</v>
      </c>
      <c r="B2518" s="1" t="s">
        <v>10685</v>
      </c>
      <c r="C2518" s="1">
        <v>2019.0</v>
      </c>
      <c r="D2518" s="2">
        <v>43795.0</v>
      </c>
      <c r="F2518" s="1" t="s">
        <v>6942</v>
      </c>
      <c r="H2518" s="3">
        <v>0.0</v>
      </c>
      <c r="I2518" s="4" t="s">
        <v>10686</v>
      </c>
      <c r="J2518" s="1" t="s">
        <v>10687</v>
      </c>
      <c r="K2518" s="1" t="s">
        <v>323</v>
      </c>
    </row>
    <row r="2519">
      <c r="A2519" s="1" t="s">
        <v>10688</v>
      </c>
      <c r="B2519" s="1" t="s">
        <v>10689</v>
      </c>
      <c r="C2519" s="1">
        <v>2019.0</v>
      </c>
      <c r="D2519" s="2">
        <v>43792.0</v>
      </c>
      <c r="F2519" s="1" t="s">
        <v>243</v>
      </c>
      <c r="H2519" s="3">
        <v>30.0</v>
      </c>
      <c r="I2519" s="4" t="s">
        <v>10690</v>
      </c>
      <c r="J2519" s="1" t="s">
        <v>10691</v>
      </c>
      <c r="K2519" s="1" t="s">
        <v>28</v>
      </c>
    </row>
    <row r="2520">
      <c r="A2520" s="1" t="s">
        <v>10692</v>
      </c>
      <c r="B2520" s="1" t="s">
        <v>10693</v>
      </c>
      <c r="C2520" s="1">
        <v>2019.0</v>
      </c>
      <c r="D2520" s="2">
        <v>43789.0</v>
      </c>
      <c r="F2520" s="1" t="s">
        <v>10694</v>
      </c>
      <c r="H2520" s="3">
        <v>10.0</v>
      </c>
      <c r="I2520" s="4" t="s">
        <v>10695</v>
      </c>
      <c r="J2520" s="1" t="s">
        <v>10696</v>
      </c>
      <c r="K2520" s="1" t="s">
        <v>413</v>
      </c>
    </row>
    <row r="2521">
      <c r="A2521" s="1" t="s">
        <v>10697</v>
      </c>
      <c r="B2521" s="1" t="s">
        <v>10698</v>
      </c>
      <c r="C2521" s="1">
        <v>2019.0</v>
      </c>
      <c r="D2521" s="2">
        <v>43789.0</v>
      </c>
      <c r="F2521" s="1" t="s">
        <v>3583</v>
      </c>
      <c r="H2521" s="3">
        <v>16.0</v>
      </c>
      <c r="I2521" s="4" t="s">
        <v>10699</v>
      </c>
      <c r="J2521" s="1" t="s">
        <v>10700</v>
      </c>
      <c r="K2521" s="1" t="s">
        <v>323</v>
      </c>
    </row>
    <row r="2522">
      <c r="A2522" s="1" t="s">
        <v>10701</v>
      </c>
      <c r="B2522" s="1" t="s">
        <v>10702</v>
      </c>
      <c r="C2522" s="1">
        <v>2019.0</v>
      </c>
      <c r="D2522" s="2">
        <v>43789.0</v>
      </c>
      <c r="F2522" s="1" t="s">
        <v>3128</v>
      </c>
      <c r="H2522" s="3">
        <v>11.0</v>
      </c>
      <c r="I2522" s="4" t="s">
        <v>10703</v>
      </c>
      <c r="J2522" s="1" t="s">
        <v>10704</v>
      </c>
      <c r="K2522" s="1" t="s">
        <v>413</v>
      </c>
    </row>
    <row r="2523">
      <c r="A2523" s="1" t="s">
        <v>10705</v>
      </c>
      <c r="B2523" s="1" t="s">
        <v>10706</v>
      </c>
      <c r="C2523" s="1">
        <v>2019.0</v>
      </c>
      <c r="D2523" s="2">
        <v>43789.0</v>
      </c>
      <c r="F2523" s="1" t="s">
        <v>5167</v>
      </c>
      <c r="H2523" s="3">
        <v>12.0</v>
      </c>
      <c r="I2523" s="4" t="s">
        <v>10707</v>
      </c>
      <c r="J2523" s="1" t="s">
        <v>10708</v>
      </c>
      <c r="K2523" s="1" t="s">
        <v>16</v>
      </c>
    </row>
    <row r="2524">
      <c r="A2524" s="1" t="s">
        <v>10709</v>
      </c>
      <c r="B2524" s="1" t="s">
        <v>10710</v>
      </c>
      <c r="C2524" s="1">
        <v>2019.0</v>
      </c>
      <c r="D2524" s="2">
        <v>43789.0</v>
      </c>
      <c r="F2524" s="1" t="s">
        <v>6152</v>
      </c>
      <c r="H2524" s="3">
        <v>9.0</v>
      </c>
      <c r="I2524" s="4" t="s">
        <v>10711</v>
      </c>
      <c r="J2524" s="1" t="s">
        <v>10712</v>
      </c>
      <c r="K2524" s="1" t="s">
        <v>295</v>
      </c>
    </row>
    <row r="2525">
      <c r="A2525" s="1" t="s">
        <v>10713</v>
      </c>
      <c r="B2525" s="1" t="s">
        <v>10714</v>
      </c>
      <c r="C2525" s="1">
        <v>2019.0</v>
      </c>
      <c r="D2525" s="2">
        <v>43788.0</v>
      </c>
      <c r="F2525" s="1" t="s">
        <v>1795</v>
      </c>
      <c r="H2525" s="3">
        <v>6.0</v>
      </c>
      <c r="I2525" s="4" t="s">
        <v>10715</v>
      </c>
      <c r="J2525" s="1" t="s">
        <v>10716</v>
      </c>
      <c r="K2525" s="1" t="s">
        <v>28</v>
      </c>
    </row>
    <row r="2526">
      <c r="A2526" s="1" t="s">
        <v>10717</v>
      </c>
      <c r="B2526" s="1" t="s">
        <v>10718</v>
      </c>
      <c r="C2526" s="1">
        <v>2019.0</v>
      </c>
      <c r="D2526" s="2">
        <v>43788.0</v>
      </c>
      <c r="F2526" s="1" t="s">
        <v>271</v>
      </c>
      <c r="H2526" s="3">
        <v>9.0</v>
      </c>
      <c r="I2526" s="4" t="s">
        <v>10719</v>
      </c>
      <c r="J2526" s="1" t="s">
        <v>10720</v>
      </c>
      <c r="K2526" s="1" t="s">
        <v>477</v>
      </c>
    </row>
    <row r="2527">
      <c r="A2527" s="1" t="s">
        <v>10721</v>
      </c>
      <c r="B2527" s="1" t="s">
        <v>10722</v>
      </c>
      <c r="C2527" s="1">
        <v>2019.0</v>
      </c>
      <c r="D2527" s="2">
        <v>43787.0</v>
      </c>
      <c r="F2527" s="1" t="s">
        <v>4848</v>
      </c>
      <c r="H2527" s="3">
        <v>14.0</v>
      </c>
      <c r="I2527" s="4" t="s">
        <v>10723</v>
      </c>
      <c r="J2527" s="1" t="s">
        <v>10724</v>
      </c>
      <c r="K2527" s="1" t="s">
        <v>323</v>
      </c>
    </row>
    <row r="2528">
      <c r="A2528" s="1" t="s">
        <v>10725</v>
      </c>
      <c r="B2528" s="1" t="s">
        <v>10726</v>
      </c>
      <c r="C2528" s="1">
        <v>2019.0</v>
      </c>
      <c r="D2528" s="2">
        <v>43787.0</v>
      </c>
      <c r="F2528" s="1" t="s">
        <v>4724</v>
      </c>
      <c r="H2528" s="3">
        <v>1.0</v>
      </c>
      <c r="I2528" s="4" t="s">
        <v>10727</v>
      </c>
      <c r="J2528" s="1" t="s">
        <v>10728</v>
      </c>
      <c r="K2528" s="1" t="s">
        <v>28</v>
      </c>
    </row>
    <row r="2529">
      <c r="A2529" s="1" t="s">
        <v>10729</v>
      </c>
      <c r="B2529" s="1" t="s">
        <v>10730</v>
      </c>
      <c r="C2529" s="1">
        <v>2019.0</v>
      </c>
      <c r="D2529" s="2">
        <v>43787.0</v>
      </c>
      <c r="F2529" s="1" t="s">
        <v>1277</v>
      </c>
      <c r="H2529" s="3">
        <v>25.0</v>
      </c>
      <c r="I2529" s="4" t="s">
        <v>10731</v>
      </c>
      <c r="J2529" s="1" t="s">
        <v>10732</v>
      </c>
      <c r="K2529" s="1" t="s">
        <v>418</v>
      </c>
    </row>
    <row r="2530">
      <c r="A2530" s="1" t="s">
        <v>10733</v>
      </c>
      <c r="B2530" s="1" t="s">
        <v>10734</v>
      </c>
      <c r="C2530" s="1">
        <v>2019.0</v>
      </c>
      <c r="D2530" s="2">
        <v>43787.0</v>
      </c>
      <c r="F2530" s="1" t="s">
        <v>71</v>
      </c>
      <c r="H2530" s="3">
        <v>22.0</v>
      </c>
      <c r="I2530" s="4" t="s">
        <v>10735</v>
      </c>
      <c r="J2530" s="1" t="s">
        <v>10736</v>
      </c>
      <c r="K2530" s="1" t="s">
        <v>527</v>
      </c>
    </row>
    <row r="2531">
      <c r="A2531" s="1" t="s">
        <v>10737</v>
      </c>
      <c r="B2531" s="1" t="s">
        <v>10738</v>
      </c>
      <c r="C2531" s="1">
        <v>2019.0</v>
      </c>
      <c r="D2531" s="2">
        <v>43785.0</v>
      </c>
      <c r="F2531" s="1" t="s">
        <v>9124</v>
      </c>
      <c r="H2531" s="3">
        <v>15.0</v>
      </c>
      <c r="I2531" s="4" t="s">
        <v>10739</v>
      </c>
      <c r="J2531" s="1" t="s">
        <v>10740</v>
      </c>
      <c r="K2531" s="1" t="s">
        <v>68</v>
      </c>
    </row>
    <row r="2532">
      <c r="A2532" s="1" t="s">
        <v>10741</v>
      </c>
      <c r="B2532" s="1" t="s">
        <v>10742</v>
      </c>
      <c r="C2532" s="1">
        <v>2019.0</v>
      </c>
      <c r="D2532" s="2">
        <v>43784.0</v>
      </c>
      <c r="F2532" s="1" t="s">
        <v>3530</v>
      </c>
      <c r="H2532" s="3">
        <v>18.0</v>
      </c>
      <c r="I2532" s="4" t="s">
        <v>10743</v>
      </c>
      <c r="J2532" s="1" t="s">
        <v>10744</v>
      </c>
      <c r="K2532" s="1" t="s">
        <v>443</v>
      </c>
    </row>
    <row r="2533">
      <c r="A2533" s="1" t="s">
        <v>10745</v>
      </c>
      <c r="B2533" s="1" t="s">
        <v>10746</v>
      </c>
      <c r="C2533" s="1">
        <v>2019.0</v>
      </c>
      <c r="D2533" s="2">
        <v>43784.0</v>
      </c>
      <c r="F2533" s="1" t="s">
        <v>31</v>
      </c>
      <c r="H2533" s="3">
        <v>4.0</v>
      </c>
      <c r="I2533" s="4" t="s">
        <v>10747</v>
      </c>
      <c r="J2533" s="1" t="s">
        <v>10748</v>
      </c>
      <c r="K2533" s="1" t="s">
        <v>443</v>
      </c>
    </row>
    <row r="2534">
      <c r="A2534" s="1" t="s">
        <v>10749</v>
      </c>
      <c r="B2534" s="1" t="s">
        <v>10750</v>
      </c>
      <c r="C2534" s="1">
        <v>2019.0</v>
      </c>
      <c r="D2534" s="2">
        <v>43784.0</v>
      </c>
      <c r="F2534" s="1" t="s">
        <v>192</v>
      </c>
      <c r="H2534" s="3">
        <v>35.0</v>
      </c>
      <c r="I2534" s="4" t="s">
        <v>10751</v>
      </c>
      <c r="J2534" s="1" t="s">
        <v>10752</v>
      </c>
      <c r="K2534" s="1" t="s">
        <v>295</v>
      </c>
    </row>
    <row r="2535">
      <c r="A2535" s="1" t="s">
        <v>10753</v>
      </c>
      <c r="B2535" s="1" t="s">
        <v>10754</v>
      </c>
      <c r="C2535" s="1">
        <v>2019.0</v>
      </c>
      <c r="D2535" s="2">
        <v>43782.0</v>
      </c>
      <c r="F2535" s="1" t="s">
        <v>440</v>
      </c>
      <c r="H2535" s="3">
        <v>24.0</v>
      </c>
      <c r="I2535" s="4" t="s">
        <v>10755</v>
      </c>
      <c r="J2535" s="1" t="s">
        <v>10756</v>
      </c>
      <c r="K2535" s="1" t="s">
        <v>28</v>
      </c>
    </row>
    <row r="2536">
      <c r="A2536" s="1" t="s">
        <v>10757</v>
      </c>
      <c r="B2536" s="1" t="s">
        <v>10758</v>
      </c>
      <c r="C2536" s="1">
        <v>2019.0</v>
      </c>
      <c r="D2536" s="2">
        <v>43781.0</v>
      </c>
      <c r="F2536" s="1" t="s">
        <v>3463</v>
      </c>
      <c r="H2536" s="3">
        <v>11.0</v>
      </c>
      <c r="I2536" s="4" t="s">
        <v>10759</v>
      </c>
      <c r="J2536" s="1" t="s">
        <v>10760</v>
      </c>
      <c r="K2536" s="1" t="s">
        <v>329</v>
      </c>
    </row>
    <row r="2537">
      <c r="A2537" s="1" t="s">
        <v>10761</v>
      </c>
      <c r="B2537" s="1" t="s">
        <v>10762</v>
      </c>
      <c r="C2537" s="1">
        <v>2019.0</v>
      </c>
      <c r="D2537" s="2">
        <v>43781.0</v>
      </c>
      <c r="F2537" s="1" t="s">
        <v>208</v>
      </c>
      <c r="H2537" s="3">
        <v>25.0</v>
      </c>
      <c r="I2537" s="4" t="s">
        <v>10763</v>
      </c>
      <c r="J2537" s="1" t="s">
        <v>10764</v>
      </c>
      <c r="K2537" s="1" t="s">
        <v>295</v>
      </c>
    </row>
    <row r="2538">
      <c r="A2538" s="1" t="s">
        <v>10765</v>
      </c>
      <c r="B2538" s="1" t="s">
        <v>10766</v>
      </c>
      <c r="C2538" s="1">
        <v>2019.0</v>
      </c>
      <c r="D2538" s="2">
        <v>43781.0</v>
      </c>
      <c r="F2538" s="1" t="s">
        <v>7158</v>
      </c>
      <c r="H2538" s="3">
        <v>111.0</v>
      </c>
      <c r="I2538" s="4" t="s">
        <v>10767</v>
      </c>
      <c r="J2538" s="1" t="s">
        <v>10768</v>
      </c>
      <c r="K2538" s="1" t="s">
        <v>16</v>
      </c>
    </row>
    <row r="2539">
      <c r="A2539" s="1" t="s">
        <v>10769</v>
      </c>
      <c r="B2539" s="1" t="s">
        <v>10770</v>
      </c>
      <c r="C2539" s="1">
        <v>2019.0</v>
      </c>
      <c r="D2539" s="2">
        <v>43780.0</v>
      </c>
      <c r="F2539" s="1" t="s">
        <v>347</v>
      </c>
      <c r="H2539" s="3">
        <v>9.0</v>
      </c>
      <c r="I2539" s="4" t="s">
        <v>10771</v>
      </c>
      <c r="J2539" s="1" t="s">
        <v>10772</v>
      </c>
      <c r="K2539" s="1" t="s">
        <v>323</v>
      </c>
    </row>
    <row r="2540">
      <c r="A2540" s="1" t="s">
        <v>10773</v>
      </c>
      <c r="B2540" s="1" t="s">
        <v>10774</v>
      </c>
      <c r="C2540" s="1">
        <v>2019.0</v>
      </c>
      <c r="D2540" s="2">
        <v>43780.0</v>
      </c>
      <c r="F2540" s="1" t="s">
        <v>1420</v>
      </c>
      <c r="H2540" s="3">
        <v>1.0</v>
      </c>
      <c r="I2540" s="4" t="s">
        <v>10775</v>
      </c>
      <c r="J2540" s="1" t="s">
        <v>10776</v>
      </c>
      <c r="K2540" s="1" t="s">
        <v>28</v>
      </c>
    </row>
    <row r="2541">
      <c r="A2541" s="1" t="s">
        <v>10777</v>
      </c>
      <c r="B2541" s="1" t="s">
        <v>10778</v>
      </c>
      <c r="C2541" s="1">
        <v>2019.0</v>
      </c>
      <c r="D2541" s="2">
        <v>43780.0</v>
      </c>
      <c r="F2541" s="1" t="s">
        <v>410</v>
      </c>
      <c r="H2541" s="3">
        <v>15.0</v>
      </c>
      <c r="I2541" s="4" t="s">
        <v>10779</v>
      </c>
      <c r="J2541" s="1" t="s">
        <v>10780</v>
      </c>
      <c r="K2541" s="1" t="s">
        <v>16</v>
      </c>
    </row>
    <row r="2542">
      <c r="A2542" s="1" t="s">
        <v>10781</v>
      </c>
      <c r="B2542" s="1" t="s">
        <v>10782</v>
      </c>
      <c r="C2542" s="1">
        <v>2019.0</v>
      </c>
      <c r="D2542" s="2">
        <v>43778.0</v>
      </c>
      <c r="F2542" s="1" t="s">
        <v>7024</v>
      </c>
      <c r="H2542" s="3">
        <v>19.0</v>
      </c>
      <c r="I2542" s="4" t="s">
        <v>10783</v>
      </c>
      <c r="J2542" s="1" t="s">
        <v>10784</v>
      </c>
      <c r="K2542" s="1" t="s">
        <v>295</v>
      </c>
    </row>
    <row r="2543">
      <c r="A2543" s="1" t="s">
        <v>10785</v>
      </c>
      <c r="B2543" s="1" t="s">
        <v>10786</v>
      </c>
      <c r="C2543" s="1">
        <v>2019.0</v>
      </c>
      <c r="D2543" s="2">
        <v>43777.0</v>
      </c>
      <c r="F2543" s="1" t="s">
        <v>10787</v>
      </c>
      <c r="H2543" s="3">
        <v>1.0</v>
      </c>
      <c r="I2543" s="4" t="s">
        <v>10788</v>
      </c>
      <c r="J2543" s="1" t="s">
        <v>10789</v>
      </c>
      <c r="K2543" s="1" t="s">
        <v>413</v>
      </c>
    </row>
    <row r="2544">
      <c r="A2544" s="1" t="s">
        <v>10790</v>
      </c>
      <c r="B2544" s="1" t="s">
        <v>10791</v>
      </c>
      <c r="C2544" s="1">
        <v>2019.0</v>
      </c>
      <c r="D2544" s="2">
        <v>43776.0</v>
      </c>
      <c r="F2544" s="1" t="s">
        <v>178</v>
      </c>
      <c r="H2544" s="3">
        <v>68.0</v>
      </c>
      <c r="I2544" s="4" t="s">
        <v>10792</v>
      </c>
      <c r="J2544" s="1" t="s">
        <v>10793</v>
      </c>
      <c r="K2544" s="1" t="s">
        <v>418</v>
      </c>
    </row>
    <row r="2545">
      <c r="A2545" s="1" t="s">
        <v>10794</v>
      </c>
      <c r="B2545" s="1" t="s">
        <v>10795</v>
      </c>
      <c r="C2545" s="1">
        <v>2019.0</v>
      </c>
      <c r="D2545" s="2">
        <v>43776.0</v>
      </c>
      <c r="F2545" s="1" t="s">
        <v>1050</v>
      </c>
      <c r="H2545" s="3">
        <v>0.0</v>
      </c>
      <c r="I2545" s="4" t="s">
        <v>10796</v>
      </c>
      <c r="J2545" s="1" t="s">
        <v>10797</v>
      </c>
      <c r="K2545" s="1" t="s">
        <v>329</v>
      </c>
    </row>
    <row r="2546">
      <c r="A2546" s="1" t="s">
        <v>10798</v>
      </c>
      <c r="B2546" s="1" t="s">
        <v>10799</v>
      </c>
      <c r="C2546" s="1">
        <v>2019.0</v>
      </c>
      <c r="D2546" s="2">
        <v>43775.0</v>
      </c>
      <c r="F2546" s="1" t="s">
        <v>8731</v>
      </c>
      <c r="H2546" s="3">
        <v>22.0</v>
      </c>
      <c r="I2546" s="4" t="s">
        <v>10800</v>
      </c>
      <c r="J2546" s="1" t="s">
        <v>10801</v>
      </c>
      <c r="K2546" s="1" t="s">
        <v>45</v>
      </c>
    </row>
    <row r="2547">
      <c r="A2547" s="1" t="s">
        <v>10802</v>
      </c>
      <c r="B2547" s="1" t="s">
        <v>9931</v>
      </c>
      <c r="C2547" s="1">
        <v>2019.0</v>
      </c>
      <c r="D2547" s="2">
        <v>43775.0</v>
      </c>
      <c r="F2547" s="1" t="s">
        <v>9932</v>
      </c>
      <c r="H2547" s="3">
        <v>9.0</v>
      </c>
      <c r="I2547" s="4" t="s">
        <v>10803</v>
      </c>
      <c r="J2547" s="1" t="s">
        <v>10804</v>
      </c>
      <c r="K2547" s="1" t="s">
        <v>462</v>
      </c>
    </row>
    <row r="2548">
      <c r="A2548" s="1" t="s">
        <v>10805</v>
      </c>
      <c r="B2548" s="1" t="s">
        <v>10806</v>
      </c>
      <c r="C2548" s="1">
        <v>2019.0</v>
      </c>
      <c r="D2548" s="2">
        <v>43775.0</v>
      </c>
      <c r="F2548" s="1" t="s">
        <v>7271</v>
      </c>
      <c r="H2548" s="3">
        <v>6.0</v>
      </c>
      <c r="I2548" s="4" t="s">
        <v>10807</v>
      </c>
      <c r="J2548" s="1" t="s">
        <v>10808</v>
      </c>
      <c r="K2548" s="1" t="s">
        <v>28</v>
      </c>
    </row>
    <row r="2549">
      <c r="A2549" s="1" t="s">
        <v>10809</v>
      </c>
      <c r="B2549" s="1" t="s">
        <v>10810</v>
      </c>
      <c r="C2549" s="1">
        <v>2019.0</v>
      </c>
      <c r="D2549" s="2">
        <v>43774.0</v>
      </c>
      <c r="F2549" s="1" t="s">
        <v>1277</v>
      </c>
      <c r="H2549" s="3">
        <v>30.0</v>
      </c>
      <c r="I2549" s="4" t="s">
        <v>10811</v>
      </c>
      <c r="J2549" s="1" t="s">
        <v>10812</v>
      </c>
      <c r="K2549" s="1" t="s">
        <v>383</v>
      </c>
    </row>
    <row r="2550">
      <c r="A2550" s="1" t="s">
        <v>10813</v>
      </c>
      <c r="B2550" s="1" t="s">
        <v>10814</v>
      </c>
      <c r="C2550" s="1">
        <v>2019.0</v>
      </c>
      <c r="D2550" s="2">
        <v>43774.0</v>
      </c>
      <c r="F2550" s="1" t="s">
        <v>656</v>
      </c>
      <c r="H2550" s="3">
        <v>4.0</v>
      </c>
      <c r="I2550" s="4" t="s">
        <v>10815</v>
      </c>
      <c r="J2550" s="1" t="s">
        <v>10816</v>
      </c>
      <c r="K2550" s="1" t="s">
        <v>492</v>
      </c>
    </row>
    <row r="2551">
      <c r="A2551" s="1" t="s">
        <v>10817</v>
      </c>
      <c r="B2551" s="1" t="s">
        <v>10818</v>
      </c>
      <c r="C2551" s="1">
        <v>2019.0</v>
      </c>
      <c r="D2551" s="2">
        <v>43773.0</v>
      </c>
      <c r="F2551" s="1" t="s">
        <v>5494</v>
      </c>
      <c r="H2551" s="3">
        <v>1.0</v>
      </c>
      <c r="I2551" s="4" t="s">
        <v>10819</v>
      </c>
      <c r="J2551" s="1" t="s">
        <v>10820</v>
      </c>
      <c r="K2551" s="1" t="s">
        <v>413</v>
      </c>
    </row>
    <row r="2552">
      <c r="A2552" s="1" t="s">
        <v>10821</v>
      </c>
      <c r="B2552" s="1" t="s">
        <v>10822</v>
      </c>
      <c r="C2552" s="1">
        <v>2019.0</v>
      </c>
      <c r="D2552" s="2">
        <v>43770.0</v>
      </c>
      <c r="F2552" s="1" t="s">
        <v>4664</v>
      </c>
      <c r="H2552" s="3">
        <v>0.0</v>
      </c>
      <c r="I2552" s="4" t="s">
        <v>10823</v>
      </c>
      <c r="J2552" s="1" t="s">
        <v>10824</v>
      </c>
      <c r="K2552" s="1" t="s">
        <v>1036</v>
      </c>
    </row>
    <row r="2553">
      <c r="A2553" s="1" t="s">
        <v>10825</v>
      </c>
      <c r="B2553" s="1" t="s">
        <v>10826</v>
      </c>
      <c r="C2553" s="1">
        <v>2019.0</v>
      </c>
      <c r="D2553" s="2">
        <v>43770.0</v>
      </c>
      <c r="F2553" s="1" t="s">
        <v>519</v>
      </c>
      <c r="H2553" s="3">
        <v>5.0</v>
      </c>
      <c r="I2553" s="4" t="s">
        <v>10827</v>
      </c>
      <c r="J2553" s="1" t="s">
        <v>10828</v>
      </c>
      <c r="K2553" s="1" t="s">
        <v>443</v>
      </c>
    </row>
    <row r="2554">
      <c r="A2554" s="1" t="s">
        <v>10829</v>
      </c>
      <c r="B2554" s="1" t="s">
        <v>10830</v>
      </c>
      <c r="C2554" s="1">
        <v>2019.0</v>
      </c>
      <c r="D2554" s="2">
        <v>43770.0</v>
      </c>
      <c r="F2554" s="1" t="s">
        <v>1442</v>
      </c>
      <c r="H2554" s="3">
        <v>1448.0</v>
      </c>
      <c r="I2554" s="4" t="s">
        <v>10831</v>
      </c>
      <c r="J2554" s="1" t="s">
        <v>10832</v>
      </c>
      <c r="K2554" s="1" t="s">
        <v>418</v>
      </c>
    </row>
    <row r="2555">
      <c r="A2555" s="1" t="s">
        <v>10833</v>
      </c>
      <c r="B2555" s="1" t="s">
        <v>10834</v>
      </c>
      <c r="C2555" s="1">
        <v>2019.0</v>
      </c>
      <c r="D2555" s="2">
        <v>43770.0</v>
      </c>
      <c r="F2555" s="1" t="s">
        <v>7495</v>
      </c>
      <c r="H2555" s="3">
        <v>1.0</v>
      </c>
      <c r="I2555" s="4" t="s">
        <v>10835</v>
      </c>
      <c r="J2555" s="1" t="s">
        <v>10836</v>
      </c>
      <c r="K2555" s="1" t="s">
        <v>68</v>
      </c>
    </row>
    <row r="2556">
      <c r="A2556" s="1" t="s">
        <v>10837</v>
      </c>
      <c r="B2556" s="1" t="s">
        <v>10838</v>
      </c>
      <c r="C2556" s="1">
        <v>2019.0</v>
      </c>
      <c r="D2556" s="2">
        <v>43770.0</v>
      </c>
      <c r="F2556" s="1" t="s">
        <v>10839</v>
      </c>
      <c r="H2556" s="3">
        <v>6.0</v>
      </c>
      <c r="I2556" s="4" t="s">
        <v>10840</v>
      </c>
      <c r="J2556" s="1" t="s">
        <v>10841</v>
      </c>
      <c r="K2556" s="1" t="s">
        <v>68</v>
      </c>
    </row>
    <row r="2557">
      <c r="A2557" s="1" t="s">
        <v>10842</v>
      </c>
      <c r="B2557" s="1" t="s">
        <v>10211</v>
      </c>
      <c r="C2557" s="1">
        <v>2019.0</v>
      </c>
      <c r="D2557" s="2">
        <v>43770.0</v>
      </c>
      <c r="F2557" s="1" t="s">
        <v>2611</v>
      </c>
      <c r="H2557" s="3">
        <v>1.0</v>
      </c>
      <c r="I2557" s="4" t="s">
        <v>10843</v>
      </c>
      <c r="J2557" s="1"/>
      <c r="K2557" s="1" t="s">
        <v>68</v>
      </c>
    </row>
    <row r="2558">
      <c r="A2558" s="1" t="s">
        <v>10844</v>
      </c>
      <c r="B2558" s="1" t="s">
        <v>10845</v>
      </c>
      <c r="C2558" s="1">
        <v>2019.0</v>
      </c>
      <c r="D2558" s="2">
        <v>43770.0</v>
      </c>
      <c r="F2558" s="1" t="s">
        <v>1904</v>
      </c>
      <c r="H2558" s="3">
        <v>34.0</v>
      </c>
      <c r="I2558" s="4" t="s">
        <v>10846</v>
      </c>
      <c r="J2558" s="1" t="s">
        <v>10847</v>
      </c>
      <c r="K2558" s="1" t="s">
        <v>16</v>
      </c>
    </row>
    <row r="2559">
      <c r="A2559" s="1" t="s">
        <v>10848</v>
      </c>
      <c r="B2559" s="1" t="s">
        <v>10849</v>
      </c>
      <c r="C2559" s="1">
        <v>2019.0</v>
      </c>
      <c r="D2559" s="2">
        <v>43770.0</v>
      </c>
      <c r="F2559" s="1" t="s">
        <v>59</v>
      </c>
      <c r="H2559" s="3">
        <v>0.0</v>
      </c>
      <c r="I2559" s="4" t="s">
        <v>10850</v>
      </c>
      <c r="J2559" s="1"/>
      <c r="K2559" s="1" t="s">
        <v>16</v>
      </c>
    </row>
    <row r="2560">
      <c r="A2560" s="1" t="s">
        <v>10851</v>
      </c>
      <c r="B2560" s="1" t="s">
        <v>10852</v>
      </c>
      <c r="C2560" s="1">
        <v>2019.0</v>
      </c>
      <c r="D2560" s="2">
        <v>43769.0</v>
      </c>
      <c r="F2560" s="1" t="s">
        <v>10853</v>
      </c>
      <c r="H2560" s="3">
        <v>62.0</v>
      </c>
      <c r="I2560" s="4" t="s">
        <v>10854</v>
      </c>
      <c r="J2560" s="1" t="s">
        <v>10855</v>
      </c>
      <c r="K2560" s="1" t="s">
        <v>28</v>
      </c>
    </row>
    <row r="2561">
      <c r="A2561" s="1" t="s">
        <v>10856</v>
      </c>
      <c r="B2561" s="1" t="s">
        <v>10857</v>
      </c>
      <c r="C2561" s="1">
        <v>2019.0</v>
      </c>
      <c r="D2561" s="2">
        <v>43769.0</v>
      </c>
      <c r="F2561" s="1" t="s">
        <v>1123</v>
      </c>
      <c r="H2561" s="3">
        <v>6.0</v>
      </c>
      <c r="I2561" s="4" t="s">
        <v>10858</v>
      </c>
      <c r="J2561" s="1" t="s">
        <v>10859</v>
      </c>
      <c r="K2561" s="1" t="s">
        <v>413</v>
      </c>
    </row>
    <row r="2562">
      <c r="A2562" s="1" t="s">
        <v>10860</v>
      </c>
      <c r="B2562" s="1" t="s">
        <v>10861</v>
      </c>
      <c r="C2562" s="1">
        <v>2019.0</v>
      </c>
      <c r="D2562" s="2">
        <v>43768.0</v>
      </c>
      <c r="F2562" s="1" t="s">
        <v>1800</v>
      </c>
      <c r="H2562" s="3">
        <v>10.0</v>
      </c>
      <c r="I2562" s="4" t="s">
        <v>10862</v>
      </c>
      <c r="J2562" s="1" t="s">
        <v>10863</v>
      </c>
      <c r="K2562" s="1" t="s">
        <v>383</v>
      </c>
    </row>
    <row r="2563">
      <c r="A2563" s="1" t="s">
        <v>10864</v>
      </c>
      <c r="B2563" s="1" t="s">
        <v>10865</v>
      </c>
      <c r="C2563" s="1">
        <v>2019.0</v>
      </c>
      <c r="D2563" s="2">
        <v>43768.0</v>
      </c>
      <c r="F2563" s="1" t="s">
        <v>298</v>
      </c>
      <c r="H2563" s="3">
        <v>44.0</v>
      </c>
      <c r="I2563" s="4" t="s">
        <v>10866</v>
      </c>
      <c r="J2563" s="1" t="s">
        <v>10867</v>
      </c>
      <c r="K2563" s="1" t="s">
        <v>926</v>
      </c>
    </row>
    <row r="2564">
      <c r="A2564" s="1" t="s">
        <v>10868</v>
      </c>
      <c r="B2564" s="1" t="s">
        <v>10869</v>
      </c>
      <c r="C2564" s="1">
        <v>2019.0</v>
      </c>
      <c r="D2564" s="2">
        <v>43767.0</v>
      </c>
      <c r="F2564" s="1" t="s">
        <v>4235</v>
      </c>
      <c r="H2564" s="3">
        <v>20.0</v>
      </c>
      <c r="I2564" s="4" t="s">
        <v>10870</v>
      </c>
      <c r="J2564" s="1" t="s">
        <v>10871</v>
      </c>
      <c r="K2564" s="1" t="s">
        <v>10872</v>
      </c>
    </row>
    <row r="2565">
      <c r="A2565" s="1" t="s">
        <v>10873</v>
      </c>
      <c r="B2565" s="1" t="s">
        <v>10874</v>
      </c>
      <c r="C2565" s="1">
        <v>2019.0</v>
      </c>
      <c r="D2565" s="2">
        <v>43766.0</v>
      </c>
      <c r="F2565" s="1" t="s">
        <v>271</v>
      </c>
      <c r="H2565" s="3">
        <v>29.0</v>
      </c>
      <c r="I2565" s="4" t="s">
        <v>10875</v>
      </c>
      <c r="J2565" s="1" t="s">
        <v>10876</v>
      </c>
      <c r="K2565" s="1" t="s">
        <v>16</v>
      </c>
    </row>
    <row r="2566">
      <c r="A2566" s="1" t="s">
        <v>10877</v>
      </c>
      <c r="B2566" s="1" t="s">
        <v>10878</v>
      </c>
      <c r="C2566" s="1">
        <v>2019.0</v>
      </c>
      <c r="D2566" s="2">
        <v>43763.0</v>
      </c>
      <c r="F2566" s="1" t="s">
        <v>1557</v>
      </c>
      <c r="H2566" s="3">
        <v>5.0</v>
      </c>
      <c r="I2566" s="4" t="s">
        <v>10879</v>
      </c>
      <c r="J2566" s="1" t="s">
        <v>10880</v>
      </c>
      <c r="K2566" s="1" t="s">
        <v>340</v>
      </c>
    </row>
    <row r="2567">
      <c r="A2567" s="1" t="s">
        <v>10881</v>
      </c>
      <c r="B2567" s="1" t="s">
        <v>10882</v>
      </c>
      <c r="C2567" s="1">
        <v>2019.0</v>
      </c>
      <c r="D2567" s="2">
        <v>43763.0</v>
      </c>
      <c r="F2567" s="1" t="s">
        <v>10883</v>
      </c>
      <c r="H2567" s="3">
        <v>2.0</v>
      </c>
      <c r="I2567" s="4" t="s">
        <v>10884</v>
      </c>
      <c r="J2567" s="1" t="s">
        <v>10885</v>
      </c>
      <c r="K2567" s="1" t="s">
        <v>323</v>
      </c>
    </row>
    <row r="2568">
      <c r="A2568" s="1" t="s">
        <v>10886</v>
      </c>
      <c r="B2568" s="1" t="s">
        <v>10887</v>
      </c>
      <c r="C2568" s="1">
        <v>2019.0</v>
      </c>
      <c r="D2568" s="2">
        <v>43762.0</v>
      </c>
      <c r="F2568" s="1" t="s">
        <v>1040</v>
      </c>
      <c r="H2568" s="3">
        <v>15.0</v>
      </c>
      <c r="I2568" s="4" t="s">
        <v>10888</v>
      </c>
      <c r="J2568" s="1" t="s">
        <v>10889</v>
      </c>
      <c r="K2568" s="1" t="s">
        <v>28</v>
      </c>
    </row>
    <row r="2569">
      <c r="A2569" s="1" t="s">
        <v>10890</v>
      </c>
      <c r="B2569" s="1" t="s">
        <v>10891</v>
      </c>
      <c r="C2569" s="1">
        <v>2019.0</v>
      </c>
      <c r="D2569" s="2">
        <v>43762.0</v>
      </c>
      <c r="F2569" s="1" t="s">
        <v>10892</v>
      </c>
      <c r="H2569" s="3">
        <v>106.0</v>
      </c>
      <c r="I2569" s="4" t="s">
        <v>10893</v>
      </c>
      <c r="J2569" s="1" t="s">
        <v>10894</v>
      </c>
      <c r="K2569" s="1" t="s">
        <v>16</v>
      </c>
    </row>
    <row r="2570">
      <c r="A2570" s="1" t="s">
        <v>10895</v>
      </c>
      <c r="B2570" s="1" t="s">
        <v>10896</v>
      </c>
      <c r="C2570" s="1">
        <v>2019.0</v>
      </c>
      <c r="D2570" s="2">
        <v>43761.0</v>
      </c>
      <c r="F2570" s="1" t="s">
        <v>10897</v>
      </c>
      <c r="H2570" s="3">
        <v>5.0</v>
      </c>
      <c r="I2570" s="4" t="s">
        <v>10898</v>
      </c>
      <c r="J2570" s="1" t="s">
        <v>10899</v>
      </c>
      <c r="K2570" s="1" t="s">
        <v>28</v>
      </c>
    </row>
    <row r="2571">
      <c r="A2571" s="1" t="s">
        <v>10900</v>
      </c>
      <c r="B2571" s="1" t="s">
        <v>10901</v>
      </c>
      <c r="C2571" s="1">
        <v>2019.0</v>
      </c>
      <c r="D2571" s="2">
        <v>43761.0</v>
      </c>
      <c r="F2571" s="1" t="s">
        <v>2611</v>
      </c>
      <c r="H2571" s="3">
        <v>23.0</v>
      </c>
      <c r="I2571" s="4" t="s">
        <v>10902</v>
      </c>
      <c r="J2571" s="1" t="s">
        <v>10903</v>
      </c>
      <c r="K2571" s="1" t="s">
        <v>16</v>
      </c>
    </row>
    <row r="2572">
      <c r="A2572" s="1" t="s">
        <v>10904</v>
      </c>
      <c r="B2572" s="1" t="s">
        <v>10905</v>
      </c>
      <c r="C2572" s="1">
        <v>2019.0</v>
      </c>
      <c r="D2572" s="2">
        <v>43760.0</v>
      </c>
      <c r="F2572" s="1" t="s">
        <v>10906</v>
      </c>
      <c r="H2572" s="3">
        <v>3.0</v>
      </c>
      <c r="I2572" s="4" t="s">
        <v>10907</v>
      </c>
      <c r="J2572" s="1" t="s">
        <v>10908</v>
      </c>
      <c r="K2572" s="1" t="s">
        <v>28</v>
      </c>
    </row>
    <row r="2573">
      <c r="A2573" s="1" t="s">
        <v>10909</v>
      </c>
      <c r="B2573" s="1" t="s">
        <v>10910</v>
      </c>
      <c r="C2573" s="1">
        <v>2019.0</v>
      </c>
      <c r="D2573" s="2">
        <v>43760.0</v>
      </c>
      <c r="F2573" s="1" t="s">
        <v>1277</v>
      </c>
      <c r="H2573" s="3">
        <v>6.0</v>
      </c>
      <c r="I2573" s="4" t="s">
        <v>10911</v>
      </c>
      <c r="J2573" s="1" t="s">
        <v>10912</v>
      </c>
      <c r="K2573" s="1" t="s">
        <v>28</v>
      </c>
    </row>
    <row r="2574">
      <c r="A2574" s="1" t="s">
        <v>10913</v>
      </c>
      <c r="B2574" s="1" t="s">
        <v>10914</v>
      </c>
      <c r="C2574" s="1">
        <v>2019.0</v>
      </c>
      <c r="D2574" s="2">
        <v>43759.0</v>
      </c>
      <c r="F2574" s="1" t="s">
        <v>9671</v>
      </c>
      <c r="H2574" s="3">
        <v>27.0</v>
      </c>
      <c r="I2574" s="4" t="s">
        <v>10915</v>
      </c>
      <c r="J2574" s="1" t="s">
        <v>10916</v>
      </c>
      <c r="K2574" s="1" t="s">
        <v>68</v>
      </c>
    </row>
    <row r="2575">
      <c r="A2575" s="1" t="s">
        <v>10917</v>
      </c>
      <c r="B2575" s="1" t="s">
        <v>10918</v>
      </c>
      <c r="C2575" s="1">
        <v>2019.0</v>
      </c>
      <c r="D2575" s="2">
        <v>43756.0</v>
      </c>
      <c r="F2575" s="1" t="s">
        <v>157</v>
      </c>
      <c r="H2575" s="3">
        <v>35.0</v>
      </c>
      <c r="I2575" s="4" t="s">
        <v>10919</v>
      </c>
      <c r="J2575" s="1" t="s">
        <v>10920</v>
      </c>
      <c r="K2575" s="1" t="s">
        <v>546</v>
      </c>
    </row>
    <row r="2576">
      <c r="A2576" s="1" t="s">
        <v>10921</v>
      </c>
      <c r="B2576" s="1" t="s">
        <v>10922</v>
      </c>
      <c r="C2576" s="1">
        <v>2019.0</v>
      </c>
      <c r="D2576" s="2">
        <v>43756.0</v>
      </c>
      <c r="F2576" s="1" t="s">
        <v>5260</v>
      </c>
      <c r="H2576" s="3">
        <v>9.0</v>
      </c>
      <c r="I2576" s="4" t="s">
        <v>10923</v>
      </c>
      <c r="J2576" s="1" t="s">
        <v>10924</v>
      </c>
      <c r="K2576" s="1" t="s">
        <v>477</v>
      </c>
    </row>
    <row r="2577">
      <c r="A2577" s="1" t="s">
        <v>10925</v>
      </c>
      <c r="B2577" s="1" t="s">
        <v>10926</v>
      </c>
      <c r="C2577" s="1">
        <v>2019.0</v>
      </c>
      <c r="D2577" s="2">
        <v>43756.0</v>
      </c>
      <c r="F2577" s="1" t="s">
        <v>1277</v>
      </c>
      <c r="H2577" s="3">
        <v>0.0</v>
      </c>
      <c r="I2577" s="4" t="s">
        <v>10927</v>
      </c>
      <c r="J2577" s="1"/>
      <c r="K2577" s="1" t="s">
        <v>68</v>
      </c>
    </row>
    <row r="2578">
      <c r="A2578" s="1" t="s">
        <v>10928</v>
      </c>
      <c r="B2578" s="1" t="s">
        <v>10929</v>
      </c>
      <c r="C2578" s="1">
        <v>2019.0</v>
      </c>
      <c r="D2578" s="2">
        <v>43755.0</v>
      </c>
      <c r="F2578" s="1" t="s">
        <v>10930</v>
      </c>
      <c r="H2578" s="3">
        <v>12.0</v>
      </c>
      <c r="I2578" s="4" t="s">
        <v>10931</v>
      </c>
      <c r="J2578" s="1" t="s">
        <v>10932</v>
      </c>
      <c r="K2578" s="1" t="s">
        <v>340</v>
      </c>
    </row>
    <row r="2579">
      <c r="A2579" s="1" t="s">
        <v>10933</v>
      </c>
      <c r="B2579" s="1" t="s">
        <v>10934</v>
      </c>
      <c r="C2579" s="1">
        <v>2019.0</v>
      </c>
      <c r="D2579" s="2">
        <v>43755.0</v>
      </c>
      <c r="F2579" s="1" t="s">
        <v>271</v>
      </c>
      <c r="H2579" s="3">
        <v>10.0</v>
      </c>
      <c r="I2579" s="4" t="s">
        <v>10935</v>
      </c>
      <c r="J2579" s="1" t="s">
        <v>10936</v>
      </c>
      <c r="K2579" s="1" t="s">
        <v>413</v>
      </c>
    </row>
    <row r="2580">
      <c r="A2580" s="1" t="s">
        <v>10937</v>
      </c>
      <c r="B2580" s="1" t="s">
        <v>10938</v>
      </c>
      <c r="C2580" s="1">
        <v>2019.0</v>
      </c>
      <c r="D2580" s="2">
        <v>43754.0</v>
      </c>
      <c r="F2580" s="1" t="s">
        <v>286</v>
      </c>
      <c r="H2580" s="3">
        <v>5.0</v>
      </c>
      <c r="I2580" s="4" t="s">
        <v>10939</v>
      </c>
      <c r="J2580" s="1" t="s">
        <v>10940</v>
      </c>
      <c r="K2580" s="1" t="s">
        <v>295</v>
      </c>
    </row>
    <row r="2581">
      <c r="A2581" s="1" t="s">
        <v>10941</v>
      </c>
      <c r="B2581" s="1" t="s">
        <v>10942</v>
      </c>
      <c r="C2581" s="1">
        <v>2019.0</v>
      </c>
      <c r="D2581" s="2">
        <v>43754.0</v>
      </c>
      <c r="F2581" s="1" t="s">
        <v>59</v>
      </c>
      <c r="H2581" s="3">
        <v>10.0</v>
      </c>
      <c r="I2581" s="4" t="s">
        <v>10943</v>
      </c>
      <c r="J2581" s="1" t="s">
        <v>10944</v>
      </c>
      <c r="K2581" s="1" t="s">
        <v>1423</v>
      </c>
    </row>
    <row r="2582">
      <c r="A2582" s="1" t="s">
        <v>10945</v>
      </c>
      <c r="B2582" s="1" t="s">
        <v>10946</v>
      </c>
      <c r="C2582" s="1">
        <v>2019.0</v>
      </c>
      <c r="D2582" s="2">
        <v>43749.0</v>
      </c>
      <c r="F2582" s="1" t="s">
        <v>1095</v>
      </c>
      <c r="H2582" s="3">
        <v>3.0</v>
      </c>
      <c r="I2582" s="4" t="s">
        <v>10947</v>
      </c>
      <c r="J2582" s="1" t="s">
        <v>10948</v>
      </c>
      <c r="K2582" s="1" t="s">
        <v>16</v>
      </c>
    </row>
    <row r="2583">
      <c r="A2583" s="1" t="s">
        <v>10949</v>
      </c>
      <c r="B2583" s="1" t="s">
        <v>10950</v>
      </c>
      <c r="C2583" s="1">
        <v>2019.0</v>
      </c>
      <c r="D2583" s="2">
        <v>43749.0</v>
      </c>
      <c r="F2583" s="1" t="s">
        <v>1358</v>
      </c>
      <c r="H2583" s="3">
        <v>37.0</v>
      </c>
      <c r="I2583" s="4" t="s">
        <v>10951</v>
      </c>
      <c r="J2583" s="1" t="s">
        <v>10952</v>
      </c>
      <c r="K2583" s="1" t="s">
        <v>16</v>
      </c>
    </row>
    <row r="2584">
      <c r="A2584" s="1" t="s">
        <v>10953</v>
      </c>
      <c r="B2584" s="1" t="s">
        <v>10954</v>
      </c>
      <c r="C2584" s="1">
        <v>2019.0</v>
      </c>
      <c r="D2584" s="2">
        <v>43748.0</v>
      </c>
      <c r="F2584" s="1" t="s">
        <v>271</v>
      </c>
      <c r="H2584" s="3">
        <v>7.0</v>
      </c>
      <c r="I2584" s="4" t="s">
        <v>10955</v>
      </c>
      <c r="J2584" s="1" t="s">
        <v>10956</v>
      </c>
      <c r="K2584" s="1" t="s">
        <v>1036</v>
      </c>
    </row>
    <row r="2585">
      <c r="A2585" s="1" t="s">
        <v>10957</v>
      </c>
      <c r="B2585" s="1" t="s">
        <v>10958</v>
      </c>
      <c r="C2585" s="1">
        <v>2019.0</v>
      </c>
      <c r="D2585" s="2">
        <v>43747.0</v>
      </c>
      <c r="F2585" s="1" t="s">
        <v>6006</v>
      </c>
      <c r="H2585" s="3">
        <v>20.0</v>
      </c>
      <c r="I2585" s="4" t="s">
        <v>10959</v>
      </c>
      <c r="J2585" s="1" t="s">
        <v>10960</v>
      </c>
      <c r="K2585" s="1" t="s">
        <v>68</v>
      </c>
    </row>
    <row r="2586">
      <c r="A2586" s="1" t="s">
        <v>10961</v>
      </c>
      <c r="B2586" s="1" t="s">
        <v>10962</v>
      </c>
      <c r="C2586" s="1">
        <v>2019.0</v>
      </c>
      <c r="D2586" s="2">
        <v>43746.0</v>
      </c>
      <c r="F2586" s="1" t="s">
        <v>4848</v>
      </c>
      <c r="H2586" s="3">
        <v>23.0</v>
      </c>
      <c r="I2586" s="4" t="s">
        <v>10963</v>
      </c>
      <c r="J2586" s="1" t="s">
        <v>10964</v>
      </c>
      <c r="K2586" s="1" t="s">
        <v>323</v>
      </c>
    </row>
    <row r="2587">
      <c r="A2587" s="1" t="s">
        <v>10965</v>
      </c>
      <c r="B2587" s="1" t="s">
        <v>10966</v>
      </c>
      <c r="C2587" s="1">
        <v>2019.0</v>
      </c>
      <c r="D2587" s="2">
        <v>43745.0</v>
      </c>
      <c r="F2587" s="1" t="s">
        <v>10967</v>
      </c>
      <c r="H2587" s="3">
        <v>14.0</v>
      </c>
      <c r="I2587" s="4" t="s">
        <v>10968</v>
      </c>
      <c r="J2587" s="1" t="s">
        <v>10969</v>
      </c>
      <c r="K2587" s="1" t="s">
        <v>28</v>
      </c>
    </row>
    <row r="2588">
      <c r="A2588" s="1" t="s">
        <v>10970</v>
      </c>
      <c r="B2588" s="1" t="s">
        <v>10971</v>
      </c>
      <c r="C2588" s="1">
        <v>2019.0</v>
      </c>
      <c r="D2588" s="2">
        <v>43745.0</v>
      </c>
      <c r="F2588" s="1" t="s">
        <v>10972</v>
      </c>
      <c r="H2588" s="3">
        <v>10.0</v>
      </c>
      <c r="I2588" s="4" t="s">
        <v>10973</v>
      </c>
      <c r="J2588" s="1" t="s">
        <v>10974</v>
      </c>
      <c r="K2588" s="1" t="s">
        <v>16</v>
      </c>
    </row>
    <row r="2589">
      <c r="A2589" s="1" t="s">
        <v>10975</v>
      </c>
      <c r="B2589" s="1" t="s">
        <v>10976</v>
      </c>
      <c r="C2589" s="1">
        <v>2019.0</v>
      </c>
      <c r="D2589" s="2">
        <v>43742.0</v>
      </c>
      <c r="F2589" s="1" t="s">
        <v>4664</v>
      </c>
      <c r="H2589" s="3">
        <v>3.0</v>
      </c>
      <c r="I2589" s="4" t="s">
        <v>10977</v>
      </c>
      <c r="J2589" s="1" t="s">
        <v>10978</v>
      </c>
      <c r="K2589" s="1" t="s">
        <v>1036</v>
      </c>
    </row>
    <row r="2590">
      <c r="A2590" s="1" t="s">
        <v>10979</v>
      </c>
      <c r="B2590" s="1" t="s">
        <v>10980</v>
      </c>
      <c r="C2590" s="1">
        <v>2019.0</v>
      </c>
      <c r="D2590" s="2">
        <v>43741.0</v>
      </c>
      <c r="F2590" s="1" t="s">
        <v>1800</v>
      </c>
      <c r="H2590" s="3">
        <v>2.0</v>
      </c>
      <c r="I2590" s="4" t="s">
        <v>10981</v>
      </c>
      <c r="J2590" s="1" t="s">
        <v>10982</v>
      </c>
      <c r="K2590" s="1" t="s">
        <v>413</v>
      </c>
    </row>
    <row r="2591">
      <c r="A2591" s="1" t="s">
        <v>10983</v>
      </c>
      <c r="B2591" s="1" t="s">
        <v>10984</v>
      </c>
      <c r="C2591" s="1">
        <v>2019.0</v>
      </c>
      <c r="D2591" s="2">
        <v>43739.0</v>
      </c>
      <c r="F2591" s="1" t="s">
        <v>757</v>
      </c>
      <c r="H2591" s="3">
        <v>42.0</v>
      </c>
      <c r="I2591" s="4" t="s">
        <v>10985</v>
      </c>
      <c r="J2591" s="1" t="s">
        <v>10986</v>
      </c>
      <c r="K2591" s="1" t="s">
        <v>28</v>
      </c>
    </row>
    <row r="2592">
      <c r="A2592" s="1" t="s">
        <v>10987</v>
      </c>
      <c r="B2592" s="1" t="s">
        <v>10988</v>
      </c>
      <c r="C2592" s="1">
        <v>2019.0</v>
      </c>
      <c r="D2592" s="2">
        <v>43739.0</v>
      </c>
      <c r="F2592" s="1" t="s">
        <v>9945</v>
      </c>
      <c r="H2592" s="3">
        <v>8.0</v>
      </c>
      <c r="I2592" s="4" t="s">
        <v>10989</v>
      </c>
      <c r="J2592" s="1" t="s">
        <v>10990</v>
      </c>
      <c r="K2592" s="1" t="s">
        <v>329</v>
      </c>
    </row>
    <row r="2593">
      <c r="A2593" s="1" t="s">
        <v>10991</v>
      </c>
      <c r="B2593" s="1" t="s">
        <v>10992</v>
      </c>
      <c r="C2593" s="1">
        <v>2019.0</v>
      </c>
      <c r="D2593" s="2">
        <v>43739.0</v>
      </c>
      <c r="F2593" s="1" t="s">
        <v>689</v>
      </c>
      <c r="H2593" s="3">
        <v>3.0</v>
      </c>
      <c r="I2593" s="4" t="s">
        <v>10993</v>
      </c>
      <c r="J2593" s="1" t="s">
        <v>10994</v>
      </c>
      <c r="K2593" s="1" t="s">
        <v>16</v>
      </c>
    </row>
    <row r="2594">
      <c r="A2594" s="1" t="s">
        <v>10995</v>
      </c>
      <c r="B2594" s="1" t="s">
        <v>10996</v>
      </c>
      <c r="C2594" s="1">
        <v>2019.0</v>
      </c>
      <c r="D2594" s="2">
        <v>43739.0</v>
      </c>
      <c r="F2594" s="1" t="s">
        <v>676</v>
      </c>
      <c r="H2594" s="3">
        <v>52.0</v>
      </c>
      <c r="I2594" s="4" t="s">
        <v>10997</v>
      </c>
      <c r="J2594" s="1" t="s">
        <v>10998</v>
      </c>
      <c r="K2594" s="1" t="s">
        <v>443</v>
      </c>
    </row>
    <row r="2595">
      <c r="A2595" s="1" t="s">
        <v>10999</v>
      </c>
      <c r="B2595" s="1" t="s">
        <v>11000</v>
      </c>
      <c r="C2595" s="1">
        <v>2019.0</v>
      </c>
      <c r="D2595" s="2">
        <v>43739.0</v>
      </c>
      <c r="F2595" s="1" t="s">
        <v>605</v>
      </c>
      <c r="H2595" s="3">
        <v>12.0</v>
      </c>
      <c r="I2595" s="4" t="s">
        <v>11001</v>
      </c>
      <c r="J2595" s="1" t="s">
        <v>11002</v>
      </c>
      <c r="K2595" s="1" t="s">
        <v>295</v>
      </c>
    </row>
    <row r="2596">
      <c r="A2596" s="1" t="s">
        <v>11003</v>
      </c>
      <c r="B2596" s="1" t="s">
        <v>11004</v>
      </c>
      <c r="C2596" s="1">
        <v>2019.0</v>
      </c>
      <c r="D2596" s="2">
        <v>43738.0</v>
      </c>
      <c r="F2596" s="1" t="s">
        <v>11005</v>
      </c>
      <c r="H2596" s="3">
        <v>11.0</v>
      </c>
      <c r="I2596" s="4" t="s">
        <v>11006</v>
      </c>
      <c r="J2596" s="1" t="s">
        <v>11007</v>
      </c>
      <c r="K2596" s="1" t="s">
        <v>295</v>
      </c>
    </row>
    <row r="2597">
      <c r="A2597" s="1" t="s">
        <v>11008</v>
      </c>
      <c r="B2597" s="1" t="s">
        <v>11009</v>
      </c>
      <c r="C2597" s="1">
        <v>2019.0</v>
      </c>
      <c r="D2597" s="2">
        <v>43738.0</v>
      </c>
      <c r="F2597" s="1" t="s">
        <v>1137</v>
      </c>
      <c r="H2597" s="3">
        <v>7.0</v>
      </c>
      <c r="I2597" s="4" t="s">
        <v>11010</v>
      </c>
      <c r="J2597" s="1" t="s">
        <v>11011</v>
      </c>
      <c r="K2597" s="1" t="s">
        <v>16</v>
      </c>
    </row>
    <row r="2598">
      <c r="A2598" s="1" t="s">
        <v>11012</v>
      </c>
      <c r="B2598" s="1" t="s">
        <v>11013</v>
      </c>
      <c r="C2598" s="1">
        <v>2019.0</v>
      </c>
      <c r="D2598" s="2">
        <v>43736.0</v>
      </c>
      <c r="F2598" s="1" t="s">
        <v>2955</v>
      </c>
      <c r="H2598" s="3">
        <v>40.0</v>
      </c>
      <c r="I2598" s="4" t="s">
        <v>11014</v>
      </c>
      <c r="J2598" s="1" t="s">
        <v>11015</v>
      </c>
      <c r="K2598" s="1" t="s">
        <v>28</v>
      </c>
    </row>
    <row r="2599">
      <c r="A2599" s="1" t="s">
        <v>11016</v>
      </c>
      <c r="B2599" s="1" t="s">
        <v>11017</v>
      </c>
      <c r="C2599" s="1">
        <v>2019.0</v>
      </c>
      <c r="D2599" s="2">
        <v>43735.0</v>
      </c>
      <c r="F2599" s="1" t="s">
        <v>71</v>
      </c>
      <c r="H2599" s="3">
        <v>6.0</v>
      </c>
      <c r="I2599" s="4" t="s">
        <v>11018</v>
      </c>
      <c r="J2599" s="1" t="s">
        <v>11019</v>
      </c>
      <c r="K2599" s="1" t="s">
        <v>295</v>
      </c>
    </row>
    <row r="2600">
      <c r="A2600" s="1" t="s">
        <v>11020</v>
      </c>
      <c r="B2600" s="1" t="s">
        <v>11021</v>
      </c>
      <c r="C2600" s="1">
        <v>2019.0</v>
      </c>
      <c r="D2600" s="2">
        <v>43734.0</v>
      </c>
      <c r="F2600" s="1" t="s">
        <v>11022</v>
      </c>
      <c r="H2600" s="3">
        <v>3.0</v>
      </c>
      <c r="I2600" s="4" t="s">
        <v>11023</v>
      </c>
      <c r="J2600" s="1" t="s">
        <v>11024</v>
      </c>
      <c r="K2600" s="1" t="s">
        <v>16</v>
      </c>
    </row>
    <row r="2601">
      <c r="A2601" s="1" t="s">
        <v>11025</v>
      </c>
      <c r="B2601" s="1" t="s">
        <v>11026</v>
      </c>
      <c r="C2601" s="1">
        <v>2019.0</v>
      </c>
      <c r="D2601" s="2">
        <v>43734.0</v>
      </c>
      <c r="F2601" s="1" t="s">
        <v>578</v>
      </c>
      <c r="H2601" s="3">
        <v>4.0</v>
      </c>
      <c r="I2601" s="4" t="s">
        <v>11027</v>
      </c>
      <c r="J2601" s="1" t="s">
        <v>11028</v>
      </c>
      <c r="K2601" s="1" t="s">
        <v>16</v>
      </c>
    </row>
    <row r="2602">
      <c r="A2602" s="1" t="s">
        <v>11029</v>
      </c>
      <c r="B2602" s="1" t="s">
        <v>11030</v>
      </c>
      <c r="C2602" s="1">
        <v>2019.0</v>
      </c>
      <c r="D2602" s="2">
        <v>43734.0</v>
      </c>
      <c r="F2602" s="1" t="s">
        <v>355</v>
      </c>
      <c r="H2602" s="3">
        <v>4.0</v>
      </c>
      <c r="I2602" s="4" t="s">
        <v>11031</v>
      </c>
      <c r="J2602" s="1" t="s">
        <v>11032</v>
      </c>
      <c r="K2602" s="1" t="s">
        <v>16</v>
      </c>
    </row>
    <row r="2603">
      <c r="A2603" s="1" t="s">
        <v>11033</v>
      </c>
      <c r="B2603" s="1" t="s">
        <v>11034</v>
      </c>
      <c r="C2603" s="1">
        <v>2019.0</v>
      </c>
      <c r="D2603" s="2">
        <v>43733.0</v>
      </c>
      <c r="F2603" s="1" t="s">
        <v>2774</v>
      </c>
      <c r="H2603" s="3">
        <v>85.0</v>
      </c>
      <c r="I2603" s="4" t="s">
        <v>11035</v>
      </c>
      <c r="J2603" s="1" t="s">
        <v>11036</v>
      </c>
      <c r="K2603" s="1" t="s">
        <v>403</v>
      </c>
    </row>
    <row r="2604">
      <c r="A2604" s="1" t="s">
        <v>11037</v>
      </c>
      <c r="B2604" s="1" t="s">
        <v>11038</v>
      </c>
      <c r="C2604" s="1">
        <v>2019.0</v>
      </c>
      <c r="D2604" s="2">
        <v>43732.0</v>
      </c>
      <c r="F2604" s="1" t="s">
        <v>13</v>
      </c>
      <c r="H2604" s="3">
        <v>77.0</v>
      </c>
      <c r="I2604" s="4" t="s">
        <v>11039</v>
      </c>
      <c r="J2604" s="1" t="s">
        <v>11040</v>
      </c>
      <c r="K2604" s="1" t="s">
        <v>418</v>
      </c>
    </row>
    <row r="2605">
      <c r="A2605" s="1" t="s">
        <v>11041</v>
      </c>
      <c r="B2605" s="1" t="s">
        <v>11042</v>
      </c>
      <c r="C2605" s="1">
        <v>2019.0</v>
      </c>
      <c r="D2605" s="2">
        <v>43728.0</v>
      </c>
      <c r="F2605" s="1" t="s">
        <v>835</v>
      </c>
      <c r="H2605" s="3">
        <v>18.0</v>
      </c>
      <c r="I2605" s="4" t="s">
        <v>11043</v>
      </c>
      <c r="J2605" s="1" t="s">
        <v>11044</v>
      </c>
      <c r="K2605" s="1" t="s">
        <v>28</v>
      </c>
    </row>
    <row r="2606">
      <c r="A2606" s="1" t="s">
        <v>11045</v>
      </c>
      <c r="B2606" s="1" t="s">
        <v>11046</v>
      </c>
      <c r="C2606" s="1">
        <v>2019.0</v>
      </c>
      <c r="D2606" s="2">
        <v>43726.0</v>
      </c>
      <c r="F2606" s="1" t="s">
        <v>11047</v>
      </c>
      <c r="H2606" s="3">
        <v>6.0</v>
      </c>
      <c r="I2606" s="4" t="s">
        <v>11048</v>
      </c>
      <c r="J2606" s="1" t="s">
        <v>11049</v>
      </c>
      <c r="K2606" s="1" t="s">
        <v>1036</v>
      </c>
    </row>
    <row r="2607">
      <c r="A2607" s="1" t="s">
        <v>11050</v>
      </c>
      <c r="B2607" s="1" t="s">
        <v>11051</v>
      </c>
      <c r="C2607" s="1">
        <v>2019.0</v>
      </c>
      <c r="D2607" s="2">
        <v>43723.0</v>
      </c>
      <c r="F2607" s="1" t="s">
        <v>3551</v>
      </c>
      <c r="H2607" s="3">
        <v>7.0</v>
      </c>
      <c r="I2607" s="4" t="s">
        <v>11052</v>
      </c>
      <c r="J2607" s="1" t="s">
        <v>11053</v>
      </c>
      <c r="K2607" s="1" t="s">
        <v>16</v>
      </c>
    </row>
    <row r="2608">
      <c r="A2608" s="1" t="s">
        <v>11054</v>
      </c>
      <c r="B2608" s="1" t="s">
        <v>11055</v>
      </c>
      <c r="C2608" s="1">
        <v>2019.0</v>
      </c>
      <c r="D2608" s="2">
        <v>43721.0</v>
      </c>
      <c r="F2608" s="1" t="s">
        <v>440</v>
      </c>
      <c r="H2608" s="3">
        <v>78.0</v>
      </c>
      <c r="I2608" s="4" t="s">
        <v>11056</v>
      </c>
      <c r="J2608" s="1" t="s">
        <v>11057</v>
      </c>
      <c r="K2608" s="1" t="s">
        <v>383</v>
      </c>
    </row>
    <row r="2609">
      <c r="A2609" s="1" t="s">
        <v>11058</v>
      </c>
      <c r="B2609" s="1" t="s">
        <v>11059</v>
      </c>
      <c r="C2609" s="1">
        <v>2019.0</v>
      </c>
      <c r="D2609" s="2">
        <v>43721.0</v>
      </c>
      <c r="F2609" s="1" t="s">
        <v>271</v>
      </c>
      <c r="H2609" s="3">
        <v>8.0</v>
      </c>
      <c r="I2609" s="4" t="s">
        <v>11060</v>
      </c>
      <c r="J2609" s="1" t="s">
        <v>11061</v>
      </c>
      <c r="K2609" s="1" t="s">
        <v>16</v>
      </c>
    </row>
    <row r="2610">
      <c r="A2610" s="1" t="s">
        <v>11062</v>
      </c>
      <c r="B2610" s="1" t="s">
        <v>11063</v>
      </c>
      <c r="C2610" s="1">
        <v>2019.0</v>
      </c>
      <c r="D2610" s="2">
        <v>43719.0</v>
      </c>
      <c r="F2610" s="1" t="s">
        <v>142</v>
      </c>
      <c r="H2610" s="3">
        <v>18.0</v>
      </c>
      <c r="I2610" s="4" t="s">
        <v>11064</v>
      </c>
      <c r="J2610" s="1" t="s">
        <v>11065</v>
      </c>
      <c r="K2610" s="1" t="s">
        <v>16</v>
      </c>
    </row>
    <row r="2611">
      <c r="A2611" s="1" t="s">
        <v>11066</v>
      </c>
      <c r="B2611" s="1" t="s">
        <v>11067</v>
      </c>
      <c r="C2611" s="1">
        <v>2019.0</v>
      </c>
      <c r="D2611" s="2">
        <v>43719.0</v>
      </c>
      <c r="F2611" s="1" t="s">
        <v>11068</v>
      </c>
      <c r="H2611" s="3">
        <v>3.0</v>
      </c>
      <c r="I2611" s="4" t="s">
        <v>11069</v>
      </c>
      <c r="J2611" s="1" t="s">
        <v>11070</v>
      </c>
      <c r="K2611" s="1" t="s">
        <v>16</v>
      </c>
    </row>
    <row r="2612">
      <c r="A2612" s="1" t="s">
        <v>11071</v>
      </c>
      <c r="B2612" s="1" t="s">
        <v>11072</v>
      </c>
      <c r="C2612" s="1">
        <v>2019.0</v>
      </c>
      <c r="D2612" s="2">
        <v>43717.0</v>
      </c>
      <c r="F2612" s="1" t="s">
        <v>347</v>
      </c>
      <c r="H2612" s="3">
        <v>14.0</v>
      </c>
      <c r="I2612" s="4" t="s">
        <v>11073</v>
      </c>
      <c r="J2612" s="1" t="s">
        <v>11074</v>
      </c>
      <c r="K2612" s="1" t="s">
        <v>16</v>
      </c>
    </row>
    <row r="2613">
      <c r="A2613" s="1" t="s">
        <v>11075</v>
      </c>
      <c r="B2613" s="1" t="s">
        <v>11076</v>
      </c>
      <c r="C2613" s="1">
        <v>2019.0</v>
      </c>
      <c r="D2613" s="2">
        <v>43715.0</v>
      </c>
      <c r="F2613" s="1" t="s">
        <v>1366</v>
      </c>
      <c r="H2613" s="3">
        <v>56.0</v>
      </c>
      <c r="I2613" s="4" t="s">
        <v>11077</v>
      </c>
      <c r="J2613" s="1" t="s">
        <v>11078</v>
      </c>
      <c r="K2613" s="1" t="s">
        <v>1036</v>
      </c>
    </row>
    <row r="2614">
      <c r="A2614" s="1" t="s">
        <v>11079</v>
      </c>
      <c r="B2614" s="1" t="s">
        <v>11080</v>
      </c>
      <c r="C2614" s="1">
        <v>2019.0</v>
      </c>
      <c r="D2614" s="2">
        <v>43714.0</v>
      </c>
      <c r="F2614" s="1" t="s">
        <v>271</v>
      </c>
      <c r="H2614" s="3">
        <v>13.0</v>
      </c>
      <c r="I2614" s="4" t="s">
        <v>11081</v>
      </c>
      <c r="J2614" s="1" t="s">
        <v>11082</v>
      </c>
      <c r="K2614" s="1" t="s">
        <v>295</v>
      </c>
    </row>
    <row r="2615">
      <c r="A2615" s="1" t="s">
        <v>11083</v>
      </c>
      <c r="B2615" s="1" t="s">
        <v>11084</v>
      </c>
      <c r="C2615" s="1">
        <v>2019.0</v>
      </c>
      <c r="D2615" s="2">
        <v>43712.0</v>
      </c>
      <c r="F2615" s="1" t="s">
        <v>11085</v>
      </c>
      <c r="H2615" s="3">
        <v>12.0</v>
      </c>
      <c r="I2615" s="4" t="s">
        <v>11086</v>
      </c>
      <c r="J2615" s="1" t="s">
        <v>11087</v>
      </c>
      <c r="K2615" s="1" t="s">
        <v>28</v>
      </c>
    </row>
    <row r="2616">
      <c r="A2616" s="1" t="s">
        <v>11088</v>
      </c>
      <c r="B2616" s="1" t="s">
        <v>11089</v>
      </c>
      <c r="C2616" s="1">
        <v>2019.0</v>
      </c>
      <c r="D2616" s="2">
        <v>43712.0</v>
      </c>
      <c r="F2616" s="1" t="s">
        <v>1358</v>
      </c>
      <c r="H2616" s="3">
        <v>47.0</v>
      </c>
      <c r="I2616" s="4" t="s">
        <v>11090</v>
      </c>
      <c r="J2616" s="1" t="s">
        <v>11091</v>
      </c>
      <c r="K2616" s="1" t="s">
        <v>418</v>
      </c>
    </row>
    <row r="2617">
      <c r="A2617" s="1" t="s">
        <v>11092</v>
      </c>
      <c r="B2617" s="1" t="s">
        <v>11093</v>
      </c>
      <c r="C2617" s="1">
        <v>2019.0</v>
      </c>
      <c r="D2617" s="2">
        <v>43711.0</v>
      </c>
      <c r="F2617" s="1" t="s">
        <v>2007</v>
      </c>
      <c r="H2617" s="3">
        <v>75.0</v>
      </c>
      <c r="I2617" s="4" t="s">
        <v>11094</v>
      </c>
      <c r="J2617" s="1" t="s">
        <v>11095</v>
      </c>
      <c r="K2617" s="1" t="s">
        <v>16</v>
      </c>
    </row>
    <row r="2618">
      <c r="A2618" s="1" t="s">
        <v>11096</v>
      </c>
      <c r="B2618" s="1" t="s">
        <v>11097</v>
      </c>
      <c r="C2618" s="1">
        <v>2019.0</v>
      </c>
      <c r="D2618" s="2">
        <v>43710.0</v>
      </c>
      <c r="F2618" s="1" t="s">
        <v>369</v>
      </c>
      <c r="H2618" s="3">
        <v>26.0</v>
      </c>
      <c r="I2618" s="4" t="s">
        <v>11098</v>
      </c>
      <c r="J2618" s="1" t="s">
        <v>11099</v>
      </c>
      <c r="K2618" s="1" t="s">
        <v>28</v>
      </c>
    </row>
    <row r="2619">
      <c r="A2619" s="1" t="s">
        <v>11100</v>
      </c>
      <c r="B2619" s="1" t="s">
        <v>11101</v>
      </c>
      <c r="C2619" s="1">
        <v>2019.0</v>
      </c>
      <c r="D2619" s="2">
        <v>43709.0</v>
      </c>
      <c r="F2619" s="1" t="s">
        <v>3463</v>
      </c>
      <c r="H2619" s="3">
        <v>17.0</v>
      </c>
      <c r="I2619" s="4" t="s">
        <v>11102</v>
      </c>
      <c r="J2619" s="1" t="s">
        <v>11103</v>
      </c>
      <c r="K2619" s="1" t="s">
        <v>443</v>
      </c>
    </row>
    <row r="2620">
      <c r="A2620" s="1" t="s">
        <v>11104</v>
      </c>
      <c r="B2620" s="1" t="s">
        <v>11105</v>
      </c>
      <c r="C2620" s="1">
        <v>2019.0</v>
      </c>
      <c r="D2620" s="2">
        <v>43709.0</v>
      </c>
      <c r="F2620" s="1" t="s">
        <v>435</v>
      </c>
      <c r="H2620" s="3">
        <v>0.0</v>
      </c>
      <c r="I2620" s="4" t="s">
        <v>11106</v>
      </c>
      <c r="J2620" s="1" t="s">
        <v>11107</v>
      </c>
      <c r="K2620" s="1" t="s">
        <v>1036</v>
      </c>
    </row>
    <row r="2621">
      <c r="A2621" s="1" t="s">
        <v>11108</v>
      </c>
      <c r="B2621" s="1" t="s">
        <v>11109</v>
      </c>
      <c r="C2621" s="1">
        <v>2019.0</v>
      </c>
      <c r="D2621" s="2">
        <v>43709.0</v>
      </c>
      <c r="F2621" s="1" t="s">
        <v>11110</v>
      </c>
      <c r="H2621" s="3">
        <v>7.0</v>
      </c>
      <c r="I2621" s="4" t="s">
        <v>11111</v>
      </c>
      <c r="J2621" s="1"/>
      <c r="K2621" s="1" t="s">
        <v>28</v>
      </c>
    </row>
    <row r="2622">
      <c r="A2622" s="1" t="s">
        <v>11112</v>
      </c>
      <c r="B2622" s="1" t="s">
        <v>11113</v>
      </c>
      <c r="C2622" s="1">
        <v>2019.0</v>
      </c>
      <c r="D2622" s="2">
        <v>43709.0</v>
      </c>
      <c r="F2622" s="1" t="s">
        <v>1128</v>
      </c>
      <c r="H2622" s="3">
        <v>17.0</v>
      </c>
      <c r="I2622" s="4" t="s">
        <v>11114</v>
      </c>
      <c r="J2622" s="1" t="s">
        <v>11115</v>
      </c>
      <c r="K2622" s="1" t="s">
        <v>443</v>
      </c>
    </row>
    <row r="2623">
      <c r="A2623" s="1" t="s">
        <v>11116</v>
      </c>
      <c r="B2623" s="1" t="s">
        <v>11117</v>
      </c>
      <c r="C2623" s="1">
        <v>2019.0</v>
      </c>
      <c r="D2623" s="2">
        <v>43709.0</v>
      </c>
      <c r="F2623" s="1" t="s">
        <v>25</v>
      </c>
      <c r="H2623" s="3">
        <v>4.0</v>
      </c>
      <c r="I2623" s="4" t="s">
        <v>11118</v>
      </c>
      <c r="J2623" s="1" t="s">
        <v>11119</v>
      </c>
      <c r="K2623" s="1" t="s">
        <v>323</v>
      </c>
    </row>
    <row r="2624">
      <c r="A2624" s="1" t="s">
        <v>11120</v>
      </c>
      <c r="B2624" s="1" t="s">
        <v>8479</v>
      </c>
      <c r="C2624" s="1">
        <v>2019.0</v>
      </c>
      <c r="D2624" s="2">
        <v>43709.0</v>
      </c>
      <c r="F2624" s="1" t="s">
        <v>1095</v>
      </c>
      <c r="H2624" s="3">
        <v>0.0</v>
      </c>
      <c r="I2624" s="4" t="s">
        <v>11121</v>
      </c>
      <c r="J2624" s="1"/>
      <c r="K2624" s="1" t="s">
        <v>16</v>
      </c>
    </row>
    <row r="2625">
      <c r="A2625" s="1" t="s">
        <v>11122</v>
      </c>
      <c r="B2625" s="1" t="s">
        <v>11123</v>
      </c>
      <c r="C2625" s="1">
        <v>2019.0</v>
      </c>
      <c r="D2625" s="2">
        <v>43708.0</v>
      </c>
      <c r="F2625" s="1" t="s">
        <v>882</v>
      </c>
      <c r="H2625" s="3">
        <v>3.0</v>
      </c>
      <c r="I2625" s="4" t="s">
        <v>11124</v>
      </c>
      <c r="J2625" s="1"/>
      <c r="K2625" s="1" t="s">
        <v>443</v>
      </c>
    </row>
    <row r="2626">
      <c r="A2626" s="1" t="s">
        <v>11125</v>
      </c>
      <c r="B2626" s="1" t="s">
        <v>11126</v>
      </c>
      <c r="C2626" s="1">
        <v>2019.0</v>
      </c>
      <c r="D2626" s="2">
        <v>43707.0</v>
      </c>
      <c r="F2626" s="1" t="s">
        <v>4217</v>
      </c>
      <c r="H2626" s="3">
        <v>14.0</v>
      </c>
      <c r="I2626" s="4" t="s">
        <v>11127</v>
      </c>
      <c r="J2626" s="1" t="s">
        <v>11128</v>
      </c>
      <c r="K2626" s="1" t="s">
        <v>323</v>
      </c>
    </row>
    <row r="2627">
      <c r="A2627" s="1" t="s">
        <v>11129</v>
      </c>
      <c r="B2627" s="1" t="s">
        <v>11130</v>
      </c>
      <c r="C2627" s="1">
        <v>2019.0</v>
      </c>
      <c r="D2627" s="2">
        <v>43705.0</v>
      </c>
      <c r="F2627" s="1" t="s">
        <v>10409</v>
      </c>
      <c r="H2627" s="3">
        <v>39.0</v>
      </c>
      <c r="I2627" s="4" t="s">
        <v>11131</v>
      </c>
      <c r="J2627" s="1" t="s">
        <v>11132</v>
      </c>
      <c r="K2627" s="1" t="s">
        <v>28</v>
      </c>
    </row>
    <row r="2628">
      <c r="A2628" s="1" t="s">
        <v>11133</v>
      </c>
      <c r="B2628" s="1" t="s">
        <v>11134</v>
      </c>
      <c r="C2628" s="1">
        <v>2019.0</v>
      </c>
      <c r="D2628" s="2">
        <v>43705.0</v>
      </c>
      <c r="F2628" s="1" t="s">
        <v>298</v>
      </c>
      <c r="H2628" s="3">
        <v>6.0</v>
      </c>
      <c r="I2628" s="4" t="s">
        <v>11135</v>
      </c>
      <c r="J2628" s="1" t="s">
        <v>11136</v>
      </c>
      <c r="K2628" s="1" t="s">
        <v>68</v>
      </c>
    </row>
    <row r="2629">
      <c r="A2629" s="1" t="s">
        <v>11137</v>
      </c>
      <c r="B2629" s="1" t="s">
        <v>11138</v>
      </c>
      <c r="C2629" s="1">
        <v>2019.0</v>
      </c>
      <c r="D2629" s="2">
        <v>43701.0</v>
      </c>
      <c r="F2629" s="1" t="s">
        <v>271</v>
      </c>
      <c r="H2629" s="3">
        <v>9.0</v>
      </c>
      <c r="I2629" s="4" t="s">
        <v>11139</v>
      </c>
      <c r="J2629" s="1" t="s">
        <v>11140</v>
      </c>
      <c r="K2629" s="1" t="s">
        <v>28</v>
      </c>
    </row>
    <row r="2630">
      <c r="A2630" s="1" t="s">
        <v>11141</v>
      </c>
      <c r="B2630" s="1" t="s">
        <v>11142</v>
      </c>
      <c r="C2630" s="1">
        <v>2019.0</v>
      </c>
      <c r="D2630" s="2">
        <v>43700.0</v>
      </c>
      <c r="F2630" s="1" t="s">
        <v>711</v>
      </c>
      <c r="H2630" s="3">
        <v>31.0</v>
      </c>
      <c r="I2630" s="4" t="s">
        <v>11143</v>
      </c>
      <c r="J2630" s="1" t="s">
        <v>11144</v>
      </c>
      <c r="K2630" s="1" t="s">
        <v>443</v>
      </c>
    </row>
    <row r="2631">
      <c r="A2631" s="1" t="s">
        <v>11145</v>
      </c>
      <c r="B2631" s="1" t="s">
        <v>11146</v>
      </c>
      <c r="C2631" s="1">
        <v>2019.0</v>
      </c>
      <c r="D2631" s="2">
        <v>43700.0</v>
      </c>
      <c r="F2631" s="1" t="s">
        <v>208</v>
      </c>
      <c r="H2631" s="3">
        <v>0.0</v>
      </c>
      <c r="I2631" s="4" t="s">
        <v>11147</v>
      </c>
      <c r="J2631" s="1" t="s">
        <v>11148</v>
      </c>
      <c r="K2631" s="1" t="s">
        <v>295</v>
      </c>
    </row>
    <row r="2632">
      <c r="A2632" s="1" t="s">
        <v>11149</v>
      </c>
      <c r="B2632" s="1" t="s">
        <v>11150</v>
      </c>
      <c r="C2632" s="1">
        <v>2019.0</v>
      </c>
      <c r="D2632" s="2">
        <v>43699.0</v>
      </c>
      <c r="F2632" s="1" t="s">
        <v>2914</v>
      </c>
      <c r="H2632" s="3">
        <v>5.0</v>
      </c>
      <c r="I2632" s="4" t="s">
        <v>11151</v>
      </c>
      <c r="J2632" s="1" t="s">
        <v>11152</v>
      </c>
      <c r="K2632" s="1" t="s">
        <v>323</v>
      </c>
    </row>
    <row r="2633">
      <c r="A2633" s="1" t="s">
        <v>11153</v>
      </c>
      <c r="B2633" s="1" t="s">
        <v>8479</v>
      </c>
      <c r="C2633" s="1">
        <v>2019.0</v>
      </c>
      <c r="D2633" s="2">
        <v>43698.0</v>
      </c>
      <c r="F2633" s="1" t="s">
        <v>1366</v>
      </c>
      <c r="H2633" s="3">
        <v>0.0</v>
      </c>
      <c r="I2633" s="4" t="s">
        <v>11154</v>
      </c>
      <c r="J2633" s="1"/>
      <c r="K2633" s="1" t="s">
        <v>16</v>
      </c>
    </row>
    <row r="2634">
      <c r="A2634" s="1" t="s">
        <v>11155</v>
      </c>
      <c r="B2634" s="1" t="s">
        <v>11156</v>
      </c>
      <c r="C2634" s="1">
        <v>2019.0</v>
      </c>
      <c r="D2634" s="2">
        <v>43697.0</v>
      </c>
      <c r="F2634" s="1" t="s">
        <v>243</v>
      </c>
      <c r="H2634" s="3">
        <v>51.0</v>
      </c>
      <c r="I2634" s="4" t="s">
        <v>11157</v>
      </c>
      <c r="J2634" s="1" t="s">
        <v>11158</v>
      </c>
      <c r="K2634" s="1" t="s">
        <v>443</v>
      </c>
    </row>
    <row r="2635">
      <c r="A2635" s="1" t="s">
        <v>11159</v>
      </c>
      <c r="B2635" s="1" t="s">
        <v>11160</v>
      </c>
      <c r="C2635" s="1">
        <v>2019.0</v>
      </c>
      <c r="D2635" s="2">
        <v>43697.0</v>
      </c>
      <c r="F2635" s="1" t="s">
        <v>656</v>
      </c>
      <c r="H2635" s="3">
        <v>9.0</v>
      </c>
      <c r="I2635" s="4" t="s">
        <v>11161</v>
      </c>
      <c r="J2635" s="1" t="s">
        <v>11162</v>
      </c>
      <c r="K2635" s="1" t="s">
        <v>383</v>
      </c>
    </row>
    <row r="2636">
      <c r="A2636" s="1" t="s">
        <v>11163</v>
      </c>
      <c r="B2636" s="1" t="s">
        <v>11164</v>
      </c>
      <c r="C2636" s="1">
        <v>2019.0</v>
      </c>
      <c r="D2636" s="2">
        <v>43697.0</v>
      </c>
      <c r="F2636" s="1" t="s">
        <v>308</v>
      </c>
      <c r="H2636" s="3">
        <v>11.0</v>
      </c>
      <c r="I2636" s="4" t="s">
        <v>11165</v>
      </c>
      <c r="J2636" s="1" t="s">
        <v>11166</v>
      </c>
      <c r="K2636" s="1" t="s">
        <v>323</v>
      </c>
    </row>
    <row r="2637">
      <c r="A2637" s="1" t="s">
        <v>11167</v>
      </c>
      <c r="B2637" s="1" t="s">
        <v>11168</v>
      </c>
      <c r="C2637" s="1">
        <v>2019.0</v>
      </c>
      <c r="D2637" s="2">
        <v>43696.0</v>
      </c>
      <c r="F2637" s="1" t="s">
        <v>2041</v>
      </c>
      <c r="H2637" s="3">
        <v>6.0</v>
      </c>
      <c r="I2637" s="4" t="s">
        <v>11169</v>
      </c>
      <c r="J2637" s="1" t="s">
        <v>11170</v>
      </c>
      <c r="K2637" s="1" t="s">
        <v>28</v>
      </c>
    </row>
    <row r="2638">
      <c r="A2638" s="1" t="s">
        <v>11171</v>
      </c>
      <c r="B2638" s="1" t="s">
        <v>11172</v>
      </c>
      <c r="C2638" s="1">
        <v>2019.0</v>
      </c>
      <c r="D2638" s="2">
        <v>43696.0</v>
      </c>
      <c r="F2638" s="1" t="s">
        <v>11173</v>
      </c>
      <c r="H2638" s="3">
        <v>5.0</v>
      </c>
      <c r="I2638" s="4" t="s">
        <v>11174</v>
      </c>
      <c r="J2638" s="1" t="s">
        <v>11175</v>
      </c>
      <c r="K2638" s="1" t="s">
        <v>28</v>
      </c>
    </row>
    <row r="2639">
      <c r="A2639" s="1" t="s">
        <v>11176</v>
      </c>
      <c r="B2639" s="1" t="s">
        <v>11177</v>
      </c>
      <c r="C2639" s="1">
        <v>2019.0</v>
      </c>
      <c r="D2639" s="2">
        <v>43696.0</v>
      </c>
      <c r="F2639" s="1" t="s">
        <v>1050</v>
      </c>
      <c r="H2639" s="3">
        <v>0.0</v>
      </c>
      <c r="I2639" s="4" t="s">
        <v>11178</v>
      </c>
      <c r="J2639" s="1" t="s">
        <v>11179</v>
      </c>
      <c r="K2639" s="1" t="s">
        <v>68</v>
      </c>
    </row>
    <row r="2640">
      <c r="A2640" s="1" t="s">
        <v>11180</v>
      </c>
      <c r="B2640" s="1" t="s">
        <v>10710</v>
      </c>
      <c r="C2640" s="1">
        <v>2019.0</v>
      </c>
      <c r="D2640" s="2">
        <v>43695.0</v>
      </c>
      <c r="F2640" s="1" t="s">
        <v>2502</v>
      </c>
      <c r="H2640" s="3">
        <v>8.0</v>
      </c>
      <c r="I2640" s="4" t="s">
        <v>11181</v>
      </c>
      <c r="J2640" s="1" t="s">
        <v>11182</v>
      </c>
      <c r="K2640" s="1" t="s">
        <v>295</v>
      </c>
    </row>
    <row r="2641">
      <c r="A2641" s="1" t="s">
        <v>11183</v>
      </c>
      <c r="B2641" s="1" t="s">
        <v>11184</v>
      </c>
      <c r="C2641" s="1">
        <v>2019.0</v>
      </c>
      <c r="D2641" s="2">
        <v>43693.0</v>
      </c>
      <c r="F2641" s="1" t="s">
        <v>11185</v>
      </c>
      <c r="H2641" s="3">
        <v>5.0</v>
      </c>
      <c r="I2641" s="4" t="s">
        <v>11186</v>
      </c>
      <c r="J2641" s="1" t="s">
        <v>11187</v>
      </c>
      <c r="K2641" s="1" t="s">
        <v>45</v>
      </c>
    </row>
    <row r="2642">
      <c r="A2642" s="1" t="s">
        <v>11188</v>
      </c>
      <c r="B2642" s="1" t="s">
        <v>11189</v>
      </c>
      <c r="C2642" s="1">
        <v>2019.0</v>
      </c>
      <c r="D2642" s="2">
        <v>43693.0</v>
      </c>
      <c r="F2642" s="1" t="s">
        <v>4217</v>
      </c>
      <c r="H2642" s="3">
        <v>4.0</v>
      </c>
      <c r="I2642" s="4" t="s">
        <v>11190</v>
      </c>
      <c r="J2642" s="1" t="s">
        <v>11191</v>
      </c>
      <c r="K2642" s="1" t="s">
        <v>28</v>
      </c>
    </row>
    <row r="2643">
      <c r="A2643" s="1" t="s">
        <v>11192</v>
      </c>
      <c r="B2643" s="1" t="s">
        <v>11193</v>
      </c>
      <c r="C2643" s="1">
        <v>2019.0</v>
      </c>
      <c r="D2643" s="2">
        <v>43693.0</v>
      </c>
      <c r="F2643" s="1" t="s">
        <v>11194</v>
      </c>
      <c r="H2643" s="3">
        <v>10.0</v>
      </c>
      <c r="I2643" s="4" t="s">
        <v>11195</v>
      </c>
      <c r="J2643" s="1" t="s">
        <v>11196</v>
      </c>
      <c r="K2643" s="1" t="s">
        <v>28</v>
      </c>
    </row>
    <row r="2644">
      <c r="A2644" s="1" t="s">
        <v>11197</v>
      </c>
      <c r="B2644" s="1" t="s">
        <v>11198</v>
      </c>
      <c r="C2644" s="1">
        <v>2019.0</v>
      </c>
      <c r="D2644" s="2">
        <v>43692.0</v>
      </c>
      <c r="F2644" s="1" t="s">
        <v>337</v>
      </c>
      <c r="H2644" s="3">
        <v>15.0</v>
      </c>
      <c r="I2644" s="4" t="s">
        <v>11199</v>
      </c>
      <c r="J2644" s="1" t="s">
        <v>11200</v>
      </c>
      <c r="K2644" s="1" t="s">
        <v>295</v>
      </c>
    </row>
    <row r="2645">
      <c r="A2645" s="1" t="s">
        <v>11201</v>
      </c>
      <c r="B2645" s="1" t="s">
        <v>11202</v>
      </c>
      <c r="C2645" s="1">
        <v>2019.0</v>
      </c>
      <c r="D2645" s="2">
        <v>43691.0</v>
      </c>
      <c r="F2645" s="1" t="s">
        <v>59</v>
      </c>
      <c r="H2645" s="3">
        <v>19.0</v>
      </c>
      <c r="I2645" s="4" t="s">
        <v>11203</v>
      </c>
      <c r="J2645" s="1" t="s">
        <v>11204</v>
      </c>
      <c r="K2645" s="1" t="s">
        <v>926</v>
      </c>
    </row>
    <row r="2646">
      <c r="A2646" s="1" t="s">
        <v>11205</v>
      </c>
      <c r="B2646" s="1" t="s">
        <v>11206</v>
      </c>
      <c r="C2646" s="1">
        <v>2019.0</v>
      </c>
      <c r="D2646" s="2">
        <v>43691.0</v>
      </c>
      <c r="F2646" s="1" t="s">
        <v>1358</v>
      </c>
      <c r="H2646" s="3">
        <v>8.0</v>
      </c>
      <c r="I2646" s="4" t="s">
        <v>11207</v>
      </c>
      <c r="J2646" s="1" t="s">
        <v>11208</v>
      </c>
      <c r="K2646" s="1" t="s">
        <v>28</v>
      </c>
    </row>
    <row r="2647">
      <c r="A2647" s="1" t="s">
        <v>11209</v>
      </c>
      <c r="B2647" s="1" t="s">
        <v>11210</v>
      </c>
      <c r="C2647" s="1">
        <v>2019.0</v>
      </c>
      <c r="D2647" s="2">
        <v>43691.0</v>
      </c>
      <c r="F2647" s="1" t="s">
        <v>298</v>
      </c>
      <c r="H2647" s="3">
        <v>4.0</v>
      </c>
      <c r="I2647" s="4" t="s">
        <v>11211</v>
      </c>
      <c r="J2647" s="1" t="s">
        <v>11212</v>
      </c>
      <c r="K2647" s="1" t="s">
        <v>323</v>
      </c>
    </row>
    <row r="2648">
      <c r="A2648" s="1" t="s">
        <v>11213</v>
      </c>
      <c r="B2648" s="1" t="s">
        <v>11214</v>
      </c>
      <c r="C2648" s="1">
        <v>2019.0</v>
      </c>
      <c r="D2648" s="2">
        <v>43690.0</v>
      </c>
      <c r="F2648" s="1" t="s">
        <v>10182</v>
      </c>
      <c r="H2648" s="3">
        <v>21.0</v>
      </c>
      <c r="I2648" s="4" t="s">
        <v>11215</v>
      </c>
      <c r="J2648" s="1" t="s">
        <v>11216</v>
      </c>
      <c r="K2648" s="1" t="s">
        <v>372</v>
      </c>
    </row>
    <row r="2649">
      <c r="A2649" s="1" t="s">
        <v>11217</v>
      </c>
      <c r="B2649" s="1" t="s">
        <v>11218</v>
      </c>
      <c r="C2649" s="1">
        <v>2019.0</v>
      </c>
      <c r="D2649" s="2">
        <v>43690.0</v>
      </c>
      <c r="F2649" s="1" t="s">
        <v>8289</v>
      </c>
      <c r="H2649" s="3">
        <v>39.0</v>
      </c>
      <c r="I2649" s="4" t="s">
        <v>11219</v>
      </c>
      <c r="J2649" s="1" t="s">
        <v>11220</v>
      </c>
      <c r="K2649" s="1" t="s">
        <v>28</v>
      </c>
    </row>
    <row r="2650">
      <c r="A2650" s="1" t="s">
        <v>11221</v>
      </c>
      <c r="B2650" s="1" t="s">
        <v>11222</v>
      </c>
      <c r="C2650" s="1">
        <v>2019.0</v>
      </c>
      <c r="D2650" s="2">
        <v>43687.0</v>
      </c>
      <c r="F2650" s="1" t="s">
        <v>11223</v>
      </c>
      <c r="H2650" s="3">
        <v>6.0</v>
      </c>
      <c r="I2650" s="4" t="s">
        <v>11224</v>
      </c>
      <c r="J2650" s="1" t="s">
        <v>11225</v>
      </c>
      <c r="K2650" s="1" t="s">
        <v>28</v>
      </c>
    </row>
    <row r="2651">
      <c r="A2651" s="1" t="s">
        <v>11226</v>
      </c>
      <c r="B2651" s="1" t="s">
        <v>11227</v>
      </c>
      <c r="C2651" s="1">
        <v>2019.0</v>
      </c>
      <c r="D2651" s="2">
        <v>43686.0</v>
      </c>
      <c r="F2651" s="1" t="s">
        <v>1330</v>
      </c>
      <c r="H2651" s="3">
        <v>46.0</v>
      </c>
      <c r="I2651" s="4" t="s">
        <v>11228</v>
      </c>
      <c r="J2651" s="1" t="s">
        <v>11229</v>
      </c>
      <c r="K2651" s="1" t="s">
        <v>28</v>
      </c>
    </row>
    <row r="2652">
      <c r="A2652" s="1" t="s">
        <v>11230</v>
      </c>
      <c r="B2652" s="1" t="s">
        <v>11231</v>
      </c>
      <c r="C2652" s="1">
        <v>2019.0</v>
      </c>
      <c r="D2652" s="2">
        <v>43686.0</v>
      </c>
      <c r="F2652" s="1" t="s">
        <v>2707</v>
      </c>
      <c r="H2652" s="3">
        <v>3.0</v>
      </c>
      <c r="I2652" s="4" t="s">
        <v>11232</v>
      </c>
      <c r="J2652" s="1" t="s">
        <v>11233</v>
      </c>
      <c r="K2652" s="1" t="s">
        <v>68</v>
      </c>
    </row>
    <row r="2653">
      <c r="A2653" s="1" t="s">
        <v>11234</v>
      </c>
      <c r="B2653" s="1" t="s">
        <v>11235</v>
      </c>
      <c r="C2653" s="1">
        <v>2019.0</v>
      </c>
      <c r="D2653" s="2">
        <v>43685.0</v>
      </c>
      <c r="F2653" s="1" t="s">
        <v>1349</v>
      </c>
      <c r="H2653" s="3">
        <v>92.0</v>
      </c>
      <c r="I2653" s="4" t="s">
        <v>11236</v>
      </c>
      <c r="J2653" s="1" t="s">
        <v>11237</v>
      </c>
      <c r="K2653" s="1" t="s">
        <v>28</v>
      </c>
    </row>
    <row r="2654">
      <c r="A2654" s="1" t="s">
        <v>11238</v>
      </c>
      <c r="B2654" s="1" t="s">
        <v>11239</v>
      </c>
      <c r="C2654" s="1">
        <v>2019.0</v>
      </c>
      <c r="D2654" s="2">
        <v>43685.0</v>
      </c>
      <c r="F2654" s="1" t="s">
        <v>6916</v>
      </c>
      <c r="H2654" s="3">
        <v>19.0</v>
      </c>
      <c r="I2654" s="4" t="s">
        <v>11240</v>
      </c>
      <c r="J2654" s="1" t="s">
        <v>11241</v>
      </c>
      <c r="K2654" s="1" t="s">
        <v>68</v>
      </c>
    </row>
    <row r="2655">
      <c r="A2655" s="1" t="s">
        <v>11242</v>
      </c>
      <c r="B2655" s="1" t="s">
        <v>11243</v>
      </c>
      <c r="C2655" s="1">
        <v>2019.0</v>
      </c>
      <c r="D2655" s="2">
        <v>43685.0</v>
      </c>
      <c r="F2655" s="1" t="s">
        <v>7271</v>
      </c>
      <c r="H2655" s="3">
        <v>16.0</v>
      </c>
      <c r="I2655" s="4" t="s">
        <v>11244</v>
      </c>
      <c r="J2655" s="1" t="s">
        <v>11245</v>
      </c>
      <c r="K2655" s="1" t="s">
        <v>926</v>
      </c>
    </row>
    <row r="2656">
      <c r="A2656" s="1" t="s">
        <v>11246</v>
      </c>
      <c r="B2656" s="1" t="s">
        <v>11247</v>
      </c>
      <c r="C2656" s="1">
        <v>2019.0</v>
      </c>
      <c r="D2656" s="2">
        <v>43684.0</v>
      </c>
      <c r="F2656" s="1" t="s">
        <v>11248</v>
      </c>
      <c r="H2656" s="3">
        <v>5.0</v>
      </c>
      <c r="I2656" s="4" t="s">
        <v>11249</v>
      </c>
      <c r="J2656" s="1" t="s">
        <v>11250</v>
      </c>
      <c r="K2656" s="1" t="s">
        <v>477</v>
      </c>
    </row>
    <row r="2657">
      <c r="A2657" s="1" t="s">
        <v>11251</v>
      </c>
      <c r="B2657" s="1" t="s">
        <v>11252</v>
      </c>
      <c r="C2657" s="1">
        <v>2019.0</v>
      </c>
      <c r="D2657" s="2">
        <v>43684.0</v>
      </c>
      <c r="F2657" s="1" t="s">
        <v>11253</v>
      </c>
      <c r="H2657" s="3">
        <v>5.0</v>
      </c>
      <c r="I2657" s="4" t="s">
        <v>11254</v>
      </c>
      <c r="J2657" s="1" t="s">
        <v>11255</v>
      </c>
      <c r="K2657" s="1" t="s">
        <v>16</v>
      </c>
    </row>
    <row r="2658">
      <c r="A2658" s="1" t="s">
        <v>11256</v>
      </c>
      <c r="B2658" s="1" t="s">
        <v>11257</v>
      </c>
      <c r="C2658" s="1">
        <v>2019.0</v>
      </c>
      <c r="D2658" s="2">
        <v>43682.0</v>
      </c>
      <c r="F2658" s="1" t="s">
        <v>11258</v>
      </c>
      <c r="H2658" s="3">
        <v>13.0</v>
      </c>
      <c r="I2658" s="4" t="s">
        <v>11259</v>
      </c>
      <c r="J2658" s="1" t="s">
        <v>11260</v>
      </c>
      <c r="K2658" s="1" t="s">
        <v>418</v>
      </c>
    </row>
    <row r="2659">
      <c r="A2659" s="1" t="s">
        <v>11261</v>
      </c>
      <c r="B2659" s="1" t="s">
        <v>11262</v>
      </c>
      <c r="C2659" s="1">
        <v>2019.0</v>
      </c>
      <c r="D2659" s="2">
        <v>43682.0</v>
      </c>
      <c r="F2659" s="1" t="s">
        <v>11263</v>
      </c>
      <c r="H2659" s="3">
        <v>0.0</v>
      </c>
      <c r="I2659" s="4" t="s">
        <v>11264</v>
      </c>
      <c r="J2659" s="1" t="s">
        <v>11265</v>
      </c>
      <c r="K2659" s="1" t="s">
        <v>323</v>
      </c>
    </row>
    <row r="2660">
      <c r="A2660" s="1" t="s">
        <v>11266</v>
      </c>
      <c r="B2660" s="1" t="s">
        <v>11267</v>
      </c>
      <c r="C2660" s="1">
        <v>2019.0</v>
      </c>
      <c r="D2660" s="2">
        <v>43680.0</v>
      </c>
      <c r="F2660" s="1" t="s">
        <v>2036</v>
      </c>
      <c r="H2660" s="3">
        <v>3.0</v>
      </c>
      <c r="I2660" s="4" t="s">
        <v>11268</v>
      </c>
      <c r="J2660" s="1" t="s">
        <v>11269</v>
      </c>
      <c r="K2660" s="1" t="s">
        <v>16</v>
      </c>
    </row>
    <row r="2661">
      <c r="A2661" s="1" t="s">
        <v>11270</v>
      </c>
      <c r="B2661" s="1" t="s">
        <v>10341</v>
      </c>
      <c r="C2661" s="1">
        <v>2019.0</v>
      </c>
      <c r="D2661" s="2">
        <v>43679.0</v>
      </c>
      <c r="F2661" s="1" t="s">
        <v>157</v>
      </c>
      <c r="H2661" s="3">
        <v>76.0</v>
      </c>
      <c r="I2661" s="4" t="s">
        <v>11271</v>
      </c>
      <c r="J2661" s="1" t="s">
        <v>11272</v>
      </c>
      <c r="K2661" s="1" t="s">
        <v>546</v>
      </c>
    </row>
    <row r="2662">
      <c r="A2662" s="1" t="s">
        <v>11273</v>
      </c>
      <c r="B2662" s="1" t="s">
        <v>6551</v>
      </c>
      <c r="C2662" s="1">
        <v>2019.0</v>
      </c>
      <c r="D2662" s="2">
        <v>43679.0</v>
      </c>
      <c r="F2662" s="1" t="s">
        <v>276</v>
      </c>
      <c r="H2662" s="3">
        <v>1.0</v>
      </c>
      <c r="I2662" s="4" t="s">
        <v>11274</v>
      </c>
      <c r="J2662" s="1" t="s">
        <v>11275</v>
      </c>
      <c r="K2662" s="1" t="s">
        <v>443</v>
      </c>
    </row>
    <row r="2663">
      <c r="A2663" s="1" t="s">
        <v>11276</v>
      </c>
      <c r="B2663" s="1" t="s">
        <v>11277</v>
      </c>
      <c r="C2663" s="1">
        <v>2019.0</v>
      </c>
      <c r="D2663" s="2">
        <v>43679.0</v>
      </c>
      <c r="F2663" s="1" t="s">
        <v>7158</v>
      </c>
      <c r="H2663" s="3">
        <v>4.0</v>
      </c>
      <c r="I2663" s="4" t="s">
        <v>11278</v>
      </c>
      <c r="J2663" s="1" t="s">
        <v>11279</v>
      </c>
      <c r="K2663" s="1" t="s">
        <v>295</v>
      </c>
    </row>
    <row r="2664">
      <c r="A2664" s="1" t="s">
        <v>11280</v>
      </c>
      <c r="B2664" s="1" t="s">
        <v>11281</v>
      </c>
      <c r="C2664" s="1">
        <v>2019.0</v>
      </c>
      <c r="D2664" s="2">
        <v>43678.0</v>
      </c>
      <c r="F2664" s="1" t="s">
        <v>11282</v>
      </c>
      <c r="H2664" s="3">
        <v>1.0</v>
      </c>
      <c r="I2664" s="4" t="s">
        <v>11283</v>
      </c>
      <c r="J2664" s="1" t="s">
        <v>11284</v>
      </c>
      <c r="K2664" s="1" t="s">
        <v>329</v>
      </c>
    </row>
    <row r="2665">
      <c r="A2665" s="1" t="s">
        <v>11285</v>
      </c>
      <c r="B2665" s="1" t="s">
        <v>11286</v>
      </c>
      <c r="C2665" s="1">
        <v>2019.0</v>
      </c>
      <c r="D2665" s="2">
        <v>43678.0</v>
      </c>
      <c r="F2665" s="1" t="s">
        <v>3340</v>
      </c>
      <c r="H2665" s="3">
        <v>48.0</v>
      </c>
      <c r="I2665" s="4" t="s">
        <v>11287</v>
      </c>
      <c r="J2665" s="1" t="s">
        <v>11288</v>
      </c>
      <c r="K2665" s="1" t="s">
        <v>2053</v>
      </c>
    </row>
    <row r="2666">
      <c r="A2666" s="1" t="s">
        <v>11289</v>
      </c>
      <c r="B2666" s="1" t="s">
        <v>11290</v>
      </c>
      <c r="C2666" s="1">
        <v>2019.0</v>
      </c>
      <c r="D2666" s="2">
        <v>43678.0</v>
      </c>
      <c r="F2666" s="1" t="s">
        <v>1995</v>
      </c>
      <c r="H2666" s="3">
        <v>6.0</v>
      </c>
      <c r="I2666" s="4" t="s">
        <v>11291</v>
      </c>
      <c r="J2666" s="1" t="s">
        <v>11292</v>
      </c>
      <c r="K2666" s="1" t="s">
        <v>1036</v>
      </c>
    </row>
    <row r="2667">
      <c r="A2667" s="1" t="s">
        <v>11293</v>
      </c>
      <c r="B2667" s="1" t="s">
        <v>11294</v>
      </c>
      <c r="C2667" s="1">
        <v>2019.0</v>
      </c>
      <c r="D2667" s="2">
        <v>43678.0</v>
      </c>
      <c r="F2667" s="1" t="s">
        <v>11295</v>
      </c>
      <c r="H2667" s="3">
        <v>3.0</v>
      </c>
      <c r="I2667" s="4" t="s">
        <v>11296</v>
      </c>
      <c r="J2667" s="1" t="s">
        <v>11297</v>
      </c>
      <c r="K2667" s="1" t="s">
        <v>295</v>
      </c>
    </row>
    <row r="2668">
      <c r="A2668" s="1" t="s">
        <v>11298</v>
      </c>
      <c r="B2668" s="1" t="s">
        <v>7020</v>
      </c>
      <c r="C2668" s="1">
        <v>2019.0</v>
      </c>
      <c r="D2668" s="2">
        <v>43678.0</v>
      </c>
      <c r="F2668" s="1" t="s">
        <v>4544</v>
      </c>
      <c r="H2668" s="3">
        <v>4.0</v>
      </c>
      <c r="I2668" s="4" t="s">
        <v>11299</v>
      </c>
      <c r="J2668" s="1"/>
      <c r="K2668" s="1" t="s">
        <v>323</v>
      </c>
    </row>
    <row r="2669">
      <c r="A2669" s="1" t="s">
        <v>11300</v>
      </c>
      <c r="B2669" s="1" t="s">
        <v>11301</v>
      </c>
      <c r="C2669" s="1">
        <v>2019.0</v>
      </c>
      <c r="D2669" s="2">
        <v>43678.0</v>
      </c>
      <c r="F2669" s="1" t="s">
        <v>1228</v>
      </c>
      <c r="H2669" s="3">
        <v>190.0</v>
      </c>
      <c r="I2669" s="4" t="s">
        <v>11302</v>
      </c>
      <c r="J2669" s="1" t="s">
        <v>11303</v>
      </c>
      <c r="K2669" s="1" t="s">
        <v>418</v>
      </c>
    </row>
    <row r="2670">
      <c r="A2670" s="1" t="s">
        <v>11304</v>
      </c>
      <c r="B2670" s="1" t="s">
        <v>11305</v>
      </c>
      <c r="C2670" s="1">
        <v>2019.0</v>
      </c>
      <c r="D2670" s="2">
        <v>43678.0</v>
      </c>
      <c r="F2670" s="1" t="s">
        <v>271</v>
      </c>
      <c r="H2670" s="3">
        <v>9.0</v>
      </c>
      <c r="I2670" s="4" t="s">
        <v>11306</v>
      </c>
      <c r="J2670" s="1" t="s">
        <v>11307</v>
      </c>
      <c r="K2670" s="1" t="s">
        <v>16</v>
      </c>
    </row>
    <row r="2671">
      <c r="A2671" s="1" t="s">
        <v>11308</v>
      </c>
      <c r="B2671" s="1" t="s">
        <v>11309</v>
      </c>
      <c r="C2671" s="1">
        <v>2019.0</v>
      </c>
      <c r="D2671" s="2">
        <v>43678.0</v>
      </c>
      <c r="F2671" s="1" t="s">
        <v>605</v>
      </c>
      <c r="H2671" s="3">
        <v>36.0</v>
      </c>
      <c r="I2671" s="4" t="s">
        <v>11310</v>
      </c>
      <c r="J2671" s="1" t="s">
        <v>11311</v>
      </c>
      <c r="K2671" s="1" t="s">
        <v>413</v>
      </c>
    </row>
    <row r="2672">
      <c r="A2672" s="1" t="s">
        <v>11312</v>
      </c>
      <c r="B2672" s="1" t="s">
        <v>11313</v>
      </c>
      <c r="C2672" s="1">
        <v>2019.0</v>
      </c>
      <c r="D2672" s="2">
        <v>43678.0</v>
      </c>
      <c r="F2672" s="1" t="s">
        <v>440</v>
      </c>
      <c r="H2672" s="3">
        <v>5.0</v>
      </c>
      <c r="I2672" s="4" t="s">
        <v>11314</v>
      </c>
      <c r="J2672" s="1" t="s">
        <v>11315</v>
      </c>
      <c r="K2672" s="1" t="s">
        <v>16</v>
      </c>
    </row>
    <row r="2673">
      <c r="A2673" s="1" t="s">
        <v>11316</v>
      </c>
      <c r="B2673" s="1" t="s">
        <v>11317</v>
      </c>
      <c r="C2673" s="1">
        <v>2019.0</v>
      </c>
      <c r="D2673" s="2">
        <v>43678.0</v>
      </c>
      <c r="F2673" s="1" t="s">
        <v>6393</v>
      </c>
      <c r="H2673" s="3">
        <v>17.0</v>
      </c>
      <c r="I2673" s="4" t="s">
        <v>11318</v>
      </c>
      <c r="J2673" s="1" t="s">
        <v>11319</v>
      </c>
      <c r="K2673" s="1" t="s">
        <v>16</v>
      </c>
    </row>
    <row r="2674">
      <c r="A2674" s="1" t="s">
        <v>11320</v>
      </c>
      <c r="B2674" s="1" t="s">
        <v>11321</v>
      </c>
      <c r="C2674" s="1">
        <v>2019.0</v>
      </c>
      <c r="D2674" s="2">
        <v>43678.0</v>
      </c>
      <c r="F2674" s="1" t="s">
        <v>11322</v>
      </c>
      <c r="H2674" s="3">
        <v>2.0</v>
      </c>
      <c r="I2674" s="4" t="s">
        <v>11323</v>
      </c>
      <c r="J2674" s="1"/>
      <c r="K2674" s="1" t="s">
        <v>413</v>
      </c>
    </row>
    <row r="2675">
      <c r="A2675" s="1" t="s">
        <v>11324</v>
      </c>
      <c r="B2675" s="1" t="s">
        <v>11325</v>
      </c>
      <c r="C2675" s="1">
        <v>2019.0</v>
      </c>
      <c r="D2675" s="2">
        <v>43678.0</v>
      </c>
      <c r="F2675" s="1" t="s">
        <v>19</v>
      </c>
      <c r="H2675" s="3">
        <v>56.0</v>
      </c>
      <c r="I2675" s="4" t="s">
        <v>11326</v>
      </c>
      <c r="J2675" s="1" t="s">
        <v>11327</v>
      </c>
      <c r="K2675" s="1" t="s">
        <v>443</v>
      </c>
    </row>
    <row r="2676">
      <c r="A2676" s="1" t="s">
        <v>11328</v>
      </c>
      <c r="B2676" s="1" t="s">
        <v>11329</v>
      </c>
      <c r="C2676" s="1">
        <v>2019.0</v>
      </c>
      <c r="D2676" s="2">
        <v>43677.0</v>
      </c>
      <c r="F2676" s="1" t="s">
        <v>4848</v>
      </c>
      <c r="H2676" s="3">
        <v>11.0</v>
      </c>
      <c r="I2676" s="4" t="s">
        <v>11330</v>
      </c>
      <c r="J2676" s="1" t="s">
        <v>11331</v>
      </c>
      <c r="K2676" s="1" t="s">
        <v>68</v>
      </c>
    </row>
    <row r="2677">
      <c r="A2677" s="1" t="s">
        <v>11332</v>
      </c>
      <c r="B2677" s="1" t="s">
        <v>11333</v>
      </c>
      <c r="C2677" s="1">
        <v>2019.0</v>
      </c>
      <c r="D2677" s="2">
        <v>43677.0</v>
      </c>
      <c r="F2677" s="1" t="s">
        <v>5686</v>
      </c>
      <c r="H2677" s="3">
        <v>9.0</v>
      </c>
      <c r="I2677" s="4" t="s">
        <v>11334</v>
      </c>
      <c r="J2677" s="1" t="s">
        <v>11335</v>
      </c>
      <c r="K2677" s="1" t="s">
        <v>383</v>
      </c>
    </row>
    <row r="2678">
      <c r="A2678" s="1" t="s">
        <v>11336</v>
      </c>
      <c r="B2678" s="1" t="s">
        <v>11337</v>
      </c>
      <c r="C2678" s="1">
        <v>2019.0</v>
      </c>
      <c r="D2678" s="2">
        <v>43676.0</v>
      </c>
      <c r="F2678" s="1" t="s">
        <v>1851</v>
      </c>
      <c r="H2678" s="3">
        <v>3.0</v>
      </c>
      <c r="I2678" s="4" t="s">
        <v>11338</v>
      </c>
      <c r="J2678" s="1" t="s">
        <v>11339</v>
      </c>
      <c r="K2678" s="1" t="s">
        <v>28</v>
      </c>
    </row>
    <row r="2679">
      <c r="A2679" s="1" t="s">
        <v>11340</v>
      </c>
      <c r="B2679" s="1" t="s">
        <v>11341</v>
      </c>
      <c r="C2679" s="1">
        <v>2019.0</v>
      </c>
      <c r="D2679" s="2">
        <v>43676.0</v>
      </c>
      <c r="F2679" s="1" t="s">
        <v>59</v>
      </c>
      <c r="H2679" s="3">
        <v>6.0</v>
      </c>
      <c r="I2679" s="4" t="s">
        <v>11342</v>
      </c>
      <c r="J2679" s="1"/>
      <c r="K2679" s="1" t="s">
        <v>443</v>
      </c>
    </row>
    <row r="2680">
      <c r="A2680" s="1" t="s">
        <v>11343</v>
      </c>
      <c r="B2680" s="1" t="s">
        <v>11344</v>
      </c>
      <c r="C2680" s="1">
        <v>2019.0</v>
      </c>
      <c r="D2680" s="2">
        <v>43675.0</v>
      </c>
      <c r="F2680" s="1" t="s">
        <v>1190</v>
      </c>
      <c r="H2680" s="3">
        <v>20.0</v>
      </c>
      <c r="I2680" s="4" t="s">
        <v>11345</v>
      </c>
      <c r="J2680" s="1" t="s">
        <v>11346</v>
      </c>
      <c r="K2680" s="1" t="s">
        <v>323</v>
      </c>
    </row>
    <row r="2681">
      <c r="A2681" s="1" t="s">
        <v>11347</v>
      </c>
      <c r="B2681" s="1" t="s">
        <v>11348</v>
      </c>
      <c r="C2681" s="1">
        <v>2019.0</v>
      </c>
      <c r="D2681" s="2">
        <v>43675.0</v>
      </c>
      <c r="F2681" s="1" t="s">
        <v>86</v>
      </c>
      <c r="H2681" s="3">
        <v>56.0</v>
      </c>
      <c r="I2681" s="4" t="s">
        <v>11349</v>
      </c>
      <c r="J2681" s="1" t="s">
        <v>11350</v>
      </c>
      <c r="K2681" s="1" t="s">
        <v>1423</v>
      </c>
    </row>
    <row r="2682">
      <c r="A2682" s="1" t="s">
        <v>11351</v>
      </c>
      <c r="B2682" s="1" t="s">
        <v>11352</v>
      </c>
      <c r="C2682" s="1">
        <v>2019.0</v>
      </c>
      <c r="D2682" s="2">
        <v>43672.0</v>
      </c>
      <c r="F2682" s="1" t="s">
        <v>157</v>
      </c>
      <c r="H2682" s="3">
        <v>24.0</v>
      </c>
      <c r="I2682" s="4" t="s">
        <v>11353</v>
      </c>
      <c r="J2682" s="1" t="s">
        <v>11354</v>
      </c>
      <c r="K2682" s="1" t="s">
        <v>546</v>
      </c>
    </row>
    <row r="2683">
      <c r="A2683" s="1" t="s">
        <v>11355</v>
      </c>
      <c r="B2683" s="1" t="s">
        <v>11356</v>
      </c>
      <c r="C2683" s="1">
        <v>2019.0</v>
      </c>
      <c r="D2683" s="2">
        <v>43672.0</v>
      </c>
      <c r="F2683" s="1" t="s">
        <v>5669</v>
      </c>
      <c r="H2683" s="3">
        <v>43.0</v>
      </c>
      <c r="I2683" s="4" t="s">
        <v>11357</v>
      </c>
      <c r="J2683" s="1" t="s">
        <v>11358</v>
      </c>
      <c r="K2683" s="1" t="s">
        <v>413</v>
      </c>
    </row>
    <row r="2684">
      <c r="A2684" s="1" t="s">
        <v>11359</v>
      </c>
      <c r="B2684" s="1" t="s">
        <v>11360</v>
      </c>
      <c r="C2684" s="1">
        <v>2019.0</v>
      </c>
      <c r="D2684" s="2">
        <v>43672.0</v>
      </c>
      <c r="F2684" s="1" t="s">
        <v>86</v>
      </c>
      <c r="H2684" s="3">
        <v>8.0</v>
      </c>
      <c r="I2684" s="4" t="s">
        <v>11361</v>
      </c>
      <c r="J2684" s="1" t="s">
        <v>11362</v>
      </c>
      <c r="K2684" s="1" t="s">
        <v>16</v>
      </c>
    </row>
    <row r="2685">
      <c r="A2685" s="1" t="s">
        <v>11363</v>
      </c>
      <c r="B2685" s="1" t="s">
        <v>11364</v>
      </c>
      <c r="C2685" s="1">
        <v>2019.0</v>
      </c>
      <c r="D2685" s="2">
        <v>43671.0</v>
      </c>
      <c r="F2685" s="1" t="s">
        <v>11365</v>
      </c>
      <c r="H2685" s="3">
        <v>18.0</v>
      </c>
      <c r="I2685" s="4" t="s">
        <v>11366</v>
      </c>
      <c r="J2685" s="1" t="s">
        <v>11367</v>
      </c>
      <c r="K2685" s="1" t="s">
        <v>323</v>
      </c>
    </row>
    <row r="2686">
      <c r="A2686" s="1" t="s">
        <v>11368</v>
      </c>
      <c r="B2686" s="1" t="s">
        <v>11369</v>
      </c>
      <c r="C2686" s="1">
        <v>2019.0</v>
      </c>
      <c r="D2686" s="2">
        <v>43671.0</v>
      </c>
      <c r="F2686" s="1" t="s">
        <v>81</v>
      </c>
      <c r="H2686" s="3">
        <v>20.0</v>
      </c>
      <c r="I2686" s="4" t="s">
        <v>11370</v>
      </c>
      <c r="J2686" s="1" t="s">
        <v>11371</v>
      </c>
      <c r="K2686" s="1" t="s">
        <v>323</v>
      </c>
    </row>
    <row r="2687">
      <c r="A2687" s="1" t="s">
        <v>11372</v>
      </c>
      <c r="B2687" s="1" t="s">
        <v>11373</v>
      </c>
      <c r="C2687" s="1">
        <v>2019.0</v>
      </c>
      <c r="D2687" s="2">
        <v>43670.0</v>
      </c>
      <c r="F2687" s="1" t="s">
        <v>11374</v>
      </c>
      <c r="H2687" s="3">
        <v>14.0</v>
      </c>
      <c r="I2687" s="4" t="s">
        <v>11375</v>
      </c>
      <c r="J2687" s="1" t="s">
        <v>11376</v>
      </c>
      <c r="K2687" s="1" t="s">
        <v>340</v>
      </c>
    </row>
    <row r="2688">
      <c r="A2688" s="1" t="s">
        <v>11377</v>
      </c>
      <c r="B2688" s="1" t="s">
        <v>11378</v>
      </c>
      <c r="C2688" s="1">
        <v>2019.0</v>
      </c>
      <c r="D2688" s="2">
        <v>43670.0</v>
      </c>
      <c r="F2688" s="1" t="s">
        <v>4374</v>
      </c>
      <c r="H2688" s="3">
        <v>14.0</v>
      </c>
      <c r="I2688" s="4" t="s">
        <v>11379</v>
      </c>
      <c r="J2688" s="1" t="s">
        <v>11380</v>
      </c>
      <c r="K2688" s="1" t="s">
        <v>295</v>
      </c>
    </row>
    <row r="2689">
      <c r="A2689" s="1" t="s">
        <v>11381</v>
      </c>
      <c r="B2689" s="1" t="s">
        <v>11382</v>
      </c>
      <c r="C2689" s="1">
        <v>2019.0</v>
      </c>
      <c r="D2689" s="2">
        <v>43670.0</v>
      </c>
      <c r="F2689" s="1" t="s">
        <v>71</v>
      </c>
      <c r="H2689" s="3">
        <v>4.0</v>
      </c>
      <c r="I2689" s="4" t="s">
        <v>11383</v>
      </c>
      <c r="J2689" s="1" t="s">
        <v>11384</v>
      </c>
      <c r="K2689" s="1" t="s">
        <v>68</v>
      </c>
    </row>
    <row r="2690">
      <c r="A2690" s="1" t="s">
        <v>11385</v>
      </c>
      <c r="B2690" s="1" t="s">
        <v>11386</v>
      </c>
      <c r="C2690" s="1">
        <v>2019.0</v>
      </c>
      <c r="D2690" s="2">
        <v>43670.0</v>
      </c>
      <c r="F2690" s="1" t="s">
        <v>1762</v>
      </c>
      <c r="H2690" s="3">
        <v>7.0</v>
      </c>
      <c r="I2690" s="4" t="s">
        <v>11387</v>
      </c>
      <c r="J2690" s="1" t="s">
        <v>11388</v>
      </c>
      <c r="K2690" s="1" t="s">
        <v>413</v>
      </c>
    </row>
    <row r="2691">
      <c r="A2691" s="1" t="s">
        <v>11389</v>
      </c>
      <c r="B2691" s="1" t="s">
        <v>11390</v>
      </c>
      <c r="C2691" s="1">
        <v>2019.0</v>
      </c>
      <c r="D2691" s="2">
        <v>43669.0</v>
      </c>
      <c r="F2691" s="1" t="s">
        <v>500</v>
      </c>
      <c r="H2691" s="3">
        <v>25.0</v>
      </c>
      <c r="I2691" s="4" t="s">
        <v>11391</v>
      </c>
      <c r="J2691" s="1" t="s">
        <v>11392</v>
      </c>
      <c r="K2691" s="1" t="s">
        <v>443</v>
      </c>
    </row>
    <row r="2692">
      <c r="A2692" s="1" t="s">
        <v>11393</v>
      </c>
      <c r="B2692" s="1" t="s">
        <v>11394</v>
      </c>
      <c r="C2692" s="1">
        <v>2019.0</v>
      </c>
      <c r="D2692" s="2">
        <v>43666.0</v>
      </c>
      <c r="F2692" s="1" t="s">
        <v>11395</v>
      </c>
      <c r="H2692" s="3">
        <v>45.0</v>
      </c>
      <c r="I2692" s="4" t="s">
        <v>11396</v>
      </c>
      <c r="J2692" s="1" t="s">
        <v>11397</v>
      </c>
      <c r="K2692" s="1" t="s">
        <v>16</v>
      </c>
    </row>
    <row r="2693">
      <c r="A2693" s="1" t="s">
        <v>11398</v>
      </c>
      <c r="B2693" s="1" t="s">
        <v>11399</v>
      </c>
      <c r="C2693" s="1">
        <v>2019.0</v>
      </c>
      <c r="D2693" s="2">
        <v>43665.0</v>
      </c>
      <c r="F2693" s="1" t="s">
        <v>11400</v>
      </c>
      <c r="H2693" s="3">
        <v>5.0</v>
      </c>
      <c r="I2693" s="4" t="s">
        <v>11401</v>
      </c>
      <c r="J2693" s="1" t="s">
        <v>11402</v>
      </c>
      <c r="K2693" s="1" t="s">
        <v>45</v>
      </c>
    </row>
    <row r="2694">
      <c r="A2694" s="1" t="s">
        <v>11403</v>
      </c>
      <c r="B2694" s="1" t="s">
        <v>11404</v>
      </c>
      <c r="C2694" s="1">
        <v>2019.0</v>
      </c>
      <c r="D2694" s="2">
        <v>43665.0</v>
      </c>
      <c r="F2694" s="1" t="s">
        <v>208</v>
      </c>
      <c r="H2694" s="3">
        <v>4.0</v>
      </c>
      <c r="I2694" s="4" t="s">
        <v>11405</v>
      </c>
      <c r="J2694" s="1" t="s">
        <v>11406</v>
      </c>
      <c r="K2694" s="1" t="s">
        <v>28</v>
      </c>
    </row>
    <row r="2695">
      <c r="A2695" s="1" t="s">
        <v>11407</v>
      </c>
      <c r="B2695" s="1" t="s">
        <v>11408</v>
      </c>
      <c r="C2695" s="1">
        <v>2019.0</v>
      </c>
      <c r="D2695" s="2">
        <v>43663.0</v>
      </c>
      <c r="F2695" s="1" t="s">
        <v>2502</v>
      </c>
      <c r="H2695" s="3">
        <v>3.0</v>
      </c>
      <c r="I2695" s="4" t="s">
        <v>11409</v>
      </c>
      <c r="J2695" s="1" t="s">
        <v>11410</v>
      </c>
      <c r="K2695" s="1" t="s">
        <v>45</v>
      </c>
    </row>
    <row r="2696">
      <c r="A2696" s="1" t="s">
        <v>11411</v>
      </c>
      <c r="B2696" s="1" t="s">
        <v>11412</v>
      </c>
      <c r="C2696" s="1">
        <v>2019.0</v>
      </c>
      <c r="D2696" s="2">
        <v>43662.0</v>
      </c>
      <c r="F2696" s="1" t="s">
        <v>228</v>
      </c>
      <c r="H2696" s="3">
        <v>22.0</v>
      </c>
      <c r="I2696" s="4" t="s">
        <v>11413</v>
      </c>
      <c r="J2696" s="1" t="s">
        <v>11414</v>
      </c>
      <c r="K2696" s="1" t="s">
        <v>413</v>
      </c>
    </row>
    <row r="2697">
      <c r="A2697" s="1" t="s">
        <v>11415</v>
      </c>
      <c r="B2697" s="1" t="s">
        <v>11416</v>
      </c>
      <c r="C2697" s="1">
        <v>2019.0</v>
      </c>
      <c r="D2697" s="2">
        <v>43659.0</v>
      </c>
      <c r="F2697" s="1" t="s">
        <v>877</v>
      </c>
      <c r="H2697" s="3">
        <v>19.0</v>
      </c>
      <c r="I2697" s="4" t="s">
        <v>11417</v>
      </c>
      <c r="J2697" s="1" t="s">
        <v>11418</v>
      </c>
      <c r="K2697" s="1" t="s">
        <v>383</v>
      </c>
    </row>
    <row r="2698">
      <c r="A2698" s="1" t="s">
        <v>11419</v>
      </c>
      <c r="B2698" s="1" t="s">
        <v>11420</v>
      </c>
      <c r="C2698" s="1">
        <v>2019.0</v>
      </c>
      <c r="D2698" s="2">
        <v>43656.0</v>
      </c>
      <c r="F2698" s="1" t="s">
        <v>11421</v>
      </c>
      <c r="H2698" s="3">
        <v>9.0</v>
      </c>
      <c r="I2698" s="4" t="s">
        <v>11422</v>
      </c>
      <c r="J2698" s="1" t="s">
        <v>11423</v>
      </c>
      <c r="K2698" s="1" t="s">
        <v>340</v>
      </c>
    </row>
    <row r="2699">
      <c r="A2699" s="1" t="s">
        <v>11424</v>
      </c>
      <c r="B2699" s="1" t="s">
        <v>11425</v>
      </c>
      <c r="C2699" s="1">
        <v>2019.0</v>
      </c>
      <c r="D2699" s="2">
        <v>43656.0</v>
      </c>
      <c r="F2699" s="1" t="s">
        <v>59</v>
      </c>
      <c r="H2699" s="3">
        <v>2.0</v>
      </c>
      <c r="I2699" s="4" t="s">
        <v>11426</v>
      </c>
      <c r="J2699" s="1"/>
      <c r="K2699" s="1" t="s">
        <v>28</v>
      </c>
    </row>
    <row r="2700">
      <c r="A2700" s="1" t="s">
        <v>11427</v>
      </c>
      <c r="B2700" s="1" t="s">
        <v>11428</v>
      </c>
      <c r="C2700" s="1">
        <v>2019.0</v>
      </c>
      <c r="D2700" s="2">
        <v>43656.0</v>
      </c>
      <c r="F2700" s="1" t="s">
        <v>3463</v>
      </c>
      <c r="H2700" s="3">
        <v>8.0</v>
      </c>
      <c r="I2700" s="4" t="s">
        <v>11429</v>
      </c>
      <c r="J2700" s="1" t="s">
        <v>11430</v>
      </c>
      <c r="K2700" s="1" t="s">
        <v>28</v>
      </c>
    </row>
    <row r="2701">
      <c r="A2701" s="1" t="s">
        <v>11431</v>
      </c>
      <c r="B2701" s="1" t="s">
        <v>11432</v>
      </c>
      <c r="C2701" s="1">
        <v>2019.0</v>
      </c>
      <c r="D2701" s="2">
        <v>43656.0</v>
      </c>
      <c r="F2701" s="1" t="s">
        <v>11433</v>
      </c>
      <c r="H2701" s="3">
        <v>32.0</v>
      </c>
      <c r="I2701" s="4" t="s">
        <v>11434</v>
      </c>
      <c r="J2701" s="1" t="s">
        <v>11435</v>
      </c>
      <c r="K2701" s="1" t="s">
        <v>383</v>
      </c>
    </row>
    <row r="2702">
      <c r="A2702" s="1" t="s">
        <v>11436</v>
      </c>
      <c r="B2702" s="1" t="s">
        <v>11437</v>
      </c>
      <c r="C2702" s="1">
        <v>2019.0</v>
      </c>
      <c r="D2702" s="2">
        <v>43655.0</v>
      </c>
      <c r="F2702" s="1" t="s">
        <v>208</v>
      </c>
      <c r="H2702" s="3">
        <v>9.0</v>
      </c>
      <c r="I2702" s="4" t="s">
        <v>11438</v>
      </c>
      <c r="J2702" s="1" t="s">
        <v>11439</v>
      </c>
      <c r="K2702" s="1" t="s">
        <v>28</v>
      </c>
    </row>
    <row r="2703">
      <c r="A2703" s="1" t="s">
        <v>11440</v>
      </c>
      <c r="B2703" s="1" t="s">
        <v>11441</v>
      </c>
      <c r="C2703" s="1">
        <v>2019.0</v>
      </c>
      <c r="D2703" s="2">
        <v>43655.0</v>
      </c>
      <c r="F2703" s="1" t="s">
        <v>1277</v>
      </c>
      <c r="H2703" s="3">
        <v>11.0</v>
      </c>
      <c r="I2703" s="4" t="s">
        <v>11442</v>
      </c>
      <c r="J2703" s="1" t="s">
        <v>11443</v>
      </c>
      <c r="K2703" s="1" t="s">
        <v>28</v>
      </c>
    </row>
    <row r="2704">
      <c r="A2704" s="1" t="s">
        <v>11444</v>
      </c>
      <c r="B2704" s="1" t="s">
        <v>11445</v>
      </c>
      <c r="C2704" s="1">
        <v>2019.0</v>
      </c>
      <c r="D2704" s="2">
        <v>43652.0</v>
      </c>
      <c r="F2704" s="1" t="s">
        <v>3351</v>
      </c>
      <c r="H2704" s="3">
        <v>2.0</v>
      </c>
      <c r="I2704" s="4" t="s">
        <v>11446</v>
      </c>
      <c r="J2704" s="1" t="s">
        <v>11447</v>
      </c>
      <c r="K2704" s="1" t="s">
        <v>16</v>
      </c>
    </row>
    <row r="2705">
      <c r="A2705" s="1" t="s">
        <v>11448</v>
      </c>
      <c r="B2705" s="1" t="s">
        <v>11449</v>
      </c>
      <c r="C2705" s="1">
        <v>2019.0</v>
      </c>
      <c r="D2705" s="2">
        <v>43651.0</v>
      </c>
      <c r="F2705" s="1" t="s">
        <v>1514</v>
      </c>
      <c r="H2705" s="3">
        <v>13.0</v>
      </c>
      <c r="I2705" s="4" t="s">
        <v>11450</v>
      </c>
      <c r="J2705" s="1" t="s">
        <v>11451</v>
      </c>
      <c r="K2705" s="1" t="s">
        <v>413</v>
      </c>
    </row>
    <row r="2706">
      <c r="A2706" s="1" t="s">
        <v>11452</v>
      </c>
      <c r="B2706" s="1" t="s">
        <v>11453</v>
      </c>
      <c r="C2706" s="1">
        <v>2019.0</v>
      </c>
      <c r="D2706" s="2">
        <v>43650.0</v>
      </c>
      <c r="F2706" s="1" t="s">
        <v>198</v>
      </c>
      <c r="H2706" s="3">
        <v>16.0</v>
      </c>
      <c r="I2706" s="4" t="s">
        <v>11454</v>
      </c>
      <c r="J2706" s="1" t="s">
        <v>11455</v>
      </c>
      <c r="K2706" s="1" t="s">
        <v>2053</v>
      </c>
    </row>
    <row r="2707">
      <c r="A2707" s="1" t="s">
        <v>11456</v>
      </c>
      <c r="B2707" s="1" t="s">
        <v>11457</v>
      </c>
      <c r="C2707" s="1">
        <v>2019.0</v>
      </c>
      <c r="D2707" s="2">
        <v>43650.0</v>
      </c>
      <c r="F2707" s="1" t="s">
        <v>6540</v>
      </c>
      <c r="H2707" s="3">
        <v>65.0</v>
      </c>
      <c r="I2707" s="4" t="s">
        <v>11458</v>
      </c>
      <c r="J2707" s="1" t="s">
        <v>11459</v>
      </c>
      <c r="K2707" s="1" t="s">
        <v>16</v>
      </c>
    </row>
    <row r="2708">
      <c r="A2708" s="1" t="s">
        <v>11460</v>
      </c>
      <c r="B2708" s="1" t="s">
        <v>11461</v>
      </c>
      <c r="C2708" s="1">
        <v>2019.0</v>
      </c>
      <c r="D2708" s="2">
        <v>43649.0</v>
      </c>
      <c r="F2708" s="1" t="s">
        <v>726</v>
      </c>
      <c r="H2708" s="3">
        <v>16.0</v>
      </c>
      <c r="I2708" s="4" t="s">
        <v>11462</v>
      </c>
      <c r="J2708" s="1" t="s">
        <v>11463</v>
      </c>
      <c r="K2708" s="1" t="s">
        <v>340</v>
      </c>
    </row>
    <row r="2709">
      <c r="A2709" s="1" t="s">
        <v>11464</v>
      </c>
      <c r="B2709" s="1" t="s">
        <v>11465</v>
      </c>
      <c r="C2709" s="1">
        <v>2019.0</v>
      </c>
      <c r="D2709" s="2">
        <v>43649.0</v>
      </c>
      <c r="F2709" s="1" t="s">
        <v>11466</v>
      </c>
      <c r="H2709" s="3">
        <v>42.0</v>
      </c>
      <c r="I2709" s="4" t="s">
        <v>11467</v>
      </c>
      <c r="J2709" s="1" t="s">
        <v>11468</v>
      </c>
      <c r="K2709" s="1" t="s">
        <v>1036</v>
      </c>
    </row>
    <row r="2710">
      <c r="A2710" s="1" t="s">
        <v>11469</v>
      </c>
      <c r="B2710" s="1" t="s">
        <v>11470</v>
      </c>
      <c r="C2710" s="1">
        <v>2019.0</v>
      </c>
      <c r="D2710" s="2">
        <v>43647.0</v>
      </c>
      <c r="F2710" s="1" t="s">
        <v>11466</v>
      </c>
      <c r="H2710" s="3">
        <v>31.0</v>
      </c>
      <c r="I2710" s="4" t="s">
        <v>11471</v>
      </c>
      <c r="J2710" s="1" t="s">
        <v>11472</v>
      </c>
      <c r="K2710" s="1" t="s">
        <v>1036</v>
      </c>
    </row>
    <row r="2711">
      <c r="A2711" s="1" t="s">
        <v>11473</v>
      </c>
      <c r="B2711" s="1" t="s">
        <v>11474</v>
      </c>
      <c r="C2711" s="1">
        <v>2019.0</v>
      </c>
      <c r="D2711" s="2">
        <v>43647.0</v>
      </c>
      <c r="F2711" s="1" t="s">
        <v>2050</v>
      </c>
      <c r="H2711" s="3">
        <v>2.0</v>
      </c>
      <c r="I2711" s="4" t="s">
        <v>11475</v>
      </c>
      <c r="J2711" s="1" t="s">
        <v>11476</v>
      </c>
      <c r="K2711" s="1" t="s">
        <v>28</v>
      </c>
    </row>
    <row r="2712">
      <c r="A2712" s="1" t="s">
        <v>11477</v>
      </c>
      <c r="B2712" s="1" t="s">
        <v>11478</v>
      </c>
      <c r="C2712" s="1">
        <v>2019.0</v>
      </c>
      <c r="D2712" s="2">
        <v>43647.0</v>
      </c>
      <c r="F2712" s="1" t="s">
        <v>7425</v>
      </c>
      <c r="H2712" s="3">
        <v>5.0</v>
      </c>
      <c r="I2712" s="4" t="s">
        <v>11479</v>
      </c>
      <c r="J2712" s="1" t="s">
        <v>10216</v>
      </c>
      <c r="K2712" s="1" t="s">
        <v>28</v>
      </c>
    </row>
    <row r="2713">
      <c r="A2713" s="1" t="s">
        <v>11480</v>
      </c>
      <c r="B2713" s="1" t="s">
        <v>11481</v>
      </c>
      <c r="C2713" s="1">
        <v>2019.0</v>
      </c>
      <c r="D2713" s="2">
        <v>43647.0</v>
      </c>
      <c r="F2713" s="1" t="s">
        <v>271</v>
      </c>
      <c r="H2713" s="3">
        <v>13.0</v>
      </c>
      <c r="I2713" s="4" t="s">
        <v>11482</v>
      </c>
      <c r="J2713" s="1" t="s">
        <v>11483</v>
      </c>
      <c r="K2713" s="1" t="s">
        <v>1036</v>
      </c>
    </row>
    <row r="2714">
      <c r="A2714" s="1" t="s">
        <v>11484</v>
      </c>
      <c r="B2714" s="1" t="s">
        <v>11485</v>
      </c>
      <c r="C2714" s="1">
        <v>2019.0</v>
      </c>
      <c r="D2714" s="2">
        <v>43647.0</v>
      </c>
      <c r="F2714" s="1" t="s">
        <v>11486</v>
      </c>
      <c r="H2714" s="3">
        <v>17.0</v>
      </c>
      <c r="I2714" s="4" t="s">
        <v>11487</v>
      </c>
      <c r="J2714" s="1"/>
      <c r="K2714" s="1" t="s">
        <v>16</v>
      </c>
    </row>
    <row r="2715">
      <c r="A2715" s="1" t="s">
        <v>11488</v>
      </c>
      <c r="B2715" s="1" t="s">
        <v>11489</v>
      </c>
      <c r="C2715" s="1">
        <v>2019.0</v>
      </c>
      <c r="D2715" s="2">
        <v>43647.0</v>
      </c>
      <c r="F2715" s="1" t="s">
        <v>4755</v>
      </c>
      <c r="H2715" s="3">
        <v>89.0</v>
      </c>
      <c r="I2715" s="4" t="s">
        <v>11490</v>
      </c>
      <c r="J2715" s="1" t="s">
        <v>11491</v>
      </c>
      <c r="K2715" s="1" t="s">
        <v>413</v>
      </c>
    </row>
    <row r="2716">
      <c r="A2716" s="1" t="s">
        <v>11492</v>
      </c>
      <c r="B2716" s="1" t="s">
        <v>11184</v>
      </c>
      <c r="C2716" s="1">
        <v>2019.0</v>
      </c>
      <c r="D2716" s="2">
        <v>43644.0</v>
      </c>
      <c r="F2716" s="1" t="s">
        <v>11493</v>
      </c>
      <c r="H2716" s="3">
        <v>4.0</v>
      </c>
      <c r="I2716" s="4" t="s">
        <v>11494</v>
      </c>
      <c r="J2716" s="1" t="s">
        <v>11495</v>
      </c>
      <c r="K2716" s="1" t="s">
        <v>45</v>
      </c>
    </row>
    <row r="2717">
      <c r="A2717" s="1" t="s">
        <v>11496</v>
      </c>
      <c r="B2717" s="1" t="s">
        <v>11497</v>
      </c>
      <c r="C2717" s="1">
        <v>2019.0</v>
      </c>
      <c r="D2717" s="2">
        <v>43644.0</v>
      </c>
      <c r="F2717" s="1" t="s">
        <v>11498</v>
      </c>
      <c r="H2717" s="3">
        <v>50.0</v>
      </c>
      <c r="I2717" s="4" t="s">
        <v>11499</v>
      </c>
      <c r="J2717" s="1" t="s">
        <v>11500</v>
      </c>
      <c r="K2717" s="1" t="s">
        <v>383</v>
      </c>
    </row>
    <row r="2718">
      <c r="A2718" s="1" t="s">
        <v>11501</v>
      </c>
      <c r="B2718" s="1" t="s">
        <v>11502</v>
      </c>
      <c r="C2718" s="1">
        <v>2019.0</v>
      </c>
      <c r="D2718" s="2">
        <v>43643.0</v>
      </c>
      <c r="F2718" s="1" t="s">
        <v>4530</v>
      </c>
      <c r="H2718" s="3">
        <v>36.0</v>
      </c>
      <c r="I2718" s="4" t="s">
        <v>11503</v>
      </c>
      <c r="J2718" s="1" t="s">
        <v>11504</v>
      </c>
      <c r="K2718" s="1" t="s">
        <v>372</v>
      </c>
    </row>
    <row r="2719">
      <c r="A2719" s="1" t="s">
        <v>11505</v>
      </c>
      <c r="B2719" s="1" t="s">
        <v>11506</v>
      </c>
      <c r="C2719" s="1">
        <v>2019.0</v>
      </c>
      <c r="D2719" s="2">
        <v>43642.0</v>
      </c>
      <c r="F2719" s="1" t="s">
        <v>7271</v>
      </c>
      <c r="H2719" s="3">
        <v>6.0</v>
      </c>
      <c r="I2719" s="4" t="s">
        <v>11507</v>
      </c>
      <c r="J2719" s="1" t="s">
        <v>11508</v>
      </c>
      <c r="K2719" s="1" t="s">
        <v>1036</v>
      </c>
    </row>
    <row r="2720">
      <c r="A2720" s="1" t="s">
        <v>11509</v>
      </c>
      <c r="B2720" s="1" t="s">
        <v>11510</v>
      </c>
      <c r="C2720" s="1">
        <v>2019.0</v>
      </c>
      <c r="D2720" s="2">
        <v>43641.0</v>
      </c>
      <c r="F2720" s="1" t="s">
        <v>11511</v>
      </c>
      <c r="H2720" s="3">
        <v>1.0</v>
      </c>
      <c r="I2720" s="4" t="s">
        <v>11512</v>
      </c>
      <c r="J2720" s="1" t="s">
        <v>11513</v>
      </c>
      <c r="K2720" s="1" t="s">
        <v>295</v>
      </c>
    </row>
    <row r="2721">
      <c r="A2721" s="1" t="s">
        <v>11514</v>
      </c>
      <c r="B2721" s="1" t="s">
        <v>11515</v>
      </c>
      <c r="C2721" s="1">
        <v>2019.0</v>
      </c>
      <c r="D2721" s="2">
        <v>43641.0</v>
      </c>
      <c r="F2721" s="1" t="s">
        <v>59</v>
      </c>
      <c r="H2721" s="3">
        <v>5.0</v>
      </c>
      <c r="I2721" s="4" t="s">
        <v>11516</v>
      </c>
      <c r="J2721" s="1" t="s">
        <v>11517</v>
      </c>
      <c r="K2721" s="1" t="s">
        <v>16</v>
      </c>
    </row>
    <row r="2722">
      <c r="A2722" s="1" t="s">
        <v>11518</v>
      </c>
      <c r="B2722" s="1" t="s">
        <v>11519</v>
      </c>
      <c r="C2722" s="1">
        <v>2019.0</v>
      </c>
      <c r="D2722" s="2">
        <v>43639.0</v>
      </c>
      <c r="F2722" s="1" t="s">
        <v>11520</v>
      </c>
      <c r="H2722" s="3">
        <v>19.0</v>
      </c>
      <c r="I2722" s="4" t="s">
        <v>11521</v>
      </c>
      <c r="J2722" s="1" t="s">
        <v>11522</v>
      </c>
      <c r="K2722" s="1" t="s">
        <v>443</v>
      </c>
    </row>
    <row r="2723">
      <c r="A2723" s="1" t="s">
        <v>11523</v>
      </c>
      <c r="B2723" s="1" t="s">
        <v>11524</v>
      </c>
      <c r="C2723" s="1">
        <v>2019.0</v>
      </c>
      <c r="D2723" s="2">
        <v>43638.0</v>
      </c>
      <c r="F2723" s="1" t="s">
        <v>8159</v>
      </c>
      <c r="H2723" s="3">
        <v>56.0</v>
      </c>
      <c r="I2723" s="4" t="s">
        <v>11525</v>
      </c>
      <c r="J2723" s="1" t="s">
        <v>11526</v>
      </c>
      <c r="K2723" s="1" t="s">
        <v>16</v>
      </c>
    </row>
    <row r="2724">
      <c r="A2724" s="1" t="s">
        <v>11527</v>
      </c>
      <c r="B2724" s="1" t="s">
        <v>11528</v>
      </c>
      <c r="C2724" s="1">
        <v>2019.0</v>
      </c>
      <c r="D2724" s="2">
        <v>43636.0</v>
      </c>
      <c r="F2724" s="1" t="s">
        <v>271</v>
      </c>
      <c r="H2724" s="3">
        <v>21.0</v>
      </c>
      <c r="I2724" s="4" t="s">
        <v>11529</v>
      </c>
      <c r="J2724" s="1" t="s">
        <v>11530</v>
      </c>
      <c r="K2724" s="1" t="s">
        <v>383</v>
      </c>
    </row>
    <row r="2725">
      <c r="A2725" s="1" t="s">
        <v>11531</v>
      </c>
      <c r="B2725" s="1" t="s">
        <v>11532</v>
      </c>
      <c r="C2725" s="1">
        <v>2019.0</v>
      </c>
      <c r="D2725" s="2">
        <v>43636.0</v>
      </c>
      <c r="F2725" s="1" t="s">
        <v>4861</v>
      </c>
      <c r="H2725" s="3">
        <v>57.0</v>
      </c>
      <c r="I2725" s="4" t="s">
        <v>11533</v>
      </c>
      <c r="J2725" s="1" t="s">
        <v>11534</v>
      </c>
      <c r="K2725" s="1" t="s">
        <v>28</v>
      </c>
    </row>
    <row r="2726">
      <c r="A2726" s="1" t="s">
        <v>11535</v>
      </c>
      <c r="B2726" s="1" t="s">
        <v>11536</v>
      </c>
      <c r="C2726" s="1">
        <v>2019.0</v>
      </c>
      <c r="D2726" s="2">
        <v>43636.0</v>
      </c>
      <c r="F2726" s="1" t="s">
        <v>1277</v>
      </c>
      <c r="H2726" s="3">
        <v>23.0</v>
      </c>
      <c r="I2726" s="4" t="s">
        <v>11537</v>
      </c>
      <c r="J2726" s="1" t="s">
        <v>11538</v>
      </c>
      <c r="K2726" s="1" t="s">
        <v>413</v>
      </c>
    </row>
    <row r="2727">
      <c r="A2727" s="1" t="s">
        <v>11539</v>
      </c>
      <c r="B2727" s="1" t="s">
        <v>11540</v>
      </c>
      <c r="C2727" s="1">
        <v>2019.0</v>
      </c>
      <c r="D2727" s="2">
        <v>43636.0</v>
      </c>
      <c r="F2727" s="1" t="s">
        <v>71</v>
      </c>
      <c r="H2727" s="3">
        <v>11.0</v>
      </c>
      <c r="I2727" s="4" t="s">
        <v>11541</v>
      </c>
      <c r="J2727" s="1" t="s">
        <v>11542</v>
      </c>
      <c r="K2727" s="1" t="s">
        <v>16</v>
      </c>
    </row>
    <row r="2728">
      <c r="A2728" s="1" t="s">
        <v>11543</v>
      </c>
      <c r="B2728" s="1" t="s">
        <v>11544</v>
      </c>
      <c r="C2728" s="1">
        <v>2019.0</v>
      </c>
      <c r="D2728" s="2">
        <v>43635.0</v>
      </c>
      <c r="F2728" s="1" t="s">
        <v>11545</v>
      </c>
      <c r="H2728" s="3">
        <v>128.0</v>
      </c>
      <c r="I2728" s="4" t="s">
        <v>11546</v>
      </c>
      <c r="J2728" s="1" t="s">
        <v>11547</v>
      </c>
      <c r="K2728" s="1" t="s">
        <v>28</v>
      </c>
    </row>
    <row r="2729">
      <c r="A2729" s="1" t="s">
        <v>11548</v>
      </c>
      <c r="B2729" s="1" t="s">
        <v>8091</v>
      </c>
      <c r="C2729" s="1">
        <v>2019.0</v>
      </c>
      <c r="D2729" s="2">
        <v>43635.0</v>
      </c>
      <c r="F2729" s="1" t="s">
        <v>71</v>
      </c>
      <c r="H2729" s="3">
        <v>7.0</v>
      </c>
      <c r="I2729" s="4" t="s">
        <v>11549</v>
      </c>
      <c r="J2729" s="1" t="s">
        <v>11550</v>
      </c>
      <c r="K2729" s="1" t="s">
        <v>28</v>
      </c>
    </row>
    <row r="2730">
      <c r="A2730" s="1" t="s">
        <v>11551</v>
      </c>
      <c r="B2730" s="1" t="s">
        <v>11552</v>
      </c>
      <c r="C2730" s="1">
        <v>2019.0</v>
      </c>
      <c r="D2730" s="2">
        <v>43634.0</v>
      </c>
      <c r="F2730" s="1" t="s">
        <v>2075</v>
      </c>
      <c r="H2730" s="3">
        <v>11.0</v>
      </c>
      <c r="I2730" s="4" t="s">
        <v>11553</v>
      </c>
      <c r="J2730" s="1" t="s">
        <v>11554</v>
      </c>
      <c r="K2730" s="1" t="s">
        <v>926</v>
      </c>
    </row>
    <row r="2731">
      <c r="A2731" s="1" t="s">
        <v>11555</v>
      </c>
      <c r="B2731" s="1" t="s">
        <v>11556</v>
      </c>
      <c r="C2731" s="1">
        <v>2019.0</v>
      </c>
      <c r="D2731" s="2">
        <v>43634.0</v>
      </c>
      <c r="F2731" s="1" t="s">
        <v>11557</v>
      </c>
      <c r="H2731" s="3">
        <v>2.0</v>
      </c>
      <c r="I2731" s="4" t="s">
        <v>11558</v>
      </c>
      <c r="J2731" s="1" t="s">
        <v>11559</v>
      </c>
      <c r="K2731" s="1" t="s">
        <v>68</v>
      </c>
    </row>
    <row r="2732">
      <c r="A2732" s="1" t="s">
        <v>11560</v>
      </c>
      <c r="B2732" s="1" t="s">
        <v>11561</v>
      </c>
      <c r="C2732" s="1">
        <v>2019.0</v>
      </c>
      <c r="D2732" s="2">
        <v>43634.0</v>
      </c>
      <c r="F2732" s="1" t="s">
        <v>2996</v>
      </c>
      <c r="H2732" s="3">
        <v>7.0</v>
      </c>
      <c r="I2732" s="4" t="s">
        <v>11562</v>
      </c>
      <c r="J2732" s="1" t="s">
        <v>11563</v>
      </c>
      <c r="K2732" s="1" t="s">
        <v>295</v>
      </c>
    </row>
    <row r="2733">
      <c r="A2733" s="1" t="s">
        <v>11564</v>
      </c>
      <c r="B2733" s="1" t="s">
        <v>11565</v>
      </c>
      <c r="C2733" s="1">
        <v>2019.0</v>
      </c>
      <c r="D2733" s="2">
        <v>43633.0</v>
      </c>
      <c r="F2733" s="1" t="s">
        <v>591</v>
      </c>
      <c r="H2733" s="3">
        <v>7.0</v>
      </c>
      <c r="I2733" s="4" t="s">
        <v>11566</v>
      </c>
      <c r="J2733" s="1" t="s">
        <v>11567</v>
      </c>
      <c r="K2733" s="1" t="s">
        <v>28</v>
      </c>
    </row>
    <row r="2734">
      <c r="A2734" s="1" t="s">
        <v>11568</v>
      </c>
      <c r="B2734" s="1" t="s">
        <v>11569</v>
      </c>
      <c r="C2734" s="1">
        <v>2019.0</v>
      </c>
      <c r="D2734" s="2">
        <v>43633.0</v>
      </c>
      <c r="F2734" s="1" t="s">
        <v>2611</v>
      </c>
      <c r="H2734" s="3">
        <v>24.0</v>
      </c>
      <c r="I2734" s="4" t="s">
        <v>11570</v>
      </c>
      <c r="J2734" s="1" t="s">
        <v>11571</v>
      </c>
      <c r="K2734" s="1" t="s">
        <v>403</v>
      </c>
    </row>
    <row r="2735">
      <c r="A2735" s="1" t="s">
        <v>11572</v>
      </c>
      <c r="B2735" s="1" t="s">
        <v>11573</v>
      </c>
      <c r="C2735" s="1">
        <v>2019.0</v>
      </c>
      <c r="D2735" s="2">
        <v>43632.0</v>
      </c>
      <c r="F2735" s="1" t="s">
        <v>271</v>
      </c>
      <c r="H2735" s="3">
        <v>23.0</v>
      </c>
      <c r="I2735" s="4" t="s">
        <v>11574</v>
      </c>
      <c r="J2735" s="1" t="s">
        <v>11575</v>
      </c>
      <c r="K2735" s="1" t="s">
        <v>16</v>
      </c>
    </row>
    <row r="2736">
      <c r="A2736" s="1" t="s">
        <v>11576</v>
      </c>
      <c r="B2736" s="1" t="s">
        <v>11577</v>
      </c>
      <c r="C2736" s="1">
        <v>2019.0</v>
      </c>
      <c r="D2736" s="2">
        <v>43630.0</v>
      </c>
      <c r="F2736" s="1" t="s">
        <v>157</v>
      </c>
      <c r="H2736" s="3">
        <v>80.0</v>
      </c>
      <c r="I2736" s="4" t="s">
        <v>11578</v>
      </c>
      <c r="J2736" s="1" t="s">
        <v>11579</v>
      </c>
      <c r="K2736" s="1" t="s">
        <v>546</v>
      </c>
    </row>
    <row r="2737">
      <c r="A2737" s="1" t="s">
        <v>11580</v>
      </c>
      <c r="B2737" s="1" t="s">
        <v>11581</v>
      </c>
      <c r="C2737" s="1">
        <v>2019.0</v>
      </c>
      <c r="D2737" s="2">
        <v>43630.0</v>
      </c>
      <c r="F2737" s="1" t="s">
        <v>1199</v>
      </c>
      <c r="H2737" s="3">
        <v>63.0</v>
      </c>
      <c r="I2737" s="4" t="s">
        <v>11582</v>
      </c>
      <c r="J2737" s="1" t="s">
        <v>11583</v>
      </c>
      <c r="K2737" s="1" t="s">
        <v>443</v>
      </c>
    </row>
    <row r="2738">
      <c r="A2738" s="1" t="s">
        <v>11584</v>
      </c>
      <c r="B2738" s="1" t="s">
        <v>11585</v>
      </c>
      <c r="C2738" s="1">
        <v>2019.0</v>
      </c>
      <c r="D2738" s="2">
        <v>43629.0</v>
      </c>
      <c r="F2738" s="1" t="s">
        <v>13</v>
      </c>
      <c r="H2738" s="3">
        <v>120.0</v>
      </c>
      <c r="I2738" s="4" t="s">
        <v>11586</v>
      </c>
      <c r="J2738" s="1" t="s">
        <v>11587</v>
      </c>
      <c r="K2738" s="1" t="s">
        <v>28</v>
      </c>
    </row>
    <row r="2739">
      <c r="A2739" s="1" t="s">
        <v>11588</v>
      </c>
      <c r="B2739" s="1" t="s">
        <v>11589</v>
      </c>
      <c r="C2739" s="1">
        <v>2019.0</v>
      </c>
      <c r="D2739" s="2">
        <v>43629.0</v>
      </c>
      <c r="F2739" s="1" t="s">
        <v>9242</v>
      </c>
      <c r="H2739" s="3">
        <v>31.0</v>
      </c>
      <c r="I2739" s="4" t="s">
        <v>11590</v>
      </c>
      <c r="J2739" s="1" t="s">
        <v>11591</v>
      </c>
      <c r="K2739" s="1" t="s">
        <v>28</v>
      </c>
    </row>
    <row r="2740">
      <c r="A2740" s="1" t="s">
        <v>11592</v>
      </c>
      <c r="B2740" s="1" t="s">
        <v>11593</v>
      </c>
      <c r="C2740" s="1">
        <v>2019.0</v>
      </c>
      <c r="D2740" s="2">
        <v>43626.0</v>
      </c>
      <c r="F2740" s="1" t="s">
        <v>1277</v>
      </c>
      <c r="H2740" s="3">
        <v>21.0</v>
      </c>
      <c r="I2740" s="4" t="s">
        <v>11594</v>
      </c>
      <c r="J2740" s="1" t="s">
        <v>11595</v>
      </c>
      <c r="K2740" s="1" t="s">
        <v>28</v>
      </c>
    </row>
    <row r="2741">
      <c r="A2741" s="1" t="s">
        <v>11596</v>
      </c>
      <c r="B2741" s="1" t="s">
        <v>11597</v>
      </c>
      <c r="C2741" s="1">
        <v>2019.0</v>
      </c>
      <c r="D2741" s="2">
        <v>43626.0</v>
      </c>
      <c r="F2741" s="1" t="s">
        <v>1277</v>
      </c>
      <c r="H2741" s="3">
        <v>13.0</v>
      </c>
      <c r="I2741" s="4" t="s">
        <v>11598</v>
      </c>
      <c r="J2741" s="1" t="s">
        <v>11599</v>
      </c>
      <c r="K2741" s="1" t="s">
        <v>418</v>
      </c>
    </row>
    <row r="2742">
      <c r="A2742" s="1" t="s">
        <v>11600</v>
      </c>
      <c r="B2742" s="1" t="s">
        <v>11601</v>
      </c>
      <c r="C2742" s="1">
        <v>2019.0</v>
      </c>
      <c r="D2742" s="2">
        <v>43626.0</v>
      </c>
      <c r="F2742" s="1" t="s">
        <v>314</v>
      </c>
      <c r="H2742" s="3">
        <v>37.0</v>
      </c>
      <c r="I2742" s="4" t="s">
        <v>11602</v>
      </c>
      <c r="J2742" s="1" t="s">
        <v>11603</v>
      </c>
      <c r="K2742" s="1" t="s">
        <v>383</v>
      </c>
    </row>
    <row r="2743">
      <c r="A2743" s="1" t="s">
        <v>11604</v>
      </c>
      <c r="B2743" s="1" t="s">
        <v>11605</v>
      </c>
      <c r="C2743" s="1">
        <v>2019.0</v>
      </c>
      <c r="D2743" s="2">
        <v>43626.0</v>
      </c>
      <c r="F2743" s="1" t="s">
        <v>7495</v>
      </c>
      <c r="H2743" s="3">
        <v>3.0</v>
      </c>
      <c r="I2743" s="4" t="s">
        <v>11606</v>
      </c>
      <c r="J2743" s="1" t="s">
        <v>11607</v>
      </c>
      <c r="K2743" s="1" t="s">
        <v>68</v>
      </c>
    </row>
    <row r="2744">
      <c r="A2744" s="1" t="s">
        <v>11608</v>
      </c>
      <c r="B2744" s="1" t="s">
        <v>11609</v>
      </c>
      <c r="C2744" s="1">
        <v>2019.0</v>
      </c>
      <c r="D2744" s="2">
        <v>43622.0</v>
      </c>
      <c r="F2744" s="1" t="s">
        <v>7024</v>
      </c>
      <c r="H2744" s="3">
        <v>52.0</v>
      </c>
      <c r="I2744" s="4" t="s">
        <v>11610</v>
      </c>
      <c r="J2744" s="1" t="s">
        <v>11611</v>
      </c>
      <c r="K2744" s="1" t="s">
        <v>295</v>
      </c>
    </row>
    <row r="2745">
      <c r="A2745" s="1" t="s">
        <v>11612</v>
      </c>
      <c r="B2745" s="1" t="s">
        <v>11613</v>
      </c>
      <c r="C2745" s="1">
        <v>2019.0</v>
      </c>
      <c r="D2745" s="2">
        <v>43621.0</v>
      </c>
      <c r="F2745" s="1" t="s">
        <v>271</v>
      </c>
      <c r="H2745" s="3">
        <v>8.0</v>
      </c>
      <c r="I2745" s="4" t="s">
        <v>11614</v>
      </c>
      <c r="J2745" s="1" t="s">
        <v>11615</v>
      </c>
      <c r="K2745" s="1" t="s">
        <v>323</v>
      </c>
    </row>
    <row r="2746">
      <c r="A2746" s="1" t="s">
        <v>11616</v>
      </c>
      <c r="B2746" s="1" t="s">
        <v>11617</v>
      </c>
      <c r="C2746" s="1">
        <v>2019.0</v>
      </c>
      <c r="D2746" s="2">
        <v>43620.0</v>
      </c>
      <c r="F2746" s="1" t="s">
        <v>3569</v>
      </c>
      <c r="H2746" s="3">
        <v>0.0</v>
      </c>
      <c r="I2746" s="4" t="s">
        <v>11618</v>
      </c>
      <c r="J2746" s="1"/>
      <c r="K2746" s="1" t="s">
        <v>68</v>
      </c>
    </row>
    <row r="2747">
      <c r="A2747" s="1" t="s">
        <v>11619</v>
      </c>
      <c r="B2747" s="1" t="s">
        <v>11620</v>
      </c>
      <c r="C2747" s="1">
        <v>2019.0</v>
      </c>
      <c r="D2747" s="2">
        <v>43618.0</v>
      </c>
      <c r="F2747" s="1" t="s">
        <v>11621</v>
      </c>
      <c r="H2747" s="3">
        <v>5.0</v>
      </c>
      <c r="I2747" s="4" t="s">
        <v>11622</v>
      </c>
      <c r="J2747" s="1" t="s">
        <v>11623</v>
      </c>
      <c r="K2747" s="1" t="s">
        <v>403</v>
      </c>
    </row>
    <row r="2748">
      <c r="A2748" s="1" t="s">
        <v>11624</v>
      </c>
      <c r="B2748" s="1" t="s">
        <v>11625</v>
      </c>
      <c r="C2748" s="1">
        <v>2019.0</v>
      </c>
      <c r="D2748" s="2">
        <v>43617.0</v>
      </c>
      <c r="F2748" s="1" t="s">
        <v>1995</v>
      </c>
      <c r="H2748" s="3">
        <v>15.0</v>
      </c>
      <c r="I2748" s="4" t="s">
        <v>11626</v>
      </c>
      <c r="J2748" s="1" t="s">
        <v>11627</v>
      </c>
      <c r="K2748" s="1" t="s">
        <v>1036</v>
      </c>
    </row>
    <row r="2749">
      <c r="A2749" s="1" t="s">
        <v>11628</v>
      </c>
      <c r="B2749" s="1" t="s">
        <v>6065</v>
      </c>
      <c r="C2749" s="1">
        <v>2019.0</v>
      </c>
      <c r="D2749" s="2">
        <v>43617.0</v>
      </c>
      <c r="F2749" s="1" t="s">
        <v>6066</v>
      </c>
      <c r="H2749" s="3">
        <v>23.0</v>
      </c>
      <c r="I2749" s="4" t="s">
        <v>11629</v>
      </c>
      <c r="J2749" s="1" t="s">
        <v>11630</v>
      </c>
      <c r="K2749" s="1" t="s">
        <v>28</v>
      </c>
    </row>
    <row r="2750">
      <c r="A2750" s="1" t="s">
        <v>11631</v>
      </c>
      <c r="B2750" s="1" t="s">
        <v>11632</v>
      </c>
      <c r="C2750" s="1">
        <v>2019.0</v>
      </c>
      <c r="D2750" s="2">
        <v>43617.0</v>
      </c>
      <c r="F2750" s="1" t="s">
        <v>2273</v>
      </c>
      <c r="H2750" s="3">
        <v>10.0</v>
      </c>
      <c r="I2750" s="4" t="s">
        <v>11633</v>
      </c>
      <c r="J2750" s="1" t="s">
        <v>11634</v>
      </c>
      <c r="K2750" s="1" t="s">
        <v>323</v>
      </c>
    </row>
    <row r="2751">
      <c r="A2751" s="1" t="s">
        <v>11635</v>
      </c>
      <c r="B2751" s="1" t="s">
        <v>11636</v>
      </c>
      <c r="C2751" s="1">
        <v>2019.0</v>
      </c>
      <c r="D2751" s="2">
        <v>43617.0</v>
      </c>
      <c r="F2751" s="1" t="s">
        <v>380</v>
      </c>
      <c r="H2751" s="3">
        <v>22.0</v>
      </c>
      <c r="I2751" s="4" t="s">
        <v>11637</v>
      </c>
      <c r="J2751" s="1" t="s">
        <v>11638</v>
      </c>
      <c r="K2751" s="1" t="s">
        <v>323</v>
      </c>
    </row>
    <row r="2752">
      <c r="A2752" s="1" t="s">
        <v>11639</v>
      </c>
      <c r="B2752" s="1" t="s">
        <v>11640</v>
      </c>
      <c r="C2752" s="1">
        <v>2019.0</v>
      </c>
      <c r="D2752" s="2">
        <v>43617.0</v>
      </c>
      <c r="F2752" s="1" t="s">
        <v>3340</v>
      </c>
      <c r="H2752" s="3">
        <v>43.0</v>
      </c>
      <c r="I2752" s="4" t="s">
        <v>11641</v>
      </c>
      <c r="J2752" s="1" t="s">
        <v>11642</v>
      </c>
      <c r="K2752" s="1" t="s">
        <v>16</v>
      </c>
    </row>
    <row r="2753">
      <c r="A2753" s="1" t="s">
        <v>11643</v>
      </c>
      <c r="B2753" s="1" t="s">
        <v>11644</v>
      </c>
      <c r="C2753" s="1">
        <v>2019.0</v>
      </c>
      <c r="D2753" s="2">
        <v>43617.0</v>
      </c>
      <c r="F2753" s="1" t="s">
        <v>11433</v>
      </c>
      <c r="H2753" s="3">
        <v>112.0</v>
      </c>
      <c r="I2753" s="4" t="s">
        <v>11645</v>
      </c>
      <c r="J2753" s="1" t="s">
        <v>11646</v>
      </c>
      <c r="K2753" s="1" t="s">
        <v>16</v>
      </c>
    </row>
    <row r="2754">
      <c r="A2754" s="1" t="s">
        <v>11647</v>
      </c>
      <c r="B2754" s="1" t="s">
        <v>11648</v>
      </c>
      <c r="C2754" s="1">
        <v>2019.0</v>
      </c>
      <c r="D2754" s="2">
        <v>43617.0</v>
      </c>
      <c r="F2754" s="1" t="s">
        <v>3463</v>
      </c>
      <c r="H2754" s="3">
        <v>6.0</v>
      </c>
      <c r="I2754" s="4" t="s">
        <v>11649</v>
      </c>
      <c r="J2754" s="1" t="s">
        <v>11650</v>
      </c>
      <c r="K2754" s="1" t="s">
        <v>317</v>
      </c>
    </row>
    <row r="2755">
      <c r="A2755" s="1" t="s">
        <v>11651</v>
      </c>
      <c r="B2755" s="1" t="s">
        <v>11652</v>
      </c>
      <c r="C2755" s="1">
        <v>2019.0</v>
      </c>
      <c r="D2755" s="2">
        <v>43616.0</v>
      </c>
      <c r="F2755" s="1" t="s">
        <v>308</v>
      </c>
      <c r="H2755" s="3">
        <v>30.0</v>
      </c>
      <c r="I2755" s="4" t="s">
        <v>11653</v>
      </c>
      <c r="J2755" s="1" t="s">
        <v>11654</v>
      </c>
      <c r="K2755" s="1" t="s">
        <v>443</v>
      </c>
    </row>
    <row r="2756">
      <c r="A2756" s="1" t="s">
        <v>11655</v>
      </c>
      <c r="B2756" s="1" t="s">
        <v>11656</v>
      </c>
      <c r="C2756" s="1">
        <v>2019.0</v>
      </c>
      <c r="D2756" s="2">
        <v>43616.0</v>
      </c>
      <c r="F2756" s="1" t="s">
        <v>11657</v>
      </c>
      <c r="H2756" s="3">
        <v>3.0</v>
      </c>
      <c r="I2756" s="4" t="s">
        <v>11658</v>
      </c>
      <c r="J2756" s="1" t="s">
        <v>11659</v>
      </c>
      <c r="K2756" s="1" t="s">
        <v>413</v>
      </c>
    </row>
    <row r="2757">
      <c r="A2757" s="1" t="s">
        <v>11660</v>
      </c>
      <c r="B2757" s="1" t="s">
        <v>11661</v>
      </c>
      <c r="C2757" s="1">
        <v>2019.0</v>
      </c>
      <c r="D2757" s="2">
        <v>43616.0</v>
      </c>
      <c r="F2757" s="1" t="s">
        <v>2173</v>
      </c>
      <c r="H2757" s="3">
        <v>6.0</v>
      </c>
      <c r="I2757" s="4" t="s">
        <v>11662</v>
      </c>
      <c r="J2757" s="1" t="s">
        <v>11663</v>
      </c>
      <c r="K2757" s="1" t="s">
        <v>413</v>
      </c>
    </row>
    <row r="2758">
      <c r="A2758" s="1" t="s">
        <v>11664</v>
      </c>
      <c r="B2758" s="1" t="s">
        <v>11665</v>
      </c>
      <c r="C2758" s="1">
        <v>2019.0</v>
      </c>
      <c r="D2758" s="2">
        <v>43616.0</v>
      </c>
      <c r="F2758" s="1" t="s">
        <v>1050</v>
      </c>
      <c r="H2758" s="3">
        <v>0.0</v>
      </c>
      <c r="I2758" s="4" t="s">
        <v>11666</v>
      </c>
      <c r="J2758" s="1" t="s">
        <v>11667</v>
      </c>
      <c r="K2758" s="1" t="s">
        <v>16</v>
      </c>
    </row>
    <row r="2759">
      <c r="A2759" s="1" t="s">
        <v>11668</v>
      </c>
      <c r="B2759" s="1" t="s">
        <v>11669</v>
      </c>
      <c r="C2759" s="1">
        <v>2019.0</v>
      </c>
      <c r="D2759" s="2">
        <v>43615.0</v>
      </c>
      <c r="F2759" s="1" t="s">
        <v>271</v>
      </c>
      <c r="H2759" s="3">
        <v>8.0</v>
      </c>
      <c r="I2759" s="4" t="s">
        <v>11670</v>
      </c>
      <c r="J2759" s="1" t="s">
        <v>11671</v>
      </c>
      <c r="K2759" s="1" t="s">
        <v>443</v>
      </c>
    </row>
    <row r="2760">
      <c r="A2760" s="1" t="s">
        <v>11672</v>
      </c>
      <c r="B2760" s="1" t="s">
        <v>11673</v>
      </c>
      <c r="C2760" s="1">
        <v>2019.0</v>
      </c>
      <c r="D2760" s="2">
        <v>43614.0</v>
      </c>
      <c r="F2760" s="1" t="s">
        <v>396</v>
      </c>
      <c r="H2760" s="3">
        <v>19.0</v>
      </c>
      <c r="I2760" s="4" t="s">
        <v>11674</v>
      </c>
      <c r="J2760" s="1"/>
      <c r="K2760" s="1" t="s">
        <v>28</v>
      </c>
    </row>
    <row r="2761">
      <c r="A2761" s="1" t="s">
        <v>11675</v>
      </c>
      <c r="B2761" s="1" t="s">
        <v>11676</v>
      </c>
      <c r="C2761" s="1">
        <v>2019.0</v>
      </c>
      <c r="D2761" s="2">
        <v>43613.0</v>
      </c>
      <c r="F2761" s="1" t="s">
        <v>208</v>
      </c>
      <c r="H2761" s="3">
        <v>24.0</v>
      </c>
      <c r="I2761" s="4" t="s">
        <v>11677</v>
      </c>
      <c r="J2761" s="1" t="s">
        <v>11678</v>
      </c>
      <c r="K2761" s="1" t="s">
        <v>28</v>
      </c>
    </row>
    <row r="2762">
      <c r="A2762" s="1" t="s">
        <v>11679</v>
      </c>
      <c r="B2762" s="1" t="s">
        <v>11680</v>
      </c>
      <c r="C2762" s="1">
        <v>2019.0</v>
      </c>
      <c r="D2762" s="2">
        <v>43613.0</v>
      </c>
      <c r="F2762" s="1" t="s">
        <v>208</v>
      </c>
      <c r="H2762" s="3">
        <v>33.0</v>
      </c>
      <c r="I2762" s="4" t="s">
        <v>11681</v>
      </c>
      <c r="J2762" s="1" t="s">
        <v>11682</v>
      </c>
      <c r="K2762" s="1" t="s">
        <v>28</v>
      </c>
    </row>
    <row r="2763">
      <c r="A2763" s="1" t="s">
        <v>11683</v>
      </c>
      <c r="B2763" s="1" t="s">
        <v>11684</v>
      </c>
      <c r="C2763" s="1">
        <v>2019.0</v>
      </c>
      <c r="D2763" s="2">
        <v>43612.0</v>
      </c>
      <c r="F2763" s="1" t="s">
        <v>5758</v>
      </c>
      <c r="H2763" s="3">
        <v>9.0</v>
      </c>
      <c r="I2763" s="4" t="s">
        <v>11685</v>
      </c>
      <c r="J2763" s="1" t="s">
        <v>11686</v>
      </c>
      <c r="K2763" s="1" t="s">
        <v>1036</v>
      </c>
    </row>
    <row r="2764">
      <c r="A2764" s="1" t="s">
        <v>11687</v>
      </c>
      <c r="B2764" s="1" t="s">
        <v>11688</v>
      </c>
      <c r="C2764" s="1">
        <v>2019.0</v>
      </c>
      <c r="D2764" s="2">
        <v>43612.0</v>
      </c>
      <c r="F2764" s="1" t="s">
        <v>59</v>
      </c>
      <c r="H2764" s="3">
        <v>21.0</v>
      </c>
      <c r="I2764" s="4" t="s">
        <v>11689</v>
      </c>
      <c r="J2764" s="1" t="s">
        <v>11690</v>
      </c>
      <c r="K2764" s="1" t="s">
        <v>295</v>
      </c>
    </row>
    <row r="2765">
      <c r="A2765" s="1" t="s">
        <v>11691</v>
      </c>
      <c r="B2765" s="1" t="s">
        <v>11692</v>
      </c>
      <c r="C2765" s="1">
        <v>2019.0</v>
      </c>
      <c r="D2765" s="2">
        <v>43609.0</v>
      </c>
      <c r="F2765" s="1" t="s">
        <v>271</v>
      </c>
      <c r="H2765" s="3">
        <v>12.0</v>
      </c>
      <c r="I2765" s="4" t="s">
        <v>11693</v>
      </c>
      <c r="J2765" s="1" t="s">
        <v>11694</v>
      </c>
      <c r="K2765" s="1" t="s">
        <v>68</v>
      </c>
    </row>
    <row r="2766">
      <c r="A2766" s="1" t="s">
        <v>11695</v>
      </c>
      <c r="B2766" s="1" t="s">
        <v>11696</v>
      </c>
      <c r="C2766" s="1">
        <v>2019.0</v>
      </c>
      <c r="D2766" s="2">
        <v>43609.0</v>
      </c>
      <c r="F2766" s="1" t="s">
        <v>271</v>
      </c>
      <c r="H2766" s="3">
        <v>3.0</v>
      </c>
      <c r="I2766" s="4" t="s">
        <v>11697</v>
      </c>
      <c r="J2766" s="1" t="s">
        <v>11698</v>
      </c>
      <c r="K2766" s="1" t="s">
        <v>16</v>
      </c>
    </row>
    <row r="2767">
      <c r="A2767" s="1" t="s">
        <v>11699</v>
      </c>
      <c r="B2767" s="1" t="s">
        <v>11700</v>
      </c>
      <c r="C2767" s="1">
        <v>2019.0</v>
      </c>
      <c r="D2767" s="2">
        <v>43609.0</v>
      </c>
      <c r="F2767" s="1" t="s">
        <v>4369</v>
      </c>
      <c r="H2767" s="3">
        <v>16.0</v>
      </c>
      <c r="I2767" s="4" t="s">
        <v>11701</v>
      </c>
      <c r="J2767" s="1" t="s">
        <v>11702</v>
      </c>
      <c r="K2767" s="1" t="s">
        <v>16</v>
      </c>
    </row>
    <row r="2768">
      <c r="A2768" s="1" t="s">
        <v>11703</v>
      </c>
      <c r="B2768" s="1" t="s">
        <v>11704</v>
      </c>
      <c r="C2768" s="1">
        <v>2019.0</v>
      </c>
      <c r="D2768" s="2">
        <v>43608.0</v>
      </c>
      <c r="F2768" s="1" t="s">
        <v>689</v>
      </c>
      <c r="H2768" s="3">
        <v>12.0</v>
      </c>
      <c r="I2768" s="4" t="s">
        <v>11705</v>
      </c>
      <c r="J2768" s="1" t="s">
        <v>11706</v>
      </c>
      <c r="K2768" s="1" t="s">
        <v>295</v>
      </c>
    </row>
    <row r="2769">
      <c r="A2769" s="1" t="s">
        <v>11707</v>
      </c>
      <c r="B2769" s="1" t="s">
        <v>11708</v>
      </c>
      <c r="C2769" s="1">
        <v>2019.0</v>
      </c>
      <c r="D2769" s="2">
        <v>43608.0</v>
      </c>
      <c r="F2769" s="1" t="s">
        <v>5758</v>
      </c>
      <c r="H2769" s="3">
        <v>14.0</v>
      </c>
      <c r="I2769" s="4" t="s">
        <v>11709</v>
      </c>
      <c r="J2769" s="1" t="s">
        <v>11710</v>
      </c>
      <c r="K2769" s="1" t="s">
        <v>28</v>
      </c>
    </row>
    <row r="2770">
      <c r="A2770" s="1" t="s">
        <v>11711</v>
      </c>
      <c r="B2770" s="1" t="s">
        <v>11712</v>
      </c>
      <c r="C2770" s="1">
        <v>2019.0</v>
      </c>
      <c r="D2770" s="2">
        <v>43608.0</v>
      </c>
      <c r="F2770" s="1" t="s">
        <v>178</v>
      </c>
      <c r="H2770" s="3">
        <v>40.0</v>
      </c>
      <c r="I2770" s="4" t="s">
        <v>11713</v>
      </c>
      <c r="J2770" s="1" t="s">
        <v>11714</v>
      </c>
      <c r="K2770" s="1" t="s">
        <v>28</v>
      </c>
    </row>
    <row r="2771">
      <c r="A2771" s="1" t="s">
        <v>11715</v>
      </c>
      <c r="B2771" s="1" t="s">
        <v>11716</v>
      </c>
      <c r="C2771" s="1">
        <v>2019.0</v>
      </c>
      <c r="D2771" s="2">
        <v>43608.0</v>
      </c>
      <c r="F2771" s="1" t="s">
        <v>178</v>
      </c>
      <c r="H2771" s="3">
        <v>140.0</v>
      </c>
      <c r="I2771" s="4" t="s">
        <v>11717</v>
      </c>
      <c r="J2771" s="1" t="s">
        <v>11718</v>
      </c>
      <c r="K2771" s="1" t="s">
        <v>28</v>
      </c>
    </row>
    <row r="2772">
      <c r="A2772" s="1" t="s">
        <v>11719</v>
      </c>
      <c r="B2772" s="1" t="s">
        <v>11720</v>
      </c>
      <c r="C2772" s="1">
        <v>2019.0</v>
      </c>
      <c r="D2772" s="2">
        <v>43608.0</v>
      </c>
      <c r="F2772" s="1" t="s">
        <v>11721</v>
      </c>
      <c r="H2772" s="3">
        <v>16.0</v>
      </c>
      <c r="I2772" s="4" t="s">
        <v>11722</v>
      </c>
      <c r="J2772" s="1" t="s">
        <v>11723</v>
      </c>
      <c r="K2772" s="1" t="s">
        <v>68</v>
      </c>
    </row>
    <row r="2773">
      <c r="A2773" s="1" t="s">
        <v>11724</v>
      </c>
      <c r="B2773" s="1" t="s">
        <v>11725</v>
      </c>
      <c r="C2773" s="1">
        <v>2019.0</v>
      </c>
      <c r="D2773" s="2">
        <v>43607.0</v>
      </c>
      <c r="F2773" s="1" t="s">
        <v>71</v>
      </c>
      <c r="H2773" s="3">
        <v>9.0</v>
      </c>
      <c r="I2773" s="4" t="s">
        <v>11726</v>
      </c>
      <c r="J2773" s="1" t="s">
        <v>11727</v>
      </c>
      <c r="K2773" s="1" t="s">
        <v>295</v>
      </c>
    </row>
    <row r="2774">
      <c r="A2774" s="1" t="s">
        <v>11728</v>
      </c>
      <c r="B2774" s="1" t="s">
        <v>11729</v>
      </c>
      <c r="C2774" s="1">
        <v>2019.0</v>
      </c>
      <c r="D2774" s="2">
        <v>43606.0</v>
      </c>
      <c r="F2774" s="1" t="s">
        <v>629</v>
      </c>
      <c r="H2774" s="3">
        <v>1.0</v>
      </c>
      <c r="I2774" s="4" t="s">
        <v>11730</v>
      </c>
      <c r="J2774" s="1" t="s">
        <v>11731</v>
      </c>
      <c r="K2774" s="1" t="s">
        <v>28</v>
      </c>
    </row>
    <row r="2775">
      <c r="A2775" s="1" t="s">
        <v>11732</v>
      </c>
      <c r="B2775" s="1" t="s">
        <v>11733</v>
      </c>
      <c r="C2775" s="1">
        <v>2019.0</v>
      </c>
      <c r="D2775" s="2">
        <v>43606.0</v>
      </c>
      <c r="F2775" s="1" t="s">
        <v>243</v>
      </c>
      <c r="H2775" s="3">
        <v>23.0</v>
      </c>
      <c r="I2775" s="4" t="s">
        <v>11734</v>
      </c>
      <c r="J2775" s="1" t="s">
        <v>11735</v>
      </c>
      <c r="K2775" s="1" t="s">
        <v>16</v>
      </c>
    </row>
    <row r="2776">
      <c r="A2776" s="1" t="s">
        <v>11736</v>
      </c>
      <c r="B2776" s="1" t="s">
        <v>11737</v>
      </c>
      <c r="C2776" s="1">
        <v>2019.0</v>
      </c>
      <c r="D2776" s="2">
        <v>43604.0</v>
      </c>
      <c r="F2776" s="1" t="s">
        <v>1528</v>
      </c>
      <c r="H2776" s="3">
        <v>64.0</v>
      </c>
      <c r="I2776" s="4" t="s">
        <v>11738</v>
      </c>
      <c r="J2776" s="1" t="s">
        <v>11739</v>
      </c>
      <c r="K2776" s="1" t="s">
        <v>413</v>
      </c>
    </row>
    <row r="2777">
      <c r="A2777" s="1" t="s">
        <v>11740</v>
      </c>
      <c r="B2777" s="1" t="s">
        <v>11741</v>
      </c>
      <c r="C2777" s="1">
        <v>2019.0</v>
      </c>
      <c r="D2777" s="2">
        <v>43601.0</v>
      </c>
      <c r="F2777" s="1" t="s">
        <v>1001</v>
      </c>
      <c r="H2777" s="3">
        <v>20.0</v>
      </c>
      <c r="I2777" s="4" t="s">
        <v>11742</v>
      </c>
      <c r="J2777" s="1" t="s">
        <v>11743</v>
      </c>
      <c r="K2777" s="1" t="s">
        <v>340</v>
      </c>
    </row>
    <row r="2778">
      <c r="A2778" s="1" t="s">
        <v>11744</v>
      </c>
      <c r="B2778" s="1" t="s">
        <v>11745</v>
      </c>
      <c r="C2778" s="1">
        <v>2019.0</v>
      </c>
      <c r="D2778" s="2">
        <v>43601.0</v>
      </c>
      <c r="F2778" s="1" t="s">
        <v>332</v>
      </c>
      <c r="H2778" s="3">
        <v>39.0</v>
      </c>
      <c r="I2778" s="4" t="s">
        <v>11746</v>
      </c>
      <c r="J2778" s="1" t="s">
        <v>11747</v>
      </c>
      <c r="K2778" s="1" t="s">
        <v>926</v>
      </c>
    </row>
    <row r="2779">
      <c r="A2779" s="1" t="s">
        <v>11748</v>
      </c>
      <c r="B2779" s="1" t="s">
        <v>11749</v>
      </c>
      <c r="C2779" s="1">
        <v>2019.0</v>
      </c>
      <c r="D2779" s="2">
        <v>43601.0</v>
      </c>
      <c r="F2779" s="1" t="s">
        <v>1358</v>
      </c>
      <c r="H2779" s="3">
        <v>17.0</v>
      </c>
      <c r="I2779" s="4" t="s">
        <v>11750</v>
      </c>
      <c r="J2779" s="1" t="s">
        <v>11751</v>
      </c>
      <c r="K2779" s="1" t="s">
        <v>16</v>
      </c>
    </row>
    <row r="2780">
      <c r="A2780" s="1" t="s">
        <v>11752</v>
      </c>
      <c r="B2780" s="1" t="s">
        <v>11753</v>
      </c>
      <c r="C2780" s="1">
        <v>2019.0</v>
      </c>
      <c r="D2780" s="2">
        <v>43601.0</v>
      </c>
      <c r="F2780" s="1" t="s">
        <v>3160</v>
      </c>
      <c r="H2780" s="3">
        <v>21.0</v>
      </c>
      <c r="I2780" s="4" t="s">
        <v>11754</v>
      </c>
      <c r="J2780" s="1" t="s">
        <v>11755</v>
      </c>
      <c r="K2780" s="1" t="s">
        <v>462</v>
      </c>
    </row>
    <row r="2781">
      <c r="A2781" s="1" t="s">
        <v>11756</v>
      </c>
      <c r="B2781" s="1" t="s">
        <v>11757</v>
      </c>
      <c r="C2781" s="1">
        <v>2019.0</v>
      </c>
      <c r="D2781" s="2">
        <v>43599.0</v>
      </c>
      <c r="F2781" s="1" t="s">
        <v>11758</v>
      </c>
      <c r="H2781" s="3">
        <v>22.0</v>
      </c>
      <c r="I2781" s="4" t="s">
        <v>11759</v>
      </c>
      <c r="J2781" s="1" t="s">
        <v>11760</v>
      </c>
      <c r="K2781" s="1" t="s">
        <v>28</v>
      </c>
    </row>
    <row r="2782">
      <c r="A2782" s="1" t="s">
        <v>11761</v>
      </c>
      <c r="B2782" s="1" t="s">
        <v>11762</v>
      </c>
      <c r="C2782" s="1">
        <v>2019.0</v>
      </c>
      <c r="D2782" s="2">
        <v>43598.0</v>
      </c>
      <c r="F2782" s="1" t="s">
        <v>9902</v>
      </c>
      <c r="H2782" s="3">
        <v>4.0</v>
      </c>
      <c r="I2782" s="4" t="s">
        <v>11763</v>
      </c>
      <c r="J2782" s="1" t="s">
        <v>11764</v>
      </c>
      <c r="K2782" s="1" t="s">
        <v>323</v>
      </c>
    </row>
    <row r="2783">
      <c r="A2783" s="1" t="s">
        <v>11765</v>
      </c>
      <c r="B2783" s="1" t="s">
        <v>11766</v>
      </c>
      <c r="C2783" s="1">
        <v>2019.0</v>
      </c>
      <c r="D2783" s="2">
        <v>43598.0</v>
      </c>
      <c r="F2783" s="1" t="s">
        <v>11767</v>
      </c>
      <c r="H2783" s="3">
        <v>46.0</v>
      </c>
      <c r="I2783" s="4" t="s">
        <v>11768</v>
      </c>
      <c r="J2783" s="1" t="s">
        <v>11769</v>
      </c>
      <c r="K2783" s="1" t="s">
        <v>16</v>
      </c>
    </row>
    <row r="2784">
      <c r="A2784" s="1" t="s">
        <v>11770</v>
      </c>
      <c r="B2784" s="1" t="s">
        <v>11771</v>
      </c>
      <c r="C2784" s="1">
        <v>2019.0</v>
      </c>
      <c r="D2784" s="2">
        <v>43595.0</v>
      </c>
      <c r="F2784" s="1" t="s">
        <v>3233</v>
      </c>
      <c r="H2784" s="3">
        <v>24.0</v>
      </c>
      <c r="I2784" s="4" t="s">
        <v>11772</v>
      </c>
      <c r="J2784" s="1" t="s">
        <v>11773</v>
      </c>
      <c r="K2784" s="1" t="s">
        <v>413</v>
      </c>
    </row>
    <row r="2785">
      <c r="A2785" s="1" t="s">
        <v>11774</v>
      </c>
      <c r="B2785" s="1" t="s">
        <v>11775</v>
      </c>
      <c r="C2785" s="1">
        <v>2019.0</v>
      </c>
      <c r="D2785" s="2">
        <v>43593.0</v>
      </c>
      <c r="F2785" s="1" t="s">
        <v>71</v>
      </c>
      <c r="H2785" s="3">
        <v>40.0</v>
      </c>
      <c r="I2785" s="4" t="s">
        <v>11776</v>
      </c>
      <c r="J2785" s="1" t="s">
        <v>11777</v>
      </c>
      <c r="K2785" s="1" t="s">
        <v>28</v>
      </c>
    </row>
    <row r="2786">
      <c r="A2786" s="1" t="s">
        <v>11778</v>
      </c>
      <c r="B2786" s="1" t="s">
        <v>11779</v>
      </c>
      <c r="C2786" s="1">
        <v>2019.0</v>
      </c>
      <c r="D2786" s="2">
        <v>43592.0</v>
      </c>
      <c r="F2786" s="1" t="s">
        <v>1410</v>
      </c>
      <c r="H2786" s="3">
        <v>53.0</v>
      </c>
      <c r="I2786" s="4" t="s">
        <v>11780</v>
      </c>
      <c r="J2786" s="1" t="s">
        <v>11781</v>
      </c>
      <c r="K2786" s="1" t="s">
        <v>295</v>
      </c>
    </row>
    <row r="2787">
      <c r="A2787" s="1" t="s">
        <v>11782</v>
      </c>
      <c r="B2787" s="1" t="s">
        <v>11783</v>
      </c>
      <c r="C2787" s="1">
        <v>2019.0</v>
      </c>
      <c r="D2787" s="2">
        <v>43592.0</v>
      </c>
      <c r="F2787" s="1" t="s">
        <v>2365</v>
      </c>
      <c r="H2787" s="3">
        <v>13.0</v>
      </c>
      <c r="I2787" s="4" t="s">
        <v>11784</v>
      </c>
      <c r="J2787" s="1" t="s">
        <v>11785</v>
      </c>
      <c r="K2787" s="1" t="s">
        <v>16</v>
      </c>
    </row>
    <row r="2788">
      <c r="A2788" s="1" t="s">
        <v>11786</v>
      </c>
      <c r="B2788" s="1" t="s">
        <v>11787</v>
      </c>
      <c r="C2788" s="1">
        <v>2019.0</v>
      </c>
      <c r="D2788" s="2">
        <v>43588.0</v>
      </c>
      <c r="F2788" s="1" t="s">
        <v>2007</v>
      </c>
      <c r="H2788" s="3">
        <v>8.0</v>
      </c>
      <c r="I2788" s="4" t="s">
        <v>11788</v>
      </c>
      <c r="J2788" s="1" t="s">
        <v>11789</v>
      </c>
      <c r="K2788" s="1" t="s">
        <v>295</v>
      </c>
    </row>
    <row r="2789">
      <c r="A2789" s="1" t="s">
        <v>11790</v>
      </c>
      <c r="B2789" s="1" t="s">
        <v>11791</v>
      </c>
      <c r="C2789" s="1">
        <v>2019.0</v>
      </c>
      <c r="D2789" s="2">
        <v>43587.0</v>
      </c>
      <c r="F2789" s="1" t="s">
        <v>2996</v>
      </c>
      <c r="H2789" s="3">
        <v>6.0</v>
      </c>
      <c r="I2789" s="4" t="s">
        <v>11792</v>
      </c>
      <c r="J2789" s="1" t="s">
        <v>11793</v>
      </c>
      <c r="K2789" s="1" t="s">
        <v>926</v>
      </c>
    </row>
    <row r="2790">
      <c r="A2790" s="1" t="s">
        <v>11794</v>
      </c>
      <c r="B2790" s="1" t="s">
        <v>11795</v>
      </c>
      <c r="C2790" s="1">
        <v>2019.0</v>
      </c>
      <c r="D2790" s="2">
        <v>43586.0</v>
      </c>
      <c r="F2790" s="1" t="s">
        <v>1851</v>
      </c>
      <c r="H2790" s="3">
        <v>27.0</v>
      </c>
      <c r="I2790" s="4" t="s">
        <v>11796</v>
      </c>
      <c r="J2790" s="1" t="s">
        <v>11797</v>
      </c>
      <c r="K2790" s="1" t="s">
        <v>323</v>
      </c>
    </row>
    <row r="2791">
      <c r="A2791" s="1" t="s">
        <v>11798</v>
      </c>
      <c r="B2791" s="1" t="s">
        <v>11799</v>
      </c>
      <c r="C2791" s="1">
        <v>2019.0</v>
      </c>
      <c r="D2791" s="2">
        <v>43586.0</v>
      </c>
      <c r="F2791" s="1" t="s">
        <v>5015</v>
      </c>
      <c r="H2791" s="3">
        <v>33.0</v>
      </c>
      <c r="I2791" s="4" t="s">
        <v>11800</v>
      </c>
      <c r="J2791" s="1" t="s">
        <v>11801</v>
      </c>
      <c r="K2791" s="1" t="s">
        <v>28</v>
      </c>
    </row>
    <row r="2792">
      <c r="A2792" s="1" t="s">
        <v>11802</v>
      </c>
      <c r="B2792" s="1" t="s">
        <v>11803</v>
      </c>
      <c r="C2792" s="1">
        <v>2019.0</v>
      </c>
      <c r="D2792" s="2">
        <v>43586.0</v>
      </c>
      <c r="F2792" s="1" t="s">
        <v>11804</v>
      </c>
      <c r="H2792" s="3">
        <v>9.0</v>
      </c>
      <c r="I2792" s="4" t="s">
        <v>11805</v>
      </c>
      <c r="J2792" s="1" t="s">
        <v>11806</v>
      </c>
      <c r="K2792" s="1" t="s">
        <v>28</v>
      </c>
    </row>
    <row r="2793">
      <c r="A2793" s="1" t="s">
        <v>11807</v>
      </c>
      <c r="B2793" s="1" t="s">
        <v>11808</v>
      </c>
      <c r="C2793" s="1">
        <v>2019.0</v>
      </c>
      <c r="D2793" s="2">
        <v>43586.0</v>
      </c>
      <c r="F2793" s="1" t="s">
        <v>6418</v>
      </c>
      <c r="H2793" s="3">
        <v>451.0</v>
      </c>
      <c r="I2793" s="4" t="s">
        <v>11809</v>
      </c>
      <c r="J2793" s="1" t="s">
        <v>11810</v>
      </c>
      <c r="K2793" s="1" t="s">
        <v>28</v>
      </c>
    </row>
    <row r="2794">
      <c r="A2794" s="1" t="s">
        <v>11811</v>
      </c>
      <c r="B2794" s="1" t="s">
        <v>11812</v>
      </c>
      <c r="C2794" s="1">
        <v>2019.0</v>
      </c>
      <c r="D2794" s="2">
        <v>43586.0</v>
      </c>
      <c r="F2794" s="1" t="s">
        <v>8420</v>
      </c>
      <c r="H2794" s="3">
        <v>16.0</v>
      </c>
      <c r="I2794" s="4" t="s">
        <v>11813</v>
      </c>
      <c r="J2794" s="1" t="s">
        <v>11814</v>
      </c>
      <c r="K2794" s="1" t="s">
        <v>16</v>
      </c>
    </row>
    <row r="2795">
      <c r="A2795" s="1" t="s">
        <v>11815</v>
      </c>
      <c r="B2795" s="1" t="s">
        <v>11816</v>
      </c>
      <c r="C2795" s="1">
        <v>2019.0</v>
      </c>
      <c r="D2795" s="2">
        <v>43586.0</v>
      </c>
      <c r="F2795" s="1" t="s">
        <v>4980</v>
      </c>
      <c r="H2795" s="3">
        <v>5.0</v>
      </c>
      <c r="I2795" s="4" t="s">
        <v>11817</v>
      </c>
      <c r="J2795" s="1" t="s">
        <v>11818</v>
      </c>
      <c r="K2795" s="1" t="s">
        <v>295</v>
      </c>
    </row>
    <row r="2796">
      <c r="A2796" s="1" t="s">
        <v>11819</v>
      </c>
      <c r="B2796" s="1" t="s">
        <v>11820</v>
      </c>
      <c r="C2796" s="1">
        <v>2019.0</v>
      </c>
      <c r="D2796" s="2">
        <v>43585.0</v>
      </c>
      <c r="F2796" s="1" t="s">
        <v>243</v>
      </c>
      <c r="H2796" s="3">
        <v>12.0</v>
      </c>
      <c r="I2796" s="4" t="s">
        <v>11821</v>
      </c>
      <c r="J2796" s="1" t="s">
        <v>11822</v>
      </c>
      <c r="K2796" s="1" t="s">
        <v>418</v>
      </c>
    </row>
    <row r="2797">
      <c r="A2797" s="1" t="s">
        <v>11823</v>
      </c>
      <c r="B2797" s="1" t="s">
        <v>11824</v>
      </c>
      <c r="C2797" s="1">
        <v>2019.0</v>
      </c>
      <c r="D2797" s="2">
        <v>43581.0</v>
      </c>
      <c r="F2797" s="1" t="s">
        <v>11825</v>
      </c>
      <c r="H2797" s="3">
        <v>2.0</v>
      </c>
      <c r="I2797" s="4" t="s">
        <v>11826</v>
      </c>
      <c r="J2797" s="1" t="s">
        <v>11827</v>
      </c>
      <c r="K2797" s="1" t="s">
        <v>16</v>
      </c>
    </row>
    <row r="2798">
      <c r="A2798" s="1" t="s">
        <v>11828</v>
      </c>
      <c r="B2798" s="1" t="s">
        <v>11829</v>
      </c>
      <c r="C2798" s="1">
        <v>2019.0</v>
      </c>
      <c r="D2798" s="2">
        <v>43580.0</v>
      </c>
      <c r="F2798" s="1" t="s">
        <v>5392</v>
      </c>
      <c r="H2798" s="3">
        <v>10.0</v>
      </c>
      <c r="I2798" s="4" t="s">
        <v>11830</v>
      </c>
      <c r="J2798" s="1" t="s">
        <v>11831</v>
      </c>
      <c r="K2798" s="1" t="s">
        <v>443</v>
      </c>
    </row>
    <row r="2799">
      <c r="A2799" s="1" t="s">
        <v>11832</v>
      </c>
      <c r="B2799" s="1" t="s">
        <v>11833</v>
      </c>
      <c r="C2799" s="1">
        <v>2019.0</v>
      </c>
      <c r="D2799" s="2">
        <v>43580.0</v>
      </c>
      <c r="F2799" s="1" t="s">
        <v>435</v>
      </c>
      <c r="H2799" s="3">
        <v>36.0</v>
      </c>
      <c r="I2799" s="4" t="s">
        <v>11834</v>
      </c>
      <c r="J2799" s="1" t="s">
        <v>11835</v>
      </c>
      <c r="K2799" s="1" t="s">
        <v>1036</v>
      </c>
    </row>
    <row r="2800">
      <c r="A2800" s="1" t="s">
        <v>11836</v>
      </c>
      <c r="B2800" s="1" t="s">
        <v>11837</v>
      </c>
      <c r="C2800" s="1">
        <v>2019.0</v>
      </c>
      <c r="D2800" s="2">
        <v>43580.0</v>
      </c>
      <c r="F2800" s="1" t="s">
        <v>711</v>
      </c>
      <c r="H2800" s="3">
        <v>39.0</v>
      </c>
      <c r="I2800" s="4" t="s">
        <v>11838</v>
      </c>
      <c r="J2800" s="1" t="s">
        <v>11839</v>
      </c>
      <c r="K2800" s="1" t="s">
        <v>28</v>
      </c>
    </row>
    <row r="2801">
      <c r="A2801" s="1" t="s">
        <v>11840</v>
      </c>
      <c r="B2801" s="1" t="s">
        <v>11841</v>
      </c>
      <c r="C2801" s="1">
        <v>2019.0</v>
      </c>
      <c r="D2801" s="2">
        <v>43579.0</v>
      </c>
      <c r="F2801" s="1" t="s">
        <v>271</v>
      </c>
      <c r="H2801" s="3">
        <v>68.0</v>
      </c>
      <c r="I2801" s="4" t="s">
        <v>11842</v>
      </c>
      <c r="J2801" s="1" t="s">
        <v>11843</v>
      </c>
      <c r="K2801" s="1" t="s">
        <v>28</v>
      </c>
    </row>
    <row r="2802">
      <c r="A2802" s="1" t="s">
        <v>11844</v>
      </c>
      <c r="B2802" s="1" t="s">
        <v>11845</v>
      </c>
      <c r="C2802" s="1">
        <v>2019.0</v>
      </c>
      <c r="D2802" s="2">
        <v>43578.0</v>
      </c>
      <c r="F2802" s="1" t="s">
        <v>1277</v>
      </c>
      <c r="H2802" s="3">
        <v>11.0</v>
      </c>
      <c r="I2802" s="4" t="s">
        <v>11846</v>
      </c>
      <c r="J2802" s="1" t="s">
        <v>11847</v>
      </c>
      <c r="K2802" s="1" t="s">
        <v>28</v>
      </c>
    </row>
    <row r="2803">
      <c r="A2803" s="1" t="s">
        <v>11848</v>
      </c>
      <c r="B2803" s="1" t="s">
        <v>11849</v>
      </c>
      <c r="C2803" s="1">
        <v>2019.0</v>
      </c>
      <c r="D2803" s="2">
        <v>43577.0</v>
      </c>
      <c r="F2803" s="1" t="s">
        <v>2007</v>
      </c>
      <c r="H2803" s="3">
        <v>102.0</v>
      </c>
      <c r="I2803" s="4" t="s">
        <v>11850</v>
      </c>
      <c r="J2803" s="1" t="s">
        <v>11851</v>
      </c>
      <c r="K2803" s="1" t="s">
        <v>443</v>
      </c>
    </row>
    <row r="2804">
      <c r="A2804" s="1" t="s">
        <v>11852</v>
      </c>
      <c r="B2804" s="1" t="s">
        <v>11853</v>
      </c>
      <c r="C2804" s="1">
        <v>2019.0</v>
      </c>
      <c r="D2804" s="2">
        <v>43575.0</v>
      </c>
      <c r="F2804" s="1" t="s">
        <v>835</v>
      </c>
      <c r="H2804" s="3">
        <v>9.0</v>
      </c>
      <c r="I2804" s="4" t="s">
        <v>11854</v>
      </c>
      <c r="J2804" s="1" t="s">
        <v>11855</v>
      </c>
      <c r="K2804" s="1" t="s">
        <v>28</v>
      </c>
    </row>
    <row r="2805">
      <c r="A2805" s="1" t="s">
        <v>11856</v>
      </c>
      <c r="B2805" s="1" t="s">
        <v>11857</v>
      </c>
      <c r="C2805" s="1">
        <v>2019.0</v>
      </c>
      <c r="D2805" s="2">
        <v>43575.0</v>
      </c>
      <c r="F2805" s="1" t="s">
        <v>882</v>
      </c>
      <c r="H2805" s="3">
        <v>444.0</v>
      </c>
      <c r="I2805" s="4" t="s">
        <v>11858</v>
      </c>
      <c r="J2805" s="1"/>
      <c r="K2805" s="1" t="s">
        <v>28</v>
      </c>
    </row>
    <row r="2806">
      <c r="A2806" s="1" t="s">
        <v>11859</v>
      </c>
      <c r="B2806" s="1" t="s">
        <v>11860</v>
      </c>
      <c r="C2806" s="1">
        <v>2019.0</v>
      </c>
      <c r="D2806" s="2">
        <v>43574.0</v>
      </c>
      <c r="F2806" s="1" t="s">
        <v>157</v>
      </c>
      <c r="H2806" s="3">
        <v>7.0</v>
      </c>
      <c r="I2806" s="4" t="s">
        <v>11861</v>
      </c>
      <c r="J2806" s="1" t="s">
        <v>11862</v>
      </c>
      <c r="K2806" s="1" t="s">
        <v>546</v>
      </c>
    </row>
    <row r="2807">
      <c r="A2807" s="1" t="s">
        <v>11863</v>
      </c>
      <c r="B2807" s="1" t="s">
        <v>11864</v>
      </c>
      <c r="C2807" s="1">
        <v>2019.0</v>
      </c>
      <c r="D2807" s="2">
        <v>43571.0</v>
      </c>
      <c r="F2807" s="1" t="s">
        <v>5392</v>
      </c>
      <c r="H2807" s="3">
        <v>23.0</v>
      </c>
      <c r="I2807" s="4" t="s">
        <v>11865</v>
      </c>
      <c r="J2807" s="1" t="s">
        <v>11866</v>
      </c>
      <c r="K2807" s="1" t="s">
        <v>323</v>
      </c>
    </row>
    <row r="2808">
      <c r="A2808" s="1" t="s">
        <v>11867</v>
      </c>
      <c r="B2808" s="1" t="s">
        <v>11868</v>
      </c>
      <c r="C2808" s="1">
        <v>2019.0</v>
      </c>
      <c r="D2808" s="2">
        <v>43571.0</v>
      </c>
      <c r="F2808" s="1" t="s">
        <v>8184</v>
      </c>
      <c r="H2808" s="3">
        <v>2.0</v>
      </c>
      <c r="I2808" s="4" t="s">
        <v>11869</v>
      </c>
      <c r="J2808" s="1"/>
      <c r="K2808" s="1" t="s">
        <v>16</v>
      </c>
    </row>
    <row r="2809">
      <c r="A2809" s="1" t="s">
        <v>11870</v>
      </c>
      <c r="B2809" s="1" t="s">
        <v>11871</v>
      </c>
      <c r="C2809" s="1">
        <v>2019.0</v>
      </c>
      <c r="D2809" s="2">
        <v>43570.0</v>
      </c>
      <c r="F2809" s="1" t="s">
        <v>2707</v>
      </c>
      <c r="H2809" s="3">
        <v>31.0</v>
      </c>
      <c r="I2809" s="4" t="s">
        <v>11872</v>
      </c>
      <c r="J2809" s="1" t="s">
        <v>11873</v>
      </c>
      <c r="K2809" s="1" t="s">
        <v>443</v>
      </c>
    </row>
    <row r="2810">
      <c r="A2810" s="1" t="s">
        <v>11874</v>
      </c>
      <c r="B2810" s="1" t="s">
        <v>11875</v>
      </c>
      <c r="C2810" s="1">
        <v>2019.0</v>
      </c>
      <c r="D2810" s="2">
        <v>43569.0</v>
      </c>
      <c r="F2810" s="1" t="s">
        <v>271</v>
      </c>
      <c r="H2810" s="3">
        <v>5.0</v>
      </c>
      <c r="I2810" s="4" t="s">
        <v>11876</v>
      </c>
      <c r="J2810" s="1" t="s">
        <v>11877</v>
      </c>
      <c r="K2810" s="1" t="s">
        <v>323</v>
      </c>
    </row>
    <row r="2811">
      <c r="A2811" s="1" t="s">
        <v>11878</v>
      </c>
      <c r="B2811" s="1" t="s">
        <v>11879</v>
      </c>
      <c r="C2811" s="1">
        <v>2019.0</v>
      </c>
      <c r="D2811" s="2">
        <v>43569.0</v>
      </c>
      <c r="F2811" s="1" t="s">
        <v>610</v>
      </c>
      <c r="H2811" s="3">
        <v>110.0</v>
      </c>
      <c r="I2811" s="4" t="s">
        <v>11880</v>
      </c>
      <c r="J2811" s="1" t="s">
        <v>11881</v>
      </c>
      <c r="K2811" s="1" t="s">
        <v>16</v>
      </c>
    </row>
    <row r="2812">
      <c r="A2812" s="1" t="s">
        <v>11882</v>
      </c>
      <c r="B2812" s="1" t="s">
        <v>11883</v>
      </c>
      <c r="C2812" s="1">
        <v>2019.0</v>
      </c>
      <c r="D2812" s="2">
        <v>43566.0</v>
      </c>
      <c r="F2812" s="1" t="s">
        <v>11884</v>
      </c>
      <c r="H2812" s="3">
        <v>3.0</v>
      </c>
      <c r="I2812" s="4" t="s">
        <v>11885</v>
      </c>
      <c r="J2812" s="1" t="s">
        <v>11886</v>
      </c>
      <c r="K2812" s="1" t="s">
        <v>413</v>
      </c>
    </row>
    <row r="2813">
      <c r="A2813" s="1" t="s">
        <v>11887</v>
      </c>
      <c r="B2813" s="1" t="s">
        <v>11888</v>
      </c>
      <c r="C2813" s="1">
        <v>2019.0</v>
      </c>
      <c r="D2813" s="2">
        <v>43564.0</v>
      </c>
      <c r="F2813" s="1" t="s">
        <v>1505</v>
      </c>
      <c r="H2813" s="3">
        <v>0.0</v>
      </c>
      <c r="I2813" s="4" t="s">
        <v>11889</v>
      </c>
      <c r="J2813" s="1"/>
      <c r="K2813" s="1" t="s">
        <v>28</v>
      </c>
    </row>
    <row r="2814">
      <c r="A2814" s="1" t="s">
        <v>11890</v>
      </c>
      <c r="B2814" s="1" t="s">
        <v>11891</v>
      </c>
      <c r="C2814" s="1">
        <v>2019.0</v>
      </c>
      <c r="D2814" s="2">
        <v>43563.0</v>
      </c>
      <c r="F2814" s="1" t="s">
        <v>71</v>
      </c>
      <c r="H2814" s="3">
        <v>12.0</v>
      </c>
      <c r="I2814" s="4" t="s">
        <v>11892</v>
      </c>
      <c r="J2814" s="1" t="s">
        <v>11893</v>
      </c>
      <c r="K2814" s="1" t="s">
        <v>28</v>
      </c>
    </row>
    <row r="2815">
      <c r="A2815" s="1" t="s">
        <v>11894</v>
      </c>
      <c r="B2815" s="1" t="s">
        <v>11895</v>
      </c>
      <c r="C2815" s="1">
        <v>2019.0</v>
      </c>
      <c r="D2815" s="2">
        <v>43559.0</v>
      </c>
      <c r="F2815" s="1" t="s">
        <v>3463</v>
      </c>
      <c r="H2815" s="3">
        <v>10.0</v>
      </c>
      <c r="I2815" s="4" t="s">
        <v>11896</v>
      </c>
      <c r="J2815" s="1" t="s">
        <v>11897</v>
      </c>
      <c r="K2815" s="1" t="s">
        <v>462</v>
      </c>
    </row>
    <row r="2816">
      <c r="A2816" s="1" t="s">
        <v>11898</v>
      </c>
      <c r="B2816" s="1" t="s">
        <v>11899</v>
      </c>
      <c r="C2816" s="1">
        <v>2019.0</v>
      </c>
      <c r="D2816" s="2">
        <v>43559.0</v>
      </c>
      <c r="F2816" s="1" t="s">
        <v>4235</v>
      </c>
      <c r="H2816" s="3">
        <v>9.0</v>
      </c>
      <c r="I2816" s="4" t="s">
        <v>11900</v>
      </c>
      <c r="J2816" s="1" t="s">
        <v>11901</v>
      </c>
      <c r="K2816" s="1" t="s">
        <v>329</v>
      </c>
    </row>
    <row r="2817">
      <c r="A2817" s="1" t="s">
        <v>11902</v>
      </c>
      <c r="B2817" s="1" t="s">
        <v>11903</v>
      </c>
      <c r="C2817" s="1">
        <v>2019.0</v>
      </c>
      <c r="D2817" s="2">
        <v>43557.0</v>
      </c>
      <c r="F2817" s="1" t="s">
        <v>71</v>
      </c>
      <c r="H2817" s="3">
        <v>7.0</v>
      </c>
      <c r="I2817" s="4" t="s">
        <v>11904</v>
      </c>
      <c r="J2817" s="1" t="s">
        <v>11905</v>
      </c>
      <c r="K2817" s="1" t="s">
        <v>16</v>
      </c>
    </row>
    <row r="2818">
      <c r="A2818" s="1" t="s">
        <v>11906</v>
      </c>
      <c r="B2818" s="1" t="s">
        <v>11907</v>
      </c>
      <c r="C2818" s="1">
        <v>2019.0</v>
      </c>
      <c r="D2818" s="2">
        <v>43556.0</v>
      </c>
      <c r="F2818" s="1" t="s">
        <v>271</v>
      </c>
      <c r="H2818" s="3">
        <v>18.0</v>
      </c>
      <c r="I2818" s="4" t="s">
        <v>11908</v>
      </c>
      <c r="J2818" s="1" t="s">
        <v>11909</v>
      </c>
      <c r="K2818" s="1" t="s">
        <v>28</v>
      </c>
    </row>
    <row r="2819">
      <c r="A2819" s="1" t="s">
        <v>11910</v>
      </c>
      <c r="B2819" s="1" t="s">
        <v>7020</v>
      </c>
      <c r="C2819" s="1">
        <v>2019.0</v>
      </c>
      <c r="D2819" s="2">
        <v>43556.0</v>
      </c>
      <c r="F2819" s="1" t="s">
        <v>4544</v>
      </c>
      <c r="H2819" s="3">
        <v>32.0</v>
      </c>
      <c r="I2819" s="4" t="s">
        <v>11911</v>
      </c>
      <c r="J2819" s="1" t="s">
        <v>11912</v>
      </c>
      <c r="K2819" s="1" t="s">
        <v>323</v>
      </c>
    </row>
    <row r="2820">
      <c r="A2820" s="1" t="s">
        <v>11913</v>
      </c>
      <c r="B2820" s="1" t="s">
        <v>11914</v>
      </c>
      <c r="C2820" s="1">
        <v>2019.0</v>
      </c>
      <c r="D2820" s="2">
        <v>43556.0</v>
      </c>
      <c r="F2820" s="1" t="s">
        <v>3340</v>
      </c>
      <c r="H2820" s="3">
        <v>17.0</v>
      </c>
      <c r="I2820" s="4" t="s">
        <v>11915</v>
      </c>
      <c r="J2820" s="1" t="s">
        <v>11916</v>
      </c>
      <c r="K2820" s="1" t="s">
        <v>28</v>
      </c>
    </row>
    <row r="2821">
      <c r="A2821" s="1" t="s">
        <v>11917</v>
      </c>
      <c r="B2821" s="1" t="s">
        <v>11918</v>
      </c>
      <c r="C2821" s="1">
        <v>2019.0</v>
      </c>
      <c r="D2821" s="2">
        <v>43556.0</v>
      </c>
      <c r="F2821" s="1" t="s">
        <v>11110</v>
      </c>
      <c r="H2821" s="3">
        <v>55.0</v>
      </c>
      <c r="I2821" s="4" t="s">
        <v>11919</v>
      </c>
      <c r="J2821" s="1" t="s">
        <v>11920</v>
      </c>
      <c r="K2821" s="1" t="s">
        <v>323</v>
      </c>
    </row>
    <row r="2822">
      <c r="A2822" s="1" t="s">
        <v>11921</v>
      </c>
      <c r="B2822" s="1" t="s">
        <v>11922</v>
      </c>
      <c r="C2822" s="1">
        <v>2019.0</v>
      </c>
      <c r="D2822" s="2">
        <v>43556.0</v>
      </c>
      <c r="F2822" s="1" t="s">
        <v>4544</v>
      </c>
      <c r="H2822" s="3">
        <v>386.0</v>
      </c>
      <c r="I2822" s="4" t="s">
        <v>11923</v>
      </c>
      <c r="J2822" s="1" t="s">
        <v>11924</v>
      </c>
      <c r="K2822" s="1" t="s">
        <v>28</v>
      </c>
    </row>
    <row r="2823">
      <c r="A2823" s="1" t="s">
        <v>11925</v>
      </c>
      <c r="B2823" s="1" t="s">
        <v>11926</v>
      </c>
      <c r="C2823" s="1">
        <v>2019.0</v>
      </c>
      <c r="D2823" s="2">
        <v>43556.0</v>
      </c>
      <c r="F2823" s="1" t="s">
        <v>2273</v>
      </c>
      <c r="H2823" s="3">
        <v>29.0</v>
      </c>
      <c r="I2823" s="4" t="s">
        <v>11927</v>
      </c>
      <c r="J2823" s="1" t="s">
        <v>11928</v>
      </c>
      <c r="K2823" s="1" t="s">
        <v>1036</v>
      </c>
    </row>
    <row r="2824">
      <c r="A2824" s="1" t="s">
        <v>11929</v>
      </c>
      <c r="B2824" s="1" t="s">
        <v>11930</v>
      </c>
      <c r="C2824" s="1">
        <v>2019.0</v>
      </c>
      <c r="D2824" s="2">
        <v>43556.0</v>
      </c>
      <c r="F2824" s="1" t="s">
        <v>519</v>
      </c>
      <c r="H2824" s="3">
        <v>4.0</v>
      </c>
      <c r="I2824" s="4" t="s">
        <v>11931</v>
      </c>
      <c r="J2824" s="1" t="s">
        <v>11932</v>
      </c>
      <c r="K2824" s="1" t="s">
        <v>323</v>
      </c>
    </row>
    <row r="2825">
      <c r="A2825" s="1" t="s">
        <v>11933</v>
      </c>
      <c r="B2825" s="1" t="s">
        <v>11934</v>
      </c>
      <c r="C2825" s="1">
        <v>2019.0</v>
      </c>
      <c r="D2825" s="2">
        <v>43556.0</v>
      </c>
      <c r="F2825" s="1" t="s">
        <v>11935</v>
      </c>
      <c r="H2825" s="3">
        <v>14.0</v>
      </c>
      <c r="I2825" s="4" t="s">
        <v>11936</v>
      </c>
      <c r="J2825" s="1" t="s">
        <v>11937</v>
      </c>
      <c r="K2825" s="1" t="s">
        <v>68</v>
      </c>
    </row>
    <row r="2826">
      <c r="A2826" s="1" t="s">
        <v>11938</v>
      </c>
      <c r="B2826" s="1" t="s">
        <v>11939</v>
      </c>
      <c r="C2826" s="1">
        <v>2019.0</v>
      </c>
      <c r="D2826" s="2">
        <v>43556.0</v>
      </c>
      <c r="F2826" s="1" t="s">
        <v>8420</v>
      </c>
      <c r="H2826" s="3">
        <v>9.0</v>
      </c>
      <c r="I2826" s="4" t="s">
        <v>11940</v>
      </c>
      <c r="J2826" s="1" t="s">
        <v>11941</v>
      </c>
      <c r="K2826" s="1" t="s">
        <v>16</v>
      </c>
    </row>
    <row r="2827">
      <c r="A2827" s="1" t="s">
        <v>11942</v>
      </c>
      <c r="B2827" s="1" t="s">
        <v>11943</v>
      </c>
      <c r="C2827" s="1">
        <v>2019.0</v>
      </c>
      <c r="D2827" s="2">
        <v>43553.0</v>
      </c>
      <c r="F2827" s="1" t="s">
        <v>228</v>
      </c>
      <c r="H2827" s="3">
        <v>40.0</v>
      </c>
      <c r="I2827" s="4" t="s">
        <v>11944</v>
      </c>
      <c r="J2827" s="1" t="s">
        <v>11945</v>
      </c>
      <c r="K2827" s="1" t="s">
        <v>28</v>
      </c>
    </row>
    <row r="2828">
      <c r="A2828" s="1" t="s">
        <v>11946</v>
      </c>
      <c r="B2828" s="1" t="s">
        <v>11947</v>
      </c>
      <c r="C2828" s="1">
        <v>2019.0</v>
      </c>
      <c r="D2828" s="2">
        <v>43552.0</v>
      </c>
      <c r="F2828" s="1" t="s">
        <v>142</v>
      </c>
      <c r="H2828" s="3">
        <v>84.0</v>
      </c>
      <c r="I2828" s="4" t="s">
        <v>11948</v>
      </c>
      <c r="J2828" s="1" t="s">
        <v>11949</v>
      </c>
      <c r="K2828" s="1" t="s">
        <v>16</v>
      </c>
    </row>
    <row r="2829">
      <c r="A2829" s="1" t="s">
        <v>11950</v>
      </c>
      <c r="B2829" s="1" t="s">
        <v>11951</v>
      </c>
      <c r="C2829" s="1">
        <v>2019.0</v>
      </c>
      <c r="D2829" s="2">
        <v>43552.0</v>
      </c>
      <c r="F2829" s="1" t="s">
        <v>4634</v>
      </c>
      <c r="H2829" s="3">
        <v>21.0</v>
      </c>
      <c r="I2829" s="4" t="s">
        <v>11952</v>
      </c>
      <c r="J2829" s="1" t="s">
        <v>11953</v>
      </c>
      <c r="K2829" s="1" t="s">
        <v>16</v>
      </c>
    </row>
    <row r="2830">
      <c r="A2830" s="1" t="s">
        <v>11954</v>
      </c>
      <c r="B2830" s="1" t="s">
        <v>11955</v>
      </c>
      <c r="C2830" s="1">
        <v>2019.0</v>
      </c>
      <c r="D2830" s="2">
        <v>43550.0</v>
      </c>
      <c r="F2830" s="1" t="s">
        <v>11956</v>
      </c>
      <c r="H2830" s="3">
        <v>7.0</v>
      </c>
      <c r="I2830" s="4" t="s">
        <v>11957</v>
      </c>
      <c r="J2830" s="1" t="s">
        <v>11958</v>
      </c>
      <c r="K2830" s="1" t="s">
        <v>16</v>
      </c>
    </row>
    <row r="2831">
      <c r="A2831" s="1" t="s">
        <v>11959</v>
      </c>
      <c r="B2831" s="1" t="s">
        <v>11960</v>
      </c>
      <c r="C2831" s="1">
        <v>2019.0</v>
      </c>
      <c r="D2831" s="2">
        <v>43549.0</v>
      </c>
      <c r="F2831" s="1" t="s">
        <v>218</v>
      </c>
      <c r="H2831" s="3">
        <v>23.0</v>
      </c>
      <c r="I2831" s="4" t="s">
        <v>11961</v>
      </c>
      <c r="J2831" s="1" t="s">
        <v>11962</v>
      </c>
      <c r="K2831" s="1" t="s">
        <v>16</v>
      </c>
    </row>
    <row r="2832">
      <c r="A2832" s="1" t="s">
        <v>11963</v>
      </c>
      <c r="B2832" s="1" t="s">
        <v>11964</v>
      </c>
      <c r="C2832" s="1">
        <v>2019.0</v>
      </c>
      <c r="D2832" s="2">
        <v>43545.0</v>
      </c>
      <c r="F2832" s="1" t="s">
        <v>9133</v>
      </c>
      <c r="H2832" s="3">
        <v>22.0</v>
      </c>
      <c r="I2832" s="4" t="s">
        <v>11965</v>
      </c>
      <c r="J2832" s="1" t="s">
        <v>11966</v>
      </c>
      <c r="K2832" s="1" t="s">
        <v>28</v>
      </c>
    </row>
    <row r="2833">
      <c r="A2833" s="1" t="s">
        <v>11967</v>
      </c>
      <c r="B2833" s="1" t="s">
        <v>11968</v>
      </c>
      <c r="C2833" s="1">
        <v>2019.0</v>
      </c>
      <c r="D2833" s="2">
        <v>43545.0</v>
      </c>
      <c r="F2833" s="1" t="s">
        <v>9133</v>
      </c>
      <c r="H2833" s="3">
        <v>14.0</v>
      </c>
      <c r="I2833" s="4" t="s">
        <v>11969</v>
      </c>
      <c r="J2833" s="1" t="s">
        <v>11970</v>
      </c>
      <c r="K2833" s="1" t="s">
        <v>28</v>
      </c>
    </row>
    <row r="2834">
      <c r="A2834" s="1" t="s">
        <v>11971</v>
      </c>
      <c r="B2834" s="1" t="s">
        <v>11972</v>
      </c>
      <c r="C2834" s="1">
        <v>2019.0</v>
      </c>
      <c r="D2834" s="2">
        <v>43545.0</v>
      </c>
      <c r="F2834" s="1" t="s">
        <v>1050</v>
      </c>
      <c r="H2834" s="3">
        <v>0.0</v>
      </c>
      <c r="I2834" s="4" t="s">
        <v>11973</v>
      </c>
      <c r="J2834" s="1" t="s">
        <v>11974</v>
      </c>
      <c r="K2834" s="1" t="s">
        <v>68</v>
      </c>
    </row>
    <row r="2835">
      <c r="A2835" s="1" t="s">
        <v>11975</v>
      </c>
      <c r="B2835" s="1" t="s">
        <v>11976</v>
      </c>
      <c r="C2835" s="1">
        <v>2019.0</v>
      </c>
      <c r="D2835" s="2">
        <v>43544.0</v>
      </c>
      <c r="F2835" s="1" t="s">
        <v>11977</v>
      </c>
      <c r="H2835" s="3">
        <v>15.0</v>
      </c>
      <c r="I2835" s="4" t="s">
        <v>11978</v>
      </c>
      <c r="J2835" s="1" t="s">
        <v>11979</v>
      </c>
      <c r="K2835" s="1" t="s">
        <v>926</v>
      </c>
    </row>
    <row r="2836">
      <c r="A2836" s="1" t="s">
        <v>11980</v>
      </c>
      <c r="B2836" s="1" t="s">
        <v>11981</v>
      </c>
      <c r="C2836" s="1">
        <v>2019.0</v>
      </c>
      <c r="D2836" s="2">
        <v>43544.0</v>
      </c>
      <c r="F2836" s="1" t="s">
        <v>208</v>
      </c>
      <c r="H2836" s="3">
        <v>7.0</v>
      </c>
      <c r="I2836" s="4" t="s">
        <v>11982</v>
      </c>
      <c r="J2836" s="1" t="s">
        <v>11983</v>
      </c>
      <c r="K2836" s="1" t="s">
        <v>418</v>
      </c>
    </row>
    <row r="2837">
      <c r="A2837" s="1" t="s">
        <v>11984</v>
      </c>
      <c r="B2837" s="1" t="s">
        <v>11985</v>
      </c>
      <c r="C2837" s="1">
        <v>2019.0</v>
      </c>
      <c r="D2837" s="2">
        <v>43543.0</v>
      </c>
      <c r="F2837" s="1" t="s">
        <v>4063</v>
      </c>
      <c r="H2837" s="3">
        <v>21.0</v>
      </c>
      <c r="I2837" s="4" t="s">
        <v>11986</v>
      </c>
      <c r="J2837" s="1" t="s">
        <v>11987</v>
      </c>
      <c r="K2837" s="1" t="s">
        <v>28</v>
      </c>
    </row>
    <row r="2838">
      <c r="A2838" s="1" t="s">
        <v>11988</v>
      </c>
      <c r="B2838" s="1" t="s">
        <v>11989</v>
      </c>
      <c r="C2838" s="1">
        <v>2019.0</v>
      </c>
      <c r="D2838" s="2">
        <v>43542.0</v>
      </c>
      <c r="F2838" s="1" t="s">
        <v>1938</v>
      </c>
      <c r="H2838" s="3">
        <v>10.0</v>
      </c>
      <c r="I2838" s="4" t="s">
        <v>11990</v>
      </c>
      <c r="J2838" s="1" t="s">
        <v>11991</v>
      </c>
      <c r="K2838" s="1" t="s">
        <v>295</v>
      </c>
    </row>
    <row r="2839">
      <c r="A2839" s="1" t="s">
        <v>11992</v>
      </c>
      <c r="B2839" s="1" t="s">
        <v>11993</v>
      </c>
      <c r="C2839" s="1">
        <v>2019.0</v>
      </c>
      <c r="D2839" s="2">
        <v>43538.0</v>
      </c>
      <c r="F2839" s="1" t="s">
        <v>4707</v>
      </c>
      <c r="H2839" s="3">
        <v>8.0</v>
      </c>
      <c r="I2839" s="4" t="s">
        <v>11994</v>
      </c>
      <c r="J2839" s="1" t="s">
        <v>11995</v>
      </c>
      <c r="K2839" s="1" t="s">
        <v>383</v>
      </c>
    </row>
    <row r="2840">
      <c r="A2840" s="1" t="s">
        <v>11996</v>
      </c>
      <c r="B2840" s="1" t="s">
        <v>11997</v>
      </c>
      <c r="C2840" s="1">
        <v>2019.0</v>
      </c>
      <c r="D2840" s="2">
        <v>43538.0</v>
      </c>
      <c r="F2840" s="1" t="s">
        <v>5545</v>
      </c>
      <c r="H2840" s="3">
        <v>6.0</v>
      </c>
      <c r="I2840" s="4" t="s">
        <v>11998</v>
      </c>
      <c r="J2840" s="1" t="s">
        <v>11999</v>
      </c>
      <c r="K2840" s="1" t="s">
        <v>28</v>
      </c>
    </row>
    <row r="2841">
      <c r="A2841" s="1" t="s">
        <v>12000</v>
      </c>
      <c r="B2841" s="1" t="s">
        <v>12001</v>
      </c>
      <c r="C2841" s="1">
        <v>2019.0</v>
      </c>
      <c r="D2841" s="2">
        <v>43538.0</v>
      </c>
      <c r="F2841" s="1" t="s">
        <v>6301</v>
      </c>
      <c r="H2841" s="3">
        <v>9.0</v>
      </c>
      <c r="I2841" s="4" t="s">
        <v>12002</v>
      </c>
      <c r="J2841" s="1" t="s">
        <v>12003</v>
      </c>
      <c r="K2841" s="1" t="s">
        <v>443</v>
      </c>
    </row>
    <row r="2842">
      <c r="A2842" s="1" t="s">
        <v>12004</v>
      </c>
      <c r="B2842" s="1" t="s">
        <v>12005</v>
      </c>
      <c r="C2842" s="1">
        <v>2019.0</v>
      </c>
      <c r="D2842" s="2">
        <v>43536.0</v>
      </c>
      <c r="F2842" s="1" t="s">
        <v>8617</v>
      </c>
      <c r="H2842" s="3">
        <v>29.0</v>
      </c>
      <c r="I2842" s="4" t="s">
        <v>12006</v>
      </c>
      <c r="J2842" s="1" t="s">
        <v>12007</v>
      </c>
      <c r="K2842" s="1" t="s">
        <v>462</v>
      </c>
    </row>
    <row r="2843">
      <c r="A2843" s="1" t="s">
        <v>12008</v>
      </c>
      <c r="B2843" s="1" t="s">
        <v>12009</v>
      </c>
      <c r="C2843" s="1">
        <v>2019.0</v>
      </c>
      <c r="D2843" s="2">
        <v>43535.0</v>
      </c>
      <c r="F2843" s="1" t="s">
        <v>12010</v>
      </c>
      <c r="H2843" s="3">
        <v>8.0</v>
      </c>
      <c r="I2843" s="4" t="s">
        <v>12011</v>
      </c>
      <c r="J2843" s="1" t="s">
        <v>12012</v>
      </c>
      <c r="K2843" s="1" t="s">
        <v>413</v>
      </c>
    </row>
    <row r="2844">
      <c r="A2844" s="1" t="s">
        <v>12013</v>
      </c>
      <c r="B2844" s="1" t="s">
        <v>12014</v>
      </c>
      <c r="C2844" s="1">
        <v>2019.0</v>
      </c>
      <c r="D2844" s="2">
        <v>43534.0</v>
      </c>
      <c r="F2844" s="1" t="s">
        <v>1349</v>
      </c>
      <c r="H2844" s="3">
        <v>20.0</v>
      </c>
      <c r="I2844" s="4" t="s">
        <v>12015</v>
      </c>
      <c r="J2844" s="1" t="s">
        <v>12016</v>
      </c>
      <c r="K2844" s="1" t="s">
        <v>1036</v>
      </c>
    </row>
    <row r="2845">
      <c r="A2845" s="1" t="s">
        <v>12017</v>
      </c>
      <c r="B2845" s="1" t="s">
        <v>12018</v>
      </c>
      <c r="C2845" s="1">
        <v>2019.0</v>
      </c>
      <c r="D2845" s="2">
        <v>43533.0</v>
      </c>
      <c r="F2845" s="1" t="s">
        <v>8714</v>
      </c>
      <c r="H2845" s="3">
        <v>10.0</v>
      </c>
      <c r="I2845" s="4" t="s">
        <v>12019</v>
      </c>
      <c r="J2845" s="1" t="s">
        <v>12020</v>
      </c>
      <c r="K2845" s="1" t="s">
        <v>68</v>
      </c>
    </row>
    <row r="2846">
      <c r="A2846" s="1" t="s">
        <v>12021</v>
      </c>
      <c r="B2846" s="1" t="s">
        <v>12022</v>
      </c>
      <c r="C2846" s="1">
        <v>2019.0</v>
      </c>
      <c r="D2846" s="2">
        <v>43532.0</v>
      </c>
      <c r="F2846" s="1" t="s">
        <v>12023</v>
      </c>
      <c r="H2846" s="3">
        <v>3.0</v>
      </c>
      <c r="I2846" s="4" t="s">
        <v>12024</v>
      </c>
      <c r="J2846" s="1" t="s">
        <v>12025</v>
      </c>
      <c r="K2846" s="1" t="s">
        <v>16</v>
      </c>
    </row>
    <row r="2847">
      <c r="A2847" s="1" t="s">
        <v>12026</v>
      </c>
      <c r="B2847" s="1" t="s">
        <v>12027</v>
      </c>
      <c r="C2847" s="1">
        <v>2019.0</v>
      </c>
      <c r="D2847" s="2">
        <v>43532.0</v>
      </c>
      <c r="F2847" s="1" t="s">
        <v>1800</v>
      </c>
      <c r="H2847" s="3">
        <v>14.0</v>
      </c>
      <c r="I2847" s="4" t="s">
        <v>12028</v>
      </c>
      <c r="J2847" s="1" t="s">
        <v>12029</v>
      </c>
      <c r="K2847" s="1" t="s">
        <v>16</v>
      </c>
    </row>
    <row r="2848">
      <c r="A2848" s="1" t="s">
        <v>12030</v>
      </c>
      <c r="B2848" s="1" t="s">
        <v>12031</v>
      </c>
      <c r="C2848" s="1">
        <v>2019.0</v>
      </c>
      <c r="D2848" s="2">
        <v>43531.0</v>
      </c>
      <c r="F2848" s="1" t="s">
        <v>4235</v>
      </c>
      <c r="H2848" s="3">
        <v>2.0</v>
      </c>
      <c r="I2848" s="4" t="s">
        <v>12032</v>
      </c>
      <c r="J2848" s="1" t="s">
        <v>12033</v>
      </c>
      <c r="K2848" s="1" t="s">
        <v>28</v>
      </c>
    </row>
    <row r="2849">
      <c r="A2849" s="1" t="s">
        <v>12034</v>
      </c>
      <c r="B2849" s="1" t="s">
        <v>5047</v>
      </c>
      <c r="C2849" s="1">
        <v>2019.0</v>
      </c>
      <c r="D2849" s="2">
        <v>43531.0</v>
      </c>
      <c r="F2849" s="1" t="s">
        <v>440</v>
      </c>
      <c r="H2849" s="3">
        <v>25.0</v>
      </c>
      <c r="I2849" s="4" t="s">
        <v>12035</v>
      </c>
      <c r="J2849" s="1" t="s">
        <v>12036</v>
      </c>
      <c r="K2849" s="1" t="s">
        <v>16</v>
      </c>
    </row>
    <row r="2850">
      <c r="A2850" s="1" t="s">
        <v>12037</v>
      </c>
      <c r="B2850" s="1" t="s">
        <v>12038</v>
      </c>
      <c r="C2850" s="1">
        <v>2019.0</v>
      </c>
      <c r="D2850" s="2">
        <v>43530.0</v>
      </c>
      <c r="F2850" s="1" t="s">
        <v>5758</v>
      </c>
      <c r="H2850" s="3">
        <v>4.0</v>
      </c>
      <c r="I2850" s="4" t="s">
        <v>12039</v>
      </c>
      <c r="J2850" s="1" t="s">
        <v>12040</v>
      </c>
      <c r="K2850" s="1" t="s">
        <v>443</v>
      </c>
    </row>
    <row r="2851">
      <c r="A2851" s="1" t="s">
        <v>12041</v>
      </c>
      <c r="B2851" s="1" t="s">
        <v>12042</v>
      </c>
      <c r="C2851" s="1">
        <v>2019.0</v>
      </c>
      <c r="D2851" s="2">
        <v>43530.0</v>
      </c>
      <c r="F2851" s="1" t="s">
        <v>6907</v>
      </c>
      <c r="H2851" s="3">
        <v>41.0</v>
      </c>
      <c r="I2851" s="4" t="s">
        <v>12043</v>
      </c>
      <c r="J2851" s="1" t="s">
        <v>12044</v>
      </c>
      <c r="K2851" s="1" t="s">
        <v>413</v>
      </c>
    </row>
    <row r="2852">
      <c r="A2852" s="1" t="s">
        <v>12045</v>
      </c>
      <c r="B2852" s="1" t="s">
        <v>12046</v>
      </c>
      <c r="C2852" s="1">
        <v>2019.0</v>
      </c>
      <c r="D2852" s="2">
        <v>43530.0</v>
      </c>
      <c r="F2852" s="1" t="s">
        <v>11433</v>
      </c>
      <c r="H2852" s="3">
        <v>121.0</v>
      </c>
      <c r="I2852" s="4" t="s">
        <v>12047</v>
      </c>
      <c r="J2852" s="1" t="s">
        <v>12048</v>
      </c>
      <c r="K2852" s="1" t="s">
        <v>16</v>
      </c>
    </row>
    <row r="2853">
      <c r="A2853" s="1" t="s">
        <v>12049</v>
      </c>
      <c r="B2853" s="1" t="s">
        <v>12050</v>
      </c>
      <c r="C2853" s="1">
        <v>2019.0</v>
      </c>
      <c r="D2853" s="2">
        <v>43528.0</v>
      </c>
      <c r="F2853" s="1" t="s">
        <v>711</v>
      </c>
      <c r="H2853" s="3">
        <v>0.0</v>
      </c>
      <c r="I2853" s="4" t="s">
        <v>12051</v>
      </c>
      <c r="J2853" s="1"/>
      <c r="K2853" s="1" t="s">
        <v>372</v>
      </c>
    </row>
    <row r="2854">
      <c r="A2854" s="1" t="s">
        <v>12052</v>
      </c>
      <c r="B2854" s="1" t="s">
        <v>12053</v>
      </c>
      <c r="C2854" s="1">
        <v>2019.0</v>
      </c>
      <c r="D2854" s="2">
        <v>43528.0</v>
      </c>
      <c r="F2854" s="1" t="s">
        <v>1777</v>
      </c>
      <c r="H2854" s="3">
        <v>7.0</v>
      </c>
      <c r="I2854" s="4" t="s">
        <v>12054</v>
      </c>
      <c r="J2854" s="1" t="s">
        <v>12055</v>
      </c>
      <c r="K2854" s="1" t="s">
        <v>295</v>
      </c>
    </row>
    <row r="2855">
      <c r="A2855" s="1" t="s">
        <v>12056</v>
      </c>
      <c r="B2855" s="1" t="s">
        <v>12057</v>
      </c>
      <c r="C2855" s="1">
        <v>2019.0</v>
      </c>
      <c r="D2855" s="2">
        <v>43525.0</v>
      </c>
      <c r="F2855" s="1" t="s">
        <v>12058</v>
      </c>
      <c r="H2855" s="3">
        <v>2.0</v>
      </c>
      <c r="I2855" s="4" t="s">
        <v>12059</v>
      </c>
      <c r="J2855" s="1" t="s">
        <v>12060</v>
      </c>
      <c r="K2855" s="1" t="s">
        <v>383</v>
      </c>
    </row>
    <row r="2856">
      <c r="A2856" s="1" t="s">
        <v>12061</v>
      </c>
      <c r="B2856" s="1" t="s">
        <v>12062</v>
      </c>
      <c r="C2856" s="1">
        <v>2019.0</v>
      </c>
      <c r="D2856" s="2">
        <v>43525.0</v>
      </c>
      <c r="F2856" s="1" t="s">
        <v>6418</v>
      </c>
      <c r="H2856" s="3">
        <v>131.0</v>
      </c>
      <c r="I2856" s="4" t="s">
        <v>12063</v>
      </c>
      <c r="J2856" s="1" t="s">
        <v>12064</v>
      </c>
      <c r="K2856" s="1" t="s">
        <v>28</v>
      </c>
    </row>
    <row r="2857">
      <c r="A2857" s="1" t="s">
        <v>12065</v>
      </c>
      <c r="B2857" s="1" t="s">
        <v>12066</v>
      </c>
      <c r="C2857" s="1">
        <v>2019.0</v>
      </c>
      <c r="D2857" s="2">
        <v>43525.0</v>
      </c>
      <c r="F2857" s="1" t="s">
        <v>12067</v>
      </c>
      <c r="H2857" s="3">
        <v>175.0</v>
      </c>
      <c r="I2857" s="4" t="s">
        <v>12068</v>
      </c>
      <c r="J2857" s="1" t="s">
        <v>12069</v>
      </c>
      <c r="K2857" s="1" t="s">
        <v>28</v>
      </c>
    </row>
    <row r="2858">
      <c r="A2858" s="1" t="s">
        <v>12070</v>
      </c>
      <c r="B2858" s="1" t="s">
        <v>8479</v>
      </c>
      <c r="C2858" s="1">
        <v>2019.0</v>
      </c>
      <c r="D2858" s="2">
        <v>43525.0</v>
      </c>
      <c r="F2858" s="1" t="s">
        <v>1095</v>
      </c>
      <c r="H2858" s="3">
        <v>1.0</v>
      </c>
      <c r="I2858" s="4" t="s">
        <v>12071</v>
      </c>
      <c r="J2858" s="1"/>
      <c r="K2858" s="1" t="s">
        <v>16</v>
      </c>
    </row>
    <row r="2859">
      <c r="A2859" s="1" t="s">
        <v>12072</v>
      </c>
      <c r="B2859" s="1" t="s">
        <v>12073</v>
      </c>
      <c r="C2859" s="1">
        <v>2019.0</v>
      </c>
      <c r="D2859" s="2">
        <v>43523.0</v>
      </c>
      <c r="F2859" s="1" t="s">
        <v>243</v>
      </c>
      <c r="H2859" s="3">
        <v>4.0</v>
      </c>
      <c r="I2859" s="4" t="s">
        <v>12074</v>
      </c>
      <c r="J2859" s="1" t="s">
        <v>12075</v>
      </c>
      <c r="K2859" s="1" t="s">
        <v>418</v>
      </c>
    </row>
    <row r="2860">
      <c r="A2860" s="1" t="s">
        <v>12076</v>
      </c>
      <c r="B2860" s="1" t="s">
        <v>12077</v>
      </c>
      <c r="C2860" s="1">
        <v>2019.0</v>
      </c>
      <c r="D2860" s="2">
        <v>43523.0</v>
      </c>
      <c r="F2860" s="1" t="s">
        <v>271</v>
      </c>
      <c r="H2860" s="3">
        <v>5.0</v>
      </c>
      <c r="I2860" s="4" t="s">
        <v>12078</v>
      </c>
      <c r="J2860" s="1" t="s">
        <v>12079</v>
      </c>
      <c r="K2860" s="1" t="s">
        <v>68</v>
      </c>
    </row>
    <row r="2861">
      <c r="A2861" s="1" t="s">
        <v>12080</v>
      </c>
      <c r="B2861" s="1" t="s">
        <v>12081</v>
      </c>
      <c r="C2861" s="1">
        <v>2019.0</v>
      </c>
      <c r="D2861" s="2">
        <v>43517.0</v>
      </c>
      <c r="F2861" s="1" t="s">
        <v>4369</v>
      </c>
      <c r="H2861" s="3">
        <v>22.0</v>
      </c>
      <c r="I2861" s="4" t="s">
        <v>12082</v>
      </c>
      <c r="J2861" s="1" t="s">
        <v>12083</v>
      </c>
      <c r="K2861" s="1" t="s">
        <v>28</v>
      </c>
    </row>
    <row r="2862">
      <c r="A2862" s="1" t="s">
        <v>12084</v>
      </c>
      <c r="B2862" s="1" t="s">
        <v>12085</v>
      </c>
      <c r="C2862" s="1">
        <v>2019.0</v>
      </c>
      <c r="D2862" s="2">
        <v>43515.0</v>
      </c>
      <c r="F2862" s="1" t="s">
        <v>7271</v>
      </c>
      <c r="H2862" s="3">
        <v>8.0</v>
      </c>
      <c r="I2862" s="4" t="s">
        <v>12086</v>
      </c>
      <c r="J2862" s="1" t="s">
        <v>12087</v>
      </c>
      <c r="K2862" s="1" t="s">
        <v>16</v>
      </c>
    </row>
    <row r="2863">
      <c r="A2863" s="1" t="s">
        <v>12088</v>
      </c>
      <c r="B2863" s="1" t="s">
        <v>12089</v>
      </c>
      <c r="C2863" s="1">
        <v>2019.0</v>
      </c>
      <c r="D2863" s="2">
        <v>43515.0</v>
      </c>
      <c r="F2863" s="1" t="s">
        <v>2007</v>
      </c>
      <c r="H2863" s="3">
        <v>253.0</v>
      </c>
      <c r="I2863" s="4" t="s">
        <v>12090</v>
      </c>
      <c r="J2863" s="1" t="s">
        <v>12091</v>
      </c>
      <c r="K2863" s="1" t="s">
        <v>16</v>
      </c>
    </row>
    <row r="2864">
      <c r="A2864" s="1" t="s">
        <v>12092</v>
      </c>
      <c r="B2864" s="1" t="s">
        <v>12093</v>
      </c>
      <c r="C2864" s="1">
        <v>2019.0</v>
      </c>
      <c r="D2864" s="2">
        <v>43515.0</v>
      </c>
      <c r="F2864" s="1" t="s">
        <v>6343</v>
      </c>
      <c r="H2864" s="3">
        <v>19.0</v>
      </c>
      <c r="I2864" s="4" t="s">
        <v>12094</v>
      </c>
      <c r="J2864" s="1" t="s">
        <v>12095</v>
      </c>
      <c r="K2864" s="1" t="s">
        <v>16</v>
      </c>
    </row>
    <row r="2865">
      <c r="A2865" s="1" t="s">
        <v>12096</v>
      </c>
      <c r="B2865" s="1" t="s">
        <v>12097</v>
      </c>
      <c r="C2865" s="1">
        <v>2019.0</v>
      </c>
      <c r="D2865" s="2">
        <v>43512.0</v>
      </c>
      <c r="F2865" s="1" t="s">
        <v>6568</v>
      </c>
      <c r="H2865" s="3">
        <v>4.0</v>
      </c>
      <c r="I2865" s="4" t="s">
        <v>12098</v>
      </c>
      <c r="J2865" s="1" t="s">
        <v>12099</v>
      </c>
      <c r="K2865" s="1" t="s">
        <v>1036</v>
      </c>
    </row>
    <row r="2866">
      <c r="A2866" s="1" t="s">
        <v>12100</v>
      </c>
      <c r="B2866" s="1" t="s">
        <v>12101</v>
      </c>
      <c r="C2866" s="1">
        <v>2019.0</v>
      </c>
      <c r="D2866" s="2">
        <v>43511.0</v>
      </c>
      <c r="F2866" s="1" t="s">
        <v>2707</v>
      </c>
      <c r="H2866" s="3">
        <v>9.0</v>
      </c>
      <c r="I2866" s="4" t="s">
        <v>12102</v>
      </c>
      <c r="J2866" s="1" t="s">
        <v>12103</v>
      </c>
      <c r="K2866" s="1" t="s">
        <v>413</v>
      </c>
    </row>
    <row r="2867">
      <c r="A2867" s="1" t="s">
        <v>12104</v>
      </c>
      <c r="B2867" s="1" t="s">
        <v>12105</v>
      </c>
      <c r="C2867" s="1">
        <v>2019.0</v>
      </c>
      <c r="D2867" s="2">
        <v>43510.0</v>
      </c>
      <c r="F2867" s="1" t="s">
        <v>1366</v>
      </c>
      <c r="H2867" s="3">
        <v>95.0</v>
      </c>
      <c r="I2867" s="4" t="s">
        <v>12106</v>
      </c>
      <c r="J2867" s="1" t="s">
        <v>12107</v>
      </c>
      <c r="K2867" s="1" t="s">
        <v>295</v>
      </c>
    </row>
    <row r="2868">
      <c r="A2868" s="1" t="s">
        <v>12108</v>
      </c>
      <c r="B2868" s="1" t="s">
        <v>12109</v>
      </c>
      <c r="C2868" s="1">
        <v>2019.0</v>
      </c>
      <c r="D2868" s="2">
        <v>43509.0</v>
      </c>
      <c r="F2868" s="1" t="s">
        <v>1050</v>
      </c>
      <c r="H2868" s="3">
        <v>0.0</v>
      </c>
      <c r="I2868" s="4" t="s">
        <v>12110</v>
      </c>
      <c r="J2868" s="1" t="s">
        <v>12111</v>
      </c>
      <c r="K2868" s="1" t="s">
        <v>323</v>
      </c>
    </row>
    <row r="2869">
      <c r="A2869" s="1" t="s">
        <v>12112</v>
      </c>
      <c r="B2869" s="1" t="s">
        <v>12113</v>
      </c>
      <c r="C2869" s="1">
        <v>2019.0</v>
      </c>
      <c r="D2869" s="2">
        <v>43508.0</v>
      </c>
      <c r="F2869" s="1" t="s">
        <v>5260</v>
      </c>
      <c r="H2869" s="3">
        <v>12.0</v>
      </c>
      <c r="I2869" s="4" t="s">
        <v>12114</v>
      </c>
      <c r="J2869" s="1" t="s">
        <v>12115</v>
      </c>
      <c r="K2869" s="1" t="s">
        <v>323</v>
      </c>
    </row>
    <row r="2870">
      <c r="A2870" s="1" t="s">
        <v>12116</v>
      </c>
      <c r="B2870" s="1" t="s">
        <v>12117</v>
      </c>
      <c r="C2870" s="1">
        <v>2019.0</v>
      </c>
      <c r="D2870" s="2">
        <v>43508.0</v>
      </c>
      <c r="F2870" s="1" t="s">
        <v>12118</v>
      </c>
      <c r="H2870" s="3">
        <v>208.0</v>
      </c>
      <c r="I2870" s="4" t="s">
        <v>12119</v>
      </c>
      <c r="J2870" s="1" t="s">
        <v>12120</v>
      </c>
      <c r="K2870" s="1" t="s">
        <v>295</v>
      </c>
    </row>
    <row r="2871">
      <c r="A2871" s="1" t="s">
        <v>12121</v>
      </c>
      <c r="B2871" s="1" t="s">
        <v>12122</v>
      </c>
      <c r="C2871" s="1">
        <v>2019.0</v>
      </c>
      <c r="D2871" s="2">
        <v>43508.0</v>
      </c>
      <c r="F2871" s="1" t="s">
        <v>71</v>
      </c>
      <c r="H2871" s="3">
        <v>12.0</v>
      </c>
      <c r="I2871" s="4" t="s">
        <v>12123</v>
      </c>
      <c r="J2871" s="1" t="s">
        <v>12124</v>
      </c>
      <c r="K2871" s="1" t="s">
        <v>68</v>
      </c>
    </row>
    <row r="2872">
      <c r="A2872" s="1" t="s">
        <v>12125</v>
      </c>
      <c r="B2872" s="1" t="s">
        <v>12126</v>
      </c>
      <c r="C2872" s="1">
        <v>2019.0</v>
      </c>
      <c r="D2872" s="2">
        <v>43508.0</v>
      </c>
      <c r="F2872" s="1" t="s">
        <v>12127</v>
      </c>
      <c r="H2872" s="3">
        <v>6.0</v>
      </c>
      <c r="I2872" s="4" t="s">
        <v>12128</v>
      </c>
      <c r="J2872" s="1" t="s">
        <v>12129</v>
      </c>
      <c r="K2872" s="1" t="s">
        <v>329</v>
      </c>
    </row>
    <row r="2873">
      <c r="A2873" s="1" t="s">
        <v>12130</v>
      </c>
      <c r="B2873" s="1" t="s">
        <v>12131</v>
      </c>
      <c r="C2873" s="1">
        <v>2019.0</v>
      </c>
      <c r="D2873" s="2">
        <v>43507.0</v>
      </c>
      <c r="F2873" s="1" t="s">
        <v>1899</v>
      </c>
      <c r="H2873" s="3">
        <v>22.0</v>
      </c>
      <c r="I2873" s="4" t="s">
        <v>12132</v>
      </c>
      <c r="J2873" s="1" t="s">
        <v>12133</v>
      </c>
      <c r="K2873" s="1" t="s">
        <v>295</v>
      </c>
    </row>
    <row r="2874">
      <c r="A2874" s="1" t="s">
        <v>12134</v>
      </c>
      <c r="B2874" s="1" t="s">
        <v>12135</v>
      </c>
      <c r="C2874" s="1">
        <v>2019.0</v>
      </c>
      <c r="D2874" s="2">
        <v>43507.0</v>
      </c>
      <c r="F2874" s="1" t="s">
        <v>218</v>
      </c>
      <c r="H2874" s="3">
        <v>19.0</v>
      </c>
      <c r="I2874" s="4" t="s">
        <v>12136</v>
      </c>
      <c r="J2874" s="1" t="s">
        <v>12137</v>
      </c>
      <c r="K2874" s="1" t="s">
        <v>28</v>
      </c>
    </row>
    <row r="2875">
      <c r="A2875" s="1" t="s">
        <v>12138</v>
      </c>
      <c r="B2875" s="1" t="s">
        <v>12139</v>
      </c>
      <c r="C2875" s="1">
        <v>2019.0</v>
      </c>
      <c r="D2875" s="2">
        <v>43507.0</v>
      </c>
      <c r="F2875" s="1" t="s">
        <v>2515</v>
      </c>
      <c r="H2875" s="3">
        <v>4.0</v>
      </c>
      <c r="I2875" s="4" t="s">
        <v>12140</v>
      </c>
      <c r="J2875" s="1" t="s">
        <v>12141</v>
      </c>
      <c r="K2875" s="1" t="s">
        <v>295</v>
      </c>
    </row>
    <row r="2876">
      <c r="A2876" s="1" t="s">
        <v>12142</v>
      </c>
      <c r="B2876" s="1" t="s">
        <v>12143</v>
      </c>
      <c r="C2876" s="1">
        <v>2019.0</v>
      </c>
      <c r="D2876" s="2">
        <v>43503.0</v>
      </c>
      <c r="F2876" s="1" t="s">
        <v>208</v>
      </c>
      <c r="H2876" s="3">
        <v>73.0</v>
      </c>
      <c r="I2876" s="4" t="s">
        <v>12144</v>
      </c>
      <c r="J2876" s="1" t="s">
        <v>12145</v>
      </c>
      <c r="K2876" s="1" t="s">
        <v>323</v>
      </c>
    </row>
    <row r="2877">
      <c r="A2877" s="1" t="s">
        <v>12146</v>
      </c>
      <c r="B2877" s="1" t="s">
        <v>12147</v>
      </c>
      <c r="C2877" s="1">
        <v>2019.0</v>
      </c>
      <c r="D2877" s="2">
        <v>43502.0</v>
      </c>
      <c r="F2877" s="1" t="s">
        <v>178</v>
      </c>
      <c r="H2877" s="3">
        <v>85.0</v>
      </c>
      <c r="I2877" s="4" t="s">
        <v>12148</v>
      </c>
      <c r="J2877" s="1" t="s">
        <v>12149</v>
      </c>
      <c r="K2877" s="1" t="s">
        <v>418</v>
      </c>
    </row>
    <row r="2878">
      <c r="A2878" s="1" t="s">
        <v>12150</v>
      </c>
      <c r="B2878" s="1" t="s">
        <v>12151</v>
      </c>
      <c r="C2878" s="1">
        <v>2019.0</v>
      </c>
      <c r="D2878" s="2">
        <v>43502.0</v>
      </c>
      <c r="F2878" s="1" t="s">
        <v>5368</v>
      </c>
      <c r="H2878" s="3">
        <v>23.0</v>
      </c>
      <c r="I2878" s="4" t="s">
        <v>12152</v>
      </c>
      <c r="J2878" s="1" t="s">
        <v>12153</v>
      </c>
      <c r="K2878" s="1" t="s">
        <v>418</v>
      </c>
    </row>
    <row r="2879">
      <c r="A2879" s="1" t="s">
        <v>12154</v>
      </c>
      <c r="B2879" s="1" t="s">
        <v>12155</v>
      </c>
      <c r="C2879" s="1">
        <v>2019.0</v>
      </c>
      <c r="D2879" s="2">
        <v>43502.0</v>
      </c>
      <c r="F2879" s="1" t="s">
        <v>308</v>
      </c>
      <c r="H2879" s="3">
        <v>15.0</v>
      </c>
      <c r="I2879" s="4" t="s">
        <v>12156</v>
      </c>
      <c r="J2879" s="1" t="s">
        <v>12157</v>
      </c>
      <c r="K2879" s="1" t="s">
        <v>68</v>
      </c>
    </row>
    <row r="2880">
      <c r="A2880" s="1" t="s">
        <v>12158</v>
      </c>
      <c r="B2880" s="1" t="s">
        <v>12159</v>
      </c>
      <c r="C2880" s="1">
        <v>2019.0</v>
      </c>
      <c r="D2880" s="2">
        <v>43502.0</v>
      </c>
      <c r="F2880" s="1" t="s">
        <v>337</v>
      </c>
      <c r="H2880" s="3">
        <v>27.0</v>
      </c>
      <c r="I2880" s="4" t="s">
        <v>12160</v>
      </c>
      <c r="J2880" s="1" t="s">
        <v>12161</v>
      </c>
      <c r="K2880" s="1" t="s">
        <v>16</v>
      </c>
    </row>
    <row r="2881">
      <c r="A2881" s="1" t="s">
        <v>12162</v>
      </c>
      <c r="B2881" s="1" t="s">
        <v>12163</v>
      </c>
      <c r="C2881" s="1">
        <v>2019.0</v>
      </c>
      <c r="D2881" s="2">
        <v>43501.0</v>
      </c>
      <c r="F2881" s="1" t="s">
        <v>12164</v>
      </c>
      <c r="H2881" s="3">
        <v>14.0</v>
      </c>
      <c r="I2881" s="4" t="s">
        <v>12165</v>
      </c>
      <c r="J2881" s="1" t="s">
        <v>12166</v>
      </c>
      <c r="K2881" s="1" t="s">
        <v>28</v>
      </c>
    </row>
    <row r="2882">
      <c r="A2882" s="1" t="s">
        <v>12167</v>
      </c>
      <c r="B2882" s="1" t="s">
        <v>12168</v>
      </c>
      <c r="C2882" s="1">
        <v>2019.0</v>
      </c>
      <c r="D2882" s="2">
        <v>43497.0</v>
      </c>
      <c r="F2882" s="1" t="s">
        <v>519</v>
      </c>
      <c r="H2882" s="3">
        <v>37.0</v>
      </c>
      <c r="I2882" s="4" t="s">
        <v>12169</v>
      </c>
      <c r="J2882" s="1" t="s">
        <v>12170</v>
      </c>
      <c r="K2882" s="1" t="s">
        <v>28</v>
      </c>
    </row>
    <row r="2883">
      <c r="A2883" s="1" t="s">
        <v>12171</v>
      </c>
      <c r="B2883" s="1" t="s">
        <v>12172</v>
      </c>
      <c r="C2883" s="1">
        <v>2019.0</v>
      </c>
      <c r="D2883" s="2">
        <v>43497.0</v>
      </c>
      <c r="F2883" s="1" t="s">
        <v>1277</v>
      </c>
      <c r="H2883" s="3">
        <v>4.0</v>
      </c>
      <c r="I2883" s="4" t="s">
        <v>12173</v>
      </c>
      <c r="J2883" s="1" t="s">
        <v>12174</v>
      </c>
      <c r="K2883" s="1" t="s">
        <v>418</v>
      </c>
    </row>
    <row r="2884">
      <c r="A2884" s="1" t="s">
        <v>12175</v>
      </c>
      <c r="B2884" s="1" t="s">
        <v>12176</v>
      </c>
      <c r="C2884" s="1">
        <v>2019.0</v>
      </c>
      <c r="D2884" s="2">
        <v>43497.0</v>
      </c>
      <c r="F2884" s="1" t="s">
        <v>5554</v>
      </c>
      <c r="H2884" s="3">
        <v>8.0</v>
      </c>
      <c r="I2884" s="4" t="s">
        <v>12177</v>
      </c>
      <c r="J2884" s="1" t="s">
        <v>12178</v>
      </c>
      <c r="K2884" s="1" t="s">
        <v>383</v>
      </c>
    </row>
    <row r="2885">
      <c r="A2885" s="1" t="s">
        <v>12179</v>
      </c>
      <c r="B2885" s="1" t="s">
        <v>12180</v>
      </c>
      <c r="C2885" s="1">
        <v>2019.0</v>
      </c>
      <c r="D2885" s="2">
        <v>43497.0</v>
      </c>
      <c r="F2885" s="1" t="s">
        <v>1277</v>
      </c>
      <c r="H2885" s="3">
        <v>8.0</v>
      </c>
      <c r="I2885" s="4" t="s">
        <v>12181</v>
      </c>
      <c r="J2885" s="1" t="s">
        <v>12182</v>
      </c>
      <c r="K2885" s="1" t="s">
        <v>418</v>
      </c>
    </row>
    <row r="2886">
      <c r="A2886" s="1" t="s">
        <v>12183</v>
      </c>
      <c r="B2886" s="1" t="s">
        <v>12184</v>
      </c>
      <c r="C2886" s="1">
        <v>2019.0</v>
      </c>
      <c r="D2886" s="2">
        <v>43497.0</v>
      </c>
      <c r="F2886" s="1" t="s">
        <v>605</v>
      </c>
      <c r="H2886" s="3">
        <v>32.0</v>
      </c>
      <c r="I2886" s="4" t="s">
        <v>12185</v>
      </c>
      <c r="J2886" s="1" t="s">
        <v>12186</v>
      </c>
      <c r="K2886" s="1" t="s">
        <v>323</v>
      </c>
    </row>
    <row r="2887">
      <c r="A2887" s="1" t="s">
        <v>12187</v>
      </c>
      <c r="B2887" s="1" t="s">
        <v>12188</v>
      </c>
      <c r="C2887" s="1">
        <v>2019.0</v>
      </c>
      <c r="D2887" s="2">
        <v>43497.0</v>
      </c>
      <c r="F2887" s="1" t="s">
        <v>1050</v>
      </c>
      <c r="H2887" s="3">
        <v>0.0</v>
      </c>
      <c r="I2887" s="4" t="s">
        <v>12189</v>
      </c>
      <c r="J2887" s="1" t="s">
        <v>12190</v>
      </c>
      <c r="K2887" s="1" t="s">
        <v>68</v>
      </c>
    </row>
    <row r="2888">
      <c r="A2888" s="1" t="s">
        <v>12191</v>
      </c>
      <c r="B2888" s="1" t="s">
        <v>12192</v>
      </c>
      <c r="C2888" s="1">
        <v>2019.0</v>
      </c>
      <c r="D2888" s="2">
        <v>43497.0</v>
      </c>
      <c r="F2888" s="1" t="s">
        <v>12193</v>
      </c>
      <c r="H2888" s="3">
        <v>183.0</v>
      </c>
      <c r="I2888" s="4" t="s">
        <v>12194</v>
      </c>
      <c r="J2888" s="1" t="s">
        <v>12195</v>
      </c>
      <c r="K2888" s="1" t="s">
        <v>16</v>
      </c>
    </row>
    <row r="2889">
      <c r="A2889" s="1" t="s">
        <v>12196</v>
      </c>
      <c r="B2889" s="1" t="s">
        <v>12197</v>
      </c>
      <c r="C2889" s="1">
        <v>2019.0</v>
      </c>
      <c r="D2889" s="2">
        <v>43497.0</v>
      </c>
      <c r="F2889" s="1" t="s">
        <v>605</v>
      </c>
      <c r="H2889" s="3">
        <v>22.0</v>
      </c>
      <c r="I2889" s="4" t="s">
        <v>12198</v>
      </c>
      <c r="J2889" s="1" t="s">
        <v>12199</v>
      </c>
      <c r="K2889" s="1" t="s">
        <v>16</v>
      </c>
    </row>
    <row r="2890">
      <c r="A2890" s="1" t="s">
        <v>12200</v>
      </c>
      <c r="B2890" s="1" t="s">
        <v>12201</v>
      </c>
      <c r="C2890" s="1">
        <v>2019.0</v>
      </c>
      <c r="D2890" s="2">
        <v>43495.0</v>
      </c>
      <c r="F2890" s="1" t="s">
        <v>396</v>
      </c>
      <c r="H2890" s="3">
        <v>378.0</v>
      </c>
      <c r="I2890" s="4" t="s">
        <v>12202</v>
      </c>
      <c r="J2890" s="1"/>
      <c r="K2890" s="1" t="s">
        <v>28</v>
      </c>
    </row>
    <row r="2891">
      <c r="A2891" s="1" t="s">
        <v>12203</v>
      </c>
      <c r="B2891" s="1" t="s">
        <v>12204</v>
      </c>
      <c r="C2891" s="1">
        <v>2019.0</v>
      </c>
      <c r="D2891" s="2">
        <v>43495.0</v>
      </c>
      <c r="F2891" s="1" t="s">
        <v>1851</v>
      </c>
      <c r="H2891" s="3">
        <v>19.0</v>
      </c>
      <c r="I2891" s="4" t="s">
        <v>12205</v>
      </c>
      <c r="J2891" s="1" t="s">
        <v>12206</v>
      </c>
      <c r="K2891" s="1" t="s">
        <v>383</v>
      </c>
    </row>
    <row r="2892">
      <c r="A2892" s="1" t="s">
        <v>12207</v>
      </c>
      <c r="B2892" s="1" t="s">
        <v>12208</v>
      </c>
      <c r="C2892" s="1">
        <v>2019.0</v>
      </c>
      <c r="D2892" s="2">
        <v>43495.0</v>
      </c>
      <c r="F2892" s="1" t="s">
        <v>11022</v>
      </c>
      <c r="H2892" s="3">
        <v>3.0</v>
      </c>
      <c r="I2892" s="4" t="s">
        <v>12209</v>
      </c>
      <c r="J2892" s="1" t="s">
        <v>12210</v>
      </c>
      <c r="K2892" s="1" t="s">
        <v>16</v>
      </c>
    </row>
    <row r="2893">
      <c r="A2893" s="1" t="s">
        <v>12211</v>
      </c>
      <c r="B2893" s="1" t="s">
        <v>12212</v>
      </c>
      <c r="C2893" s="1">
        <v>2019.0</v>
      </c>
      <c r="D2893" s="2">
        <v>43493.0</v>
      </c>
      <c r="F2893" s="1" t="s">
        <v>31</v>
      </c>
      <c r="H2893" s="3">
        <v>28.0</v>
      </c>
      <c r="I2893" s="4" t="s">
        <v>12213</v>
      </c>
      <c r="J2893" s="1" t="s">
        <v>12214</v>
      </c>
      <c r="K2893" s="1" t="s">
        <v>340</v>
      </c>
    </row>
    <row r="2894">
      <c r="A2894" s="1" t="s">
        <v>12215</v>
      </c>
      <c r="B2894" s="1" t="s">
        <v>12216</v>
      </c>
      <c r="C2894" s="1">
        <v>2019.0</v>
      </c>
      <c r="D2894" s="2">
        <v>43493.0</v>
      </c>
      <c r="F2894" s="1" t="s">
        <v>31</v>
      </c>
      <c r="H2894" s="3">
        <v>65.0</v>
      </c>
      <c r="I2894" s="4" t="s">
        <v>12217</v>
      </c>
      <c r="J2894" s="1" t="s">
        <v>12218</v>
      </c>
      <c r="K2894" s="1" t="s">
        <v>340</v>
      </c>
    </row>
    <row r="2895">
      <c r="A2895" s="1" t="s">
        <v>12219</v>
      </c>
      <c r="B2895" s="1" t="s">
        <v>12220</v>
      </c>
      <c r="C2895" s="1">
        <v>2019.0</v>
      </c>
      <c r="D2895" s="2">
        <v>43489.0</v>
      </c>
      <c r="F2895" s="1" t="s">
        <v>292</v>
      </c>
      <c r="H2895" s="3">
        <v>12.0</v>
      </c>
      <c r="I2895" s="4" t="s">
        <v>12221</v>
      </c>
      <c r="J2895" s="1" t="s">
        <v>12222</v>
      </c>
      <c r="K2895" s="1" t="s">
        <v>45</v>
      </c>
    </row>
    <row r="2896">
      <c r="A2896" s="1" t="s">
        <v>12223</v>
      </c>
      <c r="B2896" s="1" t="s">
        <v>12224</v>
      </c>
      <c r="C2896" s="1">
        <v>2019.0</v>
      </c>
      <c r="D2896" s="2">
        <v>43489.0</v>
      </c>
      <c r="F2896" s="1" t="s">
        <v>3583</v>
      </c>
      <c r="H2896" s="3">
        <v>10.0</v>
      </c>
      <c r="I2896" s="4" t="s">
        <v>12225</v>
      </c>
      <c r="J2896" s="1" t="s">
        <v>12226</v>
      </c>
      <c r="K2896" s="1" t="s">
        <v>295</v>
      </c>
    </row>
    <row r="2897">
      <c r="A2897" s="1" t="s">
        <v>12227</v>
      </c>
      <c r="B2897" s="1" t="s">
        <v>12228</v>
      </c>
      <c r="C2897" s="1">
        <v>2019.0</v>
      </c>
      <c r="D2897" s="2">
        <v>43489.0</v>
      </c>
      <c r="F2897" s="1" t="s">
        <v>1050</v>
      </c>
      <c r="H2897" s="3">
        <v>0.0</v>
      </c>
      <c r="I2897" s="4" t="s">
        <v>12229</v>
      </c>
      <c r="J2897" s="1" t="s">
        <v>12230</v>
      </c>
      <c r="K2897" s="1" t="s">
        <v>28</v>
      </c>
    </row>
    <row r="2898">
      <c r="A2898" s="1" t="s">
        <v>12231</v>
      </c>
      <c r="B2898" s="1" t="s">
        <v>12232</v>
      </c>
      <c r="C2898" s="1">
        <v>2019.0</v>
      </c>
      <c r="D2898" s="2">
        <v>43489.0</v>
      </c>
      <c r="F2898" s="1" t="s">
        <v>1050</v>
      </c>
      <c r="H2898" s="3">
        <v>0.0</v>
      </c>
      <c r="I2898" s="4" t="s">
        <v>12233</v>
      </c>
      <c r="J2898" s="1" t="s">
        <v>12234</v>
      </c>
      <c r="K2898" s="1" t="s">
        <v>28</v>
      </c>
    </row>
    <row r="2899">
      <c r="A2899" s="1" t="s">
        <v>12235</v>
      </c>
      <c r="B2899" s="1" t="s">
        <v>12236</v>
      </c>
      <c r="C2899" s="1">
        <v>2019.0</v>
      </c>
      <c r="D2899" s="2">
        <v>43488.0</v>
      </c>
      <c r="F2899" s="1" t="s">
        <v>1371</v>
      </c>
      <c r="H2899" s="3">
        <v>10.0</v>
      </c>
      <c r="I2899" s="4" t="s">
        <v>12237</v>
      </c>
      <c r="J2899" s="1" t="s">
        <v>12238</v>
      </c>
      <c r="K2899" s="1" t="s">
        <v>28</v>
      </c>
    </row>
    <row r="2900">
      <c r="A2900" s="1" t="s">
        <v>12239</v>
      </c>
      <c r="B2900" s="1" t="s">
        <v>11352</v>
      </c>
      <c r="C2900" s="1">
        <v>2019.0</v>
      </c>
      <c r="D2900" s="2">
        <v>43488.0</v>
      </c>
      <c r="F2900" s="1" t="s">
        <v>12240</v>
      </c>
      <c r="H2900" s="3">
        <v>42.0</v>
      </c>
      <c r="I2900" s="4" t="s">
        <v>12241</v>
      </c>
      <c r="J2900" s="1" t="s">
        <v>12242</v>
      </c>
      <c r="K2900" s="1" t="s">
        <v>546</v>
      </c>
    </row>
    <row r="2901">
      <c r="A2901" s="1" t="s">
        <v>12243</v>
      </c>
      <c r="B2901" s="1" t="s">
        <v>12244</v>
      </c>
      <c r="C2901" s="1">
        <v>2019.0</v>
      </c>
      <c r="D2901" s="2">
        <v>43488.0</v>
      </c>
      <c r="F2901" s="1" t="s">
        <v>7495</v>
      </c>
      <c r="H2901" s="3">
        <v>11.0</v>
      </c>
      <c r="I2901" s="4" t="s">
        <v>12245</v>
      </c>
      <c r="J2901" s="1" t="s">
        <v>12246</v>
      </c>
      <c r="K2901" s="1" t="s">
        <v>68</v>
      </c>
    </row>
    <row r="2902">
      <c r="A2902" s="1" t="s">
        <v>12247</v>
      </c>
      <c r="B2902" s="1" t="s">
        <v>12248</v>
      </c>
      <c r="C2902" s="1">
        <v>2019.0</v>
      </c>
      <c r="D2902" s="2">
        <v>43487.0</v>
      </c>
      <c r="F2902" s="1" t="s">
        <v>2036</v>
      </c>
      <c r="H2902" s="3">
        <v>9.0</v>
      </c>
      <c r="I2902" s="4" t="s">
        <v>12249</v>
      </c>
      <c r="J2902" s="1" t="s">
        <v>12250</v>
      </c>
      <c r="K2902" s="1" t="s">
        <v>16</v>
      </c>
    </row>
    <row r="2903">
      <c r="A2903" s="1" t="s">
        <v>12251</v>
      </c>
      <c r="B2903" s="1" t="s">
        <v>12252</v>
      </c>
      <c r="C2903" s="1">
        <v>2019.0</v>
      </c>
      <c r="D2903" s="2">
        <v>43483.0</v>
      </c>
      <c r="F2903" s="1" t="s">
        <v>5368</v>
      </c>
      <c r="H2903" s="3">
        <v>3.0</v>
      </c>
      <c r="I2903" s="4" t="s">
        <v>12253</v>
      </c>
      <c r="J2903" s="1" t="s">
        <v>12254</v>
      </c>
      <c r="K2903" s="1" t="s">
        <v>443</v>
      </c>
    </row>
    <row r="2904">
      <c r="A2904" s="1" t="s">
        <v>12255</v>
      </c>
      <c r="B2904" s="1" t="s">
        <v>12256</v>
      </c>
      <c r="C2904" s="1">
        <v>2019.0</v>
      </c>
      <c r="D2904" s="2">
        <v>43483.0</v>
      </c>
      <c r="F2904" s="1" t="s">
        <v>37</v>
      </c>
      <c r="H2904" s="3">
        <v>64.0</v>
      </c>
      <c r="I2904" s="4" t="s">
        <v>12257</v>
      </c>
      <c r="J2904" s="1" t="s">
        <v>12258</v>
      </c>
      <c r="K2904" s="1" t="s">
        <v>16</v>
      </c>
    </row>
    <row r="2905">
      <c r="A2905" s="1" t="s">
        <v>12259</v>
      </c>
      <c r="B2905" s="1" t="s">
        <v>12260</v>
      </c>
      <c r="C2905" s="1">
        <v>2019.0</v>
      </c>
      <c r="D2905" s="2">
        <v>43482.0</v>
      </c>
      <c r="F2905" s="1" t="s">
        <v>271</v>
      </c>
      <c r="H2905" s="3">
        <v>8.0</v>
      </c>
      <c r="I2905" s="4" t="s">
        <v>12261</v>
      </c>
      <c r="J2905" s="1" t="s">
        <v>12262</v>
      </c>
      <c r="K2905" s="1" t="s">
        <v>323</v>
      </c>
    </row>
    <row r="2906">
      <c r="A2906" s="1" t="s">
        <v>12263</v>
      </c>
      <c r="B2906" s="1" t="s">
        <v>12264</v>
      </c>
      <c r="C2906" s="1">
        <v>2019.0</v>
      </c>
      <c r="D2906" s="2">
        <v>43480.0</v>
      </c>
      <c r="F2906" s="1" t="s">
        <v>276</v>
      </c>
      <c r="H2906" s="3">
        <v>22.0</v>
      </c>
      <c r="I2906" s="4" t="s">
        <v>12265</v>
      </c>
      <c r="J2906" s="1" t="s">
        <v>12266</v>
      </c>
      <c r="K2906" s="1" t="s">
        <v>16</v>
      </c>
    </row>
    <row r="2907">
      <c r="A2907" s="1" t="s">
        <v>12267</v>
      </c>
      <c r="B2907" s="1" t="s">
        <v>12268</v>
      </c>
      <c r="C2907" s="1">
        <v>2019.0</v>
      </c>
      <c r="D2907" s="2">
        <v>43480.0</v>
      </c>
      <c r="F2907" s="1" t="s">
        <v>71</v>
      </c>
      <c r="H2907" s="3">
        <v>15.0</v>
      </c>
      <c r="I2907" s="4" t="s">
        <v>12269</v>
      </c>
      <c r="J2907" s="1" t="s">
        <v>12270</v>
      </c>
      <c r="K2907" s="1" t="s">
        <v>16</v>
      </c>
    </row>
    <row r="2908">
      <c r="A2908" s="1" t="s">
        <v>12271</v>
      </c>
      <c r="B2908" s="1" t="s">
        <v>12272</v>
      </c>
      <c r="C2908" s="1">
        <v>2019.0</v>
      </c>
      <c r="D2908" s="2">
        <v>43479.0</v>
      </c>
      <c r="F2908" s="1" t="s">
        <v>243</v>
      </c>
      <c r="H2908" s="3">
        <v>27.0</v>
      </c>
      <c r="I2908" s="4" t="s">
        <v>12273</v>
      </c>
      <c r="J2908" s="1" t="s">
        <v>12274</v>
      </c>
      <c r="K2908" s="1" t="s">
        <v>329</v>
      </c>
    </row>
    <row r="2909">
      <c r="A2909" s="1" t="s">
        <v>12275</v>
      </c>
      <c r="B2909" s="1" t="s">
        <v>12276</v>
      </c>
      <c r="C2909" s="1">
        <v>2019.0</v>
      </c>
      <c r="D2909" s="2">
        <v>43474.0</v>
      </c>
      <c r="F2909" s="1" t="s">
        <v>71</v>
      </c>
      <c r="H2909" s="3">
        <v>3.0</v>
      </c>
      <c r="I2909" s="4" t="s">
        <v>12277</v>
      </c>
      <c r="J2909" s="1" t="s">
        <v>12278</v>
      </c>
      <c r="K2909" s="1" t="s">
        <v>323</v>
      </c>
    </row>
    <row r="2910">
      <c r="A2910" s="1" t="s">
        <v>12279</v>
      </c>
      <c r="B2910" s="1" t="s">
        <v>12280</v>
      </c>
      <c r="C2910" s="1">
        <v>2019.0</v>
      </c>
      <c r="D2910" s="2">
        <v>43474.0</v>
      </c>
      <c r="F2910" s="1" t="s">
        <v>12240</v>
      </c>
      <c r="H2910" s="3">
        <v>3.0</v>
      </c>
      <c r="I2910" s="4" t="s">
        <v>12281</v>
      </c>
      <c r="J2910" s="1" t="s">
        <v>12282</v>
      </c>
      <c r="K2910" s="1" t="s">
        <v>546</v>
      </c>
    </row>
    <row r="2911">
      <c r="A2911" s="1" t="s">
        <v>12283</v>
      </c>
      <c r="B2911" s="1" t="s">
        <v>12284</v>
      </c>
      <c r="C2911" s="1">
        <v>2019.0</v>
      </c>
      <c r="D2911" s="2">
        <v>43473.0</v>
      </c>
      <c r="F2911" s="1" t="s">
        <v>71</v>
      </c>
      <c r="H2911" s="3">
        <v>35.0</v>
      </c>
      <c r="I2911" s="4" t="s">
        <v>12285</v>
      </c>
      <c r="J2911" s="1" t="s">
        <v>12286</v>
      </c>
      <c r="K2911" s="1" t="s">
        <v>443</v>
      </c>
    </row>
    <row r="2912">
      <c r="A2912" s="1" t="s">
        <v>12287</v>
      </c>
      <c r="B2912" s="1" t="s">
        <v>12288</v>
      </c>
      <c r="C2912" s="1">
        <v>2019.0</v>
      </c>
      <c r="D2912" s="2">
        <v>43473.0</v>
      </c>
      <c r="F2912" s="1" t="s">
        <v>2987</v>
      </c>
      <c r="H2912" s="3">
        <v>22.0</v>
      </c>
      <c r="I2912" s="4" t="s">
        <v>12289</v>
      </c>
      <c r="J2912" s="1" t="s">
        <v>12290</v>
      </c>
      <c r="K2912" s="1" t="s">
        <v>926</v>
      </c>
    </row>
    <row r="2913">
      <c r="A2913" s="1" t="s">
        <v>12291</v>
      </c>
      <c r="B2913" s="1" t="s">
        <v>12292</v>
      </c>
      <c r="C2913" s="1">
        <v>2019.0</v>
      </c>
      <c r="D2913" s="2">
        <v>43472.0</v>
      </c>
      <c r="F2913" s="1" t="s">
        <v>3583</v>
      </c>
      <c r="H2913" s="3">
        <v>28.0</v>
      </c>
      <c r="I2913" s="4" t="s">
        <v>12293</v>
      </c>
      <c r="J2913" s="1" t="s">
        <v>12294</v>
      </c>
      <c r="K2913" s="1" t="s">
        <v>443</v>
      </c>
    </row>
    <row r="2914">
      <c r="A2914" s="1" t="s">
        <v>12295</v>
      </c>
      <c r="B2914" s="1" t="s">
        <v>12296</v>
      </c>
      <c r="C2914" s="1">
        <v>2019.0</v>
      </c>
      <c r="D2914" s="2">
        <v>43472.0</v>
      </c>
      <c r="F2914" s="1" t="s">
        <v>12297</v>
      </c>
      <c r="H2914" s="3">
        <v>72.0</v>
      </c>
      <c r="I2914" s="4" t="s">
        <v>12298</v>
      </c>
      <c r="J2914" s="1" t="s">
        <v>12299</v>
      </c>
      <c r="K2914" s="1" t="s">
        <v>383</v>
      </c>
    </row>
    <row r="2915">
      <c r="A2915" s="1" t="s">
        <v>12300</v>
      </c>
      <c r="B2915" s="1" t="s">
        <v>12301</v>
      </c>
      <c r="C2915" s="1">
        <v>2019.0</v>
      </c>
      <c r="D2915" s="2">
        <v>43472.0</v>
      </c>
      <c r="F2915" s="1" t="s">
        <v>2611</v>
      </c>
      <c r="H2915" s="3">
        <v>49.0</v>
      </c>
      <c r="I2915" s="4" t="s">
        <v>12302</v>
      </c>
      <c r="J2915" s="1" t="s">
        <v>12303</v>
      </c>
      <c r="K2915" s="1" t="s">
        <v>16</v>
      </c>
    </row>
    <row r="2916">
      <c r="A2916" s="1" t="s">
        <v>12304</v>
      </c>
      <c r="B2916" s="1" t="s">
        <v>12305</v>
      </c>
      <c r="C2916" s="1">
        <v>2019.0</v>
      </c>
      <c r="D2916" s="2">
        <v>43471.0</v>
      </c>
      <c r="F2916" s="1" t="s">
        <v>1170</v>
      </c>
      <c r="H2916" s="3">
        <v>64.0</v>
      </c>
      <c r="I2916" s="4" t="s">
        <v>12306</v>
      </c>
      <c r="J2916" s="1" t="s">
        <v>12307</v>
      </c>
      <c r="K2916" s="1" t="s">
        <v>372</v>
      </c>
    </row>
    <row r="2917">
      <c r="A2917" s="1" t="s">
        <v>12308</v>
      </c>
      <c r="B2917" s="1" t="s">
        <v>12309</v>
      </c>
      <c r="C2917" s="1">
        <v>2019.0</v>
      </c>
      <c r="D2917" s="2">
        <v>43468.0</v>
      </c>
      <c r="F2917" s="1" t="s">
        <v>6264</v>
      </c>
      <c r="H2917" s="3">
        <v>46.0</v>
      </c>
      <c r="I2917" s="4" t="s">
        <v>12310</v>
      </c>
      <c r="J2917" s="1" t="s">
        <v>12311</v>
      </c>
      <c r="K2917" s="1" t="s">
        <v>16</v>
      </c>
    </row>
    <row r="2918">
      <c r="A2918" s="1" t="s">
        <v>12312</v>
      </c>
      <c r="B2918" s="1" t="s">
        <v>12313</v>
      </c>
      <c r="C2918" s="1">
        <v>2019.0</v>
      </c>
      <c r="D2918" s="2">
        <v>43467.0</v>
      </c>
      <c r="F2918" s="1" t="s">
        <v>2577</v>
      </c>
      <c r="H2918" s="3">
        <v>15.0</v>
      </c>
      <c r="I2918" s="4" t="s">
        <v>12314</v>
      </c>
      <c r="J2918" s="1" t="s">
        <v>12315</v>
      </c>
      <c r="K2918" s="1" t="s">
        <v>323</v>
      </c>
    </row>
    <row r="2919">
      <c r="A2919" s="1" t="s">
        <v>12316</v>
      </c>
      <c r="B2919" s="1" t="s">
        <v>12317</v>
      </c>
      <c r="C2919" s="1">
        <v>2019.0</v>
      </c>
      <c r="D2919" s="2">
        <v>43466.0</v>
      </c>
      <c r="F2919" s="1" t="s">
        <v>4997</v>
      </c>
      <c r="H2919" s="3">
        <v>18.0</v>
      </c>
      <c r="I2919" s="4" t="s">
        <v>12318</v>
      </c>
      <c r="J2919" s="1" t="s">
        <v>12319</v>
      </c>
      <c r="K2919" s="1" t="s">
        <v>1036</v>
      </c>
    </row>
    <row r="2920">
      <c r="A2920" s="1" t="s">
        <v>12320</v>
      </c>
      <c r="B2920" s="1" t="s">
        <v>12321</v>
      </c>
      <c r="C2920" s="1">
        <v>2019.0</v>
      </c>
      <c r="D2920" s="2">
        <v>43466.0</v>
      </c>
      <c r="F2920" s="1" t="s">
        <v>519</v>
      </c>
      <c r="H2920" s="3">
        <v>4.0</v>
      </c>
      <c r="I2920" s="4" t="s">
        <v>12322</v>
      </c>
      <c r="J2920" s="1" t="s">
        <v>12323</v>
      </c>
      <c r="K2920" s="1" t="s">
        <v>323</v>
      </c>
    </row>
    <row r="2921">
      <c r="A2921" s="1" t="s">
        <v>12324</v>
      </c>
      <c r="B2921" s="1" t="s">
        <v>12325</v>
      </c>
      <c r="C2921" s="1">
        <v>2019.0</v>
      </c>
      <c r="D2921" s="2">
        <v>43466.0</v>
      </c>
      <c r="F2921" s="1" t="s">
        <v>5834</v>
      </c>
      <c r="H2921" s="3">
        <v>14.0</v>
      </c>
      <c r="I2921" s="4" t="s">
        <v>12326</v>
      </c>
      <c r="J2921" s="1" t="s">
        <v>12327</v>
      </c>
      <c r="K2921" s="1" t="s">
        <v>28</v>
      </c>
    </row>
    <row r="2922">
      <c r="A2922" s="1" t="s">
        <v>12328</v>
      </c>
      <c r="B2922" s="1" t="s">
        <v>12329</v>
      </c>
      <c r="C2922" s="1">
        <v>2019.0</v>
      </c>
      <c r="D2922" s="2">
        <v>43466.0</v>
      </c>
      <c r="F2922" s="1" t="s">
        <v>12330</v>
      </c>
      <c r="H2922" s="3">
        <v>4.0</v>
      </c>
      <c r="I2922" s="4" t="s">
        <v>12331</v>
      </c>
      <c r="J2922" s="1" t="s">
        <v>12332</v>
      </c>
      <c r="K2922" s="1" t="s">
        <v>295</v>
      </c>
    </row>
    <row r="2923">
      <c r="A2923" s="1" t="s">
        <v>12333</v>
      </c>
      <c r="B2923" s="1" t="s">
        <v>9452</v>
      </c>
      <c r="C2923" s="1">
        <v>2019.0</v>
      </c>
      <c r="D2923" s="2">
        <v>43466.0</v>
      </c>
      <c r="F2923" s="1" t="s">
        <v>1277</v>
      </c>
      <c r="H2923" s="3">
        <v>17.0</v>
      </c>
      <c r="I2923" s="4" t="s">
        <v>12334</v>
      </c>
      <c r="J2923" s="1" t="s">
        <v>12335</v>
      </c>
      <c r="K2923" s="1" t="s">
        <v>477</v>
      </c>
    </row>
    <row r="2924">
      <c r="A2924" s="1" t="s">
        <v>12336</v>
      </c>
      <c r="B2924" s="1" t="s">
        <v>12337</v>
      </c>
      <c r="C2924" s="1">
        <v>2019.0</v>
      </c>
      <c r="D2924" s="2">
        <v>43466.0</v>
      </c>
      <c r="F2924" s="1" t="s">
        <v>5834</v>
      </c>
      <c r="H2924" s="3">
        <v>14.0</v>
      </c>
      <c r="I2924" s="4" t="s">
        <v>12338</v>
      </c>
      <c r="J2924" s="1" t="s">
        <v>12339</v>
      </c>
      <c r="K2924" s="1" t="s">
        <v>323</v>
      </c>
    </row>
    <row r="2925">
      <c r="A2925" s="1" t="s">
        <v>12340</v>
      </c>
      <c r="B2925" s="1" t="s">
        <v>12341</v>
      </c>
      <c r="C2925" s="1">
        <v>2019.0</v>
      </c>
      <c r="D2925" s="2">
        <v>43466.0</v>
      </c>
      <c r="F2925" s="1" t="s">
        <v>3569</v>
      </c>
      <c r="H2925" s="3">
        <v>696.0</v>
      </c>
      <c r="I2925" s="4" t="s">
        <v>12342</v>
      </c>
      <c r="J2925" s="1" t="s">
        <v>12343</v>
      </c>
      <c r="K2925" s="1" t="s">
        <v>28</v>
      </c>
    </row>
    <row r="2926">
      <c r="A2926" s="1" t="s">
        <v>12344</v>
      </c>
      <c r="B2926" s="1" t="s">
        <v>12345</v>
      </c>
      <c r="C2926" s="1">
        <v>2019.0</v>
      </c>
      <c r="D2926" s="2">
        <v>43466.0</v>
      </c>
      <c r="F2926" s="1" t="s">
        <v>3569</v>
      </c>
      <c r="H2926" s="3">
        <v>1053.0</v>
      </c>
      <c r="I2926" s="4" t="s">
        <v>12346</v>
      </c>
      <c r="J2926" s="1" t="s">
        <v>12347</v>
      </c>
      <c r="K2926" s="1" t="s">
        <v>28</v>
      </c>
    </row>
    <row r="2927">
      <c r="A2927" s="1" t="s">
        <v>12348</v>
      </c>
      <c r="B2927" s="1" t="s">
        <v>12349</v>
      </c>
      <c r="C2927" s="1">
        <v>2019.0</v>
      </c>
      <c r="D2927" s="2">
        <v>43466.0</v>
      </c>
      <c r="F2927" s="1" t="s">
        <v>12350</v>
      </c>
      <c r="H2927" s="3">
        <v>4.0</v>
      </c>
      <c r="I2927" s="4" t="s">
        <v>12351</v>
      </c>
      <c r="J2927" s="1" t="s">
        <v>12352</v>
      </c>
      <c r="K2927" s="1" t="s">
        <v>28</v>
      </c>
    </row>
    <row r="2928">
      <c r="A2928" s="1" t="s">
        <v>12353</v>
      </c>
      <c r="B2928" s="1" t="s">
        <v>12354</v>
      </c>
      <c r="C2928" s="1">
        <v>2019.0</v>
      </c>
      <c r="D2928" s="2">
        <v>43466.0</v>
      </c>
      <c r="F2928" s="1" t="s">
        <v>4405</v>
      </c>
      <c r="H2928" s="3">
        <v>48.0</v>
      </c>
      <c r="I2928" s="4" t="s">
        <v>12355</v>
      </c>
      <c r="J2928" s="1" t="s">
        <v>12356</v>
      </c>
      <c r="K2928" s="1" t="s">
        <v>28</v>
      </c>
    </row>
    <row r="2929">
      <c r="A2929" s="1" t="s">
        <v>12357</v>
      </c>
      <c r="B2929" s="1" t="s">
        <v>12358</v>
      </c>
      <c r="C2929" s="1">
        <v>2019.0</v>
      </c>
      <c r="D2929" s="2">
        <v>43466.0</v>
      </c>
      <c r="F2929" s="1" t="s">
        <v>12359</v>
      </c>
      <c r="H2929" s="3">
        <v>1.0</v>
      </c>
      <c r="I2929" s="4" t="s">
        <v>12360</v>
      </c>
      <c r="J2929" s="1" t="s">
        <v>12361</v>
      </c>
      <c r="K2929" s="1" t="s">
        <v>68</v>
      </c>
    </row>
    <row r="2930">
      <c r="A2930" s="1" t="s">
        <v>12362</v>
      </c>
      <c r="B2930" s="1" t="s">
        <v>12363</v>
      </c>
      <c r="C2930" s="1">
        <v>2019.0</v>
      </c>
      <c r="D2930" s="2">
        <v>43466.0</v>
      </c>
      <c r="F2930" s="1" t="s">
        <v>12364</v>
      </c>
      <c r="H2930" s="3">
        <v>4.0</v>
      </c>
      <c r="I2930" s="4" t="s">
        <v>12365</v>
      </c>
      <c r="J2930" s="1" t="s">
        <v>12366</v>
      </c>
      <c r="K2930" s="1" t="s">
        <v>16</v>
      </c>
    </row>
    <row r="2931">
      <c r="A2931" s="1" t="s">
        <v>12367</v>
      </c>
      <c r="B2931" s="1" t="s">
        <v>12368</v>
      </c>
      <c r="C2931" s="1">
        <v>2018.0</v>
      </c>
      <c r="D2931" s="2">
        <v>43458.0</v>
      </c>
      <c r="F2931" s="1" t="s">
        <v>3551</v>
      </c>
      <c r="H2931" s="3">
        <v>17.0</v>
      </c>
      <c r="I2931" s="4" t="s">
        <v>12369</v>
      </c>
      <c r="J2931" s="1" t="s">
        <v>12370</v>
      </c>
      <c r="K2931" s="1" t="s">
        <v>295</v>
      </c>
    </row>
    <row r="2932">
      <c r="A2932" s="1" t="s">
        <v>12371</v>
      </c>
      <c r="B2932" s="1" t="s">
        <v>12372</v>
      </c>
      <c r="C2932" s="1">
        <v>2018.0</v>
      </c>
      <c r="D2932" s="2">
        <v>43456.0</v>
      </c>
      <c r="F2932" s="1" t="s">
        <v>369</v>
      </c>
      <c r="H2932" s="3">
        <v>2.0</v>
      </c>
      <c r="I2932" s="4" t="s">
        <v>12373</v>
      </c>
      <c r="J2932" s="1" t="s">
        <v>12374</v>
      </c>
      <c r="K2932" s="1" t="s">
        <v>45</v>
      </c>
    </row>
    <row r="2933">
      <c r="A2933" s="1" t="s">
        <v>12375</v>
      </c>
      <c r="B2933" s="1" t="s">
        <v>12376</v>
      </c>
      <c r="C2933" s="1">
        <v>2018.0</v>
      </c>
      <c r="D2933" s="2">
        <v>43456.0</v>
      </c>
      <c r="F2933" s="1" t="s">
        <v>495</v>
      </c>
      <c r="H2933" s="3">
        <v>57.0</v>
      </c>
      <c r="I2933" s="4" t="s">
        <v>12377</v>
      </c>
      <c r="J2933" s="1" t="s">
        <v>12378</v>
      </c>
      <c r="K2933" s="1" t="s">
        <v>383</v>
      </c>
    </row>
    <row r="2934">
      <c r="A2934" s="1" t="s">
        <v>12379</v>
      </c>
      <c r="B2934" s="1" t="s">
        <v>12380</v>
      </c>
      <c r="C2934" s="1">
        <v>2018.0</v>
      </c>
      <c r="D2934" s="2">
        <v>43455.0</v>
      </c>
      <c r="F2934" s="1" t="s">
        <v>2205</v>
      </c>
      <c r="H2934" s="3">
        <v>5.0</v>
      </c>
      <c r="I2934" s="4" t="s">
        <v>12381</v>
      </c>
      <c r="J2934" s="1" t="s">
        <v>12382</v>
      </c>
      <c r="K2934" s="1" t="s">
        <v>383</v>
      </c>
    </row>
    <row r="2935">
      <c r="A2935" s="1" t="s">
        <v>12383</v>
      </c>
      <c r="B2935" s="1" t="s">
        <v>12384</v>
      </c>
      <c r="C2935" s="1">
        <v>2018.0</v>
      </c>
      <c r="D2935" s="2">
        <v>43455.0</v>
      </c>
      <c r="F2935" s="1" t="s">
        <v>6512</v>
      </c>
      <c r="H2935" s="3">
        <v>3.0</v>
      </c>
      <c r="I2935" s="4" t="s">
        <v>12385</v>
      </c>
      <c r="J2935" s="1"/>
      <c r="K2935" s="1" t="s">
        <v>28</v>
      </c>
    </row>
    <row r="2936">
      <c r="A2936" s="1" t="s">
        <v>12386</v>
      </c>
      <c r="B2936" s="1" t="s">
        <v>12387</v>
      </c>
      <c r="C2936" s="1">
        <v>2018.0</v>
      </c>
      <c r="D2936" s="2">
        <v>43455.0</v>
      </c>
      <c r="F2936" s="1" t="s">
        <v>2634</v>
      </c>
      <c r="H2936" s="3">
        <v>18.0</v>
      </c>
      <c r="I2936" s="4" t="s">
        <v>12388</v>
      </c>
      <c r="J2936" s="1" t="s">
        <v>12389</v>
      </c>
      <c r="K2936" s="1" t="s">
        <v>16</v>
      </c>
    </row>
    <row r="2937">
      <c r="A2937" s="1" t="s">
        <v>12390</v>
      </c>
      <c r="B2937" s="1" t="s">
        <v>12391</v>
      </c>
      <c r="C2937" s="1">
        <v>2018.0</v>
      </c>
      <c r="D2937" s="2">
        <v>43453.0</v>
      </c>
      <c r="F2937" s="1" t="s">
        <v>2586</v>
      </c>
      <c r="H2937" s="3">
        <v>26.0</v>
      </c>
      <c r="I2937" s="4" t="s">
        <v>12392</v>
      </c>
      <c r="J2937" s="1" t="s">
        <v>12393</v>
      </c>
      <c r="K2937" s="1" t="s">
        <v>1036</v>
      </c>
    </row>
    <row r="2938">
      <c r="A2938" s="1" t="s">
        <v>12394</v>
      </c>
      <c r="B2938" s="1" t="s">
        <v>12395</v>
      </c>
      <c r="C2938" s="1">
        <v>2018.0</v>
      </c>
      <c r="D2938" s="2">
        <v>43453.0</v>
      </c>
      <c r="F2938" s="1" t="s">
        <v>1199</v>
      </c>
      <c r="H2938" s="3">
        <v>17.0</v>
      </c>
      <c r="I2938" s="4" t="s">
        <v>12396</v>
      </c>
      <c r="J2938" s="1" t="s">
        <v>12397</v>
      </c>
      <c r="K2938" s="1" t="s">
        <v>323</v>
      </c>
    </row>
    <row r="2939">
      <c r="A2939" s="1" t="s">
        <v>12398</v>
      </c>
      <c r="B2939" s="1" t="s">
        <v>12399</v>
      </c>
      <c r="C2939" s="1">
        <v>2018.0</v>
      </c>
      <c r="D2939" s="2">
        <v>43452.0</v>
      </c>
      <c r="F2939" s="1" t="s">
        <v>1588</v>
      </c>
      <c r="H2939" s="3">
        <v>10.0</v>
      </c>
      <c r="I2939" s="4" t="s">
        <v>12400</v>
      </c>
      <c r="J2939" s="1" t="s">
        <v>12401</v>
      </c>
      <c r="K2939" s="1" t="s">
        <v>443</v>
      </c>
    </row>
    <row r="2940">
      <c r="A2940" s="1" t="s">
        <v>12402</v>
      </c>
      <c r="B2940" s="1" t="s">
        <v>12403</v>
      </c>
      <c r="C2940" s="1">
        <v>2018.0</v>
      </c>
      <c r="D2940" s="2">
        <v>43451.0</v>
      </c>
      <c r="F2940" s="1" t="s">
        <v>10409</v>
      </c>
      <c r="H2940" s="3">
        <v>41.0</v>
      </c>
      <c r="I2940" s="4" t="s">
        <v>12404</v>
      </c>
      <c r="J2940" s="1" t="s">
        <v>12405</v>
      </c>
      <c r="K2940" s="1" t="s">
        <v>418</v>
      </c>
    </row>
    <row r="2941">
      <c r="A2941" s="1" t="s">
        <v>12406</v>
      </c>
      <c r="B2941" s="1" t="s">
        <v>12407</v>
      </c>
      <c r="C2941" s="1">
        <v>2018.0</v>
      </c>
      <c r="D2941" s="2">
        <v>43449.0</v>
      </c>
      <c r="F2941" s="1" t="s">
        <v>8327</v>
      </c>
      <c r="H2941" s="3">
        <v>5.0</v>
      </c>
      <c r="I2941" s="4" t="s">
        <v>12408</v>
      </c>
      <c r="J2941" s="1" t="s">
        <v>12409</v>
      </c>
      <c r="K2941" s="1" t="s">
        <v>323</v>
      </c>
    </row>
    <row r="2942">
      <c r="A2942" s="1" t="s">
        <v>12410</v>
      </c>
      <c r="B2942" s="1" t="s">
        <v>12411</v>
      </c>
      <c r="C2942" s="1">
        <v>2018.0</v>
      </c>
      <c r="D2942" s="2">
        <v>43448.0</v>
      </c>
      <c r="F2942" s="1" t="s">
        <v>4063</v>
      </c>
      <c r="H2942" s="3">
        <v>6.0</v>
      </c>
      <c r="I2942" s="4" t="s">
        <v>12412</v>
      </c>
      <c r="J2942" s="1" t="s">
        <v>12413</v>
      </c>
      <c r="K2942" s="1" t="s">
        <v>926</v>
      </c>
    </row>
    <row r="2943">
      <c r="A2943" s="1" t="s">
        <v>12414</v>
      </c>
      <c r="B2943" s="1" t="s">
        <v>12415</v>
      </c>
      <c r="C2943" s="1">
        <v>2018.0</v>
      </c>
      <c r="D2943" s="2">
        <v>43448.0</v>
      </c>
      <c r="F2943" s="1" t="s">
        <v>5985</v>
      </c>
      <c r="H2943" s="3">
        <v>8.0</v>
      </c>
      <c r="I2943" s="4" t="s">
        <v>12416</v>
      </c>
      <c r="J2943" s="1" t="s">
        <v>12417</v>
      </c>
      <c r="K2943" s="1" t="s">
        <v>462</v>
      </c>
    </row>
    <row r="2944">
      <c r="A2944" s="1" t="s">
        <v>12418</v>
      </c>
      <c r="B2944" s="1" t="s">
        <v>12419</v>
      </c>
      <c r="C2944" s="1">
        <v>2018.0</v>
      </c>
      <c r="D2944" s="2">
        <v>43447.0</v>
      </c>
      <c r="F2944" s="1" t="s">
        <v>1074</v>
      </c>
      <c r="H2944" s="3">
        <v>2.0</v>
      </c>
      <c r="I2944" s="4" t="s">
        <v>12420</v>
      </c>
      <c r="J2944" s="1" t="s">
        <v>12421</v>
      </c>
      <c r="K2944" s="1" t="s">
        <v>443</v>
      </c>
    </row>
    <row r="2945">
      <c r="A2945" s="1" t="s">
        <v>12422</v>
      </c>
      <c r="B2945" s="1" t="s">
        <v>12423</v>
      </c>
      <c r="C2945" s="1">
        <v>2018.0</v>
      </c>
      <c r="D2945" s="2">
        <v>43446.0</v>
      </c>
      <c r="F2945" s="1" t="s">
        <v>2041</v>
      </c>
      <c r="H2945" s="3">
        <v>1.0</v>
      </c>
      <c r="I2945" s="4" t="s">
        <v>12424</v>
      </c>
      <c r="J2945" s="1" t="s">
        <v>12425</v>
      </c>
      <c r="K2945" s="1" t="s">
        <v>28</v>
      </c>
    </row>
    <row r="2946">
      <c r="A2946" s="1" t="s">
        <v>12426</v>
      </c>
      <c r="B2946" s="1" t="s">
        <v>12427</v>
      </c>
      <c r="C2946" s="1">
        <v>2018.0</v>
      </c>
      <c r="D2946" s="2">
        <v>43446.0</v>
      </c>
      <c r="F2946" s="1" t="s">
        <v>7495</v>
      </c>
      <c r="H2946" s="3">
        <v>10.0</v>
      </c>
      <c r="I2946" s="4" t="s">
        <v>12428</v>
      </c>
      <c r="J2946" s="1" t="s">
        <v>12429</v>
      </c>
      <c r="K2946" s="1" t="s">
        <v>413</v>
      </c>
    </row>
    <row r="2947">
      <c r="A2947" s="1" t="s">
        <v>12430</v>
      </c>
      <c r="B2947" s="1" t="s">
        <v>12431</v>
      </c>
      <c r="C2947" s="1">
        <v>2018.0</v>
      </c>
      <c r="D2947" s="2">
        <v>43445.0</v>
      </c>
      <c r="F2947" s="1" t="s">
        <v>1381</v>
      </c>
      <c r="H2947" s="3">
        <v>61.0</v>
      </c>
      <c r="I2947" s="4" t="s">
        <v>12432</v>
      </c>
      <c r="J2947" s="1" t="s">
        <v>12433</v>
      </c>
      <c r="K2947" s="1" t="s">
        <v>323</v>
      </c>
    </row>
    <row r="2948">
      <c r="A2948" s="1" t="s">
        <v>12434</v>
      </c>
      <c r="B2948" s="1" t="s">
        <v>12435</v>
      </c>
      <c r="C2948" s="1">
        <v>2018.0</v>
      </c>
      <c r="D2948" s="2">
        <v>43445.0</v>
      </c>
      <c r="F2948" s="1" t="s">
        <v>12240</v>
      </c>
      <c r="H2948" s="3">
        <v>34.0</v>
      </c>
      <c r="I2948" s="4" t="s">
        <v>12436</v>
      </c>
      <c r="J2948" s="1" t="s">
        <v>12437</v>
      </c>
      <c r="K2948" s="1" t="s">
        <v>546</v>
      </c>
    </row>
    <row r="2949">
      <c r="A2949" s="1" t="s">
        <v>12438</v>
      </c>
      <c r="B2949" s="1" t="s">
        <v>11352</v>
      </c>
      <c r="C2949" s="1">
        <v>2018.0</v>
      </c>
      <c r="D2949" s="2">
        <v>43442.0</v>
      </c>
      <c r="F2949" s="1" t="s">
        <v>12240</v>
      </c>
      <c r="H2949" s="3">
        <v>46.0</v>
      </c>
      <c r="I2949" s="4" t="s">
        <v>12439</v>
      </c>
      <c r="J2949" s="1" t="s">
        <v>12440</v>
      </c>
      <c r="K2949" s="1" t="s">
        <v>546</v>
      </c>
    </row>
    <row r="2950">
      <c r="A2950" s="1" t="s">
        <v>12441</v>
      </c>
      <c r="B2950" s="1" t="s">
        <v>12442</v>
      </c>
      <c r="C2950" s="1">
        <v>2018.0</v>
      </c>
      <c r="D2950" s="2">
        <v>43441.0</v>
      </c>
      <c r="F2950" s="1" t="s">
        <v>726</v>
      </c>
      <c r="H2950" s="3">
        <v>8.0</v>
      </c>
      <c r="I2950" s="4" t="s">
        <v>12443</v>
      </c>
      <c r="J2950" s="1"/>
      <c r="K2950" s="1" t="s">
        <v>68</v>
      </c>
    </row>
    <row r="2951">
      <c r="A2951" s="1" t="s">
        <v>12444</v>
      </c>
      <c r="B2951" s="1" t="s">
        <v>10211</v>
      </c>
      <c r="C2951" s="1">
        <v>2018.0</v>
      </c>
      <c r="D2951" s="2">
        <v>43440.0</v>
      </c>
      <c r="F2951" s="1" t="s">
        <v>2611</v>
      </c>
      <c r="H2951" s="3">
        <v>6.0</v>
      </c>
      <c r="I2951" s="4" t="s">
        <v>12445</v>
      </c>
      <c r="J2951" s="1"/>
      <c r="K2951" s="1" t="s">
        <v>68</v>
      </c>
    </row>
    <row r="2952">
      <c r="A2952" s="1" t="s">
        <v>12446</v>
      </c>
      <c r="B2952" s="1" t="s">
        <v>12447</v>
      </c>
      <c r="C2952" s="1">
        <v>2018.0</v>
      </c>
      <c r="D2952" s="2">
        <v>43439.0</v>
      </c>
      <c r="F2952" s="1" t="s">
        <v>8447</v>
      </c>
      <c r="H2952" s="3">
        <v>13.0</v>
      </c>
      <c r="I2952" s="4" t="s">
        <v>12448</v>
      </c>
      <c r="J2952" s="1" t="s">
        <v>12449</v>
      </c>
      <c r="K2952" s="1" t="s">
        <v>28</v>
      </c>
    </row>
    <row r="2953">
      <c r="A2953" s="1" t="s">
        <v>12450</v>
      </c>
      <c r="B2953" s="1" t="s">
        <v>12451</v>
      </c>
      <c r="C2953" s="1">
        <v>2018.0</v>
      </c>
      <c r="D2953" s="2">
        <v>43439.0</v>
      </c>
      <c r="F2953" s="1" t="s">
        <v>12240</v>
      </c>
      <c r="H2953" s="3">
        <v>70.0</v>
      </c>
      <c r="I2953" s="4" t="s">
        <v>12452</v>
      </c>
      <c r="J2953" s="1" t="s">
        <v>12453</v>
      </c>
      <c r="K2953" s="1" t="s">
        <v>546</v>
      </c>
    </row>
    <row r="2954">
      <c r="A2954" s="1" t="s">
        <v>12454</v>
      </c>
      <c r="B2954" s="1" t="s">
        <v>12455</v>
      </c>
      <c r="C2954" s="1">
        <v>2018.0</v>
      </c>
      <c r="D2954" s="2">
        <v>43439.0</v>
      </c>
      <c r="F2954" s="1" t="s">
        <v>1050</v>
      </c>
      <c r="H2954" s="3">
        <v>0.0</v>
      </c>
      <c r="I2954" s="4" t="s">
        <v>12456</v>
      </c>
      <c r="J2954" s="1" t="s">
        <v>12457</v>
      </c>
      <c r="K2954" s="1" t="s">
        <v>28</v>
      </c>
    </row>
    <row r="2955">
      <c r="A2955" s="1" t="s">
        <v>12458</v>
      </c>
      <c r="B2955" s="1" t="s">
        <v>12459</v>
      </c>
      <c r="C2955" s="1">
        <v>2018.0</v>
      </c>
      <c r="D2955" s="2">
        <v>43439.0</v>
      </c>
      <c r="F2955" s="1" t="s">
        <v>71</v>
      </c>
      <c r="H2955" s="3">
        <v>1.0</v>
      </c>
      <c r="I2955" s="4" t="s">
        <v>12460</v>
      </c>
      <c r="J2955" s="1" t="s">
        <v>12461</v>
      </c>
      <c r="K2955" s="1" t="s">
        <v>413</v>
      </c>
    </row>
    <row r="2956">
      <c r="A2956" s="1" t="s">
        <v>12462</v>
      </c>
      <c r="B2956" s="1" t="s">
        <v>12463</v>
      </c>
      <c r="C2956" s="1">
        <v>2018.0</v>
      </c>
      <c r="D2956" s="2">
        <v>43439.0</v>
      </c>
      <c r="F2956" s="1" t="s">
        <v>1050</v>
      </c>
      <c r="H2956" s="3">
        <v>0.0</v>
      </c>
      <c r="I2956" s="4" t="s">
        <v>12464</v>
      </c>
      <c r="J2956" s="1" t="s">
        <v>12465</v>
      </c>
      <c r="K2956" s="1" t="s">
        <v>68</v>
      </c>
    </row>
    <row r="2957">
      <c r="A2957" s="1" t="s">
        <v>12466</v>
      </c>
      <c r="B2957" s="1" t="s">
        <v>12467</v>
      </c>
      <c r="C2957" s="1">
        <v>2018.0</v>
      </c>
      <c r="D2957" s="2">
        <v>43437.0</v>
      </c>
      <c r="F2957" s="1" t="s">
        <v>7425</v>
      </c>
      <c r="H2957" s="3">
        <v>370.0</v>
      </c>
      <c r="I2957" s="4" t="s">
        <v>12468</v>
      </c>
      <c r="J2957" s="1" t="s">
        <v>12469</v>
      </c>
      <c r="K2957" s="1" t="s">
        <v>418</v>
      </c>
    </row>
    <row r="2958">
      <c r="A2958" s="1" t="s">
        <v>12470</v>
      </c>
      <c r="B2958" s="1" t="s">
        <v>12471</v>
      </c>
      <c r="C2958" s="1">
        <v>2018.0</v>
      </c>
      <c r="D2958" s="2">
        <v>43435.0</v>
      </c>
      <c r="F2958" s="1" t="s">
        <v>12472</v>
      </c>
      <c r="H2958" s="3">
        <v>20.0</v>
      </c>
      <c r="I2958" s="4" t="s">
        <v>12473</v>
      </c>
      <c r="J2958" s="1" t="s">
        <v>12474</v>
      </c>
      <c r="K2958" s="1" t="s">
        <v>443</v>
      </c>
    </row>
    <row r="2959">
      <c r="A2959" s="1" t="s">
        <v>12475</v>
      </c>
      <c r="B2959" s="1" t="s">
        <v>12476</v>
      </c>
      <c r="C2959" s="1">
        <v>2018.0</v>
      </c>
      <c r="D2959" s="2">
        <v>43435.0</v>
      </c>
      <c r="F2959" s="1" t="s">
        <v>12477</v>
      </c>
      <c r="H2959" s="3">
        <v>6.0</v>
      </c>
      <c r="I2959" s="4" t="s">
        <v>12478</v>
      </c>
      <c r="J2959" s="1" t="s">
        <v>12479</v>
      </c>
      <c r="K2959" s="1" t="s">
        <v>413</v>
      </c>
    </row>
    <row r="2960">
      <c r="A2960" s="1" t="s">
        <v>12480</v>
      </c>
      <c r="B2960" s="1" t="s">
        <v>12481</v>
      </c>
      <c r="C2960" s="1">
        <v>2018.0</v>
      </c>
      <c r="D2960" s="2">
        <v>43435.0</v>
      </c>
      <c r="F2960" s="1" t="s">
        <v>12482</v>
      </c>
      <c r="H2960" s="3">
        <v>11.0</v>
      </c>
      <c r="I2960" s="4" t="s">
        <v>12483</v>
      </c>
      <c r="J2960" s="1" t="s">
        <v>12484</v>
      </c>
      <c r="K2960" s="1" t="s">
        <v>323</v>
      </c>
    </row>
    <row r="2961">
      <c r="A2961" s="1" t="s">
        <v>12485</v>
      </c>
      <c r="B2961" s="1" t="s">
        <v>12486</v>
      </c>
      <c r="C2961" s="1">
        <v>2018.0</v>
      </c>
      <c r="D2961" s="2">
        <v>43435.0</v>
      </c>
      <c r="F2961" s="1" t="s">
        <v>6540</v>
      </c>
      <c r="H2961" s="3">
        <v>140.0</v>
      </c>
      <c r="I2961" s="4" t="s">
        <v>12487</v>
      </c>
      <c r="J2961" s="1" t="s">
        <v>12488</v>
      </c>
      <c r="K2961" s="1" t="s">
        <v>383</v>
      </c>
    </row>
    <row r="2962">
      <c r="A2962" s="1" t="s">
        <v>12489</v>
      </c>
      <c r="B2962" s="1" t="s">
        <v>12490</v>
      </c>
      <c r="C2962" s="1">
        <v>2018.0</v>
      </c>
      <c r="D2962" s="2">
        <v>43434.0</v>
      </c>
      <c r="F2962" s="1" t="s">
        <v>12240</v>
      </c>
      <c r="H2962" s="3">
        <v>20.0</v>
      </c>
      <c r="I2962" s="4" t="s">
        <v>12491</v>
      </c>
      <c r="J2962" s="1" t="s">
        <v>12492</v>
      </c>
      <c r="K2962" s="1" t="s">
        <v>546</v>
      </c>
    </row>
    <row r="2963">
      <c r="A2963" s="1" t="s">
        <v>12493</v>
      </c>
      <c r="B2963" s="1" t="s">
        <v>12494</v>
      </c>
      <c r="C2963" s="1">
        <v>2018.0</v>
      </c>
      <c r="D2963" s="2">
        <v>43432.0</v>
      </c>
      <c r="F2963" s="1" t="s">
        <v>440</v>
      </c>
      <c r="H2963" s="3">
        <v>11.0</v>
      </c>
      <c r="I2963" s="4" t="s">
        <v>12495</v>
      </c>
      <c r="J2963" s="1" t="s">
        <v>12496</v>
      </c>
      <c r="K2963" s="1" t="s">
        <v>45</v>
      </c>
    </row>
    <row r="2964">
      <c r="A2964" s="1" t="s">
        <v>12497</v>
      </c>
      <c r="B2964" s="1" t="s">
        <v>12498</v>
      </c>
      <c r="C2964" s="1">
        <v>2018.0</v>
      </c>
      <c r="D2964" s="2">
        <v>43432.0</v>
      </c>
      <c r="F2964" s="1" t="s">
        <v>271</v>
      </c>
      <c r="H2964" s="3">
        <v>18.0</v>
      </c>
      <c r="I2964" s="4" t="s">
        <v>12499</v>
      </c>
      <c r="J2964" s="1" t="s">
        <v>12500</v>
      </c>
      <c r="K2964" s="1" t="s">
        <v>462</v>
      </c>
    </row>
    <row r="2965">
      <c r="A2965" s="1" t="s">
        <v>12501</v>
      </c>
      <c r="B2965" s="1" t="s">
        <v>12502</v>
      </c>
      <c r="C2965" s="1">
        <v>2018.0</v>
      </c>
      <c r="D2965" s="2">
        <v>43432.0</v>
      </c>
      <c r="F2965" s="1" t="s">
        <v>2611</v>
      </c>
      <c r="H2965" s="3">
        <v>54.0</v>
      </c>
      <c r="I2965" s="4" t="s">
        <v>12503</v>
      </c>
      <c r="J2965" s="1" t="s">
        <v>12504</v>
      </c>
      <c r="K2965" s="1" t="s">
        <v>68</v>
      </c>
    </row>
    <row r="2966">
      <c r="A2966" s="1" t="s">
        <v>12505</v>
      </c>
      <c r="B2966" s="1" t="s">
        <v>12506</v>
      </c>
      <c r="C2966" s="1">
        <v>2018.0</v>
      </c>
      <c r="D2966" s="2">
        <v>43432.0</v>
      </c>
      <c r="F2966" s="1" t="s">
        <v>59</v>
      </c>
      <c r="H2966" s="3">
        <v>15.0</v>
      </c>
      <c r="I2966" s="4" t="s">
        <v>12507</v>
      </c>
      <c r="J2966" s="1"/>
      <c r="K2966" s="1" t="s">
        <v>323</v>
      </c>
    </row>
    <row r="2967">
      <c r="A2967" s="1" t="s">
        <v>12508</v>
      </c>
      <c r="B2967" s="1" t="s">
        <v>12509</v>
      </c>
      <c r="C2967" s="1">
        <v>2018.0</v>
      </c>
      <c r="D2967" s="2">
        <v>43432.0</v>
      </c>
      <c r="F2967" s="1" t="s">
        <v>71</v>
      </c>
      <c r="H2967" s="3">
        <v>23.0</v>
      </c>
      <c r="I2967" s="4" t="s">
        <v>12510</v>
      </c>
      <c r="J2967" s="1" t="s">
        <v>12511</v>
      </c>
      <c r="K2967" s="1" t="s">
        <v>16</v>
      </c>
    </row>
    <row r="2968">
      <c r="A2968" s="1" t="s">
        <v>12512</v>
      </c>
      <c r="B2968" s="1" t="s">
        <v>12513</v>
      </c>
      <c r="C2968" s="1">
        <v>2018.0</v>
      </c>
      <c r="D2968" s="2">
        <v>43431.0</v>
      </c>
      <c r="F2968" s="1" t="s">
        <v>1505</v>
      </c>
      <c r="H2968" s="3">
        <v>124.0</v>
      </c>
      <c r="I2968" s="4" t="s">
        <v>12514</v>
      </c>
      <c r="J2968" s="1" t="s">
        <v>12515</v>
      </c>
      <c r="K2968" s="1" t="s">
        <v>383</v>
      </c>
    </row>
    <row r="2969">
      <c r="A2969" s="1" t="s">
        <v>12516</v>
      </c>
      <c r="B2969" s="1" t="s">
        <v>12517</v>
      </c>
      <c r="C2969" s="1">
        <v>2018.0</v>
      </c>
      <c r="D2969" s="2">
        <v>43431.0</v>
      </c>
      <c r="F2969" s="1" t="s">
        <v>59</v>
      </c>
      <c r="H2969" s="3">
        <v>14.0</v>
      </c>
      <c r="I2969" s="4" t="s">
        <v>12518</v>
      </c>
      <c r="J2969" s="1" t="s">
        <v>12519</v>
      </c>
      <c r="K2969" s="1" t="s">
        <v>926</v>
      </c>
    </row>
    <row r="2970">
      <c r="A2970" s="1" t="s">
        <v>12520</v>
      </c>
      <c r="B2970" s="1" t="s">
        <v>12521</v>
      </c>
      <c r="C2970" s="1">
        <v>2018.0</v>
      </c>
      <c r="D2970" s="2">
        <v>43430.0</v>
      </c>
      <c r="F2970" s="1" t="s">
        <v>3535</v>
      </c>
      <c r="H2970" s="3">
        <v>455.0</v>
      </c>
      <c r="I2970" s="4" t="s">
        <v>12522</v>
      </c>
      <c r="J2970" s="1" t="s">
        <v>12523</v>
      </c>
      <c r="K2970" s="1" t="s">
        <v>1036</v>
      </c>
    </row>
    <row r="2971">
      <c r="A2971" s="1" t="s">
        <v>12524</v>
      </c>
      <c r="B2971" s="1" t="s">
        <v>12525</v>
      </c>
      <c r="C2971" s="1">
        <v>2018.0</v>
      </c>
      <c r="D2971" s="2">
        <v>43427.0</v>
      </c>
      <c r="F2971" s="1" t="s">
        <v>12526</v>
      </c>
      <c r="H2971" s="3">
        <v>69.0</v>
      </c>
      <c r="I2971" s="4" t="s">
        <v>12527</v>
      </c>
      <c r="J2971" s="1" t="s">
        <v>12528</v>
      </c>
      <c r="K2971" s="1" t="s">
        <v>1423</v>
      </c>
    </row>
    <row r="2972">
      <c r="A2972" s="1" t="s">
        <v>12529</v>
      </c>
      <c r="B2972" s="1" t="s">
        <v>12530</v>
      </c>
      <c r="C2972" s="1">
        <v>2018.0</v>
      </c>
      <c r="D2972" s="2">
        <v>43427.0</v>
      </c>
      <c r="F2972" s="1" t="s">
        <v>1358</v>
      </c>
      <c r="H2972" s="3">
        <v>48.0</v>
      </c>
      <c r="I2972" s="4" t="s">
        <v>12531</v>
      </c>
      <c r="J2972" s="1" t="s">
        <v>12532</v>
      </c>
      <c r="K2972" s="1" t="s">
        <v>28</v>
      </c>
    </row>
    <row r="2973">
      <c r="A2973" s="1" t="s">
        <v>12533</v>
      </c>
      <c r="B2973" s="1" t="s">
        <v>12534</v>
      </c>
      <c r="C2973" s="1">
        <v>2018.0</v>
      </c>
      <c r="D2973" s="2">
        <v>43427.0</v>
      </c>
      <c r="F2973" s="1" t="s">
        <v>157</v>
      </c>
      <c r="H2973" s="3">
        <v>87.0</v>
      </c>
      <c r="I2973" s="4" t="s">
        <v>12535</v>
      </c>
      <c r="J2973" s="1" t="s">
        <v>12536</v>
      </c>
      <c r="K2973" s="1" t="s">
        <v>546</v>
      </c>
    </row>
    <row r="2974">
      <c r="A2974" s="1" t="s">
        <v>12537</v>
      </c>
      <c r="B2974" s="1" t="s">
        <v>11352</v>
      </c>
      <c r="C2974" s="1">
        <v>2018.0</v>
      </c>
      <c r="D2974" s="2">
        <v>43427.0</v>
      </c>
      <c r="F2974" s="1" t="s">
        <v>157</v>
      </c>
      <c r="H2974" s="3">
        <v>36.0</v>
      </c>
      <c r="I2974" s="4" t="s">
        <v>12538</v>
      </c>
      <c r="J2974" s="1" t="s">
        <v>12539</v>
      </c>
      <c r="K2974" s="1" t="s">
        <v>546</v>
      </c>
    </row>
    <row r="2975">
      <c r="A2975" s="1" t="s">
        <v>12540</v>
      </c>
      <c r="B2975" s="1" t="s">
        <v>12541</v>
      </c>
      <c r="C2975" s="1">
        <v>2018.0</v>
      </c>
      <c r="D2975" s="2">
        <v>43426.0</v>
      </c>
      <c r="F2975" s="1" t="s">
        <v>6393</v>
      </c>
      <c r="H2975" s="3">
        <v>68.0</v>
      </c>
      <c r="I2975" s="4" t="s">
        <v>12542</v>
      </c>
      <c r="J2975" s="1" t="s">
        <v>12543</v>
      </c>
      <c r="K2975" s="1" t="s">
        <v>413</v>
      </c>
    </row>
    <row r="2976">
      <c r="A2976" s="1" t="s">
        <v>12544</v>
      </c>
      <c r="B2976" s="1" t="s">
        <v>12545</v>
      </c>
      <c r="C2976" s="1">
        <v>2018.0</v>
      </c>
      <c r="D2976" s="2">
        <v>43424.0</v>
      </c>
      <c r="F2976" s="1" t="s">
        <v>131</v>
      </c>
      <c r="H2976" s="3">
        <v>61.0</v>
      </c>
      <c r="I2976" s="4" t="s">
        <v>12546</v>
      </c>
      <c r="J2976" s="1" t="s">
        <v>12547</v>
      </c>
      <c r="K2976" s="1" t="s">
        <v>295</v>
      </c>
    </row>
    <row r="2977">
      <c r="A2977" s="1" t="s">
        <v>12548</v>
      </c>
      <c r="B2977" s="1" t="s">
        <v>12549</v>
      </c>
      <c r="C2977" s="1">
        <v>2018.0</v>
      </c>
      <c r="D2977" s="2">
        <v>43423.0</v>
      </c>
      <c r="F2977" s="1" t="s">
        <v>6179</v>
      </c>
      <c r="H2977" s="3">
        <v>12.0</v>
      </c>
      <c r="I2977" s="4" t="s">
        <v>12550</v>
      </c>
      <c r="J2977" s="1" t="s">
        <v>12551</v>
      </c>
      <c r="K2977" s="1" t="s">
        <v>926</v>
      </c>
    </row>
    <row r="2978">
      <c r="A2978" s="1" t="s">
        <v>12552</v>
      </c>
      <c r="B2978" s="1" t="s">
        <v>12553</v>
      </c>
      <c r="C2978" s="1">
        <v>2018.0</v>
      </c>
      <c r="D2978" s="2">
        <v>43421.0</v>
      </c>
      <c r="F2978" s="1" t="s">
        <v>208</v>
      </c>
      <c r="H2978" s="3">
        <v>13.0</v>
      </c>
      <c r="I2978" s="4" t="s">
        <v>12554</v>
      </c>
      <c r="J2978" s="1" t="s">
        <v>12555</v>
      </c>
      <c r="K2978" s="1" t="s">
        <v>16</v>
      </c>
    </row>
    <row r="2979">
      <c r="A2979" s="1" t="s">
        <v>12556</v>
      </c>
      <c r="B2979" s="1" t="s">
        <v>12557</v>
      </c>
      <c r="C2979" s="1">
        <v>2018.0</v>
      </c>
      <c r="D2979" s="2">
        <v>43420.0</v>
      </c>
      <c r="F2979" s="1" t="s">
        <v>6301</v>
      </c>
      <c r="H2979" s="3">
        <v>13.0</v>
      </c>
      <c r="I2979" s="4" t="s">
        <v>12558</v>
      </c>
      <c r="J2979" s="1" t="s">
        <v>12559</v>
      </c>
      <c r="K2979" s="1" t="s">
        <v>462</v>
      </c>
    </row>
    <row r="2980">
      <c r="A2980" s="1" t="s">
        <v>12560</v>
      </c>
      <c r="B2980" s="1" t="s">
        <v>12561</v>
      </c>
      <c r="C2980" s="1">
        <v>2018.0</v>
      </c>
      <c r="D2980" s="2">
        <v>43419.0</v>
      </c>
      <c r="F2980" s="1" t="s">
        <v>71</v>
      </c>
      <c r="H2980" s="3">
        <v>1.0</v>
      </c>
      <c r="I2980" s="4" t="s">
        <v>12562</v>
      </c>
      <c r="J2980" s="1" t="s">
        <v>12563</v>
      </c>
      <c r="K2980" s="1" t="s">
        <v>418</v>
      </c>
    </row>
    <row r="2981">
      <c r="A2981" s="1" t="s">
        <v>12564</v>
      </c>
      <c r="B2981" s="1" t="s">
        <v>12565</v>
      </c>
      <c r="C2981" s="1">
        <v>2018.0</v>
      </c>
      <c r="D2981" s="2">
        <v>43418.0</v>
      </c>
      <c r="F2981" s="1" t="s">
        <v>71</v>
      </c>
      <c r="H2981" s="3">
        <v>30.0</v>
      </c>
      <c r="I2981" s="4" t="s">
        <v>12566</v>
      </c>
      <c r="J2981" s="1" t="s">
        <v>12567</v>
      </c>
      <c r="K2981" s="1" t="s">
        <v>16</v>
      </c>
    </row>
    <row r="2982">
      <c r="A2982" s="1" t="s">
        <v>12568</v>
      </c>
      <c r="B2982" s="1" t="s">
        <v>12569</v>
      </c>
      <c r="C2982" s="1">
        <v>2018.0</v>
      </c>
      <c r="D2982" s="2">
        <v>43417.0</v>
      </c>
      <c r="F2982" s="1" t="s">
        <v>1846</v>
      </c>
      <c r="H2982" s="3">
        <v>19.0</v>
      </c>
      <c r="I2982" s="4" t="s">
        <v>12570</v>
      </c>
      <c r="J2982" s="1" t="s">
        <v>12571</v>
      </c>
      <c r="K2982" s="1" t="s">
        <v>28</v>
      </c>
    </row>
    <row r="2983">
      <c r="A2983" s="1" t="s">
        <v>12572</v>
      </c>
      <c r="B2983" s="1" t="s">
        <v>12573</v>
      </c>
      <c r="C2983" s="1">
        <v>2018.0</v>
      </c>
      <c r="D2983" s="2">
        <v>43417.0</v>
      </c>
      <c r="F2983" s="1" t="s">
        <v>3583</v>
      </c>
      <c r="H2983" s="3">
        <v>6.0</v>
      </c>
      <c r="I2983" s="4" t="s">
        <v>12574</v>
      </c>
      <c r="J2983" s="1" t="s">
        <v>12575</v>
      </c>
      <c r="K2983" s="1" t="s">
        <v>323</v>
      </c>
    </row>
    <row r="2984">
      <c r="A2984" s="1" t="s">
        <v>12576</v>
      </c>
      <c r="B2984" s="1" t="s">
        <v>12577</v>
      </c>
      <c r="C2984" s="1">
        <v>2018.0</v>
      </c>
      <c r="D2984" s="2">
        <v>43416.0</v>
      </c>
      <c r="F2984" s="1" t="s">
        <v>4741</v>
      </c>
      <c r="H2984" s="3">
        <v>12.0</v>
      </c>
      <c r="I2984" s="4" t="s">
        <v>12578</v>
      </c>
      <c r="J2984" s="1" t="s">
        <v>12579</v>
      </c>
      <c r="K2984" s="1" t="s">
        <v>462</v>
      </c>
    </row>
    <row r="2985">
      <c r="A2985" s="1" t="s">
        <v>12580</v>
      </c>
      <c r="B2985" s="1" t="s">
        <v>11352</v>
      </c>
      <c r="C2985" s="1">
        <v>2018.0</v>
      </c>
      <c r="D2985" s="2">
        <v>43413.0</v>
      </c>
      <c r="F2985" s="1" t="s">
        <v>157</v>
      </c>
      <c r="H2985" s="3">
        <v>41.0</v>
      </c>
      <c r="I2985" s="4" t="s">
        <v>12581</v>
      </c>
      <c r="J2985" s="1" t="s">
        <v>12582</v>
      </c>
      <c r="K2985" s="1" t="s">
        <v>546</v>
      </c>
    </row>
    <row r="2986">
      <c r="A2986" s="1" t="s">
        <v>12583</v>
      </c>
      <c r="B2986" s="1" t="s">
        <v>12584</v>
      </c>
      <c r="C2986" s="1">
        <v>2018.0</v>
      </c>
      <c r="D2986" s="2">
        <v>43412.0</v>
      </c>
      <c r="F2986" s="1" t="s">
        <v>10191</v>
      </c>
      <c r="H2986" s="3">
        <v>3.0</v>
      </c>
      <c r="I2986" s="4" t="s">
        <v>12585</v>
      </c>
      <c r="J2986" s="1" t="s">
        <v>12586</v>
      </c>
      <c r="K2986" s="1" t="s">
        <v>295</v>
      </c>
    </row>
    <row r="2987">
      <c r="A2987" s="1" t="s">
        <v>12587</v>
      </c>
      <c r="B2987" s="1" t="s">
        <v>12451</v>
      </c>
      <c r="C2987" s="1">
        <v>2018.0</v>
      </c>
      <c r="D2987" s="2">
        <v>43412.0</v>
      </c>
      <c r="F2987" s="1" t="s">
        <v>12240</v>
      </c>
      <c r="H2987" s="3">
        <v>115.0</v>
      </c>
      <c r="I2987" s="4" t="s">
        <v>12588</v>
      </c>
      <c r="J2987" s="1" t="s">
        <v>12589</v>
      </c>
      <c r="K2987" s="1" t="s">
        <v>546</v>
      </c>
    </row>
    <row r="2988">
      <c r="A2988" s="1" t="s">
        <v>12590</v>
      </c>
      <c r="B2988" s="1" t="s">
        <v>12591</v>
      </c>
      <c r="C2988" s="1">
        <v>2018.0</v>
      </c>
      <c r="D2988" s="2">
        <v>43412.0</v>
      </c>
      <c r="F2988" s="1" t="s">
        <v>71</v>
      </c>
      <c r="H2988" s="3">
        <v>24.0</v>
      </c>
      <c r="I2988" s="4" t="s">
        <v>12592</v>
      </c>
      <c r="J2988" s="1" t="s">
        <v>12593</v>
      </c>
      <c r="K2988" s="1" t="s">
        <v>323</v>
      </c>
    </row>
    <row r="2989">
      <c r="A2989" s="1" t="s">
        <v>12594</v>
      </c>
      <c r="B2989" s="1" t="s">
        <v>12595</v>
      </c>
      <c r="C2989" s="1">
        <v>2018.0</v>
      </c>
      <c r="D2989" s="2">
        <v>43411.0</v>
      </c>
      <c r="F2989" s="1" t="s">
        <v>2914</v>
      </c>
      <c r="H2989" s="3">
        <v>4.0</v>
      </c>
      <c r="I2989" s="4" t="s">
        <v>12596</v>
      </c>
      <c r="J2989" s="1" t="s">
        <v>12597</v>
      </c>
      <c r="K2989" s="1" t="s">
        <v>413</v>
      </c>
    </row>
    <row r="2990">
      <c r="A2990" s="1" t="s">
        <v>12598</v>
      </c>
      <c r="B2990" s="1" t="s">
        <v>12599</v>
      </c>
      <c r="C2990" s="1">
        <v>2018.0</v>
      </c>
      <c r="D2990" s="2">
        <v>43411.0</v>
      </c>
      <c r="F2990" s="1" t="s">
        <v>218</v>
      </c>
      <c r="H2990" s="3">
        <v>27.0</v>
      </c>
      <c r="I2990" s="4" t="s">
        <v>12600</v>
      </c>
      <c r="J2990" s="1" t="s">
        <v>12601</v>
      </c>
      <c r="K2990" s="1" t="s">
        <v>340</v>
      </c>
    </row>
    <row r="2991">
      <c r="A2991" s="1" t="s">
        <v>12602</v>
      </c>
      <c r="B2991" s="1" t="s">
        <v>12603</v>
      </c>
      <c r="C2991" s="1">
        <v>2018.0</v>
      </c>
      <c r="D2991" s="2">
        <v>43411.0</v>
      </c>
      <c r="F2991" s="1" t="s">
        <v>396</v>
      </c>
      <c r="H2991" s="3">
        <v>181.0</v>
      </c>
      <c r="I2991" s="4" t="s">
        <v>12604</v>
      </c>
      <c r="J2991" s="1" t="s">
        <v>12605</v>
      </c>
      <c r="K2991" s="1" t="s">
        <v>16</v>
      </c>
    </row>
    <row r="2992">
      <c r="A2992" s="1" t="s">
        <v>12606</v>
      </c>
      <c r="B2992" s="1" t="s">
        <v>12607</v>
      </c>
      <c r="C2992" s="1">
        <v>2018.0</v>
      </c>
      <c r="D2992" s="2">
        <v>43410.0</v>
      </c>
      <c r="F2992" s="1" t="s">
        <v>1123</v>
      </c>
      <c r="H2992" s="3">
        <v>13.0</v>
      </c>
      <c r="I2992" s="4" t="s">
        <v>12608</v>
      </c>
      <c r="J2992" s="1" t="s">
        <v>12609</v>
      </c>
      <c r="K2992" s="1" t="s">
        <v>28</v>
      </c>
    </row>
    <row r="2993">
      <c r="A2993" s="1" t="s">
        <v>12610</v>
      </c>
      <c r="B2993" s="1" t="s">
        <v>12611</v>
      </c>
      <c r="C2993" s="1">
        <v>2018.0</v>
      </c>
      <c r="D2993" s="2">
        <v>43410.0</v>
      </c>
      <c r="F2993" s="1" t="s">
        <v>12612</v>
      </c>
      <c r="H2993" s="3">
        <v>9.0</v>
      </c>
      <c r="I2993" s="4" t="s">
        <v>12613</v>
      </c>
      <c r="J2993" s="1" t="s">
        <v>12614</v>
      </c>
      <c r="K2993" s="1" t="s">
        <v>295</v>
      </c>
    </row>
    <row r="2994">
      <c r="A2994" s="1" t="s">
        <v>12615</v>
      </c>
      <c r="B2994" s="1" t="s">
        <v>12616</v>
      </c>
      <c r="C2994" s="1">
        <v>2018.0</v>
      </c>
      <c r="D2994" s="2">
        <v>43409.0</v>
      </c>
      <c r="F2994" s="1" t="s">
        <v>12617</v>
      </c>
      <c r="H2994" s="3">
        <v>13.0</v>
      </c>
      <c r="I2994" s="4" t="s">
        <v>12618</v>
      </c>
      <c r="J2994" s="1" t="s">
        <v>12619</v>
      </c>
      <c r="K2994" s="1" t="s">
        <v>323</v>
      </c>
    </row>
    <row r="2995">
      <c r="A2995" s="1" t="s">
        <v>12620</v>
      </c>
      <c r="B2995" s="1" t="s">
        <v>12621</v>
      </c>
      <c r="C2995" s="1">
        <v>2018.0</v>
      </c>
      <c r="D2995" s="2">
        <v>43409.0</v>
      </c>
      <c r="F2995" s="1" t="s">
        <v>13</v>
      </c>
      <c r="H2995" s="3">
        <v>73.0</v>
      </c>
      <c r="I2995" s="4" t="s">
        <v>12622</v>
      </c>
      <c r="J2995" s="1" t="s">
        <v>12623</v>
      </c>
      <c r="K2995" s="1" t="s">
        <v>16</v>
      </c>
    </row>
    <row r="2996">
      <c r="A2996" s="1" t="s">
        <v>12624</v>
      </c>
      <c r="B2996" s="1" t="s">
        <v>12625</v>
      </c>
      <c r="C2996" s="1">
        <v>2018.0</v>
      </c>
      <c r="D2996" s="2">
        <v>43406.0</v>
      </c>
      <c r="F2996" s="1" t="s">
        <v>2560</v>
      </c>
      <c r="H2996" s="3">
        <v>7.0</v>
      </c>
      <c r="I2996" s="4" t="s">
        <v>12626</v>
      </c>
      <c r="J2996" s="1" t="s">
        <v>12627</v>
      </c>
      <c r="K2996" s="1" t="s">
        <v>323</v>
      </c>
    </row>
    <row r="2997">
      <c r="A2997" s="1" t="s">
        <v>12628</v>
      </c>
      <c r="B2997" s="1" t="s">
        <v>12629</v>
      </c>
      <c r="C2997" s="1">
        <v>2018.0</v>
      </c>
      <c r="D2997" s="2">
        <v>43406.0</v>
      </c>
      <c r="F2997" s="1" t="s">
        <v>71</v>
      </c>
      <c r="H2997" s="3">
        <v>16.0</v>
      </c>
      <c r="I2997" s="4" t="s">
        <v>12630</v>
      </c>
      <c r="J2997" s="1" t="s">
        <v>12631</v>
      </c>
      <c r="K2997" s="1" t="s">
        <v>16</v>
      </c>
    </row>
    <row r="2998">
      <c r="A2998" s="1" t="s">
        <v>12632</v>
      </c>
      <c r="B2998" s="1" t="s">
        <v>12633</v>
      </c>
      <c r="C2998" s="1">
        <v>2018.0</v>
      </c>
      <c r="D2998" s="2">
        <v>43405.0</v>
      </c>
      <c r="F2998" s="1" t="s">
        <v>71</v>
      </c>
      <c r="H2998" s="3">
        <v>45.0</v>
      </c>
      <c r="I2998" s="4" t="s">
        <v>12634</v>
      </c>
      <c r="J2998" s="1" t="s">
        <v>12635</v>
      </c>
      <c r="K2998" s="1" t="s">
        <v>45</v>
      </c>
    </row>
    <row r="2999">
      <c r="A2999" s="1" t="s">
        <v>12636</v>
      </c>
      <c r="B2999" s="1" t="s">
        <v>12637</v>
      </c>
      <c r="C2999" s="1">
        <v>2018.0</v>
      </c>
      <c r="D2999" s="2">
        <v>43405.0</v>
      </c>
      <c r="F2999" s="1" t="s">
        <v>12638</v>
      </c>
      <c r="H2999" s="3">
        <v>4.0</v>
      </c>
      <c r="I2999" s="4" t="s">
        <v>12639</v>
      </c>
      <c r="J2999" s="1" t="s">
        <v>12640</v>
      </c>
      <c r="K2999" s="1" t="s">
        <v>443</v>
      </c>
    </row>
    <row r="3000">
      <c r="A3000" s="1" t="s">
        <v>12641</v>
      </c>
      <c r="B3000" s="1" t="s">
        <v>12642</v>
      </c>
      <c r="C3000" s="1">
        <v>2018.0</v>
      </c>
      <c r="D3000" s="2">
        <v>43405.0</v>
      </c>
      <c r="F3000" s="1" t="s">
        <v>10182</v>
      </c>
      <c r="H3000" s="3">
        <v>34.0</v>
      </c>
      <c r="I3000" s="4" t="s">
        <v>12643</v>
      </c>
      <c r="J3000" s="1" t="s">
        <v>12644</v>
      </c>
      <c r="K3000" s="1" t="s">
        <v>28</v>
      </c>
    </row>
    <row r="3001">
      <c r="A3001" s="1" t="s">
        <v>12645</v>
      </c>
      <c r="B3001" s="1" t="s">
        <v>12646</v>
      </c>
      <c r="C3001" s="1">
        <v>2018.0</v>
      </c>
      <c r="D3001" s="2">
        <v>43405.0</v>
      </c>
      <c r="F3001" s="1" t="s">
        <v>1277</v>
      </c>
      <c r="H3001" s="3">
        <v>26.0</v>
      </c>
      <c r="I3001" s="4" t="s">
        <v>12647</v>
      </c>
      <c r="J3001" s="1" t="s">
        <v>12648</v>
      </c>
      <c r="K3001" s="1" t="s">
        <v>418</v>
      </c>
    </row>
    <row r="3002">
      <c r="A3002" s="1" t="s">
        <v>12649</v>
      </c>
      <c r="B3002" s="1" t="s">
        <v>12650</v>
      </c>
      <c r="C3002" s="1">
        <v>2018.0</v>
      </c>
      <c r="D3002" s="2">
        <v>43405.0</v>
      </c>
      <c r="F3002" s="1" t="s">
        <v>12651</v>
      </c>
      <c r="H3002" s="3">
        <v>1.0</v>
      </c>
      <c r="I3002" s="4" t="s">
        <v>12652</v>
      </c>
      <c r="J3002" s="1" t="s">
        <v>12653</v>
      </c>
      <c r="K3002" s="1" t="s">
        <v>323</v>
      </c>
    </row>
    <row r="3003">
      <c r="A3003" s="1" t="s">
        <v>12654</v>
      </c>
      <c r="B3003" s="1" t="s">
        <v>12655</v>
      </c>
      <c r="C3003" s="1">
        <v>2018.0</v>
      </c>
      <c r="D3003" s="2">
        <v>43405.0</v>
      </c>
      <c r="F3003" s="1" t="s">
        <v>484</v>
      </c>
      <c r="H3003" s="3">
        <v>69.0</v>
      </c>
      <c r="I3003" s="4" t="s">
        <v>12656</v>
      </c>
      <c r="J3003" s="1" t="s">
        <v>12657</v>
      </c>
      <c r="K3003" s="1" t="s">
        <v>372</v>
      </c>
    </row>
    <row r="3004">
      <c r="A3004" s="1" t="s">
        <v>12658</v>
      </c>
      <c r="B3004" s="1" t="s">
        <v>12659</v>
      </c>
      <c r="C3004" s="1">
        <v>2018.0</v>
      </c>
      <c r="D3004" s="2">
        <v>43405.0</v>
      </c>
      <c r="F3004" s="1" t="s">
        <v>298</v>
      </c>
      <c r="H3004" s="3">
        <v>33.0</v>
      </c>
      <c r="I3004" s="4" t="s">
        <v>12660</v>
      </c>
      <c r="J3004" s="1" t="s">
        <v>12661</v>
      </c>
      <c r="K3004" s="1" t="s">
        <v>16</v>
      </c>
    </row>
    <row r="3005">
      <c r="A3005" s="1" t="s">
        <v>12662</v>
      </c>
      <c r="B3005" s="1" t="s">
        <v>12663</v>
      </c>
      <c r="C3005" s="1">
        <v>2018.0</v>
      </c>
      <c r="D3005" s="2">
        <v>43404.0</v>
      </c>
      <c r="F3005" s="1" t="s">
        <v>276</v>
      </c>
      <c r="H3005" s="3">
        <v>2.0</v>
      </c>
      <c r="I3005" s="4" t="s">
        <v>12664</v>
      </c>
      <c r="J3005" s="1" t="s">
        <v>12665</v>
      </c>
      <c r="K3005" s="1" t="s">
        <v>45</v>
      </c>
    </row>
    <row r="3006">
      <c r="A3006" s="1" t="s">
        <v>12666</v>
      </c>
      <c r="B3006" s="1" t="s">
        <v>12667</v>
      </c>
      <c r="C3006" s="1">
        <v>2018.0</v>
      </c>
      <c r="D3006" s="2">
        <v>43404.0</v>
      </c>
      <c r="F3006" s="1" t="s">
        <v>500</v>
      </c>
      <c r="H3006" s="3">
        <v>6.0</v>
      </c>
      <c r="I3006" s="4" t="s">
        <v>12668</v>
      </c>
      <c r="J3006" s="1" t="s">
        <v>12669</v>
      </c>
      <c r="K3006" s="1" t="s">
        <v>323</v>
      </c>
    </row>
    <row r="3007">
      <c r="A3007" s="1" t="s">
        <v>12670</v>
      </c>
      <c r="B3007" s="1" t="s">
        <v>12671</v>
      </c>
      <c r="C3007" s="1">
        <v>2018.0</v>
      </c>
      <c r="D3007" s="2">
        <v>43403.0</v>
      </c>
      <c r="F3007" s="1" t="s">
        <v>6907</v>
      </c>
      <c r="H3007" s="3">
        <v>13.0</v>
      </c>
      <c r="I3007" s="4" t="s">
        <v>12672</v>
      </c>
      <c r="J3007" s="1"/>
      <c r="K3007" s="1" t="s">
        <v>28</v>
      </c>
    </row>
    <row r="3008">
      <c r="A3008" s="1" t="s">
        <v>12673</v>
      </c>
      <c r="B3008" s="1" t="s">
        <v>12674</v>
      </c>
      <c r="C3008" s="1">
        <v>2018.0</v>
      </c>
      <c r="D3008" s="2">
        <v>43403.0</v>
      </c>
      <c r="F3008" s="1" t="s">
        <v>12675</v>
      </c>
      <c r="H3008" s="3">
        <v>93.0</v>
      </c>
      <c r="I3008" s="4" t="s">
        <v>12676</v>
      </c>
      <c r="J3008" s="1" t="s">
        <v>12677</v>
      </c>
      <c r="K3008" s="1" t="s">
        <v>413</v>
      </c>
    </row>
    <row r="3009">
      <c r="A3009" s="1" t="s">
        <v>12678</v>
      </c>
      <c r="B3009" s="1" t="s">
        <v>12679</v>
      </c>
      <c r="C3009" s="1">
        <v>2018.0</v>
      </c>
      <c r="D3009" s="2">
        <v>43402.0</v>
      </c>
      <c r="F3009" s="1" t="s">
        <v>12680</v>
      </c>
      <c r="H3009" s="3">
        <v>6.0</v>
      </c>
      <c r="I3009" s="4" t="s">
        <v>12681</v>
      </c>
      <c r="J3009" s="1" t="s">
        <v>12682</v>
      </c>
      <c r="K3009" s="1" t="s">
        <v>16</v>
      </c>
    </row>
    <row r="3010">
      <c r="A3010" s="1" t="s">
        <v>12683</v>
      </c>
      <c r="B3010" s="1" t="s">
        <v>12684</v>
      </c>
      <c r="C3010" s="1">
        <v>2018.0</v>
      </c>
      <c r="D3010" s="2">
        <v>43399.0</v>
      </c>
      <c r="F3010" s="1" t="s">
        <v>12685</v>
      </c>
      <c r="H3010" s="3">
        <v>12.0</v>
      </c>
      <c r="I3010" s="4" t="s">
        <v>12686</v>
      </c>
      <c r="J3010" s="1" t="s">
        <v>12687</v>
      </c>
      <c r="K3010" s="1" t="s">
        <v>323</v>
      </c>
    </row>
    <row r="3011">
      <c r="A3011" s="1" t="s">
        <v>12688</v>
      </c>
      <c r="B3011" s="1" t="s">
        <v>12689</v>
      </c>
      <c r="C3011" s="1">
        <v>2018.0</v>
      </c>
      <c r="D3011" s="2">
        <v>43399.0</v>
      </c>
      <c r="F3011" s="1" t="s">
        <v>7158</v>
      </c>
      <c r="H3011" s="3">
        <v>36.0</v>
      </c>
      <c r="I3011" s="4" t="s">
        <v>12690</v>
      </c>
      <c r="J3011" s="1" t="s">
        <v>12691</v>
      </c>
      <c r="K3011" s="1" t="s">
        <v>16</v>
      </c>
    </row>
    <row r="3012">
      <c r="A3012" s="1" t="s">
        <v>12692</v>
      </c>
      <c r="B3012" s="1" t="s">
        <v>12693</v>
      </c>
      <c r="C3012" s="1">
        <v>2018.0</v>
      </c>
      <c r="D3012" s="2">
        <v>43399.0</v>
      </c>
      <c r="F3012" s="1" t="s">
        <v>71</v>
      </c>
      <c r="H3012" s="3">
        <v>25.0</v>
      </c>
      <c r="I3012" s="4" t="s">
        <v>12694</v>
      </c>
      <c r="J3012" s="1" t="s">
        <v>12695</v>
      </c>
      <c r="K3012" s="1" t="s">
        <v>443</v>
      </c>
    </row>
    <row r="3013">
      <c r="A3013" s="1" t="s">
        <v>12696</v>
      </c>
      <c r="B3013" s="1" t="s">
        <v>12697</v>
      </c>
      <c r="C3013" s="1">
        <v>2018.0</v>
      </c>
      <c r="D3013" s="2">
        <v>43398.0</v>
      </c>
      <c r="F3013" s="1" t="s">
        <v>12698</v>
      </c>
      <c r="H3013" s="3">
        <v>69.0</v>
      </c>
      <c r="I3013" s="4" t="s">
        <v>12699</v>
      </c>
      <c r="J3013" s="1" t="s">
        <v>12700</v>
      </c>
      <c r="K3013" s="1" t="s">
        <v>28</v>
      </c>
    </row>
    <row r="3014">
      <c r="A3014" s="1" t="s">
        <v>12701</v>
      </c>
      <c r="B3014" s="1" t="s">
        <v>12702</v>
      </c>
      <c r="C3014" s="1">
        <v>2018.0</v>
      </c>
      <c r="D3014" s="2">
        <v>43397.0</v>
      </c>
      <c r="F3014" s="1" t="s">
        <v>5090</v>
      </c>
      <c r="H3014" s="3">
        <v>20.0</v>
      </c>
      <c r="I3014" s="4" t="s">
        <v>12703</v>
      </c>
      <c r="J3014" s="1" t="s">
        <v>12704</v>
      </c>
      <c r="K3014" s="1" t="s">
        <v>28</v>
      </c>
    </row>
    <row r="3015">
      <c r="A3015" s="1" t="s">
        <v>12705</v>
      </c>
      <c r="B3015" s="1" t="s">
        <v>12706</v>
      </c>
      <c r="C3015" s="1">
        <v>2018.0</v>
      </c>
      <c r="D3015" s="2">
        <v>43396.0</v>
      </c>
      <c r="F3015" s="1" t="s">
        <v>6713</v>
      </c>
      <c r="H3015" s="3">
        <v>27.0</v>
      </c>
      <c r="I3015" s="4" t="s">
        <v>12707</v>
      </c>
      <c r="J3015" s="1" t="s">
        <v>12708</v>
      </c>
      <c r="K3015" s="1" t="s">
        <v>16</v>
      </c>
    </row>
    <row r="3016">
      <c r="A3016" s="1" t="s">
        <v>12709</v>
      </c>
      <c r="B3016" s="1" t="s">
        <v>12710</v>
      </c>
      <c r="C3016" s="1">
        <v>2018.0</v>
      </c>
      <c r="D3016" s="2">
        <v>43395.0</v>
      </c>
      <c r="F3016" s="1" t="s">
        <v>1170</v>
      </c>
      <c r="H3016" s="3">
        <v>137.0</v>
      </c>
      <c r="I3016" s="4" t="s">
        <v>12711</v>
      </c>
      <c r="J3016" s="1" t="s">
        <v>12712</v>
      </c>
      <c r="K3016" s="1" t="s">
        <v>28</v>
      </c>
    </row>
    <row r="3017">
      <c r="A3017" s="1" t="s">
        <v>12713</v>
      </c>
      <c r="B3017" s="1" t="s">
        <v>12714</v>
      </c>
      <c r="C3017" s="1">
        <v>2018.0</v>
      </c>
      <c r="D3017" s="2">
        <v>43395.0</v>
      </c>
      <c r="F3017" s="1" t="s">
        <v>1123</v>
      </c>
      <c r="H3017" s="3">
        <v>8.0</v>
      </c>
      <c r="I3017" s="4" t="s">
        <v>12715</v>
      </c>
      <c r="J3017" s="1" t="s">
        <v>12716</v>
      </c>
      <c r="K3017" s="1" t="s">
        <v>28</v>
      </c>
    </row>
    <row r="3018">
      <c r="A3018" s="1" t="s">
        <v>12717</v>
      </c>
      <c r="B3018" s="1" t="s">
        <v>12718</v>
      </c>
      <c r="C3018" s="1">
        <v>2018.0</v>
      </c>
      <c r="D3018" s="2">
        <v>43395.0</v>
      </c>
      <c r="F3018" s="1" t="s">
        <v>12240</v>
      </c>
      <c r="H3018" s="3">
        <v>8.0</v>
      </c>
      <c r="I3018" s="4" t="s">
        <v>12719</v>
      </c>
      <c r="J3018" s="1" t="s">
        <v>12720</v>
      </c>
      <c r="K3018" s="1" t="s">
        <v>546</v>
      </c>
    </row>
    <row r="3019">
      <c r="A3019" s="1" t="s">
        <v>12721</v>
      </c>
      <c r="B3019" s="1" t="s">
        <v>12722</v>
      </c>
      <c r="C3019" s="1">
        <v>2018.0</v>
      </c>
      <c r="D3019" s="2">
        <v>43395.0</v>
      </c>
      <c r="F3019" s="1" t="s">
        <v>2634</v>
      </c>
      <c r="H3019" s="3">
        <v>35.0</v>
      </c>
      <c r="I3019" s="4" t="s">
        <v>12723</v>
      </c>
      <c r="J3019" s="1" t="s">
        <v>12724</v>
      </c>
      <c r="K3019" s="1" t="s">
        <v>16</v>
      </c>
    </row>
    <row r="3020">
      <c r="A3020" s="1" t="s">
        <v>12725</v>
      </c>
      <c r="B3020" s="1" t="s">
        <v>12726</v>
      </c>
      <c r="C3020" s="1">
        <v>2018.0</v>
      </c>
      <c r="D3020" s="2">
        <v>43393.0</v>
      </c>
      <c r="F3020" s="1" t="s">
        <v>716</v>
      </c>
      <c r="H3020" s="3">
        <v>8.0</v>
      </c>
      <c r="I3020" s="4" t="s">
        <v>12727</v>
      </c>
      <c r="J3020" s="1" t="s">
        <v>12728</v>
      </c>
      <c r="K3020" s="1" t="s">
        <v>295</v>
      </c>
    </row>
    <row r="3021">
      <c r="A3021" s="1" t="s">
        <v>12729</v>
      </c>
      <c r="B3021" s="1" t="s">
        <v>12730</v>
      </c>
      <c r="C3021" s="1">
        <v>2018.0</v>
      </c>
      <c r="D3021" s="2">
        <v>43392.0</v>
      </c>
      <c r="F3021" s="1" t="s">
        <v>2458</v>
      </c>
      <c r="H3021" s="3">
        <v>224.0</v>
      </c>
      <c r="I3021" s="4" t="s">
        <v>12731</v>
      </c>
      <c r="J3021" s="1" t="s">
        <v>12732</v>
      </c>
      <c r="K3021" s="1" t="s">
        <v>323</v>
      </c>
    </row>
    <row r="3022">
      <c r="A3022" s="1" t="s">
        <v>12733</v>
      </c>
      <c r="B3022" s="1" t="s">
        <v>12734</v>
      </c>
      <c r="C3022" s="1">
        <v>2018.0</v>
      </c>
      <c r="D3022" s="2">
        <v>43391.0</v>
      </c>
      <c r="F3022" s="1" t="s">
        <v>7158</v>
      </c>
      <c r="H3022" s="3">
        <v>30.0</v>
      </c>
      <c r="I3022" s="4" t="s">
        <v>12735</v>
      </c>
      <c r="J3022" s="1" t="s">
        <v>12736</v>
      </c>
      <c r="K3022" s="1" t="s">
        <v>16</v>
      </c>
    </row>
    <row r="3023">
      <c r="A3023" s="1" t="s">
        <v>12737</v>
      </c>
      <c r="B3023" s="1" t="s">
        <v>12738</v>
      </c>
      <c r="C3023" s="1">
        <v>2018.0</v>
      </c>
      <c r="D3023" s="2">
        <v>43388.0</v>
      </c>
      <c r="F3023" s="1" t="s">
        <v>2906</v>
      </c>
      <c r="H3023" s="3">
        <v>3.0</v>
      </c>
      <c r="I3023" s="4" t="s">
        <v>12739</v>
      </c>
      <c r="J3023" s="1" t="s">
        <v>12740</v>
      </c>
      <c r="K3023" s="1" t="s">
        <v>16</v>
      </c>
    </row>
    <row r="3024">
      <c r="A3024" s="1" t="s">
        <v>12741</v>
      </c>
      <c r="B3024" s="1" t="s">
        <v>11352</v>
      </c>
      <c r="C3024" s="1">
        <v>2018.0</v>
      </c>
      <c r="D3024" s="2">
        <v>43385.0</v>
      </c>
      <c r="F3024" s="1" t="s">
        <v>157</v>
      </c>
      <c r="H3024" s="3">
        <v>12.0</v>
      </c>
      <c r="I3024" s="4" t="s">
        <v>12742</v>
      </c>
      <c r="J3024" s="1" t="s">
        <v>12743</v>
      </c>
      <c r="K3024" s="1" t="s">
        <v>546</v>
      </c>
    </row>
    <row r="3025">
      <c r="A3025" s="1" t="s">
        <v>12744</v>
      </c>
      <c r="B3025" s="1" t="s">
        <v>12745</v>
      </c>
      <c r="C3025" s="1">
        <v>2018.0</v>
      </c>
      <c r="D3025" s="2">
        <v>43384.0</v>
      </c>
      <c r="F3025" s="1" t="s">
        <v>1113</v>
      </c>
      <c r="H3025" s="3">
        <v>48.0</v>
      </c>
      <c r="I3025" s="4" t="s">
        <v>12746</v>
      </c>
      <c r="J3025" s="1" t="s">
        <v>12747</v>
      </c>
      <c r="K3025" s="1" t="s">
        <v>45</v>
      </c>
    </row>
    <row r="3026">
      <c r="A3026" s="1" t="s">
        <v>12748</v>
      </c>
      <c r="B3026" s="1" t="s">
        <v>12749</v>
      </c>
      <c r="C3026" s="1">
        <v>2018.0</v>
      </c>
      <c r="D3026" s="2">
        <v>43384.0</v>
      </c>
      <c r="F3026" s="1" t="s">
        <v>524</v>
      </c>
      <c r="H3026" s="3">
        <v>86.0</v>
      </c>
      <c r="I3026" s="4" t="s">
        <v>12750</v>
      </c>
      <c r="J3026" s="1" t="s">
        <v>12751</v>
      </c>
      <c r="K3026" s="1" t="s">
        <v>383</v>
      </c>
    </row>
    <row r="3027">
      <c r="A3027" s="1" t="s">
        <v>12752</v>
      </c>
      <c r="B3027" s="1" t="s">
        <v>12753</v>
      </c>
      <c r="C3027" s="1">
        <v>2018.0</v>
      </c>
      <c r="D3027" s="2">
        <v>43384.0</v>
      </c>
      <c r="F3027" s="1" t="s">
        <v>248</v>
      </c>
      <c r="H3027" s="3">
        <v>18.0</v>
      </c>
      <c r="I3027" s="4" t="s">
        <v>12754</v>
      </c>
      <c r="J3027" s="1"/>
      <c r="K3027" s="1" t="s">
        <v>443</v>
      </c>
    </row>
    <row r="3028">
      <c r="A3028" s="1" t="s">
        <v>12755</v>
      </c>
      <c r="B3028" s="1" t="s">
        <v>12756</v>
      </c>
      <c r="C3028" s="1">
        <v>2018.0</v>
      </c>
      <c r="D3028" s="2">
        <v>43384.0</v>
      </c>
      <c r="F3028" s="1" t="s">
        <v>1614</v>
      </c>
      <c r="H3028" s="3">
        <v>18.0</v>
      </c>
      <c r="I3028" s="4" t="s">
        <v>12757</v>
      </c>
      <c r="J3028" s="1" t="s">
        <v>12758</v>
      </c>
      <c r="K3028" s="1" t="s">
        <v>443</v>
      </c>
    </row>
    <row r="3029">
      <c r="A3029" s="1" t="s">
        <v>12759</v>
      </c>
      <c r="B3029" s="1" t="s">
        <v>12760</v>
      </c>
      <c r="C3029" s="1">
        <v>2018.0</v>
      </c>
      <c r="D3029" s="2">
        <v>43383.0</v>
      </c>
      <c r="F3029" s="1" t="s">
        <v>12761</v>
      </c>
      <c r="H3029" s="3">
        <v>16.0</v>
      </c>
      <c r="I3029" s="4" t="s">
        <v>12762</v>
      </c>
      <c r="J3029" s="1" t="s">
        <v>12763</v>
      </c>
      <c r="K3029" s="1" t="s">
        <v>413</v>
      </c>
    </row>
    <row r="3030">
      <c r="A3030" s="1" t="s">
        <v>12764</v>
      </c>
      <c r="B3030" s="1" t="s">
        <v>12765</v>
      </c>
      <c r="C3030" s="1">
        <v>2018.0</v>
      </c>
      <c r="D3030" s="2">
        <v>43383.0</v>
      </c>
      <c r="F3030" s="1" t="s">
        <v>1300</v>
      </c>
      <c r="H3030" s="3">
        <v>15.0</v>
      </c>
      <c r="I3030" s="4" t="s">
        <v>12766</v>
      </c>
      <c r="J3030" s="1" t="s">
        <v>12767</v>
      </c>
      <c r="K3030" s="1" t="s">
        <v>372</v>
      </c>
    </row>
    <row r="3031">
      <c r="A3031" s="1" t="s">
        <v>12768</v>
      </c>
      <c r="B3031" s="1" t="s">
        <v>12769</v>
      </c>
      <c r="C3031" s="1">
        <v>2018.0</v>
      </c>
      <c r="D3031" s="2">
        <v>43381.0</v>
      </c>
      <c r="F3031" s="1" t="s">
        <v>2041</v>
      </c>
      <c r="H3031" s="3">
        <v>10.0</v>
      </c>
      <c r="I3031" s="4" t="s">
        <v>12770</v>
      </c>
      <c r="J3031" s="1" t="s">
        <v>12771</v>
      </c>
      <c r="K3031" s="1" t="s">
        <v>28</v>
      </c>
    </row>
    <row r="3032">
      <c r="A3032" s="1" t="s">
        <v>12772</v>
      </c>
      <c r="B3032" s="1" t="s">
        <v>12773</v>
      </c>
      <c r="C3032" s="1">
        <v>2018.0</v>
      </c>
      <c r="D3032" s="2">
        <v>43378.0</v>
      </c>
      <c r="F3032" s="1" t="s">
        <v>1050</v>
      </c>
      <c r="H3032" s="3">
        <v>0.0</v>
      </c>
      <c r="I3032" s="4" t="s">
        <v>12774</v>
      </c>
      <c r="J3032" s="1" t="s">
        <v>12775</v>
      </c>
      <c r="K3032" s="1" t="s">
        <v>413</v>
      </c>
    </row>
    <row r="3033">
      <c r="A3033" s="1" t="s">
        <v>12776</v>
      </c>
      <c r="B3033" s="1" t="s">
        <v>12777</v>
      </c>
      <c r="C3033" s="1">
        <v>2018.0</v>
      </c>
      <c r="D3033" s="2">
        <v>43377.0</v>
      </c>
      <c r="F3033" s="1" t="s">
        <v>347</v>
      </c>
      <c r="H3033" s="3">
        <v>63.0</v>
      </c>
      <c r="I3033" s="4" t="s">
        <v>12778</v>
      </c>
      <c r="J3033" s="1" t="s">
        <v>12779</v>
      </c>
      <c r="K3033" s="1" t="s">
        <v>68</v>
      </c>
    </row>
    <row r="3034">
      <c r="A3034" s="1" t="s">
        <v>12780</v>
      </c>
      <c r="B3034" s="1" t="s">
        <v>12781</v>
      </c>
      <c r="C3034" s="1">
        <v>2018.0</v>
      </c>
      <c r="D3034" s="2">
        <v>43374.0</v>
      </c>
      <c r="F3034" s="1" t="s">
        <v>1995</v>
      </c>
      <c r="H3034" s="3">
        <v>34.0</v>
      </c>
      <c r="I3034" s="4" t="s">
        <v>12782</v>
      </c>
      <c r="J3034" s="1" t="s">
        <v>12783</v>
      </c>
      <c r="K3034" s="1" t="s">
        <v>28</v>
      </c>
    </row>
    <row r="3035">
      <c r="A3035" s="1" t="s">
        <v>12784</v>
      </c>
      <c r="B3035" s="1" t="s">
        <v>12785</v>
      </c>
      <c r="C3035" s="1">
        <v>2018.0</v>
      </c>
      <c r="D3035" s="2">
        <v>43374.0</v>
      </c>
      <c r="F3035" s="1" t="s">
        <v>11804</v>
      </c>
      <c r="H3035" s="3">
        <v>38.0</v>
      </c>
      <c r="I3035" s="4" t="s">
        <v>12786</v>
      </c>
      <c r="J3035" s="1" t="s">
        <v>12787</v>
      </c>
      <c r="K3035" s="1" t="s">
        <v>28</v>
      </c>
    </row>
    <row r="3036">
      <c r="A3036" s="1" t="s">
        <v>12788</v>
      </c>
      <c r="B3036" s="1" t="s">
        <v>12789</v>
      </c>
      <c r="C3036" s="1">
        <v>2018.0</v>
      </c>
      <c r="D3036" s="2">
        <v>43374.0</v>
      </c>
      <c r="F3036" s="1" t="s">
        <v>1995</v>
      </c>
      <c r="H3036" s="3">
        <v>15.0</v>
      </c>
      <c r="I3036" s="4" t="s">
        <v>12790</v>
      </c>
      <c r="J3036" s="1" t="s">
        <v>12791</v>
      </c>
      <c r="K3036" s="1" t="s">
        <v>323</v>
      </c>
    </row>
    <row r="3037">
      <c r="A3037" s="1" t="s">
        <v>12792</v>
      </c>
      <c r="B3037" s="1" t="s">
        <v>12793</v>
      </c>
      <c r="C3037" s="1">
        <v>2018.0</v>
      </c>
      <c r="D3037" s="2">
        <v>43374.0</v>
      </c>
      <c r="F3037" s="1" t="s">
        <v>9945</v>
      </c>
      <c r="H3037" s="3">
        <v>23.0</v>
      </c>
      <c r="I3037" s="4" t="s">
        <v>12794</v>
      </c>
      <c r="J3037" s="1" t="s">
        <v>12795</v>
      </c>
      <c r="K3037" s="1" t="s">
        <v>323</v>
      </c>
    </row>
    <row r="3038">
      <c r="A3038" s="1" t="s">
        <v>12796</v>
      </c>
      <c r="B3038" s="1" t="s">
        <v>12797</v>
      </c>
      <c r="C3038" s="1">
        <v>2018.0</v>
      </c>
      <c r="D3038" s="2">
        <v>43374.0</v>
      </c>
      <c r="F3038" s="1" t="s">
        <v>1995</v>
      </c>
      <c r="H3038" s="3">
        <v>27.0</v>
      </c>
      <c r="I3038" s="4" t="s">
        <v>12798</v>
      </c>
      <c r="J3038" s="1" t="s">
        <v>12799</v>
      </c>
      <c r="K3038" s="1" t="s">
        <v>16</v>
      </c>
    </row>
    <row r="3039">
      <c r="A3039" s="1" t="s">
        <v>12800</v>
      </c>
      <c r="B3039" s="1" t="s">
        <v>12801</v>
      </c>
      <c r="C3039" s="1">
        <v>2018.0</v>
      </c>
      <c r="D3039" s="2">
        <v>43370.0</v>
      </c>
      <c r="F3039" s="1" t="s">
        <v>12802</v>
      </c>
      <c r="H3039" s="3">
        <v>11.0</v>
      </c>
      <c r="I3039" s="4" t="s">
        <v>12803</v>
      </c>
      <c r="J3039" s="1" t="s">
        <v>12804</v>
      </c>
      <c r="K3039" s="1" t="s">
        <v>295</v>
      </c>
    </row>
    <row r="3040">
      <c r="A3040" s="1" t="s">
        <v>12805</v>
      </c>
      <c r="B3040" s="1" t="s">
        <v>11352</v>
      </c>
      <c r="C3040" s="1">
        <v>2018.0</v>
      </c>
      <c r="D3040" s="2">
        <v>43370.0</v>
      </c>
      <c r="F3040" s="1" t="s">
        <v>12240</v>
      </c>
      <c r="H3040" s="3">
        <v>14.0</v>
      </c>
      <c r="I3040" s="4" t="s">
        <v>12806</v>
      </c>
      <c r="J3040" s="1" t="s">
        <v>12807</v>
      </c>
      <c r="K3040" s="1" t="s">
        <v>546</v>
      </c>
    </row>
    <row r="3041">
      <c r="A3041" s="1" t="s">
        <v>12808</v>
      </c>
      <c r="B3041" s="1" t="s">
        <v>12809</v>
      </c>
      <c r="C3041" s="1">
        <v>2018.0</v>
      </c>
      <c r="D3041" s="2">
        <v>43370.0</v>
      </c>
      <c r="F3041" s="1" t="s">
        <v>4197</v>
      </c>
      <c r="H3041" s="3">
        <v>55.0</v>
      </c>
      <c r="I3041" s="4" t="s">
        <v>12810</v>
      </c>
      <c r="J3041" s="1" t="s">
        <v>12811</v>
      </c>
      <c r="K3041" s="1" t="s">
        <v>295</v>
      </c>
    </row>
    <row r="3042">
      <c r="A3042" s="1" t="s">
        <v>12812</v>
      </c>
      <c r="B3042" s="1" t="s">
        <v>12813</v>
      </c>
      <c r="C3042" s="1">
        <v>2018.0</v>
      </c>
      <c r="D3042" s="2">
        <v>43370.0</v>
      </c>
      <c r="F3042" s="1" t="s">
        <v>4197</v>
      </c>
      <c r="H3042" s="3">
        <v>57.0</v>
      </c>
      <c r="I3042" s="4" t="s">
        <v>12814</v>
      </c>
      <c r="J3042" s="1" t="s">
        <v>12815</v>
      </c>
      <c r="K3042" s="1" t="s">
        <v>1036</v>
      </c>
    </row>
    <row r="3043">
      <c r="A3043" s="1" t="s">
        <v>12816</v>
      </c>
      <c r="B3043" s="1" t="s">
        <v>12817</v>
      </c>
      <c r="C3043" s="1">
        <v>2018.0</v>
      </c>
      <c r="D3043" s="2">
        <v>43369.0</v>
      </c>
      <c r="F3043" s="1" t="s">
        <v>1358</v>
      </c>
      <c r="H3043" s="3">
        <v>1.0</v>
      </c>
      <c r="I3043" s="4" t="s">
        <v>12818</v>
      </c>
      <c r="J3043" s="1"/>
      <c r="K3043" s="1" t="s">
        <v>28</v>
      </c>
    </row>
    <row r="3044">
      <c r="A3044" s="1" t="s">
        <v>12819</v>
      </c>
      <c r="B3044" s="1" t="s">
        <v>12820</v>
      </c>
      <c r="C3044" s="1">
        <v>2018.0</v>
      </c>
      <c r="D3044" s="2">
        <v>43368.0</v>
      </c>
      <c r="F3044" s="1" t="s">
        <v>347</v>
      </c>
      <c r="H3044" s="3">
        <v>55.0</v>
      </c>
      <c r="I3044" s="4" t="s">
        <v>12821</v>
      </c>
      <c r="J3044" s="1" t="s">
        <v>12822</v>
      </c>
      <c r="K3044" s="1" t="s">
        <v>323</v>
      </c>
    </row>
    <row r="3045">
      <c r="A3045" s="1" t="s">
        <v>12823</v>
      </c>
      <c r="B3045" s="1" t="s">
        <v>12824</v>
      </c>
      <c r="C3045" s="1">
        <v>2018.0</v>
      </c>
      <c r="D3045" s="2">
        <v>43368.0</v>
      </c>
      <c r="F3045" s="1" t="s">
        <v>7271</v>
      </c>
      <c r="H3045" s="3">
        <v>6.0</v>
      </c>
      <c r="I3045" s="4" t="s">
        <v>12825</v>
      </c>
      <c r="J3045" s="1" t="s">
        <v>12826</v>
      </c>
      <c r="K3045" s="1" t="s">
        <v>16</v>
      </c>
    </row>
    <row r="3046">
      <c r="A3046" s="1" t="s">
        <v>12827</v>
      </c>
      <c r="B3046" s="1" t="s">
        <v>12828</v>
      </c>
      <c r="C3046" s="1">
        <v>2018.0</v>
      </c>
      <c r="D3046" s="2">
        <v>43364.0</v>
      </c>
      <c r="F3046" s="1" t="s">
        <v>12829</v>
      </c>
      <c r="H3046" s="3">
        <v>2.0</v>
      </c>
      <c r="I3046" s="4" t="s">
        <v>12830</v>
      </c>
      <c r="J3046" s="1" t="s">
        <v>12831</v>
      </c>
      <c r="K3046" s="1" t="s">
        <v>28</v>
      </c>
    </row>
    <row r="3047">
      <c r="A3047" s="1" t="s">
        <v>12832</v>
      </c>
      <c r="B3047" s="1" t="s">
        <v>12833</v>
      </c>
      <c r="C3047" s="1">
        <v>2018.0</v>
      </c>
      <c r="D3047" s="2">
        <v>43364.0</v>
      </c>
      <c r="F3047" s="1" t="s">
        <v>12240</v>
      </c>
      <c r="H3047" s="3">
        <v>47.0</v>
      </c>
      <c r="I3047" s="4" t="s">
        <v>12834</v>
      </c>
      <c r="J3047" s="1" t="s">
        <v>12835</v>
      </c>
      <c r="K3047" s="1" t="s">
        <v>546</v>
      </c>
    </row>
    <row r="3048">
      <c r="A3048" s="1" t="s">
        <v>12836</v>
      </c>
      <c r="B3048" s="1" t="s">
        <v>12837</v>
      </c>
      <c r="C3048" s="1">
        <v>2018.0</v>
      </c>
      <c r="D3048" s="2">
        <v>43364.0</v>
      </c>
      <c r="F3048" s="1" t="s">
        <v>71</v>
      </c>
      <c r="H3048" s="3">
        <v>65.0</v>
      </c>
      <c r="I3048" s="4" t="s">
        <v>12838</v>
      </c>
      <c r="J3048" s="1" t="s">
        <v>12839</v>
      </c>
      <c r="K3048" s="1" t="s">
        <v>16</v>
      </c>
    </row>
    <row r="3049">
      <c r="A3049" s="1" t="s">
        <v>12840</v>
      </c>
      <c r="B3049" s="1" t="s">
        <v>12841</v>
      </c>
      <c r="C3049" s="1">
        <v>2018.0</v>
      </c>
      <c r="D3049" s="2">
        <v>43363.0</v>
      </c>
      <c r="F3049" s="1" t="s">
        <v>12842</v>
      </c>
      <c r="H3049" s="3">
        <v>6.0</v>
      </c>
      <c r="I3049" s="4" t="s">
        <v>12843</v>
      </c>
      <c r="J3049" s="1" t="s">
        <v>12844</v>
      </c>
      <c r="K3049" s="1" t="s">
        <v>443</v>
      </c>
    </row>
    <row r="3050">
      <c r="A3050" s="1" t="s">
        <v>12845</v>
      </c>
      <c r="B3050" s="1" t="s">
        <v>12846</v>
      </c>
      <c r="C3050" s="1">
        <v>2018.0</v>
      </c>
      <c r="D3050" s="2">
        <v>43360.0</v>
      </c>
      <c r="F3050" s="1" t="s">
        <v>1859</v>
      </c>
      <c r="H3050" s="3">
        <v>5.0</v>
      </c>
      <c r="I3050" s="4" t="s">
        <v>12847</v>
      </c>
      <c r="J3050" s="1" t="s">
        <v>12848</v>
      </c>
      <c r="K3050" s="1" t="s">
        <v>323</v>
      </c>
    </row>
    <row r="3051">
      <c r="A3051" s="1" t="s">
        <v>12849</v>
      </c>
      <c r="B3051" s="1" t="s">
        <v>12850</v>
      </c>
      <c r="C3051" s="1">
        <v>2018.0</v>
      </c>
      <c r="D3051" s="2">
        <v>43360.0</v>
      </c>
      <c r="F3051" s="1" t="s">
        <v>4197</v>
      </c>
      <c r="H3051" s="3">
        <v>59.0</v>
      </c>
      <c r="I3051" s="4" t="s">
        <v>12851</v>
      </c>
      <c r="J3051" s="1" t="s">
        <v>12852</v>
      </c>
      <c r="K3051" s="1" t="s">
        <v>295</v>
      </c>
    </row>
    <row r="3052">
      <c r="A3052" s="1" t="s">
        <v>12853</v>
      </c>
      <c r="B3052" s="1" t="s">
        <v>12854</v>
      </c>
      <c r="C3052" s="1">
        <v>2018.0</v>
      </c>
      <c r="D3052" s="2">
        <v>43360.0</v>
      </c>
      <c r="F3052" s="1" t="s">
        <v>271</v>
      </c>
      <c r="H3052" s="3">
        <v>14.0</v>
      </c>
      <c r="I3052" s="4" t="s">
        <v>12855</v>
      </c>
      <c r="J3052" s="1" t="s">
        <v>12856</v>
      </c>
      <c r="K3052" s="1" t="s">
        <v>323</v>
      </c>
    </row>
    <row r="3053">
      <c r="A3053" s="1" t="s">
        <v>12857</v>
      </c>
      <c r="B3053" s="1" t="s">
        <v>12858</v>
      </c>
      <c r="C3053" s="1">
        <v>2018.0</v>
      </c>
      <c r="D3053" s="2">
        <v>43358.0</v>
      </c>
      <c r="F3053" s="1" t="s">
        <v>6971</v>
      </c>
      <c r="H3053" s="3">
        <v>15.0</v>
      </c>
      <c r="I3053" s="4" t="s">
        <v>12859</v>
      </c>
      <c r="J3053" s="1" t="s">
        <v>12860</v>
      </c>
      <c r="K3053" s="1" t="s">
        <v>1036</v>
      </c>
    </row>
    <row r="3054">
      <c r="A3054" s="1" t="s">
        <v>12861</v>
      </c>
      <c r="B3054" s="1" t="s">
        <v>12862</v>
      </c>
      <c r="C3054" s="1">
        <v>2018.0</v>
      </c>
      <c r="D3054" s="2">
        <v>43357.0</v>
      </c>
      <c r="F3054" s="1" t="s">
        <v>208</v>
      </c>
      <c r="H3054" s="3">
        <v>26.0</v>
      </c>
      <c r="I3054" s="4" t="s">
        <v>12863</v>
      </c>
      <c r="J3054" s="1" t="s">
        <v>12864</v>
      </c>
      <c r="K3054" s="1" t="s">
        <v>45</v>
      </c>
    </row>
    <row r="3055">
      <c r="A3055" s="1" t="s">
        <v>12865</v>
      </c>
      <c r="B3055" s="1" t="s">
        <v>12866</v>
      </c>
      <c r="C3055" s="1">
        <v>2018.0</v>
      </c>
      <c r="D3055" s="2">
        <v>43356.0</v>
      </c>
      <c r="F3055" s="1" t="s">
        <v>10182</v>
      </c>
      <c r="H3055" s="3">
        <v>5.0</v>
      </c>
      <c r="I3055" s="4" t="s">
        <v>12867</v>
      </c>
      <c r="J3055" s="1" t="s">
        <v>12868</v>
      </c>
      <c r="K3055" s="1" t="s">
        <v>28</v>
      </c>
    </row>
    <row r="3056">
      <c r="A3056" s="1" t="s">
        <v>12869</v>
      </c>
      <c r="B3056" s="1" t="s">
        <v>2434</v>
      </c>
      <c r="C3056" s="1">
        <v>2018.0</v>
      </c>
      <c r="D3056" s="2">
        <v>43355.0</v>
      </c>
      <c r="F3056" s="1" t="s">
        <v>7660</v>
      </c>
      <c r="H3056" s="3">
        <v>25.0</v>
      </c>
      <c r="I3056" s="4" t="s">
        <v>12870</v>
      </c>
      <c r="J3056" s="1" t="s">
        <v>12871</v>
      </c>
      <c r="K3056" s="1" t="s">
        <v>28</v>
      </c>
    </row>
    <row r="3057">
      <c r="A3057" s="1" t="s">
        <v>12872</v>
      </c>
      <c r="B3057" s="1" t="s">
        <v>12873</v>
      </c>
      <c r="C3057" s="1">
        <v>2018.0</v>
      </c>
      <c r="D3057" s="2">
        <v>43355.0</v>
      </c>
      <c r="F3057" s="1" t="s">
        <v>489</v>
      </c>
      <c r="H3057" s="3">
        <v>8.0</v>
      </c>
      <c r="I3057" s="4" t="s">
        <v>12874</v>
      </c>
      <c r="J3057" s="1" t="s">
        <v>12875</v>
      </c>
      <c r="K3057" s="1" t="s">
        <v>317</v>
      </c>
    </row>
    <row r="3058">
      <c r="A3058" s="1" t="s">
        <v>12876</v>
      </c>
      <c r="B3058" s="1" t="s">
        <v>12877</v>
      </c>
      <c r="C3058" s="1">
        <v>2018.0</v>
      </c>
      <c r="D3058" s="2">
        <v>43355.0</v>
      </c>
      <c r="F3058" s="1" t="s">
        <v>59</v>
      </c>
      <c r="H3058" s="3">
        <v>22.0</v>
      </c>
      <c r="I3058" s="4" t="s">
        <v>12878</v>
      </c>
      <c r="J3058" s="1" t="s">
        <v>12879</v>
      </c>
      <c r="K3058" s="1" t="s">
        <v>16</v>
      </c>
    </row>
    <row r="3059">
      <c r="A3059" s="1" t="s">
        <v>12880</v>
      </c>
      <c r="B3059" s="1" t="s">
        <v>12881</v>
      </c>
      <c r="C3059" s="1">
        <v>2018.0</v>
      </c>
      <c r="D3059" s="2">
        <v>43354.0</v>
      </c>
      <c r="F3059" s="1" t="s">
        <v>4063</v>
      </c>
      <c r="H3059" s="3">
        <v>28.0</v>
      </c>
      <c r="I3059" s="4" t="s">
        <v>12882</v>
      </c>
      <c r="J3059" s="1" t="s">
        <v>12883</v>
      </c>
      <c r="K3059" s="1" t="s">
        <v>295</v>
      </c>
    </row>
    <row r="3060">
      <c r="A3060" s="1" t="s">
        <v>12884</v>
      </c>
      <c r="B3060" s="1" t="s">
        <v>12885</v>
      </c>
      <c r="C3060" s="1">
        <v>2018.0</v>
      </c>
      <c r="D3060" s="2">
        <v>43353.0</v>
      </c>
      <c r="F3060" s="1" t="s">
        <v>13</v>
      </c>
      <c r="H3060" s="3">
        <v>18.0</v>
      </c>
      <c r="I3060" s="4" t="s">
        <v>12886</v>
      </c>
      <c r="J3060" s="1" t="s">
        <v>12887</v>
      </c>
      <c r="K3060" s="1" t="s">
        <v>323</v>
      </c>
    </row>
    <row r="3061">
      <c r="A3061" s="1" t="s">
        <v>12888</v>
      </c>
      <c r="B3061" s="1" t="s">
        <v>12889</v>
      </c>
      <c r="C3061" s="1">
        <v>2018.0</v>
      </c>
      <c r="D3061" s="2">
        <v>43351.0</v>
      </c>
      <c r="F3061" s="1" t="s">
        <v>2634</v>
      </c>
      <c r="H3061" s="3">
        <v>15.0</v>
      </c>
      <c r="I3061" s="4" t="s">
        <v>12890</v>
      </c>
      <c r="J3061" s="1" t="s">
        <v>12891</v>
      </c>
      <c r="K3061" s="1" t="s">
        <v>323</v>
      </c>
    </row>
    <row r="3062">
      <c r="A3062" s="1" t="s">
        <v>12892</v>
      </c>
      <c r="B3062" s="1" t="s">
        <v>12893</v>
      </c>
      <c r="C3062" s="1">
        <v>2018.0</v>
      </c>
      <c r="D3062" s="2">
        <v>43349.0</v>
      </c>
      <c r="F3062" s="1" t="s">
        <v>1050</v>
      </c>
      <c r="H3062" s="3">
        <v>0.0</v>
      </c>
      <c r="I3062" s="4" t="s">
        <v>12894</v>
      </c>
      <c r="J3062" s="1" t="s">
        <v>12895</v>
      </c>
      <c r="K3062" s="1" t="s">
        <v>28</v>
      </c>
    </row>
    <row r="3063">
      <c r="A3063" s="1" t="s">
        <v>12896</v>
      </c>
      <c r="B3063" s="1" t="s">
        <v>12897</v>
      </c>
      <c r="C3063" s="1">
        <v>2018.0</v>
      </c>
      <c r="D3063" s="2">
        <v>43348.0</v>
      </c>
      <c r="F3063" s="1" t="s">
        <v>4741</v>
      </c>
      <c r="H3063" s="3">
        <v>47.0</v>
      </c>
      <c r="I3063" s="4" t="s">
        <v>12898</v>
      </c>
      <c r="J3063" s="1" t="s">
        <v>12899</v>
      </c>
      <c r="K3063" s="1" t="s">
        <v>462</v>
      </c>
    </row>
    <row r="3064">
      <c r="A3064" s="1" t="s">
        <v>12900</v>
      </c>
      <c r="B3064" s="1" t="s">
        <v>12901</v>
      </c>
      <c r="C3064" s="1">
        <v>2018.0</v>
      </c>
      <c r="D3064" s="2">
        <v>43347.0</v>
      </c>
      <c r="F3064" s="1" t="s">
        <v>12902</v>
      </c>
      <c r="H3064" s="3">
        <v>62.0</v>
      </c>
      <c r="I3064" s="4" t="s">
        <v>12903</v>
      </c>
      <c r="J3064" s="1" t="s">
        <v>12904</v>
      </c>
      <c r="K3064" s="1" t="s">
        <v>372</v>
      </c>
    </row>
    <row r="3065">
      <c r="A3065" s="1" t="s">
        <v>12905</v>
      </c>
      <c r="B3065" s="1" t="s">
        <v>12906</v>
      </c>
      <c r="C3065" s="1">
        <v>2018.0</v>
      </c>
      <c r="D3065" s="2">
        <v>43346.0</v>
      </c>
      <c r="F3065" s="1" t="s">
        <v>12907</v>
      </c>
      <c r="H3065" s="3">
        <v>178.0</v>
      </c>
      <c r="I3065" s="4" t="s">
        <v>12908</v>
      </c>
      <c r="J3065" s="1" t="s">
        <v>12909</v>
      </c>
      <c r="K3065" s="1" t="s">
        <v>443</v>
      </c>
    </row>
    <row r="3066">
      <c r="A3066" s="1" t="s">
        <v>12910</v>
      </c>
      <c r="B3066" s="1" t="s">
        <v>12911</v>
      </c>
      <c r="C3066" s="1">
        <v>2018.0</v>
      </c>
      <c r="D3066" s="2">
        <v>43346.0</v>
      </c>
      <c r="F3066" s="1" t="s">
        <v>7949</v>
      </c>
      <c r="H3066" s="3">
        <v>4.0</v>
      </c>
      <c r="I3066" s="4" t="s">
        <v>12912</v>
      </c>
      <c r="J3066" s="1" t="s">
        <v>12913</v>
      </c>
      <c r="K3066" s="1" t="s">
        <v>28</v>
      </c>
    </row>
    <row r="3067">
      <c r="A3067" s="1" t="s">
        <v>12914</v>
      </c>
      <c r="B3067" s="1" t="s">
        <v>12915</v>
      </c>
      <c r="C3067" s="1">
        <v>2018.0</v>
      </c>
      <c r="D3067" s="2">
        <v>43344.0</v>
      </c>
      <c r="F3067" s="1" t="s">
        <v>4997</v>
      </c>
      <c r="H3067" s="3">
        <v>13.0</v>
      </c>
      <c r="I3067" s="4" t="s">
        <v>12916</v>
      </c>
      <c r="J3067" s="1" t="s">
        <v>12917</v>
      </c>
      <c r="K3067" s="1" t="s">
        <v>323</v>
      </c>
    </row>
    <row r="3068">
      <c r="A3068" s="1" t="s">
        <v>12918</v>
      </c>
      <c r="B3068" s="1" t="s">
        <v>12919</v>
      </c>
      <c r="C3068" s="1">
        <v>2018.0</v>
      </c>
      <c r="D3068" s="2">
        <v>43344.0</v>
      </c>
      <c r="F3068" s="1" t="s">
        <v>12920</v>
      </c>
      <c r="H3068" s="3">
        <v>2.0</v>
      </c>
      <c r="I3068" s="4" t="s">
        <v>12921</v>
      </c>
      <c r="J3068" s="1" t="s">
        <v>12922</v>
      </c>
      <c r="K3068" s="1" t="s">
        <v>383</v>
      </c>
    </row>
    <row r="3069">
      <c r="A3069" s="1" t="s">
        <v>12923</v>
      </c>
      <c r="B3069" s="1" t="s">
        <v>12924</v>
      </c>
      <c r="C3069" s="1">
        <v>2018.0</v>
      </c>
      <c r="D3069" s="2">
        <v>43344.0</v>
      </c>
      <c r="F3069" s="1" t="s">
        <v>5554</v>
      </c>
      <c r="H3069" s="3">
        <v>10.0</v>
      </c>
      <c r="I3069" s="4" t="s">
        <v>12925</v>
      </c>
      <c r="J3069" s="1" t="s">
        <v>12926</v>
      </c>
      <c r="K3069" s="1" t="s">
        <v>295</v>
      </c>
    </row>
    <row r="3070">
      <c r="A3070" s="1" t="s">
        <v>12927</v>
      </c>
      <c r="B3070" s="1" t="s">
        <v>12928</v>
      </c>
      <c r="C3070" s="1">
        <v>2018.0</v>
      </c>
      <c r="D3070" s="2">
        <v>43344.0</v>
      </c>
      <c r="F3070" s="1" t="s">
        <v>380</v>
      </c>
      <c r="H3070" s="3">
        <v>11.0</v>
      </c>
      <c r="I3070" s="4" t="s">
        <v>12929</v>
      </c>
      <c r="J3070" s="1" t="s">
        <v>12930</v>
      </c>
      <c r="K3070" s="1" t="s">
        <v>28</v>
      </c>
    </row>
    <row r="3071">
      <c r="A3071" s="1" t="s">
        <v>12931</v>
      </c>
      <c r="B3071" s="1" t="s">
        <v>12932</v>
      </c>
      <c r="C3071" s="1">
        <v>2018.0</v>
      </c>
      <c r="D3071" s="2">
        <v>43344.0</v>
      </c>
      <c r="F3071" s="1" t="s">
        <v>799</v>
      </c>
      <c r="H3071" s="3">
        <v>20.0</v>
      </c>
      <c r="I3071" s="4" t="s">
        <v>12933</v>
      </c>
      <c r="J3071" s="1" t="s">
        <v>12934</v>
      </c>
      <c r="K3071" s="1" t="s">
        <v>477</v>
      </c>
    </row>
    <row r="3072">
      <c r="A3072" s="1" t="s">
        <v>12935</v>
      </c>
      <c r="B3072" s="1" t="s">
        <v>12936</v>
      </c>
      <c r="C3072" s="1">
        <v>2018.0</v>
      </c>
      <c r="D3072" s="2">
        <v>43344.0</v>
      </c>
      <c r="F3072" s="1" t="s">
        <v>12937</v>
      </c>
      <c r="H3072" s="3">
        <v>48.0</v>
      </c>
      <c r="I3072" s="4" t="s">
        <v>12938</v>
      </c>
      <c r="J3072" s="1" t="s">
        <v>12939</v>
      </c>
      <c r="K3072" s="1" t="s">
        <v>16</v>
      </c>
    </row>
    <row r="3073">
      <c r="A3073" s="1" t="s">
        <v>12940</v>
      </c>
      <c r="B3073" s="1" t="s">
        <v>12941</v>
      </c>
      <c r="C3073" s="1">
        <v>2018.0</v>
      </c>
      <c r="D3073" s="2">
        <v>43344.0</v>
      </c>
      <c r="F3073" s="1" t="s">
        <v>4980</v>
      </c>
      <c r="H3073" s="3">
        <v>26.0</v>
      </c>
      <c r="I3073" s="4" t="s">
        <v>12942</v>
      </c>
      <c r="J3073" s="1" t="s">
        <v>12943</v>
      </c>
      <c r="K3073" s="1" t="s">
        <v>443</v>
      </c>
    </row>
    <row r="3074">
      <c r="A3074" s="1" t="s">
        <v>12944</v>
      </c>
      <c r="B3074" s="1" t="s">
        <v>12945</v>
      </c>
      <c r="C3074" s="1">
        <v>2018.0</v>
      </c>
      <c r="D3074" s="2">
        <v>43343.0</v>
      </c>
      <c r="F3074" s="1" t="s">
        <v>157</v>
      </c>
      <c r="H3074" s="3">
        <v>30.0</v>
      </c>
      <c r="I3074" s="4" t="s">
        <v>12946</v>
      </c>
      <c r="J3074" s="1" t="s">
        <v>12947</v>
      </c>
      <c r="K3074" s="1" t="s">
        <v>546</v>
      </c>
    </row>
    <row r="3075">
      <c r="A3075" s="1" t="s">
        <v>12948</v>
      </c>
      <c r="B3075" s="1" t="s">
        <v>12949</v>
      </c>
      <c r="C3075" s="1">
        <v>2018.0</v>
      </c>
      <c r="D3075" s="2">
        <v>43342.0</v>
      </c>
      <c r="F3075" s="1" t="s">
        <v>1050</v>
      </c>
      <c r="H3075" s="3">
        <v>0.0</v>
      </c>
      <c r="I3075" s="4" t="s">
        <v>12950</v>
      </c>
      <c r="J3075" s="1" t="s">
        <v>12951</v>
      </c>
      <c r="K3075" s="1" t="s">
        <v>323</v>
      </c>
    </row>
    <row r="3076">
      <c r="A3076" s="1" t="s">
        <v>12952</v>
      </c>
      <c r="B3076" s="1" t="s">
        <v>12953</v>
      </c>
      <c r="C3076" s="1">
        <v>2018.0</v>
      </c>
      <c r="D3076" s="2">
        <v>43342.0</v>
      </c>
      <c r="F3076" s="1" t="s">
        <v>1762</v>
      </c>
      <c r="H3076" s="3">
        <v>26.0</v>
      </c>
      <c r="I3076" s="4" t="s">
        <v>12954</v>
      </c>
      <c r="J3076" s="1" t="s">
        <v>12955</v>
      </c>
      <c r="K3076" s="1" t="s">
        <v>477</v>
      </c>
    </row>
    <row r="3077">
      <c r="A3077" s="1" t="s">
        <v>12956</v>
      </c>
      <c r="B3077" s="1" t="s">
        <v>12957</v>
      </c>
      <c r="C3077" s="1">
        <v>2018.0</v>
      </c>
      <c r="D3077" s="2">
        <v>43337.0</v>
      </c>
      <c r="F3077" s="1" t="s">
        <v>208</v>
      </c>
      <c r="H3077" s="3">
        <v>4.0</v>
      </c>
      <c r="I3077" s="4" t="s">
        <v>12958</v>
      </c>
      <c r="J3077" s="1" t="s">
        <v>12959</v>
      </c>
      <c r="K3077" s="1" t="s">
        <v>443</v>
      </c>
    </row>
    <row r="3078">
      <c r="A3078" s="1" t="s">
        <v>12960</v>
      </c>
      <c r="B3078" s="1" t="s">
        <v>12961</v>
      </c>
      <c r="C3078" s="1">
        <v>2018.0</v>
      </c>
      <c r="D3078" s="2">
        <v>43336.0</v>
      </c>
      <c r="F3078" s="1" t="s">
        <v>540</v>
      </c>
      <c r="H3078" s="3">
        <v>38.0</v>
      </c>
      <c r="I3078" s="4" t="s">
        <v>12962</v>
      </c>
      <c r="J3078" s="1" t="s">
        <v>12963</v>
      </c>
      <c r="K3078" s="1" t="s">
        <v>443</v>
      </c>
    </row>
    <row r="3079">
      <c r="A3079" s="1" t="s">
        <v>12964</v>
      </c>
      <c r="B3079" s="1" t="s">
        <v>12965</v>
      </c>
      <c r="C3079" s="1">
        <v>2018.0</v>
      </c>
      <c r="D3079" s="2">
        <v>43336.0</v>
      </c>
      <c r="F3079" s="1" t="s">
        <v>157</v>
      </c>
      <c r="H3079" s="3">
        <v>42.0</v>
      </c>
      <c r="I3079" s="4" t="s">
        <v>12966</v>
      </c>
      <c r="J3079" s="1" t="s">
        <v>12967</v>
      </c>
      <c r="K3079" s="1" t="s">
        <v>546</v>
      </c>
    </row>
    <row r="3080">
      <c r="A3080" s="1" t="s">
        <v>12968</v>
      </c>
      <c r="B3080" s="1" t="s">
        <v>12969</v>
      </c>
      <c r="C3080" s="1">
        <v>2018.0</v>
      </c>
      <c r="D3080" s="2">
        <v>43336.0</v>
      </c>
      <c r="F3080" s="1" t="s">
        <v>578</v>
      </c>
      <c r="H3080" s="3">
        <v>17.0</v>
      </c>
      <c r="I3080" s="4" t="s">
        <v>12970</v>
      </c>
      <c r="J3080" s="1" t="s">
        <v>12971</v>
      </c>
      <c r="K3080" s="1" t="s">
        <v>926</v>
      </c>
    </row>
    <row r="3081">
      <c r="A3081" s="1" t="s">
        <v>12972</v>
      </c>
      <c r="B3081" s="1" t="s">
        <v>12973</v>
      </c>
      <c r="C3081" s="1">
        <v>2018.0</v>
      </c>
      <c r="D3081" s="2">
        <v>43335.0</v>
      </c>
      <c r="F3081" s="1" t="s">
        <v>71</v>
      </c>
      <c r="H3081" s="3">
        <v>9.0</v>
      </c>
      <c r="I3081" s="4" t="s">
        <v>12974</v>
      </c>
      <c r="J3081" s="1" t="s">
        <v>12975</v>
      </c>
      <c r="K3081" s="1" t="s">
        <v>295</v>
      </c>
    </row>
    <row r="3082">
      <c r="A3082" s="1" t="s">
        <v>12976</v>
      </c>
      <c r="B3082" s="1" t="s">
        <v>12977</v>
      </c>
      <c r="C3082" s="1">
        <v>2018.0</v>
      </c>
      <c r="D3082" s="2">
        <v>43335.0</v>
      </c>
      <c r="F3082" s="1" t="s">
        <v>271</v>
      </c>
      <c r="H3082" s="3">
        <v>8.0</v>
      </c>
      <c r="I3082" s="4" t="s">
        <v>12978</v>
      </c>
      <c r="J3082" s="1" t="s">
        <v>12979</v>
      </c>
      <c r="K3082" s="1" t="s">
        <v>323</v>
      </c>
    </row>
    <row r="3083">
      <c r="A3083" s="1" t="s">
        <v>12980</v>
      </c>
      <c r="B3083" s="1" t="s">
        <v>12981</v>
      </c>
      <c r="C3083" s="1">
        <v>2018.0</v>
      </c>
      <c r="D3083" s="2">
        <v>43334.0</v>
      </c>
      <c r="F3083" s="1" t="s">
        <v>12982</v>
      </c>
      <c r="H3083" s="3">
        <v>7.0</v>
      </c>
      <c r="I3083" s="4" t="s">
        <v>12983</v>
      </c>
      <c r="J3083" s="1" t="s">
        <v>12984</v>
      </c>
      <c r="K3083" s="1" t="s">
        <v>45</v>
      </c>
    </row>
    <row r="3084">
      <c r="A3084" s="1" t="s">
        <v>12985</v>
      </c>
      <c r="B3084" s="1" t="s">
        <v>12986</v>
      </c>
      <c r="C3084" s="1">
        <v>2018.0</v>
      </c>
      <c r="D3084" s="2">
        <v>43333.0</v>
      </c>
      <c r="F3084" s="1" t="s">
        <v>877</v>
      </c>
      <c r="H3084" s="3">
        <v>53.0</v>
      </c>
      <c r="I3084" s="4" t="s">
        <v>12987</v>
      </c>
      <c r="J3084" s="1" t="s">
        <v>12988</v>
      </c>
      <c r="K3084" s="1" t="s">
        <v>477</v>
      </c>
    </row>
    <row r="3085">
      <c r="A3085" s="1" t="s">
        <v>12989</v>
      </c>
      <c r="B3085" s="1" t="s">
        <v>12990</v>
      </c>
      <c r="C3085" s="1">
        <v>2018.0</v>
      </c>
      <c r="D3085" s="2">
        <v>43332.0</v>
      </c>
      <c r="F3085" s="1" t="s">
        <v>1386</v>
      </c>
      <c r="H3085" s="3">
        <v>3.0</v>
      </c>
      <c r="I3085" s="4" t="s">
        <v>12991</v>
      </c>
      <c r="J3085" s="1" t="s">
        <v>12992</v>
      </c>
      <c r="K3085" s="1" t="s">
        <v>68</v>
      </c>
    </row>
    <row r="3086">
      <c r="A3086" s="1" t="s">
        <v>12993</v>
      </c>
      <c r="B3086" s="1" t="s">
        <v>12994</v>
      </c>
      <c r="C3086" s="1">
        <v>2018.0</v>
      </c>
      <c r="D3086" s="2">
        <v>43330.0</v>
      </c>
      <c r="F3086" s="1" t="s">
        <v>767</v>
      </c>
      <c r="H3086" s="3">
        <v>13.0</v>
      </c>
      <c r="I3086" s="4" t="s">
        <v>12995</v>
      </c>
      <c r="J3086" s="1" t="s">
        <v>12996</v>
      </c>
      <c r="K3086" s="1" t="s">
        <v>329</v>
      </c>
    </row>
    <row r="3087">
      <c r="A3087" s="1" t="s">
        <v>12997</v>
      </c>
      <c r="B3087" s="1" t="s">
        <v>12998</v>
      </c>
      <c r="C3087" s="1">
        <v>2018.0</v>
      </c>
      <c r="D3087" s="2">
        <v>43329.0</v>
      </c>
      <c r="F3087" s="1" t="s">
        <v>271</v>
      </c>
      <c r="H3087" s="3">
        <v>2.0</v>
      </c>
      <c r="I3087" s="4" t="s">
        <v>12999</v>
      </c>
      <c r="J3087" s="1" t="s">
        <v>13000</v>
      </c>
      <c r="K3087" s="1" t="s">
        <v>383</v>
      </c>
    </row>
    <row r="3088">
      <c r="A3088" s="1" t="s">
        <v>13001</v>
      </c>
      <c r="B3088" s="1" t="s">
        <v>13002</v>
      </c>
      <c r="C3088" s="1">
        <v>2018.0</v>
      </c>
      <c r="D3088" s="2">
        <v>43329.0</v>
      </c>
      <c r="F3088" s="1" t="s">
        <v>208</v>
      </c>
      <c r="H3088" s="3">
        <v>4.0</v>
      </c>
      <c r="I3088" s="4" t="s">
        <v>13003</v>
      </c>
      <c r="J3088" s="1" t="s">
        <v>13004</v>
      </c>
      <c r="K3088" s="1" t="s">
        <v>323</v>
      </c>
    </row>
    <row r="3089">
      <c r="A3089" s="1" t="s">
        <v>13005</v>
      </c>
      <c r="B3089" s="1" t="s">
        <v>13006</v>
      </c>
      <c r="C3089" s="1">
        <v>2018.0</v>
      </c>
      <c r="D3089" s="2">
        <v>43328.0</v>
      </c>
      <c r="F3089" s="1" t="s">
        <v>228</v>
      </c>
      <c r="H3089" s="3">
        <v>40.0</v>
      </c>
      <c r="I3089" s="4" t="s">
        <v>13007</v>
      </c>
      <c r="J3089" s="1" t="s">
        <v>13008</v>
      </c>
      <c r="K3089" s="1" t="s">
        <v>413</v>
      </c>
    </row>
    <row r="3090">
      <c r="A3090" s="1" t="s">
        <v>13009</v>
      </c>
      <c r="B3090" s="1" t="s">
        <v>13010</v>
      </c>
      <c r="C3090" s="1">
        <v>2018.0</v>
      </c>
      <c r="D3090" s="2">
        <v>43327.0</v>
      </c>
      <c r="F3090" s="1" t="s">
        <v>2634</v>
      </c>
      <c r="H3090" s="3">
        <v>5.0</v>
      </c>
      <c r="I3090" s="4" t="s">
        <v>13011</v>
      </c>
      <c r="J3090" s="1"/>
      <c r="K3090" s="1" t="s">
        <v>16</v>
      </c>
    </row>
    <row r="3091">
      <c r="A3091" s="1" t="s">
        <v>13012</v>
      </c>
      <c r="B3091" s="1" t="s">
        <v>13013</v>
      </c>
      <c r="C3091" s="1">
        <v>2018.0</v>
      </c>
      <c r="D3091" s="2">
        <v>43325.0</v>
      </c>
      <c r="F3091" s="1" t="s">
        <v>271</v>
      </c>
      <c r="H3091" s="3">
        <v>7.0</v>
      </c>
      <c r="I3091" s="4" t="s">
        <v>13014</v>
      </c>
      <c r="J3091" s="1" t="s">
        <v>13015</v>
      </c>
      <c r="K3091" s="1" t="s">
        <v>323</v>
      </c>
    </row>
    <row r="3092">
      <c r="A3092" s="1" t="s">
        <v>13016</v>
      </c>
      <c r="B3092" s="1" t="s">
        <v>13017</v>
      </c>
      <c r="C3092" s="1">
        <v>2018.0</v>
      </c>
      <c r="D3092" s="2">
        <v>43324.0</v>
      </c>
      <c r="F3092" s="1" t="s">
        <v>808</v>
      </c>
      <c r="H3092" s="3">
        <v>11.0</v>
      </c>
      <c r="I3092" s="4" t="s">
        <v>13018</v>
      </c>
      <c r="J3092" s="1" t="s">
        <v>13019</v>
      </c>
      <c r="K3092" s="1" t="s">
        <v>16</v>
      </c>
    </row>
    <row r="3093">
      <c r="A3093" s="1" t="s">
        <v>13020</v>
      </c>
      <c r="B3093" s="1" t="s">
        <v>13021</v>
      </c>
      <c r="C3093" s="1">
        <v>2018.0</v>
      </c>
      <c r="D3093" s="2">
        <v>43318.0</v>
      </c>
      <c r="F3093" s="1" t="s">
        <v>12240</v>
      </c>
      <c r="H3093" s="3">
        <v>19.0</v>
      </c>
      <c r="I3093" s="4" t="s">
        <v>13022</v>
      </c>
      <c r="J3093" s="1" t="s">
        <v>13023</v>
      </c>
      <c r="K3093" s="1" t="s">
        <v>546</v>
      </c>
    </row>
    <row r="3094">
      <c r="A3094" s="1" t="s">
        <v>13024</v>
      </c>
      <c r="B3094" s="1" t="s">
        <v>13025</v>
      </c>
      <c r="C3094" s="1">
        <v>2018.0</v>
      </c>
      <c r="D3094" s="2">
        <v>43314.0</v>
      </c>
      <c r="F3094" s="1" t="s">
        <v>13026</v>
      </c>
      <c r="H3094" s="3">
        <v>13.0</v>
      </c>
      <c r="I3094" s="4" t="s">
        <v>13027</v>
      </c>
      <c r="J3094" s="1" t="s">
        <v>13028</v>
      </c>
      <c r="K3094" s="1" t="s">
        <v>28</v>
      </c>
    </row>
    <row r="3095">
      <c r="A3095" s="1" t="s">
        <v>13029</v>
      </c>
      <c r="B3095" s="1" t="s">
        <v>13030</v>
      </c>
      <c r="C3095" s="1">
        <v>2018.0</v>
      </c>
      <c r="D3095" s="2">
        <v>43314.0</v>
      </c>
      <c r="F3095" s="1" t="s">
        <v>4577</v>
      </c>
      <c r="H3095" s="3">
        <v>36.0</v>
      </c>
      <c r="I3095" s="4" t="s">
        <v>13031</v>
      </c>
      <c r="J3095" s="1" t="s">
        <v>13032</v>
      </c>
      <c r="K3095" s="1" t="s">
        <v>28</v>
      </c>
    </row>
    <row r="3096">
      <c r="A3096" s="1" t="s">
        <v>13033</v>
      </c>
      <c r="B3096" s="1" t="s">
        <v>13034</v>
      </c>
      <c r="C3096" s="1">
        <v>2018.0</v>
      </c>
      <c r="D3096" s="2">
        <v>43313.0</v>
      </c>
      <c r="F3096" s="1" t="s">
        <v>1277</v>
      </c>
      <c r="H3096" s="3">
        <v>13.0</v>
      </c>
      <c r="I3096" s="4" t="s">
        <v>13035</v>
      </c>
      <c r="J3096" s="1" t="s">
        <v>13036</v>
      </c>
      <c r="K3096" s="1" t="s">
        <v>418</v>
      </c>
    </row>
    <row r="3097">
      <c r="A3097" s="1" t="s">
        <v>13037</v>
      </c>
      <c r="B3097" s="1" t="s">
        <v>13038</v>
      </c>
      <c r="C3097" s="1">
        <v>2018.0</v>
      </c>
      <c r="D3097" s="2">
        <v>43313.0</v>
      </c>
      <c r="F3097" s="1" t="s">
        <v>1762</v>
      </c>
      <c r="H3097" s="3">
        <v>0.0</v>
      </c>
      <c r="I3097" s="4" t="s">
        <v>13039</v>
      </c>
      <c r="J3097" s="1"/>
      <c r="K3097" s="1" t="s">
        <v>295</v>
      </c>
    </row>
    <row r="3098">
      <c r="A3098" s="1" t="s">
        <v>13040</v>
      </c>
      <c r="B3098" s="1" t="s">
        <v>12380</v>
      </c>
      <c r="C3098" s="1">
        <v>2018.0</v>
      </c>
      <c r="D3098" s="2">
        <v>43312.0</v>
      </c>
      <c r="F3098" s="1" t="s">
        <v>2205</v>
      </c>
      <c r="H3098" s="3">
        <v>5.0</v>
      </c>
      <c r="I3098" s="4" t="s">
        <v>13041</v>
      </c>
      <c r="J3098" s="1" t="s">
        <v>13042</v>
      </c>
      <c r="K3098" s="1" t="s">
        <v>383</v>
      </c>
    </row>
    <row r="3099">
      <c r="A3099" s="1" t="s">
        <v>13043</v>
      </c>
      <c r="B3099" s="1" t="s">
        <v>13044</v>
      </c>
      <c r="C3099" s="1">
        <v>2018.0</v>
      </c>
      <c r="D3099" s="2">
        <v>43308.0</v>
      </c>
      <c r="F3099" s="1" t="s">
        <v>59</v>
      </c>
      <c r="H3099" s="3">
        <v>31.0</v>
      </c>
      <c r="I3099" s="4" t="s">
        <v>13045</v>
      </c>
      <c r="J3099" s="1" t="s">
        <v>13046</v>
      </c>
      <c r="K3099" s="1" t="s">
        <v>295</v>
      </c>
    </row>
    <row r="3100">
      <c r="A3100" s="1" t="s">
        <v>13047</v>
      </c>
      <c r="B3100" s="1" t="s">
        <v>13048</v>
      </c>
      <c r="C3100" s="1">
        <v>2018.0</v>
      </c>
      <c r="D3100" s="2">
        <v>43307.0</v>
      </c>
      <c r="F3100" s="1" t="s">
        <v>13049</v>
      </c>
      <c r="H3100" s="3">
        <v>25.0</v>
      </c>
      <c r="I3100" s="4" t="s">
        <v>13050</v>
      </c>
      <c r="J3100" s="1" t="s">
        <v>13051</v>
      </c>
      <c r="K3100" s="1" t="s">
        <v>1036</v>
      </c>
    </row>
    <row r="3101">
      <c r="A3101" s="1" t="s">
        <v>13052</v>
      </c>
      <c r="B3101" s="1" t="s">
        <v>13053</v>
      </c>
      <c r="C3101" s="1">
        <v>2018.0</v>
      </c>
      <c r="D3101" s="2">
        <v>43305.0</v>
      </c>
      <c r="F3101" s="1" t="s">
        <v>243</v>
      </c>
      <c r="H3101" s="3">
        <v>9.0</v>
      </c>
      <c r="I3101" s="4" t="s">
        <v>13054</v>
      </c>
      <c r="J3101" s="1" t="s">
        <v>13055</v>
      </c>
      <c r="K3101" s="1" t="s">
        <v>28</v>
      </c>
    </row>
    <row r="3102">
      <c r="A3102" s="1" t="s">
        <v>13056</v>
      </c>
      <c r="B3102" s="1" t="s">
        <v>13057</v>
      </c>
      <c r="C3102" s="1">
        <v>2018.0</v>
      </c>
      <c r="D3102" s="2">
        <v>43305.0</v>
      </c>
      <c r="F3102" s="1" t="s">
        <v>13058</v>
      </c>
      <c r="H3102" s="3">
        <v>85.0</v>
      </c>
      <c r="I3102" s="4" t="s">
        <v>13059</v>
      </c>
      <c r="J3102" s="1" t="s">
        <v>13060</v>
      </c>
      <c r="K3102" s="1" t="s">
        <v>323</v>
      </c>
    </row>
    <row r="3103">
      <c r="A3103" s="1" t="s">
        <v>13061</v>
      </c>
      <c r="B3103" s="1" t="s">
        <v>13062</v>
      </c>
      <c r="C3103" s="1">
        <v>2018.0</v>
      </c>
      <c r="D3103" s="2">
        <v>43304.0</v>
      </c>
      <c r="F3103" s="1" t="s">
        <v>2151</v>
      </c>
      <c r="H3103" s="3">
        <v>114.0</v>
      </c>
      <c r="I3103" s="4" t="s">
        <v>13063</v>
      </c>
      <c r="J3103" s="1" t="s">
        <v>13064</v>
      </c>
      <c r="K3103" s="1" t="s">
        <v>28</v>
      </c>
    </row>
    <row r="3104">
      <c r="A3104" s="1" t="s">
        <v>13065</v>
      </c>
      <c r="B3104" s="1" t="s">
        <v>13066</v>
      </c>
      <c r="C3104" s="1">
        <v>2018.0</v>
      </c>
      <c r="D3104" s="2">
        <v>43304.0</v>
      </c>
      <c r="F3104" s="1" t="s">
        <v>59</v>
      </c>
      <c r="H3104" s="3">
        <v>8.0</v>
      </c>
      <c r="I3104" s="4" t="s">
        <v>13067</v>
      </c>
      <c r="J3104" s="1" t="s">
        <v>13068</v>
      </c>
      <c r="K3104" s="1" t="s">
        <v>295</v>
      </c>
    </row>
    <row r="3105">
      <c r="A3105" s="1" t="s">
        <v>13069</v>
      </c>
      <c r="B3105" s="1" t="s">
        <v>13070</v>
      </c>
      <c r="C3105" s="1">
        <v>2018.0</v>
      </c>
      <c r="D3105" s="2">
        <v>43304.0</v>
      </c>
      <c r="F3105" s="1" t="s">
        <v>3119</v>
      </c>
      <c r="H3105" s="3">
        <v>34.0</v>
      </c>
      <c r="I3105" s="4" t="s">
        <v>13071</v>
      </c>
      <c r="J3105" s="1" t="s">
        <v>13072</v>
      </c>
      <c r="K3105" s="1" t="s">
        <v>16</v>
      </c>
    </row>
    <row r="3106">
      <c r="A3106" s="1" t="s">
        <v>13073</v>
      </c>
      <c r="B3106" s="1" t="s">
        <v>13074</v>
      </c>
      <c r="C3106" s="1">
        <v>2018.0</v>
      </c>
      <c r="D3106" s="2">
        <v>43304.0</v>
      </c>
      <c r="F3106" s="1" t="s">
        <v>13075</v>
      </c>
      <c r="H3106" s="3">
        <v>8.0</v>
      </c>
      <c r="I3106" s="4" t="s">
        <v>13076</v>
      </c>
      <c r="J3106" s="1" t="s">
        <v>13077</v>
      </c>
      <c r="K3106" s="1" t="s">
        <v>16</v>
      </c>
    </row>
    <row r="3107">
      <c r="A3107" s="1" t="s">
        <v>13078</v>
      </c>
      <c r="B3107" s="1" t="s">
        <v>13079</v>
      </c>
      <c r="C3107" s="1">
        <v>2018.0</v>
      </c>
      <c r="D3107" s="2">
        <v>43301.0</v>
      </c>
      <c r="F3107" s="1" t="s">
        <v>13080</v>
      </c>
      <c r="H3107" s="3">
        <v>13.0</v>
      </c>
      <c r="I3107" s="4" t="s">
        <v>13081</v>
      </c>
      <c r="J3107" s="1" t="s">
        <v>13082</v>
      </c>
      <c r="K3107" s="1" t="s">
        <v>28</v>
      </c>
    </row>
    <row r="3108">
      <c r="A3108" s="1" t="s">
        <v>13083</v>
      </c>
      <c r="B3108" s="1" t="s">
        <v>13084</v>
      </c>
      <c r="C3108" s="1">
        <v>2018.0</v>
      </c>
      <c r="D3108" s="2">
        <v>43301.0</v>
      </c>
      <c r="F3108" s="1" t="s">
        <v>218</v>
      </c>
      <c r="H3108" s="3">
        <v>26.0</v>
      </c>
      <c r="I3108" s="4" t="s">
        <v>13085</v>
      </c>
      <c r="J3108" s="1" t="s">
        <v>13086</v>
      </c>
      <c r="K3108" s="1" t="s">
        <v>443</v>
      </c>
    </row>
    <row r="3109">
      <c r="A3109" s="1" t="s">
        <v>13087</v>
      </c>
      <c r="B3109" s="1" t="s">
        <v>11841</v>
      </c>
      <c r="C3109" s="1">
        <v>2018.0</v>
      </c>
      <c r="D3109" s="2">
        <v>43300.0</v>
      </c>
      <c r="F3109" s="1" t="s">
        <v>13</v>
      </c>
      <c r="H3109" s="3">
        <v>94.0</v>
      </c>
      <c r="I3109" s="4" t="s">
        <v>13088</v>
      </c>
      <c r="J3109" s="1" t="s">
        <v>13089</v>
      </c>
      <c r="K3109" s="1" t="s">
        <v>28</v>
      </c>
    </row>
    <row r="3110">
      <c r="A3110" s="1" t="s">
        <v>13090</v>
      </c>
      <c r="B3110" s="1" t="s">
        <v>13091</v>
      </c>
      <c r="C3110" s="1">
        <v>2018.0</v>
      </c>
      <c r="D3110" s="2">
        <v>43300.0</v>
      </c>
      <c r="F3110" s="1" t="s">
        <v>629</v>
      </c>
      <c r="H3110" s="3">
        <v>8.0</v>
      </c>
      <c r="I3110" s="4" t="s">
        <v>13092</v>
      </c>
      <c r="J3110" s="1" t="s">
        <v>13093</v>
      </c>
      <c r="K3110" s="1" t="s">
        <v>68</v>
      </c>
    </row>
    <row r="3111">
      <c r="A3111" s="1" t="s">
        <v>13094</v>
      </c>
      <c r="B3111" s="1" t="s">
        <v>13095</v>
      </c>
      <c r="C3111" s="1">
        <v>2018.0</v>
      </c>
      <c r="D3111" s="2">
        <v>43300.0</v>
      </c>
      <c r="F3111" s="1" t="s">
        <v>2036</v>
      </c>
      <c r="H3111" s="3">
        <v>8.0</v>
      </c>
      <c r="I3111" s="4" t="s">
        <v>13096</v>
      </c>
      <c r="J3111" s="1" t="s">
        <v>13097</v>
      </c>
      <c r="K3111" s="1" t="s">
        <v>16</v>
      </c>
    </row>
    <row r="3112">
      <c r="A3112" s="1" t="s">
        <v>13098</v>
      </c>
      <c r="B3112" s="1" t="s">
        <v>13099</v>
      </c>
      <c r="C3112" s="1">
        <v>2018.0</v>
      </c>
      <c r="D3112" s="2">
        <v>43299.0</v>
      </c>
      <c r="F3112" s="1" t="s">
        <v>5758</v>
      </c>
      <c r="H3112" s="3">
        <v>29.0</v>
      </c>
      <c r="I3112" s="4" t="s">
        <v>13100</v>
      </c>
      <c r="J3112" s="1" t="s">
        <v>13101</v>
      </c>
      <c r="K3112" s="1" t="s">
        <v>323</v>
      </c>
    </row>
    <row r="3113">
      <c r="A3113" s="1" t="s">
        <v>13102</v>
      </c>
      <c r="B3113" s="1" t="s">
        <v>13103</v>
      </c>
      <c r="C3113" s="1">
        <v>2018.0</v>
      </c>
      <c r="D3113" s="2">
        <v>43299.0</v>
      </c>
      <c r="F3113" s="1" t="s">
        <v>1904</v>
      </c>
      <c r="H3113" s="3">
        <v>53.0</v>
      </c>
      <c r="I3113" s="4" t="s">
        <v>13104</v>
      </c>
      <c r="J3113" s="1" t="s">
        <v>13105</v>
      </c>
      <c r="K3113" s="1" t="s">
        <v>413</v>
      </c>
    </row>
    <row r="3114">
      <c r="A3114" s="1" t="s">
        <v>13106</v>
      </c>
      <c r="B3114" s="1" t="s">
        <v>13107</v>
      </c>
      <c r="C3114" s="1">
        <v>2018.0</v>
      </c>
      <c r="D3114" s="2">
        <v>43299.0</v>
      </c>
      <c r="F3114" s="1" t="s">
        <v>11520</v>
      </c>
      <c r="H3114" s="3">
        <v>5.0</v>
      </c>
      <c r="I3114" s="4" t="s">
        <v>13108</v>
      </c>
      <c r="J3114" s="1" t="s">
        <v>13109</v>
      </c>
      <c r="K3114" s="1" t="s">
        <v>16</v>
      </c>
    </row>
    <row r="3115">
      <c r="A3115" s="1" t="s">
        <v>13110</v>
      </c>
      <c r="B3115" s="1" t="s">
        <v>13111</v>
      </c>
      <c r="C3115" s="1">
        <v>2018.0</v>
      </c>
      <c r="D3115" s="2">
        <v>43298.0</v>
      </c>
      <c r="F3115" s="1" t="s">
        <v>3578</v>
      </c>
      <c r="H3115" s="3">
        <v>46.0</v>
      </c>
      <c r="I3115" s="4" t="s">
        <v>13112</v>
      </c>
      <c r="J3115" s="1" t="s">
        <v>13113</v>
      </c>
      <c r="K3115" s="1" t="s">
        <v>1036</v>
      </c>
    </row>
    <row r="3116">
      <c r="A3116" s="1" t="s">
        <v>13114</v>
      </c>
      <c r="B3116" s="1" t="s">
        <v>13115</v>
      </c>
      <c r="C3116" s="1">
        <v>2018.0</v>
      </c>
      <c r="D3116" s="2">
        <v>43298.0</v>
      </c>
      <c r="F3116" s="1" t="s">
        <v>3160</v>
      </c>
      <c r="H3116" s="3">
        <v>6.0</v>
      </c>
      <c r="I3116" s="4" t="s">
        <v>13116</v>
      </c>
      <c r="J3116" s="1" t="s">
        <v>13117</v>
      </c>
      <c r="K3116" s="1" t="s">
        <v>295</v>
      </c>
    </row>
    <row r="3117">
      <c r="A3117" s="1" t="s">
        <v>13118</v>
      </c>
      <c r="B3117" s="1" t="s">
        <v>13119</v>
      </c>
      <c r="C3117" s="1">
        <v>2018.0</v>
      </c>
      <c r="D3117" s="2">
        <v>43295.0</v>
      </c>
      <c r="F3117" s="1" t="s">
        <v>1366</v>
      </c>
      <c r="H3117" s="3">
        <v>11.0</v>
      </c>
      <c r="I3117" s="4" t="s">
        <v>13120</v>
      </c>
      <c r="J3117" s="1"/>
      <c r="K3117" s="1" t="s">
        <v>16</v>
      </c>
    </row>
    <row r="3118">
      <c r="A3118" s="1" t="s">
        <v>13121</v>
      </c>
      <c r="B3118" s="1" t="s">
        <v>13122</v>
      </c>
      <c r="C3118" s="1">
        <v>2018.0</v>
      </c>
      <c r="D3118" s="2">
        <v>43294.0</v>
      </c>
      <c r="F3118" s="1" t="s">
        <v>1381</v>
      </c>
      <c r="H3118" s="3">
        <v>8.0</v>
      </c>
      <c r="I3118" s="4" t="s">
        <v>13123</v>
      </c>
      <c r="J3118" s="1" t="s">
        <v>13124</v>
      </c>
      <c r="K3118" s="1" t="s">
        <v>28</v>
      </c>
    </row>
    <row r="3119">
      <c r="A3119" s="1" t="s">
        <v>13125</v>
      </c>
      <c r="B3119" s="1" t="s">
        <v>13126</v>
      </c>
      <c r="C3119" s="1">
        <v>2018.0</v>
      </c>
      <c r="D3119" s="2">
        <v>43294.0</v>
      </c>
      <c r="F3119" s="1" t="s">
        <v>218</v>
      </c>
      <c r="H3119" s="3">
        <v>20.0</v>
      </c>
      <c r="I3119" s="4" t="s">
        <v>13127</v>
      </c>
      <c r="J3119" s="1" t="s">
        <v>13128</v>
      </c>
      <c r="K3119" s="1" t="s">
        <v>16</v>
      </c>
    </row>
    <row r="3120">
      <c r="A3120" s="1" t="s">
        <v>13129</v>
      </c>
      <c r="B3120" s="1" t="s">
        <v>13130</v>
      </c>
      <c r="C3120" s="1">
        <v>2018.0</v>
      </c>
      <c r="D3120" s="2">
        <v>43293.0</v>
      </c>
      <c r="F3120" s="1" t="s">
        <v>271</v>
      </c>
      <c r="H3120" s="3">
        <v>20.0</v>
      </c>
      <c r="I3120" s="4" t="s">
        <v>13131</v>
      </c>
      <c r="J3120" s="1" t="s">
        <v>13132</v>
      </c>
      <c r="K3120" s="1" t="s">
        <v>477</v>
      </c>
    </row>
    <row r="3121">
      <c r="A3121" s="1" t="s">
        <v>13133</v>
      </c>
      <c r="B3121" s="1" t="s">
        <v>13134</v>
      </c>
      <c r="C3121" s="1">
        <v>2018.0</v>
      </c>
      <c r="D3121" s="2">
        <v>43292.0</v>
      </c>
      <c r="F3121" s="1" t="s">
        <v>7949</v>
      </c>
      <c r="H3121" s="3">
        <v>15.0</v>
      </c>
      <c r="I3121" s="4" t="s">
        <v>13135</v>
      </c>
      <c r="J3121" s="1" t="s">
        <v>13136</v>
      </c>
      <c r="K3121" s="1" t="s">
        <v>28</v>
      </c>
    </row>
    <row r="3122">
      <c r="A3122" s="1" t="s">
        <v>13137</v>
      </c>
      <c r="B3122" s="1" t="s">
        <v>13138</v>
      </c>
      <c r="C3122" s="1">
        <v>2018.0</v>
      </c>
      <c r="D3122" s="2">
        <v>43290.0</v>
      </c>
      <c r="F3122" s="1" t="s">
        <v>12240</v>
      </c>
      <c r="H3122" s="3">
        <v>44.0</v>
      </c>
      <c r="I3122" s="4" t="s">
        <v>13139</v>
      </c>
      <c r="J3122" s="1" t="s">
        <v>13140</v>
      </c>
      <c r="K3122" s="1" t="s">
        <v>546</v>
      </c>
    </row>
    <row r="3123">
      <c r="A3123" s="1" t="s">
        <v>13141</v>
      </c>
      <c r="B3123" s="1" t="s">
        <v>13142</v>
      </c>
      <c r="C3123" s="1">
        <v>2018.0</v>
      </c>
      <c r="D3123" s="2">
        <v>43288.0</v>
      </c>
      <c r="F3123" s="1" t="s">
        <v>1777</v>
      </c>
      <c r="H3123" s="3">
        <v>44.0</v>
      </c>
      <c r="I3123" s="4" t="s">
        <v>13143</v>
      </c>
      <c r="J3123" s="1" t="s">
        <v>13144</v>
      </c>
      <c r="K3123" s="1" t="s">
        <v>383</v>
      </c>
    </row>
    <row r="3124">
      <c r="A3124" s="1" t="s">
        <v>13145</v>
      </c>
      <c r="B3124" s="1" t="s">
        <v>13146</v>
      </c>
      <c r="C3124" s="1">
        <v>2018.0</v>
      </c>
      <c r="D3124" s="2">
        <v>43286.0</v>
      </c>
      <c r="F3124" s="1" t="s">
        <v>218</v>
      </c>
      <c r="H3124" s="3">
        <v>6.0</v>
      </c>
      <c r="I3124" s="4" t="s">
        <v>13147</v>
      </c>
      <c r="J3124" s="1" t="s">
        <v>13148</v>
      </c>
      <c r="K3124" s="1" t="s">
        <v>16</v>
      </c>
    </row>
    <row r="3125">
      <c r="A3125" s="1" t="s">
        <v>13149</v>
      </c>
      <c r="B3125" s="1" t="s">
        <v>13150</v>
      </c>
      <c r="C3125" s="1">
        <v>2018.0</v>
      </c>
      <c r="D3125" s="2">
        <v>43285.0</v>
      </c>
      <c r="F3125" s="1" t="s">
        <v>3583</v>
      </c>
      <c r="H3125" s="3">
        <v>6.0</v>
      </c>
      <c r="I3125" s="4" t="s">
        <v>13151</v>
      </c>
      <c r="J3125" s="1" t="s">
        <v>13152</v>
      </c>
      <c r="K3125" s="1" t="s">
        <v>28</v>
      </c>
    </row>
    <row r="3126">
      <c r="A3126" s="1" t="s">
        <v>13153</v>
      </c>
      <c r="B3126" s="1" t="s">
        <v>13154</v>
      </c>
      <c r="C3126" s="1">
        <v>2018.0</v>
      </c>
      <c r="D3126" s="2">
        <v>43284.0</v>
      </c>
      <c r="F3126" s="1" t="s">
        <v>2151</v>
      </c>
      <c r="H3126" s="3">
        <v>278.0</v>
      </c>
      <c r="I3126" s="4" t="s">
        <v>13155</v>
      </c>
      <c r="J3126" s="1" t="s">
        <v>13156</v>
      </c>
      <c r="K3126" s="1" t="s">
        <v>1423</v>
      </c>
    </row>
    <row r="3127">
      <c r="A3127" s="1" t="s">
        <v>13157</v>
      </c>
      <c r="B3127" s="1" t="s">
        <v>13158</v>
      </c>
      <c r="C3127" s="1">
        <v>2018.0</v>
      </c>
      <c r="D3127" s="2">
        <v>43283.0</v>
      </c>
      <c r="F3127" s="1" t="s">
        <v>1371</v>
      </c>
      <c r="H3127" s="3">
        <v>7.0</v>
      </c>
      <c r="I3127" s="4" t="s">
        <v>13159</v>
      </c>
      <c r="J3127" s="1" t="s">
        <v>13160</v>
      </c>
      <c r="K3127" s="1" t="s">
        <v>1036</v>
      </c>
    </row>
    <row r="3128">
      <c r="A3128" s="1" t="s">
        <v>13161</v>
      </c>
      <c r="B3128" s="1" t="s">
        <v>13162</v>
      </c>
      <c r="C3128" s="1">
        <v>2018.0</v>
      </c>
      <c r="D3128" s="2">
        <v>43283.0</v>
      </c>
      <c r="F3128" s="1" t="s">
        <v>198</v>
      </c>
      <c r="H3128" s="3">
        <v>15.0</v>
      </c>
      <c r="I3128" s="4" t="s">
        <v>13163</v>
      </c>
      <c r="J3128" s="1" t="s">
        <v>13164</v>
      </c>
      <c r="K3128" s="1" t="s">
        <v>16</v>
      </c>
    </row>
    <row r="3129">
      <c r="A3129" s="1" t="s">
        <v>13165</v>
      </c>
      <c r="B3129" s="1" t="s">
        <v>13166</v>
      </c>
      <c r="C3129" s="1">
        <v>2018.0</v>
      </c>
      <c r="D3129" s="2">
        <v>43282.0</v>
      </c>
      <c r="F3129" s="1" t="s">
        <v>1904</v>
      </c>
      <c r="H3129" s="3">
        <v>6.0</v>
      </c>
      <c r="I3129" s="4" t="s">
        <v>13167</v>
      </c>
      <c r="J3129" s="1" t="s">
        <v>13168</v>
      </c>
      <c r="K3129" s="1" t="s">
        <v>16</v>
      </c>
    </row>
    <row r="3130">
      <c r="A3130" s="1" t="s">
        <v>13169</v>
      </c>
      <c r="B3130" s="1" t="s">
        <v>13170</v>
      </c>
      <c r="C3130" s="1">
        <v>2018.0</v>
      </c>
      <c r="D3130" s="2">
        <v>43282.0</v>
      </c>
      <c r="F3130" s="1" t="s">
        <v>1846</v>
      </c>
      <c r="H3130" s="3">
        <v>40.0</v>
      </c>
      <c r="I3130" s="4" t="s">
        <v>13171</v>
      </c>
      <c r="J3130" s="1" t="s">
        <v>13172</v>
      </c>
      <c r="K3130" s="1" t="s">
        <v>16</v>
      </c>
    </row>
    <row r="3131">
      <c r="A3131" s="1" t="s">
        <v>13173</v>
      </c>
      <c r="B3131" s="1" t="s">
        <v>13174</v>
      </c>
      <c r="C3131" s="1">
        <v>2018.0</v>
      </c>
      <c r="D3131" s="2">
        <v>43281.0</v>
      </c>
      <c r="F3131" s="1" t="s">
        <v>13175</v>
      </c>
      <c r="H3131" s="3">
        <v>50.0</v>
      </c>
      <c r="I3131" s="4" t="s">
        <v>13176</v>
      </c>
      <c r="J3131" s="1" t="s">
        <v>13177</v>
      </c>
      <c r="K3131" s="1" t="s">
        <v>28</v>
      </c>
    </row>
    <row r="3132">
      <c r="A3132" s="1" t="s">
        <v>13178</v>
      </c>
      <c r="B3132" s="1" t="s">
        <v>13179</v>
      </c>
      <c r="C3132" s="1">
        <v>2018.0</v>
      </c>
      <c r="D3132" s="2">
        <v>43281.0</v>
      </c>
      <c r="F3132" s="1" t="s">
        <v>271</v>
      </c>
      <c r="H3132" s="3">
        <v>7.0</v>
      </c>
      <c r="I3132" s="4" t="s">
        <v>13180</v>
      </c>
      <c r="J3132" s="1" t="s">
        <v>13181</v>
      </c>
      <c r="K3132" s="1" t="s">
        <v>403</v>
      </c>
    </row>
    <row r="3133">
      <c r="A3133" s="1" t="s">
        <v>13182</v>
      </c>
      <c r="B3133" s="1" t="s">
        <v>13183</v>
      </c>
      <c r="C3133" s="1">
        <v>2018.0</v>
      </c>
      <c r="D3133" s="2">
        <v>43280.0</v>
      </c>
      <c r="F3133" s="1" t="s">
        <v>1714</v>
      </c>
      <c r="H3133" s="3">
        <v>44.0</v>
      </c>
      <c r="I3133" s="4" t="s">
        <v>13184</v>
      </c>
      <c r="J3133" s="1" t="s">
        <v>13185</v>
      </c>
      <c r="K3133" s="1" t="s">
        <v>28</v>
      </c>
    </row>
    <row r="3134">
      <c r="A3134" s="1" t="s">
        <v>13186</v>
      </c>
      <c r="B3134" s="1" t="s">
        <v>13187</v>
      </c>
      <c r="C3134" s="1">
        <v>2018.0</v>
      </c>
      <c r="D3134" s="2">
        <v>43280.0</v>
      </c>
      <c r="F3134" s="1" t="s">
        <v>2297</v>
      </c>
      <c r="H3134" s="3">
        <v>124.0</v>
      </c>
      <c r="I3134" s="4" t="s">
        <v>13188</v>
      </c>
      <c r="J3134" s="1" t="s">
        <v>13189</v>
      </c>
      <c r="K3134" s="1" t="s">
        <v>413</v>
      </c>
    </row>
    <row r="3135">
      <c r="A3135" s="1" t="s">
        <v>13190</v>
      </c>
      <c r="B3135" s="1" t="s">
        <v>13191</v>
      </c>
      <c r="C3135" s="1">
        <v>2018.0</v>
      </c>
      <c r="D3135" s="2">
        <v>43279.0</v>
      </c>
      <c r="F3135" s="1" t="s">
        <v>489</v>
      </c>
      <c r="H3135" s="3">
        <v>43.0</v>
      </c>
      <c r="I3135" s="4" t="s">
        <v>13192</v>
      </c>
      <c r="J3135" s="1" t="s">
        <v>13193</v>
      </c>
      <c r="K3135" s="1" t="s">
        <v>443</v>
      </c>
    </row>
    <row r="3136">
      <c r="A3136" s="1" t="s">
        <v>13194</v>
      </c>
      <c r="B3136" s="1" t="s">
        <v>13195</v>
      </c>
      <c r="C3136" s="1">
        <v>2018.0</v>
      </c>
      <c r="D3136" s="2">
        <v>43278.0</v>
      </c>
      <c r="F3136" s="1" t="s">
        <v>8665</v>
      </c>
      <c r="H3136" s="3">
        <v>14.0</v>
      </c>
      <c r="I3136" s="4" t="s">
        <v>13196</v>
      </c>
      <c r="J3136" s="1" t="s">
        <v>13197</v>
      </c>
      <c r="K3136" s="1" t="s">
        <v>28</v>
      </c>
    </row>
    <row r="3137">
      <c r="A3137" s="1" t="s">
        <v>13198</v>
      </c>
      <c r="B3137" s="1" t="s">
        <v>13199</v>
      </c>
      <c r="C3137" s="1">
        <v>2018.0</v>
      </c>
      <c r="D3137" s="2">
        <v>43278.0</v>
      </c>
      <c r="F3137" s="1" t="s">
        <v>271</v>
      </c>
      <c r="H3137" s="3">
        <v>2.0</v>
      </c>
      <c r="I3137" s="4" t="s">
        <v>13200</v>
      </c>
      <c r="J3137" s="1" t="s">
        <v>13201</v>
      </c>
      <c r="K3137" s="1" t="s">
        <v>295</v>
      </c>
    </row>
    <row r="3138">
      <c r="A3138" s="1" t="s">
        <v>13202</v>
      </c>
      <c r="B3138" s="1" t="s">
        <v>13203</v>
      </c>
      <c r="C3138" s="1">
        <v>2018.0</v>
      </c>
      <c r="D3138" s="2">
        <v>43277.0</v>
      </c>
      <c r="F3138" s="1" t="s">
        <v>71</v>
      </c>
      <c r="H3138" s="3">
        <v>56.0</v>
      </c>
      <c r="I3138" s="4" t="s">
        <v>13204</v>
      </c>
      <c r="J3138" s="1" t="s">
        <v>13205</v>
      </c>
      <c r="K3138" s="1" t="s">
        <v>68</v>
      </c>
    </row>
    <row r="3139">
      <c r="A3139" s="1" t="s">
        <v>13206</v>
      </c>
      <c r="B3139" s="1" t="s">
        <v>13207</v>
      </c>
      <c r="C3139" s="1">
        <v>2018.0</v>
      </c>
      <c r="D3139" s="2">
        <v>43276.0</v>
      </c>
      <c r="F3139" s="1" t="s">
        <v>1349</v>
      </c>
      <c r="H3139" s="3">
        <v>8.0</v>
      </c>
      <c r="I3139" s="4" t="s">
        <v>13208</v>
      </c>
      <c r="J3139" s="1" t="s">
        <v>13209</v>
      </c>
      <c r="K3139" s="1" t="s">
        <v>323</v>
      </c>
    </row>
    <row r="3140">
      <c r="A3140" s="1" t="s">
        <v>13210</v>
      </c>
      <c r="B3140" s="1" t="s">
        <v>13211</v>
      </c>
      <c r="C3140" s="1">
        <v>2018.0</v>
      </c>
      <c r="D3140" s="2">
        <v>43272.0</v>
      </c>
      <c r="F3140" s="1" t="s">
        <v>7495</v>
      </c>
      <c r="H3140" s="3">
        <v>9.0</v>
      </c>
      <c r="I3140" s="4" t="s">
        <v>13212</v>
      </c>
      <c r="J3140" s="1" t="s">
        <v>13213</v>
      </c>
      <c r="K3140" s="1" t="s">
        <v>413</v>
      </c>
    </row>
    <row r="3141">
      <c r="A3141" s="1" t="s">
        <v>13214</v>
      </c>
      <c r="B3141" s="1" t="s">
        <v>13215</v>
      </c>
      <c r="C3141" s="1">
        <v>2018.0</v>
      </c>
      <c r="D3141" s="2">
        <v>43271.0</v>
      </c>
      <c r="F3141" s="1" t="s">
        <v>6343</v>
      </c>
      <c r="H3141" s="3">
        <v>39.0</v>
      </c>
      <c r="I3141" s="4" t="s">
        <v>13216</v>
      </c>
      <c r="J3141" s="1" t="s">
        <v>13217</v>
      </c>
      <c r="K3141" s="1" t="s">
        <v>340</v>
      </c>
    </row>
    <row r="3142">
      <c r="A3142" s="1" t="s">
        <v>13218</v>
      </c>
      <c r="B3142" s="1" t="s">
        <v>13219</v>
      </c>
      <c r="C3142" s="1">
        <v>2018.0</v>
      </c>
      <c r="D3142" s="2">
        <v>43270.0</v>
      </c>
      <c r="F3142" s="1" t="s">
        <v>59</v>
      </c>
      <c r="H3142" s="3">
        <v>56.0</v>
      </c>
      <c r="I3142" s="4" t="s">
        <v>13220</v>
      </c>
      <c r="J3142" s="1" t="s">
        <v>13221</v>
      </c>
      <c r="K3142" s="1" t="s">
        <v>1423</v>
      </c>
    </row>
    <row r="3143">
      <c r="A3143" s="1" t="s">
        <v>13222</v>
      </c>
      <c r="B3143" s="1" t="s">
        <v>13223</v>
      </c>
      <c r="C3143" s="1">
        <v>2018.0</v>
      </c>
      <c r="D3143" s="2">
        <v>43269.0</v>
      </c>
      <c r="F3143" s="1" t="s">
        <v>10906</v>
      </c>
      <c r="H3143" s="3">
        <v>12.0</v>
      </c>
      <c r="I3143" s="4" t="s">
        <v>13224</v>
      </c>
      <c r="J3143" s="1" t="s">
        <v>13225</v>
      </c>
      <c r="K3143" s="1" t="s">
        <v>323</v>
      </c>
    </row>
    <row r="3144">
      <c r="A3144" s="1" t="s">
        <v>13226</v>
      </c>
      <c r="B3144" s="1" t="s">
        <v>13227</v>
      </c>
      <c r="C3144" s="1">
        <v>2018.0</v>
      </c>
      <c r="D3144" s="2">
        <v>43269.0</v>
      </c>
      <c r="F3144" s="1" t="s">
        <v>1859</v>
      </c>
      <c r="H3144" s="3">
        <v>7.0</v>
      </c>
      <c r="I3144" s="4" t="s">
        <v>13228</v>
      </c>
      <c r="J3144" s="1" t="s">
        <v>13229</v>
      </c>
      <c r="K3144" s="1" t="s">
        <v>418</v>
      </c>
    </row>
    <row r="3145">
      <c r="A3145" s="1" t="s">
        <v>13230</v>
      </c>
      <c r="B3145" s="1" t="s">
        <v>13231</v>
      </c>
      <c r="C3145" s="1">
        <v>2018.0</v>
      </c>
      <c r="D3145" s="2">
        <v>43269.0</v>
      </c>
      <c r="F3145" s="1" t="s">
        <v>13232</v>
      </c>
      <c r="H3145" s="3">
        <v>24.0</v>
      </c>
      <c r="I3145" s="4" t="s">
        <v>13233</v>
      </c>
      <c r="J3145" s="1" t="s">
        <v>13234</v>
      </c>
      <c r="K3145" s="1" t="s">
        <v>323</v>
      </c>
    </row>
    <row r="3146">
      <c r="A3146" s="1" t="s">
        <v>13235</v>
      </c>
      <c r="B3146" s="1" t="s">
        <v>13236</v>
      </c>
      <c r="C3146" s="1">
        <v>2018.0</v>
      </c>
      <c r="D3146" s="2">
        <v>43269.0</v>
      </c>
      <c r="F3146" s="1" t="s">
        <v>440</v>
      </c>
      <c r="H3146" s="3">
        <v>32.0</v>
      </c>
      <c r="I3146" s="4" t="s">
        <v>13237</v>
      </c>
      <c r="J3146" s="1" t="s">
        <v>13238</v>
      </c>
      <c r="K3146" s="1" t="s">
        <v>383</v>
      </c>
    </row>
    <row r="3147">
      <c r="A3147" s="1" t="s">
        <v>13239</v>
      </c>
      <c r="B3147" s="1" t="s">
        <v>13240</v>
      </c>
      <c r="C3147" s="1">
        <v>2018.0</v>
      </c>
      <c r="D3147" s="2">
        <v>43266.0</v>
      </c>
      <c r="F3147" s="1" t="s">
        <v>369</v>
      </c>
      <c r="H3147" s="3">
        <v>3.0</v>
      </c>
      <c r="I3147" s="4" t="s">
        <v>13241</v>
      </c>
      <c r="J3147" s="1" t="s">
        <v>13242</v>
      </c>
      <c r="K3147" s="1" t="s">
        <v>28</v>
      </c>
    </row>
    <row r="3148">
      <c r="A3148" s="1" t="s">
        <v>13243</v>
      </c>
      <c r="B3148" s="1" t="s">
        <v>13244</v>
      </c>
      <c r="C3148" s="1">
        <v>2018.0</v>
      </c>
      <c r="D3148" s="2">
        <v>43266.0</v>
      </c>
      <c r="F3148" s="1" t="s">
        <v>7158</v>
      </c>
      <c r="H3148" s="3">
        <v>12.0</v>
      </c>
      <c r="I3148" s="4" t="s">
        <v>13245</v>
      </c>
      <c r="J3148" s="1" t="s">
        <v>13246</v>
      </c>
      <c r="K3148" s="1" t="s">
        <v>413</v>
      </c>
    </row>
    <row r="3149">
      <c r="A3149" s="1" t="s">
        <v>13247</v>
      </c>
      <c r="B3149" s="1" t="s">
        <v>13248</v>
      </c>
      <c r="C3149" s="1">
        <v>2018.0</v>
      </c>
      <c r="D3149" s="2">
        <v>43266.0</v>
      </c>
      <c r="F3149" s="1" t="s">
        <v>7158</v>
      </c>
      <c r="H3149" s="3">
        <v>60.0</v>
      </c>
      <c r="I3149" s="4" t="s">
        <v>13249</v>
      </c>
      <c r="J3149" s="1" t="s">
        <v>13250</v>
      </c>
      <c r="K3149" s="1" t="s">
        <v>16</v>
      </c>
    </row>
    <row r="3150">
      <c r="A3150" s="1" t="s">
        <v>13251</v>
      </c>
      <c r="B3150" s="1" t="s">
        <v>13252</v>
      </c>
      <c r="C3150" s="1">
        <v>2018.0</v>
      </c>
      <c r="D3150" s="2">
        <v>43266.0</v>
      </c>
      <c r="F3150" s="1" t="s">
        <v>1050</v>
      </c>
      <c r="H3150" s="3">
        <v>0.0</v>
      </c>
      <c r="I3150" s="4" t="s">
        <v>13253</v>
      </c>
      <c r="J3150" s="1" t="s">
        <v>13254</v>
      </c>
      <c r="K3150" s="1" t="s">
        <v>413</v>
      </c>
    </row>
    <row r="3151">
      <c r="A3151" s="1" t="s">
        <v>13255</v>
      </c>
      <c r="B3151" s="1" t="s">
        <v>13252</v>
      </c>
      <c r="C3151" s="1">
        <v>2018.0</v>
      </c>
      <c r="D3151" s="2">
        <v>43266.0</v>
      </c>
      <c r="F3151" s="1" t="s">
        <v>1050</v>
      </c>
      <c r="H3151" s="3">
        <v>0.0</v>
      </c>
      <c r="I3151" s="4" t="s">
        <v>13256</v>
      </c>
      <c r="J3151" s="1" t="s">
        <v>13254</v>
      </c>
      <c r="K3151" s="1" t="s">
        <v>413</v>
      </c>
    </row>
    <row r="3152">
      <c r="A3152" s="1" t="s">
        <v>13257</v>
      </c>
      <c r="B3152" s="1" t="s">
        <v>13258</v>
      </c>
      <c r="C3152" s="1">
        <v>2018.0</v>
      </c>
      <c r="D3152" s="2">
        <v>43265.0</v>
      </c>
      <c r="F3152" s="1" t="s">
        <v>337</v>
      </c>
      <c r="H3152" s="3">
        <v>25.0</v>
      </c>
      <c r="I3152" s="4" t="s">
        <v>13259</v>
      </c>
      <c r="J3152" s="1" t="s">
        <v>13260</v>
      </c>
      <c r="K3152" s="1" t="s">
        <v>16</v>
      </c>
    </row>
    <row r="3153">
      <c r="A3153" s="1" t="s">
        <v>13261</v>
      </c>
      <c r="B3153" s="1" t="s">
        <v>13262</v>
      </c>
      <c r="C3153" s="1">
        <v>2018.0</v>
      </c>
      <c r="D3153" s="2">
        <v>43264.0</v>
      </c>
      <c r="F3153" s="1" t="s">
        <v>1137</v>
      </c>
      <c r="H3153" s="3">
        <v>5.0</v>
      </c>
      <c r="I3153" s="4" t="s">
        <v>13263</v>
      </c>
      <c r="J3153" s="1" t="s">
        <v>13264</v>
      </c>
      <c r="K3153" s="1" t="s">
        <v>323</v>
      </c>
    </row>
    <row r="3154">
      <c r="A3154" s="1" t="s">
        <v>13265</v>
      </c>
      <c r="B3154" s="1" t="s">
        <v>13266</v>
      </c>
      <c r="C3154" s="1">
        <v>2018.0</v>
      </c>
      <c r="D3154" s="2">
        <v>43263.0</v>
      </c>
      <c r="F3154" s="1" t="s">
        <v>1371</v>
      </c>
      <c r="H3154" s="3">
        <v>105.0</v>
      </c>
      <c r="I3154" s="4" t="s">
        <v>13267</v>
      </c>
      <c r="J3154" s="1" t="s">
        <v>13268</v>
      </c>
      <c r="K3154" s="1" t="s">
        <v>28</v>
      </c>
    </row>
    <row r="3155">
      <c r="A3155" s="1" t="s">
        <v>13269</v>
      </c>
      <c r="B3155" s="1" t="s">
        <v>13270</v>
      </c>
      <c r="C3155" s="1">
        <v>2018.0</v>
      </c>
      <c r="D3155" s="2">
        <v>43263.0</v>
      </c>
      <c r="F3155" s="1" t="s">
        <v>2191</v>
      </c>
      <c r="H3155" s="3">
        <v>13.0</v>
      </c>
      <c r="I3155" s="4" t="s">
        <v>13271</v>
      </c>
      <c r="J3155" s="1" t="s">
        <v>13272</v>
      </c>
      <c r="K3155" s="1" t="s">
        <v>295</v>
      </c>
    </row>
    <row r="3156">
      <c r="A3156" s="1" t="s">
        <v>13273</v>
      </c>
      <c r="B3156" s="1" t="s">
        <v>13274</v>
      </c>
      <c r="C3156" s="1">
        <v>2018.0</v>
      </c>
      <c r="D3156" s="2">
        <v>43263.0</v>
      </c>
      <c r="F3156" s="1" t="s">
        <v>12240</v>
      </c>
      <c r="H3156" s="3">
        <v>5.0</v>
      </c>
      <c r="I3156" s="4" t="s">
        <v>13275</v>
      </c>
      <c r="J3156" s="1" t="s">
        <v>13276</v>
      </c>
      <c r="K3156" s="1" t="s">
        <v>546</v>
      </c>
    </row>
    <row r="3157">
      <c r="A3157" s="1" t="s">
        <v>13277</v>
      </c>
      <c r="B3157" s="1" t="s">
        <v>13278</v>
      </c>
      <c r="C3157" s="1">
        <v>2018.0</v>
      </c>
      <c r="D3157" s="2">
        <v>43263.0</v>
      </c>
      <c r="F3157" s="1" t="s">
        <v>3351</v>
      </c>
      <c r="H3157" s="3">
        <v>2.0</v>
      </c>
      <c r="I3157" s="4" t="s">
        <v>13279</v>
      </c>
      <c r="J3157" s="1"/>
      <c r="K3157" s="1" t="s">
        <v>16</v>
      </c>
    </row>
    <row r="3158">
      <c r="A3158" s="1" t="s">
        <v>13280</v>
      </c>
      <c r="B3158" s="1" t="s">
        <v>13281</v>
      </c>
      <c r="C3158" s="1">
        <v>2018.0</v>
      </c>
      <c r="D3158" s="2">
        <v>43260.0</v>
      </c>
      <c r="F3158" s="1" t="s">
        <v>271</v>
      </c>
      <c r="H3158" s="3">
        <v>29.0</v>
      </c>
      <c r="I3158" s="4" t="s">
        <v>13282</v>
      </c>
      <c r="J3158" s="1" t="s">
        <v>13283</v>
      </c>
      <c r="K3158" s="1" t="s">
        <v>1036</v>
      </c>
    </row>
    <row r="3159">
      <c r="A3159" s="1" t="s">
        <v>13284</v>
      </c>
      <c r="B3159" s="1" t="s">
        <v>13285</v>
      </c>
      <c r="C3159" s="1">
        <v>2018.0</v>
      </c>
      <c r="D3159" s="2">
        <v>43259.0</v>
      </c>
      <c r="F3159" s="1" t="s">
        <v>13</v>
      </c>
      <c r="H3159" s="3">
        <v>53.0</v>
      </c>
      <c r="I3159" s="4" t="s">
        <v>13286</v>
      </c>
      <c r="J3159" s="1" t="s">
        <v>13287</v>
      </c>
      <c r="K3159" s="1" t="s">
        <v>28</v>
      </c>
    </row>
    <row r="3160">
      <c r="A3160" s="1" t="s">
        <v>13288</v>
      </c>
      <c r="B3160" s="1" t="s">
        <v>13289</v>
      </c>
      <c r="C3160" s="1">
        <v>2018.0</v>
      </c>
      <c r="D3160" s="2">
        <v>43258.0</v>
      </c>
      <c r="F3160" s="1" t="s">
        <v>1050</v>
      </c>
      <c r="H3160" s="3">
        <v>0.0</v>
      </c>
      <c r="I3160" s="4" t="s">
        <v>13290</v>
      </c>
      <c r="J3160" s="1" t="s">
        <v>13291</v>
      </c>
      <c r="K3160" s="1" t="s">
        <v>16</v>
      </c>
    </row>
    <row r="3161">
      <c r="A3161" s="1" t="s">
        <v>13292</v>
      </c>
      <c r="B3161" s="1" t="s">
        <v>13293</v>
      </c>
      <c r="C3161" s="1">
        <v>2018.0</v>
      </c>
      <c r="D3161" s="2">
        <v>43257.0</v>
      </c>
      <c r="F3161" s="1" t="s">
        <v>2707</v>
      </c>
      <c r="H3161" s="3">
        <v>24.0</v>
      </c>
      <c r="I3161" s="4" t="s">
        <v>13294</v>
      </c>
      <c r="J3161" s="1" t="s">
        <v>13295</v>
      </c>
      <c r="K3161" s="1" t="s">
        <v>16</v>
      </c>
    </row>
    <row r="3162">
      <c r="A3162" s="1" t="s">
        <v>13296</v>
      </c>
      <c r="B3162" s="1" t="s">
        <v>13002</v>
      </c>
      <c r="C3162" s="1">
        <v>2018.0</v>
      </c>
      <c r="D3162" s="2">
        <v>43255.0</v>
      </c>
      <c r="F3162" s="1" t="s">
        <v>71</v>
      </c>
      <c r="H3162" s="3">
        <v>20.0</v>
      </c>
      <c r="I3162" s="4" t="s">
        <v>13297</v>
      </c>
      <c r="J3162" s="1" t="s">
        <v>13298</v>
      </c>
      <c r="K3162" s="1" t="s">
        <v>323</v>
      </c>
    </row>
    <row r="3163">
      <c r="A3163" s="1" t="s">
        <v>13299</v>
      </c>
      <c r="B3163" s="1" t="s">
        <v>13300</v>
      </c>
      <c r="C3163" s="1">
        <v>2018.0</v>
      </c>
      <c r="D3163" s="2">
        <v>43253.0</v>
      </c>
      <c r="F3163" s="1" t="s">
        <v>1637</v>
      </c>
      <c r="H3163" s="3">
        <v>25.0</v>
      </c>
      <c r="I3163" s="4" t="s">
        <v>13301</v>
      </c>
      <c r="J3163" s="1" t="s">
        <v>13302</v>
      </c>
      <c r="K3163" s="1" t="s">
        <v>477</v>
      </c>
    </row>
    <row r="3164">
      <c r="A3164" s="1" t="s">
        <v>13303</v>
      </c>
      <c r="B3164" s="1" t="s">
        <v>13304</v>
      </c>
      <c r="C3164" s="1">
        <v>2018.0</v>
      </c>
      <c r="D3164" s="2">
        <v>43252.0</v>
      </c>
      <c r="F3164" s="1" t="s">
        <v>1995</v>
      </c>
      <c r="H3164" s="3">
        <v>6.0</v>
      </c>
      <c r="I3164" s="4" t="s">
        <v>13305</v>
      </c>
      <c r="J3164" s="1" t="s">
        <v>13306</v>
      </c>
      <c r="K3164" s="1" t="s">
        <v>323</v>
      </c>
    </row>
    <row r="3165">
      <c r="A3165" s="1" t="s">
        <v>13307</v>
      </c>
      <c r="B3165" s="1" t="s">
        <v>13308</v>
      </c>
      <c r="C3165" s="1">
        <v>2018.0</v>
      </c>
      <c r="D3165" s="2">
        <v>43252.0</v>
      </c>
      <c r="F3165" s="1" t="s">
        <v>484</v>
      </c>
      <c r="H3165" s="3">
        <v>193.0</v>
      </c>
      <c r="I3165" s="4" t="s">
        <v>13309</v>
      </c>
      <c r="J3165" s="1" t="s">
        <v>13310</v>
      </c>
      <c r="K3165" s="1" t="s">
        <v>28</v>
      </c>
    </row>
    <row r="3166">
      <c r="A3166" s="1" t="s">
        <v>13311</v>
      </c>
      <c r="B3166" s="1" t="s">
        <v>13312</v>
      </c>
      <c r="C3166" s="1">
        <v>2018.0</v>
      </c>
      <c r="D3166" s="2">
        <v>43252.0</v>
      </c>
      <c r="F3166" s="1" t="s">
        <v>13313</v>
      </c>
      <c r="H3166" s="3">
        <v>37.0</v>
      </c>
      <c r="I3166" s="4" t="s">
        <v>13314</v>
      </c>
      <c r="J3166" s="1"/>
      <c r="K3166" s="1" t="s">
        <v>16</v>
      </c>
    </row>
    <row r="3167">
      <c r="A3167" s="1" t="s">
        <v>13315</v>
      </c>
      <c r="B3167" s="1" t="s">
        <v>13316</v>
      </c>
      <c r="C3167" s="1">
        <v>2018.0</v>
      </c>
      <c r="D3167" s="2">
        <v>43251.0</v>
      </c>
      <c r="F3167" s="1" t="s">
        <v>308</v>
      </c>
      <c r="H3167" s="3">
        <v>40.0</v>
      </c>
      <c r="I3167" s="4" t="s">
        <v>13317</v>
      </c>
      <c r="J3167" s="1" t="s">
        <v>13318</v>
      </c>
      <c r="K3167" s="1" t="s">
        <v>443</v>
      </c>
    </row>
    <row r="3168">
      <c r="A3168" s="1" t="s">
        <v>13319</v>
      </c>
      <c r="B3168" s="1" t="s">
        <v>13320</v>
      </c>
      <c r="C3168" s="1">
        <v>2018.0</v>
      </c>
      <c r="D3168" s="2">
        <v>43251.0</v>
      </c>
      <c r="F3168" s="1" t="s">
        <v>271</v>
      </c>
      <c r="H3168" s="3">
        <v>9.0</v>
      </c>
      <c r="I3168" s="4" t="s">
        <v>13321</v>
      </c>
      <c r="J3168" s="1" t="s">
        <v>13322</v>
      </c>
      <c r="K3168" s="1" t="s">
        <v>28</v>
      </c>
    </row>
    <row r="3169">
      <c r="A3169" s="1" t="s">
        <v>13323</v>
      </c>
      <c r="B3169" s="1" t="s">
        <v>13324</v>
      </c>
      <c r="C3169" s="1">
        <v>2018.0</v>
      </c>
      <c r="D3169" s="2">
        <v>43249.0</v>
      </c>
      <c r="F3169" s="1" t="s">
        <v>396</v>
      </c>
      <c r="H3169" s="3">
        <v>64.0</v>
      </c>
      <c r="I3169" s="4" t="s">
        <v>13325</v>
      </c>
      <c r="J3169" s="1" t="s">
        <v>13326</v>
      </c>
      <c r="K3169" s="1" t="s">
        <v>383</v>
      </c>
    </row>
    <row r="3170">
      <c r="A3170" s="1" t="s">
        <v>13327</v>
      </c>
      <c r="B3170" s="1" t="s">
        <v>13328</v>
      </c>
      <c r="C3170" s="1">
        <v>2018.0</v>
      </c>
      <c r="D3170" s="2">
        <v>43246.0</v>
      </c>
      <c r="F3170" s="1" t="s">
        <v>2634</v>
      </c>
      <c r="H3170" s="3">
        <v>17.0</v>
      </c>
      <c r="I3170" s="4" t="s">
        <v>13329</v>
      </c>
      <c r="J3170" s="1" t="s">
        <v>13330</v>
      </c>
      <c r="K3170" s="1" t="s">
        <v>295</v>
      </c>
    </row>
    <row r="3171">
      <c r="A3171" s="1" t="s">
        <v>13331</v>
      </c>
      <c r="B3171" s="1" t="s">
        <v>13332</v>
      </c>
      <c r="C3171" s="1">
        <v>2018.0</v>
      </c>
      <c r="D3171" s="2">
        <v>43246.0</v>
      </c>
      <c r="F3171" s="1" t="s">
        <v>271</v>
      </c>
      <c r="H3171" s="3">
        <v>12.0</v>
      </c>
      <c r="I3171" s="4" t="s">
        <v>13333</v>
      </c>
      <c r="J3171" s="1" t="s">
        <v>13334</v>
      </c>
      <c r="K3171" s="1" t="s">
        <v>477</v>
      </c>
    </row>
    <row r="3172">
      <c r="A3172" s="1" t="s">
        <v>13335</v>
      </c>
      <c r="B3172" s="1" t="s">
        <v>13336</v>
      </c>
      <c r="C3172" s="1">
        <v>2018.0</v>
      </c>
      <c r="D3172" s="2">
        <v>43246.0</v>
      </c>
      <c r="F3172" s="1" t="s">
        <v>13337</v>
      </c>
      <c r="H3172" s="3">
        <v>5.0</v>
      </c>
      <c r="I3172" s="4" t="s">
        <v>13338</v>
      </c>
      <c r="J3172" s="1" t="s">
        <v>13339</v>
      </c>
      <c r="K3172" s="1" t="s">
        <v>68</v>
      </c>
    </row>
    <row r="3173">
      <c r="A3173" s="1" t="s">
        <v>13340</v>
      </c>
      <c r="B3173" s="1" t="s">
        <v>13341</v>
      </c>
      <c r="C3173" s="1">
        <v>2018.0</v>
      </c>
      <c r="D3173" s="2">
        <v>43245.0</v>
      </c>
      <c r="F3173" s="1" t="s">
        <v>157</v>
      </c>
      <c r="H3173" s="3">
        <v>36.0</v>
      </c>
      <c r="I3173" s="4" t="s">
        <v>13342</v>
      </c>
      <c r="J3173" s="1" t="s">
        <v>13343</v>
      </c>
      <c r="K3173" s="1" t="s">
        <v>546</v>
      </c>
    </row>
    <row r="3174">
      <c r="A3174" s="1" t="s">
        <v>13344</v>
      </c>
      <c r="B3174" s="1" t="s">
        <v>13345</v>
      </c>
      <c r="C3174" s="1">
        <v>2018.0</v>
      </c>
      <c r="D3174" s="2">
        <v>43244.0</v>
      </c>
      <c r="F3174" s="1" t="s">
        <v>286</v>
      </c>
      <c r="H3174" s="3">
        <v>7.0</v>
      </c>
      <c r="I3174" s="4" t="s">
        <v>13346</v>
      </c>
      <c r="J3174" s="1" t="s">
        <v>13347</v>
      </c>
      <c r="K3174" s="1" t="s">
        <v>413</v>
      </c>
    </row>
    <row r="3175">
      <c r="A3175" s="1" t="s">
        <v>13348</v>
      </c>
      <c r="B3175" s="1" t="s">
        <v>13349</v>
      </c>
      <c r="C3175" s="1">
        <v>2018.0</v>
      </c>
      <c r="D3175" s="2">
        <v>43244.0</v>
      </c>
      <c r="F3175" s="1" t="s">
        <v>286</v>
      </c>
      <c r="H3175" s="3">
        <v>17.0</v>
      </c>
      <c r="I3175" s="4" t="s">
        <v>13350</v>
      </c>
      <c r="J3175" s="1" t="s">
        <v>13351</v>
      </c>
      <c r="K3175" s="1" t="s">
        <v>413</v>
      </c>
    </row>
    <row r="3176">
      <c r="A3176" s="1" t="s">
        <v>13352</v>
      </c>
      <c r="B3176" s="1" t="s">
        <v>13353</v>
      </c>
      <c r="C3176" s="1">
        <v>2018.0</v>
      </c>
      <c r="D3176" s="2">
        <v>43243.0</v>
      </c>
      <c r="F3176" s="1" t="s">
        <v>882</v>
      </c>
      <c r="H3176" s="3">
        <v>0.0</v>
      </c>
      <c r="I3176" s="4" t="s">
        <v>13354</v>
      </c>
      <c r="J3176" s="1"/>
      <c r="K3176" s="1" t="s">
        <v>28</v>
      </c>
    </row>
    <row r="3177">
      <c r="A3177" s="1" t="s">
        <v>13355</v>
      </c>
      <c r="B3177" s="1" t="s">
        <v>13356</v>
      </c>
      <c r="C3177" s="1">
        <v>2018.0</v>
      </c>
      <c r="D3177" s="2">
        <v>43242.0</v>
      </c>
      <c r="F3177" s="1" t="s">
        <v>12240</v>
      </c>
      <c r="H3177" s="3">
        <v>33.0</v>
      </c>
      <c r="I3177" s="4" t="s">
        <v>13357</v>
      </c>
      <c r="J3177" s="1" t="s">
        <v>13358</v>
      </c>
      <c r="K3177" s="1" t="s">
        <v>546</v>
      </c>
    </row>
    <row r="3178">
      <c r="A3178" s="1" t="s">
        <v>13359</v>
      </c>
      <c r="B3178" s="1" t="s">
        <v>13360</v>
      </c>
      <c r="C3178" s="1">
        <v>2018.0</v>
      </c>
      <c r="D3178" s="2">
        <v>43242.0</v>
      </c>
      <c r="F3178" s="1" t="s">
        <v>116</v>
      </c>
      <c r="H3178" s="3">
        <v>21.0</v>
      </c>
      <c r="I3178" s="4" t="s">
        <v>13361</v>
      </c>
      <c r="J3178" s="1" t="s">
        <v>13362</v>
      </c>
      <c r="K3178" s="1" t="s">
        <v>926</v>
      </c>
    </row>
    <row r="3179">
      <c r="A3179" s="1" t="s">
        <v>13363</v>
      </c>
      <c r="B3179" s="1" t="s">
        <v>13364</v>
      </c>
      <c r="C3179" s="1">
        <v>2018.0</v>
      </c>
      <c r="D3179" s="2">
        <v>43241.0</v>
      </c>
      <c r="F3179" s="1" t="s">
        <v>337</v>
      </c>
      <c r="H3179" s="3">
        <v>64.0</v>
      </c>
      <c r="I3179" s="4" t="s">
        <v>13365</v>
      </c>
      <c r="J3179" s="1" t="s">
        <v>13366</v>
      </c>
      <c r="K3179" s="1" t="s">
        <v>295</v>
      </c>
    </row>
    <row r="3180">
      <c r="A3180" s="1" t="s">
        <v>13367</v>
      </c>
      <c r="B3180" s="1" t="s">
        <v>13368</v>
      </c>
      <c r="C3180" s="1">
        <v>2018.0</v>
      </c>
      <c r="D3180" s="2">
        <v>43238.0</v>
      </c>
      <c r="F3180" s="1" t="s">
        <v>157</v>
      </c>
      <c r="H3180" s="3">
        <v>29.0</v>
      </c>
      <c r="I3180" s="4" t="s">
        <v>13369</v>
      </c>
      <c r="J3180" s="1" t="s">
        <v>13370</v>
      </c>
      <c r="K3180" s="1" t="s">
        <v>546</v>
      </c>
    </row>
    <row r="3181">
      <c r="A3181" s="1" t="s">
        <v>13371</v>
      </c>
      <c r="B3181" s="1" t="s">
        <v>13372</v>
      </c>
      <c r="C3181" s="1">
        <v>2018.0</v>
      </c>
      <c r="D3181" s="2">
        <v>43237.0</v>
      </c>
      <c r="F3181" s="1" t="s">
        <v>440</v>
      </c>
      <c r="H3181" s="3">
        <v>14.0</v>
      </c>
      <c r="I3181" s="4" t="s">
        <v>13373</v>
      </c>
      <c r="J3181" s="1" t="s">
        <v>13374</v>
      </c>
      <c r="K3181" s="1" t="s">
        <v>28</v>
      </c>
    </row>
    <row r="3182">
      <c r="A3182" s="1" t="s">
        <v>13375</v>
      </c>
      <c r="B3182" s="1" t="s">
        <v>13376</v>
      </c>
      <c r="C3182" s="1">
        <v>2018.0</v>
      </c>
      <c r="D3182" s="2">
        <v>43237.0</v>
      </c>
      <c r="F3182" s="1" t="s">
        <v>2186</v>
      </c>
      <c r="H3182" s="3">
        <v>4.0</v>
      </c>
      <c r="I3182" s="4" t="s">
        <v>13377</v>
      </c>
      <c r="J3182" s="1" t="s">
        <v>13378</v>
      </c>
      <c r="K3182" s="1" t="s">
        <v>28</v>
      </c>
    </row>
    <row r="3183">
      <c r="A3183" s="1" t="s">
        <v>13379</v>
      </c>
      <c r="B3183" s="1" t="s">
        <v>13380</v>
      </c>
      <c r="C3183" s="1">
        <v>2018.0</v>
      </c>
      <c r="D3183" s="2">
        <v>43237.0</v>
      </c>
      <c r="F3183" s="1" t="s">
        <v>5564</v>
      </c>
      <c r="H3183" s="3">
        <v>21.0</v>
      </c>
      <c r="I3183" s="4" t="s">
        <v>13381</v>
      </c>
      <c r="J3183" s="1" t="s">
        <v>13382</v>
      </c>
      <c r="K3183" s="1" t="s">
        <v>413</v>
      </c>
    </row>
    <row r="3184">
      <c r="A3184" s="1" t="s">
        <v>13383</v>
      </c>
      <c r="B3184" s="1" t="s">
        <v>13384</v>
      </c>
      <c r="C3184" s="1">
        <v>2018.0</v>
      </c>
      <c r="D3184" s="2">
        <v>43237.0</v>
      </c>
      <c r="F3184" s="1" t="s">
        <v>1714</v>
      </c>
      <c r="H3184" s="3">
        <v>131.0</v>
      </c>
      <c r="I3184" s="4" t="s">
        <v>13385</v>
      </c>
      <c r="J3184" s="1" t="s">
        <v>13386</v>
      </c>
      <c r="K3184" s="1" t="s">
        <v>462</v>
      </c>
    </row>
    <row r="3185">
      <c r="A3185" s="1" t="s">
        <v>13387</v>
      </c>
      <c r="B3185" s="1" t="s">
        <v>13388</v>
      </c>
      <c r="C3185" s="1">
        <v>2018.0</v>
      </c>
      <c r="D3185" s="2">
        <v>43236.0</v>
      </c>
      <c r="F3185" s="1" t="s">
        <v>6485</v>
      </c>
      <c r="H3185" s="3">
        <v>19.0</v>
      </c>
      <c r="I3185" s="4" t="s">
        <v>13389</v>
      </c>
      <c r="J3185" s="1" t="s">
        <v>13390</v>
      </c>
      <c r="K3185" s="1" t="s">
        <v>28</v>
      </c>
    </row>
    <row r="3186">
      <c r="A3186" s="1" t="s">
        <v>13391</v>
      </c>
      <c r="B3186" s="1" t="s">
        <v>13392</v>
      </c>
      <c r="C3186" s="1">
        <v>2018.0</v>
      </c>
      <c r="D3186" s="2">
        <v>43236.0</v>
      </c>
      <c r="F3186" s="1" t="s">
        <v>71</v>
      </c>
      <c r="H3186" s="3">
        <v>23.0</v>
      </c>
      <c r="I3186" s="4" t="s">
        <v>13393</v>
      </c>
      <c r="J3186" s="1" t="s">
        <v>13394</v>
      </c>
      <c r="K3186" s="1" t="s">
        <v>492</v>
      </c>
    </row>
    <row r="3187">
      <c r="A3187" s="1" t="s">
        <v>13395</v>
      </c>
      <c r="B3187" s="1" t="s">
        <v>13396</v>
      </c>
      <c r="C3187" s="1">
        <v>2018.0</v>
      </c>
      <c r="D3187" s="2">
        <v>43236.0</v>
      </c>
      <c r="F3187" s="1" t="s">
        <v>13397</v>
      </c>
      <c r="H3187" s="3">
        <v>19.0</v>
      </c>
      <c r="I3187" s="4" t="s">
        <v>13398</v>
      </c>
      <c r="J3187" s="1" t="s">
        <v>13399</v>
      </c>
      <c r="K3187" s="1" t="s">
        <v>16</v>
      </c>
    </row>
    <row r="3188">
      <c r="A3188" s="1" t="s">
        <v>13400</v>
      </c>
      <c r="B3188" s="1" t="s">
        <v>13401</v>
      </c>
      <c r="C3188" s="1">
        <v>2018.0</v>
      </c>
      <c r="D3188" s="2">
        <v>43235.0</v>
      </c>
      <c r="F3188" s="1" t="s">
        <v>13402</v>
      </c>
      <c r="H3188" s="3">
        <v>16.0</v>
      </c>
      <c r="I3188" s="4" t="s">
        <v>13403</v>
      </c>
      <c r="J3188" s="1" t="s">
        <v>13404</v>
      </c>
      <c r="K3188" s="1" t="s">
        <v>295</v>
      </c>
    </row>
    <row r="3189">
      <c r="A3189" s="1" t="s">
        <v>13405</v>
      </c>
      <c r="B3189" s="1" t="s">
        <v>13406</v>
      </c>
      <c r="C3189" s="1">
        <v>2018.0</v>
      </c>
      <c r="D3189" s="2">
        <v>43234.0</v>
      </c>
      <c r="F3189" s="1" t="s">
        <v>1050</v>
      </c>
      <c r="H3189" s="3">
        <v>0.0</v>
      </c>
      <c r="I3189" s="4" t="s">
        <v>13407</v>
      </c>
      <c r="J3189" s="1" t="s">
        <v>13408</v>
      </c>
      <c r="K3189" s="1" t="s">
        <v>16</v>
      </c>
    </row>
    <row r="3190">
      <c r="A3190" s="1" t="s">
        <v>13409</v>
      </c>
      <c r="B3190" s="1" t="s">
        <v>13410</v>
      </c>
      <c r="C3190" s="1">
        <v>2018.0</v>
      </c>
      <c r="D3190" s="2">
        <v>43233.0</v>
      </c>
      <c r="F3190" s="1" t="s">
        <v>91</v>
      </c>
      <c r="H3190" s="3">
        <v>1.0</v>
      </c>
      <c r="I3190" s="4" t="s">
        <v>13411</v>
      </c>
      <c r="J3190" s="1" t="s">
        <v>13412</v>
      </c>
      <c r="K3190" s="1" t="s">
        <v>1423</v>
      </c>
    </row>
    <row r="3191">
      <c r="A3191" s="1" t="s">
        <v>13413</v>
      </c>
      <c r="B3191" s="1" t="s">
        <v>13414</v>
      </c>
      <c r="C3191" s="1">
        <v>2018.0</v>
      </c>
      <c r="D3191" s="2">
        <v>43230.0</v>
      </c>
      <c r="F3191" s="1" t="s">
        <v>7271</v>
      </c>
      <c r="H3191" s="3">
        <v>9.0</v>
      </c>
      <c r="I3191" s="4" t="s">
        <v>13415</v>
      </c>
      <c r="J3191" s="1" t="s">
        <v>13416</v>
      </c>
      <c r="K3191" s="1" t="s">
        <v>323</v>
      </c>
    </row>
    <row r="3192">
      <c r="A3192" s="1" t="s">
        <v>13417</v>
      </c>
      <c r="B3192" s="1" t="s">
        <v>13418</v>
      </c>
      <c r="C3192" s="1">
        <v>2018.0</v>
      </c>
      <c r="D3192" s="2">
        <v>43230.0</v>
      </c>
      <c r="F3192" s="1" t="s">
        <v>13419</v>
      </c>
      <c r="H3192" s="3">
        <v>14.0</v>
      </c>
      <c r="I3192" s="4" t="s">
        <v>13420</v>
      </c>
      <c r="J3192" s="1" t="s">
        <v>13421</v>
      </c>
      <c r="K3192" s="1" t="s">
        <v>571</v>
      </c>
    </row>
    <row r="3193">
      <c r="A3193" s="1" t="s">
        <v>13422</v>
      </c>
      <c r="B3193" s="1" t="s">
        <v>13423</v>
      </c>
      <c r="C3193" s="1">
        <v>2018.0</v>
      </c>
      <c r="D3193" s="2">
        <v>43229.0</v>
      </c>
      <c r="F3193" s="1" t="s">
        <v>6568</v>
      </c>
      <c r="H3193" s="3">
        <v>4.0</v>
      </c>
      <c r="I3193" s="4" t="s">
        <v>13424</v>
      </c>
      <c r="J3193" s="1" t="s">
        <v>13425</v>
      </c>
      <c r="K3193" s="1" t="s">
        <v>28</v>
      </c>
    </row>
    <row r="3194">
      <c r="A3194" s="1" t="s">
        <v>13426</v>
      </c>
      <c r="B3194" s="1" t="s">
        <v>13427</v>
      </c>
      <c r="C3194" s="1">
        <v>2018.0</v>
      </c>
      <c r="D3194" s="2">
        <v>43229.0</v>
      </c>
      <c r="F3194" s="1" t="s">
        <v>248</v>
      </c>
      <c r="H3194" s="3">
        <v>12.0</v>
      </c>
      <c r="I3194" s="4" t="s">
        <v>13428</v>
      </c>
      <c r="J3194" s="1" t="s">
        <v>13429</v>
      </c>
      <c r="K3194" s="1" t="s">
        <v>68</v>
      </c>
    </row>
    <row r="3195">
      <c r="A3195" s="1" t="s">
        <v>13430</v>
      </c>
      <c r="B3195" s="1" t="s">
        <v>13431</v>
      </c>
      <c r="C3195" s="1">
        <v>2018.0</v>
      </c>
      <c r="D3195" s="2">
        <v>43228.0</v>
      </c>
      <c r="F3195" s="1" t="s">
        <v>13432</v>
      </c>
      <c r="H3195" s="3">
        <v>14.0</v>
      </c>
      <c r="I3195" s="4" t="s">
        <v>13433</v>
      </c>
      <c r="J3195" s="1" t="s">
        <v>13434</v>
      </c>
      <c r="K3195" s="1" t="s">
        <v>295</v>
      </c>
    </row>
    <row r="3196">
      <c r="A3196" s="1" t="s">
        <v>13435</v>
      </c>
      <c r="B3196" s="1" t="s">
        <v>13436</v>
      </c>
      <c r="C3196" s="1">
        <v>2018.0</v>
      </c>
      <c r="D3196" s="2">
        <v>43224.0</v>
      </c>
      <c r="F3196" s="1" t="s">
        <v>882</v>
      </c>
      <c r="H3196" s="3">
        <v>9.0</v>
      </c>
      <c r="I3196" s="4" t="s">
        <v>13437</v>
      </c>
      <c r="J3196" s="1"/>
      <c r="K3196" s="1" t="s">
        <v>28</v>
      </c>
    </row>
    <row r="3197">
      <c r="A3197" s="1" t="s">
        <v>13438</v>
      </c>
      <c r="B3197" s="1" t="s">
        <v>13439</v>
      </c>
      <c r="C3197" s="1">
        <v>2018.0</v>
      </c>
      <c r="D3197" s="2">
        <v>43222.0</v>
      </c>
      <c r="F3197" s="1" t="s">
        <v>2151</v>
      </c>
      <c r="H3197" s="3">
        <v>12.0</v>
      </c>
      <c r="I3197" s="4" t="s">
        <v>13440</v>
      </c>
      <c r="J3197" s="1" t="s">
        <v>13441</v>
      </c>
      <c r="K3197" s="1" t="s">
        <v>45</v>
      </c>
    </row>
    <row r="3198">
      <c r="A3198" s="1" t="s">
        <v>13442</v>
      </c>
      <c r="B3198" s="1" t="s">
        <v>13443</v>
      </c>
      <c r="C3198" s="1">
        <v>2018.0</v>
      </c>
      <c r="D3198" s="2">
        <v>43222.0</v>
      </c>
      <c r="F3198" s="1" t="s">
        <v>4577</v>
      </c>
      <c r="H3198" s="3">
        <v>28.0</v>
      </c>
      <c r="I3198" s="4" t="s">
        <v>13444</v>
      </c>
      <c r="J3198" s="1" t="s">
        <v>13445</v>
      </c>
      <c r="K3198" s="1" t="s">
        <v>418</v>
      </c>
    </row>
    <row r="3199">
      <c r="A3199" s="1" t="s">
        <v>13446</v>
      </c>
      <c r="B3199" s="1" t="s">
        <v>13447</v>
      </c>
      <c r="C3199" s="1">
        <v>2018.0</v>
      </c>
      <c r="D3199" s="2">
        <v>43222.0</v>
      </c>
      <c r="F3199" s="1" t="s">
        <v>500</v>
      </c>
      <c r="H3199" s="3">
        <v>8.0</v>
      </c>
      <c r="I3199" s="4" t="s">
        <v>13448</v>
      </c>
      <c r="J3199" s="1" t="s">
        <v>13449</v>
      </c>
      <c r="K3199" s="1" t="s">
        <v>323</v>
      </c>
    </row>
    <row r="3200">
      <c r="A3200" s="1" t="s">
        <v>13450</v>
      </c>
      <c r="B3200" s="1" t="s">
        <v>13451</v>
      </c>
      <c r="C3200" s="1">
        <v>2018.0</v>
      </c>
      <c r="D3200" s="2">
        <v>43221.0</v>
      </c>
      <c r="F3200" s="1" t="s">
        <v>9133</v>
      </c>
      <c r="H3200" s="3">
        <v>18.0</v>
      </c>
      <c r="I3200" s="4" t="s">
        <v>13452</v>
      </c>
      <c r="J3200" s="1" t="s">
        <v>13453</v>
      </c>
      <c r="K3200" s="1" t="s">
        <v>1036</v>
      </c>
    </row>
    <row r="3201">
      <c r="A3201" s="1" t="s">
        <v>13454</v>
      </c>
      <c r="B3201" s="1" t="s">
        <v>13455</v>
      </c>
      <c r="C3201" s="1">
        <v>2018.0</v>
      </c>
      <c r="D3201" s="2">
        <v>43221.0</v>
      </c>
      <c r="F3201" s="1" t="s">
        <v>13456</v>
      </c>
      <c r="H3201" s="3">
        <v>7.0</v>
      </c>
      <c r="I3201" s="4" t="s">
        <v>13457</v>
      </c>
      <c r="J3201" s="1" t="s">
        <v>13458</v>
      </c>
      <c r="K3201" s="1" t="s">
        <v>295</v>
      </c>
    </row>
    <row r="3202">
      <c r="A3202" s="1" t="s">
        <v>13459</v>
      </c>
      <c r="B3202" s="1" t="s">
        <v>13460</v>
      </c>
      <c r="C3202" s="1">
        <v>2018.0</v>
      </c>
      <c r="D3202" s="2">
        <v>43221.0</v>
      </c>
      <c r="F3202" s="1" t="s">
        <v>1128</v>
      </c>
      <c r="H3202" s="3">
        <v>7.0</v>
      </c>
      <c r="I3202" s="4" t="s">
        <v>13461</v>
      </c>
      <c r="J3202" s="1" t="s">
        <v>13462</v>
      </c>
      <c r="K3202" s="1" t="s">
        <v>28</v>
      </c>
    </row>
    <row r="3203">
      <c r="A3203" s="1" t="s">
        <v>13463</v>
      </c>
      <c r="B3203" s="1" t="s">
        <v>13464</v>
      </c>
      <c r="C3203" s="1">
        <v>2018.0</v>
      </c>
      <c r="D3203" s="2">
        <v>43221.0</v>
      </c>
      <c r="F3203" s="1" t="s">
        <v>1938</v>
      </c>
      <c r="H3203" s="3">
        <v>43.0</v>
      </c>
      <c r="I3203" s="4" t="s">
        <v>13465</v>
      </c>
      <c r="J3203" s="1" t="s">
        <v>13466</v>
      </c>
      <c r="K3203" s="1" t="s">
        <v>329</v>
      </c>
    </row>
    <row r="3204">
      <c r="A3204" s="1" t="s">
        <v>13467</v>
      </c>
      <c r="B3204" s="1" t="s">
        <v>13468</v>
      </c>
      <c r="C3204" s="1">
        <v>2018.0</v>
      </c>
      <c r="D3204" s="2">
        <v>43221.0</v>
      </c>
      <c r="F3204" s="1" t="s">
        <v>519</v>
      </c>
      <c r="H3204" s="3">
        <v>24.0</v>
      </c>
      <c r="I3204" s="4" t="s">
        <v>13469</v>
      </c>
      <c r="J3204" s="1" t="s">
        <v>13470</v>
      </c>
      <c r="K3204" s="1" t="s">
        <v>403</v>
      </c>
    </row>
    <row r="3205">
      <c r="A3205" s="1" t="s">
        <v>13471</v>
      </c>
      <c r="B3205" s="1" t="s">
        <v>13472</v>
      </c>
      <c r="C3205" s="1">
        <v>2018.0</v>
      </c>
      <c r="D3205" s="2">
        <v>43221.0</v>
      </c>
      <c r="F3205" s="1" t="s">
        <v>13473</v>
      </c>
      <c r="H3205" s="3">
        <v>19.0</v>
      </c>
      <c r="I3205" s="4" t="s">
        <v>13474</v>
      </c>
      <c r="J3205" s="1" t="s">
        <v>13475</v>
      </c>
      <c r="K3205" s="1" t="s">
        <v>16</v>
      </c>
    </row>
    <row r="3206">
      <c r="A3206" s="1" t="s">
        <v>13476</v>
      </c>
      <c r="B3206" s="1" t="s">
        <v>13477</v>
      </c>
      <c r="C3206" s="1">
        <v>2018.0</v>
      </c>
      <c r="D3206" s="2">
        <v>43220.0</v>
      </c>
      <c r="F3206" s="1" t="s">
        <v>8771</v>
      </c>
      <c r="H3206" s="3">
        <v>24.0</v>
      </c>
      <c r="I3206" s="4" t="s">
        <v>13478</v>
      </c>
      <c r="J3206" s="1" t="s">
        <v>13479</v>
      </c>
      <c r="K3206" s="1" t="s">
        <v>413</v>
      </c>
    </row>
    <row r="3207">
      <c r="A3207" s="1" t="s">
        <v>13480</v>
      </c>
      <c r="B3207" s="1" t="s">
        <v>13481</v>
      </c>
      <c r="C3207" s="1">
        <v>2018.0</v>
      </c>
      <c r="D3207" s="2">
        <v>43220.0</v>
      </c>
      <c r="F3207" s="1" t="s">
        <v>6540</v>
      </c>
      <c r="H3207" s="3">
        <v>41.0</v>
      </c>
      <c r="I3207" s="4" t="s">
        <v>13482</v>
      </c>
      <c r="J3207" s="1" t="s">
        <v>13483</v>
      </c>
      <c r="K3207" s="1" t="s">
        <v>295</v>
      </c>
    </row>
    <row r="3208">
      <c r="A3208" s="1" t="s">
        <v>13484</v>
      </c>
      <c r="B3208" s="1" t="s">
        <v>10822</v>
      </c>
      <c r="C3208" s="1">
        <v>2018.0</v>
      </c>
      <c r="D3208" s="2">
        <v>43217.0</v>
      </c>
      <c r="F3208" s="1" t="s">
        <v>4664</v>
      </c>
      <c r="H3208" s="3">
        <v>55.0</v>
      </c>
      <c r="I3208" s="4" t="s">
        <v>13485</v>
      </c>
      <c r="J3208" s="1" t="s">
        <v>13486</v>
      </c>
      <c r="K3208" s="1" t="s">
        <v>1036</v>
      </c>
    </row>
    <row r="3209">
      <c r="A3209" s="1" t="s">
        <v>13487</v>
      </c>
      <c r="B3209" s="1" t="s">
        <v>13488</v>
      </c>
      <c r="C3209" s="1">
        <v>2018.0</v>
      </c>
      <c r="D3209" s="2">
        <v>43216.0</v>
      </c>
      <c r="F3209" s="1" t="s">
        <v>7271</v>
      </c>
      <c r="H3209" s="3">
        <v>19.0</v>
      </c>
      <c r="I3209" s="4" t="s">
        <v>13489</v>
      </c>
      <c r="J3209" s="1" t="s">
        <v>13490</v>
      </c>
      <c r="K3209" s="1" t="s">
        <v>1036</v>
      </c>
    </row>
    <row r="3210">
      <c r="A3210" s="1" t="s">
        <v>13491</v>
      </c>
      <c r="B3210" s="1" t="s">
        <v>13492</v>
      </c>
      <c r="C3210" s="1">
        <v>2018.0</v>
      </c>
      <c r="D3210" s="2">
        <v>43215.0</v>
      </c>
      <c r="F3210" s="1" t="s">
        <v>1277</v>
      </c>
      <c r="H3210" s="3">
        <v>57.0</v>
      </c>
      <c r="I3210" s="4" t="s">
        <v>13493</v>
      </c>
      <c r="J3210" s="1" t="s">
        <v>13494</v>
      </c>
      <c r="K3210" s="1" t="s">
        <v>28</v>
      </c>
    </row>
    <row r="3211">
      <c r="A3211" s="1" t="s">
        <v>13495</v>
      </c>
      <c r="B3211" s="1" t="s">
        <v>13496</v>
      </c>
      <c r="C3211" s="1">
        <v>2018.0</v>
      </c>
      <c r="D3211" s="2">
        <v>43215.0</v>
      </c>
      <c r="F3211" s="1" t="s">
        <v>13497</v>
      </c>
      <c r="H3211" s="3">
        <v>18.0</v>
      </c>
      <c r="I3211" s="4" t="s">
        <v>13498</v>
      </c>
      <c r="J3211" s="1" t="s">
        <v>13499</v>
      </c>
      <c r="K3211" s="1" t="s">
        <v>16</v>
      </c>
    </row>
    <row r="3212">
      <c r="A3212" s="1" t="s">
        <v>13500</v>
      </c>
      <c r="B3212" s="1" t="s">
        <v>13501</v>
      </c>
      <c r="C3212" s="1">
        <v>2018.0</v>
      </c>
      <c r="D3212" s="2">
        <v>43215.0</v>
      </c>
      <c r="F3212" s="1" t="s">
        <v>5788</v>
      </c>
      <c r="H3212" s="3">
        <v>11.0</v>
      </c>
      <c r="I3212" s="4" t="s">
        <v>13502</v>
      </c>
      <c r="J3212" s="1" t="s">
        <v>13503</v>
      </c>
      <c r="K3212" s="1" t="s">
        <v>329</v>
      </c>
    </row>
    <row r="3213">
      <c r="A3213" s="1" t="s">
        <v>13504</v>
      </c>
      <c r="B3213" s="1" t="s">
        <v>13505</v>
      </c>
      <c r="C3213" s="1">
        <v>2018.0</v>
      </c>
      <c r="D3213" s="2">
        <v>43214.0</v>
      </c>
      <c r="F3213" s="1" t="s">
        <v>276</v>
      </c>
      <c r="H3213" s="3">
        <v>2.0</v>
      </c>
      <c r="I3213" s="4" t="s">
        <v>13506</v>
      </c>
      <c r="J3213" s="1" t="s">
        <v>13507</v>
      </c>
      <c r="K3213" s="1" t="s">
        <v>45</v>
      </c>
    </row>
    <row r="3214">
      <c r="A3214" s="1" t="s">
        <v>13508</v>
      </c>
      <c r="B3214" s="1" t="s">
        <v>13509</v>
      </c>
      <c r="C3214" s="1">
        <v>2018.0</v>
      </c>
      <c r="D3214" s="2">
        <v>43214.0</v>
      </c>
      <c r="F3214" s="1" t="s">
        <v>71</v>
      </c>
      <c r="H3214" s="3">
        <v>11.0</v>
      </c>
      <c r="I3214" s="4" t="s">
        <v>13510</v>
      </c>
      <c r="J3214" s="1" t="s">
        <v>13511</v>
      </c>
      <c r="K3214" s="1" t="s">
        <v>45</v>
      </c>
    </row>
    <row r="3215">
      <c r="A3215" s="1" t="s">
        <v>13512</v>
      </c>
      <c r="B3215" s="1" t="s">
        <v>13513</v>
      </c>
      <c r="C3215" s="1">
        <v>2018.0</v>
      </c>
      <c r="D3215" s="2">
        <v>43214.0</v>
      </c>
      <c r="F3215" s="1" t="s">
        <v>835</v>
      </c>
      <c r="H3215" s="3">
        <v>25.0</v>
      </c>
      <c r="I3215" s="4" t="s">
        <v>13514</v>
      </c>
      <c r="J3215" s="1" t="s">
        <v>13515</v>
      </c>
      <c r="K3215" s="1" t="s">
        <v>16</v>
      </c>
    </row>
    <row r="3216">
      <c r="A3216" s="1" t="s">
        <v>13516</v>
      </c>
      <c r="B3216" s="1" t="s">
        <v>13517</v>
      </c>
      <c r="C3216" s="1">
        <v>2018.0</v>
      </c>
      <c r="D3216" s="2">
        <v>43213.0</v>
      </c>
      <c r="F3216" s="1" t="s">
        <v>4073</v>
      </c>
      <c r="H3216" s="3">
        <v>30.0</v>
      </c>
      <c r="I3216" s="4" t="s">
        <v>13518</v>
      </c>
      <c r="J3216" s="1" t="s">
        <v>13519</v>
      </c>
      <c r="K3216" s="1" t="s">
        <v>418</v>
      </c>
    </row>
    <row r="3217">
      <c r="A3217" s="1" t="s">
        <v>13520</v>
      </c>
      <c r="B3217" s="1" t="s">
        <v>13521</v>
      </c>
      <c r="C3217" s="1">
        <v>2018.0</v>
      </c>
      <c r="D3217" s="2">
        <v>43211.0</v>
      </c>
      <c r="F3217" s="1" t="s">
        <v>500</v>
      </c>
      <c r="H3217" s="3">
        <v>6.0</v>
      </c>
      <c r="I3217" s="4" t="s">
        <v>13522</v>
      </c>
      <c r="J3217" s="1" t="s">
        <v>13523</v>
      </c>
      <c r="K3217" s="1" t="s">
        <v>329</v>
      </c>
    </row>
    <row r="3218">
      <c r="A3218" s="1" t="s">
        <v>13524</v>
      </c>
      <c r="B3218" s="1" t="s">
        <v>13525</v>
      </c>
      <c r="C3218" s="1">
        <v>2018.0</v>
      </c>
      <c r="D3218" s="2">
        <v>43211.0</v>
      </c>
      <c r="F3218" s="1" t="s">
        <v>1366</v>
      </c>
      <c r="H3218" s="3">
        <v>156.0</v>
      </c>
      <c r="I3218" s="4" t="s">
        <v>13526</v>
      </c>
      <c r="J3218" s="1" t="s">
        <v>13527</v>
      </c>
      <c r="K3218" s="1" t="s">
        <v>16</v>
      </c>
    </row>
    <row r="3219">
      <c r="A3219" s="1" t="s">
        <v>13528</v>
      </c>
      <c r="B3219" s="1" t="s">
        <v>13529</v>
      </c>
      <c r="C3219" s="1">
        <v>2018.0</v>
      </c>
      <c r="D3219" s="2">
        <v>43210.0</v>
      </c>
      <c r="F3219" s="1" t="s">
        <v>157</v>
      </c>
      <c r="H3219" s="3">
        <v>29.0</v>
      </c>
      <c r="I3219" s="4" t="s">
        <v>13530</v>
      </c>
      <c r="J3219" s="1" t="s">
        <v>13531</v>
      </c>
      <c r="K3219" s="1" t="s">
        <v>546</v>
      </c>
    </row>
    <row r="3220">
      <c r="A3220" s="1" t="s">
        <v>13532</v>
      </c>
      <c r="B3220" s="1" t="s">
        <v>13533</v>
      </c>
      <c r="C3220" s="1">
        <v>2018.0</v>
      </c>
      <c r="D3220" s="2">
        <v>43210.0</v>
      </c>
      <c r="F3220" s="1" t="s">
        <v>271</v>
      </c>
      <c r="H3220" s="3">
        <v>24.0</v>
      </c>
      <c r="I3220" s="4" t="s">
        <v>13534</v>
      </c>
      <c r="J3220" s="1" t="s">
        <v>13535</v>
      </c>
      <c r="K3220" s="1" t="s">
        <v>68</v>
      </c>
    </row>
    <row r="3221">
      <c r="A3221" s="1" t="s">
        <v>13536</v>
      </c>
      <c r="B3221" s="1" t="s">
        <v>13537</v>
      </c>
      <c r="C3221" s="1">
        <v>2018.0</v>
      </c>
      <c r="D3221" s="2">
        <v>43209.0</v>
      </c>
      <c r="F3221" s="1" t="s">
        <v>13538</v>
      </c>
      <c r="H3221" s="3">
        <v>21.0</v>
      </c>
      <c r="I3221" s="4" t="s">
        <v>13539</v>
      </c>
      <c r="J3221" s="1" t="s">
        <v>13540</v>
      </c>
      <c r="K3221" s="1" t="s">
        <v>418</v>
      </c>
    </row>
    <row r="3222">
      <c r="A3222" s="1" t="s">
        <v>13541</v>
      </c>
      <c r="B3222" s="1" t="s">
        <v>13542</v>
      </c>
      <c r="C3222" s="1">
        <v>2018.0</v>
      </c>
      <c r="D3222" s="2">
        <v>43208.0</v>
      </c>
      <c r="F3222" s="1" t="s">
        <v>1982</v>
      </c>
      <c r="H3222" s="3">
        <v>15.0</v>
      </c>
      <c r="I3222" s="4" t="s">
        <v>13543</v>
      </c>
      <c r="J3222" s="1" t="s">
        <v>13544</v>
      </c>
      <c r="K3222" s="1" t="s">
        <v>323</v>
      </c>
    </row>
    <row r="3223">
      <c r="A3223" s="1" t="s">
        <v>13545</v>
      </c>
      <c r="B3223" s="1" t="s">
        <v>13546</v>
      </c>
      <c r="C3223" s="1">
        <v>2018.0</v>
      </c>
      <c r="D3223" s="2">
        <v>43207.0</v>
      </c>
      <c r="F3223" s="1" t="s">
        <v>11956</v>
      </c>
      <c r="H3223" s="3">
        <v>18.0</v>
      </c>
      <c r="I3223" s="4" t="s">
        <v>13547</v>
      </c>
      <c r="J3223" s="1" t="s">
        <v>13548</v>
      </c>
      <c r="K3223" s="1" t="s">
        <v>16</v>
      </c>
    </row>
    <row r="3224">
      <c r="A3224" s="1" t="s">
        <v>13549</v>
      </c>
      <c r="B3224" s="1" t="s">
        <v>13550</v>
      </c>
      <c r="C3224" s="1">
        <v>2018.0</v>
      </c>
      <c r="D3224" s="2">
        <v>43206.0</v>
      </c>
      <c r="F3224" s="1" t="s">
        <v>11466</v>
      </c>
      <c r="H3224" s="3">
        <v>55.0</v>
      </c>
      <c r="I3224" s="4" t="s">
        <v>13551</v>
      </c>
      <c r="J3224" s="1" t="s">
        <v>13552</v>
      </c>
      <c r="K3224" s="1" t="s">
        <v>1036</v>
      </c>
    </row>
    <row r="3225">
      <c r="A3225" s="1" t="s">
        <v>13553</v>
      </c>
      <c r="B3225" s="1" t="s">
        <v>13554</v>
      </c>
      <c r="C3225" s="1">
        <v>2018.0</v>
      </c>
      <c r="D3225" s="2">
        <v>43206.0</v>
      </c>
      <c r="F3225" s="1" t="s">
        <v>10418</v>
      </c>
      <c r="H3225" s="3">
        <v>5.0</v>
      </c>
      <c r="I3225" s="4" t="s">
        <v>13555</v>
      </c>
      <c r="J3225" s="1" t="s">
        <v>13556</v>
      </c>
      <c r="K3225" s="1" t="s">
        <v>295</v>
      </c>
    </row>
    <row r="3226">
      <c r="A3226" s="1" t="s">
        <v>13557</v>
      </c>
      <c r="B3226" s="1" t="s">
        <v>13558</v>
      </c>
      <c r="C3226" s="1">
        <v>2018.0</v>
      </c>
      <c r="D3226" s="2">
        <v>43204.0</v>
      </c>
      <c r="F3226" s="1" t="s">
        <v>882</v>
      </c>
      <c r="H3226" s="3">
        <v>808.0</v>
      </c>
      <c r="I3226" s="4" t="s">
        <v>13559</v>
      </c>
      <c r="J3226" s="1" t="s">
        <v>13560</v>
      </c>
      <c r="K3226" s="1" t="s">
        <v>383</v>
      </c>
    </row>
    <row r="3227">
      <c r="A3227" s="1" t="s">
        <v>13561</v>
      </c>
      <c r="B3227" s="1" t="s">
        <v>13562</v>
      </c>
      <c r="C3227" s="1">
        <v>2018.0</v>
      </c>
      <c r="D3227" s="2">
        <v>43202.0</v>
      </c>
      <c r="F3227" s="1" t="s">
        <v>71</v>
      </c>
      <c r="H3227" s="3">
        <v>46.0</v>
      </c>
      <c r="I3227" s="4" t="s">
        <v>13563</v>
      </c>
      <c r="J3227" s="1" t="s">
        <v>13564</v>
      </c>
      <c r="K3227" s="1" t="s">
        <v>28</v>
      </c>
    </row>
    <row r="3228">
      <c r="A3228" s="1" t="s">
        <v>13565</v>
      </c>
      <c r="B3228" s="1" t="s">
        <v>13566</v>
      </c>
      <c r="C3228" s="1">
        <v>2018.0</v>
      </c>
      <c r="D3228" s="2">
        <v>43202.0</v>
      </c>
      <c r="F3228" s="1" t="s">
        <v>6540</v>
      </c>
      <c r="H3228" s="3">
        <v>47.0</v>
      </c>
      <c r="I3228" s="4" t="s">
        <v>13567</v>
      </c>
      <c r="J3228" s="1" t="s">
        <v>13568</v>
      </c>
      <c r="K3228" s="1" t="s">
        <v>1036</v>
      </c>
    </row>
    <row r="3229">
      <c r="A3229" s="1" t="s">
        <v>13569</v>
      </c>
      <c r="B3229" s="1" t="s">
        <v>13570</v>
      </c>
      <c r="C3229" s="1">
        <v>2018.0</v>
      </c>
      <c r="D3229" s="2">
        <v>43202.0</v>
      </c>
      <c r="F3229" s="1" t="s">
        <v>13571</v>
      </c>
      <c r="H3229" s="3">
        <v>22.0</v>
      </c>
      <c r="I3229" s="4" t="s">
        <v>13572</v>
      </c>
      <c r="J3229" s="1" t="s">
        <v>13573</v>
      </c>
      <c r="K3229" s="1" t="s">
        <v>413</v>
      </c>
    </row>
    <row r="3230">
      <c r="A3230" s="1" t="s">
        <v>13574</v>
      </c>
      <c r="B3230" s="1" t="s">
        <v>13575</v>
      </c>
      <c r="C3230" s="1">
        <v>2018.0</v>
      </c>
      <c r="D3230" s="2">
        <v>43201.0</v>
      </c>
      <c r="F3230" s="1" t="s">
        <v>12240</v>
      </c>
      <c r="H3230" s="3">
        <v>54.0</v>
      </c>
      <c r="I3230" s="4" t="s">
        <v>13576</v>
      </c>
      <c r="J3230" s="1" t="s">
        <v>13577</v>
      </c>
      <c r="K3230" s="1" t="s">
        <v>546</v>
      </c>
    </row>
    <row r="3231">
      <c r="A3231" s="1" t="s">
        <v>13578</v>
      </c>
      <c r="B3231" s="1" t="s">
        <v>13579</v>
      </c>
      <c r="C3231" s="1">
        <v>2018.0</v>
      </c>
      <c r="D3231" s="2">
        <v>43200.0</v>
      </c>
      <c r="F3231" s="1" t="s">
        <v>3560</v>
      </c>
      <c r="H3231" s="3">
        <v>6.0</v>
      </c>
      <c r="I3231" s="4" t="s">
        <v>13580</v>
      </c>
      <c r="J3231" s="1" t="s">
        <v>13581</v>
      </c>
      <c r="K3231" s="1" t="s">
        <v>418</v>
      </c>
    </row>
    <row r="3232">
      <c r="A3232" s="1" t="s">
        <v>13582</v>
      </c>
      <c r="B3232" s="1" t="s">
        <v>13583</v>
      </c>
      <c r="C3232" s="1">
        <v>2018.0</v>
      </c>
      <c r="D3232" s="2">
        <v>43200.0</v>
      </c>
      <c r="F3232" s="1" t="s">
        <v>248</v>
      </c>
      <c r="H3232" s="3">
        <v>10.0</v>
      </c>
      <c r="I3232" s="4" t="s">
        <v>13584</v>
      </c>
      <c r="J3232" s="1" t="s">
        <v>13585</v>
      </c>
      <c r="K3232" s="1" t="s">
        <v>28</v>
      </c>
    </row>
    <row r="3233">
      <c r="A3233" s="1" t="s">
        <v>13586</v>
      </c>
      <c r="B3233" s="1" t="s">
        <v>13587</v>
      </c>
      <c r="C3233" s="1">
        <v>2018.0</v>
      </c>
      <c r="D3233" s="2">
        <v>43200.0</v>
      </c>
      <c r="F3233" s="1" t="s">
        <v>1592</v>
      </c>
      <c r="H3233" s="3">
        <v>20.0</v>
      </c>
      <c r="I3233" s="4" t="s">
        <v>13588</v>
      </c>
      <c r="J3233" s="1" t="s">
        <v>13589</v>
      </c>
      <c r="K3233" s="1" t="s">
        <v>295</v>
      </c>
    </row>
    <row r="3234">
      <c r="A3234" s="1" t="s">
        <v>13590</v>
      </c>
      <c r="B3234" s="1" t="s">
        <v>13591</v>
      </c>
      <c r="C3234" s="1">
        <v>2018.0</v>
      </c>
      <c r="D3234" s="2">
        <v>43199.0</v>
      </c>
      <c r="F3234" s="1" t="s">
        <v>13592</v>
      </c>
      <c r="H3234" s="3">
        <v>2.0</v>
      </c>
      <c r="I3234" s="4" t="s">
        <v>13593</v>
      </c>
      <c r="J3234" s="1" t="s">
        <v>13594</v>
      </c>
      <c r="K3234" s="1" t="s">
        <v>295</v>
      </c>
    </row>
    <row r="3235">
      <c r="A3235" s="1" t="s">
        <v>13595</v>
      </c>
      <c r="B3235" s="1" t="s">
        <v>13596</v>
      </c>
      <c r="C3235" s="1">
        <v>2018.0</v>
      </c>
      <c r="D3235" s="2">
        <v>43197.0</v>
      </c>
      <c r="F3235" s="1" t="s">
        <v>1366</v>
      </c>
      <c r="H3235" s="3">
        <v>155.0</v>
      </c>
      <c r="I3235" s="4" t="s">
        <v>13597</v>
      </c>
      <c r="J3235" s="1"/>
      <c r="K3235" s="1" t="s">
        <v>16</v>
      </c>
    </row>
    <row r="3236">
      <c r="A3236" s="1" t="s">
        <v>13598</v>
      </c>
      <c r="B3236" s="1" t="s">
        <v>13599</v>
      </c>
      <c r="C3236" s="1">
        <v>2018.0</v>
      </c>
      <c r="D3236" s="2">
        <v>43195.0</v>
      </c>
      <c r="F3236" s="1" t="s">
        <v>489</v>
      </c>
      <c r="H3236" s="3">
        <v>13.0</v>
      </c>
      <c r="I3236" s="4" t="s">
        <v>13600</v>
      </c>
      <c r="J3236" s="1" t="s">
        <v>13601</v>
      </c>
      <c r="K3236" s="1" t="s">
        <v>477</v>
      </c>
    </row>
    <row r="3237">
      <c r="A3237" s="1" t="s">
        <v>13602</v>
      </c>
      <c r="B3237" s="1" t="s">
        <v>13603</v>
      </c>
      <c r="C3237" s="1">
        <v>2018.0</v>
      </c>
      <c r="D3237" s="2">
        <v>43193.0</v>
      </c>
      <c r="F3237" s="1" t="s">
        <v>13604</v>
      </c>
      <c r="H3237" s="3">
        <v>28.0</v>
      </c>
      <c r="I3237" s="4" t="s">
        <v>13605</v>
      </c>
      <c r="J3237" s="1" t="s">
        <v>13606</v>
      </c>
      <c r="K3237" s="1" t="s">
        <v>383</v>
      </c>
    </row>
    <row r="3238">
      <c r="A3238" s="1" t="s">
        <v>13607</v>
      </c>
      <c r="B3238" s="1" t="s">
        <v>13608</v>
      </c>
      <c r="C3238" s="1">
        <v>2018.0</v>
      </c>
      <c r="D3238" s="2">
        <v>43191.0</v>
      </c>
      <c r="F3238" s="1" t="s">
        <v>13609</v>
      </c>
      <c r="H3238" s="3">
        <v>21.0</v>
      </c>
      <c r="I3238" s="4" t="s">
        <v>13610</v>
      </c>
      <c r="J3238" s="1" t="s">
        <v>13611</v>
      </c>
      <c r="K3238" s="1" t="s">
        <v>1036</v>
      </c>
    </row>
    <row r="3239">
      <c r="A3239" s="1" t="s">
        <v>13612</v>
      </c>
      <c r="B3239" s="1" t="s">
        <v>13613</v>
      </c>
      <c r="C3239" s="1">
        <v>2018.0</v>
      </c>
      <c r="D3239" s="2">
        <v>43191.0</v>
      </c>
      <c r="F3239" s="1" t="s">
        <v>1995</v>
      </c>
      <c r="H3239" s="3">
        <v>16.0</v>
      </c>
      <c r="I3239" s="4" t="s">
        <v>13614</v>
      </c>
      <c r="J3239" s="1" t="s">
        <v>13615</v>
      </c>
      <c r="K3239" s="1" t="s">
        <v>28</v>
      </c>
    </row>
    <row r="3240">
      <c r="A3240" s="1" t="s">
        <v>13616</v>
      </c>
      <c r="B3240" s="1" t="s">
        <v>13617</v>
      </c>
      <c r="C3240" s="1">
        <v>2018.0</v>
      </c>
      <c r="D3240" s="2">
        <v>43191.0</v>
      </c>
      <c r="F3240" s="1" t="s">
        <v>13618</v>
      </c>
      <c r="H3240" s="3">
        <v>70.0</v>
      </c>
      <c r="I3240" s="4" t="s">
        <v>13619</v>
      </c>
      <c r="J3240" s="1" t="s">
        <v>13620</v>
      </c>
      <c r="K3240" s="1" t="s">
        <v>28</v>
      </c>
    </row>
    <row r="3241">
      <c r="A3241" s="1" t="s">
        <v>13621</v>
      </c>
      <c r="B3241" s="1" t="s">
        <v>8091</v>
      </c>
      <c r="C3241" s="1">
        <v>2018.0</v>
      </c>
      <c r="D3241" s="2">
        <v>43191.0</v>
      </c>
      <c r="F3241" s="1" t="s">
        <v>13622</v>
      </c>
      <c r="H3241" s="3">
        <v>6.0</v>
      </c>
      <c r="I3241" s="4" t="s">
        <v>13623</v>
      </c>
      <c r="J3241" s="1" t="s">
        <v>13624</v>
      </c>
      <c r="K3241" s="1" t="s">
        <v>28</v>
      </c>
    </row>
    <row r="3242">
      <c r="A3242" s="1" t="s">
        <v>13625</v>
      </c>
      <c r="B3242" s="1" t="s">
        <v>13626</v>
      </c>
      <c r="C3242" s="1">
        <v>2018.0</v>
      </c>
      <c r="D3242" s="2">
        <v>43191.0</v>
      </c>
      <c r="F3242" s="1" t="s">
        <v>3340</v>
      </c>
      <c r="H3242" s="3">
        <v>24.0</v>
      </c>
      <c r="I3242" s="4" t="s">
        <v>13627</v>
      </c>
      <c r="J3242" s="1"/>
      <c r="K3242" s="1" t="s">
        <v>413</v>
      </c>
    </row>
    <row r="3243">
      <c r="A3243" s="1" t="s">
        <v>13628</v>
      </c>
      <c r="B3243" s="1" t="s">
        <v>13629</v>
      </c>
      <c r="C3243" s="1">
        <v>2018.0</v>
      </c>
      <c r="D3243" s="2">
        <v>43189.0</v>
      </c>
      <c r="F3243" s="1" t="s">
        <v>9158</v>
      </c>
      <c r="H3243" s="3">
        <v>43.0</v>
      </c>
      <c r="I3243" s="4" t="s">
        <v>13630</v>
      </c>
      <c r="J3243" s="1" t="s">
        <v>13631</v>
      </c>
      <c r="K3243" s="1" t="s">
        <v>323</v>
      </c>
    </row>
    <row r="3244">
      <c r="A3244" s="1" t="s">
        <v>13632</v>
      </c>
      <c r="B3244" s="1" t="s">
        <v>13633</v>
      </c>
      <c r="C3244" s="1">
        <v>2018.0</v>
      </c>
      <c r="D3244" s="2">
        <v>43189.0</v>
      </c>
      <c r="F3244" s="1" t="s">
        <v>2707</v>
      </c>
      <c r="H3244" s="3">
        <v>20.0</v>
      </c>
      <c r="I3244" s="4" t="s">
        <v>13634</v>
      </c>
      <c r="J3244" s="1" t="s">
        <v>13635</v>
      </c>
      <c r="K3244" s="1" t="s">
        <v>527</v>
      </c>
    </row>
    <row r="3245">
      <c r="A3245" s="1" t="s">
        <v>13636</v>
      </c>
      <c r="B3245" s="1" t="s">
        <v>13637</v>
      </c>
      <c r="C3245" s="1">
        <v>2018.0</v>
      </c>
      <c r="D3245" s="2">
        <v>43187.0</v>
      </c>
      <c r="F3245" s="1" t="s">
        <v>332</v>
      </c>
      <c r="H3245" s="3">
        <v>13.0</v>
      </c>
      <c r="I3245" s="4" t="s">
        <v>13638</v>
      </c>
      <c r="J3245" s="1" t="s">
        <v>13639</v>
      </c>
      <c r="K3245" s="1" t="s">
        <v>295</v>
      </c>
    </row>
    <row r="3246">
      <c r="A3246" s="1" t="s">
        <v>13640</v>
      </c>
      <c r="B3246" s="1" t="s">
        <v>13641</v>
      </c>
      <c r="C3246" s="1">
        <v>2018.0</v>
      </c>
      <c r="D3246" s="2">
        <v>43186.0</v>
      </c>
      <c r="F3246" s="1" t="s">
        <v>5815</v>
      </c>
      <c r="H3246" s="3">
        <v>2.0</v>
      </c>
      <c r="I3246" s="4" t="s">
        <v>13642</v>
      </c>
      <c r="J3246" s="1"/>
      <c r="K3246" s="1" t="s">
        <v>28</v>
      </c>
    </row>
    <row r="3247">
      <c r="A3247" s="1" t="s">
        <v>13643</v>
      </c>
      <c r="B3247" s="1" t="s">
        <v>13644</v>
      </c>
      <c r="C3247" s="1">
        <v>2018.0</v>
      </c>
      <c r="D3247" s="2">
        <v>43186.0</v>
      </c>
      <c r="F3247" s="1" t="s">
        <v>2996</v>
      </c>
      <c r="H3247" s="3">
        <v>5.0</v>
      </c>
      <c r="I3247" s="4" t="s">
        <v>13645</v>
      </c>
      <c r="J3247" s="1" t="s">
        <v>13646</v>
      </c>
      <c r="K3247" s="1" t="s">
        <v>16</v>
      </c>
    </row>
    <row r="3248">
      <c r="A3248" s="1" t="s">
        <v>13647</v>
      </c>
      <c r="B3248" s="1" t="s">
        <v>13648</v>
      </c>
      <c r="C3248" s="1">
        <v>2018.0</v>
      </c>
      <c r="D3248" s="2">
        <v>43185.0</v>
      </c>
      <c r="F3248" s="1" t="s">
        <v>178</v>
      </c>
      <c r="H3248" s="3">
        <v>330.0</v>
      </c>
      <c r="I3248" s="4" t="s">
        <v>13649</v>
      </c>
      <c r="J3248" s="1" t="s">
        <v>13650</v>
      </c>
      <c r="K3248" s="1" t="s">
        <v>329</v>
      </c>
    </row>
    <row r="3249">
      <c r="A3249" s="1" t="s">
        <v>13651</v>
      </c>
      <c r="B3249" s="1" t="s">
        <v>13652</v>
      </c>
      <c r="C3249" s="1">
        <v>2018.0</v>
      </c>
      <c r="D3249" s="2">
        <v>43184.0</v>
      </c>
      <c r="F3249" s="1" t="s">
        <v>271</v>
      </c>
      <c r="H3249" s="3">
        <v>16.0</v>
      </c>
      <c r="I3249" s="4" t="s">
        <v>13653</v>
      </c>
      <c r="J3249" s="1" t="s">
        <v>13654</v>
      </c>
      <c r="K3249" s="1" t="s">
        <v>295</v>
      </c>
    </row>
    <row r="3250">
      <c r="A3250" s="1" t="s">
        <v>13655</v>
      </c>
      <c r="B3250" s="1" t="s">
        <v>13656</v>
      </c>
      <c r="C3250" s="1">
        <v>2018.0</v>
      </c>
      <c r="D3250" s="2">
        <v>43183.0</v>
      </c>
      <c r="F3250" s="1" t="s">
        <v>698</v>
      </c>
      <c r="H3250" s="3">
        <v>17.0</v>
      </c>
      <c r="I3250" s="4" t="s">
        <v>13657</v>
      </c>
      <c r="J3250" s="1" t="s">
        <v>13658</v>
      </c>
      <c r="K3250" s="1" t="s">
        <v>28</v>
      </c>
    </row>
    <row r="3251">
      <c r="A3251" s="1" t="s">
        <v>13659</v>
      </c>
      <c r="B3251" s="1" t="s">
        <v>13660</v>
      </c>
      <c r="C3251" s="1">
        <v>2018.0</v>
      </c>
      <c r="D3251" s="2">
        <v>43183.0</v>
      </c>
      <c r="F3251" s="1" t="s">
        <v>5167</v>
      </c>
      <c r="H3251" s="3">
        <v>13.0</v>
      </c>
      <c r="I3251" s="4" t="s">
        <v>13661</v>
      </c>
      <c r="J3251" s="1" t="s">
        <v>13662</v>
      </c>
      <c r="K3251" s="1" t="s">
        <v>1036</v>
      </c>
    </row>
    <row r="3252">
      <c r="A3252" s="1" t="s">
        <v>13663</v>
      </c>
      <c r="B3252" s="1" t="s">
        <v>13664</v>
      </c>
      <c r="C3252" s="1">
        <v>2018.0</v>
      </c>
      <c r="D3252" s="2">
        <v>43182.0</v>
      </c>
      <c r="F3252" s="1" t="s">
        <v>1358</v>
      </c>
      <c r="H3252" s="3">
        <v>13.0</v>
      </c>
      <c r="I3252" s="4" t="s">
        <v>13665</v>
      </c>
      <c r="J3252" s="1" t="s">
        <v>13666</v>
      </c>
      <c r="K3252" s="1" t="s">
        <v>295</v>
      </c>
    </row>
    <row r="3253">
      <c r="A3253" s="1" t="s">
        <v>13667</v>
      </c>
      <c r="B3253" s="1" t="s">
        <v>13668</v>
      </c>
      <c r="C3253" s="1">
        <v>2018.0</v>
      </c>
      <c r="D3253" s="2">
        <v>43182.0</v>
      </c>
      <c r="F3253" s="1" t="s">
        <v>1982</v>
      </c>
      <c r="H3253" s="3">
        <v>18.0</v>
      </c>
      <c r="I3253" s="4" t="s">
        <v>13669</v>
      </c>
      <c r="J3253" s="1" t="s">
        <v>13670</v>
      </c>
      <c r="K3253" s="1" t="s">
        <v>413</v>
      </c>
    </row>
    <row r="3254">
      <c r="A3254" s="1" t="s">
        <v>13671</v>
      </c>
      <c r="B3254" s="1" t="s">
        <v>13672</v>
      </c>
      <c r="C3254" s="1">
        <v>2018.0</v>
      </c>
      <c r="D3254" s="2">
        <v>43181.0</v>
      </c>
      <c r="F3254" s="1" t="s">
        <v>12240</v>
      </c>
      <c r="H3254" s="3">
        <v>44.0</v>
      </c>
      <c r="I3254" s="4" t="s">
        <v>13673</v>
      </c>
      <c r="J3254" s="1" t="s">
        <v>13674</v>
      </c>
      <c r="K3254" s="1" t="s">
        <v>546</v>
      </c>
    </row>
    <row r="3255">
      <c r="A3255" s="1" t="s">
        <v>13675</v>
      </c>
      <c r="B3255" s="1" t="s">
        <v>13676</v>
      </c>
      <c r="C3255" s="1">
        <v>2018.0</v>
      </c>
      <c r="D3255" s="2">
        <v>43180.0</v>
      </c>
      <c r="F3255" s="1" t="s">
        <v>71</v>
      </c>
      <c r="H3255" s="3">
        <v>16.0</v>
      </c>
      <c r="I3255" s="4" t="s">
        <v>13677</v>
      </c>
      <c r="J3255" s="1" t="s">
        <v>13678</v>
      </c>
      <c r="K3255" s="1" t="s">
        <v>418</v>
      </c>
    </row>
    <row r="3256">
      <c r="A3256" s="1" t="s">
        <v>13679</v>
      </c>
      <c r="B3256" s="1" t="s">
        <v>13680</v>
      </c>
      <c r="C3256" s="1">
        <v>2018.0</v>
      </c>
      <c r="D3256" s="2">
        <v>43179.0</v>
      </c>
      <c r="F3256" s="1" t="s">
        <v>3207</v>
      </c>
      <c r="H3256" s="3">
        <v>34.0</v>
      </c>
      <c r="I3256" s="4" t="s">
        <v>13681</v>
      </c>
      <c r="J3256" s="1" t="s">
        <v>13682</v>
      </c>
      <c r="K3256" s="1" t="s">
        <v>16</v>
      </c>
    </row>
    <row r="3257">
      <c r="A3257" s="1" t="s">
        <v>13683</v>
      </c>
      <c r="B3257" s="1" t="s">
        <v>13684</v>
      </c>
      <c r="C3257" s="1">
        <v>2018.0</v>
      </c>
      <c r="D3257" s="2">
        <v>43176.0</v>
      </c>
      <c r="F3257" s="1" t="s">
        <v>410</v>
      </c>
      <c r="H3257" s="3">
        <v>17.0</v>
      </c>
      <c r="I3257" s="4" t="s">
        <v>13685</v>
      </c>
      <c r="J3257" s="1" t="s">
        <v>13686</v>
      </c>
      <c r="K3257" s="1" t="s">
        <v>45</v>
      </c>
    </row>
    <row r="3258">
      <c r="A3258" s="1" t="s">
        <v>13687</v>
      </c>
      <c r="B3258" s="1" t="s">
        <v>13688</v>
      </c>
      <c r="C3258" s="1">
        <v>2018.0</v>
      </c>
      <c r="D3258" s="2">
        <v>43175.0</v>
      </c>
      <c r="F3258" s="1" t="s">
        <v>489</v>
      </c>
      <c r="H3258" s="3">
        <v>8.0</v>
      </c>
      <c r="I3258" s="4" t="s">
        <v>13689</v>
      </c>
      <c r="J3258" s="1" t="s">
        <v>13690</v>
      </c>
      <c r="K3258" s="1" t="s">
        <v>1036</v>
      </c>
    </row>
    <row r="3259">
      <c r="A3259" s="1" t="s">
        <v>13691</v>
      </c>
      <c r="B3259" s="1" t="s">
        <v>13692</v>
      </c>
      <c r="C3259" s="1">
        <v>2018.0</v>
      </c>
      <c r="D3259" s="2">
        <v>43174.0</v>
      </c>
      <c r="F3259" s="1" t="s">
        <v>882</v>
      </c>
      <c r="H3259" s="3">
        <v>0.0</v>
      </c>
      <c r="I3259" s="4" t="s">
        <v>13693</v>
      </c>
      <c r="J3259" s="1"/>
      <c r="K3259" s="1" t="s">
        <v>926</v>
      </c>
    </row>
    <row r="3260">
      <c r="A3260" s="1" t="s">
        <v>13694</v>
      </c>
      <c r="B3260" s="1" t="s">
        <v>13695</v>
      </c>
      <c r="C3260" s="1">
        <v>2018.0</v>
      </c>
      <c r="D3260" s="2">
        <v>43172.0</v>
      </c>
      <c r="F3260" s="1" t="s">
        <v>2017</v>
      </c>
      <c r="H3260" s="3">
        <v>9.0</v>
      </c>
      <c r="I3260" s="4" t="s">
        <v>13696</v>
      </c>
      <c r="J3260" s="1"/>
      <c r="K3260" s="1" t="s">
        <v>323</v>
      </c>
    </row>
    <row r="3261">
      <c r="A3261" s="1" t="s">
        <v>13697</v>
      </c>
      <c r="B3261" s="1" t="s">
        <v>13274</v>
      </c>
      <c r="C3261" s="1">
        <v>2018.0</v>
      </c>
      <c r="D3261" s="2">
        <v>43169.0</v>
      </c>
      <c r="F3261" s="1" t="s">
        <v>12240</v>
      </c>
      <c r="H3261" s="3">
        <v>91.0</v>
      </c>
      <c r="I3261" s="4" t="s">
        <v>13698</v>
      </c>
      <c r="J3261" s="1" t="s">
        <v>13699</v>
      </c>
      <c r="K3261" s="1" t="s">
        <v>546</v>
      </c>
    </row>
    <row r="3262">
      <c r="A3262" s="1" t="s">
        <v>13700</v>
      </c>
      <c r="B3262" s="1" t="s">
        <v>13701</v>
      </c>
      <c r="C3262" s="1">
        <v>2018.0</v>
      </c>
      <c r="D3262" s="2">
        <v>43168.0</v>
      </c>
      <c r="F3262" s="1" t="s">
        <v>6713</v>
      </c>
      <c r="H3262" s="3">
        <v>17.0</v>
      </c>
      <c r="I3262" s="4" t="s">
        <v>13702</v>
      </c>
      <c r="J3262" s="1" t="s">
        <v>13703</v>
      </c>
      <c r="K3262" s="1" t="s">
        <v>16</v>
      </c>
    </row>
    <row r="3263">
      <c r="A3263" s="1" t="s">
        <v>13704</v>
      </c>
      <c r="B3263" s="1" t="s">
        <v>13705</v>
      </c>
      <c r="C3263" s="1">
        <v>2018.0</v>
      </c>
      <c r="D3263" s="2">
        <v>43168.0</v>
      </c>
      <c r="F3263" s="1" t="s">
        <v>1762</v>
      </c>
      <c r="H3263" s="3">
        <v>32.0</v>
      </c>
      <c r="I3263" s="4" t="s">
        <v>13706</v>
      </c>
      <c r="J3263" s="1" t="s">
        <v>13707</v>
      </c>
      <c r="K3263" s="1" t="s">
        <v>16</v>
      </c>
    </row>
    <row r="3264">
      <c r="A3264" s="1" t="s">
        <v>13708</v>
      </c>
      <c r="B3264" s="1" t="s">
        <v>13709</v>
      </c>
      <c r="C3264" s="1">
        <v>2018.0</v>
      </c>
      <c r="D3264" s="2">
        <v>43167.0</v>
      </c>
      <c r="F3264" s="1" t="s">
        <v>243</v>
      </c>
      <c r="H3264" s="3">
        <v>17.0</v>
      </c>
      <c r="I3264" s="4" t="s">
        <v>13710</v>
      </c>
      <c r="J3264" s="1" t="s">
        <v>13711</v>
      </c>
      <c r="K3264" s="1" t="s">
        <v>45</v>
      </c>
    </row>
    <row r="3265">
      <c r="A3265" s="1" t="s">
        <v>13712</v>
      </c>
      <c r="B3265" s="1" t="s">
        <v>13713</v>
      </c>
      <c r="C3265" s="1">
        <v>2018.0</v>
      </c>
      <c r="D3265" s="2">
        <v>43167.0</v>
      </c>
      <c r="F3265" s="1" t="s">
        <v>2041</v>
      </c>
      <c r="H3265" s="3">
        <v>29.0</v>
      </c>
      <c r="I3265" s="4" t="s">
        <v>13714</v>
      </c>
      <c r="J3265" s="1" t="s">
        <v>13715</v>
      </c>
      <c r="K3265" s="1" t="s">
        <v>323</v>
      </c>
    </row>
    <row r="3266">
      <c r="A3266" s="1" t="s">
        <v>13716</v>
      </c>
      <c r="B3266" s="1" t="s">
        <v>13717</v>
      </c>
      <c r="C3266" s="1">
        <v>2018.0</v>
      </c>
      <c r="D3266" s="2">
        <v>43167.0</v>
      </c>
      <c r="F3266" s="1" t="s">
        <v>271</v>
      </c>
      <c r="H3266" s="3">
        <v>9.0</v>
      </c>
      <c r="I3266" s="4" t="s">
        <v>13718</v>
      </c>
      <c r="J3266" s="1" t="s">
        <v>13719</v>
      </c>
      <c r="K3266" s="1" t="s">
        <v>28</v>
      </c>
    </row>
    <row r="3267">
      <c r="A3267" s="1" t="s">
        <v>13720</v>
      </c>
      <c r="B3267" s="1" t="s">
        <v>13721</v>
      </c>
      <c r="C3267" s="1">
        <v>2018.0</v>
      </c>
      <c r="D3267" s="2">
        <v>43166.0</v>
      </c>
      <c r="F3267" s="1" t="s">
        <v>136</v>
      </c>
      <c r="H3267" s="3">
        <v>54.0</v>
      </c>
      <c r="I3267" s="4" t="s">
        <v>13722</v>
      </c>
      <c r="J3267" s="1" t="s">
        <v>13723</v>
      </c>
      <c r="K3267" s="1" t="s">
        <v>28</v>
      </c>
    </row>
    <row r="3268">
      <c r="A3268" s="1" t="s">
        <v>13724</v>
      </c>
      <c r="B3268" s="1" t="s">
        <v>13725</v>
      </c>
      <c r="C3268" s="1">
        <v>2018.0</v>
      </c>
      <c r="D3268" s="2">
        <v>43165.0</v>
      </c>
      <c r="F3268" s="1" t="s">
        <v>271</v>
      </c>
      <c r="H3268" s="3">
        <v>38.0</v>
      </c>
      <c r="I3268" s="4" t="s">
        <v>13726</v>
      </c>
      <c r="J3268" s="1" t="s">
        <v>13727</v>
      </c>
      <c r="K3268" s="1" t="s">
        <v>383</v>
      </c>
    </row>
    <row r="3269">
      <c r="A3269" s="1" t="s">
        <v>13728</v>
      </c>
      <c r="B3269" s="1" t="s">
        <v>13729</v>
      </c>
      <c r="C3269" s="1">
        <v>2018.0</v>
      </c>
      <c r="D3269" s="2">
        <v>43165.0</v>
      </c>
      <c r="F3269" s="1" t="s">
        <v>208</v>
      </c>
      <c r="H3269" s="3">
        <v>68.0</v>
      </c>
      <c r="I3269" s="4" t="s">
        <v>13730</v>
      </c>
      <c r="J3269" s="1" t="s">
        <v>13731</v>
      </c>
      <c r="K3269" s="1" t="s">
        <v>418</v>
      </c>
    </row>
    <row r="3270">
      <c r="A3270" s="1" t="s">
        <v>13732</v>
      </c>
      <c r="B3270" s="1" t="s">
        <v>13733</v>
      </c>
      <c r="C3270" s="1">
        <v>2018.0</v>
      </c>
      <c r="D3270" s="2">
        <v>43165.0</v>
      </c>
      <c r="F3270" s="1" t="s">
        <v>12240</v>
      </c>
      <c r="H3270" s="3">
        <v>10.0</v>
      </c>
      <c r="I3270" s="4" t="s">
        <v>13734</v>
      </c>
      <c r="J3270" s="1" t="s">
        <v>13735</v>
      </c>
      <c r="K3270" s="1" t="s">
        <v>546</v>
      </c>
    </row>
    <row r="3271">
      <c r="A3271" s="1" t="s">
        <v>13736</v>
      </c>
      <c r="B3271" s="1" t="s">
        <v>13737</v>
      </c>
      <c r="C3271" s="1">
        <v>2018.0</v>
      </c>
      <c r="D3271" s="2">
        <v>43165.0</v>
      </c>
      <c r="F3271" s="1" t="s">
        <v>13738</v>
      </c>
      <c r="H3271" s="3">
        <v>17.0</v>
      </c>
      <c r="I3271" s="4" t="s">
        <v>13739</v>
      </c>
      <c r="J3271" s="1" t="s">
        <v>13740</v>
      </c>
      <c r="K3271" s="1" t="s">
        <v>68</v>
      </c>
    </row>
    <row r="3272">
      <c r="A3272" s="1" t="s">
        <v>13741</v>
      </c>
      <c r="B3272" s="1" t="s">
        <v>13742</v>
      </c>
      <c r="C3272" s="1">
        <v>2018.0</v>
      </c>
      <c r="D3272" s="2">
        <v>43165.0</v>
      </c>
      <c r="F3272" s="1" t="s">
        <v>192</v>
      </c>
      <c r="H3272" s="3">
        <v>22.0</v>
      </c>
      <c r="I3272" s="4" t="s">
        <v>13743</v>
      </c>
      <c r="J3272" s="1" t="s">
        <v>13744</v>
      </c>
      <c r="K3272" s="1" t="s">
        <v>295</v>
      </c>
    </row>
    <row r="3273">
      <c r="A3273" s="1" t="s">
        <v>13745</v>
      </c>
      <c r="B3273" s="1" t="s">
        <v>13746</v>
      </c>
      <c r="C3273" s="1">
        <v>2018.0</v>
      </c>
      <c r="D3273" s="2">
        <v>43164.0</v>
      </c>
      <c r="F3273" s="1" t="s">
        <v>440</v>
      </c>
      <c r="H3273" s="3">
        <v>56.0</v>
      </c>
      <c r="I3273" s="4" t="s">
        <v>13747</v>
      </c>
      <c r="J3273" s="1" t="s">
        <v>13748</v>
      </c>
      <c r="K3273" s="1" t="s">
        <v>28</v>
      </c>
    </row>
    <row r="3274">
      <c r="A3274" s="1" t="s">
        <v>13749</v>
      </c>
      <c r="B3274" s="1" t="s">
        <v>13750</v>
      </c>
      <c r="C3274" s="1">
        <v>2018.0</v>
      </c>
      <c r="D3274" s="2">
        <v>43164.0</v>
      </c>
      <c r="F3274" s="1" t="s">
        <v>2586</v>
      </c>
      <c r="H3274" s="3">
        <v>57.0</v>
      </c>
      <c r="I3274" s="4" t="s">
        <v>13751</v>
      </c>
      <c r="J3274" s="1" t="s">
        <v>13752</v>
      </c>
      <c r="K3274" s="1" t="s">
        <v>1036</v>
      </c>
    </row>
    <row r="3275">
      <c r="A3275" s="1" t="s">
        <v>13753</v>
      </c>
      <c r="B3275" s="1" t="s">
        <v>13754</v>
      </c>
      <c r="C3275" s="1">
        <v>2018.0</v>
      </c>
      <c r="D3275" s="2">
        <v>43164.0</v>
      </c>
      <c r="F3275" s="1" t="s">
        <v>13755</v>
      </c>
      <c r="H3275" s="3">
        <v>48.0</v>
      </c>
      <c r="I3275" s="4" t="s">
        <v>13756</v>
      </c>
      <c r="J3275" s="1" t="s">
        <v>13757</v>
      </c>
      <c r="K3275" s="1" t="s">
        <v>323</v>
      </c>
    </row>
    <row r="3276">
      <c r="A3276" s="1" t="s">
        <v>13758</v>
      </c>
      <c r="B3276" s="1" t="s">
        <v>13759</v>
      </c>
      <c r="C3276" s="1">
        <v>2018.0</v>
      </c>
      <c r="D3276" s="2">
        <v>43162.0</v>
      </c>
      <c r="F3276" s="1" t="s">
        <v>10694</v>
      </c>
      <c r="H3276" s="3">
        <v>22.0</v>
      </c>
      <c r="I3276" s="4" t="s">
        <v>13760</v>
      </c>
      <c r="J3276" s="1" t="s">
        <v>13761</v>
      </c>
      <c r="K3276" s="1" t="s">
        <v>323</v>
      </c>
    </row>
    <row r="3277">
      <c r="A3277" s="1" t="s">
        <v>13762</v>
      </c>
      <c r="B3277" s="1" t="s">
        <v>13763</v>
      </c>
      <c r="C3277" s="1">
        <v>2018.0</v>
      </c>
      <c r="D3277" s="2">
        <v>43161.0</v>
      </c>
      <c r="F3277" s="1" t="s">
        <v>1376</v>
      </c>
      <c r="H3277" s="3">
        <v>21.0</v>
      </c>
      <c r="I3277" s="4" t="s">
        <v>13764</v>
      </c>
      <c r="J3277" s="1" t="s">
        <v>13765</v>
      </c>
      <c r="K3277" s="1" t="s">
        <v>571</v>
      </c>
    </row>
    <row r="3278">
      <c r="A3278" s="1" t="s">
        <v>13766</v>
      </c>
      <c r="B3278" s="1" t="s">
        <v>13767</v>
      </c>
      <c r="C3278" s="1">
        <v>2018.0</v>
      </c>
      <c r="D3278" s="2">
        <v>43160.0</v>
      </c>
      <c r="F3278" s="1" t="s">
        <v>519</v>
      </c>
      <c r="H3278" s="3">
        <v>25.0</v>
      </c>
      <c r="I3278" s="4" t="s">
        <v>13768</v>
      </c>
      <c r="J3278" s="1" t="s">
        <v>13769</v>
      </c>
      <c r="K3278" s="1" t="s">
        <v>28</v>
      </c>
    </row>
    <row r="3279">
      <c r="A3279" s="1" t="s">
        <v>13770</v>
      </c>
      <c r="B3279" s="1" t="s">
        <v>13771</v>
      </c>
      <c r="C3279" s="1">
        <v>2018.0</v>
      </c>
      <c r="D3279" s="2">
        <v>43160.0</v>
      </c>
      <c r="F3279" s="1" t="s">
        <v>1562</v>
      </c>
      <c r="H3279" s="3">
        <v>9.0</v>
      </c>
      <c r="I3279" s="4" t="s">
        <v>13772</v>
      </c>
      <c r="J3279" s="1" t="s">
        <v>13773</v>
      </c>
      <c r="K3279" s="1" t="s">
        <v>28</v>
      </c>
    </row>
    <row r="3280">
      <c r="A3280" s="1" t="s">
        <v>13774</v>
      </c>
      <c r="B3280" s="1" t="s">
        <v>13775</v>
      </c>
      <c r="C3280" s="1">
        <v>2018.0</v>
      </c>
      <c r="D3280" s="2">
        <v>43159.0</v>
      </c>
      <c r="F3280" s="1" t="s">
        <v>12240</v>
      </c>
      <c r="H3280" s="3">
        <v>53.0</v>
      </c>
      <c r="I3280" s="4" t="s">
        <v>13776</v>
      </c>
      <c r="J3280" s="1" t="s">
        <v>13777</v>
      </c>
      <c r="K3280" s="1" t="s">
        <v>546</v>
      </c>
    </row>
    <row r="3281">
      <c r="A3281" s="1" t="s">
        <v>13778</v>
      </c>
      <c r="B3281" s="1" t="s">
        <v>13779</v>
      </c>
      <c r="C3281" s="1">
        <v>2018.0</v>
      </c>
      <c r="D3281" s="2">
        <v>43159.0</v>
      </c>
      <c r="F3281" s="1" t="s">
        <v>410</v>
      </c>
      <c r="H3281" s="3">
        <v>55.0</v>
      </c>
      <c r="I3281" s="4" t="s">
        <v>13780</v>
      </c>
      <c r="J3281" s="1" t="s">
        <v>13781</v>
      </c>
      <c r="K3281" s="1" t="s">
        <v>1036</v>
      </c>
    </row>
    <row r="3282">
      <c r="A3282" s="1" t="s">
        <v>13782</v>
      </c>
      <c r="B3282" s="1" t="s">
        <v>13783</v>
      </c>
      <c r="C3282" s="1">
        <v>2018.0</v>
      </c>
      <c r="D3282" s="2">
        <v>43159.0</v>
      </c>
      <c r="F3282" s="1" t="s">
        <v>1040</v>
      </c>
      <c r="H3282" s="3">
        <v>49.0</v>
      </c>
      <c r="I3282" s="4" t="s">
        <v>13784</v>
      </c>
      <c r="J3282" s="1" t="s">
        <v>13785</v>
      </c>
      <c r="K3282" s="1" t="s">
        <v>295</v>
      </c>
    </row>
    <row r="3283">
      <c r="A3283" s="1" t="s">
        <v>13786</v>
      </c>
      <c r="B3283" s="1" t="s">
        <v>13787</v>
      </c>
      <c r="C3283" s="1">
        <v>2018.0</v>
      </c>
      <c r="D3283" s="2">
        <v>43157.0</v>
      </c>
      <c r="F3283" s="1" t="s">
        <v>8184</v>
      </c>
      <c r="H3283" s="3">
        <v>166.0</v>
      </c>
      <c r="I3283" s="4" t="s">
        <v>13788</v>
      </c>
      <c r="J3283" s="1" t="s">
        <v>13789</v>
      </c>
      <c r="K3283" s="1" t="s">
        <v>926</v>
      </c>
    </row>
    <row r="3284">
      <c r="A3284" s="1" t="s">
        <v>13790</v>
      </c>
      <c r="B3284" s="1" t="s">
        <v>13274</v>
      </c>
      <c r="C3284" s="1">
        <v>2018.0</v>
      </c>
      <c r="D3284" s="2">
        <v>43155.0</v>
      </c>
      <c r="F3284" s="1" t="s">
        <v>12240</v>
      </c>
      <c r="H3284" s="3">
        <v>6.0</v>
      </c>
      <c r="I3284" s="4" t="s">
        <v>13791</v>
      </c>
      <c r="J3284" s="1" t="s">
        <v>13792</v>
      </c>
      <c r="K3284" s="1" t="s">
        <v>546</v>
      </c>
    </row>
    <row r="3285">
      <c r="A3285" s="1" t="s">
        <v>13793</v>
      </c>
      <c r="B3285" s="1" t="s">
        <v>13794</v>
      </c>
      <c r="C3285" s="1">
        <v>2018.0</v>
      </c>
      <c r="D3285" s="2">
        <v>43153.0</v>
      </c>
      <c r="F3285" s="1" t="s">
        <v>337</v>
      </c>
      <c r="H3285" s="3">
        <v>15.0</v>
      </c>
      <c r="I3285" s="4" t="s">
        <v>13795</v>
      </c>
      <c r="J3285" s="1" t="s">
        <v>13796</v>
      </c>
      <c r="K3285" s="1" t="s">
        <v>295</v>
      </c>
    </row>
    <row r="3286">
      <c r="A3286" s="1" t="s">
        <v>13797</v>
      </c>
      <c r="B3286" s="1" t="s">
        <v>13274</v>
      </c>
      <c r="C3286" s="1">
        <v>2018.0</v>
      </c>
      <c r="D3286" s="2">
        <v>43153.0</v>
      </c>
      <c r="F3286" s="1" t="s">
        <v>12240</v>
      </c>
      <c r="H3286" s="3">
        <v>34.0</v>
      </c>
      <c r="I3286" s="4" t="s">
        <v>13798</v>
      </c>
      <c r="J3286" s="1" t="s">
        <v>13799</v>
      </c>
      <c r="K3286" s="1" t="s">
        <v>546</v>
      </c>
    </row>
    <row r="3287">
      <c r="A3287" s="1" t="s">
        <v>13800</v>
      </c>
      <c r="B3287" s="1" t="s">
        <v>13801</v>
      </c>
      <c r="C3287" s="1">
        <v>2018.0</v>
      </c>
      <c r="D3287" s="2">
        <v>43153.0</v>
      </c>
      <c r="F3287" s="1" t="s">
        <v>1762</v>
      </c>
      <c r="H3287" s="3">
        <v>36.0</v>
      </c>
      <c r="I3287" s="4" t="s">
        <v>13802</v>
      </c>
      <c r="J3287" s="1" t="s">
        <v>13803</v>
      </c>
      <c r="K3287" s="1" t="s">
        <v>295</v>
      </c>
    </row>
    <row r="3288">
      <c r="A3288" s="1" t="s">
        <v>13804</v>
      </c>
      <c r="B3288" s="1" t="s">
        <v>13805</v>
      </c>
      <c r="C3288" s="1">
        <v>2018.0</v>
      </c>
      <c r="D3288" s="2">
        <v>43152.0</v>
      </c>
      <c r="F3288" s="1" t="s">
        <v>8447</v>
      </c>
      <c r="H3288" s="3">
        <v>12.0</v>
      </c>
      <c r="I3288" s="4" t="s">
        <v>13806</v>
      </c>
      <c r="J3288" s="1" t="s">
        <v>13807</v>
      </c>
      <c r="K3288" s="1" t="s">
        <v>571</v>
      </c>
    </row>
    <row r="3289">
      <c r="A3289" s="1" t="s">
        <v>13808</v>
      </c>
      <c r="B3289" s="1" t="s">
        <v>13809</v>
      </c>
      <c r="C3289" s="1">
        <v>2018.0</v>
      </c>
      <c r="D3289" s="2">
        <v>43151.0</v>
      </c>
      <c r="F3289" s="1" t="s">
        <v>13810</v>
      </c>
      <c r="H3289" s="3">
        <v>10.0</v>
      </c>
      <c r="I3289" s="4" t="s">
        <v>13811</v>
      </c>
      <c r="J3289" s="1" t="s">
        <v>13812</v>
      </c>
      <c r="K3289" s="1" t="s">
        <v>443</v>
      </c>
    </row>
    <row r="3290">
      <c r="A3290" s="1" t="s">
        <v>13813</v>
      </c>
      <c r="B3290" s="1" t="s">
        <v>13814</v>
      </c>
      <c r="C3290" s="1">
        <v>2018.0</v>
      </c>
      <c r="D3290" s="2">
        <v>43151.0</v>
      </c>
      <c r="F3290" s="1" t="s">
        <v>2007</v>
      </c>
      <c r="H3290" s="3">
        <v>53.0</v>
      </c>
      <c r="I3290" s="4" t="s">
        <v>13815</v>
      </c>
      <c r="J3290" s="1"/>
      <c r="K3290" s="1" t="s">
        <v>295</v>
      </c>
    </row>
    <row r="3291">
      <c r="A3291" s="1" t="s">
        <v>13816</v>
      </c>
      <c r="B3291" s="1" t="s">
        <v>13817</v>
      </c>
      <c r="C3291" s="1">
        <v>2018.0</v>
      </c>
      <c r="D3291" s="2">
        <v>43151.0</v>
      </c>
      <c r="F3291" s="1" t="s">
        <v>1859</v>
      </c>
      <c r="H3291" s="3">
        <v>8.0</v>
      </c>
      <c r="I3291" s="4" t="s">
        <v>13818</v>
      </c>
      <c r="J3291" s="1" t="s">
        <v>13819</v>
      </c>
      <c r="K3291" s="1" t="s">
        <v>329</v>
      </c>
    </row>
    <row r="3292">
      <c r="A3292" s="1" t="s">
        <v>13820</v>
      </c>
      <c r="B3292" s="1" t="s">
        <v>10361</v>
      </c>
      <c r="C3292" s="1">
        <v>2018.0</v>
      </c>
      <c r="D3292" s="2">
        <v>43150.0</v>
      </c>
      <c r="F3292" s="1" t="s">
        <v>1277</v>
      </c>
      <c r="H3292" s="3">
        <v>11.0</v>
      </c>
      <c r="I3292" s="4" t="s">
        <v>13821</v>
      </c>
      <c r="J3292" s="1" t="s">
        <v>13822</v>
      </c>
      <c r="K3292" s="1" t="s">
        <v>28</v>
      </c>
    </row>
    <row r="3293">
      <c r="A3293" s="1" t="s">
        <v>13823</v>
      </c>
      <c r="B3293" s="1" t="s">
        <v>13274</v>
      </c>
      <c r="C3293" s="1">
        <v>2018.0</v>
      </c>
      <c r="D3293" s="2">
        <v>43150.0</v>
      </c>
      <c r="F3293" s="1" t="s">
        <v>12240</v>
      </c>
      <c r="H3293" s="3">
        <v>55.0</v>
      </c>
      <c r="I3293" s="4" t="s">
        <v>13824</v>
      </c>
      <c r="J3293" s="1" t="s">
        <v>13825</v>
      </c>
      <c r="K3293" s="1" t="s">
        <v>546</v>
      </c>
    </row>
    <row r="3294">
      <c r="A3294" s="1" t="s">
        <v>13826</v>
      </c>
      <c r="B3294" s="1" t="s">
        <v>13827</v>
      </c>
      <c r="C3294" s="1">
        <v>2018.0</v>
      </c>
      <c r="D3294" s="2">
        <v>43150.0</v>
      </c>
      <c r="F3294" s="1" t="s">
        <v>86</v>
      </c>
      <c r="H3294" s="3">
        <v>65.0</v>
      </c>
      <c r="I3294" s="4" t="s">
        <v>13828</v>
      </c>
      <c r="J3294" s="1" t="s">
        <v>13829</v>
      </c>
      <c r="K3294" s="1" t="s">
        <v>16</v>
      </c>
    </row>
    <row r="3295">
      <c r="A3295" s="1" t="s">
        <v>13830</v>
      </c>
      <c r="B3295" s="1" t="s">
        <v>13831</v>
      </c>
      <c r="C3295" s="1">
        <v>2018.0</v>
      </c>
      <c r="D3295" s="2">
        <v>43146.0</v>
      </c>
      <c r="F3295" s="1" t="s">
        <v>2634</v>
      </c>
      <c r="H3295" s="3">
        <v>22.0</v>
      </c>
      <c r="I3295" s="4" t="s">
        <v>13832</v>
      </c>
      <c r="J3295" s="1" t="s">
        <v>13833</v>
      </c>
      <c r="K3295" s="1" t="s">
        <v>295</v>
      </c>
    </row>
    <row r="3296">
      <c r="A3296" s="1" t="s">
        <v>13834</v>
      </c>
      <c r="B3296" s="1" t="s">
        <v>13835</v>
      </c>
      <c r="C3296" s="1">
        <v>2018.0</v>
      </c>
      <c r="D3296" s="2">
        <v>43146.0</v>
      </c>
      <c r="F3296" s="1" t="s">
        <v>12240</v>
      </c>
      <c r="H3296" s="3">
        <v>9.0</v>
      </c>
      <c r="I3296" s="4" t="s">
        <v>13836</v>
      </c>
      <c r="J3296" s="1" t="s">
        <v>13837</v>
      </c>
      <c r="K3296" s="1" t="s">
        <v>546</v>
      </c>
    </row>
    <row r="3297">
      <c r="A3297" s="1" t="s">
        <v>13838</v>
      </c>
      <c r="B3297" s="1" t="s">
        <v>13839</v>
      </c>
      <c r="C3297" s="1">
        <v>2018.0</v>
      </c>
      <c r="D3297" s="2">
        <v>43146.0</v>
      </c>
      <c r="F3297" s="1" t="s">
        <v>11047</v>
      </c>
      <c r="H3297" s="3">
        <v>33.0</v>
      </c>
      <c r="I3297" s="4" t="s">
        <v>13840</v>
      </c>
      <c r="J3297" s="1" t="s">
        <v>13841</v>
      </c>
      <c r="K3297" s="1" t="s">
        <v>413</v>
      </c>
    </row>
    <row r="3298">
      <c r="A3298" s="1" t="s">
        <v>13842</v>
      </c>
      <c r="B3298" s="1" t="s">
        <v>13843</v>
      </c>
      <c r="C3298" s="1">
        <v>2018.0</v>
      </c>
      <c r="D3298" s="2">
        <v>43143.0</v>
      </c>
      <c r="F3298" s="1" t="s">
        <v>1637</v>
      </c>
      <c r="H3298" s="3">
        <v>36.0</v>
      </c>
      <c r="I3298" s="4" t="s">
        <v>13844</v>
      </c>
      <c r="J3298" s="1" t="s">
        <v>13845</v>
      </c>
      <c r="K3298" s="1" t="s">
        <v>413</v>
      </c>
    </row>
    <row r="3299">
      <c r="A3299" s="1" t="s">
        <v>13846</v>
      </c>
      <c r="B3299" s="1" t="s">
        <v>13847</v>
      </c>
      <c r="C3299" s="1">
        <v>2018.0</v>
      </c>
      <c r="D3299" s="2">
        <v>43143.0</v>
      </c>
      <c r="F3299" s="1" t="s">
        <v>1358</v>
      </c>
      <c r="H3299" s="3">
        <v>95.0</v>
      </c>
      <c r="I3299" s="4" t="s">
        <v>13848</v>
      </c>
      <c r="J3299" s="1" t="s">
        <v>13849</v>
      </c>
      <c r="K3299" s="1" t="s">
        <v>323</v>
      </c>
    </row>
    <row r="3300">
      <c r="A3300" s="1" t="s">
        <v>13850</v>
      </c>
      <c r="B3300" s="1" t="s">
        <v>13851</v>
      </c>
      <c r="C3300" s="1">
        <v>2018.0</v>
      </c>
      <c r="D3300" s="2">
        <v>43140.0</v>
      </c>
      <c r="F3300" s="1" t="s">
        <v>71</v>
      </c>
      <c r="H3300" s="3">
        <v>40.0</v>
      </c>
      <c r="I3300" s="4" t="s">
        <v>13852</v>
      </c>
      <c r="J3300" s="1" t="s">
        <v>13853</v>
      </c>
      <c r="K3300" s="1" t="s">
        <v>45</v>
      </c>
    </row>
    <row r="3301">
      <c r="A3301" s="1" t="s">
        <v>13854</v>
      </c>
      <c r="B3301" s="1" t="s">
        <v>13855</v>
      </c>
      <c r="C3301" s="1">
        <v>2018.0</v>
      </c>
      <c r="D3301" s="2">
        <v>43138.0</v>
      </c>
      <c r="F3301" s="1" t="s">
        <v>59</v>
      </c>
      <c r="H3301" s="3">
        <v>14.0</v>
      </c>
      <c r="I3301" s="4" t="s">
        <v>13856</v>
      </c>
      <c r="J3301" s="1" t="s">
        <v>13857</v>
      </c>
      <c r="K3301" s="1" t="s">
        <v>295</v>
      </c>
    </row>
    <row r="3302">
      <c r="A3302" s="1" t="s">
        <v>13858</v>
      </c>
      <c r="B3302" s="1" t="s">
        <v>13859</v>
      </c>
      <c r="C3302" s="1">
        <v>2018.0</v>
      </c>
      <c r="D3302" s="2">
        <v>43137.0</v>
      </c>
      <c r="F3302" s="1" t="s">
        <v>12240</v>
      </c>
      <c r="H3302" s="3">
        <v>136.0</v>
      </c>
      <c r="I3302" s="4" t="s">
        <v>13860</v>
      </c>
      <c r="J3302" s="1" t="s">
        <v>13861</v>
      </c>
      <c r="K3302" s="1" t="s">
        <v>546</v>
      </c>
    </row>
    <row r="3303">
      <c r="A3303" s="1" t="s">
        <v>13862</v>
      </c>
      <c r="B3303" s="1" t="s">
        <v>13863</v>
      </c>
      <c r="C3303" s="1">
        <v>2018.0</v>
      </c>
      <c r="D3303" s="2">
        <v>43137.0</v>
      </c>
      <c r="F3303" s="1" t="s">
        <v>2515</v>
      </c>
      <c r="H3303" s="3">
        <v>8.0</v>
      </c>
      <c r="I3303" s="4" t="s">
        <v>13864</v>
      </c>
      <c r="J3303" s="1" t="s">
        <v>13865</v>
      </c>
      <c r="K3303" s="1" t="s">
        <v>16</v>
      </c>
    </row>
    <row r="3304">
      <c r="A3304" s="1" t="s">
        <v>13866</v>
      </c>
      <c r="B3304" s="1" t="s">
        <v>13867</v>
      </c>
      <c r="C3304" s="1">
        <v>2018.0</v>
      </c>
      <c r="D3304" s="2">
        <v>43136.0</v>
      </c>
      <c r="F3304" s="1" t="s">
        <v>10108</v>
      </c>
      <c r="H3304" s="3">
        <v>46.0</v>
      </c>
      <c r="I3304" s="4" t="s">
        <v>13868</v>
      </c>
      <c r="J3304" s="1" t="s">
        <v>13869</v>
      </c>
      <c r="K3304" s="1" t="s">
        <v>926</v>
      </c>
    </row>
    <row r="3305">
      <c r="A3305" s="1" t="s">
        <v>13870</v>
      </c>
      <c r="B3305" s="1" t="s">
        <v>13871</v>
      </c>
      <c r="C3305" s="1">
        <v>2018.0</v>
      </c>
      <c r="D3305" s="2">
        <v>43136.0</v>
      </c>
      <c r="F3305" s="1" t="s">
        <v>1123</v>
      </c>
      <c r="H3305" s="3">
        <v>14.0</v>
      </c>
      <c r="I3305" s="4" t="s">
        <v>13872</v>
      </c>
      <c r="J3305" s="1" t="s">
        <v>13873</v>
      </c>
      <c r="K3305" s="1" t="s">
        <v>323</v>
      </c>
    </row>
    <row r="3306">
      <c r="A3306" s="1" t="s">
        <v>13874</v>
      </c>
      <c r="B3306" s="1" t="s">
        <v>13274</v>
      </c>
      <c r="C3306" s="1">
        <v>2018.0</v>
      </c>
      <c r="D3306" s="2">
        <v>43134.0</v>
      </c>
      <c r="F3306" s="1" t="s">
        <v>12240</v>
      </c>
      <c r="H3306" s="3">
        <v>8.0</v>
      </c>
      <c r="I3306" s="4" t="s">
        <v>13875</v>
      </c>
      <c r="J3306" s="1" t="s">
        <v>13876</v>
      </c>
      <c r="K3306" s="1" t="s">
        <v>546</v>
      </c>
    </row>
    <row r="3307">
      <c r="A3307" s="1" t="s">
        <v>13877</v>
      </c>
      <c r="B3307" s="1" t="s">
        <v>13878</v>
      </c>
      <c r="C3307" s="1">
        <v>2018.0</v>
      </c>
      <c r="D3307" s="2">
        <v>43134.0</v>
      </c>
      <c r="F3307" s="1" t="s">
        <v>271</v>
      </c>
      <c r="H3307" s="3">
        <v>10.0</v>
      </c>
      <c r="I3307" s="4" t="s">
        <v>13879</v>
      </c>
      <c r="J3307" s="1" t="s">
        <v>13880</v>
      </c>
      <c r="K3307" s="1" t="s">
        <v>413</v>
      </c>
    </row>
    <row r="3308">
      <c r="A3308" s="1" t="s">
        <v>13881</v>
      </c>
      <c r="B3308" s="1" t="s">
        <v>13882</v>
      </c>
      <c r="C3308" s="1">
        <v>2018.0</v>
      </c>
      <c r="D3308" s="2">
        <v>43134.0</v>
      </c>
      <c r="F3308" s="1" t="s">
        <v>2819</v>
      </c>
      <c r="H3308" s="3">
        <v>3.0</v>
      </c>
      <c r="I3308" s="4" t="s">
        <v>13883</v>
      </c>
      <c r="J3308" s="1" t="s">
        <v>13884</v>
      </c>
      <c r="K3308" s="1" t="s">
        <v>462</v>
      </c>
    </row>
    <row r="3309">
      <c r="A3309" s="1" t="s">
        <v>13885</v>
      </c>
      <c r="B3309" s="1" t="s">
        <v>13886</v>
      </c>
      <c r="C3309" s="1">
        <v>2018.0</v>
      </c>
      <c r="D3309" s="2">
        <v>43132.0</v>
      </c>
      <c r="F3309" s="1" t="s">
        <v>440</v>
      </c>
      <c r="H3309" s="3">
        <v>37.0</v>
      </c>
      <c r="I3309" s="4" t="s">
        <v>13887</v>
      </c>
      <c r="J3309" s="1" t="s">
        <v>13888</v>
      </c>
      <c r="K3309" s="1" t="s">
        <v>28</v>
      </c>
    </row>
    <row r="3310">
      <c r="A3310" s="1" t="s">
        <v>13889</v>
      </c>
      <c r="B3310" s="1" t="s">
        <v>13890</v>
      </c>
      <c r="C3310" s="1">
        <v>2018.0</v>
      </c>
      <c r="D3310" s="2">
        <v>43132.0</v>
      </c>
      <c r="F3310" s="1" t="s">
        <v>5554</v>
      </c>
      <c r="H3310" s="3">
        <v>19.0</v>
      </c>
      <c r="I3310" s="4" t="s">
        <v>13891</v>
      </c>
      <c r="J3310" s="1" t="s">
        <v>13892</v>
      </c>
      <c r="K3310" s="1" t="s">
        <v>443</v>
      </c>
    </row>
    <row r="3311">
      <c r="A3311" s="1" t="s">
        <v>13893</v>
      </c>
      <c r="B3311" s="1" t="s">
        <v>13894</v>
      </c>
      <c r="C3311" s="1">
        <v>2018.0</v>
      </c>
      <c r="D3311" s="2">
        <v>43132.0</v>
      </c>
      <c r="F3311" s="1" t="s">
        <v>13895</v>
      </c>
      <c r="H3311" s="3">
        <v>76.0</v>
      </c>
      <c r="I3311" s="4" t="s">
        <v>13896</v>
      </c>
      <c r="J3311" s="1" t="s">
        <v>13897</v>
      </c>
      <c r="K3311" s="1" t="s">
        <v>383</v>
      </c>
    </row>
    <row r="3312">
      <c r="A3312" s="1" t="s">
        <v>13898</v>
      </c>
      <c r="B3312" s="1" t="s">
        <v>13899</v>
      </c>
      <c r="C3312" s="1">
        <v>2018.0</v>
      </c>
      <c r="D3312" s="2">
        <v>43132.0</v>
      </c>
      <c r="F3312" s="1" t="s">
        <v>1366</v>
      </c>
      <c r="H3312" s="3">
        <v>198.0</v>
      </c>
      <c r="I3312" s="4" t="s">
        <v>13900</v>
      </c>
      <c r="J3312" s="1" t="s">
        <v>13901</v>
      </c>
      <c r="K3312" s="1" t="s">
        <v>443</v>
      </c>
    </row>
    <row r="3313">
      <c r="A3313" s="1" t="s">
        <v>13902</v>
      </c>
      <c r="B3313" s="1" t="s">
        <v>13903</v>
      </c>
      <c r="C3313" s="1">
        <v>2018.0</v>
      </c>
      <c r="D3313" s="2">
        <v>43132.0</v>
      </c>
      <c r="F3313" s="1" t="s">
        <v>440</v>
      </c>
      <c r="H3313" s="3">
        <v>60.0</v>
      </c>
      <c r="I3313" s="4" t="s">
        <v>13904</v>
      </c>
      <c r="J3313" s="1" t="s">
        <v>13905</v>
      </c>
      <c r="K3313" s="1" t="s">
        <v>418</v>
      </c>
    </row>
    <row r="3314">
      <c r="A3314" s="1" t="s">
        <v>13906</v>
      </c>
      <c r="B3314" s="1" t="s">
        <v>13907</v>
      </c>
      <c r="C3314" s="1">
        <v>2018.0</v>
      </c>
      <c r="D3314" s="2">
        <v>43132.0</v>
      </c>
      <c r="F3314" s="1" t="s">
        <v>519</v>
      </c>
      <c r="H3314" s="3">
        <v>138.0</v>
      </c>
      <c r="I3314" s="4" t="s">
        <v>13908</v>
      </c>
      <c r="J3314" s="1" t="s">
        <v>13909</v>
      </c>
      <c r="K3314" s="1" t="s">
        <v>28</v>
      </c>
    </row>
    <row r="3315">
      <c r="A3315" s="1" t="s">
        <v>13910</v>
      </c>
      <c r="B3315" s="1" t="s">
        <v>13911</v>
      </c>
      <c r="C3315" s="1">
        <v>2018.0</v>
      </c>
      <c r="D3315" s="2">
        <v>43132.0</v>
      </c>
      <c r="F3315" s="1" t="s">
        <v>13912</v>
      </c>
      <c r="H3315" s="3">
        <v>16.0</v>
      </c>
      <c r="I3315" s="4" t="s">
        <v>13913</v>
      </c>
      <c r="J3315" s="1" t="s">
        <v>13914</v>
      </c>
      <c r="K3315" s="1" t="s">
        <v>16</v>
      </c>
    </row>
    <row r="3316">
      <c r="A3316" s="1" t="s">
        <v>13915</v>
      </c>
      <c r="B3316" s="1" t="s">
        <v>13916</v>
      </c>
      <c r="C3316" s="1">
        <v>2018.0</v>
      </c>
      <c r="D3316" s="2">
        <v>43131.0</v>
      </c>
      <c r="F3316" s="1" t="s">
        <v>8289</v>
      </c>
      <c r="H3316" s="3">
        <v>60.0</v>
      </c>
      <c r="I3316" s="4" t="s">
        <v>13917</v>
      </c>
      <c r="J3316" s="1" t="s">
        <v>13918</v>
      </c>
      <c r="K3316" s="1" t="s">
        <v>372</v>
      </c>
    </row>
    <row r="3317">
      <c r="A3317" s="1" t="s">
        <v>13919</v>
      </c>
      <c r="B3317" s="1" t="s">
        <v>13920</v>
      </c>
      <c r="C3317" s="1">
        <v>2018.0</v>
      </c>
      <c r="D3317" s="2">
        <v>43131.0</v>
      </c>
      <c r="F3317" s="1" t="s">
        <v>13921</v>
      </c>
      <c r="H3317" s="3">
        <v>60.0</v>
      </c>
      <c r="I3317" s="4" t="s">
        <v>13922</v>
      </c>
      <c r="J3317" s="1" t="s">
        <v>13923</v>
      </c>
      <c r="K3317" s="1" t="s">
        <v>68</v>
      </c>
    </row>
    <row r="3318">
      <c r="A3318" s="1" t="s">
        <v>13924</v>
      </c>
      <c r="B3318" s="1" t="s">
        <v>7811</v>
      </c>
      <c r="C3318" s="1">
        <v>2018.0</v>
      </c>
      <c r="D3318" s="2">
        <v>43131.0</v>
      </c>
      <c r="F3318" s="1" t="s">
        <v>13</v>
      </c>
      <c r="H3318" s="3">
        <v>146.0</v>
      </c>
      <c r="I3318" s="4" t="s">
        <v>13925</v>
      </c>
      <c r="J3318" s="1" t="s">
        <v>13926</v>
      </c>
      <c r="K3318" s="1" t="s">
        <v>16</v>
      </c>
    </row>
    <row r="3319">
      <c r="A3319" s="1" t="s">
        <v>13927</v>
      </c>
      <c r="B3319" s="1" t="s">
        <v>13928</v>
      </c>
      <c r="C3319" s="1">
        <v>2018.0</v>
      </c>
      <c r="D3319" s="2">
        <v>43129.0</v>
      </c>
      <c r="F3319" s="1" t="s">
        <v>1859</v>
      </c>
      <c r="H3319" s="3">
        <v>82.0</v>
      </c>
      <c r="I3319" s="4" t="s">
        <v>13929</v>
      </c>
      <c r="J3319" s="1" t="s">
        <v>13930</v>
      </c>
      <c r="K3319" s="1" t="s">
        <v>295</v>
      </c>
    </row>
    <row r="3320">
      <c r="A3320" s="1" t="s">
        <v>13931</v>
      </c>
      <c r="B3320" s="1" t="s">
        <v>13932</v>
      </c>
      <c r="C3320" s="1">
        <v>2018.0</v>
      </c>
      <c r="D3320" s="2">
        <v>43128.0</v>
      </c>
      <c r="F3320" s="1" t="s">
        <v>2634</v>
      </c>
      <c r="H3320" s="3">
        <v>31.0</v>
      </c>
      <c r="I3320" s="4" t="s">
        <v>13933</v>
      </c>
      <c r="J3320" s="1" t="s">
        <v>13934</v>
      </c>
      <c r="K3320" s="1" t="s">
        <v>16</v>
      </c>
    </row>
    <row r="3321">
      <c r="A3321" s="1" t="s">
        <v>13935</v>
      </c>
      <c r="B3321" s="1" t="s">
        <v>13936</v>
      </c>
      <c r="C3321" s="1">
        <v>2018.0</v>
      </c>
      <c r="D3321" s="2">
        <v>43126.0</v>
      </c>
      <c r="F3321" s="1" t="s">
        <v>31</v>
      </c>
      <c r="H3321" s="3">
        <v>29.0</v>
      </c>
      <c r="I3321" s="4" t="s">
        <v>13937</v>
      </c>
      <c r="J3321" s="1" t="s">
        <v>13938</v>
      </c>
      <c r="K3321" s="1" t="s">
        <v>28</v>
      </c>
    </row>
    <row r="3322">
      <c r="A3322" s="1" t="s">
        <v>13939</v>
      </c>
      <c r="B3322" s="1" t="s">
        <v>13940</v>
      </c>
      <c r="C3322" s="1">
        <v>2018.0</v>
      </c>
      <c r="D3322" s="2">
        <v>43126.0</v>
      </c>
      <c r="F3322" s="1" t="s">
        <v>59</v>
      </c>
      <c r="H3322" s="3">
        <v>1.0</v>
      </c>
      <c r="I3322" s="4" t="s">
        <v>13941</v>
      </c>
      <c r="J3322" s="1"/>
      <c r="K3322" s="1" t="s">
        <v>16</v>
      </c>
    </row>
    <row r="3323">
      <c r="A3323" s="1" t="s">
        <v>13942</v>
      </c>
      <c r="B3323" s="1" t="s">
        <v>13943</v>
      </c>
      <c r="C3323" s="1">
        <v>2018.0</v>
      </c>
      <c r="D3323" s="2">
        <v>43124.0</v>
      </c>
      <c r="F3323" s="1" t="s">
        <v>689</v>
      </c>
      <c r="H3323" s="3">
        <v>22.0</v>
      </c>
      <c r="I3323" s="4" t="s">
        <v>13944</v>
      </c>
      <c r="J3323" s="1" t="s">
        <v>13945</v>
      </c>
      <c r="K3323" s="1" t="s">
        <v>413</v>
      </c>
    </row>
    <row r="3324">
      <c r="A3324" s="1" t="s">
        <v>13946</v>
      </c>
      <c r="B3324" s="1" t="s">
        <v>13947</v>
      </c>
      <c r="C3324" s="1">
        <v>2018.0</v>
      </c>
      <c r="D3324" s="2">
        <v>43123.0</v>
      </c>
      <c r="F3324" s="1" t="s">
        <v>1505</v>
      </c>
      <c r="H3324" s="3">
        <v>1736.0</v>
      </c>
      <c r="I3324" s="4" t="s">
        <v>13948</v>
      </c>
      <c r="J3324" s="1" t="s">
        <v>13949</v>
      </c>
      <c r="K3324" s="1" t="s">
        <v>323</v>
      </c>
    </row>
    <row r="3325">
      <c r="A3325" s="1" t="s">
        <v>13950</v>
      </c>
      <c r="B3325" s="1" t="s">
        <v>13951</v>
      </c>
      <c r="C3325" s="1">
        <v>2018.0</v>
      </c>
      <c r="D3325" s="2">
        <v>43123.0</v>
      </c>
      <c r="F3325" s="1" t="s">
        <v>337</v>
      </c>
      <c r="H3325" s="3">
        <v>21.0</v>
      </c>
      <c r="I3325" s="4" t="s">
        <v>13952</v>
      </c>
      <c r="J3325" s="1" t="s">
        <v>13953</v>
      </c>
      <c r="K3325" s="1" t="s">
        <v>68</v>
      </c>
    </row>
    <row r="3326">
      <c r="A3326" s="1" t="s">
        <v>13954</v>
      </c>
      <c r="B3326" s="1" t="s">
        <v>13955</v>
      </c>
      <c r="C3326" s="1">
        <v>2018.0</v>
      </c>
      <c r="D3326" s="2">
        <v>43122.0</v>
      </c>
      <c r="F3326" s="1" t="s">
        <v>5511</v>
      </c>
      <c r="H3326" s="3">
        <v>6.0</v>
      </c>
      <c r="I3326" s="4" t="s">
        <v>13956</v>
      </c>
      <c r="J3326" s="1" t="s">
        <v>13957</v>
      </c>
      <c r="K3326" s="1" t="s">
        <v>323</v>
      </c>
    </row>
    <row r="3327">
      <c r="A3327" s="1" t="s">
        <v>13958</v>
      </c>
      <c r="B3327" s="1" t="s">
        <v>13959</v>
      </c>
      <c r="C3327" s="1">
        <v>2018.0</v>
      </c>
      <c r="D3327" s="2">
        <v>43119.0</v>
      </c>
      <c r="F3327" s="1" t="s">
        <v>1859</v>
      </c>
      <c r="H3327" s="3">
        <v>6.0</v>
      </c>
      <c r="I3327" s="4" t="s">
        <v>13960</v>
      </c>
      <c r="J3327" s="1" t="s">
        <v>13961</v>
      </c>
      <c r="K3327" s="1" t="s">
        <v>2053</v>
      </c>
    </row>
    <row r="3328">
      <c r="A3328" s="1" t="s">
        <v>13962</v>
      </c>
      <c r="B3328" s="1" t="s">
        <v>13963</v>
      </c>
      <c r="C3328" s="1">
        <v>2018.0</v>
      </c>
      <c r="D3328" s="2">
        <v>43118.0</v>
      </c>
      <c r="F3328" s="1" t="s">
        <v>396</v>
      </c>
      <c r="H3328" s="3">
        <v>23.0</v>
      </c>
      <c r="I3328" s="4" t="s">
        <v>13964</v>
      </c>
      <c r="J3328" s="1"/>
      <c r="K3328" s="1" t="s">
        <v>571</v>
      </c>
    </row>
    <row r="3329">
      <c r="A3329" s="1" t="s">
        <v>13965</v>
      </c>
      <c r="B3329" s="1" t="s">
        <v>13966</v>
      </c>
      <c r="C3329" s="1">
        <v>2018.0</v>
      </c>
      <c r="D3329" s="2">
        <v>43118.0</v>
      </c>
      <c r="F3329" s="1" t="s">
        <v>11421</v>
      </c>
      <c r="H3329" s="3">
        <v>46.0</v>
      </c>
      <c r="I3329" s="4" t="s">
        <v>13967</v>
      </c>
      <c r="J3329" s="1" t="s">
        <v>13968</v>
      </c>
      <c r="K3329" s="1" t="s">
        <v>28</v>
      </c>
    </row>
    <row r="3330">
      <c r="A3330" s="1" t="s">
        <v>13969</v>
      </c>
      <c r="B3330" s="1" t="s">
        <v>13970</v>
      </c>
      <c r="C3330" s="1">
        <v>2018.0</v>
      </c>
      <c r="D3330" s="2">
        <v>43118.0</v>
      </c>
      <c r="F3330" s="1" t="s">
        <v>440</v>
      </c>
      <c r="H3330" s="3">
        <v>0.0</v>
      </c>
      <c r="I3330" s="4" t="s">
        <v>13971</v>
      </c>
      <c r="J3330" s="1"/>
      <c r="K3330" s="1" t="s">
        <v>383</v>
      </c>
    </row>
    <row r="3331">
      <c r="A3331" s="1" t="s">
        <v>13972</v>
      </c>
      <c r="B3331" s="1" t="s">
        <v>13973</v>
      </c>
      <c r="C3331" s="1">
        <v>2018.0</v>
      </c>
      <c r="D3331" s="2">
        <v>43118.0</v>
      </c>
      <c r="F3331" s="1" t="s">
        <v>2196</v>
      </c>
      <c r="H3331" s="3">
        <v>25.0</v>
      </c>
      <c r="I3331" s="4" t="s">
        <v>13974</v>
      </c>
      <c r="J3331" s="1" t="s">
        <v>13975</v>
      </c>
      <c r="K3331" s="1" t="s">
        <v>28</v>
      </c>
    </row>
    <row r="3332">
      <c r="A3332" s="1" t="s">
        <v>13976</v>
      </c>
      <c r="B3332" s="1" t="s">
        <v>13977</v>
      </c>
      <c r="C3332" s="1">
        <v>2018.0</v>
      </c>
      <c r="D3332" s="2">
        <v>43117.0</v>
      </c>
      <c r="F3332" s="1" t="s">
        <v>13978</v>
      </c>
      <c r="H3332" s="3">
        <v>37.0</v>
      </c>
      <c r="I3332" s="4" t="s">
        <v>13979</v>
      </c>
      <c r="J3332" s="1" t="s">
        <v>13980</v>
      </c>
      <c r="K3332" s="1" t="s">
        <v>295</v>
      </c>
    </row>
    <row r="3333">
      <c r="A3333" s="1" t="s">
        <v>13981</v>
      </c>
      <c r="B3333" s="1" t="s">
        <v>13982</v>
      </c>
      <c r="C3333" s="1">
        <v>2018.0</v>
      </c>
      <c r="D3333" s="2">
        <v>43116.0</v>
      </c>
      <c r="F3333" s="1" t="s">
        <v>5006</v>
      </c>
      <c r="H3333" s="3">
        <v>7.0</v>
      </c>
      <c r="I3333" s="4" t="s">
        <v>13983</v>
      </c>
      <c r="J3333" s="1" t="s">
        <v>13984</v>
      </c>
      <c r="K3333" s="1" t="s">
        <v>16</v>
      </c>
    </row>
    <row r="3334">
      <c r="A3334" s="1" t="s">
        <v>13985</v>
      </c>
      <c r="B3334" s="1" t="s">
        <v>12945</v>
      </c>
      <c r="C3334" s="1">
        <v>2018.0</v>
      </c>
      <c r="D3334" s="2">
        <v>43113.0</v>
      </c>
      <c r="F3334" s="1" t="s">
        <v>12240</v>
      </c>
      <c r="H3334" s="3">
        <v>59.0</v>
      </c>
      <c r="I3334" s="4" t="s">
        <v>13986</v>
      </c>
      <c r="J3334" s="1" t="s">
        <v>13987</v>
      </c>
      <c r="K3334" s="1" t="s">
        <v>546</v>
      </c>
    </row>
    <row r="3335">
      <c r="A3335" s="1" t="s">
        <v>13988</v>
      </c>
      <c r="B3335" s="1" t="s">
        <v>13989</v>
      </c>
      <c r="C3335" s="1">
        <v>2018.0</v>
      </c>
      <c r="D3335" s="2">
        <v>43112.0</v>
      </c>
      <c r="F3335" s="1" t="s">
        <v>59</v>
      </c>
      <c r="H3335" s="3">
        <v>17.0</v>
      </c>
      <c r="I3335" s="4" t="s">
        <v>13990</v>
      </c>
      <c r="J3335" s="1" t="s">
        <v>13991</v>
      </c>
      <c r="K3335" s="1" t="s">
        <v>295</v>
      </c>
    </row>
    <row r="3336">
      <c r="A3336" s="1" t="s">
        <v>13992</v>
      </c>
      <c r="B3336" s="1" t="s">
        <v>13575</v>
      </c>
      <c r="C3336" s="1">
        <v>2018.0</v>
      </c>
      <c r="D3336" s="2">
        <v>43111.0</v>
      </c>
      <c r="F3336" s="1" t="s">
        <v>12240</v>
      </c>
      <c r="H3336" s="3">
        <v>41.0</v>
      </c>
      <c r="I3336" s="4" t="s">
        <v>13993</v>
      </c>
      <c r="J3336" s="1" t="s">
        <v>13994</v>
      </c>
      <c r="K3336" s="1" t="s">
        <v>546</v>
      </c>
    </row>
    <row r="3337">
      <c r="A3337" s="1" t="s">
        <v>13995</v>
      </c>
      <c r="B3337" s="1" t="s">
        <v>13996</v>
      </c>
      <c r="C3337" s="1">
        <v>2018.0</v>
      </c>
      <c r="D3337" s="2">
        <v>43111.0</v>
      </c>
      <c r="F3337" s="1" t="s">
        <v>835</v>
      </c>
      <c r="H3337" s="3">
        <v>93.0</v>
      </c>
      <c r="I3337" s="4" t="s">
        <v>13997</v>
      </c>
      <c r="J3337" s="1" t="s">
        <v>13998</v>
      </c>
      <c r="K3337" s="1" t="s">
        <v>28</v>
      </c>
    </row>
    <row r="3338">
      <c r="A3338" s="1" t="s">
        <v>13999</v>
      </c>
      <c r="B3338" s="1" t="s">
        <v>14000</v>
      </c>
      <c r="C3338" s="1">
        <v>2018.0</v>
      </c>
      <c r="D3338" s="2">
        <v>43109.0</v>
      </c>
      <c r="F3338" s="1" t="s">
        <v>979</v>
      </c>
      <c r="H3338" s="3">
        <v>16.0</v>
      </c>
      <c r="I3338" s="4" t="s">
        <v>14001</v>
      </c>
      <c r="J3338" s="1" t="s">
        <v>14002</v>
      </c>
      <c r="K3338" s="1" t="s">
        <v>45</v>
      </c>
    </row>
    <row r="3339">
      <c r="A3339" s="1" t="s">
        <v>14003</v>
      </c>
      <c r="B3339" s="1" t="s">
        <v>14004</v>
      </c>
      <c r="C3339" s="1">
        <v>2018.0</v>
      </c>
      <c r="D3339" s="2">
        <v>43108.0</v>
      </c>
      <c r="F3339" s="1" t="s">
        <v>4217</v>
      </c>
      <c r="H3339" s="3">
        <v>17.0</v>
      </c>
      <c r="I3339" s="4" t="s">
        <v>14005</v>
      </c>
      <c r="J3339" s="1" t="s">
        <v>14006</v>
      </c>
      <c r="K3339" s="1" t="s">
        <v>295</v>
      </c>
    </row>
    <row r="3340">
      <c r="A3340" s="1" t="s">
        <v>14007</v>
      </c>
      <c r="B3340" s="1" t="s">
        <v>14008</v>
      </c>
      <c r="C3340" s="1">
        <v>2018.0</v>
      </c>
      <c r="D3340" s="2">
        <v>43108.0</v>
      </c>
      <c r="F3340" s="1" t="s">
        <v>410</v>
      </c>
      <c r="H3340" s="3">
        <v>41.0</v>
      </c>
      <c r="I3340" s="4" t="s">
        <v>14009</v>
      </c>
      <c r="J3340" s="1" t="s">
        <v>14010</v>
      </c>
      <c r="K3340" s="1" t="s">
        <v>413</v>
      </c>
    </row>
    <row r="3341">
      <c r="A3341" s="1" t="s">
        <v>14011</v>
      </c>
      <c r="B3341" s="1" t="s">
        <v>14012</v>
      </c>
      <c r="C3341" s="1">
        <v>2018.0</v>
      </c>
      <c r="D3341" s="2">
        <v>43104.0</v>
      </c>
      <c r="F3341" s="1" t="s">
        <v>4147</v>
      </c>
      <c r="H3341" s="3">
        <v>3.0</v>
      </c>
      <c r="I3341" s="4" t="s">
        <v>14013</v>
      </c>
      <c r="J3341" s="1" t="s">
        <v>14014</v>
      </c>
      <c r="K3341" s="1" t="s">
        <v>68</v>
      </c>
    </row>
    <row r="3342">
      <c r="A3342" s="1" t="s">
        <v>14015</v>
      </c>
      <c r="B3342" s="1" t="s">
        <v>14016</v>
      </c>
      <c r="C3342" s="1">
        <v>2018.0</v>
      </c>
      <c r="D3342" s="2">
        <v>43104.0</v>
      </c>
      <c r="F3342" s="1" t="s">
        <v>578</v>
      </c>
      <c r="H3342" s="3">
        <v>63.0</v>
      </c>
      <c r="I3342" s="4" t="s">
        <v>14017</v>
      </c>
      <c r="J3342" s="1" t="s">
        <v>14018</v>
      </c>
      <c r="K3342" s="1" t="s">
        <v>16</v>
      </c>
    </row>
    <row r="3343">
      <c r="A3343" s="1" t="s">
        <v>14019</v>
      </c>
      <c r="B3343" s="1" t="s">
        <v>14020</v>
      </c>
      <c r="C3343" s="1">
        <v>2018.0</v>
      </c>
      <c r="D3343" s="2">
        <v>43103.0</v>
      </c>
      <c r="F3343" s="1" t="s">
        <v>13604</v>
      </c>
      <c r="H3343" s="3">
        <v>54.0</v>
      </c>
      <c r="I3343" s="4" t="s">
        <v>14021</v>
      </c>
      <c r="J3343" s="1" t="s">
        <v>14022</v>
      </c>
      <c r="K3343" s="1" t="s">
        <v>383</v>
      </c>
    </row>
    <row r="3344">
      <c r="A3344" s="1" t="s">
        <v>14023</v>
      </c>
      <c r="B3344" s="1" t="s">
        <v>14024</v>
      </c>
      <c r="C3344" s="1">
        <v>2018.0</v>
      </c>
      <c r="D3344" s="2">
        <v>43101.0</v>
      </c>
      <c r="F3344" s="1" t="s">
        <v>5554</v>
      </c>
      <c r="H3344" s="3">
        <v>15.0</v>
      </c>
      <c r="I3344" s="4" t="s">
        <v>14025</v>
      </c>
      <c r="J3344" s="1" t="s">
        <v>14026</v>
      </c>
      <c r="K3344" s="1" t="s">
        <v>383</v>
      </c>
    </row>
    <row r="3345">
      <c r="A3345" s="1" t="s">
        <v>14027</v>
      </c>
      <c r="B3345" s="1" t="s">
        <v>14028</v>
      </c>
      <c r="C3345" s="1">
        <v>2018.0</v>
      </c>
      <c r="D3345" s="2">
        <v>43101.0</v>
      </c>
      <c r="F3345" s="1" t="s">
        <v>5834</v>
      </c>
      <c r="H3345" s="3">
        <v>11.0</v>
      </c>
      <c r="I3345" s="4" t="s">
        <v>14029</v>
      </c>
      <c r="J3345" s="1" t="s">
        <v>14030</v>
      </c>
      <c r="K3345" s="1" t="s">
        <v>28</v>
      </c>
    </row>
    <row r="3346">
      <c r="A3346" s="1" t="s">
        <v>14031</v>
      </c>
      <c r="B3346" s="1" t="s">
        <v>14032</v>
      </c>
      <c r="C3346" s="1">
        <v>2018.0</v>
      </c>
      <c r="D3346" s="2">
        <v>43101.0</v>
      </c>
      <c r="F3346" s="1" t="s">
        <v>9133</v>
      </c>
      <c r="H3346" s="3">
        <v>23.0</v>
      </c>
      <c r="I3346" s="4" t="s">
        <v>14033</v>
      </c>
      <c r="J3346" s="1" t="s">
        <v>14034</v>
      </c>
      <c r="K3346" s="1" t="s">
        <v>492</v>
      </c>
    </row>
    <row r="3347">
      <c r="A3347" s="1" t="s">
        <v>14035</v>
      </c>
      <c r="B3347" s="1" t="s">
        <v>14036</v>
      </c>
      <c r="C3347" s="1">
        <v>2018.0</v>
      </c>
      <c r="D3347" s="2">
        <v>43101.0</v>
      </c>
      <c r="F3347" s="1" t="s">
        <v>12193</v>
      </c>
      <c r="H3347" s="3">
        <v>77.0</v>
      </c>
      <c r="I3347" s="4" t="s">
        <v>14037</v>
      </c>
      <c r="J3347" s="1" t="s">
        <v>14038</v>
      </c>
      <c r="K3347" s="1" t="s">
        <v>926</v>
      </c>
    </row>
    <row r="3348">
      <c r="A3348" s="1" t="s">
        <v>14039</v>
      </c>
      <c r="B3348" s="1" t="s">
        <v>14040</v>
      </c>
      <c r="C3348" s="1">
        <v>2018.0</v>
      </c>
      <c r="D3348" s="2">
        <v>43101.0</v>
      </c>
      <c r="F3348" s="1" t="s">
        <v>5834</v>
      </c>
      <c r="H3348" s="3">
        <v>82.0</v>
      </c>
      <c r="I3348" s="4" t="s">
        <v>14041</v>
      </c>
      <c r="J3348" s="1" t="s">
        <v>14042</v>
      </c>
      <c r="K3348" s="1" t="s">
        <v>1036</v>
      </c>
    </row>
    <row r="3349">
      <c r="A3349" s="1" t="s">
        <v>14043</v>
      </c>
      <c r="B3349" s="1" t="s">
        <v>14044</v>
      </c>
      <c r="C3349" s="1">
        <v>2018.0</v>
      </c>
      <c r="D3349" s="2">
        <v>43101.0</v>
      </c>
      <c r="F3349" s="1" t="s">
        <v>1199</v>
      </c>
      <c r="H3349" s="3">
        <v>58.0</v>
      </c>
      <c r="I3349" s="4" t="s">
        <v>14045</v>
      </c>
      <c r="J3349" s="1" t="s">
        <v>14046</v>
      </c>
      <c r="K3349" s="1" t="s">
        <v>323</v>
      </c>
    </row>
    <row r="3350">
      <c r="A3350" s="1" t="s">
        <v>14047</v>
      </c>
      <c r="B3350" s="1" t="s">
        <v>14048</v>
      </c>
      <c r="C3350" s="1">
        <v>2018.0</v>
      </c>
      <c r="D3350" s="2">
        <v>43101.0</v>
      </c>
      <c r="F3350" s="1" t="s">
        <v>1050</v>
      </c>
      <c r="H3350" s="3">
        <v>0.0</v>
      </c>
      <c r="I3350" s="4" t="s">
        <v>14049</v>
      </c>
      <c r="J3350" s="1" t="s">
        <v>14050</v>
      </c>
      <c r="K3350" s="1" t="s">
        <v>28</v>
      </c>
    </row>
    <row r="3351">
      <c r="A3351" s="1" t="s">
        <v>14051</v>
      </c>
      <c r="B3351" s="1" t="s">
        <v>14052</v>
      </c>
      <c r="C3351" s="1">
        <v>2018.0</v>
      </c>
      <c r="D3351" s="2">
        <v>43101.0</v>
      </c>
      <c r="F3351" s="1" t="s">
        <v>5824</v>
      </c>
      <c r="H3351" s="3">
        <v>44.0</v>
      </c>
      <c r="I3351" s="4" t="s">
        <v>14053</v>
      </c>
      <c r="J3351" s="1" t="s">
        <v>14054</v>
      </c>
      <c r="K3351" s="1" t="s">
        <v>68</v>
      </c>
    </row>
    <row r="3352">
      <c r="A3352" s="1" t="s">
        <v>14055</v>
      </c>
      <c r="B3352" s="1" t="s">
        <v>14056</v>
      </c>
      <c r="C3352" s="1">
        <v>2018.0</v>
      </c>
      <c r="D3352" s="2">
        <v>43101.0</v>
      </c>
      <c r="F3352" s="1" t="s">
        <v>14057</v>
      </c>
      <c r="H3352" s="3">
        <v>5.0</v>
      </c>
      <c r="I3352" s="4" t="s">
        <v>14058</v>
      </c>
      <c r="J3352" s="1" t="s">
        <v>14059</v>
      </c>
      <c r="K3352" s="1" t="s">
        <v>68</v>
      </c>
    </row>
    <row r="3353">
      <c r="A3353" s="1" t="s">
        <v>14060</v>
      </c>
      <c r="B3353" s="1" t="s">
        <v>14061</v>
      </c>
      <c r="C3353" s="1">
        <v>2018.0</v>
      </c>
      <c r="D3353" s="2">
        <v>43101.0</v>
      </c>
      <c r="F3353" s="1" t="s">
        <v>14062</v>
      </c>
      <c r="H3353" s="3">
        <v>16.0</v>
      </c>
      <c r="I3353" s="4" t="s">
        <v>14063</v>
      </c>
      <c r="J3353" s="1" t="s">
        <v>14064</v>
      </c>
      <c r="K3353" s="1" t="s">
        <v>323</v>
      </c>
    </row>
    <row r="3354">
      <c r="A3354" s="1" t="s">
        <v>14065</v>
      </c>
      <c r="B3354" s="1" t="s">
        <v>14066</v>
      </c>
      <c r="C3354" s="1">
        <v>2018.0</v>
      </c>
      <c r="D3354" s="2">
        <v>43101.0</v>
      </c>
      <c r="F3354" s="1" t="s">
        <v>1050</v>
      </c>
      <c r="H3354" s="3">
        <v>0.0</v>
      </c>
      <c r="I3354" s="4" t="s">
        <v>14067</v>
      </c>
      <c r="J3354" s="1" t="s">
        <v>14068</v>
      </c>
      <c r="K3354" s="1" t="s">
        <v>68</v>
      </c>
    </row>
    <row r="3355">
      <c r="A3355" s="1" t="s">
        <v>14069</v>
      </c>
      <c r="B3355" s="1" t="s">
        <v>14070</v>
      </c>
      <c r="C3355" s="1">
        <v>2018.0</v>
      </c>
      <c r="D3355" s="2">
        <v>43101.0</v>
      </c>
      <c r="F3355" s="1" t="s">
        <v>14071</v>
      </c>
      <c r="H3355" s="3">
        <v>12.0</v>
      </c>
      <c r="I3355" s="4" t="s">
        <v>14072</v>
      </c>
      <c r="J3355" s="1" t="s">
        <v>14073</v>
      </c>
      <c r="K3355" s="1" t="s">
        <v>16</v>
      </c>
    </row>
    <row r="3356">
      <c r="A3356" s="1" t="s">
        <v>14074</v>
      </c>
      <c r="B3356" s="1" t="s">
        <v>14075</v>
      </c>
      <c r="C3356" s="1">
        <v>2018.0</v>
      </c>
      <c r="D3356" s="2">
        <v>43101.0</v>
      </c>
      <c r="F3356" s="1" t="s">
        <v>223</v>
      </c>
      <c r="H3356" s="3">
        <v>22.0</v>
      </c>
      <c r="I3356" s="4" t="s">
        <v>14076</v>
      </c>
      <c r="J3356" s="1" t="s">
        <v>14077</v>
      </c>
      <c r="K3356" s="1" t="s">
        <v>16</v>
      </c>
    </row>
    <row r="3357">
      <c r="A3357" s="1" t="s">
        <v>14078</v>
      </c>
      <c r="B3357" s="1" t="s">
        <v>14079</v>
      </c>
      <c r="C3357" s="1">
        <v>2018.0</v>
      </c>
      <c r="D3357" s="2">
        <v>43101.0</v>
      </c>
      <c r="F3357" s="1" t="s">
        <v>5554</v>
      </c>
      <c r="H3357" s="3">
        <v>43.0</v>
      </c>
      <c r="I3357" s="4" t="s">
        <v>14080</v>
      </c>
      <c r="J3357" s="1" t="s">
        <v>14081</v>
      </c>
      <c r="K3357" s="1" t="s">
        <v>16</v>
      </c>
    </row>
    <row r="3358">
      <c r="A3358" s="1" t="s">
        <v>14082</v>
      </c>
      <c r="B3358" s="1" t="s">
        <v>14083</v>
      </c>
      <c r="C3358" s="1">
        <v>2017.0</v>
      </c>
      <c r="D3358" s="2">
        <v>43099.0</v>
      </c>
      <c r="F3358" s="1" t="s">
        <v>656</v>
      </c>
      <c r="H3358" s="3">
        <v>10.0</v>
      </c>
      <c r="I3358" s="4" t="s">
        <v>14084</v>
      </c>
      <c r="J3358" s="1" t="s">
        <v>14085</v>
      </c>
      <c r="K3358" s="1" t="s">
        <v>462</v>
      </c>
    </row>
    <row r="3359">
      <c r="A3359" s="1" t="s">
        <v>14086</v>
      </c>
      <c r="B3359" s="1" t="s">
        <v>14087</v>
      </c>
      <c r="C3359" s="1">
        <v>2017.0</v>
      </c>
      <c r="D3359" s="2">
        <v>43097.0</v>
      </c>
      <c r="F3359" s="1" t="s">
        <v>208</v>
      </c>
      <c r="H3359" s="3">
        <v>24.0</v>
      </c>
      <c r="I3359" s="4" t="s">
        <v>14088</v>
      </c>
      <c r="J3359" s="1" t="s">
        <v>14089</v>
      </c>
      <c r="K3359" s="1" t="s">
        <v>295</v>
      </c>
    </row>
    <row r="3360">
      <c r="A3360" s="1" t="s">
        <v>14090</v>
      </c>
      <c r="B3360" s="1" t="s">
        <v>14091</v>
      </c>
      <c r="C3360" s="1">
        <v>2017.0</v>
      </c>
      <c r="D3360" s="2">
        <v>43096.0</v>
      </c>
      <c r="F3360" s="1" t="s">
        <v>271</v>
      </c>
      <c r="H3360" s="3">
        <v>43.0</v>
      </c>
      <c r="I3360" s="4" t="s">
        <v>14092</v>
      </c>
      <c r="J3360" s="1" t="s">
        <v>14093</v>
      </c>
      <c r="K3360" s="1" t="s">
        <v>323</v>
      </c>
    </row>
    <row r="3361">
      <c r="A3361" s="1" t="s">
        <v>14094</v>
      </c>
      <c r="B3361" s="1" t="s">
        <v>14095</v>
      </c>
      <c r="C3361" s="1">
        <v>2017.0</v>
      </c>
      <c r="D3361" s="2">
        <v>43096.0</v>
      </c>
      <c r="F3361" s="1" t="s">
        <v>2774</v>
      </c>
      <c r="H3361" s="3">
        <v>71.0</v>
      </c>
      <c r="I3361" s="4" t="s">
        <v>14096</v>
      </c>
      <c r="J3361" s="1" t="s">
        <v>14097</v>
      </c>
      <c r="K3361" s="1" t="s">
        <v>28</v>
      </c>
    </row>
    <row r="3362">
      <c r="A3362" s="1" t="s">
        <v>14098</v>
      </c>
      <c r="B3362" s="1" t="s">
        <v>13641</v>
      </c>
      <c r="C3362" s="1">
        <v>2017.0</v>
      </c>
      <c r="D3362" s="2">
        <v>43092.0</v>
      </c>
      <c r="F3362" s="1" t="s">
        <v>5815</v>
      </c>
      <c r="H3362" s="3">
        <v>15.0</v>
      </c>
      <c r="I3362" s="4" t="s">
        <v>14099</v>
      </c>
      <c r="J3362" s="1" t="s">
        <v>14100</v>
      </c>
      <c r="K3362" s="1" t="s">
        <v>28</v>
      </c>
    </row>
    <row r="3363">
      <c r="A3363" s="1" t="s">
        <v>14101</v>
      </c>
      <c r="B3363" s="1" t="s">
        <v>11478</v>
      </c>
      <c r="C3363" s="1">
        <v>2017.0</v>
      </c>
      <c r="D3363" s="2">
        <v>43091.0</v>
      </c>
      <c r="F3363" s="1" t="s">
        <v>7425</v>
      </c>
      <c r="H3363" s="3">
        <v>275.0</v>
      </c>
      <c r="I3363" s="4" t="s">
        <v>14102</v>
      </c>
      <c r="J3363" s="1" t="s">
        <v>14103</v>
      </c>
      <c r="K3363" s="1" t="s">
        <v>28</v>
      </c>
    </row>
    <row r="3364">
      <c r="A3364" s="1" t="s">
        <v>14104</v>
      </c>
      <c r="B3364" s="1" t="s">
        <v>14105</v>
      </c>
      <c r="C3364" s="1">
        <v>2017.0</v>
      </c>
      <c r="D3364" s="2">
        <v>43091.0</v>
      </c>
      <c r="F3364" s="1" t="s">
        <v>12240</v>
      </c>
      <c r="H3364" s="3">
        <v>23.0</v>
      </c>
      <c r="I3364" s="4" t="s">
        <v>14106</v>
      </c>
      <c r="J3364" s="1" t="s">
        <v>14107</v>
      </c>
      <c r="K3364" s="1" t="s">
        <v>546</v>
      </c>
    </row>
    <row r="3365">
      <c r="A3365" s="1" t="s">
        <v>14108</v>
      </c>
      <c r="B3365" s="1" t="s">
        <v>14109</v>
      </c>
      <c r="C3365" s="1">
        <v>2017.0</v>
      </c>
      <c r="D3365" s="2">
        <v>43089.0</v>
      </c>
      <c r="F3365" s="1" t="s">
        <v>2560</v>
      </c>
      <c r="H3365" s="3">
        <v>75.0</v>
      </c>
      <c r="I3365" s="4" t="s">
        <v>14110</v>
      </c>
      <c r="J3365" s="1" t="s">
        <v>14111</v>
      </c>
      <c r="K3365" s="1" t="s">
        <v>28</v>
      </c>
    </row>
    <row r="3366">
      <c r="A3366" s="1" t="s">
        <v>14112</v>
      </c>
      <c r="B3366" s="1" t="s">
        <v>14113</v>
      </c>
      <c r="C3366" s="1">
        <v>2017.0</v>
      </c>
      <c r="D3366" s="2">
        <v>43089.0</v>
      </c>
      <c r="F3366" s="1" t="s">
        <v>1050</v>
      </c>
      <c r="H3366" s="3">
        <v>0.0</v>
      </c>
      <c r="I3366" s="4" t="s">
        <v>14114</v>
      </c>
      <c r="J3366" s="1" t="s">
        <v>14115</v>
      </c>
      <c r="K3366" s="1" t="s">
        <v>68</v>
      </c>
    </row>
    <row r="3367">
      <c r="A3367" s="1" t="s">
        <v>14116</v>
      </c>
      <c r="B3367" s="1" t="s">
        <v>14117</v>
      </c>
      <c r="C3367" s="1">
        <v>2017.0</v>
      </c>
      <c r="D3367" s="2">
        <v>43088.0</v>
      </c>
      <c r="F3367" s="1" t="s">
        <v>4068</v>
      </c>
      <c r="H3367" s="3">
        <v>37.0</v>
      </c>
      <c r="I3367" s="4" t="s">
        <v>14118</v>
      </c>
      <c r="J3367" s="1" t="s">
        <v>14119</v>
      </c>
      <c r="K3367" s="1" t="s">
        <v>323</v>
      </c>
    </row>
    <row r="3368">
      <c r="A3368" s="1" t="s">
        <v>14120</v>
      </c>
      <c r="B3368" s="1" t="s">
        <v>14121</v>
      </c>
      <c r="C3368" s="1">
        <v>2017.0</v>
      </c>
      <c r="D3368" s="2">
        <v>43087.0</v>
      </c>
      <c r="F3368" s="1" t="s">
        <v>308</v>
      </c>
      <c r="H3368" s="3">
        <v>0.0</v>
      </c>
      <c r="I3368" s="4" t="s">
        <v>14122</v>
      </c>
      <c r="J3368" s="1"/>
      <c r="K3368" s="1" t="s">
        <v>28</v>
      </c>
    </row>
    <row r="3369">
      <c r="A3369" s="1" t="s">
        <v>14123</v>
      </c>
      <c r="B3369" s="1" t="s">
        <v>14124</v>
      </c>
      <c r="C3369" s="1">
        <v>2017.0</v>
      </c>
      <c r="D3369" s="2">
        <v>43085.0</v>
      </c>
      <c r="F3369" s="1" t="s">
        <v>7495</v>
      </c>
      <c r="H3369" s="3">
        <v>21.0</v>
      </c>
      <c r="I3369" s="4" t="s">
        <v>14125</v>
      </c>
      <c r="J3369" s="1" t="s">
        <v>14126</v>
      </c>
      <c r="K3369" s="1" t="s">
        <v>323</v>
      </c>
    </row>
    <row r="3370">
      <c r="A3370" s="1" t="s">
        <v>14127</v>
      </c>
      <c r="B3370" s="1" t="s">
        <v>14128</v>
      </c>
      <c r="C3370" s="1">
        <v>2017.0</v>
      </c>
      <c r="D3370" s="2">
        <v>43084.0</v>
      </c>
      <c r="F3370" s="1" t="s">
        <v>12240</v>
      </c>
      <c r="H3370" s="3">
        <v>24.0</v>
      </c>
      <c r="I3370" s="4" t="s">
        <v>14129</v>
      </c>
      <c r="J3370" s="1" t="s">
        <v>14130</v>
      </c>
      <c r="K3370" s="1" t="s">
        <v>546</v>
      </c>
    </row>
    <row r="3371">
      <c r="A3371" s="1" t="s">
        <v>14131</v>
      </c>
      <c r="B3371" s="1" t="s">
        <v>14132</v>
      </c>
      <c r="C3371" s="1">
        <v>2017.0</v>
      </c>
      <c r="D3371" s="2">
        <v>43081.0</v>
      </c>
      <c r="F3371" s="1" t="s">
        <v>1040</v>
      </c>
      <c r="H3371" s="3">
        <v>23.0</v>
      </c>
      <c r="I3371" s="4" t="s">
        <v>14133</v>
      </c>
      <c r="J3371" s="1" t="s">
        <v>14134</v>
      </c>
      <c r="K3371" s="1" t="s">
        <v>383</v>
      </c>
    </row>
    <row r="3372">
      <c r="A3372" s="1" t="s">
        <v>14135</v>
      </c>
      <c r="B3372" s="1" t="s">
        <v>14136</v>
      </c>
      <c r="C3372" s="1">
        <v>2017.0</v>
      </c>
      <c r="D3372" s="2">
        <v>43081.0</v>
      </c>
      <c r="F3372" s="1" t="s">
        <v>14137</v>
      </c>
      <c r="H3372" s="3">
        <v>6.0</v>
      </c>
      <c r="I3372" s="4" t="s">
        <v>14138</v>
      </c>
      <c r="J3372" s="1" t="s">
        <v>14139</v>
      </c>
      <c r="K3372" s="1" t="s">
        <v>1036</v>
      </c>
    </row>
    <row r="3373">
      <c r="A3373" s="1" t="s">
        <v>14140</v>
      </c>
      <c r="B3373" s="1" t="s">
        <v>14141</v>
      </c>
      <c r="C3373" s="1">
        <v>2017.0</v>
      </c>
      <c r="D3373" s="2">
        <v>43081.0</v>
      </c>
      <c r="F3373" s="1" t="s">
        <v>71</v>
      </c>
      <c r="H3373" s="3">
        <v>108.0</v>
      </c>
      <c r="I3373" s="4" t="s">
        <v>14142</v>
      </c>
      <c r="J3373" s="1" t="s">
        <v>14143</v>
      </c>
      <c r="K3373" s="1" t="s">
        <v>926</v>
      </c>
    </row>
    <row r="3374">
      <c r="A3374" s="1" t="s">
        <v>14144</v>
      </c>
      <c r="B3374" s="1" t="s">
        <v>14145</v>
      </c>
      <c r="C3374" s="1">
        <v>2017.0</v>
      </c>
      <c r="D3374" s="2">
        <v>43080.0</v>
      </c>
      <c r="F3374" s="1" t="s">
        <v>1170</v>
      </c>
      <c r="H3374" s="3">
        <v>32.0</v>
      </c>
      <c r="I3374" s="4" t="s">
        <v>14146</v>
      </c>
      <c r="J3374" s="1" t="s">
        <v>14147</v>
      </c>
      <c r="K3374" s="1" t="s">
        <v>45</v>
      </c>
    </row>
    <row r="3375">
      <c r="A3375" s="1" t="s">
        <v>14148</v>
      </c>
      <c r="B3375" s="1" t="s">
        <v>14149</v>
      </c>
      <c r="C3375" s="1">
        <v>2017.0</v>
      </c>
      <c r="D3375" s="2">
        <v>43080.0</v>
      </c>
      <c r="F3375" s="1" t="s">
        <v>14150</v>
      </c>
      <c r="H3375" s="3">
        <v>23.0</v>
      </c>
      <c r="I3375" s="4" t="s">
        <v>14151</v>
      </c>
      <c r="J3375" s="1" t="s">
        <v>14152</v>
      </c>
      <c r="K3375" s="1" t="s">
        <v>45</v>
      </c>
    </row>
    <row r="3376">
      <c r="A3376" s="1" t="s">
        <v>14153</v>
      </c>
      <c r="B3376" s="1" t="s">
        <v>14154</v>
      </c>
      <c r="C3376" s="1">
        <v>2017.0</v>
      </c>
      <c r="D3376" s="2">
        <v>43080.0</v>
      </c>
      <c r="F3376" s="1" t="s">
        <v>243</v>
      </c>
      <c r="H3376" s="3">
        <v>22.0</v>
      </c>
      <c r="I3376" s="4" t="s">
        <v>14155</v>
      </c>
      <c r="J3376" s="1" t="s">
        <v>14156</v>
      </c>
      <c r="K3376" s="1" t="s">
        <v>45</v>
      </c>
    </row>
    <row r="3377">
      <c r="A3377" s="1" t="s">
        <v>14157</v>
      </c>
      <c r="B3377" s="1" t="s">
        <v>14158</v>
      </c>
      <c r="C3377" s="1">
        <v>2017.0</v>
      </c>
      <c r="D3377" s="2">
        <v>43079.0</v>
      </c>
      <c r="F3377" s="1" t="s">
        <v>1170</v>
      </c>
      <c r="H3377" s="3">
        <v>9.0</v>
      </c>
      <c r="I3377" s="4" t="s">
        <v>14159</v>
      </c>
      <c r="J3377" s="1"/>
      <c r="K3377" s="1" t="s">
        <v>418</v>
      </c>
    </row>
    <row r="3378">
      <c r="A3378" s="1" t="s">
        <v>14160</v>
      </c>
      <c r="B3378" s="1" t="s">
        <v>14161</v>
      </c>
      <c r="C3378" s="1">
        <v>2017.0</v>
      </c>
      <c r="D3378" s="2">
        <v>43077.0</v>
      </c>
      <c r="F3378" s="1" t="s">
        <v>2480</v>
      </c>
      <c r="H3378" s="3">
        <v>20.0</v>
      </c>
      <c r="I3378" s="4" t="s">
        <v>14162</v>
      </c>
      <c r="J3378" s="1" t="s">
        <v>14163</v>
      </c>
      <c r="K3378" s="1" t="s">
        <v>323</v>
      </c>
    </row>
    <row r="3379">
      <c r="A3379" s="1" t="s">
        <v>14164</v>
      </c>
      <c r="B3379" s="1" t="s">
        <v>14165</v>
      </c>
      <c r="C3379" s="1">
        <v>2017.0</v>
      </c>
      <c r="D3379" s="2">
        <v>43077.0</v>
      </c>
      <c r="F3379" s="1" t="s">
        <v>2036</v>
      </c>
      <c r="H3379" s="3">
        <v>44.0</v>
      </c>
      <c r="I3379" s="4" t="s">
        <v>14166</v>
      </c>
      <c r="J3379" s="1" t="s">
        <v>14167</v>
      </c>
      <c r="K3379" s="1" t="s">
        <v>340</v>
      </c>
    </row>
    <row r="3380">
      <c r="A3380" s="1" t="s">
        <v>14168</v>
      </c>
      <c r="B3380" s="1" t="s">
        <v>14169</v>
      </c>
      <c r="C3380" s="1">
        <v>2017.0</v>
      </c>
      <c r="D3380" s="2">
        <v>43075.0</v>
      </c>
      <c r="F3380" s="1" t="s">
        <v>71</v>
      </c>
      <c r="H3380" s="3">
        <v>4.0</v>
      </c>
      <c r="I3380" s="4" t="s">
        <v>14170</v>
      </c>
      <c r="J3380" s="1" t="s">
        <v>14171</v>
      </c>
      <c r="K3380" s="1" t="s">
        <v>16</v>
      </c>
    </row>
    <row r="3381">
      <c r="A3381" s="1" t="s">
        <v>14172</v>
      </c>
      <c r="B3381" s="1" t="s">
        <v>14173</v>
      </c>
      <c r="C3381" s="1">
        <v>2017.0</v>
      </c>
      <c r="D3381" s="2">
        <v>43074.0</v>
      </c>
      <c r="F3381" s="1" t="s">
        <v>2982</v>
      </c>
      <c r="H3381" s="3">
        <v>180.0</v>
      </c>
      <c r="I3381" s="4" t="s">
        <v>14174</v>
      </c>
      <c r="J3381" s="1" t="s">
        <v>14175</v>
      </c>
      <c r="K3381" s="1" t="s">
        <v>68</v>
      </c>
    </row>
    <row r="3382">
      <c r="A3382" s="1" t="s">
        <v>14176</v>
      </c>
      <c r="B3382" s="1" t="s">
        <v>14177</v>
      </c>
      <c r="C3382" s="1">
        <v>2017.0</v>
      </c>
      <c r="D3382" s="2">
        <v>43070.0</v>
      </c>
      <c r="F3382" s="1" t="s">
        <v>3340</v>
      </c>
      <c r="H3382" s="3">
        <v>41.0</v>
      </c>
      <c r="I3382" s="4" t="s">
        <v>14178</v>
      </c>
      <c r="J3382" s="1" t="s">
        <v>14179</v>
      </c>
      <c r="K3382" s="1" t="s">
        <v>28</v>
      </c>
    </row>
    <row r="3383">
      <c r="A3383" s="1" t="s">
        <v>14180</v>
      </c>
      <c r="B3383" s="1" t="s">
        <v>14181</v>
      </c>
      <c r="C3383" s="1">
        <v>2017.0</v>
      </c>
      <c r="D3383" s="2">
        <v>43070.0</v>
      </c>
      <c r="F3383" s="1" t="s">
        <v>9604</v>
      </c>
      <c r="H3383" s="3">
        <v>3.0</v>
      </c>
      <c r="I3383" s="4" t="s">
        <v>14182</v>
      </c>
      <c r="J3383" s="1" t="s">
        <v>14183</v>
      </c>
      <c r="K3383" s="1" t="s">
        <v>28</v>
      </c>
    </row>
    <row r="3384">
      <c r="A3384" s="1" t="s">
        <v>14184</v>
      </c>
      <c r="B3384" s="1" t="s">
        <v>14185</v>
      </c>
      <c r="C3384" s="1">
        <v>2017.0</v>
      </c>
      <c r="D3384" s="2">
        <v>43070.0</v>
      </c>
      <c r="F3384" s="1" t="s">
        <v>3340</v>
      </c>
      <c r="H3384" s="3">
        <v>43.0</v>
      </c>
      <c r="I3384" s="4" t="s">
        <v>14186</v>
      </c>
      <c r="J3384" s="1"/>
      <c r="K3384" s="1" t="s">
        <v>16</v>
      </c>
    </row>
    <row r="3385">
      <c r="A3385" s="1" t="s">
        <v>14187</v>
      </c>
      <c r="B3385" s="1" t="s">
        <v>14188</v>
      </c>
      <c r="C3385" s="1">
        <v>2017.0</v>
      </c>
      <c r="D3385" s="2">
        <v>43070.0</v>
      </c>
      <c r="F3385" s="1" t="s">
        <v>286</v>
      </c>
      <c r="H3385" s="3">
        <v>6.0</v>
      </c>
      <c r="I3385" s="4" t="s">
        <v>14189</v>
      </c>
      <c r="J3385" s="1" t="s">
        <v>14190</v>
      </c>
      <c r="K3385" s="1" t="s">
        <v>16</v>
      </c>
    </row>
    <row r="3386">
      <c r="A3386" s="1" t="s">
        <v>14191</v>
      </c>
      <c r="B3386" s="1" t="s">
        <v>14192</v>
      </c>
      <c r="C3386" s="1">
        <v>2017.0</v>
      </c>
      <c r="D3386" s="2">
        <v>43069.0</v>
      </c>
      <c r="F3386" s="1" t="s">
        <v>71</v>
      </c>
      <c r="H3386" s="3">
        <v>11.0</v>
      </c>
      <c r="I3386" s="4" t="s">
        <v>14193</v>
      </c>
      <c r="J3386" s="1" t="s">
        <v>14194</v>
      </c>
      <c r="K3386" s="1" t="s">
        <v>16</v>
      </c>
    </row>
    <row r="3387">
      <c r="A3387" s="1" t="s">
        <v>14195</v>
      </c>
      <c r="B3387" s="1" t="s">
        <v>14196</v>
      </c>
      <c r="C3387" s="1">
        <v>2017.0</v>
      </c>
      <c r="D3387" s="2">
        <v>43068.0</v>
      </c>
      <c r="F3387" s="1" t="s">
        <v>347</v>
      </c>
      <c r="H3387" s="3">
        <v>2.0</v>
      </c>
      <c r="I3387" s="4" t="s">
        <v>14197</v>
      </c>
      <c r="J3387" s="1" t="s">
        <v>14198</v>
      </c>
      <c r="K3387" s="1" t="s">
        <v>323</v>
      </c>
    </row>
    <row r="3388">
      <c r="A3388" s="1" t="s">
        <v>14199</v>
      </c>
      <c r="B3388" s="1" t="s">
        <v>14200</v>
      </c>
      <c r="C3388" s="1">
        <v>2017.0</v>
      </c>
      <c r="D3388" s="2">
        <v>43067.0</v>
      </c>
      <c r="F3388" s="1" t="s">
        <v>3501</v>
      </c>
      <c r="H3388" s="3">
        <v>130.0</v>
      </c>
      <c r="I3388" s="4" t="s">
        <v>14201</v>
      </c>
      <c r="J3388" s="1" t="s">
        <v>14202</v>
      </c>
      <c r="K3388" s="1" t="s">
        <v>28</v>
      </c>
    </row>
    <row r="3389">
      <c r="A3389" s="1" t="s">
        <v>14203</v>
      </c>
      <c r="B3389" s="1" t="s">
        <v>14204</v>
      </c>
      <c r="C3389" s="1">
        <v>2017.0</v>
      </c>
      <c r="D3389" s="2">
        <v>43067.0</v>
      </c>
      <c r="F3389" s="1" t="s">
        <v>4577</v>
      </c>
      <c r="H3389" s="3">
        <v>35.0</v>
      </c>
      <c r="I3389" s="4" t="s">
        <v>14205</v>
      </c>
      <c r="J3389" s="1" t="s">
        <v>14206</v>
      </c>
      <c r="K3389" s="1" t="s">
        <v>28</v>
      </c>
    </row>
    <row r="3390">
      <c r="A3390" s="1" t="s">
        <v>14207</v>
      </c>
      <c r="B3390" s="1" t="s">
        <v>14208</v>
      </c>
      <c r="C3390" s="1">
        <v>2017.0</v>
      </c>
      <c r="D3390" s="2">
        <v>43067.0</v>
      </c>
      <c r="F3390" s="1" t="s">
        <v>4369</v>
      </c>
      <c r="H3390" s="3">
        <v>4.0</v>
      </c>
      <c r="I3390" s="4" t="s">
        <v>14209</v>
      </c>
      <c r="J3390" s="1" t="s">
        <v>14210</v>
      </c>
      <c r="K3390" s="1" t="s">
        <v>295</v>
      </c>
    </row>
    <row r="3391">
      <c r="A3391" s="1" t="s">
        <v>14211</v>
      </c>
      <c r="B3391" s="1" t="s">
        <v>14212</v>
      </c>
      <c r="C3391" s="1">
        <v>2017.0</v>
      </c>
      <c r="D3391" s="2">
        <v>43066.0</v>
      </c>
      <c r="F3391" s="1" t="s">
        <v>298</v>
      </c>
      <c r="H3391" s="3">
        <v>2.0</v>
      </c>
      <c r="I3391" s="4" t="s">
        <v>14213</v>
      </c>
      <c r="J3391" s="1" t="s">
        <v>14214</v>
      </c>
      <c r="K3391" s="1" t="s">
        <v>68</v>
      </c>
    </row>
    <row r="3392">
      <c r="A3392" s="1" t="s">
        <v>14215</v>
      </c>
      <c r="B3392" s="1" t="s">
        <v>14216</v>
      </c>
      <c r="C3392" s="1">
        <v>2017.0</v>
      </c>
      <c r="D3392" s="2">
        <v>43065.0</v>
      </c>
      <c r="F3392" s="1" t="s">
        <v>2819</v>
      </c>
      <c r="H3392" s="3">
        <v>10.0</v>
      </c>
      <c r="I3392" s="4" t="s">
        <v>14217</v>
      </c>
      <c r="J3392" s="1" t="s">
        <v>14218</v>
      </c>
      <c r="K3392" s="1" t="s">
        <v>16</v>
      </c>
    </row>
    <row r="3393">
      <c r="A3393" s="1" t="s">
        <v>14219</v>
      </c>
      <c r="B3393" s="1" t="s">
        <v>13274</v>
      </c>
      <c r="C3393" s="1">
        <v>2017.0</v>
      </c>
      <c r="D3393" s="2">
        <v>43064.0</v>
      </c>
      <c r="F3393" s="1" t="s">
        <v>12240</v>
      </c>
      <c r="H3393" s="3">
        <v>19.0</v>
      </c>
      <c r="I3393" s="4" t="s">
        <v>14220</v>
      </c>
      <c r="J3393" s="1" t="s">
        <v>14221</v>
      </c>
      <c r="K3393" s="1" t="s">
        <v>546</v>
      </c>
    </row>
    <row r="3394">
      <c r="A3394" s="1" t="s">
        <v>14222</v>
      </c>
      <c r="B3394" s="1" t="s">
        <v>14223</v>
      </c>
      <c r="C3394" s="1">
        <v>2017.0</v>
      </c>
      <c r="D3394" s="2">
        <v>43062.0</v>
      </c>
      <c r="F3394" s="1" t="s">
        <v>14224</v>
      </c>
      <c r="H3394" s="3">
        <v>8.0</v>
      </c>
      <c r="I3394" s="4" t="s">
        <v>14225</v>
      </c>
      <c r="J3394" s="1" t="s">
        <v>14226</v>
      </c>
      <c r="K3394" s="1" t="s">
        <v>443</v>
      </c>
    </row>
    <row r="3395">
      <c r="A3395" s="1" t="s">
        <v>14227</v>
      </c>
      <c r="B3395" s="1" t="s">
        <v>14228</v>
      </c>
      <c r="C3395" s="1">
        <v>2017.0</v>
      </c>
      <c r="D3395" s="2">
        <v>43062.0</v>
      </c>
      <c r="F3395" s="1" t="s">
        <v>596</v>
      </c>
      <c r="H3395" s="3">
        <v>3.0</v>
      </c>
      <c r="I3395" s="4" t="s">
        <v>14229</v>
      </c>
      <c r="J3395" s="1" t="s">
        <v>14230</v>
      </c>
      <c r="K3395" s="1" t="s">
        <v>295</v>
      </c>
    </row>
    <row r="3396">
      <c r="A3396" s="1" t="s">
        <v>14231</v>
      </c>
      <c r="B3396" s="1" t="s">
        <v>14232</v>
      </c>
      <c r="C3396" s="1">
        <v>2017.0</v>
      </c>
      <c r="D3396" s="2">
        <v>43061.0</v>
      </c>
      <c r="F3396" s="1" t="s">
        <v>3364</v>
      </c>
      <c r="H3396" s="3">
        <v>7.0</v>
      </c>
      <c r="I3396" s="4" t="s">
        <v>14233</v>
      </c>
      <c r="J3396" s="1" t="s">
        <v>14234</v>
      </c>
      <c r="K3396" s="1" t="s">
        <v>527</v>
      </c>
    </row>
    <row r="3397">
      <c r="A3397" s="1" t="s">
        <v>14235</v>
      </c>
      <c r="B3397" s="1" t="s">
        <v>14236</v>
      </c>
      <c r="C3397" s="1">
        <v>2017.0</v>
      </c>
      <c r="D3397" s="2">
        <v>43059.0</v>
      </c>
      <c r="F3397" s="1" t="s">
        <v>410</v>
      </c>
      <c r="H3397" s="3">
        <v>10.0</v>
      </c>
      <c r="I3397" s="4" t="s">
        <v>14237</v>
      </c>
      <c r="J3397" s="1" t="s">
        <v>14238</v>
      </c>
      <c r="K3397" s="1" t="s">
        <v>413</v>
      </c>
    </row>
    <row r="3398">
      <c r="A3398" s="1" t="s">
        <v>14239</v>
      </c>
      <c r="B3398" s="1" t="s">
        <v>14240</v>
      </c>
      <c r="C3398" s="1">
        <v>2017.0</v>
      </c>
      <c r="D3398" s="2">
        <v>43056.0</v>
      </c>
      <c r="F3398" s="1" t="s">
        <v>243</v>
      </c>
      <c r="H3398" s="3">
        <v>0.0</v>
      </c>
      <c r="I3398" s="4" t="s">
        <v>14241</v>
      </c>
      <c r="J3398" s="1" t="s">
        <v>14242</v>
      </c>
      <c r="K3398" s="1" t="s">
        <v>28</v>
      </c>
    </row>
    <row r="3399">
      <c r="A3399" s="1" t="s">
        <v>14243</v>
      </c>
      <c r="B3399" s="1" t="s">
        <v>14244</v>
      </c>
      <c r="C3399" s="1">
        <v>2017.0</v>
      </c>
      <c r="D3399" s="2">
        <v>43056.0</v>
      </c>
      <c r="F3399" s="1" t="s">
        <v>711</v>
      </c>
      <c r="H3399" s="3">
        <v>102.0</v>
      </c>
      <c r="I3399" s="4" t="s">
        <v>14245</v>
      </c>
      <c r="J3399" s="1" t="s">
        <v>14246</v>
      </c>
      <c r="K3399" s="1" t="s">
        <v>443</v>
      </c>
    </row>
    <row r="3400">
      <c r="A3400" s="1" t="s">
        <v>14247</v>
      </c>
      <c r="B3400" s="1" t="s">
        <v>14248</v>
      </c>
      <c r="C3400" s="1">
        <v>2017.0</v>
      </c>
      <c r="D3400" s="2">
        <v>43055.0</v>
      </c>
      <c r="F3400" s="1" t="s">
        <v>4848</v>
      </c>
      <c r="H3400" s="3">
        <v>0.0</v>
      </c>
      <c r="I3400" s="4" t="s">
        <v>14249</v>
      </c>
      <c r="J3400" s="1" t="s">
        <v>14250</v>
      </c>
      <c r="K3400" s="1" t="s">
        <v>323</v>
      </c>
    </row>
    <row r="3401">
      <c r="A3401" s="1" t="s">
        <v>14251</v>
      </c>
      <c r="B3401" s="1" t="s">
        <v>14252</v>
      </c>
      <c r="C3401" s="1">
        <v>2017.0</v>
      </c>
      <c r="D3401" s="2">
        <v>43055.0</v>
      </c>
      <c r="F3401" s="1" t="s">
        <v>1371</v>
      </c>
      <c r="H3401" s="3">
        <v>9.0</v>
      </c>
      <c r="I3401" s="4" t="s">
        <v>14253</v>
      </c>
      <c r="J3401" s="1" t="s">
        <v>14254</v>
      </c>
      <c r="K3401" s="1" t="s">
        <v>323</v>
      </c>
    </row>
    <row r="3402">
      <c r="A3402" s="1" t="s">
        <v>14255</v>
      </c>
      <c r="B3402" s="1" t="s">
        <v>13353</v>
      </c>
      <c r="C3402" s="1">
        <v>2017.0</v>
      </c>
      <c r="D3402" s="2">
        <v>43054.0</v>
      </c>
      <c r="F3402" s="1" t="s">
        <v>14256</v>
      </c>
      <c r="H3402" s="3">
        <v>3.0</v>
      </c>
      <c r="I3402" s="4" t="s">
        <v>14257</v>
      </c>
      <c r="J3402" s="1"/>
      <c r="K3402" s="1" t="s">
        <v>28</v>
      </c>
    </row>
    <row r="3403">
      <c r="A3403" s="1" t="s">
        <v>14258</v>
      </c>
      <c r="B3403" s="1" t="s">
        <v>14128</v>
      </c>
      <c r="C3403" s="1">
        <v>2017.0</v>
      </c>
      <c r="D3403" s="2">
        <v>43054.0</v>
      </c>
      <c r="F3403" s="1" t="s">
        <v>12240</v>
      </c>
      <c r="H3403" s="3">
        <v>15.0</v>
      </c>
      <c r="I3403" s="4" t="s">
        <v>14259</v>
      </c>
      <c r="J3403" s="1" t="s">
        <v>14260</v>
      </c>
      <c r="K3403" s="1" t="s">
        <v>546</v>
      </c>
    </row>
    <row r="3404">
      <c r="A3404" s="1" t="s">
        <v>14261</v>
      </c>
      <c r="B3404" s="1" t="s">
        <v>14262</v>
      </c>
      <c r="C3404" s="1">
        <v>2017.0</v>
      </c>
      <c r="D3404" s="2">
        <v>43054.0</v>
      </c>
      <c r="F3404" s="1" t="s">
        <v>25</v>
      </c>
      <c r="H3404" s="3">
        <v>0.0</v>
      </c>
      <c r="I3404" s="4" t="s">
        <v>14263</v>
      </c>
      <c r="J3404" s="1"/>
      <c r="K3404" s="1" t="s">
        <v>16</v>
      </c>
    </row>
    <row r="3405">
      <c r="A3405" s="1" t="s">
        <v>14264</v>
      </c>
      <c r="B3405" s="1" t="s">
        <v>14265</v>
      </c>
      <c r="C3405" s="1">
        <v>2017.0</v>
      </c>
      <c r="D3405" s="2">
        <v>43053.0</v>
      </c>
      <c r="F3405" s="1" t="s">
        <v>1366</v>
      </c>
      <c r="H3405" s="3">
        <v>32.0</v>
      </c>
      <c r="I3405" s="4" t="s">
        <v>14266</v>
      </c>
      <c r="J3405" s="1" t="s">
        <v>14267</v>
      </c>
      <c r="K3405" s="1" t="s">
        <v>1036</v>
      </c>
    </row>
    <row r="3406">
      <c r="A3406" s="1" t="s">
        <v>14268</v>
      </c>
      <c r="B3406" s="1" t="s">
        <v>14269</v>
      </c>
      <c r="C3406" s="1">
        <v>2017.0</v>
      </c>
      <c r="D3406" s="2">
        <v>43053.0</v>
      </c>
      <c r="F3406" s="1" t="s">
        <v>1637</v>
      </c>
      <c r="H3406" s="3">
        <v>10.0</v>
      </c>
      <c r="I3406" s="4" t="s">
        <v>14270</v>
      </c>
      <c r="J3406" s="1" t="s">
        <v>14271</v>
      </c>
      <c r="K3406" s="1" t="s">
        <v>413</v>
      </c>
    </row>
    <row r="3407">
      <c r="A3407" s="1" t="s">
        <v>14272</v>
      </c>
      <c r="B3407" s="1" t="s">
        <v>14273</v>
      </c>
      <c r="C3407" s="1">
        <v>2017.0</v>
      </c>
      <c r="D3407" s="2">
        <v>43052.0</v>
      </c>
      <c r="F3407" s="1" t="s">
        <v>440</v>
      </c>
      <c r="H3407" s="3">
        <v>0.0</v>
      </c>
      <c r="I3407" s="4" t="s">
        <v>14274</v>
      </c>
      <c r="J3407" s="1"/>
      <c r="K3407" s="1" t="s">
        <v>443</v>
      </c>
    </row>
    <row r="3408">
      <c r="A3408" s="1" t="s">
        <v>14275</v>
      </c>
      <c r="B3408" s="1" t="s">
        <v>14276</v>
      </c>
      <c r="C3408" s="1">
        <v>2017.0</v>
      </c>
      <c r="D3408" s="2">
        <v>43052.0</v>
      </c>
      <c r="F3408" s="1" t="s">
        <v>308</v>
      </c>
      <c r="H3408" s="3">
        <v>15.0</v>
      </c>
      <c r="I3408" s="4" t="s">
        <v>14277</v>
      </c>
      <c r="J3408" s="1" t="s">
        <v>14278</v>
      </c>
      <c r="K3408" s="1" t="s">
        <v>323</v>
      </c>
    </row>
    <row r="3409">
      <c r="A3409" s="1" t="s">
        <v>14279</v>
      </c>
      <c r="B3409" s="1" t="s">
        <v>14280</v>
      </c>
      <c r="C3409" s="1">
        <v>2017.0</v>
      </c>
      <c r="D3409" s="2">
        <v>43051.0</v>
      </c>
      <c r="F3409" s="1" t="s">
        <v>12612</v>
      </c>
      <c r="H3409" s="3">
        <v>14.0</v>
      </c>
      <c r="I3409" s="4" t="s">
        <v>14281</v>
      </c>
      <c r="J3409" s="1" t="s">
        <v>14282</v>
      </c>
      <c r="K3409" s="1" t="s">
        <v>323</v>
      </c>
    </row>
    <row r="3410">
      <c r="A3410" s="1" t="s">
        <v>14283</v>
      </c>
      <c r="B3410" s="1" t="s">
        <v>14284</v>
      </c>
      <c r="C3410" s="1">
        <v>2017.0</v>
      </c>
      <c r="D3410" s="2">
        <v>43049.0</v>
      </c>
      <c r="F3410" s="1" t="s">
        <v>86</v>
      </c>
      <c r="H3410" s="3">
        <v>199.0</v>
      </c>
      <c r="I3410" s="4" t="s">
        <v>14285</v>
      </c>
      <c r="J3410" s="1" t="s">
        <v>14286</v>
      </c>
      <c r="K3410" s="1" t="s">
        <v>372</v>
      </c>
    </row>
    <row r="3411">
      <c r="A3411" s="1" t="s">
        <v>14287</v>
      </c>
      <c r="B3411" s="1" t="s">
        <v>14288</v>
      </c>
      <c r="C3411" s="1">
        <v>2017.0</v>
      </c>
      <c r="D3411" s="2">
        <v>43048.0</v>
      </c>
      <c r="F3411" s="1" t="s">
        <v>5090</v>
      </c>
      <c r="H3411" s="3">
        <v>9.0</v>
      </c>
      <c r="I3411" s="4" t="s">
        <v>14289</v>
      </c>
      <c r="J3411" s="1" t="s">
        <v>14290</v>
      </c>
      <c r="K3411" s="1" t="s">
        <v>443</v>
      </c>
    </row>
    <row r="3412">
      <c r="A3412" s="1" t="s">
        <v>14291</v>
      </c>
      <c r="B3412" s="1" t="s">
        <v>14292</v>
      </c>
      <c r="C3412" s="1">
        <v>2017.0</v>
      </c>
      <c r="D3412" s="2">
        <v>43048.0</v>
      </c>
      <c r="F3412" s="1" t="s">
        <v>157</v>
      </c>
      <c r="H3412" s="3">
        <v>38.0</v>
      </c>
      <c r="I3412" s="4" t="s">
        <v>14293</v>
      </c>
      <c r="J3412" s="1" t="s">
        <v>14294</v>
      </c>
      <c r="K3412" s="1" t="s">
        <v>546</v>
      </c>
    </row>
    <row r="3413">
      <c r="A3413" s="1" t="s">
        <v>14295</v>
      </c>
      <c r="B3413" s="1" t="s">
        <v>14296</v>
      </c>
      <c r="C3413" s="1">
        <v>2017.0</v>
      </c>
      <c r="D3413" s="2">
        <v>43045.0</v>
      </c>
      <c r="F3413" s="1" t="s">
        <v>6152</v>
      </c>
      <c r="H3413" s="3">
        <v>88.0</v>
      </c>
      <c r="I3413" s="4" t="s">
        <v>14297</v>
      </c>
      <c r="J3413" s="1" t="s">
        <v>14298</v>
      </c>
      <c r="K3413" s="1" t="s">
        <v>477</v>
      </c>
    </row>
    <row r="3414">
      <c r="A3414" s="1" t="s">
        <v>14299</v>
      </c>
      <c r="B3414" s="1" t="s">
        <v>14300</v>
      </c>
      <c r="C3414" s="1">
        <v>2017.0</v>
      </c>
      <c r="D3414" s="2">
        <v>43041.0</v>
      </c>
      <c r="F3414" s="1" t="s">
        <v>610</v>
      </c>
      <c r="H3414" s="3">
        <v>45.0</v>
      </c>
      <c r="I3414" s="4" t="s">
        <v>14301</v>
      </c>
      <c r="J3414" s="1" t="s">
        <v>14302</v>
      </c>
      <c r="K3414" s="1" t="s">
        <v>295</v>
      </c>
    </row>
    <row r="3415">
      <c r="A3415" s="1" t="s">
        <v>14303</v>
      </c>
      <c r="B3415" s="1" t="s">
        <v>14304</v>
      </c>
      <c r="C3415" s="1">
        <v>2017.0</v>
      </c>
      <c r="D3415" s="2">
        <v>43040.0</v>
      </c>
      <c r="F3415" s="1" t="s">
        <v>4124</v>
      </c>
      <c r="H3415" s="3">
        <v>7.0</v>
      </c>
      <c r="I3415" s="4" t="s">
        <v>14305</v>
      </c>
      <c r="J3415" s="1" t="s">
        <v>14306</v>
      </c>
      <c r="K3415" s="1" t="s">
        <v>45</v>
      </c>
    </row>
    <row r="3416">
      <c r="A3416" s="1" t="s">
        <v>14307</v>
      </c>
      <c r="B3416" s="1" t="s">
        <v>13672</v>
      </c>
      <c r="C3416" s="1">
        <v>2017.0</v>
      </c>
      <c r="D3416" s="2">
        <v>43040.0</v>
      </c>
      <c r="F3416" s="1" t="s">
        <v>157</v>
      </c>
      <c r="H3416" s="3">
        <v>29.0</v>
      </c>
      <c r="I3416" s="4" t="s">
        <v>14308</v>
      </c>
      <c r="J3416" s="1" t="s">
        <v>14309</v>
      </c>
      <c r="K3416" s="1" t="s">
        <v>546</v>
      </c>
    </row>
    <row r="3417">
      <c r="A3417" s="1" t="s">
        <v>14310</v>
      </c>
      <c r="B3417" s="1" t="s">
        <v>14311</v>
      </c>
      <c r="C3417" s="1">
        <v>2017.0</v>
      </c>
      <c r="D3417" s="2">
        <v>43040.0</v>
      </c>
      <c r="F3417" s="1" t="s">
        <v>13895</v>
      </c>
      <c r="H3417" s="3">
        <v>23.0</v>
      </c>
      <c r="I3417" s="4" t="s">
        <v>14312</v>
      </c>
      <c r="J3417" s="1" t="s">
        <v>14313</v>
      </c>
      <c r="K3417" s="1" t="s">
        <v>16</v>
      </c>
    </row>
    <row r="3418">
      <c r="A3418" s="1" t="s">
        <v>14314</v>
      </c>
      <c r="B3418" s="1" t="s">
        <v>14315</v>
      </c>
      <c r="C3418" s="1">
        <v>2017.0</v>
      </c>
      <c r="D3418" s="2">
        <v>43037.0</v>
      </c>
      <c r="F3418" s="1" t="s">
        <v>14316</v>
      </c>
      <c r="H3418" s="3">
        <v>37.0</v>
      </c>
      <c r="I3418" s="4" t="s">
        <v>14317</v>
      </c>
      <c r="J3418" s="1" t="s">
        <v>14318</v>
      </c>
      <c r="K3418" s="1" t="s">
        <v>28</v>
      </c>
    </row>
    <row r="3419">
      <c r="A3419" s="1" t="s">
        <v>14319</v>
      </c>
      <c r="B3419" s="1" t="s">
        <v>14320</v>
      </c>
      <c r="C3419" s="1">
        <v>2017.0</v>
      </c>
      <c r="D3419" s="2">
        <v>43036.0</v>
      </c>
      <c r="F3419" s="1" t="s">
        <v>835</v>
      </c>
      <c r="H3419" s="3">
        <v>39.0</v>
      </c>
      <c r="I3419" s="4" t="s">
        <v>14321</v>
      </c>
      <c r="J3419" s="1" t="s">
        <v>14322</v>
      </c>
      <c r="K3419" s="1" t="s">
        <v>28</v>
      </c>
    </row>
    <row r="3420">
      <c r="A3420" s="1" t="s">
        <v>14323</v>
      </c>
      <c r="B3420" s="1" t="s">
        <v>14324</v>
      </c>
      <c r="C3420" s="1">
        <v>2017.0</v>
      </c>
      <c r="D3420" s="2">
        <v>43035.0</v>
      </c>
      <c r="F3420" s="1" t="s">
        <v>1859</v>
      </c>
      <c r="H3420" s="3">
        <v>16.0</v>
      </c>
      <c r="I3420" s="4" t="s">
        <v>14325</v>
      </c>
      <c r="J3420" s="1" t="s">
        <v>14326</v>
      </c>
      <c r="K3420" s="1" t="s">
        <v>28</v>
      </c>
    </row>
    <row r="3421">
      <c r="A3421" s="1" t="s">
        <v>14327</v>
      </c>
      <c r="B3421" s="1" t="s">
        <v>14328</v>
      </c>
      <c r="C3421" s="1">
        <v>2017.0</v>
      </c>
      <c r="D3421" s="2">
        <v>43035.0</v>
      </c>
      <c r="F3421" s="1" t="s">
        <v>500</v>
      </c>
      <c r="H3421" s="3">
        <v>5.0</v>
      </c>
      <c r="I3421" s="4" t="s">
        <v>14329</v>
      </c>
      <c r="J3421" s="1" t="s">
        <v>14330</v>
      </c>
      <c r="K3421" s="1" t="s">
        <v>323</v>
      </c>
    </row>
    <row r="3422">
      <c r="A3422" s="1" t="s">
        <v>14331</v>
      </c>
      <c r="B3422" s="1" t="s">
        <v>14332</v>
      </c>
      <c r="C3422" s="1">
        <v>2017.0</v>
      </c>
      <c r="D3422" s="2">
        <v>43034.0</v>
      </c>
      <c r="F3422" s="1" t="s">
        <v>6118</v>
      </c>
      <c r="H3422" s="3">
        <v>37.0</v>
      </c>
      <c r="I3422" s="4" t="s">
        <v>14333</v>
      </c>
      <c r="J3422" s="1" t="s">
        <v>14334</v>
      </c>
      <c r="K3422" s="1" t="s">
        <v>45</v>
      </c>
    </row>
    <row r="3423">
      <c r="A3423" s="1" t="s">
        <v>14335</v>
      </c>
      <c r="B3423" s="1" t="s">
        <v>14336</v>
      </c>
      <c r="C3423" s="1">
        <v>2017.0</v>
      </c>
      <c r="D3423" s="2">
        <v>43034.0</v>
      </c>
      <c r="F3423" s="1" t="s">
        <v>5260</v>
      </c>
      <c r="H3423" s="3">
        <v>20.0</v>
      </c>
      <c r="I3423" s="4" t="s">
        <v>14337</v>
      </c>
      <c r="J3423" s="1" t="s">
        <v>14338</v>
      </c>
      <c r="K3423" s="1" t="s">
        <v>68</v>
      </c>
    </row>
    <row r="3424">
      <c r="A3424" s="1" t="s">
        <v>14339</v>
      </c>
      <c r="B3424" s="1" t="s">
        <v>14340</v>
      </c>
      <c r="C3424" s="1">
        <v>2017.0</v>
      </c>
      <c r="D3424" s="2">
        <v>43033.0</v>
      </c>
      <c r="F3424" s="1" t="s">
        <v>1800</v>
      </c>
      <c r="H3424" s="3">
        <v>10.0</v>
      </c>
      <c r="I3424" s="4" t="s">
        <v>14341</v>
      </c>
      <c r="J3424" s="1" t="s">
        <v>14342</v>
      </c>
      <c r="K3424" s="1" t="s">
        <v>16</v>
      </c>
    </row>
    <row r="3425">
      <c r="A3425" s="1" t="s">
        <v>14343</v>
      </c>
      <c r="B3425" s="1" t="s">
        <v>14344</v>
      </c>
      <c r="C3425" s="1">
        <v>2017.0</v>
      </c>
      <c r="D3425" s="2">
        <v>43030.0</v>
      </c>
      <c r="F3425" s="1" t="s">
        <v>271</v>
      </c>
      <c r="H3425" s="3">
        <v>11.0</v>
      </c>
      <c r="I3425" s="4" t="s">
        <v>14345</v>
      </c>
      <c r="J3425" s="1" t="s">
        <v>14346</v>
      </c>
      <c r="K3425" s="1" t="s">
        <v>28</v>
      </c>
    </row>
    <row r="3426">
      <c r="A3426" s="1" t="s">
        <v>14347</v>
      </c>
      <c r="B3426" s="1" t="s">
        <v>14348</v>
      </c>
      <c r="C3426" s="1">
        <v>2017.0</v>
      </c>
      <c r="D3426" s="2">
        <v>43028.0</v>
      </c>
      <c r="F3426" s="1" t="s">
        <v>13058</v>
      </c>
      <c r="H3426" s="3">
        <v>17.0</v>
      </c>
      <c r="I3426" s="4" t="s">
        <v>14349</v>
      </c>
      <c r="J3426" s="1" t="s">
        <v>14350</v>
      </c>
      <c r="K3426" s="1" t="s">
        <v>16</v>
      </c>
    </row>
    <row r="3427">
      <c r="A3427" s="1" t="s">
        <v>14351</v>
      </c>
      <c r="B3427" s="1" t="s">
        <v>14352</v>
      </c>
      <c r="C3427" s="1">
        <v>2017.0</v>
      </c>
      <c r="D3427" s="2">
        <v>43028.0</v>
      </c>
      <c r="F3427" s="1" t="s">
        <v>71</v>
      </c>
      <c r="H3427" s="3">
        <v>36.0</v>
      </c>
      <c r="I3427" s="4" t="s">
        <v>14353</v>
      </c>
      <c r="J3427" s="1" t="s">
        <v>14354</v>
      </c>
      <c r="K3427" s="1" t="s">
        <v>16</v>
      </c>
    </row>
    <row r="3428">
      <c r="A3428" s="1" t="s">
        <v>14355</v>
      </c>
      <c r="B3428" s="1" t="s">
        <v>14356</v>
      </c>
      <c r="C3428" s="1">
        <v>2017.0</v>
      </c>
      <c r="D3428" s="2">
        <v>43027.0</v>
      </c>
      <c r="F3428" s="1" t="s">
        <v>4197</v>
      </c>
      <c r="H3428" s="3">
        <v>3.0</v>
      </c>
      <c r="I3428" s="4" t="s">
        <v>14357</v>
      </c>
      <c r="J3428" s="1"/>
      <c r="K3428" s="1" t="s">
        <v>443</v>
      </c>
    </row>
    <row r="3429">
      <c r="A3429" s="1" t="s">
        <v>14358</v>
      </c>
      <c r="B3429" s="1" t="s">
        <v>14359</v>
      </c>
      <c r="C3429" s="1">
        <v>2017.0</v>
      </c>
      <c r="D3429" s="2">
        <v>43025.0</v>
      </c>
      <c r="F3429" s="1" t="s">
        <v>1873</v>
      </c>
      <c r="H3429" s="3">
        <v>6.0</v>
      </c>
      <c r="I3429" s="4" t="s">
        <v>14360</v>
      </c>
      <c r="J3429" s="1" t="s">
        <v>14361</v>
      </c>
      <c r="K3429" s="1" t="s">
        <v>527</v>
      </c>
    </row>
    <row r="3430">
      <c r="A3430" s="1" t="s">
        <v>14362</v>
      </c>
      <c r="B3430" s="1" t="s">
        <v>14363</v>
      </c>
      <c r="C3430" s="1">
        <v>2017.0</v>
      </c>
      <c r="D3430" s="2">
        <v>43025.0</v>
      </c>
      <c r="F3430" s="1" t="s">
        <v>1505</v>
      </c>
      <c r="H3430" s="3">
        <v>2.0</v>
      </c>
      <c r="I3430" s="4" t="s">
        <v>14364</v>
      </c>
      <c r="J3430" s="1" t="s">
        <v>14365</v>
      </c>
      <c r="K3430" s="1" t="s">
        <v>413</v>
      </c>
    </row>
    <row r="3431">
      <c r="A3431" s="1" t="s">
        <v>14366</v>
      </c>
      <c r="B3431" s="1" t="s">
        <v>14367</v>
      </c>
      <c r="C3431" s="1">
        <v>2017.0</v>
      </c>
      <c r="D3431" s="2">
        <v>43024.0</v>
      </c>
      <c r="F3431" s="1" t="s">
        <v>2191</v>
      </c>
      <c r="H3431" s="3">
        <v>48.0</v>
      </c>
      <c r="I3431" s="4" t="s">
        <v>14368</v>
      </c>
      <c r="J3431" s="1" t="s">
        <v>14369</v>
      </c>
      <c r="K3431" s="1" t="s">
        <v>28</v>
      </c>
    </row>
    <row r="3432">
      <c r="A3432" s="1" t="s">
        <v>14370</v>
      </c>
      <c r="B3432" s="1" t="s">
        <v>14371</v>
      </c>
      <c r="C3432" s="1">
        <v>2017.0</v>
      </c>
      <c r="D3432" s="2">
        <v>43024.0</v>
      </c>
      <c r="F3432" s="1" t="s">
        <v>1982</v>
      </c>
      <c r="H3432" s="3">
        <v>84.0</v>
      </c>
      <c r="I3432" s="4" t="s">
        <v>14372</v>
      </c>
      <c r="J3432" s="1" t="s">
        <v>14373</v>
      </c>
      <c r="K3432" s="1" t="s">
        <v>295</v>
      </c>
    </row>
    <row r="3433">
      <c r="A3433" s="1" t="s">
        <v>14374</v>
      </c>
      <c r="B3433" s="1" t="s">
        <v>14375</v>
      </c>
      <c r="C3433" s="1">
        <v>2017.0</v>
      </c>
      <c r="D3433" s="2">
        <v>43024.0</v>
      </c>
      <c r="F3433" s="1" t="s">
        <v>1358</v>
      </c>
      <c r="H3433" s="3">
        <v>22.0</v>
      </c>
      <c r="I3433" s="4" t="s">
        <v>14376</v>
      </c>
      <c r="J3433" s="1" t="s">
        <v>14377</v>
      </c>
      <c r="K3433" s="1" t="s">
        <v>443</v>
      </c>
    </row>
    <row r="3434">
      <c r="A3434" s="1" t="s">
        <v>14378</v>
      </c>
      <c r="B3434" s="1" t="s">
        <v>14379</v>
      </c>
      <c r="C3434" s="1">
        <v>2017.0</v>
      </c>
      <c r="D3434" s="2">
        <v>43024.0</v>
      </c>
      <c r="F3434" s="1" t="s">
        <v>2611</v>
      </c>
      <c r="H3434" s="3">
        <v>223.0</v>
      </c>
      <c r="I3434" s="4" t="s">
        <v>14380</v>
      </c>
      <c r="J3434" s="1" t="s">
        <v>14381</v>
      </c>
      <c r="K3434" s="1" t="s">
        <v>323</v>
      </c>
    </row>
    <row r="3435">
      <c r="A3435" s="1" t="s">
        <v>14382</v>
      </c>
      <c r="B3435" s="1" t="s">
        <v>14383</v>
      </c>
      <c r="C3435" s="1">
        <v>2017.0</v>
      </c>
      <c r="D3435" s="2">
        <v>43023.0</v>
      </c>
      <c r="F3435" s="1" t="s">
        <v>14384</v>
      </c>
      <c r="H3435" s="3">
        <v>170.0</v>
      </c>
      <c r="I3435" s="4" t="s">
        <v>14385</v>
      </c>
      <c r="J3435" s="1" t="s">
        <v>14386</v>
      </c>
      <c r="K3435" s="1" t="s">
        <v>295</v>
      </c>
    </row>
    <row r="3436">
      <c r="A3436" s="1" t="s">
        <v>14387</v>
      </c>
      <c r="B3436" s="1" t="s">
        <v>14388</v>
      </c>
      <c r="C3436" s="1">
        <v>2017.0</v>
      </c>
      <c r="D3436" s="2">
        <v>43021.0</v>
      </c>
      <c r="F3436" s="1" t="s">
        <v>2828</v>
      </c>
      <c r="H3436" s="3">
        <v>7.0</v>
      </c>
      <c r="I3436" s="4" t="s">
        <v>14389</v>
      </c>
      <c r="J3436" s="1" t="s">
        <v>14390</v>
      </c>
      <c r="K3436" s="1" t="s">
        <v>28</v>
      </c>
    </row>
    <row r="3437">
      <c r="A3437" s="1" t="s">
        <v>14391</v>
      </c>
      <c r="B3437" s="1" t="s">
        <v>14392</v>
      </c>
      <c r="C3437" s="1">
        <v>2017.0</v>
      </c>
      <c r="D3437" s="2">
        <v>43019.0</v>
      </c>
      <c r="F3437" s="1" t="s">
        <v>12240</v>
      </c>
      <c r="H3437" s="3">
        <v>55.0</v>
      </c>
      <c r="I3437" s="4" t="s">
        <v>14393</v>
      </c>
      <c r="J3437" s="1" t="s">
        <v>14394</v>
      </c>
      <c r="K3437" s="1" t="s">
        <v>546</v>
      </c>
    </row>
    <row r="3438">
      <c r="A3438" s="1" t="s">
        <v>14395</v>
      </c>
      <c r="B3438" s="1" t="s">
        <v>14396</v>
      </c>
      <c r="C3438" s="1">
        <v>2017.0</v>
      </c>
      <c r="D3438" s="2">
        <v>43019.0</v>
      </c>
      <c r="F3438" s="1" t="s">
        <v>2774</v>
      </c>
      <c r="H3438" s="3">
        <v>50.0</v>
      </c>
      <c r="I3438" s="4" t="s">
        <v>14397</v>
      </c>
      <c r="J3438" s="1" t="s">
        <v>14398</v>
      </c>
      <c r="K3438" s="1" t="s">
        <v>16</v>
      </c>
    </row>
    <row r="3439">
      <c r="A3439" s="1" t="s">
        <v>14399</v>
      </c>
      <c r="B3439" s="1" t="s">
        <v>14400</v>
      </c>
      <c r="C3439" s="1">
        <v>2017.0</v>
      </c>
      <c r="D3439" s="2">
        <v>43018.0</v>
      </c>
      <c r="F3439" s="1" t="s">
        <v>81</v>
      </c>
      <c r="H3439" s="3">
        <v>43.0</v>
      </c>
      <c r="I3439" s="4" t="s">
        <v>14401</v>
      </c>
      <c r="J3439" s="1" t="s">
        <v>14402</v>
      </c>
      <c r="K3439" s="1" t="s">
        <v>28</v>
      </c>
    </row>
    <row r="3440">
      <c r="A3440" s="1" t="s">
        <v>14403</v>
      </c>
      <c r="B3440" s="1" t="s">
        <v>14404</v>
      </c>
      <c r="C3440" s="1">
        <v>2017.0</v>
      </c>
      <c r="D3440" s="2">
        <v>43018.0</v>
      </c>
      <c r="F3440" s="1" t="s">
        <v>14405</v>
      </c>
      <c r="H3440" s="3">
        <v>43.0</v>
      </c>
      <c r="I3440" s="4" t="s">
        <v>14406</v>
      </c>
      <c r="J3440" s="1" t="s">
        <v>14407</v>
      </c>
      <c r="K3440" s="1" t="s">
        <v>926</v>
      </c>
    </row>
    <row r="3441">
      <c r="A3441" s="1" t="s">
        <v>14408</v>
      </c>
      <c r="B3441" s="1" t="s">
        <v>14409</v>
      </c>
      <c r="C3441" s="1">
        <v>2017.0</v>
      </c>
      <c r="D3441" s="2">
        <v>43017.0</v>
      </c>
      <c r="F3441" s="1" t="s">
        <v>7988</v>
      </c>
      <c r="H3441" s="3">
        <v>52.0</v>
      </c>
      <c r="I3441" s="4" t="s">
        <v>14410</v>
      </c>
      <c r="J3441" s="1" t="s">
        <v>14411</v>
      </c>
      <c r="K3441" s="1" t="s">
        <v>413</v>
      </c>
    </row>
    <row r="3442">
      <c r="A3442" s="1" t="s">
        <v>14412</v>
      </c>
      <c r="B3442" s="1" t="s">
        <v>14413</v>
      </c>
      <c r="C3442" s="1">
        <v>2017.0</v>
      </c>
      <c r="D3442" s="2">
        <v>43015.0</v>
      </c>
      <c r="F3442" s="1" t="s">
        <v>1358</v>
      </c>
      <c r="H3442" s="3">
        <v>1.0</v>
      </c>
      <c r="I3442" s="4" t="s">
        <v>14414</v>
      </c>
      <c r="J3442" s="1"/>
      <c r="K3442" s="1" t="s">
        <v>28</v>
      </c>
    </row>
    <row r="3443">
      <c r="A3443" s="1" t="s">
        <v>14415</v>
      </c>
      <c r="B3443" s="1" t="s">
        <v>14416</v>
      </c>
      <c r="C3443" s="1">
        <v>2017.0</v>
      </c>
      <c r="D3443" s="2">
        <v>43013.0</v>
      </c>
      <c r="F3443" s="1" t="s">
        <v>1358</v>
      </c>
      <c r="H3443" s="3">
        <v>4.0</v>
      </c>
      <c r="I3443" s="4" t="s">
        <v>14417</v>
      </c>
      <c r="J3443" s="1"/>
      <c r="K3443" s="1" t="s">
        <v>383</v>
      </c>
    </row>
    <row r="3444">
      <c r="A3444" s="1" t="s">
        <v>14418</v>
      </c>
      <c r="B3444" s="1" t="s">
        <v>14419</v>
      </c>
      <c r="C3444" s="1">
        <v>2017.0</v>
      </c>
      <c r="D3444" s="2">
        <v>43012.0</v>
      </c>
      <c r="F3444" s="1" t="s">
        <v>243</v>
      </c>
      <c r="H3444" s="3">
        <v>5.0</v>
      </c>
      <c r="I3444" s="4" t="s">
        <v>14420</v>
      </c>
      <c r="J3444" s="1" t="s">
        <v>14421</v>
      </c>
      <c r="K3444" s="1" t="s">
        <v>45</v>
      </c>
    </row>
    <row r="3445">
      <c r="A3445" s="1" t="s">
        <v>14422</v>
      </c>
      <c r="B3445" s="1" t="s">
        <v>14423</v>
      </c>
      <c r="C3445" s="1">
        <v>2017.0</v>
      </c>
      <c r="D3445" s="2">
        <v>43011.0</v>
      </c>
      <c r="F3445" s="1" t="s">
        <v>208</v>
      </c>
      <c r="H3445" s="3">
        <v>3.0</v>
      </c>
      <c r="I3445" s="4" t="s">
        <v>14424</v>
      </c>
      <c r="J3445" s="1" t="s">
        <v>14425</v>
      </c>
      <c r="K3445" s="1" t="s">
        <v>323</v>
      </c>
    </row>
    <row r="3446">
      <c r="A3446" s="1" t="s">
        <v>14426</v>
      </c>
      <c r="B3446" s="1" t="s">
        <v>14427</v>
      </c>
      <c r="C3446" s="1">
        <v>2017.0</v>
      </c>
      <c r="D3446" s="2">
        <v>43009.0</v>
      </c>
      <c r="F3446" s="1" t="s">
        <v>11282</v>
      </c>
      <c r="H3446" s="3">
        <v>9.0</v>
      </c>
      <c r="I3446" s="4" t="s">
        <v>14428</v>
      </c>
      <c r="J3446" s="1" t="s">
        <v>14429</v>
      </c>
      <c r="K3446" s="1" t="s">
        <v>571</v>
      </c>
    </row>
    <row r="3447">
      <c r="A3447" s="1" t="s">
        <v>14430</v>
      </c>
      <c r="B3447" s="1" t="s">
        <v>14431</v>
      </c>
      <c r="C3447" s="1">
        <v>2017.0</v>
      </c>
      <c r="D3447" s="2">
        <v>43009.0</v>
      </c>
      <c r="F3447" s="1" t="s">
        <v>2741</v>
      </c>
      <c r="H3447" s="3">
        <v>28.0</v>
      </c>
      <c r="I3447" s="4" t="s">
        <v>14432</v>
      </c>
      <c r="J3447" s="1" t="s">
        <v>14433</v>
      </c>
      <c r="K3447" s="1" t="s">
        <v>1036</v>
      </c>
    </row>
    <row r="3448">
      <c r="A3448" s="1" t="s">
        <v>14434</v>
      </c>
      <c r="B3448" s="1" t="s">
        <v>14435</v>
      </c>
      <c r="C3448" s="1">
        <v>2017.0</v>
      </c>
      <c r="D3448" s="2">
        <v>43009.0</v>
      </c>
      <c r="F3448" s="1" t="s">
        <v>14436</v>
      </c>
      <c r="H3448" s="3">
        <v>170.0</v>
      </c>
      <c r="I3448" s="4" t="s">
        <v>14437</v>
      </c>
      <c r="J3448" s="1" t="s">
        <v>14438</v>
      </c>
      <c r="K3448" s="1" t="s">
        <v>16</v>
      </c>
    </row>
    <row r="3449">
      <c r="A3449" s="1" t="s">
        <v>14439</v>
      </c>
      <c r="B3449" s="1" t="s">
        <v>14440</v>
      </c>
      <c r="C3449" s="1">
        <v>2017.0</v>
      </c>
      <c r="D3449" s="2">
        <v>43006.0</v>
      </c>
      <c r="F3449" s="1" t="s">
        <v>3551</v>
      </c>
      <c r="H3449" s="3">
        <v>2.0</v>
      </c>
      <c r="I3449" s="4" t="s">
        <v>14441</v>
      </c>
      <c r="J3449" s="1" t="s">
        <v>14442</v>
      </c>
      <c r="K3449" s="1" t="s">
        <v>571</v>
      </c>
    </row>
    <row r="3450">
      <c r="A3450" s="1" t="s">
        <v>14443</v>
      </c>
      <c r="B3450" s="1" t="s">
        <v>14444</v>
      </c>
      <c r="C3450" s="1">
        <v>2017.0</v>
      </c>
      <c r="D3450" s="2">
        <v>43006.0</v>
      </c>
      <c r="F3450" s="1" t="s">
        <v>808</v>
      </c>
      <c r="H3450" s="3">
        <v>6.0</v>
      </c>
      <c r="I3450" s="4" t="s">
        <v>14445</v>
      </c>
      <c r="J3450" s="1" t="s">
        <v>14446</v>
      </c>
      <c r="K3450" s="1" t="s">
        <v>16</v>
      </c>
    </row>
    <row r="3451">
      <c r="A3451" s="1" t="s">
        <v>14447</v>
      </c>
      <c r="B3451" s="1" t="s">
        <v>14448</v>
      </c>
      <c r="C3451" s="1">
        <v>2017.0</v>
      </c>
      <c r="D3451" s="2">
        <v>43005.0</v>
      </c>
      <c r="F3451" s="1" t="s">
        <v>326</v>
      </c>
      <c r="H3451" s="3">
        <v>0.0</v>
      </c>
      <c r="I3451" s="4" t="s">
        <v>14449</v>
      </c>
      <c r="J3451" s="1"/>
      <c r="K3451" s="1" t="s">
        <v>28</v>
      </c>
    </row>
    <row r="3452">
      <c r="A3452" s="1" t="s">
        <v>14450</v>
      </c>
      <c r="B3452" s="1" t="s">
        <v>14451</v>
      </c>
      <c r="C3452" s="1">
        <v>2017.0</v>
      </c>
      <c r="D3452" s="2">
        <v>43005.0</v>
      </c>
      <c r="F3452" s="1" t="s">
        <v>14452</v>
      </c>
      <c r="H3452" s="3">
        <v>17.0</v>
      </c>
      <c r="I3452" s="4" t="s">
        <v>14453</v>
      </c>
      <c r="J3452" s="1" t="s">
        <v>14454</v>
      </c>
      <c r="K3452" s="1" t="s">
        <v>323</v>
      </c>
    </row>
    <row r="3453">
      <c r="A3453" s="1" t="s">
        <v>14455</v>
      </c>
      <c r="B3453" s="1" t="s">
        <v>14456</v>
      </c>
      <c r="C3453" s="1">
        <v>2017.0</v>
      </c>
      <c r="D3453" s="2">
        <v>43005.0</v>
      </c>
      <c r="F3453" s="1" t="s">
        <v>6540</v>
      </c>
      <c r="H3453" s="3">
        <v>56.0</v>
      </c>
      <c r="I3453" s="4" t="s">
        <v>14457</v>
      </c>
      <c r="J3453" s="1" t="s">
        <v>14458</v>
      </c>
      <c r="K3453" s="1" t="s">
        <v>413</v>
      </c>
    </row>
    <row r="3454">
      <c r="A3454" s="1" t="s">
        <v>14459</v>
      </c>
      <c r="B3454" s="1" t="s">
        <v>14460</v>
      </c>
      <c r="C3454" s="1">
        <v>2017.0</v>
      </c>
      <c r="D3454" s="2">
        <v>43004.0</v>
      </c>
      <c r="F3454" s="1" t="s">
        <v>2611</v>
      </c>
      <c r="H3454" s="3">
        <v>56.0</v>
      </c>
      <c r="I3454" s="4" t="s">
        <v>14461</v>
      </c>
      <c r="J3454" s="1" t="s">
        <v>14462</v>
      </c>
      <c r="K3454" s="1" t="s">
        <v>462</v>
      </c>
    </row>
    <row r="3455">
      <c r="A3455" s="1" t="s">
        <v>14463</v>
      </c>
      <c r="B3455" s="1" t="s">
        <v>14464</v>
      </c>
      <c r="C3455" s="1">
        <v>2017.0</v>
      </c>
      <c r="D3455" s="2">
        <v>43004.0</v>
      </c>
      <c r="F3455" s="1" t="s">
        <v>10191</v>
      </c>
      <c r="H3455" s="3">
        <v>3.0</v>
      </c>
      <c r="I3455" s="4" t="s">
        <v>14465</v>
      </c>
      <c r="J3455" s="1" t="s">
        <v>14466</v>
      </c>
      <c r="K3455" s="1" t="s">
        <v>323</v>
      </c>
    </row>
    <row r="3456">
      <c r="A3456" s="1" t="s">
        <v>14467</v>
      </c>
      <c r="B3456" s="1" t="s">
        <v>14468</v>
      </c>
      <c r="C3456" s="1">
        <v>2017.0</v>
      </c>
      <c r="D3456" s="2">
        <v>43004.0</v>
      </c>
      <c r="F3456" s="1" t="s">
        <v>5783</v>
      </c>
      <c r="H3456" s="3">
        <v>4.0</v>
      </c>
      <c r="I3456" s="4" t="s">
        <v>14469</v>
      </c>
      <c r="J3456" s="1" t="s">
        <v>14470</v>
      </c>
      <c r="K3456" s="1" t="s">
        <v>295</v>
      </c>
    </row>
    <row r="3457">
      <c r="A3457" s="1" t="s">
        <v>14471</v>
      </c>
      <c r="B3457" s="1" t="s">
        <v>14472</v>
      </c>
      <c r="C3457" s="1">
        <v>2017.0</v>
      </c>
      <c r="D3457" s="2">
        <v>43003.0</v>
      </c>
      <c r="F3457" s="1" t="s">
        <v>3583</v>
      </c>
      <c r="H3457" s="3">
        <v>13.0</v>
      </c>
      <c r="I3457" s="4" t="s">
        <v>14473</v>
      </c>
      <c r="J3457" s="1" t="s">
        <v>14474</v>
      </c>
      <c r="K3457" s="1" t="s">
        <v>372</v>
      </c>
    </row>
    <row r="3458">
      <c r="A3458" s="1" t="s">
        <v>14475</v>
      </c>
      <c r="B3458" s="1" t="s">
        <v>14292</v>
      </c>
      <c r="C3458" s="1">
        <v>2017.0</v>
      </c>
      <c r="D3458" s="2">
        <v>43003.0</v>
      </c>
      <c r="F3458" s="1" t="s">
        <v>12240</v>
      </c>
      <c r="H3458" s="3">
        <v>21.0</v>
      </c>
      <c r="I3458" s="4" t="s">
        <v>14476</v>
      </c>
      <c r="J3458" s="1" t="s">
        <v>14477</v>
      </c>
      <c r="K3458" s="1" t="s">
        <v>546</v>
      </c>
    </row>
    <row r="3459">
      <c r="A3459" s="1" t="s">
        <v>14478</v>
      </c>
      <c r="B3459" s="1" t="s">
        <v>14479</v>
      </c>
      <c r="C3459" s="1">
        <v>2017.0</v>
      </c>
      <c r="D3459" s="2">
        <v>43003.0</v>
      </c>
      <c r="F3459" s="1" t="s">
        <v>1809</v>
      </c>
      <c r="H3459" s="3">
        <v>8.0</v>
      </c>
      <c r="I3459" s="4" t="s">
        <v>14480</v>
      </c>
      <c r="J3459" s="1" t="s">
        <v>14481</v>
      </c>
      <c r="K3459" s="1" t="s">
        <v>329</v>
      </c>
    </row>
    <row r="3460">
      <c r="A3460" s="1" t="s">
        <v>14482</v>
      </c>
      <c r="B3460" s="1" t="s">
        <v>14483</v>
      </c>
      <c r="C3460" s="1">
        <v>2017.0</v>
      </c>
      <c r="D3460" s="2">
        <v>43003.0</v>
      </c>
      <c r="F3460" s="1" t="s">
        <v>1762</v>
      </c>
      <c r="H3460" s="3">
        <v>15.0</v>
      </c>
      <c r="I3460" s="4" t="s">
        <v>14484</v>
      </c>
      <c r="J3460" s="1" t="s">
        <v>14485</v>
      </c>
      <c r="K3460" s="1" t="s">
        <v>16</v>
      </c>
    </row>
    <row r="3461">
      <c r="A3461" s="1" t="s">
        <v>14486</v>
      </c>
      <c r="B3461" s="1" t="s">
        <v>13002</v>
      </c>
      <c r="C3461" s="1">
        <v>2017.0</v>
      </c>
      <c r="D3461" s="2">
        <v>43000.0</v>
      </c>
      <c r="F3461" s="1" t="s">
        <v>208</v>
      </c>
      <c r="H3461" s="3">
        <v>3.0</v>
      </c>
      <c r="I3461" s="4" t="s">
        <v>14487</v>
      </c>
      <c r="J3461" s="1" t="s">
        <v>14488</v>
      </c>
      <c r="K3461" s="1" t="s">
        <v>323</v>
      </c>
    </row>
    <row r="3462">
      <c r="A3462" s="1" t="s">
        <v>14489</v>
      </c>
      <c r="B3462" s="1" t="s">
        <v>14490</v>
      </c>
      <c r="C3462" s="1">
        <v>2017.0</v>
      </c>
      <c r="D3462" s="2">
        <v>42999.0</v>
      </c>
      <c r="F3462" s="1" t="s">
        <v>987</v>
      </c>
      <c r="H3462" s="3">
        <v>8.0</v>
      </c>
      <c r="I3462" s="4" t="s">
        <v>14491</v>
      </c>
      <c r="J3462" s="1" t="s">
        <v>14492</v>
      </c>
      <c r="K3462" s="1" t="s">
        <v>28</v>
      </c>
    </row>
    <row r="3463">
      <c r="A3463" s="1" t="s">
        <v>14493</v>
      </c>
      <c r="B3463" s="1" t="s">
        <v>14494</v>
      </c>
      <c r="C3463" s="1">
        <v>2017.0</v>
      </c>
      <c r="D3463" s="2">
        <v>42999.0</v>
      </c>
      <c r="F3463" s="1" t="s">
        <v>208</v>
      </c>
      <c r="H3463" s="3">
        <v>3.0</v>
      </c>
      <c r="I3463" s="4" t="s">
        <v>14495</v>
      </c>
      <c r="J3463" s="1" t="s">
        <v>14496</v>
      </c>
      <c r="K3463" s="1" t="s">
        <v>295</v>
      </c>
    </row>
    <row r="3464">
      <c r="A3464" s="1" t="s">
        <v>14497</v>
      </c>
      <c r="B3464" s="1" t="s">
        <v>14498</v>
      </c>
      <c r="C3464" s="1">
        <v>2017.0</v>
      </c>
      <c r="D3464" s="2">
        <v>42999.0</v>
      </c>
      <c r="F3464" s="1" t="s">
        <v>13571</v>
      </c>
      <c r="H3464" s="3">
        <v>42.0</v>
      </c>
      <c r="I3464" s="4" t="s">
        <v>14499</v>
      </c>
      <c r="J3464" s="1" t="s">
        <v>14500</v>
      </c>
      <c r="K3464" s="1" t="s">
        <v>462</v>
      </c>
    </row>
    <row r="3465">
      <c r="A3465" s="1" t="s">
        <v>14501</v>
      </c>
      <c r="B3465" s="1" t="s">
        <v>14502</v>
      </c>
      <c r="C3465" s="1">
        <v>2017.0</v>
      </c>
      <c r="D3465" s="2">
        <v>42998.0</v>
      </c>
      <c r="F3465" s="1" t="s">
        <v>86</v>
      </c>
      <c r="H3465" s="3">
        <v>3.0</v>
      </c>
      <c r="I3465" s="4" t="s">
        <v>14503</v>
      </c>
      <c r="J3465" s="1" t="s">
        <v>14504</v>
      </c>
      <c r="K3465" s="1" t="s">
        <v>28</v>
      </c>
    </row>
    <row r="3466">
      <c r="A3466" s="1" t="s">
        <v>14505</v>
      </c>
      <c r="B3466" s="1" t="s">
        <v>14506</v>
      </c>
      <c r="C3466" s="1">
        <v>2017.0</v>
      </c>
      <c r="D3466" s="2">
        <v>42998.0</v>
      </c>
      <c r="F3466" s="1" t="s">
        <v>1277</v>
      </c>
      <c r="H3466" s="3">
        <v>5.0</v>
      </c>
      <c r="I3466" s="4" t="s">
        <v>14507</v>
      </c>
      <c r="J3466" s="1" t="s">
        <v>14508</v>
      </c>
      <c r="K3466" s="1" t="s">
        <v>28</v>
      </c>
    </row>
    <row r="3467">
      <c r="A3467" s="1" t="s">
        <v>14509</v>
      </c>
      <c r="B3467" s="1" t="s">
        <v>14510</v>
      </c>
      <c r="C3467" s="1">
        <v>2017.0</v>
      </c>
      <c r="D3467" s="2">
        <v>42998.0</v>
      </c>
      <c r="F3467" s="1" t="s">
        <v>489</v>
      </c>
      <c r="H3467" s="3">
        <v>91.0</v>
      </c>
      <c r="I3467" s="4" t="s">
        <v>14511</v>
      </c>
      <c r="J3467" s="1" t="s">
        <v>14512</v>
      </c>
      <c r="K3467" s="1" t="s">
        <v>16</v>
      </c>
    </row>
    <row r="3468">
      <c r="A3468" s="1" t="s">
        <v>14513</v>
      </c>
      <c r="B3468" s="1" t="s">
        <v>14514</v>
      </c>
      <c r="C3468" s="1">
        <v>2017.0</v>
      </c>
      <c r="D3468" s="2">
        <v>42997.0</v>
      </c>
      <c r="F3468" s="1" t="s">
        <v>14515</v>
      </c>
      <c r="H3468" s="3">
        <v>14.0</v>
      </c>
      <c r="I3468" s="4" t="s">
        <v>14516</v>
      </c>
      <c r="J3468" s="1" t="s">
        <v>14517</v>
      </c>
      <c r="K3468" s="1" t="s">
        <v>295</v>
      </c>
    </row>
    <row r="3469">
      <c r="A3469" s="1" t="s">
        <v>14518</v>
      </c>
      <c r="B3469" s="1" t="s">
        <v>14519</v>
      </c>
      <c r="C3469" s="1">
        <v>2017.0</v>
      </c>
      <c r="D3469" s="2">
        <v>42997.0</v>
      </c>
      <c r="F3469" s="1" t="s">
        <v>14520</v>
      </c>
      <c r="H3469" s="3">
        <v>6.0</v>
      </c>
      <c r="I3469" s="4" t="s">
        <v>14521</v>
      </c>
      <c r="J3469" s="1" t="s">
        <v>14522</v>
      </c>
      <c r="K3469" s="1" t="s">
        <v>28</v>
      </c>
    </row>
    <row r="3470">
      <c r="A3470" s="1" t="s">
        <v>14523</v>
      </c>
      <c r="B3470" s="1" t="s">
        <v>14524</v>
      </c>
      <c r="C3470" s="1">
        <v>2017.0</v>
      </c>
      <c r="D3470" s="2">
        <v>42996.0</v>
      </c>
      <c r="F3470" s="1" t="s">
        <v>271</v>
      </c>
      <c r="H3470" s="3">
        <v>8.0</v>
      </c>
      <c r="I3470" s="4" t="s">
        <v>14525</v>
      </c>
      <c r="J3470" s="1" t="s">
        <v>14526</v>
      </c>
      <c r="K3470" s="1" t="s">
        <v>323</v>
      </c>
    </row>
    <row r="3471">
      <c r="A3471" s="1" t="s">
        <v>14527</v>
      </c>
      <c r="B3471" s="1" t="s">
        <v>14528</v>
      </c>
      <c r="C3471" s="1">
        <v>2017.0</v>
      </c>
      <c r="D3471" s="2">
        <v>42996.0</v>
      </c>
      <c r="F3471" s="1" t="s">
        <v>6343</v>
      </c>
      <c r="H3471" s="3">
        <v>11.0</v>
      </c>
      <c r="I3471" s="4" t="s">
        <v>14529</v>
      </c>
      <c r="J3471" s="1" t="s">
        <v>14530</v>
      </c>
      <c r="K3471" s="1" t="s">
        <v>329</v>
      </c>
    </row>
    <row r="3472">
      <c r="A3472" s="1" t="s">
        <v>14531</v>
      </c>
      <c r="B3472" s="1" t="s">
        <v>14532</v>
      </c>
      <c r="C3472" s="1">
        <v>2017.0</v>
      </c>
      <c r="D3472" s="2">
        <v>42993.0</v>
      </c>
      <c r="F3472" s="1" t="s">
        <v>9158</v>
      </c>
      <c r="H3472" s="3">
        <v>77.0</v>
      </c>
      <c r="I3472" s="4" t="s">
        <v>14533</v>
      </c>
      <c r="J3472" s="1" t="s">
        <v>14534</v>
      </c>
      <c r="K3472" s="1" t="s">
        <v>571</v>
      </c>
    </row>
    <row r="3473">
      <c r="A3473" s="1" t="s">
        <v>14535</v>
      </c>
      <c r="B3473" s="1" t="s">
        <v>14536</v>
      </c>
      <c r="C3473" s="1">
        <v>2017.0</v>
      </c>
      <c r="D3473" s="2">
        <v>42993.0</v>
      </c>
      <c r="F3473" s="1" t="s">
        <v>14537</v>
      </c>
      <c r="H3473" s="3">
        <v>11.0</v>
      </c>
      <c r="I3473" s="4" t="s">
        <v>14538</v>
      </c>
      <c r="J3473" s="1" t="s">
        <v>14539</v>
      </c>
      <c r="K3473" s="1" t="s">
        <v>28</v>
      </c>
    </row>
    <row r="3474">
      <c r="A3474" s="1" t="s">
        <v>14540</v>
      </c>
      <c r="B3474" s="1" t="s">
        <v>14541</v>
      </c>
      <c r="C3474" s="1">
        <v>2017.0</v>
      </c>
      <c r="D3474" s="2">
        <v>42992.0</v>
      </c>
      <c r="F3474" s="1" t="s">
        <v>3254</v>
      </c>
      <c r="H3474" s="3">
        <v>10.0</v>
      </c>
      <c r="I3474" s="4" t="s">
        <v>14542</v>
      </c>
      <c r="J3474" s="1" t="s">
        <v>14543</v>
      </c>
      <c r="K3474" s="1" t="s">
        <v>323</v>
      </c>
    </row>
    <row r="3475">
      <c r="A3475" s="1" t="s">
        <v>14544</v>
      </c>
      <c r="B3475" s="1" t="s">
        <v>14545</v>
      </c>
      <c r="C3475" s="1">
        <v>2017.0</v>
      </c>
      <c r="D3475" s="2">
        <v>42992.0</v>
      </c>
      <c r="F3475" s="1" t="s">
        <v>14546</v>
      </c>
      <c r="H3475" s="3">
        <v>0.0</v>
      </c>
      <c r="I3475" s="4" t="s">
        <v>14547</v>
      </c>
      <c r="J3475" s="1" t="s">
        <v>14548</v>
      </c>
      <c r="K3475" s="1" t="s">
        <v>329</v>
      </c>
    </row>
    <row r="3476">
      <c r="A3476" s="1" t="s">
        <v>14549</v>
      </c>
      <c r="B3476" s="1" t="s">
        <v>14550</v>
      </c>
      <c r="C3476" s="1">
        <v>2017.0</v>
      </c>
      <c r="D3476" s="2">
        <v>42990.0</v>
      </c>
      <c r="F3476" s="1" t="s">
        <v>208</v>
      </c>
      <c r="H3476" s="3">
        <v>18.0</v>
      </c>
      <c r="I3476" s="4" t="s">
        <v>14551</v>
      </c>
      <c r="J3476" s="1" t="s">
        <v>14552</v>
      </c>
      <c r="K3476" s="1" t="s">
        <v>28</v>
      </c>
    </row>
    <row r="3477">
      <c r="A3477" s="1" t="s">
        <v>14553</v>
      </c>
      <c r="B3477" s="1" t="s">
        <v>14554</v>
      </c>
      <c r="C3477" s="1">
        <v>2017.0</v>
      </c>
      <c r="D3477" s="2">
        <v>42990.0</v>
      </c>
      <c r="F3477" s="1" t="s">
        <v>59</v>
      </c>
      <c r="H3477" s="3">
        <v>41.0</v>
      </c>
      <c r="I3477" s="4" t="s">
        <v>14555</v>
      </c>
      <c r="J3477" s="1" t="s">
        <v>14556</v>
      </c>
      <c r="K3477" s="1" t="s">
        <v>323</v>
      </c>
    </row>
    <row r="3478">
      <c r="A3478" s="1" t="s">
        <v>14557</v>
      </c>
      <c r="B3478" s="1" t="s">
        <v>14558</v>
      </c>
      <c r="C3478" s="1">
        <v>2017.0</v>
      </c>
      <c r="D3478" s="2">
        <v>42990.0</v>
      </c>
      <c r="F3478" s="1" t="s">
        <v>5368</v>
      </c>
      <c r="H3478" s="3">
        <v>2.0</v>
      </c>
      <c r="I3478" s="4" t="s">
        <v>14559</v>
      </c>
      <c r="J3478" s="1" t="s">
        <v>14560</v>
      </c>
      <c r="K3478" s="1" t="s">
        <v>323</v>
      </c>
    </row>
    <row r="3479">
      <c r="A3479" s="1" t="s">
        <v>14561</v>
      </c>
      <c r="B3479" s="1" t="s">
        <v>14562</v>
      </c>
      <c r="C3479" s="1">
        <v>2017.0</v>
      </c>
      <c r="D3479" s="2">
        <v>42989.0</v>
      </c>
      <c r="F3479" s="1" t="s">
        <v>1040</v>
      </c>
      <c r="H3479" s="3">
        <v>14.0</v>
      </c>
      <c r="I3479" s="4" t="s">
        <v>14563</v>
      </c>
      <c r="J3479" s="1" t="s">
        <v>14564</v>
      </c>
      <c r="K3479" s="1" t="s">
        <v>28</v>
      </c>
    </row>
    <row r="3480">
      <c r="A3480" s="1" t="s">
        <v>14565</v>
      </c>
      <c r="B3480" s="1" t="s">
        <v>14566</v>
      </c>
      <c r="C3480" s="1">
        <v>2017.0</v>
      </c>
      <c r="D3480" s="2">
        <v>42987.0</v>
      </c>
      <c r="F3480" s="1" t="s">
        <v>656</v>
      </c>
      <c r="H3480" s="3">
        <v>14.0</v>
      </c>
      <c r="I3480" s="4" t="s">
        <v>14567</v>
      </c>
      <c r="J3480" s="1" t="s">
        <v>14568</v>
      </c>
      <c r="K3480" s="1" t="s">
        <v>462</v>
      </c>
    </row>
    <row r="3481">
      <c r="A3481" s="1" t="s">
        <v>14569</v>
      </c>
      <c r="B3481" s="1" t="s">
        <v>14570</v>
      </c>
      <c r="C3481" s="1">
        <v>2017.0</v>
      </c>
      <c r="D3481" s="2">
        <v>42985.0</v>
      </c>
      <c r="F3481" s="1" t="s">
        <v>14571</v>
      </c>
      <c r="H3481" s="3">
        <v>11.0</v>
      </c>
      <c r="I3481" s="4" t="s">
        <v>14572</v>
      </c>
      <c r="J3481" s="1" t="s">
        <v>14573</v>
      </c>
      <c r="K3481" s="1" t="s">
        <v>16</v>
      </c>
    </row>
    <row r="3482">
      <c r="A3482" s="1" t="s">
        <v>14574</v>
      </c>
      <c r="B3482" s="1" t="s">
        <v>14575</v>
      </c>
      <c r="C3482" s="1">
        <v>2017.0</v>
      </c>
      <c r="D3482" s="2">
        <v>42984.0</v>
      </c>
      <c r="F3482" s="1" t="s">
        <v>271</v>
      </c>
      <c r="H3482" s="3">
        <v>6.0</v>
      </c>
      <c r="I3482" s="4" t="s">
        <v>14576</v>
      </c>
      <c r="J3482" s="1" t="s">
        <v>14577</v>
      </c>
      <c r="K3482" s="1" t="s">
        <v>383</v>
      </c>
    </row>
    <row r="3483">
      <c r="A3483" s="1" t="s">
        <v>14578</v>
      </c>
      <c r="B3483" s="1" t="s">
        <v>14579</v>
      </c>
      <c r="C3483" s="1">
        <v>2017.0</v>
      </c>
      <c r="D3483" s="2">
        <v>42983.0</v>
      </c>
      <c r="F3483" s="1" t="s">
        <v>5090</v>
      </c>
      <c r="H3483" s="3">
        <v>5.0</v>
      </c>
      <c r="I3483" s="4" t="s">
        <v>14580</v>
      </c>
      <c r="J3483" s="1" t="s">
        <v>14581</v>
      </c>
      <c r="K3483" s="1" t="s">
        <v>45</v>
      </c>
    </row>
    <row r="3484">
      <c r="A3484" s="1" t="s">
        <v>14582</v>
      </c>
      <c r="B3484" s="1" t="s">
        <v>14583</v>
      </c>
      <c r="C3484" s="1">
        <v>2017.0</v>
      </c>
      <c r="D3484" s="2">
        <v>42983.0</v>
      </c>
      <c r="F3484" s="1" t="s">
        <v>332</v>
      </c>
      <c r="H3484" s="3">
        <v>93.0</v>
      </c>
      <c r="I3484" s="4" t="s">
        <v>14584</v>
      </c>
      <c r="J3484" s="1" t="s">
        <v>14585</v>
      </c>
      <c r="K3484" s="1" t="s">
        <v>372</v>
      </c>
    </row>
    <row r="3485">
      <c r="A3485" s="1" t="s">
        <v>14586</v>
      </c>
      <c r="B3485" s="1" t="s">
        <v>14587</v>
      </c>
      <c r="C3485" s="1">
        <v>2017.0</v>
      </c>
      <c r="D3485" s="2">
        <v>42983.0</v>
      </c>
      <c r="F3485" s="1" t="s">
        <v>14588</v>
      </c>
      <c r="H3485" s="3">
        <v>21.0</v>
      </c>
      <c r="I3485" s="4" t="s">
        <v>14589</v>
      </c>
      <c r="J3485" s="1" t="s">
        <v>14590</v>
      </c>
      <c r="K3485" s="1" t="s">
        <v>295</v>
      </c>
    </row>
    <row r="3486">
      <c r="A3486" s="1" t="s">
        <v>14591</v>
      </c>
      <c r="B3486" s="1" t="s">
        <v>14592</v>
      </c>
      <c r="C3486" s="1">
        <v>2017.0</v>
      </c>
      <c r="D3486" s="2">
        <v>42982.0</v>
      </c>
      <c r="F3486" s="1" t="s">
        <v>615</v>
      </c>
      <c r="H3486" s="3">
        <v>24.0</v>
      </c>
      <c r="I3486" s="4" t="s">
        <v>14593</v>
      </c>
      <c r="J3486" s="1" t="s">
        <v>14594</v>
      </c>
      <c r="K3486" s="1" t="s">
        <v>28</v>
      </c>
    </row>
    <row r="3487">
      <c r="A3487" s="1" t="s">
        <v>14595</v>
      </c>
      <c r="B3487" s="1" t="s">
        <v>14596</v>
      </c>
      <c r="C3487" s="1">
        <v>2017.0</v>
      </c>
      <c r="D3487" s="2">
        <v>42982.0</v>
      </c>
      <c r="F3487" s="1" t="s">
        <v>2515</v>
      </c>
      <c r="H3487" s="3">
        <v>8.0</v>
      </c>
      <c r="I3487" s="4" t="s">
        <v>14597</v>
      </c>
      <c r="J3487" s="1" t="s">
        <v>14598</v>
      </c>
      <c r="K3487" s="1" t="s">
        <v>295</v>
      </c>
    </row>
    <row r="3488">
      <c r="A3488" s="1" t="s">
        <v>14599</v>
      </c>
      <c r="B3488" s="1" t="s">
        <v>14600</v>
      </c>
      <c r="C3488" s="1">
        <v>2017.0</v>
      </c>
      <c r="D3488" s="2">
        <v>42982.0</v>
      </c>
      <c r="F3488" s="1" t="s">
        <v>2611</v>
      </c>
      <c r="H3488" s="3">
        <v>21.0</v>
      </c>
      <c r="I3488" s="4" t="s">
        <v>14601</v>
      </c>
      <c r="J3488" s="1" t="s">
        <v>14602</v>
      </c>
      <c r="K3488" s="1" t="s">
        <v>68</v>
      </c>
    </row>
    <row r="3489">
      <c r="A3489" s="1" t="s">
        <v>14603</v>
      </c>
      <c r="B3489" s="1" t="s">
        <v>14604</v>
      </c>
      <c r="C3489" s="1">
        <v>2017.0</v>
      </c>
      <c r="D3489" s="2">
        <v>42980.0</v>
      </c>
      <c r="F3489" s="1" t="s">
        <v>12240</v>
      </c>
      <c r="H3489" s="3">
        <v>25.0</v>
      </c>
      <c r="I3489" s="4" t="s">
        <v>14605</v>
      </c>
      <c r="J3489" s="1" t="s">
        <v>14606</v>
      </c>
      <c r="K3489" s="1" t="s">
        <v>546</v>
      </c>
    </row>
    <row r="3490">
      <c r="A3490" s="1" t="s">
        <v>14607</v>
      </c>
      <c r="B3490" s="1" t="s">
        <v>14608</v>
      </c>
      <c r="C3490" s="1">
        <v>2017.0</v>
      </c>
      <c r="D3490" s="2">
        <v>42979.0</v>
      </c>
      <c r="F3490" s="1" t="s">
        <v>440</v>
      </c>
      <c r="H3490" s="3">
        <v>34.0</v>
      </c>
      <c r="I3490" s="4" t="s">
        <v>14609</v>
      </c>
      <c r="J3490" s="1" t="s">
        <v>14610</v>
      </c>
      <c r="K3490" s="1" t="s">
        <v>383</v>
      </c>
    </row>
    <row r="3491">
      <c r="A3491" s="1" t="s">
        <v>14611</v>
      </c>
      <c r="B3491" s="1" t="s">
        <v>14612</v>
      </c>
      <c r="C3491" s="1">
        <v>2017.0</v>
      </c>
      <c r="D3491" s="2">
        <v>42979.0</v>
      </c>
      <c r="F3491" s="1" t="s">
        <v>19</v>
      </c>
      <c r="H3491" s="3">
        <v>57.0</v>
      </c>
      <c r="I3491" s="4" t="s">
        <v>14613</v>
      </c>
      <c r="J3491" s="1" t="s">
        <v>14614</v>
      </c>
      <c r="K3491" s="1" t="s">
        <v>323</v>
      </c>
    </row>
    <row r="3492">
      <c r="A3492" s="1" t="s">
        <v>14615</v>
      </c>
      <c r="B3492" s="1" t="s">
        <v>14616</v>
      </c>
      <c r="C3492" s="1">
        <v>2017.0</v>
      </c>
      <c r="D3492" s="2">
        <v>42979.0</v>
      </c>
      <c r="F3492" s="1" t="s">
        <v>1995</v>
      </c>
      <c r="H3492" s="3">
        <v>46.0</v>
      </c>
      <c r="I3492" s="4" t="s">
        <v>14617</v>
      </c>
      <c r="J3492" s="1" t="s">
        <v>14618</v>
      </c>
      <c r="K3492" s="1" t="s">
        <v>28</v>
      </c>
    </row>
    <row r="3493">
      <c r="A3493" s="1" t="s">
        <v>14619</v>
      </c>
      <c r="B3493" s="1" t="s">
        <v>13970</v>
      </c>
      <c r="C3493" s="1">
        <v>2017.0</v>
      </c>
      <c r="D3493" s="2">
        <v>42979.0</v>
      </c>
      <c r="F3493" s="1" t="s">
        <v>440</v>
      </c>
      <c r="H3493" s="3">
        <v>0.0</v>
      </c>
      <c r="I3493" s="4" t="s">
        <v>14620</v>
      </c>
      <c r="J3493" s="1"/>
      <c r="K3493" s="1" t="s">
        <v>383</v>
      </c>
    </row>
    <row r="3494">
      <c r="A3494" s="1" t="s">
        <v>14621</v>
      </c>
      <c r="B3494" s="1" t="s">
        <v>14622</v>
      </c>
      <c r="C3494" s="1">
        <v>2017.0</v>
      </c>
      <c r="D3494" s="2">
        <v>42979.0</v>
      </c>
      <c r="F3494" s="1" t="s">
        <v>1358</v>
      </c>
      <c r="H3494" s="3">
        <v>71.0</v>
      </c>
      <c r="I3494" s="4" t="s">
        <v>14623</v>
      </c>
      <c r="J3494" s="1" t="s">
        <v>14624</v>
      </c>
      <c r="K3494" s="1" t="s">
        <v>28</v>
      </c>
    </row>
    <row r="3495">
      <c r="A3495" s="1" t="s">
        <v>14625</v>
      </c>
      <c r="B3495" s="1" t="s">
        <v>14626</v>
      </c>
      <c r="C3495" s="1">
        <v>2017.0</v>
      </c>
      <c r="D3495" s="2">
        <v>42977.0</v>
      </c>
      <c r="F3495" s="1" t="s">
        <v>3207</v>
      </c>
      <c r="H3495" s="3">
        <v>43.0</v>
      </c>
      <c r="I3495" s="4" t="s">
        <v>14627</v>
      </c>
      <c r="J3495" s="1" t="s">
        <v>14628</v>
      </c>
      <c r="K3495" s="1" t="s">
        <v>413</v>
      </c>
    </row>
    <row r="3496">
      <c r="A3496" s="1" t="s">
        <v>14629</v>
      </c>
      <c r="B3496" s="1" t="s">
        <v>14630</v>
      </c>
      <c r="C3496" s="1">
        <v>2017.0</v>
      </c>
      <c r="D3496" s="2">
        <v>42977.0</v>
      </c>
      <c r="F3496" s="1" t="s">
        <v>396</v>
      </c>
      <c r="H3496" s="3">
        <v>31.0</v>
      </c>
      <c r="I3496" s="4" t="s">
        <v>14631</v>
      </c>
      <c r="J3496" s="1" t="s">
        <v>14632</v>
      </c>
      <c r="K3496" s="1" t="s">
        <v>16</v>
      </c>
    </row>
    <row r="3497">
      <c r="A3497" s="1" t="s">
        <v>14633</v>
      </c>
      <c r="B3497" s="1" t="s">
        <v>13672</v>
      </c>
      <c r="C3497" s="1">
        <v>2017.0</v>
      </c>
      <c r="D3497" s="2">
        <v>42967.0</v>
      </c>
      <c r="F3497" s="1" t="s">
        <v>12240</v>
      </c>
      <c r="H3497" s="3">
        <v>21.0</v>
      </c>
      <c r="I3497" s="4" t="s">
        <v>14634</v>
      </c>
      <c r="J3497" s="1" t="s">
        <v>14635</v>
      </c>
      <c r="K3497" s="1" t="s">
        <v>546</v>
      </c>
    </row>
    <row r="3498">
      <c r="A3498" s="1" t="s">
        <v>14636</v>
      </c>
      <c r="B3498" s="1" t="s">
        <v>14637</v>
      </c>
      <c r="C3498" s="1">
        <v>2017.0</v>
      </c>
      <c r="D3498" s="2">
        <v>42965.0</v>
      </c>
      <c r="F3498" s="1" t="s">
        <v>1123</v>
      </c>
      <c r="H3498" s="3">
        <v>17.0</v>
      </c>
      <c r="I3498" s="4" t="s">
        <v>14638</v>
      </c>
      <c r="J3498" s="1" t="s">
        <v>14639</v>
      </c>
      <c r="K3498" s="1" t="s">
        <v>28</v>
      </c>
    </row>
    <row r="3499">
      <c r="A3499" s="1" t="s">
        <v>14640</v>
      </c>
      <c r="B3499" s="1" t="s">
        <v>14641</v>
      </c>
      <c r="C3499" s="1">
        <v>2017.0</v>
      </c>
      <c r="D3499" s="2">
        <v>42964.0</v>
      </c>
      <c r="F3499" s="1" t="s">
        <v>396</v>
      </c>
      <c r="H3499" s="3">
        <v>43.0</v>
      </c>
      <c r="I3499" s="4" t="s">
        <v>14642</v>
      </c>
      <c r="J3499" s="1"/>
      <c r="K3499" s="1" t="s">
        <v>28</v>
      </c>
    </row>
    <row r="3500">
      <c r="A3500" s="1" t="s">
        <v>14643</v>
      </c>
      <c r="B3500" s="1" t="s">
        <v>14644</v>
      </c>
      <c r="C3500" s="1">
        <v>2017.0</v>
      </c>
      <c r="D3500" s="2">
        <v>42963.0</v>
      </c>
      <c r="F3500" s="1" t="s">
        <v>116</v>
      </c>
      <c r="H3500" s="3">
        <v>1.0</v>
      </c>
      <c r="I3500" s="4" t="s">
        <v>14645</v>
      </c>
      <c r="J3500" s="1"/>
      <c r="K3500" s="1" t="s">
        <v>16</v>
      </c>
    </row>
    <row r="3501">
      <c r="A3501" s="1" t="s">
        <v>14646</v>
      </c>
      <c r="B3501" s="1" t="s">
        <v>14647</v>
      </c>
      <c r="C3501" s="1">
        <v>2017.0</v>
      </c>
      <c r="D3501" s="2">
        <v>42963.0</v>
      </c>
      <c r="F3501" s="1" t="s">
        <v>116</v>
      </c>
      <c r="H3501" s="3">
        <v>13.0</v>
      </c>
      <c r="I3501" s="4" t="s">
        <v>14648</v>
      </c>
      <c r="J3501" s="1" t="s">
        <v>14649</v>
      </c>
      <c r="K3501" s="1" t="s">
        <v>413</v>
      </c>
    </row>
    <row r="3502">
      <c r="A3502" s="1" t="s">
        <v>14650</v>
      </c>
      <c r="B3502" s="1" t="s">
        <v>14651</v>
      </c>
      <c r="C3502" s="1">
        <v>2017.0</v>
      </c>
      <c r="D3502" s="2">
        <v>42963.0</v>
      </c>
      <c r="F3502" s="1" t="s">
        <v>81</v>
      </c>
      <c r="H3502" s="3">
        <v>7.0</v>
      </c>
      <c r="I3502" s="4" t="s">
        <v>14652</v>
      </c>
      <c r="J3502" s="1" t="s">
        <v>14653</v>
      </c>
      <c r="K3502" s="1" t="s">
        <v>295</v>
      </c>
    </row>
    <row r="3503">
      <c r="A3503" s="1" t="s">
        <v>14654</v>
      </c>
      <c r="B3503" s="1" t="s">
        <v>14655</v>
      </c>
      <c r="C3503" s="1">
        <v>2017.0</v>
      </c>
      <c r="D3503" s="2">
        <v>42960.0</v>
      </c>
      <c r="F3503" s="1" t="s">
        <v>681</v>
      </c>
      <c r="H3503" s="3">
        <v>8.0</v>
      </c>
      <c r="I3503" s="4" t="s">
        <v>14656</v>
      </c>
      <c r="J3503" s="1" t="s">
        <v>14657</v>
      </c>
      <c r="K3503" s="1" t="s">
        <v>295</v>
      </c>
    </row>
    <row r="3504">
      <c r="A3504" s="1" t="s">
        <v>14658</v>
      </c>
      <c r="B3504" s="1" t="s">
        <v>14659</v>
      </c>
      <c r="C3504" s="1">
        <v>2017.0</v>
      </c>
      <c r="D3504" s="2">
        <v>42956.0</v>
      </c>
      <c r="F3504" s="1" t="s">
        <v>12240</v>
      </c>
      <c r="H3504" s="3">
        <v>30.0</v>
      </c>
      <c r="I3504" s="4" t="s">
        <v>14660</v>
      </c>
      <c r="J3504" s="1" t="s">
        <v>14661</v>
      </c>
      <c r="K3504" s="1" t="s">
        <v>546</v>
      </c>
    </row>
    <row r="3505">
      <c r="A3505" s="1" t="s">
        <v>14662</v>
      </c>
      <c r="B3505" s="1" t="s">
        <v>14663</v>
      </c>
      <c r="C3505" s="1">
        <v>2017.0</v>
      </c>
      <c r="D3505" s="2">
        <v>42956.0</v>
      </c>
      <c r="F3505" s="1" t="s">
        <v>952</v>
      </c>
      <c r="H3505" s="3">
        <v>25.0</v>
      </c>
      <c r="I3505" s="4" t="s">
        <v>14664</v>
      </c>
      <c r="J3505" s="1" t="s">
        <v>14665</v>
      </c>
      <c r="K3505" s="1" t="s">
        <v>295</v>
      </c>
    </row>
    <row r="3506">
      <c r="A3506" s="1" t="s">
        <v>14666</v>
      </c>
      <c r="B3506" s="1" t="s">
        <v>14667</v>
      </c>
      <c r="C3506" s="1">
        <v>2017.0</v>
      </c>
      <c r="D3506" s="2">
        <v>42955.0</v>
      </c>
      <c r="F3506" s="1" t="s">
        <v>3119</v>
      </c>
      <c r="H3506" s="3">
        <v>16.0</v>
      </c>
      <c r="I3506" s="4" t="s">
        <v>14668</v>
      </c>
      <c r="J3506" s="1" t="s">
        <v>14669</v>
      </c>
      <c r="K3506" s="1" t="s">
        <v>323</v>
      </c>
    </row>
    <row r="3507">
      <c r="A3507" s="1" t="s">
        <v>14670</v>
      </c>
      <c r="B3507" s="1" t="s">
        <v>14671</v>
      </c>
      <c r="C3507" s="1">
        <v>2017.0</v>
      </c>
      <c r="D3507" s="2">
        <v>42955.0</v>
      </c>
      <c r="F3507" s="1" t="s">
        <v>6393</v>
      </c>
      <c r="H3507" s="3">
        <v>26.0</v>
      </c>
      <c r="I3507" s="4" t="s">
        <v>14672</v>
      </c>
      <c r="J3507" s="1" t="s">
        <v>14673</v>
      </c>
      <c r="K3507" s="1" t="s">
        <v>323</v>
      </c>
    </row>
    <row r="3508">
      <c r="A3508" s="1" t="s">
        <v>14674</v>
      </c>
      <c r="B3508" s="1" t="s">
        <v>14675</v>
      </c>
      <c r="C3508" s="1">
        <v>2017.0</v>
      </c>
      <c r="D3508" s="2">
        <v>42954.0</v>
      </c>
      <c r="F3508" s="1" t="s">
        <v>721</v>
      </c>
      <c r="H3508" s="3">
        <v>16.0</v>
      </c>
      <c r="I3508" s="4" t="s">
        <v>14676</v>
      </c>
      <c r="J3508" s="1" t="s">
        <v>14677</v>
      </c>
      <c r="K3508" s="1" t="s">
        <v>323</v>
      </c>
    </row>
    <row r="3509">
      <c r="A3509" s="1" t="s">
        <v>14678</v>
      </c>
      <c r="B3509" s="1" t="s">
        <v>14679</v>
      </c>
      <c r="C3509" s="1">
        <v>2017.0</v>
      </c>
      <c r="D3509" s="2">
        <v>42953.0</v>
      </c>
      <c r="F3509" s="1" t="s">
        <v>14680</v>
      </c>
      <c r="H3509" s="3">
        <v>18.0</v>
      </c>
      <c r="I3509" s="4" t="s">
        <v>14681</v>
      </c>
      <c r="J3509" s="1" t="s">
        <v>14682</v>
      </c>
      <c r="K3509" s="1" t="s">
        <v>443</v>
      </c>
    </row>
    <row r="3510">
      <c r="A3510" s="1" t="s">
        <v>14683</v>
      </c>
      <c r="B3510" s="1" t="s">
        <v>14684</v>
      </c>
      <c r="C3510" s="1">
        <v>2017.0</v>
      </c>
      <c r="D3510" s="2">
        <v>42951.0</v>
      </c>
      <c r="F3510" s="1" t="s">
        <v>1938</v>
      </c>
      <c r="H3510" s="3">
        <v>7.0</v>
      </c>
      <c r="I3510" s="4" t="s">
        <v>14685</v>
      </c>
      <c r="J3510" s="1" t="s">
        <v>14686</v>
      </c>
      <c r="K3510" s="1" t="s">
        <v>295</v>
      </c>
    </row>
    <row r="3511">
      <c r="A3511" s="1" t="s">
        <v>14687</v>
      </c>
      <c r="B3511" s="1" t="s">
        <v>13356</v>
      </c>
      <c r="C3511" s="1">
        <v>2017.0</v>
      </c>
      <c r="D3511" s="2">
        <v>42951.0</v>
      </c>
      <c r="F3511" s="1" t="s">
        <v>157</v>
      </c>
      <c r="H3511" s="3">
        <v>33.0</v>
      </c>
      <c r="I3511" s="4" t="s">
        <v>14688</v>
      </c>
      <c r="J3511" s="1" t="s">
        <v>14689</v>
      </c>
      <c r="K3511" s="1" t="s">
        <v>546</v>
      </c>
    </row>
    <row r="3512">
      <c r="A3512" s="1" t="s">
        <v>14690</v>
      </c>
      <c r="B3512" s="1" t="s">
        <v>14691</v>
      </c>
      <c r="C3512" s="1">
        <v>2017.0</v>
      </c>
      <c r="D3512" s="2">
        <v>42950.0</v>
      </c>
      <c r="F3512" s="1" t="s">
        <v>369</v>
      </c>
      <c r="H3512" s="3">
        <v>21.0</v>
      </c>
      <c r="I3512" s="4" t="s">
        <v>14692</v>
      </c>
      <c r="J3512" s="1" t="s">
        <v>14693</v>
      </c>
      <c r="K3512" s="1" t="s">
        <v>413</v>
      </c>
    </row>
    <row r="3513">
      <c r="A3513" s="1" t="s">
        <v>14694</v>
      </c>
      <c r="B3513" s="1" t="s">
        <v>14695</v>
      </c>
      <c r="C3513" s="1">
        <v>2017.0</v>
      </c>
      <c r="D3513" s="2">
        <v>42949.0</v>
      </c>
      <c r="F3513" s="1" t="s">
        <v>31</v>
      </c>
      <c r="H3513" s="3">
        <v>36.0</v>
      </c>
      <c r="I3513" s="4" t="s">
        <v>14696</v>
      </c>
      <c r="J3513" s="1" t="s">
        <v>14697</v>
      </c>
      <c r="K3513" s="1" t="s">
        <v>28</v>
      </c>
    </row>
    <row r="3514">
      <c r="A3514" s="1" t="s">
        <v>14698</v>
      </c>
      <c r="B3514" s="1" t="s">
        <v>14699</v>
      </c>
      <c r="C3514" s="1">
        <v>2017.0</v>
      </c>
      <c r="D3514" s="2">
        <v>42948.0</v>
      </c>
      <c r="F3514" s="1" t="s">
        <v>7949</v>
      </c>
      <c r="H3514" s="3">
        <v>52.0</v>
      </c>
      <c r="I3514" s="4" t="s">
        <v>14700</v>
      </c>
      <c r="J3514" s="1" t="s">
        <v>14701</v>
      </c>
      <c r="K3514" s="1" t="s">
        <v>340</v>
      </c>
    </row>
    <row r="3515">
      <c r="A3515" s="1" t="s">
        <v>14702</v>
      </c>
      <c r="B3515" s="1" t="s">
        <v>14703</v>
      </c>
      <c r="C3515" s="1">
        <v>2017.0</v>
      </c>
      <c r="D3515" s="2">
        <v>42948.0</v>
      </c>
      <c r="F3515" s="1" t="s">
        <v>484</v>
      </c>
      <c r="H3515" s="3">
        <v>29.0</v>
      </c>
      <c r="I3515" s="4" t="s">
        <v>14704</v>
      </c>
      <c r="J3515" s="1" t="s">
        <v>14705</v>
      </c>
      <c r="K3515" s="1" t="s">
        <v>28</v>
      </c>
    </row>
    <row r="3516">
      <c r="A3516" s="1" t="s">
        <v>14706</v>
      </c>
      <c r="B3516" s="1" t="s">
        <v>14707</v>
      </c>
      <c r="C3516" s="1">
        <v>2017.0</v>
      </c>
      <c r="D3516" s="2">
        <v>42948.0</v>
      </c>
      <c r="F3516" s="1" t="s">
        <v>4848</v>
      </c>
      <c r="H3516" s="3">
        <v>6.0</v>
      </c>
      <c r="I3516" s="4" t="s">
        <v>14708</v>
      </c>
      <c r="J3516" s="1" t="s">
        <v>14709</v>
      </c>
      <c r="K3516" s="1" t="s">
        <v>323</v>
      </c>
    </row>
    <row r="3517">
      <c r="A3517" s="1" t="s">
        <v>14710</v>
      </c>
      <c r="B3517" s="1" t="s">
        <v>14711</v>
      </c>
      <c r="C3517" s="1">
        <v>2017.0</v>
      </c>
      <c r="D3517" s="2">
        <v>42948.0</v>
      </c>
      <c r="F3517" s="1" t="s">
        <v>19</v>
      </c>
      <c r="H3517" s="3">
        <v>13.0</v>
      </c>
      <c r="I3517" s="4" t="s">
        <v>14712</v>
      </c>
      <c r="J3517" s="1" t="s">
        <v>14713</v>
      </c>
      <c r="K3517" s="1" t="s">
        <v>323</v>
      </c>
    </row>
    <row r="3518">
      <c r="A3518" s="1" t="s">
        <v>14714</v>
      </c>
      <c r="B3518" s="1" t="s">
        <v>14715</v>
      </c>
      <c r="C3518" s="1">
        <v>2017.0</v>
      </c>
      <c r="D3518" s="2">
        <v>42948.0</v>
      </c>
      <c r="F3518" s="1" t="s">
        <v>4848</v>
      </c>
      <c r="H3518" s="3">
        <v>9.0</v>
      </c>
      <c r="I3518" s="4" t="s">
        <v>14716</v>
      </c>
      <c r="J3518" s="1" t="s">
        <v>14717</v>
      </c>
      <c r="K3518" s="1" t="s">
        <v>68</v>
      </c>
    </row>
    <row r="3519">
      <c r="A3519" s="1" t="s">
        <v>14718</v>
      </c>
      <c r="B3519" s="1" t="s">
        <v>14719</v>
      </c>
      <c r="C3519" s="1">
        <v>2017.0</v>
      </c>
      <c r="D3519" s="2">
        <v>42948.0</v>
      </c>
      <c r="F3519" s="1" t="s">
        <v>14720</v>
      </c>
      <c r="H3519" s="3">
        <v>36.0</v>
      </c>
      <c r="I3519" s="4" t="s">
        <v>14721</v>
      </c>
      <c r="J3519" s="1" t="s">
        <v>14722</v>
      </c>
      <c r="K3519" s="1" t="s">
        <v>16</v>
      </c>
    </row>
    <row r="3520">
      <c r="A3520" s="1" t="s">
        <v>14723</v>
      </c>
      <c r="B3520" s="1" t="s">
        <v>14724</v>
      </c>
      <c r="C3520" s="1">
        <v>2017.0</v>
      </c>
      <c r="D3520" s="2">
        <v>42948.0</v>
      </c>
      <c r="F3520" s="1" t="s">
        <v>2502</v>
      </c>
      <c r="H3520" s="3">
        <v>6.0</v>
      </c>
      <c r="I3520" s="4" t="s">
        <v>14725</v>
      </c>
      <c r="J3520" s="1" t="s">
        <v>14726</v>
      </c>
      <c r="K3520" s="1" t="s">
        <v>295</v>
      </c>
    </row>
    <row r="3521">
      <c r="A3521" s="1" t="s">
        <v>14727</v>
      </c>
      <c r="B3521" s="1" t="s">
        <v>14728</v>
      </c>
      <c r="C3521" s="1">
        <v>2017.0</v>
      </c>
      <c r="D3521" s="2">
        <v>42947.0</v>
      </c>
      <c r="F3521" s="1" t="s">
        <v>1899</v>
      </c>
      <c r="H3521" s="3">
        <v>19.0</v>
      </c>
      <c r="I3521" s="4" t="s">
        <v>14729</v>
      </c>
      <c r="J3521" s="1" t="s">
        <v>14730</v>
      </c>
      <c r="K3521" s="1" t="s">
        <v>1036</v>
      </c>
    </row>
    <row r="3522">
      <c r="A3522" s="1" t="s">
        <v>14731</v>
      </c>
      <c r="B3522" s="1" t="s">
        <v>14732</v>
      </c>
      <c r="C3522" s="1">
        <v>2017.0</v>
      </c>
      <c r="D3522" s="2">
        <v>42947.0</v>
      </c>
      <c r="F3522" s="1" t="s">
        <v>1410</v>
      </c>
      <c r="H3522" s="3">
        <v>9.0</v>
      </c>
      <c r="I3522" s="4" t="s">
        <v>14733</v>
      </c>
      <c r="J3522" s="1" t="s">
        <v>14734</v>
      </c>
      <c r="K3522" s="1" t="s">
        <v>68</v>
      </c>
    </row>
    <row r="3523">
      <c r="A3523" s="1" t="s">
        <v>14735</v>
      </c>
      <c r="B3523" s="1" t="s">
        <v>14736</v>
      </c>
      <c r="C3523" s="1">
        <v>2017.0</v>
      </c>
      <c r="D3523" s="2">
        <v>42943.0</v>
      </c>
      <c r="F3523" s="1" t="s">
        <v>59</v>
      </c>
      <c r="H3523" s="3">
        <v>8.0</v>
      </c>
      <c r="I3523" s="4" t="s">
        <v>14737</v>
      </c>
      <c r="J3523" s="1" t="s">
        <v>14738</v>
      </c>
      <c r="K3523" s="1" t="s">
        <v>295</v>
      </c>
    </row>
    <row r="3524">
      <c r="A3524" s="1" t="s">
        <v>14739</v>
      </c>
      <c r="B3524" s="1" t="s">
        <v>14740</v>
      </c>
      <c r="C3524" s="1">
        <v>2017.0</v>
      </c>
      <c r="D3524" s="2">
        <v>42941.0</v>
      </c>
      <c r="F3524" s="1" t="s">
        <v>9365</v>
      </c>
      <c r="H3524" s="3">
        <v>4.0</v>
      </c>
      <c r="I3524" s="4" t="s">
        <v>14741</v>
      </c>
      <c r="J3524" s="1" t="s">
        <v>14742</v>
      </c>
      <c r="K3524" s="1" t="s">
        <v>323</v>
      </c>
    </row>
    <row r="3525">
      <c r="A3525" s="1" t="s">
        <v>14743</v>
      </c>
      <c r="B3525" s="1" t="s">
        <v>14744</v>
      </c>
      <c r="C3525" s="1">
        <v>2017.0</v>
      </c>
      <c r="D3525" s="2">
        <v>42941.0</v>
      </c>
      <c r="F3525" s="1" t="s">
        <v>656</v>
      </c>
      <c r="H3525" s="3">
        <v>44.0</v>
      </c>
      <c r="I3525" s="4" t="s">
        <v>14745</v>
      </c>
      <c r="J3525" s="1" t="s">
        <v>14746</v>
      </c>
      <c r="K3525" s="1" t="s">
        <v>372</v>
      </c>
    </row>
    <row r="3526">
      <c r="A3526" s="1" t="s">
        <v>14747</v>
      </c>
      <c r="B3526" s="1" t="s">
        <v>14748</v>
      </c>
      <c r="C3526" s="1">
        <v>2017.0</v>
      </c>
      <c r="D3526" s="2">
        <v>42940.0</v>
      </c>
      <c r="F3526" s="1" t="s">
        <v>12240</v>
      </c>
      <c r="H3526" s="3">
        <v>192.0</v>
      </c>
      <c r="I3526" s="4" t="s">
        <v>14749</v>
      </c>
      <c r="J3526" s="1" t="s">
        <v>14750</v>
      </c>
      <c r="K3526" s="1" t="s">
        <v>546</v>
      </c>
    </row>
    <row r="3527">
      <c r="A3527" s="1" t="s">
        <v>14751</v>
      </c>
      <c r="B3527" s="1" t="s">
        <v>14752</v>
      </c>
      <c r="C3527" s="1">
        <v>2017.0</v>
      </c>
      <c r="D3527" s="2">
        <v>42940.0</v>
      </c>
      <c r="F3527" s="1" t="s">
        <v>14753</v>
      </c>
      <c r="H3527" s="3">
        <v>6.0</v>
      </c>
      <c r="I3527" s="4" t="s">
        <v>14754</v>
      </c>
      <c r="J3527" s="1" t="s">
        <v>14755</v>
      </c>
      <c r="K3527" s="1" t="s">
        <v>340</v>
      </c>
    </row>
    <row r="3528">
      <c r="A3528" s="1" t="s">
        <v>14756</v>
      </c>
      <c r="B3528" s="1" t="s">
        <v>14757</v>
      </c>
      <c r="C3528" s="1">
        <v>2017.0</v>
      </c>
      <c r="D3528" s="2">
        <v>42939.0</v>
      </c>
      <c r="F3528" s="1" t="s">
        <v>2634</v>
      </c>
      <c r="H3528" s="3">
        <v>27.0</v>
      </c>
      <c r="I3528" s="4" t="s">
        <v>14758</v>
      </c>
      <c r="J3528" s="1" t="s">
        <v>14759</v>
      </c>
      <c r="K3528" s="1" t="s">
        <v>477</v>
      </c>
    </row>
    <row r="3529">
      <c r="A3529" s="1" t="s">
        <v>14760</v>
      </c>
      <c r="B3529" s="1" t="s">
        <v>14761</v>
      </c>
      <c r="C3529" s="1">
        <v>2017.0</v>
      </c>
      <c r="D3529" s="2">
        <v>42939.0</v>
      </c>
      <c r="F3529" s="1" t="s">
        <v>877</v>
      </c>
      <c r="H3529" s="3">
        <v>11.0</v>
      </c>
      <c r="I3529" s="4" t="s">
        <v>14762</v>
      </c>
      <c r="J3529" s="1" t="s">
        <v>14763</v>
      </c>
      <c r="K3529" s="1" t="s">
        <v>295</v>
      </c>
    </row>
    <row r="3530">
      <c r="A3530" s="1" t="s">
        <v>14764</v>
      </c>
      <c r="B3530" s="1" t="s">
        <v>14765</v>
      </c>
      <c r="C3530" s="1">
        <v>2017.0</v>
      </c>
      <c r="D3530" s="2">
        <v>42937.0</v>
      </c>
      <c r="F3530" s="1" t="s">
        <v>1762</v>
      </c>
      <c r="H3530" s="3">
        <v>55.0</v>
      </c>
      <c r="I3530" s="4" t="s">
        <v>14766</v>
      </c>
      <c r="J3530" s="1" t="s">
        <v>14767</v>
      </c>
      <c r="K3530" s="1" t="s">
        <v>418</v>
      </c>
    </row>
    <row r="3531">
      <c r="A3531" s="1" t="s">
        <v>14768</v>
      </c>
      <c r="B3531" s="1" t="s">
        <v>14769</v>
      </c>
      <c r="C3531" s="1">
        <v>2017.0</v>
      </c>
      <c r="D3531" s="2">
        <v>42936.0</v>
      </c>
      <c r="F3531" s="1" t="s">
        <v>979</v>
      </c>
      <c r="H3531" s="3">
        <v>16.0</v>
      </c>
      <c r="I3531" s="4" t="s">
        <v>14770</v>
      </c>
      <c r="J3531" s="1" t="s">
        <v>14771</v>
      </c>
      <c r="K3531" s="1" t="s">
        <v>462</v>
      </c>
    </row>
    <row r="3532">
      <c r="A3532" s="1" t="s">
        <v>14772</v>
      </c>
      <c r="B3532" s="1" t="s">
        <v>14773</v>
      </c>
      <c r="C3532" s="1">
        <v>2017.0</v>
      </c>
      <c r="D3532" s="2">
        <v>42933.0</v>
      </c>
      <c r="F3532" s="1" t="s">
        <v>4530</v>
      </c>
      <c r="H3532" s="3">
        <v>60.0</v>
      </c>
      <c r="I3532" s="4" t="s">
        <v>14774</v>
      </c>
      <c r="J3532" s="1" t="s">
        <v>14775</v>
      </c>
      <c r="K3532" s="1" t="s">
        <v>28</v>
      </c>
    </row>
    <row r="3533">
      <c r="A3533" s="1" t="s">
        <v>14776</v>
      </c>
      <c r="B3533" s="1" t="s">
        <v>14777</v>
      </c>
      <c r="C3533" s="1">
        <v>2017.0</v>
      </c>
      <c r="D3533" s="2">
        <v>42933.0</v>
      </c>
      <c r="F3533" s="1" t="s">
        <v>12240</v>
      </c>
      <c r="H3533" s="3">
        <v>18.0</v>
      </c>
      <c r="I3533" s="4" t="s">
        <v>14778</v>
      </c>
      <c r="J3533" s="1" t="s">
        <v>14779</v>
      </c>
      <c r="K3533" s="1" t="s">
        <v>546</v>
      </c>
    </row>
    <row r="3534">
      <c r="A3534" s="1" t="s">
        <v>14780</v>
      </c>
      <c r="B3534" s="1" t="s">
        <v>14781</v>
      </c>
      <c r="C3534" s="1">
        <v>2017.0</v>
      </c>
      <c r="D3534" s="2">
        <v>42933.0</v>
      </c>
      <c r="F3534" s="1" t="s">
        <v>7158</v>
      </c>
      <c r="H3534" s="3">
        <v>60.0</v>
      </c>
      <c r="I3534" s="4" t="s">
        <v>14782</v>
      </c>
      <c r="J3534" s="1" t="s">
        <v>14783</v>
      </c>
      <c r="K3534" s="1" t="s">
        <v>295</v>
      </c>
    </row>
    <row r="3535">
      <c r="A3535" s="1" t="s">
        <v>14784</v>
      </c>
      <c r="B3535" s="1" t="s">
        <v>14785</v>
      </c>
      <c r="C3535" s="1">
        <v>2017.0</v>
      </c>
      <c r="D3535" s="2">
        <v>42930.0</v>
      </c>
      <c r="F3535" s="1" t="s">
        <v>369</v>
      </c>
      <c r="H3535" s="3">
        <v>28.0</v>
      </c>
      <c r="I3535" s="4" t="s">
        <v>14786</v>
      </c>
      <c r="J3535" s="1" t="s">
        <v>14787</v>
      </c>
      <c r="K3535" s="1" t="s">
        <v>28</v>
      </c>
    </row>
    <row r="3536">
      <c r="A3536" s="1" t="s">
        <v>14788</v>
      </c>
      <c r="B3536" s="1" t="s">
        <v>14789</v>
      </c>
      <c r="C3536" s="1">
        <v>2017.0</v>
      </c>
      <c r="D3536" s="2">
        <v>42930.0</v>
      </c>
      <c r="F3536" s="1" t="s">
        <v>2634</v>
      </c>
      <c r="H3536" s="3">
        <v>12.0</v>
      </c>
      <c r="I3536" s="4" t="s">
        <v>14790</v>
      </c>
      <c r="J3536" s="1" t="s">
        <v>14791</v>
      </c>
      <c r="K3536" s="1" t="s">
        <v>295</v>
      </c>
    </row>
    <row r="3537">
      <c r="A3537" s="1" t="s">
        <v>14792</v>
      </c>
      <c r="B3537" s="1" t="s">
        <v>14793</v>
      </c>
      <c r="C3537" s="1">
        <v>2017.0</v>
      </c>
      <c r="D3537" s="2">
        <v>42930.0</v>
      </c>
      <c r="F3537" s="1" t="s">
        <v>10906</v>
      </c>
      <c r="H3537" s="3">
        <v>27.0</v>
      </c>
      <c r="I3537" s="4" t="s">
        <v>14794</v>
      </c>
      <c r="J3537" s="1" t="s">
        <v>14795</v>
      </c>
      <c r="K3537" s="1" t="s">
        <v>1423</v>
      </c>
    </row>
    <row r="3538">
      <c r="A3538" s="1" t="s">
        <v>14796</v>
      </c>
      <c r="B3538" s="1" t="s">
        <v>14797</v>
      </c>
      <c r="C3538" s="1">
        <v>2017.0</v>
      </c>
      <c r="D3538" s="2">
        <v>42930.0</v>
      </c>
      <c r="F3538" s="1" t="s">
        <v>13</v>
      </c>
      <c r="H3538" s="3">
        <v>20.0</v>
      </c>
      <c r="I3538" s="4" t="s">
        <v>14798</v>
      </c>
      <c r="J3538" s="1" t="s">
        <v>14799</v>
      </c>
      <c r="K3538" s="1" t="s">
        <v>372</v>
      </c>
    </row>
    <row r="3539">
      <c r="A3539" s="1" t="s">
        <v>14800</v>
      </c>
      <c r="B3539" s="1" t="s">
        <v>14801</v>
      </c>
      <c r="C3539" s="1">
        <v>2017.0</v>
      </c>
      <c r="D3539" s="2">
        <v>42929.0</v>
      </c>
      <c r="F3539" s="1" t="s">
        <v>12240</v>
      </c>
      <c r="H3539" s="3">
        <v>113.0</v>
      </c>
      <c r="I3539" s="4" t="s">
        <v>14802</v>
      </c>
      <c r="J3539" s="1" t="s">
        <v>14803</v>
      </c>
      <c r="K3539" s="1" t="s">
        <v>546</v>
      </c>
    </row>
    <row r="3540">
      <c r="A3540" s="1" t="s">
        <v>14804</v>
      </c>
      <c r="B3540" s="1" t="s">
        <v>14805</v>
      </c>
      <c r="C3540" s="1">
        <v>2017.0</v>
      </c>
      <c r="D3540" s="2">
        <v>42928.0</v>
      </c>
      <c r="F3540" s="1" t="s">
        <v>14806</v>
      </c>
      <c r="H3540" s="3">
        <v>29.0</v>
      </c>
      <c r="I3540" s="4" t="s">
        <v>14807</v>
      </c>
      <c r="J3540" s="1" t="s">
        <v>14808</v>
      </c>
      <c r="K3540" s="1" t="s">
        <v>28</v>
      </c>
    </row>
    <row r="3541">
      <c r="A3541" s="1" t="s">
        <v>14809</v>
      </c>
      <c r="B3541" s="1" t="s">
        <v>14810</v>
      </c>
      <c r="C3541" s="1">
        <v>2017.0</v>
      </c>
      <c r="D3541" s="2">
        <v>42928.0</v>
      </c>
      <c r="F3541" s="1" t="s">
        <v>6049</v>
      </c>
      <c r="H3541" s="3">
        <v>1.0</v>
      </c>
      <c r="I3541" s="4" t="s">
        <v>14811</v>
      </c>
      <c r="J3541" s="1"/>
      <c r="K3541" s="1" t="s">
        <v>28</v>
      </c>
    </row>
    <row r="3542">
      <c r="A3542" s="1" t="s">
        <v>14812</v>
      </c>
      <c r="B3542" s="1" t="s">
        <v>14813</v>
      </c>
      <c r="C3542" s="1">
        <v>2017.0</v>
      </c>
      <c r="D3542" s="2">
        <v>42928.0</v>
      </c>
      <c r="F3542" s="1" t="s">
        <v>12127</v>
      </c>
      <c r="H3542" s="3">
        <v>5.0</v>
      </c>
      <c r="I3542" s="4" t="s">
        <v>14814</v>
      </c>
      <c r="J3542" s="1" t="s">
        <v>14815</v>
      </c>
      <c r="K3542" s="1" t="s">
        <v>323</v>
      </c>
    </row>
    <row r="3543">
      <c r="A3543" s="1" t="s">
        <v>14816</v>
      </c>
      <c r="B3543" s="1" t="s">
        <v>14817</v>
      </c>
      <c r="C3543" s="1">
        <v>2017.0</v>
      </c>
      <c r="D3543" s="2">
        <v>42927.0</v>
      </c>
      <c r="F3543" s="1" t="s">
        <v>271</v>
      </c>
      <c r="H3543" s="3">
        <v>22.0</v>
      </c>
      <c r="I3543" s="4" t="s">
        <v>14818</v>
      </c>
      <c r="J3543" s="1" t="s">
        <v>14819</v>
      </c>
      <c r="K3543" s="1" t="s">
        <v>492</v>
      </c>
    </row>
    <row r="3544">
      <c r="A3544" s="1" t="s">
        <v>14820</v>
      </c>
      <c r="B3544" s="1" t="s">
        <v>14821</v>
      </c>
      <c r="C3544" s="1">
        <v>2017.0</v>
      </c>
      <c r="D3544" s="2">
        <v>42927.0</v>
      </c>
      <c r="F3544" s="1" t="s">
        <v>3583</v>
      </c>
      <c r="H3544" s="3">
        <v>1.0</v>
      </c>
      <c r="I3544" s="4" t="s">
        <v>14822</v>
      </c>
      <c r="J3544" s="1" t="s">
        <v>14823</v>
      </c>
      <c r="K3544" s="1" t="s">
        <v>16</v>
      </c>
    </row>
    <row r="3545">
      <c r="A3545" s="1" t="s">
        <v>14824</v>
      </c>
      <c r="B3545" s="1" t="s">
        <v>14825</v>
      </c>
      <c r="C3545" s="1">
        <v>2017.0</v>
      </c>
      <c r="D3545" s="2">
        <v>42926.0</v>
      </c>
      <c r="F3545" s="1" t="s">
        <v>14826</v>
      </c>
      <c r="H3545" s="3">
        <v>32.0</v>
      </c>
      <c r="I3545" s="4" t="s">
        <v>14827</v>
      </c>
      <c r="J3545" s="1" t="s">
        <v>14828</v>
      </c>
      <c r="K3545" s="1" t="s">
        <v>443</v>
      </c>
    </row>
    <row r="3546">
      <c r="A3546" s="1" t="s">
        <v>14829</v>
      </c>
      <c r="B3546" s="1" t="s">
        <v>14830</v>
      </c>
      <c r="C3546" s="1">
        <v>2017.0</v>
      </c>
      <c r="D3546" s="2">
        <v>42926.0</v>
      </c>
      <c r="F3546" s="1" t="s">
        <v>2634</v>
      </c>
      <c r="H3546" s="3">
        <v>35.0</v>
      </c>
      <c r="I3546" s="4" t="s">
        <v>14831</v>
      </c>
      <c r="J3546" s="1" t="s">
        <v>14832</v>
      </c>
      <c r="K3546" s="1" t="s">
        <v>443</v>
      </c>
    </row>
    <row r="3547">
      <c r="A3547" s="1" t="s">
        <v>14833</v>
      </c>
      <c r="B3547" s="1" t="s">
        <v>14834</v>
      </c>
      <c r="C3547" s="1">
        <v>2017.0</v>
      </c>
      <c r="D3547" s="2">
        <v>42926.0</v>
      </c>
      <c r="F3547" s="1" t="s">
        <v>332</v>
      </c>
      <c r="H3547" s="3">
        <v>114.0</v>
      </c>
      <c r="I3547" s="4" t="s">
        <v>14835</v>
      </c>
      <c r="J3547" s="1" t="s">
        <v>14836</v>
      </c>
      <c r="K3547" s="1" t="s">
        <v>295</v>
      </c>
    </row>
    <row r="3548">
      <c r="A3548" s="1" t="s">
        <v>14837</v>
      </c>
      <c r="B3548" s="1" t="s">
        <v>14838</v>
      </c>
      <c r="C3548" s="1">
        <v>2017.0</v>
      </c>
      <c r="D3548" s="2">
        <v>42924.0</v>
      </c>
      <c r="F3548" s="1" t="s">
        <v>208</v>
      </c>
      <c r="H3548" s="3">
        <v>35.0</v>
      </c>
      <c r="I3548" s="4" t="s">
        <v>14839</v>
      </c>
      <c r="J3548" s="1" t="s">
        <v>14840</v>
      </c>
      <c r="K3548" s="1" t="s">
        <v>16</v>
      </c>
    </row>
    <row r="3549">
      <c r="A3549" s="1" t="s">
        <v>14841</v>
      </c>
      <c r="B3549" s="1" t="s">
        <v>14842</v>
      </c>
      <c r="C3549" s="1">
        <v>2017.0</v>
      </c>
      <c r="D3549" s="2">
        <v>42922.0</v>
      </c>
      <c r="F3549" s="1" t="s">
        <v>2515</v>
      </c>
      <c r="H3549" s="3">
        <v>14.0</v>
      </c>
      <c r="I3549" s="4" t="s">
        <v>14843</v>
      </c>
      <c r="J3549" s="1"/>
      <c r="K3549" s="1" t="s">
        <v>323</v>
      </c>
    </row>
    <row r="3550">
      <c r="A3550" s="1" t="s">
        <v>14844</v>
      </c>
      <c r="B3550" s="1" t="s">
        <v>14845</v>
      </c>
      <c r="C3550" s="1">
        <v>2017.0</v>
      </c>
      <c r="D3550" s="2">
        <v>42922.0</v>
      </c>
      <c r="F3550" s="1" t="s">
        <v>228</v>
      </c>
      <c r="H3550" s="3">
        <v>41.0</v>
      </c>
      <c r="I3550" s="4" t="s">
        <v>14846</v>
      </c>
      <c r="J3550" s="1" t="s">
        <v>14847</v>
      </c>
      <c r="K3550" s="1" t="s">
        <v>28</v>
      </c>
    </row>
    <row r="3551">
      <c r="A3551" s="1" t="s">
        <v>14848</v>
      </c>
      <c r="B3551" s="1" t="s">
        <v>14849</v>
      </c>
      <c r="C3551" s="1">
        <v>2017.0</v>
      </c>
      <c r="D3551" s="2">
        <v>42922.0</v>
      </c>
      <c r="F3551" s="1" t="s">
        <v>7367</v>
      </c>
      <c r="H3551" s="3">
        <v>75.0</v>
      </c>
      <c r="I3551" s="4" t="s">
        <v>14850</v>
      </c>
      <c r="J3551" s="1" t="s">
        <v>14851</v>
      </c>
      <c r="K3551" s="1" t="s">
        <v>16</v>
      </c>
    </row>
    <row r="3552">
      <c r="A3552" s="1" t="s">
        <v>14852</v>
      </c>
      <c r="B3552" s="1" t="s">
        <v>14853</v>
      </c>
      <c r="C3552" s="1">
        <v>2017.0</v>
      </c>
      <c r="D3552" s="2">
        <v>42922.0</v>
      </c>
      <c r="F3552" s="1" t="s">
        <v>337</v>
      </c>
      <c r="H3552" s="3">
        <v>37.0</v>
      </c>
      <c r="I3552" s="4" t="s">
        <v>14854</v>
      </c>
      <c r="J3552" s="1" t="s">
        <v>14855</v>
      </c>
      <c r="K3552" s="1" t="s">
        <v>16</v>
      </c>
    </row>
    <row r="3553">
      <c r="A3553" s="1" t="s">
        <v>14856</v>
      </c>
      <c r="B3553" s="1" t="s">
        <v>14857</v>
      </c>
      <c r="C3553" s="1">
        <v>2017.0</v>
      </c>
      <c r="D3553" s="2">
        <v>42919.0</v>
      </c>
      <c r="F3553" s="1" t="s">
        <v>2480</v>
      </c>
      <c r="H3553" s="3">
        <v>31.0</v>
      </c>
      <c r="I3553" s="4" t="s">
        <v>14858</v>
      </c>
      <c r="J3553" s="1" t="s">
        <v>14859</v>
      </c>
      <c r="K3553" s="1" t="s">
        <v>1036</v>
      </c>
    </row>
    <row r="3554">
      <c r="A3554" s="1" t="s">
        <v>14860</v>
      </c>
      <c r="B3554" s="1" t="s">
        <v>14861</v>
      </c>
      <c r="C3554" s="1">
        <v>2017.0</v>
      </c>
      <c r="D3554" s="2">
        <v>42917.0</v>
      </c>
      <c r="F3554" s="1" t="s">
        <v>2292</v>
      </c>
      <c r="H3554" s="3">
        <v>26.0</v>
      </c>
      <c r="I3554" s="4" t="s">
        <v>14862</v>
      </c>
      <c r="J3554" s="1" t="s">
        <v>14863</v>
      </c>
      <c r="K3554" s="1" t="s">
        <v>45</v>
      </c>
    </row>
    <row r="3555">
      <c r="A3555" s="1" t="s">
        <v>14864</v>
      </c>
      <c r="B3555" s="1" t="s">
        <v>14865</v>
      </c>
      <c r="C3555" s="1">
        <v>2017.0</v>
      </c>
      <c r="D3555" s="2">
        <v>42917.0</v>
      </c>
      <c r="F3555" s="1" t="s">
        <v>762</v>
      </c>
      <c r="H3555" s="3">
        <v>14.0</v>
      </c>
      <c r="I3555" s="4" t="s">
        <v>14866</v>
      </c>
      <c r="J3555" s="1" t="s">
        <v>14867</v>
      </c>
      <c r="K3555" s="1" t="s">
        <v>28</v>
      </c>
    </row>
    <row r="3556">
      <c r="A3556" s="1" t="s">
        <v>14868</v>
      </c>
      <c r="B3556" s="1" t="s">
        <v>14869</v>
      </c>
      <c r="C3556" s="1">
        <v>2017.0</v>
      </c>
      <c r="D3556" s="2">
        <v>42917.0</v>
      </c>
      <c r="F3556" s="1" t="s">
        <v>14870</v>
      </c>
      <c r="H3556" s="3">
        <v>7.0</v>
      </c>
      <c r="I3556" s="4" t="s">
        <v>14871</v>
      </c>
      <c r="J3556" s="1" t="s">
        <v>14872</v>
      </c>
      <c r="K3556" s="1" t="s">
        <v>383</v>
      </c>
    </row>
    <row r="3557">
      <c r="A3557" s="1" t="s">
        <v>14873</v>
      </c>
      <c r="B3557" s="1" t="s">
        <v>14874</v>
      </c>
      <c r="C3557" s="1">
        <v>2017.0</v>
      </c>
      <c r="D3557" s="2">
        <v>42917.0</v>
      </c>
      <c r="F3557" s="1" t="s">
        <v>1995</v>
      </c>
      <c r="H3557" s="3">
        <v>11.0</v>
      </c>
      <c r="I3557" s="4" t="s">
        <v>14875</v>
      </c>
      <c r="J3557" s="1" t="s">
        <v>14876</v>
      </c>
      <c r="K3557" s="1" t="s">
        <v>28</v>
      </c>
    </row>
    <row r="3558">
      <c r="A3558" s="1" t="s">
        <v>14877</v>
      </c>
      <c r="B3558" s="1" t="s">
        <v>14878</v>
      </c>
      <c r="C3558" s="1">
        <v>2017.0</v>
      </c>
      <c r="D3558" s="2">
        <v>42917.0</v>
      </c>
      <c r="F3558" s="1" t="s">
        <v>1410</v>
      </c>
      <c r="H3558" s="3">
        <v>15.0</v>
      </c>
      <c r="I3558" s="4" t="s">
        <v>14879</v>
      </c>
      <c r="J3558" s="1"/>
      <c r="K3558" s="1" t="s">
        <v>323</v>
      </c>
    </row>
    <row r="3559">
      <c r="A3559" s="1" t="s">
        <v>14880</v>
      </c>
      <c r="B3559" s="1" t="s">
        <v>14881</v>
      </c>
      <c r="C3559" s="1">
        <v>2017.0</v>
      </c>
      <c r="D3559" s="2">
        <v>42917.0</v>
      </c>
      <c r="F3559" s="1" t="s">
        <v>14882</v>
      </c>
      <c r="H3559" s="3">
        <v>26.0</v>
      </c>
      <c r="I3559" s="4" t="s">
        <v>14883</v>
      </c>
      <c r="J3559" s="1" t="s">
        <v>14884</v>
      </c>
      <c r="K3559" s="1" t="s">
        <v>16</v>
      </c>
    </row>
    <row r="3560">
      <c r="A3560" s="1" t="s">
        <v>14885</v>
      </c>
      <c r="B3560" s="1" t="s">
        <v>14886</v>
      </c>
      <c r="C3560" s="1">
        <v>2017.0</v>
      </c>
      <c r="D3560" s="2">
        <v>42916.0</v>
      </c>
      <c r="F3560" s="1" t="s">
        <v>2774</v>
      </c>
      <c r="H3560" s="3">
        <v>105.0</v>
      </c>
      <c r="I3560" s="4" t="s">
        <v>14887</v>
      </c>
      <c r="J3560" s="1" t="s">
        <v>14888</v>
      </c>
      <c r="K3560" s="1" t="s">
        <v>329</v>
      </c>
    </row>
    <row r="3561">
      <c r="A3561" s="1" t="s">
        <v>14889</v>
      </c>
      <c r="B3561" s="1" t="s">
        <v>14890</v>
      </c>
      <c r="C3561" s="1">
        <v>2017.0</v>
      </c>
      <c r="D3561" s="2">
        <v>42916.0</v>
      </c>
      <c r="F3561" s="1" t="s">
        <v>3862</v>
      </c>
      <c r="H3561" s="3">
        <v>4.0</v>
      </c>
      <c r="I3561" s="4" t="s">
        <v>14891</v>
      </c>
      <c r="J3561" s="1" t="s">
        <v>14892</v>
      </c>
      <c r="K3561" s="1" t="s">
        <v>295</v>
      </c>
    </row>
    <row r="3562">
      <c r="A3562" s="1" t="s">
        <v>14893</v>
      </c>
      <c r="B3562" s="1" t="s">
        <v>14894</v>
      </c>
      <c r="C3562" s="1">
        <v>2017.0</v>
      </c>
      <c r="D3562" s="2">
        <v>42912.0</v>
      </c>
      <c r="F3562" s="1" t="s">
        <v>12240</v>
      </c>
      <c r="H3562" s="3">
        <v>70.0</v>
      </c>
      <c r="I3562" s="4" t="s">
        <v>14895</v>
      </c>
      <c r="J3562" s="1" t="s">
        <v>14896</v>
      </c>
      <c r="K3562" s="1" t="s">
        <v>546</v>
      </c>
    </row>
    <row r="3563">
      <c r="A3563" s="1" t="s">
        <v>14897</v>
      </c>
      <c r="B3563" s="1" t="s">
        <v>14898</v>
      </c>
      <c r="C3563" s="1">
        <v>2017.0</v>
      </c>
      <c r="D3563" s="2">
        <v>42907.0</v>
      </c>
      <c r="F3563" s="1" t="s">
        <v>1137</v>
      </c>
      <c r="H3563" s="3">
        <v>8.0</v>
      </c>
      <c r="I3563" s="4" t="s">
        <v>14899</v>
      </c>
      <c r="J3563" s="1" t="s">
        <v>14900</v>
      </c>
      <c r="K3563" s="1" t="s">
        <v>443</v>
      </c>
    </row>
    <row r="3564">
      <c r="A3564" s="1" t="s">
        <v>14901</v>
      </c>
      <c r="B3564" s="1" t="s">
        <v>14902</v>
      </c>
      <c r="C3564" s="1">
        <v>2017.0</v>
      </c>
      <c r="D3564" s="2">
        <v>42906.0</v>
      </c>
      <c r="F3564" s="1" t="s">
        <v>14903</v>
      </c>
      <c r="H3564" s="3">
        <v>1.0</v>
      </c>
      <c r="I3564" s="4" t="s">
        <v>14904</v>
      </c>
      <c r="J3564" s="1" t="s">
        <v>14905</v>
      </c>
      <c r="K3564" s="1" t="s">
        <v>443</v>
      </c>
    </row>
    <row r="3565">
      <c r="A3565" s="1" t="s">
        <v>14906</v>
      </c>
      <c r="B3565" s="1" t="s">
        <v>14907</v>
      </c>
      <c r="C3565" s="1">
        <v>2017.0</v>
      </c>
      <c r="D3565" s="2">
        <v>42905.0</v>
      </c>
      <c r="F3565" s="1" t="s">
        <v>14908</v>
      </c>
      <c r="H3565" s="3">
        <v>24.0</v>
      </c>
      <c r="I3565" s="4" t="s">
        <v>14909</v>
      </c>
      <c r="J3565" s="1"/>
      <c r="K3565" s="1" t="s">
        <v>323</v>
      </c>
    </row>
    <row r="3566">
      <c r="A3566" s="1" t="s">
        <v>14910</v>
      </c>
      <c r="B3566" s="1" t="s">
        <v>14911</v>
      </c>
      <c r="C3566" s="1">
        <v>2017.0</v>
      </c>
      <c r="D3566" s="2">
        <v>42901.0</v>
      </c>
      <c r="F3566" s="1" t="s">
        <v>440</v>
      </c>
      <c r="H3566" s="3">
        <v>70.0</v>
      </c>
      <c r="I3566" s="4" t="s">
        <v>14912</v>
      </c>
      <c r="J3566" s="1" t="s">
        <v>14913</v>
      </c>
      <c r="K3566" s="1" t="s">
        <v>383</v>
      </c>
    </row>
    <row r="3567">
      <c r="A3567" s="1" t="s">
        <v>14914</v>
      </c>
      <c r="B3567" s="1" t="s">
        <v>14915</v>
      </c>
      <c r="C3567" s="1">
        <v>2017.0</v>
      </c>
      <c r="D3567" s="2">
        <v>42900.0</v>
      </c>
      <c r="F3567" s="1" t="s">
        <v>12240</v>
      </c>
      <c r="H3567" s="3">
        <v>57.0</v>
      </c>
      <c r="I3567" s="4" t="s">
        <v>14916</v>
      </c>
      <c r="J3567" s="1" t="s">
        <v>14917</v>
      </c>
      <c r="K3567" s="1" t="s">
        <v>546</v>
      </c>
    </row>
    <row r="3568">
      <c r="A3568" s="1" t="s">
        <v>14918</v>
      </c>
      <c r="B3568" s="1" t="s">
        <v>14919</v>
      </c>
      <c r="C3568" s="1">
        <v>2017.0</v>
      </c>
      <c r="D3568" s="2">
        <v>42900.0</v>
      </c>
      <c r="F3568" s="1" t="s">
        <v>1366</v>
      </c>
      <c r="H3568" s="3">
        <v>26.0</v>
      </c>
      <c r="I3568" s="4" t="s">
        <v>14920</v>
      </c>
      <c r="J3568" s="1" t="s">
        <v>14921</v>
      </c>
      <c r="K3568" s="1" t="s">
        <v>16</v>
      </c>
    </row>
    <row r="3569">
      <c r="A3569" s="1" t="s">
        <v>14922</v>
      </c>
      <c r="B3569" s="1" t="s">
        <v>14923</v>
      </c>
      <c r="C3569" s="1">
        <v>2017.0</v>
      </c>
      <c r="D3569" s="2">
        <v>42895.0</v>
      </c>
      <c r="F3569" s="1" t="s">
        <v>10126</v>
      </c>
      <c r="H3569" s="3">
        <v>24.0</v>
      </c>
      <c r="I3569" s="4" t="s">
        <v>14924</v>
      </c>
      <c r="J3569" s="1"/>
      <c r="K3569" s="1" t="s">
        <v>68</v>
      </c>
    </row>
    <row r="3570">
      <c r="A3570" s="1" t="s">
        <v>14925</v>
      </c>
      <c r="B3570" s="1" t="s">
        <v>14926</v>
      </c>
      <c r="C3570" s="1">
        <v>2017.0</v>
      </c>
      <c r="D3570" s="2">
        <v>42894.0</v>
      </c>
      <c r="F3570" s="1" t="s">
        <v>12240</v>
      </c>
      <c r="H3570" s="3">
        <v>39.0</v>
      </c>
      <c r="I3570" s="4" t="s">
        <v>14927</v>
      </c>
      <c r="J3570" s="1" t="s">
        <v>14928</v>
      </c>
      <c r="K3570" s="1" t="s">
        <v>546</v>
      </c>
    </row>
    <row r="3571">
      <c r="A3571" s="1" t="s">
        <v>14929</v>
      </c>
      <c r="B3571" s="1" t="s">
        <v>14930</v>
      </c>
      <c r="C3571" s="1">
        <v>2017.0</v>
      </c>
      <c r="D3571" s="2">
        <v>42893.0</v>
      </c>
      <c r="F3571" s="1" t="s">
        <v>3522</v>
      </c>
      <c r="H3571" s="3">
        <v>27.0</v>
      </c>
      <c r="I3571" s="4" t="s">
        <v>14931</v>
      </c>
      <c r="J3571" s="1" t="s">
        <v>14932</v>
      </c>
      <c r="K3571" s="1" t="s">
        <v>68</v>
      </c>
    </row>
    <row r="3572">
      <c r="A3572" s="1" t="s">
        <v>14933</v>
      </c>
      <c r="B3572" s="1" t="s">
        <v>14934</v>
      </c>
      <c r="C3572" s="1">
        <v>2017.0</v>
      </c>
      <c r="D3572" s="2">
        <v>42891.0</v>
      </c>
      <c r="F3572" s="1" t="s">
        <v>4577</v>
      </c>
      <c r="H3572" s="3">
        <v>55.0</v>
      </c>
      <c r="I3572" s="4" t="s">
        <v>14935</v>
      </c>
      <c r="J3572" s="1" t="s">
        <v>14936</v>
      </c>
      <c r="K3572" s="1" t="s">
        <v>28</v>
      </c>
    </row>
    <row r="3573">
      <c r="A3573" s="1" t="s">
        <v>14937</v>
      </c>
      <c r="B3573" s="1" t="s">
        <v>12280</v>
      </c>
      <c r="C3573" s="1">
        <v>2017.0</v>
      </c>
      <c r="D3573" s="2">
        <v>42888.0</v>
      </c>
      <c r="F3573" s="1" t="s">
        <v>12240</v>
      </c>
      <c r="H3573" s="3">
        <v>96.0</v>
      </c>
      <c r="I3573" s="4" t="s">
        <v>14938</v>
      </c>
      <c r="J3573" s="1" t="s">
        <v>14939</v>
      </c>
      <c r="K3573" s="1" t="s">
        <v>546</v>
      </c>
    </row>
    <row r="3574">
      <c r="A3574" s="1" t="s">
        <v>14940</v>
      </c>
      <c r="B3574" s="1" t="s">
        <v>14941</v>
      </c>
      <c r="C3574" s="1">
        <v>2017.0</v>
      </c>
      <c r="D3574" s="2">
        <v>42887.0</v>
      </c>
      <c r="F3574" s="1" t="s">
        <v>605</v>
      </c>
      <c r="H3574" s="3">
        <v>29.0</v>
      </c>
      <c r="I3574" s="4" t="s">
        <v>14942</v>
      </c>
      <c r="J3574" s="1" t="s">
        <v>14943</v>
      </c>
      <c r="K3574" s="1" t="s">
        <v>323</v>
      </c>
    </row>
    <row r="3575">
      <c r="A3575" s="1" t="s">
        <v>14944</v>
      </c>
      <c r="B3575" s="1" t="s">
        <v>14945</v>
      </c>
      <c r="C3575" s="1">
        <v>2017.0</v>
      </c>
      <c r="D3575" s="2">
        <v>42887.0</v>
      </c>
      <c r="F3575" s="1" t="s">
        <v>14946</v>
      </c>
      <c r="H3575" s="3">
        <v>7.0</v>
      </c>
      <c r="I3575" s="4" t="s">
        <v>14947</v>
      </c>
      <c r="J3575" s="1" t="s">
        <v>14948</v>
      </c>
      <c r="K3575" s="1" t="s">
        <v>323</v>
      </c>
    </row>
    <row r="3576">
      <c r="A3576" s="1" t="s">
        <v>14949</v>
      </c>
      <c r="B3576" s="1" t="s">
        <v>14950</v>
      </c>
      <c r="C3576" s="1">
        <v>2017.0</v>
      </c>
      <c r="D3576" s="2">
        <v>42887.0</v>
      </c>
      <c r="F3576" s="1" t="s">
        <v>59</v>
      </c>
      <c r="H3576" s="3">
        <v>6.0</v>
      </c>
      <c r="I3576" s="4" t="s">
        <v>14951</v>
      </c>
      <c r="J3576" s="1" t="s">
        <v>14952</v>
      </c>
      <c r="K3576" s="1" t="s">
        <v>16</v>
      </c>
    </row>
    <row r="3577">
      <c r="A3577" s="1" t="s">
        <v>14953</v>
      </c>
      <c r="B3577" s="1" t="s">
        <v>14954</v>
      </c>
      <c r="C3577" s="1">
        <v>2017.0</v>
      </c>
      <c r="D3577" s="2">
        <v>42886.0</v>
      </c>
      <c r="F3577" s="1" t="s">
        <v>14955</v>
      </c>
      <c r="H3577" s="3">
        <v>6.0</v>
      </c>
      <c r="I3577" s="4" t="s">
        <v>14956</v>
      </c>
      <c r="J3577" s="1" t="s">
        <v>14957</v>
      </c>
      <c r="K3577" s="1" t="s">
        <v>28</v>
      </c>
    </row>
    <row r="3578">
      <c r="A3578" s="1" t="s">
        <v>14958</v>
      </c>
      <c r="B3578" s="1" t="s">
        <v>14959</v>
      </c>
      <c r="C3578" s="1">
        <v>2017.0</v>
      </c>
      <c r="D3578" s="2">
        <v>42886.0</v>
      </c>
      <c r="F3578" s="1" t="s">
        <v>12240</v>
      </c>
      <c r="H3578" s="3">
        <v>32.0</v>
      </c>
      <c r="I3578" s="4" t="s">
        <v>14960</v>
      </c>
      <c r="J3578" s="1" t="s">
        <v>14961</v>
      </c>
      <c r="K3578" s="1" t="s">
        <v>546</v>
      </c>
    </row>
    <row r="3579">
      <c r="A3579" s="1" t="s">
        <v>14962</v>
      </c>
      <c r="B3579" s="1" t="s">
        <v>14963</v>
      </c>
      <c r="C3579" s="1">
        <v>2017.0</v>
      </c>
      <c r="D3579" s="2">
        <v>42880.0</v>
      </c>
      <c r="F3579" s="1" t="s">
        <v>59</v>
      </c>
      <c r="H3579" s="3">
        <v>13.0</v>
      </c>
      <c r="I3579" s="4" t="s">
        <v>14964</v>
      </c>
      <c r="J3579" s="1" t="s">
        <v>14965</v>
      </c>
      <c r="K3579" s="1" t="s">
        <v>16</v>
      </c>
    </row>
    <row r="3580">
      <c r="A3580" s="1" t="s">
        <v>14966</v>
      </c>
      <c r="B3580" s="1" t="s">
        <v>14967</v>
      </c>
      <c r="C3580" s="1">
        <v>2017.0</v>
      </c>
      <c r="D3580" s="2">
        <v>42879.0</v>
      </c>
      <c r="F3580" s="1" t="s">
        <v>996</v>
      </c>
      <c r="H3580" s="3">
        <v>17.0</v>
      </c>
      <c r="I3580" s="4" t="s">
        <v>14968</v>
      </c>
      <c r="J3580" s="1" t="s">
        <v>14969</v>
      </c>
      <c r="K3580" s="1" t="s">
        <v>413</v>
      </c>
    </row>
    <row r="3581">
      <c r="A3581" s="1" t="s">
        <v>14970</v>
      </c>
      <c r="B3581" s="1" t="s">
        <v>14971</v>
      </c>
      <c r="C3581" s="1">
        <v>2017.0</v>
      </c>
      <c r="D3581" s="2">
        <v>42879.0</v>
      </c>
      <c r="F3581" s="1" t="s">
        <v>208</v>
      </c>
      <c r="H3581" s="3">
        <v>139.0</v>
      </c>
      <c r="I3581" s="4" t="s">
        <v>14972</v>
      </c>
      <c r="J3581" s="1" t="s">
        <v>14973</v>
      </c>
      <c r="K3581" s="1" t="s">
        <v>16</v>
      </c>
    </row>
    <row r="3582">
      <c r="A3582" s="1" t="s">
        <v>14974</v>
      </c>
      <c r="B3582" s="1" t="s">
        <v>14975</v>
      </c>
      <c r="C3582" s="1">
        <v>2017.0</v>
      </c>
      <c r="D3582" s="2">
        <v>42878.0</v>
      </c>
      <c r="F3582" s="1" t="s">
        <v>2168</v>
      </c>
      <c r="H3582" s="3">
        <v>18.0</v>
      </c>
      <c r="I3582" s="4" t="s">
        <v>14976</v>
      </c>
      <c r="J3582" s="1" t="s">
        <v>14977</v>
      </c>
      <c r="K3582" s="1" t="s">
        <v>28</v>
      </c>
    </row>
    <row r="3583">
      <c r="A3583" s="1" t="s">
        <v>14978</v>
      </c>
      <c r="B3583" s="1" t="s">
        <v>14979</v>
      </c>
      <c r="C3583" s="1">
        <v>2017.0</v>
      </c>
      <c r="D3583" s="2">
        <v>42874.0</v>
      </c>
      <c r="F3583" s="1" t="s">
        <v>14980</v>
      </c>
      <c r="H3583" s="3">
        <v>53.0</v>
      </c>
      <c r="I3583" s="4" t="s">
        <v>14981</v>
      </c>
      <c r="J3583" s="1" t="s">
        <v>14982</v>
      </c>
      <c r="K3583" s="1" t="s">
        <v>323</v>
      </c>
    </row>
    <row r="3584">
      <c r="A3584" s="1" t="s">
        <v>14983</v>
      </c>
      <c r="B3584" s="1" t="s">
        <v>14984</v>
      </c>
      <c r="C3584" s="1">
        <v>2017.0</v>
      </c>
      <c r="D3584" s="2">
        <v>42874.0</v>
      </c>
      <c r="F3584" s="1" t="s">
        <v>1277</v>
      </c>
      <c r="H3584" s="3">
        <v>33.0</v>
      </c>
      <c r="I3584" s="4" t="s">
        <v>14985</v>
      </c>
      <c r="J3584" s="1" t="s">
        <v>14986</v>
      </c>
      <c r="K3584" s="1" t="s">
        <v>926</v>
      </c>
    </row>
    <row r="3585">
      <c r="A3585" s="1" t="s">
        <v>14987</v>
      </c>
      <c r="B3585" s="1" t="s">
        <v>14988</v>
      </c>
      <c r="C3585" s="1">
        <v>2017.0</v>
      </c>
      <c r="D3585" s="2">
        <v>42874.0</v>
      </c>
      <c r="F3585" s="1" t="s">
        <v>12240</v>
      </c>
      <c r="H3585" s="3">
        <v>43.0</v>
      </c>
      <c r="I3585" s="4" t="s">
        <v>14989</v>
      </c>
      <c r="J3585" s="1" t="s">
        <v>14990</v>
      </c>
      <c r="K3585" s="1" t="s">
        <v>546</v>
      </c>
    </row>
    <row r="3586">
      <c r="A3586" s="1" t="s">
        <v>14991</v>
      </c>
      <c r="B3586" s="1" t="s">
        <v>14992</v>
      </c>
      <c r="C3586" s="1">
        <v>2017.0</v>
      </c>
      <c r="D3586" s="2">
        <v>42873.0</v>
      </c>
      <c r="F3586" s="1" t="s">
        <v>12240</v>
      </c>
      <c r="H3586" s="3">
        <v>297.0</v>
      </c>
      <c r="I3586" s="4" t="s">
        <v>14993</v>
      </c>
      <c r="J3586" s="1" t="s">
        <v>14994</v>
      </c>
      <c r="K3586" s="1" t="s">
        <v>546</v>
      </c>
    </row>
    <row r="3587">
      <c r="A3587" s="1" t="s">
        <v>14995</v>
      </c>
      <c r="B3587" s="1" t="s">
        <v>14996</v>
      </c>
      <c r="C3587" s="1">
        <v>2017.0</v>
      </c>
      <c r="D3587" s="2">
        <v>42872.0</v>
      </c>
      <c r="F3587" s="1" t="s">
        <v>14997</v>
      </c>
      <c r="H3587" s="3">
        <v>12.0</v>
      </c>
      <c r="I3587" s="4" t="s">
        <v>14998</v>
      </c>
      <c r="J3587" s="1" t="s">
        <v>14999</v>
      </c>
      <c r="K3587" s="1" t="s">
        <v>413</v>
      </c>
    </row>
    <row r="3588">
      <c r="A3588" s="1" t="s">
        <v>15000</v>
      </c>
      <c r="B3588" s="1" t="s">
        <v>15001</v>
      </c>
      <c r="C3588" s="1">
        <v>2017.0</v>
      </c>
      <c r="D3588" s="2">
        <v>42871.0</v>
      </c>
      <c r="F3588" s="1" t="s">
        <v>71</v>
      </c>
      <c r="H3588" s="3">
        <v>20.0</v>
      </c>
      <c r="I3588" s="4" t="s">
        <v>15002</v>
      </c>
      <c r="J3588" s="1" t="s">
        <v>15003</v>
      </c>
      <c r="K3588" s="1" t="s">
        <v>16</v>
      </c>
    </row>
    <row r="3589">
      <c r="A3589" s="1" t="s">
        <v>15004</v>
      </c>
      <c r="B3589" s="1" t="s">
        <v>15005</v>
      </c>
      <c r="C3589" s="1">
        <v>2017.0</v>
      </c>
      <c r="D3589" s="2">
        <v>42871.0</v>
      </c>
      <c r="F3589" s="1" t="s">
        <v>1386</v>
      </c>
      <c r="H3589" s="3">
        <v>13.0</v>
      </c>
      <c r="I3589" s="4" t="s">
        <v>15006</v>
      </c>
      <c r="J3589" s="1" t="s">
        <v>15007</v>
      </c>
      <c r="K3589" s="1" t="s">
        <v>16</v>
      </c>
    </row>
    <row r="3590">
      <c r="A3590" s="1" t="s">
        <v>15008</v>
      </c>
      <c r="B3590" s="1" t="s">
        <v>14781</v>
      </c>
      <c r="C3590" s="1">
        <v>2017.0</v>
      </c>
      <c r="D3590" s="2">
        <v>42870.0</v>
      </c>
      <c r="F3590" s="1" t="s">
        <v>142</v>
      </c>
      <c r="H3590" s="3">
        <v>11.0</v>
      </c>
      <c r="I3590" s="4" t="s">
        <v>15009</v>
      </c>
      <c r="J3590" s="1" t="s">
        <v>15010</v>
      </c>
      <c r="K3590" s="1" t="s">
        <v>295</v>
      </c>
    </row>
    <row r="3591">
      <c r="A3591" s="1" t="s">
        <v>15011</v>
      </c>
      <c r="B3591" s="1" t="s">
        <v>15012</v>
      </c>
      <c r="C3591" s="1">
        <v>2017.0</v>
      </c>
      <c r="D3591" s="2">
        <v>42868.0</v>
      </c>
      <c r="F3591" s="1" t="s">
        <v>1040</v>
      </c>
      <c r="H3591" s="3">
        <v>121.0</v>
      </c>
      <c r="I3591" s="4" t="s">
        <v>15013</v>
      </c>
      <c r="J3591" s="1" t="s">
        <v>15014</v>
      </c>
      <c r="K3591" s="1" t="s">
        <v>413</v>
      </c>
    </row>
    <row r="3592">
      <c r="A3592" s="1" t="s">
        <v>15015</v>
      </c>
      <c r="B3592" s="1" t="s">
        <v>15016</v>
      </c>
      <c r="C3592" s="1">
        <v>2017.0</v>
      </c>
      <c r="D3592" s="2">
        <v>42866.0</v>
      </c>
      <c r="F3592" s="1" t="s">
        <v>208</v>
      </c>
      <c r="H3592" s="3">
        <v>31.0</v>
      </c>
      <c r="I3592" s="4" t="s">
        <v>15017</v>
      </c>
      <c r="J3592" s="1" t="s">
        <v>15018</v>
      </c>
      <c r="K3592" s="1" t="s">
        <v>45</v>
      </c>
    </row>
    <row r="3593">
      <c r="A3593" s="1" t="s">
        <v>15019</v>
      </c>
      <c r="B3593" s="1" t="s">
        <v>15020</v>
      </c>
      <c r="C3593" s="1">
        <v>2017.0</v>
      </c>
      <c r="D3593" s="2">
        <v>42866.0</v>
      </c>
      <c r="F3593" s="1" t="s">
        <v>208</v>
      </c>
      <c r="H3593" s="3">
        <v>53.0</v>
      </c>
      <c r="I3593" s="4" t="s">
        <v>15021</v>
      </c>
      <c r="J3593" s="1" t="s">
        <v>15022</v>
      </c>
      <c r="K3593" s="1" t="s">
        <v>16</v>
      </c>
    </row>
    <row r="3594">
      <c r="A3594" s="1" t="s">
        <v>15023</v>
      </c>
      <c r="B3594" s="1" t="s">
        <v>15024</v>
      </c>
      <c r="C3594" s="1">
        <v>2017.0</v>
      </c>
      <c r="D3594" s="2">
        <v>42866.0</v>
      </c>
      <c r="F3594" s="1" t="s">
        <v>208</v>
      </c>
      <c r="H3594" s="3">
        <v>28.0</v>
      </c>
      <c r="I3594" s="4" t="s">
        <v>15025</v>
      </c>
      <c r="J3594" s="1" t="s">
        <v>15026</v>
      </c>
      <c r="K3594" s="1" t="s">
        <v>16</v>
      </c>
    </row>
    <row r="3595">
      <c r="A3595" s="1" t="s">
        <v>15027</v>
      </c>
      <c r="B3595" s="1" t="s">
        <v>15028</v>
      </c>
      <c r="C3595" s="1">
        <v>2017.0</v>
      </c>
      <c r="D3595" s="2">
        <v>42866.0</v>
      </c>
      <c r="F3595" s="1" t="s">
        <v>208</v>
      </c>
      <c r="H3595" s="3">
        <v>13.0</v>
      </c>
      <c r="I3595" s="4" t="s">
        <v>15029</v>
      </c>
      <c r="J3595" s="1" t="s">
        <v>15030</v>
      </c>
      <c r="K3595" s="1" t="s">
        <v>462</v>
      </c>
    </row>
    <row r="3596">
      <c r="A3596" s="1" t="s">
        <v>15031</v>
      </c>
      <c r="B3596" s="1" t="s">
        <v>15032</v>
      </c>
      <c r="C3596" s="1">
        <v>2017.0</v>
      </c>
      <c r="D3596" s="2">
        <v>42865.0</v>
      </c>
      <c r="F3596" s="1" t="s">
        <v>15033</v>
      </c>
      <c r="H3596" s="3">
        <v>16.0</v>
      </c>
      <c r="I3596" s="4" t="s">
        <v>15034</v>
      </c>
      <c r="J3596" s="1" t="s">
        <v>15035</v>
      </c>
      <c r="K3596" s="1" t="s">
        <v>45</v>
      </c>
    </row>
    <row r="3597">
      <c r="A3597" s="1" t="s">
        <v>15036</v>
      </c>
      <c r="B3597" s="1" t="s">
        <v>15037</v>
      </c>
      <c r="C3597" s="1">
        <v>2017.0</v>
      </c>
      <c r="D3597" s="2">
        <v>42865.0</v>
      </c>
      <c r="F3597" s="1" t="s">
        <v>15038</v>
      </c>
      <c r="H3597" s="3">
        <v>56.0</v>
      </c>
      <c r="I3597" s="4" t="s">
        <v>15039</v>
      </c>
      <c r="J3597" s="1" t="s">
        <v>15040</v>
      </c>
      <c r="K3597" s="1" t="s">
        <v>28</v>
      </c>
    </row>
    <row r="3598">
      <c r="A3598" s="1" t="s">
        <v>15041</v>
      </c>
      <c r="B3598" s="1" t="s">
        <v>15042</v>
      </c>
      <c r="C3598" s="1">
        <v>2017.0</v>
      </c>
      <c r="D3598" s="2">
        <v>42865.0</v>
      </c>
      <c r="F3598" s="1" t="s">
        <v>1358</v>
      </c>
      <c r="H3598" s="3">
        <v>8.0</v>
      </c>
      <c r="I3598" s="4" t="s">
        <v>15043</v>
      </c>
      <c r="J3598" s="1" t="s">
        <v>15044</v>
      </c>
      <c r="K3598" s="1" t="s">
        <v>418</v>
      </c>
    </row>
    <row r="3599">
      <c r="A3599" s="1" t="s">
        <v>15045</v>
      </c>
      <c r="B3599" s="1" t="s">
        <v>15046</v>
      </c>
      <c r="C3599" s="1">
        <v>2017.0</v>
      </c>
      <c r="D3599" s="2">
        <v>42864.0</v>
      </c>
      <c r="F3599" s="1" t="s">
        <v>2560</v>
      </c>
      <c r="H3599" s="3">
        <v>26.0</v>
      </c>
      <c r="I3599" s="4" t="s">
        <v>15047</v>
      </c>
      <c r="J3599" s="1" t="s">
        <v>15048</v>
      </c>
      <c r="K3599" s="1" t="s">
        <v>323</v>
      </c>
    </row>
    <row r="3600">
      <c r="A3600" s="1" t="s">
        <v>15049</v>
      </c>
      <c r="B3600" s="1" t="s">
        <v>15050</v>
      </c>
      <c r="C3600" s="1">
        <v>2017.0</v>
      </c>
      <c r="D3600" s="2">
        <v>42864.0</v>
      </c>
      <c r="F3600" s="1" t="s">
        <v>4530</v>
      </c>
      <c r="H3600" s="3">
        <v>6.0</v>
      </c>
      <c r="I3600" s="4" t="s">
        <v>15051</v>
      </c>
      <c r="J3600" s="1" t="s">
        <v>15052</v>
      </c>
      <c r="K3600" s="1" t="s">
        <v>926</v>
      </c>
    </row>
    <row r="3601">
      <c r="A3601" s="1" t="s">
        <v>15053</v>
      </c>
      <c r="B3601" s="1" t="s">
        <v>15054</v>
      </c>
      <c r="C3601" s="1">
        <v>2017.0</v>
      </c>
      <c r="D3601" s="2">
        <v>42864.0</v>
      </c>
      <c r="F3601" s="1" t="s">
        <v>1762</v>
      </c>
      <c r="H3601" s="3">
        <v>23.0</v>
      </c>
      <c r="I3601" s="4" t="s">
        <v>15055</v>
      </c>
      <c r="J3601" s="1" t="s">
        <v>15056</v>
      </c>
      <c r="K3601" s="1" t="s">
        <v>462</v>
      </c>
    </row>
    <row r="3602">
      <c r="A3602" s="1" t="s">
        <v>15057</v>
      </c>
      <c r="B3602" s="1" t="s">
        <v>15058</v>
      </c>
      <c r="C3602" s="1">
        <v>2017.0</v>
      </c>
      <c r="D3602" s="2">
        <v>42863.0</v>
      </c>
      <c r="F3602" s="1" t="s">
        <v>877</v>
      </c>
      <c r="H3602" s="3">
        <v>43.0</v>
      </c>
      <c r="I3602" s="4" t="s">
        <v>15059</v>
      </c>
      <c r="J3602" s="1" t="s">
        <v>15060</v>
      </c>
      <c r="K3602" s="1" t="s">
        <v>295</v>
      </c>
    </row>
    <row r="3603">
      <c r="A3603" s="1" t="s">
        <v>15061</v>
      </c>
      <c r="B3603" s="1" t="s">
        <v>15062</v>
      </c>
      <c r="C3603" s="1">
        <v>2017.0</v>
      </c>
      <c r="D3603" s="2">
        <v>42863.0</v>
      </c>
      <c r="F3603" s="1" t="s">
        <v>12240</v>
      </c>
      <c r="H3603" s="3">
        <v>16.0</v>
      </c>
      <c r="I3603" s="4" t="s">
        <v>15063</v>
      </c>
      <c r="J3603" s="1" t="s">
        <v>15064</v>
      </c>
      <c r="K3603" s="1" t="s">
        <v>546</v>
      </c>
    </row>
    <row r="3604">
      <c r="A3604" s="1" t="s">
        <v>15065</v>
      </c>
      <c r="B3604" s="1" t="s">
        <v>15066</v>
      </c>
      <c r="C3604" s="1">
        <v>2017.0</v>
      </c>
      <c r="D3604" s="2">
        <v>42863.0</v>
      </c>
      <c r="F3604" s="1" t="s">
        <v>2862</v>
      </c>
      <c r="H3604" s="3">
        <v>16.0</v>
      </c>
      <c r="I3604" s="4" t="s">
        <v>15067</v>
      </c>
      <c r="J3604" s="1" t="s">
        <v>15068</v>
      </c>
      <c r="K3604" s="1" t="s">
        <v>295</v>
      </c>
    </row>
    <row r="3605">
      <c r="A3605" s="1" t="s">
        <v>15069</v>
      </c>
      <c r="B3605" s="1" t="s">
        <v>15070</v>
      </c>
      <c r="C3605" s="1">
        <v>2017.0</v>
      </c>
      <c r="D3605" s="2">
        <v>42863.0</v>
      </c>
      <c r="F3605" s="1" t="s">
        <v>13497</v>
      </c>
      <c r="H3605" s="3">
        <v>12.0</v>
      </c>
      <c r="I3605" s="4" t="s">
        <v>15071</v>
      </c>
      <c r="J3605" s="1" t="s">
        <v>15072</v>
      </c>
      <c r="K3605" s="1" t="s">
        <v>926</v>
      </c>
    </row>
    <row r="3606">
      <c r="A3606" s="1" t="s">
        <v>15073</v>
      </c>
      <c r="B3606" s="1" t="s">
        <v>15074</v>
      </c>
      <c r="C3606" s="1">
        <v>2017.0</v>
      </c>
      <c r="D3606" s="2">
        <v>42860.0</v>
      </c>
      <c r="F3606" s="1" t="s">
        <v>308</v>
      </c>
      <c r="H3606" s="3">
        <v>9.0</v>
      </c>
      <c r="I3606" s="4" t="s">
        <v>15075</v>
      </c>
      <c r="J3606" s="1" t="s">
        <v>15076</v>
      </c>
      <c r="K3606" s="1" t="s">
        <v>323</v>
      </c>
    </row>
    <row r="3607">
      <c r="A3607" s="1" t="s">
        <v>15077</v>
      </c>
      <c r="B3607" s="1" t="s">
        <v>15078</v>
      </c>
      <c r="C3607" s="1">
        <v>2017.0</v>
      </c>
      <c r="D3607" s="2">
        <v>42860.0</v>
      </c>
      <c r="F3607" s="1" t="s">
        <v>71</v>
      </c>
      <c r="H3607" s="3">
        <v>17.0</v>
      </c>
      <c r="I3607" s="4" t="s">
        <v>15079</v>
      </c>
      <c r="J3607" s="1" t="s">
        <v>15080</v>
      </c>
      <c r="K3607" s="1" t="s">
        <v>16</v>
      </c>
    </row>
    <row r="3608">
      <c r="A3608" s="1" t="s">
        <v>15081</v>
      </c>
      <c r="B3608" s="1" t="s">
        <v>15082</v>
      </c>
      <c r="C3608" s="1">
        <v>2017.0</v>
      </c>
      <c r="D3608" s="2">
        <v>42857.0</v>
      </c>
      <c r="F3608" s="1" t="s">
        <v>6907</v>
      </c>
      <c r="H3608" s="3">
        <v>44.0</v>
      </c>
      <c r="I3608" s="4" t="s">
        <v>15083</v>
      </c>
      <c r="J3608" s="1" t="s">
        <v>15084</v>
      </c>
      <c r="K3608" s="1" t="s">
        <v>45</v>
      </c>
    </row>
    <row r="3609">
      <c r="A3609" s="1" t="s">
        <v>15085</v>
      </c>
      <c r="B3609" s="1" t="s">
        <v>15086</v>
      </c>
      <c r="C3609" s="1">
        <v>2017.0</v>
      </c>
      <c r="D3609" s="2">
        <v>42857.0</v>
      </c>
      <c r="F3609" s="1" t="s">
        <v>86</v>
      </c>
      <c r="H3609" s="3">
        <v>11.0</v>
      </c>
      <c r="I3609" s="4" t="s">
        <v>15087</v>
      </c>
      <c r="J3609" s="1" t="s">
        <v>15088</v>
      </c>
      <c r="K3609" s="1" t="s">
        <v>413</v>
      </c>
    </row>
    <row r="3610">
      <c r="A3610" s="1" t="s">
        <v>15089</v>
      </c>
      <c r="B3610" s="1" t="s">
        <v>15090</v>
      </c>
      <c r="C3610" s="1">
        <v>2017.0</v>
      </c>
      <c r="D3610" s="2">
        <v>42856.0</v>
      </c>
      <c r="F3610" s="1" t="s">
        <v>524</v>
      </c>
      <c r="H3610" s="3">
        <v>268.0</v>
      </c>
      <c r="I3610" s="4" t="s">
        <v>15091</v>
      </c>
      <c r="J3610" s="1" t="s">
        <v>15092</v>
      </c>
      <c r="K3610" s="1" t="s">
        <v>372</v>
      </c>
    </row>
    <row r="3611">
      <c r="A3611" s="1" t="s">
        <v>15093</v>
      </c>
      <c r="B3611" s="1" t="s">
        <v>15094</v>
      </c>
      <c r="C3611" s="1">
        <v>2017.0</v>
      </c>
      <c r="D3611" s="2">
        <v>42856.0</v>
      </c>
      <c r="F3611" s="1" t="s">
        <v>1562</v>
      </c>
      <c r="H3611" s="3">
        <v>35.0</v>
      </c>
      <c r="I3611" s="4" t="s">
        <v>15095</v>
      </c>
      <c r="J3611" s="1" t="s">
        <v>15096</v>
      </c>
      <c r="K3611" s="1" t="s">
        <v>383</v>
      </c>
    </row>
    <row r="3612">
      <c r="A3612" s="1" t="s">
        <v>15097</v>
      </c>
      <c r="B3612" s="1" t="s">
        <v>15098</v>
      </c>
      <c r="C3612" s="1">
        <v>2017.0</v>
      </c>
      <c r="D3612" s="2">
        <v>42856.0</v>
      </c>
      <c r="F3612" s="1" t="s">
        <v>440</v>
      </c>
      <c r="H3612" s="3">
        <v>97.0</v>
      </c>
      <c r="I3612" s="4" t="s">
        <v>15099</v>
      </c>
      <c r="J3612" s="1" t="s">
        <v>15100</v>
      </c>
      <c r="K3612" s="1" t="s">
        <v>383</v>
      </c>
    </row>
    <row r="3613">
      <c r="A3613" s="1" t="s">
        <v>15101</v>
      </c>
      <c r="B3613" s="1" t="s">
        <v>15102</v>
      </c>
      <c r="C3613" s="1">
        <v>2017.0</v>
      </c>
      <c r="D3613" s="2">
        <v>42856.0</v>
      </c>
      <c r="F3613" s="1" t="s">
        <v>4392</v>
      </c>
      <c r="H3613" s="3">
        <v>13.0</v>
      </c>
      <c r="I3613" s="4" t="s">
        <v>15103</v>
      </c>
      <c r="J3613" s="1" t="s">
        <v>15104</v>
      </c>
      <c r="K3613" s="1" t="s">
        <v>323</v>
      </c>
    </row>
    <row r="3614">
      <c r="A3614" s="1" t="s">
        <v>15105</v>
      </c>
      <c r="B3614" s="1" t="s">
        <v>15106</v>
      </c>
      <c r="C3614" s="1">
        <v>2017.0</v>
      </c>
      <c r="D3614" s="2">
        <v>42856.0</v>
      </c>
      <c r="F3614" s="1" t="s">
        <v>711</v>
      </c>
      <c r="H3614" s="3">
        <v>5.0</v>
      </c>
      <c r="I3614" s="4" t="s">
        <v>15107</v>
      </c>
      <c r="J3614" s="1"/>
      <c r="K3614" s="1" t="s">
        <v>28</v>
      </c>
    </row>
    <row r="3615">
      <c r="A3615" s="1" t="s">
        <v>15108</v>
      </c>
      <c r="B3615" s="1" t="s">
        <v>15109</v>
      </c>
      <c r="C3615" s="1">
        <v>2017.0</v>
      </c>
      <c r="D3615" s="2">
        <v>42853.0</v>
      </c>
      <c r="F3615" s="1" t="s">
        <v>1277</v>
      </c>
      <c r="H3615" s="3">
        <v>73.0</v>
      </c>
      <c r="I3615" s="4" t="s">
        <v>15110</v>
      </c>
      <c r="J3615" s="1" t="s">
        <v>15111</v>
      </c>
      <c r="K3615" s="1" t="s">
        <v>418</v>
      </c>
    </row>
    <row r="3616">
      <c r="A3616" s="1" t="s">
        <v>15112</v>
      </c>
      <c r="B3616" s="1" t="s">
        <v>15113</v>
      </c>
      <c r="C3616" s="1">
        <v>2017.0</v>
      </c>
      <c r="D3616" s="2">
        <v>42852.0</v>
      </c>
      <c r="F3616" s="1" t="s">
        <v>15114</v>
      </c>
      <c r="H3616" s="3">
        <v>2.0</v>
      </c>
      <c r="I3616" s="4" t="s">
        <v>15115</v>
      </c>
      <c r="J3616" s="1" t="s">
        <v>15116</v>
      </c>
      <c r="K3616" s="1" t="s">
        <v>1036</v>
      </c>
    </row>
    <row r="3617">
      <c r="A3617" s="1" t="s">
        <v>15117</v>
      </c>
      <c r="B3617" s="1" t="s">
        <v>15118</v>
      </c>
      <c r="C3617" s="1">
        <v>2017.0</v>
      </c>
      <c r="D3617" s="2">
        <v>42852.0</v>
      </c>
      <c r="F3617" s="1" t="s">
        <v>15119</v>
      </c>
      <c r="H3617" s="3">
        <v>15.0</v>
      </c>
      <c r="I3617" s="4" t="s">
        <v>15120</v>
      </c>
      <c r="J3617" s="1" t="s">
        <v>15121</v>
      </c>
      <c r="K3617" s="1" t="s">
        <v>28</v>
      </c>
    </row>
    <row r="3618">
      <c r="A3618" s="1" t="s">
        <v>15122</v>
      </c>
      <c r="B3618" s="1" t="s">
        <v>15123</v>
      </c>
      <c r="C3618" s="1">
        <v>2017.0</v>
      </c>
      <c r="D3618" s="2">
        <v>42852.0</v>
      </c>
      <c r="F3618" s="1" t="s">
        <v>2007</v>
      </c>
      <c r="H3618" s="3">
        <v>187.0</v>
      </c>
      <c r="I3618" s="4" t="s">
        <v>15124</v>
      </c>
      <c r="J3618" s="1" t="s">
        <v>15125</v>
      </c>
      <c r="K3618" s="1" t="s">
        <v>16</v>
      </c>
    </row>
    <row r="3619">
      <c r="A3619" s="1" t="s">
        <v>15126</v>
      </c>
      <c r="B3619" s="1" t="s">
        <v>15127</v>
      </c>
      <c r="C3619" s="1">
        <v>2017.0</v>
      </c>
      <c r="D3619" s="2">
        <v>42851.0</v>
      </c>
      <c r="F3619" s="1" t="s">
        <v>31</v>
      </c>
      <c r="H3619" s="3">
        <v>16.0</v>
      </c>
      <c r="I3619" s="4" t="s">
        <v>15128</v>
      </c>
      <c r="J3619" s="1" t="s">
        <v>15129</v>
      </c>
      <c r="K3619" s="1" t="s">
        <v>418</v>
      </c>
    </row>
    <row r="3620">
      <c r="A3620" s="1" t="s">
        <v>15130</v>
      </c>
      <c r="B3620" s="1" t="s">
        <v>12280</v>
      </c>
      <c r="C3620" s="1">
        <v>2017.0</v>
      </c>
      <c r="D3620" s="2">
        <v>42851.0</v>
      </c>
      <c r="F3620" s="1" t="s">
        <v>12240</v>
      </c>
      <c r="H3620" s="3">
        <v>22.0</v>
      </c>
      <c r="I3620" s="4" t="s">
        <v>15131</v>
      </c>
      <c r="J3620" s="1" t="s">
        <v>15132</v>
      </c>
      <c r="K3620" s="1" t="s">
        <v>546</v>
      </c>
    </row>
    <row r="3621">
      <c r="A3621" s="1" t="s">
        <v>15133</v>
      </c>
      <c r="B3621" s="1" t="s">
        <v>15134</v>
      </c>
      <c r="C3621" s="1">
        <v>2017.0</v>
      </c>
      <c r="D3621" s="2">
        <v>42851.0</v>
      </c>
      <c r="F3621" s="1" t="s">
        <v>1762</v>
      </c>
      <c r="H3621" s="3">
        <v>73.0</v>
      </c>
      <c r="I3621" s="4" t="s">
        <v>15135</v>
      </c>
      <c r="J3621" s="1" t="s">
        <v>15136</v>
      </c>
      <c r="K3621" s="1" t="s">
        <v>16</v>
      </c>
    </row>
    <row r="3622">
      <c r="A3622" s="1" t="s">
        <v>15137</v>
      </c>
      <c r="B3622" s="1" t="s">
        <v>15138</v>
      </c>
      <c r="C3622" s="1">
        <v>2017.0</v>
      </c>
      <c r="D3622" s="2">
        <v>42850.0</v>
      </c>
      <c r="F3622" s="1" t="s">
        <v>1040</v>
      </c>
      <c r="H3622" s="3">
        <v>42.0</v>
      </c>
      <c r="I3622" s="4" t="s">
        <v>15139</v>
      </c>
      <c r="J3622" s="1" t="s">
        <v>15140</v>
      </c>
      <c r="K3622" s="1" t="s">
        <v>28</v>
      </c>
    </row>
    <row r="3623">
      <c r="A3623" s="1" t="s">
        <v>15141</v>
      </c>
      <c r="B3623" s="1" t="s">
        <v>15142</v>
      </c>
      <c r="C3623" s="1">
        <v>2017.0</v>
      </c>
      <c r="D3623" s="2">
        <v>42849.0</v>
      </c>
      <c r="F3623" s="1" t="s">
        <v>4063</v>
      </c>
      <c r="H3623" s="3">
        <v>5.0</v>
      </c>
      <c r="I3623" s="4" t="s">
        <v>15143</v>
      </c>
      <c r="J3623" s="1" t="s">
        <v>15144</v>
      </c>
      <c r="K3623" s="1" t="s">
        <v>295</v>
      </c>
    </row>
    <row r="3624">
      <c r="A3624" s="1" t="s">
        <v>15145</v>
      </c>
      <c r="B3624" s="1" t="s">
        <v>15146</v>
      </c>
      <c r="C3624" s="1">
        <v>2017.0</v>
      </c>
      <c r="D3624" s="2">
        <v>42847.0</v>
      </c>
      <c r="F3624" s="1" t="s">
        <v>8975</v>
      </c>
      <c r="H3624" s="3">
        <v>86.0</v>
      </c>
      <c r="I3624" s="4" t="s">
        <v>15147</v>
      </c>
      <c r="J3624" s="1" t="s">
        <v>15148</v>
      </c>
      <c r="K3624" s="1" t="s">
        <v>323</v>
      </c>
    </row>
    <row r="3625">
      <c r="A3625" s="1" t="s">
        <v>15149</v>
      </c>
      <c r="B3625" s="1" t="s">
        <v>15150</v>
      </c>
      <c r="C3625" s="1">
        <v>2017.0</v>
      </c>
      <c r="D3625" s="2">
        <v>42845.0</v>
      </c>
      <c r="F3625" s="1" t="s">
        <v>1415</v>
      </c>
      <c r="H3625" s="3">
        <v>14.0</v>
      </c>
      <c r="I3625" s="4" t="s">
        <v>15151</v>
      </c>
      <c r="J3625" s="1" t="s">
        <v>15152</v>
      </c>
      <c r="K3625" s="1" t="s">
        <v>418</v>
      </c>
    </row>
    <row r="3626">
      <c r="A3626" s="1" t="s">
        <v>15153</v>
      </c>
      <c r="B3626" s="1" t="s">
        <v>15154</v>
      </c>
      <c r="C3626" s="1">
        <v>2017.0</v>
      </c>
      <c r="D3626" s="2">
        <v>42845.0</v>
      </c>
      <c r="F3626" s="1" t="s">
        <v>71</v>
      </c>
      <c r="H3626" s="3">
        <v>15.0</v>
      </c>
      <c r="I3626" s="4" t="s">
        <v>15155</v>
      </c>
      <c r="J3626" s="1" t="s">
        <v>15156</v>
      </c>
      <c r="K3626" s="1" t="s">
        <v>383</v>
      </c>
    </row>
    <row r="3627">
      <c r="A3627" s="1" t="s">
        <v>15157</v>
      </c>
      <c r="B3627" s="1" t="s">
        <v>15158</v>
      </c>
      <c r="C3627" s="1">
        <v>2017.0</v>
      </c>
      <c r="D3627" s="2">
        <v>42844.0</v>
      </c>
      <c r="F3627" s="1" t="s">
        <v>1123</v>
      </c>
      <c r="H3627" s="3">
        <v>13.0</v>
      </c>
      <c r="I3627" s="4" t="s">
        <v>15159</v>
      </c>
      <c r="J3627" s="1" t="s">
        <v>15160</v>
      </c>
      <c r="K3627" s="1" t="s">
        <v>323</v>
      </c>
    </row>
    <row r="3628">
      <c r="A3628" s="1" t="s">
        <v>15161</v>
      </c>
      <c r="B3628" s="1" t="s">
        <v>15162</v>
      </c>
      <c r="C3628" s="1">
        <v>2017.0</v>
      </c>
      <c r="D3628" s="2">
        <v>42843.0</v>
      </c>
      <c r="F3628" s="1" t="s">
        <v>208</v>
      </c>
      <c r="H3628" s="3">
        <v>14.0</v>
      </c>
      <c r="I3628" s="4" t="s">
        <v>15163</v>
      </c>
      <c r="J3628" s="1" t="s">
        <v>15164</v>
      </c>
      <c r="K3628" s="1" t="s">
        <v>28</v>
      </c>
    </row>
    <row r="3629">
      <c r="A3629" s="1" t="s">
        <v>15165</v>
      </c>
      <c r="B3629" s="1" t="s">
        <v>15166</v>
      </c>
      <c r="C3629" s="1">
        <v>2017.0</v>
      </c>
      <c r="D3629" s="2">
        <v>42843.0</v>
      </c>
      <c r="F3629" s="1" t="s">
        <v>15167</v>
      </c>
      <c r="H3629" s="3">
        <v>5.0</v>
      </c>
      <c r="I3629" s="4" t="s">
        <v>15168</v>
      </c>
      <c r="J3629" s="1" t="s">
        <v>15169</v>
      </c>
      <c r="K3629" s="1" t="s">
        <v>383</v>
      </c>
    </row>
    <row r="3630">
      <c r="A3630" s="1" t="s">
        <v>15170</v>
      </c>
      <c r="B3630" s="1" t="s">
        <v>15171</v>
      </c>
      <c r="C3630" s="1">
        <v>2017.0</v>
      </c>
      <c r="D3630" s="2">
        <v>42840.0</v>
      </c>
      <c r="F3630" s="1" t="s">
        <v>5336</v>
      </c>
      <c r="H3630" s="3">
        <v>14.0</v>
      </c>
      <c r="I3630" s="4" t="s">
        <v>15172</v>
      </c>
      <c r="J3630" s="1" t="s">
        <v>15173</v>
      </c>
      <c r="K3630" s="1" t="s">
        <v>295</v>
      </c>
    </row>
    <row r="3631">
      <c r="A3631" s="1" t="s">
        <v>15174</v>
      </c>
      <c r="B3631" s="1" t="s">
        <v>15175</v>
      </c>
      <c r="C3631" s="1">
        <v>2017.0</v>
      </c>
      <c r="D3631" s="2">
        <v>42838.0</v>
      </c>
      <c r="F3631" s="1" t="s">
        <v>2955</v>
      </c>
      <c r="H3631" s="3">
        <v>11.0</v>
      </c>
      <c r="I3631" s="4" t="s">
        <v>15176</v>
      </c>
      <c r="J3631" s="1" t="s">
        <v>15177</v>
      </c>
      <c r="K3631" s="1" t="s">
        <v>492</v>
      </c>
    </row>
    <row r="3632">
      <c r="A3632" s="1" t="s">
        <v>15178</v>
      </c>
      <c r="B3632" s="1" t="s">
        <v>15179</v>
      </c>
      <c r="C3632" s="1">
        <v>2017.0</v>
      </c>
      <c r="D3632" s="2">
        <v>42838.0</v>
      </c>
      <c r="F3632" s="1" t="s">
        <v>12240</v>
      </c>
      <c r="H3632" s="3">
        <v>30.0</v>
      </c>
      <c r="I3632" s="4" t="s">
        <v>15180</v>
      </c>
      <c r="J3632" s="1" t="s">
        <v>15181</v>
      </c>
      <c r="K3632" s="1" t="s">
        <v>546</v>
      </c>
    </row>
    <row r="3633">
      <c r="A3633" s="1" t="s">
        <v>15182</v>
      </c>
      <c r="B3633" s="1" t="s">
        <v>15183</v>
      </c>
      <c r="C3633" s="1">
        <v>2017.0</v>
      </c>
      <c r="D3633" s="2">
        <v>42837.0</v>
      </c>
      <c r="F3633" s="1" t="s">
        <v>308</v>
      </c>
      <c r="H3633" s="3">
        <v>38.0</v>
      </c>
      <c r="I3633" s="4" t="s">
        <v>15184</v>
      </c>
      <c r="J3633" s="1" t="s">
        <v>15185</v>
      </c>
      <c r="K3633" s="1" t="s">
        <v>443</v>
      </c>
    </row>
    <row r="3634">
      <c r="A3634" s="1" t="s">
        <v>15186</v>
      </c>
      <c r="B3634" s="1" t="s">
        <v>15187</v>
      </c>
      <c r="C3634" s="1">
        <v>2017.0</v>
      </c>
      <c r="D3634" s="2">
        <v>42837.0</v>
      </c>
      <c r="F3634" s="1" t="s">
        <v>15188</v>
      </c>
      <c r="H3634" s="3">
        <v>4.0</v>
      </c>
      <c r="I3634" s="4" t="s">
        <v>15189</v>
      </c>
      <c r="J3634" s="1"/>
      <c r="K3634" s="1" t="s">
        <v>68</v>
      </c>
    </row>
    <row r="3635">
      <c r="A3635" s="1" t="s">
        <v>15190</v>
      </c>
      <c r="B3635" s="1" t="s">
        <v>15191</v>
      </c>
      <c r="C3635" s="1">
        <v>2017.0</v>
      </c>
      <c r="D3635" s="2">
        <v>42837.0</v>
      </c>
      <c r="F3635" s="1" t="s">
        <v>208</v>
      </c>
      <c r="H3635" s="3">
        <v>15.0</v>
      </c>
      <c r="I3635" s="4" t="s">
        <v>15192</v>
      </c>
      <c r="J3635" s="1" t="s">
        <v>15193</v>
      </c>
      <c r="K3635" s="1" t="s">
        <v>462</v>
      </c>
    </row>
    <row r="3636">
      <c r="A3636" s="1" t="s">
        <v>15194</v>
      </c>
      <c r="B3636" s="1" t="s">
        <v>15195</v>
      </c>
      <c r="C3636" s="1">
        <v>2017.0</v>
      </c>
      <c r="D3636" s="2">
        <v>42836.0</v>
      </c>
      <c r="F3636" s="1" t="s">
        <v>2191</v>
      </c>
      <c r="H3636" s="3">
        <v>20.0</v>
      </c>
      <c r="I3636" s="4" t="s">
        <v>15196</v>
      </c>
      <c r="J3636" s="1" t="s">
        <v>15197</v>
      </c>
      <c r="K3636" s="1" t="s">
        <v>403</v>
      </c>
    </row>
    <row r="3637">
      <c r="A3637" s="1" t="s">
        <v>15198</v>
      </c>
      <c r="B3637" s="1" t="s">
        <v>15199</v>
      </c>
      <c r="C3637" s="1">
        <v>2017.0</v>
      </c>
      <c r="D3637" s="2">
        <v>42836.0</v>
      </c>
      <c r="F3637" s="1" t="s">
        <v>656</v>
      </c>
      <c r="H3637" s="3">
        <v>13.0</v>
      </c>
      <c r="I3637" s="4" t="s">
        <v>15200</v>
      </c>
      <c r="J3637" s="1" t="s">
        <v>15201</v>
      </c>
      <c r="K3637" s="1" t="s">
        <v>16</v>
      </c>
    </row>
    <row r="3638">
      <c r="A3638" s="1" t="s">
        <v>15202</v>
      </c>
      <c r="B3638" s="1" t="s">
        <v>15203</v>
      </c>
      <c r="C3638" s="1">
        <v>2017.0</v>
      </c>
      <c r="D3638" s="2">
        <v>42836.0</v>
      </c>
      <c r="F3638" s="1" t="s">
        <v>3583</v>
      </c>
      <c r="H3638" s="3">
        <v>18.0</v>
      </c>
      <c r="I3638" s="4" t="s">
        <v>15204</v>
      </c>
      <c r="J3638" s="1" t="s">
        <v>15205</v>
      </c>
      <c r="K3638" s="1" t="s">
        <v>926</v>
      </c>
    </row>
    <row r="3639">
      <c r="A3639" s="1" t="s">
        <v>15206</v>
      </c>
      <c r="B3639" s="1" t="s">
        <v>15207</v>
      </c>
      <c r="C3639" s="1">
        <v>2017.0</v>
      </c>
      <c r="D3639" s="2">
        <v>42833.0</v>
      </c>
      <c r="F3639" s="1" t="s">
        <v>15208</v>
      </c>
      <c r="H3639" s="3">
        <v>13.0</v>
      </c>
      <c r="I3639" s="4" t="s">
        <v>15209</v>
      </c>
      <c r="J3639" s="1" t="s">
        <v>15210</v>
      </c>
      <c r="K3639" s="1" t="s">
        <v>340</v>
      </c>
    </row>
    <row r="3640">
      <c r="A3640" s="1" t="s">
        <v>15211</v>
      </c>
      <c r="B3640" s="1" t="s">
        <v>15212</v>
      </c>
      <c r="C3640" s="1">
        <v>2017.0</v>
      </c>
      <c r="D3640" s="2">
        <v>42832.0</v>
      </c>
      <c r="F3640" s="1" t="s">
        <v>12240</v>
      </c>
      <c r="H3640" s="3">
        <v>6.0</v>
      </c>
      <c r="I3640" s="4" t="s">
        <v>15213</v>
      </c>
      <c r="J3640" s="1" t="s">
        <v>15214</v>
      </c>
      <c r="K3640" s="1" t="s">
        <v>546</v>
      </c>
    </row>
    <row r="3641">
      <c r="A3641" s="1" t="s">
        <v>15215</v>
      </c>
      <c r="B3641" s="1" t="s">
        <v>15216</v>
      </c>
      <c r="C3641" s="1">
        <v>2017.0</v>
      </c>
      <c r="D3641" s="2">
        <v>42831.0</v>
      </c>
      <c r="F3641" s="1" t="s">
        <v>5758</v>
      </c>
      <c r="H3641" s="3">
        <v>11.0</v>
      </c>
      <c r="I3641" s="4" t="s">
        <v>15217</v>
      </c>
      <c r="J3641" s="1" t="s">
        <v>15218</v>
      </c>
      <c r="K3641" s="1" t="s">
        <v>323</v>
      </c>
    </row>
    <row r="3642">
      <c r="A3642" s="1" t="s">
        <v>15219</v>
      </c>
      <c r="B3642" s="1" t="s">
        <v>12957</v>
      </c>
      <c r="C3642" s="1">
        <v>2017.0</v>
      </c>
      <c r="D3642" s="2">
        <v>42831.0</v>
      </c>
      <c r="F3642" s="1" t="s">
        <v>81</v>
      </c>
      <c r="H3642" s="3">
        <v>111.0</v>
      </c>
      <c r="I3642" s="4" t="s">
        <v>15220</v>
      </c>
      <c r="J3642" s="1" t="s">
        <v>15221</v>
      </c>
      <c r="K3642" s="1" t="s">
        <v>443</v>
      </c>
    </row>
    <row r="3643">
      <c r="A3643" s="1" t="s">
        <v>15222</v>
      </c>
      <c r="B3643" s="1" t="s">
        <v>15223</v>
      </c>
      <c r="C3643" s="1">
        <v>2017.0</v>
      </c>
      <c r="D3643" s="2">
        <v>42830.0</v>
      </c>
      <c r="F3643" s="1" t="s">
        <v>10409</v>
      </c>
      <c r="H3643" s="3">
        <v>45.0</v>
      </c>
      <c r="I3643" s="4" t="s">
        <v>15224</v>
      </c>
      <c r="J3643" s="1" t="s">
        <v>15225</v>
      </c>
      <c r="K3643" s="1" t="s">
        <v>45</v>
      </c>
    </row>
    <row r="3644">
      <c r="A3644" s="1" t="s">
        <v>15226</v>
      </c>
      <c r="B3644" s="1" t="s">
        <v>15227</v>
      </c>
      <c r="C3644" s="1">
        <v>2017.0</v>
      </c>
      <c r="D3644" s="2">
        <v>42830.0</v>
      </c>
      <c r="F3644" s="1" t="s">
        <v>6800</v>
      </c>
      <c r="H3644" s="3">
        <v>7.0</v>
      </c>
      <c r="I3644" s="4" t="s">
        <v>15228</v>
      </c>
      <c r="J3644" s="1" t="s">
        <v>15229</v>
      </c>
      <c r="K3644" s="1" t="s">
        <v>68</v>
      </c>
    </row>
    <row r="3645">
      <c r="A3645" s="1" t="s">
        <v>15230</v>
      </c>
      <c r="B3645" s="1" t="s">
        <v>15231</v>
      </c>
      <c r="C3645" s="1">
        <v>2017.0</v>
      </c>
      <c r="D3645" s="2">
        <v>42830.0</v>
      </c>
      <c r="F3645" s="1" t="s">
        <v>15232</v>
      </c>
      <c r="H3645" s="3">
        <v>30.0</v>
      </c>
      <c r="I3645" s="4" t="s">
        <v>15233</v>
      </c>
      <c r="J3645" s="1" t="s">
        <v>15234</v>
      </c>
      <c r="K3645" s="1" t="s">
        <v>68</v>
      </c>
    </row>
    <row r="3646">
      <c r="A3646" s="1" t="s">
        <v>15235</v>
      </c>
      <c r="B3646" s="1" t="s">
        <v>15236</v>
      </c>
      <c r="C3646" s="1">
        <v>2017.0</v>
      </c>
      <c r="D3646" s="2">
        <v>42830.0</v>
      </c>
      <c r="F3646" s="1" t="s">
        <v>59</v>
      </c>
      <c r="H3646" s="3">
        <v>21.0</v>
      </c>
      <c r="I3646" s="4" t="s">
        <v>15237</v>
      </c>
      <c r="J3646" s="1" t="s">
        <v>15238</v>
      </c>
      <c r="K3646" s="1" t="s">
        <v>383</v>
      </c>
    </row>
    <row r="3647">
      <c r="A3647" s="1" t="s">
        <v>15239</v>
      </c>
      <c r="B3647" s="1" t="s">
        <v>15240</v>
      </c>
      <c r="C3647" s="1">
        <v>2017.0</v>
      </c>
      <c r="D3647" s="2">
        <v>42829.0</v>
      </c>
      <c r="F3647" s="1" t="s">
        <v>2449</v>
      </c>
      <c r="H3647" s="3">
        <v>13.0</v>
      </c>
      <c r="I3647" s="4" t="s">
        <v>15241</v>
      </c>
      <c r="J3647" s="1" t="s">
        <v>15242</v>
      </c>
      <c r="K3647" s="1" t="s">
        <v>1036</v>
      </c>
    </row>
    <row r="3648">
      <c r="A3648" s="1" t="s">
        <v>15243</v>
      </c>
      <c r="B3648" s="1" t="s">
        <v>15244</v>
      </c>
      <c r="C3648" s="1">
        <v>2017.0</v>
      </c>
      <c r="D3648" s="2">
        <v>42829.0</v>
      </c>
      <c r="F3648" s="1" t="s">
        <v>9796</v>
      </c>
      <c r="H3648" s="3">
        <v>7.0</v>
      </c>
      <c r="I3648" s="4" t="s">
        <v>15245</v>
      </c>
      <c r="J3648" s="1" t="s">
        <v>15246</v>
      </c>
      <c r="K3648" s="1" t="s">
        <v>413</v>
      </c>
    </row>
    <row r="3649">
      <c r="A3649" s="1" t="s">
        <v>15247</v>
      </c>
      <c r="B3649" s="1" t="s">
        <v>15248</v>
      </c>
      <c r="C3649" s="1">
        <v>2017.0</v>
      </c>
      <c r="D3649" s="2">
        <v>42829.0</v>
      </c>
      <c r="F3649" s="1" t="s">
        <v>1859</v>
      </c>
      <c r="H3649" s="3">
        <v>23.0</v>
      </c>
      <c r="I3649" s="4" t="s">
        <v>15249</v>
      </c>
      <c r="J3649" s="1" t="s">
        <v>15250</v>
      </c>
      <c r="K3649" s="1" t="s">
        <v>16</v>
      </c>
    </row>
    <row r="3650">
      <c r="A3650" s="1" t="s">
        <v>15251</v>
      </c>
      <c r="B3650" s="1" t="s">
        <v>15252</v>
      </c>
      <c r="C3650" s="1">
        <v>2017.0</v>
      </c>
      <c r="D3650" s="2">
        <v>42828.0</v>
      </c>
      <c r="F3650" s="1" t="s">
        <v>248</v>
      </c>
      <c r="H3650" s="3">
        <v>21.0</v>
      </c>
      <c r="I3650" s="4" t="s">
        <v>15253</v>
      </c>
      <c r="J3650" s="1" t="s">
        <v>15254</v>
      </c>
      <c r="K3650" s="1" t="s">
        <v>28</v>
      </c>
    </row>
    <row r="3651">
      <c r="A3651" s="1" t="s">
        <v>15255</v>
      </c>
      <c r="B3651" s="1" t="s">
        <v>15256</v>
      </c>
      <c r="C3651" s="1">
        <v>2017.0</v>
      </c>
      <c r="D3651" s="2">
        <v>42828.0</v>
      </c>
      <c r="F3651" s="1" t="s">
        <v>4405</v>
      </c>
      <c r="H3651" s="3">
        <v>22.0</v>
      </c>
      <c r="I3651" s="4" t="s">
        <v>15257</v>
      </c>
      <c r="J3651" s="1" t="s">
        <v>15258</v>
      </c>
      <c r="K3651" s="1" t="s">
        <v>383</v>
      </c>
    </row>
    <row r="3652">
      <c r="A3652" s="1" t="s">
        <v>15259</v>
      </c>
      <c r="B3652" s="1" t="s">
        <v>15260</v>
      </c>
      <c r="C3652" s="1">
        <v>2017.0</v>
      </c>
      <c r="D3652" s="2">
        <v>42826.0</v>
      </c>
      <c r="F3652" s="1" t="s">
        <v>605</v>
      </c>
      <c r="H3652" s="3">
        <v>25.0</v>
      </c>
      <c r="I3652" s="4" t="s">
        <v>15261</v>
      </c>
      <c r="J3652" s="1" t="s">
        <v>15262</v>
      </c>
      <c r="K3652" s="1" t="s">
        <v>295</v>
      </c>
    </row>
    <row r="3653">
      <c r="A3653" s="1" t="s">
        <v>15263</v>
      </c>
      <c r="B3653" s="1" t="s">
        <v>15264</v>
      </c>
      <c r="C3653" s="1">
        <v>2017.0</v>
      </c>
      <c r="D3653" s="2">
        <v>42826.0</v>
      </c>
      <c r="F3653" s="1" t="s">
        <v>4405</v>
      </c>
      <c r="H3653" s="3">
        <v>62.0</v>
      </c>
      <c r="I3653" s="4" t="s">
        <v>15265</v>
      </c>
      <c r="J3653" s="1" t="s">
        <v>15266</v>
      </c>
      <c r="K3653" s="1" t="s">
        <v>28</v>
      </c>
    </row>
    <row r="3654">
      <c r="A3654" s="1" t="s">
        <v>15267</v>
      </c>
      <c r="B3654" s="1" t="s">
        <v>15268</v>
      </c>
      <c r="C3654" s="1">
        <v>2017.0</v>
      </c>
      <c r="D3654" s="2">
        <v>42826.0</v>
      </c>
      <c r="F3654" s="1" t="s">
        <v>1128</v>
      </c>
      <c r="H3654" s="3">
        <v>7.0</v>
      </c>
      <c r="I3654" s="4" t="s">
        <v>15269</v>
      </c>
      <c r="J3654" s="1" t="s">
        <v>15270</v>
      </c>
      <c r="K3654" s="1" t="s">
        <v>383</v>
      </c>
    </row>
    <row r="3655">
      <c r="A3655" s="1" t="s">
        <v>15271</v>
      </c>
      <c r="B3655" s="1" t="s">
        <v>15272</v>
      </c>
      <c r="C3655" s="1">
        <v>2017.0</v>
      </c>
      <c r="D3655" s="2">
        <v>42826.0</v>
      </c>
      <c r="F3655" s="1" t="s">
        <v>3340</v>
      </c>
      <c r="H3655" s="3">
        <v>3.0</v>
      </c>
      <c r="I3655" s="4" t="s">
        <v>15273</v>
      </c>
      <c r="J3655" s="1" t="s">
        <v>15274</v>
      </c>
      <c r="K3655" s="1" t="s">
        <v>323</v>
      </c>
    </row>
    <row r="3656">
      <c r="A3656" s="1" t="s">
        <v>15275</v>
      </c>
      <c r="B3656" s="1" t="s">
        <v>15276</v>
      </c>
      <c r="C3656" s="1">
        <v>2017.0</v>
      </c>
      <c r="D3656" s="2">
        <v>42826.0</v>
      </c>
      <c r="F3656" s="1" t="s">
        <v>605</v>
      </c>
      <c r="H3656" s="3">
        <v>8.0</v>
      </c>
      <c r="I3656" s="4" t="s">
        <v>15277</v>
      </c>
      <c r="J3656" s="1" t="s">
        <v>15278</v>
      </c>
      <c r="K3656" s="1" t="s">
        <v>323</v>
      </c>
    </row>
    <row r="3657">
      <c r="A3657" s="1" t="s">
        <v>15279</v>
      </c>
      <c r="B3657" s="1" t="s">
        <v>15280</v>
      </c>
      <c r="C3657" s="1">
        <v>2017.0</v>
      </c>
      <c r="D3657" s="2">
        <v>42826.0</v>
      </c>
      <c r="F3657" s="1" t="s">
        <v>1995</v>
      </c>
      <c r="H3657" s="3">
        <v>10.0</v>
      </c>
      <c r="I3657" s="4" t="s">
        <v>15281</v>
      </c>
      <c r="J3657" s="1" t="s">
        <v>15282</v>
      </c>
      <c r="K3657" s="1" t="s">
        <v>383</v>
      </c>
    </row>
    <row r="3658">
      <c r="A3658" s="1" t="s">
        <v>15283</v>
      </c>
      <c r="B3658" s="1" t="s">
        <v>15284</v>
      </c>
      <c r="C3658" s="1">
        <v>2017.0</v>
      </c>
      <c r="D3658" s="2">
        <v>42826.0</v>
      </c>
      <c r="F3658" s="1" t="s">
        <v>4848</v>
      </c>
      <c r="H3658" s="3">
        <v>19.0</v>
      </c>
      <c r="I3658" s="4" t="s">
        <v>15285</v>
      </c>
      <c r="J3658" s="1" t="s">
        <v>15286</v>
      </c>
      <c r="K3658" s="1" t="s">
        <v>68</v>
      </c>
    </row>
    <row r="3659">
      <c r="A3659" s="1" t="s">
        <v>15287</v>
      </c>
      <c r="B3659" s="1" t="s">
        <v>15288</v>
      </c>
      <c r="C3659" s="1">
        <v>2017.0</v>
      </c>
      <c r="D3659" s="2">
        <v>42826.0</v>
      </c>
      <c r="F3659" s="1" t="s">
        <v>15289</v>
      </c>
      <c r="H3659" s="3">
        <v>35.0</v>
      </c>
      <c r="I3659" s="4" t="s">
        <v>15290</v>
      </c>
      <c r="J3659" s="1" t="s">
        <v>15291</v>
      </c>
      <c r="K3659" s="1" t="s">
        <v>68</v>
      </c>
    </row>
    <row r="3660">
      <c r="A3660" s="1" t="s">
        <v>15292</v>
      </c>
      <c r="B3660" s="1" t="s">
        <v>15293</v>
      </c>
      <c r="C3660" s="1">
        <v>2017.0</v>
      </c>
      <c r="D3660" s="2">
        <v>42826.0</v>
      </c>
      <c r="F3660" s="1" t="s">
        <v>15289</v>
      </c>
      <c r="H3660" s="3">
        <v>19.0</v>
      </c>
      <c r="I3660" s="4" t="s">
        <v>15294</v>
      </c>
      <c r="J3660" s="1" t="s">
        <v>15295</v>
      </c>
      <c r="K3660" s="1" t="s">
        <v>323</v>
      </c>
    </row>
    <row r="3661">
      <c r="A3661" s="1" t="s">
        <v>15296</v>
      </c>
      <c r="B3661" s="1" t="s">
        <v>15297</v>
      </c>
      <c r="C3661" s="1">
        <v>2017.0</v>
      </c>
      <c r="D3661" s="2">
        <v>42826.0</v>
      </c>
      <c r="F3661" s="1" t="s">
        <v>12937</v>
      </c>
      <c r="H3661" s="3">
        <v>16.0</v>
      </c>
      <c r="I3661" s="4" t="s">
        <v>15298</v>
      </c>
      <c r="J3661" s="1" t="s">
        <v>15299</v>
      </c>
      <c r="K3661" s="1" t="s">
        <v>16</v>
      </c>
    </row>
    <row r="3662">
      <c r="A3662" s="1" t="s">
        <v>15300</v>
      </c>
      <c r="B3662" s="1" t="s">
        <v>15301</v>
      </c>
      <c r="C3662" s="1">
        <v>2017.0</v>
      </c>
      <c r="D3662" s="2">
        <v>42825.0</v>
      </c>
      <c r="F3662" s="1" t="s">
        <v>31</v>
      </c>
      <c r="H3662" s="3">
        <v>156.0</v>
      </c>
      <c r="I3662" s="4" t="s">
        <v>15302</v>
      </c>
      <c r="J3662" s="1" t="s">
        <v>15303</v>
      </c>
      <c r="K3662" s="1" t="s">
        <v>28</v>
      </c>
    </row>
    <row r="3663">
      <c r="A3663" s="1" t="s">
        <v>15304</v>
      </c>
      <c r="B3663" s="1" t="s">
        <v>15305</v>
      </c>
      <c r="C3663" s="1">
        <v>2017.0</v>
      </c>
      <c r="D3663" s="2">
        <v>42824.0</v>
      </c>
      <c r="F3663" s="1" t="s">
        <v>1371</v>
      </c>
      <c r="H3663" s="3">
        <v>0.0</v>
      </c>
      <c r="I3663" s="4" t="s">
        <v>15306</v>
      </c>
      <c r="J3663" s="1" t="s">
        <v>15307</v>
      </c>
      <c r="K3663" s="1" t="s">
        <v>418</v>
      </c>
    </row>
    <row r="3664">
      <c r="A3664" s="1" t="s">
        <v>15308</v>
      </c>
      <c r="B3664" s="1" t="s">
        <v>15309</v>
      </c>
      <c r="C3664" s="1">
        <v>2017.0</v>
      </c>
      <c r="D3664" s="2">
        <v>42824.0</v>
      </c>
      <c r="F3664" s="1" t="s">
        <v>13</v>
      </c>
      <c r="H3664" s="3">
        <v>40.0</v>
      </c>
      <c r="I3664" s="4" t="s">
        <v>15310</v>
      </c>
      <c r="J3664" s="1" t="s">
        <v>15311</v>
      </c>
      <c r="K3664" s="1" t="s">
        <v>323</v>
      </c>
    </row>
    <row r="3665">
      <c r="A3665" s="1" t="s">
        <v>15312</v>
      </c>
      <c r="B3665" s="1" t="s">
        <v>15313</v>
      </c>
      <c r="C3665" s="1">
        <v>2017.0</v>
      </c>
      <c r="D3665" s="2">
        <v>42823.0</v>
      </c>
      <c r="F3665" s="1" t="s">
        <v>1137</v>
      </c>
      <c r="H3665" s="3">
        <v>35.0</v>
      </c>
      <c r="I3665" s="4" t="s">
        <v>15314</v>
      </c>
      <c r="J3665" s="1" t="s">
        <v>15315</v>
      </c>
      <c r="K3665" s="1" t="s">
        <v>16</v>
      </c>
    </row>
    <row r="3666">
      <c r="A3666" s="1" t="s">
        <v>15316</v>
      </c>
      <c r="B3666" s="1" t="s">
        <v>15317</v>
      </c>
      <c r="C3666" s="1">
        <v>2017.0</v>
      </c>
      <c r="D3666" s="2">
        <v>42823.0</v>
      </c>
      <c r="F3666" s="1" t="s">
        <v>13</v>
      </c>
      <c r="H3666" s="3">
        <v>4.0</v>
      </c>
      <c r="I3666" s="4" t="s">
        <v>15318</v>
      </c>
      <c r="J3666" s="1"/>
      <c r="K3666" s="1" t="s">
        <v>462</v>
      </c>
    </row>
    <row r="3667">
      <c r="A3667" s="1" t="s">
        <v>15319</v>
      </c>
      <c r="B3667" s="1" t="s">
        <v>15320</v>
      </c>
      <c r="C3667" s="1">
        <v>2017.0</v>
      </c>
      <c r="D3667" s="2">
        <v>42822.0</v>
      </c>
      <c r="F3667" s="1" t="s">
        <v>1386</v>
      </c>
      <c r="H3667" s="3">
        <v>53.0</v>
      </c>
      <c r="I3667" s="4" t="s">
        <v>15321</v>
      </c>
      <c r="J3667" s="1" t="s">
        <v>15322</v>
      </c>
      <c r="K3667" s="1" t="s">
        <v>323</v>
      </c>
    </row>
    <row r="3668">
      <c r="A3668" s="1" t="s">
        <v>15323</v>
      </c>
      <c r="B3668" s="1" t="s">
        <v>15324</v>
      </c>
      <c r="C3668" s="1">
        <v>2017.0</v>
      </c>
      <c r="D3668" s="2">
        <v>42822.0</v>
      </c>
      <c r="F3668" s="1" t="s">
        <v>2007</v>
      </c>
      <c r="H3668" s="3">
        <v>2.0</v>
      </c>
      <c r="I3668" s="4" t="s">
        <v>15325</v>
      </c>
      <c r="J3668" s="1"/>
      <c r="K3668" s="1" t="s">
        <v>477</v>
      </c>
    </row>
    <row r="3669">
      <c r="A3669" s="1" t="s">
        <v>15326</v>
      </c>
      <c r="B3669" s="1" t="s">
        <v>15327</v>
      </c>
      <c r="C3669" s="1">
        <v>2017.0</v>
      </c>
      <c r="D3669" s="2">
        <v>42821.0</v>
      </c>
      <c r="F3669" s="1" t="s">
        <v>7425</v>
      </c>
      <c r="H3669" s="3">
        <v>341.0</v>
      </c>
      <c r="I3669" s="4" t="s">
        <v>15328</v>
      </c>
      <c r="J3669" s="1" t="s">
        <v>15329</v>
      </c>
      <c r="K3669" s="1" t="s">
        <v>3068</v>
      </c>
    </row>
    <row r="3670">
      <c r="A3670" s="1" t="s">
        <v>15330</v>
      </c>
      <c r="B3670" s="1" t="s">
        <v>12280</v>
      </c>
      <c r="C3670" s="1">
        <v>2017.0</v>
      </c>
      <c r="D3670" s="2">
        <v>42821.0</v>
      </c>
      <c r="F3670" s="1" t="s">
        <v>12240</v>
      </c>
      <c r="H3670" s="3">
        <v>56.0</v>
      </c>
      <c r="I3670" s="4" t="s">
        <v>15331</v>
      </c>
      <c r="J3670" s="1" t="s">
        <v>15332</v>
      </c>
      <c r="K3670" s="1" t="s">
        <v>546</v>
      </c>
    </row>
    <row r="3671">
      <c r="A3671" s="1" t="s">
        <v>15333</v>
      </c>
      <c r="B3671" s="1" t="s">
        <v>15334</v>
      </c>
      <c r="C3671" s="1">
        <v>2017.0</v>
      </c>
      <c r="D3671" s="2">
        <v>42821.0</v>
      </c>
      <c r="F3671" s="1" t="s">
        <v>7464</v>
      </c>
      <c r="H3671" s="3">
        <v>38.0</v>
      </c>
      <c r="I3671" s="4" t="s">
        <v>15335</v>
      </c>
      <c r="J3671" s="1" t="s">
        <v>15336</v>
      </c>
      <c r="K3671" s="1" t="s">
        <v>16</v>
      </c>
    </row>
    <row r="3672">
      <c r="A3672" s="1" t="s">
        <v>15337</v>
      </c>
      <c r="B3672" s="1" t="s">
        <v>15338</v>
      </c>
      <c r="C3672" s="1">
        <v>2017.0</v>
      </c>
      <c r="D3672" s="2">
        <v>42818.0</v>
      </c>
      <c r="F3672" s="1" t="s">
        <v>15339</v>
      </c>
      <c r="H3672" s="3">
        <v>4.0</v>
      </c>
      <c r="I3672" s="4" t="s">
        <v>15340</v>
      </c>
      <c r="J3672" s="1" t="s">
        <v>15341</v>
      </c>
      <c r="K3672" s="1" t="s">
        <v>16</v>
      </c>
    </row>
    <row r="3673">
      <c r="A3673" s="1" t="s">
        <v>15342</v>
      </c>
      <c r="B3673" s="1" t="s">
        <v>15343</v>
      </c>
      <c r="C3673" s="1">
        <v>2017.0</v>
      </c>
      <c r="D3673" s="2">
        <v>42817.0</v>
      </c>
      <c r="F3673" s="1" t="s">
        <v>2012</v>
      </c>
      <c r="H3673" s="3">
        <v>3.0</v>
      </c>
      <c r="I3673" s="4" t="s">
        <v>15344</v>
      </c>
      <c r="J3673" s="1" t="s">
        <v>15345</v>
      </c>
      <c r="K3673" s="1" t="s">
        <v>413</v>
      </c>
    </row>
    <row r="3674">
      <c r="A3674" s="1" t="s">
        <v>15346</v>
      </c>
      <c r="B3674" s="1" t="s">
        <v>15347</v>
      </c>
      <c r="C3674" s="1">
        <v>2017.0</v>
      </c>
      <c r="D3674" s="2">
        <v>42817.0</v>
      </c>
      <c r="F3674" s="1" t="s">
        <v>347</v>
      </c>
      <c r="H3674" s="3">
        <v>51.0</v>
      </c>
      <c r="I3674" s="4" t="s">
        <v>15348</v>
      </c>
      <c r="J3674" s="1" t="s">
        <v>15349</v>
      </c>
      <c r="K3674" s="1" t="s">
        <v>16</v>
      </c>
    </row>
    <row r="3675">
      <c r="A3675" s="1" t="s">
        <v>15350</v>
      </c>
      <c r="B3675" s="1" t="s">
        <v>15351</v>
      </c>
      <c r="C3675" s="1">
        <v>2017.0</v>
      </c>
      <c r="D3675" s="2">
        <v>42817.0</v>
      </c>
      <c r="F3675" s="1" t="s">
        <v>2906</v>
      </c>
      <c r="H3675" s="3">
        <v>5.0</v>
      </c>
      <c r="I3675" s="4" t="s">
        <v>15352</v>
      </c>
      <c r="J3675" s="1" t="s">
        <v>15353</v>
      </c>
      <c r="K3675" s="1" t="s">
        <v>295</v>
      </c>
    </row>
    <row r="3676">
      <c r="A3676" s="1" t="s">
        <v>15354</v>
      </c>
      <c r="B3676" s="1" t="s">
        <v>15355</v>
      </c>
      <c r="C3676" s="1">
        <v>2017.0</v>
      </c>
      <c r="D3676" s="2">
        <v>42815.0</v>
      </c>
      <c r="F3676" s="1" t="s">
        <v>71</v>
      </c>
      <c r="H3676" s="3">
        <v>10.0</v>
      </c>
      <c r="I3676" s="4" t="s">
        <v>15356</v>
      </c>
      <c r="J3676" s="1" t="s">
        <v>15357</v>
      </c>
      <c r="K3676" s="1" t="s">
        <v>295</v>
      </c>
    </row>
    <row r="3677">
      <c r="A3677" s="1" t="s">
        <v>15358</v>
      </c>
      <c r="B3677" s="1" t="s">
        <v>15359</v>
      </c>
      <c r="C3677" s="1">
        <v>2017.0</v>
      </c>
      <c r="D3677" s="2">
        <v>42815.0</v>
      </c>
      <c r="F3677" s="1" t="s">
        <v>71</v>
      </c>
      <c r="H3677" s="3">
        <v>36.0</v>
      </c>
      <c r="I3677" s="4" t="s">
        <v>15360</v>
      </c>
      <c r="J3677" s="1" t="s">
        <v>15361</v>
      </c>
      <c r="K3677" s="1" t="s">
        <v>28</v>
      </c>
    </row>
    <row r="3678">
      <c r="A3678" s="1" t="s">
        <v>15362</v>
      </c>
      <c r="B3678" s="1" t="s">
        <v>15363</v>
      </c>
      <c r="C3678" s="1">
        <v>2017.0</v>
      </c>
      <c r="D3678" s="2">
        <v>42814.0</v>
      </c>
      <c r="F3678" s="1" t="s">
        <v>10672</v>
      </c>
      <c r="H3678" s="3">
        <v>22.0</v>
      </c>
      <c r="I3678" s="4" t="s">
        <v>15364</v>
      </c>
      <c r="J3678" s="1" t="s">
        <v>15365</v>
      </c>
      <c r="K3678" s="1" t="s">
        <v>45</v>
      </c>
    </row>
    <row r="3679">
      <c r="A3679" s="1" t="s">
        <v>15366</v>
      </c>
      <c r="B3679" s="1" t="s">
        <v>15367</v>
      </c>
      <c r="C3679" s="1">
        <v>2017.0</v>
      </c>
      <c r="D3679" s="2">
        <v>42814.0</v>
      </c>
      <c r="F3679" s="1" t="s">
        <v>15368</v>
      </c>
      <c r="H3679" s="3">
        <v>18.0</v>
      </c>
      <c r="I3679" s="4" t="s">
        <v>15369</v>
      </c>
      <c r="J3679" s="1" t="s">
        <v>15370</v>
      </c>
      <c r="K3679" s="1" t="s">
        <v>295</v>
      </c>
    </row>
    <row r="3680">
      <c r="A3680" s="1" t="s">
        <v>15371</v>
      </c>
      <c r="B3680" s="1" t="s">
        <v>15372</v>
      </c>
      <c r="C3680" s="1">
        <v>2017.0</v>
      </c>
      <c r="D3680" s="2">
        <v>42814.0</v>
      </c>
      <c r="F3680" s="1" t="s">
        <v>1358</v>
      </c>
      <c r="H3680" s="3">
        <v>5.0</v>
      </c>
      <c r="I3680" s="4" t="s">
        <v>15373</v>
      </c>
      <c r="J3680" s="1" t="s">
        <v>15374</v>
      </c>
      <c r="K3680" s="1" t="s">
        <v>28</v>
      </c>
    </row>
    <row r="3681">
      <c r="A3681" s="1" t="s">
        <v>15375</v>
      </c>
      <c r="B3681" s="1" t="s">
        <v>15376</v>
      </c>
      <c r="C3681" s="1">
        <v>2017.0</v>
      </c>
      <c r="D3681" s="2">
        <v>42814.0</v>
      </c>
      <c r="F3681" s="1" t="s">
        <v>4939</v>
      </c>
      <c r="H3681" s="3">
        <v>2.0</v>
      </c>
      <c r="I3681" s="4" t="s">
        <v>15377</v>
      </c>
      <c r="J3681" s="1" t="s">
        <v>15378</v>
      </c>
      <c r="K3681" s="1" t="s">
        <v>413</v>
      </c>
    </row>
    <row r="3682">
      <c r="A3682" s="1" t="s">
        <v>15379</v>
      </c>
      <c r="B3682" s="1" t="s">
        <v>15380</v>
      </c>
      <c r="C3682" s="1">
        <v>2017.0</v>
      </c>
      <c r="D3682" s="2">
        <v>42809.0</v>
      </c>
      <c r="F3682" s="1" t="s">
        <v>243</v>
      </c>
      <c r="H3682" s="3">
        <v>35.0</v>
      </c>
      <c r="I3682" s="4" t="s">
        <v>15381</v>
      </c>
      <c r="J3682" s="1" t="s">
        <v>15382</v>
      </c>
      <c r="K3682" s="1" t="s">
        <v>28</v>
      </c>
    </row>
    <row r="3683">
      <c r="A3683" s="1" t="s">
        <v>15383</v>
      </c>
      <c r="B3683" s="1" t="s">
        <v>15384</v>
      </c>
      <c r="C3683" s="1">
        <v>2017.0</v>
      </c>
      <c r="D3683" s="2">
        <v>42808.0</v>
      </c>
      <c r="F3683" s="1" t="s">
        <v>14520</v>
      </c>
      <c r="H3683" s="3">
        <v>7.0</v>
      </c>
      <c r="I3683" s="4" t="s">
        <v>15385</v>
      </c>
      <c r="J3683" s="1" t="s">
        <v>15386</v>
      </c>
      <c r="K3683" s="1" t="s">
        <v>443</v>
      </c>
    </row>
    <row r="3684">
      <c r="A3684" s="1" t="s">
        <v>15387</v>
      </c>
      <c r="B3684" s="1" t="s">
        <v>15388</v>
      </c>
      <c r="C3684" s="1">
        <v>2017.0</v>
      </c>
      <c r="D3684" s="2">
        <v>42808.0</v>
      </c>
      <c r="F3684" s="1" t="s">
        <v>3583</v>
      </c>
      <c r="H3684" s="3">
        <v>73.0</v>
      </c>
      <c r="I3684" s="4" t="s">
        <v>15389</v>
      </c>
      <c r="J3684" s="1" t="s">
        <v>15390</v>
      </c>
      <c r="K3684" s="1" t="s">
        <v>323</v>
      </c>
    </row>
    <row r="3685">
      <c r="A3685" s="1" t="s">
        <v>15391</v>
      </c>
      <c r="B3685" s="1" t="s">
        <v>15392</v>
      </c>
      <c r="C3685" s="1">
        <v>2017.0</v>
      </c>
      <c r="D3685" s="2">
        <v>42807.0</v>
      </c>
      <c r="F3685" s="1" t="s">
        <v>1277</v>
      </c>
      <c r="H3685" s="3">
        <v>19.0</v>
      </c>
      <c r="I3685" s="4" t="s">
        <v>15393</v>
      </c>
      <c r="J3685" s="1" t="s">
        <v>15394</v>
      </c>
      <c r="K3685" s="1" t="s">
        <v>28</v>
      </c>
    </row>
    <row r="3686">
      <c r="A3686" s="1" t="s">
        <v>15395</v>
      </c>
      <c r="B3686" s="1" t="s">
        <v>15396</v>
      </c>
      <c r="C3686" s="1">
        <v>2017.0</v>
      </c>
      <c r="D3686" s="2">
        <v>42805.0</v>
      </c>
      <c r="F3686" s="1" t="s">
        <v>711</v>
      </c>
      <c r="H3686" s="3">
        <v>104.0</v>
      </c>
      <c r="I3686" s="4" t="s">
        <v>15397</v>
      </c>
      <c r="J3686" s="1" t="s">
        <v>15398</v>
      </c>
      <c r="K3686" s="1" t="s">
        <v>571</v>
      </c>
    </row>
    <row r="3687">
      <c r="A3687" s="1" t="s">
        <v>15399</v>
      </c>
      <c r="B3687" s="1" t="s">
        <v>15400</v>
      </c>
      <c r="C3687" s="1">
        <v>2017.0</v>
      </c>
      <c r="D3687" s="2">
        <v>42805.0</v>
      </c>
      <c r="F3687" s="1" t="s">
        <v>711</v>
      </c>
      <c r="H3687" s="3">
        <v>56.0</v>
      </c>
      <c r="I3687" s="4" t="s">
        <v>15401</v>
      </c>
      <c r="J3687" s="1" t="s">
        <v>15402</v>
      </c>
      <c r="K3687" s="1" t="s">
        <v>571</v>
      </c>
    </row>
    <row r="3688">
      <c r="A3688" s="1" t="s">
        <v>15403</v>
      </c>
      <c r="B3688" s="1" t="s">
        <v>15404</v>
      </c>
      <c r="C3688" s="1">
        <v>2017.0</v>
      </c>
      <c r="D3688" s="2">
        <v>42803.0</v>
      </c>
      <c r="F3688" s="1" t="s">
        <v>271</v>
      </c>
      <c r="H3688" s="3">
        <v>25.0</v>
      </c>
      <c r="I3688" s="4" t="s">
        <v>15405</v>
      </c>
      <c r="J3688" s="1" t="s">
        <v>15406</v>
      </c>
      <c r="K3688" s="1" t="s">
        <v>323</v>
      </c>
    </row>
    <row r="3689">
      <c r="A3689" s="1" t="s">
        <v>15407</v>
      </c>
      <c r="B3689" s="1" t="s">
        <v>15408</v>
      </c>
      <c r="C3689" s="1">
        <v>2017.0</v>
      </c>
      <c r="D3689" s="2">
        <v>42803.0</v>
      </c>
      <c r="F3689" s="1" t="s">
        <v>1123</v>
      </c>
      <c r="H3689" s="3">
        <v>32.0</v>
      </c>
      <c r="I3689" s="4" t="s">
        <v>15409</v>
      </c>
      <c r="J3689" s="1" t="s">
        <v>15410</v>
      </c>
      <c r="K3689" s="1" t="s">
        <v>28</v>
      </c>
    </row>
    <row r="3690">
      <c r="A3690" s="1" t="s">
        <v>15411</v>
      </c>
      <c r="B3690" s="1" t="s">
        <v>15412</v>
      </c>
      <c r="C3690" s="1">
        <v>2017.0</v>
      </c>
      <c r="D3690" s="2">
        <v>42802.0</v>
      </c>
      <c r="F3690" s="1" t="s">
        <v>8022</v>
      </c>
      <c r="H3690" s="3">
        <v>21.0</v>
      </c>
      <c r="I3690" s="4" t="s">
        <v>15413</v>
      </c>
      <c r="J3690" s="1" t="s">
        <v>15414</v>
      </c>
      <c r="K3690" s="1" t="s">
        <v>323</v>
      </c>
    </row>
    <row r="3691">
      <c r="A3691" s="1" t="s">
        <v>15415</v>
      </c>
      <c r="B3691" s="1" t="s">
        <v>15416</v>
      </c>
      <c r="C3691" s="1">
        <v>2017.0</v>
      </c>
      <c r="D3691" s="2">
        <v>42802.0</v>
      </c>
      <c r="F3691" s="1" t="s">
        <v>59</v>
      </c>
      <c r="H3691" s="3">
        <v>22.0</v>
      </c>
      <c r="I3691" s="4" t="s">
        <v>15417</v>
      </c>
      <c r="J3691" s="1" t="s">
        <v>15418</v>
      </c>
      <c r="K3691" s="1" t="s">
        <v>383</v>
      </c>
    </row>
    <row r="3692">
      <c r="A3692" s="1" t="s">
        <v>15419</v>
      </c>
      <c r="B3692" s="1" t="s">
        <v>15420</v>
      </c>
      <c r="C3692" s="1">
        <v>2017.0</v>
      </c>
      <c r="D3692" s="2">
        <v>42801.0</v>
      </c>
      <c r="F3692" s="1" t="s">
        <v>375</v>
      </c>
      <c r="H3692" s="3">
        <v>5.0</v>
      </c>
      <c r="I3692" s="4" t="s">
        <v>15421</v>
      </c>
      <c r="J3692" s="1" t="s">
        <v>15422</v>
      </c>
      <c r="K3692" s="1" t="s">
        <v>28</v>
      </c>
    </row>
    <row r="3693">
      <c r="A3693" s="1" t="s">
        <v>15423</v>
      </c>
      <c r="B3693" s="1" t="s">
        <v>15424</v>
      </c>
      <c r="C3693" s="1">
        <v>2017.0</v>
      </c>
      <c r="D3693" s="2">
        <v>42801.0</v>
      </c>
      <c r="F3693" s="1" t="s">
        <v>1859</v>
      </c>
      <c r="H3693" s="3">
        <v>57.0</v>
      </c>
      <c r="I3693" s="4" t="s">
        <v>15425</v>
      </c>
      <c r="J3693" s="1" t="s">
        <v>15426</v>
      </c>
      <c r="K3693" s="1" t="s">
        <v>443</v>
      </c>
    </row>
    <row r="3694">
      <c r="A3694" s="1" t="s">
        <v>15427</v>
      </c>
      <c r="B3694" s="1" t="s">
        <v>15428</v>
      </c>
      <c r="C3694" s="1">
        <v>2017.0</v>
      </c>
      <c r="D3694" s="2">
        <v>42800.0</v>
      </c>
      <c r="F3694" s="1" t="s">
        <v>271</v>
      </c>
      <c r="H3694" s="3">
        <v>44.0</v>
      </c>
      <c r="I3694" s="4" t="s">
        <v>15429</v>
      </c>
      <c r="J3694" s="1" t="s">
        <v>15430</v>
      </c>
      <c r="K3694" s="1" t="s">
        <v>323</v>
      </c>
    </row>
    <row r="3695">
      <c r="A3695" s="1" t="s">
        <v>15431</v>
      </c>
      <c r="B3695" s="1" t="s">
        <v>15432</v>
      </c>
      <c r="C3695" s="1">
        <v>2017.0</v>
      </c>
      <c r="D3695" s="2">
        <v>42798.0</v>
      </c>
      <c r="F3695" s="1" t="s">
        <v>12240</v>
      </c>
      <c r="H3695" s="3">
        <v>6.0</v>
      </c>
      <c r="I3695" s="4" t="s">
        <v>15433</v>
      </c>
      <c r="J3695" s="1" t="s">
        <v>15434</v>
      </c>
      <c r="K3695" s="1" t="s">
        <v>546</v>
      </c>
    </row>
    <row r="3696">
      <c r="A3696" s="1" t="s">
        <v>15435</v>
      </c>
      <c r="B3696" s="1" t="s">
        <v>15436</v>
      </c>
      <c r="C3696" s="1">
        <v>2017.0</v>
      </c>
      <c r="D3696" s="2">
        <v>42797.0</v>
      </c>
      <c r="F3696" s="1" t="s">
        <v>15437</v>
      </c>
      <c r="H3696" s="3">
        <v>24.0</v>
      </c>
      <c r="I3696" s="4" t="s">
        <v>15438</v>
      </c>
      <c r="J3696" s="1" t="s">
        <v>15439</v>
      </c>
      <c r="K3696" s="1" t="s">
        <v>413</v>
      </c>
    </row>
    <row r="3697">
      <c r="A3697" s="1" t="s">
        <v>15440</v>
      </c>
      <c r="B3697" s="1" t="s">
        <v>15441</v>
      </c>
      <c r="C3697" s="1">
        <v>2017.0</v>
      </c>
      <c r="D3697" s="2">
        <v>42796.0</v>
      </c>
      <c r="F3697" s="1" t="s">
        <v>12240</v>
      </c>
      <c r="H3697" s="3">
        <v>15.0</v>
      </c>
      <c r="I3697" s="4" t="s">
        <v>15442</v>
      </c>
      <c r="J3697" s="1" t="s">
        <v>15443</v>
      </c>
      <c r="K3697" s="1" t="s">
        <v>546</v>
      </c>
    </row>
    <row r="3698">
      <c r="A3698" s="1" t="s">
        <v>15444</v>
      </c>
      <c r="B3698" s="1" t="s">
        <v>15445</v>
      </c>
      <c r="C3698" s="1">
        <v>2017.0</v>
      </c>
      <c r="D3698" s="2">
        <v>42795.0</v>
      </c>
      <c r="F3698" s="1" t="s">
        <v>380</v>
      </c>
      <c r="H3698" s="3">
        <v>17.0</v>
      </c>
      <c r="I3698" s="4" t="s">
        <v>15446</v>
      </c>
      <c r="J3698" s="1" t="s">
        <v>15447</v>
      </c>
      <c r="K3698" s="1" t="s">
        <v>295</v>
      </c>
    </row>
    <row r="3699">
      <c r="A3699" s="1" t="s">
        <v>15448</v>
      </c>
      <c r="B3699" s="1" t="s">
        <v>15449</v>
      </c>
      <c r="C3699" s="1">
        <v>2017.0</v>
      </c>
      <c r="D3699" s="2">
        <v>42795.0</v>
      </c>
      <c r="F3699" s="1" t="s">
        <v>1592</v>
      </c>
      <c r="H3699" s="3">
        <v>10.0</v>
      </c>
      <c r="I3699" s="4" t="s">
        <v>15450</v>
      </c>
      <c r="J3699" s="1" t="s">
        <v>15451</v>
      </c>
      <c r="K3699" s="1" t="s">
        <v>571</v>
      </c>
    </row>
    <row r="3700">
      <c r="A3700" s="1" t="s">
        <v>15452</v>
      </c>
      <c r="B3700" s="1" t="s">
        <v>15453</v>
      </c>
      <c r="C3700" s="1">
        <v>2017.0</v>
      </c>
      <c r="D3700" s="2">
        <v>42795.0</v>
      </c>
      <c r="F3700" s="1" t="s">
        <v>1995</v>
      </c>
      <c r="H3700" s="3">
        <v>21.0</v>
      </c>
      <c r="I3700" s="4" t="s">
        <v>15454</v>
      </c>
      <c r="J3700" s="1" t="s">
        <v>15455</v>
      </c>
      <c r="K3700" s="1" t="s">
        <v>383</v>
      </c>
    </row>
    <row r="3701">
      <c r="A3701" s="1" t="s">
        <v>15456</v>
      </c>
      <c r="B3701" s="1" t="s">
        <v>15457</v>
      </c>
      <c r="C3701" s="1">
        <v>2017.0</v>
      </c>
      <c r="D3701" s="2">
        <v>42795.0</v>
      </c>
      <c r="F3701" s="1" t="s">
        <v>4073</v>
      </c>
      <c r="H3701" s="3">
        <v>0.0</v>
      </c>
      <c r="I3701" s="4" t="s">
        <v>15458</v>
      </c>
      <c r="J3701" s="1"/>
      <c r="K3701" s="1" t="s">
        <v>28</v>
      </c>
    </row>
    <row r="3702">
      <c r="A3702" s="1" t="s">
        <v>15459</v>
      </c>
      <c r="B3702" s="1" t="s">
        <v>15460</v>
      </c>
      <c r="C3702" s="1">
        <v>2017.0</v>
      </c>
      <c r="D3702" s="2">
        <v>42795.0</v>
      </c>
      <c r="F3702" s="1" t="s">
        <v>364</v>
      </c>
      <c r="H3702" s="3">
        <v>72.0</v>
      </c>
      <c r="I3702" s="4" t="s">
        <v>15461</v>
      </c>
      <c r="J3702" s="1" t="s">
        <v>15462</v>
      </c>
      <c r="K3702" s="1" t="s">
        <v>16</v>
      </c>
    </row>
    <row r="3703">
      <c r="A3703" s="1" t="s">
        <v>15463</v>
      </c>
      <c r="B3703" s="1" t="s">
        <v>15464</v>
      </c>
      <c r="C3703" s="1">
        <v>2017.0</v>
      </c>
      <c r="D3703" s="2">
        <v>42794.0</v>
      </c>
      <c r="F3703" s="1" t="s">
        <v>1381</v>
      </c>
      <c r="H3703" s="3">
        <v>144.0</v>
      </c>
      <c r="I3703" s="4" t="s">
        <v>15465</v>
      </c>
      <c r="J3703" s="1" t="s">
        <v>15466</v>
      </c>
      <c r="K3703" s="1" t="s">
        <v>462</v>
      </c>
    </row>
    <row r="3704">
      <c r="A3704" s="1" t="s">
        <v>15467</v>
      </c>
      <c r="B3704" s="1" t="s">
        <v>15468</v>
      </c>
      <c r="C3704" s="1">
        <v>2017.0</v>
      </c>
      <c r="D3704" s="2">
        <v>42793.0</v>
      </c>
      <c r="F3704" s="1" t="s">
        <v>5758</v>
      </c>
      <c r="H3704" s="3">
        <v>22.0</v>
      </c>
      <c r="I3704" s="4" t="s">
        <v>15469</v>
      </c>
      <c r="J3704" s="1" t="s">
        <v>15470</v>
      </c>
      <c r="K3704" s="1" t="s">
        <v>295</v>
      </c>
    </row>
    <row r="3705">
      <c r="A3705" s="1" t="s">
        <v>15471</v>
      </c>
      <c r="B3705" s="1" t="s">
        <v>15472</v>
      </c>
      <c r="C3705" s="1">
        <v>2017.0</v>
      </c>
      <c r="D3705" s="2">
        <v>42790.0</v>
      </c>
      <c r="F3705" s="1" t="s">
        <v>1381</v>
      </c>
      <c r="H3705" s="3">
        <v>24.0</v>
      </c>
      <c r="I3705" s="4" t="s">
        <v>15473</v>
      </c>
      <c r="J3705" s="1" t="s">
        <v>15474</v>
      </c>
      <c r="K3705" s="1" t="s">
        <v>323</v>
      </c>
    </row>
    <row r="3706">
      <c r="A3706" s="1" t="s">
        <v>15475</v>
      </c>
      <c r="B3706" s="1" t="s">
        <v>15476</v>
      </c>
      <c r="C3706" s="1">
        <v>2017.0</v>
      </c>
      <c r="D3706" s="2">
        <v>42790.0</v>
      </c>
      <c r="F3706" s="1" t="s">
        <v>5758</v>
      </c>
      <c r="H3706" s="3">
        <v>13.0</v>
      </c>
      <c r="I3706" s="4" t="s">
        <v>15477</v>
      </c>
      <c r="J3706" s="1" t="s">
        <v>15478</v>
      </c>
      <c r="K3706" s="1" t="s">
        <v>28</v>
      </c>
    </row>
    <row r="3707">
      <c r="A3707" s="1" t="s">
        <v>15479</v>
      </c>
      <c r="B3707" s="1" t="s">
        <v>15480</v>
      </c>
      <c r="C3707" s="1">
        <v>2017.0</v>
      </c>
      <c r="D3707" s="2">
        <v>42789.0</v>
      </c>
      <c r="F3707" s="1" t="s">
        <v>3160</v>
      </c>
      <c r="H3707" s="3">
        <v>11.0</v>
      </c>
      <c r="I3707" s="4" t="s">
        <v>15481</v>
      </c>
      <c r="J3707" s="1" t="s">
        <v>15482</v>
      </c>
      <c r="K3707" s="1" t="s">
        <v>295</v>
      </c>
    </row>
    <row r="3708">
      <c r="A3708" s="1" t="s">
        <v>15483</v>
      </c>
      <c r="B3708" s="1" t="s">
        <v>15484</v>
      </c>
      <c r="C3708" s="1">
        <v>2017.0</v>
      </c>
      <c r="D3708" s="2">
        <v>42788.0</v>
      </c>
      <c r="F3708" s="1" t="s">
        <v>1859</v>
      </c>
      <c r="H3708" s="3">
        <v>15.0</v>
      </c>
      <c r="I3708" s="4" t="s">
        <v>15485</v>
      </c>
      <c r="J3708" s="1" t="s">
        <v>15486</v>
      </c>
      <c r="K3708" s="1" t="s">
        <v>323</v>
      </c>
    </row>
    <row r="3709">
      <c r="A3709" s="1" t="s">
        <v>15487</v>
      </c>
      <c r="B3709" s="1" t="s">
        <v>15488</v>
      </c>
      <c r="C3709" s="1">
        <v>2017.0</v>
      </c>
      <c r="D3709" s="2">
        <v>42787.0</v>
      </c>
      <c r="F3709" s="1" t="s">
        <v>1505</v>
      </c>
      <c r="H3709" s="3">
        <v>70.0</v>
      </c>
      <c r="I3709" s="4" t="s">
        <v>15489</v>
      </c>
      <c r="J3709" s="1" t="s">
        <v>15490</v>
      </c>
      <c r="K3709" s="1" t="s">
        <v>323</v>
      </c>
    </row>
    <row r="3710">
      <c r="A3710" s="1" t="s">
        <v>15491</v>
      </c>
      <c r="B3710" s="1" t="s">
        <v>15492</v>
      </c>
      <c r="C3710" s="1">
        <v>2017.0</v>
      </c>
      <c r="D3710" s="2">
        <v>42787.0</v>
      </c>
      <c r="F3710" s="1" t="s">
        <v>1366</v>
      </c>
      <c r="H3710" s="3">
        <v>18.0</v>
      </c>
      <c r="I3710" s="4" t="s">
        <v>15493</v>
      </c>
      <c r="J3710" s="1" t="s">
        <v>15494</v>
      </c>
      <c r="K3710" s="1" t="s">
        <v>28</v>
      </c>
    </row>
    <row r="3711">
      <c r="A3711" s="1" t="s">
        <v>15495</v>
      </c>
      <c r="B3711" s="1" t="s">
        <v>15496</v>
      </c>
      <c r="C3711" s="1">
        <v>2017.0</v>
      </c>
      <c r="D3711" s="2">
        <v>42786.0</v>
      </c>
      <c r="F3711" s="1" t="s">
        <v>1349</v>
      </c>
      <c r="H3711" s="3">
        <v>0.0</v>
      </c>
      <c r="I3711" s="4" t="s">
        <v>15497</v>
      </c>
      <c r="J3711" s="1"/>
      <c r="K3711" s="1" t="s">
        <v>28</v>
      </c>
    </row>
    <row r="3712">
      <c r="A3712" s="1" t="s">
        <v>15498</v>
      </c>
      <c r="B3712" s="1" t="s">
        <v>15499</v>
      </c>
      <c r="C3712" s="1">
        <v>2017.0</v>
      </c>
      <c r="D3712" s="2">
        <v>42786.0</v>
      </c>
      <c r="F3712" s="1" t="s">
        <v>3522</v>
      </c>
      <c r="H3712" s="3">
        <v>1.0</v>
      </c>
      <c r="I3712" s="4" t="s">
        <v>15500</v>
      </c>
      <c r="J3712" s="1" t="s">
        <v>15501</v>
      </c>
      <c r="K3712" s="1" t="s">
        <v>28</v>
      </c>
    </row>
    <row r="3713">
      <c r="A3713" s="1" t="s">
        <v>15502</v>
      </c>
      <c r="B3713" s="1" t="s">
        <v>15503</v>
      </c>
      <c r="C3713" s="1">
        <v>2017.0</v>
      </c>
      <c r="D3713" s="2">
        <v>42786.0</v>
      </c>
      <c r="F3713" s="1" t="s">
        <v>474</v>
      </c>
      <c r="H3713" s="3">
        <v>4.0</v>
      </c>
      <c r="I3713" s="4" t="s">
        <v>15504</v>
      </c>
      <c r="J3713" s="1" t="s">
        <v>15505</v>
      </c>
      <c r="K3713" s="1" t="s">
        <v>68</v>
      </c>
    </row>
    <row r="3714">
      <c r="A3714" s="1" t="s">
        <v>15506</v>
      </c>
      <c r="B3714" s="1" t="s">
        <v>15507</v>
      </c>
      <c r="C3714" s="1">
        <v>2017.0</v>
      </c>
      <c r="D3714" s="2">
        <v>42784.0</v>
      </c>
      <c r="F3714" s="1" t="s">
        <v>877</v>
      </c>
      <c r="H3714" s="3">
        <v>15.0</v>
      </c>
      <c r="I3714" s="4" t="s">
        <v>15508</v>
      </c>
      <c r="J3714" s="1" t="s">
        <v>15509</v>
      </c>
      <c r="K3714" s="1" t="s">
        <v>295</v>
      </c>
    </row>
    <row r="3715">
      <c r="A3715" s="1" t="s">
        <v>15510</v>
      </c>
      <c r="B3715" s="1" t="s">
        <v>15511</v>
      </c>
      <c r="C3715" s="1">
        <v>2017.0</v>
      </c>
      <c r="D3715" s="2">
        <v>42782.0</v>
      </c>
      <c r="F3715" s="1" t="s">
        <v>15512</v>
      </c>
      <c r="H3715" s="3">
        <v>3.0</v>
      </c>
      <c r="I3715" s="4" t="s">
        <v>15513</v>
      </c>
      <c r="J3715" s="1" t="s">
        <v>15514</v>
      </c>
      <c r="K3715" s="1" t="s">
        <v>45</v>
      </c>
    </row>
    <row r="3716">
      <c r="A3716" s="1" t="s">
        <v>15515</v>
      </c>
      <c r="B3716" s="1" t="s">
        <v>15516</v>
      </c>
      <c r="C3716" s="1">
        <v>2017.0</v>
      </c>
      <c r="D3716" s="2">
        <v>42782.0</v>
      </c>
      <c r="F3716" s="1" t="s">
        <v>71</v>
      </c>
      <c r="H3716" s="3">
        <v>208.0</v>
      </c>
      <c r="I3716" s="4" t="s">
        <v>15517</v>
      </c>
      <c r="J3716" s="1" t="s">
        <v>15518</v>
      </c>
      <c r="K3716" s="1" t="s">
        <v>329</v>
      </c>
    </row>
    <row r="3717">
      <c r="A3717" s="1" t="s">
        <v>15519</v>
      </c>
      <c r="B3717" s="1" t="s">
        <v>15520</v>
      </c>
      <c r="C3717" s="1">
        <v>2017.0</v>
      </c>
      <c r="D3717" s="2">
        <v>42781.0</v>
      </c>
      <c r="F3717" s="1" t="s">
        <v>4724</v>
      </c>
      <c r="H3717" s="3">
        <v>21.0</v>
      </c>
      <c r="I3717" s="4" t="s">
        <v>15521</v>
      </c>
      <c r="J3717" s="1" t="s">
        <v>15522</v>
      </c>
      <c r="K3717" s="1" t="s">
        <v>28</v>
      </c>
    </row>
    <row r="3718">
      <c r="A3718" s="1" t="s">
        <v>15523</v>
      </c>
      <c r="B3718" s="1" t="s">
        <v>15524</v>
      </c>
      <c r="C3718" s="1">
        <v>2017.0</v>
      </c>
      <c r="D3718" s="2">
        <v>42781.0</v>
      </c>
      <c r="F3718" s="1" t="s">
        <v>440</v>
      </c>
      <c r="H3718" s="3">
        <v>27.0</v>
      </c>
      <c r="I3718" s="4" t="s">
        <v>15525</v>
      </c>
      <c r="J3718" s="1" t="s">
        <v>15526</v>
      </c>
      <c r="K3718" s="1" t="s">
        <v>16</v>
      </c>
    </row>
    <row r="3719">
      <c r="A3719" s="1" t="s">
        <v>15527</v>
      </c>
      <c r="B3719" s="1" t="s">
        <v>15528</v>
      </c>
      <c r="C3719" s="1">
        <v>2017.0</v>
      </c>
      <c r="D3719" s="2">
        <v>42779.0</v>
      </c>
      <c r="F3719" s="1" t="s">
        <v>71</v>
      </c>
      <c r="H3719" s="3">
        <v>106.0</v>
      </c>
      <c r="I3719" s="4" t="s">
        <v>15529</v>
      </c>
      <c r="J3719" s="1" t="s">
        <v>15530</v>
      </c>
      <c r="K3719" s="1" t="s">
        <v>16</v>
      </c>
    </row>
    <row r="3720">
      <c r="A3720" s="1" t="s">
        <v>15531</v>
      </c>
      <c r="B3720" s="1" t="s">
        <v>15532</v>
      </c>
      <c r="C3720" s="1">
        <v>2017.0</v>
      </c>
      <c r="D3720" s="2">
        <v>42777.0</v>
      </c>
      <c r="F3720" s="1" t="s">
        <v>15114</v>
      </c>
      <c r="H3720" s="3">
        <v>35.0</v>
      </c>
      <c r="I3720" s="4" t="s">
        <v>15533</v>
      </c>
      <c r="J3720" s="1" t="s">
        <v>15534</v>
      </c>
      <c r="K3720" s="1" t="s">
        <v>295</v>
      </c>
    </row>
    <row r="3721">
      <c r="A3721" s="1" t="s">
        <v>15535</v>
      </c>
      <c r="B3721" s="1" t="s">
        <v>15536</v>
      </c>
      <c r="C3721" s="1">
        <v>2017.0</v>
      </c>
      <c r="D3721" s="2">
        <v>42776.0</v>
      </c>
      <c r="F3721" s="1" t="s">
        <v>59</v>
      </c>
      <c r="H3721" s="3">
        <v>33.0</v>
      </c>
      <c r="I3721" s="4" t="s">
        <v>15537</v>
      </c>
      <c r="J3721" s="1" t="s">
        <v>15538</v>
      </c>
      <c r="K3721" s="1" t="s">
        <v>413</v>
      </c>
    </row>
    <row r="3722">
      <c r="A3722" s="1" t="s">
        <v>15539</v>
      </c>
      <c r="B3722" s="1" t="s">
        <v>15540</v>
      </c>
      <c r="C3722" s="1">
        <v>2017.0</v>
      </c>
      <c r="D3722" s="2">
        <v>42774.0</v>
      </c>
      <c r="F3722" s="1" t="s">
        <v>1371</v>
      </c>
      <c r="H3722" s="3">
        <v>1.0</v>
      </c>
      <c r="I3722" s="4" t="s">
        <v>15541</v>
      </c>
      <c r="J3722" s="1" t="s">
        <v>15542</v>
      </c>
      <c r="K3722" s="1" t="s">
        <v>28</v>
      </c>
    </row>
    <row r="3723">
      <c r="A3723" s="1" t="s">
        <v>15543</v>
      </c>
      <c r="B3723" s="1" t="s">
        <v>15544</v>
      </c>
      <c r="C3723" s="1">
        <v>2017.0</v>
      </c>
      <c r="D3723" s="2">
        <v>42774.0</v>
      </c>
      <c r="F3723" s="1" t="s">
        <v>13</v>
      </c>
      <c r="H3723" s="3">
        <v>20.0</v>
      </c>
      <c r="I3723" s="4" t="s">
        <v>15545</v>
      </c>
      <c r="J3723" s="1" t="s">
        <v>15546</v>
      </c>
      <c r="K3723" s="1" t="s">
        <v>28</v>
      </c>
    </row>
    <row r="3724">
      <c r="A3724" s="1" t="s">
        <v>15547</v>
      </c>
      <c r="B3724" s="1" t="s">
        <v>14959</v>
      </c>
      <c r="C3724" s="1">
        <v>2017.0</v>
      </c>
      <c r="D3724" s="2">
        <v>42773.0</v>
      </c>
      <c r="F3724" s="1" t="s">
        <v>12240</v>
      </c>
      <c r="H3724" s="3">
        <v>64.0</v>
      </c>
      <c r="I3724" s="4" t="s">
        <v>15548</v>
      </c>
      <c r="J3724" s="1" t="s">
        <v>15549</v>
      </c>
      <c r="K3724" s="1" t="s">
        <v>546</v>
      </c>
    </row>
    <row r="3725">
      <c r="A3725" s="1" t="s">
        <v>15550</v>
      </c>
      <c r="B3725" s="1" t="s">
        <v>15551</v>
      </c>
      <c r="C3725" s="1">
        <v>2017.0</v>
      </c>
      <c r="D3725" s="2">
        <v>42773.0</v>
      </c>
      <c r="F3725" s="1" t="s">
        <v>2007</v>
      </c>
      <c r="H3725" s="3">
        <v>55.0</v>
      </c>
      <c r="I3725" s="4" t="s">
        <v>15552</v>
      </c>
      <c r="J3725" s="1" t="s">
        <v>15553</v>
      </c>
      <c r="K3725" s="1" t="s">
        <v>16</v>
      </c>
    </row>
    <row r="3726">
      <c r="A3726" s="1" t="s">
        <v>15554</v>
      </c>
      <c r="B3726" s="1" t="s">
        <v>15555</v>
      </c>
      <c r="C3726" s="1">
        <v>2017.0</v>
      </c>
      <c r="D3726" s="2">
        <v>42773.0</v>
      </c>
      <c r="F3726" s="1" t="s">
        <v>15556</v>
      </c>
      <c r="H3726" s="3">
        <v>14.0</v>
      </c>
      <c r="I3726" s="4" t="s">
        <v>15557</v>
      </c>
      <c r="J3726" s="1" t="s">
        <v>15558</v>
      </c>
      <c r="K3726" s="1" t="s">
        <v>16</v>
      </c>
    </row>
    <row r="3727">
      <c r="A3727" s="1" t="s">
        <v>15559</v>
      </c>
      <c r="B3727" s="1" t="s">
        <v>15560</v>
      </c>
      <c r="C3727" s="1">
        <v>2017.0</v>
      </c>
      <c r="D3727" s="2">
        <v>42772.0</v>
      </c>
      <c r="F3727" s="1" t="s">
        <v>3862</v>
      </c>
      <c r="H3727" s="3">
        <v>8.0</v>
      </c>
      <c r="I3727" s="4" t="s">
        <v>15561</v>
      </c>
      <c r="J3727" s="1" t="s">
        <v>15562</v>
      </c>
      <c r="K3727" s="1" t="s">
        <v>295</v>
      </c>
    </row>
    <row r="3728">
      <c r="A3728" s="1" t="s">
        <v>15563</v>
      </c>
      <c r="B3728" s="1" t="s">
        <v>15564</v>
      </c>
      <c r="C3728" s="1">
        <v>2017.0</v>
      </c>
      <c r="D3728" s="2">
        <v>42772.0</v>
      </c>
      <c r="F3728" s="1" t="s">
        <v>71</v>
      </c>
      <c r="H3728" s="3">
        <v>26.0</v>
      </c>
      <c r="I3728" s="4" t="s">
        <v>15565</v>
      </c>
      <c r="J3728" s="1" t="s">
        <v>15566</v>
      </c>
      <c r="K3728" s="1" t="s">
        <v>323</v>
      </c>
    </row>
    <row r="3729">
      <c r="A3729" s="1" t="s">
        <v>15567</v>
      </c>
      <c r="B3729" s="1" t="s">
        <v>15568</v>
      </c>
      <c r="C3729" s="1">
        <v>2017.0</v>
      </c>
      <c r="D3729" s="2">
        <v>42772.0</v>
      </c>
      <c r="F3729" s="1" t="s">
        <v>1300</v>
      </c>
      <c r="H3729" s="3">
        <v>67.0</v>
      </c>
      <c r="I3729" s="4" t="s">
        <v>15569</v>
      </c>
      <c r="J3729" s="1" t="s">
        <v>15570</v>
      </c>
      <c r="K3729" s="1" t="s">
        <v>15571</v>
      </c>
    </row>
    <row r="3730">
      <c r="A3730" s="1" t="s">
        <v>15572</v>
      </c>
      <c r="B3730" s="1" t="s">
        <v>15573</v>
      </c>
      <c r="C3730" s="1">
        <v>2017.0</v>
      </c>
      <c r="D3730" s="2">
        <v>42770.0</v>
      </c>
      <c r="F3730" s="1" t="s">
        <v>1040</v>
      </c>
      <c r="H3730" s="3">
        <v>30.0</v>
      </c>
      <c r="I3730" s="4" t="s">
        <v>15574</v>
      </c>
      <c r="J3730" s="1" t="s">
        <v>15575</v>
      </c>
      <c r="K3730" s="1" t="s">
        <v>28</v>
      </c>
    </row>
    <row r="3731">
      <c r="A3731" s="1" t="s">
        <v>15576</v>
      </c>
      <c r="B3731" s="1" t="s">
        <v>15577</v>
      </c>
      <c r="C3731" s="1">
        <v>2017.0</v>
      </c>
      <c r="D3731" s="2">
        <v>42770.0</v>
      </c>
      <c r="F3731" s="1" t="s">
        <v>12240</v>
      </c>
      <c r="H3731" s="3">
        <v>59.0</v>
      </c>
      <c r="I3731" s="4" t="s">
        <v>15578</v>
      </c>
      <c r="J3731" s="1" t="s">
        <v>15579</v>
      </c>
      <c r="K3731" s="1" t="s">
        <v>546</v>
      </c>
    </row>
    <row r="3732">
      <c r="A3732" s="1" t="s">
        <v>15580</v>
      </c>
      <c r="B3732" s="1" t="s">
        <v>15581</v>
      </c>
      <c r="C3732" s="1">
        <v>2017.0</v>
      </c>
      <c r="D3732" s="2">
        <v>42767.0</v>
      </c>
      <c r="F3732" s="1" t="s">
        <v>2540</v>
      </c>
      <c r="H3732" s="3">
        <v>485.0</v>
      </c>
      <c r="I3732" s="4" t="s">
        <v>15582</v>
      </c>
      <c r="J3732" s="1" t="s">
        <v>15583</v>
      </c>
      <c r="K3732" s="1" t="s">
        <v>28</v>
      </c>
    </row>
    <row r="3733">
      <c r="A3733" s="1" t="s">
        <v>15584</v>
      </c>
      <c r="B3733" s="1" t="s">
        <v>15585</v>
      </c>
      <c r="C3733" s="1">
        <v>2017.0</v>
      </c>
      <c r="D3733" s="2">
        <v>42767.0</v>
      </c>
      <c r="F3733" s="1" t="s">
        <v>3340</v>
      </c>
      <c r="H3733" s="3">
        <v>36.0</v>
      </c>
      <c r="I3733" s="4" t="s">
        <v>15586</v>
      </c>
      <c r="J3733" s="1" t="s">
        <v>15587</v>
      </c>
      <c r="K3733" s="1" t="s">
        <v>323</v>
      </c>
    </row>
    <row r="3734">
      <c r="A3734" s="1" t="s">
        <v>15588</v>
      </c>
      <c r="B3734" s="1" t="s">
        <v>15589</v>
      </c>
      <c r="C3734" s="1">
        <v>2017.0</v>
      </c>
      <c r="D3734" s="2">
        <v>42767.0</v>
      </c>
      <c r="F3734" s="1" t="s">
        <v>2297</v>
      </c>
      <c r="H3734" s="3">
        <v>30.0</v>
      </c>
      <c r="I3734" s="4" t="s">
        <v>15590</v>
      </c>
      <c r="J3734" s="1" t="s">
        <v>15591</v>
      </c>
      <c r="K3734" s="1" t="s">
        <v>413</v>
      </c>
    </row>
    <row r="3735">
      <c r="A3735" s="1" t="s">
        <v>15592</v>
      </c>
      <c r="B3735" s="1" t="s">
        <v>15593</v>
      </c>
      <c r="C3735" s="1">
        <v>2017.0</v>
      </c>
      <c r="D3735" s="2">
        <v>42767.0</v>
      </c>
      <c r="F3735" s="1" t="s">
        <v>10404</v>
      </c>
      <c r="H3735" s="3">
        <v>137.0</v>
      </c>
      <c r="I3735" s="4" t="s">
        <v>15594</v>
      </c>
      <c r="J3735" s="1" t="s">
        <v>15595</v>
      </c>
      <c r="K3735" s="1" t="s">
        <v>295</v>
      </c>
    </row>
    <row r="3736">
      <c r="A3736" s="1" t="s">
        <v>15596</v>
      </c>
      <c r="B3736" s="1" t="s">
        <v>15597</v>
      </c>
      <c r="C3736" s="1">
        <v>2017.0</v>
      </c>
      <c r="D3736" s="2">
        <v>42766.0</v>
      </c>
      <c r="F3736" s="1" t="s">
        <v>410</v>
      </c>
      <c r="H3736" s="3">
        <v>19.0</v>
      </c>
      <c r="I3736" s="4" t="s">
        <v>15598</v>
      </c>
      <c r="J3736" s="1" t="s">
        <v>15599</v>
      </c>
      <c r="K3736" s="1" t="s">
        <v>16</v>
      </c>
    </row>
    <row r="3737">
      <c r="A3737" s="1" t="s">
        <v>15600</v>
      </c>
      <c r="B3737" s="1" t="s">
        <v>15601</v>
      </c>
      <c r="C3737" s="1">
        <v>2017.0</v>
      </c>
      <c r="D3737" s="2">
        <v>42765.0</v>
      </c>
      <c r="F3737" s="1" t="s">
        <v>1777</v>
      </c>
      <c r="H3737" s="3">
        <v>31.0</v>
      </c>
      <c r="I3737" s="4" t="s">
        <v>15602</v>
      </c>
      <c r="J3737" s="1" t="s">
        <v>15603</v>
      </c>
      <c r="K3737" s="1" t="s">
        <v>383</v>
      </c>
    </row>
    <row r="3738">
      <c r="A3738" s="1" t="s">
        <v>15604</v>
      </c>
      <c r="B3738" s="1" t="s">
        <v>14810</v>
      </c>
      <c r="C3738" s="1">
        <v>2017.0</v>
      </c>
      <c r="D3738" s="2">
        <v>42762.0</v>
      </c>
      <c r="F3738" s="1" t="s">
        <v>6049</v>
      </c>
      <c r="H3738" s="3">
        <v>90.0</v>
      </c>
      <c r="I3738" s="4" t="s">
        <v>15605</v>
      </c>
      <c r="J3738" s="1" t="s">
        <v>15606</v>
      </c>
      <c r="K3738" s="1" t="s">
        <v>28</v>
      </c>
    </row>
    <row r="3739">
      <c r="A3739" s="1" t="s">
        <v>15607</v>
      </c>
      <c r="B3739" s="1" t="s">
        <v>15608</v>
      </c>
      <c r="C3739" s="1">
        <v>2017.0</v>
      </c>
      <c r="D3739" s="2">
        <v>42762.0</v>
      </c>
      <c r="F3739" s="1" t="s">
        <v>1767</v>
      </c>
      <c r="H3739" s="3">
        <v>43.0</v>
      </c>
      <c r="I3739" s="4" t="s">
        <v>15609</v>
      </c>
      <c r="J3739" s="1" t="s">
        <v>15610</v>
      </c>
      <c r="K3739" s="1" t="s">
        <v>295</v>
      </c>
    </row>
    <row r="3740">
      <c r="A3740" s="1" t="s">
        <v>15611</v>
      </c>
      <c r="B3740" s="1" t="s">
        <v>15612</v>
      </c>
      <c r="C3740" s="1">
        <v>2017.0</v>
      </c>
      <c r="D3740" s="2">
        <v>42762.0</v>
      </c>
      <c r="F3740" s="1" t="s">
        <v>59</v>
      </c>
      <c r="H3740" s="3">
        <v>18.0</v>
      </c>
      <c r="I3740" s="4" t="s">
        <v>15613</v>
      </c>
      <c r="J3740" s="1" t="s">
        <v>15614</v>
      </c>
      <c r="K3740" s="1" t="s">
        <v>295</v>
      </c>
    </row>
    <row r="3741">
      <c r="A3741" s="1" t="s">
        <v>15615</v>
      </c>
      <c r="B3741" s="1" t="s">
        <v>15616</v>
      </c>
      <c r="C3741" s="1">
        <v>2017.0</v>
      </c>
      <c r="D3741" s="2">
        <v>42761.0</v>
      </c>
      <c r="F3741" s="1" t="s">
        <v>276</v>
      </c>
      <c r="H3741" s="3">
        <v>18.0</v>
      </c>
      <c r="I3741" s="4" t="s">
        <v>15617</v>
      </c>
      <c r="J3741" s="1" t="s">
        <v>15618</v>
      </c>
      <c r="K3741" s="1" t="s">
        <v>383</v>
      </c>
    </row>
    <row r="3742">
      <c r="A3742" s="1" t="s">
        <v>15619</v>
      </c>
      <c r="B3742" s="1" t="s">
        <v>15620</v>
      </c>
      <c r="C3742" s="1">
        <v>2017.0</v>
      </c>
      <c r="D3742" s="2">
        <v>42760.0</v>
      </c>
      <c r="F3742" s="1" t="s">
        <v>59</v>
      </c>
      <c r="H3742" s="3">
        <v>13.0</v>
      </c>
      <c r="I3742" s="4" t="s">
        <v>15621</v>
      </c>
      <c r="J3742" s="1" t="s">
        <v>15622</v>
      </c>
      <c r="K3742" s="1" t="s">
        <v>926</v>
      </c>
    </row>
    <row r="3743">
      <c r="A3743" s="1" t="s">
        <v>15623</v>
      </c>
      <c r="B3743" s="1" t="s">
        <v>15624</v>
      </c>
      <c r="C3743" s="1">
        <v>2017.0</v>
      </c>
      <c r="D3743" s="2">
        <v>42760.0</v>
      </c>
      <c r="F3743" s="1" t="s">
        <v>59</v>
      </c>
      <c r="H3743" s="3">
        <v>1.0</v>
      </c>
      <c r="I3743" s="4" t="s">
        <v>15625</v>
      </c>
      <c r="J3743" s="1"/>
      <c r="K3743" s="1" t="s">
        <v>16</v>
      </c>
    </row>
    <row r="3744">
      <c r="A3744" s="1" t="s">
        <v>15626</v>
      </c>
      <c r="B3744" s="1" t="s">
        <v>15627</v>
      </c>
      <c r="C3744" s="1">
        <v>2017.0</v>
      </c>
      <c r="D3744" s="2">
        <v>42758.0</v>
      </c>
      <c r="F3744" s="1" t="s">
        <v>3725</v>
      </c>
      <c r="H3744" s="3">
        <v>23.0</v>
      </c>
      <c r="I3744" s="4" t="s">
        <v>15628</v>
      </c>
      <c r="J3744" s="1" t="s">
        <v>15629</v>
      </c>
      <c r="K3744" s="1" t="s">
        <v>16</v>
      </c>
    </row>
    <row r="3745">
      <c r="A3745" s="1" t="s">
        <v>15630</v>
      </c>
      <c r="B3745" s="1" t="s">
        <v>15631</v>
      </c>
      <c r="C3745" s="1">
        <v>2017.0</v>
      </c>
      <c r="D3745" s="2">
        <v>42758.0</v>
      </c>
      <c r="F3745" s="1" t="s">
        <v>681</v>
      </c>
      <c r="H3745" s="3">
        <v>19.0</v>
      </c>
      <c r="I3745" s="4" t="s">
        <v>15632</v>
      </c>
      <c r="J3745" s="1" t="s">
        <v>15633</v>
      </c>
      <c r="K3745" s="1" t="s">
        <v>16</v>
      </c>
    </row>
    <row r="3746">
      <c r="A3746" s="1" t="s">
        <v>15634</v>
      </c>
      <c r="B3746" s="1" t="s">
        <v>15635</v>
      </c>
      <c r="C3746" s="1">
        <v>2017.0</v>
      </c>
      <c r="D3746" s="2">
        <v>42758.0</v>
      </c>
      <c r="F3746" s="1" t="s">
        <v>5081</v>
      </c>
      <c r="H3746" s="3">
        <v>10.0</v>
      </c>
      <c r="I3746" s="4" t="s">
        <v>15636</v>
      </c>
      <c r="J3746" s="1" t="s">
        <v>15637</v>
      </c>
      <c r="K3746" s="1" t="s">
        <v>16</v>
      </c>
    </row>
    <row r="3747">
      <c r="A3747" s="1" t="s">
        <v>15638</v>
      </c>
      <c r="B3747" s="1" t="s">
        <v>15639</v>
      </c>
      <c r="C3747" s="1">
        <v>2017.0</v>
      </c>
      <c r="D3747" s="2">
        <v>42757.0</v>
      </c>
      <c r="F3747" s="1" t="s">
        <v>2987</v>
      </c>
      <c r="H3747" s="3">
        <v>10.0</v>
      </c>
      <c r="I3747" s="4" t="s">
        <v>15640</v>
      </c>
      <c r="J3747" s="1" t="s">
        <v>15641</v>
      </c>
      <c r="K3747" s="1" t="s">
        <v>443</v>
      </c>
    </row>
    <row r="3748">
      <c r="A3748" s="1" t="s">
        <v>15642</v>
      </c>
      <c r="B3748" s="1" t="s">
        <v>15643</v>
      </c>
      <c r="C3748" s="1">
        <v>2017.0</v>
      </c>
      <c r="D3748" s="2">
        <v>42755.0</v>
      </c>
      <c r="F3748" s="1" t="s">
        <v>15644</v>
      </c>
      <c r="H3748" s="3">
        <v>13.0</v>
      </c>
      <c r="I3748" s="4" t="s">
        <v>15645</v>
      </c>
      <c r="J3748" s="1"/>
      <c r="K3748" s="1" t="s">
        <v>28</v>
      </c>
    </row>
    <row r="3749">
      <c r="A3749" s="1" t="s">
        <v>15646</v>
      </c>
      <c r="B3749" s="1" t="s">
        <v>15647</v>
      </c>
      <c r="C3749" s="1">
        <v>2017.0</v>
      </c>
      <c r="D3749" s="2">
        <v>42755.0</v>
      </c>
      <c r="F3749" s="1" t="s">
        <v>12240</v>
      </c>
      <c r="H3749" s="3">
        <v>19.0</v>
      </c>
      <c r="I3749" s="4" t="s">
        <v>15648</v>
      </c>
      <c r="J3749" s="1" t="s">
        <v>15649</v>
      </c>
      <c r="K3749" s="1" t="s">
        <v>546</v>
      </c>
    </row>
    <row r="3750">
      <c r="A3750" s="1" t="s">
        <v>15650</v>
      </c>
      <c r="B3750" s="1" t="s">
        <v>15651</v>
      </c>
      <c r="C3750" s="1">
        <v>2017.0</v>
      </c>
      <c r="D3750" s="2">
        <v>42755.0</v>
      </c>
      <c r="F3750" s="1" t="s">
        <v>15652</v>
      </c>
      <c r="H3750" s="3">
        <v>195.0</v>
      </c>
      <c r="I3750" s="4" t="s">
        <v>15653</v>
      </c>
      <c r="J3750" s="1" t="s">
        <v>15654</v>
      </c>
      <c r="K3750" s="1" t="s">
        <v>16</v>
      </c>
    </row>
    <row r="3751">
      <c r="A3751" s="1" t="s">
        <v>15655</v>
      </c>
      <c r="B3751" s="1" t="s">
        <v>15656</v>
      </c>
      <c r="C3751" s="1">
        <v>2017.0</v>
      </c>
      <c r="D3751" s="2">
        <v>42754.0</v>
      </c>
      <c r="F3751" s="1" t="s">
        <v>271</v>
      </c>
      <c r="H3751" s="3">
        <v>4.0</v>
      </c>
      <c r="I3751" s="4" t="s">
        <v>15657</v>
      </c>
      <c r="J3751" s="1" t="s">
        <v>15658</v>
      </c>
      <c r="K3751" s="1" t="s">
        <v>323</v>
      </c>
    </row>
    <row r="3752">
      <c r="A3752" s="1" t="s">
        <v>15659</v>
      </c>
      <c r="B3752" s="1" t="s">
        <v>15660</v>
      </c>
      <c r="C3752" s="1">
        <v>2017.0</v>
      </c>
      <c r="D3752" s="2">
        <v>42753.0</v>
      </c>
      <c r="F3752" s="1" t="s">
        <v>3725</v>
      </c>
      <c r="H3752" s="3">
        <v>8.0</v>
      </c>
      <c r="I3752" s="4" t="s">
        <v>15661</v>
      </c>
      <c r="J3752" s="1" t="s">
        <v>15662</v>
      </c>
      <c r="K3752" s="1" t="s">
        <v>16</v>
      </c>
    </row>
    <row r="3753">
      <c r="A3753" s="1" t="s">
        <v>15663</v>
      </c>
      <c r="B3753" s="1" t="s">
        <v>15664</v>
      </c>
      <c r="C3753" s="1">
        <v>2017.0</v>
      </c>
      <c r="D3753" s="2">
        <v>42751.0</v>
      </c>
      <c r="F3753" s="1" t="s">
        <v>271</v>
      </c>
      <c r="H3753" s="3">
        <v>18.0</v>
      </c>
      <c r="I3753" s="4" t="s">
        <v>15665</v>
      </c>
      <c r="J3753" s="1" t="s">
        <v>15666</v>
      </c>
      <c r="K3753" s="1" t="s">
        <v>16</v>
      </c>
    </row>
    <row r="3754">
      <c r="A3754" s="1" t="s">
        <v>15667</v>
      </c>
      <c r="B3754" s="1" t="s">
        <v>15668</v>
      </c>
      <c r="C3754" s="1">
        <v>2017.0</v>
      </c>
      <c r="D3754" s="2">
        <v>42750.0</v>
      </c>
      <c r="F3754" s="1" t="s">
        <v>4755</v>
      </c>
      <c r="H3754" s="3">
        <v>159.0</v>
      </c>
      <c r="I3754" s="4" t="s">
        <v>15669</v>
      </c>
      <c r="J3754" s="1" t="s">
        <v>15670</v>
      </c>
      <c r="K3754" s="1" t="s">
        <v>383</v>
      </c>
    </row>
    <row r="3755">
      <c r="A3755" s="1" t="s">
        <v>15671</v>
      </c>
      <c r="B3755" s="1" t="s">
        <v>14988</v>
      </c>
      <c r="C3755" s="1">
        <v>2017.0</v>
      </c>
      <c r="D3755" s="2">
        <v>42748.0</v>
      </c>
      <c r="F3755" s="1" t="s">
        <v>12240</v>
      </c>
      <c r="H3755" s="3">
        <v>18.0</v>
      </c>
      <c r="I3755" s="4" t="s">
        <v>15672</v>
      </c>
      <c r="J3755" s="1" t="s">
        <v>15673</v>
      </c>
      <c r="K3755" s="1" t="s">
        <v>546</v>
      </c>
    </row>
    <row r="3756">
      <c r="A3756" s="1" t="s">
        <v>15674</v>
      </c>
      <c r="B3756" s="1" t="s">
        <v>15675</v>
      </c>
      <c r="C3756" s="1">
        <v>2017.0</v>
      </c>
      <c r="D3756" s="2">
        <v>42748.0</v>
      </c>
      <c r="F3756" s="1" t="s">
        <v>71</v>
      </c>
      <c r="H3756" s="3">
        <v>20.0</v>
      </c>
      <c r="I3756" s="4" t="s">
        <v>15676</v>
      </c>
      <c r="J3756" s="1" t="s">
        <v>15677</v>
      </c>
      <c r="K3756" s="1" t="s">
        <v>16</v>
      </c>
    </row>
    <row r="3757">
      <c r="A3757" s="1" t="s">
        <v>15678</v>
      </c>
      <c r="B3757" s="1" t="s">
        <v>15679</v>
      </c>
      <c r="C3757" s="1">
        <v>2017.0</v>
      </c>
      <c r="D3757" s="2">
        <v>42747.0</v>
      </c>
      <c r="F3757" s="1" t="s">
        <v>5815</v>
      </c>
      <c r="H3757" s="3">
        <v>14.0</v>
      </c>
      <c r="I3757" s="4" t="s">
        <v>15680</v>
      </c>
      <c r="J3757" s="1" t="s">
        <v>15681</v>
      </c>
      <c r="K3757" s="1" t="s">
        <v>1036</v>
      </c>
    </row>
    <row r="3758">
      <c r="A3758" s="1" t="s">
        <v>15682</v>
      </c>
      <c r="B3758" s="1" t="s">
        <v>15683</v>
      </c>
      <c r="C3758" s="1">
        <v>2017.0</v>
      </c>
      <c r="D3758" s="2">
        <v>42747.0</v>
      </c>
      <c r="F3758" s="1" t="s">
        <v>1637</v>
      </c>
      <c r="H3758" s="3">
        <v>9.0</v>
      </c>
      <c r="I3758" s="4" t="s">
        <v>15684</v>
      </c>
      <c r="J3758" s="1" t="s">
        <v>15685</v>
      </c>
      <c r="K3758" s="1" t="s">
        <v>68</v>
      </c>
    </row>
    <row r="3759">
      <c r="A3759" s="1" t="s">
        <v>15686</v>
      </c>
      <c r="B3759" s="1" t="s">
        <v>15687</v>
      </c>
      <c r="C3759" s="1">
        <v>2017.0</v>
      </c>
      <c r="D3759" s="2">
        <v>42746.0</v>
      </c>
      <c r="F3759" s="1" t="s">
        <v>1528</v>
      </c>
      <c r="H3759" s="3">
        <v>53.0</v>
      </c>
      <c r="I3759" s="4" t="s">
        <v>15688</v>
      </c>
      <c r="J3759" s="1" t="s">
        <v>15689</v>
      </c>
      <c r="K3759" s="1" t="s">
        <v>413</v>
      </c>
    </row>
    <row r="3760">
      <c r="A3760" s="1" t="s">
        <v>15690</v>
      </c>
      <c r="B3760" s="1" t="s">
        <v>15691</v>
      </c>
      <c r="C3760" s="1">
        <v>2017.0</v>
      </c>
      <c r="D3760" s="2">
        <v>42745.0</v>
      </c>
      <c r="F3760" s="1" t="s">
        <v>3583</v>
      </c>
      <c r="H3760" s="3">
        <v>8.0</v>
      </c>
      <c r="I3760" s="4" t="s">
        <v>15692</v>
      </c>
      <c r="J3760" s="1" t="s">
        <v>15693</v>
      </c>
      <c r="K3760" s="1" t="s">
        <v>443</v>
      </c>
    </row>
    <row r="3761">
      <c r="A3761" s="1" t="s">
        <v>15694</v>
      </c>
      <c r="B3761" s="1" t="s">
        <v>15695</v>
      </c>
      <c r="C3761" s="1">
        <v>2017.0</v>
      </c>
      <c r="D3761" s="2">
        <v>42745.0</v>
      </c>
      <c r="F3761" s="1" t="s">
        <v>1505</v>
      </c>
      <c r="H3761" s="3">
        <v>86.0</v>
      </c>
      <c r="I3761" s="4" t="s">
        <v>15696</v>
      </c>
      <c r="J3761" s="1"/>
      <c r="K3761" s="1" t="s">
        <v>926</v>
      </c>
    </row>
    <row r="3762">
      <c r="A3762" s="1" t="s">
        <v>15697</v>
      </c>
      <c r="B3762" s="1" t="s">
        <v>15698</v>
      </c>
      <c r="C3762" s="1">
        <v>2017.0</v>
      </c>
      <c r="D3762" s="2">
        <v>42741.0</v>
      </c>
      <c r="F3762" s="1" t="s">
        <v>15437</v>
      </c>
      <c r="H3762" s="3">
        <v>34.0</v>
      </c>
      <c r="I3762" s="4" t="s">
        <v>15699</v>
      </c>
      <c r="J3762" s="1" t="s">
        <v>15700</v>
      </c>
      <c r="K3762" s="1" t="s">
        <v>295</v>
      </c>
    </row>
    <row r="3763">
      <c r="A3763" s="1" t="s">
        <v>15701</v>
      </c>
      <c r="B3763" s="1" t="s">
        <v>15702</v>
      </c>
      <c r="C3763" s="1">
        <v>2017.0</v>
      </c>
      <c r="D3763" s="2">
        <v>42740.0</v>
      </c>
      <c r="F3763" s="1" t="s">
        <v>396</v>
      </c>
      <c r="H3763" s="3">
        <v>285.0</v>
      </c>
      <c r="I3763" s="4" t="s">
        <v>15703</v>
      </c>
      <c r="J3763" s="1"/>
      <c r="K3763" s="1" t="s">
        <v>28</v>
      </c>
    </row>
    <row r="3764">
      <c r="A3764" s="1" t="s">
        <v>15704</v>
      </c>
      <c r="B3764" s="1" t="s">
        <v>15317</v>
      </c>
      <c r="C3764" s="1">
        <v>2017.0</v>
      </c>
      <c r="D3764" s="2">
        <v>42739.0</v>
      </c>
      <c r="F3764" s="1" t="s">
        <v>13</v>
      </c>
      <c r="H3764" s="3">
        <v>88.0</v>
      </c>
      <c r="I3764" s="4" t="s">
        <v>15705</v>
      </c>
      <c r="J3764" s="1" t="s">
        <v>15706</v>
      </c>
      <c r="K3764" s="1" t="s">
        <v>462</v>
      </c>
    </row>
    <row r="3765">
      <c r="A3765" s="1" t="s">
        <v>15707</v>
      </c>
      <c r="B3765" s="1" t="s">
        <v>15708</v>
      </c>
      <c r="C3765" s="1">
        <v>2017.0</v>
      </c>
      <c r="D3765" s="2">
        <v>42738.0</v>
      </c>
      <c r="F3765" s="1" t="s">
        <v>71</v>
      </c>
      <c r="H3765" s="3">
        <v>20.0</v>
      </c>
      <c r="I3765" s="4" t="s">
        <v>15709</v>
      </c>
      <c r="J3765" s="1" t="s">
        <v>15710</v>
      </c>
      <c r="K3765" s="1" t="s">
        <v>323</v>
      </c>
    </row>
    <row r="3766">
      <c r="A3766" s="1" t="s">
        <v>15711</v>
      </c>
      <c r="B3766" s="1" t="s">
        <v>15712</v>
      </c>
      <c r="C3766" s="1">
        <v>2017.0</v>
      </c>
      <c r="D3766" s="2">
        <v>42737.0</v>
      </c>
      <c r="F3766" s="1" t="s">
        <v>1846</v>
      </c>
      <c r="H3766" s="3">
        <v>22.0</v>
      </c>
      <c r="I3766" s="4" t="s">
        <v>15713</v>
      </c>
      <c r="J3766" s="1" t="s">
        <v>15714</v>
      </c>
      <c r="K3766" s="1" t="s">
        <v>16</v>
      </c>
    </row>
    <row r="3767">
      <c r="A3767" s="1" t="s">
        <v>15715</v>
      </c>
      <c r="B3767" s="1" t="s">
        <v>15716</v>
      </c>
      <c r="C3767" s="1">
        <v>2017.0</v>
      </c>
      <c r="D3767" s="2">
        <v>42736.0</v>
      </c>
      <c r="F3767" s="1" t="s">
        <v>5834</v>
      </c>
      <c r="H3767" s="3">
        <v>7.0</v>
      </c>
      <c r="I3767" s="4" t="s">
        <v>15717</v>
      </c>
      <c r="J3767" s="1" t="s">
        <v>15718</v>
      </c>
      <c r="K3767" s="1" t="s">
        <v>443</v>
      </c>
    </row>
    <row r="3768">
      <c r="A3768" s="1" t="s">
        <v>15719</v>
      </c>
      <c r="B3768" s="1" t="s">
        <v>15720</v>
      </c>
      <c r="C3768" s="1">
        <v>2017.0</v>
      </c>
      <c r="D3768" s="2">
        <v>42736.0</v>
      </c>
      <c r="F3768" s="1" t="s">
        <v>1050</v>
      </c>
      <c r="H3768" s="3">
        <v>0.0</v>
      </c>
      <c r="I3768" s="4" t="s">
        <v>15721</v>
      </c>
      <c r="J3768" s="1" t="s">
        <v>15722</v>
      </c>
      <c r="K3768" s="1" t="s">
        <v>28</v>
      </c>
    </row>
    <row r="3769">
      <c r="A3769" s="1" t="s">
        <v>15723</v>
      </c>
      <c r="B3769" s="1" t="s">
        <v>15724</v>
      </c>
      <c r="C3769" s="1">
        <v>2017.0</v>
      </c>
      <c r="D3769" s="2">
        <v>42736.0</v>
      </c>
      <c r="F3769" s="1" t="s">
        <v>14062</v>
      </c>
      <c r="H3769" s="3">
        <v>67.0</v>
      </c>
      <c r="I3769" s="4" t="s">
        <v>15725</v>
      </c>
      <c r="J3769" s="1" t="s">
        <v>15726</v>
      </c>
      <c r="K3769" s="1" t="s">
        <v>1423</v>
      </c>
    </row>
    <row r="3770">
      <c r="A3770" s="1" t="s">
        <v>15727</v>
      </c>
      <c r="B3770" s="1" t="s">
        <v>15728</v>
      </c>
      <c r="C3770" s="1">
        <v>2017.0</v>
      </c>
      <c r="D3770" s="2">
        <v>42736.0</v>
      </c>
      <c r="F3770" s="1" t="s">
        <v>1050</v>
      </c>
      <c r="H3770" s="3">
        <v>0.0</v>
      </c>
      <c r="I3770" s="4" t="s">
        <v>15729</v>
      </c>
      <c r="J3770" s="1" t="s">
        <v>15730</v>
      </c>
      <c r="K3770" s="1" t="s">
        <v>68</v>
      </c>
    </row>
    <row r="3771">
      <c r="A3771" s="1" t="s">
        <v>15731</v>
      </c>
      <c r="B3771" s="1" t="s">
        <v>15732</v>
      </c>
      <c r="C3771" s="1">
        <v>2017.0</v>
      </c>
      <c r="D3771" s="2">
        <v>42736.0</v>
      </c>
      <c r="F3771" s="1" t="s">
        <v>1050</v>
      </c>
      <c r="H3771" s="3">
        <v>2.0</v>
      </c>
      <c r="I3771" s="4" t="s">
        <v>15733</v>
      </c>
      <c r="J3771" s="1" t="s">
        <v>15734</v>
      </c>
      <c r="K3771" s="1" t="s">
        <v>16</v>
      </c>
    </row>
    <row r="3772">
      <c r="A3772" s="1" t="s">
        <v>15735</v>
      </c>
      <c r="B3772" s="1" t="s">
        <v>15736</v>
      </c>
      <c r="C3772" s="1">
        <v>2017.0</v>
      </c>
      <c r="D3772" s="2">
        <v>42736.0</v>
      </c>
      <c r="F3772" s="1" t="s">
        <v>15737</v>
      </c>
      <c r="H3772" s="3">
        <v>42.0</v>
      </c>
      <c r="I3772" s="4" t="s">
        <v>15738</v>
      </c>
      <c r="J3772" s="1" t="s">
        <v>15739</v>
      </c>
      <c r="K3772" s="1" t="s">
        <v>16</v>
      </c>
    </row>
    <row r="3773">
      <c r="A3773" s="1" t="s">
        <v>15740</v>
      </c>
      <c r="B3773" s="1" t="s">
        <v>15741</v>
      </c>
      <c r="C3773" s="1">
        <v>2016.0</v>
      </c>
      <c r="D3773" s="2">
        <v>42734.0</v>
      </c>
      <c r="F3773" s="1" t="s">
        <v>3522</v>
      </c>
      <c r="H3773" s="3">
        <v>104.0</v>
      </c>
      <c r="I3773" s="4" t="s">
        <v>15742</v>
      </c>
      <c r="J3773" s="1" t="s">
        <v>15743</v>
      </c>
      <c r="K3773" s="1" t="s">
        <v>10872</v>
      </c>
    </row>
    <row r="3774">
      <c r="A3774" s="1" t="s">
        <v>15744</v>
      </c>
      <c r="B3774" s="1" t="s">
        <v>15745</v>
      </c>
      <c r="C3774" s="1">
        <v>2016.0</v>
      </c>
      <c r="D3774" s="2">
        <v>42734.0</v>
      </c>
      <c r="F3774" s="1" t="s">
        <v>1800</v>
      </c>
      <c r="H3774" s="3">
        <v>185.0</v>
      </c>
      <c r="I3774" s="4" t="s">
        <v>15746</v>
      </c>
      <c r="J3774" s="1" t="s">
        <v>15747</v>
      </c>
      <c r="K3774" s="1" t="s">
        <v>413</v>
      </c>
    </row>
    <row r="3775">
      <c r="A3775" s="1" t="s">
        <v>15748</v>
      </c>
      <c r="B3775" s="1" t="s">
        <v>15749</v>
      </c>
      <c r="C3775" s="1">
        <v>2016.0</v>
      </c>
      <c r="D3775" s="2">
        <v>42732.0</v>
      </c>
      <c r="F3775" s="1" t="s">
        <v>15750</v>
      </c>
      <c r="H3775" s="3">
        <v>326.0</v>
      </c>
      <c r="I3775" s="4" t="s">
        <v>15751</v>
      </c>
      <c r="J3775" s="1" t="s">
        <v>15752</v>
      </c>
      <c r="K3775" s="1" t="s">
        <v>323</v>
      </c>
    </row>
    <row r="3776">
      <c r="A3776" s="1" t="s">
        <v>15753</v>
      </c>
      <c r="B3776" s="1" t="s">
        <v>15754</v>
      </c>
      <c r="C3776" s="1">
        <v>2016.0</v>
      </c>
      <c r="D3776" s="2">
        <v>42732.0</v>
      </c>
      <c r="F3776" s="1" t="s">
        <v>689</v>
      </c>
      <c r="H3776" s="3">
        <v>3.0</v>
      </c>
      <c r="I3776" s="4" t="s">
        <v>15755</v>
      </c>
      <c r="J3776" s="1" t="s">
        <v>15756</v>
      </c>
      <c r="K3776" s="1" t="s">
        <v>295</v>
      </c>
    </row>
    <row r="3777">
      <c r="A3777" s="1" t="s">
        <v>15757</v>
      </c>
      <c r="B3777" s="1" t="s">
        <v>15758</v>
      </c>
      <c r="C3777" s="1">
        <v>2016.0</v>
      </c>
      <c r="D3777" s="2">
        <v>42727.0</v>
      </c>
      <c r="F3777" s="1" t="s">
        <v>1040</v>
      </c>
      <c r="H3777" s="3">
        <v>112.0</v>
      </c>
      <c r="I3777" s="4" t="s">
        <v>15759</v>
      </c>
      <c r="J3777" s="1" t="s">
        <v>15760</v>
      </c>
      <c r="K3777" s="1" t="s">
        <v>28</v>
      </c>
    </row>
    <row r="3778">
      <c r="A3778" s="1" t="s">
        <v>15761</v>
      </c>
      <c r="B3778" s="1" t="s">
        <v>15762</v>
      </c>
      <c r="C3778" s="1">
        <v>2016.0</v>
      </c>
      <c r="D3778" s="2">
        <v>42726.0</v>
      </c>
      <c r="F3778" s="1" t="s">
        <v>15763</v>
      </c>
      <c r="H3778" s="3">
        <v>22.0</v>
      </c>
      <c r="I3778" s="4" t="s">
        <v>15764</v>
      </c>
      <c r="J3778" s="1" t="s">
        <v>15765</v>
      </c>
      <c r="K3778" s="1" t="s">
        <v>45</v>
      </c>
    </row>
    <row r="3779">
      <c r="A3779" s="1" t="s">
        <v>15766</v>
      </c>
      <c r="B3779" s="1" t="s">
        <v>15767</v>
      </c>
      <c r="C3779" s="1">
        <v>2016.0</v>
      </c>
      <c r="D3779" s="2">
        <v>42724.0</v>
      </c>
      <c r="F3779" s="1" t="s">
        <v>15768</v>
      </c>
      <c r="H3779" s="3">
        <v>3.0</v>
      </c>
      <c r="I3779" s="4" t="s">
        <v>15769</v>
      </c>
      <c r="J3779" s="1" t="s">
        <v>15770</v>
      </c>
      <c r="K3779" s="1" t="s">
        <v>527</v>
      </c>
    </row>
    <row r="3780">
      <c r="A3780" s="1" t="s">
        <v>15771</v>
      </c>
      <c r="B3780" s="1" t="s">
        <v>15772</v>
      </c>
      <c r="C3780" s="1">
        <v>2016.0</v>
      </c>
      <c r="D3780" s="2">
        <v>42723.0</v>
      </c>
      <c r="F3780" s="1" t="s">
        <v>4577</v>
      </c>
      <c r="H3780" s="3">
        <v>17.0</v>
      </c>
      <c r="I3780" s="4" t="s">
        <v>15773</v>
      </c>
      <c r="J3780" s="1" t="s">
        <v>15774</v>
      </c>
      <c r="K3780" s="1" t="s">
        <v>492</v>
      </c>
    </row>
    <row r="3781">
      <c r="A3781" s="1" t="s">
        <v>15775</v>
      </c>
      <c r="B3781" s="1" t="s">
        <v>15776</v>
      </c>
      <c r="C3781" s="1">
        <v>2016.0</v>
      </c>
      <c r="D3781" s="2">
        <v>42720.0</v>
      </c>
      <c r="F3781" s="1" t="s">
        <v>6264</v>
      </c>
      <c r="H3781" s="3">
        <v>9.0</v>
      </c>
      <c r="I3781" s="4" t="s">
        <v>15777</v>
      </c>
      <c r="J3781" s="1" t="s">
        <v>15778</v>
      </c>
      <c r="K3781" s="1" t="s">
        <v>926</v>
      </c>
    </row>
    <row r="3782">
      <c r="A3782" s="1" t="s">
        <v>15779</v>
      </c>
      <c r="B3782" s="1" t="s">
        <v>15780</v>
      </c>
      <c r="C3782" s="1">
        <v>2016.0</v>
      </c>
      <c r="D3782" s="2">
        <v>42718.0</v>
      </c>
      <c r="F3782" s="1" t="s">
        <v>698</v>
      </c>
      <c r="H3782" s="3">
        <v>7.0</v>
      </c>
      <c r="I3782" s="4" t="s">
        <v>15781</v>
      </c>
      <c r="J3782" s="1" t="s">
        <v>15782</v>
      </c>
      <c r="K3782" s="1" t="s">
        <v>68</v>
      </c>
    </row>
    <row r="3783">
      <c r="A3783" s="1" t="s">
        <v>15783</v>
      </c>
      <c r="B3783" s="1" t="s">
        <v>15784</v>
      </c>
      <c r="C3783" s="1">
        <v>2016.0</v>
      </c>
      <c r="D3783" s="2">
        <v>42716.0</v>
      </c>
      <c r="F3783" s="1" t="s">
        <v>2196</v>
      </c>
      <c r="H3783" s="3">
        <v>8.0</v>
      </c>
      <c r="I3783" s="4" t="s">
        <v>15785</v>
      </c>
      <c r="J3783" s="1" t="s">
        <v>15786</v>
      </c>
      <c r="K3783" s="1" t="s">
        <v>443</v>
      </c>
    </row>
    <row r="3784">
      <c r="A3784" s="1" t="s">
        <v>15787</v>
      </c>
      <c r="B3784" s="1" t="s">
        <v>15788</v>
      </c>
      <c r="C3784" s="1">
        <v>2016.0</v>
      </c>
      <c r="D3784" s="2">
        <v>42714.0</v>
      </c>
      <c r="F3784" s="1" t="s">
        <v>12240</v>
      </c>
      <c r="H3784" s="3">
        <v>9.0</v>
      </c>
      <c r="I3784" s="4" t="s">
        <v>15789</v>
      </c>
      <c r="J3784" s="1" t="s">
        <v>15790</v>
      </c>
      <c r="K3784" s="1" t="s">
        <v>546</v>
      </c>
    </row>
    <row r="3785">
      <c r="A3785" s="1" t="s">
        <v>15791</v>
      </c>
      <c r="B3785" s="1" t="s">
        <v>15792</v>
      </c>
      <c r="C3785" s="1">
        <v>2016.0</v>
      </c>
      <c r="D3785" s="2">
        <v>42713.0</v>
      </c>
      <c r="F3785" s="1" t="s">
        <v>71</v>
      </c>
      <c r="H3785" s="3">
        <v>35.0</v>
      </c>
      <c r="I3785" s="4" t="s">
        <v>15793</v>
      </c>
      <c r="J3785" s="1" t="s">
        <v>15794</v>
      </c>
      <c r="K3785" s="1" t="s">
        <v>926</v>
      </c>
    </row>
    <row r="3786">
      <c r="A3786" s="1" t="s">
        <v>15795</v>
      </c>
      <c r="B3786" s="1" t="s">
        <v>15796</v>
      </c>
      <c r="C3786" s="1">
        <v>2016.0</v>
      </c>
      <c r="D3786" s="2">
        <v>42713.0</v>
      </c>
      <c r="F3786" s="1" t="s">
        <v>2914</v>
      </c>
      <c r="H3786" s="3">
        <v>10.0</v>
      </c>
      <c r="I3786" s="4" t="s">
        <v>15797</v>
      </c>
      <c r="J3786" s="1" t="s">
        <v>15798</v>
      </c>
      <c r="K3786" s="1" t="s">
        <v>28</v>
      </c>
    </row>
    <row r="3787">
      <c r="A3787" s="1" t="s">
        <v>15799</v>
      </c>
      <c r="B3787" s="1" t="s">
        <v>15800</v>
      </c>
      <c r="C3787" s="1">
        <v>2016.0</v>
      </c>
      <c r="D3787" s="2">
        <v>42713.0</v>
      </c>
      <c r="F3787" s="1" t="s">
        <v>218</v>
      </c>
      <c r="H3787" s="3">
        <v>125.0</v>
      </c>
      <c r="I3787" s="4" t="s">
        <v>15801</v>
      </c>
      <c r="J3787" s="1" t="s">
        <v>15802</v>
      </c>
      <c r="K3787" s="1" t="s">
        <v>16</v>
      </c>
    </row>
    <row r="3788">
      <c r="A3788" s="1" t="s">
        <v>15803</v>
      </c>
      <c r="B3788" s="1" t="s">
        <v>15804</v>
      </c>
      <c r="C3788" s="1">
        <v>2016.0</v>
      </c>
      <c r="D3788" s="2">
        <v>42711.0</v>
      </c>
      <c r="F3788" s="1" t="s">
        <v>31</v>
      </c>
      <c r="H3788" s="3">
        <v>129.0</v>
      </c>
      <c r="I3788" s="4" t="s">
        <v>15805</v>
      </c>
      <c r="J3788" s="1" t="s">
        <v>15806</v>
      </c>
      <c r="K3788" s="1" t="s">
        <v>340</v>
      </c>
    </row>
    <row r="3789">
      <c r="A3789" s="1" t="s">
        <v>15807</v>
      </c>
      <c r="B3789" s="1" t="s">
        <v>15808</v>
      </c>
      <c r="C3789" s="1">
        <v>2016.0</v>
      </c>
      <c r="D3789" s="2">
        <v>42711.0</v>
      </c>
      <c r="F3789" s="1" t="s">
        <v>31</v>
      </c>
      <c r="H3789" s="3">
        <v>9.0</v>
      </c>
      <c r="I3789" s="4" t="s">
        <v>15809</v>
      </c>
      <c r="J3789" s="1" t="s">
        <v>15810</v>
      </c>
      <c r="K3789" s="1" t="s">
        <v>28</v>
      </c>
    </row>
    <row r="3790">
      <c r="A3790" s="1" t="s">
        <v>15811</v>
      </c>
      <c r="B3790" s="1" t="s">
        <v>15812</v>
      </c>
      <c r="C3790" s="1">
        <v>2016.0</v>
      </c>
      <c r="D3790" s="2">
        <v>42711.0</v>
      </c>
      <c r="F3790" s="1" t="s">
        <v>31</v>
      </c>
      <c r="H3790" s="3">
        <v>25.0</v>
      </c>
      <c r="I3790" s="4" t="s">
        <v>15813</v>
      </c>
      <c r="J3790" s="1" t="s">
        <v>15814</v>
      </c>
      <c r="K3790" s="1" t="s">
        <v>16</v>
      </c>
    </row>
    <row r="3791">
      <c r="A3791" s="1" t="s">
        <v>15815</v>
      </c>
      <c r="B3791" s="1" t="s">
        <v>15816</v>
      </c>
      <c r="C3791" s="1">
        <v>2016.0</v>
      </c>
      <c r="D3791" s="2">
        <v>42710.0</v>
      </c>
      <c r="F3791" s="1" t="s">
        <v>1277</v>
      </c>
      <c r="H3791" s="3">
        <v>11.0</v>
      </c>
      <c r="I3791" s="4" t="s">
        <v>15817</v>
      </c>
      <c r="J3791" s="1"/>
      <c r="K3791" s="1" t="s">
        <v>45</v>
      </c>
    </row>
    <row r="3792">
      <c r="A3792" s="1" t="s">
        <v>15818</v>
      </c>
      <c r="B3792" s="1" t="s">
        <v>15819</v>
      </c>
      <c r="C3792" s="1">
        <v>2016.0</v>
      </c>
      <c r="D3792" s="2">
        <v>42709.0</v>
      </c>
      <c r="F3792" s="1" t="s">
        <v>8843</v>
      </c>
      <c r="H3792" s="3">
        <v>375.0</v>
      </c>
      <c r="I3792" s="4" t="s">
        <v>15820</v>
      </c>
      <c r="J3792" s="1" t="s">
        <v>15821</v>
      </c>
      <c r="K3792" s="1" t="s">
        <v>372</v>
      </c>
    </row>
    <row r="3793">
      <c r="A3793" s="1" t="s">
        <v>15822</v>
      </c>
      <c r="B3793" s="1" t="s">
        <v>15823</v>
      </c>
      <c r="C3793" s="1">
        <v>2016.0</v>
      </c>
      <c r="D3793" s="2">
        <v>42709.0</v>
      </c>
      <c r="F3793" s="1" t="s">
        <v>12240</v>
      </c>
      <c r="H3793" s="3">
        <v>8.0</v>
      </c>
      <c r="I3793" s="4" t="s">
        <v>15824</v>
      </c>
      <c r="J3793" s="1" t="s">
        <v>15825</v>
      </c>
      <c r="K3793" s="1" t="s">
        <v>546</v>
      </c>
    </row>
    <row r="3794">
      <c r="A3794" s="1" t="s">
        <v>15826</v>
      </c>
      <c r="B3794" s="1" t="s">
        <v>15827</v>
      </c>
      <c r="C3794" s="1">
        <v>2016.0</v>
      </c>
      <c r="D3794" s="2">
        <v>42707.0</v>
      </c>
      <c r="F3794" s="1" t="s">
        <v>2444</v>
      </c>
      <c r="H3794" s="3">
        <v>110.0</v>
      </c>
      <c r="I3794" s="4" t="s">
        <v>15828</v>
      </c>
      <c r="J3794" s="1" t="s">
        <v>15829</v>
      </c>
      <c r="K3794" s="1" t="s">
        <v>571</v>
      </c>
    </row>
    <row r="3795">
      <c r="A3795" s="1" t="s">
        <v>15830</v>
      </c>
      <c r="B3795" s="1" t="s">
        <v>15823</v>
      </c>
      <c r="C3795" s="1">
        <v>2016.0</v>
      </c>
      <c r="D3795" s="2">
        <v>42707.0</v>
      </c>
      <c r="F3795" s="1" t="s">
        <v>12240</v>
      </c>
      <c r="H3795" s="3">
        <v>49.0</v>
      </c>
      <c r="I3795" s="4" t="s">
        <v>15831</v>
      </c>
      <c r="J3795" s="1" t="s">
        <v>15832</v>
      </c>
      <c r="K3795" s="1" t="s">
        <v>546</v>
      </c>
    </row>
    <row r="3796">
      <c r="A3796" s="1" t="s">
        <v>15833</v>
      </c>
      <c r="B3796" s="1" t="s">
        <v>15834</v>
      </c>
      <c r="C3796" s="1">
        <v>2016.0</v>
      </c>
      <c r="D3796" s="2">
        <v>42705.0</v>
      </c>
      <c r="F3796" s="1" t="s">
        <v>2151</v>
      </c>
      <c r="H3796" s="3">
        <v>17.0</v>
      </c>
      <c r="I3796" s="4" t="s">
        <v>15835</v>
      </c>
      <c r="J3796" s="1"/>
      <c r="K3796" s="1" t="s">
        <v>323</v>
      </c>
    </row>
    <row r="3797">
      <c r="A3797" s="1" t="s">
        <v>15836</v>
      </c>
      <c r="B3797" s="1" t="s">
        <v>15837</v>
      </c>
      <c r="C3797" s="1">
        <v>2016.0</v>
      </c>
      <c r="D3797" s="2">
        <v>42705.0</v>
      </c>
      <c r="F3797" s="1" t="s">
        <v>71</v>
      </c>
      <c r="H3797" s="3">
        <v>24.0</v>
      </c>
      <c r="I3797" s="4" t="s">
        <v>15838</v>
      </c>
      <c r="J3797" s="1" t="s">
        <v>15839</v>
      </c>
      <c r="K3797" s="1" t="s">
        <v>492</v>
      </c>
    </row>
    <row r="3798">
      <c r="A3798" s="1" t="s">
        <v>15840</v>
      </c>
      <c r="B3798" s="1" t="s">
        <v>15841</v>
      </c>
      <c r="C3798" s="1">
        <v>2016.0</v>
      </c>
      <c r="D3798" s="2">
        <v>42705.0</v>
      </c>
      <c r="F3798" s="1" t="s">
        <v>3998</v>
      </c>
      <c r="H3798" s="3">
        <v>6.0</v>
      </c>
      <c r="I3798" s="4" t="s">
        <v>15842</v>
      </c>
      <c r="J3798" s="1" t="s">
        <v>15843</v>
      </c>
      <c r="K3798" s="1" t="s">
        <v>68</v>
      </c>
    </row>
    <row r="3799">
      <c r="A3799" s="1" t="s">
        <v>15844</v>
      </c>
      <c r="B3799" s="1" t="s">
        <v>15845</v>
      </c>
      <c r="C3799" s="1">
        <v>2016.0</v>
      </c>
      <c r="D3799" s="2">
        <v>42705.0</v>
      </c>
      <c r="F3799" s="1" t="s">
        <v>15846</v>
      </c>
      <c r="H3799" s="3">
        <v>0.0</v>
      </c>
      <c r="I3799" s="4" t="s">
        <v>15847</v>
      </c>
      <c r="J3799" s="1" t="s">
        <v>15848</v>
      </c>
      <c r="K3799" s="1" t="s">
        <v>323</v>
      </c>
    </row>
    <row r="3800">
      <c r="A3800" s="1" t="s">
        <v>15849</v>
      </c>
      <c r="B3800" s="1" t="s">
        <v>15850</v>
      </c>
      <c r="C3800" s="1">
        <v>2016.0</v>
      </c>
      <c r="D3800" s="2">
        <v>42705.0</v>
      </c>
      <c r="F3800" s="1" t="s">
        <v>9945</v>
      </c>
      <c r="H3800" s="3">
        <v>2.0</v>
      </c>
      <c r="I3800" s="4" t="s">
        <v>15851</v>
      </c>
      <c r="J3800" s="1"/>
      <c r="K3800" s="1" t="s">
        <v>413</v>
      </c>
    </row>
    <row r="3801">
      <c r="A3801" s="1" t="s">
        <v>15852</v>
      </c>
      <c r="B3801" s="1" t="s">
        <v>15853</v>
      </c>
      <c r="C3801" s="1">
        <v>2016.0</v>
      </c>
      <c r="D3801" s="2">
        <v>42705.0</v>
      </c>
      <c r="F3801" s="1" t="s">
        <v>3340</v>
      </c>
      <c r="H3801" s="3">
        <v>90.0</v>
      </c>
      <c r="I3801" s="4" t="s">
        <v>15854</v>
      </c>
      <c r="J3801" s="1" t="s">
        <v>15855</v>
      </c>
      <c r="K3801" s="1" t="s">
        <v>492</v>
      </c>
    </row>
    <row r="3802">
      <c r="A3802" s="1" t="s">
        <v>15856</v>
      </c>
      <c r="B3802" s="1" t="s">
        <v>15857</v>
      </c>
      <c r="C3802" s="1">
        <v>2016.0</v>
      </c>
      <c r="D3802" s="2">
        <v>42705.0</v>
      </c>
      <c r="F3802" s="1" t="s">
        <v>15858</v>
      </c>
      <c r="H3802" s="3">
        <v>23.0</v>
      </c>
      <c r="I3802" s="4" t="s">
        <v>15859</v>
      </c>
      <c r="J3802" s="1" t="s">
        <v>15860</v>
      </c>
      <c r="K3802" s="1" t="s">
        <v>413</v>
      </c>
    </row>
    <row r="3803">
      <c r="A3803" s="1" t="s">
        <v>15861</v>
      </c>
      <c r="B3803" s="1" t="s">
        <v>15862</v>
      </c>
      <c r="C3803" s="1">
        <v>2016.0</v>
      </c>
      <c r="D3803" s="2">
        <v>42705.0</v>
      </c>
      <c r="F3803" s="1" t="s">
        <v>15863</v>
      </c>
      <c r="H3803" s="3">
        <v>19.0</v>
      </c>
      <c r="I3803" s="4" t="s">
        <v>15864</v>
      </c>
      <c r="J3803" s="1" t="s">
        <v>15865</v>
      </c>
      <c r="K3803" s="1" t="s">
        <v>295</v>
      </c>
    </row>
    <row r="3804">
      <c r="A3804" s="1" t="s">
        <v>15866</v>
      </c>
      <c r="B3804" s="1" t="s">
        <v>15867</v>
      </c>
      <c r="C3804" s="1">
        <v>2016.0</v>
      </c>
      <c r="D3804" s="2">
        <v>42705.0</v>
      </c>
      <c r="F3804" s="1" t="s">
        <v>15868</v>
      </c>
      <c r="H3804" s="3">
        <v>3.0</v>
      </c>
      <c r="I3804" s="4" t="s">
        <v>15869</v>
      </c>
      <c r="J3804" s="1"/>
      <c r="K3804" s="1" t="s">
        <v>16</v>
      </c>
    </row>
    <row r="3805">
      <c r="A3805" s="1" t="s">
        <v>15870</v>
      </c>
      <c r="B3805" s="1" t="s">
        <v>15871</v>
      </c>
      <c r="C3805" s="1">
        <v>2016.0</v>
      </c>
      <c r="D3805" s="2">
        <v>42703.0</v>
      </c>
      <c r="F3805" s="1" t="s">
        <v>10126</v>
      </c>
      <c r="H3805" s="3">
        <v>287.0</v>
      </c>
      <c r="I3805" s="4" t="s">
        <v>15872</v>
      </c>
      <c r="J3805" s="1" t="s">
        <v>15873</v>
      </c>
      <c r="K3805" s="1" t="s">
        <v>7427</v>
      </c>
    </row>
    <row r="3806">
      <c r="A3806" s="1" t="s">
        <v>15874</v>
      </c>
      <c r="B3806" s="1" t="s">
        <v>15875</v>
      </c>
      <c r="C3806" s="1">
        <v>2016.0</v>
      </c>
      <c r="D3806" s="2">
        <v>42703.0</v>
      </c>
      <c r="F3806" s="1" t="s">
        <v>12240</v>
      </c>
      <c r="H3806" s="3">
        <v>34.0</v>
      </c>
      <c r="I3806" s="4" t="s">
        <v>15876</v>
      </c>
      <c r="J3806" s="1" t="s">
        <v>15877</v>
      </c>
      <c r="K3806" s="1" t="s">
        <v>546</v>
      </c>
    </row>
    <row r="3807">
      <c r="A3807" s="1" t="s">
        <v>15878</v>
      </c>
      <c r="B3807" s="1" t="s">
        <v>15879</v>
      </c>
      <c r="C3807" s="1">
        <v>2016.0</v>
      </c>
      <c r="D3807" s="2">
        <v>42702.0</v>
      </c>
      <c r="F3807" s="1" t="s">
        <v>1170</v>
      </c>
      <c r="H3807" s="3">
        <v>96.0</v>
      </c>
      <c r="I3807" s="4" t="s">
        <v>15880</v>
      </c>
      <c r="J3807" s="1" t="s">
        <v>15881</v>
      </c>
      <c r="K3807" s="1" t="s">
        <v>28</v>
      </c>
    </row>
    <row r="3808">
      <c r="A3808" s="1" t="s">
        <v>15882</v>
      </c>
      <c r="B3808" s="1" t="s">
        <v>15823</v>
      </c>
      <c r="C3808" s="1">
        <v>2016.0</v>
      </c>
      <c r="D3808" s="2">
        <v>42702.0</v>
      </c>
      <c r="F3808" s="1" t="s">
        <v>12240</v>
      </c>
      <c r="H3808" s="3">
        <v>177.0</v>
      </c>
      <c r="I3808" s="4" t="s">
        <v>15883</v>
      </c>
      <c r="J3808" s="1" t="s">
        <v>15884</v>
      </c>
      <c r="K3808" s="1" t="s">
        <v>546</v>
      </c>
    </row>
    <row r="3809">
      <c r="A3809" s="1" t="s">
        <v>15885</v>
      </c>
      <c r="B3809" s="1" t="s">
        <v>15886</v>
      </c>
      <c r="C3809" s="1">
        <v>2016.0</v>
      </c>
      <c r="D3809" s="2">
        <v>42702.0</v>
      </c>
      <c r="F3809" s="1" t="s">
        <v>15887</v>
      </c>
      <c r="H3809" s="3">
        <v>43.0</v>
      </c>
      <c r="I3809" s="4" t="s">
        <v>15888</v>
      </c>
      <c r="J3809" s="1" t="s">
        <v>15889</v>
      </c>
      <c r="K3809" s="1" t="s">
        <v>68</v>
      </c>
    </row>
    <row r="3810">
      <c r="A3810" s="1" t="s">
        <v>15890</v>
      </c>
      <c r="B3810" s="1" t="s">
        <v>15891</v>
      </c>
      <c r="C3810" s="1">
        <v>2016.0</v>
      </c>
      <c r="D3810" s="2">
        <v>42699.0</v>
      </c>
      <c r="F3810" s="1" t="s">
        <v>59</v>
      </c>
      <c r="H3810" s="3">
        <v>12.0</v>
      </c>
      <c r="I3810" s="4" t="s">
        <v>15892</v>
      </c>
      <c r="J3810" s="1" t="s">
        <v>15893</v>
      </c>
      <c r="K3810" s="1" t="s">
        <v>383</v>
      </c>
    </row>
    <row r="3811">
      <c r="A3811" s="1" t="s">
        <v>15894</v>
      </c>
      <c r="B3811" s="1" t="s">
        <v>15895</v>
      </c>
      <c r="C3811" s="1">
        <v>2016.0</v>
      </c>
      <c r="D3811" s="2">
        <v>42699.0</v>
      </c>
      <c r="F3811" s="1" t="s">
        <v>2515</v>
      </c>
      <c r="H3811" s="3">
        <v>19.0</v>
      </c>
      <c r="I3811" s="4" t="s">
        <v>15896</v>
      </c>
      <c r="J3811" s="1" t="s">
        <v>15897</v>
      </c>
      <c r="K3811" s="1" t="s">
        <v>16</v>
      </c>
    </row>
    <row r="3812">
      <c r="A3812" s="1" t="s">
        <v>15898</v>
      </c>
      <c r="B3812" s="1" t="s">
        <v>15899</v>
      </c>
      <c r="C3812" s="1">
        <v>2016.0</v>
      </c>
      <c r="D3812" s="2">
        <v>42699.0</v>
      </c>
      <c r="F3812" s="1" t="s">
        <v>3351</v>
      </c>
      <c r="H3812" s="3">
        <v>7.0</v>
      </c>
      <c r="I3812" s="4" t="s">
        <v>15900</v>
      </c>
      <c r="J3812" s="1" t="s">
        <v>15901</v>
      </c>
      <c r="K3812" s="1" t="s">
        <v>16</v>
      </c>
    </row>
    <row r="3813">
      <c r="A3813" s="1" t="s">
        <v>15902</v>
      </c>
      <c r="B3813" s="1" t="s">
        <v>15903</v>
      </c>
      <c r="C3813" s="1">
        <v>2016.0</v>
      </c>
      <c r="D3813" s="2">
        <v>42698.0</v>
      </c>
      <c r="F3813" s="1" t="s">
        <v>3583</v>
      </c>
      <c r="H3813" s="3">
        <v>2.0</v>
      </c>
      <c r="I3813" s="4" t="s">
        <v>15904</v>
      </c>
      <c r="J3813" s="1"/>
      <c r="K3813" s="1" t="s">
        <v>323</v>
      </c>
    </row>
    <row r="3814">
      <c r="A3814" s="1" t="s">
        <v>15905</v>
      </c>
      <c r="B3814" s="1" t="s">
        <v>15906</v>
      </c>
      <c r="C3814" s="1">
        <v>2016.0</v>
      </c>
      <c r="D3814" s="2">
        <v>42698.0</v>
      </c>
      <c r="F3814" s="1" t="s">
        <v>369</v>
      </c>
      <c r="H3814" s="3">
        <v>254.0</v>
      </c>
      <c r="I3814" s="4" t="s">
        <v>15907</v>
      </c>
      <c r="J3814" s="1" t="s">
        <v>15908</v>
      </c>
      <c r="K3814" s="1" t="s">
        <v>1423</v>
      </c>
    </row>
    <row r="3815">
      <c r="A3815" s="1" t="s">
        <v>15909</v>
      </c>
      <c r="B3815" s="1" t="s">
        <v>15910</v>
      </c>
      <c r="C3815" s="1">
        <v>2016.0</v>
      </c>
      <c r="D3815" s="2">
        <v>42698.0</v>
      </c>
      <c r="F3815" s="1" t="s">
        <v>15911</v>
      </c>
      <c r="H3815" s="3">
        <v>16.0</v>
      </c>
      <c r="I3815" s="4" t="s">
        <v>15912</v>
      </c>
      <c r="J3815" s="1" t="s">
        <v>15913</v>
      </c>
      <c r="K3815" s="1" t="s">
        <v>295</v>
      </c>
    </row>
    <row r="3816">
      <c r="A3816" s="1" t="s">
        <v>15914</v>
      </c>
      <c r="B3816" s="1" t="s">
        <v>15915</v>
      </c>
      <c r="C3816" s="1">
        <v>2016.0</v>
      </c>
      <c r="D3816" s="2">
        <v>42698.0</v>
      </c>
      <c r="F3816" s="1" t="s">
        <v>2515</v>
      </c>
      <c r="H3816" s="3">
        <v>19.0</v>
      </c>
      <c r="I3816" s="4" t="s">
        <v>15916</v>
      </c>
      <c r="J3816" s="1" t="s">
        <v>15917</v>
      </c>
      <c r="K3816" s="1" t="s">
        <v>16</v>
      </c>
    </row>
    <row r="3817">
      <c r="A3817" s="1" t="s">
        <v>15918</v>
      </c>
      <c r="B3817" s="1" t="s">
        <v>15919</v>
      </c>
      <c r="C3817" s="1">
        <v>2016.0</v>
      </c>
      <c r="D3817" s="2">
        <v>42696.0</v>
      </c>
      <c r="F3817" s="1" t="s">
        <v>10409</v>
      </c>
      <c r="H3817" s="3">
        <v>32.0</v>
      </c>
      <c r="I3817" s="4" t="s">
        <v>15920</v>
      </c>
      <c r="J3817" s="1" t="s">
        <v>15921</v>
      </c>
      <c r="K3817" s="1" t="s">
        <v>926</v>
      </c>
    </row>
    <row r="3818">
      <c r="A3818" s="1" t="s">
        <v>15922</v>
      </c>
      <c r="B3818" s="1" t="s">
        <v>15923</v>
      </c>
      <c r="C3818" s="1">
        <v>2016.0</v>
      </c>
      <c r="D3818" s="2">
        <v>42695.0</v>
      </c>
      <c r="F3818" s="1" t="s">
        <v>7899</v>
      </c>
      <c r="H3818" s="3">
        <v>13.0</v>
      </c>
      <c r="I3818" s="4" t="s">
        <v>15924</v>
      </c>
      <c r="J3818" s="1" t="s">
        <v>15925</v>
      </c>
      <c r="K3818" s="1" t="s">
        <v>16</v>
      </c>
    </row>
    <row r="3819">
      <c r="A3819" s="1" t="s">
        <v>15926</v>
      </c>
      <c r="B3819" s="1" t="s">
        <v>15927</v>
      </c>
      <c r="C3819" s="1">
        <v>2016.0</v>
      </c>
      <c r="D3819" s="2">
        <v>42693.0</v>
      </c>
      <c r="F3819" s="1" t="s">
        <v>59</v>
      </c>
      <c r="H3819" s="3">
        <v>7.0</v>
      </c>
      <c r="I3819" s="4" t="s">
        <v>15928</v>
      </c>
      <c r="J3819" s="1" t="s">
        <v>15929</v>
      </c>
      <c r="K3819" s="1" t="s">
        <v>462</v>
      </c>
    </row>
    <row r="3820">
      <c r="A3820" s="1" t="s">
        <v>15930</v>
      </c>
      <c r="B3820" s="1" t="s">
        <v>15931</v>
      </c>
      <c r="C3820" s="1">
        <v>2016.0</v>
      </c>
      <c r="D3820" s="2">
        <v>42692.0</v>
      </c>
      <c r="F3820" s="1" t="s">
        <v>15932</v>
      </c>
      <c r="H3820" s="3">
        <v>10.0</v>
      </c>
      <c r="I3820" s="4" t="s">
        <v>15933</v>
      </c>
      <c r="J3820" s="1" t="s">
        <v>15934</v>
      </c>
      <c r="K3820" s="1" t="s">
        <v>45</v>
      </c>
    </row>
    <row r="3821">
      <c r="A3821" s="1" t="s">
        <v>15935</v>
      </c>
      <c r="B3821" s="1" t="s">
        <v>15936</v>
      </c>
      <c r="C3821" s="1">
        <v>2016.0</v>
      </c>
      <c r="D3821" s="2">
        <v>42691.0</v>
      </c>
      <c r="F3821" s="1" t="s">
        <v>1277</v>
      </c>
      <c r="H3821" s="3">
        <v>38.0</v>
      </c>
      <c r="I3821" s="4" t="s">
        <v>15937</v>
      </c>
      <c r="J3821" s="1" t="s">
        <v>15938</v>
      </c>
      <c r="K3821" s="1" t="s">
        <v>323</v>
      </c>
    </row>
    <row r="3822">
      <c r="A3822" s="1" t="s">
        <v>15939</v>
      </c>
      <c r="B3822" s="1" t="s">
        <v>15940</v>
      </c>
      <c r="C3822" s="1">
        <v>2016.0</v>
      </c>
      <c r="D3822" s="2">
        <v>42691.0</v>
      </c>
      <c r="F3822" s="1" t="s">
        <v>248</v>
      </c>
      <c r="H3822" s="3">
        <v>7.0</v>
      </c>
      <c r="I3822" s="4" t="s">
        <v>15941</v>
      </c>
      <c r="J3822" s="1" t="s">
        <v>15942</v>
      </c>
      <c r="K3822" s="1" t="s">
        <v>323</v>
      </c>
    </row>
    <row r="3823">
      <c r="A3823" s="1" t="s">
        <v>15943</v>
      </c>
      <c r="B3823" s="1" t="s">
        <v>15944</v>
      </c>
      <c r="C3823" s="1">
        <v>2016.0</v>
      </c>
      <c r="D3823" s="2">
        <v>42689.0</v>
      </c>
      <c r="F3823" s="1" t="s">
        <v>71</v>
      </c>
      <c r="H3823" s="3">
        <v>6.0</v>
      </c>
      <c r="I3823" s="4" t="s">
        <v>15945</v>
      </c>
      <c r="J3823" s="1" t="s">
        <v>15946</v>
      </c>
      <c r="K3823" s="1" t="s">
        <v>443</v>
      </c>
    </row>
    <row r="3824">
      <c r="A3824" s="1" t="s">
        <v>15947</v>
      </c>
      <c r="B3824" s="1" t="s">
        <v>15948</v>
      </c>
      <c r="C3824" s="1">
        <v>2016.0</v>
      </c>
      <c r="D3824" s="2">
        <v>42688.0</v>
      </c>
      <c r="F3824" s="1" t="s">
        <v>271</v>
      </c>
      <c r="H3824" s="3">
        <v>1277.0</v>
      </c>
      <c r="I3824" s="4" t="s">
        <v>15949</v>
      </c>
      <c r="J3824" s="1" t="s">
        <v>15950</v>
      </c>
      <c r="K3824" s="1" t="s">
        <v>28</v>
      </c>
    </row>
    <row r="3825">
      <c r="A3825" s="1" t="s">
        <v>15951</v>
      </c>
      <c r="B3825" s="1" t="s">
        <v>15952</v>
      </c>
      <c r="C3825" s="1">
        <v>2016.0</v>
      </c>
      <c r="D3825" s="2">
        <v>42684.0</v>
      </c>
      <c r="F3825" s="1" t="s">
        <v>369</v>
      </c>
      <c r="H3825" s="3">
        <v>17.0</v>
      </c>
      <c r="I3825" s="4" t="s">
        <v>15953</v>
      </c>
      <c r="J3825" s="1" t="s">
        <v>15954</v>
      </c>
      <c r="K3825" s="1" t="s">
        <v>28</v>
      </c>
    </row>
    <row r="3826">
      <c r="A3826" s="1" t="s">
        <v>15955</v>
      </c>
      <c r="B3826" s="1" t="s">
        <v>15956</v>
      </c>
      <c r="C3826" s="1">
        <v>2016.0</v>
      </c>
      <c r="D3826" s="2">
        <v>42683.0</v>
      </c>
      <c r="F3826" s="1" t="s">
        <v>3119</v>
      </c>
      <c r="H3826" s="3">
        <v>191.0</v>
      </c>
      <c r="I3826" s="4" t="s">
        <v>15957</v>
      </c>
      <c r="J3826" s="1" t="s">
        <v>15958</v>
      </c>
      <c r="K3826" s="1" t="s">
        <v>926</v>
      </c>
    </row>
    <row r="3827">
      <c r="A3827" s="1" t="s">
        <v>15959</v>
      </c>
      <c r="B3827" s="1" t="s">
        <v>15960</v>
      </c>
      <c r="C3827" s="1">
        <v>2016.0</v>
      </c>
      <c r="D3827" s="2">
        <v>42683.0</v>
      </c>
      <c r="F3827" s="1" t="s">
        <v>11545</v>
      </c>
      <c r="H3827" s="3">
        <v>21.0</v>
      </c>
      <c r="I3827" s="4" t="s">
        <v>15961</v>
      </c>
      <c r="J3827" s="1" t="s">
        <v>15962</v>
      </c>
      <c r="K3827" s="1" t="s">
        <v>413</v>
      </c>
    </row>
    <row r="3828">
      <c r="A3828" s="1" t="s">
        <v>15963</v>
      </c>
      <c r="B3828" s="1" t="s">
        <v>15964</v>
      </c>
      <c r="C3828" s="1">
        <v>2016.0</v>
      </c>
      <c r="D3828" s="2">
        <v>42683.0</v>
      </c>
      <c r="F3828" s="1" t="s">
        <v>15965</v>
      </c>
      <c r="H3828" s="3">
        <v>7.0</v>
      </c>
      <c r="I3828" s="4" t="s">
        <v>15966</v>
      </c>
      <c r="J3828" s="1" t="s">
        <v>15967</v>
      </c>
      <c r="K3828" s="1" t="s">
        <v>926</v>
      </c>
    </row>
    <row r="3829">
      <c r="A3829" s="1" t="s">
        <v>15968</v>
      </c>
      <c r="B3829" s="1" t="s">
        <v>15969</v>
      </c>
      <c r="C3829" s="1">
        <v>2016.0</v>
      </c>
      <c r="D3829" s="2">
        <v>42682.0</v>
      </c>
      <c r="F3829" s="1" t="s">
        <v>7495</v>
      </c>
      <c r="H3829" s="3">
        <v>5.0</v>
      </c>
      <c r="I3829" s="4" t="s">
        <v>15970</v>
      </c>
      <c r="J3829" s="1" t="s">
        <v>15971</v>
      </c>
      <c r="K3829" s="1" t="s">
        <v>323</v>
      </c>
    </row>
    <row r="3830">
      <c r="A3830" s="1" t="s">
        <v>15972</v>
      </c>
      <c r="B3830" s="1" t="s">
        <v>15973</v>
      </c>
      <c r="C3830" s="1">
        <v>2016.0</v>
      </c>
      <c r="D3830" s="2">
        <v>42682.0</v>
      </c>
      <c r="F3830" s="1" t="s">
        <v>71</v>
      </c>
      <c r="H3830" s="3">
        <v>5.0</v>
      </c>
      <c r="I3830" s="4" t="s">
        <v>15974</v>
      </c>
      <c r="J3830" s="1" t="s">
        <v>15975</v>
      </c>
      <c r="K3830" s="1" t="s">
        <v>443</v>
      </c>
    </row>
    <row r="3831">
      <c r="A3831" s="1" t="s">
        <v>15976</v>
      </c>
      <c r="B3831" s="1" t="s">
        <v>14988</v>
      </c>
      <c r="C3831" s="1">
        <v>2016.0</v>
      </c>
      <c r="D3831" s="2">
        <v>42679.0</v>
      </c>
      <c r="F3831" s="1" t="s">
        <v>12240</v>
      </c>
      <c r="H3831" s="3">
        <v>16.0</v>
      </c>
      <c r="I3831" s="4" t="s">
        <v>15977</v>
      </c>
      <c r="J3831" s="1" t="s">
        <v>15978</v>
      </c>
      <c r="K3831" s="1" t="s">
        <v>546</v>
      </c>
    </row>
    <row r="3832">
      <c r="A3832" s="1" t="s">
        <v>15979</v>
      </c>
      <c r="B3832" s="1" t="s">
        <v>15980</v>
      </c>
      <c r="C3832" s="1">
        <v>2016.0</v>
      </c>
      <c r="D3832" s="2">
        <v>42677.0</v>
      </c>
      <c r="F3832" s="1" t="s">
        <v>13604</v>
      </c>
      <c r="H3832" s="3">
        <v>78.0</v>
      </c>
      <c r="I3832" s="4" t="s">
        <v>15981</v>
      </c>
      <c r="J3832" s="1" t="s">
        <v>15982</v>
      </c>
      <c r="K3832" s="1" t="s">
        <v>317</v>
      </c>
    </row>
    <row r="3833">
      <c r="A3833" s="1" t="s">
        <v>15983</v>
      </c>
      <c r="B3833" s="1" t="s">
        <v>15984</v>
      </c>
      <c r="C3833" s="1">
        <v>2016.0</v>
      </c>
      <c r="D3833" s="2">
        <v>42675.0</v>
      </c>
      <c r="F3833" s="1" t="s">
        <v>11400</v>
      </c>
      <c r="H3833" s="3">
        <v>9.0</v>
      </c>
      <c r="I3833" s="4" t="s">
        <v>15985</v>
      </c>
      <c r="J3833" s="1" t="s">
        <v>15986</v>
      </c>
      <c r="K3833" s="1" t="s">
        <v>329</v>
      </c>
    </row>
    <row r="3834">
      <c r="A3834" s="1" t="s">
        <v>15987</v>
      </c>
      <c r="B3834" s="1" t="s">
        <v>15988</v>
      </c>
      <c r="C3834" s="1">
        <v>2016.0</v>
      </c>
      <c r="D3834" s="2">
        <v>42675.0</v>
      </c>
      <c r="F3834" s="1" t="s">
        <v>15989</v>
      </c>
      <c r="H3834" s="3">
        <v>10.0</v>
      </c>
      <c r="I3834" s="4" t="s">
        <v>15990</v>
      </c>
      <c r="J3834" s="1" t="s">
        <v>15991</v>
      </c>
      <c r="K3834" s="1" t="s">
        <v>68</v>
      </c>
    </row>
    <row r="3835">
      <c r="A3835" s="1" t="s">
        <v>15992</v>
      </c>
      <c r="B3835" s="1" t="s">
        <v>15993</v>
      </c>
      <c r="C3835" s="1">
        <v>2016.0</v>
      </c>
      <c r="D3835" s="2">
        <v>42673.0</v>
      </c>
      <c r="F3835" s="1" t="s">
        <v>2634</v>
      </c>
      <c r="H3835" s="3">
        <v>143.0</v>
      </c>
      <c r="I3835" s="4" t="s">
        <v>15994</v>
      </c>
      <c r="J3835" s="1" t="s">
        <v>15995</v>
      </c>
      <c r="K3835" s="1" t="s">
        <v>28</v>
      </c>
    </row>
    <row r="3836">
      <c r="A3836" s="1" t="s">
        <v>15996</v>
      </c>
      <c r="B3836" s="1" t="s">
        <v>15997</v>
      </c>
      <c r="C3836" s="1">
        <v>2016.0</v>
      </c>
      <c r="D3836" s="2">
        <v>42671.0</v>
      </c>
      <c r="F3836" s="1" t="s">
        <v>208</v>
      </c>
      <c r="H3836" s="3">
        <v>6.0</v>
      </c>
      <c r="I3836" s="4" t="s">
        <v>15998</v>
      </c>
      <c r="J3836" s="1" t="s">
        <v>15999</v>
      </c>
      <c r="K3836" s="1" t="s">
        <v>323</v>
      </c>
    </row>
    <row r="3837">
      <c r="A3837" s="1" t="s">
        <v>16000</v>
      </c>
      <c r="B3837" s="1" t="s">
        <v>16001</v>
      </c>
      <c r="C3837" s="1">
        <v>2016.0</v>
      </c>
      <c r="D3837" s="2">
        <v>42671.0</v>
      </c>
      <c r="F3837" s="1" t="s">
        <v>2634</v>
      </c>
      <c r="H3837" s="3">
        <v>3.0</v>
      </c>
      <c r="I3837" s="4" t="s">
        <v>16002</v>
      </c>
      <c r="J3837" s="1" t="s">
        <v>16003</v>
      </c>
      <c r="K3837" s="1" t="s">
        <v>403</v>
      </c>
    </row>
    <row r="3838">
      <c r="A3838" s="1" t="s">
        <v>16004</v>
      </c>
      <c r="B3838" s="1" t="s">
        <v>16005</v>
      </c>
      <c r="C3838" s="1">
        <v>2016.0</v>
      </c>
      <c r="D3838" s="2">
        <v>42671.0</v>
      </c>
      <c r="F3838" s="1" t="s">
        <v>218</v>
      </c>
      <c r="H3838" s="3">
        <v>12.0</v>
      </c>
      <c r="I3838" s="4" t="s">
        <v>16006</v>
      </c>
      <c r="J3838" s="1" t="s">
        <v>16007</v>
      </c>
      <c r="K3838" s="1" t="s">
        <v>462</v>
      </c>
    </row>
    <row r="3839">
      <c r="A3839" s="1" t="s">
        <v>16008</v>
      </c>
      <c r="B3839" s="1" t="s">
        <v>16009</v>
      </c>
      <c r="C3839" s="1">
        <v>2016.0</v>
      </c>
      <c r="D3839" s="2">
        <v>42670.0</v>
      </c>
      <c r="F3839" s="1" t="s">
        <v>12240</v>
      </c>
      <c r="H3839" s="3">
        <v>31.0</v>
      </c>
      <c r="I3839" s="4" t="s">
        <v>16010</v>
      </c>
      <c r="J3839" s="1" t="s">
        <v>16011</v>
      </c>
      <c r="K3839" s="1" t="s">
        <v>546</v>
      </c>
    </row>
    <row r="3840">
      <c r="A3840" s="1" t="s">
        <v>16012</v>
      </c>
      <c r="B3840" s="1" t="s">
        <v>16013</v>
      </c>
      <c r="C3840" s="1">
        <v>2016.0</v>
      </c>
      <c r="D3840" s="2">
        <v>42670.0</v>
      </c>
      <c r="F3840" s="1" t="s">
        <v>12240</v>
      </c>
      <c r="H3840" s="3">
        <v>193.0</v>
      </c>
      <c r="I3840" s="4" t="s">
        <v>16014</v>
      </c>
      <c r="J3840" s="1" t="s">
        <v>16015</v>
      </c>
      <c r="K3840" s="1" t="s">
        <v>546</v>
      </c>
    </row>
    <row r="3841">
      <c r="A3841" s="1" t="s">
        <v>16016</v>
      </c>
      <c r="B3841" s="1" t="s">
        <v>16017</v>
      </c>
      <c r="C3841" s="1">
        <v>2016.0</v>
      </c>
      <c r="D3841" s="2">
        <v>42669.0</v>
      </c>
      <c r="F3841" s="1" t="s">
        <v>5758</v>
      </c>
      <c r="H3841" s="3">
        <v>24.0</v>
      </c>
      <c r="I3841" s="4" t="s">
        <v>16018</v>
      </c>
      <c r="J3841" s="1" t="s">
        <v>16019</v>
      </c>
      <c r="K3841" s="1" t="s">
        <v>295</v>
      </c>
    </row>
    <row r="3842">
      <c r="A3842" s="1" t="s">
        <v>16020</v>
      </c>
      <c r="B3842" s="1" t="s">
        <v>16021</v>
      </c>
      <c r="C3842" s="1">
        <v>2016.0</v>
      </c>
      <c r="D3842" s="2">
        <v>42669.0</v>
      </c>
      <c r="F3842" s="1" t="s">
        <v>519</v>
      </c>
      <c r="H3842" s="3">
        <v>28.0</v>
      </c>
      <c r="I3842" s="4" t="s">
        <v>16022</v>
      </c>
      <c r="J3842" s="1" t="s">
        <v>16023</v>
      </c>
      <c r="K3842" s="1" t="s">
        <v>323</v>
      </c>
    </row>
    <row r="3843">
      <c r="A3843" s="1" t="s">
        <v>16024</v>
      </c>
      <c r="B3843" s="1" t="s">
        <v>15647</v>
      </c>
      <c r="C3843" s="1">
        <v>2016.0</v>
      </c>
      <c r="D3843" s="2">
        <v>42669.0</v>
      </c>
      <c r="F3843" s="1" t="s">
        <v>157</v>
      </c>
      <c r="H3843" s="3">
        <v>108.0</v>
      </c>
      <c r="I3843" s="4" t="s">
        <v>16025</v>
      </c>
      <c r="J3843" s="1" t="s">
        <v>16026</v>
      </c>
      <c r="K3843" s="1" t="s">
        <v>546</v>
      </c>
    </row>
    <row r="3844">
      <c r="A3844" s="1" t="s">
        <v>16027</v>
      </c>
      <c r="B3844" s="1" t="s">
        <v>16028</v>
      </c>
      <c r="C3844" s="1">
        <v>2016.0</v>
      </c>
      <c r="D3844" s="2">
        <v>42667.0</v>
      </c>
      <c r="F3844" s="1" t="s">
        <v>16029</v>
      </c>
      <c r="H3844" s="3">
        <v>16.0</v>
      </c>
      <c r="I3844" s="4" t="s">
        <v>16030</v>
      </c>
      <c r="J3844" s="1" t="s">
        <v>16031</v>
      </c>
      <c r="K3844" s="1" t="s">
        <v>323</v>
      </c>
    </row>
    <row r="3845">
      <c r="A3845" s="1" t="s">
        <v>16032</v>
      </c>
      <c r="B3845" s="1" t="s">
        <v>16033</v>
      </c>
      <c r="C3845" s="1">
        <v>2016.0</v>
      </c>
      <c r="D3845" s="2">
        <v>42664.0</v>
      </c>
      <c r="F3845" s="1" t="s">
        <v>71</v>
      </c>
      <c r="H3845" s="3">
        <v>4.0</v>
      </c>
      <c r="I3845" s="4" t="s">
        <v>16034</v>
      </c>
      <c r="J3845" s="1" t="s">
        <v>16035</v>
      </c>
      <c r="K3845" s="1" t="s">
        <v>443</v>
      </c>
    </row>
    <row r="3846">
      <c r="A3846" s="1" t="s">
        <v>16036</v>
      </c>
      <c r="B3846" s="1" t="s">
        <v>16037</v>
      </c>
      <c r="C3846" s="1">
        <v>2016.0</v>
      </c>
      <c r="D3846" s="2">
        <v>42664.0</v>
      </c>
      <c r="F3846" s="1" t="s">
        <v>12240</v>
      </c>
      <c r="H3846" s="3">
        <v>22.0</v>
      </c>
      <c r="I3846" s="4" t="s">
        <v>16038</v>
      </c>
      <c r="J3846" s="1" t="s">
        <v>16039</v>
      </c>
      <c r="K3846" s="1" t="s">
        <v>546</v>
      </c>
    </row>
    <row r="3847">
      <c r="A3847" s="1" t="s">
        <v>16040</v>
      </c>
      <c r="B3847" s="1" t="s">
        <v>16041</v>
      </c>
      <c r="C3847" s="1">
        <v>2016.0</v>
      </c>
      <c r="D3847" s="2">
        <v>42664.0</v>
      </c>
      <c r="F3847" s="1" t="s">
        <v>13</v>
      </c>
      <c r="H3847" s="3">
        <v>132.0</v>
      </c>
      <c r="I3847" s="4" t="s">
        <v>16042</v>
      </c>
      <c r="J3847" s="1" t="s">
        <v>16043</v>
      </c>
      <c r="K3847" s="1" t="s">
        <v>16</v>
      </c>
    </row>
    <row r="3848">
      <c r="A3848" s="1" t="s">
        <v>16044</v>
      </c>
      <c r="B3848" s="1" t="s">
        <v>16045</v>
      </c>
      <c r="C3848" s="1">
        <v>2016.0</v>
      </c>
      <c r="D3848" s="2">
        <v>42657.0</v>
      </c>
      <c r="F3848" s="1" t="s">
        <v>711</v>
      </c>
      <c r="H3848" s="3">
        <v>316.0</v>
      </c>
      <c r="I3848" s="4" t="s">
        <v>16046</v>
      </c>
      <c r="J3848" s="1" t="s">
        <v>16047</v>
      </c>
      <c r="K3848" s="1" t="s">
        <v>372</v>
      </c>
    </row>
    <row r="3849">
      <c r="A3849" s="1" t="s">
        <v>16048</v>
      </c>
      <c r="B3849" s="1" t="s">
        <v>16049</v>
      </c>
      <c r="C3849" s="1">
        <v>2016.0</v>
      </c>
      <c r="D3849" s="2">
        <v>42655.0</v>
      </c>
      <c r="F3849" s="1" t="s">
        <v>2041</v>
      </c>
      <c r="H3849" s="3">
        <v>3.0</v>
      </c>
      <c r="I3849" s="4" t="s">
        <v>16050</v>
      </c>
      <c r="J3849" s="1" t="s">
        <v>16051</v>
      </c>
      <c r="K3849" s="1" t="s">
        <v>443</v>
      </c>
    </row>
    <row r="3850">
      <c r="A3850" s="1" t="s">
        <v>16052</v>
      </c>
      <c r="B3850" s="1" t="s">
        <v>16053</v>
      </c>
      <c r="C3850" s="1">
        <v>2016.0</v>
      </c>
      <c r="D3850" s="2">
        <v>42655.0</v>
      </c>
      <c r="F3850" s="1" t="s">
        <v>71</v>
      </c>
      <c r="H3850" s="3">
        <v>10.0</v>
      </c>
      <c r="I3850" s="4" t="s">
        <v>16054</v>
      </c>
      <c r="J3850" s="1" t="s">
        <v>16055</v>
      </c>
      <c r="K3850" s="1" t="s">
        <v>28</v>
      </c>
    </row>
    <row r="3851">
      <c r="A3851" s="1" t="s">
        <v>16056</v>
      </c>
      <c r="B3851" s="1" t="s">
        <v>16057</v>
      </c>
      <c r="C3851" s="1">
        <v>2016.0</v>
      </c>
      <c r="D3851" s="2">
        <v>42655.0</v>
      </c>
      <c r="F3851" s="1" t="s">
        <v>142</v>
      </c>
      <c r="H3851" s="3">
        <v>8.0</v>
      </c>
      <c r="I3851" s="4" t="s">
        <v>16058</v>
      </c>
      <c r="J3851" s="1" t="s">
        <v>16059</v>
      </c>
      <c r="K3851" s="1" t="s">
        <v>16</v>
      </c>
    </row>
    <row r="3852">
      <c r="A3852" s="1" t="s">
        <v>16060</v>
      </c>
      <c r="B3852" s="1" t="s">
        <v>16061</v>
      </c>
      <c r="C3852" s="1">
        <v>2016.0</v>
      </c>
      <c r="D3852" s="2">
        <v>42653.0</v>
      </c>
      <c r="F3852" s="1" t="s">
        <v>1349</v>
      </c>
      <c r="H3852" s="3">
        <v>60.0</v>
      </c>
      <c r="I3852" s="4" t="s">
        <v>16062</v>
      </c>
      <c r="J3852" s="1" t="s">
        <v>16063</v>
      </c>
      <c r="K3852" s="1" t="s">
        <v>1423</v>
      </c>
    </row>
    <row r="3853">
      <c r="A3853" s="1" t="s">
        <v>16064</v>
      </c>
      <c r="B3853" s="1" t="s">
        <v>16065</v>
      </c>
      <c r="C3853" s="1">
        <v>2016.0</v>
      </c>
      <c r="D3853" s="2">
        <v>42649.0</v>
      </c>
      <c r="F3853" s="1" t="s">
        <v>71</v>
      </c>
      <c r="H3853" s="3">
        <v>35.0</v>
      </c>
      <c r="I3853" s="4" t="s">
        <v>16066</v>
      </c>
      <c r="J3853" s="1" t="s">
        <v>16067</v>
      </c>
      <c r="K3853" s="1" t="s">
        <v>926</v>
      </c>
    </row>
    <row r="3854">
      <c r="A3854" s="1" t="s">
        <v>16068</v>
      </c>
      <c r="B3854" s="1" t="s">
        <v>16069</v>
      </c>
      <c r="C3854" s="1">
        <v>2016.0</v>
      </c>
      <c r="D3854" s="2">
        <v>42649.0</v>
      </c>
      <c r="F3854" s="1" t="s">
        <v>12240</v>
      </c>
      <c r="H3854" s="3">
        <v>22.0</v>
      </c>
      <c r="I3854" s="4" t="s">
        <v>16070</v>
      </c>
      <c r="J3854" s="1" t="s">
        <v>16071</v>
      </c>
      <c r="K3854" s="1" t="s">
        <v>546</v>
      </c>
    </row>
    <row r="3855">
      <c r="A3855" s="1" t="s">
        <v>16072</v>
      </c>
      <c r="B3855" s="1" t="s">
        <v>16073</v>
      </c>
      <c r="C3855" s="1">
        <v>2016.0</v>
      </c>
      <c r="D3855" s="2">
        <v>42649.0</v>
      </c>
      <c r="F3855" s="1" t="s">
        <v>16074</v>
      </c>
      <c r="H3855" s="3">
        <v>45.0</v>
      </c>
      <c r="I3855" s="4" t="s">
        <v>16075</v>
      </c>
      <c r="J3855" s="1" t="s">
        <v>16076</v>
      </c>
      <c r="K3855" s="1" t="s">
        <v>28</v>
      </c>
    </row>
    <row r="3856">
      <c r="A3856" s="1" t="s">
        <v>16077</v>
      </c>
      <c r="B3856" s="1" t="s">
        <v>16078</v>
      </c>
      <c r="C3856" s="1">
        <v>2016.0</v>
      </c>
      <c r="D3856" s="2">
        <v>42649.0</v>
      </c>
      <c r="F3856" s="1" t="s">
        <v>656</v>
      </c>
      <c r="H3856" s="3">
        <v>39.0</v>
      </c>
      <c r="I3856" s="4" t="s">
        <v>16079</v>
      </c>
      <c r="J3856" s="1" t="s">
        <v>16080</v>
      </c>
      <c r="K3856" s="1" t="s">
        <v>16</v>
      </c>
    </row>
    <row r="3857">
      <c r="A3857" s="1" t="s">
        <v>16081</v>
      </c>
      <c r="B3857" s="1" t="s">
        <v>16082</v>
      </c>
      <c r="C3857" s="1">
        <v>2016.0</v>
      </c>
      <c r="D3857" s="2">
        <v>42648.0</v>
      </c>
      <c r="F3857" s="1" t="s">
        <v>16083</v>
      </c>
      <c r="H3857" s="3">
        <v>20.0</v>
      </c>
      <c r="I3857" s="4" t="s">
        <v>16084</v>
      </c>
      <c r="J3857" s="1" t="s">
        <v>16085</v>
      </c>
      <c r="K3857" s="1" t="s">
        <v>16</v>
      </c>
    </row>
    <row r="3858">
      <c r="A3858" s="1" t="s">
        <v>16086</v>
      </c>
      <c r="B3858" s="1" t="s">
        <v>16087</v>
      </c>
      <c r="C3858" s="1">
        <v>2016.0</v>
      </c>
      <c r="D3858" s="2">
        <v>42647.0</v>
      </c>
      <c r="F3858" s="1" t="s">
        <v>12240</v>
      </c>
      <c r="H3858" s="3">
        <v>14.0</v>
      </c>
      <c r="I3858" s="4" t="s">
        <v>16088</v>
      </c>
      <c r="J3858" s="1" t="s">
        <v>16089</v>
      </c>
      <c r="K3858" s="1" t="s">
        <v>546</v>
      </c>
    </row>
    <row r="3859">
      <c r="A3859" s="1" t="s">
        <v>16090</v>
      </c>
      <c r="B3859" s="1" t="s">
        <v>16091</v>
      </c>
      <c r="C3859" s="1">
        <v>2016.0</v>
      </c>
      <c r="D3859" s="2">
        <v>42646.0</v>
      </c>
      <c r="F3859" s="1" t="s">
        <v>5758</v>
      </c>
      <c r="H3859" s="3">
        <v>16.0</v>
      </c>
      <c r="I3859" s="4" t="s">
        <v>16092</v>
      </c>
      <c r="J3859" s="1" t="s">
        <v>16093</v>
      </c>
      <c r="K3859" s="1" t="s">
        <v>28</v>
      </c>
    </row>
    <row r="3860">
      <c r="A3860" s="1" t="s">
        <v>16094</v>
      </c>
      <c r="B3860" s="1" t="s">
        <v>16095</v>
      </c>
      <c r="C3860" s="1">
        <v>2016.0</v>
      </c>
      <c r="D3860" s="2">
        <v>42646.0</v>
      </c>
      <c r="F3860" s="1" t="s">
        <v>12240</v>
      </c>
      <c r="H3860" s="3">
        <v>54.0</v>
      </c>
      <c r="I3860" s="4" t="s">
        <v>16096</v>
      </c>
      <c r="J3860" s="1" t="s">
        <v>16097</v>
      </c>
      <c r="K3860" s="1" t="s">
        <v>546</v>
      </c>
    </row>
    <row r="3861">
      <c r="A3861" s="1" t="s">
        <v>16098</v>
      </c>
      <c r="B3861" s="1" t="s">
        <v>16099</v>
      </c>
      <c r="C3861" s="1">
        <v>2016.0</v>
      </c>
      <c r="D3861" s="2">
        <v>42646.0</v>
      </c>
      <c r="F3861" s="1" t="s">
        <v>13</v>
      </c>
      <c r="H3861" s="3">
        <v>83.0</v>
      </c>
      <c r="I3861" s="4" t="s">
        <v>16100</v>
      </c>
      <c r="J3861" s="1" t="s">
        <v>16101</v>
      </c>
      <c r="K3861" s="1" t="s">
        <v>413</v>
      </c>
    </row>
    <row r="3862">
      <c r="A3862" s="1" t="s">
        <v>16102</v>
      </c>
      <c r="B3862" s="1" t="s">
        <v>16103</v>
      </c>
      <c r="C3862" s="1">
        <v>2016.0</v>
      </c>
      <c r="D3862" s="2">
        <v>42644.0</v>
      </c>
      <c r="F3862" s="1" t="s">
        <v>16104</v>
      </c>
      <c r="H3862" s="3">
        <v>19.0</v>
      </c>
      <c r="I3862" s="4" t="s">
        <v>16105</v>
      </c>
      <c r="J3862" s="1" t="s">
        <v>16106</v>
      </c>
      <c r="K3862" s="1" t="s">
        <v>28</v>
      </c>
    </row>
    <row r="3863">
      <c r="A3863" s="1" t="s">
        <v>16107</v>
      </c>
      <c r="B3863" s="1" t="s">
        <v>16108</v>
      </c>
      <c r="C3863" s="1">
        <v>2016.0</v>
      </c>
      <c r="D3863" s="2">
        <v>42644.0</v>
      </c>
      <c r="F3863" s="1" t="s">
        <v>337</v>
      </c>
      <c r="H3863" s="3">
        <v>0.0</v>
      </c>
      <c r="I3863" s="4" t="s">
        <v>16109</v>
      </c>
      <c r="J3863" s="1"/>
      <c r="K3863" s="1" t="s">
        <v>295</v>
      </c>
    </row>
    <row r="3864">
      <c r="A3864" s="1" t="s">
        <v>16110</v>
      </c>
      <c r="B3864" s="1" t="s">
        <v>16111</v>
      </c>
      <c r="C3864" s="1">
        <v>2016.0</v>
      </c>
      <c r="D3864" s="2">
        <v>42644.0</v>
      </c>
      <c r="F3864" s="1" t="s">
        <v>380</v>
      </c>
      <c r="H3864" s="3">
        <v>6.0</v>
      </c>
      <c r="I3864" s="4" t="s">
        <v>16112</v>
      </c>
      <c r="J3864" s="1" t="s">
        <v>16113</v>
      </c>
      <c r="K3864" s="1" t="s">
        <v>68</v>
      </c>
    </row>
    <row r="3865">
      <c r="A3865" s="1" t="s">
        <v>16114</v>
      </c>
      <c r="B3865" s="1" t="s">
        <v>16115</v>
      </c>
      <c r="C3865" s="1">
        <v>2016.0</v>
      </c>
      <c r="D3865" s="2">
        <v>42642.0</v>
      </c>
      <c r="F3865" s="1" t="s">
        <v>1358</v>
      </c>
      <c r="H3865" s="3">
        <v>45.0</v>
      </c>
      <c r="I3865" s="4" t="s">
        <v>16116</v>
      </c>
      <c r="J3865" s="1" t="s">
        <v>16117</v>
      </c>
      <c r="K3865" s="1" t="s">
        <v>383</v>
      </c>
    </row>
    <row r="3866">
      <c r="A3866" s="1" t="s">
        <v>16118</v>
      </c>
      <c r="B3866" s="1" t="s">
        <v>16119</v>
      </c>
      <c r="C3866" s="1">
        <v>2016.0</v>
      </c>
      <c r="D3866" s="2">
        <v>42642.0</v>
      </c>
      <c r="F3866" s="1" t="s">
        <v>1277</v>
      </c>
      <c r="H3866" s="3">
        <v>47.0</v>
      </c>
      <c r="I3866" s="4" t="s">
        <v>16120</v>
      </c>
      <c r="J3866" s="1" t="s">
        <v>16121</v>
      </c>
      <c r="K3866" s="1" t="s">
        <v>28</v>
      </c>
    </row>
    <row r="3867">
      <c r="A3867" s="1" t="s">
        <v>16122</v>
      </c>
      <c r="B3867" s="1" t="s">
        <v>16123</v>
      </c>
      <c r="C3867" s="1">
        <v>2016.0</v>
      </c>
      <c r="D3867" s="2">
        <v>42641.0</v>
      </c>
      <c r="F3867" s="1" t="s">
        <v>2007</v>
      </c>
      <c r="H3867" s="3">
        <v>178.0</v>
      </c>
      <c r="I3867" s="4" t="s">
        <v>16124</v>
      </c>
      <c r="J3867" s="1" t="s">
        <v>16125</v>
      </c>
      <c r="K3867" s="1" t="s">
        <v>477</v>
      </c>
    </row>
    <row r="3868">
      <c r="A3868" s="1" t="s">
        <v>16126</v>
      </c>
      <c r="B3868" s="1" t="s">
        <v>16127</v>
      </c>
      <c r="C3868" s="1">
        <v>2016.0</v>
      </c>
      <c r="D3868" s="2">
        <v>42640.0</v>
      </c>
      <c r="F3868" s="1" t="s">
        <v>12240</v>
      </c>
      <c r="H3868" s="3">
        <v>16.0</v>
      </c>
      <c r="I3868" s="4" t="s">
        <v>16128</v>
      </c>
      <c r="J3868" s="1" t="s">
        <v>16129</v>
      </c>
      <c r="K3868" s="1" t="s">
        <v>546</v>
      </c>
    </row>
    <row r="3869">
      <c r="A3869" s="1" t="s">
        <v>16130</v>
      </c>
      <c r="B3869" s="1" t="s">
        <v>16131</v>
      </c>
      <c r="C3869" s="1">
        <v>2016.0</v>
      </c>
      <c r="D3869" s="2">
        <v>42639.0</v>
      </c>
      <c r="F3869" s="1" t="s">
        <v>13</v>
      </c>
      <c r="H3869" s="3">
        <v>27.0</v>
      </c>
      <c r="I3869" s="4" t="s">
        <v>16132</v>
      </c>
      <c r="J3869" s="1" t="s">
        <v>16133</v>
      </c>
      <c r="K3869" s="1" t="s">
        <v>323</v>
      </c>
    </row>
    <row r="3870">
      <c r="A3870" s="1" t="s">
        <v>16134</v>
      </c>
      <c r="B3870" s="1" t="s">
        <v>16135</v>
      </c>
      <c r="C3870" s="1">
        <v>2016.0</v>
      </c>
      <c r="D3870" s="2">
        <v>42639.0</v>
      </c>
      <c r="F3870" s="1" t="s">
        <v>2862</v>
      </c>
      <c r="H3870" s="3">
        <v>16.0</v>
      </c>
      <c r="I3870" s="4" t="s">
        <v>16136</v>
      </c>
      <c r="J3870" s="1" t="s">
        <v>16137</v>
      </c>
      <c r="K3870" s="1" t="s">
        <v>295</v>
      </c>
    </row>
    <row r="3871">
      <c r="A3871" s="1" t="s">
        <v>16138</v>
      </c>
      <c r="B3871" s="1" t="s">
        <v>16087</v>
      </c>
      <c r="C3871" s="1">
        <v>2016.0</v>
      </c>
      <c r="D3871" s="2">
        <v>42637.0</v>
      </c>
      <c r="F3871" s="1" t="s">
        <v>12240</v>
      </c>
      <c r="H3871" s="3">
        <v>20.0</v>
      </c>
      <c r="I3871" s="4" t="s">
        <v>16139</v>
      </c>
      <c r="J3871" s="1" t="s">
        <v>16140</v>
      </c>
      <c r="K3871" s="1" t="s">
        <v>546</v>
      </c>
    </row>
    <row r="3872">
      <c r="A3872" s="1" t="s">
        <v>16141</v>
      </c>
      <c r="B3872" s="1" t="s">
        <v>15823</v>
      </c>
      <c r="C3872" s="1">
        <v>2016.0</v>
      </c>
      <c r="D3872" s="2">
        <v>42634.0</v>
      </c>
      <c r="F3872" s="1" t="s">
        <v>12240</v>
      </c>
      <c r="H3872" s="3">
        <v>30.0</v>
      </c>
      <c r="I3872" s="4" t="s">
        <v>16142</v>
      </c>
      <c r="J3872" s="1" t="s">
        <v>16143</v>
      </c>
      <c r="K3872" s="1" t="s">
        <v>546</v>
      </c>
    </row>
    <row r="3873">
      <c r="A3873" s="1" t="s">
        <v>16144</v>
      </c>
      <c r="B3873" s="1" t="s">
        <v>16145</v>
      </c>
      <c r="C3873" s="1">
        <v>2016.0</v>
      </c>
      <c r="D3873" s="2">
        <v>42634.0</v>
      </c>
      <c r="F3873" s="1" t="s">
        <v>347</v>
      </c>
      <c r="H3873" s="3">
        <v>10.0</v>
      </c>
      <c r="I3873" s="4" t="s">
        <v>16146</v>
      </c>
      <c r="J3873" s="1" t="s">
        <v>16147</v>
      </c>
      <c r="K3873" s="1" t="s">
        <v>16</v>
      </c>
    </row>
    <row r="3874">
      <c r="A3874" s="1" t="s">
        <v>16148</v>
      </c>
      <c r="B3874" s="1" t="s">
        <v>16149</v>
      </c>
      <c r="C3874" s="1">
        <v>2016.0</v>
      </c>
      <c r="D3874" s="2">
        <v>42633.0</v>
      </c>
      <c r="F3874" s="1" t="s">
        <v>4073</v>
      </c>
      <c r="H3874" s="3">
        <v>74.0</v>
      </c>
      <c r="I3874" s="4" t="s">
        <v>16150</v>
      </c>
      <c r="J3874" s="1" t="s">
        <v>16151</v>
      </c>
      <c r="K3874" s="1" t="s">
        <v>28</v>
      </c>
    </row>
    <row r="3875">
      <c r="A3875" s="1" t="s">
        <v>16152</v>
      </c>
      <c r="B3875" s="1" t="s">
        <v>16153</v>
      </c>
      <c r="C3875" s="1">
        <v>2016.0</v>
      </c>
      <c r="D3875" s="2">
        <v>42633.0</v>
      </c>
      <c r="F3875" s="1" t="s">
        <v>2515</v>
      </c>
      <c r="H3875" s="3">
        <v>22.0</v>
      </c>
      <c r="I3875" s="4" t="s">
        <v>16154</v>
      </c>
      <c r="J3875" s="1" t="s">
        <v>16155</v>
      </c>
      <c r="K3875" s="1" t="s">
        <v>926</v>
      </c>
    </row>
    <row r="3876">
      <c r="A3876" s="1" t="s">
        <v>16156</v>
      </c>
      <c r="B3876" s="1" t="s">
        <v>16157</v>
      </c>
      <c r="C3876" s="1">
        <v>2016.0</v>
      </c>
      <c r="D3876" s="2">
        <v>42632.0</v>
      </c>
      <c r="F3876" s="1" t="s">
        <v>16029</v>
      </c>
      <c r="H3876" s="3">
        <v>40.0</v>
      </c>
      <c r="I3876" s="4" t="s">
        <v>16158</v>
      </c>
      <c r="J3876" s="1" t="s">
        <v>16159</v>
      </c>
      <c r="K3876" s="1" t="s">
        <v>323</v>
      </c>
    </row>
    <row r="3877">
      <c r="A3877" s="1" t="s">
        <v>16160</v>
      </c>
      <c r="B3877" s="1" t="s">
        <v>16161</v>
      </c>
      <c r="C3877" s="1">
        <v>2016.0</v>
      </c>
      <c r="D3877" s="2">
        <v>42628.0</v>
      </c>
      <c r="F3877" s="1" t="s">
        <v>71</v>
      </c>
      <c r="H3877" s="3">
        <v>1.0</v>
      </c>
      <c r="I3877" s="4" t="s">
        <v>16162</v>
      </c>
      <c r="J3877" s="1" t="s">
        <v>16163</v>
      </c>
      <c r="K3877" s="1" t="s">
        <v>295</v>
      </c>
    </row>
    <row r="3878">
      <c r="A3878" s="1" t="s">
        <v>16164</v>
      </c>
      <c r="B3878" s="1" t="s">
        <v>16165</v>
      </c>
      <c r="C3878" s="1">
        <v>2016.0</v>
      </c>
      <c r="D3878" s="2">
        <v>42628.0</v>
      </c>
      <c r="F3878" s="1" t="s">
        <v>71</v>
      </c>
      <c r="H3878" s="3">
        <v>2.0</v>
      </c>
      <c r="I3878" s="4" t="s">
        <v>16166</v>
      </c>
      <c r="J3878" s="1" t="s">
        <v>16167</v>
      </c>
      <c r="K3878" s="1" t="s">
        <v>28</v>
      </c>
    </row>
    <row r="3879">
      <c r="A3879" s="1" t="s">
        <v>16168</v>
      </c>
      <c r="B3879" s="1" t="s">
        <v>16069</v>
      </c>
      <c r="C3879" s="1">
        <v>2016.0</v>
      </c>
      <c r="D3879" s="2">
        <v>42628.0</v>
      </c>
      <c r="F3879" s="1" t="s">
        <v>12240</v>
      </c>
      <c r="H3879" s="3">
        <v>46.0</v>
      </c>
      <c r="I3879" s="4" t="s">
        <v>16169</v>
      </c>
      <c r="J3879" s="1" t="s">
        <v>16170</v>
      </c>
      <c r="K3879" s="1" t="s">
        <v>546</v>
      </c>
    </row>
    <row r="3880">
      <c r="A3880" s="1" t="s">
        <v>16171</v>
      </c>
      <c r="B3880" s="1" t="s">
        <v>16172</v>
      </c>
      <c r="C3880" s="1">
        <v>2016.0</v>
      </c>
      <c r="D3880" s="2">
        <v>42627.0</v>
      </c>
      <c r="F3880" s="1" t="s">
        <v>16173</v>
      </c>
      <c r="H3880" s="3">
        <v>86.0</v>
      </c>
      <c r="I3880" s="4" t="s">
        <v>16174</v>
      </c>
      <c r="J3880" s="1" t="s">
        <v>16175</v>
      </c>
      <c r="K3880" s="1" t="s">
        <v>28</v>
      </c>
    </row>
    <row r="3881">
      <c r="A3881" s="1" t="s">
        <v>16176</v>
      </c>
      <c r="B3881" s="1" t="s">
        <v>16177</v>
      </c>
      <c r="C3881" s="1">
        <v>2016.0</v>
      </c>
      <c r="D3881" s="2">
        <v>42626.0</v>
      </c>
      <c r="F3881" s="1" t="s">
        <v>3254</v>
      </c>
      <c r="H3881" s="3">
        <v>13.0</v>
      </c>
      <c r="I3881" s="4" t="s">
        <v>16178</v>
      </c>
      <c r="J3881" s="1" t="s">
        <v>16179</v>
      </c>
      <c r="K3881" s="1" t="s">
        <v>413</v>
      </c>
    </row>
    <row r="3882">
      <c r="A3882" s="1" t="s">
        <v>16180</v>
      </c>
      <c r="B3882" s="1" t="s">
        <v>16181</v>
      </c>
      <c r="C3882" s="1">
        <v>2016.0</v>
      </c>
      <c r="D3882" s="2">
        <v>42626.0</v>
      </c>
      <c r="F3882" s="1" t="s">
        <v>271</v>
      </c>
      <c r="H3882" s="3">
        <v>11.0</v>
      </c>
      <c r="I3882" s="4" t="s">
        <v>16182</v>
      </c>
      <c r="J3882" s="1" t="s">
        <v>16183</v>
      </c>
      <c r="K3882" s="1" t="s">
        <v>1423</v>
      </c>
    </row>
    <row r="3883">
      <c r="A3883" s="1" t="s">
        <v>16184</v>
      </c>
      <c r="B3883" s="1" t="s">
        <v>15647</v>
      </c>
      <c r="C3883" s="1">
        <v>2016.0</v>
      </c>
      <c r="D3883" s="2">
        <v>42622.0</v>
      </c>
      <c r="F3883" s="1" t="s">
        <v>157</v>
      </c>
      <c r="H3883" s="3">
        <v>9.0</v>
      </c>
      <c r="I3883" s="4" t="s">
        <v>16185</v>
      </c>
      <c r="J3883" s="1" t="s">
        <v>16186</v>
      </c>
      <c r="K3883" s="1" t="s">
        <v>546</v>
      </c>
    </row>
    <row r="3884">
      <c r="A3884" s="1" t="s">
        <v>16187</v>
      </c>
      <c r="B3884" s="1" t="s">
        <v>16188</v>
      </c>
      <c r="C3884" s="1">
        <v>2016.0</v>
      </c>
      <c r="D3884" s="2">
        <v>42621.0</v>
      </c>
      <c r="F3884" s="1" t="s">
        <v>16189</v>
      </c>
      <c r="H3884" s="3">
        <v>32.0</v>
      </c>
      <c r="I3884" s="4" t="s">
        <v>16190</v>
      </c>
      <c r="J3884" s="1" t="s">
        <v>16191</v>
      </c>
      <c r="K3884" s="1" t="s">
        <v>383</v>
      </c>
    </row>
    <row r="3885">
      <c r="A3885" s="1" t="s">
        <v>16192</v>
      </c>
      <c r="B3885" s="1" t="s">
        <v>16193</v>
      </c>
      <c r="C3885" s="1">
        <v>2016.0</v>
      </c>
      <c r="D3885" s="2">
        <v>42621.0</v>
      </c>
      <c r="F3885" s="1" t="s">
        <v>208</v>
      </c>
      <c r="H3885" s="3">
        <v>12.0</v>
      </c>
      <c r="I3885" s="4" t="s">
        <v>16194</v>
      </c>
      <c r="J3885" s="1" t="s">
        <v>16195</v>
      </c>
      <c r="K3885" s="1" t="s">
        <v>28</v>
      </c>
    </row>
    <row r="3886">
      <c r="A3886" s="1" t="s">
        <v>16196</v>
      </c>
      <c r="B3886" s="1" t="s">
        <v>16197</v>
      </c>
      <c r="C3886" s="1">
        <v>2016.0</v>
      </c>
      <c r="D3886" s="2">
        <v>42621.0</v>
      </c>
      <c r="F3886" s="1" t="s">
        <v>16198</v>
      </c>
      <c r="H3886" s="3">
        <v>320.0</v>
      </c>
      <c r="I3886" s="4" t="s">
        <v>16199</v>
      </c>
      <c r="J3886" s="1" t="s">
        <v>16200</v>
      </c>
      <c r="K3886" s="1" t="s">
        <v>68</v>
      </c>
    </row>
    <row r="3887">
      <c r="A3887" s="1" t="s">
        <v>16201</v>
      </c>
      <c r="B3887" s="1" t="s">
        <v>16202</v>
      </c>
      <c r="C3887" s="1">
        <v>2016.0</v>
      </c>
      <c r="D3887" s="2">
        <v>42619.0</v>
      </c>
      <c r="F3887" s="1" t="s">
        <v>396</v>
      </c>
      <c r="H3887" s="3">
        <v>156.0</v>
      </c>
      <c r="I3887" s="4" t="s">
        <v>16203</v>
      </c>
      <c r="J3887" s="1" t="s">
        <v>16204</v>
      </c>
      <c r="K3887" s="1" t="s">
        <v>295</v>
      </c>
    </row>
    <row r="3888">
      <c r="A3888" s="1" t="s">
        <v>16205</v>
      </c>
      <c r="B3888" s="1" t="s">
        <v>16206</v>
      </c>
      <c r="C3888" s="1">
        <v>2016.0</v>
      </c>
      <c r="D3888" s="2">
        <v>42617.0</v>
      </c>
      <c r="F3888" s="1" t="s">
        <v>8984</v>
      </c>
      <c r="H3888" s="3">
        <v>11.0</v>
      </c>
      <c r="I3888" s="4" t="s">
        <v>16207</v>
      </c>
      <c r="J3888" s="1" t="s">
        <v>16208</v>
      </c>
      <c r="K3888" s="1" t="s">
        <v>295</v>
      </c>
    </row>
    <row r="3889">
      <c r="A3889" s="1" t="s">
        <v>16209</v>
      </c>
      <c r="B3889" s="1" t="s">
        <v>16210</v>
      </c>
      <c r="C3889" s="1">
        <v>2016.0</v>
      </c>
      <c r="D3889" s="2">
        <v>42616.0</v>
      </c>
      <c r="F3889" s="1" t="s">
        <v>1358</v>
      </c>
      <c r="H3889" s="3">
        <v>38.0</v>
      </c>
      <c r="I3889" s="4" t="s">
        <v>16211</v>
      </c>
      <c r="J3889" s="1" t="s">
        <v>16212</v>
      </c>
      <c r="K3889" s="1" t="s">
        <v>323</v>
      </c>
    </row>
    <row r="3890">
      <c r="A3890" s="1" t="s">
        <v>16213</v>
      </c>
      <c r="B3890" s="1" t="s">
        <v>15903</v>
      </c>
      <c r="C3890" s="1">
        <v>2016.0</v>
      </c>
      <c r="D3890" s="2">
        <v>42615.0</v>
      </c>
      <c r="F3890" s="1" t="s">
        <v>3583</v>
      </c>
      <c r="H3890" s="3">
        <v>23.0</v>
      </c>
      <c r="I3890" s="4" t="s">
        <v>16214</v>
      </c>
      <c r="J3890" s="1" t="s">
        <v>16215</v>
      </c>
      <c r="K3890" s="1" t="s">
        <v>323</v>
      </c>
    </row>
    <row r="3891">
      <c r="A3891" s="1" t="s">
        <v>16216</v>
      </c>
      <c r="B3891" s="1" t="s">
        <v>16217</v>
      </c>
      <c r="C3891" s="1">
        <v>2016.0</v>
      </c>
      <c r="D3891" s="2">
        <v>42615.0</v>
      </c>
      <c r="F3891" s="1" t="s">
        <v>31</v>
      </c>
      <c r="H3891" s="3">
        <v>45.0</v>
      </c>
      <c r="I3891" s="4" t="s">
        <v>16218</v>
      </c>
      <c r="J3891" s="1" t="s">
        <v>16219</v>
      </c>
      <c r="K3891" s="1" t="s">
        <v>28</v>
      </c>
    </row>
    <row r="3892">
      <c r="A3892" s="1" t="s">
        <v>16220</v>
      </c>
      <c r="B3892" s="1" t="s">
        <v>16221</v>
      </c>
      <c r="C3892" s="1">
        <v>2016.0</v>
      </c>
      <c r="D3892" s="2">
        <v>42614.0</v>
      </c>
      <c r="F3892" s="1" t="s">
        <v>1277</v>
      </c>
      <c r="H3892" s="3">
        <v>29.0</v>
      </c>
      <c r="I3892" s="4" t="s">
        <v>16222</v>
      </c>
      <c r="J3892" s="1" t="s">
        <v>16223</v>
      </c>
      <c r="K3892" s="1" t="s">
        <v>28</v>
      </c>
    </row>
    <row r="3893">
      <c r="A3893" s="1" t="s">
        <v>16224</v>
      </c>
      <c r="B3893" s="1" t="s">
        <v>16225</v>
      </c>
      <c r="C3893" s="1">
        <v>2016.0</v>
      </c>
      <c r="D3893" s="2">
        <v>42614.0</v>
      </c>
      <c r="F3893" s="1" t="s">
        <v>410</v>
      </c>
      <c r="H3893" s="3">
        <v>6.0</v>
      </c>
      <c r="I3893" s="4" t="s">
        <v>16226</v>
      </c>
      <c r="J3893" s="1" t="s">
        <v>16227</v>
      </c>
      <c r="K3893" s="1" t="s">
        <v>295</v>
      </c>
    </row>
    <row r="3894">
      <c r="A3894" s="1" t="s">
        <v>16228</v>
      </c>
      <c r="B3894" s="1" t="s">
        <v>16229</v>
      </c>
      <c r="C3894" s="1">
        <v>2016.0</v>
      </c>
      <c r="D3894" s="2">
        <v>42614.0</v>
      </c>
      <c r="F3894" s="1" t="s">
        <v>5843</v>
      </c>
      <c r="H3894" s="3">
        <v>34.0</v>
      </c>
      <c r="I3894" s="4" t="s">
        <v>16230</v>
      </c>
      <c r="J3894" s="1" t="s">
        <v>16231</v>
      </c>
      <c r="K3894" s="1" t="s">
        <v>68</v>
      </c>
    </row>
    <row r="3895">
      <c r="A3895" s="1" t="s">
        <v>16232</v>
      </c>
      <c r="B3895" s="1" t="s">
        <v>16233</v>
      </c>
      <c r="C3895" s="1">
        <v>2016.0</v>
      </c>
      <c r="D3895" s="2">
        <v>42614.0</v>
      </c>
      <c r="F3895" s="1" t="s">
        <v>5630</v>
      </c>
      <c r="H3895" s="3">
        <v>4.0</v>
      </c>
      <c r="I3895" s="4" t="s">
        <v>16234</v>
      </c>
      <c r="J3895" s="1" t="s">
        <v>16235</v>
      </c>
      <c r="K3895" s="1" t="s">
        <v>295</v>
      </c>
    </row>
    <row r="3896">
      <c r="A3896" s="1" t="s">
        <v>16236</v>
      </c>
      <c r="B3896" s="1" t="s">
        <v>16237</v>
      </c>
      <c r="C3896" s="1">
        <v>2016.0</v>
      </c>
      <c r="D3896" s="2">
        <v>42614.0</v>
      </c>
      <c r="F3896" s="1" t="s">
        <v>14720</v>
      </c>
      <c r="H3896" s="3">
        <v>17.0</v>
      </c>
      <c r="I3896" s="4" t="s">
        <v>16238</v>
      </c>
      <c r="J3896" s="1" t="s">
        <v>16239</v>
      </c>
      <c r="K3896" s="1" t="s">
        <v>295</v>
      </c>
    </row>
    <row r="3897">
      <c r="A3897" s="1" t="s">
        <v>16240</v>
      </c>
      <c r="B3897" s="1" t="s">
        <v>16241</v>
      </c>
      <c r="C3897" s="1">
        <v>2016.0</v>
      </c>
      <c r="D3897" s="2">
        <v>42613.0</v>
      </c>
      <c r="F3897" s="1" t="s">
        <v>15887</v>
      </c>
      <c r="H3897" s="3">
        <v>49.0</v>
      </c>
      <c r="I3897" s="4" t="s">
        <v>16242</v>
      </c>
      <c r="J3897" s="1" t="s">
        <v>16243</v>
      </c>
      <c r="K3897" s="1" t="s">
        <v>323</v>
      </c>
    </row>
    <row r="3898">
      <c r="A3898" s="1" t="s">
        <v>16244</v>
      </c>
      <c r="B3898" s="1" t="s">
        <v>16245</v>
      </c>
      <c r="C3898" s="1">
        <v>2016.0</v>
      </c>
      <c r="D3898" s="2">
        <v>42613.0</v>
      </c>
      <c r="F3898" s="1" t="s">
        <v>2666</v>
      </c>
      <c r="H3898" s="3">
        <v>20.0</v>
      </c>
      <c r="I3898" s="4" t="s">
        <v>16246</v>
      </c>
      <c r="J3898" s="1" t="s">
        <v>16247</v>
      </c>
      <c r="K3898" s="1" t="s">
        <v>462</v>
      </c>
    </row>
    <row r="3899">
      <c r="A3899" s="1" t="s">
        <v>16248</v>
      </c>
      <c r="B3899" s="1" t="s">
        <v>16249</v>
      </c>
      <c r="C3899" s="1">
        <v>2016.0</v>
      </c>
      <c r="D3899" s="2">
        <v>42612.0</v>
      </c>
      <c r="F3899" s="1" t="s">
        <v>776</v>
      </c>
      <c r="H3899" s="3">
        <v>34.0</v>
      </c>
      <c r="I3899" s="4" t="s">
        <v>16250</v>
      </c>
      <c r="J3899" s="1" t="s">
        <v>16251</v>
      </c>
      <c r="K3899" s="1" t="s">
        <v>418</v>
      </c>
    </row>
    <row r="3900">
      <c r="A3900" s="1" t="s">
        <v>16252</v>
      </c>
      <c r="B3900" s="1" t="s">
        <v>16253</v>
      </c>
      <c r="C3900" s="1">
        <v>2016.0</v>
      </c>
      <c r="D3900" s="2">
        <v>42612.0</v>
      </c>
      <c r="F3900" s="1" t="s">
        <v>396</v>
      </c>
      <c r="H3900" s="3">
        <v>70.0</v>
      </c>
      <c r="I3900" s="4" t="s">
        <v>16254</v>
      </c>
      <c r="J3900" s="1" t="s">
        <v>16255</v>
      </c>
      <c r="K3900" s="1" t="s">
        <v>926</v>
      </c>
    </row>
    <row r="3901">
      <c r="A3901" s="1" t="s">
        <v>16256</v>
      </c>
      <c r="B3901" s="1" t="s">
        <v>16257</v>
      </c>
      <c r="C3901" s="1">
        <v>2016.0</v>
      </c>
      <c r="D3901" s="2">
        <v>42612.0</v>
      </c>
      <c r="F3901" s="1" t="s">
        <v>8818</v>
      </c>
      <c r="H3901" s="3">
        <v>98.0</v>
      </c>
      <c r="I3901" s="4" t="s">
        <v>16258</v>
      </c>
      <c r="J3901" s="1" t="s">
        <v>16259</v>
      </c>
      <c r="K3901" s="1" t="s">
        <v>492</v>
      </c>
    </row>
    <row r="3902">
      <c r="A3902" s="1" t="s">
        <v>16260</v>
      </c>
      <c r="B3902" s="1" t="s">
        <v>16261</v>
      </c>
      <c r="C3902" s="1">
        <v>2016.0</v>
      </c>
      <c r="D3902" s="2">
        <v>42612.0</v>
      </c>
      <c r="F3902" s="1" t="s">
        <v>2365</v>
      </c>
      <c r="H3902" s="3">
        <v>24.0</v>
      </c>
      <c r="I3902" s="4" t="s">
        <v>16262</v>
      </c>
      <c r="J3902" s="1" t="s">
        <v>16263</v>
      </c>
      <c r="K3902" s="1" t="s">
        <v>477</v>
      </c>
    </row>
    <row r="3903">
      <c r="A3903" s="1" t="s">
        <v>16264</v>
      </c>
      <c r="B3903" s="1" t="s">
        <v>16265</v>
      </c>
      <c r="C3903" s="1">
        <v>2016.0</v>
      </c>
      <c r="D3903" s="2">
        <v>42609.0</v>
      </c>
      <c r="F3903" s="1" t="s">
        <v>208</v>
      </c>
      <c r="H3903" s="3">
        <v>8.0</v>
      </c>
      <c r="I3903" s="4" t="s">
        <v>16266</v>
      </c>
      <c r="J3903" s="1" t="s">
        <v>16267</v>
      </c>
      <c r="K3903" s="1" t="s">
        <v>477</v>
      </c>
    </row>
    <row r="3904">
      <c r="A3904" s="1" t="s">
        <v>16268</v>
      </c>
      <c r="B3904" s="1" t="s">
        <v>16269</v>
      </c>
      <c r="C3904" s="1">
        <v>2016.0</v>
      </c>
      <c r="D3904" s="2">
        <v>42607.0</v>
      </c>
      <c r="F3904" s="1" t="s">
        <v>5368</v>
      </c>
      <c r="H3904" s="3">
        <v>62.0</v>
      </c>
      <c r="I3904" s="4" t="s">
        <v>16270</v>
      </c>
      <c r="J3904" s="1" t="s">
        <v>16271</v>
      </c>
      <c r="K3904" s="1" t="s">
        <v>295</v>
      </c>
    </row>
    <row r="3905">
      <c r="A3905" s="1" t="s">
        <v>16272</v>
      </c>
      <c r="B3905" s="1" t="s">
        <v>16273</v>
      </c>
      <c r="C3905" s="1">
        <v>2016.0</v>
      </c>
      <c r="D3905" s="2">
        <v>42607.0</v>
      </c>
      <c r="F3905" s="1" t="s">
        <v>188</v>
      </c>
      <c r="H3905" s="3">
        <v>301.0</v>
      </c>
      <c r="I3905" s="4" t="s">
        <v>16274</v>
      </c>
      <c r="J3905" s="1" t="s">
        <v>16275</v>
      </c>
      <c r="K3905" s="1" t="s">
        <v>28</v>
      </c>
    </row>
    <row r="3906">
      <c r="A3906" s="1" t="s">
        <v>16276</v>
      </c>
      <c r="B3906" s="1" t="s">
        <v>16277</v>
      </c>
      <c r="C3906" s="1">
        <v>2016.0</v>
      </c>
      <c r="D3906" s="2">
        <v>42606.0</v>
      </c>
      <c r="F3906" s="1" t="s">
        <v>9756</v>
      </c>
      <c r="H3906" s="3">
        <v>12.0</v>
      </c>
      <c r="I3906" s="4" t="s">
        <v>16278</v>
      </c>
      <c r="J3906" s="1" t="s">
        <v>16279</v>
      </c>
      <c r="K3906" s="1" t="s">
        <v>413</v>
      </c>
    </row>
    <row r="3907">
      <c r="A3907" s="1" t="s">
        <v>16280</v>
      </c>
      <c r="B3907" s="1" t="s">
        <v>16281</v>
      </c>
      <c r="C3907" s="1">
        <v>2016.0</v>
      </c>
      <c r="D3907" s="2">
        <v>42605.0</v>
      </c>
      <c r="F3907" s="1" t="s">
        <v>16282</v>
      </c>
      <c r="H3907" s="3">
        <v>21.0</v>
      </c>
      <c r="I3907" s="4" t="s">
        <v>16283</v>
      </c>
      <c r="J3907" s="1" t="s">
        <v>16284</v>
      </c>
      <c r="K3907" s="1" t="s">
        <v>295</v>
      </c>
    </row>
    <row r="3908">
      <c r="A3908" s="1" t="s">
        <v>16285</v>
      </c>
      <c r="B3908" s="1" t="s">
        <v>16286</v>
      </c>
      <c r="C3908" s="1">
        <v>2016.0</v>
      </c>
      <c r="D3908" s="2">
        <v>42605.0</v>
      </c>
      <c r="F3908" s="1" t="s">
        <v>12612</v>
      </c>
      <c r="H3908" s="3">
        <v>1.0</v>
      </c>
      <c r="I3908" s="4" t="s">
        <v>16287</v>
      </c>
      <c r="J3908" s="1" t="s">
        <v>16288</v>
      </c>
      <c r="K3908" s="1" t="s">
        <v>28</v>
      </c>
    </row>
    <row r="3909">
      <c r="A3909" s="1" t="s">
        <v>16289</v>
      </c>
      <c r="B3909" s="1" t="s">
        <v>16290</v>
      </c>
      <c r="C3909" s="1">
        <v>2016.0</v>
      </c>
      <c r="D3909" s="2">
        <v>42605.0</v>
      </c>
      <c r="F3909" s="1" t="s">
        <v>1349</v>
      </c>
      <c r="H3909" s="3">
        <v>23.0</v>
      </c>
      <c r="I3909" s="4" t="s">
        <v>16291</v>
      </c>
      <c r="J3909" s="1" t="s">
        <v>16292</v>
      </c>
      <c r="K3909" s="1" t="s">
        <v>323</v>
      </c>
    </row>
    <row r="3910">
      <c r="A3910" s="1" t="s">
        <v>16293</v>
      </c>
      <c r="B3910" s="1" t="s">
        <v>16294</v>
      </c>
      <c r="C3910" s="1">
        <v>2016.0</v>
      </c>
      <c r="D3910" s="2">
        <v>42605.0</v>
      </c>
      <c r="F3910" s="1" t="s">
        <v>2017</v>
      </c>
      <c r="H3910" s="3">
        <v>4.0</v>
      </c>
      <c r="I3910" s="4" t="s">
        <v>16295</v>
      </c>
      <c r="J3910" s="1"/>
      <c r="K3910" s="1" t="s">
        <v>68</v>
      </c>
    </row>
    <row r="3911">
      <c r="A3911" s="1" t="s">
        <v>16296</v>
      </c>
      <c r="B3911" s="1" t="s">
        <v>16297</v>
      </c>
      <c r="C3911" s="1">
        <v>2016.0</v>
      </c>
      <c r="D3911" s="2">
        <v>42605.0</v>
      </c>
      <c r="F3911" s="1" t="s">
        <v>3066</v>
      </c>
      <c r="H3911" s="3">
        <v>69.0</v>
      </c>
      <c r="I3911" s="4" t="s">
        <v>16298</v>
      </c>
      <c r="J3911" s="1" t="s">
        <v>16299</v>
      </c>
      <c r="K3911" s="1" t="s">
        <v>295</v>
      </c>
    </row>
    <row r="3912">
      <c r="A3912" s="1" t="s">
        <v>16300</v>
      </c>
      <c r="B3912" s="1" t="s">
        <v>16301</v>
      </c>
      <c r="C3912" s="1">
        <v>2016.0</v>
      </c>
      <c r="D3912" s="2">
        <v>42605.0</v>
      </c>
      <c r="F3912" s="1" t="s">
        <v>223</v>
      </c>
      <c r="H3912" s="3">
        <v>9.0</v>
      </c>
      <c r="I3912" s="4" t="s">
        <v>16302</v>
      </c>
      <c r="J3912" s="1" t="s">
        <v>16303</v>
      </c>
      <c r="K3912" s="1" t="s">
        <v>462</v>
      </c>
    </row>
    <row r="3913">
      <c r="A3913" s="1" t="s">
        <v>16304</v>
      </c>
      <c r="B3913" s="1" t="s">
        <v>16305</v>
      </c>
      <c r="C3913" s="1">
        <v>2016.0</v>
      </c>
      <c r="D3913" s="2">
        <v>42604.0</v>
      </c>
      <c r="F3913" s="1" t="s">
        <v>1859</v>
      </c>
      <c r="H3913" s="3">
        <v>14.0</v>
      </c>
      <c r="I3913" s="4" t="s">
        <v>16306</v>
      </c>
      <c r="J3913" s="1" t="s">
        <v>16307</v>
      </c>
      <c r="K3913" s="1" t="s">
        <v>16</v>
      </c>
    </row>
    <row r="3914">
      <c r="A3914" s="1" t="s">
        <v>16308</v>
      </c>
      <c r="B3914" s="1" t="s">
        <v>16309</v>
      </c>
      <c r="C3914" s="1">
        <v>2016.0</v>
      </c>
      <c r="D3914" s="2">
        <v>42601.0</v>
      </c>
      <c r="F3914" s="1" t="s">
        <v>218</v>
      </c>
      <c r="H3914" s="3">
        <v>11.0</v>
      </c>
      <c r="I3914" s="4" t="s">
        <v>16310</v>
      </c>
      <c r="J3914" s="1" t="s">
        <v>16311</v>
      </c>
      <c r="K3914" s="1" t="s">
        <v>1036</v>
      </c>
    </row>
    <row r="3915">
      <c r="A3915" s="1" t="s">
        <v>16312</v>
      </c>
      <c r="B3915" s="1" t="s">
        <v>16313</v>
      </c>
      <c r="C3915" s="1">
        <v>2016.0</v>
      </c>
      <c r="D3915" s="2">
        <v>42601.0</v>
      </c>
      <c r="F3915" s="1" t="s">
        <v>271</v>
      </c>
      <c r="H3915" s="3">
        <v>7.0</v>
      </c>
      <c r="I3915" s="4" t="s">
        <v>16314</v>
      </c>
      <c r="J3915" s="1" t="s">
        <v>16315</v>
      </c>
      <c r="K3915" s="1" t="s">
        <v>323</v>
      </c>
    </row>
    <row r="3916">
      <c r="A3916" s="1" t="s">
        <v>16316</v>
      </c>
      <c r="B3916" s="1" t="s">
        <v>16317</v>
      </c>
      <c r="C3916" s="1">
        <v>2016.0</v>
      </c>
      <c r="D3916" s="2">
        <v>42601.0</v>
      </c>
      <c r="F3916" s="1" t="s">
        <v>106</v>
      </c>
      <c r="H3916" s="3">
        <v>110.0</v>
      </c>
      <c r="I3916" s="4" t="s">
        <v>16318</v>
      </c>
      <c r="J3916" s="1" t="s">
        <v>16319</v>
      </c>
      <c r="K3916" s="1" t="s">
        <v>16</v>
      </c>
    </row>
    <row r="3917">
      <c r="A3917" s="1" t="s">
        <v>16320</v>
      </c>
      <c r="B3917" s="1" t="s">
        <v>16321</v>
      </c>
      <c r="C3917" s="1">
        <v>2016.0</v>
      </c>
      <c r="D3917" s="2">
        <v>42600.0</v>
      </c>
      <c r="F3917" s="1" t="s">
        <v>1219</v>
      </c>
      <c r="H3917" s="3">
        <v>15.0</v>
      </c>
      <c r="I3917" s="4" t="s">
        <v>16322</v>
      </c>
      <c r="J3917" s="1" t="s">
        <v>16323</v>
      </c>
      <c r="K3917" s="1" t="s">
        <v>1036</v>
      </c>
    </row>
    <row r="3918">
      <c r="A3918" s="1" t="s">
        <v>16324</v>
      </c>
      <c r="B3918" s="1" t="s">
        <v>16325</v>
      </c>
      <c r="C3918" s="1">
        <v>2016.0</v>
      </c>
      <c r="D3918" s="2">
        <v>42599.0</v>
      </c>
      <c r="F3918" s="1" t="s">
        <v>31</v>
      </c>
      <c r="H3918" s="3">
        <v>10.0</v>
      </c>
      <c r="I3918" s="4" t="s">
        <v>16326</v>
      </c>
      <c r="J3918" s="1" t="s">
        <v>16327</v>
      </c>
      <c r="K3918" s="1" t="s">
        <v>383</v>
      </c>
    </row>
    <row r="3919">
      <c r="A3919" s="1" t="s">
        <v>16328</v>
      </c>
      <c r="B3919" s="1" t="s">
        <v>16329</v>
      </c>
      <c r="C3919" s="1">
        <v>2016.0</v>
      </c>
      <c r="D3919" s="2">
        <v>42599.0</v>
      </c>
      <c r="F3919" s="1" t="s">
        <v>71</v>
      </c>
      <c r="H3919" s="3">
        <v>12.0</v>
      </c>
      <c r="I3919" s="4" t="s">
        <v>16330</v>
      </c>
      <c r="J3919" s="1" t="s">
        <v>16331</v>
      </c>
      <c r="K3919" s="1" t="s">
        <v>16</v>
      </c>
    </row>
    <row r="3920">
      <c r="A3920" s="1" t="s">
        <v>16332</v>
      </c>
      <c r="B3920" s="1" t="s">
        <v>16333</v>
      </c>
      <c r="C3920" s="1">
        <v>2016.0</v>
      </c>
      <c r="D3920" s="2">
        <v>42598.0</v>
      </c>
      <c r="F3920" s="1" t="s">
        <v>396</v>
      </c>
      <c r="H3920" s="3">
        <v>4.0</v>
      </c>
      <c r="I3920" s="4" t="s">
        <v>16334</v>
      </c>
      <c r="J3920" s="1"/>
      <c r="K3920" s="1" t="s">
        <v>28</v>
      </c>
    </row>
    <row r="3921">
      <c r="A3921" s="1" t="s">
        <v>16335</v>
      </c>
      <c r="B3921" s="1" t="s">
        <v>16336</v>
      </c>
      <c r="C3921" s="1">
        <v>2016.0</v>
      </c>
      <c r="D3921" s="2">
        <v>42598.0</v>
      </c>
      <c r="F3921" s="1" t="s">
        <v>5144</v>
      </c>
      <c r="H3921" s="3">
        <v>16.0</v>
      </c>
      <c r="I3921" s="4" t="s">
        <v>16337</v>
      </c>
      <c r="J3921" s="1" t="s">
        <v>16338</v>
      </c>
      <c r="K3921" s="1" t="s">
        <v>926</v>
      </c>
    </row>
    <row r="3922">
      <c r="A3922" s="1" t="s">
        <v>16339</v>
      </c>
      <c r="B3922" s="1" t="s">
        <v>16340</v>
      </c>
      <c r="C3922" s="1">
        <v>2016.0</v>
      </c>
      <c r="D3922" s="2">
        <v>42598.0</v>
      </c>
      <c r="F3922" s="1" t="s">
        <v>6568</v>
      </c>
      <c r="H3922" s="3">
        <v>22.0</v>
      </c>
      <c r="I3922" s="4" t="s">
        <v>16341</v>
      </c>
      <c r="J3922" s="1" t="s">
        <v>16342</v>
      </c>
      <c r="K3922" s="1" t="s">
        <v>28</v>
      </c>
    </row>
    <row r="3923">
      <c r="A3923" s="1" t="s">
        <v>16343</v>
      </c>
      <c r="B3923" s="1" t="s">
        <v>16344</v>
      </c>
      <c r="C3923" s="1">
        <v>2016.0</v>
      </c>
      <c r="D3923" s="2">
        <v>42594.0</v>
      </c>
      <c r="F3923" s="1" t="s">
        <v>1040</v>
      </c>
      <c r="H3923" s="3">
        <v>7.0</v>
      </c>
      <c r="I3923" s="4" t="s">
        <v>16345</v>
      </c>
      <c r="J3923" s="1" t="s">
        <v>16346</v>
      </c>
      <c r="K3923" s="1" t="s">
        <v>28</v>
      </c>
    </row>
    <row r="3924">
      <c r="A3924" s="1" t="s">
        <v>16347</v>
      </c>
      <c r="B3924" s="1" t="s">
        <v>16348</v>
      </c>
      <c r="C3924" s="1">
        <v>2016.0</v>
      </c>
      <c r="D3924" s="2">
        <v>42594.0</v>
      </c>
      <c r="F3924" s="1" t="s">
        <v>689</v>
      </c>
      <c r="H3924" s="3">
        <v>9.0</v>
      </c>
      <c r="I3924" s="4" t="s">
        <v>16349</v>
      </c>
      <c r="J3924" s="1" t="s">
        <v>16350</v>
      </c>
      <c r="K3924" s="1" t="s">
        <v>926</v>
      </c>
    </row>
    <row r="3925">
      <c r="A3925" s="1" t="s">
        <v>16351</v>
      </c>
      <c r="B3925" s="1" t="s">
        <v>16352</v>
      </c>
      <c r="C3925" s="1">
        <v>2016.0</v>
      </c>
      <c r="D3925" s="2">
        <v>42593.0</v>
      </c>
      <c r="F3925" s="1" t="s">
        <v>2151</v>
      </c>
      <c r="H3925" s="3">
        <v>61.0</v>
      </c>
      <c r="I3925" s="4" t="s">
        <v>16353</v>
      </c>
      <c r="J3925" s="1" t="s">
        <v>16354</v>
      </c>
      <c r="K3925" s="1" t="s">
        <v>28</v>
      </c>
    </row>
    <row r="3926">
      <c r="A3926" s="1" t="s">
        <v>16355</v>
      </c>
      <c r="B3926" s="1" t="s">
        <v>16356</v>
      </c>
      <c r="C3926" s="1">
        <v>2016.0</v>
      </c>
      <c r="D3926" s="2">
        <v>42593.0</v>
      </c>
      <c r="F3926" s="1" t="s">
        <v>218</v>
      </c>
      <c r="H3926" s="3">
        <v>8.0</v>
      </c>
      <c r="I3926" s="4" t="s">
        <v>16357</v>
      </c>
      <c r="J3926" s="1" t="s">
        <v>16358</v>
      </c>
      <c r="K3926" s="1" t="s">
        <v>383</v>
      </c>
    </row>
    <row r="3927">
      <c r="A3927" s="1" t="s">
        <v>16359</v>
      </c>
      <c r="B3927" s="1" t="s">
        <v>16360</v>
      </c>
      <c r="C3927" s="1">
        <v>2016.0</v>
      </c>
      <c r="D3927" s="2">
        <v>42593.0</v>
      </c>
      <c r="F3927" s="1" t="s">
        <v>347</v>
      </c>
      <c r="H3927" s="3">
        <v>21.0</v>
      </c>
      <c r="I3927" s="4" t="s">
        <v>16361</v>
      </c>
      <c r="J3927" s="1" t="s">
        <v>16362</v>
      </c>
      <c r="K3927" s="1" t="s">
        <v>295</v>
      </c>
    </row>
    <row r="3928">
      <c r="A3928" s="1" t="s">
        <v>16363</v>
      </c>
      <c r="B3928" s="1" t="s">
        <v>16364</v>
      </c>
      <c r="C3928" s="1">
        <v>2016.0</v>
      </c>
      <c r="D3928" s="2">
        <v>42593.0</v>
      </c>
      <c r="F3928" s="1" t="s">
        <v>271</v>
      </c>
      <c r="H3928" s="3">
        <v>32.0</v>
      </c>
      <c r="I3928" s="4" t="s">
        <v>16365</v>
      </c>
      <c r="J3928" s="1" t="s">
        <v>16366</v>
      </c>
      <c r="K3928" s="1" t="s">
        <v>462</v>
      </c>
    </row>
    <row r="3929">
      <c r="A3929" s="1" t="s">
        <v>16367</v>
      </c>
      <c r="B3929" s="1" t="s">
        <v>16368</v>
      </c>
      <c r="C3929" s="1">
        <v>2016.0</v>
      </c>
      <c r="D3929" s="2">
        <v>42590.0</v>
      </c>
      <c r="F3929" s="1" t="s">
        <v>12240</v>
      </c>
      <c r="H3929" s="3">
        <v>27.0</v>
      </c>
      <c r="I3929" s="4" t="s">
        <v>16369</v>
      </c>
      <c r="J3929" s="1" t="s">
        <v>16370</v>
      </c>
      <c r="K3929" s="1" t="s">
        <v>546</v>
      </c>
    </row>
    <row r="3930">
      <c r="A3930" s="1" t="s">
        <v>16371</v>
      </c>
      <c r="B3930" s="1" t="s">
        <v>16372</v>
      </c>
      <c r="C3930" s="1">
        <v>2016.0</v>
      </c>
      <c r="D3930" s="2">
        <v>42587.0</v>
      </c>
      <c r="F3930" s="1" t="s">
        <v>4063</v>
      </c>
      <c r="H3930" s="3">
        <v>209.0</v>
      </c>
      <c r="I3930" s="4" t="s">
        <v>16373</v>
      </c>
      <c r="J3930" s="1" t="s">
        <v>16374</v>
      </c>
      <c r="K3930" s="1" t="s">
        <v>28</v>
      </c>
    </row>
    <row r="3931">
      <c r="A3931" s="1" t="s">
        <v>16375</v>
      </c>
      <c r="B3931" s="1" t="s">
        <v>16376</v>
      </c>
      <c r="C3931" s="1">
        <v>2016.0</v>
      </c>
      <c r="D3931" s="2">
        <v>42587.0</v>
      </c>
      <c r="F3931" s="1" t="s">
        <v>218</v>
      </c>
      <c r="H3931" s="3">
        <v>23.0</v>
      </c>
      <c r="I3931" s="4" t="s">
        <v>16377</v>
      </c>
      <c r="J3931" s="1" t="s">
        <v>16378</v>
      </c>
      <c r="K3931" s="1" t="s">
        <v>295</v>
      </c>
    </row>
    <row r="3932">
      <c r="A3932" s="1" t="s">
        <v>16379</v>
      </c>
      <c r="B3932" s="1" t="s">
        <v>16380</v>
      </c>
      <c r="C3932" s="1">
        <v>2016.0</v>
      </c>
      <c r="D3932" s="2">
        <v>42586.0</v>
      </c>
      <c r="F3932" s="1" t="s">
        <v>2862</v>
      </c>
      <c r="H3932" s="3">
        <v>9.0</v>
      </c>
      <c r="I3932" s="4" t="s">
        <v>16381</v>
      </c>
      <c r="J3932" s="1" t="s">
        <v>16382</v>
      </c>
      <c r="K3932" s="1" t="s">
        <v>295</v>
      </c>
    </row>
    <row r="3933">
      <c r="A3933" s="1" t="s">
        <v>16383</v>
      </c>
      <c r="B3933" s="1" t="s">
        <v>16384</v>
      </c>
      <c r="C3933" s="1">
        <v>2016.0</v>
      </c>
      <c r="D3933" s="2">
        <v>42585.0</v>
      </c>
      <c r="F3933" s="1" t="s">
        <v>16385</v>
      </c>
      <c r="H3933" s="3">
        <v>34.0</v>
      </c>
      <c r="I3933" s="4" t="s">
        <v>16386</v>
      </c>
      <c r="J3933" s="1" t="s">
        <v>16387</v>
      </c>
      <c r="K3933" s="1" t="s">
        <v>28</v>
      </c>
    </row>
    <row r="3934">
      <c r="A3934" s="1" t="s">
        <v>16388</v>
      </c>
      <c r="B3934" s="1" t="s">
        <v>16389</v>
      </c>
      <c r="C3934" s="1">
        <v>2016.0</v>
      </c>
      <c r="D3934" s="2">
        <v>42584.0</v>
      </c>
      <c r="F3934" s="1" t="s">
        <v>298</v>
      </c>
      <c r="H3934" s="3">
        <v>2.0</v>
      </c>
      <c r="I3934" s="4" t="s">
        <v>16390</v>
      </c>
      <c r="J3934" s="1" t="s">
        <v>16391</v>
      </c>
      <c r="K3934" s="1" t="s">
        <v>323</v>
      </c>
    </row>
    <row r="3935">
      <c r="A3935" s="1" t="s">
        <v>16392</v>
      </c>
      <c r="B3935" s="1" t="s">
        <v>16393</v>
      </c>
      <c r="C3935" s="1">
        <v>2016.0</v>
      </c>
      <c r="D3935" s="2">
        <v>42584.0</v>
      </c>
      <c r="F3935" s="1" t="s">
        <v>3583</v>
      </c>
      <c r="H3935" s="3">
        <v>27.0</v>
      </c>
      <c r="I3935" s="4" t="s">
        <v>16394</v>
      </c>
      <c r="J3935" s="1" t="s">
        <v>16395</v>
      </c>
      <c r="K3935" s="1" t="s">
        <v>16</v>
      </c>
    </row>
    <row r="3936">
      <c r="A3936" s="1" t="s">
        <v>16396</v>
      </c>
      <c r="B3936" s="1" t="s">
        <v>16397</v>
      </c>
      <c r="C3936" s="1">
        <v>2016.0</v>
      </c>
      <c r="D3936" s="2">
        <v>42583.0</v>
      </c>
      <c r="F3936" s="1" t="s">
        <v>1045</v>
      </c>
      <c r="H3936" s="3">
        <v>20.0</v>
      </c>
      <c r="I3936" s="4" t="s">
        <v>16398</v>
      </c>
      <c r="J3936" s="1" t="s">
        <v>16399</v>
      </c>
      <c r="K3936" s="1" t="s">
        <v>28</v>
      </c>
    </row>
    <row r="3937">
      <c r="A3937" s="1" t="s">
        <v>16400</v>
      </c>
      <c r="B3937" s="1" t="s">
        <v>16401</v>
      </c>
      <c r="C3937" s="1">
        <v>2016.0</v>
      </c>
      <c r="D3937" s="2">
        <v>42581.0</v>
      </c>
      <c r="F3937" s="1" t="s">
        <v>1777</v>
      </c>
      <c r="H3937" s="3">
        <v>62.0</v>
      </c>
      <c r="I3937" s="4" t="s">
        <v>16402</v>
      </c>
      <c r="J3937" s="1" t="s">
        <v>16403</v>
      </c>
      <c r="K3937" s="1" t="s">
        <v>16</v>
      </c>
    </row>
    <row r="3938">
      <c r="A3938" s="1" t="s">
        <v>16404</v>
      </c>
      <c r="B3938" s="1" t="s">
        <v>15499</v>
      </c>
      <c r="C3938" s="1">
        <v>2016.0</v>
      </c>
      <c r="D3938" s="2">
        <v>42580.0</v>
      </c>
      <c r="F3938" s="1" t="s">
        <v>3522</v>
      </c>
      <c r="H3938" s="3">
        <v>40.0</v>
      </c>
      <c r="I3938" s="4" t="s">
        <v>16405</v>
      </c>
      <c r="J3938" s="1" t="s">
        <v>16406</v>
      </c>
      <c r="K3938" s="1" t="s">
        <v>28</v>
      </c>
    </row>
    <row r="3939">
      <c r="A3939" s="1" t="s">
        <v>16407</v>
      </c>
      <c r="B3939" s="1" t="s">
        <v>16408</v>
      </c>
      <c r="C3939" s="1">
        <v>2016.0</v>
      </c>
      <c r="D3939" s="2">
        <v>42580.0</v>
      </c>
      <c r="F3939" s="1" t="s">
        <v>9182</v>
      </c>
      <c r="H3939" s="3">
        <v>14.0</v>
      </c>
      <c r="I3939" s="4" t="s">
        <v>16409</v>
      </c>
      <c r="J3939" s="1" t="s">
        <v>16410</v>
      </c>
      <c r="K3939" s="1" t="s">
        <v>323</v>
      </c>
    </row>
    <row r="3940">
      <c r="A3940" s="1" t="s">
        <v>16411</v>
      </c>
      <c r="B3940" s="1" t="s">
        <v>16412</v>
      </c>
      <c r="C3940" s="1">
        <v>2016.0</v>
      </c>
      <c r="D3940" s="2">
        <v>42580.0</v>
      </c>
      <c r="F3940" s="1" t="s">
        <v>347</v>
      </c>
      <c r="H3940" s="3">
        <v>17.0</v>
      </c>
      <c r="I3940" s="4" t="s">
        <v>16413</v>
      </c>
      <c r="J3940" s="1" t="s">
        <v>16414</v>
      </c>
      <c r="K3940" s="1" t="s">
        <v>462</v>
      </c>
    </row>
    <row r="3941">
      <c r="A3941" s="1" t="s">
        <v>16415</v>
      </c>
      <c r="B3941" s="1" t="s">
        <v>16416</v>
      </c>
      <c r="C3941" s="1">
        <v>2016.0</v>
      </c>
      <c r="D3941" s="2">
        <v>42578.0</v>
      </c>
      <c r="F3941" s="1" t="s">
        <v>1714</v>
      </c>
      <c r="H3941" s="3">
        <v>21.0</v>
      </c>
      <c r="I3941" s="4" t="s">
        <v>16417</v>
      </c>
      <c r="J3941" s="1" t="s">
        <v>16418</v>
      </c>
      <c r="K3941" s="1" t="s">
        <v>16</v>
      </c>
    </row>
    <row r="3942">
      <c r="A3942" s="1" t="s">
        <v>16419</v>
      </c>
      <c r="B3942" s="1" t="s">
        <v>16420</v>
      </c>
      <c r="C3942" s="1">
        <v>2016.0</v>
      </c>
      <c r="D3942" s="2">
        <v>42577.0</v>
      </c>
      <c r="F3942" s="1" t="s">
        <v>4848</v>
      </c>
      <c r="H3942" s="3">
        <v>7.0</v>
      </c>
      <c r="I3942" s="4" t="s">
        <v>16421</v>
      </c>
      <c r="J3942" s="1" t="s">
        <v>16422</v>
      </c>
      <c r="K3942" s="1" t="s">
        <v>323</v>
      </c>
    </row>
    <row r="3943">
      <c r="A3943" s="1" t="s">
        <v>16423</v>
      </c>
      <c r="B3943" s="1" t="s">
        <v>16424</v>
      </c>
      <c r="C3943" s="1">
        <v>2016.0</v>
      </c>
      <c r="D3943" s="2">
        <v>42576.0</v>
      </c>
      <c r="F3943" s="1" t="s">
        <v>1777</v>
      </c>
      <c r="H3943" s="3">
        <v>22.0</v>
      </c>
      <c r="I3943" s="4" t="s">
        <v>16425</v>
      </c>
      <c r="J3943" s="1" t="s">
        <v>16426</v>
      </c>
      <c r="K3943" s="1" t="s">
        <v>443</v>
      </c>
    </row>
    <row r="3944">
      <c r="A3944" s="1" t="s">
        <v>16427</v>
      </c>
      <c r="B3944" s="1" t="s">
        <v>16428</v>
      </c>
      <c r="C3944" s="1">
        <v>2016.0</v>
      </c>
      <c r="D3944" s="2">
        <v>42573.0</v>
      </c>
      <c r="F3944" s="1" t="s">
        <v>16429</v>
      </c>
      <c r="H3944" s="3">
        <v>19.0</v>
      </c>
      <c r="I3944" s="4" t="s">
        <v>16430</v>
      </c>
      <c r="J3944" s="1" t="s">
        <v>16431</v>
      </c>
      <c r="K3944" s="1" t="s">
        <v>16</v>
      </c>
    </row>
    <row r="3945">
      <c r="A3945" s="1" t="s">
        <v>16432</v>
      </c>
      <c r="B3945" s="1" t="s">
        <v>16433</v>
      </c>
      <c r="C3945" s="1">
        <v>2016.0</v>
      </c>
      <c r="D3945" s="2">
        <v>42571.0</v>
      </c>
      <c r="F3945" s="1" t="s">
        <v>9090</v>
      </c>
      <c r="H3945" s="3">
        <v>35.0</v>
      </c>
      <c r="I3945" s="4" t="s">
        <v>16434</v>
      </c>
      <c r="J3945" s="1" t="s">
        <v>16435</v>
      </c>
      <c r="K3945" s="1" t="s">
        <v>295</v>
      </c>
    </row>
    <row r="3946">
      <c r="A3946" s="1" t="s">
        <v>16436</v>
      </c>
      <c r="B3946" s="1" t="s">
        <v>16437</v>
      </c>
      <c r="C3946" s="1">
        <v>2016.0</v>
      </c>
      <c r="D3946" s="2">
        <v>42570.0</v>
      </c>
      <c r="F3946" s="1" t="s">
        <v>71</v>
      </c>
      <c r="H3946" s="3">
        <v>23.0</v>
      </c>
      <c r="I3946" s="4" t="s">
        <v>16438</v>
      </c>
      <c r="J3946" s="1" t="s">
        <v>16439</v>
      </c>
      <c r="K3946" s="1" t="s">
        <v>295</v>
      </c>
    </row>
    <row r="3947">
      <c r="A3947" s="1" t="s">
        <v>16440</v>
      </c>
      <c r="B3947" s="1" t="s">
        <v>16441</v>
      </c>
      <c r="C3947" s="1">
        <v>2016.0</v>
      </c>
      <c r="D3947" s="2">
        <v>42570.0</v>
      </c>
      <c r="F3947" s="1" t="s">
        <v>1982</v>
      </c>
      <c r="H3947" s="3">
        <v>17.0</v>
      </c>
      <c r="I3947" s="4" t="s">
        <v>16442</v>
      </c>
      <c r="J3947" s="1" t="s">
        <v>16443</v>
      </c>
      <c r="K3947" s="1" t="s">
        <v>295</v>
      </c>
    </row>
    <row r="3948">
      <c r="A3948" s="1" t="s">
        <v>16444</v>
      </c>
      <c r="B3948" s="1" t="s">
        <v>16445</v>
      </c>
      <c r="C3948" s="1">
        <v>2016.0</v>
      </c>
      <c r="D3948" s="2">
        <v>42569.0</v>
      </c>
      <c r="F3948" s="1" t="s">
        <v>59</v>
      </c>
      <c r="H3948" s="3">
        <v>116.0</v>
      </c>
      <c r="I3948" s="4" t="s">
        <v>16446</v>
      </c>
      <c r="J3948" s="1" t="s">
        <v>16447</v>
      </c>
      <c r="K3948" s="1" t="s">
        <v>295</v>
      </c>
    </row>
    <row r="3949">
      <c r="A3949" s="1" t="s">
        <v>16448</v>
      </c>
      <c r="B3949" s="1" t="s">
        <v>16449</v>
      </c>
      <c r="C3949" s="1">
        <v>2016.0</v>
      </c>
      <c r="D3949" s="2">
        <v>42566.0</v>
      </c>
      <c r="F3949" s="1" t="s">
        <v>12240</v>
      </c>
      <c r="H3949" s="3">
        <v>25.0</v>
      </c>
      <c r="I3949" s="4" t="s">
        <v>16450</v>
      </c>
      <c r="J3949" s="1" t="s">
        <v>16451</v>
      </c>
      <c r="K3949" s="1" t="s">
        <v>546</v>
      </c>
    </row>
    <row r="3950">
      <c r="A3950" s="1" t="s">
        <v>16452</v>
      </c>
      <c r="B3950" s="1" t="s">
        <v>16453</v>
      </c>
      <c r="C3950" s="1">
        <v>2016.0</v>
      </c>
      <c r="D3950" s="2">
        <v>42565.0</v>
      </c>
      <c r="F3950" s="1" t="s">
        <v>386</v>
      </c>
      <c r="H3950" s="3">
        <v>46.0</v>
      </c>
      <c r="I3950" s="4" t="s">
        <v>16454</v>
      </c>
      <c r="J3950" s="1" t="s">
        <v>16455</v>
      </c>
      <c r="K3950" s="1" t="s">
        <v>443</v>
      </c>
    </row>
    <row r="3951">
      <c r="A3951" s="1" t="s">
        <v>16456</v>
      </c>
      <c r="B3951" s="1" t="s">
        <v>16457</v>
      </c>
      <c r="C3951" s="1">
        <v>2016.0</v>
      </c>
      <c r="D3951" s="2">
        <v>42564.0</v>
      </c>
      <c r="F3951" s="1" t="s">
        <v>6214</v>
      </c>
      <c r="H3951" s="3">
        <v>19.0</v>
      </c>
      <c r="I3951" s="4" t="s">
        <v>16458</v>
      </c>
      <c r="J3951" s="1" t="s">
        <v>16459</v>
      </c>
      <c r="K3951" s="1" t="s">
        <v>28</v>
      </c>
    </row>
    <row r="3952">
      <c r="A3952" s="1" t="s">
        <v>16460</v>
      </c>
      <c r="B3952" s="1" t="s">
        <v>16461</v>
      </c>
      <c r="C3952" s="1">
        <v>2016.0</v>
      </c>
      <c r="D3952" s="2">
        <v>42564.0</v>
      </c>
      <c r="F3952" s="1" t="s">
        <v>71</v>
      </c>
      <c r="H3952" s="3">
        <v>74.0</v>
      </c>
      <c r="I3952" s="4" t="s">
        <v>16462</v>
      </c>
      <c r="J3952" s="1" t="s">
        <v>16463</v>
      </c>
      <c r="K3952" s="1" t="s">
        <v>383</v>
      </c>
    </row>
    <row r="3953">
      <c r="A3953" s="1" t="s">
        <v>16464</v>
      </c>
      <c r="B3953" s="1" t="s">
        <v>16465</v>
      </c>
      <c r="C3953" s="1">
        <v>2016.0</v>
      </c>
      <c r="D3953" s="2">
        <v>42564.0</v>
      </c>
      <c r="F3953" s="1" t="s">
        <v>676</v>
      </c>
      <c r="H3953" s="3">
        <v>37.0</v>
      </c>
      <c r="I3953" s="4" t="s">
        <v>16466</v>
      </c>
      <c r="J3953" s="1" t="s">
        <v>16467</v>
      </c>
      <c r="K3953" s="1" t="s">
        <v>16</v>
      </c>
    </row>
    <row r="3954">
      <c r="A3954" s="1" t="s">
        <v>16468</v>
      </c>
      <c r="B3954" s="1" t="s">
        <v>16469</v>
      </c>
      <c r="C3954" s="1">
        <v>2016.0</v>
      </c>
      <c r="D3954" s="2">
        <v>42563.0</v>
      </c>
      <c r="F3954" s="1" t="s">
        <v>2515</v>
      </c>
      <c r="H3954" s="3">
        <v>9.0</v>
      </c>
      <c r="I3954" s="4" t="s">
        <v>16470</v>
      </c>
      <c r="J3954" s="1" t="s">
        <v>16471</v>
      </c>
      <c r="K3954" s="1" t="s">
        <v>323</v>
      </c>
    </row>
    <row r="3955">
      <c r="A3955" s="1" t="s">
        <v>16472</v>
      </c>
      <c r="B3955" s="1" t="s">
        <v>16473</v>
      </c>
      <c r="C3955" s="1">
        <v>2016.0</v>
      </c>
      <c r="D3955" s="2">
        <v>42563.0</v>
      </c>
      <c r="F3955" s="1" t="s">
        <v>1505</v>
      </c>
      <c r="H3955" s="3">
        <v>1.0</v>
      </c>
      <c r="I3955" s="4" t="s">
        <v>16474</v>
      </c>
      <c r="J3955" s="1"/>
      <c r="K3955" s="1" t="s">
        <v>443</v>
      </c>
    </row>
    <row r="3956">
      <c r="A3956" s="1" t="s">
        <v>16475</v>
      </c>
      <c r="B3956" s="1" t="s">
        <v>16476</v>
      </c>
      <c r="C3956" s="1">
        <v>2016.0</v>
      </c>
      <c r="D3956" s="2">
        <v>42563.0</v>
      </c>
      <c r="F3956" s="1" t="s">
        <v>12240</v>
      </c>
      <c r="H3956" s="3">
        <v>56.0</v>
      </c>
      <c r="I3956" s="4" t="s">
        <v>16477</v>
      </c>
      <c r="J3956" s="1" t="s">
        <v>16478</v>
      </c>
      <c r="K3956" s="1" t="s">
        <v>546</v>
      </c>
    </row>
    <row r="3957">
      <c r="A3957" s="1" t="s">
        <v>16479</v>
      </c>
      <c r="B3957" s="1" t="s">
        <v>16480</v>
      </c>
      <c r="C3957" s="1">
        <v>2016.0</v>
      </c>
      <c r="D3957" s="2">
        <v>42562.0</v>
      </c>
      <c r="F3957" s="1" t="s">
        <v>16481</v>
      </c>
      <c r="H3957" s="3">
        <v>18.0</v>
      </c>
      <c r="I3957" s="4" t="s">
        <v>16482</v>
      </c>
      <c r="J3957" s="1" t="s">
        <v>16483</v>
      </c>
      <c r="K3957" s="1" t="s">
        <v>16</v>
      </c>
    </row>
    <row r="3958">
      <c r="A3958" s="1" t="s">
        <v>16484</v>
      </c>
      <c r="B3958" s="1" t="s">
        <v>16485</v>
      </c>
      <c r="C3958" s="1">
        <v>2016.0</v>
      </c>
      <c r="D3958" s="2">
        <v>42562.0</v>
      </c>
      <c r="F3958" s="1" t="s">
        <v>2540</v>
      </c>
      <c r="H3958" s="3">
        <v>883.0</v>
      </c>
      <c r="I3958" s="4" t="s">
        <v>16486</v>
      </c>
      <c r="J3958" s="1" t="s">
        <v>16487</v>
      </c>
      <c r="K3958" s="1" t="s">
        <v>1569</v>
      </c>
    </row>
    <row r="3959">
      <c r="A3959" s="1" t="s">
        <v>16488</v>
      </c>
      <c r="B3959" s="1" t="s">
        <v>16489</v>
      </c>
      <c r="C3959" s="1">
        <v>2016.0</v>
      </c>
      <c r="D3959" s="2">
        <v>42560.0</v>
      </c>
      <c r="F3959" s="1" t="s">
        <v>6907</v>
      </c>
      <c r="H3959" s="3">
        <v>9.0</v>
      </c>
      <c r="I3959" s="4" t="s">
        <v>16490</v>
      </c>
      <c r="J3959" s="1"/>
      <c r="K3959" s="1" t="s">
        <v>295</v>
      </c>
    </row>
    <row r="3960">
      <c r="A3960" s="1" t="s">
        <v>16491</v>
      </c>
      <c r="B3960" s="1" t="s">
        <v>16492</v>
      </c>
      <c r="C3960" s="1">
        <v>2016.0</v>
      </c>
      <c r="D3960" s="2">
        <v>42560.0</v>
      </c>
      <c r="F3960" s="1" t="s">
        <v>656</v>
      </c>
      <c r="H3960" s="3">
        <v>21.0</v>
      </c>
      <c r="I3960" s="4" t="s">
        <v>16493</v>
      </c>
      <c r="J3960" s="1" t="s">
        <v>16494</v>
      </c>
      <c r="K3960" s="1" t="s">
        <v>16</v>
      </c>
    </row>
    <row r="3961">
      <c r="A3961" s="1" t="s">
        <v>16495</v>
      </c>
      <c r="B3961" s="1" t="s">
        <v>16496</v>
      </c>
      <c r="C3961" s="1">
        <v>2016.0</v>
      </c>
      <c r="D3961" s="2">
        <v>42559.0</v>
      </c>
      <c r="F3961" s="1" t="s">
        <v>86</v>
      </c>
      <c r="H3961" s="3">
        <v>7.0</v>
      </c>
      <c r="I3961" s="4" t="s">
        <v>16497</v>
      </c>
      <c r="J3961" s="1" t="s">
        <v>16498</v>
      </c>
      <c r="K3961" s="1" t="s">
        <v>323</v>
      </c>
    </row>
    <row r="3962">
      <c r="A3962" s="1" t="s">
        <v>16499</v>
      </c>
      <c r="B3962" s="1" t="s">
        <v>16500</v>
      </c>
      <c r="C3962" s="1">
        <v>2016.0</v>
      </c>
      <c r="D3962" s="2">
        <v>42558.0</v>
      </c>
      <c r="F3962" s="1" t="s">
        <v>3501</v>
      </c>
      <c r="H3962" s="3">
        <v>23.0</v>
      </c>
      <c r="I3962" s="4" t="s">
        <v>16501</v>
      </c>
      <c r="J3962" s="1" t="s">
        <v>16502</v>
      </c>
      <c r="K3962" s="1" t="s">
        <v>28</v>
      </c>
    </row>
    <row r="3963">
      <c r="A3963" s="1" t="s">
        <v>16503</v>
      </c>
      <c r="B3963" s="1" t="s">
        <v>16504</v>
      </c>
      <c r="C3963" s="1">
        <v>2016.0</v>
      </c>
      <c r="D3963" s="2">
        <v>42557.0</v>
      </c>
      <c r="F3963" s="1" t="s">
        <v>12240</v>
      </c>
      <c r="H3963" s="3">
        <v>6.0</v>
      </c>
      <c r="I3963" s="4" t="s">
        <v>16505</v>
      </c>
      <c r="J3963" s="1" t="s">
        <v>16506</v>
      </c>
      <c r="K3963" s="1" t="s">
        <v>546</v>
      </c>
    </row>
    <row r="3964">
      <c r="A3964" s="1" t="s">
        <v>16507</v>
      </c>
      <c r="B3964" s="1" t="s">
        <v>16508</v>
      </c>
      <c r="C3964" s="1">
        <v>2016.0</v>
      </c>
      <c r="D3964" s="2">
        <v>42556.0</v>
      </c>
      <c r="F3964" s="1" t="s">
        <v>2634</v>
      </c>
      <c r="H3964" s="3">
        <v>14.0</v>
      </c>
      <c r="I3964" s="4" t="s">
        <v>16509</v>
      </c>
      <c r="J3964" s="1" t="s">
        <v>16510</v>
      </c>
      <c r="K3964" s="1" t="s">
        <v>295</v>
      </c>
    </row>
    <row r="3965">
      <c r="A3965" s="1" t="s">
        <v>16511</v>
      </c>
      <c r="B3965" s="1" t="s">
        <v>16512</v>
      </c>
      <c r="C3965" s="1">
        <v>2016.0</v>
      </c>
      <c r="D3965" s="2">
        <v>42555.0</v>
      </c>
      <c r="F3965" s="1" t="s">
        <v>16029</v>
      </c>
      <c r="H3965" s="3">
        <v>5.0</v>
      </c>
      <c r="I3965" s="4" t="s">
        <v>16513</v>
      </c>
      <c r="J3965" s="1"/>
      <c r="K3965" s="1" t="s">
        <v>323</v>
      </c>
    </row>
    <row r="3966">
      <c r="A3966" s="1" t="s">
        <v>16514</v>
      </c>
      <c r="B3966" s="1" t="s">
        <v>16515</v>
      </c>
      <c r="C3966" s="1">
        <v>2016.0</v>
      </c>
      <c r="D3966" s="2">
        <v>42555.0</v>
      </c>
      <c r="F3966" s="1" t="s">
        <v>59</v>
      </c>
      <c r="H3966" s="3">
        <v>58.0</v>
      </c>
      <c r="I3966" s="4" t="s">
        <v>16516</v>
      </c>
      <c r="J3966" s="1" t="s">
        <v>16517</v>
      </c>
      <c r="K3966" s="1" t="s">
        <v>2053</v>
      </c>
    </row>
    <row r="3967">
      <c r="A3967" s="1" t="s">
        <v>16518</v>
      </c>
      <c r="B3967" s="1" t="s">
        <v>16519</v>
      </c>
      <c r="C3967" s="1">
        <v>2016.0</v>
      </c>
      <c r="D3967" s="2">
        <v>42553.0</v>
      </c>
      <c r="F3967" s="1" t="s">
        <v>11621</v>
      </c>
      <c r="H3967" s="3">
        <v>4.0</v>
      </c>
      <c r="I3967" s="4" t="s">
        <v>16520</v>
      </c>
      <c r="J3967" s="1" t="s">
        <v>16521</v>
      </c>
      <c r="K3967" s="1" t="s">
        <v>295</v>
      </c>
    </row>
    <row r="3968">
      <c r="A3968" s="1" t="s">
        <v>16522</v>
      </c>
      <c r="B3968" s="1" t="s">
        <v>16523</v>
      </c>
      <c r="C3968" s="1">
        <v>2016.0</v>
      </c>
      <c r="D3968" s="2">
        <v>42552.0</v>
      </c>
      <c r="F3968" s="1" t="s">
        <v>4054</v>
      </c>
      <c r="H3968" s="3">
        <v>9.0</v>
      </c>
      <c r="I3968" s="4" t="s">
        <v>16524</v>
      </c>
      <c r="J3968" s="1" t="s">
        <v>16525</v>
      </c>
      <c r="K3968" s="1" t="s">
        <v>323</v>
      </c>
    </row>
    <row r="3969">
      <c r="A3969" s="1" t="s">
        <v>16526</v>
      </c>
      <c r="B3969" s="1" t="s">
        <v>16527</v>
      </c>
      <c r="C3969" s="1">
        <v>2016.0</v>
      </c>
      <c r="D3969" s="2">
        <v>42552.0</v>
      </c>
      <c r="F3969" s="1" t="s">
        <v>1592</v>
      </c>
      <c r="H3969" s="3">
        <v>13.0</v>
      </c>
      <c r="I3969" s="4" t="s">
        <v>16528</v>
      </c>
      <c r="J3969" s="1" t="s">
        <v>16529</v>
      </c>
      <c r="K3969" s="1" t="s">
        <v>323</v>
      </c>
    </row>
    <row r="3970">
      <c r="A3970" s="1" t="s">
        <v>16530</v>
      </c>
      <c r="B3970" s="1" t="s">
        <v>16531</v>
      </c>
      <c r="C3970" s="1">
        <v>2016.0</v>
      </c>
      <c r="D3970" s="2">
        <v>42551.0</v>
      </c>
      <c r="F3970" s="1" t="s">
        <v>2017</v>
      </c>
      <c r="H3970" s="3">
        <v>73.0</v>
      </c>
      <c r="I3970" s="4" t="s">
        <v>16532</v>
      </c>
      <c r="J3970" s="1" t="s">
        <v>16533</v>
      </c>
      <c r="K3970" s="1" t="s">
        <v>68</v>
      </c>
    </row>
    <row r="3971">
      <c r="A3971" s="1" t="s">
        <v>16534</v>
      </c>
      <c r="B3971" s="1" t="s">
        <v>16535</v>
      </c>
      <c r="C3971" s="1">
        <v>2016.0</v>
      </c>
      <c r="D3971" s="2">
        <v>42551.0</v>
      </c>
      <c r="F3971" s="1" t="s">
        <v>16536</v>
      </c>
      <c r="H3971" s="3">
        <v>22.0</v>
      </c>
      <c r="I3971" s="4" t="s">
        <v>16537</v>
      </c>
      <c r="J3971" s="1" t="s">
        <v>16538</v>
      </c>
      <c r="K3971" s="1" t="s">
        <v>16</v>
      </c>
    </row>
    <row r="3972">
      <c r="A3972" s="1" t="s">
        <v>16539</v>
      </c>
      <c r="B3972" s="1" t="s">
        <v>16540</v>
      </c>
      <c r="C3972" s="1">
        <v>2016.0</v>
      </c>
      <c r="D3972" s="2">
        <v>42549.0</v>
      </c>
      <c r="F3972" s="1" t="s">
        <v>15114</v>
      </c>
      <c r="H3972" s="3">
        <v>23.0</v>
      </c>
      <c r="I3972" s="4" t="s">
        <v>16541</v>
      </c>
      <c r="J3972" s="1" t="s">
        <v>16542</v>
      </c>
      <c r="K3972" s="1" t="s">
        <v>1036</v>
      </c>
    </row>
    <row r="3973">
      <c r="A3973" s="1" t="s">
        <v>16543</v>
      </c>
      <c r="B3973" s="1" t="s">
        <v>16544</v>
      </c>
      <c r="C3973" s="1">
        <v>2016.0</v>
      </c>
      <c r="D3973" s="2">
        <v>42545.0</v>
      </c>
      <c r="F3973" s="1" t="s">
        <v>2151</v>
      </c>
      <c r="H3973" s="3">
        <v>7.0</v>
      </c>
      <c r="I3973" s="4" t="s">
        <v>16545</v>
      </c>
      <c r="J3973" s="1" t="s">
        <v>16546</v>
      </c>
      <c r="K3973" s="1" t="s">
        <v>45</v>
      </c>
    </row>
    <row r="3974">
      <c r="A3974" s="1" t="s">
        <v>16547</v>
      </c>
      <c r="B3974" s="1" t="s">
        <v>16548</v>
      </c>
      <c r="C3974" s="1">
        <v>2016.0</v>
      </c>
      <c r="D3974" s="2">
        <v>42544.0</v>
      </c>
      <c r="F3974" s="1" t="s">
        <v>1358</v>
      </c>
      <c r="H3974" s="3">
        <v>0.0</v>
      </c>
      <c r="I3974" s="4" t="s">
        <v>16549</v>
      </c>
      <c r="J3974" s="1"/>
      <c r="K3974" s="1" t="s">
        <v>28</v>
      </c>
    </row>
    <row r="3975">
      <c r="A3975" s="1" t="s">
        <v>16550</v>
      </c>
      <c r="B3975" s="1" t="s">
        <v>16551</v>
      </c>
      <c r="C3975" s="1">
        <v>2016.0</v>
      </c>
      <c r="D3975" s="2">
        <v>42543.0</v>
      </c>
      <c r="F3975" s="1" t="s">
        <v>396</v>
      </c>
      <c r="H3975" s="3">
        <v>288.0</v>
      </c>
      <c r="I3975" s="4" t="s">
        <v>16552</v>
      </c>
      <c r="J3975" s="1" t="s">
        <v>16553</v>
      </c>
      <c r="K3975" s="1" t="s">
        <v>28</v>
      </c>
    </row>
    <row r="3976">
      <c r="A3976" s="1" t="s">
        <v>16554</v>
      </c>
      <c r="B3976" s="1" t="s">
        <v>16555</v>
      </c>
      <c r="C3976" s="1">
        <v>2016.0</v>
      </c>
      <c r="D3976" s="2">
        <v>42541.0</v>
      </c>
      <c r="F3976" s="1" t="s">
        <v>16556</v>
      </c>
      <c r="H3976" s="3">
        <v>0.0</v>
      </c>
      <c r="I3976" s="4" t="s">
        <v>16557</v>
      </c>
      <c r="J3976" s="1"/>
      <c r="K3976" s="1" t="s">
        <v>443</v>
      </c>
    </row>
    <row r="3977">
      <c r="A3977" s="1" t="s">
        <v>16558</v>
      </c>
      <c r="B3977" s="1" t="s">
        <v>16559</v>
      </c>
      <c r="C3977" s="1">
        <v>2016.0</v>
      </c>
      <c r="D3977" s="2">
        <v>42541.0</v>
      </c>
      <c r="F3977" s="1" t="s">
        <v>71</v>
      </c>
      <c r="H3977" s="3">
        <v>18.0</v>
      </c>
      <c r="I3977" s="4" t="s">
        <v>16560</v>
      </c>
      <c r="J3977" s="1" t="s">
        <v>16561</v>
      </c>
      <c r="K3977" s="1" t="s">
        <v>462</v>
      </c>
    </row>
    <row r="3978">
      <c r="A3978" s="1" t="s">
        <v>16562</v>
      </c>
      <c r="B3978" s="1" t="s">
        <v>16563</v>
      </c>
      <c r="C3978" s="1">
        <v>2016.0</v>
      </c>
      <c r="D3978" s="2">
        <v>42540.0</v>
      </c>
      <c r="F3978" s="1" t="s">
        <v>4980</v>
      </c>
      <c r="H3978" s="3">
        <v>32.0</v>
      </c>
      <c r="I3978" s="4" t="s">
        <v>16564</v>
      </c>
      <c r="J3978" s="1" t="s">
        <v>16565</v>
      </c>
      <c r="K3978" s="1" t="s">
        <v>16</v>
      </c>
    </row>
    <row r="3979">
      <c r="A3979" s="1" t="s">
        <v>16566</v>
      </c>
      <c r="B3979" s="1" t="s">
        <v>16567</v>
      </c>
      <c r="C3979" s="1">
        <v>2016.0</v>
      </c>
      <c r="D3979" s="2">
        <v>42538.0</v>
      </c>
      <c r="F3979" s="1" t="s">
        <v>629</v>
      </c>
      <c r="H3979" s="3">
        <v>16.0</v>
      </c>
      <c r="I3979" s="4" t="s">
        <v>16568</v>
      </c>
      <c r="J3979" s="1" t="s">
        <v>16569</v>
      </c>
      <c r="K3979" s="1" t="s">
        <v>28</v>
      </c>
    </row>
    <row r="3980">
      <c r="A3980" s="1" t="s">
        <v>16570</v>
      </c>
      <c r="B3980" s="1" t="s">
        <v>16571</v>
      </c>
      <c r="C3980" s="1">
        <v>2016.0</v>
      </c>
      <c r="D3980" s="2">
        <v>42537.0</v>
      </c>
      <c r="F3980" s="1" t="s">
        <v>271</v>
      </c>
      <c r="H3980" s="3">
        <v>20.0</v>
      </c>
      <c r="I3980" s="4" t="s">
        <v>16572</v>
      </c>
      <c r="J3980" s="1" t="s">
        <v>16573</v>
      </c>
      <c r="K3980" s="1" t="s">
        <v>28</v>
      </c>
    </row>
    <row r="3981">
      <c r="A3981" s="1" t="s">
        <v>16574</v>
      </c>
      <c r="B3981" s="1" t="s">
        <v>16575</v>
      </c>
      <c r="C3981" s="1">
        <v>2016.0</v>
      </c>
      <c r="D3981" s="2">
        <v>42537.0</v>
      </c>
      <c r="F3981" s="1" t="s">
        <v>11395</v>
      </c>
      <c r="H3981" s="3">
        <v>2.0</v>
      </c>
      <c r="I3981" s="4" t="s">
        <v>16576</v>
      </c>
      <c r="J3981" s="1" t="s">
        <v>16577</v>
      </c>
      <c r="K3981" s="1" t="s">
        <v>413</v>
      </c>
    </row>
    <row r="3982">
      <c r="A3982" s="1" t="s">
        <v>16578</v>
      </c>
      <c r="B3982" s="1" t="s">
        <v>16579</v>
      </c>
      <c r="C3982" s="1">
        <v>2016.0</v>
      </c>
      <c r="D3982" s="2">
        <v>42537.0</v>
      </c>
      <c r="F3982" s="1" t="s">
        <v>16580</v>
      </c>
      <c r="H3982" s="3">
        <v>39.0</v>
      </c>
      <c r="I3982" s="4" t="s">
        <v>16581</v>
      </c>
      <c r="J3982" s="1" t="s">
        <v>16582</v>
      </c>
      <c r="K3982" s="1" t="s">
        <v>68</v>
      </c>
    </row>
    <row r="3983">
      <c r="A3983" s="1" t="s">
        <v>16583</v>
      </c>
      <c r="B3983" s="1" t="s">
        <v>16584</v>
      </c>
      <c r="C3983" s="1">
        <v>2016.0</v>
      </c>
      <c r="D3983" s="2">
        <v>42535.0</v>
      </c>
      <c r="F3983" s="1" t="s">
        <v>208</v>
      </c>
      <c r="H3983" s="3">
        <v>15.0</v>
      </c>
      <c r="I3983" s="4" t="s">
        <v>16585</v>
      </c>
      <c r="J3983" s="1" t="s">
        <v>16586</v>
      </c>
      <c r="K3983" s="1" t="s">
        <v>28</v>
      </c>
    </row>
    <row r="3984">
      <c r="A3984" s="1" t="s">
        <v>16587</v>
      </c>
      <c r="B3984" s="1" t="s">
        <v>16588</v>
      </c>
      <c r="C3984" s="1">
        <v>2016.0</v>
      </c>
      <c r="D3984" s="2">
        <v>42535.0</v>
      </c>
      <c r="F3984" s="1" t="s">
        <v>13</v>
      </c>
      <c r="H3984" s="3">
        <v>42.0</v>
      </c>
      <c r="I3984" s="4" t="s">
        <v>16589</v>
      </c>
      <c r="J3984" s="1" t="s">
        <v>16590</v>
      </c>
      <c r="K3984" s="1" t="s">
        <v>16</v>
      </c>
    </row>
    <row r="3985">
      <c r="A3985" s="1" t="s">
        <v>16591</v>
      </c>
      <c r="B3985" s="1" t="s">
        <v>16592</v>
      </c>
      <c r="C3985" s="1">
        <v>2016.0</v>
      </c>
      <c r="D3985" s="2">
        <v>42534.0</v>
      </c>
      <c r="F3985" s="1" t="s">
        <v>12240</v>
      </c>
      <c r="H3985" s="3">
        <v>41.0</v>
      </c>
      <c r="I3985" s="4" t="s">
        <v>16593</v>
      </c>
      <c r="J3985" s="1" t="s">
        <v>16594</v>
      </c>
      <c r="K3985" s="1" t="s">
        <v>546</v>
      </c>
    </row>
    <row r="3986">
      <c r="A3986" s="1" t="s">
        <v>16595</v>
      </c>
      <c r="B3986" s="1" t="s">
        <v>16596</v>
      </c>
      <c r="C3986" s="1">
        <v>2016.0</v>
      </c>
      <c r="D3986" s="2">
        <v>42534.0</v>
      </c>
      <c r="F3986" s="1" t="s">
        <v>9251</v>
      </c>
      <c r="H3986" s="3">
        <v>61.0</v>
      </c>
      <c r="I3986" s="4" t="s">
        <v>16597</v>
      </c>
      <c r="J3986" s="1" t="s">
        <v>16598</v>
      </c>
      <c r="K3986" s="1" t="s">
        <v>16</v>
      </c>
    </row>
    <row r="3987">
      <c r="A3987" s="1" t="s">
        <v>16599</v>
      </c>
      <c r="B3987" s="1" t="s">
        <v>16600</v>
      </c>
      <c r="C3987" s="1">
        <v>2016.0</v>
      </c>
      <c r="D3987" s="2">
        <v>42533.0</v>
      </c>
      <c r="F3987" s="1" t="s">
        <v>248</v>
      </c>
      <c r="H3987" s="3">
        <v>33.0</v>
      </c>
      <c r="I3987" s="4" t="s">
        <v>16601</v>
      </c>
      <c r="J3987" s="1" t="s">
        <v>16602</v>
      </c>
      <c r="K3987" s="1" t="s">
        <v>1423</v>
      </c>
    </row>
    <row r="3988">
      <c r="A3988" s="1" t="s">
        <v>16603</v>
      </c>
      <c r="B3988" s="1" t="s">
        <v>16604</v>
      </c>
      <c r="C3988" s="1">
        <v>2016.0</v>
      </c>
      <c r="D3988" s="2">
        <v>42533.0</v>
      </c>
      <c r="F3988" s="1" t="s">
        <v>2611</v>
      </c>
      <c r="H3988" s="3">
        <v>1.0</v>
      </c>
      <c r="I3988" s="4" t="s">
        <v>16605</v>
      </c>
      <c r="J3988" s="1"/>
      <c r="K3988" s="1" t="s">
        <v>68</v>
      </c>
    </row>
    <row r="3989">
      <c r="A3989" s="1" t="s">
        <v>16606</v>
      </c>
      <c r="B3989" s="1" t="s">
        <v>16607</v>
      </c>
      <c r="C3989" s="1">
        <v>2016.0</v>
      </c>
      <c r="D3989" s="2">
        <v>42528.0</v>
      </c>
      <c r="F3989" s="1" t="s">
        <v>6406</v>
      </c>
      <c r="H3989" s="3">
        <v>21.0</v>
      </c>
      <c r="I3989" s="4" t="s">
        <v>16608</v>
      </c>
      <c r="J3989" s="1" t="s">
        <v>16609</v>
      </c>
      <c r="K3989" s="1" t="s">
        <v>323</v>
      </c>
    </row>
    <row r="3990">
      <c r="A3990" s="1" t="s">
        <v>16610</v>
      </c>
      <c r="B3990" s="1" t="s">
        <v>16611</v>
      </c>
      <c r="C3990" s="1">
        <v>2016.0</v>
      </c>
      <c r="D3990" s="2">
        <v>42528.0</v>
      </c>
      <c r="F3990" s="1" t="s">
        <v>16612</v>
      </c>
      <c r="H3990" s="3">
        <v>48.0</v>
      </c>
      <c r="I3990" s="4" t="s">
        <v>16613</v>
      </c>
      <c r="J3990" s="1" t="s">
        <v>16614</v>
      </c>
      <c r="K3990" s="1" t="s">
        <v>28</v>
      </c>
    </row>
    <row r="3991">
      <c r="A3991" s="1" t="s">
        <v>16615</v>
      </c>
      <c r="B3991" s="1" t="s">
        <v>16616</v>
      </c>
      <c r="C3991" s="1">
        <v>2016.0</v>
      </c>
      <c r="D3991" s="2">
        <v>42527.0</v>
      </c>
      <c r="F3991" s="1" t="s">
        <v>15911</v>
      </c>
      <c r="H3991" s="3">
        <v>18.0</v>
      </c>
      <c r="I3991" s="4" t="s">
        <v>16617</v>
      </c>
      <c r="J3991" s="1" t="s">
        <v>16618</v>
      </c>
      <c r="K3991" s="1" t="s">
        <v>16</v>
      </c>
    </row>
    <row r="3992">
      <c r="A3992" s="1" t="s">
        <v>16619</v>
      </c>
      <c r="B3992" s="1" t="s">
        <v>16620</v>
      </c>
      <c r="C3992" s="1">
        <v>2016.0</v>
      </c>
      <c r="D3992" s="2">
        <v>42525.0</v>
      </c>
      <c r="F3992" s="1" t="s">
        <v>16621</v>
      </c>
      <c r="H3992" s="3">
        <v>15.0</v>
      </c>
      <c r="I3992" s="4" t="s">
        <v>16622</v>
      </c>
      <c r="J3992" s="1" t="s">
        <v>16623</v>
      </c>
      <c r="K3992" s="1" t="s">
        <v>323</v>
      </c>
    </row>
    <row r="3993">
      <c r="A3993" s="1" t="s">
        <v>16624</v>
      </c>
      <c r="B3993" s="1" t="s">
        <v>16625</v>
      </c>
      <c r="C3993" s="1">
        <v>2016.0</v>
      </c>
      <c r="D3993" s="2">
        <v>42523.0</v>
      </c>
      <c r="F3993" s="1" t="s">
        <v>15768</v>
      </c>
      <c r="H3993" s="3">
        <v>9.0</v>
      </c>
      <c r="I3993" s="4" t="s">
        <v>16626</v>
      </c>
      <c r="J3993" s="1" t="s">
        <v>16627</v>
      </c>
      <c r="K3993" s="1" t="s">
        <v>413</v>
      </c>
    </row>
    <row r="3994">
      <c r="A3994" s="1" t="s">
        <v>16628</v>
      </c>
      <c r="B3994" s="1" t="s">
        <v>16629</v>
      </c>
      <c r="C3994" s="1">
        <v>2016.0</v>
      </c>
      <c r="D3994" s="2">
        <v>42523.0</v>
      </c>
      <c r="F3994" s="1" t="s">
        <v>1859</v>
      </c>
      <c r="H3994" s="3">
        <v>4.0</v>
      </c>
      <c r="I3994" s="4" t="s">
        <v>16630</v>
      </c>
      <c r="J3994" s="1" t="s">
        <v>16631</v>
      </c>
      <c r="K3994" s="1" t="s">
        <v>16</v>
      </c>
    </row>
    <row r="3995">
      <c r="A3995" s="1" t="s">
        <v>16632</v>
      </c>
      <c r="B3995" s="1" t="s">
        <v>16633</v>
      </c>
      <c r="C3995" s="1">
        <v>2016.0</v>
      </c>
      <c r="D3995" s="2">
        <v>42522.0</v>
      </c>
      <c r="F3995" s="1" t="s">
        <v>16634</v>
      </c>
      <c r="H3995" s="3">
        <v>4.0</v>
      </c>
      <c r="I3995" s="4" t="s">
        <v>16635</v>
      </c>
      <c r="J3995" s="1" t="s">
        <v>16636</v>
      </c>
      <c r="K3995" s="1" t="s">
        <v>492</v>
      </c>
    </row>
    <row r="3996">
      <c r="A3996" s="1" t="s">
        <v>16637</v>
      </c>
      <c r="B3996" s="1" t="s">
        <v>16638</v>
      </c>
      <c r="C3996" s="1">
        <v>2016.0</v>
      </c>
      <c r="D3996" s="2">
        <v>42522.0</v>
      </c>
      <c r="F3996" s="1" t="s">
        <v>5815</v>
      </c>
      <c r="H3996" s="3">
        <v>12.0</v>
      </c>
      <c r="I3996" s="4" t="s">
        <v>16639</v>
      </c>
      <c r="J3996" s="1" t="s">
        <v>16640</v>
      </c>
      <c r="K3996" s="1" t="s">
        <v>28</v>
      </c>
    </row>
    <row r="3997">
      <c r="A3997" s="1" t="s">
        <v>16641</v>
      </c>
      <c r="B3997" s="1" t="s">
        <v>16642</v>
      </c>
      <c r="C3997" s="1">
        <v>2016.0</v>
      </c>
      <c r="D3997" s="2">
        <v>42522.0</v>
      </c>
      <c r="F3997" s="1" t="s">
        <v>16643</v>
      </c>
      <c r="H3997" s="3">
        <v>5.0</v>
      </c>
      <c r="I3997" s="4" t="s">
        <v>16644</v>
      </c>
      <c r="J3997" s="1" t="s">
        <v>16645</v>
      </c>
      <c r="K3997" s="1" t="s">
        <v>323</v>
      </c>
    </row>
    <row r="3998">
      <c r="A3998" s="1" t="s">
        <v>16646</v>
      </c>
      <c r="B3998" s="1" t="s">
        <v>16647</v>
      </c>
      <c r="C3998" s="1">
        <v>2016.0</v>
      </c>
      <c r="D3998" s="2">
        <v>42522.0</v>
      </c>
      <c r="F3998" s="1" t="s">
        <v>16648</v>
      </c>
      <c r="H3998" s="3">
        <v>6.0</v>
      </c>
      <c r="I3998" s="4" t="s">
        <v>16649</v>
      </c>
      <c r="J3998" s="1" t="s">
        <v>16650</v>
      </c>
      <c r="K3998" s="1" t="s">
        <v>16</v>
      </c>
    </row>
    <row r="3999">
      <c r="A3999" s="1" t="s">
        <v>16651</v>
      </c>
      <c r="B3999" s="1" t="s">
        <v>16652</v>
      </c>
      <c r="C3999" s="1">
        <v>2016.0</v>
      </c>
      <c r="D3999" s="2">
        <v>42522.0</v>
      </c>
      <c r="F3999" s="1" t="s">
        <v>16653</v>
      </c>
      <c r="H3999" s="3">
        <v>45.0</v>
      </c>
      <c r="I3999" s="4" t="s">
        <v>16654</v>
      </c>
      <c r="J3999" s="1" t="s">
        <v>16655</v>
      </c>
      <c r="K3999" s="1" t="s">
        <v>16</v>
      </c>
    </row>
    <row r="4000">
      <c r="A4000" s="1" t="s">
        <v>16656</v>
      </c>
      <c r="B4000" s="1" t="s">
        <v>16657</v>
      </c>
      <c r="C4000" s="1">
        <v>2016.0</v>
      </c>
      <c r="D4000" s="2">
        <v>42521.0</v>
      </c>
      <c r="F4000" s="1" t="s">
        <v>71</v>
      </c>
      <c r="H4000" s="3">
        <v>18.0</v>
      </c>
      <c r="I4000" s="4" t="s">
        <v>16658</v>
      </c>
      <c r="J4000" s="1" t="s">
        <v>16659</v>
      </c>
      <c r="K4000" s="1" t="s">
        <v>492</v>
      </c>
    </row>
    <row r="4001">
      <c r="A4001" s="1" t="s">
        <v>16660</v>
      </c>
      <c r="B4001" s="1" t="s">
        <v>16661</v>
      </c>
      <c r="C4001" s="1">
        <v>2016.0</v>
      </c>
      <c r="D4001" s="2">
        <v>42521.0</v>
      </c>
      <c r="F4001" s="1" t="s">
        <v>877</v>
      </c>
      <c r="H4001" s="3">
        <v>54.0</v>
      </c>
      <c r="I4001" s="4" t="s">
        <v>16662</v>
      </c>
      <c r="J4001" s="1" t="s">
        <v>16663</v>
      </c>
      <c r="K4001" s="1" t="s">
        <v>1036</v>
      </c>
    </row>
    <row r="4002">
      <c r="A4002" s="1" t="s">
        <v>16664</v>
      </c>
      <c r="B4002" s="1" t="s">
        <v>16665</v>
      </c>
      <c r="C4002" s="1">
        <v>2016.0</v>
      </c>
      <c r="D4002" s="2">
        <v>42520.0</v>
      </c>
      <c r="F4002" s="1" t="s">
        <v>410</v>
      </c>
      <c r="H4002" s="3">
        <v>9.0</v>
      </c>
      <c r="I4002" s="4" t="s">
        <v>16666</v>
      </c>
      <c r="J4002" s="1" t="s">
        <v>16667</v>
      </c>
      <c r="K4002" s="1" t="s">
        <v>295</v>
      </c>
    </row>
    <row r="4003">
      <c r="A4003" s="1" t="s">
        <v>16668</v>
      </c>
      <c r="B4003" s="1" t="s">
        <v>16669</v>
      </c>
      <c r="C4003" s="1">
        <v>2016.0</v>
      </c>
      <c r="D4003" s="2">
        <v>42516.0</v>
      </c>
      <c r="F4003" s="1" t="s">
        <v>16670</v>
      </c>
      <c r="H4003" s="3">
        <v>28.0</v>
      </c>
      <c r="I4003" s="4" t="s">
        <v>16671</v>
      </c>
      <c r="J4003" s="1" t="s">
        <v>16672</v>
      </c>
      <c r="K4003" s="1" t="s">
        <v>443</v>
      </c>
    </row>
    <row r="4004">
      <c r="A4004" s="1" t="s">
        <v>16673</v>
      </c>
      <c r="B4004" s="1" t="s">
        <v>16674</v>
      </c>
      <c r="C4004" s="1">
        <v>2016.0</v>
      </c>
      <c r="D4004" s="2">
        <v>42516.0</v>
      </c>
      <c r="F4004" s="1" t="s">
        <v>4848</v>
      </c>
      <c r="H4004" s="3">
        <v>32.0</v>
      </c>
      <c r="I4004" s="4" t="s">
        <v>16675</v>
      </c>
      <c r="J4004" s="1" t="s">
        <v>16676</v>
      </c>
      <c r="K4004" s="1" t="s">
        <v>323</v>
      </c>
    </row>
    <row r="4005">
      <c r="A4005" s="1" t="s">
        <v>16677</v>
      </c>
      <c r="B4005" s="1" t="s">
        <v>16678</v>
      </c>
      <c r="C4005" s="1">
        <v>2016.0</v>
      </c>
      <c r="D4005" s="2">
        <v>42515.0</v>
      </c>
      <c r="F4005" s="1" t="s">
        <v>12240</v>
      </c>
      <c r="H4005" s="3">
        <v>38.0</v>
      </c>
      <c r="I4005" s="4" t="s">
        <v>16679</v>
      </c>
      <c r="J4005" s="1" t="s">
        <v>16680</v>
      </c>
      <c r="K4005" s="1" t="s">
        <v>546</v>
      </c>
    </row>
    <row r="4006">
      <c r="A4006" s="1" t="s">
        <v>16681</v>
      </c>
      <c r="B4006" s="1" t="s">
        <v>16682</v>
      </c>
      <c r="C4006" s="1">
        <v>2016.0</v>
      </c>
      <c r="D4006" s="2">
        <v>42514.0</v>
      </c>
      <c r="F4006" s="1" t="s">
        <v>59</v>
      </c>
      <c r="H4006" s="3">
        <v>45.0</v>
      </c>
      <c r="I4006" s="4" t="s">
        <v>16683</v>
      </c>
      <c r="J4006" s="1" t="s">
        <v>16684</v>
      </c>
      <c r="K4006" s="1" t="s">
        <v>443</v>
      </c>
    </row>
    <row r="4007">
      <c r="A4007" s="1" t="s">
        <v>16685</v>
      </c>
      <c r="B4007" s="1" t="s">
        <v>16686</v>
      </c>
      <c r="C4007" s="1">
        <v>2016.0</v>
      </c>
      <c r="D4007" s="2">
        <v>42514.0</v>
      </c>
      <c r="F4007" s="1" t="s">
        <v>3926</v>
      </c>
      <c r="H4007" s="3">
        <v>10.0</v>
      </c>
      <c r="I4007" s="4" t="s">
        <v>16687</v>
      </c>
      <c r="J4007" s="1" t="s">
        <v>16688</v>
      </c>
      <c r="K4007" s="1" t="s">
        <v>329</v>
      </c>
    </row>
    <row r="4008">
      <c r="A4008" s="1" t="s">
        <v>16689</v>
      </c>
      <c r="B4008" s="1" t="s">
        <v>16108</v>
      </c>
      <c r="C4008" s="1">
        <v>2016.0</v>
      </c>
      <c r="D4008" s="2">
        <v>42513.0</v>
      </c>
      <c r="F4008" s="1" t="s">
        <v>337</v>
      </c>
      <c r="H4008" s="3">
        <v>28.0</v>
      </c>
      <c r="I4008" s="4" t="s">
        <v>16690</v>
      </c>
      <c r="J4008" s="1" t="s">
        <v>16691</v>
      </c>
      <c r="K4008" s="1" t="s">
        <v>295</v>
      </c>
    </row>
    <row r="4009">
      <c r="A4009" s="1" t="s">
        <v>16692</v>
      </c>
      <c r="B4009" s="1" t="s">
        <v>16693</v>
      </c>
      <c r="C4009" s="1">
        <v>2016.0</v>
      </c>
      <c r="D4009" s="2">
        <v>42513.0</v>
      </c>
      <c r="F4009" s="1" t="s">
        <v>12240</v>
      </c>
      <c r="H4009" s="3">
        <v>301.0</v>
      </c>
      <c r="I4009" s="4" t="s">
        <v>16694</v>
      </c>
      <c r="J4009" s="1" t="s">
        <v>16695</v>
      </c>
      <c r="K4009" s="1" t="s">
        <v>546</v>
      </c>
    </row>
    <row r="4010">
      <c r="A4010" s="1" t="s">
        <v>16696</v>
      </c>
      <c r="B4010" s="1" t="s">
        <v>16678</v>
      </c>
      <c r="C4010" s="1">
        <v>2016.0</v>
      </c>
      <c r="D4010" s="2">
        <v>42513.0</v>
      </c>
      <c r="F4010" s="1" t="s">
        <v>12240</v>
      </c>
      <c r="H4010" s="3">
        <v>79.0</v>
      </c>
      <c r="I4010" s="4" t="s">
        <v>16697</v>
      </c>
      <c r="J4010" s="1" t="s">
        <v>16698</v>
      </c>
      <c r="K4010" s="1" t="s">
        <v>546</v>
      </c>
    </row>
    <row r="4011">
      <c r="A4011" s="1" t="s">
        <v>16699</v>
      </c>
      <c r="B4011" s="1" t="s">
        <v>16095</v>
      </c>
      <c r="C4011" s="1">
        <v>2016.0</v>
      </c>
      <c r="D4011" s="2">
        <v>42510.0</v>
      </c>
      <c r="F4011" s="1" t="s">
        <v>12240</v>
      </c>
      <c r="H4011" s="3">
        <v>50.0</v>
      </c>
      <c r="I4011" s="4" t="s">
        <v>16700</v>
      </c>
      <c r="J4011" s="1" t="s">
        <v>16701</v>
      </c>
      <c r="K4011" s="1" t="s">
        <v>546</v>
      </c>
    </row>
    <row r="4012">
      <c r="A4012" s="1" t="s">
        <v>16702</v>
      </c>
      <c r="B4012" s="1" t="s">
        <v>16703</v>
      </c>
      <c r="C4012" s="1">
        <v>2016.0</v>
      </c>
      <c r="D4012" s="2">
        <v>42510.0</v>
      </c>
      <c r="F4012" s="1" t="s">
        <v>71</v>
      </c>
      <c r="H4012" s="3">
        <v>20.0</v>
      </c>
      <c r="I4012" s="4" t="s">
        <v>16704</v>
      </c>
      <c r="J4012" s="1" t="s">
        <v>16705</v>
      </c>
      <c r="K4012" s="1" t="s">
        <v>926</v>
      </c>
    </row>
    <row r="4013">
      <c r="A4013" s="1" t="s">
        <v>16706</v>
      </c>
      <c r="B4013" s="1" t="s">
        <v>16707</v>
      </c>
      <c r="C4013" s="1">
        <v>2016.0</v>
      </c>
      <c r="D4013" s="2">
        <v>42508.0</v>
      </c>
      <c r="F4013" s="1" t="s">
        <v>16708</v>
      </c>
      <c r="H4013" s="3">
        <v>31.0</v>
      </c>
      <c r="I4013" s="4" t="s">
        <v>16709</v>
      </c>
      <c r="J4013" s="1" t="s">
        <v>16710</v>
      </c>
      <c r="K4013" s="1" t="s">
        <v>45</v>
      </c>
    </row>
    <row r="4014">
      <c r="A4014" s="1" t="s">
        <v>16711</v>
      </c>
      <c r="B4014" s="1" t="s">
        <v>16712</v>
      </c>
      <c r="C4014" s="1">
        <v>2016.0</v>
      </c>
      <c r="D4014" s="2">
        <v>42508.0</v>
      </c>
      <c r="F4014" s="1" t="s">
        <v>882</v>
      </c>
      <c r="H4014" s="3">
        <v>295.0</v>
      </c>
      <c r="I4014" s="4" t="s">
        <v>16713</v>
      </c>
      <c r="J4014" s="1" t="s">
        <v>16714</v>
      </c>
      <c r="K4014" s="1" t="s">
        <v>28</v>
      </c>
    </row>
    <row r="4015">
      <c r="A4015" s="1" t="s">
        <v>16715</v>
      </c>
      <c r="B4015" s="1" t="s">
        <v>16716</v>
      </c>
      <c r="C4015" s="1">
        <v>2016.0</v>
      </c>
      <c r="D4015" s="2">
        <v>42506.0</v>
      </c>
      <c r="F4015" s="1" t="s">
        <v>396</v>
      </c>
      <c r="H4015" s="3">
        <v>497.0</v>
      </c>
      <c r="I4015" s="4" t="s">
        <v>16717</v>
      </c>
      <c r="J4015" s="1" t="s">
        <v>16718</v>
      </c>
      <c r="K4015" s="1" t="s">
        <v>443</v>
      </c>
    </row>
    <row r="4016">
      <c r="A4016" s="1" t="s">
        <v>16719</v>
      </c>
      <c r="B4016" s="1" t="s">
        <v>16720</v>
      </c>
      <c r="C4016" s="1">
        <v>2016.0</v>
      </c>
      <c r="D4016" s="2">
        <v>42506.0</v>
      </c>
      <c r="F4016" s="1" t="s">
        <v>3430</v>
      </c>
      <c r="H4016" s="3">
        <v>12.0</v>
      </c>
      <c r="I4016" s="4" t="s">
        <v>16721</v>
      </c>
      <c r="J4016" s="1" t="s">
        <v>16722</v>
      </c>
      <c r="K4016" s="1" t="s">
        <v>295</v>
      </c>
    </row>
    <row r="4017">
      <c r="A4017" s="1" t="s">
        <v>16723</v>
      </c>
      <c r="B4017" s="1" t="s">
        <v>16724</v>
      </c>
      <c r="C4017" s="1">
        <v>2016.0</v>
      </c>
      <c r="D4017" s="2">
        <v>42502.0</v>
      </c>
      <c r="F4017" s="1" t="s">
        <v>877</v>
      </c>
      <c r="H4017" s="3">
        <v>21.0</v>
      </c>
      <c r="I4017" s="4" t="s">
        <v>16725</v>
      </c>
      <c r="J4017" s="1" t="s">
        <v>16726</v>
      </c>
      <c r="K4017" s="1" t="s">
        <v>477</v>
      </c>
    </row>
    <row r="4018">
      <c r="A4018" s="1" t="s">
        <v>16727</v>
      </c>
      <c r="B4018" s="1" t="s">
        <v>16728</v>
      </c>
      <c r="C4018" s="1">
        <v>2016.0</v>
      </c>
      <c r="D4018" s="2">
        <v>42502.0</v>
      </c>
      <c r="F4018" s="1" t="s">
        <v>16729</v>
      </c>
      <c r="H4018" s="3">
        <v>58.0</v>
      </c>
      <c r="I4018" s="4" t="s">
        <v>16730</v>
      </c>
      <c r="J4018" s="1" t="s">
        <v>16731</v>
      </c>
      <c r="K4018" s="1" t="s">
        <v>323</v>
      </c>
    </row>
    <row r="4019">
      <c r="A4019" s="1" t="s">
        <v>16732</v>
      </c>
      <c r="B4019" s="1" t="s">
        <v>16733</v>
      </c>
      <c r="C4019" s="1">
        <v>2016.0</v>
      </c>
      <c r="D4019" s="2">
        <v>42502.0</v>
      </c>
      <c r="F4019" s="1" t="s">
        <v>7030</v>
      </c>
      <c r="H4019" s="3">
        <v>162.0</v>
      </c>
      <c r="I4019" s="4" t="s">
        <v>16734</v>
      </c>
      <c r="J4019" s="1" t="s">
        <v>16735</v>
      </c>
      <c r="K4019" s="1" t="s">
        <v>16</v>
      </c>
    </row>
    <row r="4020">
      <c r="A4020" s="1" t="s">
        <v>16736</v>
      </c>
      <c r="B4020" s="1" t="s">
        <v>16737</v>
      </c>
      <c r="C4020" s="1">
        <v>2016.0</v>
      </c>
      <c r="D4020" s="2">
        <v>42501.0</v>
      </c>
      <c r="F4020" s="1" t="s">
        <v>71</v>
      </c>
      <c r="H4020" s="3">
        <v>17.0</v>
      </c>
      <c r="I4020" s="4" t="s">
        <v>16738</v>
      </c>
      <c r="J4020" s="1" t="s">
        <v>16739</v>
      </c>
      <c r="K4020" s="1" t="s">
        <v>28</v>
      </c>
    </row>
    <row r="4021">
      <c r="A4021" s="1" t="s">
        <v>16740</v>
      </c>
      <c r="B4021" s="1" t="s">
        <v>16741</v>
      </c>
      <c r="C4021" s="1">
        <v>2016.0</v>
      </c>
      <c r="D4021" s="2">
        <v>42501.0</v>
      </c>
      <c r="F4021" s="1" t="s">
        <v>13895</v>
      </c>
      <c r="H4021" s="3">
        <v>11.0</v>
      </c>
      <c r="I4021" s="4" t="s">
        <v>16742</v>
      </c>
      <c r="J4021" s="1" t="s">
        <v>16743</v>
      </c>
      <c r="K4021" s="1" t="s">
        <v>477</v>
      </c>
    </row>
    <row r="4022">
      <c r="A4022" s="1" t="s">
        <v>16744</v>
      </c>
      <c r="B4022" s="1" t="s">
        <v>16745</v>
      </c>
      <c r="C4022" s="1">
        <v>2016.0</v>
      </c>
      <c r="D4022" s="2">
        <v>42499.0</v>
      </c>
      <c r="F4022" s="1" t="s">
        <v>308</v>
      </c>
      <c r="H4022" s="3">
        <v>28.0</v>
      </c>
      <c r="I4022" s="4" t="s">
        <v>16746</v>
      </c>
      <c r="J4022" s="1" t="s">
        <v>16747</v>
      </c>
      <c r="K4022" s="1" t="s">
        <v>443</v>
      </c>
    </row>
    <row r="4023">
      <c r="A4023" s="1" t="s">
        <v>16748</v>
      </c>
      <c r="B4023" s="1" t="s">
        <v>16749</v>
      </c>
      <c r="C4023" s="1">
        <v>2016.0</v>
      </c>
      <c r="D4023" s="2">
        <v>42497.0</v>
      </c>
      <c r="F4023" s="1" t="s">
        <v>8149</v>
      </c>
      <c r="H4023" s="3">
        <v>1.0</v>
      </c>
      <c r="I4023" s="4" t="s">
        <v>16750</v>
      </c>
      <c r="J4023" s="1" t="s">
        <v>16751</v>
      </c>
      <c r="K4023" s="1" t="s">
        <v>383</v>
      </c>
    </row>
    <row r="4024">
      <c r="A4024" s="1" t="s">
        <v>16752</v>
      </c>
      <c r="B4024" s="1" t="s">
        <v>16753</v>
      </c>
      <c r="C4024" s="1">
        <v>2016.0</v>
      </c>
      <c r="D4024" s="2">
        <v>42497.0</v>
      </c>
      <c r="F4024" s="1" t="s">
        <v>12240</v>
      </c>
      <c r="H4024" s="3">
        <v>49.0</v>
      </c>
      <c r="I4024" s="4" t="s">
        <v>16754</v>
      </c>
      <c r="J4024" s="1" t="s">
        <v>16755</v>
      </c>
      <c r="K4024" s="1" t="s">
        <v>546</v>
      </c>
    </row>
    <row r="4025">
      <c r="A4025" s="1" t="s">
        <v>16756</v>
      </c>
      <c r="B4025" s="1" t="s">
        <v>16757</v>
      </c>
      <c r="C4025" s="1">
        <v>2016.0</v>
      </c>
      <c r="D4025" s="2">
        <v>42497.0</v>
      </c>
      <c r="F4025" s="1" t="s">
        <v>208</v>
      </c>
      <c r="H4025" s="3">
        <v>9.0</v>
      </c>
      <c r="I4025" s="4" t="s">
        <v>16758</v>
      </c>
      <c r="J4025" s="1" t="s">
        <v>16759</v>
      </c>
      <c r="K4025" s="1" t="s">
        <v>16</v>
      </c>
    </row>
    <row r="4026">
      <c r="A4026" s="1" t="s">
        <v>16760</v>
      </c>
      <c r="B4026" s="1" t="s">
        <v>16761</v>
      </c>
      <c r="C4026" s="1">
        <v>2016.0</v>
      </c>
      <c r="D4026" s="2">
        <v>42496.0</v>
      </c>
      <c r="F4026" s="1" t="s">
        <v>59</v>
      </c>
      <c r="H4026" s="3">
        <v>8.0</v>
      </c>
      <c r="I4026" s="4" t="s">
        <v>16762</v>
      </c>
      <c r="J4026" s="1" t="s">
        <v>16763</v>
      </c>
      <c r="K4026" s="1" t="s">
        <v>443</v>
      </c>
    </row>
    <row r="4027">
      <c r="A4027" s="1" t="s">
        <v>16764</v>
      </c>
      <c r="B4027" s="1" t="s">
        <v>16765</v>
      </c>
      <c r="C4027" s="1">
        <v>2016.0</v>
      </c>
      <c r="D4027" s="2">
        <v>42496.0</v>
      </c>
      <c r="F4027" s="1" t="s">
        <v>484</v>
      </c>
      <c r="H4027" s="3">
        <v>20.0</v>
      </c>
      <c r="I4027" s="4" t="s">
        <v>16766</v>
      </c>
      <c r="J4027" s="1" t="s">
        <v>16767</v>
      </c>
      <c r="K4027" s="1" t="s">
        <v>28</v>
      </c>
    </row>
    <row r="4028">
      <c r="A4028" s="1" t="s">
        <v>16768</v>
      </c>
      <c r="B4028" s="1" t="s">
        <v>16769</v>
      </c>
      <c r="C4028" s="1">
        <v>2016.0</v>
      </c>
      <c r="D4028" s="2">
        <v>42496.0</v>
      </c>
      <c r="F4028" s="1" t="s">
        <v>5834</v>
      </c>
      <c r="H4028" s="3">
        <v>10.0</v>
      </c>
      <c r="I4028" s="4" t="s">
        <v>16770</v>
      </c>
      <c r="J4028" s="1" t="s">
        <v>16771</v>
      </c>
      <c r="K4028" s="1" t="s">
        <v>443</v>
      </c>
    </row>
    <row r="4029">
      <c r="A4029" s="1" t="s">
        <v>16772</v>
      </c>
      <c r="B4029" s="1" t="s">
        <v>16773</v>
      </c>
      <c r="C4029" s="1">
        <v>2016.0</v>
      </c>
      <c r="D4029" s="2">
        <v>42496.0</v>
      </c>
      <c r="F4029" s="1" t="s">
        <v>4063</v>
      </c>
      <c r="H4029" s="3">
        <v>38.0</v>
      </c>
      <c r="I4029" s="4" t="s">
        <v>16774</v>
      </c>
      <c r="J4029" s="1" t="s">
        <v>16775</v>
      </c>
      <c r="K4029" s="1" t="s">
        <v>28</v>
      </c>
    </row>
    <row r="4030">
      <c r="A4030" s="1" t="s">
        <v>16776</v>
      </c>
      <c r="B4030" s="1" t="s">
        <v>16777</v>
      </c>
      <c r="C4030" s="1">
        <v>2016.0</v>
      </c>
      <c r="D4030" s="2">
        <v>42494.0</v>
      </c>
      <c r="F4030" s="1" t="s">
        <v>2634</v>
      </c>
      <c r="H4030" s="3">
        <v>6.0</v>
      </c>
      <c r="I4030" s="4" t="s">
        <v>16778</v>
      </c>
      <c r="J4030" s="1" t="s">
        <v>16779</v>
      </c>
      <c r="K4030" s="1" t="s">
        <v>403</v>
      </c>
    </row>
    <row r="4031">
      <c r="A4031" s="1" t="s">
        <v>16780</v>
      </c>
      <c r="B4031" s="1" t="s">
        <v>16781</v>
      </c>
      <c r="C4031" s="1">
        <v>2016.0</v>
      </c>
      <c r="D4031" s="2">
        <v>42494.0</v>
      </c>
      <c r="F4031" s="1" t="s">
        <v>71</v>
      </c>
      <c r="H4031" s="3">
        <v>298.0</v>
      </c>
      <c r="I4031" s="4" t="s">
        <v>16782</v>
      </c>
      <c r="J4031" s="1" t="s">
        <v>16783</v>
      </c>
      <c r="K4031" s="1" t="s">
        <v>16</v>
      </c>
    </row>
    <row r="4032">
      <c r="A4032" s="1" t="s">
        <v>16784</v>
      </c>
      <c r="B4032" s="1" t="s">
        <v>16785</v>
      </c>
      <c r="C4032" s="1">
        <v>2016.0</v>
      </c>
      <c r="D4032" s="2">
        <v>42494.0</v>
      </c>
      <c r="F4032" s="1" t="s">
        <v>3151</v>
      </c>
      <c r="H4032" s="3">
        <v>28.0</v>
      </c>
      <c r="I4032" s="4" t="s">
        <v>16786</v>
      </c>
      <c r="J4032" s="1" t="s">
        <v>16787</v>
      </c>
      <c r="K4032" s="1" t="s">
        <v>926</v>
      </c>
    </row>
    <row r="4033">
      <c r="A4033" s="1" t="s">
        <v>16788</v>
      </c>
      <c r="B4033" s="1" t="s">
        <v>16789</v>
      </c>
      <c r="C4033" s="1">
        <v>2016.0</v>
      </c>
      <c r="D4033" s="2">
        <v>42491.0</v>
      </c>
      <c r="F4033" s="1" t="s">
        <v>4124</v>
      </c>
      <c r="H4033" s="3">
        <v>57.0</v>
      </c>
      <c r="I4033" s="4" t="s">
        <v>16790</v>
      </c>
      <c r="J4033" s="1" t="s">
        <v>16791</v>
      </c>
      <c r="K4033" s="1" t="s">
        <v>295</v>
      </c>
    </row>
    <row r="4034">
      <c r="A4034" s="1" t="s">
        <v>16792</v>
      </c>
      <c r="B4034" s="1" t="s">
        <v>16793</v>
      </c>
      <c r="C4034" s="1">
        <v>2016.0</v>
      </c>
      <c r="D4034" s="2">
        <v>42491.0</v>
      </c>
      <c r="F4034" s="1" t="s">
        <v>6074</v>
      </c>
      <c r="H4034" s="3">
        <v>10.0</v>
      </c>
      <c r="I4034" s="4" t="s">
        <v>16794</v>
      </c>
      <c r="J4034" s="1" t="s">
        <v>16795</v>
      </c>
      <c r="K4034" s="1" t="s">
        <v>477</v>
      </c>
    </row>
    <row r="4035">
      <c r="A4035" s="1" t="s">
        <v>16796</v>
      </c>
      <c r="B4035" s="1" t="s">
        <v>16797</v>
      </c>
      <c r="C4035" s="1">
        <v>2016.0</v>
      </c>
      <c r="D4035" s="2">
        <v>42491.0</v>
      </c>
      <c r="F4035" s="1" t="s">
        <v>12330</v>
      </c>
      <c r="H4035" s="3">
        <v>27.0</v>
      </c>
      <c r="I4035" s="4" t="s">
        <v>16798</v>
      </c>
      <c r="J4035" s="1" t="s">
        <v>16799</v>
      </c>
      <c r="K4035" s="1" t="s">
        <v>323</v>
      </c>
    </row>
    <row r="4036">
      <c r="A4036" s="1" t="s">
        <v>16800</v>
      </c>
      <c r="B4036" s="1" t="s">
        <v>16801</v>
      </c>
      <c r="C4036" s="1">
        <v>2016.0</v>
      </c>
      <c r="D4036" s="2">
        <v>42491.0</v>
      </c>
      <c r="F4036" s="1" t="s">
        <v>15863</v>
      </c>
      <c r="H4036" s="3">
        <v>13.0</v>
      </c>
      <c r="I4036" s="4" t="s">
        <v>16802</v>
      </c>
      <c r="J4036" s="1" t="s">
        <v>16803</v>
      </c>
      <c r="K4036" s="1" t="s">
        <v>16</v>
      </c>
    </row>
    <row r="4037">
      <c r="A4037" s="1" t="s">
        <v>16804</v>
      </c>
      <c r="B4037" s="1" t="s">
        <v>16805</v>
      </c>
      <c r="C4037" s="1">
        <v>2016.0</v>
      </c>
      <c r="D4037" s="2">
        <v>42489.0</v>
      </c>
      <c r="F4037" s="1" t="s">
        <v>2480</v>
      </c>
      <c r="H4037" s="3">
        <v>1.0</v>
      </c>
      <c r="I4037" s="4" t="s">
        <v>16806</v>
      </c>
      <c r="J4037" s="1" t="s">
        <v>16807</v>
      </c>
      <c r="K4037" s="1" t="s">
        <v>68</v>
      </c>
    </row>
    <row r="4038">
      <c r="A4038" s="1" t="s">
        <v>16808</v>
      </c>
      <c r="B4038" s="1" t="s">
        <v>16809</v>
      </c>
      <c r="C4038" s="1">
        <v>2016.0</v>
      </c>
      <c r="D4038" s="2">
        <v>42488.0</v>
      </c>
      <c r="F4038" s="1" t="s">
        <v>4197</v>
      </c>
      <c r="H4038" s="3">
        <v>56.0</v>
      </c>
      <c r="I4038" s="4" t="s">
        <v>16810</v>
      </c>
      <c r="J4038" s="1" t="s">
        <v>16811</v>
      </c>
      <c r="K4038" s="1" t="s">
        <v>323</v>
      </c>
    </row>
    <row r="4039">
      <c r="A4039" s="1" t="s">
        <v>16812</v>
      </c>
      <c r="B4039" s="1" t="s">
        <v>16813</v>
      </c>
      <c r="C4039" s="1">
        <v>2016.0</v>
      </c>
      <c r="D4039" s="2">
        <v>42488.0</v>
      </c>
      <c r="F4039" s="1" t="s">
        <v>5545</v>
      </c>
      <c r="H4039" s="3">
        <v>49.0</v>
      </c>
      <c r="I4039" s="4" t="s">
        <v>16814</v>
      </c>
      <c r="J4039" s="1" t="s">
        <v>16815</v>
      </c>
      <c r="K4039" s="1" t="s">
        <v>295</v>
      </c>
    </row>
    <row r="4040">
      <c r="A4040" s="1" t="s">
        <v>16816</v>
      </c>
      <c r="B4040" s="1" t="s">
        <v>16678</v>
      </c>
      <c r="C4040" s="1">
        <v>2016.0</v>
      </c>
      <c r="D4040" s="2">
        <v>42488.0</v>
      </c>
      <c r="F4040" s="1" t="s">
        <v>12240</v>
      </c>
      <c r="H4040" s="3">
        <v>7.0</v>
      </c>
      <c r="I4040" s="4" t="s">
        <v>16817</v>
      </c>
      <c r="J4040" s="1" t="s">
        <v>16818</v>
      </c>
      <c r="K4040" s="1" t="s">
        <v>546</v>
      </c>
    </row>
    <row r="4041">
      <c r="A4041" s="1" t="s">
        <v>16819</v>
      </c>
      <c r="B4041" s="1" t="s">
        <v>16095</v>
      </c>
      <c r="C4041" s="1">
        <v>2016.0</v>
      </c>
      <c r="D4041" s="2">
        <v>42487.0</v>
      </c>
      <c r="F4041" s="1" t="s">
        <v>157</v>
      </c>
      <c r="H4041" s="3">
        <v>176.0</v>
      </c>
      <c r="I4041" s="4" t="s">
        <v>16820</v>
      </c>
      <c r="J4041" s="1" t="s">
        <v>16821</v>
      </c>
      <c r="K4041" s="1" t="s">
        <v>546</v>
      </c>
    </row>
    <row r="4042">
      <c r="A4042" s="1" t="s">
        <v>16822</v>
      </c>
      <c r="B4042" s="1" t="s">
        <v>16823</v>
      </c>
      <c r="C4042" s="1">
        <v>2016.0</v>
      </c>
      <c r="D4042" s="2">
        <v>42486.0</v>
      </c>
      <c r="F4042" s="1" t="s">
        <v>4102</v>
      </c>
      <c r="H4042" s="3">
        <v>23.0</v>
      </c>
      <c r="I4042" s="4" t="s">
        <v>16824</v>
      </c>
      <c r="J4042" s="1" t="s">
        <v>16825</v>
      </c>
      <c r="K4042" s="1" t="s">
        <v>323</v>
      </c>
    </row>
    <row r="4043">
      <c r="A4043" s="1" t="s">
        <v>16826</v>
      </c>
      <c r="B4043" s="1" t="s">
        <v>16827</v>
      </c>
      <c r="C4043" s="1">
        <v>2016.0</v>
      </c>
      <c r="D4043" s="2">
        <v>42486.0</v>
      </c>
      <c r="F4043" s="1" t="s">
        <v>519</v>
      </c>
      <c r="H4043" s="3">
        <v>14.0</v>
      </c>
      <c r="I4043" s="4" t="s">
        <v>16828</v>
      </c>
      <c r="J4043" s="1" t="s">
        <v>16829</v>
      </c>
      <c r="K4043" s="1" t="s">
        <v>28</v>
      </c>
    </row>
    <row r="4044">
      <c r="A4044" s="1" t="s">
        <v>16830</v>
      </c>
      <c r="B4044" s="1" t="s">
        <v>16831</v>
      </c>
      <c r="C4044" s="1">
        <v>2016.0</v>
      </c>
      <c r="D4044" s="2">
        <v>42486.0</v>
      </c>
      <c r="F4044" s="1" t="s">
        <v>4530</v>
      </c>
      <c r="H4044" s="3">
        <v>46.0</v>
      </c>
      <c r="I4044" s="4" t="s">
        <v>16832</v>
      </c>
      <c r="J4044" s="1" t="s">
        <v>16833</v>
      </c>
      <c r="K4044" s="1" t="s">
        <v>1036</v>
      </c>
    </row>
    <row r="4045">
      <c r="A4045" s="1" t="s">
        <v>16834</v>
      </c>
      <c r="B4045" s="1" t="s">
        <v>16678</v>
      </c>
      <c r="C4045" s="1">
        <v>2016.0</v>
      </c>
      <c r="D4045" s="2">
        <v>42486.0</v>
      </c>
      <c r="F4045" s="1" t="s">
        <v>12240</v>
      </c>
      <c r="H4045" s="3">
        <v>17.0</v>
      </c>
      <c r="I4045" s="4" t="s">
        <v>16835</v>
      </c>
      <c r="J4045" s="1" t="s">
        <v>16836</v>
      </c>
      <c r="K4045" s="1" t="s">
        <v>546</v>
      </c>
    </row>
    <row r="4046">
      <c r="A4046" s="1" t="s">
        <v>16837</v>
      </c>
      <c r="B4046" s="1" t="s">
        <v>16838</v>
      </c>
      <c r="C4046" s="1">
        <v>2016.0</v>
      </c>
      <c r="D4046" s="2">
        <v>42486.0</v>
      </c>
      <c r="F4046" s="1" t="s">
        <v>71</v>
      </c>
      <c r="H4046" s="3">
        <v>42.0</v>
      </c>
      <c r="I4046" s="4" t="s">
        <v>16839</v>
      </c>
      <c r="J4046" s="1" t="s">
        <v>16840</v>
      </c>
      <c r="K4046" s="1" t="s">
        <v>16</v>
      </c>
    </row>
    <row r="4047">
      <c r="A4047" s="1" t="s">
        <v>16841</v>
      </c>
      <c r="B4047" s="1" t="s">
        <v>16842</v>
      </c>
      <c r="C4047" s="1">
        <v>2016.0</v>
      </c>
      <c r="D4047" s="2">
        <v>42486.0</v>
      </c>
      <c r="F4047" s="1" t="s">
        <v>142</v>
      </c>
      <c r="H4047" s="3">
        <v>13.0</v>
      </c>
      <c r="I4047" s="4" t="s">
        <v>16843</v>
      </c>
      <c r="J4047" s="1" t="s">
        <v>16844</v>
      </c>
      <c r="K4047" s="1" t="s">
        <v>16</v>
      </c>
    </row>
    <row r="4048">
      <c r="A4048" s="1" t="s">
        <v>16845</v>
      </c>
      <c r="B4048" s="1" t="s">
        <v>16846</v>
      </c>
      <c r="C4048" s="1">
        <v>2016.0</v>
      </c>
      <c r="D4048" s="2">
        <v>42486.0</v>
      </c>
      <c r="F4048" s="1" t="s">
        <v>59</v>
      </c>
      <c r="H4048" s="3">
        <v>38.0</v>
      </c>
      <c r="I4048" s="4" t="s">
        <v>16847</v>
      </c>
      <c r="J4048" s="1" t="s">
        <v>16848</v>
      </c>
      <c r="K4048" s="1" t="s">
        <v>16</v>
      </c>
    </row>
    <row r="4049">
      <c r="A4049" s="1" t="s">
        <v>16849</v>
      </c>
      <c r="B4049" s="1" t="s">
        <v>16850</v>
      </c>
      <c r="C4049" s="1">
        <v>2016.0</v>
      </c>
      <c r="D4049" s="2">
        <v>42485.0</v>
      </c>
      <c r="F4049" s="1" t="s">
        <v>248</v>
      </c>
      <c r="H4049" s="3">
        <v>17.0</v>
      </c>
      <c r="I4049" s="4" t="s">
        <v>16851</v>
      </c>
      <c r="J4049" s="1" t="s">
        <v>16852</v>
      </c>
      <c r="K4049" s="1" t="s">
        <v>323</v>
      </c>
    </row>
    <row r="4050">
      <c r="A4050" s="1" t="s">
        <v>16853</v>
      </c>
      <c r="B4050" s="1" t="s">
        <v>16854</v>
      </c>
      <c r="C4050" s="1">
        <v>2016.0</v>
      </c>
      <c r="D4050" s="2">
        <v>42482.0</v>
      </c>
      <c r="F4050" s="1" t="s">
        <v>16282</v>
      </c>
      <c r="H4050" s="3">
        <v>17.0</v>
      </c>
      <c r="I4050" s="4" t="s">
        <v>16855</v>
      </c>
      <c r="J4050" s="1" t="s">
        <v>16856</v>
      </c>
      <c r="K4050" s="1" t="s">
        <v>28</v>
      </c>
    </row>
    <row r="4051">
      <c r="A4051" s="1" t="s">
        <v>16857</v>
      </c>
      <c r="B4051" s="1" t="s">
        <v>16858</v>
      </c>
      <c r="C4051" s="1">
        <v>2016.0</v>
      </c>
      <c r="D4051" s="2">
        <v>42482.0</v>
      </c>
      <c r="F4051" s="1" t="s">
        <v>16859</v>
      </c>
      <c r="H4051" s="3">
        <v>5.0</v>
      </c>
      <c r="I4051" s="4" t="s">
        <v>16860</v>
      </c>
      <c r="J4051" s="1"/>
      <c r="K4051" s="1" t="s">
        <v>323</v>
      </c>
    </row>
    <row r="4052">
      <c r="A4052" s="1" t="s">
        <v>16861</v>
      </c>
      <c r="B4052" s="1" t="s">
        <v>16862</v>
      </c>
      <c r="C4052" s="1">
        <v>2016.0</v>
      </c>
      <c r="D4052" s="2">
        <v>42481.0</v>
      </c>
      <c r="F4052" s="1" t="s">
        <v>314</v>
      </c>
      <c r="H4052" s="3">
        <v>99.0</v>
      </c>
      <c r="I4052" s="4" t="s">
        <v>16863</v>
      </c>
      <c r="J4052" s="1" t="s">
        <v>16864</v>
      </c>
      <c r="K4052" s="1" t="s">
        <v>28</v>
      </c>
    </row>
    <row r="4053">
      <c r="A4053" s="1" t="s">
        <v>16865</v>
      </c>
      <c r="B4053" s="1" t="s">
        <v>16866</v>
      </c>
      <c r="C4053" s="1">
        <v>2016.0</v>
      </c>
      <c r="D4053" s="2">
        <v>42481.0</v>
      </c>
      <c r="F4053" s="1" t="s">
        <v>369</v>
      </c>
      <c r="H4053" s="3">
        <v>24.0</v>
      </c>
      <c r="I4053" s="4" t="s">
        <v>16867</v>
      </c>
      <c r="J4053" s="1" t="s">
        <v>16868</v>
      </c>
      <c r="K4053" s="1" t="s">
        <v>323</v>
      </c>
    </row>
    <row r="4054">
      <c r="A4054" s="1" t="s">
        <v>16869</v>
      </c>
      <c r="B4054" s="1" t="s">
        <v>16870</v>
      </c>
      <c r="C4054" s="1">
        <v>2016.0</v>
      </c>
      <c r="D4054" s="2">
        <v>42480.0</v>
      </c>
      <c r="F4054" s="1" t="s">
        <v>656</v>
      </c>
      <c r="H4054" s="3">
        <v>64.0</v>
      </c>
      <c r="I4054" s="4" t="s">
        <v>16871</v>
      </c>
      <c r="J4054" s="1" t="s">
        <v>16872</v>
      </c>
      <c r="K4054" s="1" t="s">
        <v>16</v>
      </c>
    </row>
    <row r="4055">
      <c r="A4055" s="1" t="s">
        <v>16873</v>
      </c>
      <c r="B4055" s="1" t="s">
        <v>16874</v>
      </c>
      <c r="C4055" s="1">
        <v>2016.0</v>
      </c>
      <c r="D4055" s="2">
        <v>42479.0</v>
      </c>
      <c r="F4055" s="1" t="s">
        <v>243</v>
      </c>
      <c r="H4055" s="3">
        <v>6.0</v>
      </c>
      <c r="I4055" s="4" t="s">
        <v>16875</v>
      </c>
      <c r="J4055" s="1" t="s">
        <v>16876</v>
      </c>
      <c r="K4055" s="1" t="s">
        <v>28</v>
      </c>
    </row>
    <row r="4056">
      <c r="A4056" s="1" t="s">
        <v>16877</v>
      </c>
      <c r="B4056" s="1" t="s">
        <v>16878</v>
      </c>
      <c r="C4056" s="1">
        <v>2016.0</v>
      </c>
      <c r="D4056" s="2">
        <v>42478.0</v>
      </c>
      <c r="F4056" s="1" t="s">
        <v>13538</v>
      </c>
      <c r="H4056" s="3">
        <v>4.0</v>
      </c>
      <c r="I4056" s="4" t="s">
        <v>16879</v>
      </c>
      <c r="J4056" s="1"/>
      <c r="K4056" s="1" t="s">
        <v>28</v>
      </c>
    </row>
    <row r="4057">
      <c r="A4057" s="1" t="s">
        <v>16880</v>
      </c>
      <c r="B4057" s="1" t="s">
        <v>16881</v>
      </c>
      <c r="C4057" s="1">
        <v>2016.0</v>
      </c>
      <c r="D4057" s="2">
        <v>42478.0</v>
      </c>
      <c r="F4057" s="1" t="s">
        <v>6907</v>
      </c>
      <c r="H4057" s="3">
        <v>2.0</v>
      </c>
      <c r="I4057" s="4" t="s">
        <v>16882</v>
      </c>
      <c r="J4057" s="1"/>
      <c r="K4057" s="1" t="s">
        <v>28</v>
      </c>
    </row>
    <row r="4058">
      <c r="A4058" s="1" t="s">
        <v>16883</v>
      </c>
      <c r="B4058" s="1" t="s">
        <v>16884</v>
      </c>
      <c r="C4058" s="1">
        <v>2016.0</v>
      </c>
      <c r="D4058" s="2">
        <v>42478.0</v>
      </c>
      <c r="F4058" s="1" t="s">
        <v>396</v>
      </c>
      <c r="H4058" s="3">
        <v>7.0</v>
      </c>
      <c r="I4058" s="4" t="s">
        <v>16885</v>
      </c>
      <c r="J4058" s="1"/>
      <c r="K4058" s="1" t="s">
        <v>68</v>
      </c>
    </row>
    <row r="4059">
      <c r="A4059" s="1" t="s">
        <v>16886</v>
      </c>
      <c r="B4059" s="1" t="s">
        <v>16887</v>
      </c>
      <c r="C4059" s="1">
        <v>2016.0</v>
      </c>
      <c r="D4059" s="2">
        <v>42478.0</v>
      </c>
      <c r="F4059" s="1" t="s">
        <v>9182</v>
      </c>
      <c r="H4059" s="3">
        <v>29.0</v>
      </c>
      <c r="I4059" s="4" t="s">
        <v>16888</v>
      </c>
      <c r="J4059" s="1" t="s">
        <v>16889</v>
      </c>
      <c r="K4059" s="1" t="s">
        <v>383</v>
      </c>
    </row>
    <row r="4060">
      <c r="A4060" s="1" t="s">
        <v>16890</v>
      </c>
      <c r="B4060" s="1" t="s">
        <v>16095</v>
      </c>
      <c r="C4060" s="1">
        <v>2016.0</v>
      </c>
      <c r="D4060" s="2">
        <v>42476.0</v>
      </c>
      <c r="F4060" s="1" t="s">
        <v>12240</v>
      </c>
      <c r="H4060" s="3">
        <v>67.0</v>
      </c>
      <c r="I4060" s="4" t="s">
        <v>16891</v>
      </c>
      <c r="J4060" s="1" t="s">
        <v>16892</v>
      </c>
      <c r="K4060" s="1" t="s">
        <v>546</v>
      </c>
    </row>
    <row r="4061">
      <c r="A4061" s="1" t="s">
        <v>16893</v>
      </c>
      <c r="B4061" s="1" t="s">
        <v>16894</v>
      </c>
      <c r="C4061" s="1">
        <v>2016.0</v>
      </c>
      <c r="D4061" s="2">
        <v>42474.0</v>
      </c>
      <c r="F4061" s="1" t="s">
        <v>13026</v>
      </c>
      <c r="H4061" s="3">
        <v>28.0</v>
      </c>
      <c r="I4061" s="4" t="s">
        <v>16895</v>
      </c>
      <c r="J4061" s="1" t="s">
        <v>16896</v>
      </c>
      <c r="K4061" s="1" t="s">
        <v>323</v>
      </c>
    </row>
    <row r="4062">
      <c r="A4062" s="1" t="s">
        <v>16897</v>
      </c>
      <c r="B4062" s="1" t="s">
        <v>16898</v>
      </c>
      <c r="C4062" s="1">
        <v>2016.0</v>
      </c>
      <c r="D4062" s="2">
        <v>42473.0</v>
      </c>
      <c r="F4062" s="1" t="s">
        <v>1714</v>
      </c>
      <c r="H4062" s="3">
        <v>19.0</v>
      </c>
      <c r="I4062" s="4" t="s">
        <v>16899</v>
      </c>
      <c r="J4062" s="1" t="s">
        <v>16900</v>
      </c>
      <c r="K4062" s="1" t="s">
        <v>16</v>
      </c>
    </row>
    <row r="4063">
      <c r="A4063" s="1" t="s">
        <v>16901</v>
      </c>
      <c r="B4063" s="1" t="s">
        <v>16902</v>
      </c>
      <c r="C4063" s="1">
        <v>2016.0</v>
      </c>
      <c r="D4063" s="2">
        <v>42472.0</v>
      </c>
      <c r="F4063" s="1" t="s">
        <v>12240</v>
      </c>
      <c r="H4063" s="3">
        <v>51.0</v>
      </c>
      <c r="I4063" s="4" t="s">
        <v>16903</v>
      </c>
      <c r="J4063" s="1" t="s">
        <v>16904</v>
      </c>
      <c r="K4063" s="1" t="s">
        <v>546</v>
      </c>
    </row>
    <row r="4064">
      <c r="A4064" s="1" t="s">
        <v>16905</v>
      </c>
      <c r="B4064" s="1" t="s">
        <v>16906</v>
      </c>
      <c r="C4064" s="1">
        <v>2016.0</v>
      </c>
      <c r="D4064" s="2">
        <v>42472.0</v>
      </c>
      <c r="F4064" s="1" t="s">
        <v>71</v>
      </c>
      <c r="H4064" s="3">
        <v>11.0</v>
      </c>
      <c r="I4064" s="4" t="s">
        <v>16907</v>
      </c>
      <c r="J4064" s="1" t="s">
        <v>16908</v>
      </c>
      <c r="K4064" s="1" t="s">
        <v>16</v>
      </c>
    </row>
    <row r="4065">
      <c r="A4065" s="1" t="s">
        <v>16909</v>
      </c>
      <c r="B4065" s="1" t="s">
        <v>16910</v>
      </c>
      <c r="C4065" s="1">
        <v>2016.0</v>
      </c>
      <c r="D4065" s="2">
        <v>42471.0</v>
      </c>
      <c r="F4065" s="1" t="s">
        <v>5511</v>
      </c>
      <c r="H4065" s="3">
        <v>31.0</v>
      </c>
      <c r="I4065" s="4" t="s">
        <v>16911</v>
      </c>
      <c r="J4065" s="1" t="s">
        <v>16912</v>
      </c>
      <c r="K4065" s="1" t="s">
        <v>413</v>
      </c>
    </row>
    <row r="4066">
      <c r="A4066" s="1" t="s">
        <v>16913</v>
      </c>
      <c r="B4066" s="1" t="s">
        <v>16914</v>
      </c>
      <c r="C4066" s="1">
        <v>2016.0</v>
      </c>
      <c r="D4066" s="2">
        <v>42468.0</v>
      </c>
      <c r="F4066" s="1" t="s">
        <v>3119</v>
      </c>
      <c r="H4066" s="3">
        <v>72.0</v>
      </c>
      <c r="I4066" s="4" t="s">
        <v>16915</v>
      </c>
      <c r="J4066" s="1" t="s">
        <v>16916</v>
      </c>
      <c r="K4066" s="1" t="s">
        <v>45</v>
      </c>
    </row>
    <row r="4067">
      <c r="A4067" s="1" t="s">
        <v>16917</v>
      </c>
      <c r="B4067" s="1" t="s">
        <v>16918</v>
      </c>
      <c r="C4067" s="1">
        <v>2016.0</v>
      </c>
      <c r="D4067" s="2">
        <v>42468.0</v>
      </c>
      <c r="F4067" s="1" t="s">
        <v>16919</v>
      </c>
      <c r="H4067" s="3">
        <v>0.0</v>
      </c>
      <c r="I4067" s="4" t="s">
        <v>16920</v>
      </c>
      <c r="J4067" s="1"/>
      <c r="K4067" s="1" t="s">
        <v>383</v>
      </c>
    </row>
    <row r="4068">
      <c r="A4068" s="1" t="s">
        <v>16921</v>
      </c>
      <c r="B4068" s="1" t="s">
        <v>16922</v>
      </c>
      <c r="C4068" s="1">
        <v>2016.0</v>
      </c>
      <c r="D4068" s="2">
        <v>42468.0</v>
      </c>
      <c r="F4068" s="1" t="s">
        <v>1123</v>
      </c>
      <c r="H4068" s="3">
        <v>39.0</v>
      </c>
      <c r="I4068" s="4" t="s">
        <v>16923</v>
      </c>
      <c r="J4068" s="1" t="s">
        <v>16924</v>
      </c>
      <c r="K4068" s="1" t="s">
        <v>1036</v>
      </c>
    </row>
    <row r="4069">
      <c r="A4069" s="1" t="s">
        <v>16925</v>
      </c>
      <c r="B4069" s="1" t="s">
        <v>16926</v>
      </c>
      <c r="C4069" s="1">
        <v>2016.0</v>
      </c>
      <c r="D4069" s="2">
        <v>42467.0</v>
      </c>
      <c r="F4069" s="1" t="s">
        <v>5598</v>
      </c>
      <c r="H4069" s="3">
        <v>29.0</v>
      </c>
      <c r="I4069" s="4" t="s">
        <v>16927</v>
      </c>
      <c r="J4069" s="1" t="s">
        <v>16928</v>
      </c>
      <c r="K4069" s="1" t="s">
        <v>28</v>
      </c>
    </row>
    <row r="4070">
      <c r="A4070" s="1" t="s">
        <v>16929</v>
      </c>
      <c r="B4070" s="1" t="s">
        <v>16930</v>
      </c>
      <c r="C4070" s="1">
        <v>2016.0</v>
      </c>
      <c r="D4070" s="2">
        <v>42466.0</v>
      </c>
      <c r="F4070" s="1" t="s">
        <v>7495</v>
      </c>
      <c r="H4070" s="3">
        <v>4.0</v>
      </c>
      <c r="I4070" s="4" t="s">
        <v>16931</v>
      </c>
      <c r="J4070" s="1"/>
      <c r="K4070" s="1" t="s">
        <v>323</v>
      </c>
    </row>
    <row r="4071">
      <c r="A4071" s="1" t="s">
        <v>16932</v>
      </c>
      <c r="B4071" s="1" t="s">
        <v>16933</v>
      </c>
      <c r="C4071" s="1">
        <v>2016.0</v>
      </c>
      <c r="D4071" s="2">
        <v>42466.0</v>
      </c>
      <c r="F4071" s="1" t="s">
        <v>19</v>
      </c>
      <c r="H4071" s="3">
        <v>5.0</v>
      </c>
      <c r="I4071" s="4" t="s">
        <v>16934</v>
      </c>
      <c r="J4071" s="1" t="s">
        <v>16935</v>
      </c>
      <c r="K4071" s="1" t="s">
        <v>295</v>
      </c>
    </row>
    <row r="4072">
      <c r="A4072" s="1" t="s">
        <v>16936</v>
      </c>
      <c r="B4072" s="1" t="s">
        <v>16937</v>
      </c>
      <c r="C4072" s="1">
        <v>2016.0</v>
      </c>
      <c r="D4072" s="2">
        <v>42466.0</v>
      </c>
      <c r="F4072" s="1" t="s">
        <v>2278</v>
      </c>
      <c r="H4072" s="3">
        <v>114.0</v>
      </c>
      <c r="I4072" s="4" t="s">
        <v>16938</v>
      </c>
      <c r="J4072" s="1" t="s">
        <v>16939</v>
      </c>
      <c r="K4072" s="1" t="s">
        <v>16</v>
      </c>
    </row>
    <row r="4073">
      <c r="A4073" s="1" t="s">
        <v>16940</v>
      </c>
      <c r="B4073" s="1" t="s">
        <v>16941</v>
      </c>
      <c r="C4073" s="1">
        <v>2016.0</v>
      </c>
      <c r="D4073" s="2">
        <v>42465.0</v>
      </c>
      <c r="F4073" s="1" t="s">
        <v>16942</v>
      </c>
      <c r="H4073" s="3">
        <v>9.0</v>
      </c>
      <c r="I4073" s="4" t="s">
        <v>16943</v>
      </c>
      <c r="J4073" s="1" t="s">
        <v>16944</v>
      </c>
      <c r="K4073" s="1" t="s">
        <v>492</v>
      </c>
    </row>
    <row r="4074">
      <c r="A4074" s="1" t="s">
        <v>16945</v>
      </c>
      <c r="B4074" s="1" t="s">
        <v>16946</v>
      </c>
      <c r="C4074" s="1">
        <v>2016.0</v>
      </c>
      <c r="D4074" s="2">
        <v>42465.0</v>
      </c>
      <c r="F4074" s="1" t="s">
        <v>440</v>
      </c>
      <c r="H4074" s="3">
        <v>0.0</v>
      </c>
      <c r="I4074" s="4" t="s">
        <v>16947</v>
      </c>
      <c r="J4074" s="1"/>
      <c r="K4074" s="1" t="s">
        <v>418</v>
      </c>
    </row>
    <row r="4075">
      <c r="A4075" s="1" t="s">
        <v>16948</v>
      </c>
      <c r="B4075" s="1" t="s">
        <v>16949</v>
      </c>
      <c r="C4075" s="1">
        <v>2016.0</v>
      </c>
      <c r="D4075" s="2">
        <v>42465.0</v>
      </c>
      <c r="F4075" s="1" t="s">
        <v>59</v>
      </c>
      <c r="H4075" s="3">
        <v>3.0</v>
      </c>
      <c r="I4075" s="4" t="s">
        <v>16950</v>
      </c>
      <c r="J4075" s="1"/>
      <c r="K4075" s="1" t="s">
        <v>16</v>
      </c>
    </row>
    <row r="4076">
      <c r="A4076" s="1" t="s">
        <v>16951</v>
      </c>
      <c r="B4076" s="1" t="s">
        <v>16952</v>
      </c>
      <c r="C4076" s="1">
        <v>2016.0</v>
      </c>
      <c r="D4076" s="2">
        <v>42465.0</v>
      </c>
      <c r="F4076" s="1" t="s">
        <v>1199</v>
      </c>
      <c r="H4076" s="3">
        <v>24.0</v>
      </c>
      <c r="I4076" s="4" t="s">
        <v>16953</v>
      </c>
      <c r="J4076" s="1" t="s">
        <v>16954</v>
      </c>
      <c r="K4076" s="1" t="s">
        <v>16</v>
      </c>
    </row>
    <row r="4077">
      <c r="A4077" s="1" t="s">
        <v>16955</v>
      </c>
      <c r="B4077" s="1" t="s">
        <v>16956</v>
      </c>
      <c r="C4077" s="1">
        <v>2016.0</v>
      </c>
      <c r="D4077" s="2">
        <v>42461.0</v>
      </c>
      <c r="F4077" s="1" t="s">
        <v>208</v>
      </c>
      <c r="H4077" s="3">
        <v>52.0</v>
      </c>
      <c r="I4077" s="4" t="s">
        <v>16957</v>
      </c>
      <c r="J4077" s="1" t="s">
        <v>16958</v>
      </c>
      <c r="K4077" s="1" t="s">
        <v>28</v>
      </c>
    </row>
    <row r="4078">
      <c r="A4078" s="1" t="s">
        <v>16959</v>
      </c>
      <c r="B4078" s="1" t="s">
        <v>16960</v>
      </c>
      <c r="C4078" s="1">
        <v>2016.0</v>
      </c>
      <c r="D4078" s="2">
        <v>42461.0</v>
      </c>
      <c r="F4078" s="1" t="s">
        <v>16961</v>
      </c>
      <c r="H4078" s="3">
        <v>13.0</v>
      </c>
      <c r="I4078" s="4" t="s">
        <v>16962</v>
      </c>
      <c r="J4078" s="1" t="s">
        <v>16963</v>
      </c>
      <c r="K4078" s="1" t="s">
        <v>295</v>
      </c>
    </row>
    <row r="4079">
      <c r="A4079" s="1" t="s">
        <v>16964</v>
      </c>
      <c r="B4079" s="1" t="s">
        <v>16965</v>
      </c>
      <c r="C4079" s="1">
        <v>2016.0</v>
      </c>
      <c r="D4079" s="2">
        <v>42461.0</v>
      </c>
      <c r="F4079" s="1" t="s">
        <v>1128</v>
      </c>
      <c r="H4079" s="3">
        <v>5.0</v>
      </c>
      <c r="I4079" s="4" t="s">
        <v>16966</v>
      </c>
      <c r="J4079" s="1" t="s">
        <v>16967</v>
      </c>
      <c r="K4079" s="1" t="s">
        <v>68</v>
      </c>
    </row>
    <row r="4080">
      <c r="A4080" s="1" t="s">
        <v>16968</v>
      </c>
      <c r="B4080" s="1" t="s">
        <v>16969</v>
      </c>
      <c r="C4080" s="1">
        <v>2016.0</v>
      </c>
      <c r="D4080" s="2">
        <v>42461.0</v>
      </c>
      <c r="F4080" s="1" t="s">
        <v>16970</v>
      </c>
      <c r="H4080" s="3">
        <v>14.0</v>
      </c>
      <c r="I4080" s="4" t="s">
        <v>16971</v>
      </c>
      <c r="J4080" s="1" t="s">
        <v>16972</v>
      </c>
      <c r="K4080" s="1" t="s">
        <v>16</v>
      </c>
    </row>
    <row r="4081">
      <c r="A4081" s="1" t="s">
        <v>16973</v>
      </c>
      <c r="B4081" s="1" t="s">
        <v>16974</v>
      </c>
      <c r="C4081" s="1">
        <v>2016.0</v>
      </c>
      <c r="D4081" s="2">
        <v>42459.0</v>
      </c>
      <c r="F4081" s="1" t="s">
        <v>1386</v>
      </c>
      <c r="H4081" s="3">
        <v>636.0</v>
      </c>
      <c r="I4081" s="4" t="s">
        <v>16975</v>
      </c>
      <c r="J4081" s="1" t="s">
        <v>16976</v>
      </c>
      <c r="K4081" s="1" t="s">
        <v>926</v>
      </c>
    </row>
    <row r="4082">
      <c r="A4082" s="1" t="s">
        <v>16977</v>
      </c>
      <c r="B4082" s="1" t="s">
        <v>16978</v>
      </c>
      <c r="C4082" s="1">
        <v>2016.0</v>
      </c>
      <c r="D4082" s="2">
        <v>42459.0</v>
      </c>
      <c r="F4082" s="1" t="s">
        <v>208</v>
      </c>
      <c r="H4082" s="3">
        <v>1.0</v>
      </c>
      <c r="I4082" s="4" t="s">
        <v>16979</v>
      </c>
      <c r="J4082" s="1"/>
      <c r="K4082" s="1" t="s">
        <v>492</v>
      </c>
    </row>
    <row r="4083">
      <c r="A4083" s="1" t="s">
        <v>16980</v>
      </c>
      <c r="B4083" s="1" t="s">
        <v>16981</v>
      </c>
      <c r="C4083" s="1">
        <v>2016.0</v>
      </c>
      <c r="D4083" s="2">
        <v>42459.0</v>
      </c>
      <c r="F4083" s="1" t="s">
        <v>396</v>
      </c>
      <c r="H4083" s="3">
        <v>42.0</v>
      </c>
      <c r="I4083" s="4" t="s">
        <v>16982</v>
      </c>
      <c r="J4083" s="1"/>
      <c r="K4083" s="1" t="s">
        <v>477</v>
      </c>
    </row>
    <row r="4084">
      <c r="A4084" s="1" t="s">
        <v>16983</v>
      </c>
      <c r="B4084" s="1" t="s">
        <v>16984</v>
      </c>
      <c r="C4084" s="1">
        <v>2016.0</v>
      </c>
      <c r="D4084" s="2">
        <v>42454.0</v>
      </c>
      <c r="F4084" s="1" t="s">
        <v>5758</v>
      </c>
      <c r="H4084" s="3">
        <v>96.0</v>
      </c>
      <c r="I4084" s="4" t="s">
        <v>16985</v>
      </c>
      <c r="J4084" s="1" t="s">
        <v>16986</v>
      </c>
      <c r="K4084" s="1" t="s">
        <v>383</v>
      </c>
    </row>
    <row r="4085">
      <c r="A4085" s="1" t="s">
        <v>16987</v>
      </c>
      <c r="B4085" s="1" t="s">
        <v>16988</v>
      </c>
      <c r="C4085" s="1">
        <v>2016.0</v>
      </c>
      <c r="D4085" s="2">
        <v>42451.0</v>
      </c>
      <c r="F4085" s="1" t="s">
        <v>7761</v>
      </c>
      <c r="H4085" s="3">
        <v>56.0</v>
      </c>
      <c r="I4085" s="4" t="s">
        <v>16989</v>
      </c>
      <c r="J4085" s="1" t="s">
        <v>16990</v>
      </c>
      <c r="K4085" s="1" t="s">
        <v>323</v>
      </c>
    </row>
    <row r="4086">
      <c r="A4086" s="1" t="s">
        <v>16991</v>
      </c>
      <c r="B4086" s="1" t="s">
        <v>16992</v>
      </c>
      <c r="C4086" s="1">
        <v>2016.0</v>
      </c>
      <c r="D4086" s="2">
        <v>42451.0</v>
      </c>
      <c r="F4086" s="1" t="s">
        <v>59</v>
      </c>
      <c r="H4086" s="3">
        <v>17.0</v>
      </c>
      <c r="I4086" s="4" t="s">
        <v>16993</v>
      </c>
      <c r="J4086" s="1" t="s">
        <v>16994</v>
      </c>
      <c r="K4086" s="1" t="s">
        <v>477</v>
      </c>
    </row>
    <row r="4087">
      <c r="A4087" s="1" t="s">
        <v>16995</v>
      </c>
      <c r="B4087" s="1" t="s">
        <v>16996</v>
      </c>
      <c r="C4087" s="1">
        <v>2016.0</v>
      </c>
      <c r="D4087" s="2">
        <v>42451.0</v>
      </c>
      <c r="F4087" s="1" t="s">
        <v>271</v>
      </c>
      <c r="H4087" s="3">
        <v>30.0</v>
      </c>
      <c r="I4087" s="4" t="s">
        <v>16997</v>
      </c>
      <c r="J4087" s="1" t="s">
        <v>16998</v>
      </c>
      <c r="K4087" s="1" t="s">
        <v>28</v>
      </c>
    </row>
    <row r="4088">
      <c r="A4088" s="1" t="s">
        <v>16999</v>
      </c>
      <c r="B4088" s="1" t="s">
        <v>17000</v>
      </c>
      <c r="C4088" s="1">
        <v>2016.0</v>
      </c>
      <c r="D4088" s="2">
        <v>42451.0</v>
      </c>
      <c r="F4088" s="1" t="s">
        <v>1982</v>
      </c>
      <c r="H4088" s="3">
        <v>9.0</v>
      </c>
      <c r="I4088" s="4" t="s">
        <v>17001</v>
      </c>
      <c r="J4088" s="1" t="s">
        <v>17002</v>
      </c>
      <c r="K4088" s="1" t="s">
        <v>68</v>
      </c>
    </row>
    <row r="4089">
      <c r="A4089" s="1" t="s">
        <v>17003</v>
      </c>
      <c r="B4089" s="1" t="s">
        <v>17004</v>
      </c>
      <c r="C4089" s="1">
        <v>2016.0</v>
      </c>
      <c r="D4089" s="2">
        <v>42451.0</v>
      </c>
      <c r="F4089" s="1" t="s">
        <v>71</v>
      </c>
      <c r="H4089" s="3">
        <v>65.0</v>
      </c>
      <c r="I4089" s="4" t="s">
        <v>17005</v>
      </c>
      <c r="J4089" s="1" t="s">
        <v>17006</v>
      </c>
      <c r="K4089" s="1" t="s">
        <v>413</v>
      </c>
    </row>
    <row r="4090">
      <c r="A4090" s="1" t="s">
        <v>17007</v>
      </c>
      <c r="B4090" s="1" t="s">
        <v>17008</v>
      </c>
      <c r="C4090" s="1">
        <v>2016.0</v>
      </c>
      <c r="D4090" s="2">
        <v>42451.0</v>
      </c>
      <c r="F4090" s="1" t="s">
        <v>17009</v>
      </c>
      <c r="H4090" s="3">
        <v>1.0</v>
      </c>
      <c r="I4090" s="4" t="s">
        <v>17010</v>
      </c>
      <c r="J4090" s="1"/>
      <c r="K4090" s="1" t="s">
        <v>68</v>
      </c>
    </row>
    <row r="4091">
      <c r="A4091" s="1" t="s">
        <v>17011</v>
      </c>
      <c r="B4091" s="1" t="s">
        <v>17012</v>
      </c>
      <c r="C4091" s="1">
        <v>2016.0</v>
      </c>
      <c r="D4091" s="2">
        <v>42450.0</v>
      </c>
      <c r="F4091" s="1" t="s">
        <v>3233</v>
      </c>
      <c r="H4091" s="3">
        <v>4.0</v>
      </c>
      <c r="I4091" s="4" t="s">
        <v>17013</v>
      </c>
      <c r="J4091" s="1" t="s">
        <v>17014</v>
      </c>
      <c r="K4091" s="1" t="s">
        <v>413</v>
      </c>
    </row>
    <row r="4092">
      <c r="A4092" s="1" t="s">
        <v>17015</v>
      </c>
      <c r="B4092" s="1" t="s">
        <v>17016</v>
      </c>
      <c r="C4092" s="1">
        <v>2016.0</v>
      </c>
      <c r="D4092" s="2">
        <v>42448.0</v>
      </c>
      <c r="F4092" s="1" t="s">
        <v>6179</v>
      </c>
      <c r="H4092" s="3">
        <v>23.0</v>
      </c>
      <c r="I4092" s="4" t="s">
        <v>17017</v>
      </c>
      <c r="J4092" s="1" t="s">
        <v>17018</v>
      </c>
      <c r="K4092" s="1" t="s">
        <v>28</v>
      </c>
    </row>
    <row r="4093">
      <c r="A4093" s="1" t="s">
        <v>17019</v>
      </c>
      <c r="B4093" s="1" t="s">
        <v>17020</v>
      </c>
      <c r="C4093" s="1">
        <v>2016.0</v>
      </c>
      <c r="D4093" s="2">
        <v>42447.0</v>
      </c>
      <c r="F4093" s="1" t="s">
        <v>271</v>
      </c>
      <c r="H4093" s="3">
        <v>36.0</v>
      </c>
      <c r="I4093" s="4" t="s">
        <v>17021</v>
      </c>
      <c r="J4093" s="1" t="s">
        <v>17022</v>
      </c>
      <c r="K4093" s="1" t="s">
        <v>16</v>
      </c>
    </row>
    <row r="4094">
      <c r="A4094" s="1" t="s">
        <v>17023</v>
      </c>
      <c r="B4094" s="1" t="s">
        <v>17024</v>
      </c>
      <c r="C4094" s="1">
        <v>2016.0</v>
      </c>
      <c r="D4094" s="2">
        <v>42446.0</v>
      </c>
      <c r="F4094" s="1" t="s">
        <v>271</v>
      </c>
      <c r="H4094" s="3">
        <v>35.0</v>
      </c>
      <c r="I4094" s="4" t="s">
        <v>17025</v>
      </c>
      <c r="J4094" s="1" t="s">
        <v>17026</v>
      </c>
      <c r="K4094" s="1" t="s">
        <v>28</v>
      </c>
    </row>
    <row r="4095">
      <c r="A4095" s="1" t="s">
        <v>17027</v>
      </c>
      <c r="B4095" s="1" t="s">
        <v>16678</v>
      </c>
      <c r="C4095" s="1">
        <v>2016.0</v>
      </c>
      <c r="D4095" s="2">
        <v>42446.0</v>
      </c>
      <c r="F4095" s="1" t="s">
        <v>12240</v>
      </c>
      <c r="H4095" s="3">
        <v>44.0</v>
      </c>
      <c r="I4095" s="4" t="s">
        <v>17028</v>
      </c>
      <c r="J4095" s="1" t="s">
        <v>17029</v>
      </c>
      <c r="K4095" s="1" t="s">
        <v>546</v>
      </c>
    </row>
    <row r="4096">
      <c r="A4096" s="1" t="s">
        <v>17030</v>
      </c>
      <c r="B4096" s="1" t="s">
        <v>17031</v>
      </c>
      <c r="C4096" s="1">
        <v>2016.0</v>
      </c>
      <c r="D4096" s="2">
        <v>42446.0</v>
      </c>
      <c r="F4096" s="1" t="s">
        <v>4530</v>
      </c>
      <c r="H4096" s="3">
        <v>170.0</v>
      </c>
      <c r="I4096" s="4" t="s">
        <v>17032</v>
      </c>
      <c r="J4096" s="1" t="s">
        <v>17033</v>
      </c>
      <c r="K4096" s="1" t="s">
        <v>413</v>
      </c>
    </row>
    <row r="4097">
      <c r="A4097" s="1" t="s">
        <v>17034</v>
      </c>
      <c r="B4097" s="1" t="s">
        <v>17035</v>
      </c>
      <c r="C4097" s="1">
        <v>2016.0</v>
      </c>
      <c r="D4097" s="2">
        <v>42439.0</v>
      </c>
      <c r="F4097" s="1" t="s">
        <v>157</v>
      </c>
      <c r="H4097" s="3">
        <v>22.0</v>
      </c>
      <c r="I4097" s="4" t="s">
        <v>17036</v>
      </c>
      <c r="J4097" s="1" t="s">
        <v>17037</v>
      </c>
      <c r="K4097" s="1" t="s">
        <v>546</v>
      </c>
    </row>
    <row r="4098">
      <c r="A4098" s="1" t="s">
        <v>17038</v>
      </c>
      <c r="B4098" s="1" t="s">
        <v>17039</v>
      </c>
      <c r="C4098" s="1">
        <v>2016.0</v>
      </c>
      <c r="D4098" s="2">
        <v>42439.0</v>
      </c>
      <c r="F4098" s="1" t="s">
        <v>1420</v>
      </c>
      <c r="H4098" s="3">
        <v>2.0</v>
      </c>
      <c r="I4098" s="4" t="s">
        <v>17040</v>
      </c>
      <c r="J4098" s="1" t="s">
        <v>17041</v>
      </c>
      <c r="K4098" s="1" t="s">
        <v>16</v>
      </c>
    </row>
    <row r="4099">
      <c r="A4099" s="1" t="s">
        <v>17042</v>
      </c>
      <c r="B4099" s="1" t="s">
        <v>17043</v>
      </c>
      <c r="C4099" s="1">
        <v>2016.0</v>
      </c>
      <c r="D4099" s="2">
        <v>42438.0</v>
      </c>
      <c r="F4099" s="1" t="s">
        <v>1300</v>
      </c>
      <c r="H4099" s="3">
        <v>87.0</v>
      </c>
      <c r="I4099" s="4" t="s">
        <v>17044</v>
      </c>
      <c r="J4099" s="1" t="s">
        <v>17045</v>
      </c>
      <c r="K4099" s="1" t="s">
        <v>15571</v>
      </c>
    </row>
    <row r="4100">
      <c r="A4100" s="1" t="s">
        <v>17046</v>
      </c>
      <c r="B4100" s="1" t="s">
        <v>17047</v>
      </c>
      <c r="C4100" s="1">
        <v>2016.0</v>
      </c>
      <c r="D4100" s="2">
        <v>42437.0</v>
      </c>
      <c r="F4100" s="1" t="s">
        <v>6202</v>
      </c>
      <c r="H4100" s="3">
        <v>211.0</v>
      </c>
      <c r="I4100" s="4" t="s">
        <v>17048</v>
      </c>
      <c r="J4100" s="1" t="s">
        <v>17049</v>
      </c>
      <c r="K4100" s="1" t="s">
        <v>383</v>
      </c>
    </row>
    <row r="4101">
      <c r="A4101" s="1" t="s">
        <v>17050</v>
      </c>
      <c r="B4101" s="1" t="s">
        <v>17051</v>
      </c>
      <c r="C4101" s="1">
        <v>2016.0</v>
      </c>
      <c r="D4101" s="2">
        <v>42435.0</v>
      </c>
      <c r="F4101" s="1" t="s">
        <v>208</v>
      </c>
      <c r="H4101" s="3">
        <v>17.0</v>
      </c>
      <c r="I4101" s="4" t="s">
        <v>17052</v>
      </c>
      <c r="J4101" s="1"/>
      <c r="K4101" s="1" t="s">
        <v>16</v>
      </c>
    </row>
    <row r="4102">
      <c r="A4102" s="1" t="s">
        <v>17053</v>
      </c>
      <c r="B4102" s="1" t="s">
        <v>17054</v>
      </c>
      <c r="C4102" s="1">
        <v>2016.0</v>
      </c>
      <c r="D4102" s="2">
        <v>42431.0</v>
      </c>
      <c r="F4102" s="1" t="s">
        <v>10906</v>
      </c>
      <c r="H4102" s="3">
        <v>20.0</v>
      </c>
      <c r="I4102" s="4" t="s">
        <v>17055</v>
      </c>
      <c r="J4102" s="1" t="s">
        <v>17056</v>
      </c>
      <c r="K4102" s="1" t="s">
        <v>323</v>
      </c>
    </row>
    <row r="4103">
      <c r="A4103" s="1" t="s">
        <v>17057</v>
      </c>
      <c r="B4103" s="1" t="s">
        <v>17058</v>
      </c>
      <c r="C4103" s="1">
        <v>2016.0</v>
      </c>
      <c r="D4103" s="2">
        <v>42431.0</v>
      </c>
      <c r="F4103" s="1" t="s">
        <v>16556</v>
      </c>
      <c r="H4103" s="3">
        <v>23.0</v>
      </c>
      <c r="I4103" s="4" t="s">
        <v>17059</v>
      </c>
      <c r="J4103" s="1" t="s">
        <v>17060</v>
      </c>
      <c r="K4103" s="1" t="s">
        <v>443</v>
      </c>
    </row>
    <row r="4104">
      <c r="A4104" s="1" t="s">
        <v>17061</v>
      </c>
      <c r="B4104" s="1" t="s">
        <v>17062</v>
      </c>
      <c r="C4104" s="1">
        <v>2016.0</v>
      </c>
      <c r="D4104" s="2">
        <v>42431.0</v>
      </c>
      <c r="F4104" s="1" t="s">
        <v>882</v>
      </c>
      <c r="H4104" s="3">
        <v>62.0</v>
      </c>
      <c r="I4104" s="4" t="s">
        <v>17063</v>
      </c>
      <c r="J4104" s="1" t="s">
        <v>17064</v>
      </c>
      <c r="K4104" s="1" t="s">
        <v>323</v>
      </c>
    </row>
    <row r="4105">
      <c r="A4105" s="1" t="s">
        <v>17065</v>
      </c>
      <c r="B4105" s="1" t="s">
        <v>17066</v>
      </c>
      <c r="C4105" s="1">
        <v>2016.0</v>
      </c>
      <c r="D4105" s="2">
        <v>42431.0</v>
      </c>
      <c r="F4105" s="1" t="s">
        <v>2634</v>
      </c>
      <c r="H4105" s="3">
        <v>0.0</v>
      </c>
      <c r="I4105" s="4" t="s">
        <v>17067</v>
      </c>
      <c r="J4105" s="1"/>
      <c r="K4105" s="1" t="s">
        <v>68</v>
      </c>
    </row>
    <row r="4106">
      <c r="A4106" s="1" t="s">
        <v>17068</v>
      </c>
      <c r="B4106" s="1" t="s">
        <v>17069</v>
      </c>
      <c r="C4106" s="1">
        <v>2016.0</v>
      </c>
      <c r="D4106" s="2">
        <v>42430.0</v>
      </c>
      <c r="F4106" s="1" t="s">
        <v>17070</v>
      </c>
      <c r="H4106" s="3">
        <v>15.0</v>
      </c>
      <c r="I4106" s="4" t="s">
        <v>17071</v>
      </c>
      <c r="J4106" s="1" t="s">
        <v>17072</v>
      </c>
      <c r="K4106" s="1" t="s">
        <v>443</v>
      </c>
    </row>
    <row r="4107">
      <c r="A4107" s="1" t="s">
        <v>17073</v>
      </c>
      <c r="B4107" s="1" t="s">
        <v>17074</v>
      </c>
      <c r="C4107" s="1">
        <v>2016.0</v>
      </c>
      <c r="D4107" s="2">
        <v>42430.0</v>
      </c>
      <c r="F4107" s="1" t="s">
        <v>276</v>
      </c>
      <c r="H4107" s="3">
        <v>10.0</v>
      </c>
      <c r="I4107" s="4" t="s">
        <v>17075</v>
      </c>
      <c r="J4107" s="1" t="s">
        <v>17076</v>
      </c>
      <c r="K4107" s="1" t="s">
        <v>295</v>
      </c>
    </row>
    <row r="4108">
      <c r="A4108" s="1" t="s">
        <v>17077</v>
      </c>
      <c r="B4108" s="1" t="s">
        <v>17078</v>
      </c>
      <c r="C4108" s="1">
        <v>2016.0</v>
      </c>
      <c r="D4108" s="2">
        <v>42430.0</v>
      </c>
      <c r="F4108" s="1" t="s">
        <v>276</v>
      </c>
      <c r="H4108" s="3">
        <v>10.0</v>
      </c>
      <c r="I4108" s="4" t="s">
        <v>17079</v>
      </c>
      <c r="J4108" s="1" t="s">
        <v>17080</v>
      </c>
      <c r="K4108" s="1" t="s">
        <v>443</v>
      </c>
    </row>
    <row r="4109">
      <c r="A4109" s="1" t="s">
        <v>17081</v>
      </c>
      <c r="B4109" s="1" t="s">
        <v>17082</v>
      </c>
      <c r="C4109" s="1">
        <v>2016.0</v>
      </c>
      <c r="D4109" s="2">
        <v>42430.0</v>
      </c>
      <c r="F4109" s="1" t="s">
        <v>276</v>
      </c>
      <c r="H4109" s="3">
        <v>6.0</v>
      </c>
      <c r="I4109" s="4" t="s">
        <v>17083</v>
      </c>
      <c r="J4109" s="1" t="s">
        <v>17084</v>
      </c>
      <c r="K4109" s="1" t="s">
        <v>372</v>
      </c>
    </row>
    <row r="4110">
      <c r="A4110" s="1" t="s">
        <v>17085</v>
      </c>
      <c r="B4110" s="1" t="s">
        <v>17086</v>
      </c>
      <c r="C4110" s="1">
        <v>2016.0</v>
      </c>
      <c r="D4110" s="2">
        <v>42430.0</v>
      </c>
      <c r="F4110" s="1" t="s">
        <v>276</v>
      </c>
      <c r="H4110" s="3">
        <v>23.0</v>
      </c>
      <c r="I4110" s="4" t="s">
        <v>17087</v>
      </c>
      <c r="J4110" s="1" t="s">
        <v>17088</v>
      </c>
      <c r="K4110" s="1" t="s">
        <v>383</v>
      </c>
    </row>
    <row r="4111">
      <c r="A4111" s="1" t="s">
        <v>17089</v>
      </c>
      <c r="B4111" s="1" t="s">
        <v>17090</v>
      </c>
      <c r="C4111" s="1">
        <v>2016.0</v>
      </c>
      <c r="D4111" s="2">
        <v>42430.0</v>
      </c>
      <c r="F4111" s="1" t="s">
        <v>276</v>
      </c>
      <c r="H4111" s="3">
        <v>32.0</v>
      </c>
      <c r="I4111" s="4" t="s">
        <v>17091</v>
      </c>
      <c r="J4111" s="1" t="s">
        <v>17092</v>
      </c>
      <c r="K4111" s="1" t="s">
        <v>926</v>
      </c>
    </row>
    <row r="4112">
      <c r="A4112" s="1" t="s">
        <v>17093</v>
      </c>
      <c r="B4112" s="1" t="s">
        <v>17094</v>
      </c>
      <c r="C4112" s="1">
        <v>2016.0</v>
      </c>
      <c r="D4112" s="2">
        <v>42430.0</v>
      </c>
      <c r="F4112" s="1" t="s">
        <v>276</v>
      </c>
      <c r="H4112" s="3">
        <v>16.0</v>
      </c>
      <c r="I4112" s="4" t="s">
        <v>17095</v>
      </c>
      <c r="J4112" s="1" t="s">
        <v>17096</v>
      </c>
      <c r="K4112" s="1" t="s">
        <v>295</v>
      </c>
    </row>
    <row r="4113">
      <c r="A4113" s="1" t="s">
        <v>17097</v>
      </c>
      <c r="B4113" s="1" t="s">
        <v>17098</v>
      </c>
      <c r="C4113" s="1">
        <v>2016.0</v>
      </c>
      <c r="D4113" s="2">
        <v>42430.0</v>
      </c>
      <c r="F4113" s="1" t="s">
        <v>276</v>
      </c>
      <c r="H4113" s="3">
        <v>22.0</v>
      </c>
      <c r="I4113" s="4" t="s">
        <v>17099</v>
      </c>
      <c r="J4113" s="1" t="s">
        <v>17100</v>
      </c>
      <c r="K4113" s="1" t="s">
        <v>329</v>
      </c>
    </row>
    <row r="4114">
      <c r="A4114" s="1" t="s">
        <v>17101</v>
      </c>
      <c r="B4114" s="1" t="s">
        <v>17102</v>
      </c>
      <c r="C4114" s="1">
        <v>2016.0</v>
      </c>
      <c r="D4114" s="2">
        <v>42427.0</v>
      </c>
      <c r="F4114" s="1" t="s">
        <v>17103</v>
      </c>
      <c r="H4114" s="3">
        <v>13.0</v>
      </c>
      <c r="I4114" s="4" t="s">
        <v>17104</v>
      </c>
      <c r="J4114" s="1" t="s">
        <v>17105</v>
      </c>
      <c r="K4114" s="1" t="s">
        <v>28</v>
      </c>
    </row>
    <row r="4115">
      <c r="A4115" s="1" t="s">
        <v>17106</v>
      </c>
      <c r="B4115" s="1" t="s">
        <v>17107</v>
      </c>
      <c r="C4115" s="1">
        <v>2016.0</v>
      </c>
      <c r="D4115" s="2">
        <v>42426.0</v>
      </c>
      <c r="F4115" s="1" t="s">
        <v>71</v>
      </c>
      <c r="H4115" s="3">
        <v>14.0</v>
      </c>
      <c r="I4115" s="4" t="s">
        <v>17108</v>
      </c>
      <c r="J4115" s="1" t="s">
        <v>17109</v>
      </c>
      <c r="K4115" s="1" t="s">
        <v>323</v>
      </c>
    </row>
    <row r="4116">
      <c r="A4116" s="1" t="s">
        <v>17110</v>
      </c>
      <c r="B4116" s="1" t="s">
        <v>17111</v>
      </c>
      <c r="C4116" s="1">
        <v>2016.0</v>
      </c>
      <c r="D4116" s="2">
        <v>42423.0</v>
      </c>
      <c r="F4116" s="1" t="s">
        <v>9158</v>
      </c>
      <c r="H4116" s="3">
        <v>81.0</v>
      </c>
      <c r="I4116" s="4" t="s">
        <v>17112</v>
      </c>
      <c r="J4116" s="1" t="s">
        <v>17113</v>
      </c>
      <c r="K4116" s="1" t="s">
        <v>443</v>
      </c>
    </row>
    <row r="4117">
      <c r="A4117" s="1" t="s">
        <v>17114</v>
      </c>
      <c r="B4117" s="1" t="s">
        <v>17115</v>
      </c>
      <c r="C4117" s="1">
        <v>2016.0</v>
      </c>
      <c r="D4117" s="2">
        <v>42423.0</v>
      </c>
      <c r="F4117" s="1" t="s">
        <v>1277</v>
      </c>
      <c r="H4117" s="3">
        <v>155.0</v>
      </c>
      <c r="I4117" s="4" t="s">
        <v>17116</v>
      </c>
      <c r="J4117" s="1" t="s">
        <v>17117</v>
      </c>
      <c r="K4117" s="1" t="s">
        <v>28</v>
      </c>
    </row>
    <row r="4118">
      <c r="A4118" s="1" t="s">
        <v>17118</v>
      </c>
      <c r="B4118" s="1" t="s">
        <v>17119</v>
      </c>
      <c r="C4118" s="1">
        <v>2016.0</v>
      </c>
      <c r="D4118" s="2">
        <v>42421.0</v>
      </c>
      <c r="F4118" s="1" t="s">
        <v>2075</v>
      </c>
      <c r="H4118" s="3">
        <v>7.0</v>
      </c>
      <c r="I4118" s="4" t="s">
        <v>17120</v>
      </c>
      <c r="J4118" s="1" t="s">
        <v>17121</v>
      </c>
      <c r="K4118" s="1" t="s">
        <v>323</v>
      </c>
    </row>
    <row r="4119">
      <c r="A4119" s="1" t="s">
        <v>17122</v>
      </c>
      <c r="B4119" s="1" t="s">
        <v>16946</v>
      </c>
      <c r="C4119" s="1">
        <v>2016.0</v>
      </c>
      <c r="D4119" s="2">
        <v>42421.0</v>
      </c>
      <c r="F4119" s="1" t="s">
        <v>440</v>
      </c>
      <c r="H4119" s="3">
        <v>0.0</v>
      </c>
      <c r="I4119" s="4" t="s">
        <v>17123</v>
      </c>
      <c r="J4119" s="1"/>
      <c r="K4119" s="1" t="s">
        <v>418</v>
      </c>
    </row>
    <row r="4120">
      <c r="A4120" s="1" t="s">
        <v>17124</v>
      </c>
      <c r="B4120" s="1" t="s">
        <v>17125</v>
      </c>
      <c r="C4120" s="1">
        <v>2016.0</v>
      </c>
      <c r="D4120" s="2">
        <v>42420.0</v>
      </c>
      <c r="F4120" s="1" t="s">
        <v>10404</v>
      </c>
      <c r="H4120" s="3">
        <v>18.0</v>
      </c>
      <c r="I4120" s="4" t="s">
        <v>17126</v>
      </c>
      <c r="J4120" s="1" t="s">
        <v>17127</v>
      </c>
      <c r="K4120" s="1" t="s">
        <v>295</v>
      </c>
    </row>
    <row r="4121">
      <c r="A4121" s="1" t="s">
        <v>17128</v>
      </c>
      <c r="B4121" s="1" t="s">
        <v>16678</v>
      </c>
      <c r="C4121" s="1">
        <v>2016.0</v>
      </c>
      <c r="D4121" s="2">
        <v>42419.0</v>
      </c>
      <c r="F4121" s="1" t="s">
        <v>12240</v>
      </c>
      <c r="H4121" s="3">
        <v>16.0</v>
      </c>
      <c r="I4121" s="4" t="s">
        <v>17129</v>
      </c>
      <c r="J4121" s="1" t="s">
        <v>17130</v>
      </c>
      <c r="K4121" s="1" t="s">
        <v>546</v>
      </c>
    </row>
    <row r="4122">
      <c r="A4122" s="1" t="s">
        <v>17131</v>
      </c>
      <c r="B4122" s="1" t="s">
        <v>17132</v>
      </c>
      <c r="C4122" s="1">
        <v>2016.0</v>
      </c>
      <c r="D4122" s="2">
        <v>42418.0</v>
      </c>
      <c r="F4122" s="1" t="s">
        <v>17133</v>
      </c>
      <c r="H4122" s="3">
        <v>9.0</v>
      </c>
      <c r="I4122" s="4" t="s">
        <v>17134</v>
      </c>
      <c r="J4122" s="1" t="s">
        <v>17135</v>
      </c>
      <c r="K4122" s="1" t="s">
        <v>68</v>
      </c>
    </row>
    <row r="4123">
      <c r="A4123" s="1" t="s">
        <v>17136</v>
      </c>
      <c r="B4123" s="1" t="s">
        <v>17137</v>
      </c>
      <c r="C4123" s="1">
        <v>2016.0</v>
      </c>
      <c r="D4123" s="2">
        <v>42417.0</v>
      </c>
      <c r="F4123" s="1" t="s">
        <v>762</v>
      </c>
      <c r="H4123" s="3">
        <v>10.0</v>
      </c>
      <c r="I4123" s="4" t="s">
        <v>17138</v>
      </c>
      <c r="J4123" s="1" t="s">
        <v>17139</v>
      </c>
      <c r="K4123" s="1" t="s">
        <v>16</v>
      </c>
    </row>
    <row r="4124">
      <c r="A4124" s="1" t="s">
        <v>17140</v>
      </c>
      <c r="B4124" s="1" t="s">
        <v>17141</v>
      </c>
      <c r="C4124" s="1">
        <v>2016.0</v>
      </c>
      <c r="D4124" s="2">
        <v>42416.0</v>
      </c>
      <c r="F4124" s="1" t="s">
        <v>3463</v>
      </c>
      <c r="H4124" s="3">
        <v>46.0</v>
      </c>
      <c r="I4124" s="4" t="s">
        <v>17142</v>
      </c>
      <c r="J4124" s="1" t="s">
        <v>17143</v>
      </c>
      <c r="K4124" s="1" t="s">
        <v>28</v>
      </c>
    </row>
    <row r="4125">
      <c r="A4125" s="1" t="s">
        <v>17144</v>
      </c>
      <c r="B4125" s="1" t="s">
        <v>16678</v>
      </c>
      <c r="C4125" s="1">
        <v>2016.0</v>
      </c>
      <c r="D4125" s="2">
        <v>42416.0</v>
      </c>
      <c r="F4125" s="1" t="s">
        <v>12240</v>
      </c>
      <c r="H4125" s="3">
        <v>7.0</v>
      </c>
      <c r="I4125" s="4" t="s">
        <v>17145</v>
      </c>
      <c r="J4125" s="1" t="s">
        <v>17146</v>
      </c>
      <c r="K4125" s="1" t="s">
        <v>546</v>
      </c>
    </row>
    <row r="4126">
      <c r="A4126" s="1" t="s">
        <v>17147</v>
      </c>
      <c r="B4126" s="1" t="s">
        <v>17148</v>
      </c>
      <c r="C4126" s="1">
        <v>2016.0</v>
      </c>
      <c r="D4126" s="2">
        <v>42416.0</v>
      </c>
      <c r="F4126" s="1" t="s">
        <v>2774</v>
      </c>
      <c r="H4126" s="3">
        <v>12.0</v>
      </c>
      <c r="I4126" s="4" t="s">
        <v>17149</v>
      </c>
      <c r="J4126" s="1" t="s">
        <v>17150</v>
      </c>
      <c r="K4126" s="1" t="s">
        <v>16</v>
      </c>
    </row>
    <row r="4127">
      <c r="A4127" s="1" t="s">
        <v>17151</v>
      </c>
      <c r="B4127" s="1" t="s">
        <v>17152</v>
      </c>
      <c r="C4127" s="1">
        <v>2016.0</v>
      </c>
      <c r="D4127" s="2">
        <v>42415.0</v>
      </c>
      <c r="F4127" s="1" t="s">
        <v>271</v>
      </c>
      <c r="H4127" s="3">
        <v>5.0</v>
      </c>
      <c r="I4127" s="4" t="s">
        <v>17153</v>
      </c>
      <c r="J4127" s="1" t="s">
        <v>17154</v>
      </c>
      <c r="K4127" s="1" t="s">
        <v>68</v>
      </c>
    </row>
    <row r="4128">
      <c r="A4128" s="1" t="s">
        <v>17155</v>
      </c>
      <c r="B4128" s="1" t="s">
        <v>17156</v>
      </c>
      <c r="C4128" s="1">
        <v>2016.0</v>
      </c>
      <c r="D4128" s="2">
        <v>42415.0</v>
      </c>
      <c r="F4128" s="1" t="s">
        <v>276</v>
      </c>
      <c r="H4128" s="3">
        <v>12.0</v>
      </c>
      <c r="I4128" s="4" t="s">
        <v>17157</v>
      </c>
      <c r="J4128" s="1" t="s">
        <v>17158</v>
      </c>
      <c r="K4128" s="1" t="s">
        <v>383</v>
      </c>
    </row>
    <row r="4129">
      <c r="A4129" s="1" t="s">
        <v>17159</v>
      </c>
      <c r="B4129" s="1" t="s">
        <v>17160</v>
      </c>
      <c r="C4129" s="1">
        <v>2016.0</v>
      </c>
      <c r="D4129" s="2">
        <v>42412.0</v>
      </c>
      <c r="F4129" s="1" t="s">
        <v>882</v>
      </c>
      <c r="H4129" s="3">
        <v>162.0</v>
      </c>
      <c r="I4129" s="4" t="s">
        <v>17161</v>
      </c>
      <c r="J4129" s="1" t="s">
        <v>17162</v>
      </c>
      <c r="K4129" s="1" t="s">
        <v>418</v>
      </c>
    </row>
    <row r="4130">
      <c r="A4130" s="1" t="s">
        <v>17163</v>
      </c>
      <c r="B4130" s="1" t="s">
        <v>17164</v>
      </c>
      <c r="C4130" s="1">
        <v>2016.0</v>
      </c>
      <c r="D4130" s="2">
        <v>42412.0</v>
      </c>
      <c r="F4130" s="1" t="s">
        <v>71</v>
      </c>
      <c r="H4130" s="3">
        <v>9.0</v>
      </c>
      <c r="I4130" s="4" t="s">
        <v>17165</v>
      </c>
      <c r="J4130" s="1" t="s">
        <v>17166</v>
      </c>
      <c r="K4130" s="1" t="s">
        <v>418</v>
      </c>
    </row>
    <row r="4131">
      <c r="A4131" s="1" t="s">
        <v>17167</v>
      </c>
      <c r="B4131" s="1" t="s">
        <v>17168</v>
      </c>
      <c r="C4131" s="1">
        <v>2016.0</v>
      </c>
      <c r="D4131" s="2">
        <v>42412.0</v>
      </c>
      <c r="F4131" s="1" t="s">
        <v>2007</v>
      </c>
      <c r="H4131" s="3">
        <v>203.0</v>
      </c>
      <c r="I4131" s="4" t="s">
        <v>17169</v>
      </c>
      <c r="J4131" s="1" t="s">
        <v>17170</v>
      </c>
      <c r="K4131" s="1" t="s">
        <v>68</v>
      </c>
    </row>
    <row r="4132">
      <c r="A4132" s="1" t="s">
        <v>17171</v>
      </c>
      <c r="B4132" s="1" t="s">
        <v>17172</v>
      </c>
      <c r="C4132" s="1">
        <v>2016.0</v>
      </c>
      <c r="D4132" s="2">
        <v>42409.0</v>
      </c>
      <c r="F4132" s="1" t="s">
        <v>396</v>
      </c>
      <c r="H4132" s="3">
        <v>33.0</v>
      </c>
      <c r="I4132" s="4" t="s">
        <v>17173</v>
      </c>
      <c r="J4132" s="1" t="s">
        <v>17174</v>
      </c>
      <c r="K4132" s="1" t="s">
        <v>323</v>
      </c>
    </row>
    <row r="4133">
      <c r="A4133" s="1" t="s">
        <v>17175</v>
      </c>
      <c r="B4133" s="1" t="s">
        <v>17176</v>
      </c>
      <c r="C4133" s="1">
        <v>2016.0</v>
      </c>
      <c r="D4133" s="2">
        <v>42409.0</v>
      </c>
      <c r="F4133" s="1" t="s">
        <v>337</v>
      </c>
      <c r="H4133" s="3">
        <v>65.0</v>
      </c>
      <c r="I4133" s="4" t="s">
        <v>17177</v>
      </c>
      <c r="J4133" s="1" t="s">
        <v>17178</v>
      </c>
      <c r="K4133" s="1" t="s">
        <v>16</v>
      </c>
    </row>
    <row r="4134">
      <c r="A4134" s="1" t="s">
        <v>17179</v>
      </c>
      <c r="B4134" s="1" t="s">
        <v>17180</v>
      </c>
      <c r="C4134" s="1">
        <v>2016.0</v>
      </c>
      <c r="D4134" s="2">
        <v>42409.0</v>
      </c>
      <c r="F4134" s="1" t="s">
        <v>14384</v>
      </c>
      <c r="H4134" s="3">
        <v>50.0</v>
      </c>
      <c r="I4134" s="4" t="s">
        <v>17181</v>
      </c>
      <c r="J4134" s="1" t="s">
        <v>17182</v>
      </c>
      <c r="K4134" s="1" t="s">
        <v>16</v>
      </c>
    </row>
    <row r="4135">
      <c r="A4135" s="1" t="s">
        <v>17183</v>
      </c>
      <c r="B4135" s="1" t="s">
        <v>17184</v>
      </c>
      <c r="C4135" s="1">
        <v>2016.0</v>
      </c>
      <c r="D4135" s="2">
        <v>42408.0</v>
      </c>
      <c r="F4135" s="1" t="s">
        <v>16481</v>
      </c>
      <c r="H4135" s="3">
        <v>1.0</v>
      </c>
      <c r="I4135" s="4" t="s">
        <v>17185</v>
      </c>
      <c r="J4135" s="1"/>
      <c r="K4135" s="1" t="s">
        <v>295</v>
      </c>
    </row>
    <row r="4136">
      <c r="A4136" s="1" t="s">
        <v>17186</v>
      </c>
      <c r="B4136" s="1" t="s">
        <v>17187</v>
      </c>
      <c r="C4136" s="1">
        <v>2016.0</v>
      </c>
      <c r="D4136" s="2">
        <v>42408.0</v>
      </c>
      <c r="F4136" s="1" t="s">
        <v>7899</v>
      </c>
      <c r="H4136" s="3">
        <v>4.0</v>
      </c>
      <c r="I4136" s="4" t="s">
        <v>17188</v>
      </c>
      <c r="J4136" s="1" t="s">
        <v>17189</v>
      </c>
      <c r="K4136" s="1" t="s">
        <v>383</v>
      </c>
    </row>
    <row r="4137">
      <c r="A4137" s="1" t="s">
        <v>17190</v>
      </c>
      <c r="B4137" s="1" t="s">
        <v>17191</v>
      </c>
      <c r="C4137" s="1">
        <v>2016.0</v>
      </c>
      <c r="D4137" s="2">
        <v>42408.0</v>
      </c>
      <c r="F4137" s="1" t="s">
        <v>16481</v>
      </c>
      <c r="H4137" s="3">
        <v>26.0</v>
      </c>
      <c r="I4137" s="4" t="s">
        <v>17192</v>
      </c>
      <c r="J4137" s="1" t="s">
        <v>17193</v>
      </c>
      <c r="K4137" s="1" t="s">
        <v>16</v>
      </c>
    </row>
    <row r="4138">
      <c r="A4138" s="1" t="s">
        <v>17194</v>
      </c>
      <c r="B4138" s="1" t="s">
        <v>17195</v>
      </c>
      <c r="C4138" s="1">
        <v>2016.0</v>
      </c>
      <c r="D4138" s="2">
        <v>42406.0</v>
      </c>
      <c r="F4138" s="1" t="s">
        <v>5824</v>
      </c>
      <c r="H4138" s="3">
        <v>90.0</v>
      </c>
      <c r="I4138" s="4" t="s">
        <v>17196</v>
      </c>
      <c r="J4138" s="1" t="s">
        <v>17197</v>
      </c>
      <c r="K4138" s="1" t="s">
        <v>68</v>
      </c>
    </row>
    <row r="4139">
      <c r="A4139" s="1" t="s">
        <v>17198</v>
      </c>
      <c r="B4139" s="1" t="s">
        <v>17199</v>
      </c>
      <c r="C4139" s="1">
        <v>2016.0</v>
      </c>
      <c r="D4139" s="2">
        <v>42405.0</v>
      </c>
      <c r="F4139" s="1" t="s">
        <v>6907</v>
      </c>
      <c r="H4139" s="3">
        <v>52.0</v>
      </c>
      <c r="I4139" s="4" t="s">
        <v>17200</v>
      </c>
      <c r="J4139" s="1"/>
      <c r="K4139" s="1" t="s">
        <v>28</v>
      </c>
    </row>
    <row r="4140">
      <c r="A4140" s="1" t="s">
        <v>17201</v>
      </c>
      <c r="B4140" s="1" t="s">
        <v>17202</v>
      </c>
      <c r="C4140" s="1">
        <v>2016.0</v>
      </c>
      <c r="D4140" s="2">
        <v>42405.0</v>
      </c>
      <c r="F4140" s="1" t="s">
        <v>71</v>
      </c>
      <c r="H4140" s="3">
        <v>3.0</v>
      </c>
      <c r="I4140" s="4" t="s">
        <v>17203</v>
      </c>
      <c r="J4140" s="1" t="s">
        <v>17204</v>
      </c>
      <c r="K4140" s="1" t="s">
        <v>68</v>
      </c>
    </row>
    <row r="4141">
      <c r="A4141" s="1" t="s">
        <v>17205</v>
      </c>
      <c r="B4141" s="1" t="s">
        <v>17206</v>
      </c>
      <c r="C4141" s="1">
        <v>2016.0</v>
      </c>
      <c r="D4141" s="2">
        <v>42404.0</v>
      </c>
      <c r="F4141" s="1" t="s">
        <v>4861</v>
      </c>
      <c r="H4141" s="3">
        <v>60.0</v>
      </c>
      <c r="I4141" s="4" t="s">
        <v>17207</v>
      </c>
      <c r="J4141" s="1" t="s">
        <v>17208</v>
      </c>
      <c r="K4141" s="1" t="s">
        <v>28</v>
      </c>
    </row>
    <row r="4142">
      <c r="A4142" s="1" t="s">
        <v>17209</v>
      </c>
      <c r="B4142" s="1" t="s">
        <v>17210</v>
      </c>
      <c r="C4142" s="1">
        <v>2016.0</v>
      </c>
      <c r="D4142" s="2">
        <v>42404.0</v>
      </c>
      <c r="F4142" s="1" t="s">
        <v>396</v>
      </c>
      <c r="H4142" s="3">
        <v>14.0</v>
      </c>
      <c r="I4142" s="4" t="s">
        <v>17211</v>
      </c>
      <c r="J4142" s="1"/>
      <c r="K4142" s="1" t="s">
        <v>68</v>
      </c>
    </row>
    <row r="4143">
      <c r="A4143" s="1" t="s">
        <v>17212</v>
      </c>
      <c r="B4143" s="1" t="s">
        <v>17213</v>
      </c>
      <c r="C4143" s="1">
        <v>2016.0</v>
      </c>
      <c r="D4143" s="2">
        <v>42404.0</v>
      </c>
      <c r="F4143" s="1" t="s">
        <v>5564</v>
      </c>
      <c r="H4143" s="3">
        <v>21.0</v>
      </c>
      <c r="I4143" s="4" t="s">
        <v>17214</v>
      </c>
      <c r="J4143" s="1" t="s">
        <v>17215</v>
      </c>
      <c r="K4143" s="1" t="s">
        <v>16</v>
      </c>
    </row>
    <row r="4144">
      <c r="A4144" s="1" t="s">
        <v>17216</v>
      </c>
      <c r="B4144" s="1" t="s">
        <v>17217</v>
      </c>
      <c r="C4144" s="1">
        <v>2016.0</v>
      </c>
      <c r="D4144" s="2">
        <v>42404.0</v>
      </c>
      <c r="F4144" s="1" t="s">
        <v>3583</v>
      </c>
      <c r="H4144" s="3">
        <v>10.0</v>
      </c>
      <c r="I4144" s="4" t="s">
        <v>17218</v>
      </c>
      <c r="J4144" s="1" t="s">
        <v>17219</v>
      </c>
      <c r="K4144" s="1" t="s">
        <v>413</v>
      </c>
    </row>
    <row r="4145">
      <c r="A4145" s="1" t="s">
        <v>17220</v>
      </c>
      <c r="B4145" s="1" t="s">
        <v>17221</v>
      </c>
      <c r="C4145" s="1">
        <v>2016.0</v>
      </c>
      <c r="D4145" s="2">
        <v>42402.0</v>
      </c>
      <c r="F4145" s="1" t="s">
        <v>5824</v>
      </c>
      <c r="H4145" s="3">
        <v>32.0</v>
      </c>
      <c r="I4145" s="4" t="s">
        <v>17222</v>
      </c>
      <c r="J4145" s="1" t="s">
        <v>17223</v>
      </c>
      <c r="K4145" s="1" t="s">
        <v>403</v>
      </c>
    </row>
    <row r="4146">
      <c r="A4146" s="1" t="s">
        <v>17224</v>
      </c>
      <c r="B4146" s="1" t="s">
        <v>17225</v>
      </c>
      <c r="C4146" s="1">
        <v>2016.0</v>
      </c>
      <c r="D4146" s="2">
        <v>42401.0</v>
      </c>
      <c r="F4146" s="1" t="s">
        <v>6066</v>
      </c>
      <c r="H4146" s="3">
        <v>0.0</v>
      </c>
      <c r="I4146" s="4" t="s">
        <v>17226</v>
      </c>
      <c r="J4146" s="1" t="s">
        <v>17227</v>
      </c>
      <c r="K4146" s="1" t="s">
        <v>28</v>
      </c>
    </row>
    <row r="4147">
      <c r="A4147" s="1" t="s">
        <v>17228</v>
      </c>
      <c r="B4147" s="1" t="s">
        <v>17229</v>
      </c>
      <c r="C4147" s="1">
        <v>2016.0</v>
      </c>
      <c r="D4147" s="2">
        <v>42401.0</v>
      </c>
      <c r="F4147" s="1" t="s">
        <v>9158</v>
      </c>
      <c r="H4147" s="3">
        <v>7.0</v>
      </c>
      <c r="I4147" s="4" t="s">
        <v>17230</v>
      </c>
      <c r="J4147" s="1" t="s">
        <v>17231</v>
      </c>
      <c r="K4147" s="1" t="s">
        <v>323</v>
      </c>
    </row>
    <row r="4148">
      <c r="A4148" s="1" t="s">
        <v>17232</v>
      </c>
      <c r="B4148" s="1" t="s">
        <v>17233</v>
      </c>
      <c r="C4148" s="1">
        <v>2016.0</v>
      </c>
      <c r="D4148" s="2">
        <v>42401.0</v>
      </c>
      <c r="F4148" s="1" t="s">
        <v>14946</v>
      </c>
      <c r="H4148" s="3">
        <v>13.0</v>
      </c>
      <c r="I4148" s="4" t="s">
        <v>17234</v>
      </c>
      <c r="J4148" s="1" t="s">
        <v>17235</v>
      </c>
      <c r="K4148" s="1" t="s">
        <v>323</v>
      </c>
    </row>
    <row r="4149">
      <c r="A4149" s="1" t="s">
        <v>17236</v>
      </c>
      <c r="B4149" s="1" t="s">
        <v>17237</v>
      </c>
      <c r="C4149" s="1">
        <v>2016.0</v>
      </c>
      <c r="D4149" s="2">
        <v>42399.0</v>
      </c>
      <c r="F4149" s="1" t="s">
        <v>3583</v>
      </c>
      <c r="H4149" s="3">
        <v>3.0</v>
      </c>
      <c r="I4149" s="4" t="s">
        <v>17238</v>
      </c>
      <c r="J4149" s="1" t="s">
        <v>17239</v>
      </c>
      <c r="K4149" s="1" t="s">
        <v>323</v>
      </c>
    </row>
    <row r="4150">
      <c r="A4150" s="1" t="s">
        <v>17240</v>
      </c>
      <c r="B4150" s="1" t="s">
        <v>17241</v>
      </c>
      <c r="C4150" s="1">
        <v>2016.0</v>
      </c>
      <c r="D4150" s="2">
        <v>42399.0</v>
      </c>
      <c r="F4150" s="1" t="s">
        <v>17242</v>
      </c>
      <c r="H4150" s="3">
        <v>13.0</v>
      </c>
      <c r="I4150" s="4" t="s">
        <v>17243</v>
      </c>
      <c r="J4150" s="1" t="s">
        <v>17244</v>
      </c>
      <c r="K4150" s="1" t="s">
        <v>295</v>
      </c>
    </row>
    <row r="4151">
      <c r="A4151" s="1" t="s">
        <v>17245</v>
      </c>
      <c r="B4151" s="1" t="s">
        <v>17246</v>
      </c>
      <c r="C4151" s="1">
        <v>2016.0</v>
      </c>
      <c r="D4151" s="2">
        <v>42398.0</v>
      </c>
      <c r="F4151" s="1" t="s">
        <v>17247</v>
      </c>
      <c r="H4151" s="3">
        <v>25.0</v>
      </c>
      <c r="I4151" s="4" t="s">
        <v>17248</v>
      </c>
      <c r="J4151" s="1" t="s">
        <v>17249</v>
      </c>
      <c r="K4151" s="1" t="s">
        <v>443</v>
      </c>
    </row>
    <row r="4152">
      <c r="A4152" s="1" t="s">
        <v>17250</v>
      </c>
      <c r="B4152" s="1" t="s">
        <v>16095</v>
      </c>
      <c r="C4152" s="1">
        <v>2016.0</v>
      </c>
      <c r="D4152" s="2">
        <v>42398.0</v>
      </c>
      <c r="F4152" s="1" t="s">
        <v>12240</v>
      </c>
      <c r="H4152" s="3">
        <v>30.0</v>
      </c>
      <c r="I4152" s="4" t="s">
        <v>17251</v>
      </c>
      <c r="J4152" s="1" t="s">
        <v>17252</v>
      </c>
      <c r="K4152" s="1" t="s">
        <v>546</v>
      </c>
    </row>
    <row r="4153">
      <c r="A4153" s="1" t="s">
        <v>17253</v>
      </c>
      <c r="B4153" s="1" t="s">
        <v>17254</v>
      </c>
      <c r="C4153" s="1">
        <v>2016.0</v>
      </c>
      <c r="D4153" s="2">
        <v>42395.0</v>
      </c>
      <c r="F4153" s="1" t="s">
        <v>2297</v>
      </c>
      <c r="H4153" s="3">
        <v>24.0</v>
      </c>
      <c r="I4153" s="4" t="s">
        <v>17255</v>
      </c>
      <c r="J4153" s="1" t="s">
        <v>17256</v>
      </c>
      <c r="K4153" s="1" t="s">
        <v>295</v>
      </c>
    </row>
    <row r="4154">
      <c r="A4154" s="1" t="s">
        <v>17257</v>
      </c>
      <c r="B4154" s="1" t="s">
        <v>17258</v>
      </c>
      <c r="C4154" s="1">
        <v>2016.0</v>
      </c>
      <c r="D4154" s="2">
        <v>42394.0</v>
      </c>
      <c r="F4154" s="1" t="s">
        <v>1349</v>
      </c>
      <c r="H4154" s="3">
        <v>30.0</v>
      </c>
      <c r="I4154" s="4" t="s">
        <v>17259</v>
      </c>
      <c r="J4154" s="1"/>
      <c r="K4154" s="1" t="s">
        <v>323</v>
      </c>
    </row>
    <row r="4155">
      <c r="A4155" s="1" t="s">
        <v>17260</v>
      </c>
      <c r="B4155" s="1" t="s">
        <v>17261</v>
      </c>
      <c r="C4155" s="1">
        <v>2016.0</v>
      </c>
      <c r="D4155" s="2">
        <v>42394.0</v>
      </c>
      <c r="F4155" s="1" t="s">
        <v>71</v>
      </c>
      <c r="H4155" s="3">
        <v>77.0</v>
      </c>
      <c r="I4155" s="4" t="s">
        <v>17262</v>
      </c>
      <c r="J4155" s="1" t="s">
        <v>17263</v>
      </c>
      <c r="K4155" s="1" t="s">
        <v>16</v>
      </c>
    </row>
    <row r="4156">
      <c r="A4156" s="1" t="s">
        <v>17264</v>
      </c>
      <c r="B4156" s="1" t="s">
        <v>17265</v>
      </c>
      <c r="C4156" s="1">
        <v>2016.0</v>
      </c>
      <c r="D4156" s="2">
        <v>42390.0</v>
      </c>
      <c r="F4156" s="1" t="s">
        <v>4861</v>
      </c>
      <c r="H4156" s="3">
        <v>21.0</v>
      </c>
      <c r="I4156" s="4" t="s">
        <v>17266</v>
      </c>
      <c r="J4156" s="1" t="s">
        <v>17267</v>
      </c>
      <c r="K4156" s="1" t="s">
        <v>295</v>
      </c>
    </row>
    <row r="4157">
      <c r="A4157" s="1" t="s">
        <v>17268</v>
      </c>
      <c r="B4157" s="1" t="s">
        <v>17269</v>
      </c>
      <c r="C4157" s="1">
        <v>2016.0</v>
      </c>
      <c r="D4157" s="2">
        <v>42390.0</v>
      </c>
      <c r="F4157" s="1" t="s">
        <v>5336</v>
      </c>
      <c r="H4157" s="3">
        <v>8.0</v>
      </c>
      <c r="I4157" s="4" t="s">
        <v>17270</v>
      </c>
      <c r="J4157" s="1" t="s">
        <v>17271</v>
      </c>
      <c r="K4157" s="1" t="s">
        <v>28</v>
      </c>
    </row>
    <row r="4158">
      <c r="A4158" s="1" t="s">
        <v>17272</v>
      </c>
      <c r="B4158" s="1" t="s">
        <v>17273</v>
      </c>
      <c r="C4158" s="1">
        <v>2016.0</v>
      </c>
      <c r="D4158" s="2">
        <v>42389.0</v>
      </c>
      <c r="F4158" s="1" t="s">
        <v>17274</v>
      </c>
      <c r="H4158" s="3">
        <v>51.0</v>
      </c>
      <c r="I4158" s="4" t="s">
        <v>17275</v>
      </c>
      <c r="J4158" s="1" t="s">
        <v>17276</v>
      </c>
      <c r="K4158" s="1" t="s">
        <v>295</v>
      </c>
    </row>
    <row r="4159">
      <c r="A4159" s="1" t="s">
        <v>17277</v>
      </c>
      <c r="B4159" s="1" t="s">
        <v>17278</v>
      </c>
      <c r="C4159" s="1">
        <v>2016.0</v>
      </c>
      <c r="D4159" s="2">
        <v>42389.0</v>
      </c>
      <c r="F4159" s="1" t="s">
        <v>676</v>
      </c>
      <c r="H4159" s="3">
        <v>78.0</v>
      </c>
      <c r="I4159" s="4" t="s">
        <v>17279</v>
      </c>
      <c r="J4159" s="1" t="s">
        <v>17280</v>
      </c>
      <c r="K4159" s="1" t="s">
        <v>418</v>
      </c>
    </row>
    <row r="4160">
      <c r="A4160" s="1" t="s">
        <v>17281</v>
      </c>
      <c r="B4160" s="1" t="s">
        <v>17282</v>
      </c>
      <c r="C4160" s="1">
        <v>2016.0</v>
      </c>
      <c r="D4160" s="2">
        <v>42389.0</v>
      </c>
      <c r="F4160" s="1" t="s">
        <v>676</v>
      </c>
      <c r="H4160" s="3">
        <v>120.0</v>
      </c>
      <c r="I4160" s="4" t="s">
        <v>17283</v>
      </c>
      <c r="J4160" s="1" t="s">
        <v>17284</v>
      </c>
      <c r="K4160" s="1" t="s">
        <v>16</v>
      </c>
    </row>
    <row r="4161">
      <c r="A4161" s="1" t="s">
        <v>17285</v>
      </c>
      <c r="B4161" s="1" t="s">
        <v>17286</v>
      </c>
      <c r="C4161" s="1">
        <v>2016.0</v>
      </c>
      <c r="D4161" s="2">
        <v>42389.0</v>
      </c>
      <c r="F4161" s="1" t="s">
        <v>71</v>
      </c>
      <c r="H4161" s="3">
        <v>10.0</v>
      </c>
      <c r="I4161" s="4" t="s">
        <v>17287</v>
      </c>
      <c r="J4161" s="1" t="s">
        <v>17288</v>
      </c>
      <c r="K4161" s="1" t="s">
        <v>16</v>
      </c>
    </row>
    <row r="4162">
      <c r="A4162" s="1" t="s">
        <v>17289</v>
      </c>
      <c r="B4162" s="1" t="s">
        <v>17290</v>
      </c>
      <c r="C4162" s="1">
        <v>2016.0</v>
      </c>
      <c r="D4162" s="2">
        <v>42388.0</v>
      </c>
      <c r="F4162" s="1" t="s">
        <v>17291</v>
      </c>
      <c r="H4162" s="3">
        <v>265.0</v>
      </c>
      <c r="I4162" s="4" t="s">
        <v>17292</v>
      </c>
      <c r="J4162" s="1" t="s">
        <v>17293</v>
      </c>
      <c r="K4162" s="1" t="s">
        <v>418</v>
      </c>
    </row>
    <row r="4163">
      <c r="A4163" s="1" t="s">
        <v>17294</v>
      </c>
      <c r="B4163" s="1" t="s">
        <v>17295</v>
      </c>
      <c r="C4163" s="1">
        <v>2016.0</v>
      </c>
      <c r="D4163" s="2">
        <v>42384.0</v>
      </c>
      <c r="F4163" s="1" t="s">
        <v>369</v>
      </c>
      <c r="H4163" s="3">
        <v>24.0</v>
      </c>
      <c r="I4163" s="4" t="s">
        <v>17296</v>
      </c>
      <c r="J4163" s="1" t="s">
        <v>17297</v>
      </c>
      <c r="K4163" s="1" t="s">
        <v>323</v>
      </c>
    </row>
    <row r="4164">
      <c r="A4164" s="1" t="s">
        <v>17298</v>
      </c>
      <c r="B4164" s="1" t="s">
        <v>17299</v>
      </c>
      <c r="C4164" s="1">
        <v>2016.0</v>
      </c>
      <c r="D4164" s="2">
        <v>42383.0</v>
      </c>
      <c r="F4164" s="1" t="s">
        <v>9090</v>
      </c>
      <c r="H4164" s="3">
        <v>20.0</v>
      </c>
      <c r="I4164" s="4" t="s">
        <v>17300</v>
      </c>
      <c r="J4164" s="1" t="s">
        <v>17301</v>
      </c>
      <c r="K4164" s="1" t="s">
        <v>926</v>
      </c>
    </row>
    <row r="4165">
      <c r="A4165" s="1" t="s">
        <v>17302</v>
      </c>
      <c r="B4165" s="1" t="s">
        <v>17303</v>
      </c>
      <c r="C4165" s="1">
        <v>2016.0</v>
      </c>
      <c r="D4165" s="2">
        <v>42383.0</v>
      </c>
      <c r="F4165" s="1" t="s">
        <v>17304</v>
      </c>
      <c r="H4165" s="3">
        <v>10.0</v>
      </c>
      <c r="I4165" s="4" t="s">
        <v>17305</v>
      </c>
      <c r="J4165" s="1" t="s">
        <v>17306</v>
      </c>
      <c r="K4165" s="1" t="s">
        <v>443</v>
      </c>
    </row>
    <row r="4166">
      <c r="A4166" s="1" t="s">
        <v>17307</v>
      </c>
      <c r="B4166" s="1" t="s">
        <v>17308</v>
      </c>
      <c r="C4166" s="1">
        <v>2016.0</v>
      </c>
      <c r="D4166" s="2">
        <v>42382.0</v>
      </c>
      <c r="F4166" s="1" t="s">
        <v>877</v>
      </c>
      <c r="H4166" s="3">
        <v>55.0</v>
      </c>
      <c r="I4166" s="4" t="s">
        <v>17309</v>
      </c>
      <c r="J4166" s="1" t="s">
        <v>17310</v>
      </c>
      <c r="K4166" s="1" t="s">
        <v>295</v>
      </c>
    </row>
    <row r="4167">
      <c r="A4167" s="1" t="s">
        <v>17311</v>
      </c>
      <c r="B4167" s="1" t="s">
        <v>17312</v>
      </c>
      <c r="C4167" s="1">
        <v>2016.0</v>
      </c>
      <c r="D4167" s="2">
        <v>42381.0</v>
      </c>
      <c r="F4167" s="1" t="s">
        <v>208</v>
      </c>
      <c r="H4167" s="3">
        <v>62.0</v>
      </c>
      <c r="I4167" s="4" t="s">
        <v>17313</v>
      </c>
      <c r="J4167" s="1" t="s">
        <v>17314</v>
      </c>
      <c r="K4167" s="1" t="s">
        <v>28</v>
      </c>
    </row>
    <row r="4168">
      <c r="A4168" s="1" t="s">
        <v>17315</v>
      </c>
      <c r="B4168" s="1" t="s">
        <v>17316</v>
      </c>
      <c r="C4168" s="1">
        <v>2016.0</v>
      </c>
      <c r="D4168" s="2">
        <v>42380.0</v>
      </c>
      <c r="F4168" s="1" t="s">
        <v>3501</v>
      </c>
      <c r="H4168" s="3">
        <v>223.0</v>
      </c>
      <c r="I4168" s="4" t="s">
        <v>17317</v>
      </c>
      <c r="J4168" s="1" t="s">
        <v>17318</v>
      </c>
      <c r="K4168" s="1" t="s">
        <v>28</v>
      </c>
    </row>
    <row r="4169">
      <c r="A4169" s="1" t="s">
        <v>17319</v>
      </c>
      <c r="B4169" s="1" t="s">
        <v>17320</v>
      </c>
      <c r="C4169" s="1">
        <v>2016.0</v>
      </c>
      <c r="D4169" s="2">
        <v>42380.0</v>
      </c>
      <c r="F4169" s="1" t="s">
        <v>208</v>
      </c>
      <c r="H4169" s="3">
        <v>16.0</v>
      </c>
      <c r="I4169" s="4" t="s">
        <v>17321</v>
      </c>
      <c r="J4169" s="1" t="s">
        <v>17322</v>
      </c>
      <c r="K4169" s="1" t="s">
        <v>28</v>
      </c>
    </row>
    <row r="4170">
      <c r="A4170" s="1" t="s">
        <v>17323</v>
      </c>
      <c r="B4170" s="1" t="s">
        <v>17324</v>
      </c>
      <c r="C4170" s="1">
        <v>2016.0</v>
      </c>
      <c r="D4170" s="2">
        <v>42380.0</v>
      </c>
      <c r="F4170" s="1" t="s">
        <v>1777</v>
      </c>
      <c r="H4170" s="3">
        <v>22.0</v>
      </c>
      <c r="I4170" s="4" t="s">
        <v>17325</v>
      </c>
      <c r="J4170" s="1" t="s">
        <v>17326</v>
      </c>
      <c r="K4170" s="1" t="s">
        <v>295</v>
      </c>
    </row>
    <row r="4171">
      <c r="A4171" s="1" t="s">
        <v>17327</v>
      </c>
      <c r="B4171" s="1" t="s">
        <v>17328</v>
      </c>
      <c r="C4171" s="1">
        <v>2016.0</v>
      </c>
      <c r="D4171" s="2">
        <v>42378.0</v>
      </c>
      <c r="F4171" s="1" t="s">
        <v>6585</v>
      </c>
      <c r="H4171" s="3">
        <v>21.0</v>
      </c>
      <c r="I4171" s="4" t="s">
        <v>17329</v>
      </c>
      <c r="J4171" s="1" t="s">
        <v>17330</v>
      </c>
      <c r="K4171" s="1" t="s">
        <v>16</v>
      </c>
    </row>
    <row r="4172">
      <c r="A4172" s="1" t="s">
        <v>17331</v>
      </c>
      <c r="B4172" s="1" t="s">
        <v>16095</v>
      </c>
      <c r="C4172" s="1">
        <v>2016.0</v>
      </c>
      <c r="D4172" s="2">
        <v>42377.0</v>
      </c>
      <c r="F4172" s="1" t="s">
        <v>12240</v>
      </c>
      <c r="H4172" s="3">
        <v>19.0</v>
      </c>
      <c r="I4172" s="4" t="s">
        <v>17332</v>
      </c>
      <c r="J4172" s="1" t="s">
        <v>17333</v>
      </c>
      <c r="K4172" s="1" t="s">
        <v>546</v>
      </c>
    </row>
    <row r="4173">
      <c r="A4173" s="1" t="s">
        <v>17334</v>
      </c>
      <c r="B4173" s="1" t="s">
        <v>17335</v>
      </c>
      <c r="C4173" s="1">
        <v>2016.0</v>
      </c>
      <c r="D4173" s="2">
        <v>42376.0</v>
      </c>
      <c r="F4173" s="1" t="s">
        <v>59</v>
      </c>
      <c r="H4173" s="3">
        <v>13.0</v>
      </c>
      <c r="I4173" s="4" t="s">
        <v>17336</v>
      </c>
      <c r="J4173" s="1" t="s">
        <v>17337</v>
      </c>
      <c r="K4173" s="1" t="s">
        <v>443</v>
      </c>
    </row>
    <row r="4174">
      <c r="A4174" s="1" t="s">
        <v>17338</v>
      </c>
      <c r="B4174" s="1" t="s">
        <v>17339</v>
      </c>
      <c r="C4174" s="1">
        <v>2016.0</v>
      </c>
      <c r="D4174" s="2">
        <v>42376.0</v>
      </c>
      <c r="F4174" s="1" t="s">
        <v>1386</v>
      </c>
      <c r="H4174" s="3">
        <v>29.0</v>
      </c>
      <c r="I4174" s="4" t="s">
        <v>17340</v>
      </c>
      <c r="J4174" s="1" t="s">
        <v>17341</v>
      </c>
      <c r="K4174" s="1" t="s">
        <v>295</v>
      </c>
    </row>
    <row r="4175">
      <c r="A4175" s="1" t="s">
        <v>17342</v>
      </c>
      <c r="B4175" s="1" t="s">
        <v>16095</v>
      </c>
      <c r="C4175" s="1">
        <v>2016.0</v>
      </c>
      <c r="D4175" s="2">
        <v>42376.0</v>
      </c>
      <c r="F4175" s="1" t="s">
        <v>12240</v>
      </c>
      <c r="H4175" s="3">
        <v>24.0</v>
      </c>
      <c r="I4175" s="4" t="s">
        <v>17343</v>
      </c>
      <c r="J4175" s="1" t="s">
        <v>17344</v>
      </c>
      <c r="K4175" s="1" t="s">
        <v>546</v>
      </c>
    </row>
    <row r="4176">
      <c r="A4176" s="1" t="s">
        <v>17345</v>
      </c>
      <c r="B4176" s="1" t="s">
        <v>17346</v>
      </c>
      <c r="C4176" s="1">
        <v>2016.0</v>
      </c>
      <c r="D4176" s="2">
        <v>42376.0</v>
      </c>
      <c r="F4176" s="1" t="s">
        <v>17347</v>
      </c>
      <c r="H4176" s="3">
        <v>3.0</v>
      </c>
      <c r="I4176" s="4" t="s">
        <v>17348</v>
      </c>
      <c r="J4176" s="1" t="s">
        <v>17349</v>
      </c>
      <c r="K4176" s="1" t="s">
        <v>16</v>
      </c>
    </row>
    <row r="4177">
      <c r="A4177" s="1" t="s">
        <v>17350</v>
      </c>
      <c r="B4177" s="1" t="s">
        <v>17351</v>
      </c>
      <c r="C4177" s="1">
        <v>2016.0</v>
      </c>
      <c r="D4177" s="2">
        <v>42376.0</v>
      </c>
      <c r="F4177" s="1" t="s">
        <v>1366</v>
      </c>
      <c r="H4177" s="3">
        <v>15.0</v>
      </c>
      <c r="I4177" s="4" t="s">
        <v>17352</v>
      </c>
      <c r="J4177" s="1" t="s">
        <v>17353</v>
      </c>
      <c r="K4177" s="1" t="s">
        <v>16</v>
      </c>
    </row>
    <row r="4178">
      <c r="A4178" s="1" t="s">
        <v>17354</v>
      </c>
      <c r="B4178" s="1" t="s">
        <v>17355</v>
      </c>
      <c r="C4178" s="1">
        <v>2016.0</v>
      </c>
      <c r="D4178" s="2">
        <v>42375.0</v>
      </c>
      <c r="F4178" s="1" t="s">
        <v>17356</v>
      </c>
      <c r="H4178" s="3">
        <v>28.0</v>
      </c>
      <c r="I4178" s="4" t="s">
        <v>17357</v>
      </c>
      <c r="J4178" s="1" t="s">
        <v>17358</v>
      </c>
      <c r="K4178" s="1" t="s">
        <v>413</v>
      </c>
    </row>
    <row r="4179">
      <c r="A4179" s="1" t="s">
        <v>17359</v>
      </c>
      <c r="B4179" s="1" t="s">
        <v>17360</v>
      </c>
      <c r="C4179" s="1">
        <v>2016.0</v>
      </c>
      <c r="D4179" s="2">
        <v>42374.0</v>
      </c>
      <c r="F4179" s="1" t="s">
        <v>12240</v>
      </c>
      <c r="H4179" s="3">
        <v>195.0</v>
      </c>
      <c r="I4179" s="4" t="s">
        <v>17361</v>
      </c>
      <c r="J4179" s="1" t="s">
        <v>17362</v>
      </c>
      <c r="K4179" s="1" t="s">
        <v>546</v>
      </c>
    </row>
    <row r="4180">
      <c r="A4180" s="1" t="s">
        <v>17363</v>
      </c>
      <c r="B4180" s="1" t="s">
        <v>16678</v>
      </c>
      <c r="C4180" s="1">
        <v>2016.0</v>
      </c>
      <c r="D4180" s="2">
        <v>42374.0</v>
      </c>
      <c r="F4180" s="1" t="s">
        <v>12240</v>
      </c>
      <c r="H4180" s="3">
        <v>69.0</v>
      </c>
      <c r="I4180" s="4" t="s">
        <v>17364</v>
      </c>
      <c r="J4180" s="1" t="s">
        <v>17365</v>
      </c>
      <c r="K4180" s="1" t="s">
        <v>546</v>
      </c>
    </row>
    <row r="4181">
      <c r="A4181" s="1" t="s">
        <v>17366</v>
      </c>
      <c r="B4181" s="1" t="s">
        <v>17360</v>
      </c>
      <c r="C4181" s="1">
        <v>2016.0</v>
      </c>
      <c r="D4181" s="2">
        <v>42374.0</v>
      </c>
      <c r="F4181" s="1" t="s">
        <v>12240</v>
      </c>
      <c r="H4181" s="3">
        <v>18.0</v>
      </c>
      <c r="I4181" s="4" t="s">
        <v>17367</v>
      </c>
      <c r="J4181" s="1" t="s">
        <v>17368</v>
      </c>
      <c r="K4181" s="1" t="s">
        <v>546</v>
      </c>
    </row>
    <row r="4182">
      <c r="A4182" s="1" t="s">
        <v>17369</v>
      </c>
      <c r="B4182" s="1" t="s">
        <v>17370</v>
      </c>
      <c r="C4182" s="1">
        <v>2016.0</v>
      </c>
      <c r="D4182" s="2">
        <v>42373.0</v>
      </c>
      <c r="F4182" s="1" t="s">
        <v>17371</v>
      </c>
      <c r="H4182" s="3">
        <v>87.0</v>
      </c>
      <c r="I4182" s="4" t="s">
        <v>17372</v>
      </c>
      <c r="J4182" s="1" t="s">
        <v>17373</v>
      </c>
      <c r="K4182" s="1" t="s">
        <v>383</v>
      </c>
    </row>
    <row r="4183">
      <c r="A4183" s="1" t="s">
        <v>17374</v>
      </c>
      <c r="B4183" s="1" t="s">
        <v>17375</v>
      </c>
      <c r="C4183" s="1">
        <v>2016.0</v>
      </c>
      <c r="D4183" s="2">
        <v>42373.0</v>
      </c>
      <c r="F4183" s="1" t="s">
        <v>2560</v>
      </c>
      <c r="H4183" s="3">
        <v>23.0</v>
      </c>
      <c r="I4183" s="4" t="s">
        <v>17376</v>
      </c>
      <c r="J4183" s="1" t="s">
        <v>17377</v>
      </c>
      <c r="K4183" s="1" t="s">
        <v>295</v>
      </c>
    </row>
    <row r="4184">
      <c r="A4184" s="1" t="s">
        <v>17378</v>
      </c>
      <c r="B4184" s="1" t="s">
        <v>17379</v>
      </c>
      <c r="C4184" s="1">
        <v>2016.0</v>
      </c>
      <c r="D4184" s="2">
        <v>42373.0</v>
      </c>
      <c r="F4184" s="1" t="s">
        <v>2560</v>
      </c>
      <c r="H4184" s="3">
        <v>13.0</v>
      </c>
      <c r="I4184" s="4" t="s">
        <v>17380</v>
      </c>
      <c r="J4184" s="1" t="s">
        <v>17381</v>
      </c>
      <c r="K4184" s="1" t="s">
        <v>28</v>
      </c>
    </row>
    <row r="4185">
      <c r="A4185" s="1" t="s">
        <v>17382</v>
      </c>
      <c r="B4185" s="1" t="s">
        <v>17383</v>
      </c>
      <c r="C4185" s="1">
        <v>2016.0</v>
      </c>
      <c r="D4185" s="2">
        <v>42373.0</v>
      </c>
      <c r="F4185" s="1" t="s">
        <v>2611</v>
      </c>
      <c r="H4185" s="3">
        <v>490.0</v>
      </c>
      <c r="I4185" s="4" t="s">
        <v>17384</v>
      </c>
      <c r="J4185" s="1" t="s">
        <v>17385</v>
      </c>
      <c r="K4185" s="1" t="s">
        <v>68</v>
      </c>
    </row>
    <row r="4186">
      <c r="A4186" s="1" t="s">
        <v>17386</v>
      </c>
      <c r="B4186" s="1" t="s">
        <v>17387</v>
      </c>
      <c r="C4186" s="1">
        <v>2016.0</v>
      </c>
      <c r="D4186" s="2">
        <v>42372.0</v>
      </c>
      <c r="F4186" s="1" t="s">
        <v>308</v>
      </c>
      <c r="H4186" s="3">
        <v>31.0</v>
      </c>
      <c r="I4186" s="4" t="s">
        <v>17388</v>
      </c>
      <c r="J4186" s="1" t="s">
        <v>17389</v>
      </c>
      <c r="K4186" s="1" t="s">
        <v>323</v>
      </c>
    </row>
    <row r="4187">
      <c r="A4187" s="1" t="s">
        <v>17390</v>
      </c>
      <c r="B4187" s="1" t="s">
        <v>17391</v>
      </c>
      <c r="C4187" s="1">
        <v>2016.0</v>
      </c>
      <c r="D4187" s="2">
        <v>42370.0</v>
      </c>
      <c r="F4187" s="1" t="s">
        <v>380</v>
      </c>
      <c r="H4187" s="3">
        <v>2.0</v>
      </c>
      <c r="I4187" s="4" t="s">
        <v>17392</v>
      </c>
      <c r="J4187" s="1" t="s">
        <v>17393</v>
      </c>
      <c r="K4187" s="1" t="s">
        <v>1036</v>
      </c>
    </row>
    <row r="4188">
      <c r="A4188" s="1" t="s">
        <v>17394</v>
      </c>
      <c r="B4188" s="1" t="s">
        <v>17395</v>
      </c>
      <c r="C4188" s="1">
        <v>2016.0</v>
      </c>
      <c r="D4188" s="2">
        <v>42370.0</v>
      </c>
      <c r="F4188" s="1" t="s">
        <v>59</v>
      </c>
      <c r="H4188" s="3">
        <v>58.0</v>
      </c>
      <c r="I4188" s="4" t="s">
        <v>17396</v>
      </c>
      <c r="J4188" s="1" t="s">
        <v>17397</v>
      </c>
      <c r="K4188" s="1" t="s">
        <v>295</v>
      </c>
    </row>
    <row r="4189">
      <c r="A4189" s="1" t="s">
        <v>17398</v>
      </c>
      <c r="B4189" s="1" t="s">
        <v>16548</v>
      </c>
      <c r="C4189" s="1">
        <v>2016.0</v>
      </c>
      <c r="D4189" s="2">
        <v>42370.0</v>
      </c>
      <c r="F4189" s="1" t="s">
        <v>1050</v>
      </c>
      <c r="H4189" s="3">
        <v>0.0</v>
      </c>
      <c r="I4189" s="4" t="s">
        <v>17399</v>
      </c>
      <c r="J4189" s="1" t="s">
        <v>17400</v>
      </c>
      <c r="K4189" s="1" t="s">
        <v>28</v>
      </c>
    </row>
    <row r="4190">
      <c r="A4190" s="1" t="s">
        <v>17401</v>
      </c>
      <c r="B4190" s="1" t="s">
        <v>14056</v>
      </c>
      <c r="C4190" s="1">
        <v>2016.0</v>
      </c>
      <c r="D4190" s="2">
        <v>42370.0</v>
      </c>
      <c r="F4190" s="1" t="s">
        <v>14057</v>
      </c>
      <c r="H4190" s="3">
        <v>26.0</v>
      </c>
      <c r="I4190" s="4" t="s">
        <v>17402</v>
      </c>
      <c r="J4190" s="1" t="s">
        <v>17403</v>
      </c>
      <c r="K4190" s="1" t="s">
        <v>68</v>
      </c>
    </row>
    <row r="4191">
      <c r="A4191" s="1" t="s">
        <v>17404</v>
      </c>
      <c r="B4191" s="1" t="s">
        <v>17405</v>
      </c>
      <c r="C4191" s="1">
        <v>2016.0</v>
      </c>
      <c r="D4191" s="2">
        <v>42370.0</v>
      </c>
      <c r="F4191" s="1" t="s">
        <v>1050</v>
      </c>
      <c r="H4191" s="3">
        <v>0.0</v>
      </c>
      <c r="I4191" s="4" t="s">
        <v>17406</v>
      </c>
      <c r="J4191" s="1" t="s">
        <v>17407</v>
      </c>
      <c r="K4191" s="1" t="s">
        <v>68</v>
      </c>
    </row>
    <row r="4192">
      <c r="A4192" s="1" t="s">
        <v>17408</v>
      </c>
      <c r="B4192" s="1" t="s">
        <v>17409</v>
      </c>
      <c r="C4192" s="1">
        <v>2016.0</v>
      </c>
      <c r="D4192" s="2">
        <v>42370.0</v>
      </c>
      <c r="F4192" s="1" t="s">
        <v>1050</v>
      </c>
      <c r="H4192" s="3">
        <v>0.0</v>
      </c>
      <c r="I4192" s="4" t="s">
        <v>17410</v>
      </c>
      <c r="J4192" s="1" t="s">
        <v>17411</v>
      </c>
      <c r="K4192" s="1" t="s">
        <v>68</v>
      </c>
    </row>
    <row r="4193">
      <c r="A4193" s="1" t="s">
        <v>17412</v>
      </c>
      <c r="B4193" s="1" t="s">
        <v>17413</v>
      </c>
      <c r="C4193" s="1">
        <v>2016.0</v>
      </c>
      <c r="D4193" s="2">
        <v>42370.0</v>
      </c>
      <c r="F4193" s="1" t="s">
        <v>1050</v>
      </c>
      <c r="H4193" s="3">
        <v>0.0</v>
      </c>
      <c r="I4193" s="4" t="s">
        <v>17414</v>
      </c>
      <c r="J4193" s="1" t="s">
        <v>17415</v>
      </c>
      <c r="K4193" s="1" t="s">
        <v>413</v>
      </c>
    </row>
    <row r="4194">
      <c r="A4194" s="1" t="s">
        <v>17416</v>
      </c>
      <c r="B4194" s="1" t="s">
        <v>17417</v>
      </c>
      <c r="C4194" s="1">
        <v>2016.0</v>
      </c>
      <c r="D4194" s="2">
        <v>42370.0</v>
      </c>
      <c r="F4194" s="1" t="s">
        <v>1050</v>
      </c>
      <c r="H4194" s="3">
        <v>0.0</v>
      </c>
      <c r="I4194" s="4" t="s">
        <v>17418</v>
      </c>
      <c r="J4194" s="1" t="s">
        <v>17419</v>
      </c>
      <c r="K4194" s="1" t="s">
        <v>413</v>
      </c>
    </row>
    <row r="4195">
      <c r="A4195" s="1" t="s">
        <v>17420</v>
      </c>
      <c r="B4195" s="1" t="s">
        <v>17421</v>
      </c>
      <c r="C4195" s="1">
        <v>2016.0</v>
      </c>
      <c r="D4195" s="2">
        <v>42370.0</v>
      </c>
      <c r="F4195" s="1" t="s">
        <v>1050</v>
      </c>
      <c r="H4195" s="3">
        <v>0.0</v>
      </c>
      <c r="I4195" s="4" t="s">
        <v>17422</v>
      </c>
      <c r="J4195" s="1" t="s">
        <v>17423</v>
      </c>
      <c r="K4195" s="1" t="s">
        <v>68</v>
      </c>
    </row>
    <row r="4196">
      <c r="A4196" s="1" t="s">
        <v>17424</v>
      </c>
      <c r="B4196" s="1" t="s">
        <v>17425</v>
      </c>
      <c r="C4196" s="1">
        <v>2016.0</v>
      </c>
      <c r="D4196" s="2">
        <v>42370.0</v>
      </c>
      <c r="F4196" s="1" t="s">
        <v>1050</v>
      </c>
      <c r="H4196" s="3">
        <v>0.0</v>
      </c>
      <c r="I4196" s="4" t="s">
        <v>17426</v>
      </c>
      <c r="J4196" s="1" t="s">
        <v>17427</v>
      </c>
      <c r="K4196" s="1" t="s">
        <v>68</v>
      </c>
    </row>
    <row r="4197">
      <c r="A4197" s="1" t="s">
        <v>17428</v>
      </c>
      <c r="B4197" s="1" t="s">
        <v>17429</v>
      </c>
      <c r="C4197" s="1">
        <v>2016.0</v>
      </c>
      <c r="D4197" s="2">
        <v>42370.0</v>
      </c>
      <c r="F4197" s="1" t="s">
        <v>17430</v>
      </c>
      <c r="H4197" s="3">
        <v>1.0</v>
      </c>
      <c r="I4197" s="4" t="s">
        <v>17431</v>
      </c>
      <c r="J4197" s="1" t="s">
        <v>17432</v>
      </c>
      <c r="K4197" s="1" t="s">
        <v>462</v>
      </c>
    </row>
    <row r="4198">
      <c r="A4198" s="1" t="s">
        <v>17433</v>
      </c>
      <c r="B4198" s="1" t="s">
        <v>17434</v>
      </c>
      <c r="C4198" s="1">
        <v>2016.0</v>
      </c>
      <c r="D4198" s="2">
        <v>42370.0</v>
      </c>
      <c r="F4198" s="1" t="s">
        <v>1050</v>
      </c>
      <c r="H4198" s="3">
        <v>0.0</v>
      </c>
      <c r="I4198" s="4" t="s">
        <v>17435</v>
      </c>
      <c r="J4198" s="1" t="s">
        <v>17436</v>
      </c>
      <c r="K4198" s="1" t="s">
        <v>16</v>
      </c>
    </row>
    <row r="4199">
      <c r="A4199" s="1" t="s">
        <v>17437</v>
      </c>
      <c r="B4199" s="1" t="s">
        <v>17438</v>
      </c>
      <c r="C4199" s="1">
        <v>2015.0</v>
      </c>
      <c r="D4199" s="2">
        <v>42369.0</v>
      </c>
      <c r="F4199" s="1" t="s">
        <v>15965</v>
      </c>
      <c r="H4199" s="3">
        <v>30.0</v>
      </c>
      <c r="I4199" s="4" t="s">
        <v>17439</v>
      </c>
      <c r="J4199" s="1" t="s">
        <v>17440</v>
      </c>
      <c r="K4199" s="1" t="s">
        <v>16</v>
      </c>
    </row>
    <row r="4200">
      <c r="A4200" s="1" t="s">
        <v>17441</v>
      </c>
      <c r="B4200" s="1" t="s">
        <v>16095</v>
      </c>
      <c r="C4200" s="1">
        <v>2015.0</v>
      </c>
      <c r="D4200" s="2">
        <v>42368.0</v>
      </c>
      <c r="F4200" s="1" t="s">
        <v>157</v>
      </c>
      <c r="H4200" s="3">
        <v>20.0</v>
      </c>
      <c r="I4200" s="4" t="s">
        <v>17442</v>
      </c>
      <c r="J4200" s="1" t="s">
        <v>17443</v>
      </c>
      <c r="K4200" s="1" t="s">
        <v>546</v>
      </c>
    </row>
    <row r="4201">
      <c r="A4201" s="1" t="s">
        <v>17444</v>
      </c>
      <c r="B4201" s="1" t="s">
        <v>17445</v>
      </c>
      <c r="C4201" s="1">
        <v>2015.0</v>
      </c>
      <c r="D4201" s="2">
        <v>42367.0</v>
      </c>
      <c r="F4201" s="1" t="s">
        <v>386</v>
      </c>
      <c r="H4201" s="3">
        <v>44.0</v>
      </c>
      <c r="I4201" s="4" t="s">
        <v>17446</v>
      </c>
      <c r="J4201" s="1" t="s">
        <v>17447</v>
      </c>
      <c r="K4201" s="1" t="s">
        <v>295</v>
      </c>
    </row>
    <row r="4202">
      <c r="A4202" s="1" t="s">
        <v>17448</v>
      </c>
      <c r="B4202" s="1" t="s">
        <v>17449</v>
      </c>
      <c r="C4202" s="1">
        <v>2015.0</v>
      </c>
      <c r="D4202" s="2">
        <v>42366.0</v>
      </c>
      <c r="F4202" s="1" t="s">
        <v>656</v>
      </c>
      <c r="H4202" s="3">
        <v>157.0</v>
      </c>
      <c r="I4202" s="4" t="s">
        <v>17450</v>
      </c>
      <c r="J4202" s="1" t="s">
        <v>17451</v>
      </c>
      <c r="K4202" s="1" t="s">
        <v>28</v>
      </c>
    </row>
    <row r="4203">
      <c r="A4203" s="1" t="s">
        <v>17452</v>
      </c>
      <c r="B4203" s="1" t="s">
        <v>17453</v>
      </c>
      <c r="C4203" s="1">
        <v>2015.0</v>
      </c>
      <c r="D4203" s="2">
        <v>42362.0</v>
      </c>
      <c r="F4203" s="1" t="s">
        <v>1614</v>
      </c>
      <c r="H4203" s="3">
        <v>17.0</v>
      </c>
      <c r="I4203" s="4" t="s">
        <v>17454</v>
      </c>
      <c r="J4203" s="1" t="s">
        <v>17455</v>
      </c>
      <c r="K4203" s="1" t="s">
        <v>329</v>
      </c>
    </row>
    <row r="4204">
      <c r="A4204" s="1" t="s">
        <v>17456</v>
      </c>
      <c r="B4204" s="1" t="s">
        <v>17457</v>
      </c>
      <c r="C4204" s="1">
        <v>2015.0</v>
      </c>
      <c r="D4204" s="2">
        <v>42362.0</v>
      </c>
      <c r="F4204" s="1" t="s">
        <v>17458</v>
      </c>
      <c r="H4204" s="3">
        <v>61.0</v>
      </c>
      <c r="I4204" s="4" t="s">
        <v>17459</v>
      </c>
      <c r="J4204" s="1" t="s">
        <v>17460</v>
      </c>
      <c r="K4204" s="1" t="s">
        <v>317</v>
      </c>
    </row>
    <row r="4205">
      <c r="A4205" s="1" t="s">
        <v>17461</v>
      </c>
      <c r="B4205" s="1" t="s">
        <v>17462</v>
      </c>
      <c r="C4205" s="1">
        <v>2015.0</v>
      </c>
      <c r="D4205" s="2">
        <v>42361.0</v>
      </c>
      <c r="F4205" s="1" t="s">
        <v>17463</v>
      </c>
      <c r="H4205" s="3">
        <v>3.0</v>
      </c>
      <c r="I4205" s="4" t="s">
        <v>17464</v>
      </c>
      <c r="J4205" s="1" t="s">
        <v>17465</v>
      </c>
      <c r="K4205" s="1" t="s">
        <v>323</v>
      </c>
    </row>
    <row r="4206">
      <c r="A4206" s="1" t="s">
        <v>17466</v>
      </c>
      <c r="B4206" s="1" t="s">
        <v>17467</v>
      </c>
      <c r="C4206" s="1">
        <v>2015.0</v>
      </c>
      <c r="D4206" s="2">
        <v>42361.0</v>
      </c>
      <c r="F4206" s="1" t="s">
        <v>17463</v>
      </c>
      <c r="H4206" s="3">
        <v>3.0</v>
      </c>
      <c r="I4206" s="4" t="s">
        <v>17468</v>
      </c>
      <c r="J4206" s="1" t="s">
        <v>17469</v>
      </c>
      <c r="K4206" s="1" t="s">
        <v>323</v>
      </c>
    </row>
    <row r="4207">
      <c r="A4207" s="1" t="s">
        <v>17470</v>
      </c>
      <c r="B4207" s="1" t="s">
        <v>17471</v>
      </c>
      <c r="C4207" s="1">
        <v>2015.0</v>
      </c>
      <c r="D4207" s="2">
        <v>42359.0</v>
      </c>
      <c r="F4207" s="1" t="s">
        <v>6800</v>
      </c>
      <c r="H4207" s="3">
        <v>33.0</v>
      </c>
      <c r="I4207" s="4" t="s">
        <v>17472</v>
      </c>
      <c r="J4207" s="1" t="s">
        <v>17473</v>
      </c>
      <c r="K4207" s="1" t="s">
        <v>295</v>
      </c>
    </row>
    <row r="4208">
      <c r="A4208" s="1" t="s">
        <v>17474</v>
      </c>
      <c r="B4208" s="1" t="s">
        <v>15899</v>
      </c>
      <c r="C4208" s="1">
        <v>2015.0</v>
      </c>
      <c r="D4208" s="2">
        <v>42356.0</v>
      </c>
      <c r="F4208" s="1" t="s">
        <v>3263</v>
      </c>
      <c r="H4208" s="3">
        <v>7.0</v>
      </c>
      <c r="I4208" s="4" t="s">
        <v>17475</v>
      </c>
      <c r="J4208" s="1" t="s">
        <v>17476</v>
      </c>
      <c r="K4208" s="1" t="s">
        <v>16</v>
      </c>
    </row>
    <row r="4209">
      <c r="A4209" s="1" t="s">
        <v>17477</v>
      </c>
      <c r="B4209" s="1" t="s">
        <v>17478</v>
      </c>
      <c r="C4209" s="1">
        <v>2015.0</v>
      </c>
      <c r="D4209" s="2">
        <v>42356.0</v>
      </c>
      <c r="F4209" s="1" t="s">
        <v>1859</v>
      </c>
      <c r="H4209" s="3">
        <v>4.0</v>
      </c>
      <c r="I4209" s="4" t="s">
        <v>17479</v>
      </c>
      <c r="J4209" s="1" t="s">
        <v>17480</v>
      </c>
      <c r="K4209" s="1" t="s">
        <v>926</v>
      </c>
    </row>
    <row r="4210">
      <c r="A4210" s="1" t="s">
        <v>17481</v>
      </c>
      <c r="B4210" s="1" t="s">
        <v>17482</v>
      </c>
      <c r="C4210" s="1">
        <v>2015.0</v>
      </c>
      <c r="D4210" s="2">
        <v>42355.0</v>
      </c>
      <c r="F4210" s="1" t="s">
        <v>6074</v>
      </c>
      <c r="H4210" s="3">
        <v>43.0</v>
      </c>
      <c r="I4210" s="4" t="s">
        <v>17483</v>
      </c>
      <c r="J4210" s="1" t="s">
        <v>17484</v>
      </c>
      <c r="K4210" s="1" t="s">
        <v>1036</v>
      </c>
    </row>
    <row r="4211">
      <c r="A4211" s="1" t="s">
        <v>17485</v>
      </c>
      <c r="B4211" s="1" t="s">
        <v>17486</v>
      </c>
      <c r="C4211" s="1">
        <v>2015.0</v>
      </c>
      <c r="D4211" s="2">
        <v>42355.0</v>
      </c>
      <c r="F4211" s="1" t="s">
        <v>17347</v>
      </c>
      <c r="H4211" s="3">
        <v>7.0</v>
      </c>
      <c r="I4211" s="4" t="s">
        <v>17487</v>
      </c>
      <c r="J4211" s="1" t="s">
        <v>17488</v>
      </c>
      <c r="K4211" s="1" t="s">
        <v>383</v>
      </c>
    </row>
    <row r="4212">
      <c r="A4212" s="1" t="s">
        <v>17489</v>
      </c>
      <c r="B4212" s="1" t="s">
        <v>17490</v>
      </c>
      <c r="C4212" s="1">
        <v>2015.0</v>
      </c>
      <c r="D4212" s="2">
        <v>42354.0</v>
      </c>
      <c r="F4212" s="1" t="s">
        <v>877</v>
      </c>
      <c r="H4212" s="3">
        <v>12.0</v>
      </c>
      <c r="I4212" s="4" t="s">
        <v>17491</v>
      </c>
      <c r="J4212" s="1" t="s">
        <v>17492</v>
      </c>
      <c r="K4212" s="1" t="s">
        <v>383</v>
      </c>
    </row>
    <row r="4213">
      <c r="A4213" s="1" t="s">
        <v>17493</v>
      </c>
      <c r="B4213" s="1" t="s">
        <v>17494</v>
      </c>
      <c r="C4213" s="1">
        <v>2015.0</v>
      </c>
      <c r="D4213" s="2">
        <v>42353.0</v>
      </c>
      <c r="F4213" s="1" t="s">
        <v>16942</v>
      </c>
      <c r="H4213" s="3">
        <v>45.0</v>
      </c>
      <c r="I4213" s="4" t="s">
        <v>17495</v>
      </c>
      <c r="J4213" s="1" t="s">
        <v>17496</v>
      </c>
      <c r="K4213" s="1" t="s">
        <v>418</v>
      </c>
    </row>
    <row r="4214">
      <c r="A4214" s="1" t="s">
        <v>17497</v>
      </c>
      <c r="B4214" s="1" t="s">
        <v>17498</v>
      </c>
      <c r="C4214" s="1">
        <v>2015.0</v>
      </c>
      <c r="D4214" s="2">
        <v>42353.0</v>
      </c>
      <c r="F4214" s="1" t="s">
        <v>656</v>
      </c>
      <c r="H4214" s="3">
        <v>39.0</v>
      </c>
      <c r="I4214" s="4" t="s">
        <v>17499</v>
      </c>
      <c r="J4214" s="1" t="s">
        <v>17500</v>
      </c>
      <c r="K4214" s="1" t="s">
        <v>16</v>
      </c>
    </row>
    <row r="4215">
      <c r="A4215" s="1" t="s">
        <v>17501</v>
      </c>
      <c r="B4215" s="1" t="s">
        <v>17502</v>
      </c>
      <c r="C4215" s="1">
        <v>2015.0</v>
      </c>
      <c r="D4215" s="2">
        <v>42352.0</v>
      </c>
      <c r="F4215" s="1" t="s">
        <v>2634</v>
      </c>
      <c r="H4215" s="3">
        <v>95.0</v>
      </c>
      <c r="I4215" s="4" t="s">
        <v>17503</v>
      </c>
      <c r="J4215" s="1" t="s">
        <v>17504</v>
      </c>
      <c r="K4215" s="1" t="s">
        <v>443</v>
      </c>
    </row>
    <row r="4216">
      <c r="A4216" s="1" t="s">
        <v>17505</v>
      </c>
      <c r="B4216" s="1" t="s">
        <v>17506</v>
      </c>
      <c r="C4216" s="1">
        <v>2015.0</v>
      </c>
      <c r="D4216" s="2">
        <v>42349.0</v>
      </c>
      <c r="F4216" s="1" t="s">
        <v>519</v>
      </c>
      <c r="H4216" s="3">
        <v>20.0</v>
      </c>
      <c r="I4216" s="4" t="s">
        <v>17507</v>
      </c>
      <c r="J4216" s="1" t="s">
        <v>17508</v>
      </c>
      <c r="K4216" s="1" t="s">
        <v>28</v>
      </c>
    </row>
    <row r="4217">
      <c r="A4217" s="1" t="s">
        <v>17509</v>
      </c>
      <c r="B4217" s="1" t="s">
        <v>17510</v>
      </c>
      <c r="C4217" s="1">
        <v>2015.0</v>
      </c>
      <c r="D4217" s="2">
        <v>42348.0</v>
      </c>
      <c r="F4217" s="1" t="s">
        <v>1349</v>
      </c>
      <c r="H4217" s="3">
        <v>15.0</v>
      </c>
      <c r="I4217" s="4" t="s">
        <v>17511</v>
      </c>
      <c r="J4217" s="1" t="s">
        <v>17512</v>
      </c>
      <c r="K4217" s="1" t="s">
        <v>323</v>
      </c>
    </row>
    <row r="4218">
      <c r="A4218" s="1" t="s">
        <v>17513</v>
      </c>
      <c r="B4218" s="1" t="s">
        <v>16946</v>
      </c>
      <c r="C4218" s="1">
        <v>2015.0</v>
      </c>
      <c r="D4218" s="2">
        <v>42347.0</v>
      </c>
      <c r="F4218" s="1" t="s">
        <v>440</v>
      </c>
      <c r="H4218" s="3">
        <v>44.0</v>
      </c>
      <c r="I4218" s="4" t="s">
        <v>17514</v>
      </c>
      <c r="J4218" s="1" t="s">
        <v>17515</v>
      </c>
      <c r="K4218" s="1" t="s">
        <v>418</v>
      </c>
    </row>
    <row r="4219">
      <c r="A4219" s="1" t="s">
        <v>17516</v>
      </c>
      <c r="B4219" s="1" t="s">
        <v>17517</v>
      </c>
      <c r="C4219" s="1">
        <v>2015.0</v>
      </c>
      <c r="D4219" s="2">
        <v>42345.0</v>
      </c>
      <c r="F4219" s="1" t="s">
        <v>2205</v>
      </c>
      <c r="H4219" s="3">
        <v>6.0</v>
      </c>
      <c r="I4219" s="4" t="s">
        <v>17518</v>
      </c>
      <c r="J4219" s="1"/>
      <c r="K4219" s="1" t="s">
        <v>28</v>
      </c>
    </row>
    <row r="4220">
      <c r="A4220" s="1" t="s">
        <v>17519</v>
      </c>
      <c r="B4220" s="1" t="s">
        <v>17520</v>
      </c>
      <c r="C4220" s="1">
        <v>2015.0</v>
      </c>
      <c r="D4220" s="2">
        <v>42345.0</v>
      </c>
      <c r="F4220" s="1" t="s">
        <v>218</v>
      </c>
      <c r="H4220" s="3">
        <v>10.0</v>
      </c>
      <c r="I4220" s="4" t="s">
        <v>17521</v>
      </c>
      <c r="J4220" s="1" t="s">
        <v>17522</v>
      </c>
      <c r="K4220" s="1" t="s">
        <v>413</v>
      </c>
    </row>
    <row r="4221">
      <c r="A4221" s="1" t="s">
        <v>17523</v>
      </c>
      <c r="B4221" s="1" t="s">
        <v>17524</v>
      </c>
      <c r="C4221" s="1">
        <v>2015.0</v>
      </c>
      <c r="D4221" s="2">
        <v>42342.0</v>
      </c>
      <c r="F4221" s="1" t="s">
        <v>71</v>
      </c>
      <c r="H4221" s="3">
        <v>30.0</v>
      </c>
      <c r="I4221" s="4" t="s">
        <v>17525</v>
      </c>
      <c r="J4221" s="1" t="s">
        <v>17526</v>
      </c>
      <c r="K4221" s="1" t="s">
        <v>443</v>
      </c>
    </row>
    <row r="4222">
      <c r="A4222" s="1" t="s">
        <v>17527</v>
      </c>
      <c r="B4222" s="1" t="s">
        <v>17528</v>
      </c>
      <c r="C4222" s="1">
        <v>2015.0</v>
      </c>
      <c r="D4222" s="2">
        <v>42340.0</v>
      </c>
      <c r="F4222" s="1" t="s">
        <v>178</v>
      </c>
      <c r="H4222" s="3">
        <v>4.0</v>
      </c>
      <c r="I4222" s="4" t="s">
        <v>17529</v>
      </c>
      <c r="J4222" s="1"/>
      <c r="K4222" s="1" t="s">
        <v>28</v>
      </c>
    </row>
    <row r="4223">
      <c r="A4223" s="1" t="s">
        <v>17530</v>
      </c>
      <c r="B4223" s="1" t="s">
        <v>17531</v>
      </c>
      <c r="C4223" s="1">
        <v>2015.0</v>
      </c>
      <c r="D4223" s="2">
        <v>42339.0</v>
      </c>
      <c r="F4223" s="1" t="s">
        <v>17532</v>
      </c>
      <c r="H4223" s="3">
        <v>15.0</v>
      </c>
      <c r="I4223" s="4" t="s">
        <v>17533</v>
      </c>
      <c r="J4223" s="1" t="s">
        <v>17534</v>
      </c>
      <c r="K4223" s="1" t="s">
        <v>28</v>
      </c>
    </row>
    <row r="4224">
      <c r="A4224" s="1" t="s">
        <v>17535</v>
      </c>
      <c r="B4224" s="1" t="s">
        <v>17536</v>
      </c>
      <c r="C4224" s="1">
        <v>2015.0</v>
      </c>
      <c r="D4224" s="2">
        <v>42339.0</v>
      </c>
      <c r="F4224" s="1" t="s">
        <v>6907</v>
      </c>
      <c r="H4224" s="3">
        <v>7.0</v>
      </c>
      <c r="I4224" s="4" t="s">
        <v>17537</v>
      </c>
      <c r="J4224" s="1"/>
      <c r="K4224" s="1" t="s">
        <v>383</v>
      </c>
    </row>
    <row r="4225">
      <c r="A4225" s="1" t="s">
        <v>17538</v>
      </c>
      <c r="B4225" s="1" t="s">
        <v>17539</v>
      </c>
      <c r="C4225" s="1">
        <v>2015.0</v>
      </c>
      <c r="D4225" s="2">
        <v>42339.0</v>
      </c>
      <c r="F4225" s="1" t="s">
        <v>17540</v>
      </c>
      <c r="H4225" s="3">
        <v>18.0</v>
      </c>
      <c r="I4225" s="4" t="s">
        <v>17541</v>
      </c>
      <c r="J4225" s="1" t="s">
        <v>17542</v>
      </c>
      <c r="K4225" s="1" t="s">
        <v>295</v>
      </c>
    </row>
    <row r="4226">
      <c r="A4226" s="1" t="s">
        <v>17543</v>
      </c>
      <c r="B4226" s="1" t="s">
        <v>17544</v>
      </c>
      <c r="C4226" s="1">
        <v>2015.0</v>
      </c>
      <c r="D4226" s="2">
        <v>42339.0</v>
      </c>
      <c r="F4226" s="1" t="s">
        <v>1410</v>
      </c>
      <c r="H4226" s="3">
        <v>12.0</v>
      </c>
      <c r="I4226" s="4" t="s">
        <v>17545</v>
      </c>
      <c r="J4226" s="1" t="s">
        <v>17546</v>
      </c>
      <c r="K4226" s="1" t="s">
        <v>68</v>
      </c>
    </row>
    <row r="4227">
      <c r="A4227" s="1" t="s">
        <v>17547</v>
      </c>
      <c r="B4227" s="1" t="s">
        <v>17548</v>
      </c>
      <c r="C4227" s="1">
        <v>2015.0</v>
      </c>
      <c r="D4227" s="2">
        <v>42339.0</v>
      </c>
      <c r="F4227" s="1" t="s">
        <v>1128</v>
      </c>
      <c r="H4227" s="3">
        <v>5.0</v>
      </c>
      <c r="I4227" s="4" t="s">
        <v>17549</v>
      </c>
      <c r="J4227" s="1" t="s">
        <v>17550</v>
      </c>
      <c r="K4227" s="1" t="s">
        <v>413</v>
      </c>
    </row>
    <row r="4228">
      <c r="A4228" s="1" t="s">
        <v>17551</v>
      </c>
      <c r="B4228" s="1" t="s">
        <v>17552</v>
      </c>
      <c r="C4228" s="1">
        <v>2015.0</v>
      </c>
      <c r="D4228" s="2">
        <v>42338.0</v>
      </c>
      <c r="F4228" s="1" t="s">
        <v>10906</v>
      </c>
      <c r="H4228" s="3">
        <v>5.0</v>
      </c>
      <c r="I4228" s="4" t="s">
        <v>17553</v>
      </c>
      <c r="J4228" s="1" t="s">
        <v>17554</v>
      </c>
      <c r="K4228" s="1" t="s">
        <v>295</v>
      </c>
    </row>
    <row r="4229">
      <c r="A4229" s="1" t="s">
        <v>17555</v>
      </c>
      <c r="B4229" s="1" t="s">
        <v>17556</v>
      </c>
      <c r="C4229" s="1">
        <v>2015.0</v>
      </c>
      <c r="D4229" s="2">
        <v>42334.0</v>
      </c>
      <c r="F4229" s="1" t="s">
        <v>17557</v>
      </c>
      <c r="H4229" s="3">
        <v>54.0</v>
      </c>
      <c r="I4229" s="4" t="s">
        <v>17558</v>
      </c>
      <c r="J4229" s="1" t="s">
        <v>17559</v>
      </c>
      <c r="K4229" s="1" t="s">
        <v>295</v>
      </c>
    </row>
    <row r="4230">
      <c r="A4230" s="1" t="s">
        <v>17560</v>
      </c>
      <c r="B4230" s="1" t="s">
        <v>17561</v>
      </c>
      <c r="C4230" s="1">
        <v>2015.0</v>
      </c>
      <c r="D4230" s="2">
        <v>42333.0</v>
      </c>
      <c r="F4230" s="1" t="s">
        <v>676</v>
      </c>
      <c r="H4230" s="3">
        <v>25.0</v>
      </c>
      <c r="I4230" s="4" t="s">
        <v>17562</v>
      </c>
      <c r="J4230" s="1" t="s">
        <v>17563</v>
      </c>
      <c r="K4230" s="1" t="s">
        <v>571</v>
      </c>
    </row>
    <row r="4231">
      <c r="A4231" s="1" t="s">
        <v>17564</v>
      </c>
      <c r="B4231" s="1" t="s">
        <v>17565</v>
      </c>
      <c r="C4231" s="1">
        <v>2015.0</v>
      </c>
      <c r="D4231" s="2">
        <v>42333.0</v>
      </c>
      <c r="F4231" s="1" t="s">
        <v>208</v>
      </c>
      <c r="H4231" s="3">
        <v>3.0</v>
      </c>
      <c r="I4231" s="4" t="s">
        <v>17566</v>
      </c>
      <c r="J4231" s="1" t="s">
        <v>17567</v>
      </c>
      <c r="K4231" s="1" t="s">
        <v>1423</v>
      </c>
    </row>
    <row r="4232">
      <c r="A4232" s="1" t="s">
        <v>17568</v>
      </c>
      <c r="B4232" s="1" t="s">
        <v>17569</v>
      </c>
      <c r="C4232" s="1">
        <v>2015.0</v>
      </c>
      <c r="D4232" s="2">
        <v>42333.0</v>
      </c>
      <c r="F4232" s="1" t="s">
        <v>676</v>
      </c>
      <c r="H4232" s="3">
        <v>42.0</v>
      </c>
      <c r="I4232" s="4" t="s">
        <v>17570</v>
      </c>
      <c r="J4232" s="1" t="s">
        <v>17571</v>
      </c>
      <c r="K4232" s="1" t="s">
        <v>28</v>
      </c>
    </row>
    <row r="4233">
      <c r="A4233" s="1" t="s">
        <v>17572</v>
      </c>
      <c r="B4233" s="1" t="s">
        <v>17573</v>
      </c>
      <c r="C4233" s="1">
        <v>2015.0</v>
      </c>
      <c r="D4233" s="2">
        <v>42332.0</v>
      </c>
      <c r="F4233" s="1" t="s">
        <v>711</v>
      </c>
      <c r="H4233" s="3">
        <v>5.0</v>
      </c>
      <c r="I4233" s="4" t="s">
        <v>17574</v>
      </c>
      <c r="J4233" s="1"/>
      <c r="K4233" s="1" t="s">
        <v>28</v>
      </c>
    </row>
    <row r="4234">
      <c r="A4234" s="1" t="s">
        <v>17575</v>
      </c>
      <c r="B4234" s="1" t="s">
        <v>17576</v>
      </c>
      <c r="C4234" s="1">
        <v>2015.0</v>
      </c>
      <c r="D4234" s="2">
        <v>42332.0</v>
      </c>
      <c r="F4234" s="1" t="s">
        <v>71</v>
      </c>
      <c r="H4234" s="3">
        <v>12.0</v>
      </c>
      <c r="I4234" s="4" t="s">
        <v>17577</v>
      </c>
      <c r="J4234" s="1" t="s">
        <v>17578</v>
      </c>
      <c r="K4234" s="1" t="s">
        <v>443</v>
      </c>
    </row>
    <row r="4235">
      <c r="A4235" s="1" t="s">
        <v>17579</v>
      </c>
      <c r="B4235" s="1" t="s">
        <v>17580</v>
      </c>
      <c r="C4235" s="1">
        <v>2015.0</v>
      </c>
      <c r="D4235" s="2">
        <v>42331.0</v>
      </c>
      <c r="F4235" s="1" t="s">
        <v>3463</v>
      </c>
      <c r="H4235" s="3">
        <v>26.0</v>
      </c>
      <c r="I4235" s="4" t="s">
        <v>17581</v>
      </c>
      <c r="J4235" s="1" t="s">
        <v>17582</v>
      </c>
      <c r="K4235" s="1" t="s">
        <v>45</v>
      </c>
    </row>
    <row r="4236">
      <c r="A4236" s="1" t="s">
        <v>17583</v>
      </c>
      <c r="B4236" s="1" t="s">
        <v>17584</v>
      </c>
      <c r="C4236" s="1">
        <v>2015.0</v>
      </c>
      <c r="D4236" s="2">
        <v>42331.0</v>
      </c>
      <c r="F4236" s="1" t="s">
        <v>71</v>
      </c>
      <c r="H4236" s="3">
        <v>59.0</v>
      </c>
      <c r="I4236" s="4" t="s">
        <v>17585</v>
      </c>
      <c r="J4236" s="1" t="s">
        <v>17586</v>
      </c>
      <c r="K4236" s="1" t="s">
        <v>28</v>
      </c>
    </row>
    <row r="4237">
      <c r="A4237" s="1" t="s">
        <v>17587</v>
      </c>
      <c r="B4237" s="1" t="s">
        <v>17588</v>
      </c>
      <c r="C4237" s="1">
        <v>2015.0</v>
      </c>
      <c r="D4237" s="2">
        <v>42331.0</v>
      </c>
      <c r="F4237" s="1" t="s">
        <v>14224</v>
      </c>
      <c r="H4237" s="3">
        <v>8.0</v>
      </c>
      <c r="I4237" s="4" t="s">
        <v>17589</v>
      </c>
      <c r="J4237" s="1" t="s">
        <v>17590</v>
      </c>
      <c r="K4237" s="1" t="s">
        <v>28</v>
      </c>
    </row>
    <row r="4238">
      <c r="A4238" s="1" t="s">
        <v>17591</v>
      </c>
      <c r="B4238" s="1" t="s">
        <v>17592</v>
      </c>
      <c r="C4238" s="1">
        <v>2015.0</v>
      </c>
      <c r="D4238" s="2">
        <v>42329.0</v>
      </c>
      <c r="F4238" s="1" t="s">
        <v>3351</v>
      </c>
      <c r="H4238" s="3">
        <v>5.0</v>
      </c>
      <c r="I4238" s="4" t="s">
        <v>17593</v>
      </c>
      <c r="J4238" s="1" t="s">
        <v>17594</v>
      </c>
      <c r="K4238" s="1" t="s">
        <v>16</v>
      </c>
    </row>
    <row r="4239">
      <c r="A4239" s="1" t="s">
        <v>17595</v>
      </c>
      <c r="B4239" s="1" t="s">
        <v>17596</v>
      </c>
      <c r="C4239" s="1">
        <v>2015.0</v>
      </c>
      <c r="D4239" s="2">
        <v>42328.0</v>
      </c>
      <c r="F4239" s="1" t="s">
        <v>31</v>
      </c>
      <c r="H4239" s="3">
        <v>74.0</v>
      </c>
      <c r="I4239" s="4" t="s">
        <v>17597</v>
      </c>
      <c r="J4239" s="1" t="s">
        <v>17598</v>
      </c>
      <c r="K4239" s="1" t="s">
        <v>28</v>
      </c>
    </row>
    <row r="4240">
      <c r="A4240" s="1" t="s">
        <v>17599</v>
      </c>
      <c r="B4240" s="1" t="s">
        <v>17600</v>
      </c>
      <c r="C4240" s="1">
        <v>2015.0</v>
      </c>
      <c r="D4240" s="2">
        <v>42327.0</v>
      </c>
      <c r="F4240" s="1" t="s">
        <v>17601</v>
      </c>
      <c r="H4240" s="3">
        <v>12.0</v>
      </c>
      <c r="I4240" s="4" t="s">
        <v>17602</v>
      </c>
      <c r="J4240" s="1" t="s">
        <v>17603</v>
      </c>
      <c r="K4240" s="1" t="s">
        <v>28</v>
      </c>
    </row>
    <row r="4241">
      <c r="A4241" s="1" t="s">
        <v>17604</v>
      </c>
      <c r="B4241" s="1" t="s">
        <v>17605</v>
      </c>
      <c r="C4241" s="1">
        <v>2015.0</v>
      </c>
      <c r="D4241" s="2">
        <v>42327.0</v>
      </c>
      <c r="F4241" s="1" t="s">
        <v>396</v>
      </c>
      <c r="H4241" s="3">
        <v>1.0</v>
      </c>
      <c r="I4241" s="4" t="s">
        <v>17606</v>
      </c>
      <c r="J4241" s="1"/>
      <c r="K4241" s="1" t="s">
        <v>16</v>
      </c>
    </row>
    <row r="4242">
      <c r="A4242" s="1" t="s">
        <v>17607</v>
      </c>
      <c r="B4242" s="1" t="s">
        <v>17608</v>
      </c>
      <c r="C4242" s="1">
        <v>2015.0</v>
      </c>
      <c r="D4242" s="2">
        <v>42326.0</v>
      </c>
      <c r="F4242" s="1" t="s">
        <v>8184</v>
      </c>
      <c r="H4242" s="3">
        <v>77.0</v>
      </c>
      <c r="I4242" s="4" t="s">
        <v>17609</v>
      </c>
      <c r="J4242" s="1" t="s">
        <v>17610</v>
      </c>
      <c r="K4242" s="1" t="s">
        <v>295</v>
      </c>
    </row>
    <row r="4243">
      <c r="A4243" s="1" t="s">
        <v>17611</v>
      </c>
      <c r="B4243" s="1" t="s">
        <v>17612</v>
      </c>
      <c r="C4243" s="1">
        <v>2015.0</v>
      </c>
      <c r="D4243" s="2">
        <v>42325.0</v>
      </c>
      <c r="F4243" s="1" t="s">
        <v>2297</v>
      </c>
      <c r="H4243" s="3">
        <v>117.0</v>
      </c>
      <c r="I4243" s="4" t="s">
        <v>17613</v>
      </c>
      <c r="J4243" s="1" t="s">
        <v>17614</v>
      </c>
      <c r="K4243" s="1" t="s">
        <v>1036</v>
      </c>
    </row>
    <row r="4244">
      <c r="A4244" s="1" t="s">
        <v>17615</v>
      </c>
      <c r="B4244" s="1" t="s">
        <v>17616</v>
      </c>
      <c r="C4244" s="1">
        <v>2015.0</v>
      </c>
      <c r="D4244" s="2">
        <v>42325.0</v>
      </c>
      <c r="F4244" s="1" t="s">
        <v>208</v>
      </c>
      <c r="H4244" s="3">
        <v>16.0</v>
      </c>
      <c r="I4244" s="4" t="s">
        <v>17617</v>
      </c>
      <c r="J4244" s="1" t="s">
        <v>17618</v>
      </c>
      <c r="K4244" s="1" t="s">
        <v>413</v>
      </c>
    </row>
    <row r="4245">
      <c r="A4245" s="1" t="s">
        <v>17619</v>
      </c>
      <c r="B4245" s="1" t="s">
        <v>17620</v>
      </c>
      <c r="C4245" s="1">
        <v>2015.0</v>
      </c>
      <c r="D4245" s="2">
        <v>42325.0</v>
      </c>
      <c r="F4245" s="1" t="s">
        <v>3151</v>
      </c>
      <c r="H4245" s="3">
        <v>32.0</v>
      </c>
      <c r="I4245" s="4" t="s">
        <v>17621</v>
      </c>
      <c r="J4245" s="1" t="s">
        <v>17622</v>
      </c>
      <c r="K4245" s="1" t="s">
        <v>295</v>
      </c>
    </row>
    <row r="4246">
      <c r="A4246" s="1" t="s">
        <v>17623</v>
      </c>
      <c r="B4246" s="1" t="s">
        <v>17624</v>
      </c>
      <c r="C4246" s="1">
        <v>2015.0</v>
      </c>
      <c r="D4246" s="2">
        <v>42324.0</v>
      </c>
      <c r="F4246" s="1" t="s">
        <v>2987</v>
      </c>
      <c r="H4246" s="3">
        <v>5.0</v>
      </c>
      <c r="I4246" s="4" t="s">
        <v>17625</v>
      </c>
      <c r="J4246" s="1" t="s">
        <v>17626</v>
      </c>
      <c r="K4246" s="1" t="s">
        <v>16</v>
      </c>
    </row>
    <row r="4247">
      <c r="A4247" s="1" t="s">
        <v>17627</v>
      </c>
      <c r="B4247" s="1" t="s">
        <v>17628</v>
      </c>
      <c r="C4247" s="1">
        <v>2015.0</v>
      </c>
      <c r="D4247" s="2">
        <v>42323.0</v>
      </c>
      <c r="F4247" s="1" t="s">
        <v>519</v>
      </c>
      <c r="H4247" s="3">
        <v>91.0</v>
      </c>
      <c r="I4247" s="4" t="s">
        <v>17629</v>
      </c>
      <c r="J4247" s="1" t="s">
        <v>17630</v>
      </c>
      <c r="K4247" s="1" t="s">
        <v>28</v>
      </c>
    </row>
    <row r="4248">
      <c r="A4248" s="1" t="s">
        <v>17631</v>
      </c>
      <c r="B4248" s="1" t="s">
        <v>17632</v>
      </c>
      <c r="C4248" s="1">
        <v>2015.0</v>
      </c>
      <c r="D4248" s="2">
        <v>42322.0</v>
      </c>
      <c r="F4248" s="1" t="s">
        <v>3583</v>
      </c>
      <c r="H4248" s="3">
        <v>12.0</v>
      </c>
      <c r="I4248" s="4" t="s">
        <v>17633</v>
      </c>
      <c r="J4248" s="1" t="s">
        <v>17634</v>
      </c>
      <c r="K4248" s="1" t="s">
        <v>28</v>
      </c>
    </row>
    <row r="4249">
      <c r="A4249" s="1" t="s">
        <v>17635</v>
      </c>
      <c r="B4249" s="1" t="s">
        <v>17636</v>
      </c>
      <c r="C4249" s="1">
        <v>2015.0</v>
      </c>
      <c r="D4249" s="2">
        <v>42320.0</v>
      </c>
      <c r="F4249" s="1" t="s">
        <v>10191</v>
      </c>
      <c r="H4249" s="3">
        <v>16.0</v>
      </c>
      <c r="I4249" s="4" t="s">
        <v>17637</v>
      </c>
      <c r="J4249" s="1" t="s">
        <v>17638</v>
      </c>
      <c r="K4249" s="1" t="s">
        <v>413</v>
      </c>
    </row>
    <row r="4250">
      <c r="A4250" s="1" t="s">
        <v>17639</v>
      </c>
      <c r="B4250" s="1" t="s">
        <v>17640</v>
      </c>
      <c r="C4250" s="1">
        <v>2015.0</v>
      </c>
      <c r="D4250" s="2">
        <v>42319.0</v>
      </c>
      <c r="F4250" s="1" t="s">
        <v>208</v>
      </c>
      <c r="H4250" s="3">
        <v>16.0</v>
      </c>
      <c r="I4250" s="4" t="s">
        <v>17641</v>
      </c>
      <c r="J4250" s="1" t="s">
        <v>17642</v>
      </c>
      <c r="K4250" s="1" t="s">
        <v>926</v>
      </c>
    </row>
    <row r="4251">
      <c r="A4251" s="1" t="s">
        <v>17643</v>
      </c>
      <c r="B4251" s="1" t="s">
        <v>17644</v>
      </c>
      <c r="C4251" s="1">
        <v>2015.0</v>
      </c>
      <c r="D4251" s="2">
        <v>42319.0</v>
      </c>
      <c r="F4251" s="1" t="s">
        <v>1714</v>
      </c>
      <c r="H4251" s="3">
        <v>91.0</v>
      </c>
      <c r="I4251" s="4" t="s">
        <v>17645</v>
      </c>
      <c r="J4251" s="1" t="s">
        <v>17646</v>
      </c>
      <c r="K4251" s="1" t="s">
        <v>16</v>
      </c>
    </row>
    <row r="4252">
      <c r="A4252" s="1" t="s">
        <v>17647</v>
      </c>
      <c r="B4252" s="1" t="s">
        <v>17648</v>
      </c>
      <c r="C4252" s="1">
        <v>2015.0</v>
      </c>
      <c r="D4252" s="2">
        <v>42318.0</v>
      </c>
      <c r="F4252" s="1" t="s">
        <v>5090</v>
      </c>
      <c r="H4252" s="3">
        <v>27.0</v>
      </c>
      <c r="I4252" s="4" t="s">
        <v>17649</v>
      </c>
      <c r="J4252" s="1" t="s">
        <v>17650</v>
      </c>
      <c r="K4252" s="1" t="s">
        <v>45</v>
      </c>
    </row>
    <row r="4253">
      <c r="A4253" s="1" t="s">
        <v>17651</v>
      </c>
      <c r="B4253" s="1" t="s">
        <v>17652</v>
      </c>
      <c r="C4253" s="1">
        <v>2015.0</v>
      </c>
      <c r="D4253" s="2">
        <v>42318.0</v>
      </c>
      <c r="F4253" s="1" t="s">
        <v>1170</v>
      </c>
      <c r="H4253" s="3">
        <v>40.0</v>
      </c>
      <c r="I4253" s="4" t="s">
        <v>17653</v>
      </c>
      <c r="J4253" s="1" t="s">
        <v>17654</v>
      </c>
      <c r="K4253" s="1" t="s">
        <v>418</v>
      </c>
    </row>
    <row r="4254">
      <c r="A4254" s="1" t="s">
        <v>17655</v>
      </c>
      <c r="B4254" s="1" t="s">
        <v>17656</v>
      </c>
      <c r="C4254" s="1">
        <v>2015.0</v>
      </c>
      <c r="D4254" s="2">
        <v>42318.0</v>
      </c>
      <c r="F4254" s="1" t="s">
        <v>2982</v>
      </c>
      <c r="H4254" s="3">
        <v>16.0</v>
      </c>
      <c r="I4254" s="4" t="s">
        <v>17657</v>
      </c>
      <c r="J4254" s="1" t="s">
        <v>17658</v>
      </c>
      <c r="K4254" s="1" t="s">
        <v>295</v>
      </c>
    </row>
    <row r="4255">
      <c r="A4255" s="1" t="s">
        <v>17659</v>
      </c>
      <c r="B4255" s="1" t="s">
        <v>17660</v>
      </c>
      <c r="C4255" s="1">
        <v>2015.0</v>
      </c>
      <c r="D4255" s="2">
        <v>42318.0</v>
      </c>
      <c r="F4255" s="1" t="s">
        <v>656</v>
      </c>
      <c r="H4255" s="3">
        <v>48.0</v>
      </c>
      <c r="I4255" s="4" t="s">
        <v>17661</v>
      </c>
      <c r="J4255" s="1" t="s">
        <v>17662</v>
      </c>
      <c r="K4255" s="1" t="s">
        <v>16</v>
      </c>
    </row>
    <row r="4256">
      <c r="A4256" s="1" t="s">
        <v>17663</v>
      </c>
      <c r="B4256" s="1" t="s">
        <v>17664</v>
      </c>
      <c r="C4256" s="1">
        <v>2015.0</v>
      </c>
      <c r="D4256" s="2">
        <v>42317.0</v>
      </c>
      <c r="F4256" s="1" t="s">
        <v>396</v>
      </c>
      <c r="H4256" s="3">
        <v>66.0</v>
      </c>
      <c r="I4256" s="4" t="s">
        <v>17665</v>
      </c>
      <c r="J4256" s="1" t="s">
        <v>17666</v>
      </c>
      <c r="K4256" s="1" t="s">
        <v>28</v>
      </c>
    </row>
    <row r="4257">
      <c r="A4257" s="1" t="s">
        <v>17667</v>
      </c>
      <c r="B4257" s="1" t="s">
        <v>17668</v>
      </c>
      <c r="C4257" s="1">
        <v>2015.0</v>
      </c>
      <c r="D4257" s="2">
        <v>42317.0</v>
      </c>
      <c r="F4257" s="1" t="s">
        <v>71</v>
      </c>
      <c r="H4257" s="3">
        <v>75.0</v>
      </c>
      <c r="I4257" s="4" t="s">
        <v>17669</v>
      </c>
      <c r="J4257" s="1" t="s">
        <v>17670</v>
      </c>
      <c r="K4257" s="1" t="s">
        <v>28</v>
      </c>
    </row>
    <row r="4258">
      <c r="A4258" s="1" t="s">
        <v>17671</v>
      </c>
      <c r="B4258" s="1" t="s">
        <v>17672</v>
      </c>
      <c r="C4258" s="1">
        <v>2015.0</v>
      </c>
      <c r="D4258" s="2">
        <v>42315.0</v>
      </c>
      <c r="F4258" s="1" t="s">
        <v>16385</v>
      </c>
      <c r="H4258" s="3">
        <v>8.0</v>
      </c>
      <c r="I4258" s="4" t="s">
        <v>17673</v>
      </c>
      <c r="J4258" s="1"/>
      <c r="K4258" s="1" t="s">
        <v>295</v>
      </c>
    </row>
    <row r="4259">
      <c r="A4259" s="1" t="s">
        <v>17674</v>
      </c>
      <c r="B4259" s="1" t="s">
        <v>17675</v>
      </c>
      <c r="C4259" s="1">
        <v>2015.0</v>
      </c>
      <c r="D4259" s="2">
        <v>42314.0</v>
      </c>
      <c r="F4259" s="1" t="s">
        <v>7299</v>
      </c>
      <c r="H4259" s="3">
        <v>0.0</v>
      </c>
      <c r="I4259" s="4" t="s">
        <v>17676</v>
      </c>
      <c r="J4259" s="1"/>
      <c r="K4259" s="1" t="s">
        <v>28</v>
      </c>
    </row>
    <row r="4260">
      <c r="A4260" s="1" t="s">
        <v>17677</v>
      </c>
      <c r="B4260" s="1" t="s">
        <v>17678</v>
      </c>
      <c r="C4260" s="1">
        <v>2015.0</v>
      </c>
      <c r="D4260" s="2">
        <v>42314.0</v>
      </c>
      <c r="F4260" s="1" t="s">
        <v>2634</v>
      </c>
      <c r="H4260" s="3">
        <v>8.0</v>
      </c>
      <c r="I4260" s="4" t="s">
        <v>17679</v>
      </c>
      <c r="J4260" s="1" t="s">
        <v>17680</v>
      </c>
      <c r="K4260" s="1" t="s">
        <v>295</v>
      </c>
    </row>
    <row r="4261">
      <c r="A4261" s="1" t="s">
        <v>17681</v>
      </c>
      <c r="B4261" s="1" t="s">
        <v>17682</v>
      </c>
      <c r="C4261" s="1">
        <v>2015.0</v>
      </c>
      <c r="D4261" s="2">
        <v>42313.0</v>
      </c>
      <c r="F4261" s="1" t="s">
        <v>71</v>
      </c>
      <c r="H4261" s="3">
        <v>23.0</v>
      </c>
      <c r="I4261" s="4" t="s">
        <v>17683</v>
      </c>
      <c r="J4261" s="1" t="s">
        <v>17684</v>
      </c>
      <c r="K4261" s="1" t="s">
        <v>28</v>
      </c>
    </row>
    <row r="4262">
      <c r="A4262" s="1" t="s">
        <v>17685</v>
      </c>
      <c r="B4262" s="1" t="s">
        <v>17686</v>
      </c>
      <c r="C4262" s="1">
        <v>2015.0</v>
      </c>
      <c r="D4262" s="2">
        <v>42313.0</v>
      </c>
      <c r="F4262" s="1" t="s">
        <v>4197</v>
      </c>
      <c r="H4262" s="3">
        <v>10.0</v>
      </c>
      <c r="I4262" s="4" t="s">
        <v>17687</v>
      </c>
      <c r="J4262" s="1"/>
      <c r="K4262" s="1" t="s">
        <v>323</v>
      </c>
    </row>
    <row r="4263">
      <c r="A4263" s="1" t="s">
        <v>17688</v>
      </c>
      <c r="B4263" s="1" t="s">
        <v>17689</v>
      </c>
      <c r="C4263" s="1">
        <v>2015.0</v>
      </c>
      <c r="D4263" s="2">
        <v>42309.0</v>
      </c>
      <c r="F4263" s="1" t="s">
        <v>6800</v>
      </c>
      <c r="H4263" s="3">
        <v>5.0</v>
      </c>
      <c r="I4263" s="4" t="s">
        <v>17690</v>
      </c>
      <c r="J4263" s="1"/>
      <c r="K4263" s="1" t="s">
        <v>413</v>
      </c>
    </row>
    <row r="4264">
      <c r="A4264" s="1" t="s">
        <v>17691</v>
      </c>
      <c r="B4264" s="1" t="s">
        <v>17692</v>
      </c>
      <c r="C4264" s="1">
        <v>2015.0</v>
      </c>
      <c r="D4264" s="2">
        <v>42307.0</v>
      </c>
      <c r="F4264" s="1" t="s">
        <v>369</v>
      </c>
      <c r="H4264" s="3">
        <v>26.0</v>
      </c>
      <c r="I4264" s="4" t="s">
        <v>17693</v>
      </c>
      <c r="J4264" s="1" t="s">
        <v>17694</v>
      </c>
      <c r="K4264" s="1" t="s">
        <v>295</v>
      </c>
    </row>
    <row r="4265">
      <c r="A4265" s="1" t="s">
        <v>17695</v>
      </c>
      <c r="B4265" s="1" t="s">
        <v>17696</v>
      </c>
      <c r="C4265" s="1">
        <v>2015.0</v>
      </c>
      <c r="D4265" s="2">
        <v>42305.0</v>
      </c>
      <c r="F4265" s="1" t="s">
        <v>271</v>
      </c>
      <c r="H4265" s="3">
        <v>44.0</v>
      </c>
      <c r="I4265" s="4" t="s">
        <v>17697</v>
      </c>
      <c r="J4265" s="1" t="s">
        <v>17698</v>
      </c>
      <c r="K4265" s="1" t="s">
        <v>383</v>
      </c>
    </row>
    <row r="4266">
      <c r="A4266" s="1" t="s">
        <v>17699</v>
      </c>
      <c r="B4266" s="1" t="s">
        <v>17700</v>
      </c>
      <c r="C4266" s="1">
        <v>2015.0</v>
      </c>
      <c r="D4266" s="2">
        <v>42305.0</v>
      </c>
      <c r="F4266" s="1" t="s">
        <v>396</v>
      </c>
      <c r="H4266" s="3">
        <v>1762.0</v>
      </c>
      <c r="I4266" s="4" t="s">
        <v>17701</v>
      </c>
      <c r="J4266" s="1" t="s">
        <v>17702</v>
      </c>
      <c r="K4266" s="1" t="s">
        <v>28</v>
      </c>
    </row>
    <row r="4267">
      <c r="A4267" s="1" t="s">
        <v>17703</v>
      </c>
      <c r="B4267" s="1" t="s">
        <v>17700</v>
      </c>
      <c r="C4267" s="1">
        <v>2015.0</v>
      </c>
      <c r="D4267" s="2">
        <v>42305.0</v>
      </c>
      <c r="F4267" s="1" t="s">
        <v>14908</v>
      </c>
      <c r="H4267" s="3">
        <v>405.0</v>
      </c>
      <c r="I4267" s="4" t="s">
        <v>17704</v>
      </c>
      <c r="J4267" s="1" t="s">
        <v>17705</v>
      </c>
      <c r="K4267" s="1" t="s">
        <v>28</v>
      </c>
    </row>
    <row r="4268">
      <c r="A4268" s="1" t="s">
        <v>17706</v>
      </c>
      <c r="B4268" s="1" t="s">
        <v>17707</v>
      </c>
      <c r="C4268" s="1">
        <v>2015.0</v>
      </c>
      <c r="D4268" s="2">
        <v>42304.0</v>
      </c>
      <c r="F4268" s="1" t="s">
        <v>3263</v>
      </c>
      <c r="H4268" s="3">
        <v>9.0</v>
      </c>
      <c r="I4268" s="4" t="s">
        <v>17708</v>
      </c>
      <c r="J4268" s="1" t="s">
        <v>17709</v>
      </c>
      <c r="K4268" s="1" t="s">
        <v>16</v>
      </c>
    </row>
    <row r="4269">
      <c r="A4269" s="1" t="s">
        <v>17710</v>
      </c>
      <c r="B4269" s="1" t="s">
        <v>17711</v>
      </c>
      <c r="C4269" s="1">
        <v>2015.0</v>
      </c>
      <c r="D4269" s="2">
        <v>42303.0</v>
      </c>
      <c r="F4269" s="1" t="s">
        <v>4405</v>
      </c>
      <c r="H4269" s="3">
        <v>22.0</v>
      </c>
      <c r="I4269" s="4" t="s">
        <v>17712</v>
      </c>
      <c r="J4269" s="1" t="s">
        <v>17713</v>
      </c>
      <c r="K4269" s="1" t="s">
        <v>926</v>
      </c>
    </row>
    <row r="4270">
      <c r="A4270" s="1" t="s">
        <v>17714</v>
      </c>
      <c r="B4270" s="1" t="s">
        <v>17715</v>
      </c>
      <c r="C4270" s="1">
        <v>2015.0</v>
      </c>
      <c r="D4270" s="2">
        <v>42303.0</v>
      </c>
      <c r="F4270" s="1" t="s">
        <v>271</v>
      </c>
      <c r="H4270" s="3">
        <v>52.0</v>
      </c>
      <c r="I4270" s="4" t="s">
        <v>17716</v>
      </c>
      <c r="J4270" s="1" t="s">
        <v>17717</v>
      </c>
      <c r="K4270" s="1" t="s">
        <v>28</v>
      </c>
    </row>
    <row r="4271">
      <c r="A4271" s="1" t="s">
        <v>17718</v>
      </c>
      <c r="B4271" s="1" t="s">
        <v>17719</v>
      </c>
      <c r="C4271" s="1">
        <v>2015.0</v>
      </c>
      <c r="D4271" s="2">
        <v>42300.0</v>
      </c>
      <c r="F4271" s="1" t="s">
        <v>17720</v>
      </c>
      <c r="H4271" s="3">
        <v>11.0</v>
      </c>
      <c r="I4271" s="4" t="s">
        <v>17721</v>
      </c>
      <c r="J4271" s="1" t="s">
        <v>17722</v>
      </c>
      <c r="K4271" s="1" t="s">
        <v>28</v>
      </c>
    </row>
    <row r="4272">
      <c r="A4272" s="1" t="s">
        <v>17723</v>
      </c>
      <c r="B4272" s="1" t="s">
        <v>17724</v>
      </c>
      <c r="C4272" s="1">
        <v>2015.0</v>
      </c>
      <c r="D4272" s="2">
        <v>42299.0</v>
      </c>
      <c r="F4272" s="1" t="s">
        <v>1995</v>
      </c>
      <c r="H4272" s="3">
        <v>209.0</v>
      </c>
      <c r="I4272" s="4" t="s">
        <v>17725</v>
      </c>
      <c r="J4272" s="1" t="s">
        <v>17726</v>
      </c>
      <c r="K4272" s="1" t="s">
        <v>383</v>
      </c>
    </row>
    <row r="4273">
      <c r="A4273" s="1" t="s">
        <v>17727</v>
      </c>
      <c r="B4273" s="1" t="s">
        <v>17728</v>
      </c>
      <c r="C4273" s="1">
        <v>2015.0</v>
      </c>
      <c r="D4273" s="2">
        <v>42298.0</v>
      </c>
      <c r="F4273" s="1" t="s">
        <v>519</v>
      </c>
      <c r="H4273" s="3">
        <v>50.0</v>
      </c>
      <c r="I4273" s="4" t="s">
        <v>17729</v>
      </c>
      <c r="J4273" s="1" t="s">
        <v>17730</v>
      </c>
      <c r="K4273" s="1" t="s">
        <v>68</v>
      </c>
    </row>
    <row r="4274">
      <c r="A4274" s="1" t="s">
        <v>17731</v>
      </c>
      <c r="B4274" s="1" t="s">
        <v>17732</v>
      </c>
      <c r="C4274" s="1">
        <v>2015.0</v>
      </c>
      <c r="D4274" s="2">
        <v>42297.0</v>
      </c>
      <c r="F4274" s="1" t="s">
        <v>71</v>
      </c>
      <c r="H4274" s="3">
        <v>16.0</v>
      </c>
      <c r="I4274" s="4" t="s">
        <v>17733</v>
      </c>
      <c r="J4274" s="1" t="s">
        <v>17734</v>
      </c>
      <c r="K4274" s="1" t="s">
        <v>571</v>
      </c>
    </row>
    <row r="4275">
      <c r="A4275" s="1" t="s">
        <v>17735</v>
      </c>
      <c r="B4275" s="1" t="s">
        <v>17736</v>
      </c>
      <c r="C4275" s="1">
        <v>2015.0</v>
      </c>
      <c r="D4275" s="2">
        <v>42297.0</v>
      </c>
      <c r="F4275" s="1" t="s">
        <v>2987</v>
      </c>
      <c r="H4275" s="3">
        <v>32.0</v>
      </c>
      <c r="I4275" s="4" t="s">
        <v>17737</v>
      </c>
      <c r="J4275" s="1" t="s">
        <v>17738</v>
      </c>
      <c r="K4275" s="1" t="s">
        <v>926</v>
      </c>
    </row>
    <row r="4276">
      <c r="A4276" s="1" t="s">
        <v>17739</v>
      </c>
      <c r="B4276" s="1" t="s">
        <v>17740</v>
      </c>
      <c r="C4276" s="1">
        <v>2015.0</v>
      </c>
      <c r="D4276" s="2">
        <v>42296.0</v>
      </c>
      <c r="F4276" s="1" t="s">
        <v>6074</v>
      </c>
      <c r="H4276" s="3">
        <v>17.0</v>
      </c>
      <c r="I4276" s="4" t="s">
        <v>17741</v>
      </c>
      <c r="J4276" s="1" t="s">
        <v>17742</v>
      </c>
      <c r="K4276" s="1" t="s">
        <v>295</v>
      </c>
    </row>
    <row r="4277">
      <c r="A4277" s="1" t="s">
        <v>17743</v>
      </c>
      <c r="B4277" s="1" t="s">
        <v>17744</v>
      </c>
      <c r="C4277" s="1">
        <v>2015.0</v>
      </c>
      <c r="D4277" s="2">
        <v>42293.0</v>
      </c>
      <c r="F4277" s="1" t="s">
        <v>71</v>
      </c>
      <c r="H4277" s="3">
        <v>24.0</v>
      </c>
      <c r="I4277" s="4" t="s">
        <v>17745</v>
      </c>
      <c r="J4277" s="1" t="s">
        <v>17746</v>
      </c>
      <c r="K4277" s="1" t="s">
        <v>372</v>
      </c>
    </row>
    <row r="4278">
      <c r="A4278" s="1" t="s">
        <v>17747</v>
      </c>
      <c r="B4278" s="1" t="s">
        <v>17748</v>
      </c>
      <c r="C4278" s="1">
        <v>2015.0</v>
      </c>
      <c r="D4278" s="2">
        <v>42291.0</v>
      </c>
      <c r="F4278" s="1" t="s">
        <v>248</v>
      </c>
      <c r="H4278" s="3">
        <v>53.0</v>
      </c>
      <c r="I4278" s="4" t="s">
        <v>17749</v>
      </c>
      <c r="J4278" s="1" t="s">
        <v>17750</v>
      </c>
      <c r="K4278" s="1" t="s">
        <v>68</v>
      </c>
    </row>
    <row r="4279">
      <c r="A4279" s="1" t="s">
        <v>17751</v>
      </c>
      <c r="B4279" s="1" t="s">
        <v>17752</v>
      </c>
      <c r="C4279" s="1">
        <v>2015.0</v>
      </c>
      <c r="D4279" s="2">
        <v>42291.0</v>
      </c>
      <c r="F4279" s="1" t="s">
        <v>71</v>
      </c>
      <c r="H4279" s="3">
        <v>11.0</v>
      </c>
      <c r="I4279" s="4" t="s">
        <v>17753</v>
      </c>
      <c r="J4279" s="1" t="s">
        <v>17754</v>
      </c>
      <c r="K4279" s="1" t="s">
        <v>413</v>
      </c>
    </row>
    <row r="4280">
      <c r="A4280" s="1" t="s">
        <v>17755</v>
      </c>
      <c r="B4280" s="1" t="s">
        <v>17756</v>
      </c>
      <c r="C4280" s="1">
        <v>2015.0</v>
      </c>
      <c r="D4280" s="2">
        <v>42290.0</v>
      </c>
      <c r="F4280" s="1" t="s">
        <v>1277</v>
      </c>
      <c r="H4280" s="3">
        <v>23.0</v>
      </c>
      <c r="I4280" s="4" t="s">
        <v>17757</v>
      </c>
      <c r="J4280" s="1" t="s">
        <v>17758</v>
      </c>
      <c r="K4280" s="1" t="s">
        <v>443</v>
      </c>
    </row>
    <row r="4281">
      <c r="A4281" s="1" t="s">
        <v>17759</v>
      </c>
      <c r="B4281" s="1" t="s">
        <v>17760</v>
      </c>
      <c r="C4281" s="1">
        <v>2015.0</v>
      </c>
      <c r="D4281" s="2">
        <v>42290.0</v>
      </c>
      <c r="F4281" s="1" t="s">
        <v>2774</v>
      </c>
      <c r="H4281" s="3">
        <v>84.0</v>
      </c>
      <c r="I4281" s="4" t="s">
        <v>17761</v>
      </c>
      <c r="J4281" s="1"/>
      <c r="K4281" s="1" t="s">
        <v>28</v>
      </c>
    </row>
    <row r="4282">
      <c r="A4282" s="1" t="s">
        <v>17762</v>
      </c>
      <c r="B4282" s="1" t="s">
        <v>17763</v>
      </c>
      <c r="C4282" s="1">
        <v>2015.0</v>
      </c>
      <c r="D4282" s="2">
        <v>42289.0</v>
      </c>
      <c r="F4282" s="1" t="s">
        <v>4405</v>
      </c>
      <c r="H4282" s="3">
        <v>103.0</v>
      </c>
      <c r="I4282" s="4" t="s">
        <v>17764</v>
      </c>
      <c r="J4282" s="1" t="s">
        <v>17765</v>
      </c>
      <c r="K4282" s="1" t="s">
        <v>477</v>
      </c>
    </row>
    <row r="4283">
      <c r="A4283" s="1" t="s">
        <v>17766</v>
      </c>
      <c r="B4283" s="1" t="s">
        <v>17767</v>
      </c>
      <c r="C4283" s="1">
        <v>2015.0</v>
      </c>
      <c r="D4283" s="2">
        <v>42285.0</v>
      </c>
      <c r="F4283" s="1" t="s">
        <v>17768</v>
      </c>
      <c r="H4283" s="3">
        <v>9.0</v>
      </c>
      <c r="I4283" s="4" t="s">
        <v>17769</v>
      </c>
      <c r="J4283" s="1" t="s">
        <v>17770</v>
      </c>
      <c r="K4283" s="1" t="s">
        <v>68</v>
      </c>
    </row>
    <row r="4284">
      <c r="A4284" s="1" t="s">
        <v>17771</v>
      </c>
      <c r="B4284" s="1" t="s">
        <v>17772</v>
      </c>
      <c r="C4284" s="1">
        <v>2015.0</v>
      </c>
      <c r="D4284" s="2">
        <v>42284.0</v>
      </c>
      <c r="F4284" s="1" t="s">
        <v>7495</v>
      </c>
      <c r="H4284" s="3">
        <v>3.0</v>
      </c>
      <c r="I4284" s="4" t="s">
        <v>17773</v>
      </c>
      <c r="J4284" s="1" t="s">
        <v>17774</v>
      </c>
      <c r="K4284" s="1" t="s">
        <v>68</v>
      </c>
    </row>
    <row r="4285">
      <c r="A4285" s="1" t="s">
        <v>17775</v>
      </c>
      <c r="B4285" s="1" t="s">
        <v>17776</v>
      </c>
      <c r="C4285" s="1">
        <v>2015.0</v>
      </c>
      <c r="D4285" s="2">
        <v>42283.0</v>
      </c>
      <c r="F4285" s="1" t="s">
        <v>17777</v>
      </c>
      <c r="H4285" s="3">
        <v>25.0</v>
      </c>
      <c r="I4285" s="4" t="s">
        <v>17778</v>
      </c>
      <c r="J4285" s="1" t="s">
        <v>17779</v>
      </c>
      <c r="K4285" s="1" t="s">
        <v>418</v>
      </c>
    </row>
    <row r="4286">
      <c r="A4286" s="1" t="s">
        <v>17780</v>
      </c>
      <c r="B4286" s="1" t="s">
        <v>17781</v>
      </c>
      <c r="C4286" s="1">
        <v>2015.0</v>
      </c>
      <c r="D4286" s="2">
        <v>42278.0</v>
      </c>
      <c r="F4286" s="1" t="s">
        <v>243</v>
      </c>
      <c r="H4286" s="3">
        <v>20.0</v>
      </c>
      <c r="I4286" s="4" t="s">
        <v>17782</v>
      </c>
      <c r="J4286" s="1" t="s">
        <v>17783</v>
      </c>
      <c r="K4286" s="1" t="s">
        <v>45</v>
      </c>
    </row>
    <row r="4287">
      <c r="A4287" s="1" t="s">
        <v>17784</v>
      </c>
      <c r="B4287" s="1" t="s">
        <v>17785</v>
      </c>
      <c r="C4287" s="1">
        <v>2015.0</v>
      </c>
      <c r="D4287" s="2">
        <v>42278.0</v>
      </c>
      <c r="F4287" s="1" t="s">
        <v>698</v>
      </c>
      <c r="H4287" s="3">
        <v>8.0</v>
      </c>
      <c r="I4287" s="4" t="s">
        <v>17786</v>
      </c>
      <c r="J4287" s="1" t="s">
        <v>17787</v>
      </c>
      <c r="K4287" s="1" t="s">
        <v>323</v>
      </c>
    </row>
    <row r="4288">
      <c r="A4288" s="1" t="s">
        <v>17788</v>
      </c>
      <c r="B4288" s="1" t="s">
        <v>17789</v>
      </c>
      <c r="C4288" s="1">
        <v>2015.0</v>
      </c>
      <c r="D4288" s="2">
        <v>42278.0</v>
      </c>
      <c r="F4288" s="1" t="s">
        <v>12240</v>
      </c>
      <c r="H4288" s="3">
        <v>39.0</v>
      </c>
      <c r="I4288" s="4" t="s">
        <v>17790</v>
      </c>
      <c r="J4288" s="1" t="s">
        <v>17791</v>
      </c>
      <c r="K4288" s="1" t="s">
        <v>546</v>
      </c>
    </row>
    <row r="4289">
      <c r="A4289" s="1" t="s">
        <v>17792</v>
      </c>
      <c r="B4289" s="1" t="s">
        <v>17793</v>
      </c>
      <c r="C4289" s="1">
        <v>2015.0</v>
      </c>
      <c r="D4289" s="2">
        <v>42278.0</v>
      </c>
      <c r="F4289" s="1" t="s">
        <v>9260</v>
      </c>
      <c r="H4289" s="3">
        <v>18.0</v>
      </c>
      <c r="I4289" s="4" t="s">
        <v>17794</v>
      </c>
      <c r="J4289" s="1" t="s">
        <v>17795</v>
      </c>
      <c r="K4289" s="1" t="s">
        <v>28</v>
      </c>
    </row>
    <row r="4290">
      <c r="A4290" s="1" t="s">
        <v>17796</v>
      </c>
      <c r="B4290" s="1" t="s">
        <v>17797</v>
      </c>
      <c r="C4290" s="1">
        <v>2015.0</v>
      </c>
      <c r="D4290" s="2">
        <v>42278.0</v>
      </c>
      <c r="F4290" s="1" t="s">
        <v>5758</v>
      </c>
      <c r="H4290" s="3">
        <v>15.0</v>
      </c>
      <c r="I4290" s="4" t="s">
        <v>17798</v>
      </c>
      <c r="J4290" s="1" t="s">
        <v>17799</v>
      </c>
      <c r="K4290" s="1" t="s">
        <v>383</v>
      </c>
    </row>
    <row r="4291">
      <c r="A4291" s="1" t="s">
        <v>17800</v>
      </c>
      <c r="B4291" s="1" t="s">
        <v>17801</v>
      </c>
      <c r="C4291" s="1">
        <v>2015.0</v>
      </c>
      <c r="D4291" s="2">
        <v>42278.0</v>
      </c>
      <c r="F4291" s="1" t="s">
        <v>2611</v>
      </c>
      <c r="H4291" s="3">
        <v>19.0</v>
      </c>
      <c r="I4291" s="4" t="s">
        <v>17802</v>
      </c>
      <c r="J4291" s="1" t="s">
        <v>17803</v>
      </c>
      <c r="K4291" s="1" t="s">
        <v>68</v>
      </c>
    </row>
    <row r="4292">
      <c r="A4292" s="1" t="s">
        <v>17804</v>
      </c>
      <c r="B4292" s="1" t="s">
        <v>17805</v>
      </c>
      <c r="C4292" s="1">
        <v>2015.0</v>
      </c>
      <c r="D4292" s="2">
        <v>42278.0</v>
      </c>
      <c r="F4292" s="1" t="s">
        <v>1410</v>
      </c>
      <c r="H4292" s="3">
        <v>25.0</v>
      </c>
      <c r="I4292" s="4" t="s">
        <v>17806</v>
      </c>
      <c r="J4292" s="1" t="s">
        <v>17807</v>
      </c>
      <c r="K4292" s="1" t="s">
        <v>323</v>
      </c>
    </row>
    <row r="4293">
      <c r="A4293" s="1" t="s">
        <v>17808</v>
      </c>
      <c r="B4293" s="1" t="s">
        <v>17809</v>
      </c>
      <c r="C4293" s="1">
        <v>2015.0</v>
      </c>
      <c r="D4293" s="2">
        <v>42278.0</v>
      </c>
      <c r="F4293" s="1" t="s">
        <v>4755</v>
      </c>
      <c r="H4293" s="3">
        <v>162.0</v>
      </c>
      <c r="I4293" s="4" t="s">
        <v>17810</v>
      </c>
      <c r="J4293" s="1" t="s">
        <v>17811</v>
      </c>
      <c r="K4293" s="1" t="s">
        <v>383</v>
      </c>
    </row>
    <row r="4294">
      <c r="A4294" s="1" t="s">
        <v>17812</v>
      </c>
      <c r="B4294" s="1" t="s">
        <v>17813</v>
      </c>
      <c r="C4294" s="1">
        <v>2015.0</v>
      </c>
      <c r="D4294" s="2">
        <v>42276.0</v>
      </c>
      <c r="F4294" s="1" t="s">
        <v>519</v>
      </c>
      <c r="H4294" s="3">
        <v>25.0</v>
      </c>
      <c r="I4294" s="4" t="s">
        <v>17814</v>
      </c>
      <c r="J4294" s="1" t="s">
        <v>17815</v>
      </c>
      <c r="K4294" s="1" t="s">
        <v>28</v>
      </c>
    </row>
    <row r="4295">
      <c r="A4295" s="1" t="s">
        <v>17816</v>
      </c>
      <c r="B4295" s="1" t="s">
        <v>17817</v>
      </c>
      <c r="C4295" s="1">
        <v>2015.0</v>
      </c>
      <c r="D4295" s="2">
        <v>42276.0</v>
      </c>
      <c r="F4295" s="1" t="s">
        <v>17818</v>
      </c>
      <c r="H4295" s="3">
        <v>10.0</v>
      </c>
      <c r="I4295" s="4" t="s">
        <v>17819</v>
      </c>
      <c r="J4295" s="1" t="s">
        <v>17820</v>
      </c>
      <c r="K4295" s="1" t="s">
        <v>443</v>
      </c>
    </row>
    <row r="4296">
      <c r="A4296" s="1" t="s">
        <v>17821</v>
      </c>
      <c r="B4296" s="1" t="s">
        <v>17822</v>
      </c>
      <c r="C4296" s="1">
        <v>2015.0</v>
      </c>
      <c r="D4296" s="2">
        <v>42276.0</v>
      </c>
      <c r="F4296" s="1" t="s">
        <v>71</v>
      </c>
      <c r="H4296" s="3">
        <v>14.0</v>
      </c>
      <c r="I4296" s="4" t="s">
        <v>17823</v>
      </c>
      <c r="J4296" s="1" t="s">
        <v>17824</v>
      </c>
      <c r="K4296" s="1" t="s">
        <v>16</v>
      </c>
    </row>
    <row r="4297">
      <c r="A4297" s="1" t="s">
        <v>17825</v>
      </c>
      <c r="B4297" s="1" t="s">
        <v>17826</v>
      </c>
      <c r="C4297" s="1">
        <v>2015.0</v>
      </c>
      <c r="D4297" s="2">
        <v>42275.0</v>
      </c>
      <c r="F4297" s="1" t="s">
        <v>6907</v>
      </c>
      <c r="H4297" s="3">
        <v>51.0</v>
      </c>
      <c r="I4297" s="4" t="s">
        <v>17827</v>
      </c>
      <c r="J4297" s="1" t="s">
        <v>17828</v>
      </c>
      <c r="K4297" s="1" t="s">
        <v>383</v>
      </c>
    </row>
    <row r="4298">
      <c r="A4298" s="1" t="s">
        <v>17829</v>
      </c>
      <c r="B4298" s="1" t="s">
        <v>17830</v>
      </c>
      <c r="C4298" s="1">
        <v>2015.0</v>
      </c>
      <c r="D4298" s="2">
        <v>42273.0</v>
      </c>
      <c r="F4298" s="1" t="s">
        <v>629</v>
      </c>
      <c r="H4298" s="3">
        <v>15.0</v>
      </c>
      <c r="I4298" s="4" t="s">
        <v>17831</v>
      </c>
      <c r="J4298" s="1" t="s">
        <v>17832</v>
      </c>
      <c r="K4298" s="1" t="s">
        <v>383</v>
      </c>
    </row>
    <row r="4299">
      <c r="A4299" s="1" t="s">
        <v>17833</v>
      </c>
      <c r="B4299" s="1" t="s">
        <v>17834</v>
      </c>
      <c r="C4299" s="1">
        <v>2015.0</v>
      </c>
      <c r="D4299" s="2">
        <v>42271.0</v>
      </c>
      <c r="F4299" s="1" t="s">
        <v>6907</v>
      </c>
      <c r="H4299" s="3">
        <v>165.0</v>
      </c>
      <c r="I4299" s="4" t="s">
        <v>17835</v>
      </c>
      <c r="J4299" s="1" t="s">
        <v>17836</v>
      </c>
      <c r="K4299" s="1" t="s">
        <v>16</v>
      </c>
    </row>
    <row r="4300">
      <c r="A4300" s="1" t="s">
        <v>17837</v>
      </c>
      <c r="B4300" s="1" t="s">
        <v>17838</v>
      </c>
      <c r="C4300" s="1">
        <v>2015.0</v>
      </c>
      <c r="D4300" s="2">
        <v>42270.0</v>
      </c>
      <c r="F4300" s="1" t="s">
        <v>1938</v>
      </c>
      <c r="H4300" s="3">
        <v>9.0</v>
      </c>
      <c r="I4300" s="4" t="s">
        <v>17839</v>
      </c>
      <c r="J4300" s="1" t="s">
        <v>17840</v>
      </c>
      <c r="K4300" s="1" t="s">
        <v>295</v>
      </c>
    </row>
    <row r="4301">
      <c r="A4301" s="1" t="s">
        <v>17841</v>
      </c>
      <c r="B4301" s="1" t="s">
        <v>17360</v>
      </c>
      <c r="C4301" s="1">
        <v>2015.0</v>
      </c>
      <c r="D4301" s="2">
        <v>42269.0</v>
      </c>
      <c r="F4301" s="1" t="s">
        <v>157</v>
      </c>
      <c r="H4301" s="3">
        <v>34.0</v>
      </c>
      <c r="I4301" s="4" t="s">
        <v>17842</v>
      </c>
      <c r="J4301" s="1" t="s">
        <v>17843</v>
      </c>
      <c r="K4301" s="1" t="s">
        <v>546</v>
      </c>
    </row>
    <row r="4302">
      <c r="A4302" s="1" t="s">
        <v>17844</v>
      </c>
      <c r="B4302" s="1" t="s">
        <v>17845</v>
      </c>
      <c r="C4302" s="1">
        <v>2015.0</v>
      </c>
      <c r="D4302" s="2">
        <v>42268.0</v>
      </c>
      <c r="F4302" s="1" t="s">
        <v>208</v>
      </c>
      <c r="H4302" s="3">
        <v>43.0</v>
      </c>
      <c r="I4302" s="4" t="s">
        <v>17846</v>
      </c>
      <c r="J4302" s="1" t="s">
        <v>17847</v>
      </c>
      <c r="K4302" s="1" t="s">
        <v>28</v>
      </c>
    </row>
    <row r="4303">
      <c r="A4303" s="1" t="s">
        <v>17848</v>
      </c>
      <c r="B4303" s="1" t="s">
        <v>17849</v>
      </c>
      <c r="C4303" s="1">
        <v>2015.0</v>
      </c>
      <c r="D4303" s="2">
        <v>42266.0</v>
      </c>
      <c r="F4303" s="1" t="s">
        <v>188</v>
      </c>
      <c r="H4303" s="3">
        <v>44.0</v>
      </c>
      <c r="I4303" s="4" t="s">
        <v>17850</v>
      </c>
      <c r="J4303" s="1" t="s">
        <v>17851</v>
      </c>
      <c r="K4303" s="1" t="s">
        <v>443</v>
      </c>
    </row>
    <row r="4304">
      <c r="A4304" s="1" t="s">
        <v>17852</v>
      </c>
      <c r="B4304" s="1" t="s">
        <v>17853</v>
      </c>
      <c r="C4304" s="1">
        <v>2015.0</v>
      </c>
      <c r="D4304" s="2">
        <v>42264.0</v>
      </c>
      <c r="F4304" s="1" t="s">
        <v>1277</v>
      </c>
      <c r="H4304" s="3">
        <v>16.0</v>
      </c>
      <c r="I4304" s="4" t="s">
        <v>17854</v>
      </c>
      <c r="J4304" s="1" t="s">
        <v>17855</v>
      </c>
      <c r="K4304" s="1" t="s">
        <v>295</v>
      </c>
    </row>
    <row r="4305">
      <c r="A4305" s="1" t="s">
        <v>17856</v>
      </c>
      <c r="B4305" s="1" t="s">
        <v>17857</v>
      </c>
      <c r="C4305" s="1">
        <v>2015.0</v>
      </c>
      <c r="D4305" s="2">
        <v>42261.0</v>
      </c>
      <c r="F4305" s="1" t="s">
        <v>71</v>
      </c>
      <c r="H4305" s="3">
        <v>7.0</v>
      </c>
      <c r="I4305" s="4" t="s">
        <v>17858</v>
      </c>
      <c r="J4305" s="1" t="s">
        <v>17859</v>
      </c>
      <c r="K4305" s="1" t="s">
        <v>383</v>
      </c>
    </row>
    <row r="4306">
      <c r="A4306" s="1" t="s">
        <v>17860</v>
      </c>
      <c r="B4306" s="1" t="s">
        <v>17861</v>
      </c>
      <c r="C4306" s="1">
        <v>2015.0</v>
      </c>
      <c r="D4306" s="2">
        <v>42260.0</v>
      </c>
      <c r="F4306" s="1" t="s">
        <v>3066</v>
      </c>
      <c r="H4306" s="3">
        <v>147.0</v>
      </c>
      <c r="I4306" s="4" t="s">
        <v>17862</v>
      </c>
      <c r="J4306" s="1" t="s">
        <v>17863</v>
      </c>
      <c r="K4306" s="1" t="s">
        <v>17864</v>
      </c>
    </row>
    <row r="4307">
      <c r="A4307" s="1" t="s">
        <v>17865</v>
      </c>
      <c r="B4307" s="1" t="s">
        <v>17866</v>
      </c>
      <c r="C4307" s="1">
        <v>2015.0</v>
      </c>
      <c r="D4307" s="2">
        <v>42257.0</v>
      </c>
      <c r="F4307" s="1" t="s">
        <v>9090</v>
      </c>
      <c r="H4307" s="3">
        <v>45.0</v>
      </c>
      <c r="I4307" s="4" t="s">
        <v>17867</v>
      </c>
      <c r="J4307" s="1" t="s">
        <v>17868</v>
      </c>
      <c r="K4307" s="1" t="s">
        <v>295</v>
      </c>
    </row>
    <row r="4308">
      <c r="A4308" s="1" t="s">
        <v>17869</v>
      </c>
      <c r="B4308" s="1" t="s">
        <v>17360</v>
      </c>
      <c r="C4308" s="1">
        <v>2015.0</v>
      </c>
      <c r="D4308" s="2">
        <v>42256.0</v>
      </c>
      <c r="F4308" s="1" t="s">
        <v>12240</v>
      </c>
      <c r="H4308" s="3">
        <v>66.0</v>
      </c>
      <c r="I4308" s="4" t="s">
        <v>17870</v>
      </c>
      <c r="J4308" s="1" t="s">
        <v>17871</v>
      </c>
      <c r="K4308" s="1" t="s">
        <v>546</v>
      </c>
    </row>
    <row r="4309">
      <c r="A4309" s="1" t="s">
        <v>17872</v>
      </c>
      <c r="B4309" s="1" t="s">
        <v>17873</v>
      </c>
      <c r="C4309" s="1">
        <v>2015.0</v>
      </c>
      <c r="D4309" s="2">
        <v>42255.0</v>
      </c>
      <c r="F4309" s="1" t="s">
        <v>396</v>
      </c>
      <c r="H4309" s="3">
        <v>54.0</v>
      </c>
      <c r="I4309" s="4" t="s">
        <v>17874</v>
      </c>
      <c r="J4309" s="1" t="s">
        <v>17875</v>
      </c>
      <c r="K4309" s="1" t="s">
        <v>323</v>
      </c>
    </row>
    <row r="4310">
      <c r="A4310" s="1" t="s">
        <v>17876</v>
      </c>
      <c r="B4310" s="1" t="s">
        <v>17877</v>
      </c>
      <c r="C4310" s="1">
        <v>2015.0</v>
      </c>
      <c r="D4310" s="2">
        <v>42255.0</v>
      </c>
      <c r="F4310" s="1" t="s">
        <v>4405</v>
      </c>
      <c r="H4310" s="3">
        <v>33.0</v>
      </c>
      <c r="I4310" s="4" t="s">
        <v>17878</v>
      </c>
      <c r="J4310" s="1" t="s">
        <v>17879</v>
      </c>
      <c r="K4310" s="1" t="s">
        <v>28</v>
      </c>
    </row>
    <row r="4311">
      <c r="A4311" s="1" t="s">
        <v>17880</v>
      </c>
      <c r="B4311" s="1" t="s">
        <v>17881</v>
      </c>
      <c r="C4311" s="1">
        <v>2015.0</v>
      </c>
      <c r="D4311" s="2">
        <v>42255.0</v>
      </c>
      <c r="F4311" s="1" t="s">
        <v>17882</v>
      </c>
      <c r="H4311" s="3">
        <v>9.0</v>
      </c>
      <c r="I4311" s="4" t="s">
        <v>17883</v>
      </c>
      <c r="J4311" s="1" t="s">
        <v>17884</v>
      </c>
      <c r="K4311" s="1" t="s">
        <v>443</v>
      </c>
    </row>
    <row r="4312">
      <c r="A4312" s="1" t="s">
        <v>17885</v>
      </c>
      <c r="B4312" s="1" t="s">
        <v>17886</v>
      </c>
      <c r="C4312" s="1">
        <v>2015.0</v>
      </c>
      <c r="D4312" s="2">
        <v>42254.0</v>
      </c>
      <c r="F4312" s="1" t="s">
        <v>2707</v>
      </c>
      <c r="H4312" s="3">
        <v>16.0</v>
      </c>
      <c r="I4312" s="4" t="s">
        <v>17887</v>
      </c>
      <c r="J4312" s="1" t="s">
        <v>17888</v>
      </c>
      <c r="K4312" s="1" t="s">
        <v>295</v>
      </c>
    </row>
    <row r="4313">
      <c r="A4313" s="1" t="s">
        <v>17889</v>
      </c>
      <c r="B4313" s="1" t="s">
        <v>17890</v>
      </c>
      <c r="C4313" s="1">
        <v>2015.0</v>
      </c>
      <c r="D4313" s="2">
        <v>42254.0</v>
      </c>
      <c r="F4313" s="1" t="s">
        <v>1762</v>
      </c>
      <c r="H4313" s="3">
        <v>12.0</v>
      </c>
      <c r="I4313" s="4" t="s">
        <v>17891</v>
      </c>
      <c r="J4313" s="1" t="s">
        <v>17892</v>
      </c>
      <c r="K4313" s="1" t="s">
        <v>295</v>
      </c>
    </row>
    <row r="4314">
      <c r="A4314" s="1" t="s">
        <v>17893</v>
      </c>
      <c r="B4314" s="1" t="s">
        <v>17894</v>
      </c>
      <c r="C4314" s="1">
        <v>2015.0</v>
      </c>
      <c r="D4314" s="2">
        <v>42254.0</v>
      </c>
      <c r="F4314" s="1" t="s">
        <v>1588</v>
      </c>
      <c r="H4314" s="3">
        <v>177.0</v>
      </c>
      <c r="I4314" s="4" t="s">
        <v>17895</v>
      </c>
      <c r="J4314" s="1" t="s">
        <v>17896</v>
      </c>
      <c r="K4314" s="1" t="s">
        <v>383</v>
      </c>
    </row>
    <row r="4315">
      <c r="A4315" s="1" t="s">
        <v>17897</v>
      </c>
      <c r="B4315" s="1" t="s">
        <v>17898</v>
      </c>
      <c r="C4315" s="1">
        <v>2015.0</v>
      </c>
      <c r="D4315" s="2">
        <v>42251.0</v>
      </c>
      <c r="F4315" s="1" t="s">
        <v>1859</v>
      </c>
      <c r="H4315" s="3">
        <v>51.0</v>
      </c>
      <c r="I4315" s="4" t="s">
        <v>17899</v>
      </c>
      <c r="J4315" s="1" t="s">
        <v>17900</v>
      </c>
      <c r="K4315" s="1" t="s">
        <v>28</v>
      </c>
    </row>
    <row r="4316">
      <c r="A4316" s="1" t="s">
        <v>17901</v>
      </c>
      <c r="B4316" s="1" t="s">
        <v>17902</v>
      </c>
      <c r="C4316" s="1">
        <v>2015.0</v>
      </c>
      <c r="D4316" s="2">
        <v>42251.0</v>
      </c>
      <c r="F4316" s="1" t="s">
        <v>9090</v>
      </c>
      <c r="H4316" s="3">
        <v>10.0</v>
      </c>
      <c r="I4316" s="4" t="s">
        <v>17903</v>
      </c>
      <c r="J4316" s="1" t="s">
        <v>17904</v>
      </c>
      <c r="K4316" s="1" t="s">
        <v>295</v>
      </c>
    </row>
    <row r="4317">
      <c r="A4317" s="1" t="s">
        <v>17905</v>
      </c>
      <c r="B4317" s="1" t="s">
        <v>17906</v>
      </c>
      <c r="C4317" s="1">
        <v>2015.0</v>
      </c>
      <c r="D4317" s="2">
        <v>42251.0</v>
      </c>
      <c r="F4317" s="1" t="s">
        <v>7158</v>
      </c>
      <c r="H4317" s="3">
        <v>4.0</v>
      </c>
      <c r="I4317" s="4" t="s">
        <v>17907</v>
      </c>
      <c r="J4317" s="1" t="s">
        <v>17908</v>
      </c>
      <c r="K4317" s="1" t="s">
        <v>16</v>
      </c>
    </row>
    <row r="4318">
      <c r="A4318" s="1" t="s">
        <v>17909</v>
      </c>
      <c r="B4318" s="1" t="s">
        <v>17910</v>
      </c>
      <c r="C4318" s="1">
        <v>2015.0</v>
      </c>
      <c r="D4318" s="2">
        <v>42250.0</v>
      </c>
      <c r="F4318" s="1" t="s">
        <v>1528</v>
      </c>
      <c r="H4318" s="3">
        <v>20.0</v>
      </c>
      <c r="I4318" s="4" t="s">
        <v>17911</v>
      </c>
      <c r="J4318" s="1" t="s">
        <v>17912</v>
      </c>
      <c r="K4318" s="1" t="s">
        <v>403</v>
      </c>
    </row>
    <row r="4319">
      <c r="A4319" s="1" t="s">
        <v>17913</v>
      </c>
      <c r="B4319" s="1" t="s">
        <v>17914</v>
      </c>
      <c r="C4319" s="1">
        <v>2015.0</v>
      </c>
      <c r="D4319" s="2">
        <v>42250.0</v>
      </c>
      <c r="F4319" s="1" t="s">
        <v>1190</v>
      </c>
      <c r="H4319" s="3">
        <v>54.0</v>
      </c>
      <c r="I4319" s="4" t="s">
        <v>17915</v>
      </c>
      <c r="J4319" s="1" t="s">
        <v>17916</v>
      </c>
      <c r="K4319" s="1" t="s">
        <v>323</v>
      </c>
    </row>
    <row r="4320">
      <c r="A4320" s="1" t="s">
        <v>17917</v>
      </c>
      <c r="B4320" s="1" t="s">
        <v>16678</v>
      </c>
      <c r="C4320" s="1">
        <v>2015.0</v>
      </c>
      <c r="D4320" s="2">
        <v>42250.0</v>
      </c>
      <c r="F4320" s="1" t="s">
        <v>12240</v>
      </c>
      <c r="H4320" s="3">
        <v>18.0</v>
      </c>
      <c r="I4320" s="4" t="s">
        <v>17918</v>
      </c>
      <c r="J4320" s="1" t="s">
        <v>17919</v>
      </c>
      <c r="K4320" s="1" t="s">
        <v>546</v>
      </c>
    </row>
    <row r="4321">
      <c r="A4321" s="1" t="s">
        <v>17920</v>
      </c>
      <c r="B4321" s="1" t="s">
        <v>17921</v>
      </c>
      <c r="C4321" s="1">
        <v>2015.0</v>
      </c>
      <c r="D4321" s="2">
        <v>42249.0</v>
      </c>
      <c r="F4321" s="1" t="s">
        <v>71</v>
      </c>
      <c r="H4321" s="3">
        <v>20.0</v>
      </c>
      <c r="I4321" s="4" t="s">
        <v>17922</v>
      </c>
      <c r="J4321" s="1" t="s">
        <v>17923</v>
      </c>
      <c r="K4321" s="1" t="s">
        <v>317</v>
      </c>
    </row>
    <row r="4322">
      <c r="A4322" s="1" t="s">
        <v>17924</v>
      </c>
      <c r="B4322" s="1" t="s">
        <v>17925</v>
      </c>
      <c r="C4322" s="1">
        <v>2015.0</v>
      </c>
      <c r="D4322" s="2">
        <v>42249.0</v>
      </c>
      <c r="F4322" s="1" t="s">
        <v>4577</v>
      </c>
      <c r="H4322" s="3">
        <v>70.0</v>
      </c>
      <c r="I4322" s="4" t="s">
        <v>17926</v>
      </c>
      <c r="J4322" s="1" t="s">
        <v>17927</v>
      </c>
      <c r="K4322" s="1" t="s">
        <v>28</v>
      </c>
    </row>
    <row r="4323">
      <c r="A4323" s="1" t="s">
        <v>17928</v>
      </c>
      <c r="B4323" s="1" t="s">
        <v>17929</v>
      </c>
      <c r="C4323" s="1">
        <v>2015.0</v>
      </c>
      <c r="D4323" s="2">
        <v>42248.0</v>
      </c>
      <c r="F4323" s="1" t="s">
        <v>17930</v>
      </c>
      <c r="H4323" s="3">
        <v>91.0</v>
      </c>
      <c r="I4323" s="4" t="s">
        <v>17931</v>
      </c>
      <c r="J4323" s="1" t="s">
        <v>17932</v>
      </c>
      <c r="K4323" s="1" t="s">
        <v>28</v>
      </c>
    </row>
    <row r="4324">
      <c r="A4324" s="1" t="s">
        <v>17933</v>
      </c>
      <c r="B4324" s="1" t="s">
        <v>17934</v>
      </c>
      <c r="C4324" s="1">
        <v>2015.0</v>
      </c>
      <c r="D4324" s="2">
        <v>42248.0</v>
      </c>
      <c r="F4324" s="1" t="s">
        <v>178</v>
      </c>
      <c r="H4324" s="3">
        <v>8.0</v>
      </c>
      <c r="I4324" s="4" t="s">
        <v>17935</v>
      </c>
      <c r="J4324" s="1"/>
      <c r="K4324" s="1" t="s">
        <v>28</v>
      </c>
    </row>
    <row r="4325">
      <c r="A4325" s="1" t="s">
        <v>17936</v>
      </c>
      <c r="B4325" s="1" t="s">
        <v>17937</v>
      </c>
      <c r="C4325" s="1">
        <v>2015.0</v>
      </c>
      <c r="D4325" s="2">
        <v>42248.0</v>
      </c>
      <c r="F4325" s="1" t="s">
        <v>14720</v>
      </c>
      <c r="H4325" s="3">
        <v>35.0</v>
      </c>
      <c r="I4325" s="4" t="s">
        <v>17938</v>
      </c>
      <c r="J4325" s="1" t="s">
        <v>17939</v>
      </c>
      <c r="K4325" s="1" t="s">
        <v>16</v>
      </c>
    </row>
    <row r="4326">
      <c r="A4326" s="1" t="s">
        <v>17940</v>
      </c>
      <c r="B4326" s="1" t="s">
        <v>17941</v>
      </c>
      <c r="C4326" s="1">
        <v>2015.0</v>
      </c>
      <c r="D4326" s="2">
        <v>42248.0</v>
      </c>
      <c r="F4326" s="1" t="s">
        <v>4298</v>
      </c>
      <c r="H4326" s="3">
        <v>6.0</v>
      </c>
      <c r="I4326" s="4" t="s">
        <v>17942</v>
      </c>
      <c r="J4326" s="1" t="s">
        <v>17943</v>
      </c>
      <c r="K4326" s="1" t="s">
        <v>16</v>
      </c>
    </row>
    <row r="4327">
      <c r="A4327" s="1" t="s">
        <v>17944</v>
      </c>
      <c r="B4327" s="1" t="s">
        <v>17945</v>
      </c>
      <c r="C4327" s="1">
        <v>2015.0</v>
      </c>
      <c r="D4327" s="2">
        <v>42244.0</v>
      </c>
      <c r="F4327" s="1" t="s">
        <v>71</v>
      </c>
      <c r="H4327" s="3">
        <v>73.0</v>
      </c>
      <c r="I4327" s="4" t="s">
        <v>17946</v>
      </c>
      <c r="J4327" s="1" t="s">
        <v>17947</v>
      </c>
      <c r="K4327" s="1" t="s">
        <v>383</v>
      </c>
    </row>
    <row r="4328">
      <c r="A4328" s="1" t="s">
        <v>17948</v>
      </c>
      <c r="B4328" s="1" t="s">
        <v>17949</v>
      </c>
      <c r="C4328" s="1">
        <v>2015.0</v>
      </c>
      <c r="D4328" s="2">
        <v>42244.0</v>
      </c>
      <c r="F4328" s="1" t="s">
        <v>2365</v>
      </c>
      <c r="H4328" s="3">
        <v>18.0</v>
      </c>
      <c r="I4328" s="4" t="s">
        <v>17950</v>
      </c>
      <c r="J4328" s="1" t="s">
        <v>17951</v>
      </c>
      <c r="K4328" s="1" t="s">
        <v>443</v>
      </c>
    </row>
    <row r="4329">
      <c r="A4329" s="1" t="s">
        <v>17952</v>
      </c>
      <c r="B4329" s="1" t="s">
        <v>17953</v>
      </c>
      <c r="C4329" s="1">
        <v>2015.0</v>
      </c>
      <c r="D4329" s="2">
        <v>42244.0</v>
      </c>
      <c r="F4329" s="1" t="s">
        <v>364</v>
      </c>
      <c r="H4329" s="3">
        <v>24.0</v>
      </c>
      <c r="I4329" s="4" t="s">
        <v>17954</v>
      </c>
      <c r="J4329" s="1" t="s">
        <v>17955</v>
      </c>
      <c r="K4329" s="1" t="s">
        <v>462</v>
      </c>
    </row>
    <row r="4330">
      <c r="A4330" s="1" t="s">
        <v>17956</v>
      </c>
      <c r="B4330" s="1" t="s">
        <v>17957</v>
      </c>
      <c r="C4330" s="1">
        <v>2015.0</v>
      </c>
      <c r="D4330" s="2">
        <v>42243.0</v>
      </c>
      <c r="F4330" s="1" t="s">
        <v>271</v>
      </c>
      <c r="H4330" s="3">
        <v>94.0</v>
      </c>
      <c r="I4330" s="4" t="s">
        <v>17958</v>
      </c>
      <c r="J4330" s="1" t="s">
        <v>17959</v>
      </c>
      <c r="K4330" s="1" t="s">
        <v>28</v>
      </c>
    </row>
    <row r="4331">
      <c r="A4331" s="1" t="s">
        <v>17960</v>
      </c>
      <c r="B4331" s="1" t="s">
        <v>17961</v>
      </c>
      <c r="C4331" s="1">
        <v>2015.0</v>
      </c>
      <c r="D4331" s="2">
        <v>42243.0</v>
      </c>
      <c r="F4331" s="1" t="s">
        <v>549</v>
      </c>
      <c r="H4331" s="3">
        <v>5.0</v>
      </c>
      <c r="I4331" s="4" t="s">
        <v>17962</v>
      </c>
      <c r="J4331" s="1" t="s">
        <v>17963</v>
      </c>
      <c r="K4331" s="1" t="s">
        <v>323</v>
      </c>
    </row>
    <row r="4332">
      <c r="A4332" s="1" t="s">
        <v>17964</v>
      </c>
      <c r="B4332" s="1" t="s">
        <v>17965</v>
      </c>
      <c r="C4332" s="1">
        <v>2015.0</v>
      </c>
      <c r="D4332" s="2">
        <v>42243.0</v>
      </c>
      <c r="F4332" s="1" t="s">
        <v>519</v>
      </c>
      <c r="H4332" s="3">
        <v>16.0</v>
      </c>
      <c r="I4332" s="4" t="s">
        <v>17966</v>
      </c>
      <c r="J4332" s="1" t="s">
        <v>17967</v>
      </c>
      <c r="K4332" s="1" t="s">
        <v>28</v>
      </c>
    </row>
    <row r="4333">
      <c r="A4333" s="1" t="s">
        <v>17968</v>
      </c>
      <c r="B4333" s="1" t="s">
        <v>17969</v>
      </c>
      <c r="C4333" s="1">
        <v>2015.0</v>
      </c>
      <c r="D4333" s="2">
        <v>42243.0</v>
      </c>
      <c r="F4333" s="1" t="s">
        <v>157</v>
      </c>
      <c r="H4333" s="3">
        <v>32.0</v>
      </c>
      <c r="I4333" s="4" t="s">
        <v>17970</v>
      </c>
      <c r="J4333" s="1" t="s">
        <v>17971</v>
      </c>
      <c r="K4333" s="1" t="s">
        <v>546</v>
      </c>
    </row>
    <row r="4334">
      <c r="A4334" s="1" t="s">
        <v>17972</v>
      </c>
      <c r="B4334" s="1" t="s">
        <v>17973</v>
      </c>
      <c r="C4334" s="1">
        <v>2015.0</v>
      </c>
      <c r="D4334" s="2">
        <v>42243.0</v>
      </c>
      <c r="F4334" s="1" t="s">
        <v>1349</v>
      </c>
      <c r="H4334" s="3">
        <v>9.0</v>
      </c>
      <c r="I4334" s="4" t="s">
        <v>17974</v>
      </c>
      <c r="J4334" s="1" t="s">
        <v>17975</v>
      </c>
      <c r="K4334" s="1" t="s">
        <v>323</v>
      </c>
    </row>
    <row r="4335">
      <c r="A4335" s="1" t="s">
        <v>17976</v>
      </c>
      <c r="B4335" s="1" t="s">
        <v>17977</v>
      </c>
      <c r="C4335" s="1">
        <v>2015.0</v>
      </c>
      <c r="D4335" s="2">
        <v>42243.0</v>
      </c>
      <c r="F4335" s="1" t="s">
        <v>17978</v>
      </c>
      <c r="H4335" s="3">
        <v>16.0</v>
      </c>
      <c r="I4335" s="4" t="s">
        <v>17979</v>
      </c>
      <c r="J4335" s="1" t="s">
        <v>17980</v>
      </c>
      <c r="K4335" s="1" t="s">
        <v>926</v>
      </c>
    </row>
    <row r="4336">
      <c r="A4336" s="1" t="s">
        <v>17981</v>
      </c>
      <c r="B4336" s="1" t="s">
        <v>17982</v>
      </c>
      <c r="C4336" s="1">
        <v>2015.0</v>
      </c>
      <c r="D4336" s="2">
        <v>42242.0</v>
      </c>
      <c r="F4336" s="1" t="s">
        <v>3066</v>
      </c>
      <c r="H4336" s="3">
        <v>30.0</v>
      </c>
      <c r="I4336" s="4" t="s">
        <v>17983</v>
      </c>
      <c r="J4336" s="1" t="s">
        <v>17984</v>
      </c>
      <c r="K4336" s="1" t="s">
        <v>295</v>
      </c>
    </row>
    <row r="4337">
      <c r="A4337" s="1" t="s">
        <v>17985</v>
      </c>
      <c r="B4337" s="1" t="s">
        <v>17986</v>
      </c>
      <c r="C4337" s="1">
        <v>2015.0</v>
      </c>
      <c r="D4337" s="2">
        <v>42241.0</v>
      </c>
      <c r="F4337" s="1" t="s">
        <v>337</v>
      </c>
      <c r="H4337" s="3">
        <v>16.0</v>
      </c>
      <c r="I4337" s="4" t="s">
        <v>17987</v>
      </c>
      <c r="J4337" s="1" t="s">
        <v>17988</v>
      </c>
      <c r="K4337" s="1" t="s">
        <v>295</v>
      </c>
    </row>
    <row r="4338">
      <c r="A4338" s="1" t="s">
        <v>17989</v>
      </c>
      <c r="B4338" s="1" t="s">
        <v>17990</v>
      </c>
      <c r="C4338" s="1">
        <v>2015.0</v>
      </c>
      <c r="D4338" s="2">
        <v>42241.0</v>
      </c>
      <c r="F4338" s="1" t="s">
        <v>337</v>
      </c>
      <c r="H4338" s="3">
        <v>34.0</v>
      </c>
      <c r="I4338" s="4" t="s">
        <v>17991</v>
      </c>
      <c r="J4338" s="1" t="s">
        <v>17992</v>
      </c>
      <c r="K4338" s="1" t="s">
        <v>295</v>
      </c>
    </row>
    <row r="4339">
      <c r="A4339" s="1" t="s">
        <v>17993</v>
      </c>
      <c r="B4339" s="1" t="s">
        <v>17994</v>
      </c>
      <c r="C4339" s="1">
        <v>2015.0</v>
      </c>
      <c r="D4339" s="2">
        <v>42240.0</v>
      </c>
      <c r="F4339" s="1" t="s">
        <v>17347</v>
      </c>
      <c r="H4339" s="3">
        <v>77.0</v>
      </c>
      <c r="I4339" s="4" t="s">
        <v>17995</v>
      </c>
      <c r="J4339" s="1" t="s">
        <v>17996</v>
      </c>
      <c r="K4339" s="1" t="s">
        <v>68</v>
      </c>
    </row>
    <row r="4340">
      <c r="A4340" s="1" t="s">
        <v>17997</v>
      </c>
      <c r="B4340" s="1" t="s">
        <v>17998</v>
      </c>
      <c r="C4340" s="1">
        <v>2015.0</v>
      </c>
      <c r="D4340" s="2">
        <v>42237.0</v>
      </c>
      <c r="F4340" s="1" t="s">
        <v>2560</v>
      </c>
      <c r="H4340" s="3">
        <v>32.0</v>
      </c>
      <c r="I4340" s="4" t="s">
        <v>17999</v>
      </c>
      <c r="J4340" s="1" t="s">
        <v>18000</v>
      </c>
      <c r="K4340" s="1" t="s">
        <v>28</v>
      </c>
    </row>
    <row r="4341">
      <c r="A4341" s="1" t="s">
        <v>18001</v>
      </c>
      <c r="B4341" s="1" t="s">
        <v>18002</v>
      </c>
      <c r="C4341" s="1">
        <v>2015.0</v>
      </c>
      <c r="D4341" s="2">
        <v>42235.0</v>
      </c>
      <c r="F4341" s="1" t="s">
        <v>3501</v>
      </c>
      <c r="H4341" s="3">
        <v>213.0</v>
      </c>
      <c r="I4341" s="4" t="s">
        <v>18003</v>
      </c>
      <c r="J4341" s="1" t="s">
        <v>18004</v>
      </c>
      <c r="K4341" s="1" t="s">
        <v>28</v>
      </c>
    </row>
    <row r="4342">
      <c r="A4342" s="1" t="s">
        <v>18005</v>
      </c>
      <c r="B4342" s="1" t="s">
        <v>18006</v>
      </c>
      <c r="C4342" s="1">
        <v>2015.0</v>
      </c>
      <c r="D4342" s="2">
        <v>42235.0</v>
      </c>
      <c r="F4342" s="1" t="s">
        <v>31</v>
      </c>
      <c r="H4342" s="3">
        <v>70.0</v>
      </c>
      <c r="I4342" s="4" t="s">
        <v>18007</v>
      </c>
      <c r="J4342" s="1" t="s">
        <v>18008</v>
      </c>
      <c r="K4342" s="1" t="s">
        <v>28</v>
      </c>
    </row>
    <row r="4343">
      <c r="A4343" s="1" t="s">
        <v>18009</v>
      </c>
      <c r="B4343" s="1" t="s">
        <v>18010</v>
      </c>
      <c r="C4343" s="1">
        <v>2015.0</v>
      </c>
      <c r="D4343" s="2">
        <v>42235.0</v>
      </c>
      <c r="F4343" s="1" t="s">
        <v>71</v>
      </c>
      <c r="H4343" s="3">
        <v>6.0</v>
      </c>
      <c r="I4343" s="4" t="s">
        <v>18011</v>
      </c>
      <c r="J4343" s="1" t="s">
        <v>18012</v>
      </c>
      <c r="K4343" s="1" t="s">
        <v>28</v>
      </c>
    </row>
    <row r="4344">
      <c r="A4344" s="1" t="s">
        <v>18013</v>
      </c>
      <c r="B4344" s="1" t="s">
        <v>18014</v>
      </c>
      <c r="C4344" s="1">
        <v>2015.0</v>
      </c>
      <c r="D4344" s="2">
        <v>42234.0</v>
      </c>
      <c r="F4344" s="1" t="s">
        <v>5758</v>
      </c>
      <c r="H4344" s="3">
        <v>5.0</v>
      </c>
      <c r="I4344" s="4" t="s">
        <v>18015</v>
      </c>
      <c r="J4344" s="1" t="s">
        <v>18016</v>
      </c>
      <c r="K4344" s="1" t="s">
        <v>28</v>
      </c>
    </row>
    <row r="4345">
      <c r="A4345" s="1" t="s">
        <v>18017</v>
      </c>
      <c r="B4345" s="1" t="s">
        <v>18018</v>
      </c>
      <c r="C4345" s="1">
        <v>2015.0</v>
      </c>
      <c r="D4345" s="2">
        <v>42234.0</v>
      </c>
      <c r="F4345" s="1" t="s">
        <v>1592</v>
      </c>
      <c r="H4345" s="3">
        <v>2.0</v>
      </c>
      <c r="I4345" s="4" t="s">
        <v>18019</v>
      </c>
      <c r="J4345" s="1" t="s">
        <v>18020</v>
      </c>
      <c r="K4345" s="1" t="s">
        <v>295</v>
      </c>
    </row>
    <row r="4346">
      <c r="A4346" s="1" t="s">
        <v>18021</v>
      </c>
      <c r="B4346" s="1" t="s">
        <v>18022</v>
      </c>
      <c r="C4346" s="1">
        <v>2015.0</v>
      </c>
      <c r="D4346" s="2">
        <v>42233.0</v>
      </c>
      <c r="F4346" s="1" t="s">
        <v>6074</v>
      </c>
      <c r="H4346" s="3">
        <v>4.0</v>
      </c>
      <c r="I4346" s="4" t="s">
        <v>18023</v>
      </c>
      <c r="J4346" s="1" t="s">
        <v>18024</v>
      </c>
      <c r="K4346" s="1" t="s">
        <v>295</v>
      </c>
    </row>
    <row r="4347">
      <c r="A4347" s="1" t="s">
        <v>18025</v>
      </c>
      <c r="B4347" s="1" t="s">
        <v>18026</v>
      </c>
      <c r="C4347" s="1">
        <v>2015.0</v>
      </c>
      <c r="D4347" s="2">
        <v>42230.0</v>
      </c>
      <c r="F4347" s="1" t="s">
        <v>71</v>
      </c>
      <c r="H4347" s="3">
        <v>106.0</v>
      </c>
      <c r="I4347" s="4" t="s">
        <v>18027</v>
      </c>
      <c r="J4347" s="1" t="s">
        <v>18028</v>
      </c>
      <c r="K4347" s="1" t="s">
        <v>45</v>
      </c>
    </row>
    <row r="4348">
      <c r="A4348" s="1" t="s">
        <v>18029</v>
      </c>
      <c r="B4348" s="1" t="s">
        <v>18030</v>
      </c>
      <c r="C4348" s="1">
        <v>2015.0</v>
      </c>
      <c r="D4348" s="2">
        <v>42229.0</v>
      </c>
      <c r="F4348" s="1" t="s">
        <v>1777</v>
      </c>
      <c r="H4348" s="3">
        <v>9.0</v>
      </c>
      <c r="I4348" s="4" t="s">
        <v>18031</v>
      </c>
      <c r="J4348" s="1" t="s">
        <v>18032</v>
      </c>
      <c r="K4348" s="1" t="s">
        <v>295</v>
      </c>
    </row>
    <row r="4349">
      <c r="A4349" s="1" t="s">
        <v>18033</v>
      </c>
      <c r="B4349" s="1" t="s">
        <v>18034</v>
      </c>
      <c r="C4349" s="1">
        <v>2015.0</v>
      </c>
      <c r="D4349" s="2">
        <v>42229.0</v>
      </c>
      <c r="F4349" s="1" t="s">
        <v>3583</v>
      </c>
      <c r="H4349" s="3">
        <v>20.0</v>
      </c>
      <c r="I4349" s="4" t="s">
        <v>18035</v>
      </c>
      <c r="J4349" s="1" t="s">
        <v>18036</v>
      </c>
      <c r="K4349" s="1" t="s">
        <v>28</v>
      </c>
    </row>
    <row r="4350">
      <c r="A4350" s="1" t="s">
        <v>18037</v>
      </c>
      <c r="B4350" s="1" t="s">
        <v>18038</v>
      </c>
      <c r="C4350" s="1">
        <v>2015.0</v>
      </c>
      <c r="D4350" s="2">
        <v>42229.0</v>
      </c>
      <c r="F4350" s="1" t="s">
        <v>18039</v>
      </c>
      <c r="H4350" s="3">
        <v>21.0</v>
      </c>
      <c r="I4350" s="4" t="s">
        <v>18040</v>
      </c>
      <c r="J4350" s="1" t="s">
        <v>18041</v>
      </c>
      <c r="K4350" s="1" t="s">
        <v>16</v>
      </c>
    </row>
    <row r="4351">
      <c r="A4351" s="1" t="s">
        <v>18042</v>
      </c>
      <c r="B4351" s="1" t="s">
        <v>18043</v>
      </c>
      <c r="C4351" s="1">
        <v>2015.0</v>
      </c>
      <c r="D4351" s="2">
        <v>42227.0</v>
      </c>
      <c r="F4351" s="1" t="s">
        <v>440</v>
      </c>
      <c r="H4351" s="3">
        <v>58.0</v>
      </c>
      <c r="I4351" s="4" t="s">
        <v>18044</v>
      </c>
      <c r="J4351" s="1" t="s">
        <v>18045</v>
      </c>
      <c r="K4351" s="1" t="s">
        <v>443</v>
      </c>
    </row>
    <row r="4352">
      <c r="A4352" s="1" t="s">
        <v>18046</v>
      </c>
      <c r="B4352" s="1" t="s">
        <v>18047</v>
      </c>
      <c r="C4352" s="1">
        <v>2015.0</v>
      </c>
      <c r="D4352" s="2">
        <v>42224.0</v>
      </c>
      <c r="F4352" s="1" t="s">
        <v>12240</v>
      </c>
      <c r="H4352" s="3">
        <v>27.0</v>
      </c>
      <c r="I4352" s="4" t="s">
        <v>18048</v>
      </c>
      <c r="J4352" s="1" t="s">
        <v>18049</v>
      </c>
      <c r="K4352" s="1" t="s">
        <v>546</v>
      </c>
    </row>
    <row r="4353">
      <c r="A4353" s="1" t="s">
        <v>18050</v>
      </c>
      <c r="B4353" s="1" t="s">
        <v>18051</v>
      </c>
      <c r="C4353" s="1">
        <v>2015.0</v>
      </c>
      <c r="D4353" s="2">
        <v>42224.0</v>
      </c>
      <c r="F4353" s="1" t="s">
        <v>1654</v>
      </c>
      <c r="H4353" s="3">
        <v>25.0</v>
      </c>
      <c r="I4353" s="4" t="s">
        <v>18052</v>
      </c>
      <c r="J4353" s="1" t="s">
        <v>18053</v>
      </c>
      <c r="K4353" s="1" t="s">
        <v>323</v>
      </c>
    </row>
    <row r="4354">
      <c r="A4354" s="1" t="s">
        <v>18054</v>
      </c>
      <c r="B4354" s="1" t="s">
        <v>18055</v>
      </c>
      <c r="C4354" s="1">
        <v>2015.0</v>
      </c>
      <c r="D4354" s="2">
        <v>42223.0</v>
      </c>
      <c r="F4354" s="1" t="s">
        <v>71</v>
      </c>
      <c r="H4354" s="3">
        <v>42.0</v>
      </c>
      <c r="I4354" s="4" t="s">
        <v>18056</v>
      </c>
      <c r="J4354" s="1" t="s">
        <v>18057</v>
      </c>
      <c r="K4354" s="1" t="s">
        <v>28</v>
      </c>
    </row>
    <row r="4355">
      <c r="A4355" s="1" t="s">
        <v>18058</v>
      </c>
      <c r="B4355" s="1" t="s">
        <v>18059</v>
      </c>
      <c r="C4355" s="1">
        <v>2015.0</v>
      </c>
      <c r="D4355" s="2">
        <v>42221.0</v>
      </c>
      <c r="F4355" s="1" t="s">
        <v>15208</v>
      </c>
      <c r="H4355" s="3">
        <v>14.0</v>
      </c>
      <c r="I4355" s="4" t="s">
        <v>18060</v>
      </c>
      <c r="J4355" s="1" t="s">
        <v>18061</v>
      </c>
      <c r="K4355" s="1" t="s">
        <v>45</v>
      </c>
    </row>
    <row r="4356">
      <c r="A4356" s="1" t="s">
        <v>18062</v>
      </c>
      <c r="B4356" s="1" t="s">
        <v>18063</v>
      </c>
      <c r="C4356" s="1">
        <v>2015.0</v>
      </c>
      <c r="D4356" s="2">
        <v>42221.0</v>
      </c>
      <c r="F4356" s="1" t="s">
        <v>17274</v>
      </c>
      <c r="H4356" s="3">
        <v>11.0</v>
      </c>
      <c r="I4356" s="4" t="s">
        <v>18064</v>
      </c>
      <c r="J4356" s="1" t="s">
        <v>18065</v>
      </c>
      <c r="K4356" s="1" t="s">
        <v>443</v>
      </c>
    </row>
    <row r="4357">
      <c r="A4357" s="1" t="s">
        <v>18066</v>
      </c>
      <c r="B4357" s="1" t="s">
        <v>18067</v>
      </c>
      <c r="C4357" s="1">
        <v>2015.0</v>
      </c>
      <c r="D4357" s="2">
        <v>42216.0</v>
      </c>
      <c r="F4357" s="1" t="s">
        <v>18068</v>
      </c>
      <c r="H4357" s="3">
        <v>9.0</v>
      </c>
      <c r="I4357" s="4" t="s">
        <v>18069</v>
      </c>
      <c r="J4357" s="1" t="s">
        <v>18070</v>
      </c>
      <c r="K4357" s="1" t="s">
        <v>68</v>
      </c>
    </row>
    <row r="4358">
      <c r="A4358" s="1" t="s">
        <v>18071</v>
      </c>
      <c r="B4358" s="1" t="s">
        <v>18072</v>
      </c>
      <c r="C4358" s="1">
        <v>2015.0</v>
      </c>
      <c r="D4358" s="2">
        <v>42216.0</v>
      </c>
      <c r="F4358" s="1" t="s">
        <v>18073</v>
      </c>
      <c r="H4358" s="3">
        <v>12.0</v>
      </c>
      <c r="I4358" s="4" t="s">
        <v>18074</v>
      </c>
      <c r="J4358" s="1" t="s">
        <v>18075</v>
      </c>
      <c r="K4358" s="1" t="s">
        <v>16</v>
      </c>
    </row>
    <row r="4359">
      <c r="A4359" s="1" t="s">
        <v>18076</v>
      </c>
      <c r="B4359" s="1" t="s">
        <v>18077</v>
      </c>
      <c r="C4359" s="1">
        <v>2015.0</v>
      </c>
      <c r="D4359" s="2">
        <v>42215.0</v>
      </c>
      <c r="F4359" s="1" t="s">
        <v>2326</v>
      </c>
      <c r="H4359" s="3">
        <v>3.0</v>
      </c>
      <c r="I4359" s="4" t="s">
        <v>18078</v>
      </c>
      <c r="J4359" s="1" t="s">
        <v>18079</v>
      </c>
      <c r="K4359" s="1" t="s">
        <v>340</v>
      </c>
    </row>
    <row r="4360">
      <c r="A4360" s="1" t="s">
        <v>18080</v>
      </c>
      <c r="B4360" s="1" t="s">
        <v>18081</v>
      </c>
      <c r="C4360" s="1">
        <v>2015.0</v>
      </c>
      <c r="D4360" s="2">
        <v>42214.0</v>
      </c>
      <c r="F4360" s="1" t="s">
        <v>12240</v>
      </c>
      <c r="H4360" s="3">
        <v>93.0</v>
      </c>
      <c r="I4360" s="4" t="s">
        <v>18082</v>
      </c>
      <c r="J4360" s="1" t="s">
        <v>18083</v>
      </c>
      <c r="K4360" s="1" t="s">
        <v>546</v>
      </c>
    </row>
    <row r="4361">
      <c r="A4361" s="1" t="s">
        <v>18084</v>
      </c>
      <c r="B4361" s="1" t="s">
        <v>18085</v>
      </c>
      <c r="C4361" s="1">
        <v>2015.0</v>
      </c>
      <c r="D4361" s="2">
        <v>42213.0</v>
      </c>
      <c r="F4361" s="1" t="s">
        <v>14224</v>
      </c>
      <c r="H4361" s="3">
        <v>45.0</v>
      </c>
      <c r="I4361" s="4" t="s">
        <v>18086</v>
      </c>
      <c r="J4361" s="1" t="s">
        <v>18087</v>
      </c>
      <c r="K4361" s="1" t="s">
        <v>28</v>
      </c>
    </row>
    <row r="4362">
      <c r="A4362" s="1" t="s">
        <v>18088</v>
      </c>
      <c r="B4362" s="1" t="s">
        <v>18089</v>
      </c>
      <c r="C4362" s="1">
        <v>2015.0</v>
      </c>
      <c r="D4362" s="2">
        <v>42213.0</v>
      </c>
      <c r="F4362" s="1" t="s">
        <v>14224</v>
      </c>
      <c r="H4362" s="3">
        <v>9.0</v>
      </c>
      <c r="I4362" s="4" t="s">
        <v>18090</v>
      </c>
      <c r="J4362" s="1" t="s">
        <v>18091</v>
      </c>
      <c r="K4362" s="1" t="s">
        <v>68</v>
      </c>
    </row>
    <row r="4363">
      <c r="A4363" s="1" t="s">
        <v>18092</v>
      </c>
      <c r="B4363" s="1" t="s">
        <v>18093</v>
      </c>
      <c r="C4363" s="1">
        <v>2015.0</v>
      </c>
      <c r="D4363" s="2">
        <v>42209.0</v>
      </c>
      <c r="F4363" s="1" t="s">
        <v>292</v>
      </c>
      <c r="H4363" s="3">
        <v>17.0</v>
      </c>
      <c r="I4363" s="4" t="s">
        <v>18094</v>
      </c>
      <c r="J4363" s="1" t="s">
        <v>18095</v>
      </c>
      <c r="K4363" s="1" t="s">
        <v>295</v>
      </c>
    </row>
    <row r="4364">
      <c r="A4364" s="1" t="s">
        <v>18096</v>
      </c>
      <c r="B4364" s="1" t="s">
        <v>18097</v>
      </c>
      <c r="C4364" s="1">
        <v>2015.0</v>
      </c>
      <c r="D4364" s="2">
        <v>42206.0</v>
      </c>
      <c r="F4364" s="1" t="s">
        <v>2449</v>
      </c>
      <c r="H4364" s="3">
        <v>38.0</v>
      </c>
      <c r="I4364" s="4" t="s">
        <v>18098</v>
      </c>
      <c r="J4364" s="1" t="s">
        <v>18099</v>
      </c>
      <c r="K4364" s="1" t="s">
        <v>16</v>
      </c>
    </row>
    <row r="4365">
      <c r="A4365" s="1" t="s">
        <v>18100</v>
      </c>
      <c r="B4365" s="1" t="s">
        <v>18101</v>
      </c>
      <c r="C4365" s="1">
        <v>2015.0</v>
      </c>
      <c r="D4365" s="2">
        <v>42203.0</v>
      </c>
      <c r="F4365" s="1" t="s">
        <v>208</v>
      </c>
      <c r="H4365" s="3">
        <v>6.0</v>
      </c>
      <c r="I4365" s="4" t="s">
        <v>18102</v>
      </c>
      <c r="J4365" s="1" t="s">
        <v>18103</v>
      </c>
      <c r="K4365" s="1" t="s">
        <v>443</v>
      </c>
    </row>
    <row r="4366">
      <c r="A4366" s="1" t="s">
        <v>18104</v>
      </c>
      <c r="B4366" s="1" t="s">
        <v>17360</v>
      </c>
      <c r="C4366" s="1">
        <v>2015.0</v>
      </c>
      <c r="D4366" s="2">
        <v>42203.0</v>
      </c>
      <c r="F4366" s="1" t="s">
        <v>12240</v>
      </c>
      <c r="H4366" s="3">
        <v>30.0</v>
      </c>
      <c r="I4366" s="4" t="s">
        <v>18105</v>
      </c>
      <c r="J4366" s="1" t="s">
        <v>18106</v>
      </c>
      <c r="K4366" s="1" t="s">
        <v>546</v>
      </c>
    </row>
    <row r="4367">
      <c r="A4367" s="1" t="s">
        <v>18107</v>
      </c>
      <c r="B4367" s="1" t="s">
        <v>18108</v>
      </c>
      <c r="C4367" s="1">
        <v>2015.0</v>
      </c>
      <c r="D4367" s="2">
        <v>42202.0</v>
      </c>
      <c r="F4367" s="1" t="s">
        <v>12240</v>
      </c>
      <c r="H4367" s="3">
        <v>61.0</v>
      </c>
      <c r="I4367" s="4" t="s">
        <v>18109</v>
      </c>
      <c r="J4367" s="1" t="s">
        <v>18110</v>
      </c>
      <c r="K4367" s="1" t="s">
        <v>546</v>
      </c>
    </row>
    <row r="4368">
      <c r="A4368" s="1" t="s">
        <v>18111</v>
      </c>
      <c r="B4368" s="1" t="s">
        <v>18112</v>
      </c>
      <c r="C4368" s="1">
        <v>2015.0</v>
      </c>
      <c r="D4368" s="2">
        <v>42202.0</v>
      </c>
      <c r="F4368" s="1" t="s">
        <v>12240</v>
      </c>
      <c r="H4368" s="3">
        <v>33.0</v>
      </c>
      <c r="I4368" s="4" t="s">
        <v>18113</v>
      </c>
      <c r="J4368" s="1"/>
      <c r="K4368" s="1" t="s">
        <v>546</v>
      </c>
    </row>
    <row r="4369">
      <c r="A4369" s="1" t="s">
        <v>18114</v>
      </c>
      <c r="B4369" s="1" t="s">
        <v>18115</v>
      </c>
      <c r="C4369" s="1">
        <v>2015.0</v>
      </c>
      <c r="D4369" s="2">
        <v>42202.0</v>
      </c>
      <c r="F4369" s="1" t="s">
        <v>18116</v>
      </c>
      <c r="H4369" s="3">
        <v>4.0</v>
      </c>
      <c r="I4369" s="4" t="s">
        <v>18117</v>
      </c>
      <c r="J4369" s="1"/>
      <c r="K4369" s="1" t="s">
        <v>16</v>
      </c>
    </row>
    <row r="4370">
      <c r="A4370" s="1" t="s">
        <v>18118</v>
      </c>
      <c r="B4370" s="1" t="s">
        <v>18119</v>
      </c>
      <c r="C4370" s="1">
        <v>2015.0</v>
      </c>
      <c r="D4370" s="2">
        <v>42201.0</v>
      </c>
      <c r="F4370" s="1" t="s">
        <v>157</v>
      </c>
      <c r="H4370" s="3">
        <v>28.0</v>
      </c>
      <c r="I4370" s="4" t="s">
        <v>18120</v>
      </c>
      <c r="J4370" s="1" t="s">
        <v>18121</v>
      </c>
      <c r="K4370" s="1" t="s">
        <v>546</v>
      </c>
    </row>
    <row r="4371">
      <c r="A4371" s="1" t="s">
        <v>18122</v>
      </c>
      <c r="B4371" s="1" t="s">
        <v>18123</v>
      </c>
      <c r="C4371" s="1">
        <v>2015.0</v>
      </c>
      <c r="D4371" s="2">
        <v>42200.0</v>
      </c>
      <c r="F4371" s="1" t="s">
        <v>71</v>
      </c>
      <c r="H4371" s="3">
        <v>2.0</v>
      </c>
      <c r="I4371" s="4" t="s">
        <v>18124</v>
      </c>
      <c r="J4371" s="1" t="s">
        <v>18125</v>
      </c>
      <c r="K4371" s="1" t="s">
        <v>45</v>
      </c>
    </row>
    <row r="4372">
      <c r="A4372" s="1" t="s">
        <v>18126</v>
      </c>
      <c r="B4372" s="1" t="s">
        <v>18127</v>
      </c>
      <c r="C4372" s="1">
        <v>2015.0</v>
      </c>
      <c r="D4372" s="2">
        <v>42200.0</v>
      </c>
      <c r="F4372" s="1" t="s">
        <v>337</v>
      </c>
      <c r="H4372" s="3">
        <v>61.0</v>
      </c>
      <c r="I4372" s="4" t="s">
        <v>18128</v>
      </c>
      <c r="J4372" s="1" t="s">
        <v>18129</v>
      </c>
      <c r="K4372" s="1" t="s">
        <v>443</v>
      </c>
    </row>
    <row r="4373">
      <c r="A4373" s="1" t="s">
        <v>18130</v>
      </c>
      <c r="B4373" s="1" t="s">
        <v>18131</v>
      </c>
      <c r="C4373" s="1">
        <v>2015.0</v>
      </c>
      <c r="D4373" s="2">
        <v>42200.0</v>
      </c>
      <c r="F4373" s="1" t="s">
        <v>440</v>
      </c>
      <c r="H4373" s="3">
        <v>25.0</v>
      </c>
      <c r="I4373" s="4" t="s">
        <v>18132</v>
      </c>
      <c r="J4373" s="1" t="s">
        <v>18133</v>
      </c>
      <c r="K4373" s="1" t="s">
        <v>383</v>
      </c>
    </row>
    <row r="4374">
      <c r="A4374" s="1" t="s">
        <v>18134</v>
      </c>
      <c r="B4374" s="1" t="s">
        <v>18135</v>
      </c>
      <c r="C4374" s="1">
        <v>2015.0</v>
      </c>
      <c r="D4374" s="2">
        <v>42200.0</v>
      </c>
      <c r="F4374" s="1" t="s">
        <v>3233</v>
      </c>
      <c r="H4374" s="3">
        <v>15.0</v>
      </c>
      <c r="I4374" s="4" t="s">
        <v>18136</v>
      </c>
      <c r="J4374" s="1" t="s">
        <v>18137</v>
      </c>
      <c r="K4374" s="1" t="s">
        <v>323</v>
      </c>
    </row>
    <row r="4375">
      <c r="A4375" s="1" t="s">
        <v>18138</v>
      </c>
      <c r="B4375" s="1" t="s">
        <v>18139</v>
      </c>
      <c r="C4375" s="1">
        <v>2015.0</v>
      </c>
      <c r="D4375" s="2">
        <v>42200.0</v>
      </c>
      <c r="F4375" s="1" t="s">
        <v>18140</v>
      </c>
      <c r="H4375" s="3">
        <v>53.0</v>
      </c>
      <c r="I4375" s="4" t="s">
        <v>18141</v>
      </c>
      <c r="J4375" s="1" t="s">
        <v>18142</v>
      </c>
      <c r="K4375" s="1" t="s">
        <v>926</v>
      </c>
    </row>
    <row r="4376">
      <c r="A4376" s="1" t="s">
        <v>18143</v>
      </c>
      <c r="B4376" s="1" t="s">
        <v>18144</v>
      </c>
      <c r="C4376" s="1">
        <v>2015.0</v>
      </c>
      <c r="D4376" s="2">
        <v>42199.0</v>
      </c>
      <c r="F4376" s="1" t="s">
        <v>243</v>
      </c>
      <c r="H4376" s="3">
        <v>60.0</v>
      </c>
      <c r="I4376" s="4" t="s">
        <v>18145</v>
      </c>
      <c r="J4376" s="1" t="s">
        <v>18146</v>
      </c>
      <c r="K4376" s="1" t="s">
        <v>28</v>
      </c>
    </row>
    <row r="4377">
      <c r="A4377" s="1" t="s">
        <v>18147</v>
      </c>
      <c r="B4377" s="1" t="s">
        <v>18148</v>
      </c>
      <c r="C4377" s="1">
        <v>2015.0</v>
      </c>
      <c r="D4377" s="2">
        <v>42199.0</v>
      </c>
      <c r="F4377" s="1" t="s">
        <v>8184</v>
      </c>
      <c r="H4377" s="3">
        <v>3.0</v>
      </c>
      <c r="I4377" s="4" t="s">
        <v>18149</v>
      </c>
      <c r="J4377" s="1"/>
      <c r="K4377" s="1" t="s">
        <v>28</v>
      </c>
    </row>
    <row r="4378">
      <c r="A4378" s="1" t="s">
        <v>18150</v>
      </c>
      <c r="B4378" s="1" t="s">
        <v>18151</v>
      </c>
      <c r="C4378" s="1">
        <v>2015.0</v>
      </c>
      <c r="D4378" s="2">
        <v>42199.0</v>
      </c>
      <c r="F4378" s="1" t="s">
        <v>347</v>
      </c>
      <c r="H4378" s="3">
        <v>13.0</v>
      </c>
      <c r="I4378" s="4" t="s">
        <v>18152</v>
      </c>
      <c r="J4378" s="1" t="s">
        <v>18153</v>
      </c>
      <c r="K4378" s="1" t="s">
        <v>926</v>
      </c>
    </row>
    <row r="4379">
      <c r="A4379" s="1" t="s">
        <v>18154</v>
      </c>
      <c r="B4379" s="1" t="s">
        <v>18155</v>
      </c>
      <c r="C4379" s="1">
        <v>2015.0</v>
      </c>
      <c r="D4379" s="2">
        <v>42199.0</v>
      </c>
      <c r="F4379" s="1" t="s">
        <v>157</v>
      </c>
      <c r="H4379" s="3">
        <v>18.0</v>
      </c>
      <c r="I4379" s="4" t="s">
        <v>18156</v>
      </c>
      <c r="J4379" s="1" t="s">
        <v>18157</v>
      </c>
      <c r="K4379" s="1" t="s">
        <v>546</v>
      </c>
    </row>
    <row r="4380">
      <c r="A4380" s="1" t="s">
        <v>18158</v>
      </c>
      <c r="B4380" s="1" t="s">
        <v>18159</v>
      </c>
      <c r="C4380" s="1">
        <v>2015.0</v>
      </c>
      <c r="D4380" s="2">
        <v>42199.0</v>
      </c>
      <c r="F4380" s="1" t="s">
        <v>3066</v>
      </c>
      <c r="H4380" s="3">
        <v>80.0</v>
      </c>
      <c r="I4380" s="4" t="s">
        <v>18160</v>
      </c>
      <c r="J4380" s="1" t="s">
        <v>18161</v>
      </c>
      <c r="K4380" s="1" t="s">
        <v>295</v>
      </c>
    </row>
    <row r="4381">
      <c r="A4381" s="1" t="s">
        <v>18162</v>
      </c>
      <c r="B4381" s="1" t="s">
        <v>18163</v>
      </c>
      <c r="C4381" s="1">
        <v>2015.0</v>
      </c>
      <c r="D4381" s="2">
        <v>42195.0</v>
      </c>
      <c r="F4381" s="1" t="s">
        <v>131</v>
      </c>
      <c r="H4381" s="3">
        <v>19.0</v>
      </c>
      <c r="I4381" s="4" t="s">
        <v>18164</v>
      </c>
      <c r="J4381" s="1" t="s">
        <v>18165</v>
      </c>
      <c r="K4381" s="1" t="s">
        <v>16</v>
      </c>
    </row>
    <row r="4382">
      <c r="A4382" s="1" t="s">
        <v>18166</v>
      </c>
      <c r="B4382" s="1" t="s">
        <v>18167</v>
      </c>
      <c r="C4382" s="1">
        <v>2015.0</v>
      </c>
      <c r="D4382" s="2">
        <v>42194.0</v>
      </c>
      <c r="F4382" s="1" t="s">
        <v>4197</v>
      </c>
      <c r="H4382" s="3">
        <v>86.0</v>
      </c>
      <c r="I4382" s="4" t="s">
        <v>18168</v>
      </c>
      <c r="J4382" s="1" t="s">
        <v>18169</v>
      </c>
      <c r="K4382" s="1" t="s">
        <v>295</v>
      </c>
    </row>
    <row r="4383">
      <c r="A4383" s="1" t="s">
        <v>18170</v>
      </c>
      <c r="B4383" s="1" t="s">
        <v>18171</v>
      </c>
      <c r="C4383" s="1">
        <v>2015.0</v>
      </c>
      <c r="D4383" s="2">
        <v>42194.0</v>
      </c>
      <c r="F4383" s="1" t="s">
        <v>136</v>
      </c>
      <c r="H4383" s="3">
        <v>45.0</v>
      </c>
      <c r="I4383" s="4" t="s">
        <v>18172</v>
      </c>
      <c r="J4383" s="1" t="s">
        <v>18173</v>
      </c>
      <c r="K4383" s="1" t="s">
        <v>383</v>
      </c>
    </row>
    <row r="4384">
      <c r="A4384" s="1" t="s">
        <v>18174</v>
      </c>
      <c r="B4384" s="1" t="s">
        <v>18081</v>
      </c>
      <c r="C4384" s="1">
        <v>2015.0</v>
      </c>
      <c r="D4384" s="2">
        <v>42193.0</v>
      </c>
      <c r="F4384" s="1" t="s">
        <v>12240</v>
      </c>
      <c r="H4384" s="3">
        <v>44.0</v>
      </c>
      <c r="I4384" s="4" t="s">
        <v>18175</v>
      </c>
      <c r="J4384" s="1" t="s">
        <v>18176</v>
      </c>
      <c r="K4384" s="1" t="s">
        <v>546</v>
      </c>
    </row>
    <row r="4385">
      <c r="A4385" s="1" t="s">
        <v>18177</v>
      </c>
      <c r="B4385" s="1" t="s">
        <v>18178</v>
      </c>
      <c r="C4385" s="1">
        <v>2015.0</v>
      </c>
      <c r="D4385" s="2">
        <v>42192.0</v>
      </c>
      <c r="F4385" s="1" t="s">
        <v>276</v>
      </c>
      <c r="H4385" s="3">
        <v>81.0</v>
      </c>
      <c r="I4385" s="4" t="s">
        <v>18179</v>
      </c>
      <c r="J4385" s="1" t="s">
        <v>18180</v>
      </c>
      <c r="K4385" s="1" t="s">
        <v>295</v>
      </c>
    </row>
    <row r="4386">
      <c r="A4386" s="1" t="s">
        <v>18181</v>
      </c>
      <c r="B4386" s="1" t="s">
        <v>18182</v>
      </c>
      <c r="C4386" s="1">
        <v>2015.0</v>
      </c>
      <c r="D4386" s="2">
        <v>42191.0</v>
      </c>
      <c r="F4386" s="1" t="s">
        <v>71</v>
      </c>
      <c r="H4386" s="3">
        <v>2.0</v>
      </c>
      <c r="I4386" s="4" t="s">
        <v>18183</v>
      </c>
      <c r="J4386" s="1" t="s">
        <v>18184</v>
      </c>
      <c r="K4386" s="1" t="s">
        <v>28</v>
      </c>
    </row>
    <row r="4387">
      <c r="A4387" s="1" t="s">
        <v>18185</v>
      </c>
      <c r="B4387" s="1" t="s">
        <v>18186</v>
      </c>
      <c r="C4387" s="1">
        <v>2015.0</v>
      </c>
      <c r="D4387" s="2">
        <v>42191.0</v>
      </c>
      <c r="F4387" s="1" t="s">
        <v>71</v>
      </c>
      <c r="H4387" s="3">
        <v>4.0</v>
      </c>
      <c r="I4387" s="4" t="s">
        <v>18187</v>
      </c>
      <c r="J4387" s="1" t="s">
        <v>18188</v>
      </c>
      <c r="K4387" s="1" t="s">
        <v>1036</v>
      </c>
    </row>
    <row r="4388">
      <c r="A4388" s="1" t="s">
        <v>18189</v>
      </c>
      <c r="B4388" s="1" t="s">
        <v>18190</v>
      </c>
      <c r="C4388" s="1">
        <v>2015.0</v>
      </c>
      <c r="D4388" s="2">
        <v>42189.0</v>
      </c>
      <c r="F4388" s="1" t="s">
        <v>5815</v>
      </c>
      <c r="H4388" s="3">
        <v>7.0</v>
      </c>
      <c r="I4388" s="4" t="s">
        <v>18191</v>
      </c>
      <c r="J4388" s="1" t="s">
        <v>18192</v>
      </c>
      <c r="K4388" s="1" t="s">
        <v>28</v>
      </c>
    </row>
    <row r="4389">
      <c r="A4389" s="1" t="s">
        <v>18193</v>
      </c>
      <c r="B4389" s="1" t="s">
        <v>18194</v>
      </c>
      <c r="C4389" s="1">
        <v>2015.0</v>
      </c>
      <c r="D4389" s="2">
        <v>42188.0</v>
      </c>
      <c r="F4389" s="1" t="s">
        <v>375</v>
      </c>
      <c r="H4389" s="3">
        <v>15.0</v>
      </c>
      <c r="I4389" s="4" t="s">
        <v>18195</v>
      </c>
      <c r="J4389" s="1" t="s">
        <v>18196</v>
      </c>
      <c r="K4389" s="1" t="s">
        <v>323</v>
      </c>
    </row>
    <row r="4390">
      <c r="A4390" s="1" t="s">
        <v>18197</v>
      </c>
      <c r="B4390" s="1" t="s">
        <v>18198</v>
      </c>
      <c r="C4390" s="1">
        <v>2015.0</v>
      </c>
      <c r="D4390" s="2">
        <v>42188.0</v>
      </c>
      <c r="F4390" s="1" t="s">
        <v>435</v>
      </c>
      <c r="H4390" s="3">
        <v>3.0</v>
      </c>
      <c r="I4390" s="4" t="s">
        <v>18199</v>
      </c>
      <c r="J4390" s="1" t="s">
        <v>18200</v>
      </c>
      <c r="K4390" s="1" t="s">
        <v>295</v>
      </c>
    </row>
    <row r="4391">
      <c r="A4391" s="1" t="s">
        <v>18201</v>
      </c>
      <c r="B4391" s="1" t="s">
        <v>18202</v>
      </c>
      <c r="C4391" s="1">
        <v>2015.0</v>
      </c>
      <c r="D4391" s="2">
        <v>42187.0</v>
      </c>
      <c r="F4391" s="1" t="s">
        <v>71</v>
      </c>
      <c r="H4391" s="3">
        <v>140.0</v>
      </c>
      <c r="I4391" s="4" t="s">
        <v>18203</v>
      </c>
      <c r="J4391" s="1" t="s">
        <v>18204</v>
      </c>
      <c r="K4391" s="1" t="s">
        <v>477</v>
      </c>
    </row>
    <row r="4392">
      <c r="A4392" s="1" t="s">
        <v>18205</v>
      </c>
      <c r="B4392" s="1" t="s">
        <v>18119</v>
      </c>
      <c r="C4392" s="1">
        <v>2015.0</v>
      </c>
      <c r="D4392" s="2">
        <v>42187.0</v>
      </c>
      <c r="F4392" s="1" t="s">
        <v>12240</v>
      </c>
      <c r="H4392" s="3">
        <v>55.0</v>
      </c>
      <c r="I4392" s="4" t="s">
        <v>18206</v>
      </c>
      <c r="J4392" s="1" t="s">
        <v>18207</v>
      </c>
      <c r="K4392" s="1" t="s">
        <v>546</v>
      </c>
    </row>
    <row r="4393">
      <c r="A4393" s="1" t="s">
        <v>18208</v>
      </c>
      <c r="B4393" s="1" t="s">
        <v>18209</v>
      </c>
      <c r="C4393" s="1">
        <v>2015.0</v>
      </c>
      <c r="D4393" s="2">
        <v>42187.0</v>
      </c>
      <c r="F4393" s="1" t="s">
        <v>7495</v>
      </c>
      <c r="H4393" s="3">
        <v>21.0</v>
      </c>
      <c r="I4393" s="4" t="s">
        <v>18210</v>
      </c>
      <c r="J4393" s="1" t="s">
        <v>18211</v>
      </c>
      <c r="K4393" s="1" t="s">
        <v>323</v>
      </c>
    </row>
    <row r="4394">
      <c r="A4394" s="1" t="s">
        <v>18212</v>
      </c>
      <c r="B4394" s="1" t="s">
        <v>18119</v>
      </c>
      <c r="C4394" s="1">
        <v>2015.0</v>
      </c>
      <c r="D4394" s="2">
        <v>42186.0</v>
      </c>
      <c r="F4394" s="1" t="s">
        <v>12240</v>
      </c>
      <c r="H4394" s="3">
        <v>201.0</v>
      </c>
      <c r="I4394" s="4" t="s">
        <v>18213</v>
      </c>
      <c r="J4394" s="1" t="s">
        <v>18214</v>
      </c>
      <c r="K4394" s="1" t="s">
        <v>546</v>
      </c>
    </row>
    <row r="4395">
      <c r="A4395" s="1" t="s">
        <v>18215</v>
      </c>
      <c r="B4395" s="1" t="s">
        <v>18216</v>
      </c>
      <c r="C4395" s="1">
        <v>2015.0</v>
      </c>
      <c r="D4395" s="2">
        <v>42186.0</v>
      </c>
      <c r="F4395" s="1" t="s">
        <v>71</v>
      </c>
      <c r="H4395" s="3">
        <v>20.0</v>
      </c>
      <c r="I4395" s="4" t="s">
        <v>18217</v>
      </c>
      <c r="J4395" s="1" t="s">
        <v>18218</v>
      </c>
      <c r="K4395" s="1" t="s">
        <v>16</v>
      </c>
    </row>
    <row r="4396">
      <c r="A4396" s="1" t="s">
        <v>18219</v>
      </c>
      <c r="B4396" s="1" t="s">
        <v>18220</v>
      </c>
      <c r="C4396" s="1">
        <v>2015.0</v>
      </c>
      <c r="D4396" s="2">
        <v>42185.0</v>
      </c>
      <c r="F4396" s="1" t="s">
        <v>59</v>
      </c>
      <c r="H4396" s="3">
        <v>2.0</v>
      </c>
      <c r="I4396" s="4" t="s">
        <v>18221</v>
      </c>
      <c r="J4396" s="1" t="s">
        <v>18222</v>
      </c>
      <c r="K4396" s="1" t="s">
        <v>28</v>
      </c>
    </row>
    <row r="4397">
      <c r="A4397" s="1" t="s">
        <v>18223</v>
      </c>
      <c r="B4397" s="1" t="s">
        <v>18224</v>
      </c>
      <c r="C4397" s="1">
        <v>2015.0</v>
      </c>
      <c r="D4397" s="2">
        <v>42185.0</v>
      </c>
      <c r="F4397" s="1" t="s">
        <v>9225</v>
      </c>
      <c r="H4397" s="3">
        <v>5.0</v>
      </c>
      <c r="I4397" s="4" t="s">
        <v>18225</v>
      </c>
      <c r="J4397" s="1" t="s">
        <v>18226</v>
      </c>
      <c r="K4397" s="1" t="s">
        <v>16</v>
      </c>
    </row>
    <row r="4398">
      <c r="A4398" s="1" t="s">
        <v>18227</v>
      </c>
      <c r="B4398" s="1" t="s">
        <v>18228</v>
      </c>
      <c r="C4398" s="1">
        <v>2015.0</v>
      </c>
      <c r="D4398" s="2">
        <v>42184.0</v>
      </c>
      <c r="F4398" s="1" t="s">
        <v>605</v>
      </c>
      <c r="H4398" s="3">
        <v>6.0</v>
      </c>
      <c r="I4398" s="4" t="s">
        <v>18229</v>
      </c>
      <c r="J4398" s="1" t="s">
        <v>18230</v>
      </c>
      <c r="K4398" s="1" t="s">
        <v>926</v>
      </c>
    </row>
    <row r="4399">
      <c r="A4399" s="1" t="s">
        <v>18231</v>
      </c>
      <c r="B4399" s="1" t="s">
        <v>18232</v>
      </c>
      <c r="C4399" s="1">
        <v>2015.0</v>
      </c>
      <c r="D4399" s="2">
        <v>42181.0</v>
      </c>
      <c r="F4399" s="1" t="s">
        <v>15887</v>
      </c>
      <c r="H4399" s="3">
        <v>12.0</v>
      </c>
      <c r="I4399" s="4" t="s">
        <v>18233</v>
      </c>
      <c r="J4399" s="1" t="s">
        <v>18234</v>
      </c>
      <c r="K4399" s="1" t="s">
        <v>403</v>
      </c>
    </row>
    <row r="4400">
      <c r="A4400" s="1" t="s">
        <v>18235</v>
      </c>
      <c r="B4400" s="1" t="s">
        <v>18236</v>
      </c>
      <c r="C4400" s="1">
        <v>2015.0</v>
      </c>
      <c r="D4400" s="2">
        <v>42180.0</v>
      </c>
      <c r="F4400" s="1" t="s">
        <v>386</v>
      </c>
      <c r="H4400" s="3">
        <v>43.0</v>
      </c>
      <c r="I4400" s="4" t="s">
        <v>18237</v>
      </c>
      <c r="J4400" s="1" t="s">
        <v>18238</v>
      </c>
      <c r="K4400" s="1" t="s">
        <v>28</v>
      </c>
    </row>
    <row r="4401">
      <c r="A4401" s="1" t="s">
        <v>18239</v>
      </c>
      <c r="B4401" s="1" t="s">
        <v>18240</v>
      </c>
      <c r="C4401" s="1">
        <v>2015.0</v>
      </c>
      <c r="D4401" s="2">
        <v>42180.0</v>
      </c>
      <c r="F4401" s="1" t="s">
        <v>18116</v>
      </c>
      <c r="H4401" s="3">
        <v>50.0</v>
      </c>
      <c r="I4401" s="4" t="s">
        <v>18241</v>
      </c>
      <c r="J4401" s="1" t="s">
        <v>18242</v>
      </c>
      <c r="K4401" s="1" t="s">
        <v>16</v>
      </c>
    </row>
    <row r="4402">
      <c r="A4402" s="1" t="s">
        <v>18243</v>
      </c>
      <c r="B4402" s="1" t="s">
        <v>18244</v>
      </c>
      <c r="C4402" s="1">
        <v>2015.0</v>
      </c>
      <c r="D4402" s="2">
        <v>42179.0</v>
      </c>
      <c r="F4402" s="1" t="s">
        <v>136</v>
      </c>
      <c r="H4402" s="3">
        <v>83.0</v>
      </c>
      <c r="I4402" s="4" t="s">
        <v>18245</v>
      </c>
      <c r="J4402" s="1" t="s">
        <v>18246</v>
      </c>
      <c r="K4402" s="1" t="s">
        <v>323</v>
      </c>
    </row>
    <row r="4403">
      <c r="A4403" s="1" t="s">
        <v>18247</v>
      </c>
      <c r="B4403" s="1" t="s">
        <v>18248</v>
      </c>
      <c r="C4403" s="1">
        <v>2015.0</v>
      </c>
      <c r="D4403" s="2">
        <v>42178.0</v>
      </c>
      <c r="F4403" s="1" t="s">
        <v>2191</v>
      </c>
      <c r="H4403" s="3">
        <v>89.0</v>
      </c>
      <c r="I4403" s="4" t="s">
        <v>18249</v>
      </c>
      <c r="J4403" s="1" t="s">
        <v>18250</v>
      </c>
      <c r="K4403" s="1" t="s">
        <v>443</v>
      </c>
    </row>
    <row r="4404">
      <c r="A4404" s="1" t="s">
        <v>18251</v>
      </c>
      <c r="B4404" s="1" t="s">
        <v>18252</v>
      </c>
      <c r="C4404" s="1">
        <v>2015.0</v>
      </c>
      <c r="D4404" s="2">
        <v>42178.0</v>
      </c>
      <c r="F4404" s="1" t="s">
        <v>276</v>
      </c>
      <c r="H4404" s="3">
        <v>28.0</v>
      </c>
      <c r="I4404" s="4" t="s">
        <v>18253</v>
      </c>
      <c r="J4404" s="1" t="s">
        <v>18254</v>
      </c>
      <c r="K4404" s="1" t="s">
        <v>329</v>
      </c>
    </row>
    <row r="4405">
      <c r="A4405" s="1" t="s">
        <v>18255</v>
      </c>
      <c r="B4405" s="1" t="s">
        <v>18256</v>
      </c>
      <c r="C4405" s="1">
        <v>2015.0</v>
      </c>
      <c r="D4405" s="2">
        <v>42177.0</v>
      </c>
      <c r="F4405" s="1" t="s">
        <v>2707</v>
      </c>
      <c r="H4405" s="3">
        <v>9.0</v>
      </c>
      <c r="I4405" s="4" t="s">
        <v>18257</v>
      </c>
      <c r="J4405" s="1" t="s">
        <v>18258</v>
      </c>
      <c r="K4405" s="1" t="s">
        <v>413</v>
      </c>
    </row>
    <row r="4406">
      <c r="A4406" s="1" t="s">
        <v>18259</v>
      </c>
      <c r="B4406" s="1" t="s">
        <v>18260</v>
      </c>
      <c r="C4406" s="1">
        <v>2015.0</v>
      </c>
      <c r="D4406" s="2">
        <v>42175.0</v>
      </c>
      <c r="F4406" s="1" t="s">
        <v>1899</v>
      </c>
      <c r="H4406" s="3">
        <v>51.0</v>
      </c>
      <c r="I4406" s="4" t="s">
        <v>18261</v>
      </c>
      <c r="J4406" s="1" t="s">
        <v>18262</v>
      </c>
      <c r="K4406" s="1" t="s">
        <v>323</v>
      </c>
    </row>
    <row r="4407">
      <c r="A4407" s="1" t="s">
        <v>18263</v>
      </c>
      <c r="B4407" s="1" t="s">
        <v>18264</v>
      </c>
      <c r="C4407" s="1">
        <v>2015.0</v>
      </c>
      <c r="D4407" s="2">
        <v>42173.0</v>
      </c>
      <c r="F4407" s="1" t="s">
        <v>4848</v>
      </c>
      <c r="H4407" s="3">
        <v>17.0</v>
      </c>
      <c r="I4407" s="4" t="s">
        <v>18265</v>
      </c>
      <c r="J4407" s="1" t="s">
        <v>18266</v>
      </c>
      <c r="K4407" s="1" t="s">
        <v>323</v>
      </c>
    </row>
    <row r="4408">
      <c r="A4408" s="1" t="s">
        <v>18267</v>
      </c>
      <c r="B4408" s="1" t="s">
        <v>18268</v>
      </c>
      <c r="C4408" s="1">
        <v>2015.0</v>
      </c>
      <c r="D4408" s="2">
        <v>42173.0</v>
      </c>
      <c r="F4408" s="1" t="s">
        <v>71</v>
      </c>
      <c r="H4408" s="3">
        <v>29.0</v>
      </c>
      <c r="I4408" s="4" t="s">
        <v>18269</v>
      </c>
      <c r="J4408" s="1" t="s">
        <v>18270</v>
      </c>
      <c r="K4408" s="1" t="s">
        <v>68</v>
      </c>
    </row>
    <row r="4409">
      <c r="A4409" s="1" t="s">
        <v>18271</v>
      </c>
      <c r="B4409" s="1" t="s">
        <v>18272</v>
      </c>
      <c r="C4409" s="1">
        <v>2015.0</v>
      </c>
      <c r="D4409" s="2">
        <v>42172.0</v>
      </c>
      <c r="F4409" s="1" t="s">
        <v>2693</v>
      </c>
      <c r="H4409" s="3">
        <v>31.0</v>
      </c>
      <c r="I4409" s="4" t="s">
        <v>18273</v>
      </c>
      <c r="J4409" s="1" t="s">
        <v>18274</v>
      </c>
      <c r="K4409" s="1" t="s">
        <v>295</v>
      </c>
    </row>
    <row r="4410">
      <c r="A4410" s="1" t="s">
        <v>18275</v>
      </c>
      <c r="B4410" s="1" t="s">
        <v>18276</v>
      </c>
      <c r="C4410" s="1">
        <v>2015.0</v>
      </c>
      <c r="D4410" s="2">
        <v>42171.0</v>
      </c>
      <c r="F4410" s="1" t="s">
        <v>12240</v>
      </c>
      <c r="H4410" s="3">
        <v>49.0</v>
      </c>
      <c r="I4410" s="4" t="s">
        <v>18277</v>
      </c>
      <c r="J4410" s="1" t="s">
        <v>18278</v>
      </c>
      <c r="K4410" s="1" t="s">
        <v>546</v>
      </c>
    </row>
    <row r="4411">
      <c r="A4411" s="1" t="s">
        <v>18279</v>
      </c>
      <c r="B4411" s="1" t="s">
        <v>18280</v>
      </c>
      <c r="C4411" s="1">
        <v>2015.0</v>
      </c>
      <c r="D4411" s="2">
        <v>42171.0</v>
      </c>
      <c r="F4411" s="1" t="s">
        <v>605</v>
      </c>
      <c r="H4411" s="3">
        <v>39.0</v>
      </c>
      <c r="I4411" s="4" t="s">
        <v>18281</v>
      </c>
      <c r="J4411" s="1" t="s">
        <v>18282</v>
      </c>
      <c r="K4411" s="1" t="s">
        <v>323</v>
      </c>
    </row>
    <row r="4412">
      <c r="A4412" s="1" t="s">
        <v>18283</v>
      </c>
      <c r="B4412" s="1" t="s">
        <v>18284</v>
      </c>
      <c r="C4412" s="1">
        <v>2015.0</v>
      </c>
      <c r="D4412" s="2">
        <v>42171.0</v>
      </c>
      <c r="F4412" s="1" t="s">
        <v>4980</v>
      </c>
      <c r="H4412" s="3">
        <v>36.0</v>
      </c>
      <c r="I4412" s="4" t="s">
        <v>18285</v>
      </c>
      <c r="J4412" s="1" t="s">
        <v>18286</v>
      </c>
      <c r="K4412" s="1" t="s">
        <v>16</v>
      </c>
    </row>
    <row r="4413">
      <c r="A4413" s="1" t="s">
        <v>18287</v>
      </c>
      <c r="B4413" s="1" t="s">
        <v>18288</v>
      </c>
      <c r="C4413" s="1">
        <v>2015.0</v>
      </c>
      <c r="D4413" s="2">
        <v>42170.0</v>
      </c>
      <c r="F4413" s="1" t="s">
        <v>208</v>
      </c>
      <c r="H4413" s="3">
        <v>24.0</v>
      </c>
      <c r="I4413" s="4" t="s">
        <v>18289</v>
      </c>
      <c r="J4413" s="1" t="s">
        <v>18290</v>
      </c>
      <c r="K4413" s="1" t="s">
        <v>295</v>
      </c>
    </row>
    <row r="4414">
      <c r="A4414" s="1" t="s">
        <v>18291</v>
      </c>
      <c r="B4414" s="1" t="s">
        <v>18292</v>
      </c>
      <c r="C4414" s="1">
        <v>2015.0</v>
      </c>
      <c r="D4414" s="2">
        <v>42166.0</v>
      </c>
      <c r="F4414" s="1" t="s">
        <v>18293</v>
      </c>
      <c r="H4414" s="3">
        <v>10.0</v>
      </c>
      <c r="I4414" s="4" t="s">
        <v>18294</v>
      </c>
      <c r="J4414" s="1" t="s">
        <v>18295</v>
      </c>
      <c r="K4414" s="1" t="s">
        <v>28</v>
      </c>
    </row>
    <row r="4415">
      <c r="A4415" s="1" t="s">
        <v>18296</v>
      </c>
      <c r="B4415" s="1" t="s">
        <v>18297</v>
      </c>
      <c r="C4415" s="1">
        <v>2015.0</v>
      </c>
      <c r="D4415" s="2">
        <v>42165.0</v>
      </c>
      <c r="F4415" s="1" t="s">
        <v>1330</v>
      </c>
      <c r="H4415" s="3">
        <v>121.0</v>
      </c>
      <c r="I4415" s="4" t="s">
        <v>18298</v>
      </c>
      <c r="J4415" s="1" t="s">
        <v>18299</v>
      </c>
      <c r="K4415" s="1" t="s">
        <v>323</v>
      </c>
    </row>
    <row r="4416">
      <c r="A4416" s="1" t="s">
        <v>18300</v>
      </c>
      <c r="B4416" s="1" t="s">
        <v>17360</v>
      </c>
      <c r="C4416" s="1">
        <v>2015.0</v>
      </c>
      <c r="D4416" s="2">
        <v>42164.0</v>
      </c>
      <c r="F4416" s="1" t="s">
        <v>157</v>
      </c>
      <c r="H4416" s="3">
        <v>43.0</v>
      </c>
      <c r="I4416" s="4" t="s">
        <v>18301</v>
      </c>
      <c r="J4416" s="1" t="s">
        <v>18302</v>
      </c>
      <c r="K4416" s="1" t="s">
        <v>546</v>
      </c>
    </row>
    <row r="4417">
      <c r="A4417" s="1" t="s">
        <v>18303</v>
      </c>
      <c r="B4417" s="1" t="s">
        <v>18304</v>
      </c>
      <c r="C4417" s="1">
        <v>2015.0</v>
      </c>
      <c r="D4417" s="2">
        <v>42163.0</v>
      </c>
      <c r="F4417" s="1" t="s">
        <v>13</v>
      </c>
      <c r="H4417" s="3">
        <v>153.0</v>
      </c>
      <c r="I4417" s="4" t="s">
        <v>18305</v>
      </c>
      <c r="J4417" s="1" t="s">
        <v>18306</v>
      </c>
      <c r="K4417" s="1" t="s">
        <v>28</v>
      </c>
    </row>
    <row r="4418">
      <c r="A4418" s="1" t="s">
        <v>18307</v>
      </c>
      <c r="B4418" s="1" t="s">
        <v>18308</v>
      </c>
      <c r="C4418" s="1">
        <v>2015.0</v>
      </c>
      <c r="D4418" s="2">
        <v>42160.0</v>
      </c>
      <c r="F4418" s="1" t="s">
        <v>1040</v>
      </c>
      <c r="H4418" s="3">
        <v>30.0</v>
      </c>
      <c r="I4418" s="4" t="s">
        <v>18309</v>
      </c>
      <c r="J4418" s="1" t="s">
        <v>18310</v>
      </c>
      <c r="K4418" s="1" t="s">
        <v>1036</v>
      </c>
    </row>
    <row r="4419">
      <c r="A4419" s="1" t="s">
        <v>18311</v>
      </c>
      <c r="B4419" s="1" t="s">
        <v>17360</v>
      </c>
      <c r="C4419" s="1">
        <v>2015.0</v>
      </c>
      <c r="D4419" s="2">
        <v>42159.0</v>
      </c>
      <c r="F4419" s="1" t="s">
        <v>157</v>
      </c>
      <c r="H4419" s="3">
        <v>20.0</v>
      </c>
      <c r="I4419" s="4" t="s">
        <v>18312</v>
      </c>
      <c r="J4419" s="1" t="s">
        <v>18313</v>
      </c>
      <c r="K4419" s="1" t="s">
        <v>546</v>
      </c>
    </row>
    <row r="4420">
      <c r="A4420" s="1" t="s">
        <v>18314</v>
      </c>
      <c r="B4420" s="1" t="s">
        <v>18315</v>
      </c>
      <c r="C4420" s="1">
        <v>2015.0</v>
      </c>
      <c r="D4420" s="2">
        <v>42159.0</v>
      </c>
      <c r="F4420" s="1" t="s">
        <v>71</v>
      </c>
      <c r="H4420" s="3">
        <v>29.0</v>
      </c>
      <c r="I4420" s="4" t="s">
        <v>18316</v>
      </c>
      <c r="J4420" s="1" t="s">
        <v>18317</v>
      </c>
      <c r="K4420" s="1" t="s">
        <v>443</v>
      </c>
    </row>
    <row r="4421">
      <c r="A4421" s="1" t="s">
        <v>18318</v>
      </c>
      <c r="B4421" s="1" t="s">
        <v>18319</v>
      </c>
      <c r="C4421" s="1">
        <v>2015.0</v>
      </c>
      <c r="D4421" s="2">
        <v>42158.0</v>
      </c>
      <c r="F4421" s="1" t="s">
        <v>18320</v>
      </c>
      <c r="H4421" s="3">
        <v>9.0</v>
      </c>
      <c r="I4421" s="4" t="s">
        <v>18321</v>
      </c>
      <c r="J4421" s="1" t="s">
        <v>18322</v>
      </c>
      <c r="K4421" s="1" t="s">
        <v>323</v>
      </c>
    </row>
    <row r="4422">
      <c r="A4422" s="1" t="s">
        <v>18323</v>
      </c>
      <c r="B4422" s="1" t="s">
        <v>18324</v>
      </c>
      <c r="C4422" s="1">
        <v>2015.0</v>
      </c>
      <c r="D4422" s="2">
        <v>42158.0</v>
      </c>
      <c r="F4422" s="1" t="s">
        <v>1714</v>
      </c>
      <c r="H4422" s="3">
        <v>19.0</v>
      </c>
      <c r="I4422" s="4" t="s">
        <v>18325</v>
      </c>
      <c r="J4422" s="1" t="s">
        <v>18326</v>
      </c>
      <c r="K4422" s="1" t="s">
        <v>926</v>
      </c>
    </row>
    <row r="4423">
      <c r="A4423" s="1" t="s">
        <v>18327</v>
      </c>
      <c r="B4423" s="1" t="s">
        <v>18328</v>
      </c>
      <c r="C4423" s="1">
        <v>2015.0</v>
      </c>
      <c r="D4423" s="2">
        <v>42157.0</v>
      </c>
      <c r="F4423" s="1" t="s">
        <v>337</v>
      </c>
      <c r="H4423" s="3">
        <v>18.0</v>
      </c>
      <c r="I4423" s="4" t="s">
        <v>18329</v>
      </c>
      <c r="J4423" s="1" t="s">
        <v>18330</v>
      </c>
      <c r="K4423" s="1" t="s">
        <v>295</v>
      </c>
    </row>
    <row r="4424">
      <c r="A4424" s="1" t="s">
        <v>18331</v>
      </c>
      <c r="B4424" s="1" t="s">
        <v>18332</v>
      </c>
      <c r="C4424" s="1">
        <v>2015.0</v>
      </c>
      <c r="D4424" s="2">
        <v>42156.0</v>
      </c>
      <c r="F4424" s="1" t="s">
        <v>71</v>
      </c>
      <c r="H4424" s="3">
        <v>28.0</v>
      </c>
      <c r="I4424" s="4" t="s">
        <v>18333</v>
      </c>
      <c r="J4424" s="1" t="s">
        <v>18334</v>
      </c>
      <c r="K4424" s="1" t="s">
        <v>443</v>
      </c>
    </row>
    <row r="4425">
      <c r="A4425" s="1" t="s">
        <v>18335</v>
      </c>
      <c r="B4425" s="1" t="s">
        <v>18336</v>
      </c>
      <c r="C4425" s="1">
        <v>2015.0</v>
      </c>
      <c r="D4425" s="2">
        <v>42156.0</v>
      </c>
      <c r="F4425" s="1" t="s">
        <v>11804</v>
      </c>
      <c r="H4425" s="3">
        <v>16.0</v>
      </c>
      <c r="I4425" s="4" t="s">
        <v>18337</v>
      </c>
      <c r="J4425" s="1" t="s">
        <v>18338</v>
      </c>
      <c r="K4425" s="1" t="s">
        <v>1036</v>
      </c>
    </row>
    <row r="4426">
      <c r="A4426" s="1" t="s">
        <v>18339</v>
      </c>
      <c r="B4426" s="1" t="s">
        <v>18340</v>
      </c>
      <c r="C4426" s="1">
        <v>2015.0</v>
      </c>
      <c r="D4426" s="2">
        <v>42156.0</v>
      </c>
      <c r="F4426" s="1" t="s">
        <v>18341</v>
      </c>
      <c r="H4426" s="3">
        <v>46.0</v>
      </c>
      <c r="I4426" s="4" t="s">
        <v>18342</v>
      </c>
      <c r="J4426" s="1" t="s">
        <v>18343</v>
      </c>
      <c r="K4426" s="1" t="s">
        <v>68</v>
      </c>
    </row>
    <row r="4427">
      <c r="A4427" s="1" t="s">
        <v>18344</v>
      </c>
      <c r="B4427" s="1" t="s">
        <v>18345</v>
      </c>
      <c r="C4427" s="1">
        <v>2015.0</v>
      </c>
      <c r="D4427" s="2">
        <v>42156.0</v>
      </c>
      <c r="F4427" s="1" t="s">
        <v>5630</v>
      </c>
      <c r="H4427" s="3">
        <v>12.0</v>
      </c>
      <c r="I4427" s="4" t="s">
        <v>18346</v>
      </c>
      <c r="J4427" s="1" t="s">
        <v>18347</v>
      </c>
      <c r="K4427" s="1" t="s">
        <v>16</v>
      </c>
    </row>
    <row r="4428">
      <c r="A4428" s="1" t="s">
        <v>18348</v>
      </c>
      <c r="B4428" s="1" t="s">
        <v>18349</v>
      </c>
      <c r="C4428" s="1">
        <v>2015.0</v>
      </c>
      <c r="D4428" s="2">
        <v>42156.0</v>
      </c>
      <c r="F4428" s="1" t="s">
        <v>18350</v>
      </c>
      <c r="H4428" s="3">
        <v>6.0</v>
      </c>
      <c r="I4428" s="4" t="s">
        <v>18351</v>
      </c>
      <c r="J4428" s="1"/>
      <c r="K4428" s="1" t="s">
        <v>16</v>
      </c>
    </row>
    <row r="4429">
      <c r="A4429" s="1" t="s">
        <v>18352</v>
      </c>
      <c r="B4429" s="1" t="s">
        <v>18353</v>
      </c>
      <c r="C4429" s="1">
        <v>2015.0</v>
      </c>
      <c r="D4429" s="2">
        <v>42154.0</v>
      </c>
      <c r="F4429" s="1" t="s">
        <v>4577</v>
      </c>
      <c r="H4429" s="3">
        <v>12.0</v>
      </c>
      <c r="I4429" s="4" t="s">
        <v>18354</v>
      </c>
      <c r="J4429" s="1" t="s">
        <v>18355</v>
      </c>
      <c r="K4429" s="1" t="s">
        <v>28</v>
      </c>
    </row>
    <row r="4430">
      <c r="A4430" s="1" t="s">
        <v>18356</v>
      </c>
      <c r="B4430" s="1" t="s">
        <v>18357</v>
      </c>
      <c r="C4430" s="1">
        <v>2015.0</v>
      </c>
      <c r="D4430" s="2">
        <v>42154.0</v>
      </c>
      <c r="F4430" s="1" t="s">
        <v>1358</v>
      </c>
      <c r="H4430" s="3">
        <v>78.0</v>
      </c>
      <c r="I4430" s="4" t="s">
        <v>18358</v>
      </c>
      <c r="J4430" s="1" t="s">
        <v>18359</v>
      </c>
      <c r="K4430" s="1" t="s">
        <v>323</v>
      </c>
    </row>
    <row r="4431">
      <c r="A4431" s="1" t="s">
        <v>18360</v>
      </c>
      <c r="B4431" s="1" t="s">
        <v>18361</v>
      </c>
      <c r="C4431" s="1">
        <v>2015.0</v>
      </c>
      <c r="D4431" s="2">
        <v>42153.0</v>
      </c>
      <c r="F4431" s="1" t="s">
        <v>6152</v>
      </c>
      <c r="H4431" s="3">
        <v>49.0</v>
      </c>
      <c r="I4431" s="4" t="s">
        <v>18362</v>
      </c>
      <c r="J4431" s="1" t="s">
        <v>18363</v>
      </c>
      <c r="K4431" s="1" t="s">
        <v>295</v>
      </c>
    </row>
    <row r="4432">
      <c r="A4432" s="1" t="s">
        <v>18364</v>
      </c>
      <c r="B4432" s="1" t="s">
        <v>18108</v>
      </c>
      <c r="C4432" s="1">
        <v>2015.0</v>
      </c>
      <c r="D4432" s="2">
        <v>42151.0</v>
      </c>
      <c r="F4432" s="1" t="s">
        <v>12240</v>
      </c>
      <c r="H4432" s="3">
        <v>13.0</v>
      </c>
      <c r="I4432" s="4" t="s">
        <v>18365</v>
      </c>
      <c r="J4432" s="1" t="s">
        <v>18366</v>
      </c>
      <c r="K4432" s="1" t="s">
        <v>546</v>
      </c>
    </row>
    <row r="4433">
      <c r="A4433" s="1" t="s">
        <v>18367</v>
      </c>
      <c r="B4433" s="1" t="s">
        <v>18119</v>
      </c>
      <c r="C4433" s="1">
        <v>2015.0</v>
      </c>
      <c r="D4433" s="2">
        <v>42151.0</v>
      </c>
      <c r="F4433" s="1" t="s">
        <v>12240</v>
      </c>
      <c r="H4433" s="3">
        <v>51.0</v>
      </c>
      <c r="I4433" s="4" t="s">
        <v>18368</v>
      </c>
      <c r="J4433" s="1" t="s">
        <v>18369</v>
      </c>
      <c r="K4433" s="1" t="s">
        <v>546</v>
      </c>
    </row>
    <row r="4434">
      <c r="A4434" s="1" t="s">
        <v>18370</v>
      </c>
      <c r="B4434" s="1" t="s">
        <v>18371</v>
      </c>
      <c r="C4434" s="1">
        <v>2015.0</v>
      </c>
      <c r="D4434" s="2">
        <v>42151.0</v>
      </c>
      <c r="F4434" s="1" t="s">
        <v>12240</v>
      </c>
      <c r="H4434" s="3">
        <v>19.0</v>
      </c>
      <c r="I4434" s="4" t="s">
        <v>18372</v>
      </c>
      <c r="J4434" s="1" t="s">
        <v>18373</v>
      </c>
      <c r="K4434" s="1" t="s">
        <v>546</v>
      </c>
    </row>
    <row r="4435">
      <c r="A4435" s="1" t="s">
        <v>18374</v>
      </c>
      <c r="B4435" s="1" t="s">
        <v>18375</v>
      </c>
      <c r="C4435" s="1">
        <v>2015.0</v>
      </c>
      <c r="D4435" s="2">
        <v>42151.0</v>
      </c>
      <c r="F4435" s="1" t="s">
        <v>276</v>
      </c>
      <c r="H4435" s="3">
        <v>21.0</v>
      </c>
      <c r="I4435" s="4" t="s">
        <v>18376</v>
      </c>
      <c r="J4435" s="1" t="s">
        <v>18377</v>
      </c>
      <c r="K4435" s="1" t="s">
        <v>323</v>
      </c>
    </row>
    <row r="4436">
      <c r="A4436" s="1" t="s">
        <v>18378</v>
      </c>
      <c r="B4436" s="1" t="s">
        <v>18379</v>
      </c>
      <c r="C4436" s="1">
        <v>2015.0</v>
      </c>
      <c r="D4436" s="2">
        <v>42149.0</v>
      </c>
      <c r="F4436" s="1" t="s">
        <v>91</v>
      </c>
      <c r="H4436" s="3">
        <v>19.0</v>
      </c>
      <c r="I4436" s="4" t="s">
        <v>18380</v>
      </c>
      <c r="J4436" s="1" t="s">
        <v>18381</v>
      </c>
      <c r="K4436" s="1" t="s">
        <v>68</v>
      </c>
    </row>
    <row r="4437">
      <c r="A4437" s="1" t="s">
        <v>18382</v>
      </c>
      <c r="B4437" s="1" t="s">
        <v>18383</v>
      </c>
      <c r="C4437" s="1">
        <v>2015.0</v>
      </c>
      <c r="D4437" s="2">
        <v>42147.0</v>
      </c>
      <c r="F4437" s="1" t="s">
        <v>15167</v>
      </c>
      <c r="H4437" s="3">
        <v>19.0</v>
      </c>
      <c r="I4437" s="4" t="s">
        <v>18384</v>
      </c>
      <c r="J4437" s="1" t="s">
        <v>18385</v>
      </c>
      <c r="K4437" s="1" t="s">
        <v>926</v>
      </c>
    </row>
    <row r="4438">
      <c r="A4438" s="1" t="s">
        <v>18386</v>
      </c>
      <c r="B4438" s="1" t="s">
        <v>18387</v>
      </c>
      <c r="C4438" s="1">
        <v>2015.0</v>
      </c>
      <c r="D4438" s="2">
        <v>42147.0</v>
      </c>
      <c r="F4438" s="1" t="s">
        <v>830</v>
      </c>
      <c r="H4438" s="3">
        <v>20.0</v>
      </c>
      <c r="I4438" s="4" t="s">
        <v>18388</v>
      </c>
      <c r="J4438" s="1" t="s">
        <v>18389</v>
      </c>
      <c r="K4438" s="1" t="s">
        <v>492</v>
      </c>
    </row>
    <row r="4439">
      <c r="A4439" s="1" t="s">
        <v>18390</v>
      </c>
      <c r="B4439" s="1" t="s">
        <v>18391</v>
      </c>
      <c r="C4439" s="1">
        <v>2015.0</v>
      </c>
      <c r="D4439" s="2">
        <v>42146.0</v>
      </c>
      <c r="F4439" s="1" t="s">
        <v>71</v>
      </c>
      <c r="H4439" s="3">
        <v>10.0</v>
      </c>
      <c r="I4439" s="4" t="s">
        <v>18392</v>
      </c>
      <c r="J4439" s="1" t="s">
        <v>18393</v>
      </c>
      <c r="K4439" s="1" t="s">
        <v>323</v>
      </c>
    </row>
    <row r="4440">
      <c r="A4440" s="1" t="s">
        <v>18394</v>
      </c>
      <c r="B4440" s="1" t="s">
        <v>18198</v>
      </c>
      <c r="C4440" s="1">
        <v>2015.0</v>
      </c>
      <c r="D4440" s="2">
        <v>42145.0</v>
      </c>
      <c r="F4440" s="1" t="s">
        <v>2634</v>
      </c>
      <c r="H4440" s="3">
        <v>6.0</v>
      </c>
      <c r="I4440" s="4" t="s">
        <v>18395</v>
      </c>
      <c r="J4440" s="1" t="s">
        <v>18396</v>
      </c>
      <c r="K4440" s="1" t="s">
        <v>295</v>
      </c>
    </row>
    <row r="4441">
      <c r="A4441" s="1" t="s">
        <v>18397</v>
      </c>
      <c r="B4441" s="1" t="s">
        <v>18398</v>
      </c>
      <c r="C4441" s="1">
        <v>2015.0</v>
      </c>
      <c r="D4441" s="2">
        <v>42144.0</v>
      </c>
      <c r="F4441" s="1" t="s">
        <v>271</v>
      </c>
      <c r="H4441" s="3">
        <v>15.0</v>
      </c>
      <c r="I4441" s="4" t="s">
        <v>18399</v>
      </c>
      <c r="J4441" s="1" t="s">
        <v>18400</v>
      </c>
      <c r="K4441" s="1" t="s">
        <v>295</v>
      </c>
    </row>
    <row r="4442">
      <c r="A4442" s="1" t="s">
        <v>18401</v>
      </c>
      <c r="B4442" s="1" t="s">
        <v>18402</v>
      </c>
      <c r="C4442" s="1">
        <v>2015.0</v>
      </c>
      <c r="D4442" s="2">
        <v>42144.0</v>
      </c>
      <c r="F4442" s="1" t="s">
        <v>16173</v>
      </c>
      <c r="H4442" s="3">
        <v>51.0</v>
      </c>
      <c r="I4442" s="4" t="s">
        <v>18403</v>
      </c>
      <c r="J4442" s="1" t="s">
        <v>18404</v>
      </c>
      <c r="K4442" s="1" t="s">
        <v>28</v>
      </c>
    </row>
    <row r="4443">
      <c r="A4443" s="1" t="s">
        <v>18405</v>
      </c>
      <c r="B4443" s="1" t="s">
        <v>18406</v>
      </c>
      <c r="C4443" s="1">
        <v>2015.0</v>
      </c>
      <c r="D4443" s="2">
        <v>42144.0</v>
      </c>
      <c r="F4443" s="1" t="s">
        <v>3066</v>
      </c>
      <c r="H4443" s="3">
        <v>75.0</v>
      </c>
      <c r="I4443" s="4" t="s">
        <v>18407</v>
      </c>
      <c r="J4443" s="1" t="s">
        <v>18408</v>
      </c>
      <c r="K4443" s="1" t="s">
        <v>295</v>
      </c>
    </row>
    <row r="4444">
      <c r="A4444" s="1" t="s">
        <v>18409</v>
      </c>
      <c r="B4444" s="1" t="s">
        <v>18410</v>
      </c>
      <c r="C4444" s="1">
        <v>2015.0</v>
      </c>
      <c r="D4444" s="2">
        <v>42143.0</v>
      </c>
      <c r="F4444" s="1" t="s">
        <v>3254</v>
      </c>
      <c r="H4444" s="3">
        <v>2.0</v>
      </c>
      <c r="I4444" s="4" t="s">
        <v>18411</v>
      </c>
      <c r="J4444" s="1" t="s">
        <v>18412</v>
      </c>
      <c r="K4444" s="1" t="s">
        <v>68</v>
      </c>
    </row>
    <row r="4445">
      <c r="A4445" s="1" t="s">
        <v>18413</v>
      </c>
      <c r="B4445" s="1" t="s">
        <v>18414</v>
      </c>
      <c r="C4445" s="1">
        <v>2015.0</v>
      </c>
      <c r="D4445" s="2">
        <v>42143.0</v>
      </c>
      <c r="F4445" s="1" t="s">
        <v>271</v>
      </c>
      <c r="H4445" s="3">
        <v>43.0</v>
      </c>
      <c r="I4445" s="4" t="s">
        <v>18415</v>
      </c>
      <c r="J4445" s="1" t="s">
        <v>18416</v>
      </c>
      <c r="K4445" s="1" t="s">
        <v>16</v>
      </c>
    </row>
    <row r="4446">
      <c r="A4446" s="1" t="s">
        <v>18417</v>
      </c>
      <c r="B4446" s="1" t="s">
        <v>18418</v>
      </c>
      <c r="C4446" s="1">
        <v>2015.0</v>
      </c>
      <c r="D4446" s="2">
        <v>42142.0</v>
      </c>
      <c r="F4446" s="1" t="s">
        <v>337</v>
      </c>
      <c r="H4446" s="3">
        <v>204.0</v>
      </c>
      <c r="I4446" s="4" t="s">
        <v>18419</v>
      </c>
      <c r="J4446" s="1" t="s">
        <v>18420</v>
      </c>
      <c r="K4446" s="1" t="s">
        <v>68</v>
      </c>
    </row>
    <row r="4447">
      <c r="A4447" s="1" t="s">
        <v>18421</v>
      </c>
      <c r="B4447" s="1" t="s">
        <v>18422</v>
      </c>
      <c r="C4447" s="1">
        <v>2015.0</v>
      </c>
      <c r="D4447" s="2">
        <v>42140.0</v>
      </c>
      <c r="F4447" s="1" t="s">
        <v>208</v>
      </c>
      <c r="H4447" s="3">
        <v>51.0</v>
      </c>
      <c r="I4447" s="4" t="s">
        <v>18423</v>
      </c>
      <c r="J4447" s="1" t="s">
        <v>18424</v>
      </c>
      <c r="K4447" s="1" t="s">
        <v>28</v>
      </c>
    </row>
    <row r="4448">
      <c r="A4448" s="1" t="s">
        <v>18425</v>
      </c>
      <c r="B4448" s="1" t="s">
        <v>17360</v>
      </c>
      <c r="C4448" s="1">
        <v>2015.0</v>
      </c>
      <c r="D4448" s="2">
        <v>42138.0</v>
      </c>
      <c r="F4448" s="1" t="s">
        <v>157</v>
      </c>
      <c r="H4448" s="3">
        <v>746.0</v>
      </c>
      <c r="I4448" s="4" t="s">
        <v>18426</v>
      </c>
      <c r="J4448" s="1" t="s">
        <v>18427</v>
      </c>
      <c r="K4448" s="1" t="s">
        <v>546</v>
      </c>
    </row>
    <row r="4449">
      <c r="A4449" s="1" t="s">
        <v>18428</v>
      </c>
      <c r="B4449" s="1" t="s">
        <v>18429</v>
      </c>
      <c r="C4449" s="1">
        <v>2015.0</v>
      </c>
      <c r="D4449" s="2">
        <v>42138.0</v>
      </c>
      <c r="F4449" s="1" t="s">
        <v>136</v>
      </c>
      <c r="H4449" s="3">
        <v>4.0</v>
      </c>
      <c r="I4449" s="4" t="s">
        <v>18430</v>
      </c>
      <c r="J4449" s="1" t="s">
        <v>18431</v>
      </c>
      <c r="K4449" s="1" t="s">
        <v>295</v>
      </c>
    </row>
    <row r="4450">
      <c r="A4450" s="1" t="s">
        <v>18432</v>
      </c>
      <c r="B4450" s="1" t="s">
        <v>18433</v>
      </c>
      <c r="C4450" s="1">
        <v>2015.0</v>
      </c>
      <c r="D4450" s="2">
        <v>42137.0</v>
      </c>
      <c r="F4450" s="1" t="s">
        <v>2955</v>
      </c>
      <c r="H4450" s="3">
        <v>36.0</v>
      </c>
      <c r="I4450" s="4" t="s">
        <v>18434</v>
      </c>
      <c r="J4450" s="1" t="s">
        <v>18435</v>
      </c>
      <c r="K4450" s="1" t="s">
        <v>45</v>
      </c>
    </row>
    <row r="4451">
      <c r="A4451" s="1" t="s">
        <v>18436</v>
      </c>
      <c r="B4451" s="1" t="s">
        <v>18437</v>
      </c>
      <c r="C4451" s="1">
        <v>2015.0</v>
      </c>
      <c r="D4451" s="2">
        <v>42137.0</v>
      </c>
      <c r="F4451" s="1" t="s">
        <v>676</v>
      </c>
      <c r="H4451" s="3">
        <v>29.0</v>
      </c>
      <c r="I4451" s="4" t="s">
        <v>18438</v>
      </c>
      <c r="J4451" s="1" t="s">
        <v>18439</v>
      </c>
      <c r="K4451" s="1" t="s">
        <v>383</v>
      </c>
    </row>
    <row r="4452">
      <c r="A4452" s="1" t="s">
        <v>18440</v>
      </c>
      <c r="B4452" s="1" t="s">
        <v>18441</v>
      </c>
      <c r="C4452" s="1">
        <v>2015.0</v>
      </c>
      <c r="D4452" s="2">
        <v>42136.0</v>
      </c>
      <c r="F4452" s="1" t="s">
        <v>10930</v>
      </c>
      <c r="H4452" s="3">
        <v>15.0</v>
      </c>
      <c r="I4452" s="4" t="s">
        <v>18442</v>
      </c>
      <c r="J4452" s="1" t="s">
        <v>18443</v>
      </c>
      <c r="K4452" s="1" t="s">
        <v>418</v>
      </c>
    </row>
    <row r="4453">
      <c r="A4453" s="1" t="s">
        <v>18444</v>
      </c>
      <c r="B4453" s="1" t="s">
        <v>18119</v>
      </c>
      <c r="C4453" s="1">
        <v>2015.0</v>
      </c>
      <c r="D4453" s="2">
        <v>42136.0</v>
      </c>
      <c r="F4453" s="1" t="s">
        <v>12240</v>
      </c>
      <c r="H4453" s="3">
        <v>70.0</v>
      </c>
      <c r="I4453" s="4" t="s">
        <v>18445</v>
      </c>
      <c r="J4453" s="1" t="s">
        <v>18446</v>
      </c>
      <c r="K4453" s="1" t="s">
        <v>546</v>
      </c>
    </row>
    <row r="4454">
      <c r="A4454" s="1" t="s">
        <v>18447</v>
      </c>
      <c r="B4454" s="1" t="s">
        <v>18119</v>
      </c>
      <c r="C4454" s="1">
        <v>2015.0</v>
      </c>
      <c r="D4454" s="2">
        <v>42136.0</v>
      </c>
      <c r="F4454" s="1" t="s">
        <v>12240</v>
      </c>
      <c r="H4454" s="3">
        <v>52.0</v>
      </c>
      <c r="I4454" s="4" t="s">
        <v>18448</v>
      </c>
      <c r="J4454" s="1" t="s">
        <v>18449</v>
      </c>
      <c r="K4454" s="1" t="s">
        <v>546</v>
      </c>
    </row>
    <row r="4455">
      <c r="A4455" s="1" t="s">
        <v>18450</v>
      </c>
      <c r="B4455" s="1" t="s">
        <v>18451</v>
      </c>
      <c r="C4455" s="1">
        <v>2015.0</v>
      </c>
      <c r="D4455" s="2">
        <v>42135.0</v>
      </c>
      <c r="F4455" s="1" t="s">
        <v>271</v>
      </c>
      <c r="H4455" s="3">
        <v>8.0</v>
      </c>
      <c r="I4455" s="4" t="s">
        <v>18452</v>
      </c>
      <c r="J4455" s="1" t="s">
        <v>18453</v>
      </c>
      <c r="K4455" s="1" t="s">
        <v>68</v>
      </c>
    </row>
    <row r="4456">
      <c r="A4456" s="1" t="s">
        <v>18454</v>
      </c>
      <c r="B4456" s="1" t="s">
        <v>18455</v>
      </c>
      <c r="C4456" s="1">
        <v>2015.0</v>
      </c>
      <c r="D4456" s="2">
        <v>42135.0</v>
      </c>
      <c r="F4456" s="1" t="s">
        <v>6264</v>
      </c>
      <c r="H4456" s="3">
        <v>13.0</v>
      </c>
      <c r="I4456" s="4" t="s">
        <v>18456</v>
      </c>
      <c r="J4456" s="1" t="s">
        <v>18457</v>
      </c>
      <c r="K4456" s="1" t="s">
        <v>926</v>
      </c>
    </row>
    <row r="4457">
      <c r="A4457" s="1" t="s">
        <v>18458</v>
      </c>
      <c r="B4457" s="1" t="s">
        <v>18459</v>
      </c>
      <c r="C4457" s="1">
        <v>2015.0</v>
      </c>
      <c r="D4457" s="2">
        <v>42133.0</v>
      </c>
      <c r="F4457" s="1" t="s">
        <v>2560</v>
      </c>
      <c r="H4457" s="3">
        <v>11.0</v>
      </c>
      <c r="I4457" s="4" t="s">
        <v>18460</v>
      </c>
      <c r="J4457" s="1" t="s">
        <v>18461</v>
      </c>
      <c r="K4457" s="1" t="s">
        <v>323</v>
      </c>
    </row>
    <row r="4458">
      <c r="A4458" s="1" t="s">
        <v>18462</v>
      </c>
      <c r="B4458" s="1" t="s">
        <v>18463</v>
      </c>
      <c r="C4458" s="1">
        <v>2015.0</v>
      </c>
      <c r="D4458" s="2">
        <v>42133.0</v>
      </c>
      <c r="F4458" s="1" t="s">
        <v>1305</v>
      </c>
      <c r="H4458" s="3">
        <v>15.0</v>
      </c>
      <c r="I4458" s="4" t="s">
        <v>18464</v>
      </c>
      <c r="J4458" s="1" t="s">
        <v>18465</v>
      </c>
      <c r="K4458" s="1" t="s">
        <v>323</v>
      </c>
    </row>
    <row r="4459">
      <c r="A4459" s="1" t="s">
        <v>18466</v>
      </c>
      <c r="B4459" s="1" t="s">
        <v>18467</v>
      </c>
      <c r="C4459" s="1">
        <v>2015.0</v>
      </c>
      <c r="D4459" s="2">
        <v>42131.0</v>
      </c>
      <c r="F4459" s="1" t="s">
        <v>9158</v>
      </c>
      <c r="H4459" s="3">
        <v>66.0</v>
      </c>
      <c r="I4459" s="4" t="s">
        <v>18468</v>
      </c>
      <c r="J4459" s="1" t="s">
        <v>18469</v>
      </c>
      <c r="K4459" s="1" t="s">
        <v>295</v>
      </c>
    </row>
    <row r="4460">
      <c r="A4460" s="1" t="s">
        <v>18470</v>
      </c>
      <c r="B4460" s="1" t="s">
        <v>18471</v>
      </c>
      <c r="C4460" s="1">
        <v>2015.0</v>
      </c>
      <c r="D4460" s="2">
        <v>42131.0</v>
      </c>
      <c r="F4460" s="1" t="s">
        <v>71</v>
      </c>
      <c r="H4460" s="3">
        <v>149.0</v>
      </c>
      <c r="I4460" s="4" t="s">
        <v>18472</v>
      </c>
      <c r="J4460" s="1" t="s">
        <v>18473</v>
      </c>
      <c r="K4460" s="1" t="s">
        <v>477</v>
      </c>
    </row>
    <row r="4461">
      <c r="A4461" s="1" t="s">
        <v>18474</v>
      </c>
      <c r="B4461" s="1" t="s">
        <v>18475</v>
      </c>
      <c r="C4461" s="1">
        <v>2015.0</v>
      </c>
      <c r="D4461" s="2">
        <v>42131.0</v>
      </c>
      <c r="F4461" s="1" t="s">
        <v>13</v>
      </c>
      <c r="H4461" s="3">
        <v>62.0</v>
      </c>
      <c r="I4461" s="4" t="s">
        <v>18476</v>
      </c>
      <c r="J4461" s="1" t="s">
        <v>18477</v>
      </c>
      <c r="K4461" s="1" t="s">
        <v>418</v>
      </c>
    </row>
    <row r="4462">
      <c r="A4462" s="1" t="s">
        <v>18478</v>
      </c>
      <c r="B4462" s="1" t="s">
        <v>18479</v>
      </c>
      <c r="C4462" s="1">
        <v>2015.0</v>
      </c>
      <c r="D4462" s="2">
        <v>42131.0</v>
      </c>
      <c r="F4462" s="1" t="s">
        <v>10126</v>
      </c>
      <c r="H4462" s="3">
        <v>137.0</v>
      </c>
      <c r="I4462" s="4" t="s">
        <v>18480</v>
      </c>
      <c r="J4462" s="1" t="s">
        <v>18481</v>
      </c>
      <c r="K4462" s="1" t="s">
        <v>16</v>
      </c>
    </row>
    <row r="4463">
      <c r="A4463" s="1" t="s">
        <v>18482</v>
      </c>
      <c r="B4463" s="1" t="s">
        <v>18483</v>
      </c>
      <c r="C4463" s="1">
        <v>2015.0</v>
      </c>
      <c r="D4463" s="2">
        <v>42128.0</v>
      </c>
      <c r="F4463" s="1" t="s">
        <v>163</v>
      </c>
      <c r="H4463" s="3">
        <v>6.0</v>
      </c>
      <c r="I4463" s="4" t="s">
        <v>18484</v>
      </c>
      <c r="J4463" s="1" t="s">
        <v>18485</v>
      </c>
      <c r="K4463" s="1" t="s">
        <v>28</v>
      </c>
    </row>
    <row r="4464">
      <c r="A4464" s="1" t="s">
        <v>18486</v>
      </c>
      <c r="B4464" s="1" t="s">
        <v>18487</v>
      </c>
      <c r="C4464" s="1">
        <v>2015.0</v>
      </c>
      <c r="D4464" s="2">
        <v>42125.0</v>
      </c>
      <c r="F4464" s="1" t="s">
        <v>6800</v>
      </c>
      <c r="H4464" s="3">
        <v>0.0</v>
      </c>
      <c r="I4464" s="4" t="s">
        <v>18488</v>
      </c>
      <c r="J4464" s="1"/>
      <c r="K4464" s="1" t="s">
        <v>295</v>
      </c>
    </row>
    <row r="4465">
      <c r="A4465" s="1" t="s">
        <v>18489</v>
      </c>
      <c r="B4465" s="1" t="s">
        <v>16229</v>
      </c>
      <c r="C4465" s="1">
        <v>2015.0</v>
      </c>
      <c r="D4465" s="2">
        <v>42125.0</v>
      </c>
      <c r="F4465" s="1" t="s">
        <v>1410</v>
      </c>
      <c r="H4465" s="3">
        <v>36.0</v>
      </c>
      <c r="I4465" s="4" t="s">
        <v>18490</v>
      </c>
      <c r="J4465" s="1" t="s">
        <v>18491</v>
      </c>
      <c r="K4465" s="1" t="s">
        <v>68</v>
      </c>
    </row>
    <row r="4466">
      <c r="A4466" s="1" t="s">
        <v>18492</v>
      </c>
      <c r="B4466" s="1" t="s">
        <v>18493</v>
      </c>
      <c r="C4466" s="1">
        <v>2015.0</v>
      </c>
      <c r="D4466" s="2">
        <v>42123.0</v>
      </c>
      <c r="F4466" s="1" t="s">
        <v>2075</v>
      </c>
      <c r="H4466" s="3">
        <v>12.0</v>
      </c>
      <c r="I4466" s="4" t="s">
        <v>18494</v>
      </c>
      <c r="J4466" s="1" t="s">
        <v>18495</v>
      </c>
      <c r="K4466" s="1" t="s">
        <v>295</v>
      </c>
    </row>
    <row r="4467">
      <c r="A4467" s="1" t="s">
        <v>18496</v>
      </c>
      <c r="B4467" s="1" t="s">
        <v>18497</v>
      </c>
      <c r="C4467" s="1">
        <v>2015.0</v>
      </c>
      <c r="D4467" s="2">
        <v>42123.0</v>
      </c>
      <c r="F4467" s="1" t="s">
        <v>71</v>
      </c>
      <c r="H4467" s="3">
        <v>19.0</v>
      </c>
      <c r="I4467" s="4" t="s">
        <v>18498</v>
      </c>
      <c r="J4467" s="1" t="s">
        <v>18499</v>
      </c>
      <c r="K4467" s="1" t="s">
        <v>16</v>
      </c>
    </row>
    <row r="4468">
      <c r="A4468" s="1" t="s">
        <v>18500</v>
      </c>
      <c r="B4468" s="1" t="s">
        <v>18501</v>
      </c>
      <c r="C4468" s="1">
        <v>2015.0</v>
      </c>
      <c r="D4468" s="2">
        <v>42122.0</v>
      </c>
      <c r="F4468" s="1" t="s">
        <v>10191</v>
      </c>
      <c r="H4468" s="3">
        <v>8.0</v>
      </c>
      <c r="I4468" s="4" t="s">
        <v>18502</v>
      </c>
      <c r="J4468" s="1" t="s">
        <v>18503</v>
      </c>
      <c r="K4468" s="1" t="s">
        <v>28</v>
      </c>
    </row>
    <row r="4469">
      <c r="A4469" s="1" t="s">
        <v>18504</v>
      </c>
      <c r="B4469" s="1" t="s">
        <v>18505</v>
      </c>
      <c r="C4469" s="1">
        <v>2015.0</v>
      </c>
      <c r="D4469" s="2">
        <v>42122.0</v>
      </c>
      <c r="F4469" s="1" t="s">
        <v>1277</v>
      </c>
      <c r="H4469" s="3">
        <v>18.0</v>
      </c>
      <c r="I4469" s="4" t="s">
        <v>18506</v>
      </c>
      <c r="J4469" s="1" t="s">
        <v>18507</v>
      </c>
      <c r="K4469" s="1" t="s">
        <v>28</v>
      </c>
    </row>
    <row r="4470">
      <c r="A4470" s="1" t="s">
        <v>18508</v>
      </c>
      <c r="B4470" s="1" t="s">
        <v>18509</v>
      </c>
      <c r="C4470" s="1">
        <v>2015.0</v>
      </c>
      <c r="D4470" s="2">
        <v>42121.0</v>
      </c>
      <c r="F4470" s="1" t="s">
        <v>5368</v>
      </c>
      <c r="H4470" s="3">
        <v>47.0</v>
      </c>
      <c r="I4470" s="4" t="s">
        <v>18510</v>
      </c>
      <c r="J4470" s="1" t="s">
        <v>18511</v>
      </c>
      <c r="K4470" s="1" t="s">
        <v>28</v>
      </c>
    </row>
    <row r="4471">
      <c r="A4471" s="1" t="s">
        <v>18512</v>
      </c>
      <c r="B4471" s="1" t="s">
        <v>18513</v>
      </c>
      <c r="C4471" s="1">
        <v>2015.0</v>
      </c>
      <c r="D4471" s="2">
        <v>42121.0</v>
      </c>
      <c r="F4471" s="1" t="s">
        <v>6713</v>
      </c>
      <c r="H4471" s="3">
        <v>91.0</v>
      </c>
      <c r="I4471" s="4" t="s">
        <v>18514</v>
      </c>
      <c r="J4471" s="1" t="s">
        <v>18515</v>
      </c>
      <c r="K4471" s="1" t="s">
        <v>16</v>
      </c>
    </row>
    <row r="4472">
      <c r="A4472" s="1" t="s">
        <v>18516</v>
      </c>
      <c r="B4472" s="1" t="s">
        <v>18517</v>
      </c>
      <c r="C4472" s="1">
        <v>2015.0</v>
      </c>
      <c r="D4472" s="2">
        <v>42121.0</v>
      </c>
      <c r="F4472" s="1" t="s">
        <v>1904</v>
      </c>
      <c r="H4472" s="3">
        <v>59.0</v>
      </c>
      <c r="I4472" s="4" t="s">
        <v>18518</v>
      </c>
      <c r="J4472" s="1" t="s">
        <v>18519</v>
      </c>
      <c r="K4472" s="1" t="s">
        <v>16</v>
      </c>
    </row>
    <row r="4473">
      <c r="A4473" s="1" t="s">
        <v>18520</v>
      </c>
      <c r="B4473" s="1" t="s">
        <v>18521</v>
      </c>
      <c r="C4473" s="1">
        <v>2015.0</v>
      </c>
      <c r="D4473" s="2">
        <v>42120.0</v>
      </c>
      <c r="F4473" s="1" t="s">
        <v>111</v>
      </c>
      <c r="H4473" s="3">
        <v>20.0</v>
      </c>
      <c r="I4473" s="4" t="s">
        <v>18522</v>
      </c>
      <c r="J4473" s="1" t="s">
        <v>18523</v>
      </c>
      <c r="K4473" s="1" t="s">
        <v>403</v>
      </c>
    </row>
    <row r="4474">
      <c r="A4474" s="1" t="s">
        <v>18524</v>
      </c>
      <c r="B4474" s="1" t="s">
        <v>18525</v>
      </c>
      <c r="C4474" s="1">
        <v>2015.0</v>
      </c>
      <c r="D4474" s="2">
        <v>42119.0</v>
      </c>
      <c r="F4474" s="1" t="s">
        <v>1305</v>
      </c>
      <c r="H4474" s="3">
        <v>16.0</v>
      </c>
      <c r="I4474" s="4" t="s">
        <v>18526</v>
      </c>
      <c r="J4474" s="1" t="s">
        <v>18527</v>
      </c>
      <c r="K4474" s="1" t="s">
        <v>323</v>
      </c>
    </row>
    <row r="4475">
      <c r="A4475" s="1" t="s">
        <v>18528</v>
      </c>
      <c r="B4475" s="1" t="s">
        <v>18529</v>
      </c>
      <c r="C4475" s="1">
        <v>2015.0</v>
      </c>
      <c r="D4475" s="2">
        <v>42118.0</v>
      </c>
      <c r="F4475" s="1" t="s">
        <v>440</v>
      </c>
      <c r="H4475" s="3">
        <v>13.0</v>
      </c>
      <c r="I4475" s="4" t="s">
        <v>18530</v>
      </c>
      <c r="J4475" s="1"/>
      <c r="K4475" s="1" t="s">
        <v>28</v>
      </c>
    </row>
    <row r="4476">
      <c r="A4476" s="1" t="s">
        <v>18531</v>
      </c>
      <c r="B4476" s="1" t="s">
        <v>18371</v>
      </c>
      <c r="C4476" s="1">
        <v>2015.0</v>
      </c>
      <c r="D4476" s="2">
        <v>42118.0</v>
      </c>
      <c r="F4476" s="1" t="s">
        <v>12240</v>
      </c>
      <c r="H4476" s="3">
        <v>22.0</v>
      </c>
      <c r="I4476" s="4" t="s">
        <v>18532</v>
      </c>
      <c r="J4476" s="1" t="s">
        <v>18533</v>
      </c>
      <c r="K4476" s="1" t="s">
        <v>546</v>
      </c>
    </row>
    <row r="4477">
      <c r="A4477" s="1" t="s">
        <v>18534</v>
      </c>
      <c r="B4477" s="1" t="s">
        <v>15284</v>
      </c>
      <c r="C4477" s="1">
        <v>2015.0</v>
      </c>
      <c r="D4477" s="2">
        <v>42118.0</v>
      </c>
      <c r="F4477" s="1" t="s">
        <v>4848</v>
      </c>
      <c r="H4477" s="3">
        <v>92.0</v>
      </c>
      <c r="I4477" s="4" t="s">
        <v>18535</v>
      </c>
      <c r="J4477" s="1" t="s">
        <v>18536</v>
      </c>
      <c r="K4477" s="1" t="s">
        <v>68</v>
      </c>
    </row>
    <row r="4478">
      <c r="A4478" s="1" t="s">
        <v>18537</v>
      </c>
      <c r="B4478" s="1" t="s">
        <v>18538</v>
      </c>
      <c r="C4478" s="1">
        <v>2015.0</v>
      </c>
      <c r="D4478" s="2">
        <v>42117.0</v>
      </c>
      <c r="F4478" s="1" t="s">
        <v>2365</v>
      </c>
      <c r="H4478" s="3">
        <v>14.0</v>
      </c>
      <c r="I4478" s="4" t="s">
        <v>18539</v>
      </c>
      <c r="J4478" s="1" t="s">
        <v>18540</v>
      </c>
      <c r="K4478" s="1" t="s">
        <v>340</v>
      </c>
    </row>
    <row r="4479">
      <c r="A4479" s="1" t="s">
        <v>18541</v>
      </c>
      <c r="B4479" s="1" t="s">
        <v>18542</v>
      </c>
      <c r="C4479" s="1">
        <v>2015.0</v>
      </c>
      <c r="D4479" s="2">
        <v>42117.0</v>
      </c>
      <c r="F4479" s="1" t="s">
        <v>71</v>
      </c>
      <c r="H4479" s="3">
        <v>5.0</v>
      </c>
      <c r="I4479" s="4" t="s">
        <v>18543</v>
      </c>
      <c r="J4479" s="1" t="s">
        <v>18544</v>
      </c>
      <c r="K4479" s="1" t="s">
        <v>28</v>
      </c>
    </row>
    <row r="4480">
      <c r="A4480" s="1" t="s">
        <v>18545</v>
      </c>
      <c r="B4480" s="1" t="s">
        <v>18546</v>
      </c>
      <c r="C4480" s="1">
        <v>2015.0</v>
      </c>
      <c r="D4480" s="2">
        <v>42117.0</v>
      </c>
      <c r="F4480" s="1" t="s">
        <v>4861</v>
      </c>
      <c r="H4480" s="3">
        <v>20.0</v>
      </c>
      <c r="I4480" s="4" t="s">
        <v>18547</v>
      </c>
      <c r="J4480" s="1" t="s">
        <v>18548</v>
      </c>
      <c r="K4480" s="1" t="s">
        <v>295</v>
      </c>
    </row>
    <row r="4481">
      <c r="A4481" s="1" t="s">
        <v>18549</v>
      </c>
      <c r="B4481" s="1" t="s">
        <v>18371</v>
      </c>
      <c r="C4481" s="1">
        <v>2015.0</v>
      </c>
      <c r="D4481" s="2">
        <v>42117.0</v>
      </c>
      <c r="F4481" s="1" t="s">
        <v>12240</v>
      </c>
      <c r="H4481" s="3">
        <v>8.0</v>
      </c>
      <c r="I4481" s="4" t="s">
        <v>18550</v>
      </c>
      <c r="J4481" s="1" t="s">
        <v>18551</v>
      </c>
      <c r="K4481" s="1" t="s">
        <v>546</v>
      </c>
    </row>
    <row r="4482">
      <c r="A4482" s="1" t="s">
        <v>18552</v>
      </c>
      <c r="B4482" s="1" t="s">
        <v>18119</v>
      </c>
      <c r="C4482" s="1">
        <v>2015.0</v>
      </c>
      <c r="D4482" s="2">
        <v>42116.0</v>
      </c>
      <c r="F4482" s="1" t="s">
        <v>157</v>
      </c>
      <c r="H4482" s="3">
        <v>23.0</v>
      </c>
      <c r="I4482" s="4" t="s">
        <v>18553</v>
      </c>
      <c r="J4482" s="1" t="s">
        <v>18554</v>
      </c>
      <c r="K4482" s="1" t="s">
        <v>546</v>
      </c>
    </row>
    <row r="4483">
      <c r="A4483" s="1" t="s">
        <v>18555</v>
      </c>
      <c r="B4483" s="1" t="s">
        <v>18556</v>
      </c>
      <c r="C4483" s="1">
        <v>2015.0</v>
      </c>
      <c r="D4483" s="2">
        <v>42116.0</v>
      </c>
      <c r="F4483" s="1" t="s">
        <v>18068</v>
      </c>
      <c r="H4483" s="3">
        <v>22.0</v>
      </c>
      <c r="I4483" s="4" t="s">
        <v>18557</v>
      </c>
      <c r="J4483" s="1" t="s">
        <v>18558</v>
      </c>
      <c r="K4483" s="1" t="s">
        <v>295</v>
      </c>
    </row>
    <row r="4484">
      <c r="A4484" s="1" t="s">
        <v>18559</v>
      </c>
      <c r="B4484" s="1" t="s">
        <v>18560</v>
      </c>
      <c r="C4484" s="1">
        <v>2015.0</v>
      </c>
      <c r="D4484" s="2">
        <v>42115.0</v>
      </c>
      <c r="F4484" s="1" t="s">
        <v>1505</v>
      </c>
      <c r="H4484" s="3">
        <v>1.0</v>
      </c>
      <c r="I4484" s="4" t="s">
        <v>18561</v>
      </c>
      <c r="J4484" s="1"/>
      <c r="K4484" s="1" t="s">
        <v>68</v>
      </c>
    </row>
    <row r="4485">
      <c r="A4485" s="1" t="s">
        <v>18562</v>
      </c>
      <c r="B4485" s="1" t="s">
        <v>18563</v>
      </c>
      <c r="C4485" s="1">
        <v>2015.0</v>
      </c>
      <c r="D4485" s="2">
        <v>42114.0</v>
      </c>
      <c r="F4485" s="1" t="s">
        <v>6074</v>
      </c>
      <c r="H4485" s="3">
        <v>20.0</v>
      </c>
      <c r="I4485" s="4" t="s">
        <v>18564</v>
      </c>
      <c r="J4485" s="1" t="s">
        <v>18565</v>
      </c>
      <c r="K4485" s="1" t="s">
        <v>323</v>
      </c>
    </row>
    <row r="4486">
      <c r="A4486" s="1" t="s">
        <v>18566</v>
      </c>
      <c r="B4486" s="1" t="s">
        <v>18567</v>
      </c>
      <c r="C4486" s="1">
        <v>2015.0</v>
      </c>
      <c r="D4486" s="2">
        <v>42114.0</v>
      </c>
      <c r="F4486" s="1" t="s">
        <v>178</v>
      </c>
      <c r="H4486" s="3">
        <v>131.0</v>
      </c>
      <c r="I4486" s="4" t="s">
        <v>18568</v>
      </c>
      <c r="J4486" s="1" t="s">
        <v>18569</v>
      </c>
      <c r="K4486" s="1" t="s">
        <v>383</v>
      </c>
    </row>
    <row r="4487">
      <c r="A4487" s="1" t="s">
        <v>18570</v>
      </c>
      <c r="B4487" s="1" t="s">
        <v>18571</v>
      </c>
      <c r="C4487" s="1">
        <v>2015.0</v>
      </c>
      <c r="D4487" s="2">
        <v>42114.0</v>
      </c>
      <c r="F4487" s="1" t="s">
        <v>396</v>
      </c>
      <c r="H4487" s="3">
        <v>319.0</v>
      </c>
      <c r="I4487" s="4" t="s">
        <v>18572</v>
      </c>
      <c r="J4487" s="1" t="s">
        <v>18573</v>
      </c>
      <c r="K4487" s="1" t="s">
        <v>329</v>
      </c>
    </row>
    <row r="4488">
      <c r="A4488" s="1" t="s">
        <v>18574</v>
      </c>
      <c r="B4488" s="1" t="s">
        <v>18575</v>
      </c>
      <c r="C4488" s="1">
        <v>2015.0</v>
      </c>
      <c r="D4488" s="2">
        <v>42114.0</v>
      </c>
      <c r="F4488" s="1" t="s">
        <v>7158</v>
      </c>
      <c r="H4488" s="3">
        <v>15.0</v>
      </c>
      <c r="I4488" s="4" t="s">
        <v>18576</v>
      </c>
      <c r="J4488" s="1" t="s">
        <v>18577</v>
      </c>
      <c r="K4488" s="1" t="s">
        <v>462</v>
      </c>
    </row>
    <row r="4489">
      <c r="A4489" s="1" t="s">
        <v>18578</v>
      </c>
      <c r="B4489" s="1" t="s">
        <v>18579</v>
      </c>
      <c r="C4489" s="1">
        <v>2015.0</v>
      </c>
      <c r="D4489" s="2">
        <v>42112.0</v>
      </c>
      <c r="F4489" s="1" t="s">
        <v>1982</v>
      </c>
      <c r="H4489" s="3">
        <v>19.0</v>
      </c>
      <c r="I4489" s="4" t="s">
        <v>18580</v>
      </c>
      <c r="J4489" s="1" t="s">
        <v>18581</v>
      </c>
      <c r="K4489" s="1" t="s">
        <v>16</v>
      </c>
    </row>
    <row r="4490">
      <c r="A4490" s="1" t="s">
        <v>18582</v>
      </c>
      <c r="B4490" s="1" t="s">
        <v>18583</v>
      </c>
      <c r="C4490" s="1">
        <v>2015.0</v>
      </c>
      <c r="D4490" s="2">
        <v>42112.0</v>
      </c>
      <c r="F4490" s="1" t="s">
        <v>1762</v>
      </c>
      <c r="H4490" s="3">
        <v>8.0</v>
      </c>
      <c r="I4490" s="4" t="s">
        <v>18584</v>
      </c>
      <c r="J4490" s="1" t="s">
        <v>18585</v>
      </c>
      <c r="K4490" s="1" t="s">
        <v>1036</v>
      </c>
    </row>
    <row r="4491">
      <c r="A4491" s="1" t="s">
        <v>18586</v>
      </c>
      <c r="B4491" s="1" t="s">
        <v>18587</v>
      </c>
      <c r="C4491" s="1">
        <v>2015.0</v>
      </c>
      <c r="D4491" s="2">
        <v>42110.0</v>
      </c>
      <c r="F4491" s="1" t="s">
        <v>1358</v>
      </c>
      <c r="H4491" s="3">
        <v>20.0</v>
      </c>
      <c r="I4491" s="4" t="s">
        <v>18588</v>
      </c>
      <c r="J4491" s="1" t="s">
        <v>18589</v>
      </c>
      <c r="K4491" s="1" t="s">
        <v>28</v>
      </c>
    </row>
    <row r="4492">
      <c r="A4492" s="1" t="s">
        <v>18590</v>
      </c>
      <c r="B4492" s="1" t="s">
        <v>18591</v>
      </c>
      <c r="C4492" s="1">
        <v>2015.0</v>
      </c>
      <c r="D4492" s="2">
        <v>42109.0</v>
      </c>
      <c r="F4492" s="1" t="s">
        <v>2707</v>
      </c>
      <c r="H4492" s="3">
        <v>17.0</v>
      </c>
      <c r="I4492" s="4" t="s">
        <v>18592</v>
      </c>
      <c r="J4492" s="1" t="s">
        <v>18593</v>
      </c>
      <c r="K4492" s="1" t="s">
        <v>68</v>
      </c>
    </row>
    <row r="4493">
      <c r="A4493" s="1" t="s">
        <v>18594</v>
      </c>
      <c r="B4493" s="1" t="s">
        <v>18595</v>
      </c>
      <c r="C4493" s="1">
        <v>2015.0</v>
      </c>
      <c r="D4493" s="2">
        <v>42107.0</v>
      </c>
      <c r="F4493" s="1" t="s">
        <v>71</v>
      </c>
      <c r="H4493" s="3">
        <v>6.0</v>
      </c>
      <c r="I4493" s="4" t="s">
        <v>18596</v>
      </c>
      <c r="J4493" s="1" t="s">
        <v>18597</v>
      </c>
      <c r="K4493" s="1" t="s">
        <v>295</v>
      </c>
    </row>
    <row r="4494">
      <c r="A4494" s="1" t="s">
        <v>18598</v>
      </c>
      <c r="B4494" s="1" t="s">
        <v>18599</v>
      </c>
      <c r="C4494" s="1">
        <v>2015.0</v>
      </c>
      <c r="D4494" s="2">
        <v>42103.0</v>
      </c>
      <c r="F4494" s="1" t="s">
        <v>16481</v>
      </c>
      <c r="H4494" s="3">
        <v>28.0</v>
      </c>
      <c r="I4494" s="4" t="s">
        <v>18600</v>
      </c>
      <c r="J4494" s="1" t="s">
        <v>18601</v>
      </c>
      <c r="K4494" s="1" t="s">
        <v>413</v>
      </c>
    </row>
    <row r="4495">
      <c r="A4495" s="1" t="s">
        <v>18602</v>
      </c>
      <c r="B4495" s="1" t="s">
        <v>18603</v>
      </c>
      <c r="C4495" s="1">
        <v>2015.0</v>
      </c>
      <c r="D4495" s="2">
        <v>42102.0</v>
      </c>
      <c r="F4495" s="1" t="s">
        <v>3463</v>
      </c>
      <c r="H4495" s="3">
        <v>49.0</v>
      </c>
      <c r="I4495" s="4" t="s">
        <v>18604</v>
      </c>
      <c r="J4495" s="1" t="s">
        <v>18605</v>
      </c>
      <c r="K4495" s="1" t="s">
        <v>45</v>
      </c>
    </row>
    <row r="4496">
      <c r="A4496" s="1" t="s">
        <v>18606</v>
      </c>
      <c r="B4496" s="1" t="s">
        <v>16918</v>
      </c>
      <c r="C4496" s="1">
        <v>2015.0</v>
      </c>
      <c r="D4496" s="2">
        <v>42102.0</v>
      </c>
      <c r="F4496" s="1" t="s">
        <v>16919</v>
      </c>
      <c r="H4496" s="3">
        <v>19.0</v>
      </c>
      <c r="I4496" s="4" t="s">
        <v>18607</v>
      </c>
      <c r="J4496" s="1" t="s">
        <v>18608</v>
      </c>
      <c r="K4496" s="1" t="s">
        <v>383</v>
      </c>
    </row>
    <row r="4497">
      <c r="A4497" s="1" t="s">
        <v>18609</v>
      </c>
      <c r="B4497" s="1" t="s">
        <v>18119</v>
      </c>
      <c r="C4497" s="1">
        <v>2015.0</v>
      </c>
      <c r="D4497" s="2">
        <v>42102.0</v>
      </c>
      <c r="F4497" s="1" t="s">
        <v>157</v>
      </c>
      <c r="H4497" s="3">
        <v>50.0</v>
      </c>
      <c r="I4497" s="4" t="s">
        <v>18610</v>
      </c>
      <c r="J4497" s="1" t="s">
        <v>18611</v>
      </c>
      <c r="K4497" s="1" t="s">
        <v>546</v>
      </c>
    </row>
    <row r="4498">
      <c r="A4498" s="1" t="s">
        <v>18612</v>
      </c>
      <c r="B4498" s="1" t="s">
        <v>18613</v>
      </c>
      <c r="C4498" s="1">
        <v>2015.0</v>
      </c>
      <c r="D4498" s="2">
        <v>42102.0</v>
      </c>
      <c r="F4498" s="1" t="s">
        <v>271</v>
      </c>
      <c r="H4498" s="3">
        <v>7.0</v>
      </c>
      <c r="I4498" s="4" t="s">
        <v>18614</v>
      </c>
      <c r="J4498" s="1" t="s">
        <v>18615</v>
      </c>
      <c r="K4498" s="1" t="s">
        <v>323</v>
      </c>
    </row>
    <row r="4499">
      <c r="A4499" s="1" t="s">
        <v>18616</v>
      </c>
      <c r="B4499" s="1" t="s">
        <v>18617</v>
      </c>
      <c r="C4499" s="1">
        <v>2015.0</v>
      </c>
      <c r="D4499" s="2">
        <v>42101.0</v>
      </c>
      <c r="F4499" s="1" t="s">
        <v>71</v>
      </c>
      <c r="H4499" s="3">
        <v>15.0</v>
      </c>
      <c r="I4499" s="4" t="s">
        <v>18618</v>
      </c>
      <c r="J4499" s="1" t="s">
        <v>18619</v>
      </c>
      <c r="K4499" s="1" t="s">
        <v>477</v>
      </c>
    </row>
    <row r="4500">
      <c r="A4500" s="1" t="s">
        <v>18620</v>
      </c>
      <c r="B4500" s="1" t="s">
        <v>18621</v>
      </c>
      <c r="C4500" s="1">
        <v>2015.0</v>
      </c>
      <c r="D4500" s="2">
        <v>42101.0</v>
      </c>
      <c r="F4500" s="1" t="s">
        <v>882</v>
      </c>
      <c r="H4500" s="3">
        <v>387.0</v>
      </c>
      <c r="I4500" s="4" t="s">
        <v>18622</v>
      </c>
      <c r="J4500" s="1" t="s">
        <v>18623</v>
      </c>
      <c r="K4500" s="1" t="s">
        <v>295</v>
      </c>
    </row>
    <row r="4501">
      <c r="A4501" s="1" t="s">
        <v>18624</v>
      </c>
      <c r="B4501" s="1" t="s">
        <v>18625</v>
      </c>
      <c r="C4501" s="1">
        <v>2015.0</v>
      </c>
      <c r="D4501" s="2">
        <v>42101.0</v>
      </c>
      <c r="F4501" s="1" t="s">
        <v>4848</v>
      </c>
      <c r="H4501" s="3">
        <v>16.0</v>
      </c>
      <c r="I4501" s="4" t="s">
        <v>18626</v>
      </c>
      <c r="J4501" s="1" t="s">
        <v>18627</v>
      </c>
      <c r="K4501" s="1" t="s">
        <v>68</v>
      </c>
    </row>
    <row r="4502">
      <c r="A4502" s="1" t="s">
        <v>18628</v>
      </c>
      <c r="B4502" s="1" t="s">
        <v>18629</v>
      </c>
      <c r="C4502" s="1">
        <v>2015.0</v>
      </c>
      <c r="D4502" s="2">
        <v>42098.0</v>
      </c>
      <c r="F4502" s="1" t="s">
        <v>1376</v>
      </c>
      <c r="H4502" s="3">
        <v>8.0</v>
      </c>
      <c r="I4502" s="4" t="s">
        <v>18630</v>
      </c>
      <c r="J4502" s="1"/>
      <c r="K4502" s="1" t="s">
        <v>462</v>
      </c>
    </row>
    <row r="4503">
      <c r="A4503" s="1" t="s">
        <v>18631</v>
      </c>
      <c r="B4503" s="1" t="s">
        <v>18632</v>
      </c>
      <c r="C4503" s="1">
        <v>2015.0</v>
      </c>
      <c r="D4503" s="2">
        <v>42096.0</v>
      </c>
      <c r="F4503" s="1" t="s">
        <v>2444</v>
      </c>
      <c r="H4503" s="3">
        <v>275.0</v>
      </c>
      <c r="I4503" s="4" t="s">
        <v>18633</v>
      </c>
      <c r="J4503" s="1" t="s">
        <v>18634</v>
      </c>
      <c r="K4503" s="1" t="s">
        <v>443</v>
      </c>
    </row>
    <row r="4504">
      <c r="A4504" s="1" t="s">
        <v>18635</v>
      </c>
      <c r="B4504" s="1" t="s">
        <v>18636</v>
      </c>
      <c r="C4504" s="1">
        <v>2015.0</v>
      </c>
      <c r="D4504" s="2">
        <v>42095.0</v>
      </c>
      <c r="F4504" s="1" t="s">
        <v>5824</v>
      </c>
      <c r="H4504" s="3">
        <v>29.0</v>
      </c>
      <c r="I4504" s="4" t="s">
        <v>18637</v>
      </c>
      <c r="J4504" s="1" t="s">
        <v>18638</v>
      </c>
      <c r="K4504" s="1" t="s">
        <v>295</v>
      </c>
    </row>
    <row r="4505">
      <c r="A4505" s="1" t="s">
        <v>18639</v>
      </c>
      <c r="B4505" s="1" t="s">
        <v>18640</v>
      </c>
      <c r="C4505" s="1">
        <v>2015.0</v>
      </c>
      <c r="D4505" s="2">
        <v>42095.0</v>
      </c>
      <c r="F4505" s="1" t="s">
        <v>380</v>
      </c>
      <c r="H4505" s="3">
        <v>31.0</v>
      </c>
      <c r="I4505" s="4" t="s">
        <v>18641</v>
      </c>
      <c r="J4505" s="1" t="s">
        <v>18642</v>
      </c>
      <c r="K4505" s="1" t="s">
        <v>323</v>
      </c>
    </row>
    <row r="4506">
      <c r="A4506" s="1" t="s">
        <v>18643</v>
      </c>
      <c r="B4506" s="1" t="s">
        <v>18644</v>
      </c>
      <c r="C4506" s="1">
        <v>2015.0</v>
      </c>
      <c r="D4506" s="2">
        <v>42095.0</v>
      </c>
      <c r="F4506" s="1" t="s">
        <v>2634</v>
      </c>
      <c r="H4506" s="3">
        <v>6.0</v>
      </c>
      <c r="I4506" s="4" t="s">
        <v>18645</v>
      </c>
      <c r="J4506" s="1"/>
      <c r="K4506" s="1" t="s">
        <v>68</v>
      </c>
    </row>
    <row r="4507">
      <c r="A4507" s="1" t="s">
        <v>18646</v>
      </c>
      <c r="B4507" s="1" t="s">
        <v>18647</v>
      </c>
      <c r="C4507" s="1">
        <v>2015.0</v>
      </c>
      <c r="D4507" s="2">
        <v>42095.0</v>
      </c>
      <c r="F4507" s="1" t="s">
        <v>5494</v>
      </c>
      <c r="H4507" s="3">
        <v>27.0</v>
      </c>
      <c r="I4507" s="4" t="s">
        <v>18648</v>
      </c>
      <c r="J4507" s="1" t="s">
        <v>18649</v>
      </c>
      <c r="K4507" s="1" t="s">
        <v>16</v>
      </c>
    </row>
    <row r="4508">
      <c r="A4508" s="1" t="s">
        <v>18650</v>
      </c>
      <c r="B4508" s="1" t="s">
        <v>18651</v>
      </c>
      <c r="C4508" s="1">
        <v>2015.0</v>
      </c>
      <c r="D4508" s="2">
        <v>42095.0</v>
      </c>
      <c r="F4508" s="1" t="s">
        <v>2616</v>
      </c>
      <c r="H4508" s="3">
        <v>3.0</v>
      </c>
      <c r="I4508" s="4" t="s">
        <v>18652</v>
      </c>
      <c r="J4508" s="1" t="s">
        <v>18653</v>
      </c>
      <c r="K4508" s="1" t="s">
        <v>16</v>
      </c>
    </row>
    <row r="4509">
      <c r="A4509" s="1" t="s">
        <v>18654</v>
      </c>
      <c r="B4509" s="1" t="s">
        <v>18655</v>
      </c>
      <c r="C4509" s="1">
        <v>2015.0</v>
      </c>
      <c r="D4509" s="2">
        <v>42095.0</v>
      </c>
      <c r="F4509" s="1" t="s">
        <v>16385</v>
      </c>
      <c r="H4509" s="3">
        <v>15.0</v>
      </c>
      <c r="I4509" s="4" t="s">
        <v>18656</v>
      </c>
      <c r="J4509" s="1" t="s">
        <v>18657</v>
      </c>
      <c r="K4509" s="1" t="s">
        <v>383</v>
      </c>
    </row>
    <row r="4510">
      <c r="A4510" s="1" t="s">
        <v>18658</v>
      </c>
      <c r="B4510" s="1" t="s">
        <v>18659</v>
      </c>
      <c r="C4510" s="1">
        <v>2015.0</v>
      </c>
      <c r="D4510" s="2">
        <v>42095.0</v>
      </c>
      <c r="F4510" s="1" t="s">
        <v>337</v>
      </c>
      <c r="H4510" s="3">
        <v>134.0</v>
      </c>
      <c r="I4510" s="4" t="s">
        <v>18660</v>
      </c>
      <c r="J4510" s="1" t="s">
        <v>18661</v>
      </c>
      <c r="K4510" s="1" t="s">
        <v>16</v>
      </c>
    </row>
    <row r="4511">
      <c r="A4511" s="1" t="s">
        <v>18662</v>
      </c>
      <c r="B4511" s="1" t="s">
        <v>18663</v>
      </c>
      <c r="C4511" s="1">
        <v>2015.0</v>
      </c>
      <c r="D4511" s="2">
        <v>42094.0</v>
      </c>
      <c r="F4511" s="1" t="s">
        <v>5090</v>
      </c>
      <c r="H4511" s="3">
        <v>30.0</v>
      </c>
      <c r="I4511" s="4" t="s">
        <v>18664</v>
      </c>
      <c r="J4511" s="1" t="s">
        <v>18665</v>
      </c>
      <c r="K4511" s="1" t="s">
        <v>45</v>
      </c>
    </row>
    <row r="4512">
      <c r="A4512" s="1" t="s">
        <v>18666</v>
      </c>
      <c r="B4512" s="1" t="s">
        <v>18667</v>
      </c>
      <c r="C4512" s="1">
        <v>2015.0</v>
      </c>
      <c r="D4512" s="2">
        <v>42094.0</v>
      </c>
      <c r="F4512" s="1" t="s">
        <v>4577</v>
      </c>
      <c r="H4512" s="3">
        <v>23.0</v>
      </c>
      <c r="I4512" s="4" t="s">
        <v>18668</v>
      </c>
      <c r="J4512" s="1" t="s">
        <v>18669</v>
      </c>
      <c r="K4512" s="1" t="s">
        <v>418</v>
      </c>
    </row>
    <row r="4513">
      <c r="A4513" s="1" t="s">
        <v>18670</v>
      </c>
      <c r="B4513" s="1" t="s">
        <v>18671</v>
      </c>
      <c r="C4513" s="1">
        <v>2015.0</v>
      </c>
      <c r="D4513" s="2">
        <v>42091.0</v>
      </c>
      <c r="F4513" s="1" t="s">
        <v>2707</v>
      </c>
      <c r="H4513" s="3">
        <v>36.0</v>
      </c>
      <c r="I4513" s="4" t="s">
        <v>18672</v>
      </c>
      <c r="J4513" s="1" t="s">
        <v>18673</v>
      </c>
      <c r="K4513" s="1" t="s">
        <v>295</v>
      </c>
    </row>
    <row r="4514">
      <c r="A4514" s="1" t="s">
        <v>18674</v>
      </c>
      <c r="B4514" s="1" t="s">
        <v>18675</v>
      </c>
      <c r="C4514" s="1">
        <v>2015.0</v>
      </c>
      <c r="D4514" s="2">
        <v>42090.0</v>
      </c>
      <c r="F4514" s="1" t="s">
        <v>71</v>
      </c>
      <c r="H4514" s="3">
        <v>58.0</v>
      </c>
      <c r="I4514" s="4" t="s">
        <v>18676</v>
      </c>
      <c r="J4514" s="1" t="s">
        <v>18677</v>
      </c>
      <c r="K4514" s="1" t="s">
        <v>28</v>
      </c>
    </row>
    <row r="4515">
      <c r="A4515" s="1" t="s">
        <v>18678</v>
      </c>
      <c r="B4515" s="1" t="s">
        <v>18679</v>
      </c>
      <c r="C4515" s="1">
        <v>2015.0</v>
      </c>
      <c r="D4515" s="2">
        <v>42090.0</v>
      </c>
      <c r="F4515" s="1" t="s">
        <v>208</v>
      </c>
      <c r="H4515" s="3">
        <v>12.0</v>
      </c>
      <c r="I4515" s="4" t="s">
        <v>18680</v>
      </c>
      <c r="J4515" s="1" t="s">
        <v>18681</v>
      </c>
      <c r="K4515" s="1" t="s">
        <v>295</v>
      </c>
    </row>
    <row r="4516">
      <c r="A4516" s="1" t="s">
        <v>18682</v>
      </c>
      <c r="B4516" s="1" t="s">
        <v>18683</v>
      </c>
      <c r="C4516" s="1">
        <v>2015.0</v>
      </c>
      <c r="D4516" s="2">
        <v>42089.0</v>
      </c>
      <c r="F4516" s="1" t="s">
        <v>17720</v>
      </c>
      <c r="H4516" s="3">
        <v>47.0</v>
      </c>
      <c r="I4516" s="4" t="s">
        <v>18684</v>
      </c>
      <c r="J4516" s="1" t="s">
        <v>18685</v>
      </c>
      <c r="K4516" s="1" t="s">
        <v>28</v>
      </c>
    </row>
    <row r="4517">
      <c r="A4517" s="1" t="s">
        <v>18686</v>
      </c>
      <c r="B4517" s="1" t="s">
        <v>18687</v>
      </c>
      <c r="C4517" s="1">
        <v>2015.0</v>
      </c>
      <c r="D4517" s="2">
        <v>42089.0</v>
      </c>
      <c r="F4517" s="1" t="s">
        <v>10126</v>
      </c>
      <c r="H4517" s="3">
        <v>2.0</v>
      </c>
      <c r="I4517" s="4" t="s">
        <v>18688</v>
      </c>
      <c r="J4517" s="1"/>
      <c r="K4517" s="1" t="s">
        <v>28</v>
      </c>
    </row>
    <row r="4518">
      <c r="A4518" s="1" t="s">
        <v>18689</v>
      </c>
      <c r="B4518" s="1" t="s">
        <v>18119</v>
      </c>
      <c r="C4518" s="1">
        <v>2015.0</v>
      </c>
      <c r="D4518" s="2">
        <v>42089.0</v>
      </c>
      <c r="F4518" s="1" t="s">
        <v>157</v>
      </c>
      <c r="H4518" s="3">
        <v>38.0</v>
      </c>
      <c r="I4518" s="4" t="s">
        <v>18690</v>
      </c>
      <c r="J4518" s="1" t="s">
        <v>18691</v>
      </c>
      <c r="K4518" s="1" t="s">
        <v>546</v>
      </c>
    </row>
    <row r="4519">
      <c r="A4519" s="1" t="s">
        <v>18692</v>
      </c>
      <c r="B4519" s="1" t="s">
        <v>18693</v>
      </c>
      <c r="C4519" s="1">
        <v>2015.0</v>
      </c>
      <c r="D4519" s="2">
        <v>42088.0</v>
      </c>
      <c r="F4519" s="1" t="s">
        <v>1588</v>
      </c>
      <c r="H4519" s="3">
        <v>22.0</v>
      </c>
      <c r="I4519" s="4" t="s">
        <v>18694</v>
      </c>
      <c r="J4519" s="1" t="s">
        <v>18695</v>
      </c>
      <c r="K4519" s="1" t="s">
        <v>28</v>
      </c>
    </row>
    <row r="4520">
      <c r="A4520" s="1" t="s">
        <v>18696</v>
      </c>
      <c r="B4520" s="1" t="s">
        <v>18697</v>
      </c>
      <c r="C4520" s="1">
        <v>2015.0</v>
      </c>
      <c r="D4520" s="2">
        <v>42088.0</v>
      </c>
      <c r="F4520" s="1" t="s">
        <v>71</v>
      </c>
      <c r="H4520" s="3">
        <v>97.0</v>
      </c>
      <c r="I4520" s="4" t="s">
        <v>18698</v>
      </c>
      <c r="J4520" s="1" t="s">
        <v>18699</v>
      </c>
      <c r="K4520" s="1" t="s">
        <v>462</v>
      </c>
    </row>
    <row r="4521">
      <c r="A4521" s="1" t="s">
        <v>18700</v>
      </c>
      <c r="B4521" s="1" t="s">
        <v>18701</v>
      </c>
      <c r="C4521" s="1">
        <v>2015.0</v>
      </c>
      <c r="D4521" s="2">
        <v>42087.0</v>
      </c>
      <c r="F4521" s="1" t="s">
        <v>1277</v>
      </c>
      <c r="H4521" s="3">
        <v>61.0</v>
      </c>
      <c r="I4521" s="4" t="s">
        <v>18702</v>
      </c>
      <c r="J4521" s="1" t="s">
        <v>18703</v>
      </c>
      <c r="K4521" s="1" t="s">
        <v>926</v>
      </c>
    </row>
    <row r="4522">
      <c r="A4522" s="1" t="s">
        <v>18704</v>
      </c>
      <c r="B4522" s="1" t="s">
        <v>18705</v>
      </c>
      <c r="C4522" s="1">
        <v>2015.0</v>
      </c>
      <c r="D4522" s="2">
        <v>42087.0</v>
      </c>
      <c r="F4522" s="1" t="s">
        <v>3583</v>
      </c>
      <c r="H4522" s="3">
        <v>2.0</v>
      </c>
      <c r="I4522" s="4" t="s">
        <v>18706</v>
      </c>
      <c r="J4522" s="1" t="s">
        <v>18707</v>
      </c>
      <c r="K4522" s="1" t="s">
        <v>16</v>
      </c>
    </row>
    <row r="4523">
      <c r="A4523" s="1" t="s">
        <v>18708</v>
      </c>
      <c r="B4523" s="1" t="s">
        <v>17945</v>
      </c>
      <c r="C4523" s="1">
        <v>2015.0</v>
      </c>
      <c r="D4523" s="2">
        <v>42083.0</v>
      </c>
      <c r="F4523" s="1" t="s">
        <v>71</v>
      </c>
      <c r="H4523" s="3">
        <v>27.0</v>
      </c>
      <c r="I4523" s="4" t="s">
        <v>18709</v>
      </c>
      <c r="J4523" s="1" t="s">
        <v>18710</v>
      </c>
      <c r="K4523" s="1" t="s">
        <v>383</v>
      </c>
    </row>
    <row r="4524">
      <c r="A4524" s="1" t="s">
        <v>18711</v>
      </c>
      <c r="B4524" s="1" t="s">
        <v>18712</v>
      </c>
      <c r="C4524" s="1">
        <v>2015.0</v>
      </c>
      <c r="D4524" s="2">
        <v>42082.0</v>
      </c>
      <c r="F4524" s="1" t="s">
        <v>2444</v>
      </c>
      <c r="H4524" s="3">
        <v>887.0</v>
      </c>
      <c r="I4524" s="4" t="s">
        <v>18713</v>
      </c>
      <c r="J4524" s="1" t="s">
        <v>18714</v>
      </c>
      <c r="K4524" s="1" t="s">
        <v>295</v>
      </c>
    </row>
    <row r="4525">
      <c r="A4525" s="1" t="s">
        <v>18715</v>
      </c>
      <c r="B4525" s="1" t="s">
        <v>13278</v>
      </c>
      <c r="C4525" s="1">
        <v>2015.0</v>
      </c>
      <c r="D4525" s="2">
        <v>42080.0</v>
      </c>
      <c r="F4525" s="1" t="s">
        <v>3351</v>
      </c>
      <c r="H4525" s="3">
        <v>15.0</v>
      </c>
      <c r="I4525" s="4" t="s">
        <v>18716</v>
      </c>
      <c r="J4525" s="1" t="s">
        <v>18717</v>
      </c>
      <c r="K4525" s="1" t="s">
        <v>16</v>
      </c>
    </row>
    <row r="4526">
      <c r="A4526" s="1" t="s">
        <v>18718</v>
      </c>
      <c r="B4526" s="1" t="s">
        <v>18719</v>
      </c>
      <c r="C4526" s="1">
        <v>2015.0</v>
      </c>
      <c r="D4526" s="2">
        <v>42080.0</v>
      </c>
      <c r="F4526" s="1" t="s">
        <v>271</v>
      </c>
      <c r="H4526" s="3">
        <v>71.0</v>
      </c>
      <c r="I4526" s="4" t="s">
        <v>18720</v>
      </c>
      <c r="J4526" s="1" t="s">
        <v>18721</v>
      </c>
      <c r="K4526" s="1" t="s">
        <v>16</v>
      </c>
    </row>
    <row r="4527">
      <c r="A4527" s="1" t="s">
        <v>18722</v>
      </c>
      <c r="B4527" s="1" t="s">
        <v>18723</v>
      </c>
      <c r="C4527" s="1">
        <v>2015.0</v>
      </c>
      <c r="D4527" s="2">
        <v>42078.0</v>
      </c>
      <c r="F4527" s="1" t="s">
        <v>4980</v>
      </c>
      <c r="H4527" s="3">
        <v>58.0</v>
      </c>
      <c r="I4527" s="4" t="s">
        <v>18724</v>
      </c>
      <c r="J4527" s="1" t="s">
        <v>18725</v>
      </c>
      <c r="K4527" s="1" t="s">
        <v>340</v>
      </c>
    </row>
    <row r="4528">
      <c r="A4528" s="1" t="s">
        <v>18726</v>
      </c>
      <c r="B4528" s="1" t="s">
        <v>18727</v>
      </c>
      <c r="C4528" s="1">
        <v>2015.0</v>
      </c>
      <c r="D4528" s="2">
        <v>42077.0</v>
      </c>
      <c r="F4528" s="1" t="s">
        <v>375</v>
      </c>
      <c r="H4528" s="3">
        <v>1.0</v>
      </c>
      <c r="I4528" s="4" t="s">
        <v>18728</v>
      </c>
      <c r="J4528" s="1" t="s">
        <v>18729</v>
      </c>
      <c r="K4528" s="1" t="s">
        <v>295</v>
      </c>
    </row>
    <row r="4529">
      <c r="A4529" s="1" t="s">
        <v>18730</v>
      </c>
      <c r="B4529" s="1" t="s">
        <v>18371</v>
      </c>
      <c r="C4529" s="1">
        <v>2015.0</v>
      </c>
      <c r="D4529" s="2">
        <v>42076.0</v>
      </c>
      <c r="F4529" s="1" t="s">
        <v>12240</v>
      </c>
      <c r="H4529" s="3">
        <v>48.0</v>
      </c>
      <c r="I4529" s="4" t="s">
        <v>18731</v>
      </c>
      <c r="J4529" s="1" t="s">
        <v>18732</v>
      </c>
      <c r="K4529" s="1" t="s">
        <v>546</v>
      </c>
    </row>
    <row r="4530">
      <c r="A4530" s="1" t="s">
        <v>18733</v>
      </c>
      <c r="B4530" s="1" t="s">
        <v>18538</v>
      </c>
      <c r="C4530" s="1">
        <v>2015.0</v>
      </c>
      <c r="D4530" s="2">
        <v>42075.0</v>
      </c>
      <c r="F4530" s="1" t="s">
        <v>6301</v>
      </c>
      <c r="H4530" s="3">
        <v>9.0</v>
      </c>
      <c r="I4530" s="4" t="s">
        <v>18734</v>
      </c>
      <c r="J4530" s="1" t="s">
        <v>18735</v>
      </c>
      <c r="K4530" s="1" t="s">
        <v>340</v>
      </c>
    </row>
    <row r="4531">
      <c r="A4531" s="1" t="s">
        <v>18736</v>
      </c>
      <c r="B4531" s="1" t="s">
        <v>18737</v>
      </c>
      <c r="C4531" s="1">
        <v>2015.0</v>
      </c>
      <c r="D4531" s="2">
        <v>42075.0</v>
      </c>
      <c r="F4531" s="1" t="s">
        <v>369</v>
      </c>
      <c r="H4531" s="3">
        <v>67.0</v>
      </c>
      <c r="I4531" s="4" t="s">
        <v>18738</v>
      </c>
      <c r="J4531" s="1" t="s">
        <v>18739</v>
      </c>
      <c r="K4531" s="1" t="s">
        <v>323</v>
      </c>
    </row>
    <row r="4532">
      <c r="A4532" s="1" t="s">
        <v>18740</v>
      </c>
      <c r="B4532" s="1" t="s">
        <v>18741</v>
      </c>
      <c r="C4532" s="1">
        <v>2015.0</v>
      </c>
      <c r="D4532" s="2">
        <v>42074.0</v>
      </c>
      <c r="F4532" s="1" t="s">
        <v>18742</v>
      </c>
      <c r="H4532" s="3">
        <v>19.0</v>
      </c>
      <c r="I4532" s="4" t="s">
        <v>18743</v>
      </c>
      <c r="J4532" s="1" t="s">
        <v>18744</v>
      </c>
      <c r="K4532" s="1" t="s">
        <v>28</v>
      </c>
    </row>
    <row r="4533">
      <c r="A4533" s="1" t="s">
        <v>18745</v>
      </c>
      <c r="B4533" s="1" t="s">
        <v>18746</v>
      </c>
      <c r="C4533" s="1">
        <v>2015.0</v>
      </c>
      <c r="D4533" s="2">
        <v>42074.0</v>
      </c>
      <c r="F4533" s="1" t="s">
        <v>2634</v>
      </c>
      <c r="H4533" s="3">
        <v>5.0</v>
      </c>
      <c r="I4533" s="4" t="s">
        <v>18747</v>
      </c>
      <c r="J4533" s="1"/>
      <c r="K4533" s="1" t="s">
        <v>323</v>
      </c>
    </row>
    <row r="4534">
      <c r="A4534" s="1" t="s">
        <v>18748</v>
      </c>
      <c r="B4534" s="1" t="s">
        <v>18749</v>
      </c>
      <c r="C4534" s="1">
        <v>2015.0</v>
      </c>
      <c r="D4534" s="2">
        <v>42073.0</v>
      </c>
      <c r="F4534" s="1" t="s">
        <v>6264</v>
      </c>
      <c r="H4534" s="3">
        <v>22.0</v>
      </c>
      <c r="I4534" s="4" t="s">
        <v>18750</v>
      </c>
      <c r="J4534" s="1" t="s">
        <v>18751</v>
      </c>
      <c r="K4534" s="1" t="s">
        <v>295</v>
      </c>
    </row>
    <row r="4535">
      <c r="A4535" s="1" t="s">
        <v>18752</v>
      </c>
      <c r="B4535" s="1" t="s">
        <v>18753</v>
      </c>
      <c r="C4535" s="1">
        <v>2015.0</v>
      </c>
      <c r="D4535" s="2">
        <v>42073.0</v>
      </c>
      <c r="F4535" s="1" t="s">
        <v>1277</v>
      </c>
      <c r="H4535" s="3">
        <v>126.0</v>
      </c>
      <c r="I4535" s="4" t="s">
        <v>18754</v>
      </c>
      <c r="J4535" s="1" t="s">
        <v>18755</v>
      </c>
      <c r="K4535" s="1" t="s">
        <v>418</v>
      </c>
    </row>
    <row r="4536">
      <c r="A4536" s="1" t="s">
        <v>18756</v>
      </c>
      <c r="B4536" s="1" t="s">
        <v>18757</v>
      </c>
      <c r="C4536" s="1">
        <v>2015.0</v>
      </c>
      <c r="D4536" s="2">
        <v>42072.0</v>
      </c>
      <c r="F4536" s="1" t="s">
        <v>1300</v>
      </c>
      <c r="H4536" s="3">
        <v>37.0</v>
      </c>
      <c r="I4536" s="4" t="s">
        <v>18758</v>
      </c>
      <c r="J4536" s="1" t="s">
        <v>18759</v>
      </c>
      <c r="K4536" s="1" t="s">
        <v>527</v>
      </c>
    </row>
    <row r="4537">
      <c r="A4537" s="1" t="s">
        <v>18760</v>
      </c>
      <c r="B4537" s="1" t="s">
        <v>18761</v>
      </c>
      <c r="C4537" s="1">
        <v>2015.0</v>
      </c>
      <c r="D4537" s="2">
        <v>42072.0</v>
      </c>
      <c r="F4537" s="1" t="s">
        <v>7425</v>
      </c>
      <c r="H4537" s="3">
        <v>463.0</v>
      </c>
      <c r="I4537" s="4" t="s">
        <v>18762</v>
      </c>
      <c r="J4537" s="1" t="s">
        <v>18763</v>
      </c>
      <c r="K4537" s="1" t="s">
        <v>340</v>
      </c>
    </row>
    <row r="4538">
      <c r="A4538" s="1" t="s">
        <v>18764</v>
      </c>
      <c r="B4538" s="1" t="s">
        <v>18765</v>
      </c>
      <c r="C4538" s="1">
        <v>2015.0</v>
      </c>
      <c r="D4538" s="2">
        <v>42068.0</v>
      </c>
      <c r="F4538" s="1" t="s">
        <v>1277</v>
      </c>
      <c r="H4538" s="3">
        <v>55.0</v>
      </c>
      <c r="I4538" s="4" t="s">
        <v>18766</v>
      </c>
      <c r="J4538" s="1" t="s">
        <v>18767</v>
      </c>
      <c r="K4538" s="1" t="s">
        <v>443</v>
      </c>
    </row>
    <row r="4539">
      <c r="A4539" s="1" t="s">
        <v>18768</v>
      </c>
      <c r="B4539" s="1" t="s">
        <v>18769</v>
      </c>
      <c r="C4539" s="1">
        <v>2015.0</v>
      </c>
      <c r="D4539" s="2">
        <v>42068.0</v>
      </c>
      <c r="F4539" s="1" t="s">
        <v>2634</v>
      </c>
      <c r="H4539" s="3">
        <v>23.0</v>
      </c>
      <c r="I4539" s="4" t="s">
        <v>18770</v>
      </c>
      <c r="J4539" s="1" t="s">
        <v>18771</v>
      </c>
      <c r="K4539" s="1" t="s">
        <v>418</v>
      </c>
    </row>
    <row r="4540">
      <c r="A4540" s="1" t="s">
        <v>18772</v>
      </c>
      <c r="B4540" s="1" t="s">
        <v>18773</v>
      </c>
      <c r="C4540" s="1">
        <v>2015.0</v>
      </c>
      <c r="D4540" s="2">
        <v>42067.0</v>
      </c>
      <c r="F4540" s="1" t="s">
        <v>396</v>
      </c>
      <c r="H4540" s="3">
        <v>1.0</v>
      </c>
      <c r="I4540" s="4" t="s">
        <v>18774</v>
      </c>
      <c r="J4540" s="1"/>
      <c r="K4540" s="1" t="s">
        <v>68</v>
      </c>
    </row>
    <row r="4541">
      <c r="A4541" s="1" t="s">
        <v>18775</v>
      </c>
      <c r="B4541" s="1" t="s">
        <v>18776</v>
      </c>
      <c r="C4541" s="1">
        <v>2015.0</v>
      </c>
      <c r="D4541" s="2">
        <v>42064.0</v>
      </c>
      <c r="F4541" s="1" t="s">
        <v>4544</v>
      </c>
      <c r="H4541" s="3">
        <v>49.0</v>
      </c>
      <c r="I4541" s="4" t="s">
        <v>18777</v>
      </c>
      <c r="J4541" s="1" t="s">
        <v>18778</v>
      </c>
      <c r="K4541" s="1" t="s">
        <v>28</v>
      </c>
    </row>
    <row r="4542">
      <c r="A4542" s="1" t="s">
        <v>18779</v>
      </c>
      <c r="B4542" s="1" t="s">
        <v>18780</v>
      </c>
      <c r="C4542" s="1">
        <v>2015.0</v>
      </c>
      <c r="D4542" s="2">
        <v>42064.0</v>
      </c>
      <c r="F4542" s="1" t="s">
        <v>10098</v>
      </c>
      <c r="H4542" s="3">
        <v>17.0</v>
      </c>
      <c r="I4542" s="4" t="s">
        <v>18781</v>
      </c>
      <c r="J4542" s="1" t="s">
        <v>18782</v>
      </c>
      <c r="K4542" s="1" t="s">
        <v>295</v>
      </c>
    </row>
    <row r="4543">
      <c r="A4543" s="1" t="s">
        <v>18783</v>
      </c>
      <c r="B4543" s="1" t="s">
        <v>18784</v>
      </c>
      <c r="C4543" s="1">
        <v>2015.0</v>
      </c>
      <c r="D4543" s="2">
        <v>42064.0</v>
      </c>
      <c r="F4543" s="1" t="s">
        <v>14137</v>
      </c>
      <c r="H4543" s="3">
        <v>15.0</v>
      </c>
      <c r="I4543" s="4" t="s">
        <v>18785</v>
      </c>
      <c r="J4543" s="1" t="s">
        <v>18786</v>
      </c>
      <c r="K4543" s="1" t="s">
        <v>16</v>
      </c>
    </row>
    <row r="4544">
      <c r="A4544" s="1" t="s">
        <v>18787</v>
      </c>
      <c r="B4544" s="1" t="s">
        <v>18788</v>
      </c>
      <c r="C4544" s="1">
        <v>2015.0</v>
      </c>
      <c r="D4544" s="2">
        <v>42064.0</v>
      </c>
      <c r="F4544" s="1" t="s">
        <v>2616</v>
      </c>
      <c r="H4544" s="3">
        <v>1.0</v>
      </c>
      <c r="I4544" s="4" t="s">
        <v>18789</v>
      </c>
      <c r="J4544" s="1" t="s">
        <v>18790</v>
      </c>
      <c r="K4544" s="1" t="s">
        <v>16</v>
      </c>
    </row>
    <row r="4545">
      <c r="A4545" s="1" t="s">
        <v>18791</v>
      </c>
      <c r="B4545" s="1" t="s">
        <v>18792</v>
      </c>
      <c r="C4545" s="1">
        <v>2015.0</v>
      </c>
      <c r="D4545" s="2">
        <v>42062.0</v>
      </c>
      <c r="F4545" s="1" t="s">
        <v>136</v>
      </c>
      <c r="H4545" s="3">
        <v>30.0</v>
      </c>
      <c r="I4545" s="4" t="s">
        <v>18793</v>
      </c>
      <c r="J4545" s="1" t="s">
        <v>18794</v>
      </c>
      <c r="K4545" s="1" t="s">
        <v>383</v>
      </c>
    </row>
    <row r="4546">
      <c r="A4546" s="1" t="s">
        <v>18795</v>
      </c>
      <c r="B4546" s="1" t="s">
        <v>18796</v>
      </c>
      <c r="C4546" s="1">
        <v>2015.0</v>
      </c>
      <c r="D4546" s="2">
        <v>42062.0</v>
      </c>
      <c r="F4546" s="1" t="s">
        <v>18797</v>
      </c>
      <c r="H4546" s="3">
        <v>19.0</v>
      </c>
      <c r="I4546" s="4" t="s">
        <v>18798</v>
      </c>
      <c r="J4546" s="1" t="s">
        <v>18799</v>
      </c>
      <c r="K4546" s="1" t="s">
        <v>926</v>
      </c>
    </row>
    <row r="4547">
      <c r="A4547" s="1" t="s">
        <v>18800</v>
      </c>
      <c r="B4547" s="1" t="s">
        <v>18801</v>
      </c>
      <c r="C4547" s="1">
        <v>2015.0</v>
      </c>
      <c r="D4547" s="2">
        <v>42062.0</v>
      </c>
      <c r="F4547" s="1" t="s">
        <v>9666</v>
      </c>
      <c r="H4547" s="3">
        <v>21.0</v>
      </c>
      <c r="I4547" s="4" t="s">
        <v>18802</v>
      </c>
      <c r="J4547" s="1" t="s">
        <v>18803</v>
      </c>
      <c r="K4547" s="1" t="s">
        <v>323</v>
      </c>
    </row>
    <row r="4548">
      <c r="A4548" s="1" t="s">
        <v>18804</v>
      </c>
      <c r="B4548" s="1" t="s">
        <v>18805</v>
      </c>
      <c r="C4548" s="1">
        <v>2015.0</v>
      </c>
      <c r="D4548" s="2">
        <v>42062.0</v>
      </c>
      <c r="F4548" s="1" t="s">
        <v>7495</v>
      </c>
      <c r="H4548" s="3">
        <v>16.0</v>
      </c>
      <c r="I4548" s="4" t="s">
        <v>18806</v>
      </c>
      <c r="J4548" s="1" t="s">
        <v>18807</v>
      </c>
      <c r="K4548" s="1" t="s">
        <v>413</v>
      </c>
    </row>
    <row r="4549">
      <c r="A4549" s="1" t="s">
        <v>18808</v>
      </c>
      <c r="B4549" s="1" t="s">
        <v>18809</v>
      </c>
      <c r="C4549" s="1">
        <v>2015.0</v>
      </c>
      <c r="D4549" s="2">
        <v>42061.0</v>
      </c>
      <c r="F4549" s="1" t="s">
        <v>243</v>
      </c>
      <c r="H4549" s="3">
        <v>48.0</v>
      </c>
      <c r="I4549" s="4" t="s">
        <v>18810</v>
      </c>
      <c r="J4549" s="1" t="s">
        <v>18811</v>
      </c>
      <c r="K4549" s="1" t="s">
        <v>45</v>
      </c>
    </row>
    <row r="4550">
      <c r="A4550" s="1" t="s">
        <v>18812</v>
      </c>
      <c r="B4550" s="1" t="s">
        <v>17789</v>
      </c>
      <c r="C4550" s="1">
        <v>2015.0</v>
      </c>
      <c r="D4550" s="2">
        <v>42061.0</v>
      </c>
      <c r="F4550" s="1" t="s">
        <v>157</v>
      </c>
      <c r="H4550" s="3">
        <v>92.0</v>
      </c>
      <c r="I4550" s="4" t="s">
        <v>18813</v>
      </c>
      <c r="J4550" s="1" t="s">
        <v>18814</v>
      </c>
      <c r="K4550" s="1" t="s">
        <v>546</v>
      </c>
    </row>
    <row r="4551">
      <c r="A4551" s="1" t="s">
        <v>18815</v>
      </c>
      <c r="B4551" s="1" t="s">
        <v>18816</v>
      </c>
      <c r="C4551" s="1">
        <v>2015.0</v>
      </c>
      <c r="D4551" s="2">
        <v>42059.0</v>
      </c>
      <c r="F4551" s="1" t="s">
        <v>12240</v>
      </c>
      <c r="H4551" s="3">
        <v>60.0</v>
      </c>
      <c r="I4551" s="4" t="s">
        <v>18817</v>
      </c>
      <c r="J4551" s="1" t="s">
        <v>18818</v>
      </c>
      <c r="K4551" s="1" t="s">
        <v>546</v>
      </c>
    </row>
    <row r="4552">
      <c r="A4552" s="1" t="s">
        <v>18819</v>
      </c>
      <c r="B4552" s="1" t="s">
        <v>17789</v>
      </c>
      <c r="C4552" s="1">
        <v>2015.0</v>
      </c>
      <c r="D4552" s="2">
        <v>42055.0</v>
      </c>
      <c r="F4552" s="1" t="s">
        <v>157</v>
      </c>
      <c r="H4552" s="3">
        <v>121.0</v>
      </c>
      <c r="I4552" s="4" t="s">
        <v>18820</v>
      </c>
      <c r="J4552" s="1" t="s">
        <v>18821</v>
      </c>
      <c r="K4552" s="1" t="s">
        <v>546</v>
      </c>
    </row>
    <row r="4553">
      <c r="A4553" s="1" t="s">
        <v>18822</v>
      </c>
      <c r="B4553" s="1" t="s">
        <v>18823</v>
      </c>
      <c r="C4553" s="1">
        <v>2015.0</v>
      </c>
      <c r="D4553" s="2">
        <v>42055.0</v>
      </c>
      <c r="F4553" s="1" t="s">
        <v>59</v>
      </c>
      <c r="H4553" s="3">
        <v>50.0</v>
      </c>
      <c r="I4553" s="4" t="s">
        <v>18824</v>
      </c>
      <c r="J4553" s="1" t="s">
        <v>18825</v>
      </c>
      <c r="K4553" s="1" t="s">
        <v>323</v>
      </c>
    </row>
    <row r="4554">
      <c r="A4554" s="1" t="s">
        <v>18826</v>
      </c>
      <c r="B4554" s="1" t="s">
        <v>18827</v>
      </c>
      <c r="C4554" s="1">
        <v>2015.0</v>
      </c>
      <c r="D4554" s="2">
        <v>42055.0</v>
      </c>
      <c r="F4554" s="1" t="s">
        <v>18828</v>
      </c>
      <c r="H4554" s="3">
        <v>32.0</v>
      </c>
      <c r="I4554" s="4" t="s">
        <v>18829</v>
      </c>
      <c r="J4554" s="1" t="s">
        <v>18830</v>
      </c>
      <c r="K4554" s="1" t="s">
        <v>16</v>
      </c>
    </row>
    <row r="4555">
      <c r="A4555" s="1" t="s">
        <v>18831</v>
      </c>
      <c r="B4555" s="1" t="s">
        <v>18371</v>
      </c>
      <c r="C4555" s="1">
        <v>2015.0</v>
      </c>
      <c r="D4555" s="2">
        <v>42054.0</v>
      </c>
      <c r="F4555" s="1" t="s">
        <v>12240</v>
      </c>
      <c r="H4555" s="3">
        <v>59.0</v>
      </c>
      <c r="I4555" s="4" t="s">
        <v>18832</v>
      </c>
      <c r="J4555" s="1" t="s">
        <v>18833</v>
      </c>
      <c r="K4555" s="1" t="s">
        <v>546</v>
      </c>
    </row>
    <row r="4556">
      <c r="A4556" s="1" t="s">
        <v>18834</v>
      </c>
      <c r="B4556" s="1" t="s">
        <v>18835</v>
      </c>
      <c r="C4556" s="1">
        <v>2015.0</v>
      </c>
      <c r="D4556" s="2">
        <v>42053.0</v>
      </c>
      <c r="F4556" s="1" t="s">
        <v>18836</v>
      </c>
      <c r="H4556" s="3">
        <v>13.0</v>
      </c>
      <c r="I4556" s="4" t="s">
        <v>18837</v>
      </c>
      <c r="J4556" s="1" t="s">
        <v>18838</v>
      </c>
      <c r="K4556" s="1" t="s">
        <v>477</v>
      </c>
    </row>
    <row r="4557">
      <c r="A4557" s="1" t="s">
        <v>18839</v>
      </c>
      <c r="B4557" s="1" t="s">
        <v>18840</v>
      </c>
      <c r="C4557" s="1">
        <v>2015.0</v>
      </c>
      <c r="D4557" s="2">
        <v>42053.0</v>
      </c>
      <c r="F4557" s="1" t="s">
        <v>440</v>
      </c>
      <c r="H4557" s="3">
        <v>45.0</v>
      </c>
      <c r="I4557" s="4" t="s">
        <v>18841</v>
      </c>
      <c r="J4557" s="1" t="s">
        <v>18842</v>
      </c>
      <c r="K4557" s="1" t="s">
        <v>323</v>
      </c>
    </row>
    <row r="4558">
      <c r="A4558" s="1" t="s">
        <v>18843</v>
      </c>
      <c r="B4558" s="1" t="s">
        <v>18816</v>
      </c>
      <c r="C4558" s="1">
        <v>2015.0</v>
      </c>
      <c r="D4558" s="2">
        <v>42053.0</v>
      </c>
      <c r="F4558" s="1" t="s">
        <v>12240</v>
      </c>
      <c r="H4558" s="3">
        <v>22.0</v>
      </c>
      <c r="I4558" s="4" t="s">
        <v>18844</v>
      </c>
      <c r="J4558" s="1" t="s">
        <v>18845</v>
      </c>
      <c r="K4558" s="1" t="s">
        <v>546</v>
      </c>
    </row>
    <row r="4559">
      <c r="A4559" s="1" t="s">
        <v>18846</v>
      </c>
      <c r="B4559" s="1" t="s">
        <v>18847</v>
      </c>
      <c r="C4559" s="1">
        <v>2015.0</v>
      </c>
      <c r="D4559" s="2">
        <v>42052.0</v>
      </c>
      <c r="F4559" s="1" t="s">
        <v>18848</v>
      </c>
      <c r="H4559" s="3">
        <v>24.0</v>
      </c>
      <c r="I4559" s="4" t="s">
        <v>18849</v>
      </c>
      <c r="J4559" s="1" t="s">
        <v>18850</v>
      </c>
      <c r="K4559" s="1" t="s">
        <v>462</v>
      </c>
    </row>
    <row r="4560">
      <c r="A4560" s="1" t="s">
        <v>18851</v>
      </c>
      <c r="B4560" s="1" t="s">
        <v>18852</v>
      </c>
      <c r="C4560" s="1">
        <v>2015.0</v>
      </c>
      <c r="D4560" s="2">
        <v>42051.0</v>
      </c>
      <c r="F4560" s="1" t="s">
        <v>178</v>
      </c>
      <c r="H4560" s="3">
        <v>258.0</v>
      </c>
      <c r="I4560" s="4" t="s">
        <v>18853</v>
      </c>
      <c r="J4560" s="1" t="s">
        <v>18854</v>
      </c>
      <c r="K4560" s="1" t="s">
        <v>413</v>
      </c>
    </row>
    <row r="4561">
      <c r="A4561" s="1" t="s">
        <v>18855</v>
      </c>
      <c r="B4561" s="1" t="s">
        <v>18856</v>
      </c>
      <c r="C4561" s="1">
        <v>2015.0</v>
      </c>
      <c r="D4561" s="2">
        <v>42050.0</v>
      </c>
      <c r="F4561" s="1" t="s">
        <v>18857</v>
      </c>
      <c r="H4561" s="3">
        <v>2.0</v>
      </c>
      <c r="I4561" s="4" t="s">
        <v>18858</v>
      </c>
      <c r="J4561" s="1" t="s">
        <v>18859</v>
      </c>
      <c r="K4561" s="1" t="s">
        <v>16</v>
      </c>
    </row>
    <row r="4562">
      <c r="A4562" s="1" t="s">
        <v>18860</v>
      </c>
      <c r="B4562" s="1" t="s">
        <v>18861</v>
      </c>
      <c r="C4562" s="1">
        <v>2015.0</v>
      </c>
      <c r="D4562" s="2">
        <v>42049.0</v>
      </c>
      <c r="F4562" s="1" t="s">
        <v>208</v>
      </c>
      <c r="H4562" s="3">
        <v>89.0</v>
      </c>
      <c r="I4562" s="4" t="s">
        <v>18862</v>
      </c>
      <c r="J4562" s="1" t="s">
        <v>18863</v>
      </c>
      <c r="K4562" s="1" t="s">
        <v>28</v>
      </c>
    </row>
    <row r="4563">
      <c r="A4563" s="1" t="s">
        <v>18864</v>
      </c>
      <c r="B4563" s="1" t="s">
        <v>18865</v>
      </c>
      <c r="C4563" s="1">
        <v>2015.0</v>
      </c>
      <c r="D4563" s="2">
        <v>42048.0</v>
      </c>
      <c r="F4563" s="1" t="s">
        <v>243</v>
      </c>
      <c r="H4563" s="3">
        <v>93.0</v>
      </c>
      <c r="I4563" s="4" t="s">
        <v>18866</v>
      </c>
      <c r="J4563" s="1" t="s">
        <v>18867</v>
      </c>
      <c r="K4563" s="1" t="s">
        <v>28</v>
      </c>
    </row>
    <row r="4564">
      <c r="A4564" s="1" t="s">
        <v>18868</v>
      </c>
      <c r="B4564" s="1" t="s">
        <v>18869</v>
      </c>
      <c r="C4564" s="1">
        <v>2015.0</v>
      </c>
      <c r="D4564" s="2">
        <v>42048.0</v>
      </c>
      <c r="F4564" s="1" t="s">
        <v>218</v>
      </c>
      <c r="H4564" s="3">
        <v>16.0</v>
      </c>
      <c r="I4564" s="4" t="s">
        <v>18870</v>
      </c>
      <c r="J4564" s="1" t="s">
        <v>18871</v>
      </c>
      <c r="K4564" s="1" t="s">
        <v>1036</v>
      </c>
    </row>
    <row r="4565">
      <c r="A4565" s="1" t="s">
        <v>18872</v>
      </c>
      <c r="B4565" s="1" t="s">
        <v>18873</v>
      </c>
      <c r="C4565" s="1">
        <v>2015.0</v>
      </c>
      <c r="D4565" s="2">
        <v>42047.0</v>
      </c>
      <c r="F4565" s="1" t="s">
        <v>2540</v>
      </c>
      <c r="H4565" s="3">
        <v>3550.0</v>
      </c>
      <c r="I4565" s="4" t="s">
        <v>18874</v>
      </c>
      <c r="J4565" s="1" t="s">
        <v>18875</v>
      </c>
      <c r="K4565" s="1" t="s">
        <v>418</v>
      </c>
    </row>
    <row r="4566">
      <c r="A4566" s="1" t="s">
        <v>18876</v>
      </c>
      <c r="B4566" s="1" t="s">
        <v>18877</v>
      </c>
      <c r="C4566" s="1">
        <v>2015.0</v>
      </c>
      <c r="D4566" s="2">
        <v>42047.0</v>
      </c>
      <c r="F4566" s="1" t="s">
        <v>218</v>
      </c>
      <c r="H4566" s="3">
        <v>62.0</v>
      </c>
      <c r="I4566" s="4" t="s">
        <v>18878</v>
      </c>
      <c r="J4566" s="1" t="s">
        <v>18879</v>
      </c>
      <c r="K4566" s="1" t="s">
        <v>16</v>
      </c>
    </row>
    <row r="4567">
      <c r="A4567" s="1" t="s">
        <v>18880</v>
      </c>
      <c r="B4567" s="1" t="s">
        <v>18881</v>
      </c>
      <c r="C4567" s="1">
        <v>2015.0</v>
      </c>
      <c r="D4567" s="2">
        <v>42046.0</v>
      </c>
      <c r="F4567" s="1" t="s">
        <v>656</v>
      </c>
      <c r="H4567" s="3">
        <v>70.0</v>
      </c>
      <c r="I4567" s="4" t="s">
        <v>18882</v>
      </c>
      <c r="J4567" s="1" t="s">
        <v>18883</v>
      </c>
      <c r="K4567" s="1" t="s">
        <v>462</v>
      </c>
    </row>
    <row r="4568">
      <c r="A4568" s="1" t="s">
        <v>18884</v>
      </c>
      <c r="B4568" s="1" t="s">
        <v>18371</v>
      </c>
      <c r="C4568" s="1">
        <v>2015.0</v>
      </c>
      <c r="D4568" s="2">
        <v>42045.0</v>
      </c>
      <c r="F4568" s="1" t="s">
        <v>12240</v>
      </c>
      <c r="H4568" s="3">
        <v>61.0</v>
      </c>
      <c r="I4568" s="4" t="s">
        <v>18885</v>
      </c>
      <c r="J4568" s="1" t="s">
        <v>18886</v>
      </c>
      <c r="K4568" s="1" t="s">
        <v>546</v>
      </c>
    </row>
    <row r="4569">
      <c r="A4569" s="1" t="s">
        <v>18887</v>
      </c>
      <c r="B4569" s="1" t="s">
        <v>18888</v>
      </c>
      <c r="C4569" s="1">
        <v>2015.0</v>
      </c>
      <c r="D4569" s="2">
        <v>42044.0</v>
      </c>
      <c r="F4569" s="1" t="s">
        <v>59</v>
      </c>
      <c r="H4569" s="3">
        <v>61.0</v>
      </c>
      <c r="I4569" s="4" t="s">
        <v>18889</v>
      </c>
      <c r="J4569" s="1" t="s">
        <v>18890</v>
      </c>
      <c r="K4569" s="1" t="s">
        <v>28</v>
      </c>
    </row>
    <row r="4570">
      <c r="A4570" s="1" t="s">
        <v>18891</v>
      </c>
      <c r="B4570" s="1" t="s">
        <v>18892</v>
      </c>
      <c r="C4570" s="1">
        <v>2015.0</v>
      </c>
      <c r="D4570" s="2">
        <v>42044.0</v>
      </c>
      <c r="F4570" s="1" t="s">
        <v>3654</v>
      </c>
      <c r="H4570" s="3">
        <v>25.0</v>
      </c>
      <c r="I4570" s="4" t="s">
        <v>18893</v>
      </c>
      <c r="J4570" s="1" t="s">
        <v>18894</v>
      </c>
      <c r="K4570" s="1" t="s">
        <v>295</v>
      </c>
    </row>
    <row r="4571">
      <c r="A4571" s="1" t="s">
        <v>18895</v>
      </c>
      <c r="B4571" s="1" t="s">
        <v>18896</v>
      </c>
      <c r="C4571" s="1">
        <v>2015.0</v>
      </c>
      <c r="D4571" s="2">
        <v>42044.0</v>
      </c>
      <c r="F4571" s="1" t="s">
        <v>243</v>
      </c>
      <c r="H4571" s="3">
        <v>73.0</v>
      </c>
      <c r="I4571" s="4" t="s">
        <v>18897</v>
      </c>
      <c r="J4571" s="1" t="s">
        <v>18898</v>
      </c>
      <c r="K4571" s="1" t="s">
        <v>28</v>
      </c>
    </row>
    <row r="4572">
      <c r="A4572" s="1" t="s">
        <v>18899</v>
      </c>
      <c r="B4572" s="1" t="s">
        <v>18900</v>
      </c>
      <c r="C4572" s="1">
        <v>2015.0</v>
      </c>
      <c r="D4572" s="2">
        <v>42043.0</v>
      </c>
      <c r="F4572" s="1" t="s">
        <v>18901</v>
      </c>
      <c r="H4572" s="3">
        <v>31.0</v>
      </c>
      <c r="I4572" s="4" t="s">
        <v>18902</v>
      </c>
      <c r="J4572" s="1" t="s">
        <v>18903</v>
      </c>
      <c r="K4572" s="1" t="s">
        <v>383</v>
      </c>
    </row>
    <row r="4573">
      <c r="A4573" s="1" t="s">
        <v>18904</v>
      </c>
      <c r="B4573" s="1" t="s">
        <v>18905</v>
      </c>
      <c r="C4573" s="1">
        <v>2015.0</v>
      </c>
      <c r="D4573" s="2">
        <v>42042.0</v>
      </c>
      <c r="F4573" s="1" t="s">
        <v>1777</v>
      </c>
      <c r="H4573" s="3">
        <v>30.0</v>
      </c>
      <c r="I4573" s="4" t="s">
        <v>18906</v>
      </c>
      <c r="J4573" s="1" t="s">
        <v>18907</v>
      </c>
      <c r="K4573" s="1" t="s">
        <v>295</v>
      </c>
    </row>
    <row r="4574">
      <c r="A4574" s="1" t="s">
        <v>18908</v>
      </c>
      <c r="B4574" s="1" t="s">
        <v>18909</v>
      </c>
      <c r="C4574" s="1">
        <v>2015.0</v>
      </c>
      <c r="D4574" s="2">
        <v>42041.0</v>
      </c>
      <c r="F4574" s="1" t="s">
        <v>71</v>
      </c>
      <c r="H4574" s="3">
        <v>45.0</v>
      </c>
      <c r="I4574" s="4" t="s">
        <v>18910</v>
      </c>
      <c r="J4574" s="1" t="s">
        <v>18911</v>
      </c>
      <c r="K4574" s="1" t="s">
        <v>28</v>
      </c>
    </row>
    <row r="4575">
      <c r="A4575" s="1" t="s">
        <v>18912</v>
      </c>
      <c r="B4575" s="1" t="s">
        <v>18913</v>
      </c>
      <c r="C4575" s="1">
        <v>2015.0</v>
      </c>
      <c r="D4575" s="2">
        <v>42041.0</v>
      </c>
      <c r="F4575" s="1" t="s">
        <v>18914</v>
      </c>
      <c r="H4575" s="3">
        <v>7.0</v>
      </c>
      <c r="I4575" s="4" t="s">
        <v>18915</v>
      </c>
      <c r="J4575" s="1" t="s">
        <v>18916</v>
      </c>
      <c r="K4575" s="1" t="s">
        <v>443</v>
      </c>
    </row>
    <row r="4576">
      <c r="A4576" s="1" t="s">
        <v>18917</v>
      </c>
      <c r="B4576" s="1" t="s">
        <v>18918</v>
      </c>
      <c r="C4576" s="1">
        <v>2015.0</v>
      </c>
      <c r="D4576" s="2">
        <v>42041.0</v>
      </c>
      <c r="F4576" s="1" t="s">
        <v>10126</v>
      </c>
      <c r="H4576" s="3">
        <v>245.0</v>
      </c>
      <c r="I4576" s="4" t="s">
        <v>18919</v>
      </c>
      <c r="J4576" s="1" t="s">
        <v>18920</v>
      </c>
      <c r="K4576" s="1" t="s">
        <v>16</v>
      </c>
    </row>
    <row r="4577">
      <c r="A4577" s="1" t="s">
        <v>18921</v>
      </c>
      <c r="B4577" s="1" t="s">
        <v>18922</v>
      </c>
      <c r="C4577" s="1">
        <v>2015.0</v>
      </c>
      <c r="D4577" s="2">
        <v>42038.0</v>
      </c>
      <c r="F4577" s="1" t="s">
        <v>208</v>
      </c>
      <c r="H4577" s="3">
        <v>0.0</v>
      </c>
      <c r="I4577" s="4" t="s">
        <v>18923</v>
      </c>
      <c r="J4577" s="1"/>
      <c r="K4577" s="1" t="s">
        <v>28</v>
      </c>
    </row>
    <row r="4578">
      <c r="A4578" s="1" t="s">
        <v>18924</v>
      </c>
      <c r="B4578" s="1" t="s">
        <v>18925</v>
      </c>
      <c r="C4578" s="1">
        <v>2015.0</v>
      </c>
      <c r="D4578" s="2">
        <v>42036.0</v>
      </c>
      <c r="F4578" s="1" t="s">
        <v>3463</v>
      </c>
      <c r="H4578" s="3">
        <v>37.0</v>
      </c>
      <c r="I4578" s="4" t="s">
        <v>18926</v>
      </c>
      <c r="J4578" s="1" t="s">
        <v>18927</v>
      </c>
      <c r="K4578" s="1" t="s">
        <v>45</v>
      </c>
    </row>
    <row r="4579">
      <c r="A4579" s="1" t="s">
        <v>18928</v>
      </c>
      <c r="B4579" s="1" t="s">
        <v>18929</v>
      </c>
      <c r="C4579" s="1">
        <v>2015.0</v>
      </c>
      <c r="D4579" s="2">
        <v>42036.0</v>
      </c>
      <c r="F4579" s="1" t="s">
        <v>12651</v>
      </c>
      <c r="H4579" s="3">
        <v>14.0</v>
      </c>
      <c r="I4579" s="4" t="s">
        <v>18930</v>
      </c>
      <c r="J4579" s="1" t="s">
        <v>18931</v>
      </c>
      <c r="K4579" s="1" t="s">
        <v>383</v>
      </c>
    </row>
    <row r="4580">
      <c r="A4580" s="1" t="s">
        <v>18932</v>
      </c>
      <c r="B4580" s="1" t="s">
        <v>18933</v>
      </c>
      <c r="C4580" s="1">
        <v>2015.0</v>
      </c>
      <c r="D4580" s="2">
        <v>42036.0</v>
      </c>
      <c r="F4580" s="1" t="s">
        <v>208</v>
      </c>
      <c r="H4580" s="3">
        <v>214.0</v>
      </c>
      <c r="I4580" s="4" t="s">
        <v>18934</v>
      </c>
      <c r="J4580" s="1" t="s">
        <v>18935</v>
      </c>
      <c r="K4580" s="1" t="s">
        <v>28</v>
      </c>
    </row>
    <row r="4581">
      <c r="A4581" s="1" t="s">
        <v>18936</v>
      </c>
      <c r="B4581" s="1" t="s">
        <v>18937</v>
      </c>
      <c r="C4581" s="1">
        <v>2015.0</v>
      </c>
      <c r="D4581" s="2">
        <v>42036.0</v>
      </c>
      <c r="F4581" s="1" t="s">
        <v>1410</v>
      </c>
      <c r="H4581" s="3">
        <v>8.0</v>
      </c>
      <c r="I4581" s="4" t="s">
        <v>18938</v>
      </c>
      <c r="J4581" s="1" t="s">
        <v>18939</v>
      </c>
      <c r="K4581" s="1" t="s">
        <v>413</v>
      </c>
    </row>
    <row r="4582">
      <c r="A4582" s="1" t="s">
        <v>18940</v>
      </c>
      <c r="B4582" s="1" t="s">
        <v>18941</v>
      </c>
      <c r="C4582" s="1">
        <v>2015.0</v>
      </c>
      <c r="D4582" s="2">
        <v>42035.0</v>
      </c>
      <c r="F4582" s="1" t="s">
        <v>4577</v>
      </c>
      <c r="H4582" s="3">
        <v>40.0</v>
      </c>
      <c r="I4582" s="4" t="s">
        <v>18942</v>
      </c>
      <c r="J4582" s="1" t="s">
        <v>18943</v>
      </c>
      <c r="K4582" s="1" t="s">
        <v>28</v>
      </c>
    </row>
    <row r="4583">
      <c r="A4583" s="1" t="s">
        <v>18944</v>
      </c>
      <c r="B4583" s="1" t="s">
        <v>18945</v>
      </c>
      <c r="C4583" s="1">
        <v>2015.0</v>
      </c>
      <c r="D4583" s="2">
        <v>42035.0</v>
      </c>
      <c r="F4583" s="1" t="s">
        <v>218</v>
      </c>
      <c r="H4583" s="3">
        <v>14.0</v>
      </c>
      <c r="I4583" s="4" t="s">
        <v>18946</v>
      </c>
      <c r="J4583" s="1" t="s">
        <v>18947</v>
      </c>
      <c r="K4583" s="1" t="s">
        <v>16</v>
      </c>
    </row>
    <row r="4584">
      <c r="A4584" s="1" t="s">
        <v>18948</v>
      </c>
      <c r="B4584" s="1" t="s">
        <v>18949</v>
      </c>
      <c r="C4584" s="1">
        <v>2015.0</v>
      </c>
      <c r="D4584" s="2">
        <v>42032.0</v>
      </c>
      <c r="F4584" s="1" t="s">
        <v>208</v>
      </c>
      <c r="H4584" s="3">
        <v>23.0</v>
      </c>
      <c r="I4584" s="4" t="s">
        <v>18950</v>
      </c>
      <c r="J4584" s="1" t="s">
        <v>18951</v>
      </c>
      <c r="K4584" s="1" t="s">
        <v>28</v>
      </c>
    </row>
    <row r="4585">
      <c r="A4585" s="1" t="s">
        <v>18952</v>
      </c>
      <c r="B4585" s="1" t="s">
        <v>18953</v>
      </c>
      <c r="C4585" s="1">
        <v>2015.0</v>
      </c>
      <c r="D4585" s="2">
        <v>42032.0</v>
      </c>
      <c r="F4585" s="1" t="s">
        <v>142</v>
      </c>
      <c r="H4585" s="3">
        <v>44.0</v>
      </c>
      <c r="I4585" s="4" t="s">
        <v>18954</v>
      </c>
      <c r="J4585" s="1" t="s">
        <v>18955</v>
      </c>
      <c r="K4585" s="1" t="s">
        <v>16</v>
      </c>
    </row>
    <row r="4586">
      <c r="A4586" s="1" t="s">
        <v>18956</v>
      </c>
      <c r="B4586" s="1" t="s">
        <v>18957</v>
      </c>
      <c r="C4586" s="1">
        <v>2015.0</v>
      </c>
      <c r="D4586" s="2">
        <v>42032.0</v>
      </c>
      <c r="F4586" s="1" t="s">
        <v>1777</v>
      </c>
      <c r="H4586" s="3">
        <v>377.0</v>
      </c>
      <c r="I4586" s="4" t="s">
        <v>18958</v>
      </c>
      <c r="J4586" s="1" t="s">
        <v>18959</v>
      </c>
      <c r="K4586" s="1" t="s">
        <v>413</v>
      </c>
    </row>
    <row r="4587">
      <c r="A4587" s="1" t="s">
        <v>18960</v>
      </c>
      <c r="B4587" s="1" t="s">
        <v>18961</v>
      </c>
      <c r="C4587" s="1">
        <v>2015.0</v>
      </c>
      <c r="D4587" s="2">
        <v>42030.0</v>
      </c>
      <c r="F4587" s="1" t="s">
        <v>4405</v>
      </c>
      <c r="H4587" s="3">
        <v>51.0</v>
      </c>
      <c r="I4587" s="4" t="s">
        <v>18962</v>
      </c>
      <c r="J4587" s="1" t="s">
        <v>18963</v>
      </c>
      <c r="K4587" s="1" t="s">
        <v>477</v>
      </c>
    </row>
    <row r="4588">
      <c r="A4588" s="1" t="s">
        <v>18964</v>
      </c>
      <c r="B4588" s="1" t="s">
        <v>18965</v>
      </c>
      <c r="C4588" s="1">
        <v>2015.0</v>
      </c>
      <c r="D4588" s="2">
        <v>42030.0</v>
      </c>
      <c r="F4588" s="1" t="s">
        <v>71</v>
      </c>
      <c r="H4588" s="3">
        <v>4.0</v>
      </c>
      <c r="I4588" s="4" t="s">
        <v>18966</v>
      </c>
      <c r="J4588" s="1" t="s">
        <v>18967</v>
      </c>
      <c r="K4588" s="1" t="s">
        <v>295</v>
      </c>
    </row>
    <row r="4589">
      <c r="A4589" s="1" t="s">
        <v>18968</v>
      </c>
      <c r="B4589" s="1" t="s">
        <v>18969</v>
      </c>
      <c r="C4589" s="1">
        <v>2015.0</v>
      </c>
      <c r="D4589" s="2">
        <v>42027.0</v>
      </c>
      <c r="F4589" s="1" t="s">
        <v>1514</v>
      </c>
      <c r="H4589" s="3">
        <v>6.0</v>
      </c>
      <c r="I4589" s="4" t="s">
        <v>18970</v>
      </c>
      <c r="J4589" s="1" t="s">
        <v>18971</v>
      </c>
      <c r="K4589" s="1" t="s">
        <v>28</v>
      </c>
    </row>
    <row r="4590">
      <c r="A4590" s="1" t="s">
        <v>18972</v>
      </c>
      <c r="B4590" s="1" t="s">
        <v>18973</v>
      </c>
      <c r="C4590" s="1">
        <v>2015.0</v>
      </c>
      <c r="D4590" s="2">
        <v>42027.0</v>
      </c>
      <c r="F4590" s="1" t="s">
        <v>6152</v>
      </c>
      <c r="H4590" s="3">
        <v>43.0</v>
      </c>
      <c r="I4590" s="4" t="s">
        <v>18974</v>
      </c>
      <c r="J4590" s="1" t="s">
        <v>18975</v>
      </c>
      <c r="K4590" s="1" t="s">
        <v>295</v>
      </c>
    </row>
    <row r="4591">
      <c r="A4591" s="1" t="s">
        <v>18976</v>
      </c>
      <c r="B4591" s="1" t="s">
        <v>18371</v>
      </c>
      <c r="C4591" s="1">
        <v>2015.0</v>
      </c>
      <c r="D4591" s="2">
        <v>42026.0</v>
      </c>
      <c r="F4591" s="1" t="s">
        <v>12240</v>
      </c>
      <c r="H4591" s="3">
        <v>34.0</v>
      </c>
      <c r="I4591" s="4" t="s">
        <v>18977</v>
      </c>
      <c r="J4591" s="1" t="s">
        <v>18978</v>
      </c>
      <c r="K4591" s="1" t="s">
        <v>546</v>
      </c>
    </row>
    <row r="4592">
      <c r="A4592" s="1" t="s">
        <v>18979</v>
      </c>
      <c r="B4592" s="1" t="s">
        <v>18980</v>
      </c>
      <c r="C4592" s="1">
        <v>2015.0</v>
      </c>
      <c r="D4592" s="2">
        <v>42025.0</v>
      </c>
      <c r="F4592" s="1" t="s">
        <v>59</v>
      </c>
      <c r="H4592" s="3">
        <v>97.0</v>
      </c>
      <c r="I4592" s="4" t="s">
        <v>18981</v>
      </c>
      <c r="J4592" s="1" t="s">
        <v>18982</v>
      </c>
      <c r="K4592" s="1" t="s">
        <v>477</v>
      </c>
    </row>
    <row r="4593">
      <c r="A4593" s="1" t="s">
        <v>18983</v>
      </c>
      <c r="B4593" s="1" t="s">
        <v>18984</v>
      </c>
      <c r="C4593" s="1">
        <v>2015.0</v>
      </c>
      <c r="D4593" s="2">
        <v>42024.0</v>
      </c>
      <c r="F4593" s="1" t="s">
        <v>1340</v>
      </c>
      <c r="H4593" s="3">
        <v>459.0</v>
      </c>
      <c r="I4593" s="4" t="s">
        <v>18985</v>
      </c>
      <c r="J4593" s="1" t="s">
        <v>18986</v>
      </c>
      <c r="K4593" s="1" t="s">
        <v>28</v>
      </c>
    </row>
    <row r="4594">
      <c r="A4594" s="1" t="s">
        <v>18987</v>
      </c>
      <c r="B4594" s="1" t="s">
        <v>18988</v>
      </c>
      <c r="C4594" s="1">
        <v>2015.0</v>
      </c>
      <c r="D4594" s="2">
        <v>42024.0</v>
      </c>
      <c r="F4594" s="1" t="s">
        <v>1349</v>
      </c>
      <c r="H4594" s="3">
        <v>3.0</v>
      </c>
      <c r="I4594" s="4" t="s">
        <v>18989</v>
      </c>
      <c r="J4594" s="1" t="s">
        <v>18990</v>
      </c>
      <c r="K4594" s="1" t="s">
        <v>323</v>
      </c>
    </row>
    <row r="4595">
      <c r="A4595" s="1" t="s">
        <v>18991</v>
      </c>
      <c r="B4595" s="1" t="s">
        <v>18992</v>
      </c>
      <c r="C4595" s="1">
        <v>2015.0</v>
      </c>
      <c r="D4595" s="2">
        <v>42024.0</v>
      </c>
      <c r="F4595" s="1" t="s">
        <v>6301</v>
      </c>
      <c r="H4595" s="3">
        <v>46.0</v>
      </c>
      <c r="I4595" s="4" t="s">
        <v>18993</v>
      </c>
      <c r="J4595" s="1" t="s">
        <v>18994</v>
      </c>
      <c r="K4595" s="1" t="s">
        <v>16</v>
      </c>
    </row>
    <row r="4596">
      <c r="A4596" s="1" t="s">
        <v>18995</v>
      </c>
      <c r="B4596" s="1" t="s">
        <v>18996</v>
      </c>
      <c r="C4596" s="1">
        <v>2015.0</v>
      </c>
      <c r="D4596" s="2">
        <v>42020.0</v>
      </c>
      <c r="F4596" s="1" t="s">
        <v>59</v>
      </c>
      <c r="H4596" s="3">
        <v>12.0</v>
      </c>
      <c r="I4596" s="4" t="s">
        <v>18997</v>
      </c>
      <c r="J4596" s="1" t="s">
        <v>18998</v>
      </c>
      <c r="K4596" s="1" t="s">
        <v>295</v>
      </c>
    </row>
    <row r="4597">
      <c r="A4597" s="1" t="s">
        <v>18999</v>
      </c>
      <c r="B4597" s="1" t="s">
        <v>19000</v>
      </c>
      <c r="C4597" s="1">
        <v>2015.0</v>
      </c>
      <c r="D4597" s="2">
        <v>42019.0</v>
      </c>
      <c r="F4597" s="1" t="s">
        <v>71</v>
      </c>
      <c r="H4597" s="3">
        <v>15.0</v>
      </c>
      <c r="I4597" s="4" t="s">
        <v>19001</v>
      </c>
      <c r="J4597" s="1" t="s">
        <v>19002</v>
      </c>
      <c r="K4597" s="1" t="s">
        <v>295</v>
      </c>
    </row>
    <row r="4598">
      <c r="A4598" s="1" t="s">
        <v>19003</v>
      </c>
      <c r="B4598" s="1" t="s">
        <v>19004</v>
      </c>
      <c r="C4598" s="1">
        <v>2015.0</v>
      </c>
      <c r="D4598" s="2">
        <v>42019.0</v>
      </c>
      <c r="F4598" s="1" t="s">
        <v>12240</v>
      </c>
      <c r="H4598" s="3">
        <v>195.0</v>
      </c>
      <c r="I4598" s="4" t="s">
        <v>19005</v>
      </c>
      <c r="J4598" s="1" t="s">
        <v>19006</v>
      </c>
      <c r="K4598" s="1" t="s">
        <v>546</v>
      </c>
    </row>
    <row r="4599">
      <c r="A4599" s="1" t="s">
        <v>19007</v>
      </c>
      <c r="B4599" s="1" t="s">
        <v>19008</v>
      </c>
      <c r="C4599" s="1">
        <v>2015.0</v>
      </c>
      <c r="D4599" s="2">
        <v>42018.0</v>
      </c>
      <c r="F4599" s="1" t="s">
        <v>7299</v>
      </c>
      <c r="H4599" s="3">
        <v>272.0</v>
      </c>
      <c r="I4599" s="4" t="s">
        <v>19009</v>
      </c>
      <c r="J4599" s="1" t="s">
        <v>19010</v>
      </c>
      <c r="K4599" s="1" t="s">
        <v>28</v>
      </c>
    </row>
    <row r="4600">
      <c r="A4600" s="1" t="s">
        <v>19011</v>
      </c>
      <c r="B4600" s="1" t="s">
        <v>19012</v>
      </c>
      <c r="C4600" s="1">
        <v>2015.0</v>
      </c>
      <c r="D4600" s="2">
        <v>42018.0</v>
      </c>
      <c r="F4600" s="1" t="s">
        <v>676</v>
      </c>
      <c r="H4600" s="3">
        <v>234.0</v>
      </c>
      <c r="I4600" s="4" t="s">
        <v>19013</v>
      </c>
      <c r="J4600" s="1" t="s">
        <v>19014</v>
      </c>
      <c r="K4600" s="1" t="s">
        <v>28</v>
      </c>
    </row>
    <row r="4601">
      <c r="A4601" s="1" t="s">
        <v>19015</v>
      </c>
      <c r="B4601" s="1" t="s">
        <v>19016</v>
      </c>
      <c r="C4601" s="1">
        <v>2015.0</v>
      </c>
      <c r="D4601" s="2">
        <v>42017.0</v>
      </c>
      <c r="F4601" s="1" t="s">
        <v>192</v>
      </c>
      <c r="H4601" s="3">
        <v>2.0</v>
      </c>
      <c r="I4601" s="4" t="s">
        <v>19017</v>
      </c>
      <c r="J4601" s="1" t="s">
        <v>19018</v>
      </c>
      <c r="K4601" s="1" t="s">
        <v>45</v>
      </c>
    </row>
    <row r="4602">
      <c r="A4602" s="1" t="s">
        <v>19019</v>
      </c>
      <c r="B4602" s="1" t="s">
        <v>19020</v>
      </c>
      <c r="C4602" s="1">
        <v>2015.0</v>
      </c>
      <c r="D4602" s="2">
        <v>42014.0</v>
      </c>
      <c r="F4602" s="1" t="s">
        <v>656</v>
      </c>
      <c r="H4602" s="3">
        <v>25.0</v>
      </c>
      <c r="I4602" s="4" t="s">
        <v>19021</v>
      </c>
      <c r="J4602" s="1" t="s">
        <v>19022</v>
      </c>
      <c r="K4602" s="1" t="s">
        <v>16</v>
      </c>
    </row>
    <row r="4603">
      <c r="A4603" s="1" t="s">
        <v>19023</v>
      </c>
      <c r="B4603" s="1" t="s">
        <v>19024</v>
      </c>
      <c r="C4603" s="1">
        <v>2015.0</v>
      </c>
      <c r="D4603" s="2">
        <v>42013.0</v>
      </c>
      <c r="F4603" s="1" t="s">
        <v>1330</v>
      </c>
      <c r="H4603" s="3">
        <v>93.0</v>
      </c>
      <c r="I4603" s="4" t="s">
        <v>19025</v>
      </c>
      <c r="J4603" s="1" t="s">
        <v>19026</v>
      </c>
      <c r="K4603" s="1" t="s">
        <v>571</v>
      </c>
    </row>
    <row r="4604">
      <c r="A4604" s="1" t="s">
        <v>19027</v>
      </c>
      <c r="B4604" s="1" t="s">
        <v>19028</v>
      </c>
      <c r="C4604" s="1">
        <v>2015.0</v>
      </c>
      <c r="D4604" s="2">
        <v>42012.0</v>
      </c>
      <c r="F4604" s="1" t="s">
        <v>1300</v>
      </c>
      <c r="H4604" s="3">
        <v>54.0</v>
      </c>
      <c r="I4604" s="4" t="s">
        <v>19029</v>
      </c>
      <c r="J4604" s="1" t="s">
        <v>19030</v>
      </c>
      <c r="K4604" s="1" t="s">
        <v>383</v>
      </c>
    </row>
    <row r="4605">
      <c r="A4605" s="1" t="s">
        <v>19031</v>
      </c>
      <c r="B4605" s="1" t="s">
        <v>19032</v>
      </c>
      <c r="C4605" s="1">
        <v>2015.0</v>
      </c>
      <c r="D4605" s="2">
        <v>42012.0</v>
      </c>
      <c r="F4605" s="1" t="s">
        <v>19033</v>
      </c>
      <c r="H4605" s="3">
        <v>128.0</v>
      </c>
      <c r="I4605" s="4" t="s">
        <v>19034</v>
      </c>
      <c r="J4605" s="1" t="s">
        <v>19035</v>
      </c>
      <c r="K4605" s="1" t="s">
        <v>16</v>
      </c>
    </row>
    <row r="4606">
      <c r="A4606" s="1" t="s">
        <v>19036</v>
      </c>
      <c r="B4606" s="1" t="s">
        <v>19037</v>
      </c>
      <c r="C4606" s="1">
        <v>2015.0</v>
      </c>
      <c r="D4606" s="2">
        <v>42011.0</v>
      </c>
      <c r="F4606" s="1" t="s">
        <v>19038</v>
      </c>
      <c r="H4606" s="3">
        <v>19.0</v>
      </c>
      <c r="I4606" s="4" t="s">
        <v>19039</v>
      </c>
      <c r="J4606" s="1" t="s">
        <v>19040</v>
      </c>
      <c r="K4606" s="1" t="s">
        <v>45</v>
      </c>
    </row>
    <row r="4607">
      <c r="A4607" s="1" t="s">
        <v>19041</v>
      </c>
      <c r="B4607" s="1" t="s">
        <v>19042</v>
      </c>
      <c r="C4607" s="1">
        <v>2015.0</v>
      </c>
      <c r="D4607" s="2">
        <v>42011.0</v>
      </c>
      <c r="F4607" s="1" t="s">
        <v>2007</v>
      </c>
      <c r="H4607" s="3">
        <v>139.0</v>
      </c>
      <c r="I4607" s="4" t="s">
        <v>19043</v>
      </c>
      <c r="J4607" s="1" t="s">
        <v>19044</v>
      </c>
      <c r="K4607" s="1" t="s">
        <v>329</v>
      </c>
    </row>
    <row r="4608">
      <c r="A4608" s="1" t="s">
        <v>19045</v>
      </c>
      <c r="B4608" s="1" t="s">
        <v>18933</v>
      </c>
      <c r="C4608" s="1">
        <v>2015.0</v>
      </c>
      <c r="D4608" s="2">
        <v>42011.0</v>
      </c>
      <c r="F4608" s="1" t="s">
        <v>396</v>
      </c>
      <c r="H4608" s="3">
        <v>1715.0</v>
      </c>
      <c r="I4608" s="4" t="s">
        <v>19046</v>
      </c>
      <c r="J4608" s="1" t="s">
        <v>19047</v>
      </c>
      <c r="K4608" s="1" t="s">
        <v>28</v>
      </c>
    </row>
    <row r="4609">
      <c r="A4609" s="1" t="s">
        <v>19048</v>
      </c>
      <c r="B4609" s="1" t="s">
        <v>19049</v>
      </c>
      <c r="C4609" s="1">
        <v>2015.0</v>
      </c>
      <c r="D4609" s="2">
        <v>42009.0</v>
      </c>
      <c r="F4609" s="1" t="s">
        <v>188</v>
      </c>
      <c r="H4609" s="3">
        <v>288.0</v>
      </c>
      <c r="I4609" s="4" t="s">
        <v>19050</v>
      </c>
      <c r="J4609" s="1" t="s">
        <v>19051</v>
      </c>
      <c r="K4609" s="1" t="s">
        <v>28</v>
      </c>
    </row>
    <row r="4610">
      <c r="A4610" s="1" t="s">
        <v>19052</v>
      </c>
      <c r="B4610" s="1" t="s">
        <v>19049</v>
      </c>
      <c r="C4610" s="1">
        <v>2015.0</v>
      </c>
      <c r="D4610" s="2">
        <v>42009.0</v>
      </c>
      <c r="F4610" s="1" t="s">
        <v>2007</v>
      </c>
      <c r="H4610" s="3">
        <v>413.0</v>
      </c>
      <c r="I4610" s="4" t="s">
        <v>19053</v>
      </c>
      <c r="J4610" s="1" t="s">
        <v>18935</v>
      </c>
      <c r="K4610" s="1" t="s">
        <v>28</v>
      </c>
    </row>
    <row r="4611">
      <c r="A4611" s="1" t="s">
        <v>19054</v>
      </c>
      <c r="B4611" s="1" t="s">
        <v>19055</v>
      </c>
      <c r="C4611" s="1">
        <v>2015.0</v>
      </c>
      <c r="D4611" s="2">
        <v>42007.0</v>
      </c>
      <c r="F4611" s="1" t="s">
        <v>10906</v>
      </c>
      <c r="H4611" s="3">
        <v>24.0</v>
      </c>
      <c r="I4611" s="4" t="s">
        <v>19056</v>
      </c>
      <c r="J4611" s="1" t="s">
        <v>19057</v>
      </c>
      <c r="K4611" s="1" t="s">
        <v>323</v>
      </c>
    </row>
    <row r="4612">
      <c r="A4612" s="1" t="s">
        <v>19058</v>
      </c>
      <c r="B4612" s="1" t="s">
        <v>19059</v>
      </c>
      <c r="C4612" s="1">
        <v>2015.0</v>
      </c>
      <c r="D4612" s="2">
        <v>42006.0</v>
      </c>
      <c r="F4612" s="1" t="s">
        <v>14384</v>
      </c>
      <c r="H4612" s="3">
        <v>250.0</v>
      </c>
      <c r="I4612" s="4" t="s">
        <v>19060</v>
      </c>
      <c r="J4612" s="1" t="s">
        <v>19061</v>
      </c>
      <c r="K4612" s="1" t="s">
        <v>16</v>
      </c>
    </row>
    <row r="4613">
      <c r="A4613" s="1" t="s">
        <v>19062</v>
      </c>
      <c r="B4613" s="1" t="s">
        <v>19063</v>
      </c>
      <c r="C4613" s="1">
        <v>2015.0</v>
      </c>
      <c r="D4613" s="2">
        <v>42005.0</v>
      </c>
      <c r="F4613" s="1" t="s">
        <v>19064</v>
      </c>
      <c r="H4613" s="3">
        <v>13.0</v>
      </c>
      <c r="I4613" s="4" t="s">
        <v>19065</v>
      </c>
      <c r="J4613" s="1" t="s">
        <v>19066</v>
      </c>
      <c r="K4613" s="1" t="s">
        <v>492</v>
      </c>
    </row>
    <row r="4614">
      <c r="A4614" s="1" t="s">
        <v>19067</v>
      </c>
      <c r="B4614" s="1" t="s">
        <v>19068</v>
      </c>
      <c r="C4614" s="1">
        <v>2015.0</v>
      </c>
      <c r="D4614" s="2">
        <v>42005.0</v>
      </c>
      <c r="F4614" s="1" t="s">
        <v>19069</v>
      </c>
      <c r="H4614" s="3">
        <v>13.0</v>
      </c>
      <c r="I4614" s="4" t="s">
        <v>19070</v>
      </c>
      <c r="J4614" s="1" t="s">
        <v>19071</v>
      </c>
      <c r="K4614" s="1" t="s">
        <v>45</v>
      </c>
    </row>
    <row r="4615">
      <c r="A4615" s="1" t="s">
        <v>19072</v>
      </c>
      <c r="B4615" s="1" t="s">
        <v>19073</v>
      </c>
      <c r="C4615" s="1">
        <v>2015.0</v>
      </c>
      <c r="D4615" s="2">
        <v>42005.0</v>
      </c>
      <c r="F4615" s="1" t="s">
        <v>5834</v>
      </c>
      <c r="H4615" s="3">
        <v>14.0</v>
      </c>
      <c r="I4615" s="4" t="s">
        <v>19074</v>
      </c>
      <c r="J4615" s="1" t="s">
        <v>19075</v>
      </c>
      <c r="K4615" s="1" t="s">
        <v>477</v>
      </c>
    </row>
    <row r="4616">
      <c r="A4616" s="1" t="s">
        <v>19076</v>
      </c>
      <c r="B4616" s="1" t="s">
        <v>19077</v>
      </c>
      <c r="C4616" s="1">
        <v>2015.0</v>
      </c>
      <c r="D4616" s="2">
        <v>42005.0</v>
      </c>
      <c r="F4616" s="1" t="s">
        <v>17882</v>
      </c>
      <c r="H4616" s="3">
        <v>19.0</v>
      </c>
      <c r="I4616" s="4" t="s">
        <v>19078</v>
      </c>
      <c r="J4616" s="1" t="s">
        <v>19079</v>
      </c>
      <c r="K4616" s="1" t="s">
        <v>28</v>
      </c>
    </row>
    <row r="4617">
      <c r="A4617" s="1" t="s">
        <v>19080</v>
      </c>
      <c r="B4617" s="1" t="s">
        <v>19081</v>
      </c>
      <c r="C4617" s="1">
        <v>2015.0</v>
      </c>
      <c r="D4617" s="2">
        <v>42005.0</v>
      </c>
      <c r="F4617" s="1" t="s">
        <v>5834</v>
      </c>
      <c r="H4617" s="3">
        <v>33.0</v>
      </c>
      <c r="I4617" s="4" t="s">
        <v>19082</v>
      </c>
      <c r="J4617" s="1" t="s">
        <v>19083</v>
      </c>
      <c r="K4617" s="1" t="s">
        <v>28</v>
      </c>
    </row>
    <row r="4618">
      <c r="A4618" s="1" t="s">
        <v>19084</v>
      </c>
      <c r="B4618" s="1" t="s">
        <v>19085</v>
      </c>
      <c r="C4618" s="1">
        <v>2015.0</v>
      </c>
      <c r="D4618" s="2">
        <v>42005.0</v>
      </c>
      <c r="F4618" s="1" t="s">
        <v>17070</v>
      </c>
      <c r="H4618" s="3">
        <v>19.0</v>
      </c>
      <c r="I4618" s="4" t="s">
        <v>19086</v>
      </c>
      <c r="J4618" s="1" t="s">
        <v>19087</v>
      </c>
      <c r="K4618" s="1" t="s">
        <v>571</v>
      </c>
    </row>
    <row r="4619">
      <c r="A4619" s="1" t="s">
        <v>19088</v>
      </c>
      <c r="B4619" s="1" t="s">
        <v>19089</v>
      </c>
      <c r="C4619" s="1">
        <v>2015.0</v>
      </c>
      <c r="D4619" s="2">
        <v>42005.0</v>
      </c>
      <c r="F4619" s="1" t="s">
        <v>12164</v>
      </c>
      <c r="H4619" s="3">
        <v>20.0</v>
      </c>
      <c r="I4619" s="4" t="s">
        <v>19090</v>
      </c>
      <c r="J4619" s="1" t="s">
        <v>19091</v>
      </c>
      <c r="K4619" s="1" t="s">
        <v>323</v>
      </c>
    </row>
    <row r="4620">
      <c r="A4620" s="1" t="s">
        <v>19092</v>
      </c>
      <c r="B4620" s="1" t="s">
        <v>19093</v>
      </c>
      <c r="C4620" s="1">
        <v>2015.0</v>
      </c>
      <c r="D4620" s="2">
        <v>42005.0</v>
      </c>
      <c r="F4620" s="1" t="s">
        <v>698</v>
      </c>
      <c r="H4620" s="3">
        <v>1.0</v>
      </c>
      <c r="I4620" s="4" t="s">
        <v>19094</v>
      </c>
      <c r="J4620" s="1"/>
      <c r="K4620" s="1" t="s">
        <v>477</v>
      </c>
    </row>
    <row r="4621">
      <c r="A4621" s="1" t="s">
        <v>19095</v>
      </c>
      <c r="B4621" s="1" t="s">
        <v>19096</v>
      </c>
      <c r="C4621" s="1">
        <v>2015.0</v>
      </c>
      <c r="D4621" s="2">
        <v>42005.0</v>
      </c>
      <c r="F4621" s="1" t="s">
        <v>1050</v>
      </c>
      <c r="H4621" s="3">
        <v>0.0</v>
      </c>
      <c r="I4621" s="4" t="s">
        <v>19097</v>
      </c>
      <c r="J4621" s="1" t="s">
        <v>19098</v>
      </c>
      <c r="K4621" s="1" t="s">
        <v>443</v>
      </c>
    </row>
    <row r="4622">
      <c r="A4622" s="1" t="s">
        <v>19099</v>
      </c>
      <c r="B4622" s="1" t="s">
        <v>19100</v>
      </c>
      <c r="C4622" s="1">
        <v>2015.0</v>
      </c>
      <c r="D4622" s="2">
        <v>42005.0</v>
      </c>
      <c r="F4622" s="1" t="s">
        <v>4197</v>
      </c>
      <c r="H4622" s="3">
        <v>27.0</v>
      </c>
      <c r="I4622" s="4" t="s">
        <v>19101</v>
      </c>
      <c r="J4622" s="1"/>
      <c r="K4622" s="1" t="s">
        <v>68</v>
      </c>
    </row>
    <row r="4623">
      <c r="A4623" s="1" t="s">
        <v>19102</v>
      </c>
      <c r="B4623" s="1" t="s">
        <v>19103</v>
      </c>
      <c r="C4623" s="1">
        <v>2015.0</v>
      </c>
      <c r="D4623" s="2">
        <v>42005.0</v>
      </c>
      <c r="F4623" s="1" t="s">
        <v>1050</v>
      </c>
      <c r="H4623" s="3">
        <v>0.0</v>
      </c>
      <c r="I4623" s="4" t="s">
        <v>19104</v>
      </c>
      <c r="J4623" s="1" t="s">
        <v>19105</v>
      </c>
      <c r="K4623" s="1" t="s">
        <v>68</v>
      </c>
    </row>
    <row r="4624">
      <c r="A4624" s="1" t="s">
        <v>19106</v>
      </c>
      <c r="B4624" s="1" t="s">
        <v>19107</v>
      </c>
      <c r="C4624" s="1">
        <v>2015.0</v>
      </c>
      <c r="D4624" s="2">
        <v>42005.0</v>
      </c>
      <c r="F4624" s="1" t="s">
        <v>1050</v>
      </c>
      <c r="H4624" s="3">
        <v>1.0</v>
      </c>
      <c r="I4624" s="4" t="s">
        <v>19108</v>
      </c>
      <c r="J4624" s="1" t="s">
        <v>19109</v>
      </c>
      <c r="K4624" s="1" t="s">
        <v>68</v>
      </c>
    </row>
    <row r="4625">
      <c r="A4625" s="1" t="s">
        <v>19110</v>
      </c>
      <c r="B4625" s="1" t="s">
        <v>19111</v>
      </c>
      <c r="C4625" s="1">
        <v>2015.0</v>
      </c>
      <c r="D4625" s="2">
        <v>42005.0</v>
      </c>
      <c r="F4625" s="1" t="s">
        <v>1050</v>
      </c>
      <c r="H4625" s="3">
        <v>0.0</v>
      </c>
      <c r="I4625" s="4" t="s">
        <v>19112</v>
      </c>
      <c r="J4625" s="1" t="s">
        <v>19113</v>
      </c>
      <c r="K4625" s="1" t="s">
        <v>68</v>
      </c>
    </row>
    <row r="4626">
      <c r="A4626" s="1" t="s">
        <v>19114</v>
      </c>
      <c r="B4626" s="1" t="s">
        <v>19115</v>
      </c>
      <c r="C4626" s="1">
        <v>2015.0</v>
      </c>
      <c r="D4626" s="2">
        <v>42005.0</v>
      </c>
      <c r="F4626" s="1" t="s">
        <v>380</v>
      </c>
      <c r="H4626" s="3">
        <v>28.0</v>
      </c>
      <c r="I4626" s="4" t="s">
        <v>19116</v>
      </c>
      <c r="J4626" s="1" t="s">
        <v>19117</v>
      </c>
      <c r="K4626" s="1" t="s">
        <v>295</v>
      </c>
    </row>
    <row r="4627">
      <c r="A4627" s="1" t="s">
        <v>19118</v>
      </c>
      <c r="B4627" s="1" t="s">
        <v>19119</v>
      </c>
      <c r="C4627" s="1">
        <v>2015.0</v>
      </c>
      <c r="D4627" s="2">
        <v>42005.0</v>
      </c>
      <c r="F4627" s="1" t="s">
        <v>3263</v>
      </c>
      <c r="H4627" s="3">
        <v>8.0</v>
      </c>
      <c r="I4627" s="4" t="s">
        <v>19120</v>
      </c>
      <c r="J4627" s="1" t="s">
        <v>19121</v>
      </c>
      <c r="K4627" s="1" t="s">
        <v>16</v>
      </c>
    </row>
    <row r="4628">
      <c r="A4628" s="1" t="s">
        <v>19122</v>
      </c>
      <c r="B4628" s="1" t="s">
        <v>8424</v>
      </c>
      <c r="C4628" s="1">
        <v>2015.0</v>
      </c>
      <c r="D4628" s="2">
        <v>42005.0</v>
      </c>
      <c r="F4628" s="1" t="s">
        <v>1050</v>
      </c>
      <c r="H4628" s="3">
        <v>0.0</v>
      </c>
      <c r="I4628" s="4" t="s">
        <v>19123</v>
      </c>
      <c r="J4628" s="1" t="s">
        <v>19124</v>
      </c>
      <c r="K4628" s="1" t="s">
        <v>16</v>
      </c>
    </row>
    <row r="4629">
      <c r="A4629" s="1" t="s">
        <v>19125</v>
      </c>
      <c r="B4629" s="1" t="s">
        <v>19126</v>
      </c>
      <c r="C4629" s="1">
        <v>2015.0</v>
      </c>
      <c r="D4629" s="2">
        <v>42005.0</v>
      </c>
      <c r="F4629" s="1" t="s">
        <v>1050</v>
      </c>
      <c r="H4629" s="3">
        <v>1.0</v>
      </c>
      <c r="I4629" s="4" t="s">
        <v>19127</v>
      </c>
      <c r="J4629" s="1" t="s">
        <v>19128</v>
      </c>
      <c r="K4629" s="1" t="s">
        <v>16</v>
      </c>
    </row>
    <row r="4630">
      <c r="A4630" s="1" t="s">
        <v>19129</v>
      </c>
      <c r="B4630" s="1" t="s">
        <v>19130</v>
      </c>
      <c r="C4630" s="1">
        <v>2014.0</v>
      </c>
      <c r="D4630" s="2">
        <v>42004.0</v>
      </c>
      <c r="F4630" s="1" t="s">
        <v>31</v>
      </c>
      <c r="H4630" s="3">
        <v>33.0</v>
      </c>
      <c r="I4630" s="4" t="s">
        <v>19131</v>
      </c>
      <c r="J4630" s="1" t="s">
        <v>19132</v>
      </c>
      <c r="K4630" s="1" t="s">
        <v>926</v>
      </c>
    </row>
    <row r="4631">
      <c r="A4631" s="1" t="s">
        <v>19133</v>
      </c>
      <c r="B4631" s="1" t="s">
        <v>19134</v>
      </c>
      <c r="C4631" s="1">
        <v>2014.0</v>
      </c>
      <c r="D4631" s="2">
        <v>42004.0</v>
      </c>
      <c r="F4631" s="1" t="s">
        <v>5545</v>
      </c>
      <c r="H4631" s="3">
        <v>16.0</v>
      </c>
      <c r="I4631" s="4" t="s">
        <v>19135</v>
      </c>
      <c r="J4631" s="1" t="s">
        <v>19136</v>
      </c>
      <c r="K4631" s="1" t="s">
        <v>28</v>
      </c>
    </row>
    <row r="4632">
      <c r="A4632" s="1" t="s">
        <v>19137</v>
      </c>
      <c r="B4632" s="1" t="s">
        <v>19138</v>
      </c>
      <c r="C4632" s="1">
        <v>2014.0</v>
      </c>
      <c r="D4632" s="2">
        <v>42004.0</v>
      </c>
      <c r="F4632" s="1" t="s">
        <v>1137</v>
      </c>
      <c r="H4632" s="3">
        <v>164.0</v>
      </c>
      <c r="I4632" s="4" t="s">
        <v>19139</v>
      </c>
      <c r="J4632" s="1" t="s">
        <v>19140</v>
      </c>
      <c r="K4632" s="1" t="s">
        <v>16</v>
      </c>
    </row>
    <row r="4633">
      <c r="A4633" s="1" t="s">
        <v>19141</v>
      </c>
      <c r="B4633" s="1" t="s">
        <v>19142</v>
      </c>
      <c r="C4633" s="1">
        <v>2014.0</v>
      </c>
      <c r="D4633" s="2">
        <v>42004.0</v>
      </c>
      <c r="F4633" s="1" t="s">
        <v>3583</v>
      </c>
      <c r="H4633" s="3">
        <v>19.0</v>
      </c>
      <c r="I4633" s="4" t="s">
        <v>19143</v>
      </c>
      <c r="J4633" s="1" t="s">
        <v>19144</v>
      </c>
      <c r="K4633" s="1" t="s">
        <v>926</v>
      </c>
    </row>
    <row r="4634">
      <c r="A4634" s="1" t="s">
        <v>19145</v>
      </c>
      <c r="B4634" s="1" t="s">
        <v>19146</v>
      </c>
      <c r="C4634" s="1">
        <v>2014.0</v>
      </c>
      <c r="D4634" s="2">
        <v>42003.0</v>
      </c>
      <c r="F4634" s="1" t="s">
        <v>3926</v>
      </c>
      <c r="H4634" s="3">
        <v>35.0</v>
      </c>
      <c r="I4634" s="4" t="s">
        <v>19147</v>
      </c>
      <c r="J4634" s="1" t="s">
        <v>19148</v>
      </c>
      <c r="K4634" s="1" t="s">
        <v>926</v>
      </c>
    </row>
    <row r="4635">
      <c r="A4635" s="1" t="s">
        <v>19149</v>
      </c>
      <c r="B4635" s="1" t="s">
        <v>19150</v>
      </c>
      <c r="C4635" s="1">
        <v>2014.0</v>
      </c>
      <c r="D4635" s="2">
        <v>42003.0</v>
      </c>
      <c r="F4635" s="1" t="s">
        <v>2611</v>
      </c>
      <c r="H4635" s="3">
        <v>39.0</v>
      </c>
      <c r="I4635" s="4" t="s">
        <v>19151</v>
      </c>
      <c r="J4635" s="1" t="s">
        <v>19152</v>
      </c>
      <c r="K4635" s="1" t="s">
        <v>403</v>
      </c>
    </row>
    <row r="4636">
      <c r="A4636" s="1" t="s">
        <v>19153</v>
      </c>
      <c r="B4636" s="1" t="s">
        <v>19154</v>
      </c>
      <c r="C4636" s="1">
        <v>2014.0</v>
      </c>
      <c r="D4636" s="2">
        <v>41997.0</v>
      </c>
      <c r="F4636" s="1" t="s">
        <v>1777</v>
      </c>
      <c r="H4636" s="3">
        <v>99.0</v>
      </c>
      <c r="I4636" s="4" t="s">
        <v>19155</v>
      </c>
      <c r="J4636" s="1" t="s">
        <v>19156</v>
      </c>
      <c r="K4636" s="1" t="s">
        <v>295</v>
      </c>
    </row>
    <row r="4637">
      <c r="A4637" s="1" t="s">
        <v>19157</v>
      </c>
      <c r="B4637" s="1" t="s">
        <v>19158</v>
      </c>
      <c r="C4637" s="1">
        <v>2014.0</v>
      </c>
      <c r="D4637" s="2">
        <v>41997.0</v>
      </c>
      <c r="F4637" s="1" t="s">
        <v>1714</v>
      </c>
      <c r="H4637" s="3">
        <v>15.0</v>
      </c>
      <c r="I4637" s="4" t="s">
        <v>19159</v>
      </c>
      <c r="J4637" s="1" t="s">
        <v>19160</v>
      </c>
      <c r="K4637" s="1" t="s">
        <v>16</v>
      </c>
    </row>
    <row r="4638">
      <c r="A4638" s="1" t="s">
        <v>19161</v>
      </c>
      <c r="B4638" s="1" t="s">
        <v>19162</v>
      </c>
      <c r="C4638" s="1">
        <v>2014.0</v>
      </c>
      <c r="D4638" s="2">
        <v>41996.0</v>
      </c>
      <c r="F4638" s="1" t="s">
        <v>519</v>
      </c>
      <c r="H4638" s="3">
        <v>15.0</v>
      </c>
      <c r="I4638" s="4" t="s">
        <v>19163</v>
      </c>
      <c r="J4638" s="1" t="s">
        <v>19164</v>
      </c>
      <c r="K4638" s="1" t="s">
        <v>28</v>
      </c>
    </row>
    <row r="4639">
      <c r="A4639" s="1" t="s">
        <v>19165</v>
      </c>
      <c r="B4639" s="1" t="s">
        <v>19166</v>
      </c>
      <c r="C4639" s="1">
        <v>2014.0</v>
      </c>
      <c r="D4639" s="2">
        <v>41996.0</v>
      </c>
      <c r="F4639" s="1" t="s">
        <v>2634</v>
      </c>
      <c r="H4639" s="3">
        <v>9.0</v>
      </c>
      <c r="I4639" s="4" t="s">
        <v>19167</v>
      </c>
      <c r="J4639" s="1" t="s">
        <v>19168</v>
      </c>
      <c r="K4639" s="1" t="s">
        <v>295</v>
      </c>
    </row>
    <row r="4640">
      <c r="A4640" s="1" t="s">
        <v>19169</v>
      </c>
      <c r="B4640" s="1" t="s">
        <v>19170</v>
      </c>
      <c r="C4640" s="1">
        <v>2014.0</v>
      </c>
      <c r="D4640" s="2">
        <v>41993.0</v>
      </c>
      <c r="F4640" s="1" t="s">
        <v>4374</v>
      </c>
      <c r="H4640" s="3">
        <v>21.0</v>
      </c>
      <c r="I4640" s="4" t="s">
        <v>19171</v>
      </c>
      <c r="J4640" s="1" t="s">
        <v>19172</v>
      </c>
      <c r="K4640" s="1" t="s">
        <v>926</v>
      </c>
    </row>
    <row r="4641">
      <c r="A4641" s="1" t="s">
        <v>19173</v>
      </c>
      <c r="B4641" s="1" t="s">
        <v>19174</v>
      </c>
      <c r="C4641" s="1">
        <v>2014.0</v>
      </c>
      <c r="D4641" s="2">
        <v>41990.0</v>
      </c>
      <c r="F4641" s="1" t="s">
        <v>1349</v>
      </c>
      <c r="H4641" s="3">
        <v>5.0</v>
      </c>
      <c r="I4641" s="4" t="s">
        <v>19175</v>
      </c>
      <c r="J4641" s="1" t="s">
        <v>19176</v>
      </c>
      <c r="K4641" s="1" t="s">
        <v>413</v>
      </c>
    </row>
    <row r="4642">
      <c r="A4642" s="1" t="s">
        <v>19177</v>
      </c>
      <c r="B4642" s="1" t="s">
        <v>19178</v>
      </c>
      <c r="C4642" s="1">
        <v>2014.0</v>
      </c>
      <c r="D4642" s="2">
        <v>41988.0</v>
      </c>
      <c r="F4642" s="1" t="s">
        <v>19179</v>
      </c>
      <c r="H4642" s="3">
        <v>41.0</v>
      </c>
      <c r="I4642" s="4" t="s">
        <v>19180</v>
      </c>
      <c r="J4642" s="1" t="s">
        <v>19181</v>
      </c>
      <c r="K4642" s="1" t="s">
        <v>295</v>
      </c>
    </row>
    <row r="4643">
      <c r="A4643" s="1" t="s">
        <v>19182</v>
      </c>
      <c r="B4643" s="1" t="s">
        <v>19183</v>
      </c>
      <c r="C4643" s="1">
        <v>2014.0</v>
      </c>
      <c r="D4643" s="2">
        <v>41985.0</v>
      </c>
      <c r="F4643" s="1" t="s">
        <v>1358</v>
      </c>
      <c r="H4643" s="3">
        <v>5.0</v>
      </c>
      <c r="I4643" s="4" t="s">
        <v>19184</v>
      </c>
      <c r="J4643" s="1" t="s">
        <v>19185</v>
      </c>
      <c r="K4643" s="1" t="s">
        <v>383</v>
      </c>
    </row>
    <row r="4644">
      <c r="A4644" s="1" t="s">
        <v>19186</v>
      </c>
      <c r="B4644" s="1" t="s">
        <v>19187</v>
      </c>
      <c r="C4644" s="1">
        <v>2014.0</v>
      </c>
      <c r="D4644" s="2">
        <v>41984.0</v>
      </c>
      <c r="F4644" s="1" t="s">
        <v>292</v>
      </c>
      <c r="H4644" s="3">
        <v>5.0</v>
      </c>
      <c r="I4644" s="4" t="s">
        <v>19188</v>
      </c>
      <c r="J4644" s="1" t="s">
        <v>19189</v>
      </c>
      <c r="K4644" s="1" t="s">
        <v>329</v>
      </c>
    </row>
    <row r="4645">
      <c r="A4645" s="1" t="s">
        <v>19190</v>
      </c>
      <c r="B4645" s="1" t="s">
        <v>19191</v>
      </c>
      <c r="C4645" s="1">
        <v>2014.0</v>
      </c>
      <c r="D4645" s="2">
        <v>41984.0</v>
      </c>
      <c r="F4645" s="1" t="s">
        <v>16481</v>
      </c>
      <c r="H4645" s="3">
        <v>14.0</v>
      </c>
      <c r="I4645" s="4" t="s">
        <v>19192</v>
      </c>
      <c r="J4645" s="1" t="s">
        <v>19193</v>
      </c>
      <c r="K4645" s="1" t="s">
        <v>295</v>
      </c>
    </row>
    <row r="4646">
      <c r="A4646" s="1" t="s">
        <v>19194</v>
      </c>
      <c r="B4646" s="1" t="s">
        <v>18371</v>
      </c>
      <c r="C4646" s="1">
        <v>2014.0</v>
      </c>
      <c r="D4646" s="2">
        <v>41984.0</v>
      </c>
      <c r="F4646" s="1" t="s">
        <v>12240</v>
      </c>
      <c r="H4646" s="3">
        <v>32.0</v>
      </c>
      <c r="I4646" s="4" t="s">
        <v>19195</v>
      </c>
      <c r="J4646" s="1" t="s">
        <v>19196</v>
      </c>
      <c r="K4646" s="1" t="s">
        <v>546</v>
      </c>
    </row>
    <row r="4647">
      <c r="A4647" s="1" t="s">
        <v>19197</v>
      </c>
      <c r="B4647" s="1" t="s">
        <v>18371</v>
      </c>
      <c r="C4647" s="1">
        <v>2014.0</v>
      </c>
      <c r="D4647" s="2">
        <v>41983.0</v>
      </c>
      <c r="F4647" s="1" t="s">
        <v>12240</v>
      </c>
      <c r="H4647" s="3">
        <v>24.0</v>
      </c>
      <c r="I4647" s="4" t="s">
        <v>19198</v>
      </c>
      <c r="J4647" s="1" t="s">
        <v>19199</v>
      </c>
      <c r="K4647" s="1" t="s">
        <v>546</v>
      </c>
    </row>
    <row r="4648">
      <c r="A4648" s="1" t="s">
        <v>19200</v>
      </c>
      <c r="B4648" s="1" t="s">
        <v>19201</v>
      </c>
      <c r="C4648" s="1">
        <v>2014.0</v>
      </c>
      <c r="D4648" s="2">
        <v>41983.0</v>
      </c>
      <c r="F4648" s="1" t="s">
        <v>6264</v>
      </c>
      <c r="H4648" s="3">
        <v>12.0</v>
      </c>
      <c r="I4648" s="4" t="s">
        <v>19202</v>
      </c>
      <c r="J4648" s="1" t="s">
        <v>19203</v>
      </c>
      <c r="K4648" s="1" t="s">
        <v>295</v>
      </c>
    </row>
    <row r="4649">
      <c r="A4649" s="1" t="s">
        <v>19204</v>
      </c>
      <c r="B4649" s="1" t="s">
        <v>19205</v>
      </c>
      <c r="C4649" s="1">
        <v>2014.0</v>
      </c>
      <c r="D4649" s="2">
        <v>41977.0</v>
      </c>
      <c r="F4649" s="1" t="s">
        <v>489</v>
      </c>
      <c r="H4649" s="3">
        <v>32.0</v>
      </c>
      <c r="I4649" s="4" t="s">
        <v>19206</v>
      </c>
      <c r="J4649" s="1" t="s">
        <v>19207</v>
      </c>
      <c r="K4649" s="1" t="s">
        <v>295</v>
      </c>
    </row>
    <row r="4650">
      <c r="A4650" s="1" t="s">
        <v>19208</v>
      </c>
      <c r="B4650" s="1" t="s">
        <v>19209</v>
      </c>
      <c r="C4650" s="1">
        <v>2014.0</v>
      </c>
      <c r="D4650" s="2">
        <v>41976.0</v>
      </c>
      <c r="F4650" s="1" t="s">
        <v>2634</v>
      </c>
      <c r="H4650" s="3">
        <v>48.0</v>
      </c>
      <c r="I4650" s="4" t="s">
        <v>19210</v>
      </c>
      <c r="J4650" s="1" t="s">
        <v>19211</v>
      </c>
      <c r="K4650" s="1" t="s">
        <v>383</v>
      </c>
    </row>
    <row r="4651">
      <c r="A4651" s="1" t="s">
        <v>19212</v>
      </c>
      <c r="B4651" s="1" t="s">
        <v>18371</v>
      </c>
      <c r="C4651" s="1">
        <v>2014.0</v>
      </c>
      <c r="D4651" s="2">
        <v>41975.0</v>
      </c>
      <c r="F4651" s="1" t="s">
        <v>12240</v>
      </c>
      <c r="H4651" s="3">
        <v>18.0</v>
      </c>
      <c r="I4651" s="4" t="s">
        <v>19213</v>
      </c>
      <c r="J4651" s="1" t="s">
        <v>19214</v>
      </c>
      <c r="K4651" s="1" t="s">
        <v>546</v>
      </c>
    </row>
    <row r="4652">
      <c r="A4652" s="1" t="s">
        <v>19215</v>
      </c>
      <c r="B4652" s="1" t="s">
        <v>19103</v>
      </c>
      <c r="C4652" s="1">
        <v>2014.0</v>
      </c>
      <c r="D4652" s="2">
        <v>41974.0</v>
      </c>
      <c r="F4652" s="1" t="s">
        <v>698</v>
      </c>
      <c r="H4652" s="3">
        <v>2.0</v>
      </c>
      <c r="I4652" s="4" t="s">
        <v>19216</v>
      </c>
      <c r="J4652" s="1"/>
      <c r="K4652" s="1" t="s">
        <v>68</v>
      </c>
    </row>
    <row r="4653">
      <c r="A4653" s="1" t="s">
        <v>19217</v>
      </c>
      <c r="B4653" s="1" t="s">
        <v>19218</v>
      </c>
      <c r="C4653" s="1">
        <v>2014.0</v>
      </c>
      <c r="D4653" s="2">
        <v>41974.0</v>
      </c>
      <c r="F4653" s="1" t="s">
        <v>4980</v>
      </c>
      <c r="H4653" s="3">
        <v>9.0</v>
      </c>
      <c r="I4653" s="4" t="s">
        <v>19219</v>
      </c>
      <c r="J4653" s="1" t="s">
        <v>19220</v>
      </c>
      <c r="K4653" s="1" t="s">
        <v>16</v>
      </c>
    </row>
    <row r="4654">
      <c r="A4654" s="1" t="s">
        <v>19221</v>
      </c>
      <c r="B4654" s="1" t="s">
        <v>19222</v>
      </c>
      <c r="C4654" s="1">
        <v>2014.0</v>
      </c>
      <c r="D4654" s="2">
        <v>41974.0</v>
      </c>
      <c r="F4654" s="1" t="s">
        <v>81</v>
      </c>
      <c r="H4654" s="3">
        <v>7.0</v>
      </c>
      <c r="I4654" s="4" t="s">
        <v>19223</v>
      </c>
      <c r="J4654" s="1" t="s">
        <v>19224</v>
      </c>
      <c r="K4654" s="1" t="s">
        <v>16</v>
      </c>
    </row>
    <row r="4655">
      <c r="A4655" s="1" t="s">
        <v>19225</v>
      </c>
      <c r="B4655" s="1" t="s">
        <v>19226</v>
      </c>
      <c r="C4655" s="1">
        <v>2014.0</v>
      </c>
      <c r="D4655" s="2">
        <v>41972.0</v>
      </c>
      <c r="F4655" s="1" t="s">
        <v>15114</v>
      </c>
      <c r="H4655" s="3">
        <v>12.0</v>
      </c>
      <c r="I4655" s="4" t="s">
        <v>19227</v>
      </c>
      <c r="J4655" s="1" t="s">
        <v>19228</v>
      </c>
      <c r="K4655" s="1" t="s">
        <v>295</v>
      </c>
    </row>
    <row r="4656">
      <c r="A4656" s="1" t="s">
        <v>19229</v>
      </c>
      <c r="B4656" s="1" t="s">
        <v>19230</v>
      </c>
      <c r="C4656" s="1">
        <v>2014.0</v>
      </c>
      <c r="D4656" s="2">
        <v>41972.0</v>
      </c>
      <c r="F4656" s="1" t="s">
        <v>1777</v>
      </c>
      <c r="H4656" s="3">
        <v>14.0</v>
      </c>
      <c r="I4656" s="4" t="s">
        <v>19231</v>
      </c>
      <c r="J4656" s="1" t="s">
        <v>19232</v>
      </c>
      <c r="K4656" s="1" t="s">
        <v>295</v>
      </c>
    </row>
    <row r="4657">
      <c r="A4657" s="1" t="s">
        <v>19233</v>
      </c>
      <c r="B4657" s="1" t="s">
        <v>19234</v>
      </c>
      <c r="C4657" s="1">
        <v>2014.0</v>
      </c>
      <c r="D4657" s="2">
        <v>41971.0</v>
      </c>
      <c r="F4657" s="1" t="s">
        <v>208</v>
      </c>
      <c r="H4657" s="3">
        <v>3.0</v>
      </c>
      <c r="I4657" s="4" t="s">
        <v>19235</v>
      </c>
      <c r="J4657" s="1" t="s">
        <v>19236</v>
      </c>
      <c r="K4657" s="1" t="s">
        <v>383</v>
      </c>
    </row>
    <row r="4658">
      <c r="A4658" s="1" t="s">
        <v>19237</v>
      </c>
      <c r="B4658" s="1" t="s">
        <v>18371</v>
      </c>
      <c r="C4658" s="1">
        <v>2014.0</v>
      </c>
      <c r="D4658" s="2">
        <v>41969.0</v>
      </c>
      <c r="F4658" s="1" t="s">
        <v>12240</v>
      </c>
      <c r="H4658" s="3">
        <v>63.0</v>
      </c>
      <c r="I4658" s="4" t="s">
        <v>19238</v>
      </c>
      <c r="J4658" s="1" t="s">
        <v>19239</v>
      </c>
      <c r="K4658" s="1" t="s">
        <v>546</v>
      </c>
    </row>
    <row r="4659">
      <c r="A4659" s="1" t="s">
        <v>19240</v>
      </c>
      <c r="B4659" s="1" t="s">
        <v>18371</v>
      </c>
      <c r="C4659" s="1">
        <v>2014.0</v>
      </c>
      <c r="D4659" s="2">
        <v>41969.0</v>
      </c>
      <c r="F4659" s="1" t="s">
        <v>12240</v>
      </c>
      <c r="H4659" s="3">
        <v>165.0</v>
      </c>
      <c r="I4659" s="4" t="s">
        <v>19241</v>
      </c>
      <c r="J4659" s="1" t="s">
        <v>19242</v>
      </c>
      <c r="K4659" s="1" t="s">
        <v>546</v>
      </c>
    </row>
    <row r="4660">
      <c r="A4660" s="1" t="s">
        <v>19243</v>
      </c>
      <c r="B4660" s="1" t="s">
        <v>19244</v>
      </c>
      <c r="C4660" s="1">
        <v>2014.0</v>
      </c>
      <c r="D4660" s="2">
        <v>41969.0</v>
      </c>
      <c r="F4660" s="1" t="s">
        <v>116</v>
      </c>
      <c r="H4660" s="3">
        <v>32.0</v>
      </c>
      <c r="I4660" s="4" t="s">
        <v>19245</v>
      </c>
      <c r="J4660" s="1" t="s">
        <v>19246</v>
      </c>
      <c r="K4660" s="1" t="s">
        <v>16</v>
      </c>
    </row>
    <row r="4661">
      <c r="A4661" s="1" t="s">
        <v>19247</v>
      </c>
      <c r="B4661" s="1" t="s">
        <v>19248</v>
      </c>
      <c r="C4661" s="1">
        <v>2014.0</v>
      </c>
      <c r="D4661" s="2">
        <v>41969.0</v>
      </c>
      <c r="F4661" s="1" t="s">
        <v>208</v>
      </c>
      <c r="H4661" s="3">
        <v>133.0</v>
      </c>
      <c r="I4661" s="4" t="s">
        <v>19249</v>
      </c>
      <c r="J4661" s="1" t="s">
        <v>19250</v>
      </c>
      <c r="K4661" s="1" t="s">
        <v>383</v>
      </c>
    </row>
    <row r="4662">
      <c r="A4662" s="1" t="s">
        <v>19251</v>
      </c>
      <c r="B4662" s="1" t="s">
        <v>19252</v>
      </c>
      <c r="C4662" s="1">
        <v>2014.0</v>
      </c>
      <c r="D4662" s="2">
        <v>41968.0</v>
      </c>
      <c r="F4662" s="1" t="s">
        <v>71</v>
      </c>
      <c r="H4662" s="3">
        <v>33.0</v>
      </c>
      <c r="I4662" s="4" t="s">
        <v>19253</v>
      </c>
      <c r="J4662" s="1" t="s">
        <v>19254</v>
      </c>
      <c r="K4662" s="1" t="s">
        <v>28</v>
      </c>
    </row>
    <row r="4663">
      <c r="A4663" s="1" t="s">
        <v>19255</v>
      </c>
      <c r="B4663" s="1" t="s">
        <v>19256</v>
      </c>
      <c r="C4663" s="1">
        <v>2014.0</v>
      </c>
      <c r="D4663" s="2">
        <v>41968.0</v>
      </c>
      <c r="F4663" s="1" t="s">
        <v>19257</v>
      </c>
      <c r="H4663" s="3">
        <v>24.0</v>
      </c>
      <c r="I4663" s="4" t="s">
        <v>19258</v>
      </c>
      <c r="J4663" s="1" t="s">
        <v>19259</v>
      </c>
      <c r="K4663" s="1" t="s">
        <v>28</v>
      </c>
    </row>
    <row r="4664">
      <c r="A4664" s="1" t="s">
        <v>19260</v>
      </c>
      <c r="B4664" s="1" t="s">
        <v>18268</v>
      </c>
      <c r="C4664" s="1">
        <v>2014.0</v>
      </c>
      <c r="D4664" s="2">
        <v>41968.0</v>
      </c>
      <c r="F4664" s="1" t="s">
        <v>106</v>
      </c>
      <c r="H4664" s="3">
        <v>82.0</v>
      </c>
      <c r="I4664" s="4" t="s">
        <v>19261</v>
      </c>
      <c r="J4664" s="1" t="s">
        <v>19262</v>
      </c>
      <c r="K4664" s="1" t="s">
        <v>68</v>
      </c>
    </row>
    <row r="4665">
      <c r="A4665" s="1" t="s">
        <v>19263</v>
      </c>
      <c r="B4665" s="1" t="s">
        <v>17789</v>
      </c>
      <c r="C4665" s="1">
        <v>2014.0</v>
      </c>
      <c r="D4665" s="2">
        <v>41964.0</v>
      </c>
      <c r="F4665" s="1" t="s">
        <v>157</v>
      </c>
      <c r="H4665" s="3">
        <v>71.0</v>
      </c>
      <c r="I4665" s="4" t="s">
        <v>19264</v>
      </c>
      <c r="J4665" s="1" t="s">
        <v>19265</v>
      </c>
      <c r="K4665" s="1" t="s">
        <v>546</v>
      </c>
    </row>
    <row r="4666">
      <c r="A4666" s="1" t="s">
        <v>19266</v>
      </c>
      <c r="B4666" s="1" t="s">
        <v>19267</v>
      </c>
      <c r="C4666" s="1">
        <v>2014.0</v>
      </c>
      <c r="D4666" s="2">
        <v>41963.0</v>
      </c>
      <c r="F4666" s="1" t="s">
        <v>17242</v>
      </c>
      <c r="H4666" s="3">
        <v>49.0</v>
      </c>
      <c r="I4666" s="4" t="s">
        <v>19268</v>
      </c>
      <c r="J4666" s="1" t="s">
        <v>19269</v>
      </c>
      <c r="K4666" s="1" t="s">
        <v>329</v>
      </c>
    </row>
    <row r="4667">
      <c r="A4667" s="1" t="s">
        <v>19270</v>
      </c>
      <c r="B4667" s="1" t="s">
        <v>19271</v>
      </c>
      <c r="C4667" s="1">
        <v>2014.0</v>
      </c>
      <c r="D4667" s="2">
        <v>41961.0</v>
      </c>
      <c r="F4667" s="1" t="s">
        <v>19272</v>
      </c>
      <c r="H4667" s="3">
        <v>2.0</v>
      </c>
      <c r="I4667" s="4" t="s">
        <v>19273</v>
      </c>
      <c r="J4667" s="1" t="s">
        <v>19274</v>
      </c>
      <c r="K4667" s="1" t="s">
        <v>418</v>
      </c>
    </row>
    <row r="4668">
      <c r="A4668" s="1" t="s">
        <v>19275</v>
      </c>
      <c r="B4668" s="1" t="s">
        <v>19276</v>
      </c>
      <c r="C4668" s="1">
        <v>2014.0</v>
      </c>
      <c r="D4668" s="2">
        <v>41961.0</v>
      </c>
      <c r="F4668" s="1" t="s">
        <v>4848</v>
      </c>
      <c r="H4668" s="3">
        <v>10.0</v>
      </c>
      <c r="I4668" s="4" t="s">
        <v>19277</v>
      </c>
      <c r="J4668" s="1" t="s">
        <v>19278</v>
      </c>
      <c r="K4668" s="1" t="s">
        <v>323</v>
      </c>
    </row>
    <row r="4669">
      <c r="A4669" s="1" t="s">
        <v>19279</v>
      </c>
      <c r="B4669" s="1" t="s">
        <v>19280</v>
      </c>
      <c r="C4669" s="1">
        <v>2014.0</v>
      </c>
      <c r="D4669" s="2">
        <v>41961.0</v>
      </c>
      <c r="F4669" s="1" t="s">
        <v>19272</v>
      </c>
      <c r="H4669" s="3">
        <v>11.0</v>
      </c>
      <c r="I4669" s="4" t="s">
        <v>19281</v>
      </c>
      <c r="J4669" s="1" t="s">
        <v>19282</v>
      </c>
      <c r="K4669" s="1" t="s">
        <v>295</v>
      </c>
    </row>
    <row r="4670">
      <c r="A4670" s="1" t="s">
        <v>19283</v>
      </c>
      <c r="B4670" s="1" t="s">
        <v>19284</v>
      </c>
      <c r="C4670" s="1">
        <v>2014.0</v>
      </c>
      <c r="D4670" s="2">
        <v>41959.0</v>
      </c>
      <c r="F4670" s="1" t="s">
        <v>1040</v>
      </c>
      <c r="H4670" s="3">
        <v>14.0</v>
      </c>
      <c r="I4670" s="4" t="s">
        <v>19285</v>
      </c>
      <c r="J4670" s="1" t="s">
        <v>19286</v>
      </c>
      <c r="K4670" s="1" t="s">
        <v>28</v>
      </c>
    </row>
    <row r="4671">
      <c r="A4671" s="1" t="s">
        <v>19287</v>
      </c>
      <c r="B4671" s="1" t="s">
        <v>19288</v>
      </c>
      <c r="C4671" s="1">
        <v>2014.0</v>
      </c>
      <c r="D4671" s="2">
        <v>41957.0</v>
      </c>
      <c r="F4671" s="1" t="s">
        <v>19289</v>
      </c>
      <c r="H4671" s="3">
        <v>17.0</v>
      </c>
      <c r="I4671" s="4" t="s">
        <v>19290</v>
      </c>
      <c r="J4671" s="1"/>
      <c r="K4671" s="1" t="s">
        <v>16</v>
      </c>
    </row>
    <row r="4672">
      <c r="A4672" s="1" t="s">
        <v>19291</v>
      </c>
      <c r="B4672" s="1" t="s">
        <v>19292</v>
      </c>
      <c r="C4672" s="1">
        <v>2014.0</v>
      </c>
      <c r="D4672" s="2">
        <v>41957.0</v>
      </c>
      <c r="F4672" s="1" t="s">
        <v>59</v>
      </c>
      <c r="H4672" s="3">
        <v>11.0</v>
      </c>
      <c r="I4672" s="4" t="s">
        <v>19293</v>
      </c>
      <c r="J4672" s="1" t="s">
        <v>19294</v>
      </c>
      <c r="K4672" s="1" t="s">
        <v>16</v>
      </c>
    </row>
    <row r="4673">
      <c r="A4673" s="1" t="s">
        <v>19295</v>
      </c>
      <c r="B4673" s="1" t="s">
        <v>19296</v>
      </c>
      <c r="C4673" s="1">
        <v>2014.0</v>
      </c>
      <c r="D4673" s="2">
        <v>41950.0</v>
      </c>
      <c r="F4673" s="1" t="s">
        <v>15750</v>
      </c>
      <c r="H4673" s="3">
        <v>40.0</v>
      </c>
      <c r="I4673" s="4" t="s">
        <v>19297</v>
      </c>
      <c r="J4673" s="1" t="s">
        <v>19298</v>
      </c>
      <c r="K4673" s="1" t="s">
        <v>418</v>
      </c>
    </row>
    <row r="4674">
      <c r="A4674" s="1" t="s">
        <v>19299</v>
      </c>
      <c r="B4674" s="1" t="s">
        <v>19300</v>
      </c>
      <c r="C4674" s="1">
        <v>2014.0</v>
      </c>
      <c r="D4674" s="2">
        <v>41948.0</v>
      </c>
      <c r="F4674" s="1" t="s">
        <v>2634</v>
      </c>
      <c r="H4674" s="3">
        <v>30.0</v>
      </c>
      <c r="I4674" s="4" t="s">
        <v>19301</v>
      </c>
      <c r="J4674" s="1" t="s">
        <v>19302</v>
      </c>
      <c r="K4674" s="1" t="s">
        <v>295</v>
      </c>
    </row>
    <row r="4675">
      <c r="A4675" s="1" t="s">
        <v>19303</v>
      </c>
      <c r="B4675" s="1" t="s">
        <v>19304</v>
      </c>
      <c r="C4675" s="1">
        <v>2014.0</v>
      </c>
      <c r="D4675" s="2">
        <v>41947.0</v>
      </c>
      <c r="F4675" s="1" t="s">
        <v>5090</v>
      </c>
      <c r="H4675" s="3">
        <v>18.0</v>
      </c>
      <c r="I4675" s="4" t="s">
        <v>19305</v>
      </c>
      <c r="J4675" s="1" t="s">
        <v>19306</v>
      </c>
      <c r="K4675" s="1" t="s">
        <v>45</v>
      </c>
    </row>
    <row r="4676">
      <c r="A4676" s="1" t="s">
        <v>19307</v>
      </c>
      <c r="B4676" s="1" t="s">
        <v>19308</v>
      </c>
      <c r="C4676" s="1">
        <v>2014.0</v>
      </c>
      <c r="D4676" s="2">
        <v>41947.0</v>
      </c>
      <c r="F4676" s="1" t="s">
        <v>71</v>
      </c>
      <c r="H4676" s="3">
        <v>22.0</v>
      </c>
      <c r="I4676" s="4" t="s">
        <v>19309</v>
      </c>
      <c r="J4676" s="1" t="s">
        <v>19310</v>
      </c>
      <c r="K4676" s="1" t="s">
        <v>329</v>
      </c>
    </row>
    <row r="4677">
      <c r="A4677" s="1" t="s">
        <v>19311</v>
      </c>
      <c r="B4677" s="1" t="s">
        <v>19312</v>
      </c>
      <c r="C4677" s="1">
        <v>2014.0</v>
      </c>
      <c r="D4677" s="2">
        <v>41947.0</v>
      </c>
      <c r="F4677" s="1" t="s">
        <v>208</v>
      </c>
      <c r="H4677" s="3">
        <v>11.0</v>
      </c>
      <c r="I4677" s="4" t="s">
        <v>19313</v>
      </c>
      <c r="J4677" s="1" t="s">
        <v>19314</v>
      </c>
      <c r="K4677" s="1" t="s">
        <v>1036</v>
      </c>
    </row>
    <row r="4678">
      <c r="A4678" s="1" t="s">
        <v>19315</v>
      </c>
      <c r="B4678" s="1" t="s">
        <v>18487</v>
      </c>
      <c r="C4678" s="1">
        <v>2014.0</v>
      </c>
      <c r="D4678" s="2">
        <v>41946.0</v>
      </c>
      <c r="F4678" s="1" t="s">
        <v>6800</v>
      </c>
      <c r="H4678" s="3">
        <v>27.0</v>
      </c>
      <c r="I4678" s="4" t="s">
        <v>19316</v>
      </c>
      <c r="J4678" s="1" t="s">
        <v>19317</v>
      </c>
      <c r="K4678" s="1" t="s">
        <v>295</v>
      </c>
    </row>
    <row r="4679">
      <c r="A4679" s="1" t="s">
        <v>19318</v>
      </c>
      <c r="B4679" s="1" t="s">
        <v>19319</v>
      </c>
      <c r="C4679" s="1">
        <v>2014.0</v>
      </c>
      <c r="D4679" s="2">
        <v>41946.0</v>
      </c>
      <c r="F4679" s="1" t="s">
        <v>71</v>
      </c>
      <c r="H4679" s="3">
        <v>124.0</v>
      </c>
      <c r="I4679" s="4" t="s">
        <v>19320</v>
      </c>
      <c r="J4679" s="1" t="s">
        <v>19321</v>
      </c>
      <c r="K4679" s="1" t="s">
        <v>295</v>
      </c>
    </row>
    <row r="4680">
      <c r="A4680" s="1" t="s">
        <v>19322</v>
      </c>
      <c r="B4680" s="1" t="s">
        <v>19323</v>
      </c>
      <c r="C4680" s="1">
        <v>2014.0</v>
      </c>
      <c r="D4680" s="2">
        <v>41944.0</v>
      </c>
      <c r="F4680" s="1" t="s">
        <v>14062</v>
      </c>
      <c r="H4680" s="3">
        <v>72.0</v>
      </c>
      <c r="I4680" s="4" t="s">
        <v>19324</v>
      </c>
      <c r="J4680" s="1" t="s">
        <v>19325</v>
      </c>
      <c r="K4680" s="1" t="s">
        <v>1423</v>
      </c>
    </row>
    <row r="4681">
      <c r="A4681" s="1" t="s">
        <v>19326</v>
      </c>
      <c r="B4681" s="1" t="s">
        <v>19327</v>
      </c>
      <c r="C4681" s="1">
        <v>2014.0</v>
      </c>
      <c r="D4681" s="2">
        <v>41943.0</v>
      </c>
      <c r="F4681" s="1" t="s">
        <v>7514</v>
      </c>
      <c r="H4681" s="3">
        <v>38.0</v>
      </c>
      <c r="I4681" s="4" t="s">
        <v>19328</v>
      </c>
      <c r="J4681" s="1" t="s">
        <v>19329</v>
      </c>
      <c r="K4681" s="1" t="s">
        <v>340</v>
      </c>
    </row>
    <row r="4682">
      <c r="A4682" s="1" t="s">
        <v>19330</v>
      </c>
      <c r="B4682" s="1" t="s">
        <v>18371</v>
      </c>
      <c r="C4682" s="1">
        <v>2014.0</v>
      </c>
      <c r="D4682" s="2">
        <v>41943.0</v>
      </c>
      <c r="F4682" s="1" t="s">
        <v>12240</v>
      </c>
      <c r="H4682" s="3">
        <v>24.0</v>
      </c>
      <c r="I4682" s="4" t="s">
        <v>19331</v>
      </c>
      <c r="J4682" s="1" t="s">
        <v>19332</v>
      </c>
      <c r="K4682" s="1" t="s">
        <v>546</v>
      </c>
    </row>
    <row r="4683">
      <c r="A4683" s="1" t="s">
        <v>19333</v>
      </c>
      <c r="B4683" s="1" t="s">
        <v>19334</v>
      </c>
      <c r="C4683" s="1">
        <v>2014.0</v>
      </c>
      <c r="D4683" s="2">
        <v>41943.0</v>
      </c>
      <c r="F4683" s="1" t="s">
        <v>71</v>
      </c>
      <c r="H4683" s="3">
        <v>40.0</v>
      </c>
      <c r="I4683" s="4" t="s">
        <v>19335</v>
      </c>
      <c r="J4683" s="1" t="s">
        <v>19336</v>
      </c>
      <c r="K4683" s="1" t="s">
        <v>16</v>
      </c>
    </row>
    <row r="4684">
      <c r="A4684" s="1" t="s">
        <v>19337</v>
      </c>
      <c r="B4684" s="1" t="s">
        <v>17789</v>
      </c>
      <c r="C4684" s="1">
        <v>2014.0</v>
      </c>
      <c r="D4684" s="2">
        <v>41941.0</v>
      </c>
      <c r="F4684" s="1" t="s">
        <v>12240</v>
      </c>
      <c r="H4684" s="3">
        <v>103.0</v>
      </c>
      <c r="I4684" s="4" t="s">
        <v>19338</v>
      </c>
      <c r="J4684" s="1" t="s">
        <v>19339</v>
      </c>
      <c r="K4684" s="1" t="s">
        <v>546</v>
      </c>
    </row>
    <row r="4685">
      <c r="A4685" s="1" t="s">
        <v>19340</v>
      </c>
      <c r="B4685" s="1" t="s">
        <v>19341</v>
      </c>
      <c r="C4685" s="1">
        <v>2014.0</v>
      </c>
      <c r="D4685" s="2">
        <v>41939.0</v>
      </c>
      <c r="F4685" s="1" t="s">
        <v>2191</v>
      </c>
      <c r="H4685" s="3">
        <v>75.0</v>
      </c>
      <c r="I4685" s="4" t="s">
        <v>19342</v>
      </c>
      <c r="J4685" s="1" t="s">
        <v>19343</v>
      </c>
      <c r="K4685" s="1" t="s">
        <v>28</v>
      </c>
    </row>
    <row r="4686">
      <c r="A4686" s="1" t="s">
        <v>19344</v>
      </c>
      <c r="B4686" s="1" t="s">
        <v>19345</v>
      </c>
      <c r="C4686" s="1">
        <v>2014.0</v>
      </c>
      <c r="D4686" s="2">
        <v>41939.0</v>
      </c>
      <c r="F4686" s="1" t="s">
        <v>4848</v>
      </c>
      <c r="H4686" s="3">
        <v>5.0</v>
      </c>
      <c r="I4686" s="4" t="s">
        <v>19346</v>
      </c>
      <c r="J4686" s="1" t="s">
        <v>19347</v>
      </c>
      <c r="K4686" s="1" t="s">
        <v>295</v>
      </c>
    </row>
    <row r="4687">
      <c r="A4687" s="1" t="s">
        <v>19348</v>
      </c>
      <c r="B4687" s="1" t="s">
        <v>19349</v>
      </c>
      <c r="C4687" s="1">
        <v>2014.0</v>
      </c>
      <c r="D4687" s="2">
        <v>41939.0</v>
      </c>
      <c r="F4687" s="1" t="s">
        <v>2611</v>
      </c>
      <c r="H4687" s="3">
        <v>58.0</v>
      </c>
      <c r="I4687" s="4" t="s">
        <v>19350</v>
      </c>
      <c r="J4687" s="1" t="s">
        <v>19351</v>
      </c>
      <c r="K4687" s="1" t="s">
        <v>68</v>
      </c>
    </row>
    <row r="4688">
      <c r="A4688" s="1" t="s">
        <v>19352</v>
      </c>
      <c r="B4688" s="1" t="s">
        <v>19353</v>
      </c>
      <c r="C4688" s="1">
        <v>2014.0</v>
      </c>
      <c r="D4688" s="2">
        <v>41935.0</v>
      </c>
      <c r="F4688" s="1" t="s">
        <v>3463</v>
      </c>
      <c r="H4688" s="3">
        <v>4.0</v>
      </c>
      <c r="I4688" s="4" t="s">
        <v>19354</v>
      </c>
      <c r="J4688" s="1" t="s">
        <v>19355</v>
      </c>
      <c r="K4688" s="1" t="s">
        <v>28</v>
      </c>
    </row>
    <row r="4689">
      <c r="A4689" s="1" t="s">
        <v>19356</v>
      </c>
      <c r="B4689" s="1" t="s">
        <v>19357</v>
      </c>
      <c r="C4689" s="1">
        <v>2014.0</v>
      </c>
      <c r="D4689" s="2">
        <v>41932.0</v>
      </c>
      <c r="F4689" s="1" t="s">
        <v>59</v>
      </c>
      <c r="H4689" s="3">
        <v>171.0</v>
      </c>
      <c r="I4689" s="4" t="s">
        <v>19358</v>
      </c>
      <c r="J4689" s="1" t="s">
        <v>19359</v>
      </c>
      <c r="K4689" s="1" t="s">
        <v>323</v>
      </c>
    </row>
    <row r="4690">
      <c r="A4690" s="1" t="s">
        <v>19360</v>
      </c>
      <c r="B4690" s="1" t="s">
        <v>19361</v>
      </c>
      <c r="C4690" s="1">
        <v>2014.0</v>
      </c>
      <c r="D4690" s="2">
        <v>41932.0</v>
      </c>
      <c r="F4690" s="1" t="s">
        <v>157</v>
      </c>
      <c r="H4690" s="3">
        <v>126.0</v>
      </c>
      <c r="I4690" s="4" t="s">
        <v>19362</v>
      </c>
      <c r="J4690" s="1" t="s">
        <v>19363</v>
      </c>
      <c r="K4690" s="1" t="s">
        <v>546</v>
      </c>
    </row>
    <row r="4691">
      <c r="A4691" s="1" t="s">
        <v>19364</v>
      </c>
      <c r="B4691" s="1" t="s">
        <v>19365</v>
      </c>
      <c r="C4691" s="1">
        <v>2014.0</v>
      </c>
      <c r="D4691" s="2">
        <v>41930.0</v>
      </c>
      <c r="F4691" s="1" t="s">
        <v>10098</v>
      </c>
      <c r="H4691" s="3">
        <v>27.0</v>
      </c>
      <c r="I4691" s="4" t="s">
        <v>19366</v>
      </c>
      <c r="J4691" s="1" t="s">
        <v>19367</v>
      </c>
      <c r="K4691" s="1" t="s">
        <v>28</v>
      </c>
    </row>
    <row r="4692">
      <c r="A4692" s="1" t="s">
        <v>19368</v>
      </c>
      <c r="B4692" s="1" t="s">
        <v>19369</v>
      </c>
      <c r="C4692" s="1">
        <v>2014.0</v>
      </c>
      <c r="D4692" s="2">
        <v>41929.0</v>
      </c>
      <c r="F4692" s="1" t="s">
        <v>59</v>
      </c>
      <c r="H4692" s="3">
        <v>20.0</v>
      </c>
      <c r="I4692" s="4" t="s">
        <v>19370</v>
      </c>
      <c r="J4692" s="1" t="s">
        <v>19371</v>
      </c>
      <c r="K4692" s="1" t="s">
        <v>28</v>
      </c>
    </row>
    <row r="4693">
      <c r="A4693" s="1" t="s">
        <v>19372</v>
      </c>
      <c r="B4693" s="1" t="s">
        <v>19373</v>
      </c>
      <c r="C4693" s="1">
        <v>2014.0</v>
      </c>
      <c r="D4693" s="2">
        <v>41929.0</v>
      </c>
      <c r="F4693" s="1" t="s">
        <v>1614</v>
      </c>
      <c r="H4693" s="3">
        <v>16.0</v>
      </c>
      <c r="I4693" s="4" t="s">
        <v>19374</v>
      </c>
      <c r="J4693" s="1" t="s">
        <v>19375</v>
      </c>
      <c r="K4693" s="1" t="s">
        <v>295</v>
      </c>
    </row>
    <row r="4694">
      <c r="A4694" s="1" t="s">
        <v>19376</v>
      </c>
      <c r="B4694" s="1" t="s">
        <v>19377</v>
      </c>
      <c r="C4694" s="1">
        <v>2014.0</v>
      </c>
      <c r="D4694" s="2">
        <v>41927.0</v>
      </c>
      <c r="F4694" s="1" t="s">
        <v>12802</v>
      </c>
      <c r="H4694" s="3">
        <v>31.0</v>
      </c>
      <c r="I4694" s="4" t="s">
        <v>19378</v>
      </c>
      <c r="J4694" s="1" t="s">
        <v>19379</v>
      </c>
      <c r="K4694" s="1" t="s">
        <v>413</v>
      </c>
    </row>
    <row r="4695">
      <c r="A4695" s="1" t="s">
        <v>19380</v>
      </c>
      <c r="B4695" s="1" t="s">
        <v>19381</v>
      </c>
      <c r="C4695" s="1">
        <v>2014.0</v>
      </c>
      <c r="D4695" s="2">
        <v>41926.0</v>
      </c>
      <c r="F4695" s="1" t="s">
        <v>2774</v>
      </c>
      <c r="H4695" s="3">
        <v>1007.0</v>
      </c>
      <c r="I4695" s="4" t="s">
        <v>19382</v>
      </c>
      <c r="J4695" s="1" t="s">
        <v>19383</v>
      </c>
      <c r="K4695" s="1" t="s">
        <v>323</v>
      </c>
    </row>
    <row r="4696">
      <c r="A4696" s="1" t="s">
        <v>19384</v>
      </c>
      <c r="B4696" s="1" t="s">
        <v>19385</v>
      </c>
      <c r="C4696" s="1">
        <v>2014.0</v>
      </c>
      <c r="D4696" s="2">
        <v>41926.0</v>
      </c>
      <c r="F4696" s="1" t="s">
        <v>19386</v>
      </c>
      <c r="H4696" s="3">
        <v>10.0</v>
      </c>
      <c r="I4696" s="4" t="s">
        <v>19387</v>
      </c>
      <c r="J4696" s="1" t="s">
        <v>19388</v>
      </c>
      <c r="K4696" s="1" t="s">
        <v>28</v>
      </c>
    </row>
    <row r="4697">
      <c r="A4697" s="1" t="s">
        <v>19389</v>
      </c>
      <c r="B4697" s="1" t="s">
        <v>19390</v>
      </c>
      <c r="C4697" s="1">
        <v>2014.0</v>
      </c>
      <c r="D4697" s="2">
        <v>41925.0</v>
      </c>
      <c r="F4697" s="1" t="s">
        <v>4405</v>
      </c>
      <c r="H4697" s="3">
        <v>24.0</v>
      </c>
      <c r="I4697" s="4" t="s">
        <v>19391</v>
      </c>
      <c r="J4697" s="1" t="s">
        <v>19392</v>
      </c>
      <c r="K4697" s="1" t="s">
        <v>295</v>
      </c>
    </row>
    <row r="4698">
      <c r="A4698" s="1" t="s">
        <v>19393</v>
      </c>
      <c r="B4698" s="1" t="s">
        <v>19394</v>
      </c>
      <c r="C4698" s="1">
        <v>2014.0</v>
      </c>
      <c r="D4698" s="2">
        <v>41922.0</v>
      </c>
      <c r="F4698" s="1" t="s">
        <v>59</v>
      </c>
      <c r="H4698" s="3">
        <v>45.0</v>
      </c>
      <c r="I4698" s="4" t="s">
        <v>19395</v>
      </c>
      <c r="J4698" s="1" t="s">
        <v>19396</v>
      </c>
      <c r="K4698" s="1" t="s">
        <v>16</v>
      </c>
    </row>
    <row r="4699">
      <c r="A4699" s="1" t="s">
        <v>19397</v>
      </c>
      <c r="B4699" s="1" t="s">
        <v>19398</v>
      </c>
      <c r="C4699" s="1">
        <v>2014.0</v>
      </c>
      <c r="D4699" s="2">
        <v>41921.0</v>
      </c>
      <c r="F4699" s="1" t="s">
        <v>3463</v>
      </c>
      <c r="H4699" s="3">
        <v>14.0</v>
      </c>
      <c r="I4699" s="4" t="s">
        <v>19399</v>
      </c>
      <c r="J4699" s="1" t="s">
        <v>19400</v>
      </c>
      <c r="K4699" s="1" t="s">
        <v>45</v>
      </c>
    </row>
    <row r="4700">
      <c r="A4700" s="1" t="s">
        <v>19401</v>
      </c>
      <c r="B4700" s="1" t="s">
        <v>19402</v>
      </c>
      <c r="C4700" s="1">
        <v>2014.0</v>
      </c>
      <c r="D4700" s="2">
        <v>41921.0</v>
      </c>
      <c r="F4700" s="1" t="s">
        <v>59</v>
      </c>
      <c r="H4700" s="3">
        <v>9.0</v>
      </c>
      <c r="I4700" s="4" t="s">
        <v>19403</v>
      </c>
      <c r="J4700" s="1" t="s">
        <v>19404</v>
      </c>
      <c r="K4700" s="1" t="s">
        <v>16</v>
      </c>
    </row>
    <row r="4701">
      <c r="A4701" s="1" t="s">
        <v>19405</v>
      </c>
      <c r="B4701" s="1" t="s">
        <v>17789</v>
      </c>
      <c r="C4701" s="1">
        <v>2014.0</v>
      </c>
      <c r="D4701" s="2">
        <v>41915.0</v>
      </c>
      <c r="F4701" s="1" t="s">
        <v>157</v>
      </c>
      <c r="H4701" s="3">
        <v>83.0</v>
      </c>
      <c r="I4701" s="4" t="s">
        <v>19406</v>
      </c>
      <c r="J4701" s="1" t="s">
        <v>19407</v>
      </c>
      <c r="K4701" s="1" t="s">
        <v>546</v>
      </c>
    </row>
    <row r="4702">
      <c r="A4702" s="1" t="s">
        <v>19408</v>
      </c>
      <c r="B4702" s="1" t="s">
        <v>19409</v>
      </c>
      <c r="C4702" s="1">
        <v>2014.0</v>
      </c>
      <c r="D4702" s="2">
        <v>41914.0</v>
      </c>
      <c r="F4702" s="1" t="s">
        <v>233</v>
      </c>
      <c r="H4702" s="3">
        <v>85.0</v>
      </c>
      <c r="I4702" s="4" t="s">
        <v>19410</v>
      </c>
      <c r="J4702" s="1" t="s">
        <v>19411</v>
      </c>
      <c r="K4702" s="1" t="s">
        <v>383</v>
      </c>
    </row>
    <row r="4703">
      <c r="A4703" s="1" t="s">
        <v>19412</v>
      </c>
      <c r="B4703" s="1" t="s">
        <v>19413</v>
      </c>
      <c r="C4703" s="1">
        <v>2014.0</v>
      </c>
      <c r="D4703" s="2">
        <v>41913.0</v>
      </c>
      <c r="F4703" s="1" t="s">
        <v>10222</v>
      </c>
      <c r="H4703" s="3">
        <v>46.0</v>
      </c>
      <c r="I4703" s="4" t="s">
        <v>19414</v>
      </c>
      <c r="J4703" s="1" t="s">
        <v>19415</v>
      </c>
      <c r="K4703" s="1" t="s">
        <v>28</v>
      </c>
    </row>
    <row r="4704">
      <c r="A4704" s="1" t="s">
        <v>19416</v>
      </c>
      <c r="B4704" s="1" t="s">
        <v>19417</v>
      </c>
      <c r="C4704" s="1">
        <v>2014.0</v>
      </c>
      <c r="D4704" s="2">
        <v>41913.0</v>
      </c>
      <c r="F4704" s="1" t="s">
        <v>711</v>
      </c>
      <c r="H4704" s="3">
        <v>2.0</v>
      </c>
      <c r="I4704" s="4" t="s">
        <v>19418</v>
      </c>
      <c r="J4704" s="1"/>
      <c r="K4704" s="1" t="s">
        <v>28</v>
      </c>
    </row>
    <row r="4705">
      <c r="A4705" s="1" t="s">
        <v>19419</v>
      </c>
      <c r="B4705" s="1" t="s">
        <v>19420</v>
      </c>
      <c r="C4705" s="1">
        <v>2014.0</v>
      </c>
      <c r="D4705" s="2">
        <v>41913.0</v>
      </c>
      <c r="F4705" s="1" t="s">
        <v>19421</v>
      </c>
      <c r="H4705" s="3">
        <v>18.0</v>
      </c>
      <c r="I4705" s="4" t="s">
        <v>19422</v>
      </c>
      <c r="J4705" s="1" t="s">
        <v>19423</v>
      </c>
      <c r="K4705" s="1" t="s">
        <v>1036</v>
      </c>
    </row>
    <row r="4706">
      <c r="A4706" s="1" t="s">
        <v>19424</v>
      </c>
      <c r="B4706" s="1" t="s">
        <v>19425</v>
      </c>
      <c r="C4706" s="1">
        <v>2014.0</v>
      </c>
      <c r="D4706" s="2">
        <v>41912.0</v>
      </c>
      <c r="F4706" s="1" t="s">
        <v>1277</v>
      </c>
      <c r="H4706" s="3">
        <v>41.0</v>
      </c>
      <c r="I4706" s="4" t="s">
        <v>19426</v>
      </c>
      <c r="J4706" s="1" t="s">
        <v>19427</v>
      </c>
      <c r="K4706" s="1" t="s">
        <v>443</v>
      </c>
    </row>
    <row r="4707">
      <c r="A4707" s="1" t="s">
        <v>19428</v>
      </c>
      <c r="B4707" s="1" t="s">
        <v>19429</v>
      </c>
      <c r="C4707" s="1">
        <v>2014.0</v>
      </c>
      <c r="D4707" s="2">
        <v>41910.0</v>
      </c>
      <c r="F4707" s="1" t="s">
        <v>7425</v>
      </c>
      <c r="H4707" s="3">
        <v>134.0</v>
      </c>
      <c r="I4707" s="4" t="s">
        <v>19430</v>
      </c>
      <c r="J4707" s="1" t="s">
        <v>19431</v>
      </c>
      <c r="K4707" s="1" t="s">
        <v>16</v>
      </c>
    </row>
    <row r="4708">
      <c r="A4708" s="1" t="s">
        <v>19432</v>
      </c>
      <c r="B4708" s="1" t="s">
        <v>19433</v>
      </c>
      <c r="C4708" s="1">
        <v>2014.0</v>
      </c>
      <c r="D4708" s="2">
        <v>41909.0</v>
      </c>
      <c r="F4708" s="1" t="s">
        <v>3276</v>
      </c>
      <c r="H4708" s="3">
        <v>151.0</v>
      </c>
      <c r="I4708" s="4" t="s">
        <v>19434</v>
      </c>
      <c r="J4708" s="1" t="s">
        <v>19435</v>
      </c>
      <c r="K4708" s="1" t="s">
        <v>383</v>
      </c>
    </row>
    <row r="4709">
      <c r="A4709" s="1" t="s">
        <v>19436</v>
      </c>
      <c r="B4709" s="1" t="s">
        <v>19437</v>
      </c>
      <c r="C4709" s="1">
        <v>2014.0</v>
      </c>
      <c r="D4709" s="2">
        <v>41907.0</v>
      </c>
      <c r="F4709" s="1" t="s">
        <v>4638</v>
      </c>
      <c r="H4709" s="3">
        <v>115.0</v>
      </c>
      <c r="I4709" s="4" t="s">
        <v>19438</v>
      </c>
      <c r="J4709" s="1"/>
      <c r="K4709" s="1" t="s">
        <v>28</v>
      </c>
    </row>
    <row r="4710">
      <c r="A4710" s="1" t="s">
        <v>19439</v>
      </c>
      <c r="B4710" s="1" t="s">
        <v>19440</v>
      </c>
      <c r="C4710" s="1">
        <v>2014.0</v>
      </c>
      <c r="D4710" s="2">
        <v>41907.0</v>
      </c>
      <c r="F4710" s="1" t="s">
        <v>489</v>
      </c>
      <c r="H4710" s="3">
        <v>50.0</v>
      </c>
      <c r="I4710" s="4" t="s">
        <v>19441</v>
      </c>
      <c r="J4710" s="1" t="s">
        <v>19442</v>
      </c>
      <c r="K4710" s="1" t="s">
        <v>926</v>
      </c>
    </row>
    <row r="4711">
      <c r="A4711" s="1" t="s">
        <v>19443</v>
      </c>
      <c r="B4711" s="1" t="s">
        <v>19444</v>
      </c>
      <c r="C4711" s="1">
        <v>2014.0</v>
      </c>
      <c r="D4711" s="2">
        <v>41907.0</v>
      </c>
      <c r="F4711" s="1" t="s">
        <v>12685</v>
      </c>
      <c r="H4711" s="3">
        <v>0.0</v>
      </c>
      <c r="I4711" s="4" t="s">
        <v>19445</v>
      </c>
      <c r="J4711" s="1" t="s">
        <v>19446</v>
      </c>
      <c r="K4711" s="1" t="s">
        <v>323</v>
      </c>
    </row>
    <row r="4712">
      <c r="A4712" s="1" t="s">
        <v>19447</v>
      </c>
      <c r="B4712" s="1" t="s">
        <v>19448</v>
      </c>
      <c r="C4712" s="1">
        <v>2014.0</v>
      </c>
      <c r="D4712" s="2">
        <v>41907.0</v>
      </c>
      <c r="F4712" s="1" t="s">
        <v>11068</v>
      </c>
      <c r="H4712" s="3">
        <v>3.0</v>
      </c>
      <c r="I4712" s="4" t="s">
        <v>19449</v>
      </c>
      <c r="J4712" s="1" t="s">
        <v>19450</v>
      </c>
      <c r="K4712" s="1" t="s">
        <v>16</v>
      </c>
    </row>
    <row r="4713">
      <c r="A4713" s="1" t="s">
        <v>19451</v>
      </c>
      <c r="B4713" s="1" t="s">
        <v>19452</v>
      </c>
      <c r="C4713" s="1">
        <v>2014.0</v>
      </c>
      <c r="D4713" s="2">
        <v>41906.0</v>
      </c>
      <c r="F4713" s="1" t="s">
        <v>1899</v>
      </c>
      <c r="H4713" s="3">
        <v>51.0</v>
      </c>
      <c r="I4713" s="4" t="s">
        <v>19453</v>
      </c>
      <c r="J4713" s="1" t="s">
        <v>19454</v>
      </c>
      <c r="K4713" s="1" t="s">
        <v>323</v>
      </c>
    </row>
    <row r="4714">
      <c r="A4714" s="1" t="s">
        <v>19455</v>
      </c>
      <c r="B4714" s="1" t="s">
        <v>19456</v>
      </c>
      <c r="C4714" s="1">
        <v>2014.0</v>
      </c>
      <c r="D4714" s="2">
        <v>41906.0</v>
      </c>
      <c r="F4714" s="1" t="s">
        <v>882</v>
      </c>
      <c r="H4714" s="3">
        <v>508.0</v>
      </c>
      <c r="I4714" s="4" t="s">
        <v>19457</v>
      </c>
      <c r="J4714" s="1" t="s">
        <v>19458</v>
      </c>
      <c r="K4714" s="1" t="s">
        <v>317</v>
      </c>
    </row>
    <row r="4715">
      <c r="A4715" s="1" t="s">
        <v>19459</v>
      </c>
      <c r="B4715" s="1" t="s">
        <v>19460</v>
      </c>
      <c r="C4715" s="1">
        <v>2014.0</v>
      </c>
      <c r="D4715" s="2">
        <v>41901.0</v>
      </c>
      <c r="F4715" s="1" t="s">
        <v>19461</v>
      </c>
      <c r="H4715" s="3">
        <v>17.0</v>
      </c>
      <c r="I4715" s="4" t="s">
        <v>19462</v>
      </c>
      <c r="J4715" s="1" t="s">
        <v>19463</v>
      </c>
      <c r="K4715" s="1" t="s">
        <v>383</v>
      </c>
    </row>
    <row r="4716">
      <c r="A4716" s="1" t="s">
        <v>19464</v>
      </c>
      <c r="B4716" s="1" t="s">
        <v>19465</v>
      </c>
      <c r="C4716" s="1">
        <v>2014.0</v>
      </c>
      <c r="D4716" s="2">
        <v>41900.0</v>
      </c>
      <c r="F4716" s="1" t="s">
        <v>1277</v>
      </c>
      <c r="H4716" s="3">
        <v>20.0</v>
      </c>
      <c r="I4716" s="4" t="s">
        <v>19466</v>
      </c>
      <c r="J4716" s="1" t="s">
        <v>19467</v>
      </c>
      <c r="K4716" s="1" t="s">
        <v>295</v>
      </c>
    </row>
    <row r="4717">
      <c r="A4717" s="1" t="s">
        <v>19468</v>
      </c>
      <c r="B4717" s="1" t="s">
        <v>19469</v>
      </c>
      <c r="C4717" s="1">
        <v>2014.0</v>
      </c>
      <c r="D4717" s="2">
        <v>41900.0</v>
      </c>
      <c r="F4717" s="1" t="s">
        <v>12685</v>
      </c>
      <c r="H4717" s="3">
        <v>5.0</v>
      </c>
      <c r="I4717" s="4" t="s">
        <v>19470</v>
      </c>
      <c r="J4717" s="1" t="s">
        <v>19471</v>
      </c>
      <c r="K4717" s="1" t="s">
        <v>413</v>
      </c>
    </row>
    <row r="4718">
      <c r="A4718" s="1" t="s">
        <v>19472</v>
      </c>
      <c r="B4718" s="1" t="s">
        <v>19473</v>
      </c>
      <c r="C4718" s="1">
        <v>2014.0</v>
      </c>
      <c r="D4718" s="2">
        <v>41900.0</v>
      </c>
      <c r="F4718" s="1" t="s">
        <v>6301</v>
      </c>
      <c r="H4718" s="3">
        <v>33.0</v>
      </c>
      <c r="I4718" s="4" t="s">
        <v>19474</v>
      </c>
      <c r="J4718" s="1" t="s">
        <v>19475</v>
      </c>
      <c r="K4718" s="1" t="s">
        <v>16</v>
      </c>
    </row>
    <row r="4719">
      <c r="A4719" s="1" t="s">
        <v>19476</v>
      </c>
      <c r="B4719" s="1" t="s">
        <v>19477</v>
      </c>
      <c r="C4719" s="1">
        <v>2014.0</v>
      </c>
      <c r="D4719" s="2">
        <v>41898.0</v>
      </c>
      <c r="F4719" s="1" t="s">
        <v>308</v>
      </c>
      <c r="H4719" s="3">
        <v>40.0</v>
      </c>
      <c r="I4719" s="4" t="s">
        <v>19478</v>
      </c>
      <c r="J4719" s="1" t="s">
        <v>19479</v>
      </c>
      <c r="K4719" s="1" t="s">
        <v>295</v>
      </c>
    </row>
    <row r="4720">
      <c r="A4720" s="1" t="s">
        <v>19480</v>
      </c>
      <c r="B4720" s="1" t="s">
        <v>19481</v>
      </c>
      <c r="C4720" s="1">
        <v>2014.0</v>
      </c>
      <c r="D4720" s="2">
        <v>41898.0</v>
      </c>
      <c r="F4720" s="1" t="s">
        <v>12240</v>
      </c>
      <c r="H4720" s="3">
        <v>41.0</v>
      </c>
      <c r="I4720" s="4" t="s">
        <v>19482</v>
      </c>
      <c r="J4720" s="1" t="s">
        <v>19483</v>
      </c>
      <c r="K4720" s="1" t="s">
        <v>546</v>
      </c>
    </row>
    <row r="4721">
      <c r="A4721" s="1" t="s">
        <v>19484</v>
      </c>
      <c r="B4721" s="1" t="s">
        <v>19485</v>
      </c>
      <c r="C4721" s="1">
        <v>2014.0</v>
      </c>
      <c r="D4721" s="2">
        <v>41898.0</v>
      </c>
      <c r="F4721" s="1" t="s">
        <v>656</v>
      </c>
      <c r="H4721" s="3">
        <v>17.0</v>
      </c>
      <c r="I4721" s="4" t="s">
        <v>19486</v>
      </c>
      <c r="J4721" s="1" t="s">
        <v>19487</v>
      </c>
      <c r="K4721" s="1" t="s">
        <v>16</v>
      </c>
    </row>
    <row r="4722">
      <c r="A4722" s="1" t="s">
        <v>19488</v>
      </c>
      <c r="B4722" s="1" t="s">
        <v>19489</v>
      </c>
      <c r="C4722" s="1">
        <v>2014.0</v>
      </c>
      <c r="D4722" s="2">
        <v>41898.0</v>
      </c>
      <c r="F4722" s="1" t="s">
        <v>1777</v>
      </c>
      <c r="H4722" s="3">
        <v>19.0</v>
      </c>
      <c r="I4722" s="4" t="s">
        <v>19490</v>
      </c>
      <c r="J4722" s="1" t="s">
        <v>19491</v>
      </c>
      <c r="K4722" s="1" t="s">
        <v>1036</v>
      </c>
    </row>
    <row r="4723">
      <c r="A4723" s="1" t="s">
        <v>19492</v>
      </c>
      <c r="B4723" s="1" t="s">
        <v>19493</v>
      </c>
      <c r="C4723" s="1">
        <v>2014.0</v>
      </c>
      <c r="D4723" s="2">
        <v>41894.0</v>
      </c>
      <c r="F4723" s="1" t="s">
        <v>4848</v>
      </c>
      <c r="H4723" s="3">
        <v>8.0</v>
      </c>
      <c r="I4723" s="4" t="s">
        <v>19494</v>
      </c>
      <c r="J4723" s="1" t="s">
        <v>19495</v>
      </c>
      <c r="K4723" s="1" t="s">
        <v>492</v>
      </c>
    </row>
    <row r="4724">
      <c r="A4724" s="1" t="s">
        <v>19496</v>
      </c>
      <c r="B4724" s="1" t="s">
        <v>19497</v>
      </c>
      <c r="C4724" s="1">
        <v>2014.0</v>
      </c>
      <c r="D4724" s="2">
        <v>41894.0</v>
      </c>
      <c r="F4724" s="1" t="s">
        <v>519</v>
      </c>
      <c r="H4724" s="3">
        <v>111.0</v>
      </c>
      <c r="I4724" s="4" t="s">
        <v>19498</v>
      </c>
      <c r="J4724" s="1" t="s">
        <v>19499</v>
      </c>
      <c r="K4724" s="1" t="s">
        <v>28</v>
      </c>
    </row>
    <row r="4725">
      <c r="A4725" s="1" t="s">
        <v>19500</v>
      </c>
      <c r="B4725" s="1" t="s">
        <v>15899</v>
      </c>
      <c r="C4725" s="1">
        <v>2014.0</v>
      </c>
      <c r="D4725" s="2">
        <v>41887.0</v>
      </c>
      <c r="F4725" s="1" t="s">
        <v>142</v>
      </c>
      <c r="H4725" s="3">
        <v>30.0</v>
      </c>
      <c r="I4725" s="4" t="s">
        <v>19501</v>
      </c>
      <c r="J4725" s="1" t="s">
        <v>19502</v>
      </c>
      <c r="K4725" s="1" t="s">
        <v>16</v>
      </c>
    </row>
    <row r="4726">
      <c r="A4726" s="1" t="s">
        <v>19503</v>
      </c>
      <c r="B4726" s="1" t="s">
        <v>19504</v>
      </c>
      <c r="C4726" s="1">
        <v>2014.0</v>
      </c>
      <c r="D4726" s="2">
        <v>41884.0</v>
      </c>
      <c r="F4726" s="1" t="s">
        <v>12023</v>
      </c>
      <c r="H4726" s="3">
        <v>4.0</v>
      </c>
      <c r="I4726" s="4" t="s">
        <v>19505</v>
      </c>
      <c r="J4726" s="1" t="s">
        <v>19506</v>
      </c>
      <c r="K4726" s="1" t="s">
        <v>443</v>
      </c>
    </row>
    <row r="4727">
      <c r="A4727" s="1" t="s">
        <v>19507</v>
      </c>
      <c r="B4727" s="1" t="s">
        <v>19508</v>
      </c>
      <c r="C4727" s="1">
        <v>2014.0</v>
      </c>
      <c r="D4727" s="2">
        <v>41883.0</v>
      </c>
      <c r="F4727" s="1" t="s">
        <v>17371</v>
      </c>
      <c r="H4727" s="3">
        <v>0.0</v>
      </c>
      <c r="I4727" s="4" t="s">
        <v>19509</v>
      </c>
      <c r="J4727" s="1"/>
      <c r="K4727" s="1" t="s">
        <v>28</v>
      </c>
    </row>
    <row r="4728">
      <c r="A4728" s="1" t="s">
        <v>19510</v>
      </c>
      <c r="B4728" s="1" t="s">
        <v>19511</v>
      </c>
      <c r="C4728" s="1">
        <v>2014.0</v>
      </c>
      <c r="D4728" s="2">
        <v>41883.0</v>
      </c>
      <c r="F4728" s="1" t="s">
        <v>4124</v>
      </c>
      <c r="H4728" s="3">
        <v>10.0</v>
      </c>
      <c r="I4728" s="4" t="s">
        <v>19512</v>
      </c>
      <c r="J4728" s="1"/>
      <c r="K4728" s="1" t="s">
        <v>383</v>
      </c>
    </row>
    <row r="4729">
      <c r="A4729" s="1" t="s">
        <v>19513</v>
      </c>
      <c r="B4729" s="1" t="s">
        <v>19514</v>
      </c>
      <c r="C4729" s="1">
        <v>2014.0</v>
      </c>
      <c r="D4729" s="2">
        <v>41881.0</v>
      </c>
      <c r="F4729" s="1" t="s">
        <v>208</v>
      </c>
      <c r="H4729" s="3">
        <v>369.0</v>
      </c>
      <c r="I4729" s="4" t="s">
        <v>19515</v>
      </c>
      <c r="J4729" s="1" t="s">
        <v>19516</v>
      </c>
      <c r="K4729" s="1" t="s">
        <v>28</v>
      </c>
    </row>
    <row r="4730">
      <c r="A4730" s="1" t="s">
        <v>19517</v>
      </c>
      <c r="B4730" s="1" t="s">
        <v>19518</v>
      </c>
      <c r="C4730" s="1">
        <v>2014.0</v>
      </c>
      <c r="D4730" s="2">
        <v>41879.0</v>
      </c>
      <c r="F4730" s="1" t="s">
        <v>3463</v>
      </c>
      <c r="H4730" s="3">
        <v>13.0</v>
      </c>
      <c r="I4730" s="4" t="s">
        <v>19519</v>
      </c>
      <c r="J4730" s="1" t="s">
        <v>19520</v>
      </c>
      <c r="K4730" s="1" t="s">
        <v>16</v>
      </c>
    </row>
    <row r="4731">
      <c r="A4731" s="1" t="s">
        <v>19521</v>
      </c>
      <c r="B4731" s="1" t="s">
        <v>19522</v>
      </c>
      <c r="C4731" s="1">
        <v>2014.0</v>
      </c>
      <c r="D4731" s="2">
        <v>41877.0</v>
      </c>
      <c r="F4731" s="1" t="s">
        <v>5545</v>
      </c>
      <c r="H4731" s="3">
        <v>33.0</v>
      </c>
      <c r="I4731" s="4" t="s">
        <v>19523</v>
      </c>
      <c r="J4731" s="1" t="s">
        <v>19524</v>
      </c>
      <c r="K4731" s="1" t="s">
        <v>295</v>
      </c>
    </row>
    <row r="4732">
      <c r="A4732" s="1" t="s">
        <v>19525</v>
      </c>
      <c r="B4732" s="1" t="s">
        <v>19526</v>
      </c>
      <c r="C4732" s="1">
        <v>2014.0</v>
      </c>
      <c r="D4732" s="2">
        <v>41877.0</v>
      </c>
      <c r="F4732" s="1" t="s">
        <v>71</v>
      </c>
      <c r="H4732" s="3">
        <v>21.0</v>
      </c>
      <c r="I4732" s="4" t="s">
        <v>19527</v>
      </c>
      <c r="J4732" s="1" t="s">
        <v>19528</v>
      </c>
      <c r="K4732" s="1" t="s">
        <v>323</v>
      </c>
    </row>
    <row r="4733">
      <c r="A4733" s="1" t="s">
        <v>19529</v>
      </c>
      <c r="B4733" s="1" t="s">
        <v>19530</v>
      </c>
      <c r="C4733" s="1">
        <v>2014.0</v>
      </c>
      <c r="D4733" s="2">
        <v>41877.0</v>
      </c>
      <c r="F4733" s="1" t="s">
        <v>1557</v>
      </c>
      <c r="H4733" s="3">
        <v>10.0</v>
      </c>
      <c r="I4733" s="4" t="s">
        <v>19531</v>
      </c>
      <c r="J4733" s="1" t="s">
        <v>19532</v>
      </c>
      <c r="K4733" s="1" t="s">
        <v>295</v>
      </c>
    </row>
    <row r="4734">
      <c r="A4734" s="1" t="s">
        <v>19533</v>
      </c>
      <c r="B4734" s="1" t="s">
        <v>19534</v>
      </c>
      <c r="C4734" s="1">
        <v>2014.0</v>
      </c>
      <c r="D4734" s="2">
        <v>41873.0</v>
      </c>
      <c r="F4734" s="1" t="s">
        <v>1614</v>
      </c>
      <c r="H4734" s="3">
        <v>15.0</v>
      </c>
      <c r="I4734" s="4" t="s">
        <v>19535</v>
      </c>
      <c r="J4734" s="1" t="s">
        <v>19536</v>
      </c>
      <c r="K4734" s="1" t="s">
        <v>45</v>
      </c>
    </row>
    <row r="4735">
      <c r="A4735" s="1" t="s">
        <v>19537</v>
      </c>
      <c r="B4735" s="1" t="s">
        <v>19538</v>
      </c>
      <c r="C4735" s="1">
        <v>2014.0</v>
      </c>
      <c r="D4735" s="2">
        <v>41873.0</v>
      </c>
      <c r="F4735" s="1" t="s">
        <v>1349</v>
      </c>
      <c r="H4735" s="3">
        <v>121.0</v>
      </c>
      <c r="I4735" s="4" t="s">
        <v>19539</v>
      </c>
      <c r="J4735" s="1" t="s">
        <v>19540</v>
      </c>
      <c r="K4735" s="1" t="s">
        <v>492</v>
      </c>
    </row>
    <row r="4736">
      <c r="A4736" s="1" t="s">
        <v>19541</v>
      </c>
      <c r="B4736" s="1" t="s">
        <v>19542</v>
      </c>
      <c r="C4736" s="1">
        <v>2014.0</v>
      </c>
      <c r="D4736" s="2">
        <v>41872.0</v>
      </c>
      <c r="F4736" s="1" t="s">
        <v>396</v>
      </c>
      <c r="H4736" s="3">
        <v>136.0</v>
      </c>
      <c r="I4736" s="4" t="s">
        <v>19543</v>
      </c>
      <c r="J4736" s="1"/>
      <c r="K4736" s="1" t="s">
        <v>418</v>
      </c>
    </row>
    <row r="4737">
      <c r="A4737" s="1" t="s">
        <v>19544</v>
      </c>
      <c r="B4737" s="1" t="s">
        <v>19545</v>
      </c>
      <c r="C4737" s="1">
        <v>2014.0</v>
      </c>
      <c r="D4737" s="2">
        <v>41872.0</v>
      </c>
      <c r="F4737" s="1" t="s">
        <v>12240</v>
      </c>
      <c r="H4737" s="3">
        <v>52.0</v>
      </c>
      <c r="I4737" s="4" t="s">
        <v>19546</v>
      </c>
      <c r="J4737" s="1" t="s">
        <v>19547</v>
      </c>
      <c r="K4737" s="1" t="s">
        <v>546</v>
      </c>
    </row>
    <row r="4738">
      <c r="A4738" s="1" t="s">
        <v>19548</v>
      </c>
      <c r="B4738" s="1" t="s">
        <v>19549</v>
      </c>
      <c r="C4738" s="1">
        <v>2014.0</v>
      </c>
      <c r="D4738" s="2">
        <v>41872.0</v>
      </c>
      <c r="F4738" s="1" t="s">
        <v>71</v>
      </c>
      <c r="H4738" s="3">
        <v>33.0</v>
      </c>
      <c r="I4738" s="4" t="s">
        <v>19550</v>
      </c>
      <c r="J4738" s="1" t="s">
        <v>19551</v>
      </c>
      <c r="K4738" s="1" t="s">
        <v>16</v>
      </c>
    </row>
    <row r="4739">
      <c r="A4739" s="1" t="s">
        <v>19552</v>
      </c>
      <c r="B4739" s="1" t="s">
        <v>19553</v>
      </c>
      <c r="C4739" s="1">
        <v>2014.0</v>
      </c>
      <c r="D4739" s="2">
        <v>41871.0</v>
      </c>
      <c r="F4739" s="1" t="s">
        <v>3463</v>
      </c>
      <c r="H4739" s="3">
        <v>10.0</v>
      </c>
      <c r="I4739" s="4" t="s">
        <v>19554</v>
      </c>
      <c r="J4739" s="1" t="s">
        <v>19555</v>
      </c>
      <c r="K4739" s="1" t="s">
        <v>418</v>
      </c>
    </row>
    <row r="4740">
      <c r="A4740" s="1" t="s">
        <v>19556</v>
      </c>
      <c r="B4740" s="1" t="s">
        <v>19557</v>
      </c>
      <c r="C4740" s="1">
        <v>2014.0</v>
      </c>
      <c r="D4740" s="2">
        <v>41871.0</v>
      </c>
      <c r="F4740" s="1" t="s">
        <v>71</v>
      </c>
      <c r="H4740" s="3">
        <v>36.0</v>
      </c>
      <c r="I4740" s="4" t="s">
        <v>19558</v>
      </c>
      <c r="J4740" s="1" t="s">
        <v>19559</v>
      </c>
      <c r="K4740" s="1" t="s">
        <v>295</v>
      </c>
    </row>
    <row r="4741">
      <c r="A4741" s="1" t="s">
        <v>19560</v>
      </c>
      <c r="B4741" s="1" t="s">
        <v>19561</v>
      </c>
      <c r="C4741" s="1">
        <v>2014.0</v>
      </c>
      <c r="D4741" s="2">
        <v>41866.0</v>
      </c>
      <c r="F4741" s="1" t="s">
        <v>1777</v>
      </c>
      <c r="H4741" s="3">
        <v>26.0</v>
      </c>
      <c r="I4741" s="4" t="s">
        <v>19562</v>
      </c>
      <c r="J4741" s="1" t="s">
        <v>19563</v>
      </c>
      <c r="K4741" s="1" t="s">
        <v>2053</v>
      </c>
    </row>
    <row r="4742">
      <c r="A4742" s="1" t="s">
        <v>19564</v>
      </c>
      <c r="B4742" s="1" t="s">
        <v>19565</v>
      </c>
      <c r="C4742" s="1">
        <v>2014.0</v>
      </c>
      <c r="D4742" s="2">
        <v>41864.0</v>
      </c>
      <c r="F4742" s="1" t="s">
        <v>19566</v>
      </c>
      <c r="H4742" s="3">
        <v>8.0</v>
      </c>
      <c r="I4742" s="4" t="s">
        <v>19567</v>
      </c>
      <c r="J4742" s="1" t="s">
        <v>19568</v>
      </c>
      <c r="K4742" s="1" t="s">
        <v>323</v>
      </c>
    </row>
    <row r="4743">
      <c r="A4743" s="1" t="s">
        <v>19569</v>
      </c>
      <c r="B4743" s="1" t="s">
        <v>19570</v>
      </c>
      <c r="C4743" s="1">
        <v>2014.0</v>
      </c>
      <c r="D4743" s="2">
        <v>41864.0</v>
      </c>
      <c r="F4743" s="1" t="s">
        <v>676</v>
      </c>
      <c r="H4743" s="3">
        <v>28.0</v>
      </c>
      <c r="I4743" s="4" t="s">
        <v>19571</v>
      </c>
      <c r="J4743" s="1" t="s">
        <v>19572</v>
      </c>
      <c r="K4743" s="1" t="s">
        <v>492</v>
      </c>
    </row>
    <row r="4744">
      <c r="A4744" s="1" t="s">
        <v>19573</v>
      </c>
      <c r="B4744" s="1" t="s">
        <v>19574</v>
      </c>
      <c r="C4744" s="1">
        <v>2014.0</v>
      </c>
      <c r="D4744" s="2">
        <v>41864.0</v>
      </c>
      <c r="F4744" s="1" t="s">
        <v>12240</v>
      </c>
      <c r="H4744" s="3">
        <v>19.0</v>
      </c>
      <c r="I4744" s="4" t="s">
        <v>19575</v>
      </c>
      <c r="J4744" s="1" t="s">
        <v>19576</v>
      </c>
      <c r="K4744" s="1" t="s">
        <v>546</v>
      </c>
    </row>
    <row r="4745">
      <c r="A4745" s="1" t="s">
        <v>19577</v>
      </c>
      <c r="B4745" s="1" t="s">
        <v>19578</v>
      </c>
      <c r="C4745" s="1">
        <v>2014.0</v>
      </c>
      <c r="D4745" s="2">
        <v>41864.0</v>
      </c>
      <c r="F4745" s="1" t="s">
        <v>116</v>
      </c>
      <c r="H4745" s="3">
        <v>47.0</v>
      </c>
      <c r="I4745" s="4" t="s">
        <v>19579</v>
      </c>
      <c r="J4745" s="1" t="s">
        <v>19580</v>
      </c>
      <c r="K4745" s="1" t="s">
        <v>295</v>
      </c>
    </row>
    <row r="4746">
      <c r="A4746" s="1" t="s">
        <v>19581</v>
      </c>
      <c r="B4746" s="1" t="s">
        <v>19582</v>
      </c>
      <c r="C4746" s="1">
        <v>2014.0</v>
      </c>
      <c r="D4746" s="2">
        <v>41860.0</v>
      </c>
      <c r="F4746" s="1" t="s">
        <v>5494</v>
      </c>
      <c r="H4746" s="3">
        <v>8.0</v>
      </c>
      <c r="I4746" s="4" t="s">
        <v>19583</v>
      </c>
      <c r="J4746" s="1" t="s">
        <v>19584</v>
      </c>
      <c r="K4746" s="1" t="s">
        <v>477</v>
      </c>
    </row>
    <row r="4747">
      <c r="A4747" s="1" t="s">
        <v>19585</v>
      </c>
      <c r="B4747" s="1" t="s">
        <v>19586</v>
      </c>
      <c r="C4747" s="1">
        <v>2014.0</v>
      </c>
      <c r="D4747" s="2">
        <v>41859.0</v>
      </c>
      <c r="F4747" s="1" t="s">
        <v>4848</v>
      </c>
      <c r="H4747" s="3">
        <v>15.0</v>
      </c>
      <c r="I4747" s="4" t="s">
        <v>19587</v>
      </c>
      <c r="J4747" s="1" t="s">
        <v>19588</v>
      </c>
      <c r="K4747" s="1" t="s">
        <v>413</v>
      </c>
    </row>
    <row r="4748">
      <c r="A4748" s="1" t="s">
        <v>19589</v>
      </c>
      <c r="B4748" s="1" t="s">
        <v>19590</v>
      </c>
      <c r="C4748" s="1">
        <v>2014.0</v>
      </c>
      <c r="D4748" s="2">
        <v>41858.0</v>
      </c>
      <c r="F4748" s="1" t="s">
        <v>5494</v>
      </c>
      <c r="H4748" s="3">
        <v>8.0</v>
      </c>
      <c r="I4748" s="4" t="s">
        <v>19591</v>
      </c>
      <c r="J4748" s="1" t="s">
        <v>19592</v>
      </c>
      <c r="K4748" s="1" t="s">
        <v>68</v>
      </c>
    </row>
    <row r="4749">
      <c r="A4749" s="1" t="s">
        <v>19593</v>
      </c>
      <c r="B4749" s="1" t="s">
        <v>19594</v>
      </c>
      <c r="C4749" s="1">
        <v>2014.0</v>
      </c>
      <c r="D4749" s="2">
        <v>41858.0</v>
      </c>
      <c r="F4749" s="1" t="s">
        <v>14384</v>
      </c>
      <c r="H4749" s="3">
        <v>128.0</v>
      </c>
      <c r="I4749" s="4" t="s">
        <v>19595</v>
      </c>
      <c r="J4749" s="1" t="s">
        <v>19596</v>
      </c>
      <c r="K4749" s="1" t="s">
        <v>383</v>
      </c>
    </row>
    <row r="4750">
      <c r="A4750" s="1" t="s">
        <v>19597</v>
      </c>
      <c r="B4750" s="1" t="s">
        <v>19598</v>
      </c>
      <c r="C4750" s="1">
        <v>2014.0</v>
      </c>
      <c r="D4750" s="2">
        <v>41853.0</v>
      </c>
      <c r="F4750" s="1" t="s">
        <v>2475</v>
      </c>
      <c r="H4750" s="3">
        <v>122.0</v>
      </c>
      <c r="I4750" s="4" t="s">
        <v>19599</v>
      </c>
      <c r="J4750" s="1" t="s">
        <v>19600</v>
      </c>
      <c r="K4750" s="1" t="s">
        <v>323</v>
      </c>
    </row>
    <row r="4751">
      <c r="A4751" s="1" t="s">
        <v>19601</v>
      </c>
      <c r="B4751" s="1" t="s">
        <v>19602</v>
      </c>
      <c r="C4751" s="1">
        <v>2014.0</v>
      </c>
      <c r="D4751" s="2">
        <v>41853.0</v>
      </c>
      <c r="F4751" s="1" t="s">
        <v>4347</v>
      </c>
      <c r="H4751" s="3">
        <v>18.0</v>
      </c>
      <c r="I4751" s="4" t="s">
        <v>19603</v>
      </c>
      <c r="J4751" s="1" t="s">
        <v>19604</v>
      </c>
      <c r="K4751" s="1" t="s">
        <v>323</v>
      </c>
    </row>
    <row r="4752">
      <c r="A4752" s="1" t="s">
        <v>19605</v>
      </c>
      <c r="B4752" s="1" t="s">
        <v>19606</v>
      </c>
      <c r="C4752" s="1">
        <v>2014.0</v>
      </c>
      <c r="D4752" s="2">
        <v>41852.0</v>
      </c>
      <c r="F4752" s="1" t="s">
        <v>3998</v>
      </c>
      <c r="H4752" s="3">
        <v>25.0</v>
      </c>
      <c r="I4752" s="4" t="s">
        <v>19607</v>
      </c>
      <c r="J4752" s="1" t="s">
        <v>19608</v>
      </c>
      <c r="K4752" s="1" t="s">
        <v>68</v>
      </c>
    </row>
    <row r="4753">
      <c r="A4753" s="1" t="s">
        <v>19609</v>
      </c>
      <c r="B4753" s="1" t="s">
        <v>15347</v>
      </c>
      <c r="C4753" s="1">
        <v>2014.0</v>
      </c>
      <c r="D4753" s="2">
        <v>41852.0</v>
      </c>
      <c r="F4753" s="1" t="s">
        <v>223</v>
      </c>
      <c r="H4753" s="3">
        <v>43.0</v>
      </c>
      <c r="I4753" s="4" t="s">
        <v>19610</v>
      </c>
      <c r="J4753" s="1" t="s">
        <v>19611</v>
      </c>
      <c r="K4753" s="1" t="s">
        <v>16</v>
      </c>
    </row>
    <row r="4754">
      <c r="A4754" s="1" t="s">
        <v>19612</v>
      </c>
      <c r="B4754" s="1" t="s">
        <v>19613</v>
      </c>
      <c r="C4754" s="1">
        <v>2014.0</v>
      </c>
      <c r="D4754" s="2">
        <v>41851.0</v>
      </c>
      <c r="F4754" s="1" t="s">
        <v>10892</v>
      </c>
      <c r="H4754" s="3">
        <v>71.0</v>
      </c>
      <c r="I4754" s="4" t="s">
        <v>19614</v>
      </c>
      <c r="J4754" s="1" t="s">
        <v>19615</v>
      </c>
      <c r="K4754" s="1" t="s">
        <v>418</v>
      </c>
    </row>
    <row r="4755">
      <c r="A4755" s="1" t="s">
        <v>19616</v>
      </c>
      <c r="B4755" s="1" t="s">
        <v>19617</v>
      </c>
      <c r="C4755" s="1">
        <v>2014.0</v>
      </c>
      <c r="D4755" s="2">
        <v>41850.0</v>
      </c>
      <c r="F4755" s="1" t="s">
        <v>59</v>
      </c>
      <c r="H4755" s="3">
        <v>14.0</v>
      </c>
      <c r="I4755" s="4" t="s">
        <v>19618</v>
      </c>
      <c r="J4755" s="1" t="s">
        <v>19619</v>
      </c>
      <c r="K4755" s="1" t="s">
        <v>443</v>
      </c>
    </row>
    <row r="4756">
      <c r="A4756" s="1" t="s">
        <v>19620</v>
      </c>
      <c r="B4756" s="1" t="s">
        <v>19621</v>
      </c>
      <c r="C4756" s="1">
        <v>2014.0</v>
      </c>
      <c r="D4756" s="2">
        <v>41849.0</v>
      </c>
      <c r="F4756" s="1" t="s">
        <v>3626</v>
      </c>
      <c r="H4756" s="3">
        <v>30.0</v>
      </c>
      <c r="I4756" s="4" t="s">
        <v>19622</v>
      </c>
      <c r="J4756" s="1" t="s">
        <v>19623</v>
      </c>
      <c r="K4756" s="1" t="s">
        <v>323</v>
      </c>
    </row>
    <row r="4757">
      <c r="A4757" s="1" t="s">
        <v>19624</v>
      </c>
      <c r="B4757" s="1" t="s">
        <v>19625</v>
      </c>
      <c r="C4757" s="1">
        <v>2014.0</v>
      </c>
      <c r="D4757" s="2">
        <v>41848.0</v>
      </c>
      <c r="F4757" s="1" t="s">
        <v>1777</v>
      </c>
      <c r="H4757" s="3">
        <v>7.0</v>
      </c>
      <c r="I4757" s="4" t="s">
        <v>19626</v>
      </c>
      <c r="J4757" s="1" t="s">
        <v>19627</v>
      </c>
      <c r="K4757" s="1" t="s">
        <v>323</v>
      </c>
    </row>
    <row r="4758">
      <c r="A4758" s="1" t="s">
        <v>19628</v>
      </c>
      <c r="B4758" s="1" t="s">
        <v>19629</v>
      </c>
      <c r="C4758" s="1">
        <v>2014.0</v>
      </c>
      <c r="D4758" s="2">
        <v>41844.0</v>
      </c>
      <c r="F4758" s="1" t="s">
        <v>59</v>
      </c>
      <c r="H4758" s="3">
        <v>7.0</v>
      </c>
      <c r="I4758" s="4" t="s">
        <v>19630</v>
      </c>
      <c r="J4758" s="1" t="s">
        <v>19631</v>
      </c>
      <c r="K4758" s="1" t="s">
        <v>295</v>
      </c>
    </row>
    <row r="4759">
      <c r="A4759" s="1" t="s">
        <v>19632</v>
      </c>
      <c r="B4759" s="1" t="s">
        <v>19633</v>
      </c>
      <c r="C4759" s="1">
        <v>2014.0</v>
      </c>
      <c r="D4759" s="2">
        <v>41842.0</v>
      </c>
      <c r="F4759" s="1" t="s">
        <v>208</v>
      </c>
      <c r="H4759" s="3">
        <v>24.0</v>
      </c>
      <c r="I4759" s="4" t="s">
        <v>19634</v>
      </c>
      <c r="J4759" s="1" t="s">
        <v>19635</v>
      </c>
      <c r="K4759" s="1" t="s">
        <v>323</v>
      </c>
    </row>
    <row r="4760">
      <c r="A4760" s="1" t="s">
        <v>19636</v>
      </c>
      <c r="B4760" s="1" t="s">
        <v>19637</v>
      </c>
      <c r="C4760" s="1">
        <v>2014.0</v>
      </c>
      <c r="D4760" s="2">
        <v>41837.0</v>
      </c>
      <c r="F4760" s="1" t="s">
        <v>12685</v>
      </c>
      <c r="H4760" s="3">
        <v>26.0</v>
      </c>
      <c r="I4760" s="4" t="s">
        <v>19638</v>
      </c>
      <c r="J4760" s="1" t="s">
        <v>19639</v>
      </c>
      <c r="K4760" s="1" t="s">
        <v>323</v>
      </c>
    </row>
    <row r="4761">
      <c r="A4761" s="1" t="s">
        <v>19640</v>
      </c>
      <c r="B4761" s="1" t="s">
        <v>19641</v>
      </c>
      <c r="C4761" s="1">
        <v>2014.0</v>
      </c>
      <c r="D4761" s="2">
        <v>41836.0</v>
      </c>
      <c r="F4761" s="1" t="s">
        <v>396</v>
      </c>
      <c r="H4761" s="3">
        <v>11.0</v>
      </c>
      <c r="I4761" s="4" t="s">
        <v>19642</v>
      </c>
      <c r="J4761" s="1"/>
      <c r="K4761" s="1" t="s">
        <v>16</v>
      </c>
    </row>
    <row r="4762">
      <c r="A4762" s="1" t="s">
        <v>19643</v>
      </c>
      <c r="B4762" s="1" t="s">
        <v>19644</v>
      </c>
      <c r="C4762" s="1">
        <v>2014.0</v>
      </c>
      <c r="D4762" s="2">
        <v>41835.0</v>
      </c>
      <c r="F4762" s="1" t="s">
        <v>2634</v>
      </c>
      <c r="H4762" s="3">
        <v>115.0</v>
      </c>
      <c r="I4762" s="4" t="s">
        <v>19645</v>
      </c>
      <c r="J4762" s="1" t="s">
        <v>19646</v>
      </c>
      <c r="K4762" s="1" t="s">
        <v>295</v>
      </c>
    </row>
    <row r="4763">
      <c r="A4763" s="1" t="s">
        <v>19647</v>
      </c>
      <c r="B4763" s="1" t="s">
        <v>19648</v>
      </c>
      <c r="C4763" s="1">
        <v>2014.0</v>
      </c>
      <c r="D4763" s="2">
        <v>41835.0</v>
      </c>
      <c r="F4763" s="1" t="s">
        <v>12240</v>
      </c>
      <c r="H4763" s="3">
        <v>156.0</v>
      </c>
      <c r="I4763" s="4" t="s">
        <v>19649</v>
      </c>
      <c r="J4763" s="1" t="s">
        <v>19650</v>
      </c>
      <c r="K4763" s="1" t="s">
        <v>546</v>
      </c>
    </row>
    <row r="4764">
      <c r="A4764" s="1" t="s">
        <v>19651</v>
      </c>
      <c r="B4764" s="1" t="s">
        <v>19652</v>
      </c>
      <c r="C4764" s="1">
        <v>2014.0</v>
      </c>
      <c r="D4764" s="2">
        <v>41834.0</v>
      </c>
      <c r="F4764" s="1" t="s">
        <v>71</v>
      </c>
      <c r="H4764" s="3">
        <v>143.0</v>
      </c>
      <c r="I4764" s="4" t="s">
        <v>19653</v>
      </c>
      <c r="J4764" s="1" t="s">
        <v>19654</v>
      </c>
      <c r="K4764" s="1" t="s">
        <v>413</v>
      </c>
    </row>
    <row r="4765">
      <c r="A4765" s="1" t="s">
        <v>19655</v>
      </c>
      <c r="B4765" s="1" t="s">
        <v>19656</v>
      </c>
      <c r="C4765" s="1">
        <v>2014.0</v>
      </c>
      <c r="D4765" s="2">
        <v>41832.0</v>
      </c>
      <c r="F4765" s="1" t="s">
        <v>2634</v>
      </c>
      <c r="H4765" s="3">
        <v>57.0</v>
      </c>
      <c r="I4765" s="4" t="s">
        <v>19657</v>
      </c>
      <c r="J4765" s="1" t="s">
        <v>19658</v>
      </c>
      <c r="K4765" s="1" t="s">
        <v>443</v>
      </c>
    </row>
    <row r="4766">
      <c r="A4766" s="1" t="s">
        <v>19659</v>
      </c>
      <c r="B4766" s="1" t="s">
        <v>19660</v>
      </c>
      <c r="C4766" s="1">
        <v>2014.0</v>
      </c>
      <c r="D4766" s="2">
        <v>41830.0</v>
      </c>
      <c r="F4766" s="1" t="s">
        <v>1859</v>
      </c>
      <c r="H4766" s="3">
        <v>21.0</v>
      </c>
      <c r="I4766" s="4" t="s">
        <v>19661</v>
      </c>
      <c r="J4766" s="1" t="s">
        <v>19662</v>
      </c>
      <c r="K4766" s="1" t="s">
        <v>28</v>
      </c>
    </row>
    <row r="4767">
      <c r="A4767" s="1" t="s">
        <v>19663</v>
      </c>
      <c r="B4767" s="1" t="s">
        <v>19664</v>
      </c>
      <c r="C4767" s="1">
        <v>2014.0</v>
      </c>
      <c r="D4767" s="2">
        <v>41830.0</v>
      </c>
      <c r="F4767" s="1" t="s">
        <v>396</v>
      </c>
      <c r="H4767" s="3">
        <v>475.0</v>
      </c>
      <c r="I4767" s="4" t="s">
        <v>19665</v>
      </c>
      <c r="J4767" s="1" t="s">
        <v>19666</v>
      </c>
      <c r="K4767" s="1" t="s">
        <v>16</v>
      </c>
    </row>
    <row r="4768">
      <c r="A4768" s="1" t="s">
        <v>19667</v>
      </c>
      <c r="B4768" s="1" t="s">
        <v>19668</v>
      </c>
      <c r="C4768" s="1">
        <v>2014.0</v>
      </c>
      <c r="D4768" s="2">
        <v>41828.0</v>
      </c>
      <c r="F4768" s="1" t="s">
        <v>1859</v>
      </c>
      <c r="H4768" s="3">
        <v>11.0</v>
      </c>
      <c r="I4768" s="4" t="s">
        <v>19669</v>
      </c>
      <c r="J4768" s="1" t="s">
        <v>19670</v>
      </c>
      <c r="K4768" s="1" t="s">
        <v>45</v>
      </c>
    </row>
    <row r="4769">
      <c r="A4769" s="1" t="s">
        <v>19671</v>
      </c>
      <c r="B4769" s="1" t="s">
        <v>19672</v>
      </c>
      <c r="C4769" s="1">
        <v>2014.0</v>
      </c>
      <c r="D4769" s="2">
        <v>41828.0</v>
      </c>
      <c r="F4769" s="1" t="s">
        <v>2774</v>
      </c>
      <c r="H4769" s="3">
        <v>105.0</v>
      </c>
      <c r="I4769" s="4" t="s">
        <v>19673</v>
      </c>
      <c r="J4769" s="1" t="s">
        <v>19674</v>
      </c>
      <c r="K4769" s="1" t="s">
        <v>28</v>
      </c>
    </row>
    <row r="4770">
      <c r="A4770" s="1" t="s">
        <v>19675</v>
      </c>
      <c r="B4770" s="1" t="s">
        <v>19676</v>
      </c>
      <c r="C4770" s="1">
        <v>2014.0</v>
      </c>
      <c r="D4770" s="2">
        <v>41823.0</v>
      </c>
      <c r="F4770" s="1" t="s">
        <v>1277</v>
      </c>
      <c r="H4770" s="3">
        <v>76.0</v>
      </c>
      <c r="I4770" s="4" t="s">
        <v>19677</v>
      </c>
      <c r="J4770" s="1" t="s">
        <v>19678</v>
      </c>
      <c r="K4770" s="1" t="s">
        <v>28</v>
      </c>
    </row>
    <row r="4771">
      <c r="A4771" s="1" t="s">
        <v>19679</v>
      </c>
      <c r="B4771" s="1" t="s">
        <v>19680</v>
      </c>
      <c r="C4771" s="1">
        <v>2014.0</v>
      </c>
      <c r="D4771" s="2">
        <v>41821.0</v>
      </c>
      <c r="F4771" s="1" t="s">
        <v>2774</v>
      </c>
      <c r="H4771" s="3">
        <v>70.0</v>
      </c>
      <c r="I4771" s="4" t="s">
        <v>19681</v>
      </c>
      <c r="J4771" s="1" t="s">
        <v>19682</v>
      </c>
      <c r="K4771" s="1" t="s">
        <v>28</v>
      </c>
    </row>
    <row r="4772">
      <c r="A4772" s="1" t="s">
        <v>19683</v>
      </c>
      <c r="B4772" s="1" t="s">
        <v>19684</v>
      </c>
      <c r="C4772" s="1">
        <v>2014.0</v>
      </c>
      <c r="D4772" s="2">
        <v>41821.0</v>
      </c>
      <c r="F4772" s="1" t="s">
        <v>12240</v>
      </c>
      <c r="H4772" s="3">
        <v>10.0</v>
      </c>
      <c r="I4772" s="4" t="s">
        <v>19685</v>
      </c>
      <c r="J4772" s="1" t="s">
        <v>19686</v>
      </c>
      <c r="K4772" s="1" t="s">
        <v>16</v>
      </c>
    </row>
    <row r="4773">
      <c r="A4773" s="1" t="s">
        <v>19687</v>
      </c>
      <c r="B4773" s="1" t="s">
        <v>19688</v>
      </c>
      <c r="C4773" s="1">
        <v>2014.0</v>
      </c>
      <c r="D4773" s="2">
        <v>41820.0</v>
      </c>
      <c r="F4773" s="1" t="s">
        <v>71</v>
      </c>
      <c r="H4773" s="3">
        <v>21.0</v>
      </c>
      <c r="I4773" s="4" t="s">
        <v>19689</v>
      </c>
      <c r="J4773" s="1" t="s">
        <v>19690</v>
      </c>
      <c r="K4773" s="1" t="s">
        <v>295</v>
      </c>
    </row>
    <row r="4774">
      <c r="A4774" s="1" t="s">
        <v>19691</v>
      </c>
      <c r="B4774" s="1" t="s">
        <v>19692</v>
      </c>
      <c r="C4774" s="1">
        <v>2014.0</v>
      </c>
      <c r="D4774" s="2">
        <v>41820.0</v>
      </c>
      <c r="F4774" s="1" t="s">
        <v>835</v>
      </c>
      <c r="H4774" s="3">
        <v>12.0</v>
      </c>
      <c r="I4774" s="4" t="s">
        <v>19693</v>
      </c>
      <c r="J4774" s="1" t="s">
        <v>19694</v>
      </c>
      <c r="K4774" s="1" t="s">
        <v>28</v>
      </c>
    </row>
    <row r="4775">
      <c r="A4775" s="1" t="s">
        <v>19695</v>
      </c>
      <c r="B4775" s="1" t="s">
        <v>19696</v>
      </c>
      <c r="C4775" s="1">
        <v>2014.0</v>
      </c>
      <c r="D4775" s="2">
        <v>41820.0</v>
      </c>
      <c r="F4775" s="1" t="s">
        <v>656</v>
      </c>
      <c r="H4775" s="3">
        <v>9.0</v>
      </c>
      <c r="I4775" s="4" t="s">
        <v>19697</v>
      </c>
      <c r="J4775" s="1" t="s">
        <v>19698</v>
      </c>
      <c r="K4775" s="1" t="s">
        <v>16</v>
      </c>
    </row>
    <row r="4776">
      <c r="A4776" s="1" t="s">
        <v>19699</v>
      </c>
      <c r="B4776" s="1" t="s">
        <v>19700</v>
      </c>
      <c r="C4776" s="1">
        <v>2014.0</v>
      </c>
      <c r="D4776" s="2">
        <v>41818.0</v>
      </c>
      <c r="F4776" s="1" t="s">
        <v>4347</v>
      </c>
      <c r="H4776" s="3">
        <v>20.0</v>
      </c>
      <c r="I4776" s="4" t="s">
        <v>19701</v>
      </c>
      <c r="J4776" s="1" t="s">
        <v>19702</v>
      </c>
      <c r="K4776" s="1" t="s">
        <v>323</v>
      </c>
    </row>
    <row r="4777">
      <c r="A4777" s="1" t="s">
        <v>19703</v>
      </c>
      <c r="B4777" s="1" t="s">
        <v>19704</v>
      </c>
      <c r="C4777" s="1">
        <v>2014.0</v>
      </c>
      <c r="D4777" s="2">
        <v>41816.0</v>
      </c>
      <c r="F4777" s="1" t="s">
        <v>13</v>
      </c>
      <c r="H4777" s="3">
        <v>39.0</v>
      </c>
      <c r="I4777" s="4" t="s">
        <v>19705</v>
      </c>
      <c r="J4777" s="1" t="s">
        <v>19706</v>
      </c>
      <c r="K4777" s="1" t="s">
        <v>295</v>
      </c>
    </row>
    <row r="4778">
      <c r="A4778" s="1" t="s">
        <v>19707</v>
      </c>
      <c r="B4778" s="1" t="s">
        <v>19708</v>
      </c>
      <c r="C4778" s="1">
        <v>2014.0</v>
      </c>
      <c r="D4778" s="2">
        <v>41815.0</v>
      </c>
      <c r="F4778" s="1" t="s">
        <v>3351</v>
      </c>
      <c r="H4778" s="3">
        <v>5.0</v>
      </c>
      <c r="I4778" s="4" t="s">
        <v>19709</v>
      </c>
      <c r="J4778" s="1" t="s">
        <v>19710</v>
      </c>
      <c r="K4778" s="1" t="s">
        <v>323</v>
      </c>
    </row>
    <row r="4779">
      <c r="A4779" s="1" t="s">
        <v>19711</v>
      </c>
      <c r="B4779" s="1" t="s">
        <v>19712</v>
      </c>
      <c r="C4779" s="1">
        <v>2014.0</v>
      </c>
      <c r="D4779" s="2">
        <v>41814.0</v>
      </c>
      <c r="F4779" s="1" t="s">
        <v>1277</v>
      </c>
      <c r="H4779" s="3">
        <v>10.0</v>
      </c>
      <c r="I4779" s="4" t="s">
        <v>19713</v>
      </c>
      <c r="J4779" s="1" t="s">
        <v>19714</v>
      </c>
      <c r="K4779" s="1" t="s">
        <v>28</v>
      </c>
    </row>
    <row r="4780">
      <c r="A4780" s="1" t="s">
        <v>19715</v>
      </c>
      <c r="B4780" s="1" t="s">
        <v>19716</v>
      </c>
      <c r="C4780" s="1">
        <v>2014.0</v>
      </c>
      <c r="D4780" s="2">
        <v>41810.0</v>
      </c>
      <c r="F4780" s="1" t="s">
        <v>1938</v>
      </c>
      <c r="H4780" s="3">
        <v>18.0</v>
      </c>
      <c r="I4780" s="4" t="s">
        <v>19717</v>
      </c>
      <c r="J4780" s="1" t="s">
        <v>19718</v>
      </c>
      <c r="K4780" s="1" t="s">
        <v>295</v>
      </c>
    </row>
    <row r="4781">
      <c r="A4781" s="1" t="s">
        <v>19719</v>
      </c>
      <c r="B4781" s="1" t="s">
        <v>19720</v>
      </c>
      <c r="C4781" s="1">
        <v>2014.0</v>
      </c>
      <c r="D4781" s="2">
        <v>41810.0</v>
      </c>
      <c r="F4781" s="1" t="s">
        <v>1938</v>
      </c>
      <c r="H4781" s="3">
        <v>34.0</v>
      </c>
      <c r="I4781" s="4" t="s">
        <v>19721</v>
      </c>
      <c r="J4781" s="1" t="s">
        <v>19722</v>
      </c>
      <c r="K4781" s="1" t="s">
        <v>295</v>
      </c>
    </row>
    <row r="4782">
      <c r="A4782" s="1" t="s">
        <v>19723</v>
      </c>
      <c r="B4782" s="1" t="s">
        <v>19724</v>
      </c>
      <c r="C4782" s="1">
        <v>2014.0</v>
      </c>
      <c r="D4782" s="2">
        <v>41809.0</v>
      </c>
      <c r="F4782" s="1" t="s">
        <v>2560</v>
      </c>
      <c r="H4782" s="3">
        <v>33.0</v>
      </c>
      <c r="I4782" s="4" t="s">
        <v>19725</v>
      </c>
      <c r="J4782" s="1" t="s">
        <v>19726</v>
      </c>
      <c r="K4782" s="1" t="s">
        <v>1036</v>
      </c>
    </row>
    <row r="4783">
      <c r="A4783" s="1" t="s">
        <v>19727</v>
      </c>
      <c r="B4783" s="1" t="s">
        <v>19728</v>
      </c>
      <c r="C4783" s="1">
        <v>2014.0</v>
      </c>
      <c r="D4783" s="2">
        <v>41807.0</v>
      </c>
      <c r="F4783" s="1" t="s">
        <v>5090</v>
      </c>
      <c r="H4783" s="3">
        <v>24.0</v>
      </c>
      <c r="I4783" s="4" t="s">
        <v>19729</v>
      </c>
      <c r="J4783" s="1" t="s">
        <v>19730</v>
      </c>
      <c r="K4783" s="1" t="s">
        <v>45</v>
      </c>
    </row>
    <row r="4784">
      <c r="A4784" s="1" t="s">
        <v>19731</v>
      </c>
      <c r="B4784" s="1" t="s">
        <v>19732</v>
      </c>
      <c r="C4784" s="1">
        <v>2014.0</v>
      </c>
      <c r="D4784" s="2">
        <v>41807.0</v>
      </c>
      <c r="F4784" s="1" t="s">
        <v>1277</v>
      </c>
      <c r="H4784" s="3">
        <v>36.0</v>
      </c>
      <c r="I4784" s="4" t="s">
        <v>19733</v>
      </c>
      <c r="J4784" s="1" t="s">
        <v>19734</v>
      </c>
      <c r="K4784" s="1" t="s">
        <v>443</v>
      </c>
    </row>
    <row r="4785">
      <c r="A4785" s="1" t="s">
        <v>19735</v>
      </c>
      <c r="B4785" s="1" t="s">
        <v>19736</v>
      </c>
      <c r="C4785" s="1">
        <v>2014.0</v>
      </c>
      <c r="D4785" s="2">
        <v>41804.0</v>
      </c>
      <c r="F4785" s="1" t="s">
        <v>8149</v>
      </c>
      <c r="H4785" s="3">
        <v>35.0</v>
      </c>
      <c r="I4785" s="4" t="s">
        <v>19737</v>
      </c>
      <c r="J4785" s="1" t="s">
        <v>19738</v>
      </c>
      <c r="K4785" s="1" t="s">
        <v>295</v>
      </c>
    </row>
    <row r="4786">
      <c r="A4786" s="1" t="s">
        <v>19739</v>
      </c>
      <c r="B4786" s="1" t="s">
        <v>19740</v>
      </c>
      <c r="C4786" s="1">
        <v>2014.0</v>
      </c>
      <c r="D4786" s="2">
        <v>41803.0</v>
      </c>
      <c r="F4786" s="1" t="s">
        <v>157</v>
      </c>
      <c r="H4786" s="3">
        <v>36.0</v>
      </c>
      <c r="I4786" s="4" t="s">
        <v>19741</v>
      </c>
      <c r="J4786" s="1" t="s">
        <v>19742</v>
      </c>
      <c r="K4786" s="1" t="s">
        <v>546</v>
      </c>
    </row>
    <row r="4787">
      <c r="A4787" s="1" t="s">
        <v>19743</v>
      </c>
      <c r="B4787" s="1" t="s">
        <v>19744</v>
      </c>
      <c r="C4787" s="1">
        <v>2014.0</v>
      </c>
      <c r="D4787" s="2">
        <v>41802.0</v>
      </c>
      <c r="F4787" s="1" t="s">
        <v>4197</v>
      </c>
      <c r="H4787" s="3">
        <v>19.0</v>
      </c>
      <c r="I4787" s="4" t="s">
        <v>19745</v>
      </c>
      <c r="J4787" s="1" t="s">
        <v>19746</v>
      </c>
      <c r="K4787" s="1" t="s">
        <v>926</v>
      </c>
    </row>
    <row r="4788">
      <c r="A4788" s="1" t="s">
        <v>19747</v>
      </c>
      <c r="B4788" s="1" t="s">
        <v>19748</v>
      </c>
      <c r="C4788" s="1">
        <v>2014.0</v>
      </c>
      <c r="D4788" s="2">
        <v>41802.0</v>
      </c>
      <c r="F4788" s="1" t="s">
        <v>681</v>
      </c>
      <c r="H4788" s="3">
        <v>17.0</v>
      </c>
      <c r="I4788" s="4" t="s">
        <v>19749</v>
      </c>
      <c r="J4788" s="1" t="s">
        <v>19750</v>
      </c>
      <c r="K4788" s="1" t="s">
        <v>926</v>
      </c>
    </row>
    <row r="4789">
      <c r="A4789" s="1" t="s">
        <v>19751</v>
      </c>
      <c r="B4789" s="1" t="s">
        <v>19752</v>
      </c>
      <c r="C4789" s="1">
        <v>2014.0</v>
      </c>
      <c r="D4789" s="2">
        <v>41799.0</v>
      </c>
      <c r="F4789" s="1" t="s">
        <v>1777</v>
      </c>
      <c r="H4789" s="3">
        <v>7.0</v>
      </c>
      <c r="I4789" s="4" t="s">
        <v>19753</v>
      </c>
      <c r="J4789" s="1" t="s">
        <v>19754</v>
      </c>
      <c r="K4789" s="1" t="s">
        <v>295</v>
      </c>
    </row>
    <row r="4790">
      <c r="A4790" s="1" t="s">
        <v>19755</v>
      </c>
      <c r="B4790" s="1" t="s">
        <v>19756</v>
      </c>
      <c r="C4790" s="1">
        <v>2014.0</v>
      </c>
      <c r="D4790" s="2">
        <v>41799.0</v>
      </c>
      <c r="F4790" s="1" t="s">
        <v>489</v>
      </c>
      <c r="H4790" s="3">
        <v>23.0</v>
      </c>
      <c r="I4790" s="4" t="s">
        <v>19757</v>
      </c>
      <c r="J4790" s="1" t="s">
        <v>19758</v>
      </c>
      <c r="K4790" s="1" t="s">
        <v>443</v>
      </c>
    </row>
    <row r="4791">
      <c r="A4791" s="1" t="s">
        <v>19759</v>
      </c>
      <c r="B4791" s="1" t="s">
        <v>19760</v>
      </c>
      <c r="C4791" s="1">
        <v>2014.0</v>
      </c>
      <c r="D4791" s="2">
        <v>41799.0</v>
      </c>
      <c r="F4791" s="1" t="s">
        <v>59</v>
      </c>
      <c r="H4791" s="3">
        <v>5.0</v>
      </c>
      <c r="I4791" s="4" t="s">
        <v>19761</v>
      </c>
      <c r="J4791" s="1"/>
      <c r="K4791" s="1" t="s">
        <v>16</v>
      </c>
    </row>
    <row r="4792">
      <c r="A4792" s="1" t="s">
        <v>19762</v>
      </c>
      <c r="B4792" s="1" t="s">
        <v>19763</v>
      </c>
      <c r="C4792" s="1">
        <v>2014.0</v>
      </c>
      <c r="D4792" s="2">
        <v>41798.0</v>
      </c>
      <c r="F4792" s="1" t="s">
        <v>12802</v>
      </c>
      <c r="H4792" s="3">
        <v>56.0</v>
      </c>
      <c r="I4792" s="4" t="s">
        <v>19764</v>
      </c>
      <c r="J4792" s="1" t="s">
        <v>19765</v>
      </c>
      <c r="K4792" s="1" t="s">
        <v>413</v>
      </c>
    </row>
    <row r="4793">
      <c r="A4793" s="1" t="s">
        <v>19766</v>
      </c>
      <c r="B4793" s="1" t="s">
        <v>19767</v>
      </c>
      <c r="C4793" s="1">
        <v>2014.0</v>
      </c>
      <c r="D4793" s="2">
        <v>41795.0</v>
      </c>
      <c r="F4793" s="1" t="s">
        <v>11395</v>
      </c>
      <c r="H4793" s="3">
        <v>15.0</v>
      </c>
      <c r="I4793" s="4" t="s">
        <v>19768</v>
      </c>
      <c r="J4793" s="1" t="s">
        <v>19769</v>
      </c>
      <c r="K4793" s="1" t="s">
        <v>443</v>
      </c>
    </row>
    <row r="4794">
      <c r="A4794" s="1" t="s">
        <v>19770</v>
      </c>
      <c r="B4794" s="1" t="s">
        <v>19771</v>
      </c>
      <c r="C4794" s="1">
        <v>2014.0</v>
      </c>
      <c r="D4794" s="2">
        <v>41795.0</v>
      </c>
      <c r="F4794" s="1" t="s">
        <v>71</v>
      </c>
      <c r="H4794" s="3">
        <v>43.0</v>
      </c>
      <c r="I4794" s="4" t="s">
        <v>19772</v>
      </c>
      <c r="J4794" s="1" t="s">
        <v>19773</v>
      </c>
      <c r="K4794" s="1" t="s">
        <v>16</v>
      </c>
    </row>
    <row r="4795">
      <c r="A4795" s="1" t="s">
        <v>19774</v>
      </c>
      <c r="B4795" s="1" t="s">
        <v>19775</v>
      </c>
      <c r="C4795" s="1">
        <v>2014.0</v>
      </c>
      <c r="D4795" s="2">
        <v>41794.0</v>
      </c>
      <c r="F4795" s="1" t="s">
        <v>71</v>
      </c>
      <c r="H4795" s="3">
        <v>21.0</v>
      </c>
      <c r="I4795" s="4" t="s">
        <v>19776</v>
      </c>
      <c r="J4795" s="1" t="s">
        <v>19777</v>
      </c>
      <c r="K4795" s="1" t="s">
        <v>295</v>
      </c>
    </row>
    <row r="4796">
      <c r="A4796" s="1" t="s">
        <v>19778</v>
      </c>
      <c r="B4796" s="1" t="s">
        <v>19779</v>
      </c>
      <c r="C4796" s="1">
        <v>2014.0</v>
      </c>
      <c r="D4796" s="2">
        <v>41793.0</v>
      </c>
      <c r="F4796" s="1" t="s">
        <v>12240</v>
      </c>
      <c r="H4796" s="3">
        <v>42.0</v>
      </c>
      <c r="I4796" s="4" t="s">
        <v>19780</v>
      </c>
      <c r="J4796" s="1" t="s">
        <v>19781</v>
      </c>
      <c r="K4796" s="1" t="s">
        <v>546</v>
      </c>
    </row>
    <row r="4797">
      <c r="A4797" s="1" t="s">
        <v>19782</v>
      </c>
      <c r="B4797" s="1" t="s">
        <v>19783</v>
      </c>
      <c r="C4797" s="1">
        <v>2014.0</v>
      </c>
      <c r="D4797" s="2">
        <v>41791.0</v>
      </c>
      <c r="F4797" s="1" t="s">
        <v>178</v>
      </c>
      <c r="H4797" s="3">
        <v>4.0</v>
      </c>
      <c r="I4797" s="4" t="s">
        <v>19784</v>
      </c>
      <c r="J4797" s="1"/>
      <c r="K4797" s="1" t="s">
        <v>28</v>
      </c>
    </row>
    <row r="4798">
      <c r="A4798" s="1" t="s">
        <v>19785</v>
      </c>
      <c r="B4798" s="1" t="s">
        <v>19786</v>
      </c>
      <c r="C4798" s="1">
        <v>2014.0</v>
      </c>
      <c r="D4798" s="2">
        <v>41788.0</v>
      </c>
      <c r="F4798" s="1" t="s">
        <v>19787</v>
      </c>
      <c r="H4798" s="3">
        <v>35.0</v>
      </c>
      <c r="I4798" s="4" t="s">
        <v>19788</v>
      </c>
      <c r="J4798" s="1" t="s">
        <v>19789</v>
      </c>
      <c r="K4798" s="1" t="s">
        <v>477</v>
      </c>
    </row>
    <row r="4799">
      <c r="A4799" s="1" t="s">
        <v>19790</v>
      </c>
      <c r="B4799" s="1" t="s">
        <v>19791</v>
      </c>
      <c r="C4799" s="1">
        <v>2014.0</v>
      </c>
      <c r="D4799" s="2">
        <v>41787.0</v>
      </c>
      <c r="F4799" s="1" t="s">
        <v>8420</v>
      </c>
      <c r="H4799" s="3">
        <v>55.0</v>
      </c>
      <c r="I4799" s="4" t="s">
        <v>19792</v>
      </c>
      <c r="J4799" s="1" t="s">
        <v>19793</v>
      </c>
      <c r="K4799" s="1" t="s">
        <v>372</v>
      </c>
    </row>
    <row r="4800">
      <c r="A4800" s="1" t="s">
        <v>19794</v>
      </c>
      <c r="B4800" s="1" t="s">
        <v>19795</v>
      </c>
      <c r="C4800" s="1">
        <v>2014.0</v>
      </c>
      <c r="D4800" s="2">
        <v>41786.0</v>
      </c>
      <c r="F4800" s="1" t="s">
        <v>2191</v>
      </c>
      <c r="H4800" s="3">
        <v>33.0</v>
      </c>
      <c r="I4800" s="4" t="s">
        <v>19796</v>
      </c>
      <c r="J4800" s="1" t="s">
        <v>19797</v>
      </c>
      <c r="K4800" s="1" t="s">
        <v>926</v>
      </c>
    </row>
    <row r="4801">
      <c r="A4801" s="1" t="s">
        <v>19798</v>
      </c>
      <c r="B4801" s="1" t="s">
        <v>19799</v>
      </c>
      <c r="C4801" s="1">
        <v>2014.0</v>
      </c>
      <c r="D4801" s="2">
        <v>41785.0</v>
      </c>
      <c r="F4801" s="1" t="s">
        <v>2611</v>
      </c>
      <c r="H4801" s="3">
        <v>172.0</v>
      </c>
      <c r="I4801" s="4" t="s">
        <v>19800</v>
      </c>
      <c r="J4801" s="1" t="s">
        <v>19801</v>
      </c>
      <c r="K4801" s="1" t="s">
        <v>68</v>
      </c>
    </row>
    <row r="4802">
      <c r="A4802" s="1" t="s">
        <v>19802</v>
      </c>
      <c r="B4802" s="1" t="s">
        <v>19803</v>
      </c>
      <c r="C4802" s="1">
        <v>2014.0</v>
      </c>
      <c r="D4802" s="2">
        <v>41784.0</v>
      </c>
      <c r="F4802" s="1" t="s">
        <v>410</v>
      </c>
      <c r="H4802" s="3">
        <v>456.0</v>
      </c>
      <c r="I4802" s="4" t="s">
        <v>19804</v>
      </c>
      <c r="J4802" s="1" t="s">
        <v>19805</v>
      </c>
      <c r="K4802" s="1" t="s">
        <v>16</v>
      </c>
    </row>
    <row r="4803">
      <c r="A4803" s="1" t="s">
        <v>19806</v>
      </c>
      <c r="B4803" s="1" t="s">
        <v>19807</v>
      </c>
      <c r="C4803" s="1">
        <v>2014.0</v>
      </c>
      <c r="D4803" s="2">
        <v>41783.0</v>
      </c>
      <c r="F4803" s="1" t="s">
        <v>15863</v>
      </c>
      <c r="H4803" s="3">
        <v>22.0</v>
      </c>
      <c r="I4803" s="4" t="s">
        <v>19808</v>
      </c>
      <c r="J4803" s="1" t="s">
        <v>19809</v>
      </c>
      <c r="K4803" s="1" t="s">
        <v>16</v>
      </c>
    </row>
    <row r="4804">
      <c r="A4804" s="1" t="s">
        <v>19810</v>
      </c>
      <c r="B4804" s="1" t="s">
        <v>19811</v>
      </c>
      <c r="C4804" s="1">
        <v>2014.0</v>
      </c>
      <c r="D4804" s="2">
        <v>41782.0</v>
      </c>
      <c r="F4804" s="1" t="s">
        <v>271</v>
      </c>
      <c r="H4804" s="3">
        <v>17.0</v>
      </c>
      <c r="I4804" s="4" t="s">
        <v>19812</v>
      </c>
      <c r="J4804" s="1" t="s">
        <v>19813</v>
      </c>
      <c r="K4804" s="1" t="s">
        <v>68</v>
      </c>
    </row>
    <row r="4805">
      <c r="A4805" s="1" t="s">
        <v>19814</v>
      </c>
      <c r="B4805" s="1" t="s">
        <v>19815</v>
      </c>
      <c r="C4805" s="1">
        <v>2014.0</v>
      </c>
      <c r="D4805" s="2">
        <v>41781.0</v>
      </c>
      <c r="F4805" s="1" t="s">
        <v>14908</v>
      </c>
      <c r="H4805" s="3">
        <v>17.0</v>
      </c>
      <c r="I4805" s="4" t="s">
        <v>19816</v>
      </c>
      <c r="J4805" s="1"/>
      <c r="K4805" s="1" t="s">
        <v>28</v>
      </c>
    </row>
    <row r="4806">
      <c r="A4806" s="1" t="s">
        <v>19817</v>
      </c>
      <c r="B4806" s="1" t="s">
        <v>19818</v>
      </c>
      <c r="C4806" s="1">
        <v>2014.0</v>
      </c>
      <c r="D4806" s="2">
        <v>41781.0</v>
      </c>
      <c r="F4806" s="1" t="s">
        <v>386</v>
      </c>
      <c r="H4806" s="3">
        <v>14.0</v>
      </c>
      <c r="I4806" s="4" t="s">
        <v>19819</v>
      </c>
      <c r="J4806" s="1" t="s">
        <v>19820</v>
      </c>
      <c r="K4806" s="1" t="s">
        <v>383</v>
      </c>
    </row>
    <row r="4807">
      <c r="A4807" s="1" t="s">
        <v>19821</v>
      </c>
      <c r="B4807" s="1" t="s">
        <v>19822</v>
      </c>
      <c r="C4807" s="1">
        <v>2014.0</v>
      </c>
      <c r="D4807" s="2">
        <v>41780.0</v>
      </c>
      <c r="F4807" s="1" t="s">
        <v>6713</v>
      </c>
      <c r="H4807" s="3">
        <v>117.0</v>
      </c>
      <c r="I4807" s="4" t="s">
        <v>19823</v>
      </c>
      <c r="J4807" s="1" t="s">
        <v>19824</v>
      </c>
      <c r="K4807" s="1" t="s">
        <v>413</v>
      </c>
    </row>
    <row r="4808">
      <c r="A4808" s="1" t="s">
        <v>19825</v>
      </c>
      <c r="B4808" s="1" t="s">
        <v>19826</v>
      </c>
      <c r="C4808" s="1">
        <v>2014.0</v>
      </c>
      <c r="D4808" s="2">
        <v>41779.0</v>
      </c>
      <c r="F4808" s="1" t="s">
        <v>15289</v>
      </c>
      <c r="H4808" s="3">
        <v>5.0</v>
      </c>
      <c r="I4808" s="4" t="s">
        <v>19827</v>
      </c>
      <c r="J4808" s="1" t="s">
        <v>19828</v>
      </c>
      <c r="K4808" s="1" t="s">
        <v>443</v>
      </c>
    </row>
    <row r="4809">
      <c r="A4809" s="1" t="s">
        <v>19829</v>
      </c>
      <c r="B4809" s="1" t="s">
        <v>19830</v>
      </c>
      <c r="C4809" s="1">
        <v>2014.0</v>
      </c>
      <c r="D4809" s="2">
        <v>41775.0</v>
      </c>
      <c r="F4809" s="1" t="s">
        <v>243</v>
      </c>
      <c r="H4809" s="3">
        <v>50.0</v>
      </c>
      <c r="I4809" s="4" t="s">
        <v>19831</v>
      </c>
      <c r="J4809" s="1" t="s">
        <v>19832</v>
      </c>
      <c r="K4809" s="1" t="s">
        <v>418</v>
      </c>
    </row>
    <row r="4810">
      <c r="A4810" s="1" t="s">
        <v>19833</v>
      </c>
      <c r="B4810" s="1" t="s">
        <v>19834</v>
      </c>
      <c r="C4810" s="1">
        <v>2014.0</v>
      </c>
      <c r="D4810" s="2">
        <v>41774.0</v>
      </c>
      <c r="F4810" s="1" t="s">
        <v>19835</v>
      </c>
      <c r="H4810" s="3">
        <v>59.0</v>
      </c>
      <c r="I4810" s="4" t="s">
        <v>19836</v>
      </c>
      <c r="J4810" s="1" t="s">
        <v>19837</v>
      </c>
      <c r="K4810" s="1" t="s">
        <v>477</v>
      </c>
    </row>
    <row r="4811">
      <c r="A4811" s="1" t="s">
        <v>19838</v>
      </c>
      <c r="B4811" s="1" t="s">
        <v>19839</v>
      </c>
      <c r="C4811" s="1">
        <v>2014.0</v>
      </c>
      <c r="D4811" s="2">
        <v>41771.0</v>
      </c>
      <c r="F4811" s="1" t="s">
        <v>2515</v>
      </c>
      <c r="H4811" s="3">
        <v>60.0</v>
      </c>
      <c r="I4811" s="4" t="s">
        <v>19840</v>
      </c>
      <c r="J4811" s="1" t="s">
        <v>19841</v>
      </c>
      <c r="K4811" s="1" t="s">
        <v>16</v>
      </c>
    </row>
    <row r="4812">
      <c r="A4812" s="1" t="s">
        <v>19842</v>
      </c>
      <c r="B4812" s="1" t="s">
        <v>19843</v>
      </c>
      <c r="C4812" s="1">
        <v>2014.0</v>
      </c>
      <c r="D4812" s="2">
        <v>41769.0</v>
      </c>
      <c r="F4812" s="1" t="s">
        <v>484</v>
      </c>
      <c r="H4812" s="3">
        <v>248.0</v>
      </c>
      <c r="I4812" s="4" t="s">
        <v>19844</v>
      </c>
      <c r="J4812" s="1" t="s">
        <v>19845</v>
      </c>
      <c r="K4812" s="1" t="s">
        <v>1036</v>
      </c>
    </row>
    <row r="4813">
      <c r="A4813" s="1" t="s">
        <v>19846</v>
      </c>
      <c r="B4813" s="1" t="s">
        <v>19847</v>
      </c>
      <c r="C4813" s="1">
        <v>2014.0</v>
      </c>
      <c r="D4813" s="2">
        <v>41768.0</v>
      </c>
      <c r="F4813" s="1" t="s">
        <v>31</v>
      </c>
      <c r="H4813" s="3">
        <v>227.0</v>
      </c>
      <c r="I4813" s="4" t="s">
        <v>19848</v>
      </c>
      <c r="J4813" s="1" t="s">
        <v>19849</v>
      </c>
      <c r="K4813" s="1" t="s">
        <v>295</v>
      </c>
    </row>
    <row r="4814">
      <c r="A4814" s="1" t="s">
        <v>19850</v>
      </c>
      <c r="B4814" s="1" t="s">
        <v>19851</v>
      </c>
      <c r="C4814" s="1">
        <v>2014.0</v>
      </c>
      <c r="D4814" s="2">
        <v>41768.0</v>
      </c>
      <c r="F4814" s="1" t="s">
        <v>71</v>
      </c>
      <c r="H4814" s="3">
        <v>48.0</v>
      </c>
      <c r="I4814" s="4" t="s">
        <v>19852</v>
      </c>
      <c r="J4814" s="1" t="s">
        <v>19853</v>
      </c>
      <c r="K4814" s="1" t="s">
        <v>28</v>
      </c>
    </row>
    <row r="4815">
      <c r="A4815" s="1" t="s">
        <v>19854</v>
      </c>
      <c r="B4815" s="1" t="s">
        <v>19855</v>
      </c>
      <c r="C4815" s="1">
        <v>2014.0</v>
      </c>
      <c r="D4815" s="2">
        <v>41768.0</v>
      </c>
      <c r="F4815" s="1" t="s">
        <v>489</v>
      </c>
      <c r="H4815" s="3">
        <v>13.0</v>
      </c>
      <c r="I4815" s="4" t="s">
        <v>19856</v>
      </c>
      <c r="J4815" s="1" t="s">
        <v>19857</v>
      </c>
      <c r="K4815" s="1" t="s">
        <v>295</v>
      </c>
    </row>
    <row r="4816">
      <c r="A4816" s="1" t="s">
        <v>19858</v>
      </c>
      <c r="B4816" s="1" t="s">
        <v>19859</v>
      </c>
      <c r="C4816" s="1">
        <v>2014.0</v>
      </c>
      <c r="D4816" s="2">
        <v>41766.0</v>
      </c>
      <c r="F4816" s="1" t="s">
        <v>3463</v>
      </c>
      <c r="H4816" s="3">
        <v>79.0</v>
      </c>
      <c r="I4816" s="4" t="s">
        <v>19860</v>
      </c>
      <c r="J4816" s="1" t="s">
        <v>19861</v>
      </c>
      <c r="K4816" s="1" t="s">
        <v>28</v>
      </c>
    </row>
    <row r="4817">
      <c r="A4817" s="1" t="s">
        <v>19862</v>
      </c>
      <c r="B4817" s="1" t="s">
        <v>19863</v>
      </c>
      <c r="C4817" s="1">
        <v>2014.0</v>
      </c>
      <c r="D4817" s="2">
        <v>41766.0</v>
      </c>
      <c r="F4817" s="1" t="s">
        <v>4980</v>
      </c>
      <c r="H4817" s="3">
        <v>26.0</v>
      </c>
      <c r="I4817" s="4" t="s">
        <v>19864</v>
      </c>
      <c r="J4817" s="1" t="s">
        <v>19865</v>
      </c>
      <c r="K4817" s="1" t="s">
        <v>462</v>
      </c>
    </row>
    <row r="4818">
      <c r="A4818" s="1" t="s">
        <v>19866</v>
      </c>
      <c r="B4818" s="1" t="s">
        <v>19867</v>
      </c>
      <c r="C4818" s="1">
        <v>2014.0</v>
      </c>
      <c r="D4818" s="2">
        <v>41764.0</v>
      </c>
      <c r="F4818" s="1" t="s">
        <v>1899</v>
      </c>
      <c r="H4818" s="3">
        <v>0.0</v>
      </c>
      <c r="I4818" s="4" t="s">
        <v>19868</v>
      </c>
      <c r="J4818" s="1"/>
      <c r="K4818" s="1" t="s">
        <v>28</v>
      </c>
    </row>
    <row r="4819">
      <c r="A4819" s="1" t="s">
        <v>19869</v>
      </c>
      <c r="B4819" s="1" t="s">
        <v>19870</v>
      </c>
      <c r="C4819" s="1">
        <v>2014.0</v>
      </c>
      <c r="D4819" s="2">
        <v>41760.0</v>
      </c>
      <c r="F4819" s="1" t="s">
        <v>711</v>
      </c>
      <c r="H4819" s="3">
        <v>0.0</v>
      </c>
      <c r="I4819" s="4" t="s">
        <v>19871</v>
      </c>
      <c r="J4819" s="1"/>
      <c r="K4819" s="1" t="s">
        <v>28</v>
      </c>
    </row>
    <row r="4820">
      <c r="A4820" s="1" t="s">
        <v>19872</v>
      </c>
      <c r="B4820" s="1" t="s">
        <v>18148</v>
      </c>
      <c r="C4820" s="1">
        <v>2014.0</v>
      </c>
      <c r="D4820" s="2">
        <v>41760.0</v>
      </c>
      <c r="F4820" s="1" t="s">
        <v>9276</v>
      </c>
      <c r="H4820" s="3">
        <v>3.0</v>
      </c>
      <c r="I4820" s="4" t="s">
        <v>19873</v>
      </c>
      <c r="J4820" s="1"/>
      <c r="K4820" s="1" t="s">
        <v>28</v>
      </c>
    </row>
    <row r="4821">
      <c r="A4821" s="1" t="s">
        <v>19874</v>
      </c>
      <c r="B4821" s="1" t="s">
        <v>19875</v>
      </c>
      <c r="C4821" s="1">
        <v>2014.0</v>
      </c>
      <c r="D4821" s="2">
        <v>41760.0</v>
      </c>
      <c r="F4821" s="1" t="s">
        <v>337</v>
      </c>
      <c r="H4821" s="3">
        <v>50.0</v>
      </c>
      <c r="I4821" s="4" t="s">
        <v>19876</v>
      </c>
      <c r="J4821" s="1" t="s">
        <v>19877</v>
      </c>
      <c r="K4821" s="1" t="s">
        <v>68</v>
      </c>
    </row>
    <row r="4822">
      <c r="A4822" s="1" t="s">
        <v>19878</v>
      </c>
      <c r="B4822" s="1" t="s">
        <v>19879</v>
      </c>
      <c r="C4822" s="1">
        <v>2014.0</v>
      </c>
      <c r="D4822" s="2">
        <v>41759.0</v>
      </c>
      <c r="F4822" s="1" t="s">
        <v>8818</v>
      </c>
      <c r="H4822" s="3">
        <v>2.0</v>
      </c>
      <c r="I4822" s="4" t="s">
        <v>19880</v>
      </c>
      <c r="K4822" s="1" t="s">
        <v>16</v>
      </c>
    </row>
    <row r="4823">
      <c r="A4823" s="1" t="s">
        <v>19881</v>
      </c>
      <c r="B4823" s="1" t="s">
        <v>19882</v>
      </c>
      <c r="C4823" s="1">
        <v>2014.0</v>
      </c>
      <c r="D4823" s="2">
        <v>41757.0</v>
      </c>
      <c r="F4823" s="1" t="s">
        <v>16029</v>
      </c>
      <c r="H4823" s="3">
        <v>66.0</v>
      </c>
      <c r="I4823" s="4" t="s">
        <v>19883</v>
      </c>
      <c r="J4823" s="1"/>
      <c r="K4823" s="1" t="s">
        <v>28</v>
      </c>
    </row>
    <row r="4824">
      <c r="A4824" s="1" t="s">
        <v>19884</v>
      </c>
      <c r="B4824" s="1" t="s">
        <v>19885</v>
      </c>
      <c r="C4824" s="1">
        <v>2014.0</v>
      </c>
      <c r="D4824" s="2">
        <v>41753.0</v>
      </c>
      <c r="F4824" s="1" t="s">
        <v>208</v>
      </c>
      <c r="H4824" s="3">
        <v>41.0</v>
      </c>
      <c r="I4824" s="4" t="s">
        <v>19886</v>
      </c>
      <c r="J4824" s="1" t="s">
        <v>19887</v>
      </c>
      <c r="K4824" s="1" t="s">
        <v>443</v>
      </c>
    </row>
    <row r="4825">
      <c r="A4825" s="1" t="s">
        <v>19888</v>
      </c>
      <c r="B4825" s="1" t="s">
        <v>19889</v>
      </c>
      <c r="C4825" s="1">
        <v>2014.0</v>
      </c>
      <c r="D4825" s="2">
        <v>41752.0</v>
      </c>
      <c r="F4825" s="1" t="s">
        <v>4063</v>
      </c>
      <c r="H4825" s="3">
        <v>20.0</v>
      </c>
      <c r="I4825" s="4" t="s">
        <v>19890</v>
      </c>
      <c r="J4825" s="1" t="s">
        <v>19891</v>
      </c>
      <c r="K4825" s="1" t="s">
        <v>28</v>
      </c>
    </row>
    <row r="4826">
      <c r="A4826" s="1" t="s">
        <v>19892</v>
      </c>
      <c r="B4826" s="1" t="s">
        <v>19893</v>
      </c>
      <c r="C4826" s="1">
        <v>2014.0</v>
      </c>
      <c r="D4826" s="2">
        <v>41749.0</v>
      </c>
      <c r="F4826" s="1" t="s">
        <v>2119</v>
      </c>
      <c r="H4826" s="3">
        <v>15.0</v>
      </c>
      <c r="I4826" s="4" t="s">
        <v>19894</v>
      </c>
      <c r="J4826" s="1" t="s">
        <v>19895</v>
      </c>
      <c r="K4826" s="1" t="s">
        <v>323</v>
      </c>
    </row>
    <row r="4827">
      <c r="A4827" s="1" t="s">
        <v>19896</v>
      </c>
      <c r="B4827" s="1" t="s">
        <v>19897</v>
      </c>
      <c r="C4827" s="1">
        <v>2014.0</v>
      </c>
      <c r="D4827" s="2">
        <v>41746.0</v>
      </c>
      <c r="F4827" s="1" t="s">
        <v>835</v>
      </c>
      <c r="H4827" s="3">
        <v>18.0</v>
      </c>
      <c r="I4827" s="4" t="s">
        <v>19898</v>
      </c>
      <c r="J4827" s="1" t="s">
        <v>19899</v>
      </c>
      <c r="K4827" s="1" t="s">
        <v>323</v>
      </c>
    </row>
    <row r="4828">
      <c r="A4828" s="1" t="s">
        <v>19900</v>
      </c>
      <c r="B4828" s="1" t="s">
        <v>19901</v>
      </c>
      <c r="C4828" s="1">
        <v>2014.0</v>
      </c>
      <c r="D4828" s="2">
        <v>41746.0</v>
      </c>
      <c r="F4828" s="1" t="s">
        <v>71</v>
      </c>
      <c r="H4828" s="3">
        <v>27.0</v>
      </c>
      <c r="I4828" s="4" t="s">
        <v>19902</v>
      </c>
      <c r="J4828" s="1" t="s">
        <v>19903</v>
      </c>
      <c r="K4828" s="1" t="s">
        <v>28</v>
      </c>
    </row>
    <row r="4829">
      <c r="A4829" s="1" t="s">
        <v>19904</v>
      </c>
      <c r="B4829" s="1" t="s">
        <v>19905</v>
      </c>
      <c r="C4829" s="1">
        <v>2014.0</v>
      </c>
      <c r="D4829" s="2">
        <v>41745.0</v>
      </c>
      <c r="F4829" s="1" t="s">
        <v>31</v>
      </c>
      <c r="H4829" s="3">
        <v>52.0</v>
      </c>
      <c r="I4829" s="4" t="s">
        <v>19906</v>
      </c>
      <c r="J4829" s="1" t="s">
        <v>19907</v>
      </c>
      <c r="K4829" s="1" t="s">
        <v>28</v>
      </c>
    </row>
    <row r="4830">
      <c r="A4830" s="1" t="s">
        <v>19908</v>
      </c>
      <c r="B4830" s="1" t="s">
        <v>19909</v>
      </c>
      <c r="C4830" s="1">
        <v>2014.0</v>
      </c>
      <c r="D4830" s="2">
        <v>41745.0</v>
      </c>
      <c r="F4830" s="1" t="s">
        <v>1505</v>
      </c>
      <c r="H4830" s="3">
        <v>195.0</v>
      </c>
      <c r="I4830" s="4" t="s">
        <v>19910</v>
      </c>
      <c r="J4830" s="1" t="s">
        <v>19911</v>
      </c>
      <c r="K4830" s="1" t="s">
        <v>16</v>
      </c>
    </row>
    <row r="4831">
      <c r="A4831" s="1" t="s">
        <v>19912</v>
      </c>
      <c r="B4831" s="1" t="s">
        <v>19913</v>
      </c>
      <c r="C4831" s="1">
        <v>2014.0</v>
      </c>
      <c r="D4831" s="2">
        <v>41744.0</v>
      </c>
      <c r="F4831" s="1" t="s">
        <v>605</v>
      </c>
      <c r="H4831" s="3">
        <v>15.0</v>
      </c>
      <c r="I4831" s="4" t="s">
        <v>19914</v>
      </c>
      <c r="J4831" s="1" t="s">
        <v>19915</v>
      </c>
      <c r="K4831" s="1" t="s">
        <v>443</v>
      </c>
    </row>
    <row r="4832">
      <c r="A4832" s="1" t="s">
        <v>19916</v>
      </c>
      <c r="B4832" s="1" t="s">
        <v>19917</v>
      </c>
      <c r="C4832" s="1">
        <v>2014.0</v>
      </c>
      <c r="D4832" s="2">
        <v>41739.0</v>
      </c>
      <c r="F4832" s="1" t="s">
        <v>337</v>
      </c>
      <c r="H4832" s="3">
        <v>132.0</v>
      </c>
      <c r="I4832" s="4" t="s">
        <v>19918</v>
      </c>
      <c r="J4832" s="1" t="s">
        <v>19919</v>
      </c>
      <c r="K4832" s="1" t="s">
        <v>16</v>
      </c>
    </row>
    <row r="4833">
      <c r="A4833" s="1" t="s">
        <v>19920</v>
      </c>
      <c r="B4833" s="1" t="s">
        <v>19921</v>
      </c>
      <c r="C4833" s="1">
        <v>2014.0</v>
      </c>
      <c r="D4833" s="2">
        <v>41738.0</v>
      </c>
      <c r="F4833" s="1" t="s">
        <v>484</v>
      </c>
      <c r="H4833" s="3">
        <v>80.0</v>
      </c>
      <c r="I4833" s="4" t="s">
        <v>19922</v>
      </c>
      <c r="J4833" s="1" t="s">
        <v>19923</v>
      </c>
      <c r="K4833" s="1" t="s">
        <v>28</v>
      </c>
    </row>
    <row r="4834">
      <c r="A4834" s="1" t="s">
        <v>19924</v>
      </c>
      <c r="B4834" s="1" t="s">
        <v>19925</v>
      </c>
      <c r="C4834" s="1">
        <v>2014.0</v>
      </c>
      <c r="D4834" s="2">
        <v>41738.0</v>
      </c>
      <c r="F4834" s="1" t="s">
        <v>689</v>
      </c>
      <c r="H4834" s="3">
        <v>21.0</v>
      </c>
      <c r="I4834" s="4" t="s">
        <v>19926</v>
      </c>
      <c r="J4834" s="1" t="s">
        <v>19927</v>
      </c>
      <c r="K4834" s="1" t="s">
        <v>329</v>
      </c>
    </row>
    <row r="4835">
      <c r="A4835" s="1" t="s">
        <v>19928</v>
      </c>
      <c r="B4835" s="1" t="s">
        <v>19929</v>
      </c>
      <c r="C4835" s="1">
        <v>2014.0</v>
      </c>
      <c r="D4835" s="2">
        <v>41737.0</v>
      </c>
      <c r="F4835" s="1" t="s">
        <v>71</v>
      </c>
      <c r="H4835" s="3">
        <v>22.0</v>
      </c>
      <c r="I4835" s="4" t="s">
        <v>19930</v>
      </c>
      <c r="J4835" s="1" t="s">
        <v>19931</v>
      </c>
      <c r="K4835" s="1" t="s">
        <v>1036</v>
      </c>
    </row>
    <row r="4836">
      <c r="A4836" s="1" t="s">
        <v>19932</v>
      </c>
      <c r="B4836" s="1" t="s">
        <v>19933</v>
      </c>
      <c r="C4836" s="1">
        <v>2014.0</v>
      </c>
      <c r="D4836" s="2">
        <v>41736.0</v>
      </c>
      <c r="F4836" s="1" t="s">
        <v>71</v>
      </c>
      <c r="H4836" s="3">
        <v>12.0</v>
      </c>
      <c r="I4836" s="4" t="s">
        <v>19934</v>
      </c>
      <c r="J4836" s="1" t="s">
        <v>19935</v>
      </c>
      <c r="K4836" s="1" t="s">
        <v>28</v>
      </c>
    </row>
    <row r="4837">
      <c r="A4837" s="1" t="s">
        <v>19936</v>
      </c>
      <c r="B4837" s="1" t="s">
        <v>19937</v>
      </c>
      <c r="C4837" s="1">
        <v>2014.0</v>
      </c>
      <c r="D4837" s="2">
        <v>41734.0</v>
      </c>
      <c r="F4837" s="1" t="s">
        <v>308</v>
      </c>
      <c r="H4837" s="3">
        <v>5.0</v>
      </c>
      <c r="I4837" s="4" t="s">
        <v>19938</v>
      </c>
      <c r="J4837" s="1" t="s">
        <v>19939</v>
      </c>
      <c r="K4837" s="1" t="s">
        <v>383</v>
      </c>
    </row>
    <row r="4838">
      <c r="A4838" s="1" t="s">
        <v>19940</v>
      </c>
      <c r="B4838" s="1" t="s">
        <v>19941</v>
      </c>
      <c r="C4838" s="1">
        <v>2014.0</v>
      </c>
      <c r="D4838" s="2">
        <v>41732.0</v>
      </c>
      <c r="F4838" s="1" t="s">
        <v>14571</v>
      </c>
      <c r="H4838" s="3">
        <v>34.0</v>
      </c>
      <c r="I4838" s="4" t="s">
        <v>19942</v>
      </c>
      <c r="J4838" s="1" t="s">
        <v>19943</v>
      </c>
      <c r="K4838" s="1" t="s">
        <v>16</v>
      </c>
    </row>
    <row r="4839">
      <c r="A4839" s="1" t="s">
        <v>19944</v>
      </c>
      <c r="B4839" s="1" t="s">
        <v>19945</v>
      </c>
      <c r="C4839" s="1">
        <v>2014.0</v>
      </c>
      <c r="D4839" s="2">
        <v>41731.0</v>
      </c>
      <c r="F4839" s="1" t="s">
        <v>71</v>
      </c>
      <c r="H4839" s="3">
        <v>19.0</v>
      </c>
      <c r="I4839" s="4" t="s">
        <v>19946</v>
      </c>
      <c r="J4839" s="1" t="s">
        <v>19947</v>
      </c>
      <c r="K4839" s="1" t="s">
        <v>323</v>
      </c>
    </row>
    <row r="4840">
      <c r="A4840" s="1" t="s">
        <v>19948</v>
      </c>
      <c r="B4840" s="1" t="s">
        <v>19949</v>
      </c>
      <c r="C4840" s="1">
        <v>2014.0</v>
      </c>
      <c r="D4840" s="2">
        <v>41731.0</v>
      </c>
      <c r="F4840" s="1" t="s">
        <v>248</v>
      </c>
      <c r="H4840" s="3">
        <v>37.0</v>
      </c>
      <c r="I4840" s="4" t="s">
        <v>19950</v>
      </c>
      <c r="J4840" s="1" t="s">
        <v>19951</v>
      </c>
      <c r="K4840" s="1" t="s">
        <v>68</v>
      </c>
    </row>
    <row r="4841">
      <c r="A4841" s="1" t="s">
        <v>19952</v>
      </c>
      <c r="B4841" s="1" t="s">
        <v>19953</v>
      </c>
      <c r="C4841" s="1">
        <v>2014.0</v>
      </c>
      <c r="D4841" s="2">
        <v>41731.0</v>
      </c>
      <c r="F4841" s="1" t="s">
        <v>1859</v>
      </c>
      <c r="H4841" s="3">
        <v>15.0</v>
      </c>
      <c r="I4841" s="4" t="s">
        <v>19954</v>
      </c>
      <c r="J4841" s="1" t="s">
        <v>19955</v>
      </c>
      <c r="K4841" s="1" t="s">
        <v>16</v>
      </c>
    </row>
    <row r="4842">
      <c r="A4842" s="1" t="s">
        <v>19956</v>
      </c>
      <c r="B4842" s="1" t="s">
        <v>19957</v>
      </c>
      <c r="C4842" s="1">
        <v>2014.0</v>
      </c>
      <c r="D4842" s="2">
        <v>41730.0</v>
      </c>
      <c r="F4842" s="1" t="s">
        <v>12651</v>
      </c>
      <c r="H4842" s="3">
        <v>8.0</v>
      </c>
      <c r="I4842" s="4" t="s">
        <v>19958</v>
      </c>
      <c r="J4842" s="1" t="s">
        <v>19959</v>
      </c>
      <c r="K4842" s="1" t="s">
        <v>28</v>
      </c>
    </row>
    <row r="4843">
      <c r="A4843" s="1" t="s">
        <v>19960</v>
      </c>
      <c r="B4843" s="1" t="s">
        <v>19961</v>
      </c>
      <c r="C4843" s="1">
        <v>2014.0</v>
      </c>
      <c r="D4843" s="2">
        <v>41730.0</v>
      </c>
      <c r="F4843" s="1" t="s">
        <v>19962</v>
      </c>
      <c r="H4843" s="3">
        <v>14.0</v>
      </c>
      <c r="I4843" s="4" t="s">
        <v>19963</v>
      </c>
      <c r="J4843" s="1" t="s">
        <v>19964</v>
      </c>
      <c r="K4843" s="1" t="s">
        <v>323</v>
      </c>
    </row>
    <row r="4844">
      <c r="A4844" s="1" t="s">
        <v>19965</v>
      </c>
      <c r="B4844" s="1" t="s">
        <v>19966</v>
      </c>
      <c r="C4844" s="1">
        <v>2014.0</v>
      </c>
      <c r="D4844" s="2">
        <v>41729.0</v>
      </c>
      <c r="F4844" s="1" t="s">
        <v>15289</v>
      </c>
      <c r="H4844" s="3">
        <v>15.0</v>
      </c>
      <c r="I4844" s="4" t="s">
        <v>19967</v>
      </c>
      <c r="J4844" s="1" t="s">
        <v>19968</v>
      </c>
      <c r="K4844" s="1" t="s">
        <v>68</v>
      </c>
    </row>
    <row r="4845">
      <c r="A4845" s="1" t="s">
        <v>19969</v>
      </c>
      <c r="B4845" s="1" t="s">
        <v>19970</v>
      </c>
      <c r="C4845" s="1">
        <v>2014.0</v>
      </c>
      <c r="D4845" s="2">
        <v>41724.0</v>
      </c>
      <c r="F4845" s="1" t="s">
        <v>1505</v>
      </c>
      <c r="H4845" s="3">
        <v>168.0</v>
      </c>
      <c r="I4845" s="4" t="s">
        <v>19971</v>
      </c>
      <c r="J4845" s="1" t="s">
        <v>19972</v>
      </c>
      <c r="K4845" s="1" t="s">
        <v>16</v>
      </c>
    </row>
    <row r="4846">
      <c r="A4846" s="1" t="s">
        <v>19973</v>
      </c>
      <c r="B4846" s="1" t="s">
        <v>19974</v>
      </c>
      <c r="C4846" s="1">
        <v>2014.0</v>
      </c>
      <c r="D4846" s="2">
        <v>41724.0</v>
      </c>
      <c r="F4846" s="1" t="s">
        <v>5436</v>
      </c>
      <c r="H4846" s="3">
        <v>22.0</v>
      </c>
      <c r="I4846" s="4" t="s">
        <v>19975</v>
      </c>
      <c r="J4846" s="1" t="s">
        <v>19976</v>
      </c>
      <c r="K4846" s="1" t="s">
        <v>16</v>
      </c>
    </row>
    <row r="4847">
      <c r="A4847" s="1" t="s">
        <v>19977</v>
      </c>
      <c r="B4847" s="1" t="s">
        <v>19978</v>
      </c>
      <c r="C4847" s="1">
        <v>2014.0</v>
      </c>
      <c r="D4847" s="2">
        <v>41723.0</v>
      </c>
      <c r="F4847" s="1" t="s">
        <v>19979</v>
      </c>
      <c r="H4847" s="3">
        <v>2.0</v>
      </c>
      <c r="I4847" s="4" t="s">
        <v>19980</v>
      </c>
      <c r="J4847" s="1" t="s">
        <v>19981</v>
      </c>
      <c r="K4847" s="1" t="s">
        <v>462</v>
      </c>
    </row>
    <row r="4848">
      <c r="A4848" s="1" t="s">
        <v>19982</v>
      </c>
      <c r="B4848" s="1" t="s">
        <v>19983</v>
      </c>
      <c r="C4848" s="1">
        <v>2014.0</v>
      </c>
      <c r="D4848" s="2">
        <v>41723.0</v>
      </c>
      <c r="F4848" s="1" t="s">
        <v>11421</v>
      </c>
      <c r="H4848" s="3">
        <v>49.0</v>
      </c>
      <c r="I4848" s="4" t="s">
        <v>19984</v>
      </c>
      <c r="J4848" s="1" t="s">
        <v>19985</v>
      </c>
      <c r="K4848" s="1" t="s">
        <v>28</v>
      </c>
    </row>
    <row r="4849">
      <c r="A4849" s="1" t="s">
        <v>19986</v>
      </c>
      <c r="B4849" s="1" t="s">
        <v>19987</v>
      </c>
      <c r="C4849" s="1">
        <v>2014.0</v>
      </c>
      <c r="D4849" s="2">
        <v>41723.0</v>
      </c>
      <c r="F4849" s="1" t="s">
        <v>71</v>
      </c>
      <c r="H4849" s="3">
        <v>77.0</v>
      </c>
      <c r="I4849" s="4" t="s">
        <v>19988</v>
      </c>
      <c r="J4849" s="1" t="s">
        <v>19989</v>
      </c>
      <c r="K4849" s="1" t="s">
        <v>28</v>
      </c>
    </row>
    <row r="4850">
      <c r="A4850" s="1" t="s">
        <v>19990</v>
      </c>
      <c r="B4850" s="1" t="s">
        <v>19991</v>
      </c>
      <c r="C4850" s="1">
        <v>2014.0</v>
      </c>
      <c r="D4850" s="2">
        <v>41723.0</v>
      </c>
      <c r="F4850" s="1" t="s">
        <v>248</v>
      </c>
      <c r="H4850" s="3">
        <v>23.0</v>
      </c>
      <c r="I4850" s="4" t="s">
        <v>19992</v>
      </c>
      <c r="J4850" s="1" t="s">
        <v>19993</v>
      </c>
      <c r="K4850" s="1" t="s">
        <v>68</v>
      </c>
    </row>
    <row r="4851">
      <c r="A4851" s="1" t="s">
        <v>19994</v>
      </c>
      <c r="B4851" s="1" t="s">
        <v>19995</v>
      </c>
      <c r="C4851" s="1">
        <v>2014.0</v>
      </c>
      <c r="D4851" s="2">
        <v>41723.0</v>
      </c>
      <c r="F4851" s="1" t="s">
        <v>178</v>
      </c>
      <c r="H4851" s="3">
        <v>91.0</v>
      </c>
      <c r="I4851" s="4" t="s">
        <v>19996</v>
      </c>
      <c r="J4851" s="1" t="s">
        <v>19997</v>
      </c>
      <c r="K4851" s="1" t="s">
        <v>413</v>
      </c>
    </row>
    <row r="4852">
      <c r="A4852" s="1" t="s">
        <v>19998</v>
      </c>
      <c r="B4852" s="1" t="s">
        <v>19999</v>
      </c>
      <c r="C4852" s="1">
        <v>2014.0</v>
      </c>
      <c r="D4852" s="2">
        <v>41722.0</v>
      </c>
      <c r="F4852" s="1" t="s">
        <v>13</v>
      </c>
      <c r="H4852" s="3">
        <v>19.0</v>
      </c>
      <c r="I4852" s="4" t="s">
        <v>20000</v>
      </c>
      <c r="J4852" s="1" t="s">
        <v>20001</v>
      </c>
      <c r="K4852" s="1" t="s">
        <v>295</v>
      </c>
    </row>
    <row r="4853">
      <c r="A4853" s="1" t="s">
        <v>20002</v>
      </c>
      <c r="B4853" s="1" t="s">
        <v>20003</v>
      </c>
      <c r="C4853" s="1">
        <v>2014.0</v>
      </c>
      <c r="D4853" s="2">
        <v>41718.0</v>
      </c>
      <c r="F4853" s="1" t="s">
        <v>1277</v>
      </c>
      <c r="H4853" s="3">
        <v>143.0</v>
      </c>
      <c r="I4853" s="4" t="s">
        <v>20004</v>
      </c>
      <c r="J4853" s="1" t="s">
        <v>20005</v>
      </c>
      <c r="K4853" s="1" t="s">
        <v>418</v>
      </c>
    </row>
    <row r="4854">
      <c r="A4854" s="1" t="s">
        <v>20006</v>
      </c>
      <c r="B4854" s="1" t="s">
        <v>20007</v>
      </c>
      <c r="C4854" s="1">
        <v>2014.0</v>
      </c>
      <c r="D4854" s="2">
        <v>41718.0</v>
      </c>
      <c r="F4854" s="1" t="s">
        <v>1277</v>
      </c>
      <c r="H4854" s="3">
        <v>6.0</v>
      </c>
      <c r="I4854" s="4" t="s">
        <v>20008</v>
      </c>
      <c r="J4854" s="1" t="s">
        <v>20009</v>
      </c>
      <c r="K4854" s="1" t="s">
        <v>28</v>
      </c>
    </row>
    <row r="4855">
      <c r="A4855" s="1" t="s">
        <v>20010</v>
      </c>
      <c r="B4855" s="1" t="s">
        <v>20011</v>
      </c>
      <c r="C4855" s="1">
        <v>2014.0</v>
      </c>
      <c r="D4855" s="2">
        <v>41718.0</v>
      </c>
      <c r="F4855" s="1" t="s">
        <v>71</v>
      </c>
      <c r="H4855" s="3">
        <v>42.0</v>
      </c>
      <c r="I4855" s="4" t="s">
        <v>20012</v>
      </c>
      <c r="J4855" s="1" t="s">
        <v>20013</v>
      </c>
      <c r="K4855" s="1" t="s">
        <v>477</v>
      </c>
    </row>
    <row r="4856">
      <c r="A4856" s="1" t="s">
        <v>20014</v>
      </c>
      <c r="B4856" s="1" t="s">
        <v>20015</v>
      </c>
      <c r="C4856" s="1">
        <v>2014.0</v>
      </c>
      <c r="D4856" s="2">
        <v>41717.0</v>
      </c>
      <c r="F4856" s="1" t="s">
        <v>298</v>
      </c>
      <c r="H4856" s="3">
        <v>3.0</v>
      </c>
      <c r="I4856" s="4" t="s">
        <v>20016</v>
      </c>
      <c r="J4856" s="1" t="s">
        <v>20017</v>
      </c>
      <c r="K4856" s="1" t="s">
        <v>527</v>
      </c>
    </row>
    <row r="4857">
      <c r="A4857" s="1" t="s">
        <v>20018</v>
      </c>
      <c r="B4857" s="1" t="s">
        <v>20019</v>
      </c>
      <c r="C4857" s="1">
        <v>2014.0</v>
      </c>
      <c r="D4857" s="2">
        <v>41715.0</v>
      </c>
      <c r="F4857" s="1" t="s">
        <v>2007</v>
      </c>
      <c r="H4857" s="3">
        <v>93.0</v>
      </c>
      <c r="I4857" s="4" t="s">
        <v>20020</v>
      </c>
      <c r="J4857" s="1" t="s">
        <v>20021</v>
      </c>
      <c r="K4857" s="1" t="s">
        <v>323</v>
      </c>
    </row>
    <row r="4858">
      <c r="A4858" s="1" t="s">
        <v>20022</v>
      </c>
      <c r="B4858" s="1" t="s">
        <v>20023</v>
      </c>
      <c r="C4858" s="1">
        <v>2014.0</v>
      </c>
      <c r="D4858" s="2">
        <v>41713.0</v>
      </c>
      <c r="F4858" s="1" t="s">
        <v>10404</v>
      </c>
      <c r="H4858" s="3">
        <v>79.0</v>
      </c>
      <c r="I4858" s="4" t="s">
        <v>20024</v>
      </c>
      <c r="J4858" s="1" t="s">
        <v>20025</v>
      </c>
      <c r="K4858" s="1" t="s">
        <v>329</v>
      </c>
    </row>
    <row r="4859">
      <c r="A4859" s="1" t="s">
        <v>20026</v>
      </c>
      <c r="B4859" s="1" t="s">
        <v>20027</v>
      </c>
      <c r="C4859" s="1">
        <v>2014.0</v>
      </c>
      <c r="D4859" s="2">
        <v>41711.0</v>
      </c>
      <c r="F4859" s="1" t="s">
        <v>19566</v>
      </c>
      <c r="H4859" s="3">
        <v>5.0</v>
      </c>
      <c r="I4859" s="4" t="s">
        <v>20028</v>
      </c>
      <c r="J4859" s="1" t="s">
        <v>20029</v>
      </c>
      <c r="K4859" s="1" t="s">
        <v>16</v>
      </c>
    </row>
    <row r="4860">
      <c r="A4860" s="1" t="s">
        <v>20030</v>
      </c>
      <c r="B4860" s="1" t="s">
        <v>20031</v>
      </c>
      <c r="C4860" s="1">
        <v>2014.0</v>
      </c>
      <c r="D4860" s="2">
        <v>41708.0</v>
      </c>
      <c r="F4860" s="1" t="s">
        <v>4405</v>
      </c>
      <c r="H4860" s="3">
        <v>67.0</v>
      </c>
      <c r="I4860" s="4" t="s">
        <v>20032</v>
      </c>
      <c r="J4860" s="1" t="s">
        <v>20033</v>
      </c>
      <c r="K4860" s="1" t="s">
        <v>295</v>
      </c>
    </row>
    <row r="4861">
      <c r="A4861" s="1" t="s">
        <v>20034</v>
      </c>
      <c r="B4861" s="1" t="s">
        <v>20035</v>
      </c>
      <c r="C4861" s="1">
        <v>2014.0</v>
      </c>
      <c r="D4861" s="2">
        <v>41708.0</v>
      </c>
      <c r="F4861" s="1" t="s">
        <v>71</v>
      </c>
      <c r="H4861" s="3">
        <v>4.0</v>
      </c>
      <c r="I4861" s="4" t="s">
        <v>20036</v>
      </c>
      <c r="J4861" s="1" t="s">
        <v>20037</v>
      </c>
      <c r="K4861" s="1" t="s">
        <v>295</v>
      </c>
    </row>
    <row r="4862">
      <c r="A4862" s="1" t="s">
        <v>20038</v>
      </c>
      <c r="B4862" s="1" t="s">
        <v>20039</v>
      </c>
      <c r="C4862" s="1">
        <v>2014.0</v>
      </c>
      <c r="D4862" s="2">
        <v>41708.0</v>
      </c>
      <c r="F4862" s="1" t="s">
        <v>396</v>
      </c>
      <c r="H4862" s="3">
        <v>145.0</v>
      </c>
      <c r="I4862" s="4" t="s">
        <v>20040</v>
      </c>
      <c r="J4862" s="1" t="s">
        <v>20041</v>
      </c>
      <c r="K4862" s="1" t="s">
        <v>1423</v>
      </c>
    </row>
    <row r="4863">
      <c r="A4863" s="1" t="s">
        <v>20042</v>
      </c>
      <c r="B4863" s="1" t="s">
        <v>19803</v>
      </c>
      <c r="C4863" s="1">
        <v>2014.0</v>
      </c>
      <c r="D4863" s="2">
        <v>41705.0</v>
      </c>
      <c r="F4863" s="1" t="s">
        <v>882</v>
      </c>
      <c r="H4863" s="3">
        <v>553.0</v>
      </c>
      <c r="I4863" s="4" t="s">
        <v>20043</v>
      </c>
      <c r="J4863" s="1" t="s">
        <v>20044</v>
      </c>
      <c r="K4863" s="1" t="s">
        <v>16</v>
      </c>
    </row>
    <row r="4864">
      <c r="A4864" s="1" t="s">
        <v>20045</v>
      </c>
      <c r="B4864" s="1" t="s">
        <v>20046</v>
      </c>
      <c r="C4864" s="1">
        <v>2014.0</v>
      </c>
      <c r="D4864" s="2">
        <v>41705.0</v>
      </c>
      <c r="F4864" s="1" t="s">
        <v>656</v>
      </c>
      <c r="H4864" s="3">
        <v>6.0</v>
      </c>
      <c r="I4864" s="4" t="s">
        <v>20047</v>
      </c>
      <c r="J4864" s="1" t="s">
        <v>20048</v>
      </c>
      <c r="K4864" s="1" t="s">
        <v>16</v>
      </c>
    </row>
    <row r="4865">
      <c r="A4865" s="1" t="s">
        <v>20049</v>
      </c>
      <c r="B4865" s="1" t="s">
        <v>20050</v>
      </c>
      <c r="C4865" s="1">
        <v>2014.0</v>
      </c>
      <c r="D4865" s="2">
        <v>41704.0</v>
      </c>
      <c r="F4865" s="1" t="s">
        <v>3207</v>
      </c>
      <c r="H4865" s="3">
        <v>80.0</v>
      </c>
      <c r="I4865" s="4" t="s">
        <v>20051</v>
      </c>
      <c r="J4865" s="1" t="s">
        <v>20052</v>
      </c>
      <c r="K4865" s="1" t="s">
        <v>323</v>
      </c>
    </row>
    <row r="4866">
      <c r="A4866" s="1" t="s">
        <v>20053</v>
      </c>
      <c r="B4866" s="1" t="s">
        <v>20054</v>
      </c>
      <c r="C4866" s="1">
        <v>2014.0</v>
      </c>
      <c r="D4866" s="2">
        <v>41703.0</v>
      </c>
      <c r="F4866" s="1" t="s">
        <v>157</v>
      </c>
      <c r="H4866" s="3">
        <v>31.0</v>
      </c>
      <c r="I4866" s="4" t="s">
        <v>20055</v>
      </c>
      <c r="J4866" s="1" t="s">
        <v>20056</v>
      </c>
      <c r="K4866" s="1" t="s">
        <v>546</v>
      </c>
    </row>
    <row r="4867">
      <c r="A4867" s="1" t="s">
        <v>20057</v>
      </c>
      <c r="B4867" s="1" t="s">
        <v>20058</v>
      </c>
      <c r="C4867" s="1">
        <v>2014.0</v>
      </c>
      <c r="D4867" s="2">
        <v>41703.0</v>
      </c>
      <c r="F4867" s="1" t="s">
        <v>17009</v>
      </c>
      <c r="H4867" s="3">
        <v>0.0</v>
      </c>
      <c r="I4867" s="4" t="s">
        <v>20059</v>
      </c>
      <c r="J4867" s="1"/>
      <c r="K4867" s="1" t="s">
        <v>28</v>
      </c>
    </row>
    <row r="4868">
      <c r="A4868" s="1" t="s">
        <v>20060</v>
      </c>
      <c r="B4868" s="1" t="s">
        <v>20061</v>
      </c>
      <c r="C4868" s="1">
        <v>2014.0</v>
      </c>
      <c r="D4868" s="2">
        <v>41703.0</v>
      </c>
      <c r="F4868" s="1" t="s">
        <v>208</v>
      </c>
      <c r="H4868" s="3">
        <v>21.0</v>
      </c>
      <c r="I4868" s="4" t="s">
        <v>20062</v>
      </c>
      <c r="J4868" s="1" t="s">
        <v>20063</v>
      </c>
      <c r="K4868" s="1" t="s">
        <v>926</v>
      </c>
    </row>
    <row r="4869">
      <c r="A4869" s="1" t="s">
        <v>20064</v>
      </c>
      <c r="B4869" s="1" t="s">
        <v>20065</v>
      </c>
      <c r="C4869" s="1">
        <v>2014.0</v>
      </c>
      <c r="D4869" s="2">
        <v>41701.0</v>
      </c>
      <c r="F4869" s="1" t="s">
        <v>4374</v>
      </c>
      <c r="H4869" s="3">
        <v>135.0</v>
      </c>
      <c r="I4869" s="4" t="s">
        <v>20066</v>
      </c>
      <c r="J4869" s="1" t="s">
        <v>20067</v>
      </c>
      <c r="K4869" s="1" t="s">
        <v>28</v>
      </c>
    </row>
    <row r="4870">
      <c r="A4870" s="1" t="s">
        <v>20068</v>
      </c>
      <c r="B4870" s="1" t="s">
        <v>20069</v>
      </c>
      <c r="C4870" s="1">
        <v>2014.0</v>
      </c>
      <c r="D4870" s="2">
        <v>41701.0</v>
      </c>
      <c r="F4870" s="1" t="s">
        <v>1777</v>
      </c>
      <c r="H4870" s="3">
        <v>10.0</v>
      </c>
      <c r="I4870" s="4" t="s">
        <v>20070</v>
      </c>
      <c r="J4870" s="1" t="s">
        <v>20071</v>
      </c>
      <c r="K4870" s="1" t="s">
        <v>295</v>
      </c>
    </row>
    <row r="4871">
      <c r="A4871" s="1" t="s">
        <v>20072</v>
      </c>
      <c r="B4871" s="1" t="s">
        <v>20073</v>
      </c>
      <c r="C4871" s="1">
        <v>2014.0</v>
      </c>
      <c r="D4871" s="2">
        <v>41698.0</v>
      </c>
      <c r="F4871" s="1" t="s">
        <v>6264</v>
      </c>
      <c r="H4871" s="3">
        <v>22.0</v>
      </c>
      <c r="I4871" s="4" t="s">
        <v>20074</v>
      </c>
      <c r="J4871" s="1" t="s">
        <v>20075</v>
      </c>
      <c r="K4871" s="1" t="s">
        <v>16</v>
      </c>
    </row>
    <row r="4872">
      <c r="A4872" s="1" t="s">
        <v>20076</v>
      </c>
      <c r="B4872" s="1" t="s">
        <v>20077</v>
      </c>
      <c r="C4872" s="1">
        <v>2014.0</v>
      </c>
      <c r="D4872" s="2">
        <v>41692.0</v>
      </c>
      <c r="F4872" s="1" t="s">
        <v>10404</v>
      </c>
      <c r="H4872" s="3">
        <v>141.0</v>
      </c>
      <c r="I4872" s="4" t="s">
        <v>20078</v>
      </c>
      <c r="J4872" s="1" t="s">
        <v>20079</v>
      </c>
      <c r="K4872" s="1" t="s">
        <v>926</v>
      </c>
    </row>
    <row r="4873">
      <c r="A4873" s="1" t="s">
        <v>20080</v>
      </c>
      <c r="B4873" s="1" t="s">
        <v>20081</v>
      </c>
      <c r="C4873" s="1">
        <v>2014.0</v>
      </c>
      <c r="D4873" s="2">
        <v>41690.0</v>
      </c>
      <c r="F4873" s="1" t="s">
        <v>233</v>
      </c>
      <c r="H4873" s="3">
        <v>137.0</v>
      </c>
      <c r="I4873" s="4" t="s">
        <v>20082</v>
      </c>
      <c r="J4873" s="1" t="s">
        <v>20083</v>
      </c>
      <c r="K4873" s="1" t="s">
        <v>418</v>
      </c>
    </row>
    <row r="4874">
      <c r="A4874" s="1" t="s">
        <v>20084</v>
      </c>
      <c r="B4874" s="1" t="s">
        <v>20085</v>
      </c>
      <c r="C4874" s="1">
        <v>2014.0</v>
      </c>
      <c r="D4874" s="2">
        <v>41690.0</v>
      </c>
      <c r="F4874" s="1" t="s">
        <v>1777</v>
      </c>
      <c r="H4874" s="3">
        <v>15.0</v>
      </c>
      <c r="I4874" s="4" t="s">
        <v>20086</v>
      </c>
      <c r="J4874" s="1" t="s">
        <v>20087</v>
      </c>
      <c r="K4874" s="1" t="s">
        <v>295</v>
      </c>
    </row>
    <row r="4875">
      <c r="A4875" s="1" t="s">
        <v>20088</v>
      </c>
      <c r="B4875" s="1" t="s">
        <v>20089</v>
      </c>
      <c r="C4875" s="1">
        <v>2014.0</v>
      </c>
      <c r="D4875" s="2">
        <v>41690.0</v>
      </c>
      <c r="F4875" s="1" t="s">
        <v>2444</v>
      </c>
      <c r="H4875" s="3">
        <v>67.0</v>
      </c>
      <c r="I4875" s="4" t="s">
        <v>20090</v>
      </c>
      <c r="J4875" s="1" t="s">
        <v>20091</v>
      </c>
      <c r="K4875" s="1" t="s">
        <v>323</v>
      </c>
    </row>
    <row r="4876">
      <c r="A4876" s="1" t="s">
        <v>20092</v>
      </c>
      <c r="B4876" s="1" t="s">
        <v>20093</v>
      </c>
      <c r="C4876" s="1">
        <v>2014.0</v>
      </c>
      <c r="D4876" s="2">
        <v>41689.0</v>
      </c>
      <c r="F4876" s="1" t="s">
        <v>17371</v>
      </c>
      <c r="H4876" s="3">
        <v>88.0</v>
      </c>
      <c r="I4876" s="4" t="s">
        <v>20094</v>
      </c>
      <c r="J4876" s="1" t="s">
        <v>20095</v>
      </c>
      <c r="K4876" s="1" t="s">
        <v>28</v>
      </c>
    </row>
    <row r="4877">
      <c r="A4877" s="1" t="s">
        <v>20096</v>
      </c>
      <c r="B4877" s="1" t="s">
        <v>20097</v>
      </c>
      <c r="C4877" s="1">
        <v>2014.0</v>
      </c>
      <c r="D4877" s="2">
        <v>41689.0</v>
      </c>
      <c r="F4877" s="1" t="s">
        <v>656</v>
      </c>
      <c r="H4877" s="3">
        <v>6.0</v>
      </c>
      <c r="I4877" s="4" t="s">
        <v>20098</v>
      </c>
      <c r="J4877" s="1"/>
      <c r="K4877" s="1" t="s">
        <v>16</v>
      </c>
    </row>
    <row r="4878">
      <c r="A4878" s="1" t="s">
        <v>20099</v>
      </c>
      <c r="B4878" s="1" t="s">
        <v>20100</v>
      </c>
      <c r="C4878" s="1">
        <v>2014.0</v>
      </c>
      <c r="D4878" s="2">
        <v>41688.0</v>
      </c>
      <c r="F4878" s="1" t="s">
        <v>332</v>
      </c>
      <c r="H4878" s="3">
        <v>116.0</v>
      </c>
      <c r="I4878" s="4" t="s">
        <v>20101</v>
      </c>
      <c r="J4878" s="1" t="s">
        <v>20102</v>
      </c>
      <c r="K4878" s="1" t="s">
        <v>443</v>
      </c>
    </row>
    <row r="4879">
      <c r="A4879" s="1" t="s">
        <v>20103</v>
      </c>
      <c r="B4879" s="1" t="s">
        <v>20104</v>
      </c>
      <c r="C4879" s="1">
        <v>2014.0</v>
      </c>
      <c r="D4879" s="2">
        <v>41688.0</v>
      </c>
      <c r="F4879" s="1" t="s">
        <v>1951</v>
      </c>
      <c r="H4879" s="3">
        <v>56.0</v>
      </c>
      <c r="I4879" s="4" t="s">
        <v>20105</v>
      </c>
      <c r="J4879" s="1" t="s">
        <v>20106</v>
      </c>
      <c r="K4879" s="1" t="s">
        <v>295</v>
      </c>
    </row>
    <row r="4880">
      <c r="A4880" s="1" t="s">
        <v>20107</v>
      </c>
      <c r="B4880" s="1" t="s">
        <v>20108</v>
      </c>
      <c r="C4880" s="1">
        <v>2014.0</v>
      </c>
      <c r="D4880" s="2">
        <v>41683.0</v>
      </c>
      <c r="F4880" s="1" t="s">
        <v>6907</v>
      </c>
      <c r="H4880" s="3">
        <v>51.0</v>
      </c>
      <c r="I4880" s="4" t="s">
        <v>20109</v>
      </c>
      <c r="J4880" s="1" t="s">
        <v>20110</v>
      </c>
      <c r="K4880" s="1" t="s">
        <v>418</v>
      </c>
    </row>
    <row r="4881">
      <c r="A4881" s="1" t="s">
        <v>20111</v>
      </c>
      <c r="B4881" s="1" t="s">
        <v>20112</v>
      </c>
      <c r="C4881" s="1">
        <v>2014.0</v>
      </c>
      <c r="D4881" s="2">
        <v>41681.0</v>
      </c>
      <c r="F4881" s="1" t="s">
        <v>71</v>
      </c>
      <c r="H4881" s="3">
        <v>8.0</v>
      </c>
      <c r="I4881" s="4" t="s">
        <v>20113</v>
      </c>
      <c r="J4881" s="1" t="s">
        <v>20114</v>
      </c>
      <c r="K4881" s="1" t="s">
        <v>329</v>
      </c>
    </row>
    <row r="4882">
      <c r="A4882" s="1" t="s">
        <v>20115</v>
      </c>
      <c r="B4882" s="1" t="s">
        <v>20116</v>
      </c>
      <c r="C4882" s="1">
        <v>2014.0</v>
      </c>
      <c r="D4882" s="2">
        <v>41681.0</v>
      </c>
      <c r="F4882" s="1" t="s">
        <v>1277</v>
      </c>
      <c r="H4882" s="3">
        <v>32.0</v>
      </c>
      <c r="I4882" s="4" t="s">
        <v>20117</v>
      </c>
      <c r="J4882" s="1" t="s">
        <v>20118</v>
      </c>
      <c r="K4882" s="1" t="s">
        <v>383</v>
      </c>
    </row>
    <row r="4883">
      <c r="A4883" s="1" t="s">
        <v>20119</v>
      </c>
      <c r="B4883" s="1" t="s">
        <v>20120</v>
      </c>
      <c r="C4883" s="1">
        <v>2014.0</v>
      </c>
      <c r="D4883" s="2">
        <v>41677.0</v>
      </c>
      <c r="F4883" s="1" t="s">
        <v>142</v>
      </c>
      <c r="H4883" s="3">
        <v>11.0</v>
      </c>
      <c r="I4883" s="4" t="s">
        <v>20121</v>
      </c>
      <c r="J4883" s="1" t="s">
        <v>20122</v>
      </c>
      <c r="K4883" s="1" t="s">
        <v>16</v>
      </c>
    </row>
    <row r="4884">
      <c r="A4884" s="1" t="s">
        <v>20123</v>
      </c>
      <c r="B4884" s="1" t="s">
        <v>20124</v>
      </c>
      <c r="C4884" s="1">
        <v>2014.0</v>
      </c>
      <c r="D4884" s="2">
        <v>41676.0</v>
      </c>
      <c r="F4884" s="1" t="s">
        <v>4374</v>
      </c>
      <c r="H4884" s="3">
        <v>16.0</v>
      </c>
      <c r="I4884" s="4" t="s">
        <v>20125</v>
      </c>
      <c r="J4884" s="1" t="s">
        <v>20126</v>
      </c>
      <c r="K4884" s="1" t="s">
        <v>926</v>
      </c>
    </row>
    <row r="4885">
      <c r="A4885" s="1" t="s">
        <v>20127</v>
      </c>
      <c r="B4885" s="1" t="s">
        <v>20128</v>
      </c>
      <c r="C4885" s="1">
        <v>2014.0</v>
      </c>
      <c r="D4885" s="2">
        <v>41676.0</v>
      </c>
      <c r="F4885" s="1" t="s">
        <v>519</v>
      </c>
      <c r="H4885" s="3">
        <v>77.0</v>
      </c>
      <c r="I4885" s="4" t="s">
        <v>20129</v>
      </c>
      <c r="J4885" s="1" t="s">
        <v>20130</v>
      </c>
      <c r="K4885" s="1" t="s">
        <v>68</v>
      </c>
    </row>
    <row r="4886">
      <c r="A4886" s="1" t="s">
        <v>20131</v>
      </c>
      <c r="B4886" s="1" t="s">
        <v>20132</v>
      </c>
      <c r="C4886" s="1">
        <v>2014.0</v>
      </c>
      <c r="D4886" s="2">
        <v>41675.0</v>
      </c>
      <c r="F4886" s="1" t="s">
        <v>71</v>
      </c>
      <c r="H4886" s="3">
        <v>21.0</v>
      </c>
      <c r="I4886" s="4" t="s">
        <v>20133</v>
      </c>
      <c r="J4886" s="1" t="s">
        <v>20134</v>
      </c>
      <c r="K4886" s="1" t="s">
        <v>443</v>
      </c>
    </row>
    <row r="4887">
      <c r="A4887" s="1" t="s">
        <v>20135</v>
      </c>
      <c r="B4887" s="1" t="s">
        <v>20136</v>
      </c>
      <c r="C4887" s="1">
        <v>2014.0</v>
      </c>
      <c r="D4887" s="2">
        <v>41675.0</v>
      </c>
      <c r="F4887" s="1" t="s">
        <v>208</v>
      </c>
      <c r="H4887" s="3">
        <v>8.0</v>
      </c>
      <c r="I4887" s="4" t="s">
        <v>20137</v>
      </c>
      <c r="J4887" s="1" t="s">
        <v>20138</v>
      </c>
      <c r="K4887" s="1" t="s">
        <v>68</v>
      </c>
    </row>
    <row r="4888">
      <c r="A4888" s="1" t="s">
        <v>20139</v>
      </c>
      <c r="B4888" s="1" t="s">
        <v>20140</v>
      </c>
      <c r="C4888" s="1">
        <v>2014.0</v>
      </c>
      <c r="D4888" s="2">
        <v>41671.0</v>
      </c>
      <c r="F4888" s="1" t="s">
        <v>17070</v>
      </c>
      <c r="H4888" s="3">
        <v>55.0</v>
      </c>
      <c r="I4888" s="4" t="s">
        <v>20141</v>
      </c>
      <c r="J4888" s="1" t="s">
        <v>20142</v>
      </c>
      <c r="K4888" s="1" t="s">
        <v>443</v>
      </c>
    </row>
    <row r="4889">
      <c r="A4889" s="1" t="s">
        <v>20143</v>
      </c>
      <c r="B4889" s="1" t="s">
        <v>20144</v>
      </c>
      <c r="C4889" s="1">
        <v>2014.0</v>
      </c>
      <c r="D4889" s="2">
        <v>41671.0</v>
      </c>
      <c r="F4889" s="1" t="s">
        <v>1358</v>
      </c>
      <c r="H4889" s="3">
        <v>465.0</v>
      </c>
      <c r="I4889" s="4" t="s">
        <v>20145</v>
      </c>
      <c r="J4889" s="1" t="s">
        <v>20146</v>
      </c>
      <c r="K4889" s="1" t="s">
        <v>28</v>
      </c>
    </row>
    <row r="4890">
      <c r="A4890" s="1" t="s">
        <v>20147</v>
      </c>
      <c r="B4890" s="1" t="s">
        <v>20148</v>
      </c>
      <c r="C4890" s="1">
        <v>2014.0</v>
      </c>
      <c r="D4890" s="2">
        <v>41671.0</v>
      </c>
      <c r="F4890" s="1" t="s">
        <v>20149</v>
      </c>
      <c r="H4890" s="3">
        <v>25.0</v>
      </c>
      <c r="I4890" s="4" t="s">
        <v>20150</v>
      </c>
      <c r="J4890" s="1" t="s">
        <v>20151</v>
      </c>
      <c r="K4890" s="1" t="s">
        <v>295</v>
      </c>
    </row>
    <row r="4891">
      <c r="A4891" s="1" t="s">
        <v>20152</v>
      </c>
      <c r="B4891" s="1" t="s">
        <v>20153</v>
      </c>
      <c r="C4891" s="1">
        <v>2014.0</v>
      </c>
      <c r="D4891" s="2">
        <v>41671.0</v>
      </c>
      <c r="F4891" s="1" t="s">
        <v>1410</v>
      </c>
      <c r="H4891" s="3">
        <v>12.0</v>
      </c>
      <c r="I4891" s="4" t="s">
        <v>20154</v>
      </c>
      <c r="J4891" s="1" t="s">
        <v>20155</v>
      </c>
      <c r="K4891" s="1" t="s">
        <v>323</v>
      </c>
    </row>
    <row r="4892">
      <c r="A4892" s="1" t="s">
        <v>20156</v>
      </c>
      <c r="B4892" s="1" t="s">
        <v>20157</v>
      </c>
      <c r="C4892" s="1">
        <v>2014.0</v>
      </c>
      <c r="D4892" s="2">
        <v>41669.0</v>
      </c>
      <c r="F4892" s="1" t="s">
        <v>8818</v>
      </c>
      <c r="H4892" s="3">
        <v>103.0</v>
      </c>
      <c r="I4892" s="4" t="s">
        <v>20158</v>
      </c>
      <c r="J4892" s="1" t="s">
        <v>20159</v>
      </c>
      <c r="K4892" s="1" t="s">
        <v>28</v>
      </c>
    </row>
    <row r="4893">
      <c r="A4893" s="1" t="s">
        <v>20160</v>
      </c>
      <c r="B4893" s="1" t="s">
        <v>20161</v>
      </c>
      <c r="C4893" s="1">
        <v>2014.0</v>
      </c>
      <c r="D4893" s="2">
        <v>41668.0</v>
      </c>
      <c r="F4893" s="1" t="s">
        <v>31</v>
      </c>
      <c r="H4893" s="3">
        <v>53.0</v>
      </c>
      <c r="I4893" s="4" t="s">
        <v>20162</v>
      </c>
      <c r="J4893" s="1" t="s">
        <v>20163</v>
      </c>
      <c r="K4893" s="1" t="s">
        <v>295</v>
      </c>
    </row>
    <row r="4894">
      <c r="A4894" s="1" t="s">
        <v>20164</v>
      </c>
      <c r="B4894" s="1" t="s">
        <v>20165</v>
      </c>
      <c r="C4894" s="1">
        <v>2014.0</v>
      </c>
      <c r="D4894" s="2">
        <v>41668.0</v>
      </c>
      <c r="F4894" s="1" t="s">
        <v>157</v>
      </c>
      <c r="H4894" s="3">
        <v>121.0</v>
      </c>
      <c r="I4894" s="4" t="s">
        <v>20166</v>
      </c>
      <c r="J4894" s="1" t="s">
        <v>20167</v>
      </c>
      <c r="K4894" s="1" t="s">
        <v>546</v>
      </c>
    </row>
    <row r="4895">
      <c r="A4895" s="1" t="s">
        <v>20168</v>
      </c>
      <c r="B4895" s="1" t="s">
        <v>20169</v>
      </c>
      <c r="C4895" s="1">
        <v>2014.0</v>
      </c>
      <c r="D4895" s="2">
        <v>41666.0</v>
      </c>
      <c r="F4895" s="1" t="s">
        <v>2321</v>
      </c>
      <c r="H4895" s="3">
        <v>34.0</v>
      </c>
      <c r="I4895" s="4" t="s">
        <v>20170</v>
      </c>
      <c r="J4895" s="1" t="s">
        <v>20171</v>
      </c>
      <c r="K4895" s="1" t="s">
        <v>28</v>
      </c>
    </row>
    <row r="4896">
      <c r="A4896" s="1" t="s">
        <v>20172</v>
      </c>
      <c r="B4896" s="1" t="s">
        <v>20173</v>
      </c>
      <c r="C4896" s="1">
        <v>2014.0</v>
      </c>
      <c r="D4896" s="2">
        <v>41666.0</v>
      </c>
      <c r="F4896" s="1" t="s">
        <v>1366</v>
      </c>
      <c r="H4896" s="3">
        <v>540.0</v>
      </c>
      <c r="I4896" s="4" t="s">
        <v>20174</v>
      </c>
      <c r="J4896" s="1" t="s">
        <v>20175</v>
      </c>
      <c r="K4896" s="1" t="s">
        <v>2053</v>
      </c>
    </row>
    <row r="4897">
      <c r="A4897" s="1" t="s">
        <v>20176</v>
      </c>
      <c r="B4897" s="1" t="s">
        <v>20177</v>
      </c>
      <c r="C4897" s="1">
        <v>2014.0</v>
      </c>
      <c r="D4897" s="2">
        <v>41666.0</v>
      </c>
      <c r="F4897" s="1" t="s">
        <v>762</v>
      </c>
      <c r="H4897" s="3">
        <v>52.0</v>
      </c>
      <c r="I4897" s="4" t="s">
        <v>20178</v>
      </c>
      <c r="J4897" s="1" t="s">
        <v>20179</v>
      </c>
      <c r="K4897" s="1" t="s">
        <v>477</v>
      </c>
    </row>
    <row r="4898">
      <c r="A4898" s="1" t="s">
        <v>20180</v>
      </c>
      <c r="B4898" s="1" t="s">
        <v>20181</v>
      </c>
      <c r="C4898" s="1">
        <v>2014.0</v>
      </c>
      <c r="D4898" s="2">
        <v>41662.0</v>
      </c>
      <c r="F4898" s="1" t="s">
        <v>4530</v>
      </c>
      <c r="H4898" s="3">
        <v>40.0</v>
      </c>
      <c r="I4898" s="4" t="s">
        <v>20182</v>
      </c>
      <c r="J4898" s="1" t="s">
        <v>20183</v>
      </c>
      <c r="K4898" s="1" t="s">
        <v>28</v>
      </c>
    </row>
    <row r="4899">
      <c r="A4899" s="1" t="s">
        <v>20184</v>
      </c>
      <c r="B4899" s="1" t="s">
        <v>20185</v>
      </c>
      <c r="C4899" s="1">
        <v>2014.0</v>
      </c>
      <c r="D4899" s="2">
        <v>41662.0</v>
      </c>
      <c r="F4899" s="1" t="s">
        <v>10126</v>
      </c>
      <c r="H4899" s="3">
        <v>3.0</v>
      </c>
      <c r="I4899" s="4" t="s">
        <v>20186</v>
      </c>
      <c r="J4899" s="1"/>
      <c r="K4899" s="1" t="s">
        <v>68</v>
      </c>
    </row>
    <row r="4900">
      <c r="A4900" s="1" t="s">
        <v>20187</v>
      </c>
      <c r="B4900" s="1" t="s">
        <v>20188</v>
      </c>
      <c r="C4900" s="1">
        <v>2014.0</v>
      </c>
      <c r="D4900" s="2">
        <v>41662.0</v>
      </c>
      <c r="F4900" s="1" t="s">
        <v>233</v>
      </c>
      <c r="H4900" s="3">
        <v>187.0</v>
      </c>
      <c r="I4900" s="4" t="s">
        <v>20189</v>
      </c>
      <c r="J4900" s="1" t="s">
        <v>20190</v>
      </c>
      <c r="K4900" s="1" t="s">
        <v>413</v>
      </c>
    </row>
    <row r="4901">
      <c r="A4901" s="1" t="s">
        <v>20191</v>
      </c>
      <c r="B4901" s="1" t="s">
        <v>20192</v>
      </c>
      <c r="C4901" s="1">
        <v>2014.0</v>
      </c>
      <c r="D4901" s="2">
        <v>41657.0</v>
      </c>
      <c r="F4901" s="1" t="s">
        <v>15768</v>
      </c>
      <c r="H4901" s="3">
        <v>9.0</v>
      </c>
      <c r="I4901" s="4" t="s">
        <v>20193</v>
      </c>
      <c r="J4901" s="1" t="s">
        <v>20194</v>
      </c>
      <c r="K4901" s="1" t="s">
        <v>403</v>
      </c>
    </row>
    <row r="4902">
      <c r="A4902" s="1" t="s">
        <v>20195</v>
      </c>
      <c r="B4902" s="1" t="s">
        <v>20196</v>
      </c>
      <c r="C4902" s="1">
        <v>2014.0</v>
      </c>
      <c r="D4902" s="2">
        <v>41656.0</v>
      </c>
      <c r="F4902" s="1" t="s">
        <v>1358</v>
      </c>
      <c r="H4902" s="3">
        <v>6.0</v>
      </c>
      <c r="I4902" s="4" t="s">
        <v>20197</v>
      </c>
      <c r="J4902" s="1" t="s">
        <v>20198</v>
      </c>
      <c r="K4902" s="1" t="s">
        <v>383</v>
      </c>
    </row>
    <row r="4903">
      <c r="A4903" s="1" t="s">
        <v>20199</v>
      </c>
      <c r="B4903" s="1" t="s">
        <v>20200</v>
      </c>
      <c r="C4903" s="1">
        <v>2014.0</v>
      </c>
      <c r="D4903" s="2">
        <v>41654.0</v>
      </c>
      <c r="F4903" s="1" t="s">
        <v>286</v>
      </c>
      <c r="H4903" s="3">
        <v>37.0</v>
      </c>
      <c r="I4903" s="4" t="s">
        <v>20201</v>
      </c>
      <c r="J4903" s="1" t="s">
        <v>20202</v>
      </c>
      <c r="K4903" s="1" t="s">
        <v>68</v>
      </c>
    </row>
    <row r="4904">
      <c r="A4904" s="1" t="s">
        <v>20203</v>
      </c>
      <c r="B4904" s="1" t="s">
        <v>20204</v>
      </c>
      <c r="C4904" s="1">
        <v>2014.0</v>
      </c>
      <c r="D4904" s="2">
        <v>41653.0</v>
      </c>
      <c r="F4904" s="1" t="s">
        <v>1170</v>
      </c>
      <c r="H4904" s="3">
        <v>48.0</v>
      </c>
      <c r="I4904" s="4" t="s">
        <v>20205</v>
      </c>
      <c r="J4904" s="1" t="s">
        <v>20206</v>
      </c>
      <c r="K4904" s="1" t="s">
        <v>28</v>
      </c>
    </row>
    <row r="4905">
      <c r="A4905" s="1" t="s">
        <v>20207</v>
      </c>
      <c r="B4905" s="1" t="s">
        <v>20208</v>
      </c>
      <c r="C4905" s="1">
        <v>2014.0</v>
      </c>
      <c r="D4905" s="2">
        <v>41653.0</v>
      </c>
      <c r="F4905" s="1" t="s">
        <v>8184</v>
      </c>
      <c r="H4905" s="3">
        <v>241.0</v>
      </c>
      <c r="I4905" s="4" t="s">
        <v>20209</v>
      </c>
      <c r="J4905" s="1" t="s">
        <v>20210</v>
      </c>
      <c r="K4905" s="1" t="s">
        <v>1036</v>
      </c>
    </row>
    <row r="4906">
      <c r="A4906" s="1" t="s">
        <v>20211</v>
      </c>
      <c r="B4906" s="1" t="s">
        <v>20212</v>
      </c>
      <c r="C4906" s="1">
        <v>2014.0</v>
      </c>
      <c r="D4906" s="2">
        <v>41652.0</v>
      </c>
      <c r="F4906" s="1" t="s">
        <v>71</v>
      </c>
      <c r="H4906" s="3">
        <v>20.0</v>
      </c>
      <c r="I4906" s="4" t="s">
        <v>20213</v>
      </c>
      <c r="J4906" s="1" t="s">
        <v>20214</v>
      </c>
      <c r="K4906" s="1" t="s">
        <v>403</v>
      </c>
    </row>
    <row r="4907">
      <c r="A4907" s="1" t="s">
        <v>20215</v>
      </c>
      <c r="B4907" s="1" t="s">
        <v>20216</v>
      </c>
      <c r="C4907" s="1">
        <v>2014.0</v>
      </c>
      <c r="D4907" s="2">
        <v>41649.0</v>
      </c>
      <c r="F4907" s="1" t="s">
        <v>1777</v>
      </c>
      <c r="H4907" s="3">
        <v>30.0</v>
      </c>
      <c r="I4907" s="4" t="s">
        <v>20217</v>
      </c>
      <c r="J4907" s="1" t="s">
        <v>20218</v>
      </c>
      <c r="K4907" s="1" t="s">
        <v>295</v>
      </c>
    </row>
    <row r="4908">
      <c r="A4908" s="1" t="s">
        <v>20219</v>
      </c>
      <c r="B4908" s="1" t="s">
        <v>20220</v>
      </c>
      <c r="C4908" s="1">
        <v>2014.0</v>
      </c>
      <c r="D4908" s="2">
        <v>41649.0</v>
      </c>
      <c r="F4908" s="1" t="s">
        <v>3254</v>
      </c>
      <c r="H4908" s="3">
        <v>2.0</v>
      </c>
      <c r="I4908" s="4" t="s">
        <v>20221</v>
      </c>
      <c r="J4908" s="1" t="s">
        <v>20222</v>
      </c>
      <c r="K4908" s="1" t="s">
        <v>68</v>
      </c>
    </row>
    <row r="4909">
      <c r="A4909" s="1" t="s">
        <v>20223</v>
      </c>
      <c r="B4909" s="1" t="s">
        <v>20224</v>
      </c>
      <c r="C4909" s="1">
        <v>2014.0</v>
      </c>
      <c r="D4909" s="2">
        <v>41648.0</v>
      </c>
      <c r="F4909" s="1" t="s">
        <v>4530</v>
      </c>
      <c r="H4909" s="3">
        <v>28.0</v>
      </c>
      <c r="I4909" s="4" t="s">
        <v>20225</v>
      </c>
      <c r="J4909" s="1" t="s">
        <v>20226</v>
      </c>
      <c r="K4909" s="1" t="s">
        <v>443</v>
      </c>
    </row>
    <row r="4910">
      <c r="A4910" s="1" t="s">
        <v>20227</v>
      </c>
      <c r="B4910" s="1" t="s">
        <v>20228</v>
      </c>
      <c r="C4910" s="1">
        <v>2014.0</v>
      </c>
      <c r="D4910" s="2">
        <v>41648.0</v>
      </c>
      <c r="F4910" s="1" t="s">
        <v>578</v>
      </c>
      <c r="H4910" s="3">
        <v>0.0</v>
      </c>
      <c r="I4910" s="4" t="s">
        <v>20229</v>
      </c>
      <c r="J4910" s="1"/>
      <c r="K4910" s="1" t="s">
        <v>16</v>
      </c>
    </row>
    <row r="4911">
      <c r="A4911" s="1" t="s">
        <v>20230</v>
      </c>
      <c r="B4911" s="1" t="s">
        <v>20231</v>
      </c>
      <c r="C4911" s="1">
        <v>2014.0</v>
      </c>
      <c r="D4911" s="2">
        <v>41647.0</v>
      </c>
      <c r="F4911" s="1" t="s">
        <v>71</v>
      </c>
      <c r="H4911" s="3">
        <v>32.0</v>
      </c>
      <c r="I4911" s="4" t="s">
        <v>20232</v>
      </c>
      <c r="J4911" s="1" t="s">
        <v>20233</v>
      </c>
      <c r="K4911" s="1" t="s">
        <v>28</v>
      </c>
    </row>
    <row r="4912">
      <c r="A4912" s="1" t="s">
        <v>20234</v>
      </c>
      <c r="B4912" s="1" t="s">
        <v>20235</v>
      </c>
      <c r="C4912" s="1">
        <v>2014.0</v>
      </c>
      <c r="D4912" s="2">
        <v>41647.0</v>
      </c>
      <c r="F4912" s="1" t="s">
        <v>4235</v>
      </c>
      <c r="H4912" s="3">
        <v>20.0</v>
      </c>
      <c r="I4912" s="4" t="s">
        <v>20236</v>
      </c>
      <c r="J4912" s="1" t="s">
        <v>20237</v>
      </c>
      <c r="K4912" s="1" t="s">
        <v>68</v>
      </c>
    </row>
    <row r="4913">
      <c r="A4913" s="1" t="s">
        <v>20238</v>
      </c>
      <c r="B4913" s="1" t="s">
        <v>20239</v>
      </c>
      <c r="C4913" s="1">
        <v>2014.0</v>
      </c>
      <c r="D4913" s="2">
        <v>41642.0</v>
      </c>
      <c r="F4913" s="1" t="s">
        <v>3254</v>
      </c>
      <c r="H4913" s="3">
        <v>6.0</v>
      </c>
      <c r="I4913" s="4" t="s">
        <v>20240</v>
      </c>
      <c r="J4913" s="1" t="s">
        <v>20241</v>
      </c>
      <c r="K4913" s="1" t="s">
        <v>413</v>
      </c>
    </row>
    <row r="4914">
      <c r="A4914" s="1" t="s">
        <v>20242</v>
      </c>
      <c r="B4914" s="1" t="s">
        <v>20243</v>
      </c>
      <c r="C4914" s="1">
        <v>2014.0</v>
      </c>
      <c r="D4914" s="2">
        <v>41640.0</v>
      </c>
      <c r="F4914" s="1" t="s">
        <v>4544</v>
      </c>
      <c r="H4914" s="3">
        <v>87.0</v>
      </c>
      <c r="I4914" s="4" t="s">
        <v>20244</v>
      </c>
      <c r="J4914" s="1" t="s">
        <v>20245</v>
      </c>
      <c r="K4914" s="1" t="s">
        <v>383</v>
      </c>
    </row>
    <row r="4915">
      <c r="A4915" s="1" t="s">
        <v>20246</v>
      </c>
      <c r="B4915" s="1" t="s">
        <v>20247</v>
      </c>
      <c r="C4915" s="1">
        <v>2014.0</v>
      </c>
      <c r="D4915" s="2">
        <v>41640.0</v>
      </c>
      <c r="F4915" s="1" t="s">
        <v>1562</v>
      </c>
      <c r="H4915" s="3">
        <v>7.0</v>
      </c>
      <c r="I4915" s="4" t="s">
        <v>20248</v>
      </c>
      <c r="J4915" s="1" t="s">
        <v>20249</v>
      </c>
      <c r="K4915" s="1" t="s">
        <v>443</v>
      </c>
    </row>
    <row r="4916">
      <c r="A4916" s="1" t="s">
        <v>20250</v>
      </c>
      <c r="B4916" s="1" t="s">
        <v>20251</v>
      </c>
      <c r="C4916" s="1">
        <v>2014.0</v>
      </c>
      <c r="D4916" s="2">
        <v>41640.0</v>
      </c>
      <c r="F4916" s="1" t="s">
        <v>20252</v>
      </c>
      <c r="H4916" s="3">
        <v>32.0</v>
      </c>
      <c r="I4916" s="4" t="s">
        <v>20253</v>
      </c>
      <c r="J4916" s="1" t="s">
        <v>20254</v>
      </c>
      <c r="K4916" s="1" t="s">
        <v>1036</v>
      </c>
    </row>
    <row r="4917">
      <c r="A4917" s="1" t="s">
        <v>20255</v>
      </c>
      <c r="B4917" s="1" t="s">
        <v>20256</v>
      </c>
      <c r="C4917" s="1">
        <v>2014.0</v>
      </c>
      <c r="D4917" s="2">
        <v>41640.0</v>
      </c>
      <c r="F4917" s="1" t="s">
        <v>1050</v>
      </c>
      <c r="H4917" s="3">
        <v>1.0</v>
      </c>
      <c r="I4917" s="4" t="s">
        <v>20257</v>
      </c>
      <c r="J4917" s="1" t="s">
        <v>20258</v>
      </c>
      <c r="K4917" s="1" t="s">
        <v>323</v>
      </c>
    </row>
    <row r="4918">
      <c r="A4918" s="1" t="s">
        <v>20259</v>
      </c>
      <c r="B4918" s="1" t="s">
        <v>19756</v>
      </c>
      <c r="C4918" s="1">
        <v>2014.0</v>
      </c>
      <c r="D4918" s="2">
        <v>41640.0</v>
      </c>
      <c r="F4918" s="1" t="s">
        <v>12651</v>
      </c>
      <c r="H4918" s="3">
        <v>13.0</v>
      </c>
      <c r="I4918" s="4" t="s">
        <v>20260</v>
      </c>
      <c r="J4918" s="1" t="s">
        <v>20261</v>
      </c>
      <c r="K4918" s="1" t="s">
        <v>443</v>
      </c>
    </row>
    <row r="4919">
      <c r="A4919" s="1" t="s">
        <v>20262</v>
      </c>
      <c r="B4919" s="1" t="s">
        <v>20263</v>
      </c>
      <c r="C4919" s="1">
        <v>2014.0</v>
      </c>
      <c r="D4919" s="2">
        <v>41640.0</v>
      </c>
      <c r="F4919" s="1" t="s">
        <v>20264</v>
      </c>
      <c r="H4919" s="3">
        <v>3.0</v>
      </c>
      <c r="I4919" s="4" t="s">
        <v>20265</v>
      </c>
      <c r="J4919" s="1" t="s">
        <v>20266</v>
      </c>
      <c r="K4919" s="1" t="s">
        <v>323</v>
      </c>
    </row>
    <row r="4920">
      <c r="A4920" s="1" t="s">
        <v>20267</v>
      </c>
      <c r="B4920" s="1" t="s">
        <v>20268</v>
      </c>
      <c r="C4920" s="1">
        <v>2014.0</v>
      </c>
      <c r="D4920" s="2">
        <v>41640.0</v>
      </c>
      <c r="F4920" s="1" t="s">
        <v>20269</v>
      </c>
      <c r="H4920" s="3">
        <v>18.0</v>
      </c>
      <c r="I4920" s="4" t="s">
        <v>20270</v>
      </c>
      <c r="J4920" s="1" t="s">
        <v>20271</v>
      </c>
      <c r="K4920" s="1" t="s">
        <v>68</v>
      </c>
    </row>
    <row r="4921">
      <c r="A4921" s="1" t="s">
        <v>20272</v>
      </c>
      <c r="B4921" s="1" t="s">
        <v>19708</v>
      </c>
      <c r="C4921" s="1">
        <v>2014.0</v>
      </c>
      <c r="D4921" s="2">
        <v>41640.0</v>
      </c>
      <c r="F4921" s="1" t="s">
        <v>20273</v>
      </c>
      <c r="H4921" s="3">
        <v>6.0</v>
      </c>
      <c r="I4921" s="4" t="s">
        <v>20274</v>
      </c>
      <c r="J4921" s="1" t="s">
        <v>20275</v>
      </c>
      <c r="K4921" s="1" t="s">
        <v>323</v>
      </c>
    </row>
    <row r="4922">
      <c r="A4922" s="1" t="s">
        <v>20276</v>
      </c>
      <c r="B4922" s="1" t="s">
        <v>19111</v>
      </c>
      <c r="C4922" s="1">
        <v>2014.0</v>
      </c>
      <c r="D4922" s="2">
        <v>41640.0</v>
      </c>
      <c r="F4922" s="1" t="s">
        <v>1050</v>
      </c>
      <c r="H4922" s="3">
        <v>1.0</v>
      </c>
      <c r="I4922" s="4" t="s">
        <v>20277</v>
      </c>
      <c r="J4922" s="1" t="s">
        <v>20278</v>
      </c>
      <c r="K4922" s="1" t="s">
        <v>68</v>
      </c>
    </row>
    <row r="4923">
      <c r="A4923" s="1" t="s">
        <v>20279</v>
      </c>
      <c r="B4923" s="1" t="s">
        <v>20280</v>
      </c>
      <c r="C4923" s="1">
        <v>2014.0</v>
      </c>
      <c r="D4923" s="2">
        <v>41640.0</v>
      </c>
      <c r="F4923" s="1" t="s">
        <v>1050</v>
      </c>
      <c r="H4923" s="3">
        <v>1.0</v>
      </c>
      <c r="I4923" s="4" t="s">
        <v>20281</v>
      </c>
      <c r="J4923" s="1" t="s">
        <v>20282</v>
      </c>
      <c r="K4923" s="1" t="s">
        <v>68</v>
      </c>
    </row>
    <row r="4924">
      <c r="A4924" s="1" t="s">
        <v>20283</v>
      </c>
      <c r="B4924" s="1" t="s">
        <v>19111</v>
      </c>
      <c r="C4924" s="1">
        <v>2014.0</v>
      </c>
      <c r="D4924" s="2">
        <v>41640.0</v>
      </c>
      <c r="F4924" s="1" t="s">
        <v>1050</v>
      </c>
      <c r="H4924" s="3">
        <v>0.0</v>
      </c>
      <c r="I4924" s="4" t="s">
        <v>20284</v>
      </c>
      <c r="J4924" s="1" t="s">
        <v>20285</v>
      </c>
      <c r="K4924" s="1" t="s">
        <v>68</v>
      </c>
    </row>
    <row r="4925">
      <c r="A4925" s="1" t="s">
        <v>20286</v>
      </c>
      <c r="B4925" s="1" t="s">
        <v>15899</v>
      </c>
      <c r="C4925" s="1">
        <v>2014.0</v>
      </c>
      <c r="D4925" s="2">
        <v>41640.0</v>
      </c>
      <c r="F4925" s="1" t="s">
        <v>3263</v>
      </c>
      <c r="H4925" s="3">
        <v>13.0</v>
      </c>
      <c r="I4925" s="4" t="s">
        <v>20287</v>
      </c>
      <c r="J4925" s="1"/>
      <c r="K4925" s="1" t="s">
        <v>16</v>
      </c>
    </row>
    <row r="4926">
      <c r="A4926" s="1" t="s">
        <v>20288</v>
      </c>
      <c r="B4926" s="1" t="s">
        <v>20289</v>
      </c>
      <c r="C4926" s="1">
        <v>2014.0</v>
      </c>
      <c r="D4926" s="2">
        <v>41640.0</v>
      </c>
      <c r="F4926" s="1" t="s">
        <v>1050</v>
      </c>
      <c r="H4926" s="3">
        <v>0.0</v>
      </c>
      <c r="I4926" s="4" t="s">
        <v>20290</v>
      </c>
      <c r="J4926" s="1" t="s">
        <v>20291</v>
      </c>
      <c r="K4926" s="1" t="s">
        <v>295</v>
      </c>
    </row>
    <row r="4927">
      <c r="A4927" s="1" t="s">
        <v>20292</v>
      </c>
      <c r="B4927" s="1" t="s">
        <v>20293</v>
      </c>
      <c r="C4927" s="1">
        <v>2014.0</v>
      </c>
      <c r="D4927" s="2">
        <v>41640.0</v>
      </c>
      <c r="F4927" s="1" t="s">
        <v>1050</v>
      </c>
      <c r="H4927" s="3">
        <v>0.0</v>
      </c>
      <c r="I4927" s="4" t="s">
        <v>20294</v>
      </c>
      <c r="J4927" s="1" t="s">
        <v>20295</v>
      </c>
      <c r="K4927" s="1" t="s">
        <v>16</v>
      </c>
    </row>
    <row r="4928">
      <c r="A4928" s="1" t="s">
        <v>20296</v>
      </c>
      <c r="B4928" s="1" t="s">
        <v>20297</v>
      </c>
      <c r="C4928" s="1">
        <v>2013.0</v>
      </c>
      <c r="D4928" s="2">
        <v>41639.0</v>
      </c>
      <c r="F4928" s="1" t="s">
        <v>71</v>
      </c>
      <c r="H4928" s="3">
        <v>10.0</v>
      </c>
      <c r="I4928" s="4" t="s">
        <v>20298</v>
      </c>
      <c r="J4928" s="1" t="s">
        <v>20299</v>
      </c>
      <c r="K4928" s="1" t="s">
        <v>403</v>
      </c>
    </row>
    <row r="4929">
      <c r="A4929" s="1" t="s">
        <v>20300</v>
      </c>
      <c r="B4929" s="1" t="s">
        <v>20301</v>
      </c>
      <c r="C4929" s="1">
        <v>2013.0</v>
      </c>
      <c r="D4929" s="2">
        <v>41634.0</v>
      </c>
      <c r="F4929" s="1" t="s">
        <v>3626</v>
      </c>
      <c r="H4929" s="3">
        <v>6.0</v>
      </c>
      <c r="I4929" s="4" t="s">
        <v>20302</v>
      </c>
      <c r="J4929" s="1" t="s">
        <v>20303</v>
      </c>
      <c r="K4929" s="1" t="s">
        <v>323</v>
      </c>
    </row>
    <row r="4930">
      <c r="A4930" s="1" t="s">
        <v>20304</v>
      </c>
      <c r="B4930" s="1" t="s">
        <v>20305</v>
      </c>
      <c r="C4930" s="1">
        <v>2013.0</v>
      </c>
      <c r="D4930" s="2">
        <v>41631.0</v>
      </c>
      <c r="F4930" s="1" t="s">
        <v>71</v>
      </c>
      <c r="H4930" s="3">
        <v>14.0</v>
      </c>
      <c r="I4930" s="4" t="s">
        <v>20306</v>
      </c>
      <c r="J4930" s="1" t="s">
        <v>20307</v>
      </c>
      <c r="K4930" s="1" t="s">
        <v>443</v>
      </c>
    </row>
    <row r="4931">
      <c r="A4931" s="1" t="s">
        <v>20308</v>
      </c>
      <c r="B4931" s="1" t="s">
        <v>20309</v>
      </c>
      <c r="C4931" s="1">
        <v>2013.0</v>
      </c>
      <c r="D4931" s="2">
        <v>41628.0</v>
      </c>
      <c r="F4931" s="1" t="s">
        <v>31</v>
      </c>
      <c r="H4931" s="3">
        <v>77.0</v>
      </c>
      <c r="I4931" s="4" t="s">
        <v>20310</v>
      </c>
      <c r="J4931" s="1" t="s">
        <v>20311</v>
      </c>
      <c r="K4931" s="1" t="s">
        <v>1036</v>
      </c>
    </row>
    <row r="4932">
      <c r="A4932" s="1" t="s">
        <v>20312</v>
      </c>
      <c r="B4932" s="1" t="s">
        <v>20313</v>
      </c>
      <c r="C4932" s="1">
        <v>2013.0</v>
      </c>
      <c r="D4932" s="2">
        <v>41628.0</v>
      </c>
      <c r="F4932" s="1" t="s">
        <v>298</v>
      </c>
      <c r="H4932" s="3">
        <v>21.0</v>
      </c>
      <c r="I4932" s="4" t="s">
        <v>20314</v>
      </c>
      <c r="J4932" s="1" t="s">
        <v>20315</v>
      </c>
      <c r="K4932" s="1" t="s">
        <v>16</v>
      </c>
    </row>
    <row r="4933">
      <c r="A4933" s="1" t="s">
        <v>20316</v>
      </c>
      <c r="B4933" s="1" t="s">
        <v>20317</v>
      </c>
      <c r="C4933" s="1">
        <v>2013.0</v>
      </c>
      <c r="D4933" s="2">
        <v>41627.0</v>
      </c>
      <c r="F4933" s="1" t="s">
        <v>3583</v>
      </c>
      <c r="H4933" s="3">
        <v>8.0</v>
      </c>
      <c r="I4933" s="4" t="s">
        <v>20318</v>
      </c>
      <c r="J4933" s="1" t="s">
        <v>20319</v>
      </c>
      <c r="K4933" s="1" t="s">
        <v>323</v>
      </c>
    </row>
    <row r="4934">
      <c r="A4934" s="1" t="s">
        <v>20320</v>
      </c>
      <c r="B4934" s="1" t="s">
        <v>20321</v>
      </c>
      <c r="C4934" s="1">
        <v>2013.0</v>
      </c>
      <c r="D4934" s="2">
        <v>41627.0</v>
      </c>
      <c r="F4934" s="1" t="s">
        <v>223</v>
      </c>
      <c r="H4934" s="3">
        <v>12.0</v>
      </c>
      <c r="I4934" s="4" t="s">
        <v>20322</v>
      </c>
      <c r="J4934" s="1" t="s">
        <v>20323</v>
      </c>
      <c r="K4934" s="1" t="s">
        <v>16</v>
      </c>
    </row>
    <row r="4935">
      <c r="A4935" s="1" t="s">
        <v>20324</v>
      </c>
      <c r="B4935" s="1" t="s">
        <v>20325</v>
      </c>
      <c r="C4935" s="1">
        <v>2013.0</v>
      </c>
      <c r="D4935" s="2">
        <v>41626.0</v>
      </c>
      <c r="F4935" s="1" t="s">
        <v>1381</v>
      </c>
      <c r="H4935" s="3">
        <v>7.0</v>
      </c>
      <c r="I4935" s="4" t="s">
        <v>20326</v>
      </c>
      <c r="J4935" s="1" t="s">
        <v>20327</v>
      </c>
      <c r="K4935" s="1" t="s">
        <v>413</v>
      </c>
    </row>
    <row r="4936">
      <c r="A4936" s="1" t="s">
        <v>20328</v>
      </c>
      <c r="B4936" s="1" t="s">
        <v>20329</v>
      </c>
      <c r="C4936" s="1">
        <v>2013.0</v>
      </c>
      <c r="D4936" s="2">
        <v>41625.0</v>
      </c>
      <c r="F4936" s="1" t="s">
        <v>1277</v>
      </c>
      <c r="H4936" s="3">
        <v>74.0</v>
      </c>
      <c r="I4936" s="4" t="s">
        <v>20330</v>
      </c>
      <c r="J4936" s="1" t="s">
        <v>20331</v>
      </c>
      <c r="K4936" s="1" t="s">
        <v>418</v>
      </c>
    </row>
    <row r="4937">
      <c r="A4937" s="1" t="s">
        <v>20332</v>
      </c>
      <c r="B4937" s="1" t="s">
        <v>20333</v>
      </c>
      <c r="C4937" s="1">
        <v>2013.0</v>
      </c>
      <c r="D4937" s="2">
        <v>41624.0</v>
      </c>
      <c r="F4937" s="1" t="s">
        <v>689</v>
      </c>
      <c r="H4937" s="3">
        <v>14.0</v>
      </c>
      <c r="I4937" s="4" t="s">
        <v>20334</v>
      </c>
      <c r="J4937" s="1" t="s">
        <v>20335</v>
      </c>
      <c r="K4937" s="1" t="s">
        <v>16</v>
      </c>
    </row>
    <row r="4938">
      <c r="A4938" s="1" t="s">
        <v>20336</v>
      </c>
      <c r="B4938" s="1" t="s">
        <v>20337</v>
      </c>
      <c r="C4938" s="1">
        <v>2013.0</v>
      </c>
      <c r="D4938" s="2">
        <v>41621.0</v>
      </c>
      <c r="F4938" s="1" t="s">
        <v>7158</v>
      </c>
      <c r="H4938" s="3">
        <v>22.0</v>
      </c>
      <c r="I4938" s="4" t="s">
        <v>20338</v>
      </c>
      <c r="J4938" s="1" t="s">
        <v>20339</v>
      </c>
      <c r="K4938" s="1" t="s">
        <v>16</v>
      </c>
    </row>
    <row r="4939">
      <c r="A4939" s="1" t="s">
        <v>20340</v>
      </c>
      <c r="B4939" s="1" t="s">
        <v>19481</v>
      </c>
      <c r="C4939" s="1">
        <v>2013.0</v>
      </c>
      <c r="D4939" s="2">
        <v>41619.0</v>
      </c>
      <c r="F4939" s="1" t="s">
        <v>12240</v>
      </c>
      <c r="H4939" s="3">
        <v>20.0</v>
      </c>
      <c r="I4939" s="4" t="s">
        <v>20341</v>
      </c>
      <c r="J4939" s="1" t="s">
        <v>20342</v>
      </c>
      <c r="K4939" s="1" t="s">
        <v>546</v>
      </c>
    </row>
    <row r="4940">
      <c r="A4940" s="1" t="s">
        <v>20343</v>
      </c>
      <c r="B4940" s="1" t="s">
        <v>20344</v>
      </c>
      <c r="C4940" s="1">
        <v>2013.0</v>
      </c>
      <c r="D4940" s="2">
        <v>41619.0</v>
      </c>
      <c r="F4940" s="1" t="s">
        <v>20345</v>
      </c>
      <c r="H4940" s="3">
        <v>17.0</v>
      </c>
      <c r="I4940" s="4" t="s">
        <v>20346</v>
      </c>
      <c r="J4940" s="1" t="s">
        <v>20347</v>
      </c>
      <c r="K4940" s="1" t="s">
        <v>462</v>
      </c>
    </row>
    <row r="4941">
      <c r="A4941" s="1" t="s">
        <v>20348</v>
      </c>
      <c r="B4941" s="1" t="s">
        <v>20349</v>
      </c>
      <c r="C4941" s="1">
        <v>2013.0</v>
      </c>
      <c r="D4941" s="2">
        <v>41618.0</v>
      </c>
      <c r="F4941" s="1" t="s">
        <v>877</v>
      </c>
      <c r="H4941" s="3">
        <v>34.0</v>
      </c>
      <c r="I4941" s="4" t="s">
        <v>20350</v>
      </c>
      <c r="J4941" s="1" t="s">
        <v>20351</v>
      </c>
      <c r="K4941" s="1" t="s">
        <v>443</v>
      </c>
    </row>
    <row r="4942">
      <c r="A4942" s="1" t="s">
        <v>20352</v>
      </c>
      <c r="B4942" s="1" t="s">
        <v>20353</v>
      </c>
      <c r="C4942" s="1">
        <v>2013.0</v>
      </c>
      <c r="D4942" s="2">
        <v>41615.0</v>
      </c>
      <c r="F4942" s="1" t="s">
        <v>4848</v>
      </c>
      <c r="H4942" s="3">
        <v>25.0</v>
      </c>
      <c r="I4942" s="4" t="s">
        <v>20354</v>
      </c>
      <c r="J4942" s="1" t="s">
        <v>20355</v>
      </c>
      <c r="K4942" s="1" t="s">
        <v>68</v>
      </c>
    </row>
    <row r="4943">
      <c r="A4943" s="1" t="s">
        <v>20356</v>
      </c>
      <c r="B4943" s="1" t="s">
        <v>20357</v>
      </c>
      <c r="C4943" s="1">
        <v>2013.0</v>
      </c>
      <c r="D4943" s="2">
        <v>41614.0</v>
      </c>
      <c r="F4943" s="1" t="s">
        <v>10404</v>
      </c>
      <c r="H4943" s="3">
        <v>43.0</v>
      </c>
      <c r="I4943" s="4" t="s">
        <v>20358</v>
      </c>
      <c r="J4943" s="1"/>
      <c r="K4943" s="1" t="s">
        <v>329</v>
      </c>
    </row>
    <row r="4944">
      <c r="A4944" s="1" t="s">
        <v>20359</v>
      </c>
      <c r="B4944" s="1" t="s">
        <v>20360</v>
      </c>
      <c r="C4944" s="1">
        <v>2013.0</v>
      </c>
      <c r="D4944" s="2">
        <v>41613.0</v>
      </c>
      <c r="F4944" s="1" t="s">
        <v>7158</v>
      </c>
      <c r="H4944" s="3">
        <v>5.0</v>
      </c>
      <c r="I4944" s="4" t="s">
        <v>20361</v>
      </c>
      <c r="J4944" s="1" t="s">
        <v>20362</v>
      </c>
      <c r="K4944" s="1" t="s">
        <v>16</v>
      </c>
    </row>
    <row r="4945">
      <c r="A4945" s="1" t="s">
        <v>20363</v>
      </c>
      <c r="B4945" s="1" t="s">
        <v>20364</v>
      </c>
      <c r="C4945" s="1">
        <v>2013.0</v>
      </c>
      <c r="D4945" s="2">
        <v>41612.0</v>
      </c>
      <c r="F4945" s="1" t="s">
        <v>435</v>
      </c>
      <c r="H4945" s="3">
        <v>7.0</v>
      </c>
      <c r="I4945" s="4" t="s">
        <v>20365</v>
      </c>
      <c r="J4945" s="1" t="s">
        <v>20366</v>
      </c>
      <c r="K4945" s="1" t="s">
        <v>323</v>
      </c>
    </row>
    <row r="4946">
      <c r="A4946" s="1" t="s">
        <v>20367</v>
      </c>
      <c r="B4946" s="1" t="s">
        <v>20368</v>
      </c>
      <c r="C4946" s="1">
        <v>2013.0</v>
      </c>
      <c r="D4946" s="2">
        <v>41612.0</v>
      </c>
      <c r="F4946" s="1" t="s">
        <v>157</v>
      </c>
      <c r="H4946" s="3">
        <v>43.0</v>
      </c>
      <c r="I4946" s="4" t="s">
        <v>20369</v>
      </c>
      <c r="J4946" s="1" t="s">
        <v>20370</v>
      </c>
      <c r="K4946" s="1" t="s">
        <v>546</v>
      </c>
    </row>
    <row r="4947">
      <c r="A4947" s="1" t="s">
        <v>20371</v>
      </c>
      <c r="B4947" s="1" t="s">
        <v>20372</v>
      </c>
      <c r="C4947" s="1">
        <v>2013.0</v>
      </c>
      <c r="D4947" s="2">
        <v>41609.0</v>
      </c>
      <c r="F4947" s="1" t="s">
        <v>711</v>
      </c>
      <c r="H4947" s="3">
        <v>8.0</v>
      </c>
      <c r="I4947" s="4" t="s">
        <v>20373</v>
      </c>
      <c r="J4947" s="1"/>
      <c r="K4947" s="1" t="s">
        <v>28</v>
      </c>
    </row>
    <row r="4948">
      <c r="A4948" s="1" t="s">
        <v>20374</v>
      </c>
      <c r="B4948" s="1" t="s">
        <v>20375</v>
      </c>
      <c r="C4948" s="1">
        <v>2013.0</v>
      </c>
      <c r="D4948" s="2">
        <v>41609.0</v>
      </c>
      <c r="F4948" s="1" t="s">
        <v>4544</v>
      </c>
      <c r="H4948" s="3">
        <v>87.0</v>
      </c>
      <c r="I4948" s="4" t="s">
        <v>20376</v>
      </c>
      <c r="J4948" s="1" t="s">
        <v>20377</v>
      </c>
      <c r="K4948" s="1" t="s">
        <v>329</v>
      </c>
    </row>
    <row r="4949">
      <c r="A4949" s="1" t="s">
        <v>20378</v>
      </c>
      <c r="B4949" s="1" t="s">
        <v>20379</v>
      </c>
      <c r="C4949" s="1">
        <v>2013.0</v>
      </c>
      <c r="D4949" s="2">
        <v>41609.0</v>
      </c>
      <c r="F4949" s="1" t="s">
        <v>12651</v>
      </c>
      <c r="H4949" s="3">
        <v>9.0</v>
      </c>
      <c r="I4949" s="4" t="s">
        <v>20380</v>
      </c>
      <c r="J4949" s="1" t="s">
        <v>20381</v>
      </c>
      <c r="K4949" s="1" t="s">
        <v>443</v>
      </c>
    </row>
    <row r="4950">
      <c r="A4950" s="1" t="s">
        <v>20382</v>
      </c>
      <c r="B4950" s="1" t="s">
        <v>20383</v>
      </c>
      <c r="C4950" s="1">
        <v>2013.0</v>
      </c>
      <c r="D4950" s="2">
        <v>41609.0</v>
      </c>
      <c r="F4950" s="1" t="s">
        <v>698</v>
      </c>
      <c r="H4950" s="3">
        <v>0.0</v>
      </c>
      <c r="I4950" s="4" t="s">
        <v>20384</v>
      </c>
      <c r="J4950" s="1"/>
      <c r="K4950" s="1" t="s">
        <v>443</v>
      </c>
    </row>
    <row r="4951">
      <c r="A4951" s="1" t="s">
        <v>20385</v>
      </c>
      <c r="B4951" s="1" t="s">
        <v>20386</v>
      </c>
      <c r="C4951" s="1">
        <v>2013.0</v>
      </c>
      <c r="D4951" s="2">
        <v>41609.0</v>
      </c>
      <c r="F4951" s="1" t="s">
        <v>3340</v>
      </c>
      <c r="H4951" s="3">
        <v>103.0</v>
      </c>
      <c r="I4951" s="4" t="s">
        <v>20387</v>
      </c>
      <c r="J4951" s="1" t="s">
        <v>20388</v>
      </c>
      <c r="K4951" s="1" t="s">
        <v>462</v>
      </c>
    </row>
    <row r="4952">
      <c r="A4952" s="1" t="s">
        <v>20389</v>
      </c>
      <c r="B4952" s="1" t="s">
        <v>20390</v>
      </c>
      <c r="C4952" s="1">
        <v>2013.0</v>
      </c>
      <c r="D4952" s="2">
        <v>41609.0</v>
      </c>
      <c r="F4952" s="1" t="s">
        <v>3351</v>
      </c>
      <c r="H4952" s="3">
        <v>3.0</v>
      </c>
      <c r="I4952" s="4" t="s">
        <v>20391</v>
      </c>
      <c r="J4952" s="1" t="s">
        <v>20392</v>
      </c>
      <c r="K4952" s="1" t="s">
        <v>16</v>
      </c>
    </row>
    <row r="4953">
      <c r="A4953" s="1" t="s">
        <v>20393</v>
      </c>
      <c r="B4953" s="1" t="s">
        <v>20394</v>
      </c>
      <c r="C4953" s="1">
        <v>2013.0</v>
      </c>
      <c r="D4953" s="2">
        <v>41605.0</v>
      </c>
      <c r="F4953" s="1" t="s">
        <v>4063</v>
      </c>
      <c r="H4953" s="3">
        <v>90.0</v>
      </c>
      <c r="I4953" s="4" t="s">
        <v>20395</v>
      </c>
      <c r="J4953" s="1" t="s">
        <v>20396</v>
      </c>
      <c r="K4953" s="1" t="s">
        <v>28</v>
      </c>
    </row>
    <row r="4954">
      <c r="A4954" s="1" t="s">
        <v>20397</v>
      </c>
      <c r="B4954" s="1" t="s">
        <v>20398</v>
      </c>
      <c r="C4954" s="1">
        <v>2013.0</v>
      </c>
      <c r="D4954" s="2">
        <v>41605.0</v>
      </c>
      <c r="F4954" s="1" t="s">
        <v>178</v>
      </c>
      <c r="H4954" s="3">
        <v>937.0</v>
      </c>
      <c r="I4954" s="4" t="s">
        <v>20399</v>
      </c>
      <c r="J4954" s="1" t="s">
        <v>20400</v>
      </c>
      <c r="K4954" s="1" t="s">
        <v>28</v>
      </c>
    </row>
    <row r="4955">
      <c r="A4955" s="1" t="s">
        <v>20401</v>
      </c>
      <c r="B4955" s="1" t="s">
        <v>20402</v>
      </c>
      <c r="C4955" s="1">
        <v>2013.0</v>
      </c>
      <c r="D4955" s="2">
        <v>41605.0</v>
      </c>
      <c r="F4955" s="1" t="s">
        <v>8149</v>
      </c>
      <c r="H4955" s="3">
        <v>16.0</v>
      </c>
      <c r="I4955" s="4" t="s">
        <v>20403</v>
      </c>
      <c r="J4955" s="1" t="s">
        <v>20404</v>
      </c>
      <c r="K4955" s="1" t="s">
        <v>926</v>
      </c>
    </row>
    <row r="4956">
      <c r="A4956" s="1" t="s">
        <v>20405</v>
      </c>
      <c r="B4956" s="1" t="s">
        <v>20406</v>
      </c>
      <c r="C4956" s="1">
        <v>2013.0</v>
      </c>
      <c r="D4956" s="2">
        <v>41604.0</v>
      </c>
      <c r="F4956" s="1" t="s">
        <v>5090</v>
      </c>
      <c r="H4956" s="3">
        <v>60.0</v>
      </c>
      <c r="I4956" s="4" t="s">
        <v>20407</v>
      </c>
      <c r="J4956" s="1" t="s">
        <v>20408</v>
      </c>
      <c r="K4956" s="1" t="s">
        <v>28</v>
      </c>
    </row>
    <row r="4957">
      <c r="A4957" s="1" t="s">
        <v>20409</v>
      </c>
      <c r="B4957" s="1" t="s">
        <v>20410</v>
      </c>
      <c r="C4957" s="1">
        <v>2013.0</v>
      </c>
      <c r="D4957" s="2">
        <v>41603.0</v>
      </c>
      <c r="F4957" s="1" t="s">
        <v>4848</v>
      </c>
      <c r="H4957" s="3">
        <v>5.0</v>
      </c>
      <c r="I4957" s="4" t="s">
        <v>20411</v>
      </c>
      <c r="J4957" s="1" t="s">
        <v>20412</v>
      </c>
      <c r="K4957" s="1" t="s">
        <v>323</v>
      </c>
    </row>
    <row r="4958">
      <c r="A4958" s="1" t="s">
        <v>20413</v>
      </c>
      <c r="B4958" s="1" t="s">
        <v>20414</v>
      </c>
      <c r="C4958" s="1">
        <v>2013.0</v>
      </c>
      <c r="D4958" s="2">
        <v>41603.0</v>
      </c>
      <c r="F4958" s="1" t="s">
        <v>396</v>
      </c>
      <c r="H4958" s="3">
        <v>1.0</v>
      </c>
      <c r="I4958" s="4" t="s">
        <v>20415</v>
      </c>
      <c r="J4958" s="1"/>
      <c r="K4958" s="1" t="s">
        <v>68</v>
      </c>
    </row>
    <row r="4959">
      <c r="A4959" s="1" t="s">
        <v>20416</v>
      </c>
      <c r="B4959" s="1" t="s">
        <v>20417</v>
      </c>
      <c r="C4959" s="1">
        <v>2013.0</v>
      </c>
      <c r="D4959" s="2">
        <v>41600.0</v>
      </c>
      <c r="F4959" s="1" t="s">
        <v>830</v>
      </c>
      <c r="H4959" s="3">
        <v>12.0</v>
      </c>
      <c r="I4959" s="4" t="s">
        <v>20418</v>
      </c>
      <c r="J4959" s="1" t="s">
        <v>20419</v>
      </c>
      <c r="K4959" s="1" t="s">
        <v>295</v>
      </c>
    </row>
    <row r="4960">
      <c r="A4960" s="1" t="s">
        <v>20420</v>
      </c>
      <c r="B4960" s="1" t="s">
        <v>20421</v>
      </c>
      <c r="C4960" s="1">
        <v>2013.0</v>
      </c>
      <c r="D4960" s="2">
        <v>41598.0</v>
      </c>
      <c r="F4960" s="1" t="s">
        <v>71</v>
      </c>
      <c r="H4960" s="3">
        <v>61.0</v>
      </c>
      <c r="I4960" s="4" t="s">
        <v>20422</v>
      </c>
      <c r="J4960" s="1" t="s">
        <v>20423</v>
      </c>
      <c r="K4960" s="1" t="s">
        <v>28</v>
      </c>
    </row>
    <row r="4961">
      <c r="A4961" s="1" t="s">
        <v>20424</v>
      </c>
      <c r="B4961" s="1" t="s">
        <v>20425</v>
      </c>
      <c r="C4961" s="1">
        <v>2013.0</v>
      </c>
      <c r="D4961" s="2">
        <v>41596.0</v>
      </c>
      <c r="F4961" s="1" t="s">
        <v>1904</v>
      </c>
      <c r="H4961" s="3">
        <v>32.0</v>
      </c>
      <c r="I4961" s="4" t="s">
        <v>20426</v>
      </c>
      <c r="J4961" s="1" t="s">
        <v>20427</v>
      </c>
      <c r="K4961" s="1" t="s">
        <v>413</v>
      </c>
    </row>
    <row r="4962">
      <c r="A4962" s="1" t="s">
        <v>20428</v>
      </c>
      <c r="B4962" s="1" t="s">
        <v>20429</v>
      </c>
      <c r="C4962" s="1">
        <v>2013.0</v>
      </c>
      <c r="D4962" s="2">
        <v>41591.0</v>
      </c>
      <c r="F4962" s="1" t="s">
        <v>676</v>
      </c>
      <c r="H4962" s="3">
        <v>31.0</v>
      </c>
      <c r="I4962" s="4" t="s">
        <v>20430</v>
      </c>
      <c r="J4962" s="1" t="s">
        <v>20431</v>
      </c>
      <c r="K4962" s="1" t="s">
        <v>28</v>
      </c>
    </row>
    <row r="4963">
      <c r="A4963" s="1" t="s">
        <v>20432</v>
      </c>
      <c r="B4963" s="1" t="s">
        <v>20433</v>
      </c>
      <c r="C4963" s="1">
        <v>2013.0</v>
      </c>
      <c r="D4963" s="2">
        <v>41585.0</v>
      </c>
      <c r="F4963" s="1" t="s">
        <v>1277</v>
      </c>
      <c r="H4963" s="3">
        <v>35.0</v>
      </c>
      <c r="I4963" s="4" t="s">
        <v>20434</v>
      </c>
      <c r="J4963" s="1" t="s">
        <v>20435</v>
      </c>
      <c r="K4963" s="1" t="s">
        <v>418</v>
      </c>
    </row>
    <row r="4964">
      <c r="A4964" s="1" t="s">
        <v>20436</v>
      </c>
      <c r="B4964" s="1" t="s">
        <v>17148</v>
      </c>
      <c r="C4964" s="1">
        <v>2013.0</v>
      </c>
      <c r="D4964" s="2">
        <v>41584.0</v>
      </c>
      <c r="F4964" s="1" t="s">
        <v>1714</v>
      </c>
      <c r="H4964" s="3">
        <v>3.0</v>
      </c>
      <c r="I4964" s="4" t="s">
        <v>20437</v>
      </c>
      <c r="J4964" s="1"/>
      <c r="K4964" s="1" t="s">
        <v>16</v>
      </c>
    </row>
    <row r="4965">
      <c r="A4965" s="1" t="s">
        <v>20438</v>
      </c>
      <c r="B4965" s="1" t="s">
        <v>19957</v>
      </c>
      <c r="C4965" s="1">
        <v>2013.0</v>
      </c>
      <c r="D4965" s="2">
        <v>41579.0</v>
      </c>
      <c r="F4965" s="1" t="s">
        <v>15339</v>
      </c>
      <c r="H4965" s="3">
        <v>0.0</v>
      </c>
      <c r="I4965" s="4" t="s">
        <v>20439</v>
      </c>
      <c r="J4965" s="1"/>
      <c r="K4965" s="1" t="s">
        <v>28</v>
      </c>
    </row>
    <row r="4966">
      <c r="A4966" s="1" t="s">
        <v>20440</v>
      </c>
      <c r="B4966" s="1" t="s">
        <v>20441</v>
      </c>
      <c r="C4966" s="1">
        <v>2013.0</v>
      </c>
      <c r="D4966" s="2">
        <v>41579.0</v>
      </c>
      <c r="F4966" s="1" t="s">
        <v>20442</v>
      </c>
      <c r="H4966" s="3">
        <v>16.0</v>
      </c>
      <c r="I4966" s="4" t="s">
        <v>20443</v>
      </c>
      <c r="J4966" s="1" t="s">
        <v>20444</v>
      </c>
      <c r="K4966" s="1" t="s">
        <v>68</v>
      </c>
    </row>
    <row r="4967">
      <c r="A4967" s="1" t="s">
        <v>20445</v>
      </c>
      <c r="B4967" s="1" t="s">
        <v>20446</v>
      </c>
      <c r="C4967" s="1">
        <v>2013.0</v>
      </c>
      <c r="D4967" s="2">
        <v>41579.0</v>
      </c>
      <c r="F4967" s="1" t="s">
        <v>20447</v>
      </c>
      <c r="H4967" s="3">
        <v>17.0</v>
      </c>
      <c r="I4967" s="4" t="s">
        <v>20448</v>
      </c>
      <c r="J4967" s="1" t="s">
        <v>20449</v>
      </c>
      <c r="K4967" s="1" t="s">
        <v>16</v>
      </c>
    </row>
    <row r="4968">
      <c r="A4968" s="1" t="s">
        <v>20450</v>
      </c>
      <c r="B4968" s="1" t="s">
        <v>20451</v>
      </c>
      <c r="C4968" s="1">
        <v>2013.0</v>
      </c>
      <c r="D4968" s="2">
        <v>41577.0</v>
      </c>
      <c r="F4968" s="1" t="s">
        <v>59</v>
      </c>
      <c r="H4968" s="3">
        <v>10.0</v>
      </c>
      <c r="I4968" s="4" t="s">
        <v>20452</v>
      </c>
      <c r="J4968" s="1" t="s">
        <v>20453</v>
      </c>
      <c r="K4968" s="1" t="s">
        <v>16</v>
      </c>
    </row>
    <row r="4969">
      <c r="A4969" s="1" t="s">
        <v>20454</v>
      </c>
      <c r="B4969" s="1" t="s">
        <v>20455</v>
      </c>
      <c r="C4969" s="1">
        <v>2013.0</v>
      </c>
      <c r="D4969" s="2">
        <v>41572.0</v>
      </c>
      <c r="F4969" s="1" t="s">
        <v>396</v>
      </c>
      <c r="H4969" s="3">
        <v>68.0</v>
      </c>
      <c r="I4969" s="4" t="s">
        <v>20456</v>
      </c>
      <c r="J4969" s="1"/>
      <c r="K4969" s="1" t="s">
        <v>492</v>
      </c>
    </row>
    <row r="4970">
      <c r="A4970" s="1" t="s">
        <v>20457</v>
      </c>
      <c r="B4970" s="1" t="s">
        <v>20458</v>
      </c>
      <c r="C4970" s="1">
        <v>2013.0</v>
      </c>
      <c r="D4970" s="2">
        <v>41572.0</v>
      </c>
      <c r="F4970" s="1" t="s">
        <v>656</v>
      </c>
      <c r="H4970" s="3">
        <v>12.0</v>
      </c>
      <c r="I4970" s="4" t="s">
        <v>20459</v>
      </c>
      <c r="J4970" s="1" t="s">
        <v>20460</v>
      </c>
      <c r="K4970" s="1" t="s">
        <v>16</v>
      </c>
    </row>
    <row r="4971">
      <c r="A4971" s="1" t="s">
        <v>20461</v>
      </c>
      <c r="B4971" s="1" t="s">
        <v>20462</v>
      </c>
      <c r="C4971" s="1">
        <v>2013.0</v>
      </c>
      <c r="D4971" s="2">
        <v>41570.0</v>
      </c>
      <c r="F4971" s="1" t="s">
        <v>711</v>
      </c>
      <c r="H4971" s="3">
        <v>264.0</v>
      </c>
      <c r="I4971" s="4" t="s">
        <v>20463</v>
      </c>
      <c r="J4971" s="1" t="s">
        <v>20464</v>
      </c>
      <c r="K4971" s="1" t="s">
        <v>28</v>
      </c>
    </row>
    <row r="4972">
      <c r="A4972" s="1" t="s">
        <v>20465</v>
      </c>
      <c r="B4972" s="1" t="s">
        <v>20466</v>
      </c>
      <c r="C4972" s="1">
        <v>2013.0</v>
      </c>
      <c r="D4972" s="2">
        <v>41568.0</v>
      </c>
      <c r="F4972" s="1" t="s">
        <v>3583</v>
      </c>
      <c r="H4972" s="3">
        <v>72.0</v>
      </c>
      <c r="I4972" s="4" t="s">
        <v>20467</v>
      </c>
      <c r="J4972" s="1" t="s">
        <v>20468</v>
      </c>
      <c r="K4972" s="1" t="s">
        <v>28</v>
      </c>
    </row>
    <row r="4973">
      <c r="A4973" s="1" t="s">
        <v>20469</v>
      </c>
      <c r="B4973" s="1" t="s">
        <v>20470</v>
      </c>
      <c r="C4973" s="1">
        <v>2013.0</v>
      </c>
      <c r="D4973" s="2">
        <v>41568.0</v>
      </c>
      <c r="F4973" s="1" t="s">
        <v>605</v>
      </c>
      <c r="H4973" s="3">
        <v>74.0</v>
      </c>
      <c r="I4973" s="4" t="s">
        <v>20471</v>
      </c>
      <c r="J4973" s="1" t="s">
        <v>20472</v>
      </c>
      <c r="K4973" s="1" t="s">
        <v>1036</v>
      </c>
    </row>
    <row r="4974">
      <c r="A4974" s="1" t="s">
        <v>20473</v>
      </c>
      <c r="B4974" s="1" t="s">
        <v>20474</v>
      </c>
      <c r="C4974" s="1">
        <v>2013.0</v>
      </c>
      <c r="D4974" s="2">
        <v>41565.0</v>
      </c>
      <c r="F4974" s="1" t="s">
        <v>10121</v>
      </c>
      <c r="H4974" s="3">
        <v>61.0</v>
      </c>
      <c r="I4974" s="4" t="s">
        <v>20475</v>
      </c>
      <c r="J4974" s="1" t="s">
        <v>20476</v>
      </c>
      <c r="K4974" s="1" t="s">
        <v>16</v>
      </c>
    </row>
    <row r="4975">
      <c r="A4975" s="1" t="s">
        <v>20477</v>
      </c>
      <c r="B4975" s="1" t="s">
        <v>20478</v>
      </c>
      <c r="C4975" s="1">
        <v>2013.0</v>
      </c>
      <c r="D4975" s="2">
        <v>41562.0</v>
      </c>
      <c r="F4975" s="1" t="s">
        <v>1277</v>
      </c>
      <c r="H4975" s="3">
        <v>54.0</v>
      </c>
      <c r="I4975" s="4" t="s">
        <v>20479</v>
      </c>
      <c r="J4975" s="1" t="s">
        <v>20480</v>
      </c>
      <c r="K4975" s="1" t="s">
        <v>323</v>
      </c>
    </row>
    <row r="4976">
      <c r="A4976" s="1" t="s">
        <v>20481</v>
      </c>
      <c r="B4976" s="1" t="s">
        <v>20482</v>
      </c>
      <c r="C4976" s="1">
        <v>2013.0</v>
      </c>
      <c r="D4976" s="2">
        <v>41562.0</v>
      </c>
      <c r="F4976" s="1" t="s">
        <v>2774</v>
      </c>
      <c r="H4976" s="3">
        <v>88.0</v>
      </c>
      <c r="I4976" s="4" t="s">
        <v>20483</v>
      </c>
      <c r="J4976" s="1" t="s">
        <v>20484</v>
      </c>
      <c r="K4976" s="1" t="s">
        <v>1036</v>
      </c>
    </row>
    <row r="4977">
      <c r="A4977" s="1" t="s">
        <v>20485</v>
      </c>
      <c r="B4977" s="1" t="s">
        <v>20486</v>
      </c>
      <c r="C4977" s="1">
        <v>2013.0</v>
      </c>
      <c r="D4977" s="2">
        <v>41561.0</v>
      </c>
      <c r="F4977" s="1" t="s">
        <v>9666</v>
      </c>
      <c r="H4977" s="3">
        <v>37.0</v>
      </c>
      <c r="I4977" s="4" t="s">
        <v>20487</v>
      </c>
      <c r="J4977" s="1" t="s">
        <v>20488</v>
      </c>
      <c r="K4977" s="1" t="s">
        <v>323</v>
      </c>
    </row>
    <row r="4978">
      <c r="A4978" s="1" t="s">
        <v>20489</v>
      </c>
      <c r="B4978" s="1" t="s">
        <v>20490</v>
      </c>
      <c r="C4978" s="1">
        <v>2013.0</v>
      </c>
      <c r="D4978" s="2">
        <v>41557.0</v>
      </c>
      <c r="F4978" s="1" t="s">
        <v>15887</v>
      </c>
      <c r="H4978" s="3">
        <v>39.0</v>
      </c>
      <c r="I4978" s="4" t="s">
        <v>20491</v>
      </c>
      <c r="J4978" s="1" t="s">
        <v>20492</v>
      </c>
      <c r="K4978" s="1" t="s">
        <v>926</v>
      </c>
    </row>
    <row r="4979">
      <c r="A4979" s="1" t="s">
        <v>20493</v>
      </c>
      <c r="B4979" s="1" t="s">
        <v>20494</v>
      </c>
      <c r="C4979" s="1">
        <v>2013.0</v>
      </c>
      <c r="D4979" s="2">
        <v>41548.0</v>
      </c>
      <c r="F4979" s="1" t="s">
        <v>3340</v>
      </c>
      <c r="H4979" s="3">
        <v>1.0</v>
      </c>
      <c r="I4979" s="4" t="s">
        <v>20495</v>
      </c>
      <c r="J4979" s="1"/>
      <c r="K4979" s="1" t="s">
        <v>16</v>
      </c>
    </row>
    <row r="4980">
      <c r="A4980" s="1" t="s">
        <v>20496</v>
      </c>
      <c r="B4980" s="1" t="s">
        <v>20497</v>
      </c>
      <c r="C4980" s="1">
        <v>2013.0</v>
      </c>
      <c r="D4980" s="2">
        <v>41548.0</v>
      </c>
      <c r="F4980" s="1" t="s">
        <v>3463</v>
      </c>
      <c r="H4980" s="3">
        <v>30.0</v>
      </c>
      <c r="I4980" s="4" t="s">
        <v>20498</v>
      </c>
      <c r="J4980" s="1" t="s">
        <v>20499</v>
      </c>
      <c r="K4980" s="1" t="s">
        <v>926</v>
      </c>
    </row>
    <row r="4981">
      <c r="A4981" s="1" t="s">
        <v>20500</v>
      </c>
      <c r="B4981" s="1" t="s">
        <v>20501</v>
      </c>
      <c r="C4981" s="1">
        <v>2013.0</v>
      </c>
      <c r="D4981" s="2">
        <v>41547.0</v>
      </c>
      <c r="F4981" s="1" t="s">
        <v>20502</v>
      </c>
      <c r="H4981" s="3">
        <v>3.0</v>
      </c>
      <c r="I4981" s="4" t="s">
        <v>20503</v>
      </c>
      <c r="J4981" s="1" t="s">
        <v>20504</v>
      </c>
      <c r="K4981" s="1" t="s">
        <v>28</v>
      </c>
    </row>
    <row r="4982">
      <c r="A4982" s="1" t="s">
        <v>20505</v>
      </c>
      <c r="B4982" s="1" t="s">
        <v>20506</v>
      </c>
      <c r="C4982" s="1">
        <v>2013.0</v>
      </c>
      <c r="D4982" s="2">
        <v>41547.0</v>
      </c>
      <c r="F4982" s="1" t="s">
        <v>808</v>
      </c>
      <c r="H4982" s="3">
        <v>11.0</v>
      </c>
      <c r="I4982" s="4" t="s">
        <v>20507</v>
      </c>
      <c r="J4982" s="1" t="s">
        <v>20508</v>
      </c>
      <c r="K4982" s="1" t="s">
        <v>317</v>
      </c>
    </row>
    <row r="4983">
      <c r="A4983" s="1" t="s">
        <v>20509</v>
      </c>
      <c r="B4983" s="1" t="s">
        <v>20510</v>
      </c>
      <c r="C4983" s="1">
        <v>2013.0</v>
      </c>
      <c r="D4983" s="2">
        <v>41547.0</v>
      </c>
      <c r="F4983" s="1" t="s">
        <v>3944</v>
      </c>
      <c r="H4983" s="3">
        <v>35.0</v>
      </c>
      <c r="I4983" s="4" t="s">
        <v>20511</v>
      </c>
      <c r="J4983" s="1" t="s">
        <v>20512</v>
      </c>
      <c r="K4983" s="1" t="s">
        <v>295</v>
      </c>
    </row>
    <row r="4984">
      <c r="A4984" s="1" t="s">
        <v>20513</v>
      </c>
      <c r="B4984" s="1" t="s">
        <v>20514</v>
      </c>
      <c r="C4984" s="1">
        <v>2013.0</v>
      </c>
      <c r="D4984" s="2">
        <v>41543.0</v>
      </c>
      <c r="F4984" s="1" t="s">
        <v>4235</v>
      </c>
      <c r="H4984" s="3">
        <v>45.0</v>
      </c>
      <c r="I4984" s="4" t="s">
        <v>20515</v>
      </c>
      <c r="J4984" s="1" t="s">
        <v>20516</v>
      </c>
      <c r="K4984" s="1" t="s">
        <v>28</v>
      </c>
    </row>
    <row r="4985">
      <c r="A4985" s="1" t="s">
        <v>20517</v>
      </c>
      <c r="B4985" s="1" t="s">
        <v>20518</v>
      </c>
      <c r="C4985" s="1">
        <v>2013.0</v>
      </c>
      <c r="D4985" s="2">
        <v>41542.0</v>
      </c>
      <c r="F4985" s="1" t="s">
        <v>808</v>
      </c>
      <c r="H4985" s="3">
        <v>24.0</v>
      </c>
      <c r="I4985" s="4" t="s">
        <v>20519</v>
      </c>
      <c r="J4985" s="1" t="s">
        <v>20520</v>
      </c>
      <c r="K4985" s="1" t="s">
        <v>16</v>
      </c>
    </row>
    <row r="4986">
      <c r="A4986" s="1" t="s">
        <v>20521</v>
      </c>
      <c r="B4986" s="1" t="s">
        <v>20522</v>
      </c>
      <c r="C4986" s="1">
        <v>2013.0</v>
      </c>
      <c r="D4986" s="2">
        <v>41537.0</v>
      </c>
      <c r="F4986" s="1" t="s">
        <v>71</v>
      </c>
      <c r="H4986" s="3">
        <v>21.0</v>
      </c>
      <c r="I4986" s="4" t="s">
        <v>20523</v>
      </c>
      <c r="J4986" s="1" t="s">
        <v>20524</v>
      </c>
      <c r="K4986" s="1" t="s">
        <v>329</v>
      </c>
    </row>
    <row r="4987">
      <c r="A4987" s="1" t="s">
        <v>20525</v>
      </c>
      <c r="B4987" s="1" t="s">
        <v>20526</v>
      </c>
      <c r="C4987" s="1">
        <v>2013.0</v>
      </c>
      <c r="D4987" s="2">
        <v>41534.0</v>
      </c>
      <c r="F4987" s="1" t="s">
        <v>1366</v>
      </c>
      <c r="H4987" s="3">
        <v>106.0</v>
      </c>
      <c r="I4987" s="4" t="s">
        <v>20527</v>
      </c>
      <c r="J4987" s="1" t="s">
        <v>20528</v>
      </c>
      <c r="K4987" s="1" t="s">
        <v>383</v>
      </c>
    </row>
    <row r="4988">
      <c r="A4988" s="1" t="s">
        <v>20529</v>
      </c>
      <c r="B4988" s="1" t="s">
        <v>20530</v>
      </c>
      <c r="C4988" s="1">
        <v>2013.0</v>
      </c>
      <c r="D4988" s="2">
        <v>41534.0</v>
      </c>
      <c r="F4988" s="1" t="s">
        <v>347</v>
      </c>
      <c r="H4988" s="3">
        <v>17.0</v>
      </c>
      <c r="I4988" s="4" t="s">
        <v>20531</v>
      </c>
      <c r="J4988" s="1" t="s">
        <v>20532</v>
      </c>
      <c r="K4988" s="1" t="s">
        <v>68</v>
      </c>
    </row>
    <row r="4989">
      <c r="A4989" s="1" t="s">
        <v>20533</v>
      </c>
      <c r="B4989" s="1" t="s">
        <v>20534</v>
      </c>
      <c r="C4989" s="1">
        <v>2013.0</v>
      </c>
      <c r="D4989" s="2">
        <v>41533.0</v>
      </c>
      <c r="F4989" s="1" t="s">
        <v>996</v>
      </c>
      <c r="H4989" s="3">
        <v>10.0</v>
      </c>
      <c r="I4989" s="4" t="s">
        <v>20535</v>
      </c>
      <c r="J4989" s="1" t="s">
        <v>20536</v>
      </c>
      <c r="K4989" s="1" t="s">
        <v>403</v>
      </c>
    </row>
    <row r="4990">
      <c r="A4990" s="1" t="s">
        <v>20537</v>
      </c>
      <c r="B4990" s="1" t="s">
        <v>20538</v>
      </c>
      <c r="C4990" s="1">
        <v>2013.0</v>
      </c>
      <c r="D4990" s="2">
        <v>41533.0</v>
      </c>
      <c r="F4990" s="1" t="s">
        <v>271</v>
      </c>
      <c r="H4990" s="3">
        <v>22.0</v>
      </c>
      <c r="I4990" s="4" t="s">
        <v>20539</v>
      </c>
      <c r="J4990" s="1" t="s">
        <v>20540</v>
      </c>
      <c r="K4990" s="1" t="s">
        <v>477</v>
      </c>
    </row>
    <row r="4991">
      <c r="A4991" s="1" t="s">
        <v>20541</v>
      </c>
      <c r="B4991" s="1" t="s">
        <v>20542</v>
      </c>
      <c r="C4991" s="1">
        <v>2013.0</v>
      </c>
      <c r="D4991" s="2">
        <v>41522.0</v>
      </c>
      <c r="F4991" s="1" t="s">
        <v>59</v>
      </c>
      <c r="H4991" s="3">
        <v>10.0</v>
      </c>
      <c r="I4991" s="4" t="s">
        <v>20543</v>
      </c>
      <c r="J4991" s="1" t="s">
        <v>20544</v>
      </c>
      <c r="K4991" s="1" t="s">
        <v>383</v>
      </c>
    </row>
    <row r="4992">
      <c r="A4992" s="1" t="s">
        <v>20545</v>
      </c>
      <c r="B4992" s="1" t="s">
        <v>20546</v>
      </c>
      <c r="C4992" s="1">
        <v>2013.0</v>
      </c>
      <c r="D4992" s="2">
        <v>41520.0</v>
      </c>
      <c r="F4992" s="1" t="s">
        <v>17347</v>
      </c>
      <c r="H4992" s="3">
        <v>37.0</v>
      </c>
      <c r="I4992" s="4" t="s">
        <v>20547</v>
      </c>
      <c r="J4992" s="1" t="s">
        <v>20548</v>
      </c>
      <c r="K4992" s="1" t="s">
        <v>383</v>
      </c>
    </row>
    <row r="4993">
      <c r="A4993" s="1" t="s">
        <v>20549</v>
      </c>
      <c r="B4993" s="1" t="s">
        <v>20550</v>
      </c>
      <c r="C4993" s="1">
        <v>2013.0</v>
      </c>
      <c r="D4993" s="2">
        <v>41518.0</v>
      </c>
      <c r="F4993" s="1" t="s">
        <v>9945</v>
      </c>
      <c r="H4993" s="3">
        <v>57.0</v>
      </c>
      <c r="I4993" s="4" t="s">
        <v>20551</v>
      </c>
      <c r="J4993" s="1" t="s">
        <v>20552</v>
      </c>
      <c r="K4993" s="1" t="s">
        <v>295</v>
      </c>
    </row>
    <row r="4994">
      <c r="A4994" s="1" t="s">
        <v>20553</v>
      </c>
      <c r="B4994" s="1" t="s">
        <v>16229</v>
      </c>
      <c r="C4994" s="1">
        <v>2013.0</v>
      </c>
      <c r="D4994" s="2">
        <v>41515.0</v>
      </c>
      <c r="F4994" s="1" t="s">
        <v>7495</v>
      </c>
      <c r="H4994" s="3">
        <v>4.0</v>
      </c>
      <c r="I4994" s="4" t="s">
        <v>20554</v>
      </c>
      <c r="J4994" s="1" t="s">
        <v>20555</v>
      </c>
      <c r="K4994" s="1" t="s">
        <v>68</v>
      </c>
    </row>
    <row r="4995">
      <c r="A4995" s="1" t="s">
        <v>20556</v>
      </c>
      <c r="B4995" s="1" t="s">
        <v>20557</v>
      </c>
      <c r="C4995" s="1">
        <v>2013.0</v>
      </c>
      <c r="D4995" s="2">
        <v>41513.0</v>
      </c>
      <c r="F4995" s="1" t="s">
        <v>2634</v>
      </c>
      <c r="H4995" s="3">
        <v>24.0</v>
      </c>
      <c r="I4995" s="4" t="s">
        <v>20558</v>
      </c>
      <c r="J4995" s="1"/>
      <c r="K4995" s="1" t="s">
        <v>1036</v>
      </c>
    </row>
    <row r="4996">
      <c r="A4996" s="1" t="s">
        <v>20559</v>
      </c>
      <c r="B4996" s="1" t="s">
        <v>20560</v>
      </c>
      <c r="C4996" s="1">
        <v>2013.0</v>
      </c>
      <c r="D4996" s="2">
        <v>41512.0</v>
      </c>
      <c r="F4996" s="1" t="s">
        <v>2634</v>
      </c>
      <c r="H4996" s="3">
        <v>30.0</v>
      </c>
      <c r="I4996" s="4" t="s">
        <v>20561</v>
      </c>
      <c r="J4996" s="1" t="s">
        <v>20562</v>
      </c>
      <c r="K4996" s="1" t="s">
        <v>383</v>
      </c>
    </row>
    <row r="4997">
      <c r="A4997" s="1" t="s">
        <v>20563</v>
      </c>
      <c r="B4997" s="1" t="s">
        <v>19803</v>
      </c>
      <c r="C4997" s="1">
        <v>2013.0</v>
      </c>
      <c r="D4997" s="2">
        <v>41508.0</v>
      </c>
      <c r="F4997" s="1" t="s">
        <v>1277</v>
      </c>
      <c r="H4997" s="3">
        <v>154.0</v>
      </c>
      <c r="I4997" s="4" t="s">
        <v>20564</v>
      </c>
      <c r="J4997" s="1" t="s">
        <v>20565</v>
      </c>
      <c r="K4997" s="1" t="s">
        <v>16</v>
      </c>
    </row>
    <row r="4998">
      <c r="A4998" s="1" t="s">
        <v>20566</v>
      </c>
      <c r="B4998" s="1" t="s">
        <v>20567</v>
      </c>
      <c r="C4998" s="1">
        <v>2013.0</v>
      </c>
      <c r="D4998" s="2">
        <v>41506.0</v>
      </c>
      <c r="F4998" s="1" t="s">
        <v>410</v>
      </c>
      <c r="H4998" s="3">
        <v>14.0</v>
      </c>
      <c r="I4998" s="4" t="s">
        <v>20568</v>
      </c>
      <c r="J4998" s="1" t="s">
        <v>20569</v>
      </c>
      <c r="K4998" s="1" t="s">
        <v>403</v>
      </c>
    </row>
    <row r="4999">
      <c r="A4999" s="1" t="s">
        <v>20570</v>
      </c>
      <c r="B4999" s="1" t="s">
        <v>20571</v>
      </c>
      <c r="C4999" s="1">
        <v>2013.0</v>
      </c>
      <c r="D4999" s="2">
        <v>41501.0</v>
      </c>
      <c r="F4999" s="1" t="s">
        <v>2634</v>
      </c>
      <c r="H4999" s="3">
        <v>40.0</v>
      </c>
      <c r="I4999" s="4" t="s">
        <v>20572</v>
      </c>
      <c r="J4999" s="1" t="s">
        <v>20573</v>
      </c>
      <c r="K4999" s="1" t="s">
        <v>68</v>
      </c>
    </row>
    <row r="5000">
      <c r="A5000" s="1" t="s">
        <v>20574</v>
      </c>
      <c r="B5000" s="1" t="s">
        <v>20575</v>
      </c>
      <c r="C5000" s="1">
        <v>2013.0</v>
      </c>
      <c r="D5000" s="2">
        <v>41500.0</v>
      </c>
      <c r="F5000" s="1" t="s">
        <v>12240</v>
      </c>
      <c r="H5000" s="3">
        <v>276.0</v>
      </c>
      <c r="I5000" s="4" t="s">
        <v>20576</v>
      </c>
      <c r="J5000" s="1" t="s">
        <v>20577</v>
      </c>
      <c r="K5000" s="1" t="s">
        <v>16</v>
      </c>
    </row>
    <row r="5001">
      <c r="A5001" s="1" t="s">
        <v>20578</v>
      </c>
      <c r="B5001" s="1" t="s">
        <v>20579</v>
      </c>
      <c r="C5001" s="1">
        <v>2013.0</v>
      </c>
      <c r="D5001" s="2">
        <v>41499.0</v>
      </c>
      <c r="F5001" s="1" t="s">
        <v>1277</v>
      </c>
      <c r="H5001" s="3">
        <v>17.0</v>
      </c>
      <c r="I5001" s="4" t="s">
        <v>20580</v>
      </c>
      <c r="J5001" s="1" t="s">
        <v>20581</v>
      </c>
      <c r="K5001" s="1" t="s">
        <v>28</v>
      </c>
    </row>
    <row r="5002">
      <c r="A5002" s="1" t="s">
        <v>20582</v>
      </c>
      <c r="B5002" s="1" t="s">
        <v>20583</v>
      </c>
      <c r="C5002" s="1">
        <v>2013.0</v>
      </c>
      <c r="D5002" s="2">
        <v>41494.0</v>
      </c>
      <c r="F5002" s="1" t="s">
        <v>59</v>
      </c>
      <c r="H5002" s="3">
        <v>9.0</v>
      </c>
      <c r="I5002" s="4" t="s">
        <v>20584</v>
      </c>
      <c r="J5002" s="1" t="s">
        <v>20585</v>
      </c>
      <c r="K5002" s="1" t="s">
        <v>443</v>
      </c>
    </row>
    <row r="5003">
      <c r="A5003" s="1" t="s">
        <v>20586</v>
      </c>
      <c r="B5003" s="1" t="s">
        <v>20587</v>
      </c>
      <c r="C5003" s="1">
        <v>2013.0</v>
      </c>
      <c r="D5003" s="2">
        <v>41494.0</v>
      </c>
      <c r="F5003" s="1" t="s">
        <v>248</v>
      </c>
      <c r="H5003" s="3">
        <v>0.0</v>
      </c>
      <c r="I5003" s="4" t="s">
        <v>20588</v>
      </c>
      <c r="J5003" s="1"/>
      <c r="K5003" s="1" t="s">
        <v>28</v>
      </c>
    </row>
    <row r="5004">
      <c r="A5004" s="1" t="s">
        <v>20589</v>
      </c>
      <c r="B5004" s="1" t="s">
        <v>20590</v>
      </c>
      <c r="C5004" s="1">
        <v>2013.0</v>
      </c>
      <c r="D5004" s="2">
        <v>41493.0</v>
      </c>
      <c r="F5004" s="1" t="s">
        <v>71</v>
      </c>
      <c r="H5004" s="3">
        <v>31.0</v>
      </c>
      <c r="I5004" s="4" t="s">
        <v>20591</v>
      </c>
      <c r="J5004" s="1" t="s">
        <v>20592</v>
      </c>
      <c r="K5004" s="1" t="s">
        <v>383</v>
      </c>
    </row>
    <row r="5005">
      <c r="A5005" s="1" t="s">
        <v>20593</v>
      </c>
      <c r="B5005" s="1" t="s">
        <v>20594</v>
      </c>
      <c r="C5005" s="1">
        <v>2013.0</v>
      </c>
      <c r="D5005" s="2">
        <v>41493.0</v>
      </c>
      <c r="F5005" s="1" t="s">
        <v>4374</v>
      </c>
      <c r="H5005" s="3">
        <v>26.0</v>
      </c>
      <c r="I5005" s="4" t="s">
        <v>20595</v>
      </c>
      <c r="J5005" s="1" t="s">
        <v>20596</v>
      </c>
      <c r="K5005" s="1" t="s">
        <v>295</v>
      </c>
    </row>
    <row r="5006">
      <c r="A5006" s="1" t="s">
        <v>20597</v>
      </c>
      <c r="B5006" s="1" t="s">
        <v>20598</v>
      </c>
      <c r="C5006" s="1">
        <v>2013.0</v>
      </c>
      <c r="D5006" s="2">
        <v>41492.0</v>
      </c>
      <c r="F5006" s="1" t="s">
        <v>3569</v>
      </c>
      <c r="H5006" s="3">
        <v>29.0</v>
      </c>
      <c r="I5006" s="4" t="s">
        <v>20599</v>
      </c>
      <c r="J5006" s="1" t="s">
        <v>20600</v>
      </c>
      <c r="K5006" s="1" t="s">
        <v>571</v>
      </c>
    </row>
    <row r="5007">
      <c r="A5007" s="1" t="s">
        <v>20601</v>
      </c>
      <c r="B5007" s="1" t="s">
        <v>20602</v>
      </c>
      <c r="C5007" s="1">
        <v>2013.0</v>
      </c>
      <c r="D5007" s="2">
        <v>41492.0</v>
      </c>
      <c r="F5007" s="1" t="s">
        <v>1277</v>
      </c>
      <c r="H5007" s="3">
        <v>24.0</v>
      </c>
      <c r="I5007" s="4" t="s">
        <v>20603</v>
      </c>
      <c r="J5007" s="1" t="s">
        <v>20604</v>
      </c>
      <c r="K5007" s="1" t="s">
        <v>28</v>
      </c>
    </row>
    <row r="5008">
      <c r="A5008" s="1" t="s">
        <v>20605</v>
      </c>
      <c r="B5008" s="1" t="s">
        <v>20606</v>
      </c>
      <c r="C5008" s="1">
        <v>2013.0</v>
      </c>
      <c r="D5008" s="2">
        <v>41491.0</v>
      </c>
      <c r="F5008" s="1" t="s">
        <v>71</v>
      </c>
      <c r="H5008" s="3">
        <v>22.0</v>
      </c>
      <c r="I5008" s="4" t="s">
        <v>20607</v>
      </c>
      <c r="J5008" s="1" t="s">
        <v>20608</v>
      </c>
      <c r="K5008" s="1" t="s">
        <v>295</v>
      </c>
    </row>
    <row r="5009">
      <c r="A5009" s="1" t="s">
        <v>20609</v>
      </c>
      <c r="B5009" s="1" t="s">
        <v>19684</v>
      </c>
      <c r="C5009" s="1">
        <v>2013.0</v>
      </c>
      <c r="D5009" s="2">
        <v>41489.0</v>
      </c>
      <c r="F5009" s="1" t="s">
        <v>12240</v>
      </c>
      <c r="H5009" s="3">
        <v>74.0</v>
      </c>
      <c r="I5009" s="4" t="s">
        <v>20610</v>
      </c>
      <c r="J5009" s="1" t="s">
        <v>20611</v>
      </c>
      <c r="K5009" s="1" t="s">
        <v>16</v>
      </c>
    </row>
    <row r="5010">
      <c r="A5010" s="1" t="s">
        <v>20612</v>
      </c>
      <c r="B5010" s="1" t="s">
        <v>20613</v>
      </c>
      <c r="C5010" s="1">
        <v>2013.0</v>
      </c>
      <c r="D5010" s="2">
        <v>41487.0</v>
      </c>
      <c r="F5010" s="1" t="s">
        <v>6418</v>
      </c>
      <c r="H5010" s="3">
        <v>43.0</v>
      </c>
      <c r="I5010" s="4" t="s">
        <v>20614</v>
      </c>
      <c r="J5010" s="1" t="s">
        <v>20615</v>
      </c>
      <c r="K5010" s="1" t="s">
        <v>926</v>
      </c>
    </row>
    <row r="5011">
      <c r="A5011" s="1" t="s">
        <v>20616</v>
      </c>
      <c r="B5011" s="1" t="s">
        <v>20617</v>
      </c>
      <c r="C5011" s="1">
        <v>2013.0</v>
      </c>
      <c r="D5011" s="2">
        <v>41486.0</v>
      </c>
      <c r="F5011" s="1" t="s">
        <v>8818</v>
      </c>
      <c r="H5011" s="3">
        <v>110.0</v>
      </c>
      <c r="I5011" s="4" t="s">
        <v>20618</v>
      </c>
      <c r="J5011" s="1" t="s">
        <v>20619</v>
      </c>
      <c r="K5011" s="1" t="s">
        <v>383</v>
      </c>
    </row>
    <row r="5012">
      <c r="A5012" s="1" t="s">
        <v>20620</v>
      </c>
      <c r="B5012" s="1" t="s">
        <v>20621</v>
      </c>
      <c r="C5012" s="1">
        <v>2013.0</v>
      </c>
      <c r="D5012" s="2">
        <v>41485.0</v>
      </c>
      <c r="F5012" s="1" t="s">
        <v>7495</v>
      </c>
      <c r="H5012" s="3">
        <v>11.0</v>
      </c>
      <c r="I5012" s="4" t="s">
        <v>20622</v>
      </c>
      <c r="J5012" s="1" t="s">
        <v>20623</v>
      </c>
      <c r="K5012" s="1" t="s">
        <v>295</v>
      </c>
    </row>
    <row r="5013">
      <c r="A5013" s="1" t="s">
        <v>20624</v>
      </c>
      <c r="B5013" s="1" t="s">
        <v>20625</v>
      </c>
      <c r="C5013" s="1">
        <v>2013.0</v>
      </c>
      <c r="D5013" s="2">
        <v>41484.0</v>
      </c>
      <c r="F5013" s="1" t="s">
        <v>2634</v>
      </c>
      <c r="H5013" s="3">
        <v>102.0</v>
      </c>
      <c r="I5013" s="4" t="s">
        <v>20626</v>
      </c>
      <c r="J5013" s="1" t="s">
        <v>20627</v>
      </c>
      <c r="K5013" s="1" t="s">
        <v>16</v>
      </c>
    </row>
    <row r="5014">
      <c r="A5014" s="1" t="s">
        <v>20628</v>
      </c>
      <c r="B5014" s="1" t="s">
        <v>20629</v>
      </c>
      <c r="C5014" s="1">
        <v>2013.0</v>
      </c>
      <c r="D5014" s="2">
        <v>41477.0</v>
      </c>
      <c r="F5014" s="1" t="s">
        <v>20502</v>
      </c>
      <c r="H5014" s="3">
        <v>5.0</v>
      </c>
      <c r="I5014" s="4" t="s">
        <v>20630</v>
      </c>
      <c r="J5014" s="1" t="s">
        <v>20631</v>
      </c>
      <c r="K5014" s="1" t="s">
        <v>323</v>
      </c>
    </row>
    <row r="5015">
      <c r="A5015" s="1" t="s">
        <v>20632</v>
      </c>
      <c r="B5015" s="1" t="s">
        <v>20633</v>
      </c>
      <c r="C5015" s="1">
        <v>2013.0</v>
      </c>
      <c r="D5015" s="2">
        <v>41477.0</v>
      </c>
      <c r="F5015" s="1" t="s">
        <v>10404</v>
      </c>
      <c r="H5015" s="3">
        <v>52.0</v>
      </c>
      <c r="I5015" s="4" t="s">
        <v>20634</v>
      </c>
      <c r="J5015" s="1" t="s">
        <v>20635</v>
      </c>
      <c r="K5015" s="1" t="s">
        <v>295</v>
      </c>
    </row>
    <row r="5016">
      <c r="A5016" s="1" t="s">
        <v>20636</v>
      </c>
      <c r="B5016" s="1" t="s">
        <v>20637</v>
      </c>
      <c r="C5016" s="1">
        <v>2013.0</v>
      </c>
      <c r="D5016" s="2">
        <v>41472.0</v>
      </c>
      <c r="F5016" s="1" t="s">
        <v>656</v>
      </c>
      <c r="H5016" s="3">
        <v>18.0</v>
      </c>
      <c r="I5016" s="4" t="s">
        <v>20638</v>
      </c>
      <c r="J5016" s="1" t="s">
        <v>20639</v>
      </c>
      <c r="K5016" s="1" t="s">
        <v>443</v>
      </c>
    </row>
    <row r="5017">
      <c r="A5017" s="1" t="s">
        <v>20640</v>
      </c>
      <c r="B5017" s="1" t="s">
        <v>20641</v>
      </c>
      <c r="C5017" s="1">
        <v>2013.0</v>
      </c>
      <c r="D5017" s="2">
        <v>41471.0</v>
      </c>
      <c r="F5017" s="1" t="s">
        <v>5815</v>
      </c>
      <c r="H5017" s="3">
        <v>6.0</v>
      </c>
      <c r="I5017" s="4" t="s">
        <v>20642</v>
      </c>
      <c r="J5017" s="1" t="s">
        <v>20643</v>
      </c>
      <c r="K5017" s="1" t="s">
        <v>418</v>
      </c>
    </row>
    <row r="5018">
      <c r="A5018" s="1" t="s">
        <v>20644</v>
      </c>
      <c r="B5018" s="1" t="s">
        <v>20645</v>
      </c>
      <c r="C5018" s="1">
        <v>2013.0</v>
      </c>
      <c r="D5018" s="2">
        <v>41471.0</v>
      </c>
      <c r="F5018" s="1" t="s">
        <v>20646</v>
      </c>
      <c r="H5018" s="3">
        <v>31.0</v>
      </c>
      <c r="I5018" s="4" t="s">
        <v>20647</v>
      </c>
      <c r="J5018" s="1" t="s">
        <v>20648</v>
      </c>
      <c r="K5018" s="1" t="s">
        <v>16</v>
      </c>
    </row>
    <row r="5019">
      <c r="A5019" s="1" t="s">
        <v>20649</v>
      </c>
      <c r="B5019" s="1" t="s">
        <v>20650</v>
      </c>
      <c r="C5019" s="1">
        <v>2013.0</v>
      </c>
      <c r="D5019" s="2">
        <v>41467.0</v>
      </c>
      <c r="F5019" s="1" t="s">
        <v>71</v>
      </c>
      <c r="H5019" s="3">
        <v>37.0</v>
      </c>
      <c r="I5019" s="4" t="s">
        <v>20651</v>
      </c>
      <c r="J5019" s="1" t="s">
        <v>20652</v>
      </c>
      <c r="K5019" s="1" t="s">
        <v>323</v>
      </c>
    </row>
    <row r="5020">
      <c r="A5020" s="1" t="s">
        <v>20653</v>
      </c>
      <c r="B5020" s="1" t="s">
        <v>20654</v>
      </c>
      <c r="C5020" s="1">
        <v>2013.0</v>
      </c>
      <c r="D5020" s="2">
        <v>41461.0</v>
      </c>
      <c r="F5020" s="1" t="s">
        <v>8149</v>
      </c>
      <c r="H5020" s="3">
        <v>54.0</v>
      </c>
      <c r="I5020" s="4" t="s">
        <v>20655</v>
      </c>
      <c r="J5020" s="1" t="s">
        <v>20656</v>
      </c>
      <c r="K5020" s="1" t="s">
        <v>295</v>
      </c>
    </row>
    <row r="5021">
      <c r="A5021" s="1" t="s">
        <v>20657</v>
      </c>
      <c r="B5021" s="1" t="s">
        <v>20658</v>
      </c>
      <c r="C5021" s="1">
        <v>2013.0</v>
      </c>
      <c r="D5021" s="2">
        <v>41457.0</v>
      </c>
      <c r="F5021" s="1" t="s">
        <v>15512</v>
      </c>
      <c r="H5021" s="3">
        <v>7.0</v>
      </c>
      <c r="I5021" s="4" t="s">
        <v>20659</v>
      </c>
      <c r="J5021" s="1" t="s">
        <v>20660</v>
      </c>
      <c r="K5021" s="1" t="s">
        <v>1036</v>
      </c>
    </row>
    <row r="5022">
      <c r="A5022" s="1" t="s">
        <v>20661</v>
      </c>
      <c r="B5022" s="1" t="s">
        <v>20662</v>
      </c>
      <c r="C5022" s="1">
        <v>2013.0</v>
      </c>
      <c r="D5022" s="2">
        <v>41445.0</v>
      </c>
      <c r="F5022" s="1" t="s">
        <v>71</v>
      </c>
      <c r="H5022" s="3">
        <v>7.0</v>
      </c>
      <c r="I5022" s="4" t="s">
        <v>20663</v>
      </c>
      <c r="J5022" s="1" t="s">
        <v>20664</v>
      </c>
      <c r="K5022" s="1" t="s">
        <v>295</v>
      </c>
    </row>
    <row r="5023">
      <c r="A5023" s="1" t="s">
        <v>20665</v>
      </c>
      <c r="B5023" s="1" t="s">
        <v>20666</v>
      </c>
      <c r="C5023" s="1">
        <v>2013.0</v>
      </c>
      <c r="D5023" s="2">
        <v>41444.0</v>
      </c>
      <c r="F5023" s="1" t="s">
        <v>71</v>
      </c>
      <c r="H5023" s="3">
        <v>6.0</v>
      </c>
      <c r="I5023" s="4" t="s">
        <v>20667</v>
      </c>
      <c r="J5023" s="1" t="s">
        <v>20668</v>
      </c>
      <c r="K5023" s="1" t="s">
        <v>477</v>
      </c>
    </row>
    <row r="5024">
      <c r="A5024" s="1" t="s">
        <v>20669</v>
      </c>
      <c r="B5024" s="1" t="s">
        <v>20670</v>
      </c>
      <c r="C5024" s="1">
        <v>2013.0</v>
      </c>
      <c r="D5024" s="2">
        <v>41443.0</v>
      </c>
      <c r="F5024" s="1" t="s">
        <v>20671</v>
      </c>
      <c r="H5024" s="3">
        <v>31.0</v>
      </c>
      <c r="I5024" s="4" t="s">
        <v>20672</v>
      </c>
      <c r="J5024" s="1" t="s">
        <v>20673</v>
      </c>
      <c r="K5024" s="1" t="s">
        <v>413</v>
      </c>
    </row>
    <row r="5025">
      <c r="A5025" s="1" t="s">
        <v>20674</v>
      </c>
      <c r="B5025" s="1" t="s">
        <v>20675</v>
      </c>
      <c r="C5025" s="1">
        <v>2013.0</v>
      </c>
      <c r="D5025" s="2">
        <v>41440.0</v>
      </c>
      <c r="F5025" s="1" t="s">
        <v>435</v>
      </c>
      <c r="H5025" s="3">
        <v>46.0</v>
      </c>
      <c r="I5025" s="4" t="s">
        <v>20676</v>
      </c>
      <c r="J5025" s="1" t="s">
        <v>20677</v>
      </c>
      <c r="K5025" s="1" t="s">
        <v>295</v>
      </c>
    </row>
    <row r="5026">
      <c r="A5026" s="1" t="s">
        <v>20678</v>
      </c>
      <c r="B5026" s="1" t="s">
        <v>17148</v>
      </c>
      <c r="C5026" s="1">
        <v>2013.0</v>
      </c>
      <c r="D5026" s="2">
        <v>41437.0</v>
      </c>
      <c r="F5026" s="1" t="s">
        <v>1714</v>
      </c>
      <c r="H5026" s="3">
        <v>43.0</v>
      </c>
      <c r="I5026" s="4" t="s">
        <v>20679</v>
      </c>
      <c r="J5026" s="1" t="s">
        <v>20680</v>
      </c>
      <c r="K5026" s="1" t="s">
        <v>16</v>
      </c>
    </row>
    <row r="5027">
      <c r="A5027" s="1" t="s">
        <v>20681</v>
      </c>
      <c r="B5027" s="1" t="s">
        <v>20682</v>
      </c>
      <c r="C5027" s="1">
        <v>2013.0</v>
      </c>
      <c r="D5027" s="2">
        <v>41431.0</v>
      </c>
      <c r="F5027" s="1" t="s">
        <v>12240</v>
      </c>
      <c r="H5027" s="3">
        <v>81.0</v>
      </c>
      <c r="I5027" s="4" t="s">
        <v>20683</v>
      </c>
      <c r="J5027" s="1" t="s">
        <v>20684</v>
      </c>
      <c r="K5027" s="1" t="s">
        <v>16</v>
      </c>
    </row>
    <row r="5028">
      <c r="A5028" s="1" t="s">
        <v>20685</v>
      </c>
      <c r="B5028" s="1" t="s">
        <v>20686</v>
      </c>
      <c r="C5028" s="1">
        <v>2013.0</v>
      </c>
      <c r="D5028" s="2">
        <v>41426.0</v>
      </c>
      <c r="F5028" s="1" t="s">
        <v>2560</v>
      </c>
      <c r="H5028" s="3">
        <v>147.0</v>
      </c>
      <c r="I5028" s="4" t="s">
        <v>20687</v>
      </c>
      <c r="J5028" s="1" t="s">
        <v>20688</v>
      </c>
      <c r="K5028" s="1" t="s">
        <v>323</v>
      </c>
    </row>
    <row r="5029">
      <c r="A5029" s="1" t="s">
        <v>20689</v>
      </c>
      <c r="B5029" s="1" t="s">
        <v>20690</v>
      </c>
      <c r="C5029" s="1">
        <v>2013.0</v>
      </c>
      <c r="D5029" s="2">
        <v>41426.0</v>
      </c>
      <c r="F5029" s="1" t="s">
        <v>20691</v>
      </c>
      <c r="H5029" s="3">
        <v>12.0</v>
      </c>
      <c r="I5029" s="4" t="s">
        <v>20692</v>
      </c>
      <c r="J5029" s="1" t="s">
        <v>20693</v>
      </c>
      <c r="K5029" s="1" t="s">
        <v>383</v>
      </c>
    </row>
    <row r="5030">
      <c r="A5030" s="1" t="s">
        <v>20694</v>
      </c>
      <c r="B5030" s="1" t="s">
        <v>20695</v>
      </c>
      <c r="C5030" s="1">
        <v>2013.0</v>
      </c>
      <c r="D5030" s="2">
        <v>41424.0</v>
      </c>
      <c r="F5030" s="1" t="s">
        <v>369</v>
      </c>
      <c r="H5030" s="3">
        <v>5.0</v>
      </c>
      <c r="I5030" s="4" t="s">
        <v>20696</v>
      </c>
      <c r="J5030" s="1" t="s">
        <v>20697</v>
      </c>
      <c r="K5030" s="1" t="s">
        <v>383</v>
      </c>
    </row>
    <row r="5031">
      <c r="A5031" s="1" t="s">
        <v>20698</v>
      </c>
      <c r="B5031" s="1" t="s">
        <v>20699</v>
      </c>
      <c r="C5031" s="1">
        <v>2013.0</v>
      </c>
      <c r="D5031" s="2">
        <v>41416.0</v>
      </c>
      <c r="F5031" s="1" t="s">
        <v>25</v>
      </c>
      <c r="H5031" s="3">
        <v>54.0</v>
      </c>
      <c r="I5031" s="4" t="s">
        <v>20700</v>
      </c>
      <c r="J5031" s="1" t="s">
        <v>20701</v>
      </c>
      <c r="K5031" s="1" t="s">
        <v>418</v>
      </c>
    </row>
    <row r="5032">
      <c r="A5032" s="1" t="s">
        <v>20702</v>
      </c>
      <c r="B5032" s="1" t="s">
        <v>20703</v>
      </c>
      <c r="C5032" s="1">
        <v>2013.0</v>
      </c>
      <c r="D5032" s="2">
        <v>41415.0</v>
      </c>
      <c r="F5032" s="1" t="s">
        <v>7495</v>
      </c>
      <c r="H5032" s="3">
        <v>63.0</v>
      </c>
      <c r="I5032" s="4" t="s">
        <v>20704</v>
      </c>
      <c r="J5032" s="1" t="s">
        <v>20705</v>
      </c>
      <c r="K5032" s="1" t="s">
        <v>323</v>
      </c>
    </row>
    <row r="5033">
      <c r="A5033" s="1" t="s">
        <v>20706</v>
      </c>
      <c r="B5033" s="1" t="s">
        <v>20707</v>
      </c>
      <c r="C5033" s="1">
        <v>2013.0</v>
      </c>
      <c r="D5033" s="2">
        <v>41409.0</v>
      </c>
      <c r="F5033" s="1" t="s">
        <v>12240</v>
      </c>
      <c r="H5033" s="3">
        <v>7.0</v>
      </c>
      <c r="I5033" s="4" t="s">
        <v>20708</v>
      </c>
      <c r="J5033" s="1" t="s">
        <v>20709</v>
      </c>
      <c r="K5033" s="1" t="s">
        <v>546</v>
      </c>
    </row>
    <row r="5034">
      <c r="A5034" s="1" t="s">
        <v>20710</v>
      </c>
      <c r="B5034" s="1" t="s">
        <v>20711</v>
      </c>
      <c r="C5034" s="1">
        <v>2013.0</v>
      </c>
      <c r="D5034" s="2">
        <v>41405.0</v>
      </c>
      <c r="F5034" s="1" t="s">
        <v>14903</v>
      </c>
      <c r="H5034" s="3">
        <v>19.0</v>
      </c>
      <c r="I5034" s="4" t="s">
        <v>20712</v>
      </c>
      <c r="J5034" s="1" t="s">
        <v>20713</v>
      </c>
      <c r="K5034" s="1" t="s">
        <v>295</v>
      </c>
    </row>
    <row r="5035">
      <c r="A5035" s="1" t="s">
        <v>20714</v>
      </c>
      <c r="B5035" s="1" t="s">
        <v>20715</v>
      </c>
      <c r="C5035" s="1">
        <v>2013.0</v>
      </c>
      <c r="D5035" s="2">
        <v>41403.0</v>
      </c>
      <c r="F5035" s="1" t="s">
        <v>25</v>
      </c>
      <c r="H5035" s="3">
        <v>20.0</v>
      </c>
      <c r="I5035" s="4" t="s">
        <v>20716</v>
      </c>
      <c r="J5035" s="1" t="s">
        <v>20717</v>
      </c>
      <c r="K5035" s="1" t="s">
        <v>28</v>
      </c>
    </row>
    <row r="5036">
      <c r="A5036" s="1" t="s">
        <v>20718</v>
      </c>
      <c r="B5036" s="1" t="s">
        <v>20719</v>
      </c>
      <c r="C5036" s="1">
        <v>2013.0</v>
      </c>
      <c r="D5036" s="2">
        <v>41403.0</v>
      </c>
      <c r="F5036" s="1" t="s">
        <v>1330</v>
      </c>
      <c r="H5036" s="3">
        <v>6.0</v>
      </c>
      <c r="I5036" s="4" t="s">
        <v>20720</v>
      </c>
      <c r="J5036" s="1"/>
      <c r="K5036" s="1" t="s">
        <v>28</v>
      </c>
    </row>
    <row r="5037">
      <c r="A5037" s="1" t="s">
        <v>20721</v>
      </c>
      <c r="B5037" s="1" t="s">
        <v>20722</v>
      </c>
      <c r="C5037" s="1">
        <v>2013.0</v>
      </c>
      <c r="D5037" s="2">
        <v>41402.0</v>
      </c>
      <c r="F5037" s="1" t="s">
        <v>656</v>
      </c>
      <c r="H5037" s="3">
        <v>30.0</v>
      </c>
      <c r="I5037" s="4" t="s">
        <v>20723</v>
      </c>
      <c r="J5037" s="1" t="s">
        <v>20724</v>
      </c>
      <c r="K5037" s="1" t="s">
        <v>323</v>
      </c>
    </row>
    <row r="5038">
      <c r="A5038" s="1" t="s">
        <v>20725</v>
      </c>
      <c r="B5038" s="1" t="s">
        <v>20621</v>
      </c>
      <c r="C5038" s="1">
        <v>2013.0</v>
      </c>
      <c r="D5038" s="2">
        <v>41401.0</v>
      </c>
      <c r="F5038" s="1" t="s">
        <v>3254</v>
      </c>
      <c r="H5038" s="3">
        <v>5.0</v>
      </c>
      <c r="I5038" s="4" t="s">
        <v>20726</v>
      </c>
      <c r="J5038" s="1" t="s">
        <v>20727</v>
      </c>
      <c r="K5038" s="1" t="s">
        <v>295</v>
      </c>
    </row>
    <row r="5039">
      <c r="A5039" s="1" t="s">
        <v>20728</v>
      </c>
      <c r="B5039" s="1" t="s">
        <v>20729</v>
      </c>
      <c r="C5039" s="1">
        <v>2013.0</v>
      </c>
      <c r="D5039" s="2">
        <v>41397.0</v>
      </c>
      <c r="F5039" s="1" t="s">
        <v>396</v>
      </c>
      <c r="H5039" s="3">
        <v>213.0</v>
      </c>
      <c r="I5039" s="4" t="s">
        <v>20730</v>
      </c>
      <c r="J5039" s="1" t="s">
        <v>20731</v>
      </c>
      <c r="K5039" s="1" t="s">
        <v>329</v>
      </c>
    </row>
    <row r="5040">
      <c r="A5040" s="1" t="s">
        <v>20732</v>
      </c>
      <c r="B5040" s="1" t="s">
        <v>20733</v>
      </c>
      <c r="C5040" s="1">
        <v>2013.0</v>
      </c>
      <c r="D5040" s="2">
        <v>41395.0</v>
      </c>
      <c r="F5040" s="1" t="s">
        <v>20734</v>
      </c>
      <c r="H5040" s="3">
        <v>3.0</v>
      </c>
      <c r="I5040" s="4" t="s">
        <v>20735</v>
      </c>
      <c r="J5040" s="1" t="s">
        <v>20736</v>
      </c>
      <c r="K5040" s="1" t="s">
        <v>323</v>
      </c>
    </row>
    <row r="5041">
      <c r="A5041" s="1" t="s">
        <v>20737</v>
      </c>
      <c r="B5041" s="1" t="s">
        <v>20738</v>
      </c>
      <c r="C5041" s="1">
        <v>2013.0</v>
      </c>
      <c r="D5041" s="2">
        <v>41395.0</v>
      </c>
      <c r="F5041" s="1" t="s">
        <v>4997</v>
      </c>
      <c r="H5041" s="3">
        <v>66.0</v>
      </c>
      <c r="I5041" s="4" t="s">
        <v>20739</v>
      </c>
      <c r="J5041" s="1" t="s">
        <v>20740</v>
      </c>
      <c r="K5041" s="1" t="s">
        <v>477</v>
      </c>
    </row>
    <row r="5042">
      <c r="A5042" s="1" t="s">
        <v>20741</v>
      </c>
      <c r="B5042" s="1" t="s">
        <v>20742</v>
      </c>
      <c r="C5042" s="1">
        <v>2013.0</v>
      </c>
      <c r="D5042" s="2">
        <v>41395.0</v>
      </c>
      <c r="F5042" s="1" t="s">
        <v>11486</v>
      </c>
      <c r="H5042" s="3">
        <v>38.0</v>
      </c>
      <c r="I5042" s="4" t="s">
        <v>20743</v>
      </c>
      <c r="J5042" s="1"/>
      <c r="K5042" s="1" t="s">
        <v>926</v>
      </c>
    </row>
    <row r="5043">
      <c r="A5043" s="1" t="s">
        <v>20744</v>
      </c>
      <c r="B5043" s="1" t="s">
        <v>20745</v>
      </c>
      <c r="C5043" s="1">
        <v>2013.0</v>
      </c>
      <c r="D5043" s="2">
        <v>41394.0</v>
      </c>
      <c r="F5043" s="1" t="s">
        <v>396</v>
      </c>
      <c r="H5043" s="3">
        <v>149.0</v>
      </c>
      <c r="I5043" s="4" t="s">
        <v>20746</v>
      </c>
      <c r="J5043" s="1" t="s">
        <v>20747</v>
      </c>
      <c r="K5043" s="1" t="s">
        <v>329</v>
      </c>
    </row>
    <row r="5044">
      <c r="A5044" s="1" t="s">
        <v>20748</v>
      </c>
      <c r="B5044" s="1" t="s">
        <v>20749</v>
      </c>
      <c r="C5044" s="1">
        <v>2013.0</v>
      </c>
      <c r="D5044" s="2">
        <v>41390.0</v>
      </c>
      <c r="F5044" s="1" t="s">
        <v>13</v>
      </c>
      <c r="H5044" s="3">
        <v>35.0</v>
      </c>
      <c r="I5044" s="4" t="s">
        <v>20750</v>
      </c>
      <c r="J5044" s="1" t="s">
        <v>20751</v>
      </c>
      <c r="K5044" s="1" t="s">
        <v>323</v>
      </c>
    </row>
    <row r="5045">
      <c r="A5045" s="1" t="s">
        <v>20752</v>
      </c>
      <c r="B5045" s="1" t="s">
        <v>20753</v>
      </c>
      <c r="C5045" s="1">
        <v>2013.0</v>
      </c>
      <c r="D5045" s="2">
        <v>41389.0</v>
      </c>
      <c r="F5045" s="1" t="s">
        <v>711</v>
      </c>
      <c r="H5045" s="3">
        <v>549.0</v>
      </c>
      <c r="I5045" s="4" t="s">
        <v>20754</v>
      </c>
      <c r="J5045" s="1" t="s">
        <v>20755</v>
      </c>
      <c r="K5045" s="1" t="s">
        <v>323</v>
      </c>
    </row>
    <row r="5046">
      <c r="A5046" s="1" t="s">
        <v>20756</v>
      </c>
      <c r="B5046" s="1" t="s">
        <v>20757</v>
      </c>
      <c r="C5046" s="1">
        <v>2013.0</v>
      </c>
      <c r="D5046" s="2">
        <v>41386.0</v>
      </c>
      <c r="F5046" s="1" t="s">
        <v>20502</v>
      </c>
      <c r="H5046" s="3">
        <v>15.0</v>
      </c>
      <c r="I5046" s="4" t="s">
        <v>20758</v>
      </c>
      <c r="J5046" s="1" t="s">
        <v>20759</v>
      </c>
      <c r="K5046" s="1" t="s">
        <v>28</v>
      </c>
    </row>
    <row r="5047">
      <c r="A5047" s="1" t="s">
        <v>20760</v>
      </c>
      <c r="B5047" s="1" t="s">
        <v>20761</v>
      </c>
      <c r="C5047" s="1">
        <v>2013.0</v>
      </c>
      <c r="D5047" s="2">
        <v>41382.0</v>
      </c>
      <c r="F5047" s="1" t="s">
        <v>2634</v>
      </c>
      <c r="H5047" s="3">
        <v>171.0</v>
      </c>
      <c r="I5047" s="4" t="s">
        <v>20762</v>
      </c>
      <c r="J5047" s="1" t="s">
        <v>20763</v>
      </c>
      <c r="K5047" s="1" t="s">
        <v>383</v>
      </c>
    </row>
    <row r="5048">
      <c r="A5048" s="1" t="s">
        <v>20764</v>
      </c>
      <c r="B5048" s="1" t="s">
        <v>20765</v>
      </c>
      <c r="C5048" s="1">
        <v>2013.0</v>
      </c>
      <c r="D5048" s="2">
        <v>41380.0</v>
      </c>
      <c r="F5048" s="1" t="s">
        <v>6301</v>
      </c>
      <c r="H5048" s="3">
        <v>216.0</v>
      </c>
      <c r="I5048" s="4" t="s">
        <v>20766</v>
      </c>
      <c r="J5048" s="1" t="s">
        <v>20767</v>
      </c>
      <c r="K5048" s="1" t="s">
        <v>413</v>
      </c>
    </row>
    <row r="5049">
      <c r="A5049" s="1" t="s">
        <v>20768</v>
      </c>
      <c r="B5049" s="1" t="s">
        <v>20769</v>
      </c>
      <c r="C5049" s="1">
        <v>2013.0</v>
      </c>
      <c r="D5049" s="2">
        <v>41373.0</v>
      </c>
      <c r="F5049" s="1" t="s">
        <v>410</v>
      </c>
      <c r="H5049" s="3">
        <v>53.0</v>
      </c>
      <c r="I5049" s="4" t="s">
        <v>20770</v>
      </c>
      <c r="J5049" s="1" t="s">
        <v>20771</v>
      </c>
      <c r="K5049" s="1" t="s">
        <v>1036</v>
      </c>
    </row>
    <row r="5050">
      <c r="A5050" s="1" t="s">
        <v>20772</v>
      </c>
      <c r="B5050" s="1" t="s">
        <v>20773</v>
      </c>
      <c r="C5050" s="1">
        <v>2013.0</v>
      </c>
      <c r="D5050" s="2">
        <v>41373.0</v>
      </c>
      <c r="F5050" s="1" t="s">
        <v>71</v>
      </c>
      <c r="H5050" s="3">
        <v>139.0</v>
      </c>
      <c r="I5050" s="4" t="s">
        <v>20774</v>
      </c>
      <c r="J5050" s="1" t="s">
        <v>20775</v>
      </c>
      <c r="K5050" s="1" t="s">
        <v>28</v>
      </c>
    </row>
    <row r="5051">
      <c r="A5051" s="1" t="s">
        <v>20776</v>
      </c>
      <c r="B5051" s="1" t="s">
        <v>20777</v>
      </c>
      <c r="C5051" s="1">
        <v>2013.0</v>
      </c>
      <c r="D5051" s="2">
        <v>41370.0</v>
      </c>
      <c r="F5051" s="1" t="s">
        <v>1519</v>
      </c>
      <c r="H5051" s="3">
        <v>11.0</v>
      </c>
      <c r="I5051" s="4" t="s">
        <v>20778</v>
      </c>
      <c r="J5051" s="1" t="s">
        <v>20779</v>
      </c>
      <c r="K5051" s="1" t="s">
        <v>492</v>
      </c>
    </row>
    <row r="5052">
      <c r="A5052" s="1" t="s">
        <v>20780</v>
      </c>
      <c r="B5052" s="1" t="s">
        <v>20781</v>
      </c>
      <c r="C5052" s="1">
        <v>2013.0</v>
      </c>
      <c r="D5052" s="2">
        <v>41369.0</v>
      </c>
      <c r="F5052" s="1" t="s">
        <v>347</v>
      </c>
      <c r="H5052" s="3">
        <v>9.0</v>
      </c>
      <c r="I5052" s="4" t="s">
        <v>20782</v>
      </c>
      <c r="J5052" s="1" t="s">
        <v>20783</v>
      </c>
      <c r="K5052" s="1" t="s">
        <v>68</v>
      </c>
    </row>
    <row r="5053">
      <c r="A5053" s="1" t="s">
        <v>20784</v>
      </c>
      <c r="B5053" s="1" t="s">
        <v>20785</v>
      </c>
      <c r="C5053" s="1">
        <v>2013.0</v>
      </c>
      <c r="D5053" s="2">
        <v>41365.0</v>
      </c>
      <c r="F5053" s="1" t="s">
        <v>5554</v>
      </c>
      <c r="H5053" s="3">
        <v>10.0</v>
      </c>
      <c r="I5053" s="4" t="s">
        <v>20786</v>
      </c>
      <c r="J5053" s="1" t="s">
        <v>20787</v>
      </c>
      <c r="K5053" s="1" t="s">
        <v>383</v>
      </c>
    </row>
    <row r="5054">
      <c r="A5054" s="1" t="s">
        <v>20788</v>
      </c>
      <c r="B5054" s="1" t="s">
        <v>20789</v>
      </c>
      <c r="C5054" s="1">
        <v>2013.0</v>
      </c>
      <c r="D5054" s="2">
        <v>41360.0</v>
      </c>
      <c r="F5054" s="1" t="s">
        <v>7495</v>
      </c>
      <c r="H5054" s="3">
        <v>5.0</v>
      </c>
      <c r="I5054" s="4" t="s">
        <v>20790</v>
      </c>
      <c r="J5054" s="1" t="s">
        <v>20791</v>
      </c>
      <c r="K5054" s="1" t="s">
        <v>492</v>
      </c>
    </row>
    <row r="5055">
      <c r="A5055" s="1" t="s">
        <v>20792</v>
      </c>
      <c r="B5055" s="1" t="s">
        <v>20682</v>
      </c>
      <c r="C5055" s="1">
        <v>2013.0</v>
      </c>
      <c r="D5055" s="2">
        <v>41360.0</v>
      </c>
      <c r="F5055" s="1" t="s">
        <v>12240</v>
      </c>
      <c r="H5055" s="3">
        <v>20.0</v>
      </c>
      <c r="I5055" s="4" t="s">
        <v>20793</v>
      </c>
      <c r="J5055" s="1" t="s">
        <v>20794</v>
      </c>
      <c r="K5055" s="1" t="s">
        <v>16</v>
      </c>
    </row>
    <row r="5056">
      <c r="A5056" s="1" t="s">
        <v>20795</v>
      </c>
      <c r="B5056" s="1" t="s">
        <v>20796</v>
      </c>
      <c r="C5056" s="1">
        <v>2013.0</v>
      </c>
      <c r="D5056" s="2">
        <v>41359.0</v>
      </c>
      <c r="F5056" s="1" t="s">
        <v>9671</v>
      </c>
      <c r="H5056" s="3">
        <v>28.0</v>
      </c>
      <c r="I5056" s="4" t="s">
        <v>20797</v>
      </c>
      <c r="J5056" s="1" t="s">
        <v>20798</v>
      </c>
      <c r="K5056" s="1" t="s">
        <v>323</v>
      </c>
    </row>
    <row r="5057">
      <c r="A5057" s="1" t="s">
        <v>20799</v>
      </c>
      <c r="B5057" s="1" t="s">
        <v>20800</v>
      </c>
      <c r="C5057" s="1">
        <v>2013.0</v>
      </c>
      <c r="D5057" s="2">
        <v>41357.0</v>
      </c>
      <c r="F5057" s="1" t="s">
        <v>8149</v>
      </c>
      <c r="H5057" s="3">
        <v>21.0</v>
      </c>
      <c r="I5057" s="4" t="s">
        <v>20801</v>
      </c>
      <c r="J5057" s="1" t="s">
        <v>20802</v>
      </c>
      <c r="K5057" s="1" t="s">
        <v>413</v>
      </c>
    </row>
    <row r="5058">
      <c r="A5058" s="1" t="s">
        <v>20803</v>
      </c>
      <c r="B5058" s="1" t="s">
        <v>20804</v>
      </c>
      <c r="C5058" s="1">
        <v>2013.0</v>
      </c>
      <c r="D5058" s="2">
        <v>41349.0</v>
      </c>
      <c r="F5058" s="1" t="s">
        <v>208</v>
      </c>
      <c r="H5058" s="3">
        <v>12.0</v>
      </c>
      <c r="I5058" s="4" t="s">
        <v>20805</v>
      </c>
      <c r="J5058" s="1" t="s">
        <v>20806</v>
      </c>
      <c r="K5058" s="1" t="s">
        <v>383</v>
      </c>
    </row>
    <row r="5059">
      <c r="A5059" s="1" t="s">
        <v>20807</v>
      </c>
      <c r="B5059" s="1" t="s">
        <v>20808</v>
      </c>
      <c r="C5059" s="1">
        <v>2013.0</v>
      </c>
      <c r="D5059" s="2">
        <v>41346.0</v>
      </c>
      <c r="F5059" s="1" t="s">
        <v>18901</v>
      </c>
      <c r="H5059" s="3">
        <v>56.0</v>
      </c>
      <c r="I5059" s="4" t="s">
        <v>20809</v>
      </c>
      <c r="J5059" s="1" t="s">
        <v>20810</v>
      </c>
      <c r="K5059" s="1" t="s">
        <v>383</v>
      </c>
    </row>
    <row r="5060">
      <c r="A5060" s="1" t="s">
        <v>20811</v>
      </c>
      <c r="B5060" s="1" t="s">
        <v>20812</v>
      </c>
      <c r="C5060" s="1">
        <v>2013.0</v>
      </c>
      <c r="D5060" s="2">
        <v>41340.0</v>
      </c>
      <c r="F5060" s="1" t="s">
        <v>2634</v>
      </c>
      <c r="H5060" s="3">
        <v>5.0</v>
      </c>
      <c r="I5060" s="4" t="s">
        <v>20813</v>
      </c>
      <c r="J5060" s="1"/>
      <c r="K5060" s="1" t="s">
        <v>477</v>
      </c>
    </row>
    <row r="5061">
      <c r="A5061" s="1" t="s">
        <v>20814</v>
      </c>
      <c r="B5061" s="1" t="s">
        <v>20815</v>
      </c>
      <c r="C5061" s="1">
        <v>2013.0</v>
      </c>
      <c r="D5061" s="2">
        <v>41338.0</v>
      </c>
      <c r="F5061" s="1" t="s">
        <v>91</v>
      </c>
      <c r="H5061" s="3">
        <v>33.0</v>
      </c>
      <c r="I5061" s="4" t="s">
        <v>20816</v>
      </c>
      <c r="J5061" s="1" t="s">
        <v>20817</v>
      </c>
      <c r="K5061" s="1" t="s">
        <v>323</v>
      </c>
    </row>
    <row r="5062">
      <c r="A5062" s="1" t="s">
        <v>20818</v>
      </c>
      <c r="B5062" s="1" t="s">
        <v>20819</v>
      </c>
      <c r="C5062" s="1">
        <v>2013.0</v>
      </c>
      <c r="D5062" s="2">
        <v>41335.0</v>
      </c>
      <c r="F5062" s="1" t="s">
        <v>12240</v>
      </c>
      <c r="H5062" s="3">
        <v>31.0</v>
      </c>
      <c r="I5062" s="4" t="s">
        <v>20820</v>
      </c>
      <c r="J5062" s="1" t="s">
        <v>20821</v>
      </c>
      <c r="K5062" s="1" t="s">
        <v>16</v>
      </c>
    </row>
    <row r="5063">
      <c r="A5063" s="1" t="s">
        <v>20822</v>
      </c>
      <c r="B5063" s="1" t="s">
        <v>20823</v>
      </c>
      <c r="C5063" s="1">
        <v>2013.0</v>
      </c>
      <c r="D5063" s="2">
        <v>41335.0</v>
      </c>
      <c r="F5063" s="1" t="s">
        <v>12240</v>
      </c>
      <c r="H5063" s="3">
        <v>137.0</v>
      </c>
      <c r="I5063" s="4" t="s">
        <v>20824</v>
      </c>
      <c r="J5063" s="1" t="s">
        <v>20825</v>
      </c>
      <c r="K5063" s="1" t="s">
        <v>16</v>
      </c>
    </row>
    <row r="5064">
      <c r="A5064" s="1" t="s">
        <v>20826</v>
      </c>
      <c r="B5064" s="1" t="s">
        <v>20827</v>
      </c>
      <c r="C5064" s="1">
        <v>2013.0</v>
      </c>
      <c r="D5064" s="2">
        <v>41333.0</v>
      </c>
      <c r="F5064" s="1" t="s">
        <v>2634</v>
      </c>
      <c r="H5064" s="3">
        <v>64.0</v>
      </c>
      <c r="I5064" s="4" t="s">
        <v>20828</v>
      </c>
      <c r="J5064" s="1" t="s">
        <v>20829</v>
      </c>
      <c r="K5064" s="1" t="s">
        <v>418</v>
      </c>
    </row>
    <row r="5065">
      <c r="A5065" s="1" t="s">
        <v>20830</v>
      </c>
      <c r="B5065" s="1" t="s">
        <v>20831</v>
      </c>
      <c r="C5065" s="1">
        <v>2013.0</v>
      </c>
      <c r="D5065" s="2">
        <v>41330.0</v>
      </c>
      <c r="F5065" s="1" t="s">
        <v>20832</v>
      </c>
      <c r="H5065" s="3">
        <v>7.0</v>
      </c>
      <c r="I5065" s="4" t="s">
        <v>20833</v>
      </c>
      <c r="J5065" s="1" t="s">
        <v>20834</v>
      </c>
      <c r="K5065" s="1" t="s">
        <v>68</v>
      </c>
    </row>
    <row r="5066">
      <c r="A5066" s="1" t="s">
        <v>20835</v>
      </c>
      <c r="B5066" s="1" t="s">
        <v>20836</v>
      </c>
      <c r="C5066" s="1">
        <v>2013.0</v>
      </c>
      <c r="D5066" s="2">
        <v>41326.0</v>
      </c>
      <c r="F5066" s="1" t="s">
        <v>1045</v>
      </c>
      <c r="H5066" s="3">
        <v>18.0</v>
      </c>
      <c r="I5066" s="4" t="s">
        <v>20837</v>
      </c>
      <c r="J5066" s="1" t="s">
        <v>20838</v>
      </c>
      <c r="K5066" s="1" t="s">
        <v>418</v>
      </c>
    </row>
    <row r="5067">
      <c r="A5067" s="1" t="s">
        <v>20839</v>
      </c>
      <c r="B5067" s="1" t="s">
        <v>20840</v>
      </c>
      <c r="C5067" s="1">
        <v>2013.0</v>
      </c>
      <c r="D5067" s="2">
        <v>41326.0</v>
      </c>
      <c r="F5067" s="1" t="s">
        <v>20841</v>
      </c>
      <c r="H5067" s="3">
        <v>33.0</v>
      </c>
      <c r="I5067" s="4" t="s">
        <v>20842</v>
      </c>
      <c r="J5067" s="1" t="s">
        <v>20843</v>
      </c>
      <c r="K5067" s="1" t="s">
        <v>28</v>
      </c>
    </row>
    <row r="5068">
      <c r="A5068" s="1" t="s">
        <v>20844</v>
      </c>
      <c r="B5068" s="1" t="s">
        <v>20845</v>
      </c>
      <c r="C5068" s="1">
        <v>2013.0</v>
      </c>
      <c r="D5068" s="2">
        <v>41320.0</v>
      </c>
      <c r="F5068" s="1" t="s">
        <v>369</v>
      </c>
      <c r="H5068" s="3">
        <v>59.0</v>
      </c>
      <c r="I5068" s="4" t="s">
        <v>20846</v>
      </c>
      <c r="J5068" s="1" t="s">
        <v>20847</v>
      </c>
      <c r="K5068" s="1" t="s">
        <v>28</v>
      </c>
    </row>
    <row r="5069">
      <c r="A5069" s="1" t="s">
        <v>20848</v>
      </c>
      <c r="B5069" s="1" t="s">
        <v>20849</v>
      </c>
      <c r="C5069" s="1">
        <v>2013.0</v>
      </c>
      <c r="D5069" s="2">
        <v>41313.0</v>
      </c>
      <c r="F5069" s="1" t="s">
        <v>11395</v>
      </c>
      <c r="H5069" s="3">
        <v>35.0</v>
      </c>
      <c r="I5069" s="4" t="s">
        <v>20850</v>
      </c>
      <c r="J5069" s="1" t="s">
        <v>20851</v>
      </c>
      <c r="K5069" s="1" t="s">
        <v>16</v>
      </c>
    </row>
    <row r="5070">
      <c r="A5070" s="1" t="s">
        <v>20852</v>
      </c>
      <c r="B5070" s="1" t="s">
        <v>20853</v>
      </c>
      <c r="C5070" s="1">
        <v>2013.0</v>
      </c>
      <c r="D5070" s="2">
        <v>41306.0</v>
      </c>
      <c r="F5070" s="1" t="s">
        <v>20671</v>
      </c>
      <c r="H5070" s="3">
        <v>53.0</v>
      </c>
      <c r="I5070" s="4" t="s">
        <v>20854</v>
      </c>
      <c r="J5070" s="1" t="s">
        <v>20855</v>
      </c>
      <c r="K5070" s="1" t="s">
        <v>68</v>
      </c>
    </row>
    <row r="5071">
      <c r="A5071" s="1" t="s">
        <v>20856</v>
      </c>
      <c r="B5071" s="1" t="s">
        <v>20857</v>
      </c>
      <c r="C5071" s="1">
        <v>2013.0</v>
      </c>
      <c r="D5071" s="2">
        <v>41306.0</v>
      </c>
      <c r="F5071" s="1" t="s">
        <v>20858</v>
      </c>
      <c r="H5071" s="3">
        <v>30.0</v>
      </c>
      <c r="I5071" s="4" t="s">
        <v>20859</v>
      </c>
      <c r="J5071" s="1" t="s">
        <v>20860</v>
      </c>
      <c r="K5071" s="1" t="s">
        <v>323</v>
      </c>
    </row>
    <row r="5072">
      <c r="A5072" s="1" t="s">
        <v>20861</v>
      </c>
      <c r="B5072" s="1" t="s">
        <v>20862</v>
      </c>
      <c r="C5072" s="1">
        <v>2013.0</v>
      </c>
      <c r="D5072" s="2">
        <v>41305.0</v>
      </c>
      <c r="F5072" s="1" t="s">
        <v>11005</v>
      </c>
      <c r="H5072" s="3">
        <v>21.0</v>
      </c>
      <c r="I5072" s="4" t="s">
        <v>20863</v>
      </c>
      <c r="J5072" s="1" t="s">
        <v>20864</v>
      </c>
      <c r="K5072" s="1" t="s">
        <v>383</v>
      </c>
    </row>
    <row r="5073">
      <c r="A5073" s="1" t="s">
        <v>20865</v>
      </c>
      <c r="B5073" s="1" t="s">
        <v>20866</v>
      </c>
      <c r="C5073" s="1">
        <v>2013.0</v>
      </c>
      <c r="D5073" s="2">
        <v>41305.0</v>
      </c>
      <c r="F5073" s="1" t="s">
        <v>369</v>
      </c>
      <c r="H5073" s="3">
        <v>14.0</v>
      </c>
      <c r="I5073" s="4" t="s">
        <v>20867</v>
      </c>
      <c r="J5073" s="1" t="s">
        <v>20868</v>
      </c>
      <c r="K5073" s="1" t="s">
        <v>28</v>
      </c>
    </row>
    <row r="5074">
      <c r="A5074" s="1" t="s">
        <v>20869</v>
      </c>
      <c r="B5074" s="1" t="s">
        <v>20870</v>
      </c>
      <c r="C5074" s="1">
        <v>2013.0</v>
      </c>
      <c r="D5074" s="2">
        <v>41303.0</v>
      </c>
      <c r="F5074" s="1" t="s">
        <v>16385</v>
      </c>
      <c r="H5074" s="3">
        <v>11.0</v>
      </c>
      <c r="I5074" s="4" t="s">
        <v>20871</v>
      </c>
      <c r="J5074" s="1" t="s">
        <v>20872</v>
      </c>
      <c r="K5074" s="1" t="s">
        <v>383</v>
      </c>
    </row>
    <row r="5075">
      <c r="A5075" s="1" t="s">
        <v>20873</v>
      </c>
      <c r="B5075" s="1" t="s">
        <v>20874</v>
      </c>
      <c r="C5075" s="1">
        <v>2013.0</v>
      </c>
      <c r="D5075" s="2">
        <v>41299.0</v>
      </c>
      <c r="F5075" s="1" t="s">
        <v>20875</v>
      </c>
      <c r="H5075" s="3">
        <v>3.0</v>
      </c>
      <c r="I5075" s="4" t="s">
        <v>20876</v>
      </c>
      <c r="J5075" s="1" t="s">
        <v>20877</v>
      </c>
      <c r="K5075" s="1" t="s">
        <v>477</v>
      </c>
    </row>
    <row r="5076">
      <c r="A5076" s="1" t="s">
        <v>20878</v>
      </c>
      <c r="B5076" s="1" t="s">
        <v>20879</v>
      </c>
      <c r="C5076" s="1">
        <v>2013.0</v>
      </c>
      <c r="D5076" s="2">
        <v>41296.0</v>
      </c>
      <c r="F5076" s="1" t="s">
        <v>298</v>
      </c>
      <c r="H5076" s="3">
        <v>2.0</v>
      </c>
      <c r="I5076" s="4" t="s">
        <v>20880</v>
      </c>
      <c r="J5076" s="1" t="s">
        <v>20881</v>
      </c>
      <c r="K5076" s="1" t="s">
        <v>295</v>
      </c>
    </row>
    <row r="5077">
      <c r="A5077" s="1" t="s">
        <v>20882</v>
      </c>
      <c r="B5077" s="1" t="s">
        <v>20883</v>
      </c>
      <c r="C5077" s="1">
        <v>2013.0</v>
      </c>
      <c r="D5077" s="2">
        <v>41295.0</v>
      </c>
      <c r="F5077" s="1" t="s">
        <v>16029</v>
      </c>
      <c r="H5077" s="3">
        <v>31.0</v>
      </c>
      <c r="I5077" s="4" t="s">
        <v>20884</v>
      </c>
      <c r="J5077" s="1"/>
      <c r="K5077" s="1" t="s">
        <v>323</v>
      </c>
    </row>
    <row r="5078">
      <c r="A5078" s="1" t="s">
        <v>20885</v>
      </c>
      <c r="B5078" s="1" t="s">
        <v>20886</v>
      </c>
      <c r="C5078" s="1">
        <v>2013.0</v>
      </c>
      <c r="D5078" s="2">
        <v>41291.0</v>
      </c>
      <c r="F5078" s="1" t="s">
        <v>1330</v>
      </c>
      <c r="H5078" s="3">
        <v>34.0</v>
      </c>
      <c r="I5078" s="4" t="s">
        <v>20887</v>
      </c>
      <c r="J5078" s="1" t="s">
        <v>20888</v>
      </c>
      <c r="K5078" s="1" t="s">
        <v>323</v>
      </c>
    </row>
    <row r="5079">
      <c r="A5079" s="1" t="s">
        <v>20889</v>
      </c>
      <c r="B5079" s="1" t="s">
        <v>20890</v>
      </c>
      <c r="C5079" s="1">
        <v>2013.0</v>
      </c>
      <c r="D5079" s="2">
        <v>41291.0</v>
      </c>
      <c r="F5079" s="1" t="s">
        <v>2634</v>
      </c>
      <c r="H5079" s="3">
        <v>23.0</v>
      </c>
      <c r="I5079" s="4" t="s">
        <v>20891</v>
      </c>
      <c r="J5079" s="1" t="s">
        <v>20892</v>
      </c>
      <c r="K5079" s="1" t="s">
        <v>68</v>
      </c>
    </row>
    <row r="5080">
      <c r="A5080" s="1" t="s">
        <v>20893</v>
      </c>
      <c r="B5080" s="1" t="s">
        <v>20894</v>
      </c>
      <c r="C5080" s="1">
        <v>2013.0</v>
      </c>
      <c r="D5080" s="2">
        <v>41285.0</v>
      </c>
      <c r="F5080" s="1" t="s">
        <v>1170</v>
      </c>
      <c r="H5080" s="3">
        <v>141.0</v>
      </c>
      <c r="I5080" s="4" t="s">
        <v>20895</v>
      </c>
      <c r="J5080" s="1" t="s">
        <v>20896</v>
      </c>
      <c r="K5080" s="1" t="s">
        <v>28</v>
      </c>
    </row>
    <row r="5081">
      <c r="A5081" s="1" t="s">
        <v>20897</v>
      </c>
      <c r="B5081" s="1" t="s">
        <v>20898</v>
      </c>
      <c r="C5081" s="1">
        <v>2013.0</v>
      </c>
      <c r="D5081" s="2">
        <v>41285.0</v>
      </c>
      <c r="F5081" s="1" t="s">
        <v>3340</v>
      </c>
      <c r="H5081" s="3">
        <v>119.0</v>
      </c>
      <c r="I5081" s="4" t="s">
        <v>20899</v>
      </c>
      <c r="J5081" s="1"/>
      <c r="K5081" s="1" t="s">
        <v>295</v>
      </c>
    </row>
    <row r="5082">
      <c r="A5082" s="1" t="s">
        <v>20900</v>
      </c>
      <c r="B5082" s="1" t="s">
        <v>20901</v>
      </c>
      <c r="C5082" s="1">
        <v>2013.0</v>
      </c>
      <c r="D5082" s="2">
        <v>41277.0</v>
      </c>
      <c r="F5082" s="1" t="s">
        <v>656</v>
      </c>
      <c r="H5082" s="3">
        <v>30.0</v>
      </c>
      <c r="I5082" s="4" t="s">
        <v>20902</v>
      </c>
      <c r="J5082" s="1" t="s">
        <v>20903</v>
      </c>
      <c r="K5082" s="1" t="s">
        <v>16</v>
      </c>
    </row>
    <row r="5083">
      <c r="A5083" s="1" t="s">
        <v>20904</v>
      </c>
      <c r="B5083" s="1" t="s">
        <v>19402</v>
      </c>
      <c r="C5083" s="1">
        <v>2013.0</v>
      </c>
      <c r="D5083" s="2">
        <v>41276.0</v>
      </c>
      <c r="F5083" s="1" t="s">
        <v>1904</v>
      </c>
      <c r="H5083" s="3">
        <v>36.0</v>
      </c>
      <c r="I5083" s="4" t="s">
        <v>20905</v>
      </c>
      <c r="J5083" s="1" t="s">
        <v>20906</v>
      </c>
      <c r="K5083" s="1" t="s">
        <v>16</v>
      </c>
    </row>
    <row r="5084">
      <c r="A5084" s="1" t="s">
        <v>20907</v>
      </c>
      <c r="B5084" s="1" t="s">
        <v>20908</v>
      </c>
      <c r="C5084" s="1">
        <v>2013.0</v>
      </c>
      <c r="D5084" s="2">
        <v>41275.0</v>
      </c>
      <c r="F5084" s="1" t="s">
        <v>20909</v>
      </c>
      <c r="H5084" s="3">
        <v>2.0</v>
      </c>
      <c r="I5084" s="4" t="s">
        <v>20910</v>
      </c>
      <c r="J5084" s="1" t="s">
        <v>20911</v>
      </c>
      <c r="K5084" s="1" t="s">
        <v>45</v>
      </c>
    </row>
    <row r="5085">
      <c r="A5085" s="1" t="s">
        <v>20912</v>
      </c>
      <c r="B5085" s="1" t="s">
        <v>20913</v>
      </c>
      <c r="C5085" s="1">
        <v>2013.0</v>
      </c>
      <c r="D5085" s="2">
        <v>41275.0</v>
      </c>
      <c r="F5085" s="1" t="s">
        <v>14062</v>
      </c>
      <c r="H5085" s="3">
        <v>15.0</v>
      </c>
      <c r="I5085" s="4" t="s">
        <v>20914</v>
      </c>
      <c r="J5085" s="1" t="s">
        <v>20915</v>
      </c>
      <c r="K5085" s="1" t="s">
        <v>383</v>
      </c>
    </row>
    <row r="5086">
      <c r="A5086" s="1" t="s">
        <v>20916</v>
      </c>
      <c r="B5086" s="1" t="s">
        <v>20917</v>
      </c>
      <c r="C5086" s="1">
        <v>2013.0</v>
      </c>
      <c r="D5086" s="2">
        <v>41275.0</v>
      </c>
      <c r="F5086" s="1" t="s">
        <v>3151</v>
      </c>
      <c r="H5086" s="3">
        <v>12.0</v>
      </c>
      <c r="I5086" s="4" t="s">
        <v>20918</v>
      </c>
      <c r="J5086" s="1" t="s">
        <v>20919</v>
      </c>
      <c r="K5086" s="1" t="s">
        <v>28</v>
      </c>
    </row>
    <row r="5087">
      <c r="A5087" s="1" t="s">
        <v>20920</v>
      </c>
      <c r="B5087" s="1" t="s">
        <v>20921</v>
      </c>
      <c r="C5087" s="1">
        <v>2013.0</v>
      </c>
      <c r="D5087" s="2">
        <v>41275.0</v>
      </c>
      <c r="F5087" s="1" t="s">
        <v>1050</v>
      </c>
      <c r="H5087" s="3">
        <v>0.0</v>
      </c>
      <c r="I5087" s="4" t="s">
        <v>20922</v>
      </c>
      <c r="J5087" s="1" t="s">
        <v>20923</v>
      </c>
      <c r="K5087" s="1" t="s">
        <v>28</v>
      </c>
    </row>
    <row r="5088">
      <c r="A5088" s="1" t="s">
        <v>20924</v>
      </c>
      <c r="B5088" s="1" t="s">
        <v>20925</v>
      </c>
      <c r="C5088" s="1">
        <v>2013.0</v>
      </c>
      <c r="D5088" s="2">
        <v>41275.0</v>
      </c>
      <c r="F5088" s="1" t="s">
        <v>1050</v>
      </c>
      <c r="H5088" s="3">
        <v>0.0</v>
      </c>
      <c r="I5088" s="4" t="s">
        <v>20926</v>
      </c>
      <c r="J5088" s="1" t="s">
        <v>20927</v>
      </c>
      <c r="K5088" s="1" t="s">
        <v>383</v>
      </c>
    </row>
    <row r="5089">
      <c r="A5089" s="1" t="s">
        <v>20928</v>
      </c>
      <c r="B5089" s="1" t="s">
        <v>12463</v>
      </c>
      <c r="C5089" s="1">
        <v>2013.0</v>
      </c>
      <c r="D5089" s="2">
        <v>41275.0</v>
      </c>
      <c r="F5089" s="1" t="s">
        <v>1050</v>
      </c>
      <c r="H5089" s="3">
        <v>0.0</v>
      </c>
      <c r="I5089" s="4" t="s">
        <v>20929</v>
      </c>
      <c r="J5089" s="1"/>
      <c r="K5089" s="1" t="s">
        <v>68</v>
      </c>
    </row>
    <row r="5090">
      <c r="A5090" s="1" t="s">
        <v>20930</v>
      </c>
      <c r="B5090" s="1" t="s">
        <v>17148</v>
      </c>
      <c r="C5090" s="1">
        <v>2013.0</v>
      </c>
      <c r="D5090" s="2">
        <v>41275.0</v>
      </c>
      <c r="F5090" s="1" t="s">
        <v>7622</v>
      </c>
      <c r="H5090" s="3">
        <v>9.0</v>
      </c>
      <c r="I5090" s="4" t="s">
        <v>20931</v>
      </c>
      <c r="J5090" s="1"/>
      <c r="K5090" s="1" t="s">
        <v>16</v>
      </c>
    </row>
    <row r="5091">
      <c r="A5091" s="1" t="s">
        <v>20932</v>
      </c>
      <c r="B5091" s="1" t="s">
        <v>20933</v>
      </c>
      <c r="C5091" s="1">
        <v>2013.0</v>
      </c>
      <c r="D5091" s="2">
        <v>41275.0</v>
      </c>
      <c r="F5091" s="1" t="s">
        <v>3263</v>
      </c>
      <c r="H5091" s="3">
        <v>18.0</v>
      </c>
      <c r="I5091" s="4" t="s">
        <v>20934</v>
      </c>
      <c r="J5091" s="1" t="s">
        <v>20935</v>
      </c>
      <c r="K5091" s="1" t="s">
        <v>16</v>
      </c>
    </row>
    <row r="5092">
      <c r="A5092" s="1" t="s">
        <v>20936</v>
      </c>
      <c r="B5092" s="1" t="s">
        <v>20937</v>
      </c>
      <c r="C5092" s="1">
        <v>2012.0</v>
      </c>
      <c r="D5092" s="2">
        <v>41253.0</v>
      </c>
      <c r="F5092" s="1" t="s">
        <v>337</v>
      </c>
      <c r="H5092" s="3">
        <v>173.0</v>
      </c>
      <c r="I5092" s="4" t="s">
        <v>20938</v>
      </c>
      <c r="J5092" s="1" t="s">
        <v>20939</v>
      </c>
      <c r="K5092" s="1" t="s">
        <v>527</v>
      </c>
    </row>
    <row r="5093">
      <c r="A5093" s="1" t="s">
        <v>20940</v>
      </c>
      <c r="B5093" s="1" t="s">
        <v>20941</v>
      </c>
      <c r="C5093" s="1">
        <v>2012.0</v>
      </c>
      <c r="D5093" s="2">
        <v>41244.0</v>
      </c>
      <c r="F5093" s="1" t="s">
        <v>380</v>
      </c>
      <c r="H5093" s="3">
        <v>11.0</v>
      </c>
      <c r="I5093" s="4" t="s">
        <v>20942</v>
      </c>
      <c r="J5093" s="1" t="s">
        <v>20943</v>
      </c>
      <c r="K5093" s="1" t="s">
        <v>323</v>
      </c>
    </row>
    <row r="5094">
      <c r="A5094" s="1" t="s">
        <v>20944</v>
      </c>
      <c r="B5094" s="1" t="s">
        <v>20945</v>
      </c>
      <c r="C5094" s="1">
        <v>2012.0</v>
      </c>
      <c r="D5094" s="2">
        <v>41244.0</v>
      </c>
      <c r="F5094" s="1" t="s">
        <v>1410</v>
      </c>
      <c r="H5094" s="3">
        <v>131.0</v>
      </c>
      <c r="I5094" s="4" t="s">
        <v>20946</v>
      </c>
      <c r="J5094" s="1" t="s">
        <v>20947</v>
      </c>
      <c r="K5094" s="1" t="s">
        <v>68</v>
      </c>
    </row>
    <row r="5095">
      <c r="A5095" s="1" t="s">
        <v>20948</v>
      </c>
      <c r="B5095" s="1" t="s">
        <v>20949</v>
      </c>
      <c r="C5095" s="1">
        <v>2012.0</v>
      </c>
      <c r="D5095" s="2">
        <v>41243.0</v>
      </c>
      <c r="F5095" s="1" t="s">
        <v>71</v>
      </c>
      <c r="H5095" s="3">
        <v>27.0</v>
      </c>
      <c r="I5095" s="4" t="s">
        <v>20950</v>
      </c>
      <c r="J5095" s="1" t="s">
        <v>20951</v>
      </c>
      <c r="K5095" s="1" t="s">
        <v>443</v>
      </c>
    </row>
    <row r="5096">
      <c r="A5096" s="1" t="s">
        <v>20952</v>
      </c>
      <c r="B5096" s="1" t="s">
        <v>20953</v>
      </c>
      <c r="C5096" s="1">
        <v>2012.0</v>
      </c>
      <c r="D5096" s="2">
        <v>41243.0</v>
      </c>
      <c r="F5096" s="1" t="s">
        <v>20954</v>
      </c>
      <c r="H5096" s="3">
        <v>20.0</v>
      </c>
      <c r="I5096" s="4" t="s">
        <v>20955</v>
      </c>
      <c r="J5096" s="1" t="s">
        <v>20956</v>
      </c>
      <c r="K5096" s="1" t="s">
        <v>383</v>
      </c>
    </row>
    <row r="5097">
      <c r="A5097" s="1" t="s">
        <v>20957</v>
      </c>
      <c r="B5097" s="1" t="s">
        <v>20958</v>
      </c>
      <c r="C5097" s="1">
        <v>2012.0</v>
      </c>
      <c r="D5097" s="2">
        <v>41241.0</v>
      </c>
      <c r="F5097" s="1" t="s">
        <v>15512</v>
      </c>
      <c r="H5097" s="3">
        <v>26.0</v>
      </c>
      <c r="I5097" s="4" t="s">
        <v>20959</v>
      </c>
      <c r="J5097" s="1" t="s">
        <v>20960</v>
      </c>
      <c r="K5097" s="1" t="s">
        <v>383</v>
      </c>
    </row>
    <row r="5098">
      <c r="A5098" s="1" t="s">
        <v>20961</v>
      </c>
      <c r="B5098" s="1" t="s">
        <v>20962</v>
      </c>
      <c r="C5098" s="1">
        <v>2012.0</v>
      </c>
      <c r="D5098" s="2">
        <v>41234.0</v>
      </c>
      <c r="F5098" s="1" t="s">
        <v>12010</v>
      </c>
      <c r="H5098" s="3">
        <v>13.0</v>
      </c>
      <c r="I5098" s="4" t="s">
        <v>20963</v>
      </c>
      <c r="J5098" s="1" t="s">
        <v>20964</v>
      </c>
      <c r="K5098" s="1" t="s">
        <v>28</v>
      </c>
    </row>
    <row r="5099">
      <c r="A5099" s="1" t="s">
        <v>20965</v>
      </c>
      <c r="B5099" s="1" t="s">
        <v>20966</v>
      </c>
      <c r="C5099" s="1">
        <v>2012.0</v>
      </c>
      <c r="D5099" s="2">
        <v>41234.0</v>
      </c>
      <c r="F5099" s="1" t="s">
        <v>8420</v>
      </c>
      <c r="H5099" s="3">
        <v>80.0</v>
      </c>
      <c r="I5099" s="4" t="s">
        <v>20967</v>
      </c>
      <c r="J5099" s="1" t="s">
        <v>20968</v>
      </c>
      <c r="K5099" s="1" t="s">
        <v>16</v>
      </c>
    </row>
    <row r="5100">
      <c r="A5100" s="1" t="s">
        <v>20969</v>
      </c>
      <c r="B5100" s="1" t="s">
        <v>20970</v>
      </c>
      <c r="C5100" s="1">
        <v>2012.0</v>
      </c>
      <c r="D5100" s="2">
        <v>41233.0</v>
      </c>
      <c r="F5100" s="1" t="s">
        <v>20971</v>
      </c>
      <c r="H5100" s="3">
        <v>10.0</v>
      </c>
      <c r="I5100" s="4" t="s">
        <v>20972</v>
      </c>
      <c r="J5100" s="1" t="s">
        <v>20973</v>
      </c>
      <c r="K5100" s="1" t="s">
        <v>16</v>
      </c>
    </row>
    <row r="5101">
      <c r="A5101" s="1" t="s">
        <v>20974</v>
      </c>
      <c r="B5101" s="1" t="s">
        <v>20975</v>
      </c>
      <c r="C5101" s="1">
        <v>2012.0</v>
      </c>
      <c r="D5101" s="2">
        <v>41230.0</v>
      </c>
      <c r="F5101" s="1" t="s">
        <v>2634</v>
      </c>
      <c r="H5101" s="3">
        <v>59.0</v>
      </c>
      <c r="I5101" s="4" t="s">
        <v>20976</v>
      </c>
      <c r="J5101" s="1" t="s">
        <v>20977</v>
      </c>
      <c r="K5101" s="1" t="s">
        <v>443</v>
      </c>
    </row>
    <row r="5102">
      <c r="A5102" s="1" t="s">
        <v>20978</v>
      </c>
      <c r="B5102" s="1" t="s">
        <v>20979</v>
      </c>
      <c r="C5102" s="1">
        <v>2012.0</v>
      </c>
      <c r="D5102" s="2">
        <v>41229.0</v>
      </c>
      <c r="F5102" s="1" t="s">
        <v>656</v>
      </c>
      <c r="H5102" s="3">
        <v>40.0</v>
      </c>
      <c r="I5102" s="4" t="s">
        <v>20980</v>
      </c>
      <c r="J5102" s="1" t="s">
        <v>20981</v>
      </c>
      <c r="K5102" s="1" t="s">
        <v>413</v>
      </c>
    </row>
    <row r="5103">
      <c r="A5103" s="1" t="s">
        <v>20982</v>
      </c>
      <c r="B5103" s="1" t="s">
        <v>20983</v>
      </c>
      <c r="C5103" s="1">
        <v>2012.0</v>
      </c>
      <c r="D5103" s="2">
        <v>41227.0</v>
      </c>
      <c r="F5103" s="1" t="s">
        <v>3583</v>
      </c>
      <c r="H5103" s="3">
        <v>31.0</v>
      </c>
      <c r="I5103" s="4" t="s">
        <v>20984</v>
      </c>
      <c r="J5103" s="1" t="s">
        <v>20985</v>
      </c>
      <c r="K5103" s="1" t="s">
        <v>418</v>
      </c>
    </row>
    <row r="5104">
      <c r="A5104" s="1" t="s">
        <v>20986</v>
      </c>
      <c r="B5104" s="1" t="s">
        <v>20987</v>
      </c>
      <c r="C5104" s="1">
        <v>2012.0</v>
      </c>
      <c r="D5104" s="2">
        <v>41215.0</v>
      </c>
      <c r="F5104" s="1" t="s">
        <v>4530</v>
      </c>
      <c r="H5104" s="3">
        <v>43.0</v>
      </c>
      <c r="I5104" s="4" t="s">
        <v>20988</v>
      </c>
      <c r="J5104" s="1" t="s">
        <v>20989</v>
      </c>
      <c r="K5104" s="1" t="s">
        <v>323</v>
      </c>
    </row>
    <row r="5105">
      <c r="A5105" s="1" t="s">
        <v>20990</v>
      </c>
      <c r="B5105" s="1" t="s">
        <v>20991</v>
      </c>
      <c r="C5105" s="1">
        <v>2012.0</v>
      </c>
      <c r="D5105" s="2">
        <v>41214.0</v>
      </c>
      <c r="F5105" s="1" t="s">
        <v>2560</v>
      </c>
      <c r="H5105" s="3">
        <v>8.0</v>
      </c>
      <c r="I5105" s="4" t="s">
        <v>20992</v>
      </c>
      <c r="J5105" s="1"/>
      <c r="K5105" s="1" t="s">
        <v>28</v>
      </c>
    </row>
    <row r="5106">
      <c r="A5106" s="1" t="s">
        <v>20993</v>
      </c>
      <c r="B5106" s="1" t="s">
        <v>20994</v>
      </c>
      <c r="C5106" s="1">
        <v>2012.0</v>
      </c>
      <c r="D5106" s="2">
        <v>41214.0</v>
      </c>
      <c r="F5106" s="1" t="s">
        <v>20502</v>
      </c>
      <c r="H5106" s="3">
        <v>32.0</v>
      </c>
      <c r="I5106" s="4" t="s">
        <v>20995</v>
      </c>
      <c r="J5106" s="1" t="s">
        <v>20996</v>
      </c>
      <c r="K5106" s="1" t="s">
        <v>28</v>
      </c>
    </row>
    <row r="5107">
      <c r="A5107" s="1" t="s">
        <v>20997</v>
      </c>
      <c r="B5107" s="1" t="s">
        <v>20998</v>
      </c>
      <c r="C5107" s="1">
        <v>2012.0</v>
      </c>
      <c r="D5107" s="2">
        <v>41213.0</v>
      </c>
      <c r="F5107" s="1" t="s">
        <v>369</v>
      </c>
      <c r="H5107" s="3">
        <v>17.0</v>
      </c>
      <c r="I5107" s="4" t="s">
        <v>20999</v>
      </c>
      <c r="J5107" s="1" t="s">
        <v>21000</v>
      </c>
      <c r="K5107" s="1" t="s">
        <v>28</v>
      </c>
    </row>
    <row r="5108">
      <c r="A5108" s="1" t="s">
        <v>21001</v>
      </c>
      <c r="B5108" s="1" t="s">
        <v>21002</v>
      </c>
      <c r="C5108" s="1">
        <v>2012.0</v>
      </c>
      <c r="D5108" s="2">
        <v>41204.0</v>
      </c>
      <c r="F5108" s="1" t="s">
        <v>1795</v>
      </c>
      <c r="H5108" s="3">
        <v>33.0</v>
      </c>
      <c r="I5108" s="4" t="s">
        <v>21003</v>
      </c>
      <c r="J5108" s="1" t="s">
        <v>21004</v>
      </c>
      <c r="K5108" s="1" t="s">
        <v>323</v>
      </c>
    </row>
    <row r="5109">
      <c r="A5109" s="1" t="s">
        <v>21005</v>
      </c>
      <c r="B5109" s="1" t="s">
        <v>21006</v>
      </c>
      <c r="C5109" s="1">
        <v>2012.0</v>
      </c>
      <c r="D5109" s="2">
        <v>41201.0</v>
      </c>
      <c r="F5109" s="1" t="s">
        <v>16643</v>
      </c>
      <c r="H5109" s="3">
        <v>5.0</v>
      </c>
      <c r="I5109" s="4" t="s">
        <v>21007</v>
      </c>
      <c r="J5109" s="1" t="s">
        <v>21008</v>
      </c>
      <c r="K5109" s="1" t="s">
        <v>295</v>
      </c>
    </row>
    <row r="5110">
      <c r="A5110" s="1" t="s">
        <v>21009</v>
      </c>
      <c r="B5110" s="1" t="s">
        <v>21010</v>
      </c>
      <c r="C5110" s="1">
        <v>2012.0</v>
      </c>
      <c r="D5110" s="2">
        <v>41198.0</v>
      </c>
      <c r="F5110" s="1" t="s">
        <v>6049</v>
      </c>
      <c r="H5110" s="3">
        <v>28.0</v>
      </c>
      <c r="I5110" s="4" t="s">
        <v>21011</v>
      </c>
      <c r="J5110" s="1" t="s">
        <v>21012</v>
      </c>
      <c r="K5110" s="1" t="s">
        <v>329</v>
      </c>
    </row>
    <row r="5111">
      <c r="A5111" s="1" t="s">
        <v>21013</v>
      </c>
      <c r="B5111" s="1" t="s">
        <v>21014</v>
      </c>
      <c r="C5111" s="1">
        <v>2012.0</v>
      </c>
      <c r="D5111" s="2">
        <v>41188.0</v>
      </c>
      <c r="F5111" s="1" t="s">
        <v>6393</v>
      </c>
      <c r="H5111" s="3">
        <v>51.0</v>
      </c>
      <c r="I5111" s="4" t="s">
        <v>21015</v>
      </c>
      <c r="J5111" s="1" t="s">
        <v>21016</v>
      </c>
      <c r="K5111" s="1" t="s">
        <v>413</v>
      </c>
    </row>
    <row r="5112">
      <c r="A5112" s="1" t="s">
        <v>21017</v>
      </c>
      <c r="B5112" s="1" t="s">
        <v>21018</v>
      </c>
      <c r="C5112" s="1">
        <v>2012.0</v>
      </c>
      <c r="D5112" s="2">
        <v>41187.0</v>
      </c>
      <c r="F5112" s="1" t="s">
        <v>1982</v>
      </c>
      <c r="H5112" s="3">
        <v>32.0</v>
      </c>
      <c r="I5112" s="4" t="s">
        <v>21019</v>
      </c>
      <c r="J5112" s="1" t="s">
        <v>21020</v>
      </c>
      <c r="K5112" s="1" t="s">
        <v>68</v>
      </c>
    </row>
    <row r="5113">
      <c r="A5113" s="1" t="s">
        <v>21021</v>
      </c>
      <c r="B5113" s="1" t="s">
        <v>21022</v>
      </c>
      <c r="C5113" s="1">
        <v>2012.0</v>
      </c>
      <c r="D5113" s="2">
        <v>41186.0</v>
      </c>
      <c r="F5113" s="1" t="s">
        <v>396</v>
      </c>
      <c r="H5113" s="3">
        <v>100.0</v>
      </c>
      <c r="I5113" s="4" t="s">
        <v>21023</v>
      </c>
      <c r="J5113" s="1" t="s">
        <v>21024</v>
      </c>
      <c r="K5113" s="1" t="s">
        <v>329</v>
      </c>
    </row>
    <row r="5114">
      <c r="A5114" s="1" t="s">
        <v>21025</v>
      </c>
      <c r="B5114" s="1" t="s">
        <v>21026</v>
      </c>
      <c r="C5114" s="1">
        <v>2012.0</v>
      </c>
      <c r="D5114" s="2">
        <v>41183.0</v>
      </c>
      <c r="F5114" s="1" t="s">
        <v>21027</v>
      </c>
      <c r="H5114" s="3">
        <v>2.0</v>
      </c>
      <c r="I5114" s="4" t="s">
        <v>21028</v>
      </c>
      <c r="J5114" s="1"/>
      <c r="K5114" s="1" t="s">
        <v>383</v>
      </c>
    </row>
    <row r="5115">
      <c r="A5115" s="1" t="s">
        <v>21029</v>
      </c>
      <c r="B5115" s="1" t="s">
        <v>21030</v>
      </c>
      <c r="C5115" s="1">
        <v>2012.0</v>
      </c>
      <c r="D5115" s="2">
        <v>41183.0</v>
      </c>
      <c r="F5115" s="1" t="s">
        <v>12651</v>
      </c>
      <c r="H5115" s="3">
        <v>7.0</v>
      </c>
      <c r="I5115" s="4" t="s">
        <v>21031</v>
      </c>
      <c r="J5115" s="1" t="s">
        <v>21032</v>
      </c>
      <c r="K5115" s="1" t="s">
        <v>28</v>
      </c>
    </row>
    <row r="5116">
      <c r="A5116" s="1" t="s">
        <v>21033</v>
      </c>
      <c r="B5116" s="1" t="s">
        <v>21034</v>
      </c>
      <c r="C5116" s="1">
        <v>2012.0</v>
      </c>
      <c r="D5116" s="2">
        <v>41183.0</v>
      </c>
      <c r="F5116" s="1" t="s">
        <v>2707</v>
      </c>
      <c r="H5116" s="3">
        <v>52.0</v>
      </c>
      <c r="I5116" s="4" t="s">
        <v>21035</v>
      </c>
      <c r="J5116" s="1" t="s">
        <v>21036</v>
      </c>
      <c r="K5116" s="1" t="s">
        <v>68</v>
      </c>
    </row>
    <row r="5117">
      <c r="A5117" s="1" t="s">
        <v>21037</v>
      </c>
      <c r="B5117" s="1" t="s">
        <v>21038</v>
      </c>
      <c r="C5117" s="1">
        <v>2012.0</v>
      </c>
      <c r="D5117" s="2">
        <v>41183.0</v>
      </c>
      <c r="F5117" s="1" t="s">
        <v>4614</v>
      </c>
      <c r="H5117" s="3">
        <v>10.0</v>
      </c>
      <c r="I5117" s="4" t="s">
        <v>21039</v>
      </c>
      <c r="J5117" s="1" t="s">
        <v>21040</v>
      </c>
      <c r="K5117" s="1" t="s">
        <v>16</v>
      </c>
    </row>
    <row r="5118">
      <c r="A5118" s="1" t="s">
        <v>21041</v>
      </c>
      <c r="B5118" s="1" t="s">
        <v>21042</v>
      </c>
      <c r="C5118" s="1">
        <v>2012.0</v>
      </c>
      <c r="D5118" s="2">
        <v>41183.0</v>
      </c>
      <c r="F5118" s="1" t="s">
        <v>4614</v>
      </c>
      <c r="H5118" s="3">
        <v>4.0</v>
      </c>
      <c r="I5118" s="4" t="s">
        <v>21043</v>
      </c>
      <c r="J5118" s="1"/>
      <c r="K5118" s="1" t="s">
        <v>295</v>
      </c>
    </row>
    <row r="5119">
      <c r="A5119" s="1" t="s">
        <v>21044</v>
      </c>
      <c r="B5119" s="1" t="s">
        <v>21045</v>
      </c>
      <c r="C5119" s="1">
        <v>2012.0</v>
      </c>
      <c r="D5119" s="2">
        <v>41179.0</v>
      </c>
      <c r="F5119" s="1" t="s">
        <v>21046</v>
      </c>
      <c r="H5119" s="3">
        <v>17.0</v>
      </c>
      <c r="I5119" s="4" t="s">
        <v>21047</v>
      </c>
      <c r="J5119" s="1" t="s">
        <v>21048</v>
      </c>
      <c r="K5119" s="1" t="s">
        <v>323</v>
      </c>
    </row>
    <row r="5120">
      <c r="A5120" s="1" t="s">
        <v>21049</v>
      </c>
      <c r="B5120" s="1" t="s">
        <v>21050</v>
      </c>
      <c r="C5120" s="1">
        <v>2012.0</v>
      </c>
      <c r="D5120" s="2">
        <v>41177.0</v>
      </c>
      <c r="F5120" s="1" t="s">
        <v>1777</v>
      </c>
      <c r="H5120" s="3">
        <v>93.0</v>
      </c>
      <c r="I5120" s="4" t="s">
        <v>21051</v>
      </c>
      <c r="J5120" s="1" t="s">
        <v>21052</v>
      </c>
      <c r="K5120" s="1" t="s">
        <v>413</v>
      </c>
    </row>
    <row r="5121">
      <c r="A5121" s="1" t="s">
        <v>21053</v>
      </c>
      <c r="B5121" s="1" t="s">
        <v>21054</v>
      </c>
      <c r="C5121" s="1">
        <v>2012.0</v>
      </c>
      <c r="D5121" s="2">
        <v>41176.0</v>
      </c>
      <c r="F5121" s="1" t="s">
        <v>369</v>
      </c>
      <c r="H5121" s="3">
        <v>12.0</v>
      </c>
      <c r="I5121" s="4" t="s">
        <v>21055</v>
      </c>
      <c r="J5121" s="1" t="s">
        <v>21056</v>
      </c>
      <c r="K5121" s="1" t="s">
        <v>28</v>
      </c>
    </row>
    <row r="5122">
      <c r="A5122" s="1" t="s">
        <v>21057</v>
      </c>
      <c r="B5122" s="1" t="s">
        <v>21058</v>
      </c>
      <c r="C5122" s="1">
        <v>2012.0</v>
      </c>
      <c r="D5122" s="2">
        <v>41171.0</v>
      </c>
      <c r="F5122" s="1" t="s">
        <v>8818</v>
      </c>
      <c r="H5122" s="3">
        <v>45.0</v>
      </c>
      <c r="I5122" s="4" t="s">
        <v>21059</v>
      </c>
      <c r="J5122" s="1" t="s">
        <v>21060</v>
      </c>
      <c r="K5122" s="1" t="s">
        <v>28</v>
      </c>
    </row>
    <row r="5123">
      <c r="A5123" s="1" t="s">
        <v>21061</v>
      </c>
      <c r="B5123" s="1" t="s">
        <v>21062</v>
      </c>
      <c r="C5123" s="1">
        <v>2012.0</v>
      </c>
      <c r="D5123" s="2">
        <v>41170.0</v>
      </c>
      <c r="F5123" s="1" t="s">
        <v>14908</v>
      </c>
      <c r="H5123" s="3">
        <v>38.0</v>
      </c>
      <c r="I5123" s="4" t="s">
        <v>21063</v>
      </c>
      <c r="J5123" s="1" t="s">
        <v>21064</v>
      </c>
      <c r="K5123" s="1" t="s">
        <v>28</v>
      </c>
    </row>
    <row r="5124">
      <c r="A5124" s="1" t="s">
        <v>21065</v>
      </c>
      <c r="B5124" s="1" t="s">
        <v>21066</v>
      </c>
      <c r="C5124" s="1">
        <v>2012.0</v>
      </c>
      <c r="D5124" s="2">
        <v>41159.0</v>
      </c>
      <c r="F5124" s="1" t="s">
        <v>3926</v>
      </c>
      <c r="H5124" s="3">
        <v>21.0</v>
      </c>
      <c r="I5124" s="4" t="s">
        <v>21067</v>
      </c>
      <c r="J5124" s="1" t="s">
        <v>21068</v>
      </c>
      <c r="K5124" s="1" t="s">
        <v>16</v>
      </c>
    </row>
    <row r="5125">
      <c r="A5125" s="1" t="s">
        <v>21069</v>
      </c>
      <c r="B5125" s="1" t="s">
        <v>21070</v>
      </c>
      <c r="C5125" s="1">
        <v>2012.0</v>
      </c>
      <c r="D5125" s="2">
        <v>41157.0</v>
      </c>
      <c r="F5125" s="1" t="s">
        <v>14908</v>
      </c>
      <c r="H5125" s="3">
        <v>103.0</v>
      </c>
      <c r="I5125" s="4" t="s">
        <v>21071</v>
      </c>
      <c r="J5125" s="1" t="s">
        <v>21072</v>
      </c>
      <c r="K5125" s="1" t="s">
        <v>323</v>
      </c>
    </row>
    <row r="5126">
      <c r="A5126" s="1" t="s">
        <v>21073</v>
      </c>
      <c r="B5126" s="1" t="s">
        <v>21074</v>
      </c>
      <c r="C5126" s="1">
        <v>2012.0</v>
      </c>
      <c r="D5126" s="2">
        <v>41154.0</v>
      </c>
      <c r="F5126" s="1" t="s">
        <v>21027</v>
      </c>
      <c r="H5126" s="3">
        <v>4.0</v>
      </c>
      <c r="I5126" s="4" t="s">
        <v>21075</v>
      </c>
      <c r="J5126" s="1"/>
      <c r="K5126" s="1" t="s">
        <v>383</v>
      </c>
    </row>
    <row r="5127">
      <c r="A5127" s="1" t="s">
        <v>21076</v>
      </c>
      <c r="B5127" s="1" t="s">
        <v>21077</v>
      </c>
      <c r="C5127" s="1">
        <v>2012.0</v>
      </c>
      <c r="D5127" s="2">
        <v>41153.0</v>
      </c>
      <c r="F5127" s="1" t="s">
        <v>1410</v>
      </c>
      <c r="H5127" s="3">
        <v>5.0</v>
      </c>
      <c r="I5127" s="4" t="s">
        <v>21078</v>
      </c>
      <c r="J5127" s="1" t="s">
        <v>21079</v>
      </c>
      <c r="K5127" s="1" t="s">
        <v>323</v>
      </c>
    </row>
    <row r="5128">
      <c r="A5128" s="1" t="s">
        <v>21080</v>
      </c>
      <c r="B5128" s="1" t="s">
        <v>21081</v>
      </c>
      <c r="C5128" s="1">
        <v>2012.0</v>
      </c>
      <c r="D5128" s="2">
        <v>41148.0</v>
      </c>
      <c r="F5128" s="1" t="s">
        <v>4405</v>
      </c>
      <c r="H5128" s="3">
        <v>16.0</v>
      </c>
      <c r="I5128" s="4" t="s">
        <v>21082</v>
      </c>
      <c r="J5128" s="1" t="s">
        <v>21083</v>
      </c>
      <c r="K5128" s="1" t="s">
        <v>295</v>
      </c>
    </row>
    <row r="5129">
      <c r="A5129" s="1" t="s">
        <v>21084</v>
      </c>
      <c r="B5129" s="1" t="s">
        <v>21085</v>
      </c>
      <c r="C5129" s="1">
        <v>2012.0</v>
      </c>
      <c r="D5129" s="2">
        <v>41143.0</v>
      </c>
      <c r="F5129" s="1" t="s">
        <v>1505</v>
      </c>
      <c r="H5129" s="3">
        <v>564.0</v>
      </c>
      <c r="I5129" s="4" t="s">
        <v>21086</v>
      </c>
      <c r="J5129" s="1" t="s">
        <v>21087</v>
      </c>
      <c r="K5129" s="1" t="s">
        <v>926</v>
      </c>
    </row>
    <row r="5130">
      <c r="A5130" s="1" t="s">
        <v>21088</v>
      </c>
      <c r="B5130" s="1" t="s">
        <v>21089</v>
      </c>
      <c r="C5130" s="1">
        <v>2012.0</v>
      </c>
      <c r="D5130" s="2">
        <v>41131.0</v>
      </c>
      <c r="F5130" s="1" t="s">
        <v>369</v>
      </c>
      <c r="H5130" s="3">
        <v>14.0</v>
      </c>
      <c r="I5130" s="4" t="s">
        <v>21090</v>
      </c>
      <c r="J5130" s="1" t="s">
        <v>21091</v>
      </c>
      <c r="K5130" s="1" t="s">
        <v>28</v>
      </c>
    </row>
    <row r="5131">
      <c r="A5131" s="1" t="s">
        <v>21092</v>
      </c>
      <c r="B5131" s="1" t="s">
        <v>21093</v>
      </c>
      <c r="C5131" s="1">
        <v>2012.0</v>
      </c>
      <c r="D5131" s="2">
        <v>41128.0</v>
      </c>
      <c r="F5131" s="1" t="s">
        <v>218</v>
      </c>
      <c r="H5131" s="3">
        <v>12.0</v>
      </c>
      <c r="I5131" s="4" t="s">
        <v>21094</v>
      </c>
      <c r="J5131" s="1" t="s">
        <v>21095</v>
      </c>
      <c r="K5131" s="1" t="s">
        <v>443</v>
      </c>
    </row>
    <row r="5132">
      <c r="A5132" s="1" t="s">
        <v>21096</v>
      </c>
      <c r="B5132" s="1" t="s">
        <v>21097</v>
      </c>
      <c r="C5132" s="1">
        <v>2012.0</v>
      </c>
      <c r="D5132" s="2">
        <v>41128.0</v>
      </c>
      <c r="F5132" s="1" t="s">
        <v>16029</v>
      </c>
      <c r="H5132" s="3">
        <v>22.0</v>
      </c>
      <c r="I5132" s="4" t="s">
        <v>21098</v>
      </c>
      <c r="J5132" s="1" t="s">
        <v>21099</v>
      </c>
      <c r="K5132" s="1" t="s">
        <v>323</v>
      </c>
    </row>
    <row r="5133">
      <c r="A5133" s="1" t="s">
        <v>21100</v>
      </c>
      <c r="B5133" s="1" t="s">
        <v>17148</v>
      </c>
      <c r="C5133" s="1">
        <v>2012.0</v>
      </c>
      <c r="D5133" s="2">
        <v>41128.0</v>
      </c>
      <c r="F5133" s="1" t="s">
        <v>7505</v>
      </c>
      <c r="H5133" s="3">
        <v>40.0</v>
      </c>
      <c r="I5133" s="4" t="s">
        <v>21101</v>
      </c>
      <c r="J5133" s="1" t="s">
        <v>21102</v>
      </c>
      <c r="K5133" s="1" t="s">
        <v>16</v>
      </c>
    </row>
    <row r="5134">
      <c r="A5134" s="1" t="s">
        <v>21103</v>
      </c>
      <c r="B5134" s="1" t="s">
        <v>21104</v>
      </c>
      <c r="C5134" s="1">
        <v>2012.0</v>
      </c>
      <c r="D5134" s="2">
        <v>41126.0</v>
      </c>
      <c r="F5134" s="1" t="s">
        <v>629</v>
      </c>
      <c r="H5134" s="3">
        <v>8.0</v>
      </c>
      <c r="I5134" s="4" t="s">
        <v>21105</v>
      </c>
      <c r="J5134" s="1" t="s">
        <v>21106</v>
      </c>
      <c r="K5134" s="1" t="s">
        <v>295</v>
      </c>
    </row>
    <row r="5135">
      <c r="A5135" s="1" t="s">
        <v>21107</v>
      </c>
      <c r="B5135" s="1" t="s">
        <v>21108</v>
      </c>
      <c r="C5135" s="1">
        <v>2012.0</v>
      </c>
      <c r="D5135" s="2">
        <v>41124.0</v>
      </c>
      <c r="F5135" s="1" t="s">
        <v>3276</v>
      </c>
      <c r="H5135" s="3">
        <v>14.0</v>
      </c>
      <c r="I5135" s="4" t="s">
        <v>21109</v>
      </c>
      <c r="J5135" s="1" t="s">
        <v>21110</v>
      </c>
      <c r="K5135" s="1" t="s">
        <v>295</v>
      </c>
    </row>
    <row r="5136">
      <c r="A5136" s="1" t="s">
        <v>21111</v>
      </c>
      <c r="B5136" s="1" t="s">
        <v>21112</v>
      </c>
      <c r="C5136" s="1">
        <v>2012.0</v>
      </c>
      <c r="D5136" s="2">
        <v>41122.0</v>
      </c>
      <c r="F5136" s="1" t="s">
        <v>21113</v>
      </c>
      <c r="H5136" s="3">
        <v>20.0</v>
      </c>
      <c r="I5136" s="4" t="s">
        <v>21114</v>
      </c>
      <c r="J5136" s="1" t="s">
        <v>21115</v>
      </c>
      <c r="K5136" s="1" t="s">
        <v>28</v>
      </c>
    </row>
    <row r="5137">
      <c r="A5137" s="1" t="s">
        <v>21116</v>
      </c>
      <c r="B5137" s="1" t="s">
        <v>21117</v>
      </c>
      <c r="C5137" s="1">
        <v>2012.0</v>
      </c>
      <c r="D5137" s="2">
        <v>41122.0</v>
      </c>
      <c r="F5137" s="1" t="s">
        <v>4539</v>
      </c>
      <c r="H5137" s="3">
        <v>19.0</v>
      </c>
      <c r="I5137" s="4" t="s">
        <v>21118</v>
      </c>
      <c r="J5137" s="1"/>
      <c r="K5137" s="1" t="s">
        <v>413</v>
      </c>
    </row>
    <row r="5138">
      <c r="A5138" s="1" t="s">
        <v>21119</v>
      </c>
      <c r="B5138" s="1" t="s">
        <v>21120</v>
      </c>
      <c r="C5138" s="1">
        <v>2012.0</v>
      </c>
      <c r="D5138" s="2">
        <v>41118.0</v>
      </c>
      <c r="F5138" s="1" t="s">
        <v>1762</v>
      </c>
      <c r="H5138" s="3">
        <v>37.0</v>
      </c>
      <c r="I5138" s="4" t="s">
        <v>21121</v>
      </c>
      <c r="J5138" s="1" t="s">
        <v>21122</v>
      </c>
      <c r="K5138" s="1" t="s">
        <v>462</v>
      </c>
    </row>
    <row r="5139">
      <c r="A5139" s="1" t="s">
        <v>21123</v>
      </c>
      <c r="B5139" s="1" t="s">
        <v>21124</v>
      </c>
      <c r="C5139" s="1">
        <v>2012.0</v>
      </c>
      <c r="D5139" s="2">
        <v>41117.0</v>
      </c>
      <c r="F5139" s="1" t="s">
        <v>1777</v>
      </c>
      <c r="H5139" s="3">
        <v>8.0</v>
      </c>
      <c r="I5139" s="4" t="s">
        <v>21125</v>
      </c>
      <c r="J5139" s="1" t="s">
        <v>21126</v>
      </c>
      <c r="K5139" s="1" t="s">
        <v>295</v>
      </c>
    </row>
    <row r="5140">
      <c r="A5140" s="1" t="s">
        <v>21127</v>
      </c>
      <c r="B5140" s="1" t="s">
        <v>21128</v>
      </c>
      <c r="C5140" s="1">
        <v>2012.0</v>
      </c>
      <c r="D5140" s="2">
        <v>41116.0</v>
      </c>
      <c r="F5140" s="1" t="s">
        <v>12240</v>
      </c>
      <c r="H5140" s="3">
        <v>14.0</v>
      </c>
      <c r="I5140" s="4" t="s">
        <v>21129</v>
      </c>
      <c r="J5140" s="1" t="s">
        <v>21130</v>
      </c>
      <c r="K5140" s="1" t="s">
        <v>16</v>
      </c>
    </row>
    <row r="5141">
      <c r="A5141" s="1" t="s">
        <v>21131</v>
      </c>
      <c r="B5141" s="1" t="s">
        <v>21132</v>
      </c>
      <c r="C5141" s="1">
        <v>2012.0</v>
      </c>
      <c r="D5141" s="2">
        <v>41115.0</v>
      </c>
      <c r="F5141" s="1" t="s">
        <v>1001</v>
      </c>
      <c r="H5141" s="3">
        <v>127.0</v>
      </c>
      <c r="I5141" s="4" t="s">
        <v>21133</v>
      </c>
      <c r="J5141" s="1" t="s">
        <v>21134</v>
      </c>
      <c r="K5141" s="1" t="s">
        <v>323</v>
      </c>
    </row>
    <row r="5142">
      <c r="A5142" s="1" t="s">
        <v>21135</v>
      </c>
      <c r="B5142" s="1" t="s">
        <v>21136</v>
      </c>
      <c r="C5142" s="1">
        <v>2012.0</v>
      </c>
      <c r="D5142" s="2">
        <v>41110.0</v>
      </c>
      <c r="F5142" s="1" t="s">
        <v>21137</v>
      </c>
      <c r="H5142" s="3">
        <v>85.0</v>
      </c>
      <c r="I5142" s="4" t="s">
        <v>21138</v>
      </c>
      <c r="J5142" s="1" t="s">
        <v>21139</v>
      </c>
      <c r="K5142" s="1" t="s">
        <v>413</v>
      </c>
    </row>
    <row r="5143">
      <c r="A5143" s="1" t="s">
        <v>21140</v>
      </c>
      <c r="B5143" s="1" t="s">
        <v>21141</v>
      </c>
      <c r="C5143" s="1">
        <v>2012.0</v>
      </c>
      <c r="D5143" s="2">
        <v>41110.0</v>
      </c>
      <c r="F5143" s="1" t="s">
        <v>3351</v>
      </c>
      <c r="H5143" s="3">
        <v>7.0</v>
      </c>
      <c r="I5143" s="4" t="s">
        <v>21142</v>
      </c>
      <c r="J5143" s="1" t="s">
        <v>21143</v>
      </c>
      <c r="K5143" s="1" t="s">
        <v>16</v>
      </c>
    </row>
    <row r="5144">
      <c r="A5144" s="1" t="s">
        <v>21144</v>
      </c>
      <c r="B5144" s="1" t="s">
        <v>21145</v>
      </c>
      <c r="C5144" s="1">
        <v>2012.0</v>
      </c>
      <c r="D5144" s="2">
        <v>41109.0</v>
      </c>
      <c r="F5144" s="1" t="s">
        <v>3888</v>
      </c>
      <c r="H5144" s="3">
        <v>14.0</v>
      </c>
      <c r="I5144" s="4" t="s">
        <v>21146</v>
      </c>
      <c r="J5144" s="1" t="s">
        <v>21147</v>
      </c>
      <c r="K5144" s="1" t="s">
        <v>413</v>
      </c>
    </row>
    <row r="5145">
      <c r="A5145" s="1" t="s">
        <v>21148</v>
      </c>
      <c r="B5145" s="1" t="s">
        <v>21149</v>
      </c>
      <c r="C5145" s="1">
        <v>2012.0</v>
      </c>
      <c r="D5145" s="2">
        <v>41093.0</v>
      </c>
      <c r="F5145" s="1" t="s">
        <v>12240</v>
      </c>
      <c r="H5145" s="3">
        <v>17.0</v>
      </c>
      <c r="I5145" s="4" t="s">
        <v>21150</v>
      </c>
      <c r="J5145" s="1" t="s">
        <v>21151</v>
      </c>
      <c r="K5145" s="1" t="s">
        <v>16</v>
      </c>
    </row>
    <row r="5146">
      <c r="A5146" s="1" t="s">
        <v>21152</v>
      </c>
      <c r="B5146" s="1" t="s">
        <v>21153</v>
      </c>
      <c r="C5146" s="1">
        <v>2012.0</v>
      </c>
      <c r="D5146" s="2">
        <v>41093.0</v>
      </c>
      <c r="F5146" s="1" t="s">
        <v>12240</v>
      </c>
      <c r="H5146" s="3">
        <v>80.0</v>
      </c>
      <c r="I5146" s="4" t="s">
        <v>21154</v>
      </c>
      <c r="J5146" s="1" t="s">
        <v>21155</v>
      </c>
      <c r="K5146" s="1" t="s">
        <v>16</v>
      </c>
    </row>
    <row r="5147">
      <c r="A5147" s="1" t="s">
        <v>21156</v>
      </c>
      <c r="B5147" s="1" t="s">
        <v>21157</v>
      </c>
      <c r="C5147" s="1">
        <v>2012.0</v>
      </c>
      <c r="D5147" s="2">
        <v>41086.0</v>
      </c>
      <c r="F5147" s="1" t="s">
        <v>1170</v>
      </c>
      <c r="H5147" s="3">
        <v>42.0</v>
      </c>
      <c r="I5147" s="4" t="s">
        <v>21158</v>
      </c>
      <c r="J5147" s="1" t="s">
        <v>21159</v>
      </c>
      <c r="K5147" s="1" t="s">
        <v>28</v>
      </c>
    </row>
    <row r="5148">
      <c r="A5148" s="1" t="s">
        <v>21160</v>
      </c>
      <c r="B5148" s="1" t="s">
        <v>21153</v>
      </c>
      <c r="C5148" s="1">
        <v>2012.0</v>
      </c>
      <c r="D5148" s="2">
        <v>41081.0</v>
      </c>
      <c r="F5148" s="1" t="s">
        <v>12240</v>
      </c>
      <c r="H5148" s="3">
        <v>38.0</v>
      </c>
      <c r="I5148" s="4" t="s">
        <v>21161</v>
      </c>
      <c r="J5148" s="1" t="s">
        <v>21162</v>
      </c>
      <c r="K5148" s="1" t="s">
        <v>16</v>
      </c>
    </row>
    <row r="5149">
      <c r="A5149" s="1" t="s">
        <v>21163</v>
      </c>
      <c r="B5149" s="1" t="s">
        <v>21149</v>
      </c>
      <c r="C5149" s="1">
        <v>2012.0</v>
      </c>
      <c r="D5149" s="2">
        <v>41081.0</v>
      </c>
      <c r="F5149" s="1" t="s">
        <v>12240</v>
      </c>
      <c r="H5149" s="3">
        <v>70.0</v>
      </c>
      <c r="I5149" s="4" t="s">
        <v>21164</v>
      </c>
      <c r="J5149" s="1" t="s">
        <v>21165</v>
      </c>
      <c r="K5149" s="1" t="s">
        <v>16</v>
      </c>
    </row>
    <row r="5150">
      <c r="A5150" s="1" t="s">
        <v>21166</v>
      </c>
      <c r="B5150" s="1" t="s">
        <v>21167</v>
      </c>
      <c r="C5150" s="1">
        <v>2012.0</v>
      </c>
      <c r="D5150" s="2">
        <v>41080.0</v>
      </c>
      <c r="F5150" s="1" t="s">
        <v>15188</v>
      </c>
      <c r="H5150" s="3">
        <v>0.0</v>
      </c>
      <c r="I5150" s="4" t="s">
        <v>21168</v>
      </c>
      <c r="J5150" s="1"/>
      <c r="K5150" s="1" t="s">
        <v>68</v>
      </c>
    </row>
    <row r="5151">
      <c r="A5151" s="1" t="s">
        <v>21169</v>
      </c>
      <c r="B5151" s="1" t="s">
        <v>21170</v>
      </c>
      <c r="C5151" s="1">
        <v>2012.0</v>
      </c>
      <c r="D5151" s="2">
        <v>41075.0</v>
      </c>
      <c r="F5151" s="1" t="s">
        <v>12240</v>
      </c>
      <c r="H5151" s="3">
        <v>79.0</v>
      </c>
      <c r="I5151" s="4" t="s">
        <v>21171</v>
      </c>
      <c r="J5151" s="1" t="s">
        <v>21172</v>
      </c>
      <c r="K5151" s="1" t="s">
        <v>16</v>
      </c>
    </row>
    <row r="5152">
      <c r="A5152" s="1" t="s">
        <v>21173</v>
      </c>
      <c r="B5152" s="1" t="s">
        <v>21174</v>
      </c>
      <c r="C5152" s="1">
        <v>2012.0</v>
      </c>
      <c r="D5152" s="2">
        <v>41074.0</v>
      </c>
      <c r="F5152" s="1" t="s">
        <v>12240</v>
      </c>
      <c r="H5152" s="3">
        <v>11.0</v>
      </c>
      <c r="I5152" s="4" t="s">
        <v>21175</v>
      </c>
      <c r="J5152" s="1" t="s">
        <v>21176</v>
      </c>
      <c r="K5152" s="1" t="s">
        <v>16</v>
      </c>
    </row>
    <row r="5153">
      <c r="A5153" s="1" t="s">
        <v>21177</v>
      </c>
      <c r="B5153" s="1" t="s">
        <v>21178</v>
      </c>
      <c r="C5153" s="1">
        <v>2012.0</v>
      </c>
      <c r="D5153" s="2">
        <v>41073.0</v>
      </c>
      <c r="F5153" s="1" t="s">
        <v>2297</v>
      </c>
      <c r="H5153" s="3">
        <v>70.0</v>
      </c>
      <c r="I5153" s="4" t="s">
        <v>21179</v>
      </c>
      <c r="J5153" s="1" t="s">
        <v>21180</v>
      </c>
      <c r="K5153" s="1" t="s">
        <v>16</v>
      </c>
    </row>
    <row r="5154">
      <c r="A5154" s="1" t="s">
        <v>21181</v>
      </c>
      <c r="B5154" s="1" t="s">
        <v>21182</v>
      </c>
      <c r="C5154" s="1">
        <v>2012.0</v>
      </c>
      <c r="D5154" s="2">
        <v>41071.0</v>
      </c>
      <c r="F5154" s="1" t="s">
        <v>21183</v>
      </c>
      <c r="H5154" s="3">
        <v>41.0</v>
      </c>
      <c r="I5154" s="4" t="s">
        <v>21184</v>
      </c>
      <c r="J5154" s="1" t="s">
        <v>21185</v>
      </c>
      <c r="K5154" s="1" t="s">
        <v>16</v>
      </c>
    </row>
    <row r="5155">
      <c r="A5155" s="1" t="s">
        <v>21186</v>
      </c>
      <c r="B5155" s="1" t="s">
        <v>21187</v>
      </c>
      <c r="C5155" s="1">
        <v>2012.0</v>
      </c>
      <c r="D5155" s="2">
        <v>41067.0</v>
      </c>
      <c r="F5155" s="1" t="s">
        <v>21188</v>
      </c>
      <c r="H5155" s="3">
        <v>5.0</v>
      </c>
      <c r="I5155" s="4" t="s">
        <v>21189</v>
      </c>
      <c r="J5155" s="1" t="s">
        <v>21190</v>
      </c>
      <c r="K5155" s="1" t="s">
        <v>443</v>
      </c>
    </row>
    <row r="5156">
      <c r="A5156" s="1" t="s">
        <v>21191</v>
      </c>
      <c r="B5156" s="1" t="s">
        <v>21192</v>
      </c>
      <c r="C5156" s="1">
        <v>2012.0</v>
      </c>
      <c r="D5156" s="2">
        <v>41066.0</v>
      </c>
      <c r="F5156" s="1" t="s">
        <v>396</v>
      </c>
      <c r="H5156" s="3">
        <v>60.0</v>
      </c>
      <c r="I5156" s="4" t="s">
        <v>21193</v>
      </c>
      <c r="J5156" s="1" t="s">
        <v>21194</v>
      </c>
      <c r="K5156" s="1" t="s">
        <v>295</v>
      </c>
    </row>
    <row r="5157">
      <c r="A5157" s="1" t="s">
        <v>21195</v>
      </c>
      <c r="B5157" s="1" t="s">
        <v>21196</v>
      </c>
      <c r="C5157" s="1">
        <v>2012.0</v>
      </c>
      <c r="D5157" s="2">
        <v>41065.0</v>
      </c>
      <c r="F5157" s="1" t="s">
        <v>2955</v>
      </c>
      <c r="H5157" s="3">
        <v>24.0</v>
      </c>
      <c r="I5157" s="4" t="s">
        <v>21197</v>
      </c>
      <c r="J5157" s="1" t="s">
        <v>21198</v>
      </c>
      <c r="K5157" s="1" t="s">
        <v>443</v>
      </c>
    </row>
    <row r="5158">
      <c r="A5158" s="1" t="s">
        <v>21199</v>
      </c>
      <c r="B5158" s="1" t="s">
        <v>21200</v>
      </c>
      <c r="C5158" s="1">
        <v>2012.0</v>
      </c>
      <c r="D5158" s="2">
        <v>41061.0</v>
      </c>
      <c r="F5158" s="1" t="s">
        <v>16385</v>
      </c>
      <c r="H5158" s="3">
        <v>25.0</v>
      </c>
      <c r="I5158" s="4" t="s">
        <v>21201</v>
      </c>
      <c r="J5158" s="1" t="s">
        <v>21202</v>
      </c>
      <c r="K5158" s="1" t="s">
        <v>383</v>
      </c>
    </row>
    <row r="5159">
      <c r="A5159" s="1" t="s">
        <v>21203</v>
      </c>
      <c r="B5159" s="1" t="s">
        <v>21066</v>
      </c>
      <c r="C5159" s="1">
        <v>2012.0</v>
      </c>
      <c r="D5159" s="2">
        <v>41061.0</v>
      </c>
      <c r="F5159" s="1" t="s">
        <v>3617</v>
      </c>
      <c r="H5159" s="3">
        <v>3.0</v>
      </c>
      <c r="I5159" s="4" t="s">
        <v>21204</v>
      </c>
      <c r="J5159" s="1" t="s">
        <v>21205</v>
      </c>
      <c r="K5159" s="1" t="s">
        <v>16</v>
      </c>
    </row>
    <row r="5160">
      <c r="A5160" s="1" t="s">
        <v>21206</v>
      </c>
      <c r="B5160" s="1" t="s">
        <v>21207</v>
      </c>
      <c r="C5160" s="1">
        <v>2012.0</v>
      </c>
      <c r="D5160" s="2">
        <v>41060.0</v>
      </c>
      <c r="F5160" s="1" t="s">
        <v>208</v>
      </c>
      <c r="H5160" s="3">
        <v>5.0</v>
      </c>
      <c r="I5160" s="4" t="s">
        <v>21208</v>
      </c>
      <c r="J5160" s="1" t="s">
        <v>21209</v>
      </c>
      <c r="K5160" s="1" t="s">
        <v>295</v>
      </c>
    </row>
    <row r="5161">
      <c r="A5161" s="1" t="s">
        <v>21210</v>
      </c>
      <c r="B5161" s="1" t="s">
        <v>21211</v>
      </c>
      <c r="C5161" s="1">
        <v>2012.0</v>
      </c>
      <c r="D5161" s="2">
        <v>41059.0</v>
      </c>
      <c r="F5161" s="1" t="s">
        <v>292</v>
      </c>
      <c r="H5161" s="3">
        <v>29.0</v>
      </c>
      <c r="I5161" s="4" t="s">
        <v>21212</v>
      </c>
      <c r="J5161" s="1" t="s">
        <v>21213</v>
      </c>
      <c r="K5161" s="1" t="s">
        <v>28</v>
      </c>
    </row>
    <row r="5162">
      <c r="A5162" s="1" t="s">
        <v>21214</v>
      </c>
      <c r="B5162" s="1" t="s">
        <v>21215</v>
      </c>
      <c r="C5162" s="1">
        <v>2012.0</v>
      </c>
      <c r="D5162" s="2">
        <v>41058.0</v>
      </c>
      <c r="F5162" s="1" t="s">
        <v>6713</v>
      </c>
      <c r="H5162" s="3">
        <v>146.0</v>
      </c>
      <c r="I5162" s="4" t="s">
        <v>21216</v>
      </c>
      <c r="J5162" s="1" t="s">
        <v>21217</v>
      </c>
      <c r="K5162" s="1" t="s">
        <v>443</v>
      </c>
    </row>
    <row r="5163">
      <c r="A5163" s="1" t="s">
        <v>21218</v>
      </c>
      <c r="B5163" s="1" t="s">
        <v>21219</v>
      </c>
      <c r="C5163" s="1">
        <v>2012.0</v>
      </c>
      <c r="D5163" s="2">
        <v>41058.0</v>
      </c>
      <c r="F5163" s="1" t="s">
        <v>5090</v>
      </c>
      <c r="H5163" s="3">
        <v>46.0</v>
      </c>
      <c r="I5163" s="4" t="s">
        <v>21220</v>
      </c>
      <c r="J5163" s="1" t="s">
        <v>21221</v>
      </c>
      <c r="K5163" s="1" t="s">
        <v>1036</v>
      </c>
    </row>
    <row r="5164">
      <c r="A5164" s="1" t="s">
        <v>21222</v>
      </c>
      <c r="B5164" s="1" t="s">
        <v>21223</v>
      </c>
      <c r="C5164" s="1">
        <v>2012.0</v>
      </c>
      <c r="D5164" s="2">
        <v>41057.0</v>
      </c>
      <c r="F5164" s="1" t="s">
        <v>1137</v>
      </c>
      <c r="H5164" s="3">
        <v>69.0</v>
      </c>
      <c r="I5164" s="4" t="s">
        <v>21224</v>
      </c>
      <c r="J5164" s="1" t="s">
        <v>21225</v>
      </c>
      <c r="K5164" s="1" t="s">
        <v>317</v>
      </c>
    </row>
    <row r="5165">
      <c r="A5165" s="1" t="s">
        <v>21226</v>
      </c>
      <c r="B5165" s="1" t="s">
        <v>21227</v>
      </c>
      <c r="C5165" s="1">
        <v>2012.0</v>
      </c>
      <c r="D5165" s="2">
        <v>41057.0</v>
      </c>
      <c r="F5165" s="1" t="s">
        <v>218</v>
      </c>
      <c r="H5165" s="3">
        <v>13.0</v>
      </c>
      <c r="I5165" s="4" t="s">
        <v>21228</v>
      </c>
      <c r="J5165" s="1" t="s">
        <v>21229</v>
      </c>
      <c r="K5165" s="1" t="s">
        <v>295</v>
      </c>
    </row>
    <row r="5166">
      <c r="A5166" s="1" t="s">
        <v>21230</v>
      </c>
      <c r="B5166" s="1" t="s">
        <v>21231</v>
      </c>
      <c r="C5166" s="1">
        <v>2012.0</v>
      </c>
      <c r="D5166" s="2">
        <v>41054.0</v>
      </c>
      <c r="F5166" s="1" t="s">
        <v>11511</v>
      </c>
      <c r="H5166" s="3">
        <v>4.0</v>
      </c>
      <c r="I5166" s="4" t="s">
        <v>21232</v>
      </c>
      <c r="J5166" s="1" t="s">
        <v>21233</v>
      </c>
      <c r="K5166" s="1" t="s">
        <v>323</v>
      </c>
    </row>
    <row r="5167">
      <c r="A5167" s="1" t="s">
        <v>21234</v>
      </c>
      <c r="B5167" s="1" t="s">
        <v>21235</v>
      </c>
      <c r="C5167" s="1">
        <v>2012.0</v>
      </c>
      <c r="D5167" s="2">
        <v>41051.0</v>
      </c>
      <c r="F5167" s="1" t="s">
        <v>2774</v>
      </c>
      <c r="H5167" s="3">
        <v>393.0</v>
      </c>
      <c r="I5167" s="4" t="s">
        <v>21236</v>
      </c>
      <c r="J5167" s="1" t="s">
        <v>21237</v>
      </c>
      <c r="K5167" s="1" t="s">
        <v>418</v>
      </c>
    </row>
    <row r="5168">
      <c r="A5168" s="1" t="s">
        <v>21238</v>
      </c>
      <c r="B5168" s="1" t="s">
        <v>21239</v>
      </c>
      <c r="C5168" s="1">
        <v>2012.0</v>
      </c>
      <c r="D5168" s="2">
        <v>41050.0</v>
      </c>
      <c r="F5168" s="1" t="s">
        <v>21240</v>
      </c>
      <c r="H5168" s="3">
        <v>3.0</v>
      </c>
      <c r="I5168" s="4" t="s">
        <v>21241</v>
      </c>
      <c r="J5168" s="1" t="s">
        <v>21242</v>
      </c>
      <c r="K5168" s="1" t="s">
        <v>16</v>
      </c>
    </row>
    <row r="5169">
      <c r="A5169" s="1" t="s">
        <v>21243</v>
      </c>
      <c r="B5169" s="1" t="s">
        <v>21244</v>
      </c>
      <c r="C5169" s="1">
        <v>2012.0</v>
      </c>
      <c r="D5169" s="2">
        <v>41047.0</v>
      </c>
      <c r="F5169" s="1" t="s">
        <v>71</v>
      </c>
      <c r="H5169" s="3">
        <v>15.0</v>
      </c>
      <c r="I5169" s="4" t="s">
        <v>21245</v>
      </c>
      <c r="J5169" s="1" t="s">
        <v>21246</v>
      </c>
      <c r="K5169" s="1" t="s">
        <v>1423</v>
      </c>
    </row>
    <row r="5170">
      <c r="A5170" s="1" t="s">
        <v>21247</v>
      </c>
      <c r="B5170" s="1" t="s">
        <v>21248</v>
      </c>
      <c r="C5170" s="1">
        <v>2012.0</v>
      </c>
      <c r="D5170" s="2">
        <v>41047.0</v>
      </c>
      <c r="F5170" s="1" t="s">
        <v>410</v>
      </c>
      <c r="H5170" s="3">
        <v>222.0</v>
      </c>
      <c r="I5170" s="4" t="s">
        <v>21249</v>
      </c>
      <c r="J5170" s="1" t="s">
        <v>21250</v>
      </c>
      <c r="K5170" s="1" t="s">
        <v>68</v>
      </c>
    </row>
    <row r="5171">
      <c r="A5171" s="1" t="s">
        <v>21251</v>
      </c>
      <c r="B5171" s="1" t="s">
        <v>21252</v>
      </c>
      <c r="C5171" s="1">
        <v>2012.0</v>
      </c>
      <c r="D5171" s="2">
        <v>41038.0</v>
      </c>
      <c r="F5171" s="1" t="s">
        <v>1349</v>
      </c>
      <c r="H5171" s="3">
        <v>62.0</v>
      </c>
      <c r="I5171" s="4" t="s">
        <v>21253</v>
      </c>
      <c r="J5171" s="1" t="s">
        <v>21254</v>
      </c>
      <c r="K5171" s="1" t="s">
        <v>295</v>
      </c>
    </row>
    <row r="5172">
      <c r="A5172" s="1" t="s">
        <v>21255</v>
      </c>
      <c r="B5172" s="1" t="s">
        <v>19402</v>
      </c>
      <c r="C5172" s="1">
        <v>2012.0</v>
      </c>
      <c r="D5172" s="2">
        <v>41038.0</v>
      </c>
      <c r="F5172" s="1" t="s">
        <v>21256</v>
      </c>
      <c r="H5172" s="3">
        <v>15.0</v>
      </c>
      <c r="I5172" s="4" t="s">
        <v>21257</v>
      </c>
      <c r="J5172" s="1" t="s">
        <v>21258</v>
      </c>
      <c r="K5172" s="1" t="s">
        <v>16</v>
      </c>
    </row>
    <row r="5173">
      <c r="A5173" s="1" t="s">
        <v>21259</v>
      </c>
      <c r="B5173" s="1" t="s">
        <v>21260</v>
      </c>
      <c r="C5173" s="1">
        <v>2012.0</v>
      </c>
      <c r="D5173" s="2">
        <v>41036.0</v>
      </c>
      <c r="F5173" s="1" t="s">
        <v>21256</v>
      </c>
      <c r="H5173" s="3">
        <v>16.0</v>
      </c>
      <c r="I5173" s="4" t="s">
        <v>21261</v>
      </c>
      <c r="J5173" s="1" t="s">
        <v>21262</v>
      </c>
      <c r="K5173" s="1" t="s">
        <v>443</v>
      </c>
    </row>
    <row r="5174">
      <c r="A5174" s="1" t="s">
        <v>21263</v>
      </c>
      <c r="B5174" s="1" t="s">
        <v>21264</v>
      </c>
      <c r="C5174" s="1">
        <v>2012.0</v>
      </c>
      <c r="D5174" s="2">
        <v>41030.0</v>
      </c>
      <c r="F5174" s="1" t="s">
        <v>21265</v>
      </c>
      <c r="H5174" s="3">
        <v>38.0</v>
      </c>
      <c r="I5174" s="4" t="s">
        <v>21266</v>
      </c>
      <c r="J5174" s="1" t="s">
        <v>21267</v>
      </c>
      <c r="K5174" s="1" t="s">
        <v>1423</v>
      </c>
    </row>
    <row r="5175">
      <c r="A5175" s="1" t="s">
        <v>21268</v>
      </c>
      <c r="B5175" s="1" t="s">
        <v>21269</v>
      </c>
      <c r="C5175" s="1">
        <v>2012.0</v>
      </c>
      <c r="D5175" s="2">
        <v>41030.0</v>
      </c>
      <c r="F5175" s="1" t="s">
        <v>10930</v>
      </c>
      <c r="H5175" s="3">
        <v>5.0</v>
      </c>
      <c r="I5175" s="4" t="s">
        <v>21270</v>
      </c>
      <c r="J5175" s="1" t="s">
        <v>21271</v>
      </c>
      <c r="K5175" s="1" t="s">
        <v>16</v>
      </c>
    </row>
    <row r="5176">
      <c r="A5176" s="1" t="s">
        <v>21272</v>
      </c>
      <c r="B5176" s="1" t="s">
        <v>21273</v>
      </c>
      <c r="C5176" s="1">
        <v>2012.0</v>
      </c>
      <c r="D5176" s="2">
        <v>41025.0</v>
      </c>
      <c r="F5176" s="1" t="s">
        <v>21274</v>
      </c>
      <c r="H5176" s="3">
        <v>16.0</v>
      </c>
      <c r="I5176" s="4" t="s">
        <v>21275</v>
      </c>
      <c r="J5176" s="1" t="s">
        <v>21276</v>
      </c>
      <c r="K5176" s="1" t="s">
        <v>383</v>
      </c>
    </row>
    <row r="5177">
      <c r="A5177" s="1" t="s">
        <v>21277</v>
      </c>
      <c r="B5177" s="1" t="s">
        <v>21278</v>
      </c>
      <c r="C5177" s="1">
        <v>2012.0</v>
      </c>
      <c r="D5177" s="2">
        <v>41024.0</v>
      </c>
      <c r="F5177" s="1" t="s">
        <v>21279</v>
      </c>
      <c r="H5177" s="3">
        <v>12.0</v>
      </c>
      <c r="I5177" s="4" t="s">
        <v>21280</v>
      </c>
      <c r="J5177" s="1" t="s">
        <v>21281</v>
      </c>
      <c r="K5177" s="1" t="s">
        <v>28</v>
      </c>
    </row>
    <row r="5178">
      <c r="A5178" s="1" t="s">
        <v>21282</v>
      </c>
      <c r="B5178" s="1" t="s">
        <v>21283</v>
      </c>
      <c r="C5178" s="1">
        <v>2012.0</v>
      </c>
      <c r="D5178" s="2">
        <v>41024.0</v>
      </c>
      <c r="F5178" s="1" t="s">
        <v>3207</v>
      </c>
      <c r="H5178" s="3">
        <v>31.0</v>
      </c>
      <c r="I5178" s="4" t="s">
        <v>21284</v>
      </c>
      <c r="J5178" s="1" t="s">
        <v>21285</v>
      </c>
      <c r="K5178" s="1" t="s">
        <v>323</v>
      </c>
    </row>
    <row r="5179">
      <c r="A5179" s="1" t="s">
        <v>21286</v>
      </c>
      <c r="B5179" s="1" t="s">
        <v>21287</v>
      </c>
      <c r="C5179" s="1">
        <v>2012.0</v>
      </c>
      <c r="D5179" s="2">
        <v>41019.0</v>
      </c>
      <c r="F5179" s="1" t="s">
        <v>298</v>
      </c>
      <c r="H5179" s="3">
        <v>7.0</v>
      </c>
      <c r="I5179" s="4" t="s">
        <v>21288</v>
      </c>
      <c r="J5179" s="1" t="s">
        <v>21289</v>
      </c>
      <c r="K5179" s="1" t="s">
        <v>492</v>
      </c>
    </row>
    <row r="5180">
      <c r="A5180" s="1" t="s">
        <v>21290</v>
      </c>
      <c r="B5180" s="1" t="s">
        <v>20120</v>
      </c>
      <c r="C5180" s="1">
        <v>2012.0</v>
      </c>
      <c r="D5180" s="2">
        <v>41019.0</v>
      </c>
      <c r="F5180" s="1" t="s">
        <v>142</v>
      </c>
      <c r="H5180" s="3">
        <v>19.0</v>
      </c>
      <c r="I5180" s="4" t="s">
        <v>21291</v>
      </c>
      <c r="J5180" s="1" t="s">
        <v>21292</v>
      </c>
      <c r="K5180" s="1" t="s">
        <v>16</v>
      </c>
    </row>
    <row r="5181">
      <c r="A5181" s="1" t="s">
        <v>21293</v>
      </c>
      <c r="B5181" s="1" t="s">
        <v>21294</v>
      </c>
      <c r="C5181" s="1">
        <v>2012.0</v>
      </c>
      <c r="D5181" s="2">
        <v>41011.0</v>
      </c>
      <c r="F5181" s="1" t="s">
        <v>6907</v>
      </c>
      <c r="H5181" s="3">
        <v>90.0</v>
      </c>
      <c r="I5181" s="4" t="s">
        <v>21295</v>
      </c>
      <c r="J5181" s="1" t="s">
        <v>21296</v>
      </c>
      <c r="K5181" s="1" t="s">
        <v>28</v>
      </c>
    </row>
    <row r="5182">
      <c r="A5182" s="1" t="s">
        <v>21297</v>
      </c>
      <c r="B5182" s="1" t="s">
        <v>20836</v>
      </c>
      <c r="C5182" s="1">
        <v>2012.0</v>
      </c>
      <c r="D5182" s="2">
        <v>41003.0</v>
      </c>
      <c r="F5182" s="1" t="s">
        <v>440</v>
      </c>
      <c r="H5182" s="3">
        <v>50.0</v>
      </c>
      <c r="I5182" s="4" t="s">
        <v>21298</v>
      </c>
      <c r="J5182" s="1" t="s">
        <v>21299</v>
      </c>
      <c r="K5182" s="1" t="s">
        <v>418</v>
      </c>
    </row>
    <row r="5183">
      <c r="A5183" s="1" t="s">
        <v>21300</v>
      </c>
      <c r="B5183" s="1" t="s">
        <v>21301</v>
      </c>
      <c r="C5183" s="1">
        <v>2012.0</v>
      </c>
      <c r="D5183" s="2">
        <v>41003.0</v>
      </c>
      <c r="F5183" s="1" t="s">
        <v>2634</v>
      </c>
      <c r="H5183" s="3">
        <v>59.0</v>
      </c>
      <c r="I5183" s="4" t="s">
        <v>21302</v>
      </c>
      <c r="J5183" s="1" t="s">
        <v>21303</v>
      </c>
      <c r="K5183" s="1" t="s">
        <v>383</v>
      </c>
    </row>
    <row r="5184">
      <c r="A5184" s="1" t="s">
        <v>21304</v>
      </c>
      <c r="B5184" s="1" t="s">
        <v>21305</v>
      </c>
      <c r="C5184" s="1">
        <v>2012.0</v>
      </c>
      <c r="D5184" s="2">
        <v>41000.0</v>
      </c>
      <c r="F5184" s="1" t="s">
        <v>21306</v>
      </c>
      <c r="H5184" s="3">
        <v>27.0</v>
      </c>
      <c r="I5184" s="4" t="s">
        <v>21307</v>
      </c>
      <c r="J5184" s="1" t="s">
        <v>21308</v>
      </c>
      <c r="K5184" s="1" t="s">
        <v>28</v>
      </c>
    </row>
    <row r="5185">
      <c r="A5185" s="1" t="s">
        <v>21309</v>
      </c>
      <c r="B5185" s="1" t="s">
        <v>21310</v>
      </c>
      <c r="C5185" s="1">
        <v>2012.0</v>
      </c>
      <c r="D5185" s="2">
        <v>41000.0</v>
      </c>
      <c r="F5185" s="1" t="s">
        <v>12651</v>
      </c>
      <c r="H5185" s="3">
        <v>4.0</v>
      </c>
      <c r="I5185" s="4" t="s">
        <v>21311</v>
      </c>
      <c r="J5185" s="1" t="s">
        <v>21312</v>
      </c>
      <c r="K5185" s="1" t="s">
        <v>323</v>
      </c>
    </row>
    <row r="5186">
      <c r="A5186" s="1" t="s">
        <v>21313</v>
      </c>
      <c r="B5186" s="1" t="s">
        <v>21314</v>
      </c>
      <c r="C5186" s="1">
        <v>2012.0</v>
      </c>
      <c r="D5186" s="2">
        <v>41000.0</v>
      </c>
      <c r="F5186" s="1" t="s">
        <v>21315</v>
      </c>
      <c r="H5186" s="3">
        <v>0.0</v>
      </c>
      <c r="I5186" s="4" t="s">
        <v>21316</v>
      </c>
      <c r="J5186" s="1"/>
      <c r="K5186" s="1" t="s">
        <v>16</v>
      </c>
    </row>
    <row r="5187">
      <c r="A5187" s="1" t="s">
        <v>21317</v>
      </c>
      <c r="B5187" s="1" t="s">
        <v>21318</v>
      </c>
      <c r="C5187" s="1">
        <v>2012.0</v>
      </c>
      <c r="D5187" s="2">
        <v>41000.0</v>
      </c>
      <c r="F5187" s="1" t="s">
        <v>16942</v>
      </c>
      <c r="H5187" s="3">
        <v>14.0</v>
      </c>
      <c r="I5187" s="4" t="s">
        <v>21319</v>
      </c>
      <c r="J5187" s="1" t="s">
        <v>21320</v>
      </c>
      <c r="K5187" s="1" t="s">
        <v>16</v>
      </c>
    </row>
    <row r="5188">
      <c r="A5188" s="1" t="s">
        <v>21321</v>
      </c>
      <c r="B5188" s="1" t="s">
        <v>21322</v>
      </c>
      <c r="C5188" s="1">
        <v>2012.0</v>
      </c>
      <c r="D5188" s="2">
        <v>40996.0</v>
      </c>
      <c r="F5188" s="1" t="s">
        <v>808</v>
      </c>
      <c r="H5188" s="3">
        <v>6.0</v>
      </c>
      <c r="I5188" s="4" t="s">
        <v>21323</v>
      </c>
      <c r="J5188" s="1" t="s">
        <v>21324</v>
      </c>
      <c r="K5188" s="1" t="s">
        <v>16</v>
      </c>
    </row>
    <row r="5189">
      <c r="A5189" s="1" t="s">
        <v>21325</v>
      </c>
      <c r="B5189" s="1" t="s">
        <v>21326</v>
      </c>
      <c r="C5189" s="1">
        <v>2012.0</v>
      </c>
      <c r="D5189" s="2">
        <v>40995.0</v>
      </c>
      <c r="F5189" s="1" t="s">
        <v>208</v>
      </c>
      <c r="H5189" s="3">
        <v>114.0</v>
      </c>
      <c r="I5189" s="4" t="s">
        <v>21327</v>
      </c>
      <c r="J5189" s="1" t="s">
        <v>21328</v>
      </c>
      <c r="K5189" s="1" t="s">
        <v>383</v>
      </c>
    </row>
    <row r="5190">
      <c r="A5190" s="1" t="s">
        <v>21329</v>
      </c>
      <c r="B5190" s="1" t="s">
        <v>21330</v>
      </c>
      <c r="C5190" s="1">
        <v>2012.0</v>
      </c>
      <c r="D5190" s="2">
        <v>40989.0</v>
      </c>
      <c r="F5190" s="1" t="s">
        <v>676</v>
      </c>
      <c r="H5190" s="3">
        <v>47.0</v>
      </c>
      <c r="I5190" s="4" t="s">
        <v>21331</v>
      </c>
      <c r="J5190" s="1" t="s">
        <v>21332</v>
      </c>
      <c r="K5190" s="1" t="s">
        <v>1423</v>
      </c>
    </row>
    <row r="5191">
      <c r="A5191" s="1" t="s">
        <v>21333</v>
      </c>
      <c r="B5191" s="1" t="s">
        <v>21334</v>
      </c>
      <c r="C5191" s="1">
        <v>2012.0</v>
      </c>
      <c r="D5191" s="2">
        <v>40989.0</v>
      </c>
      <c r="F5191" s="1" t="s">
        <v>31</v>
      </c>
      <c r="H5191" s="3">
        <v>72.0</v>
      </c>
      <c r="I5191" s="4" t="s">
        <v>21335</v>
      </c>
      <c r="J5191" s="1" t="s">
        <v>21336</v>
      </c>
      <c r="K5191" s="1" t="s">
        <v>28</v>
      </c>
    </row>
    <row r="5192">
      <c r="A5192" s="1" t="s">
        <v>21337</v>
      </c>
      <c r="B5192" s="1" t="s">
        <v>21338</v>
      </c>
      <c r="C5192" s="1">
        <v>2012.0</v>
      </c>
      <c r="D5192" s="2">
        <v>40988.0</v>
      </c>
      <c r="F5192" s="1" t="s">
        <v>21339</v>
      </c>
      <c r="H5192" s="3">
        <v>5.0</v>
      </c>
      <c r="I5192" s="4" t="s">
        <v>21340</v>
      </c>
      <c r="J5192" s="1" t="s">
        <v>21341</v>
      </c>
      <c r="K5192" s="1" t="s">
        <v>295</v>
      </c>
    </row>
    <row r="5193">
      <c r="A5193" s="1" t="s">
        <v>21342</v>
      </c>
      <c r="B5193" s="1" t="s">
        <v>21343</v>
      </c>
      <c r="C5193" s="1">
        <v>2012.0</v>
      </c>
      <c r="D5193" s="2">
        <v>40984.0</v>
      </c>
      <c r="F5193" s="1" t="s">
        <v>1190</v>
      </c>
      <c r="H5193" s="3">
        <v>51.0</v>
      </c>
      <c r="I5193" s="4" t="s">
        <v>21344</v>
      </c>
      <c r="J5193" s="1" t="s">
        <v>21345</v>
      </c>
      <c r="K5193" s="1" t="s">
        <v>28</v>
      </c>
    </row>
    <row r="5194">
      <c r="A5194" s="1" t="s">
        <v>21346</v>
      </c>
      <c r="B5194" s="1" t="s">
        <v>21347</v>
      </c>
      <c r="C5194" s="1">
        <v>2012.0</v>
      </c>
      <c r="D5194" s="2">
        <v>40983.0</v>
      </c>
      <c r="F5194" s="1" t="s">
        <v>25</v>
      </c>
      <c r="H5194" s="3">
        <v>20.0</v>
      </c>
      <c r="I5194" s="4" t="s">
        <v>21348</v>
      </c>
      <c r="J5194" s="1" t="s">
        <v>21349</v>
      </c>
      <c r="K5194" s="1" t="s">
        <v>323</v>
      </c>
    </row>
    <row r="5195">
      <c r="A5195" s="1" t="s">
        <v>21350</v>
      </c>
      <c r="B5195" s="1" t="s">
        <v>21351</v>
      </c>
      <c r="C5195" s="1">
        <v>2012.0</v>
      </c>
      <c r="D5195" s="2">
        <v>40983.0</v>
      </c>
      <c r="F5195" s="1" t="s">
        <v>2515</v>
      </c>
      <c r="H5195" s="3">
        <v>10.0</v>
      </c>
      <c r="I5195" s="4" t="s">
        <v>21352</v>
      </c>
      <c r="J5195" s="1" t="s">
        <v>21353</v>
      </c>
      <c r="K5195" s="1" t="s">
        <v>295</v>
      </c>
    </row>
    <row r="5196">
      <c r="A5196" s="1" t="s">
        <v>21354</v>
      </c>
      <c r="B5196" s="1" t="s">
        <v>17675</v>
      </c>
      <c r="C5196" s="1">
        <v>2012.0</v>
      </c>
      <c r="D5196" s="2">
        <v>40982.0</v>
      </c>
      <c r="F5196" s="1" t="s">
        <v>7299</v>
      </c>
      <c r="H5196" s="3">
        <v>154.0</v>
      </c>
      <c r="I5196" s="4" t="s">
        <v>21355</v>
      </c>
      <c r="J5196" s="1" t="s">
        <v>21356</v>
      </c>
      <c r="K5196" s="1" t="s">
        <v>28</v>
      </c>
    </row>
    <row r="5197">
      <c r="A5197" s="1" t="s">
        <v>21357</v>
      </c>
      <c r="B5197" s="1" t="s">
        <v>21358</v>
      </c>
      <c r="C5197" s="1">
        <v>2012.0</v>
      </c>
      <c r="D5197" s="2">
        <v>40977.0</v>
      </c>
      <c r="F5197" s="1" t="s">
        <v>14908</v>
      </c>
      <c r="H5197" s="3">
        <v>57.0</v>
      </c>
      <c r="I5197" s="4" t="s">
        <v>21359</v>
      </c>
      <c r="J5197" s="1" t="s">
        <v>21360</v>
      </c>
      <c r="K5197" s="1" t="s">
        <v>323</v>
      </c>
    </row>
    <row r="5198">
      <c r="A5198" s="1" t="s">
        <v>21361</v>
      </c>
      <c r="B5198" s="1" t="s">
        <v>21362</v>
      </c>
      <c r="C5198" s="1">
        <v>2012.0</v>
      </c>
      <c r="D5198" s="2">
        <v>40975.0</v>
      </c>
      <c r="F5198" s="1" t="s">
        <v>489</v>
      </c>
      <c r="H5198" s="3">
        <v>612.0</v>
      </c>
      <c r="I5198" s="4" t="s">
        <v>21363</v>
      </c>
      <c r="J5198" s="1" t="s">
        <v>21364</v>
      </c>
      <c r="K5198" s="1" t="s">
        <v>443</v>
      </c>
    </row>
    <row r="5199">
      <c r="A5199" s="1" t="s">
        <v>21365</v>
      </c>
      <c r="B5199" s="1" t="s">
        <v>21366</v>
      </c>
      <c r="C5199" s="1">
        <v>2012.0</v>
      </c>
      <c r="D5199" s="2">
        <v>40975.0</v>
      </c>
      <c r="F5199" s="1" t="s">
        <v>489</v>
      </c>
      <c r="H5199" s="3">
        <v>782.0</v>
      </c>
      <c r="I5199" s="4" t="s">
        <v>21367</v>
      </c>
      <c r="J5199" s="1" t="s">
        <v>21368</v>
      </c>
      <c r="K5199" s="1" t="s">
        <v>443</v>
      </c>
    </row>
    <row r="5200">
      <c r="A5200" s="1" t="s">
        <v>21369</v>
      </c>
      <c r="B5200" s="1" t="s">
        <v>21370</v>
      </c>
      <c r="C5200" s="1">
        <v>2012.0</v>
      </c>
      <c r="D5200" s="2">
        <v>40975.0</v>
      </c>
      <c r="F5200" s="1" t="s">
        <v>4980</v>
      </c>
      <c r="H5200" s="3">
        <v>8.0</v>
      </c>
      <c r="I5200" s="4" t="s">
        <v>21371</v>
      </c>
      <c r="J5200" s="1" t="s">
        <v>21372</v>
      </c>
      <c r="K5200" s="1" t="s">
        <v>16</v>
      </c>
    </row>
    <row r="5201">
      <c r="A5201" s="1" t="s">
        <v>21373</v>
      </c>
      <c r="B5201" s="1" t="s">
        <v>21374</v>
      </c>
      <c r="C5201" s="1">
        <v>2012.0</v>
      </c>
      <c r="D5201" s="2">
        <v>40969.0</v>
      </c>
      <c r="F5201" s="1" t="s">
        <v>21375</v>
      </c>
      <c r="H5201" s="3">
        <v>136.0</v>
      </c>
      <c r="I5201" s="4" t="s">
        <v>21376</v>
      </c>
      <c r="J5201" s="1" t="s">
        <v>21377</v>
      </c>
      <c r="K5201" s="1" t="s">
        <v>295</v>
      </c>
    </row>
    <row r="5202">
      <c r="A5202" s="1" t="s">
        <v>21378</v>
      </c>
      <c r="B5202" s="1" t="s">
        <v>21379</v>
      </c>
      <c r="C5202" s="1">
        <v>2012.0</v>
      </c>
      <c r="D5202" s="2">
        <v>40969.0</v>
      </c>
      <c r="F5202" s="1" t="s">
        <v>17070</v>
      </c>
      <c r="H5202" s="3">
        <v>343.0</v>
      </c>
      <c r="I5202" s="4" t="s">
        <v>21380</v>
      </c>
      <c r="J5202" s="1" t="s">
        <v>21381</v>
      </c>
      <c r="K5202" s="1" t="s">
        <v>28</v>
      </c>
    </row>
    <row r="5203">
      <c r="A5203" s="1" t="s">
        <v>21382</v>
      </c>
      <c r="B5203" s="1" t="s">
        <v>21383</v>
      </c>
      <c r="C5203" s="1">
        <v>2012.0</v>
      </c>
      <c r="D5203" s="2">
        <v>40969.0</v>
      </c>
      <c r="F5203" s="1" t="s">
        <v>4848</v>
      </c>
      <c r="H5203" s="3">
        <v>17.0</v>
      </c>
      <c r="I5203" s="4" t="s">
        <v>21384</v>
      </c>
      <c r="J5203" s="1" t="s">
        <v>21385</v>
      </c>
      <c r="K5203" s="1" t="s">
        <v>323</v>
      </c>
    </row>
    <row r="5204">
      <c r="A5204" s="1" t="s">
        <v>21386</v>
      </c>
      <c r="B5204" s="1" t="s">
        <v>21387</v>
      </c>
      <c r="C5204" s="1">
        <v>2012.0</v>
      </c>
      <c r="D5204" s="2">
        <v>40969.0</v>
      </c>
      <c r="F5204" s="1" t="s">
        <v>21388</v>
      </c>
      <c r="H5204" s="3">
        <v>3.0</v>
      </c>
      <c r="I5204" s="4" t="s">
        <v>21389</v>
      </c>
      <c r="J5204" s="1"/>
      <c r="K5204" s="1" t="s">
        <v>28</v>
      </c>
    </row>
    <row r="5205">
      <c r="A5205" s="1" t="s">
        <v>21390</v>
      </c>
      <c r="B5205" s="1" t="s">
        <v>21391</v>
      </c>
      <c r="C5205" s="1">
        <v>2012.0</v>
      </c>
      <c r="D5205" s="2">
        <v>40968.0</v>
      </c>
      <c r="F5205" s="1" t="s">
        <v>71</v>
      </c>
      <c r="H5205" s="3">
        <v>215.0</v>
      </c>
      <c r="I5205" s="4" t="s">
        <v>21392</v>
      </c>
      <c r="J5205" s="1" t="s">
        <v>21393</v>
      </c>
      <c r="K5205" s="1" t="s">
        <v>1423</v>
      </c>
    </row>
    <row r="5206">
      <c r="A5206" s="1" t="s">
        <v>21394</v>
      </c>
      <c r="B5206" s="1" t="s">
        <v>21395</v>
      </c>
      <c r="C5206" s="1">
        <v>2012.0</v>
      </c>
      <c r="D5206" s="2">
        <v>40967.0</v>
      </c>
      <c r="F5206" s="1" t="s">
        <v>1190</v>
      </c>
      <c r="H5206" s="3">
        <v>2.0</v>
      </c>
      <c r="I5206" s="4" t="s">
        <v>21396</v>
      </c>
      <c r="J5206" s="1" t="s">
        <v>21397</v>
      </c>
      <c r="K5206" s="1" t="s">
        <v>323</v>
      </c>
    </row>
    <row r="5207">
      <c r="A5207" s="1" t="s">
        <v>21398</v>
      </c>
      <c r="B5207" s="1" t="s">
        <v>21399</v>
      </c>
      <c r="C5207" s="1">
        <v>2012.0</v>
      </c>
      <c r="D5207" s="2">
        <v>40966.0</v>
      </c>
      <c r="F5207" s="1" t="s">
        <v>16029</v>
      </c>
      <c r="H5207" s="3">
        <v>276.0</v>
      </c>
      <c r="I5207" s="4" t="s">
        <v>21400</v>
      </c>
      <c r="J5207" s="1"/>
      <c r="K5207" s="1" t="s">
        <v>28</v>
      </c>
    </row>
    <row r="5208">
      <c r="A5208" s="1" t="s">
        <v>21401</v>
      </c>
      <c r="B5208" s="1" t="s">
        <v>21402</v>
      </c>
      <c r="C5208" s="1">
        <v>2012.0</v>
      </c>
      <c r="D5208" s="2">
        <v>40965.0</v>
      </c>
      <c r="F5208" s="1" t="s">
        <v>8612</v>
      </c>
      <c r="H5208" s="3">
        <v>17.0</v>
      </c>
      <c r="I5208" s="4" t="s">
        <v>21403</v>
      </c>
      <c r="J5208" s="1" t="s">
        <v>21404</v>
      </c>
      <c r="K5208" s="1" t="s">
        <v>295</v>
      </c>
    </row>
    <row r="5209">
      <c r="A5209" s="1" t="s">
        <v>21405</v>
      </c>
      <c r="B5209" s="1" t="s">
        <v>21406</v>
      </c>
      <c r="C5209" s="1">
        <v>2012.0</v>
      </c>
      <c r="D5209" s="2">
        <v>40945.0</v>
      </c>
      <c r="F5209" s="1" t="s">
        <v>21407</v>
      </c>
      <c r="H5209" s="3">
        <v>109.0</v>
      </c>
      <c r="I5209" s="4" t="s">
        <v>21408</v>
      </c>
      <c r="J5209" s="1" t="s">
        <v>21409</v>
      </c>
      <c r="K5209" s="1" t="s">
        <v>323</v>
      </c>
    </row>
    <row r="5210">
      <c r="A5210" s="1" t="s">
        <v>21410</v>
      </c>
      <c r="B5210" s="1" t="s">
        <v>21411</v>
      </c>
      <c r="C5210" s="1">
        <v>2012.0</v>
      </c>
      <c r="D5210" s="2">
        <v>40935.0</v>
      </c>
      <c r="F5210" s="1" t="s">
        <v>21412</v>
      </c>
      <c r="H5210" s="3">
        <v>18.0</v>
      </c>
      <c r="I5210" s="4" t="s">
        <v>21413</v>
      </c>
      <c r="J5210" s="1" t="s">
        <v>21414</v>
      </c>
      <c r="K5210" s="1" t="s">
        <v>295</v>
      </c>
    </row>
    <row r="5211">
      <c r="A5211" s="1" t="s">
        <v>21415</v>
      </c>
      <c r="B5211" s="1" t="s">
        <v>21416</v>
      </c>
      <c r="C5211" s="1">
        <v>2012.0</v>
      </c>
      <c r="D5211" s="2">
        <v>40920.0</v>
      </c>
      <c r="F5211" s="1" t="s">
        <v>8612</v>
      </c>
      <c r="H5211" s="3">
        <v>42.0</v>
      </c>
      <c r="I5211" s="4" t="s">
        <v>21417</v>
      </c>
      <c r="J5211" s="1" t="s">
        <v>21418</v>
      </c>
      <c r="K5211" s="1" t="s">
        <v>383</v>
      </c>
    </row>
    <row r="5212">
      <c r="A5212" s="1" t="s">
        <v>21419</v>
      </c>
      <c r="B5212" s="1" t="s">
        <v>21420</v>
      </c>
      <c r="C5212" s="1">
        <v>2012.0</v>
      </c>
      <c r="D5212" s="2">
        <v>40912.0</v>
      </c>
      <c r="F5212" s="1" t="s">
        <v>656</v>
      </c>
      <c r="H5212" s="3">
        <v>15.0</v>
      </c>
      <c r="I5212" s="4" t="s">
        <v>21421</v>
      </c>
      <c r="J5212" s="1" t="s">
        <v>21422</v>
      </c>
      <c r="K5212" s="1" t="s">
        <v>413</v>
      </c>
    </row>
    <row r="5213">
      <c r="A5213" s="1" t="s">
        <v>21423</v>
      </c>
      <c r="B5213" s="1" t="s">
        <v>21424</v>
      </c>
      <c r="C5213" s="1">
        <v>2012.0</v>
      </c>
      <c r="D5213" s="2">
        <v>40910.0</v>
      </c>
      <c r="F5213" s="1" t="s">
        <v>208</v>
      </c>
      <c r="H5213" s="3">
        <v>12.0</v>
      </c>
      <c r="I5213" s="4" t="s">
        <v>21425</v>
      </c>
      <c r="J5213" s="1" t="s">
        <v>21426</v>
      </c>
      <c r="K5213" s="1" t="s">
        <v>443</v>
      </c>
    </row>
    <row r="5214">
      <c r="A5214" s="1" t="s">
        <v>21427</v>
      </c>
      <c r="B5214" s="1" t="s">
        <v>21428</v>
      </c>
      <c r="C5214" s="1">
        <v>2012.0</v>
      </c>
      <c r="D5214" s="2">
        <v>40909.0</v>
      </c>
      <c r="F5214" s="1" t="s">
        <v>5834</v>
      </c>
      <c r="H5214" s="3">
        <v>8.0</v>
      </c>
      <c r="I5214" s="4" t="s">
        <v>21429</v>
      </c>
      <c r="J5214" s="1" t="s">
        <v>21430</v>
      </c>
      <c r="K5214" s="1" t="s">
        <v>295</v>
      </c>
    </row>
    <row r="5215">
      <c r="A5215" s="1" t="s">
        <v>21431</v>
      </c>
      <c r="B5215" s="1" t="s">
        <v>21432</v>
      </c>
      <c r="C5215" s="1">
        <v>2012.0</v>
      </c>
      <c r="D5215" s="2">
        <v>40909.0</v>
      </c>
      <c r="F5215" s="1" t="s">
        <v>5834</v>
      </c>
      <c r="H5215" s="3">
        <v>41.0</v>
      </c>
      <c r="I5215" s="4" t="s">
        <v>21433</v>
      </c>
      <c r="J5215" s="1" t="s">
        <v>21434</v>
      </c>
      <c r="K5215" s="1" t="s">
        <v>28</v>
      </c>
    </row>
    <row r="5216">
      <c r="A5216" s="1" t="s">
        <v>21435</v>
      </c>
      <c r="B5216" s="1" t="s">
        <v>21436</v>
      </c>
      <c r="C5216" s="1">
        <v>2012.0</v>
      </c>
      <c r="D5216" s="2">
        <v>40909.0</v>
      </c>
      <c r="F5216" s="1" t="s">
        <v>21437</v>
      </c>
      <c r="H5216" s="3">
        <v>10.0</v>
      </c>
      <c r="I5216" s="4" t="s">
        <v>21438</v>
      </c>
      <c r="J5216" s="1" t="s">
        <v>21439</v>
      </c>
      <c r="K5216" s="1" t="s">
        <v>383</v>
      </c>
    </row>
    <row r="5217">
      <c r="A5217" s="1" t="s">
        <v>21440</v>
      </c>
      <c r="B5217" s="1" t="s">
        <v>21441</v>
      </c>
      <c r="C5217" s="1">
        <v>2012.0</v>
      </c>
      <c r="D5217" s="2">
        <v>40909.0</v>
      </c>
      <c r="F5217" s="1" t="s">
        <v>1050</v>
      </c>
      <c r="H5217" s="3">
        <v>1.0</v>
      </c>
      <c r="I5217" s="4" t="s">
        <v>21442</v>
      </c>
      <c r="J5217" s="1" t="s">
        <v>21443</v>
      </c>
      <c r="K5217" s="1" t="s">
        <v>295</v>
      </c>
    </row>
    <row r="5218">
      <c r="A5218" s="1" t="s">
        <v>21444</v>
      </c>
      <c r="B5218" s="1" t="s">
        <v>21445</v>
      </c>
      <c r="C5218" s="1">
        <v>2012.0</v>
      </c>
      <c r="D5218" s="2">
        <v>40909.0</v>
      </c>
      <c r="F5218" s="1" t="s">
        <v>12651</v>
      </c>
      <c r="H5218" s="3">
        <v>3.0</v>
      </c>
      <c r="I5218" s="4" t="s">
        <v>21446</v>
      </c>
      <c r="J5218" s="1" t="s">
        <v>21447</v>
      </c>
      <c r="K5218" s="1" t="s">
        <v>323</v>
      </c>
    </row>
    <row r="5219">
      <c r="A5219" s="1" t="s">
        <v>21448</v>
      </c>
      <c r="B5219" s="1" t="s">
        <v>21449</v>
      </c>
      <c r="C5219" s="1">
        <v>2012.0</v>
      </c>
      <c r="D5219" s="2">
        <v>40909.0</v>
      </c>
      <c r="F5219" s="1" t="s">
        <v>1050</v>
      </c>
      <c r="H5219" s="3">
        <v>0.0</v>
      </c>
      <c r="I5219" s="4" t="s">
        <v>21450</v>
      </c>
      <c r="J5219" s="1" t="s">
        <v>21451</v>
      </c>
      <c r="K5219" s="1" t="s">
        <v>28</v>
      </c>
    </row>
    <row r="5220">
      <c r="A5220" s="1" t="s">
        <v>21452</v>
      </c>
      <c r="B5220" s="1" t="s">
        <v>21453</v>
      </c>
      <c r="C5220" s="1">
        <v>2012.0</v>
      </c>
      <c r="D5220" s="2">
        <v>40909.0</v>
      </c>
      <c r="F5220" s="1" t="s">
        <v>1050</v>
      </c>
      <c r="H5220" s="3">
        <v>2.0</v>
      </c>
      <c r="I5220" s="4" t="s">
        <v>21454</v>
      </c>
      <c r="J5220" s="1" t="s">
        <v>21455</v>
      </c>
      <c r="K5220" s="1" t="s">
        <v>68</v>
      </c>
    </row>
    <row r="5221">
      <c r="A5221" s="1" t="s">
        <v>21456</v>
      </c>
      <c r="B5221" s="1" t="s">
        <v>21457</v>
      </c>
      <c r="C5221" s="1">
        <v>2012.0</v>
      </c>
      <c r="D5221" s="2">
        <v>40909.0</v>
      </c>
      <c r="F5221" s="1" t="s">
        <v>1050</v>
      </c>
      <c r="H5221" s="3">
        <v>2.0</v>
      </c>
      <c r="I5221" s="4" t="s">
        <v>21458</v>
      </c>
      <c r="J5221" s="1" t="s">
        <v>21459</v>
      </c>
      <c r="K5221" s="1" t="s">
        <v>323</v>
      </c>
    </row>
    <row r="5222">
      <c r="A5222" s="1" t="s">
        <v>21460</v>
      </c>
      <c r="B5222" s="1" t="s">
        <v>21461</v>
      </c>
      <c r="C5222" s="1">
        <v>2012.0</v>
      </c>
      <c r="D5222" s="2">
        <v>40909.0</v>
      </c>
      <c r="F5222" s="1" t="s">
        <v>1050</v>
      </c>
      <c r="H5222" s="3">
        <v>0.0</v>
      </c>
      <c r="I5222" s="4" t="s">
        <v>21462</v>
      </c>
      <c r="J5222" s="1" t="s">
        <v>21463</v>
      </c>
      <c r="K5222" s="1" t="s">
        <v>16</v>
      </c>
    </row>
    <row r="5223">
      <c r="A5223" s="1" t="s">
        <v>21464</v>
      </c>
      <c r="B5223" s="1" t="s">
        <v>21461</v>
      </c>
      <c r="C5223" s="1">
        <v>2012.0</v>
      </c>
      <c r="D5223" s="2">
        <v>40909.0</v>
      </c>
      <c r="F5223" s="1" t="s">
        <v>1050</v>
      </c>
      <c r="H5223" s="3">
        <v>0.0</v>
      </c>
      <c r="I5223" s="4" t="s">
        <v>21465</v>
      </c>
      <c r="J5223" s="1" t="s">
        <v>21466</v>
      </c>
      <c r="K5223" s="1" t="s">
        <v>16</v>
      </c>
    </row>
    <row r="5224">
      <c r="A5224" s="1" t="s">
        <v>21467</v>
      </c>
      <c r="B5224" s="1" t="s">
        <v>21468</v>
      </c>
      <c r="C5224" s="1">
        <v>2012.0</v>
      </c>
      <c r="D5224" s="2">
        <v>40909.0</v>
      </c>
      <c r="F5224" s="1" t="s">
        <v>1050</v>
      </c>
      <c r="H5224" s="3">
        <v>3.0</v>
      </c>
      <c r="I5224" s="4" t="s">
        <v>21469</v>
      </c>
      <c r="J5224" s="1" t="s">
        <v>21470</v>
      </c>
      <c r="K5224" s="1" t="s">
        <v>16</v>
      </c>
    </row>
    <row r="5225">
      <c r="A5225" s="1" t="s">
        <v>21471</v>
      </c>
      <c r="B5225" s="1" t="s">
        <v>21472</v>
      </c>
      <c r="C5225" s="1">
        <v>2011.0</v>
      </c>
      <c r="D5225" s="2">
        <v>40903.0</v>
      </c>
      <c r="F5225" s="1" t="s">
        <v>6074</v>
      </c>
      <c r="H5225" s="3">
        <v>41.0</v>
      </c>
      <c r="I5225" s="4" t="s">
        <v>21473</v>
      </c>
      <c r="J5225" s="1" t="s">
        <v>21474</v>
      </c>
      <c r="K5225" s="1" t="s">
        <v>443</v>
      </c>
    </row>
    <row r="5226">
      <c r="A5226" s="1" t="s">
        <v>21475</v>
      </c>
      <c r="B5226" s="1" t="s">
        <v>21476</v>
      </c>
      <c r="C5226" s="1">
        <v>2011.0</v>
      </c>
      <c r="D5226" s="2">
        <v>40900.0</v>
      </c>
      <c r="F5226" s="1" t="s">
        <v>25</v>
      </c>
      <c r="H5226" s="3">
        <v>290.0</v>
      </c>
      <c r="I5226" s="4" t="s">
        <v>21477</v>
      </c>
      <c r="J5226" s="1" t="s">
        <v>21478</v>
      </c>
      <c r="K5226" s="1" t="s">
        <v>28</v>
      </c>
    </row>
    <row r="5227">
      <c r="A5227" s="1" t="s">
        <v>21479</v>
      </c>
      <c r="B5227" s="1" t="s">
        <v>21480</v>
      </c>
      <c r="C5227" s="1">
        <v>2011.0</v>
      </c>
      <c r="D5227" s="2">
        <v>40895.0</v>
      </c>
      <c r="F5227" s="1" t="s">
        <v>489</v>
      </c>
      <c r="H5227" s="3">
        <v>157.0</v>
      </c>
      <c r="I5227" s="4" t="s">
        <v>21481</v>
      </c>
      <c r="J5227" s="1" t="s">
        <v>21482</v>
      </c>
      <c r="K5227" s="1" t="s">
        <v>1036</v>
      </c>
    </row>
    <row r="5228">
      <c r="A5228" s="1" t="s">
        <v>21483</v>
      </c>
      <c r="B5228" s="1" t="s">
        <v>21484</v>
      </c>
      <c r="C5228" s="1">
        <v>2011.0</v>
      </c>
      <c r="D5228" s="2">
        <v>40894.0</v>
      </c>
      <c r="F5228" s="1" t="s">
        <v>1040</v>
      </c>
      <c r="H5228" s="3">
        <v>22.0</v>
      </c>
      <c r="I5228" s="4" t="s">
        <v>21485</v>
      </c>
      <c r="J5228" s="1" t="s">
        <v>21486</v>
      </c>
      <c r="K5228" s="1" t="s">
        <v>383</v>
      </c>
    </row>
    <row r="5229">
      <c r="A5229" s="1" t="s">
        <v>21487</v>
      </c>
      <c r="B5229" s="1" t="s">
        <v>21488</v>
      </c>
      <c r="C5229" s="1">
        <v>2011.0</v>
      </c>
      <c r="D5229" s="2">
        <v>40890.0</v>
      </c>
      <c r="F5229" s="1" t="s">
        <v>4217</v>
      </c>
      <c r="H5229" s="3">
        <v>18.0</v>
      </c>
      <c r="I5229" s="4" t="s">
        <v>21489</v>
      </c>
      <c r="J5229" s="1" t="s">
        <v>21490</v>
      </c>
      <c r="K5229" s="1" t="s">
        <v>28</v>
      </c>
    </row>
    <row r="5230">
      <c r="A5230" s="1" t="s">
        <v>21491</v>
      </c>
      <c r="B5230" s="1" t="s">
        <v>21492</v>
      </c>
      <c r="C5230" s="1">
        <v>2011.0</v>
      </c>
      <c r="D5230" s="2">
        <v>40889.0</v>
      </c>
      <c r="F5230" s="1" t="s">
        <v>16029</v>
      </c>
      <c r="H5230" s="3">
        <v>347.0</v>
      </c>
      <c r="I5230" s="4" t="s">
        <v>21493</v>
      </c>
      <c r="J5230" s="1"/>
      <c r="K5230" s="1" t="s">
        <v>28</v>
      </c>
    </row>
    <row r="5231">
      <c r="A5231" s="1" t="s">
        <v>21494</v>
      </c>
      <c r="B5231" s="1" t="s">
        <v>21495</v>
      </c>
      <c r="C5231" s="1">
        <v>2011.0</v>
      </c>
      <c r="D5231" s="2">
        <v>40882.0</v>
      </c>
      <c r="F5231" s="1" t="s">
        <v>16029</v>
      </c>
      <c r="H5231" s="3">
        <v>2.0</v>
      </c>
      <c r="I5231" s="4" t="s">
        <v>21496</v>
      </c>
      <c r="J5231" s="1"/>
      <c r="K5231" s="1" t="s">
        <v>323</v>
      </c>
    </row>
    <row r="5232">
      <c r="A5232" s="1" t="s">
        <v>21497</v>
      </c>
      <c r="B5232" s="1" t="s">
        <v>21498</v>
      </c>
      <c r="C5232" s="1">
        <v>2011.0</v>
      </c>
      <c r="D5232" s="2">
        <v>40878.0</v>
      </c>
      <c r="F5232" s="1" t="s">
        <v>1562</v>
      </c>
      <c r="H5232" s="3">
        <v>137.0</v>
      </c>
      <c r="I5232" s="4" t="s">
        <v>21499</v>
      </c>
      <c r="J5232" s="1" t="s">
        <v>21500</v>
      </c>
      <c r="K5232" s="1" t="s">
        <v>28</v>
      </c>
    </row>
    <row r="5233">
      <c r="A5233" s="1" t="s">
        <v>21501</v>
      </c>
      <c r="B5233" s="1" t="s">
        <v>21502</v>
      </c>
      <c r="C5233" s="1">
        <v>2011.0</v>
      </c>
      <c r="D5233" s="2">
        <v>40872.0</v>
      </c>
      <c r="F5233" s="1" t="s">
        <v>3926</v>
      </c>
      <c r="H5233" s="3">
        <v>16.0</v>
      </c>
      <c r="I5233" s="4" t="s">
        <v>21503</v>
      </c>
      <c r="J5233" s="1" t="s">
        <v>21504</v>
      </c>
      <c r="K5233" s="1" t="s">
        <v>383</v>
      </c>
    </row>
    <row r="5234">
      <c r="A5234" s="1" t="s">
        <v>21505</v>
      </c>
      <c r="B5234" s="1" t="s">
        <v>21506</v>
      </c>
      <c r="C5234" s="1">
        <v>2011.0</v>
      </c>
      <c r="D5234" s="2">
        <v>40868.0</v>
      </c>
      <c r="F5234" s="1" t="s">
        <v>2007</v>
      </c>
      <c r="H5234" s="3">
        <v>145.0</v>
      </c>
      <c r="I5234" s="4" t="s">
        <v>21507</v>
      </c>
      <c r="J5234" s="1" t="s">
        <v>21508</v>
      </c>
      <c r="K5234" s="1" t="s">
        <v>329</v>
      </c>
    </row>
    <row r="5235">
      <c r="A5235" s="1" t="s">
        <v>21509</v>
      </c>
      <c r="B5235" s="1" t="s">
        <v>21510</v>
      </c>
      <c r="C5235" s="1">
        <v>2011.0</v>
      </c>
      <c r="D5235" s="2">
        <v>40864.0</v>
      </c>
      <c r="F5235" s="1" t="s">
        <v>489</v>
      </c>
      <c r="H5235" s="3">
        <v>292.0</v>
      </c>
      <c r="I5235" s="4" t="s">
        <v>21511</v>
      </c>
      <c r="J5235" s="1" t="s">
        <v>21512</v>
      </c>
      <c r="K5235" s="1" t="s">
        <v>383</v>
      </c>
    </row>
    <row r="5236">
      <c r="A5236" s="1" t="s">
        <v>21513</v>
      </c>
      <c r="B5236" s="1" t="s">
        <v>21514</v>
      </c>
      <c r="C5236" s="1">
        <v>2011.0</v>
      </c>
      <c r="D5236" s="2">
        <v>40863.0</v>
      </c>
      <c r="F5236" s="1" t="s">
        <v>8149</v>
      </c>
      <c r="H5236" s="3">
        <v>50.0</v>
      </c>
      <c r="I5236" s="4" t="s">
        <v>21515</v>
      </c>
      <c r="J5236" s="1" t="s">
        <v>21516</v>
      </c>
      <c r="K5236" s="1" t="s">
        <v>68</v>
      </c>
    </row>
    <row r="5237">
      <c r="A5237" s="1" t="s">
        <v>21517</v>
      </c>
      <c r="B5237" s="1" t="s">
        <v>21518</v>
      </c>
      <c r="C5237" s="1">
        <v>2011.0</v>
      </c>
      <c r="D5237" s="2">
        <v>40848.0</v>
      </c>
      <c r="F5237" s="1" t="s">
        <v>5554</v>
      </c>
      <c r="H5237" s="3">
        <v>21.0</v>
      </c>
      <c r="I5237" s="4" t="s">
        <v>21519</v>
      </c>
      <c r="J5237" s="1" t="s">
        <v>21520</v>
      </c>
      <c r="K5237" s="1" t="s">
        <v>383</v>
      </c>
    </row>
    <row r="5238">
      <c r="A5238" s="1" t="s">
        <v>21521</v>
      </c>
      <c r="B5238" s="1" t="s">
        <v>21522</v>
      </c>
      <c r="C5238" s="1">
        <v>2011.0</v>
      </c>
      <c r="D5238" s="2">
        <v>40848.0</v>
      </c>
      <c r="F5238" s="1" t="s">
        <v>1562</v>
      </c>
      <c r="H5238" s="3">
        <v>44.0</v>
      </c>
      <c r="I5238" s="4" t="s">
        <v>21523</v>
      </c>
      <c r="J5238" s="1" t="s">
        <v>21524</v>
      </c>
      <c r="K5238" s="1" t="s">
        <v>383</v>
      </c>
    </row>
    <row r="5239">
      <c r="A5239" s="1" t="s">
        <v>21525</v>
      </c>
      <c r="B5239" s="1" t="s">
        <v>21526</v>
      </c>
      <c r="C5239" s="1">
        <v>2011.0</v>
      </c>
      <c r="D5239" s="2">
        <v>40848.0</v>
      </c>
      <c r="F5239" s="1" t="s">
        <v>20734</v>
      </c>
      <c r="H5239" s="3">
        <v>36.0</v>
      </c>
      <c r="I5239" s="4" t="s">
        <v>21527</v>
      </c>
      <c r="J5239" s="1" t="s">
        <v>21528</v>
      </c>
      <c r="K5239" s="1" t="s">
        <v>323</v>
      </c>
    </row>
    <row r="5240">
      <c r="A5240" s="1" t="s">
        <v>21529</v>
      </c>
      <c r="B5240" s="1" t="s">
        <v>12463</v>
      </c>
      <c r="C5240" s="1">
        <v>2011.0</v>
      </c>
      <c r="D5240" s="2">
        <v>40848.0</v>
      </c>
      <c r="F5240" s="1" t="s">
        <v>21530</v>
      </c>
      <c r="H5240" s="3">
        <v>0.0</v>
      </c>
      <c r="I5240" s="4" t="s">
        <v>21531</v>
      </c>
      <c r="J5240" s="1" t="s">
        <v>21532</v>
      </c>
      <c r="K5240" s="1" t="s">
        <v>68</v>
      </c>
    </row>
    <row r="5241">
      <c r="A5241" s="1" t="s">
        <v>21533</v>
      </c>
      <c r="B5241" s="1" t="s">
        <v>21534</v>
      </c>
      <c r="C5241" s="1">
        <v>2011.0</v>
      </c>
      <c r="D5241" s="2">
        <v>40848.0</v>
      </c>
      <c r="F5241" s="1" t="s">
        <v>7495</v>
      </c>
      <c r="H5241" s="3">
        <v>42.0</v>
      </c>
      <c r="I5241" s="4" t="s">
        <v>21535</v>
      </c>
      <c r="J5241" s="1" t="s">
        <v>21536</v>
      </c>
      <c r="K5241" s="1" t="s">
        <v>68</v>
      </c>
    </row>
    <row r="5242">
      <c r="A5242" s="1" t="s">
        <v>21537</v>
      </c>
      <c r="B5242" s="1" t="s">
        <v>21538</v>
      </c>
      <c r="C5242" s="1">
        <v>2011.0</v>
      </c>
      <c r="D5242" s="2">
        <v>40848.0</v>
      </c>
      <c r="F5242" s="1" t="s">
        <v>2707</v>
      </c>
      <c r="H5242" s="3">
        <v>48.0</v>
      </c>
      <c r="I5242" s="4" t="s">
        <v>21539</v>
      </c>
      <c r="J5242" s="1" t="s">
        <v>21540</v>
      </c>
      <c r="K5242" s="1" t="s">
        <v>68</v>
      </c>
    </row>
    <row r="5243">
      <c r="A5243" s="1" t="s">
        <v>21541</v>
      </c>
      <c r="B5243" s="1" t="s">
        <v>21542</v>
      </c>
      <c r="C5243" s="1">
        <v>2011.0</v>
      </c>
      <c r="D5243" s="2">
        <v>40842.0</v>
      </c>
      <c r="F5243" s="1" t="s">
        <v>4577</v>
      </c>
      <c r="H5243" s="3">
        <v>65.0</v>
      </c>
      <c r="I5243" s="4" t="s">
        <v>21543</v>
      </c>
      <c r="J5243" s="1" t="s">
        <v>21544</v>
      </c>
      <c r="K5243" s="1" t="s">
        <v>28</v>
      </c>
    </row>
    <row r="5244">
      <c r="A5244" s="1" t="s">
        <v>21545</v>
      </c>
      <c r="B5244" s="1" t="s">
        <v>21546</v>
      </c>
      <c r="C5244" s="1">
        <v>2011.0</v>
      </c>
      <c r="D5244" s="2">
        <v>40840.0</v>
      </c>
      <c r="F5244" s="1" t="s">
        <v>1199</v>
      </c>
      <c r="H5244" s="3">
        <v>34.0</v>
      </c>
      <c r="I5244" s="4" t="s">
        <v>21547</v>
      </c>
      <c r="J5244" s="1" t="s">
        <v>21548</v>
      </c>
      <c r="K5244" s="1" t="s">
        <v>28</v>
      </c>
    </row>
    <row r="5245">
      <c r="A5245" s="1" t="s">
        <v>21549</v>
      </c>
      <c r="B5245" s="1" t="s">
        <v>21550</v>
      </c>
      <c r="C5245" s="1">
        <v>2011.0</v>
      </c>
      <c r="D5245" s="2">
        <v>40833.0</v>
      </c>
      <c r="F5245" s="1" t="s">
        <v>4848</v>
      </c>
      <c r="H5245" s="3">
        <v>20.0</v>
      </c>
      <c r="I5245" s="4" t="s">
        <v>21551</v>
      </c>
      <c r="J5245" s="1" t="s">
        <v>21552</v>
      </c>
      <c r="K5245" s="1" t="s">
        <v>68</v>
      </c>
    </row>
    <row r="5246">
      <c r="A5246" s="1" t="s">
        <v>21553</v>
      </c>
      <c r="B5246" s="1" t="s">
        <v>21554</v>
      </c>
      <c r="C5246" s="1">
        <v>2011.0</v>
      </c>
      <c r="D5246" s="2">
        <v>40832.0</v>
      </c>
      <c r="F5246" s="1" t="s">
        <v>21555</v>
      </c>
      <c r="H5246" s="3">
        <v>3.0</v>
      </c>
      <c r="I5246" s="4" t="s">
        <v>21556</v>
      </c>
      <c r="J5246" s="1" t="s">
        <v>21557</v>
      </c>
      <c r="K5246" s="1" t="s">
        <v>295</v>
      </c>
    </row>
    <row r="5247">
      <c r="A5247" s="1" t="s">
        <v>21558</v>
      </c>
      <c r="B5247" s="1" t="s">
        <v>21559</v>
      </c>
      <c r="C5247" s="1">
        <v>2011.0</v>
      </c>
      <c r="D5247" s="2">
        <v>40832.0</v>
      </c>
      <c r="F5247" s="1" t="s">
        <v>4980</v>
      </c>
      <c r="H5247" s="3">
        <v>5.0</v>
      </c>
      <c r="I5247" s="4" t="s">
        <v>21560</v>
      </c>
      <c r="J5247" s="1" t="s">
        <v>21561</v>
      </c>
      <c r="K5247" s="1" t="s">
        <v>462</v>
      </c>
    </row>
    <row r="5248">
      <c r="A5248" s="1" t="s">
        <v>21562</v>
      </c>
      <c r="B5248" s="1" t="s">
        <v>21563</v>
      </c>
      <c r="C5248" s="1">
        <v>2011.0</v>
      </c>
      <c r="D5248" s="2">
        <v>40823.0</v>
      </c>
      <c r="F5248" s="1" t="s">
        <v>21027</v>
      </c>
      <c r="H5248" s="3">
        <v>23.0</v>
      </c>
      <c r="I5248" s="4" t="s">
        <v>21564</v>
      </c>
      <c r="J5248" s="1" t="s">
        <v>21565</v>
      </c>
      <c r="K5248" s="1" t="s">
        <v>383</v>
      </c>
    </row>
    <row r="5249">
      <c r="A5249" s="1" t="s">
        <v>21566</v>
      </c>
      <c r="B5249" s="1" t="s">
        <v>21567</v>
      </c>
      <c r="C5249" s="1">
        <v>2011.0</v>
      </c>
      <c r="D5249" s="2">
        <v>40821.0</v>
      </c>
      <c r="F5249" s="1" t="s">
        <v>656</v>
      </c>
      <c r="H5249" s="3">
        <v>4.0</v>
      </c>
      <c r="I5249" s="4" t="s">
        <v>21568</v>
      </c>
      <c r="J5249" s="1" t="s">
        <v>21569</v>
      </c>
      <c r="K5249" s="1" t="s">
        <v>16</v>
      </c>
    </row>
    <row r="5250">
      <c r="A5250" s="1" t="s">
        <v>21570</v>
      </c>
      <c r="B5250" s="1" t="s">
        <v>21571</v>
      </c>
      <c r="C5250" s="1">
        <v>2011.0</v>
      </c>
      <c r="D5250" s="2">
        <v>40817.0</v>
      </c>
      <c r="F5250" s="1" t="s">
        <v>16942</v>
      </c>
      <c r="H5250" s="3">
        <v>11.0</v>
      </c>
      <c r="I5250" s="4" t="s">
        <v>21572</v>
      </c>
      <c r="J5250" s="1" t="s">
        <v>21573</v>
      </c>
      <c r="K5250" s="1" t="s">
        <v>16</v>
      </c>
    </row>
    <row r="5251">
      <c r="A5251" s="1" t="s">
        <v>21574</v>
      </c>
      <c r="B5251" s="1" t="s">
        <v>21575</v>
      </c>
      <c r="C5251" s="1">
        <v>2011.0</v>
      </c>
      <c r="D5251" s="2">
        <v>40807.0</v>
      </c>
      <c r="F5251" s="1" t="s">
        <v>3926</v>
      </c>
      <c r="H5251" s="3">
        <v>28.0</v>
      </c>
      <c r="I5251" s="4" t="s">
        <v>21576</v>
      </c>
      <c r="J5251" s="1" t="s">
        <v>21577</v>
      </c>
      <c r="K5251" s="1" t="s">
        <v>323</v>
      </c>
    </row>
    <row r="5252">
      <c r="A5252" s="1" t="s">
        <v>21578</v>
      </c>
      <c r="B5252" s="1" t="s">
        <v>21579</v>
      </c>
      <c r="C5252" s="1">
        <v>2011.0</v>
      </c>
      <c r="D5252" s="2">
        <v>40795.0</v>
      </c>
      <c r="F5252" s="1" t="s">
        <v>4374</v>
      </c>
      <c r="H5252" s="3">
        <v>67.0</v>
      </c>
      <c r="I5252" s="4" t="s">
        <v>21580</v>
      </c>
      <c r="J5252" s="1" t="s">
        <v>21581</v>
      </c>
      <c r="K5252" s="1" t="s">
        <v>926</v>
      </c>
    </row>
    <row r="5253">
      <c r="A5253" s="1" t="s">
        <v>21582</v>
      </c>
      <c r="B5253" s="1" t="s">
        <v>21583</v>
      </c>
      <c r="C5253" s="1">
        <v>2011.0</v>
      </c>
      <c r="D5253" s="2">
        <v>40787.0</v>
      </c>
      <c r="F5253" s="1" t="s">
        <v>4997</v>
      </c>
      <c r="H5253" s="3">
        <v>71.0</v>
      </c>
      <c r="I5253" s="4" t="s">
        <v>21584</v>
      </c>
      <c r="J5253" s="1" t="s">
        <v>21585</v>
      </c>
      <c r="K5253" s="1" t="s">
        <v>323</v>
      </c>
    </row>
    <row r="5254">
      <c r="A5254" s="1" t="s">
        <v>21586</v>
      </c>
      <c r="B5254" s="1" t="s">
        <v>21587</v>
      </c>
      <c r="C5254" s="1">
        <v>2011.0</v>
      </c>
      <c r="D5254" s="2">
        <v>40787.0</v>
      </c>
      <c r="F5254" s="1" t="s">
        <v>2497</v>
      </c>
      <c r="H5254" s="3">
        <v>3.0</v>
      </c>
      <c r="I5254" s="4" t="s">
        <v>21588</v>
      </c>
      <c r="J5254" s="1" t="s">
        <v>21589</v>
      </c>
      <c r="K5254" s="1" t="s">
        <v>16</v>
      </c>
    </row>
    <row r="5255">
      <c r="A5255" s="1" t="s">
        <v>21590</v>
      </c>
      <c r="B5255" s="1" t="s">
        <v>21591</v>
      </c>
      <c r="C5255" s="1">
        <v>2011.0</v>
      </c>
      <c r="D5255" s="2">
        <v>40781.0</v>
      </c>
      <c r="F5255" s="1" t="s">
        <v>1123</v>
      </c>
      <c r="H5255" s="3">
        <v>66.0</v>
      </c>
      <c r="I5255" s="4" t="s">
        <v>21592</v>
      </c>
      <c r="J5255" s="1" t="s">
        <v>21593</v>
      </c>
      <c r="K5255" s="1" t="s">
        <v>383</v>
      </c>
    </row>
    <row r="5256">
      <c r="A5256" s="1" t="s">
        <v>21594</v>
      </c>
      <c r="B5256" s="1" t="s">
        <v>21215</v>
      </c>
      <c r="C5256" s="1">
        <v>2011.0</v>
      </c>
      <c r="D5256" s="2">
        <v>40780.0</v>
      </c>
      <c r="F5256" s="1" t="s">
        <v>1366</v>
      </c>
      <c r="H5256" s="3">
        <v>51.0</v>
      </c>
      <c r="I5256" s="4" t="s">
        <v>21595</v>
      </c>
      <c r="J5256" s="1" t="s">
        <v>21596</v>
      </c>
      <c r="K5256" s="1" t="s">
        <v>443</v>
      </c>
    </row>
    <row r="5257">
      <c r="A5257" s="1" t="s">
        <v>21597</v>
      </c>
      <c r="B5257" s="1" t="s">
        <v>21598</v>
      </c>
      <c r="C5257" s="1">
        <v>2011.0</v>
      </c>
      <c r="D5257" s="2">
        <v>40777.0</v>
      </c>
      <c r="F5257" s="1" t="s">
        <v>4848</v>
      </c>
      <c r="H5257" s="3">
        <v>29.0</v>
      </c>
      <c r="I5257" s="4" t="s">
        <v>21599</v>
      </c>
      <c r="J5257" s="1" t="s">
        <v>21600</v>
      </c>
      <c r="K5257" s="1" t="s">
        <v>1423</v>
      </c>
    </row>
    <row r="5258">
      <c r="A5258" s="1" t="s">
        <v>21601</v>
      </c>
      <c r="B5258" s="1" t="s">
        <v>21602</v>
      </c>
      <c r="C5258" s="1">
        <v>2011.0</v>
      </c>
      <c r="D5258" s="2">
        <v>40774.0</v>
      </c>
      <c r="F5258" s="1" t="s">
        <v>18068</v>
      </c>
      <c r="H5258" s="3">
        <v>8.0</v>
      </c>
      <c r="I5258" s="4" t="s">
        <v>21603</v>
      </c>
      <c r="J5258" s="1" t="s">
        <v>21604</v>
      </c>
      <c r="K5258" s="1" t="s">
        <v>323</v>
      </c>
    </row>
    <row r="5259">
      <c r="A5259" s="1" t="s">
        <v>21605</v>
      </c>
      <c r="B5259" s="1" t="s">
        <v>21606</v>
      </c>
      <c r="C5259" s="1">
        <v>2011.0</v>
      </c>
      <c r="D5259" s="2">
        <v>40771.0</v>
      </c>
      <c r="F5259" s="1" t="s">
        <v>21607</v>
      </c>
      <c r="H5259" s="3">
        <v>17.0</v>
      </c>
      <c r="I5259" s="4" t="s">
        <v>21608</v>
      </c>
      <c r="J5259" s="1" t="s">
        <v>21609</v>
      </c>
      <c r="K5259" s="1" t="s">
        <v>443</v>
      </c>
    </row>
    <row r="5260">
      <c r="A5260" s="1" t="s">
        <v>21610</v>
      </c>
      <c r="B5260" s="1" t="s">
        <v>21611</v>
      </c>
      <c r="C5260" s="1">
        <v>2011.0</v>
      </c>
      <c r="D5260" s="2">
        <v>40766.0</v>
      </c>
      <c r="F5260" s="1" t="s">
        <v>292</v>
      </c>
      <c r="H5260" s="3">
        <v>25.0</v>
      </c>
      <c r="I5260" s="4" t="s">
        <v>21612</v>
      </c>
      <c r="J5260" s="1" t="s">
        <v>21613</v>
      </c>
      <c r="K5260" s="1" t="s">
        <v>295</v>
      </c>
    </row>
    <row r="5261">
      <c r="A5261" s="1" t="s">
        <v>21614</v>
      </c>
      <c r="B5261" s="1" t="s">
        <v>21615</v>
      </c>
      <c r="C5261" s="1">
        <v>2011.0</v>
      </c>
      <c r="D5261" s="2">
        <v>40766.0</v>
      </c>
      <c r="F5261" s="1" t="s">
        <v>8612</v>
      </c>
      <c r="H5261" s="3">
        <v>23.0</v>
      </c>
      <c r="I5261" s="4" t="s">
        <v>21616</v>
      </c>
      <c r="J5261" s="1" t="s">
        <v>21617</v>
      </c>
      <c r="K5261" s="1" t="s">
        <v>383</v>
      </c>
    </row>
    <row r="5262">
      <c r="A5262" s="1" t="s">
        <v>21618</v>
      </c>
      <c r="B5262" s="1" t="s">
        <v>21619</v>
      </c>
      <c r="C5262" s="1">
        <v>2011.0</v>
      </c>
      <c r="D5262" s="2">
        <v>40765.0</v>
      </c>
      <c r="F5262" s="1" t="s">
        <v>1904</v>
      </c>
      <c r="H5262" s="3">
        <v>68.0</v>
      </c>
      <c r="I5262" s="4" t="s">
        <v>21620</v>
      </c>
      <c r="J5262" s="1" t="s">
        <v>21621</v>
      </c>
      <c r="K5262" s="1" t="s">
        <v>413</v>
      </c>
    </row>
    <row r="5263">
      <c r="A5263" s="1" t="s">
        <v>21622</v>
      </c>
      <c r="B5263" s="1" t="s">
        <v>21623</v>
      </c>
      <c r="C5263" s="1">
        <v>2011.0</v>
      </c>
      <c r="D5263" s="2">
        <v>40758.0</v>
      </c>
      <c r="F5263" s="1" t="s">
        <v>11511</v>
      </c>
      <c r="H5263" s="3">
        <v>13.0</v>
      </c>
      <c r="I5263" s="4" t="s">
        <v>21624</v>
      </c>
      <c r="J5263" s="1" t="s">
        <v>21625</v>
      </c>
      <c r="K5263" s="1" t="s">
        <v>492</v>
      </c>
    </row>
    <row r="5264">
      <c r="A5264" s="1" t="s">
        <v>21626</v>
      </c>
      <c r="B5264" s="1" t="s">
        <v>21627</v>
      </c>
      <c r="C5264" s="1">
        <v>2011.0</v>
      </c>
      <c r="D5264" s="2">
        <v>40757.0</v>
      </c>
      <c r="F5264" s="1" t="s">
        <v>396</v>
      </c>
      <c r="H5264" s="3">
        <v>61.0</v>
      </c>
      <c r="I5264" s="4" t="s">
        <v>21628</v>
      </c>
      <c r="J5264" s="1"/>
      <c r="K5264" s="1" t="s">
        <v>323</v>
      </c>
    </row>
    <row r="5265">
      <c r="A5265" s="1" t="s">
        <v>21629</v>
      </c>
      <c r="B5265" s="1" t="s">
        <v>21630</v>
      </c>
      <c r="C5265" s="1">
        <v>2011.0</v>
      </c>
      <c r="D5265" s="2">
        <v>40757.0</v>
      </c>
      <c r="F5265" s="1" t="s">
        <v>4848</v>
      </c>
      <c r="H5265" s="3">
        <v>21.0</v>
      </c>
      <c r="I5265" s="4" t="s">
        <v>21631</v>
      </c>
      <c r="J5265" s="1" t="s">
        <v>21632</v>
      </c>
      <c r="K5265" s="1" t="s">
        <v>68</v>
      </c>
    </row>
    <row r="5266">
      <c r="A5266" s="1" t="s">
        <v>21633</v>
      </c>
      <c r="B5266" s="1" t="s">
        <v>21634</v>
      </c>
      <c r="C5266" s="1">
        <v>2011.0</v>
      </c>
      <c r="D5266" s="2">
        <v>40756.0</v>
      </c>
      <c r="F5266" s="1" t="s">
        <v>20734</v>
      </c>
      <c r="H5266" s="3">
        <v>1.0</v>
      </c>
      <c r="I5266" s="4" t="s">
        <v>21635</v>
      </c>
      <c r="J5266" s="1" t="s">
        <v>21636</v>
      </c>
      <c r="K5266" s="1" t="s">
        <v>492</v>
      </c>
    </row>
    <row r="5267">
      <c r="A5267" s="1" t="s">
        <v>21637</v>
      </c>
      <c r="B5267" s="1" t="s">
        <v>21074</v>
      </c>
      <c r="C5267" s="1">
        <v>2011.0</v>
      </c>
      <c r="D5267" s="2">
        <v>40756.0</v>
      </c>
      <c r="F5267" s="1" t="s">
        <v>21638</v>
      </c>
      <c r="H5267" s="3">
        <v>28.0</v>
      </c>
      <c r="I5267" s="4" t="s">
        <v>21639</v>
      </c>
      <c r="J5267" s="1" t="s">
        <v>21640</v>
      </c>
      <c r="K5267" s="1" t="s">
        <v>383</v>
      </c>
    </row>
    <row r="5268">
      <c r="A5268" s="1" t="s">
        <v>21641</v>
      </c>
      <c r="B5268" s="1" t="s">
        <v>21642</v>
      </c>
      <c r="C5268" s="1">
        <v>2011.0</v>
      </c>
      <c r="D5268" s="2">
        <v>40756.0</v>
      </c>
      <c r="F5268" s="1" t="s">
        <v>21643</v>
      </c>
      <c r="H5268" s="3">
        <v>9.0</v>
      </c>
      <c r="I5268" s="4" t="s">
        <v>21644</v>
      </c>
      <c r="J5268" s="1"/>
      <c r="K5268" s="1" t="s">
        <v>16</v>
      </c>
    </row>
    <row r="5269">
      <c r="A5269" s="1" t="s">
        <v>21645</v>
      </c>
      <c r="B5269" s="1" t="s">
        <v>21646</v>
      </c>
      <c r="C5269" s="1">
        <v>2011.0</v>
      </c>
      <c r="D5269" s="2">
        <v>40747.0</v>
      </c>
      <c r="F5269" s="1" t="s">
        <v>6152</v>
      </c>
      <c r="H5269" s="3">
        <v>103.0</v>
      </c>
      <c r="I5269" s="4" t="s">
        <v>21647</v>
      </c>
      <c r="J5269" s="1" t="s">
        <v>21648</v>
      </c>
      <c r="K5269" s="1" t="s">
        <v>323</v>
      </c>
    </row>
    <row r="5270">
      <c r="A5270" s="1" t="s">
        <v>21649</v>
      </c>
      <c r="B5270" s="1" t="s">
        <v>21650</v>
      </c>
      <c r="C5270" s="1">
        <v>2011.0</v>
      </c>
      <c r="D5270" s="2">
        <v>40737.0</v>
      </c>
      <c r="F5270" s="1" t="s">
        <v>21651</v>
      </c>
      <c r="H5270" s="3">
        <v>90.0</v>
      </c>
      <c r="I5270" s="4" t="s">
        <v>21652</v>
      </c>
      <c r="J5270" s="1" t="s">
        <v>21653</v>
      </c>
      <c r="K5270" s="1" t="s">
        <v>443</v>
      </c>
    </row>
    <row r="5271">
      <c r="A5271" s="1" t="s">
        <v>21654</v>
      </c>
      <c r="B5271" s="1" t="s">
        <v>21655</v>
      </c>
      <c r="C5271" s="1">
        <v>2011.0</v>
      </c>
      <c r="D5271" s="2">
        <v>40735.0</v>
      </c>
      <c r="F5271" s="1" t="s">
        <v>4614</v>
      </c>
      <c r="H5271" s="3">
        <v>32.0</v>
      </c>
      <c r="I5271" s="4" t="s">
        <v>21656</v>
      </c>
      <c r="J5271" s="1" t="s">
        <v>21657</v>
      </c>
      <c r="K5271" s="1" t="s">
        <v>295</v>
      </c>
    </row>
    <row r="5272">
      <c r="A5272" s="1" t="s">
        <v>21658</v>
      </c>
      <c r="B5272" s="1" t="s">
        <v>21659</v>
      </c>
      <c r="C5272" s="1">
        <v>2011.0</v>
      </c>
      <c r="D5272" s="2">
        <v>40725.0</v>
      </c>
      <c r="F5272" s="1" t="s">
        <v>16653</v>
      </c>
      <c r="H5272" s="3">
        <v>21.0</v>
      </c>
      <c r="I5272" s="4" t="s">
        <v>21660</v>
      </c>
      <c r="J5272" s="1" t="s">
        <v>21661</v>
      </c>
      <c r="K5272" s="1" t="s">
        <v>383</v>
      </c>
    </row>
    <row r="5273">
      <c r="A5273" s="1" t="s">
        <v>21662</v>
      </c>
      <c r="B5273" s="1" t="s">
        <v>21663</v>
      </c>
      <c r="C5273" s="1">
        <v>2011.0</v>
      </c>
      <c r="D5273" s="2">
        <v>40725.0</v>
      </c>
      <c r="F5273" s="1" t="s">
        <v>21664</v>
      </c>
      <c r="H5273" s="3">
        <v>51.0</v>
      </c>
      <c r="I5273" s="4" t="s">
        <v>21665</v>
      </c>
      <c r="J5273" s="1" t="s">
        <v>21666</v>
      </c>
      <c r="K5273" s="1" t="s">
        <v>413</v>
      </c>
    </row>
    <row r="5274">
      <c r="A5274" s="1" t="s">
        <v>21667</v>
      </c>
      <c r="B5274" s="1" t="s">
        <v>21668</v>
      </c>
      <c r="C5274" s="1">
        <v>2011.0</v>
      </c>
      <c r="D5274" s="2">
        <v>40724.0</v>
      </c>
      <c r="F5274" s="1" t="s">
        <v>15858</v>
      </c>
      <c r="H5274" s="3">
        <v>103.0</v>
      </c>
      <c r="I5274" s="4" t="s">
        <v>21669</v>
      </c>
      <c r="J5274" s="1" t="s">
        <v>21670</v>
      </c>
      <c r="K5274" s="1" t="s">
        <v>462</v>
      </c>
    </row>
    <row r="5275">
      <c r="A5275" s="1" t="s">
        <v>21671</v>
      </c>
      <c r="B5275" s="1" t="s">
        <v>21672</v>
      </c>
      <c r="C5275" s="1">
        <v>2011.0</v>
      </c>
      <c r="D5275" s="2">
        <v>40723.0</v>
      </c>
      <c r="F5275" s="1" t="s">
        <v>8219</v>
      </c>
      <c r="H5275" s="3">
        <v>18.0</v>
      </c>
      <c r="I5275" s="4" t="s">
        <v>21673</v>
      </c>
      <c r="J5275" s="1" t="s">
        <v>21674</v>
      </c>
      <c r="K5275" s="1" t="s">
        <v>323</v>
      </c>
    </row>
    <row r="5276">
      <c r="A5276" s="1" t="s">
        <v>21675</v>
      </c>
      <c r="B5276" s="1" t="s">
        <v>21141</v>
      </c>
      <c r="C5276" s="1">
        <v>2011.0</v>
      </c>
      <c r="D5276" s="2">
        <v>40723.0</v>
      </c>
      <c r="F5276" s="1" t="s">
        <v>3351</v>
      </c>
      <c r="H5276" s="3">
        <v>1.0</v>
      </c>
      <c r="I5276" s="4" t="s">
        <v>21676</v>
      </c>
      <c r="J5276" s="1" t="s">
        <v>21677</v>
      </c>
      <c r="K5276" s="1" t="s">
        <v>16</v>
      </c>
    </row>
    <row r="5277">
      <c r="A5277" s="1" t="s">
        <v>21678</v>
      </c>
      <c r="B5277" s="1" t="s">
        <v>21679</v>
      </c>
      <c r="C5277" s="1">
        <v>2011.0</v>
      </c>
      <c r="D5277" s="2">
        <v>40715.0</v>
      </c>
      <c r="F5277" s="1" t="s">
        <v>7464</v>
      </c>
      <c r="H5277" s="3">
        <v>46.0</v>
      </c>
      <c r="I5277" s="4" t="s">
        <v>21680</v>
      </c>
      <c r="J5277" s="1" t="s">
        <v>21681</v>
      </c>
      <c r="K5277" s="1" t="s">
        <v>28</v>
      </c>
    </row>
    <row r="5278">
      <c r="A5278" s="1" t="s">
        <v>21682</v>
      </c>
      <c r="B5278" s="1" t="s">
        <v>21683</v>
      </c>
      <c r="C5278" s="1">
        <v>2011.0</v>
      </c>
      <c r="D5278" s="2">
        <v>40710.0</v>
      </c>
      <c r="F5278" s="1" t="s">
        <v>71</v>
      </c>
      <c r="H5278" s="3">
        <v>39.0</v>
      </c>
      <c r="I5278" s="4" t="s">
        <v>21684</v>
      </c>
      <c r="J5278" s="1" t="s">
        <v>21685</v>
      </c>
      <c r="K5278" s="1" t="s">
        <v>383</v>
      </c>
    </row>
    <row r="5279">
      <c r="A5279" s="1" t="s">
        <v>21686</v>
      </c>
      <c r="B5279" s="1" t="s">
        <v>21687</v>
      </c>
      <c r="C5279" s="1">
        <v>2011.0</v>
      </c>
      <c r="D5279" s="2">
        <v>40700.0</v>
      </c>
      <c r="F5279" s="1" t="s">
        <v>163</v>
      </c>
      <c r="H5279" s="3">
        <v>41.0</v>
      </c>
      <c r="I5279" s="4" t="s">
        <v>21688</v>
      </c>
      <c r="J5279" s="1" t="s">
        <v>21689</v>
      </c>
      <c r="K5279" s="1" t="s">
        <v>383</v>
      </c>
    </row>
    <row r="5280">
      <c r="A5280" s="1" t="s">
        <v>21690</v>
      </c>
      <c r="B5280" s="1" t="s">
        <v>21691</v>
      </c>
      <c r="C5280" s="1">
        <v>2011.0</v>
      </c>
      <c r="D5280" s="2">
        <v>40695.0</v>
      </c>
      <c r="F5280" s="1" t="s">
        <v>5554</v>
      </c>
      <c r="H5280" s="3">
        <v>8.0</v>
      </c>
      <c r="I5280" s="4" t="s">
        <v>21692</v>
      </c>
      <c r="J5280" s="1" t="s">
        <v>21693</v>
      </c>
      <c r="K5280" s="1" t="s">
        <v>383</v>
      </c>
    </row>
    <row r="5281">
      <c r="A5281" s="1" t="s">
        <v>21694</v>
      </c>
      <c r="B5281" s="1" t="s">
        <v>21695</v>
      </c>
      <c r="C5281" s="1">
        <v>2011.0</v>
      </c>
      <c r="D5281" s="2">
        <v>40691.0</v>
      </c>
      <c r="F5281" s="1" t="s">
        <v>2017</v>
      </c>
      <c r="H5281" s="3">
        <v>47.0</v>
      </c>
      <c r="I5281" s="4" t="s">
        <v>21696</v>
      </c>
      <c r="J5281" s="1" t="s">
        <v>21697</v>
      </c>
      <c r="K5281" s="1" t="s">
        <v>16</v>
      </c>
    </row>
    <row r="5282">
      <c r="A5282" s="1" t="s">
        <v>21698</v>
      </c>
      <c r="B5282" s="1" t="s">
        <v>21699</v>
      </c>
      <c r="C5282" s="1">
        <v>2011.0</v>
      </c>
      <c r="D5282" s="2">
        <v>40690.0</v>
      </c>
      <c r="F5282" s="1" t="s">
        <v>21607</v>
      </c>
      <c r="H5282" s="3">
        <v>15.0</v>
      </c>
      <c r="I5282" s="4" t="s">
        <v>21700</v>
      </c>
      <c r="J5282" s="1" t="s">
        <v>21701</v>
      </c>
      <c r="K5282" s="1" t="s">
        <v>926</v>
      </c>
    </row>
    <row r="5283">
      <c r="A5283" s="1" t="s">
        <v>21702</v>
      </c>
      <c r="B5283" s="1" t="s">
        <v>21703</v>
      </c>
      <c r="C5283" s="1">
        <v>2011.0</v>
      </c>
      <c r="D5283" s="2">
        <v>40688.0</v>
      </c>
      <c r="F5283" s="1" t="s">
        <v>21704</v>
      </c>
      <c r="H5283" s="3">
        <v>18.0</v>
      </c>
      <c r="I5283" s="4" t="s">
        <v>21705</v>
      </c>
      <c r="J5283" s="1" t="s">
        <v>21706</v>
      </c>
      <c r="K5283" s="1" t="s">
        <v>571</v>
      </c>
    </row>
    <row r="5284">
      <c r="A5284" s="1" t="s">
        <v>21707</v>
      </c>
      <c r="B5284" s="1" t="s">
        <v>21708</v>
      </c>
      <c r="C5284" s="1">
        <v>2011.0</v>
      </c>
      <c r="D5284" s="2">
        <v>40688.0</v>
      </c>
      <c r="F5284" s="1" t="s">
        <v>59</v>
      </c>
      <c r="H5284" s="3">
        <v>9.0</v>
      </c>
      <c r="I5284" s="4" t="s">
        <v>21709</v>
      </c>
      <c r="J5284" s="1" t="s">
        <v>21710</v>
      </c>
      <c r="K5284" s="1" t="s">
        <v>295</v>
      </c>
    </row>
    <row r="5285">
      <c r="A5285" s="1" t="s">
        <v>21711</v>
      </c>
      <c r="B5285" s="1" t="s">
        <v>21712</v>
      </c>
      <c r="C5285" s="1">
        <v>2011.0</v>
      </c>
      <c r="D5285" s="2">
        <v>40684.0</v>
      </c>
      <c r="F5285" s="1" t="s">
        <v>375</v>
      </c>
      <c r="H5285" s="3">
        <v>40.0</v>
      </c>
      <c r="I5285" s="4" t="s">
        <v>21713</v>
      </c>
      <c r="J5285" s="1" t="s">
        <v>21714</v>
      </c>
      <c r="K5285" s="1" t="s">
        <v>926</v>
      </c>
    </row>
    <row r="5286">
      <c r="A5286" s="1" t="s">
        <v>21715</v>
      </c>
      <c r="B5286" s="1" t="s">
        <v>21716</v>
      </c>
      <c r="C5286" s="1">
        <v>2011.0</v>
      </c>
      <c r="D5286" s="2">
        <v>40684.0</v>
      </c>
      <c r="F5286" s="1" t="s">
        <v>21717</v>
      </c>
      <c r="H5286" s="3">
        <v>14.0</v>
      </c>
      <c r="I5286" s="4" t="s">
        <v>21718</v>
      </c>
      <c r="J5286" s="1" t="s">
        <v>21719</v>
      </c>
      <c r="K5286" s="1" t="s">
        <v>413</v>
      </c>
    </row>
    <row r="5287">
      <c r="A5287" s="1" t="s">
        <v>21720</v>
      </c>
      <c r="B5287" s="1" t="s">
        <v>21182</v>
      </c>
      <c r="C5287" s="1">
        <v>2011.0</v>
      </c>
      <c r="D5287" s="2">
        <v>40681.0</v>
      </c>
      <c r="F5287" s="1" t="s">
        <v>656</v>
      </c>
      <c r="H5287" s="3">
        <v>146.0</v>
      </c>
      <c r="I5287" s="4" t="s">
        <v>21721</v>
      </c>
      <c r="J5287" s="1" t="s">
        <v>21722</v>
      </c>
      <c r="K5287" s="1" t="s">
        <v>16</v>
      </c>
    </row>
    <row r="5288">
      <c r="A5288" s="1" t="s">
        <v>21723</v>
      </c>
      <c r="B5288" s="1" t="s">
        <v>21074</v>
      </c>
      <c r="C5288" s="1">
        <v>2011.0</v>
      </c>
      <c r="D5288" s="2">
        <v>40680.0</v>
      </c>
      <c r="F5288" s="1" t="s">
        <v>21724</v>
      </c>
      <c r="H5288" s="3">
        <v>15.0</v>
      </c>
      <c r="I5288" s="4" t="s">
        <v>21725</v>
      </c>
      <c r="J5288" s="1" t="s">
        <v>21726</v>
      </c>
      <c r="K5288" s="1" t="s">
        <v>383</v>
      </c>
    </row>
    <row r="5289">
      <c r="A5289" s="1" t="s">
        <v>21727</v>
      </c>
      <c r="B5289" s="1" t="s">
        <v>21728</v>
      </c>
      <c r="C5289" s="1">
        <v>2011.0</v>
      </c>
      <c r="D5289" s="2">
        <v>40668.0</v>
      </c>
      <c r="F5289" s="1" t="s">
        <v>1277</v>
      </c>
      <c r="H5289" s="3">
        <v>113.0</v>
      </c>
      <c r="I5289" s="4" t="s">
        <v>21729</v>
      </c>
      <c r="J5289" s="1" t="s">
        <v>21730</v>
      </c>
      <c r="K5289" s="1" t="s">
        <v>323</v>
      </c>
    </row>
    <row r="5290">
      <c r="A5290" s="1" t="s">
        <v>21731</v>
      </c>
      <c r="B5290" s="1" t="s">
        <v>21732</v>
      </c>
      <c r="C5290" s="1">
        <v>2011.0</v>
      </c>
      <c r="D5290" s="2">
        <v>40664.0</v>
      </c>
      <c r="F5290" s="1" t="s">
        <v>6503</v>
      </c>
      <c r="H5290" s="3">
        <v>35.0</v>
      </c>
      <c r="I5290" s="4" t="s">
        <v>21733</v>
      </c>
      <c r="J5290" s="1" t="s">
        <v>21734</v>
      </c>
      <c r="K5290" s="1" t="s">
        <v>413</v>
      </c>
    </row>
    <row r="5291">
      <c r="A5291" s="1" t="s">
        <v>21735</v>
      </c>
      <c r="B5291" s="1" t="s">
        <v>21736</v>
      </c>
      <c r="C5291" s="1">
        <v>2011.0</v>
      </c>
      <c r="D5291" s="2">
        <v>40654.0</v>
      </c>
      <c r="F5291" s="1" t="s">
        <v>410</v>
      </c>
      <c r="H5291" s="3">
        <v>30.0</v>
      </c>
      <c r="I5291" s="4" t="s">
        <v>21737</v>
      </c>
      <c r="J5291" s="1" t="s">
        <v>21738</v>
      </c>
      <c r="K5291" s="1" t="s">
        <v>16</v>
      </c>
    </row>
    <row r="5292">
      <c r="A5292" s="1" t="s">
        <v>21739</v>
      </c>
      <c r="B5292" s="1" t="s">
        <v>21740</v>
      </c>
      <c r="C5292" s="1">
        <v>2011.0</v>
      </c>
      <c r="D5292" s="2">
        <v>40641.0</v>
      </c>
      <c r="F5292" s="1" t="s">
        <v>489</v>
      </c>
      <c r="H5292" s="3">
        <v>50.0</v>
      </c>
      <c r="I5292" s="4" t="s">
        <v>21741</v>
      </c>
      <c r="J5292" s="1" t="s">
        <v>21742</v>
      </c>
      <c r="K5292" s="1" t="s">
        <v>462</v>
      </c>
    </row>
    <row r="5293">
      <c r="A5293" s="1" t="s">
        <v>21743</v>
      </c>
      <c r="B5293" s="1" t="s">
        <v>21744</v>
      </c>
      <c r="C5293" s="1">
        <v>2011.0</v>
      </c>
      <c r="D5293" s="2">
        <v>40634.0</v>
      </c>
      <c r="F5293" s="1" t="s">
        <v>21643</v>
      </c>
      <c r="H5293" s="3">
        <v>60.0</v>
      </c>
      <c r="I5293" s="4" t="s">
        <v>21745</v>
      </c>
      <c r="J5293" s="1" t="s">
        <v>21746</v>
      </c>
      <c r="K5293" s="1" t="s">
        <v>383</v>
      </c>
    </row>
    <row r="5294">
      <c r="A5294" s="1" t="s">
        <v>21747</v>
      </c>
      <c r="B5294" s="1" t="s">
        <v>21748</v>
      </c>
      <c r="C5294" s="1">
        <v>2011.0</v>
      </c>
      <c r="D5294" s="2">
        <v>40634.0</v>
      </c>
      <c r="F5294" s="1" t="s">
        <v>11421</v>
      </c>
      <c r="H5294" s="3">
        <v>32.0</v>
      </c>
      <c r="I5294" s="4" t="s">
        <v>21749</v>
      </c>
      <c r="J5294" s="1" t="s">
        <v>21750</v>
      </c>
      <c r="K5294" s="1" t="s">
        <v>295</v>
      </c>
    </row>
    <row r="5295">
      <c r="A5295" s="1" t="s">
        <v>21751</v>
      </c>
      <c r="B5295" s="1" t="s">
        <v>21752</v>
      </c>
      <c r="C5295" s="1">
        <v>2011.0</v>
      </c>
      <c r="D5295" s="2">
        <v>40634.0</v>
      </c>
      <c r="F5295" s="1" t="s">
        <v>6503</v>
      </c>
      <c r="H5295" s="3">
        <v>24.0</v>
      </c>
      <c r="I5295" s="4" t="s">
        <v>21753</v>
      </c>
      <c r="J5295" s="1" t="s">
        <v>21754</v>
      </c>
      <c r="K5295" s="1" t="s">
        <v>16</v>
      </c>
    </row>
    <row r="5296">
      <c r="A5296" s="1" t="s">
        <v>21755</v>
      </c>
      <c r="B5296" s="1" t="s">
        <v>21756</v>
      </c>
      <c r="C5296" s="1">
        <v>2011.0</v>
      </c>
      <c r="D5296" s="2">
        <v>40632.0</v>
      </c>
      <c r="F5296" s="1" t="s">
        <v>396</v>
      </c>
      <c r="H5296" s="3">
        <v>81.0</v>
      </c>
      <c r="I5296" s="4" t="s">
        <v>21757</v>
      </c>
      <c r="J5296" s="1" t="s">
        <v>21758</v>
      </c>
      <c r="K5296" s="1" t="s">
        <v>323</v>
      </c>
    </row>
    <row r="5297">
      <c r="A5297" s="1" t="s">
        <v>21759</v>
      </c>
      <c r="B5297" s="1" t="s">
        <v>21760</v>
      </c>
      <c r="C5297" s="1">
        <v>2011.0</v>
      </c>
      <c r="D5297" s="2">
        <v>40631.0</v>
      </c>
      <c r="F5297" s="1" t="s">
        <v>5090</v>
      </c>
      <c r="H5297" s="3">
        <v>46.0</v>
      </c>
      <c r="I5297" s="4" t="s">
        <v>21761</v>
      </c>
      <c r="J5297" s="1" t="s">
        <v>21762</v>
      </c>
      <c r="K5297" s="1" t="s">
        <v>323</v>
      </c>
    </row>
    <row r="5298">
      <c r="A5298" s="1" t="s">
        <v>21763</v>
      </c>
      <c r="B5298" s="1" t="s">
        <v>21764</v>
      </c>
      <c r="C5298" s="1">
        <v>2011.0</v>
      </c>
      <c r="D5298" s="2">
        <v>40626.0</v>
      </c>
      <c r="F5298" s="1" t="s">
        <v>6049</v>
      </c>
      <c r="H5298" s="3">
        <v>89.0</v>
      </c>
      <c r="I5298" s="4" t="s">
        <v>21765</v>
      </c>
      <c r="J5298" s="1" t="s">
        <v>21766</v>
      </c>
      <c r="K5298" s="1" t="s">
        <v>295</v>
      </c>
    </row>
    <row r="5299">
      <c r="A5299" s="1" t="s">
        <v>21767</v>
      </c>
      <c r="B5299" s="1" t="s">
        <v>21768</v>
      </c>
      <c r="C5299" s="1">
        <v>2011.0</v>
      </c>
      <c r="D5299" s="2">
        <v>40621.0</v>
      </c>
      <c r="F5299" s="1" t="s">
        <v>2955</v>
      </c>
      <c r="H5299" s="3">
        <v>134.0</v>
      </c>
      <c r="I5299" s="4" t="s">
        <v>21769</v>
      </c>
      <c r="J5299" s="1"/>
      <c r="K5299" s="1" t="s">
        <v>16</v>
      </c>
    </row>
    <row r="5300">
      <c r="A5300" s="1" t="s">
        <v>21770</v>
      </c>
      <c r="B5300" s="1" t="s">
        <v>21771</v>
      </c>
      <c r="C5300" s="1">
        <v>2011.0</v>
      </c>
      <c r="D5300" s="2">
        <v>40604.0</v>
      </c>
      <c r="F5300" s="1" t="s">
        <v>2611</v>
      </c>
      <c r="H5300" s="3">
        <v>4.0</v>
      </c>
      <c r="I5300" s="4" t="s">
        <v>21772</v>
      </c>
      <c r="J5300" s="1" t="s">
        <v>21773</v>
      </c>
      <c r="K5300" s="1" t="s">
        <v>413</v>
      </c>
    </row>
    <row r="5301">
      <c r="A5301" s="1" t="s">
        <v>21774</v>
      </c>
      <c r="B5301" s="1" t="s">
        <v>21775</v>
      </c>
      <c r="C5301" s="1">
        <v>2011.0</v>
      </c>
      <c r="D5301" s="2">
        <v>40603.0</v>
      </c>
      <c r="F5301" s="1" t="s">
        <v>4124</v>
      </c>
      <c r="H5301" s="3">
        <v>21.0</v>
      </c>
      <c r="I5301" s="4" t="s">
        <v>21776</v>
      </c>
      <c r="J5301" s="1" t="s">
        <v>21777</v>
      </c>
      <c r="K5301" s="1" t="s">
        <v>323</v>
      </c>
    </row>
    <row r="5302">
      <c r="A5302" s="1" t="s">
        <v>21778</v>
      </c>
      <c r="B5302" s="1" t="s">
        <v>21779</v>
      </c>
      <c r="C5302" s="1">
        <v>2011.0</v>
      </c>
      <c r="D5302" s="2">
        <v>40603.0</v>
      </c>
      <c r="F5302" s="1" t="s">
        <v>21724</v>
      </c>
      <c r="H5302" s="3">
        <v>40.0</v>
      </c>
      <c r="I5302" s="4" t="s">
        <v>21780</v>
      </c>
      <c r="J5302" s="1" t="s">
        <v>21781</v>
      </c>
      <c r="K5302" s="1" t="s">
        <v>443</v>
      </c>
    </row>
    <row r="5303">
      <c r="A5303" s="1" t="s">
        <v>21782</v>
      </c>
      <c r="B5303" s="1" t="s">
        <v>21783</v>
      </c>
      <c r="C5303" s="1">
        <v>2011.0</v>
      </c>
      <c r="D5303" s="2">
        <v>40603.0</v>
      </c>
      <c r="F5303" s="1" t="s">
        <v>7464</v>
      </c>
      <c r="H5303" s="3">
        <v>10.0</v>
      </c>
      <c r="I5303" s="4" t="s">
        <v>21784</v>
      </c>
      <c r="J5303" s="1" t="s">
        <v>21785</v>
      </c>
      <c r="K5303" s="1" t="s">
        <v>383</v>
      </c>
    </row>
    <row r="5304">
      <c r="A5304" s="1" t="s">
        <v>21786</v>
      </c>
      <c r="B5304" s="1" t="s">
        <v>21787</v>
      </c>
      <c r="C5304" s="1">
        <v>2011.0</v>
      </c>
      <c r="D5304" s="2">
        <v>40597.0</v>
      </c>
      <c r="F5304" s="1" t="s">
        <v>2955</v>
      </c>
      <c r="H5304" s="3">
        <v>420.0</v>
      </c>
      <c r="I5304" s="4" t="s">
        <v>21788</v>
      </c>
      <c r="J5304" s="1" t="s">
        <v>21789</v>
      </c>
      <c r="K5304" s="1" t="s">
        <v>16</v>
      </c>
    </row>
    <row r="5305">
      <c r="A5305" s="1" t="s">
        <v>21790</v>
      </c>
      <c r="B5305" s="1" t="s">
        <v>21791</v>
      </c>
      <c r="C5305" s="1">
        <v>2011.0</v>
      </c>
      <c r="D5305" s="2">
        <v>40590.0</v>
      </c>
      <c r="F5305" s="1" t="s">
        <v>10191</v>
      </c>
      <c r="H5305" s="3">
        <v>17.0</v>
      </c>
      <c r="I5305" s="4" t="s">
        <v>21792</v>
      </c>
      <c r="J5305" s="1" t="s">
        <v>21793</v>
      </c>
      <c r="K5305" s="1" t="s">
        <v>323</v>
      </c>
    </row>
    <row r="5306">
      <c r="A5306" s="1" t="s">
        <v>21794</v>
      </c>
      <c r="B5306" s="1" t="s">
        <v>21795</v>
      </c>
      <c r="C5306" s="1">
        <v>2011.0</v>
      </c>
      <c r="D5306" s="2">
        <v>40584.0</v>
      </c>
      <c r="F5306" s="1" t="s">
        <v>676</v>
      </c>
      <c r="H5306" s="3">
        <v>37.0</v>
      </c>
      <c r="I5306" s="4" t="s">
        <v>21796</v>
      </c>
      <c r="J5306" s="1" t="s">
        <v>21797</v>
      </c>
      <c r="K5306" s="1" t="s">
        <v>443</v>
      </c>
    </row>
    <row r="5307">
      <c r="A5307" s="1" t="s">
        <v>21798</v>
      </c>
      <c r="B5307" s="1" t="s">
        <v>21799</v>
      </c>
      <c r="C5307" s="1">
        <v>2011.0</v>
      </c>
      <c r="D5307" s="2">
        <v>40575.0</v>
      </c>
      <c r="F5307" s="1" t="s">
        <v>634</v>
      </c>
      <c r="H5307" s="3">
        <v>45.0</v>
      </c>
      <c r="I5307" s="4" t="s">
        <v>21800</v>
      </c>
      <c r="J5307" s="1" t="s">
        <v>21801</v>
      </c>
      <c r="K5307" s="1" t="s">
        <v>16</v>
      </c>
    </row>
    <row r="5308">
      <c r="A5308" s="1" t="s">
        <v>21802</v>
      </c>
      <c r="B5308" s="1" t="s">
        <v>21567</v>
      </c>
      <c r="C5308" s="1">
        <v>2011.0</v>
      </c>
      <c r="D5308" s="2">
        <v>40575.0</v>
      </c>
      <c r="F5308" s="1" t="s">
        <v>12638</v>
      </c>
      <c r="H5308" s="3">
        <v>82.0</v>
      </c>
      <c r="I5308" s="4" t="s">
        <v>21803</v>
      </c>
      <c r="J5308" s="1" t="s">
        <v>21804</v>
      </c>
      <c r="K5308" s="1" t="s">
        <v>16</v>
      </c>
    </row>
    <row r="5309">
      <c r="A5309" s="1" t="s">
        <v>21805</v>
      </c>
      <c r="B5309" s="1" t="s">
        <v>21806</v>
      </c>
      <c r="C5309" s="1">
        <v>2011.0</v>
      </c>
      <c r="D5309" s="2">
        <v>40573.0</v>
      </c>
      <c r="F5309" s="1" t="s">
        <v>489</v>
      </c>
      <c r="H5309" s="3">
        <v>47.0</v>
      </c>
      <c r="I5309" s="4" t="s">
        <v>21807</v>
      </c>
      <c r="J5309" s="1" t="s">
        <v>21808</v>
      </c>
      <c r="K5309" s="1" t="s">
        <v>383</v>
      </c>
    </row>
    <row r="5310">
      <c r="A5310" s="1" t="s">
        <v>21809</v>
      </c>
      <c r="B5310" s="1" t="s">
        <v>21810</v>
      </c>
      <c r="C5310" s="1">
        <v>2011.0</v>
      </c>
      <c r="D5310" s="2">
        <v>40557.0</v>
      </c>
      <c r="F5310" s="1" t="s">
        <v>4848</v>
      </c>
      <c r="H5310" s="3">
        <v>25.0</v>
      </c>
      <c r="I5310" s="4" t="s">
        <v>21811</v>
      </c>
      <c r="J5310" s="1" t="s">
        <v>21812</v>
      </c>
      <c r="K5310" s="1" t="s">
        <v>68</v>
      </c>
    </row>
    <row r="5311">
      <c r="A5311" s="1" t="s">
        <v>21813</v>
      </c>
      <c r="B5311" s="1" t="s">
        <v>21814</v>
      </c>
      <c r="C5311" s="1">
        <v>2011.0</v>
      </c>
      <c r="D5311" s="2">
        <v>40554.0</v>
      </c>
      <c r="F5311" s="1" t="s">
        <v>5824</v>
      </c>
      <c r="H5311" s="3">
        <v>21.0</v>
      </c>
      <c r="I5311" s="4" t="s">
        <v>21815</v>
      </c>
      <c r="J5311" s="1" t="s">
        <v>21816</v>
      </c>
      <c r="K5311" s="1" t="s">
        <v>28</v>
      </c>
    </row>
    <row r="5312">
      <c r="A5312" s="1" t="s">
        <v>21817</v>
      </c>
      <c r="B5312" s="1" t="s">
        <v>21818</v>
      </c>
      <c r="C5312" s="1">
        <v>2011.0</v>
      </c>
      <c r="D5312" s="2">
        <v>40551.0</v>
      </c>
      <c r="F5312" s="1" t="s">
        <v>1366</v>
      </c>
      <c r="H5312" s="3">
        <v>84.0</v>
      </c>
      <c r="I5312" s="4" t="s">
        <v>21819</v>
      </c>
      <c r="J5312" s="1" t="s">
        <v>21820</v>
      </c>
      <c r="K5312" s="1" t="s">
        <v>16</v>
      </c>
    </row>
    <row r="5313">
      <c r="A5313" s="1" t="s">
        <v>21821</v>
      </c>
      <c r="B5313" s="1" t="s">
        <v>21822</v>
      </c>
      <c r="C5313" s="1">
        <v>2011.0</v>
      </c>
      <c r="D5313" s="2">
        <v>40548.0</v>
      </c>
      <c r="F5313" s="1" t="s">
        <v>21717</v>
      </c>
      <c r="H5313" s="3">
        <v>27.0</v>
      </c>
      <c r="I5313" s="4" t="s">
        <v>21823</v>
      </c>
      <c r="J5313" s="1" t="s">
        <v>21824</v>
      </c>
      <c r="K5313" s="1" t="s">
        <v>68</v>
      </c>
    </row>
    <row r="5314">
      <c r="A5314" s="1" t="s">
        <v>21825</v>
      </c>
      <c r="B5314" s="1" t="s">
        <v>21826</v>
      </c>
      <c r="C5314" s="1">
        <v>2011.0</v>
      </c>
      <c r="D5314" s="2">
        <v>40544.0</v>
      </c>
      <c r="F5314" s="1" t="s">
        <v>12330</v>
      </c>
      <c r="H5314" s="3">
        <v>5.0</v>
      </c>
      <c r="I5314" s="4" t="s">
        <v>21827</v>
      </c>
      <c r="J5314" s="1" t="s">
        <v>21828</v>
      </c>
      <c r="K5314" s="1" t="s">
        <v>323</v>
      </c>
    </row>
    <row r="5315">
      <c r="A5315" s="1" t="s">
        <v>21829</v>
      </c>
      <c r="B5315" s="1" t="s">
        <v>18148</v>
      </c>
      <c r="C5315" s="1">
        <v>2011.0</v>
      </c>
      <c r="D5315" s="2">
        <v>40544.0</v>
      </c>
      <c r="F5315" s="1" t="s">
        <v>440</v>
      </c>
      <c r="H5315" s="3">
        <v>56.0</v>
      </c>
      <c r="I5315" s="4" t="s">
        <v>21830</v>
      </c>
      <c r="J5315" s="1" t="s">
        <v>21831</v>
      </c>
      <c r="K5315" s="1" t="s">
        <v>28</v>
      </c>
    </row>
    <row r="5316">
      <c r="A5316" s="1" t="s">
        <v>21832</v>
      </c>
      <c r="B5316" s="1" t="s">
        <v>21833</v>
      </c>
      <c r="C5316" s="1">
        <v>2011.0</v>
      </c>
      <c r="D5316" s="2">
        <v>40544.0</v>
      </c>
      <c r="F5316" s="1" t="s">
        <v>21834</v>
      </c>
      <c r="H5316" s="3">
        <v>11.0</v>
      </c>
      <c r="I5316" s="4" t="s">
        <v>21835</v>
      </c>
      <c r="J5316" s="1" t="s">
        <v>21836</v>
      </c>
      <c r="K5316" s="1" t="s">
        <v>295</v>
      </c>
    </row>
    <row r="5317">
      <c r="A5317" s="1" t="s">
        <v>21837</v>
      </c>
      <c r="B5317" s="1" t="s">
        <v>21838</v>
      </c>
      <c r="C5317" s="1">
        <v>2011.0</v>
      </c>
      <c r="D5317" s="2">
        <v>40544.0</v>
      </c>
      <c r="F5317" s="1" t="s">
        <v>1050</v>
      </c>
      <c r="H5317" s="3">
        <v>3.0</v>
      </c>
      <c r="I5317" s="4" t="s">
        <v>21839</v>
      </c>
      <c r="J5317" s="1" t="s">
        <v>21840</v>
      </c>
      <c r="K5317" s="1" t="s">
        <v>492</v>
      </c>
    </row>
    <row r="5318">
      <c r="A5318" s="1" t="s">
        <v>21841</v>
      </c>
      <c r="B5318" s="1" t="s">
        <v>12463</v>
      </c>
      <c r="C5318" s="1">
        <v>2011.0</v>
      </c>
      <c r="D5318" s="2">
        <v>40544.0</v>
      </c>
      <c r="F5318" s="1" t="s">
        <v>21530</v>
      </c>
      <c r="H5318" s="3">
        <v>3.0</v>
      </c>
      <c r="I5318" s="4" t="s">
        <v>21842</v>
      </c>
      <c r="J5318" s="1" t="s">
        <v>21843</v>
      </c>
      <c r="K5318" s="1" t="s">
        <v>68</v>
      </c>
    </row>
    <row r="5319">
      <c r="A5319" s="1" t="s">
        <v>21844</v>
      </c>
      <c r="B5319" s="1" t="s">
        <v>20414</v>
      </c>
      <c r="C5319" s="1">
        <v>2011.0</v>
      </c>
      <c r="D5319" s="2">
        <v>40544.0</v>
      </c>
      <c r="F5319" s="1" t="s">
        <v>1050</v>
      </c>
      <c r="H5319" s="3">
        <v>0.0</v>
      </c>
      <c r="I5319" s="4" t="s">
        <v>21845</v>
      </c>
      <c r="J5319" s="1" t="s">
        <v>21846</v>
      </c>
      <c r="K5319" s="1" t="s">
        <v>68</v>
      </c>
    </row>
    <row r="5320">
      <c r="A5320" s="1" t="s">
        <v>21847</v>
      </c>
      <c r="B5320" s="1" t="s">
        <v>21848</v>
      </c>
      <c r="C5320" s="1">
        <v>2010.0</v>
      </c>
      <c r="D5320" s="2">
        <v>40543.0</v>
      </c>
      <c r="F5320" s="1" t="s">
        <v>3468</v>
      </c>
      <c r="H5320" s="3">
        <v>21.0</v>
      </c>
      <c r="I5320" s="4" t="s">
        <v>21849</v>
      </c>
      <c r="J5320" s="1" t="s">
        <v>21850</v>
      </c>
      <c r="K5320" s="1" t="s">
        <v>28</v>
      </c>
    </row>
    <row r="5321">
      <c r="A5321" s="1" t="s">
        <v>21851</v>
      </c>
      <c r="B5321" s="1" t="s">
        <v>21852</v>
      </c>
      <c r="C5321" s="1">
        <v>2010.0</v>
      </c>
      <c r="D5321" s="2">
        <v>40539.0</v>
      </c>
      <c r="F5321" s="1" t="s">
        <v>21853</v>
      </c>
      <c r="H5321" s="3">
        <v>159.0</v>
      </c>
      <c r="I5321" s="4" t="s">
        <v>21854</v>
      </c>
      <c r="J5321" s="1" t="s">
        <v>21855</v>
      </c>
      <c r="K5321" s="1" t="s">
        <v>16</v>
      </c>
    </row>
    <row r="5322">
      <c r="A5322" s="1" t="s">
        <v>21856</v>
      </c>
      <c r="B5322" s="1" t="s">
        <v>21857</v>
      </c>
      <c r="C5322" s="1">
        <v>2010.0</v>
      </c>
      <c r="D5322" s="2">
        <v>40534.0</v>
      </c>
      <c r="F5322" s="1" t="s">
        <v>4197</v>
      </c>
      <c r="H5322" s="3">
        <v>25.0</v>
      </c>
      <c r="I5322" s="4" t="s">
        <v>21858</v>
      </c>
      <c r="J5322" s="1" t="s">
        <v>21859</v>
      </c>
      <c r="K5322" s="1" t="s">
        <v>323</v>
      </c>
    </row>
    <row r="5323">
      <c r="A5323" s="1" t="s">
        <v>21860</v>
      </c>
      <c r="B5323" s="1" t="s">
        <v>21861</v>
      </c>
      <c r="C5323" s="1">
        <v>2010.0</v>
      </c>
      <c r="D5323" s="2">
        <v>40527.0</v>
      </c>
      <c r="F5323" s="1" t="s">
        <v>16385</v>
      </c>
      <c r="H5323" s="3">
        <v>37.0</v>
      </c>
      <c r="I5323" s="4" t="s">
        <v>21862</v>
      </c>
      <c r="J5323" s="1" t="s">
        <v>21863</v>
      </c>
      <c r="K5323" s="1" t="s">
        <v>323</v>
      </c>
    </row>
    <row r="5324">
      <c r="A5324" s="1" t="s">
        <v>21864</v>
      </c>
      <c r="B5324" s="1" t="s">
        <v>21865</v>
      </c>
      <c r="C5324" s="1">
        <v>2010.0</v>
      </c>
      <c r="D5324" s="2">
        <v>40525.0</v>
      </c>
      <c r="F5324" s="1" t="s">
        <v>7495</v>
      </c>
      <c r="H5324" s="3">
        <v>130.0</v>
      </c>
      <c r="I5324" s="4" t="s">
        <v>21866</v>
      </c>
      <c r="J5324" s="1" t="s">
        <v>21867</v>
      </c>
      <c r="K5324" s="1" t="s">
        <v>418</v>
      </c>
    </row>
    <row r="5325">
      <c r="A5325" s="1" t="s">
        <v>21868</v>
      </c>
      <c r="B5325" s="1" t="s">
        <v>21869</v>
      </c>
      <c r="C5325" s="1">
        <v>2010.0</v>
      </c>
      <c r="D5325" s="2">
        <v>40515.0</v>
      </c>
      <c r="F5325" s="1" t="s">
        <v>2671</v>
      </c>
      <c r="H5325" s="3">
        <v>15.0</v>
      </c>
      <c r="I5325" s="4" t="s">
        <v>21870</v>
      </c>
      <c r="J5325" s="1" t="s">
        <v>21871</v>
      </c>
      <c r="K5325" s="1" t="s">
        <v>443</v>
      </c>
    </row>
    <row r="5326">
      <c r="A5326" s="1" t="s">
        <v>21872</v>
      </c>
      <c r="B5326" s="1" t="s">
        <v>21873</v>
      </c>
      <c r="C5326" s="1">
        <v>2010.0</v>
      </c>
      <c r="D5326" s="2">
        <v>40513.0</v>
      </c>
      <c r="F5326" s="1" t="s">
        <v>21643</v>
      </c>
      <c r="H5326" s="3">
        <v>10.0</v>
      </c>
      <c r="I5326" s="4" t="s">
        <v>21874</v>
      </c>
      <c r="J5326" s="1" t="s">
        <v>21875</v>
      </c>
      <c r="K5326" s="1" t="s">
        <v>295</v>
      </c>
    </row>
    <row r="5327">
      <c r="A5327" s="1" t="s">
        <v>21876</v>
      </c>
      <c r="B5327" s="1" t="s">
        <v>21877</v>
      </c>
      <c r="C5327" s="1">
        <v>2010.0</v>
      </c>
      <c r="D5327" s="2">
        <v>40513.0</v>
      </c>
      <c r="F5327" s="1" t="s">
        <v>489</v>
      </c>
      <c r="H5327" s="3">
        <v>47.0</v>
      </c>
      <c r="I5327" s="4" t="s">
        <v>21878</v>
      </c>
      <c r="J5327" s="1" t="s">
        <v>21879</v>
      </c>
      <c r="K5327" s="1" t="s">
        <v>323</v>
      </c>
    </row>
    <row r="5328">
      <c r="A5328" s="1" t="s">
        <v>21880</v>
      </c>
      <c r="B5328" s="1" t="s">
        <v>21881</v>
      </c>
      <c r="C5328" s="1">
        <v>2010.0</v>
      </c>
      <c r="D5328" s="2">
        <v>40513.0</v>
      </c>
      <c r="F5328" s="1" t="s">
        <v>21643</v>
      </c>
      <c r="H5328" s="3">
        <v>9.0</v>
      </c>
      <c r="I5328" s="4" t="s">
        <v>21882</v>
      </c>
      <c r="J5328" s="1" t="s">
        <v>21883</v>
      </c>
      <c r="K5328" s="1" t="s">
        <v>295</v>
      </c>
    </row>
    <row r="5329">
      <c r="A5329" s="1" t="s">
        <v>21884</v>
      </c>
      <c r="B5329" s="1" t="s">
        <v>21885</v>
      </c>
      <c r="C5329" s="1">
        <v>2010.0</v>
      </c>
      <c r="D5329" s="2">
        <v>40512.0</v>
      </c>
      <c r="F5329" s="1" t="s">
        <v>21886</v>
      </c>
      <c r="H5329" s="3">
        <v>31.0</v>
      </c>
      <c r="I5329" s="4" t="s">
        <v>21887</v>
      </c>
      <c r="J5329" s="1" t="s">
        <v>21888</v>
      </c>
      <c r="K5329" s="1" t="s">
        <v>16</v>
      </c>
    </row>
    <row r="5330">
      <c r="A5330" s="1" t="s">
        <v>21889</v>
      </c>
      <c r="B5330" s="1" t="s">
        <v>21890</v>
      </c>
      <c r="C5330" s="1">
        <v>2010.0</v>
      </c>
      <c r="D5330" s="2">
        <v>40507.0</v>
      </c>
      <c r="F5330" s="1" t="s">
        <v>4235</v>
      </c>
      <c r="H5330" s="3">
        <v>23.0</v>
      </c>
      <c r="I5330" s="4" t="s">
        <v>21891</v>
      </c>
      <c r="J5330" s="1" t="s">
        <v>21892</v>
      </c>
      <c r="K5330" s="1" t="s">
        <v>383</v>
      </c>
    </row>
    <row r="5331">
      <c r="A5331" s="1" t="s">
        <v>21893</v>
      </c>
      <c r="B5331" s="1" t="s">
        <v>21894</v>
      </c>
      <c r="C5331" s="1">
        <v>2010.0</v>
      </c>
      <c r="D5331" s="2">
        <v>40496.0</v>
      </c>
      <c r="F5331" s="1" t="s">
        <v>410</v>
      </c>
      <c r="H5331" s="3">
        <v>62.0</v>
      </c>
      <c r="I5331" s="4" t="s">
        <v>21895</v>
      </c>
      <c r="J5331" s="1" t="s">
        <v>21896</v>
      </c>
      <c r="K5331" s="1" t="s">
        <v>1036</v>
      </c>
    </row>
    <row r="5332">
      <c r="A5332" s="1" t="s">
        <v>21897</v>
      </c>
      <c r="B5332" s="1" t="s">
        <v>21898</v>
      </c>
      <c r="C5332" s="1">
        <v>2010.0</v>
      </c>
      <c r="D5332" s="2">
        <v>40493.0</v>
      </c>
      <c r="F5332" s="1" t="s">
        <v>7158</v>
      </c>
      <c r="H5332" s="3">
        <v>42.0</v>
      </c>
      <c r="I5332" s="4" t="s">
        <v>21899</v>
      </c>
      <c r="J5332" s="1" t="s">
        <v>21900</v>
      </c>
      <c r="K5332" s="1" t="s">
        <v>16</v>
      </c>
    </row>
    <row r="5333">
      <c r="A5333" s="1" t="s">
        <v>21901</v>
      </c>
      <c r="B5333" s="1" t="s">
        <v>21902</v>
      </c>
      <c r="C5333" s="1">
        <v>2010.0</v>
      </c>
      <c r="D5333" s="2">
        <v>40490.0</v>
      </c>
      <c r="F5333" s="1" t="s">
        <v>375</v>
      </c>
      <c r="H5333" s="3">
        <v>50.0</v>
      </c>
      <c r="I5333" s="4" t="s">
        <v>21903</v>
      </c>
      <c r="J5333" s="1" t="s">
        <v>21904</v>
      </c>
      <c r="K5333" s="1" t="s">
        <v>295</v>
      </c>
    </row>
    <row r="5334">
      <c r="A5334" s="1" t="s">
        <v>21905</v>
      </c>
      <c r="B5334" s="1" t="s">
        <v>21906</v>
      </c>
      <c r="C5334" s="1">
        <v>2010.0</v>
      </c>
      <c r="D5334" s="2">
        <v>40490.0</v>
      </c>
      <c r="F5334" s="1" t="s">
        <v>396</v>
      </c>
      <c r="H5334" s="3">
        <v>20.0</v>
      </c>
      <c r="I5334" s="4" t="s">
        <v>21907</v>
      </c>
      <c r="J5334" s="1"/>
      <c r="K5334" s="1" t="s">
        <v>16</v>
      </c>
    </row>
    <row r="5335">
      <c r="A5335" s="1" t="s">
        <v>21908</v>
      </c>
      <c r="B5335" s="1" t="s">
        <v>21909</v>
      </c>
      <c r="C5335" s="1">
        <v>2010.0</v>
      </c>
      <c r="D5335" s="2">
        <v>40488.0</v>
      </c>
      <c r="F5335" s="1" t="s">
        <v>12010</v>
      </c>
      <c r="H5335" s="3">
        <v>86.0</v>
      </c>
      <c r="I5335" s="4" t="s">
        <v>21910</v>
      </c>
      <c r="J5335" s="1" t="s">
        <v>21911</v>
      </c>
      <c r="K5335" s="1" t="s">
        <v>28</v>
      </c>
    </row>
    <row r="5336">
      <c r="A5336" s="1" t="s">
        <v>21912</v>
      </c>
      <c r="B5336" s="1" t="s">
        <v>21913</v>
      </c>
      <c r="C5336" s="1">
        <v>2010.0</v>
      </c>
      <c r="D5336" s="2">
        <v>40473.0</v>
      </c>
      <c r="F5336" s="1" t="s">
        <v>218</v>
      </c>
      <c r="H5336" s="3">
        <v>31.0</v>
      </c>
      <c r="I5336" s="4" t="s">
        <v>21914</v>
      </c>
      <c r="J5336" s="1" t="s">
        <v>21915</v>
      </c>
      <c r="K5336" s="1" t="s">
        <v>383</v>
      </c>
    </row>
    <row r="5337">
      <c r="A5337" s="1" t="s">
        <v>21916</v>
      </c>
      <c r="B5337" s="1" t="s">
        <v>21917</v>
      </c>
      <c r="C5337" s="1">
        <v>2010.0</v>
      </c>
      <c r="D5337" s="2">
        <v>40471.0</v>
      </c>
      <c r="F5337" s="1" t="s">
        <v>410</v>
      </c>
      <c r="H5337" s="3">
        <v>20.0</v>
      </c>
      <c r="I5337" s="4" t="s">
        <v>21918</v>
      </c>
      <c r="J5337" s="1" t="s">
        <v>21919</v>
      </c>
      <c r="K5337" s="1" t="s">
        <v>413</v>
      </c>
    </row>
    <row r="5338">
      <c r="A5338" s="1" t="s">
        <v>21920</v>
      </c>
      <c r="B5338" s="1" t="s">
        <v>21921</v>
      </c>
      <c r="C5338" s="1">
        <v>2010.0</v>
      </c>
      <c r="D5338" s="2">
        <v>40455.0</v>
      </c>
      <c r="F5338" s="1" t="s">
        <v>3463</v>
      </c>
      <c r="H5338" s="3">
        <v>53.0</v>
      </c>
      <c r="I5338" s="4" t="s">
        <v>21922</v>
      </c>
      <c r="J5338" s="1" t="s">
        <v>21923</v>
      </c>
      <c r="K5338" s="1" t="s">
        <v>28</v>
      </c>
    </row>
    <row r="5339">
      <c r="A5339" s="1" t="s">
        <v>21924</v>
      </c>
      <c r="B5339" s="1" t="s">
        <v>21925</v>
      </c>
      <c r="C5339" s="1">
        <v>2010.0</v>
      </c>
      <c r="D5339" s="2">
        <v>40452.0</v>
      </c>
      <c r="F5339" s="1" t="s">
        <v>21926</v>
      </c>
      <c r="H5339" s="3">
        <v>48.0</v>
      </c>
      <c r="I5339" s="4" t="s">
        <v>21927</v>
      </c>
      <c r="J5339" s="1" t="s">
        <v>21928</v>
      </c>
      <c r="K5339" s="1" t="s">
        <v>323</v>
      </c>
    </row>
    <row r="5340">
      <c r="A5340" s="1" t="s">
        <v>21929</v>
      </c>
      <c r="B5340" s="1" t="s">
        <v>21930</v>
      </c>
      <c r="C5340" s="1">
        <v>2010.0</v>
      </c>
      <c r="D5340" s="2">
        <v>40452.0</v>
      </c>
      <c r="F5340" s="1" t="s">
        <v>1410</v>
      </c>
      <c r="H5340" s="3">
        <v>24.0</v>
      </c>
      <c r="I5340" s="4" t="s">
        <v>21931</v>
      </c>
      <c r="J5340" s="1" t="s">
        <v>21932</v>
      </c>
      <c r="K5340" s="1" t="s">
        <v>323</v>
      </c>
    </row>
    <row r="5341">
      <c r="A5341" s="1" t="s">
        <v>21933</v>
      </c>
      <c r="B5341" s="1" t="s">
        <v>21934</v>
      </c>
      <c r="C5341" s="1">
        <v>2010.0</v>
      </c>
      <c r="D5341" s="2">
        <v>40451.0</v>
      </c>
      <c r="F5341" s="1" t="s">
        <v>6188</v>
      </c>
      <c r="H5341" s="3">
        <v>4.0</v>
      </c>
      <c r="I5341" s="4" t="s">
        <v>21935</v>
      </c>
      <c r="J5341" s="1" t="s">
        <v>21936</v>
      </c>
      <c r="K5341" s="1" t="s">
        <v>329</v>
      </c>
    </row>
    <row r="5342">
      <c r="A5342" s="1" t="s">
        <v>21937</v>
      </c>
      <c r="B5342" s="1" t="s">
        <v>21938</v>
      </c>
      <c r="C5342" s="1">
        <v>2010.0</v>
      </c>
      <c r="D5342" s="2">
        <v>40449.0</v>
      </c>
      <c r="F5342" s="1" t="s">
        <v>2191</v>
      </c>
      <c r="H5342" s="3">
        <v>36.0</v>
      </c>
      <c r="I5342" s="4" t="s">
        <v>21939</v>
      </c>
      <c r="J5342" s="1" t="s">
        <v>21940</v>
      </c>
      <c r="K5342" s="1" t="s">
        <v>295</v>
      </c>
    </row>
    <row r="5343">
      <c r="A5343" s="1" t="s">
        <v>21941</v>
      </c>
      <c r="B5343" s="1" t="s">
        <v>21942</v>
      </c>
      <c r="C5343" s="1">
        <v>2010.0</v>
      </c>
      <c r="D5343" s="2">
        <v>40445.0</v>
      </c>
      <c r="F5343" s="1" t="s">
        <v>3340</v>
      </c>
      <c r="H5343" s="3">
        <v>217.0</v>
      </c>
      <c r="I5343" s="4" t="s">
        <v>21943</v>
      </c>
      <c r="J5343" s="1" t="s">
        <v>21944</v>
      </c>
      <c r="K5343" s="1" t="s">
        <v>413</v>
      </c>
    </row>
    <row r="5344">
      <c r="A5344" s="1" t="s">
        <v>21945</v>
      </c>
      <c r="B5344" s="1" t="s">
        <v>21946</v>
      </c>
      <c r="C5344" s="1">
        <v>2010.0</v>
      </c>
      <c r="D5344" s="2">
        <v>40437.0</v>
      </c>
      <c r="F5344" s="1" t="s">
        <v>15437</v>
      </c>
      <c r="H5344" s="3">
        <v>32.0</v>
      </c>
      <c r="I5344" s="4" t="s">
        <v>21947</v>
      </c>
      <c r="J5344" s="1" t="s">
        <v>21948</v>
      </c>
      <c r="K5344" s="1" t="s">
        <v>323</v>
      </c>
    </row>
    <row r="5345">
      <c r="A5345" s="1" t="s">
        <v>21949</v>
      </c>
      <c r="B5345" s="1" t="s">
        <v>21950</v>
      </c>
      <c r="C5345" s="1">
        <v>2010.0</v>
      </c>
      <c r="D5345" s="2">
        <v>40423.0</v>
      </c>
      <c r="F5345" s="1" t="s">
        <v>16481</v>
      </c>
      <c r="H5345" s="3">
        <v>154.0</v>
      </c>
      <c r="I5345" s="4" t="s">
        <v>21951</v>
      </c>
      <c r="J5345" s="1" t="s">
        <v>21952</v>
      </c>
      <c r="K5345" s="1" t="s">
        <v>16</v>
      </c>
    </row>
    <row r="5346">
      <c r="A5346" s="1" t="s">
        <v>21953</v>
      </c>
      <c r="B5346" s="1" t="s">
        <v>21954</v>
      </c>
      <c r="C5346" s="1">
        <v>2010.0</v>
      </c>
      <c r="D5346" s="2">
        <v>40422.0</v>
      </c>
      <c r="F5346" s="1" t="s">
        <v>21724</v>
      </c>
      <c r="H5346" s="3">
        <v>37.0</v>
      </c>
      <c r="I5346" s="4" t="s">
        <v>21955</v>
      </c>
      <c r="J5346" s="1" t="s">
        <v>21956</v>
      </c>
      <c r="K5346" s="1" t="s">
        <v>383</v>
      </c>
    </row>
    <row r="5347">
      <c r="A5347" s="1" t="s">
        <v>21957</v>
      </c>
      <c r="B5347" s="1" t="s">
        <v>21958</v>
      </c>
      <c r="C5347" s="1">
        <v>2010.0</v>
      </c>
      <c r="D5347" s="2">
        <v>40421.0</v>
      </c>
      <c r="F5347" s="1" t="s">
        <v>25</v>
      </c>
      <c r="H5347" s="3">
        <v>179.0</v>
      </c>
      <c r="I5347" s="4" t="s">
        <v>21959</v>
      </c>
      <c r="J5347" s="1" t="s">
        <v>21960</v>
      </c>
      <c r="K5347" s="1" t="s">
        <v>28</v>
      </c>
    </row>
    <row r="5348">
      <c r="A5348" s="1" t="s">
        <v>21961</v>
      </c>
      <c r="B5348" s="1" t="s">
        <v>21962</v>
      </c>
      <c r="C5348" s="1">
        <v>2010.0</v>
      </c>
      <c r="D5348" s="2">
        <v>40417.0</v>
      </c>
      <c r="F5348" s="1" t="s">
        <v>8984</v>
      </c>
      <c r="H5348" s="3">
        <v>6.0</v>
      </c>
      <c r="I5348" s="4" t="s">
        <v>21963</v>
      </c>
      <c r="J5348" s="1" t="s">
        <v>21964</v>
      </c>
      <c r="K5348" s="1" t="s">
        <v>16</v>
      </c>
    </row>
    <row r="5349">
      <c r="A5349" s="1" t="s">
        <v>21965</v>
      </c>
      <c r="B5349" s="1" t="s">
        <v>21966</v>
      </c>
      <c r="C5349" s="1">
        <v>2010.0</v>
      </c>
      <c r="D5349" s="2">
        <v>40409.0</v>
      </c>
      <c r="F5349" s="1" t="s">
        <v>4217</v>
      </c>
      <c r="H5349" s="3">
        <v>4.0</v>
      </c>
      <c r="I5349" s="4" t="s">
        <v>21967</v>
      </c>
      <c r="J5349" s="1" t="s">
        <v>21968</v>
      </c>
      <c r="K5349" s="1" t="s">
        <v>295</v>
      </c>
    </row>
    <row r="5350">
      <c r="A5350" s="1" t="s">
        <v>21969</v>
      </c>
      <c r="B5350" s="1" t="s">
        <v>21970</v>
      </c>
      <c r="C5350" s="1">
        <v>2010.0</v>
      </c>
      <c r="D5350" s="2">
        <v>40396.0</v>
      </c>
      <c r="F5350" s="1" t="s">
        <v>21971</v>
      </c>
      <c r="H5350" s="3">
        <v>35.0</v>
      </c>
      <c r="I5350" s="4" t="s">
        <v>21972</v>
      </c>
      <c r="J5350" s="1" t="s">
        <v>21973</v>
      </c>
      <c r="K5350" s="1" t="s">
        <v>28</v>
      </c>
    </row>
    <row r="5351">
      <c r="A5351" s="1" t="s">
        <v>21974</v>
      </c>
      <c r="B5351" s="1" t="s">
        <v>21975</v>
      </c>
      <c r="C5351" s="1">
        <v>2010.0</v>
      </c>
      <c r="D5351" s="2">
        <v>40394.0</v>
      </c>
      <c r="F5351" s="1" t="s">
        <v>676</v>
      </c>
      <c r="H5351" s="3">
        <v>112.0</v>
      </c>
      <c r="I5351" s="4" t="s">
        <v>21976</v>
      </c>
      <c r="J5351" s="1" t="s">
        <v>21977</v>
      </c>
      <c r="K5351" s="1" t="s">
        <v>16</v>
      </c>
    </row>
    <row r="5352">
      <c r="A5352" s="1" t="s">
        <v>21978</v>
      </c>
      <c r="B5352" s="1" t="s">
        <v>21979</v>
      </c>
      <c r="C5352" s="1">
        <v>2010.0</v>
      </c>
      <c r="D5352" s="2">
        <v>40391.0</v>
      </c>
      <c r="F5352" s="1" t="s">
        <v>12651</v>
      </c>
      <c r="H5352" s="3">
        <v>26.0</v>
      </c>
      <c r="I5352" s="4" t="s">
        <v>21980</v>
      </c>
      <c r="J5352" s="1" t="s">
        <v>21981</v>
      </c>
      <c r="K5352" s="1" t="s">
        <v>16</v>
      </c>
    </row>
    <row r="5353">
      <c r="A5353" s="1" t="s">
        <v>21982</v>
      </c>
      <c r="B5353" s="1" t="s">
        <v>21983</v>
      </c>
      <c r="C5353" s="1">
        <v>2010.0</v>
      </c>
      <c r="D5353" s="2">
        <v>40385.0</v>
      </c>
      <c r="F5353" s="1" t="s">
        <v>21984</v>
      </c>
      <c r="H5353" s="3">
        <v>5.0</v>
      </c>
      <c r="I5353" s="4" t="s">
        <v>21985</v>
      </c>
      <c r="J5353" s="1" t="s">
        <v>21986</v>
      </c>
      <c r="K5353" s="1" t="s">
        <v>329</v>
      </c>
    </row>
    <row r="5354">
      <c r="A5354" s="1" t="s">
        <v>21987</v>
      </c>
      <c r="B5354" s="1" t="s">
        <v>21988</v>
      </c>
      <c r="C5354" s="1">
        <v>2010.0</v>
      </c>
      <c r="D5354" s="2">
        <v>40382.0</v>
      </c>
      <c r="F5354" s="1" t="s">
        <v>2693</v>
      </c>
      <c r="H5354" s="3">
        <v>13.0</v>
      </c>
      <c r="I5354" s="4" t="s">
        <v>21989</v>
      </c>
      <c r="J5354" s="1" t="s">
        <v>21990</v>
      </c>
      <c r="K5354" s="1" t="s">
        <v>68</v>
      </c>
    </row>
    <row r="5355">
      <c r="A5355" s="1" t="s">
        <v>21991</v>
      </c>
      <c r="B5355" s="1" t="s">
        <v>21992</v>
      </c>
      <c r="C5355" s="1">
        <v>2010.0</v>
      </c>
      <c r="D5355" s="2">
        <v>40376.0</v>
      </c>
      <c r="F5355" s="1" t="s">
        <v>21993</v>
      </c>
      <c r="H5355" s="3">
        <v>10.0</v>
      </c>
      <c r="I5355" s="4" t="s">
        <v>21994</v>
      </c>
      <c r="J5355" s="1" t="s">
        <v>21995</v>
      </c>
      <c r="K5355" s="1" t="s">
        <v>443</v>
      </c>
    </row>
    <row r="5356">
      <c r="A5356" s="1" t="s">
        <v>21996</v>
      </c>
      <c r="B5356" s="1" t="s">
        <v>21997</v>
      </c>
      <c r="C5356" s="1">
        <v>2010.0</v>
      </c>
      <c r="D5356" s="2">
        <v>40365.0</v>
      </c>
      <c r="F5356" s="1" t="s">
        <v>615</v>
      </c>
      <c r="H5356" s="3">
        <v>6.0</v>
      </c>
      <c r="I5356" s="4" t="s">
        <v>21998</v>
      </c>
      <c r="J5356" s="1" t="s">
        <v>21999</v>
      </c>
      <c r="K5356" s="1" t="s">
        <v>295</v>
      </c>
    </row>
    <row r="5357">
      <c r="A5357" s="1" t="s">
        <v>22000</v>
      </c>
      <c r="B5357" s="1" t="s">
        <v>22001</v>
      </c>
      <c r="C5357" s="1">
        <v>2010.0</v>
      </c>
      <c r="D5357" s="2">
        <v>40360.0</v>
      </c>
      <c r="F5357" s="1" t="s">
        <v>5554</v>
      </c>
      <c r="H5357" s="3">
        <v>19.0</v>
      </c>
      <c r="I5357" s="4" t="s">
        <v>22002</v>
      </c>
      <c r="J5357" s="1" t="s">
        <v>22003</v>
      </c>
      <c r="K5357" s="1" t="s">
        <v>1036</v>
      </c>
    </row>
    <row r="5358">
      <c r="A5358" s="1" t="s">
        <v>22004</v>
      </c>
      <c r="B5358" s="1" t="s">
        <v>22005</v>
      </c>
      <c r="C5358" s="1">
        <v>2010.0</v>
      </c>
      <c r="D5358" s="2">
        <v>40360.0</v>
      </c>
      <c r="F5358" s="1" t="s">
        <v>1410</v>
      </c>
      <c r="H5358" s="3">
        <v>17.0</v>
      </c>
      <c r="I5358" s="4" t="s">
        <v>22006</v>
      </c>
      <c r="J5358" s="1" t="s">
        <v>22007</v>
      </c>
      <c r="K5358" s="1" t="s">
        <v>295</v>
      </c>
    </row>
    <row r="5359">
      <c r="A5359" s="1" t="s">
        <v>22008</v>
      </c>
      <c r="B5359" s="1" t="s">
        <v>22009</v>
      </c>
      <c r="C5359" s="1">
        <v>2010.0</v>
      </c>
      <c r="D5359" s="2">
        <v>40360.0</v>
      </c>
      <c r="F5359" s="1" t="s">
        <v>7622</v>
      </c>
      <c r="H5359" s="3">
        <v>2.0</v>
      </c>
      <c r="I5359" s="4" t="s">
        <v>22010</v>
      </c>
      <c r="J5359" s="1"/>
      <c r="K5359" s="1" t="s">
        <v>926</v>
      </c>
    </row>
    <row r="5360">
      <c r="A5360" s="1" t="s">
        <v>22011</v>
      </c>
      <c r="B5360" s="1" t="s">
        <v>22012</v>
      </c>
      <c r="C5360" s="1">
        <v>2010.0</v>
      </c>
      <c r="D5360" s="2">
        <v>40347.0</v>
      </c>
      <c r="F5360" s="1" t="s">
        <v>386</v>
      </c>
      <c r="H5360" s="3">
        <v>124.0</v>
      </c>
      <c r="I5360" s="4" t="s">
        <v>22013</v>
      </c>
      <c r="J5360" s="1" t="s">
        <v>22014</v>
      </c>
      <c r="K5360" s="1" t="s">
        <v>383</v>
      </c>
    </row>
    <row r="5361">
      <c r="A5361" s="1" t="s">
        <v>22015</v>
      </c>
      <c r="B5361" s="1" t="s">
        <v>22016</v>
      </c>
      <c r="C5361" s="1">
        <v>2010.0</v>
      </c>
      <c r="D5361" s="2">
        <v>40340.0</v>
      </c>
      <c r="F5361" s="1" t="s">
        <v>22017</v>
      </c>
      <c r="H5361" s="3">
        <v>14.0</v>
      </c>
      <c r="I5361" s="4" t="s">
        <v>22018</v>
      </c>
      <c r="J5361" s="1" t="s">
        <v>22019</v>
      </c>
      <c r="K5361" s="1" t="s">
        <v>323</v>
      </c>
    </row>
    <row r="5362">
      <c r="A5362" s="1" t="s">
        <v>22020</v>
      </c>
      <c r="B5362" s="1" t="s">
        <v>22021</v>
      </c>
      <c r="C5362" s="1">
        <v>2010.0</v>
      </c>
      <c r="D5362" s="2">
        <v>40337.0</v>
      </c>
      <c r="F5362" s="1" t="s">
        <v>308</v>
      </c>
      <c r="H5362" s="3">
        <v>10.0</v>
      </c>
      <c r="I5362" s="4" t="s">
        <v>22022</v>
      </c>
      <c r="J5362" s="1" t="s">
        <v>22023</v>
      </c>
      <c r="K5362" s="1" t="s">
        <v>16</v>
      </c>
    </row>
    <row r="5363">
      <c r="A5363" s="1" t="s">
        <v>22024</v>
      </c>
      <c r="B5363" s="1" t="s">
        <v>22025</v>
      </c>
      <c r="C5363" s="1">
        <v>2010.0</v>
      </c>
      <c r="D5363" s="2">
        <v>40330.0</v>
      </c>
      <c r="F5363" s="1" t="s">
        <v>15289</v>
      </c>
      <c r="H5363" s="3">
        <v>2.0</v>
      </c>
      <c r="I5363" s="4" t="s">
        <v>22026</v>
      </c>
      <c r="J5363" s="1" t="s">
        <v>22027</v>
      </c>
      <c r="K5363" s="1" t="s">
        <v>323</v>
      </c>
    </row>
    <row r="5364">
      <c r="A5364" s="1" t="s">
        <v>22028</v>
      </c>
      <c r="B5364" s="1" t="s">
        <v>22029</v>
      </c>
      <c r="C5364" s="1">
        <v>2010.0</v>
      </c>
      <c r="D5364" s="2">
        <v>40330.0</v>
      </c>
      <c r="F5364" s="1" t="s">
        <v>1128</v>
      </c>
      <c r="H5364" s="3">
        <v>9.0</v>
      </c>
      <c r="I5364" s="4" t="s">
        <v>22030</v>
      </c>
      <c r="J5364" s="1" t="s">
        <v>22031</v>
      </c>
      <c r="K5364" s="1" t="s">
        <v>28</v>
      </c>
    </row>
    <row r="5365">
      <c r="A5365" s="1" t="s">
        <v>22032</v>
      </c>
      <c r="B5365" s="1" t="s">
        <v>22033</v>
      </c>
      <c r="C5365" s="1">
        <v>2010.0</v>
      </c>
      <c r="D5365" s="2">
        <v>40330.0</v>
      </c>
      <c r="F5365" s="1" t="s">
        <v>12651</v>
      </c>
      <c r="H5365" s="3">
        <v>2.0</v>
      </c>
      <c r="I5365" s="4" t="s">
        <v>22034</v>
      </c>
      <c r="J5365" s="1" t="s">
        <v>22035</v>
      </c>
      <c r="K5365" s="1" t="s">
        <v>383</v>
      </c>
    </row>
    <row r="5366">
      <c r="A5366" s="1" t="s">
        <v>22036</v>
      </c>
      <c r="B5366" s="1" t="s">
        <v>22037</v>
      </c>
      <c r="C5366" s="1">
        <v>2010.0</v>
      </c>
      <c r="D5366" s="2">
        <v>40322.0</v>
      </c>
      <c r="F5366" s="1" t="s">
        <v>21984</v>
      </c>
      <c r="H5366" s="3">
        <v>201.0</v>
      </c>
      <c r="I5366" s="4" t="s">
        <v>22038</v>
      </c>
      <c r="J5366" s="1" t="s">
        <v>22039</v>
      </c>
      <c r="K5366" s="1" t="s">
        <v>340</v>
      </c>
    </row>
    <row r="5367">
      <c r="A5367" s="1" t="s">
        <v>22040</v>
      </c>
      <c r="B5367" s="1" t="s">
        <v>22041</v>
      </c>
      <c r="C5367" s="1">
        <v>2010.0</v>
      </c>
      <c r="D5367" s="2">
        <v>40321.0</v>
      </c>
      <c r="F5367" s="1" t="s">
        <v>308</v>
      </c>
      <c r="H5367" s="3">
        <v>39.0</v>
      </c>
      <c r="I5367" s="4" t="s">
        <v>22042</v>
      </c>
      <c r="J5367" s="1" t="s">
        <v>22043</v>
      </c>
      <c r="K5367" s="1" t="s">
        <v>413</v>
      </c>
    </row>
    <row r="5368">
      <c r="A5368" s="1" t="s">
        <v>22044</v>
      </c>
      <c r="B5368" s="1" t="s">
        <v>22045</v>
      </c>
      <c r="C5368" s="1">
        <v>2010.0</v>
      </c>
      <c r="D5368" s="2">
        <v>40320.0</v>
      </c>
      <c r="F5368" s="1" t="s">
        <v>2611</v>
      </c>
      <c r="H5368" s="3">
        <v>8.0</v>
      </c>
      <c r="I5368" s="4" t="s">
        <v>22046</v>
      </c>
      <c r="J5368" s="1" t="s">
        <v>22047</v>
      </c>
      <c r="K5368" s="1" t="s">
        <v>68</v>
      </c>
    </row>
    <row r="5369">
      <c r="A5369" s="1" t="s">
        <v>22048</v>
      </c>
      <c r="B5369" s="1" t="s">
        <v>22049</v>
      </c>
      <c r="C5369" s="1">
        <v>2010.0</v>
      </c>
      <c r="D5369" s="2">
        <v>40310.0</v>
      </c>
      <c r="F5369" s="1" t="s">
        <v>4848</v>
      </c>
      <c r="H5369" s="3">
        <v>44.0</v>
      </c>
      <c r="I5369" s="4" t="s">
        <v>22050</v>
      </c>
      <c r="J5369" s="1" t="s">
        <v>22051</v>
      </c>
      <c r="K5369" s="1" t="s">
        <v>403</v>
      </c>
    </row>
    <row r="5370">
      <c r="A5370" s="1" t="s">
        <v>22052</v>
      </c>
      <c r="B5370" s="1" t="s">
        <v>22053</v>
      </c>
      <c r="C5370" s="1">
        <v>2010.0</v>
      </c>
      <c r="D5370" s="2">
        <v>40309.0</v>
      </c>
      <c r="F5370" s="1" t="s">
        <v>7495</v>
      </c>
      <c r="H5370" s="3">
        <v>11.0</v>
      </c>
      <c r="I5370" s="4" t="s">
        <v>22054</v>
      </c>
      <c r="J5370" s="1" t="s">
        <v>22055</v>
      </c>
      <c r="K5370" s="1" t="s">
        <v>295</v>
      </c>
    </row>
    <row r="5371">
      <c r="A5371" s="1" t="s">
        <v>22056</v>
      </c>
      <c r="B5371" s="1" t="s">
        <v>22057</v>
      </c>
      <c r="C5371" s="1">
        <v>2010.0</v>
      </c>
      <c r="D5371" s="2">
        <v>40305.0</v>
      </c>
      <c r="F5371" s="1" t="s">
        <v>15033</v>
      </c>
      <c r="H5371" s="3">
        <v>44.0</v>
      </c>
      <c r="I5371" s="4" t="s">
        <v>22058</v>
      </c>
      <c r="J5371" s="1" t="s">
        <v>22059</v>
      </c>
      <c r="K5371" s="1" t="s">
        <v>926</v>
      </c>
    </row>
    <row r="5372">
      <c r="A5372" s="1" t="s">
        <v>22060</v>
      </c>
      <c r="B5372" s="1" t="s">
        <v>22061</v>
      </c>
      <c r="C5372" s="1">
        <v>2010.0</v>
      </c>
      <c r="D5372" s="2">
        <v>40304.0</v>
      </c>
      <c r="F5372" s="1" t="s">
        <v>1777</v>
      </c>
      <c r="H5372" s="3">
        <v>38.0</v>
      </c>
      <c r="I5372" s="4" t="s">
        <v>22062</v>
      </c>
      <c r="J5372" s="1" t="s">
        <v>22063</v>
      </c>
      <c r="K5372" s="1" t="s">
        <v>926</v>
      </c>
    </row>
    <row r="5373">
      <c r="A5373" s="1" t="s">
        <v>22064</v>
      </c>
      <c r="B5373" s="1" t="s">
        <v>22065</v>
      </c>
      <c r="C5373" s="1">
        <v>2010.0</v>
      </c>
      <c r="D5373" s="2">
        <v>40299.0</v>
      </c>
      <c r="F5373" s="1" t="s">
        <v>1442</v>
      </c>
      <c r="H5373" s="3">
        <v>16.0</v>
      </c>
      <c r="I5373" s="4" t="s">
        <v>22066</v>
      </c>
      <c r="J5373" s="1" t="s">
        <v>22067</v>
      </c>
      <c r="K5373" s="1" t="s">
        <v>28</v>
      </c>
    </row>
    <row r="5374">
      <c r="A5374" s="1" t="s">
        <v>22068</v>
      </c>
      <c r="B5374" s="1" t="s">
        <v>22069</v>
      </c>
      <c r="C5374" s="1">
        <v>2010.0</v>
      </c>
      <c r="D5374" s="2">
        <v>40299.0</v>
      </c>
      <c r="F5374" s="1" t="s">
        <v>243</v>
      </c>
      <c r="H5374" s="3">
        <v>3.0</v>
      </c>
      <c r="I5374" s="4" t="s">
        <v>22070</v>
      </c>
      <c r="J5374" s="1" t="s">
        <v>22071</v>
      </c>
      <c r="K5374" s="1" t="s">
        <v>28</v>
      </c>
    </row>
    <row r="5375">
      <c r="A5375" s="1" t="s">
        <v>22072</v>
      </c>
      <c r="B5375" s="1" t="s">
        <v>22073</v>
      </c>
      <c r="C5375" s="1">
        <v>2010.0</v>
      </c>
      <c r="D5375" s="2">
        <v>40299.0</v>
      </c>
      <c r="F5375" s="1" t="s">
        <v>5144</v>
      </c>
      <c r="H5375" s="3">
        <v>42.0</v>
      </c>
      <c r="I5375" s="4" t="s">
        <v>22074</v>
      </c>
      <c r="J5375" s="1" t="s">
        <v>22075</v>
      </c>
      <c r="K5375" s="1" t="s">
        <v>68</v>
      </c>
    </row>
    <row r="5376">
      <c r="A5376" s="1" t="s">
        <v>22076</v>
      </c>
      <c r="B5376" s="1" t="s">
        <v>22077</v>
      </c>
      <c r="C5376" s="1">
        <v>2010.0</v>
      </c>
      <c r="D5376" s="2">
        <v>40299.0</v>
      </c>
      <c r="F5376" s="1" t="s">
        <v>22078</v>
      </c>
      <c r="H5376" s="3">
        <v>213.0</v>
      </c>
      <c r="I5376" s="4" t="s">
        <v>22079</v>
      </c>
      <c r="J5376" s="1" t="s">
        <v>22080</v>
      </c>
      <c r="K5376" s="1" t="s">
        <v>16</v>
      </c>
    </row>
    <row r="5377">
      <c r="A5377" s="1" t="s">
        <v>22081</v>
      </c>
      <c r="B5377" s="1" t="s">
        <v>22082</v>
      </c>
      <c r="C5377" s="1">
        <v>2010.0</v>
      </c>
      <c r="D5377" s="2">
        <v>40299.0</v>
      </c>
      <c r="F5377" s="1" t="s">
        <v>21643</v>
      </c>
      <c r="H5377" s="3">
        <v>389.0</v>
      </c>
      <c r="I5377" s="4" t="s">
        <v>22083</v>
      </c>
      <c r="J5377" s="1" t="s">
        <v>22084</v>
      </c>
      <c r="K5377" s="1" t="s">
        <v>16</v>
      </c>
    </row>
    <row r="5378">
      <c r="A5378" s="1" t="s">
        <v>22085</v>
      </c>
      <c r="B5378" s="1" t="s">
        <v>22086</v>
      </c>
      <c r="C5378" s="1">
        <v>2010.0</v>
      </c>
      <c r="D5378" s="2">
        <v>40297.0</v>
      </c>
      <c r="F5378" s="1" t="s">
        <v>1277</v>
      </c>
      <c r="H5378" s="3">
        <v>291.0</v>
      </c>
      <c r="I5378" s="4" t="s">
        <v>22087</v>
      </c>
      <c r="J5378" s="1" t="s">
        <v>22088</v>
      </c>
      <c r="K5378" s="1" t="s">
        <v>28</v>
      </c>
    </row>
    <row r="5379">
      <c r="A5379" s="1" t="s">
        <v>22089</v>
      </c>
      <c r="B5379" s="1" t="s">
        <v>22090</v>
      </c>
      <c r="C5379" s="1">
        <v>2010.0</v>
      </c>
      <c r="D5379" s="2">
        <v>40295.0</v>
      </c>
      <c r="F5379" s="1" t="s">
        <v>337</v>
      </c>
      <c r="H5379" s="3">
        <v>128.0</v>
      </c>
      <c r="I5379" s="4" t="s">
        <v>22091</v>
      </c>
      <c r="J5379" s="1" t="s">
        <v>22092</v>
      </c>
      <c r="K5379" s="1" t="s">
        <v>16</v>
      </c>
    </row>
    <row r="5380">
      <c r="A5380" s="1" t="s">
        <v>22093</v>
      </c>
      <c r="B5380" s="1" t="s">
        <v>22094</v>
      </c>
      <c r="C5380" s="1">
        <v>2010.0</v>
      </c>
      <c r="D5380" s="2">
        <v>40288.0</v>
      </c>
      <c r="F5380" s="1" t="s">
        <v>489</v>
      </c>
      <c r="H5380" s="3">
        <v>129.0</v>
      </c>
      <c r="I5380" s="4" t="s">
        <v>22095</v>
      </c>
      <c r="J5380" s="1" t="s">
        <v>22096</v>
      </c>
      <c r="K5380" s="1" t="s">
        <v>16</v>
      </c>
    </row>
    <row r="5381">
      <c r="A5381" s="1" t="s">
        <v>22097</v>
      </c>
      <c r="B5381" s="1" t="s">
        <v>22098</v>
      </c>
      <c r="C5381" s="1">
        <v>2010.0</v>
      </c>
      <c r="D5381" s="2">
        <v>40286.0</v>
      </c>
      <c r="F5381" s="1" t="s">
        <v>656</v>
      </c>
      <c r="H5381" s="3">
        <v>50.0</v>
      </c>
      <c r="I5381" s="4" t="s">
        <v>22099</v>
      </c>
      <c r="J5381" s="1" t="s">
        <v>22100</v>
      </c>
      <c r="K5381" s="1" t="s">
        <v>16</v>
      </c>
    </row>
    <row r="5382">
      <c r="A5382" s="1" t="s">
        <v>22101</v>
      </c>
      <c r="B5382" s="1" t="s">
        <v>22102</v>
      </c>
      <c r="C5382" s="1">
        <v>2010.0</v>
      </c>
      <c r="D5382" s="2">
        <v>40283.0</v>
      </c>
      <c r="F5382" s="1" t="s">
        <v>2906</v>
      </c>
      <c r="H5382" s="3">
        <v>13.0</v>
      </c>
      <c r="I5382" s="4" t="s">
        <v>22103</v>
      </c>
      <c r="J5382" s="1" t="s">
        <v>22104</v>
      </c>
      <c r="K5382" s="1" t="s">
        <v>383</v>
      </c>
    </row>
    <row r="5383">
      <c r="A5383" s="1" t="s">
        <v>22105</v>
      </c>
      <c r="B5383" s="1" t="s">
        <v>22106</v>
      </c>
      <c r="C5383" s="1">
        <v>2010.0</v>
      </c>
      <c r="D5383" s="2">
        <v>40269.0</v>
      </c>
      <c r="F5383" s="1" t="s">
        <v>2707</v>
      </c>
      <c r="H5383" s="3">
        <v>26.0</v>
      </c>
      <c r="I5383" s="4" t="s">
        <v>22107</v>
      </c>
      <c r="J5383" s="1" t="s">
        <v>22108</v>
      </c>
      <c r="K5383" s="1" t="s">
        <v>68</v>
      </c>
    </row>
    <row r="5384">
      <c r="A5384" s="1" t="s">
        <v>22109</v>
      </c>
      <c r="B5384" s="1" t="s">
        <v>22110</v>
      </c>
      <c r="C5384" s="1">
        <v>2010.0</v>
      </c>
      <c r="D5384" s="2">
        <v>40267.0</v>
      </c>
      <c r="F5384" s="1" t="s">
        <v>5090</v>
      </c>
      <c r="H5384" s="3">
        <v>3.0</v>
      </c>
      <c r="I5384" s="4" t="s">
        <v>22111</v>
      </c>
      <c r="J5384" s="1" t="s">
        <v>22112</v>
      </c>
      <c r="K5384" s="1" t="s">
        <v>16</v>
      </c>
    </row>
    <row r="5385">
      <c r="A5385" s="1" t="s">
        <v>22113</v>
      </c>
      <c r="B5385" s="1" t="s">
        <v>22114</v>
      </c>
      <c r="C5385" s="1">
        <v>2010.0</v>
      </c>
      <c r="D5385" s="2">
        <v>40262.0</v>
      </c>
      <c r="F5385" s="1" t="s">
        <v>208</v>
      </c>
      <c r="H5385" s="3">
        <v>129.0</v>
      </c>
      <c r="I5385" s="4" t="s">
        <v>22115</v>
      </c>
      <c r="J5385" s="1" t="s">
        <v>22116</v>
      </c>
      <c r="K5385" s="1" t="s">
        <v>443</v>
      </c>
    </row>
    <row r="5386">
      <c r="A5386" s="1" t="s">
        <v>22117</v>
      </c>
      <c r="B5386" s="1" t="s">
        <v>22118</v>
      </c>
      <c r="C5386" s="1">
        <v>2010.0</v>
      </c>
      <c r="D5386" s="2">
        <v>40261.0</v>
      </c>
      <c r="F5386" s="1" t="s">
        <v>208</v>
      </c>
      <c r="H5386" s="3">
        <v>417.0</v>
      </c>
      <c r="I5386" s="4" t="s">
        <v>22119</v>
      </c>
      <c r="J5386" s="1" t="s">
        <v>22120</v>
      </c>
      <c r="K5386" s="1" t="s">
        <v>443</v>
      </c>
    </row>
    <row r="5387">
      <c r="A5387" s="1" t="s">
        <v>22121</v>
      </c>
      <c r="B5387" s="1" t="s">
        <v>22122</v>
      </c>
      <c r="C5387" s="1">
        <v>2010.0</v>
      </c>
      <c r="D5387" s="2">
        <v>40254.0</v>
      </c>
      <c r="F5387" s="1" t="s">
        <v>6049</v>
      </c>
      <c r="H5387" s="3">
        <v>69.0</v>
      </c>
      <c r="I5387" s="4" t="s">
        <v>22123</v>
      </c>
      <c r="J5387" s="1" t="s">
        <v>22124</v>
      </c>
      <c r="K5387" s="1" t="s">
        <v>295</v>
      </c>
    </row>
    <row r="5388">
      <c r="A5388" s="1" t="s">
        <v>22125</v>
      </c>
      <c r="B5388" s="1" t="s">
        <v>22126</v>
      </c>
      <c r="C5388" s="1">
        <v>2010.0</v>
      </c>
      <c r="D5388" s="2">
        <v>40250.0</v>
      </c>
      <c r="F5388" s="1" t="s">
        <v>21607</v>
      </c>
      <c r="H5388" s="3">
        <v>16.0</v>
      </c>
      <c r="I5388" s="4" t="s">
        <v>22127</v>
      </c>
      <c r="J5388" s="1" t="s">
        <v>22128</v>
      </c>
      <c r="K5388" s="1" t="s">
        <v>383</v>
      </c>
    </row>
    <row r="5389">
      <c r="A5389" s="1" t="s">
        <v>22129</v>
      </c>
      <c r="B5389" s="1" t="s">
        <v>22130</v>
      </c>
      <c r="C5389" s="1">
        <v>2010.0</v>
      </c>
      <c r="D5389" s="2">
        <v>40248.0</v>
      </c>
      <c r="F5389" s="1" t="s">
        <v>4848</v>
      </c>
      <c r="H5389" s="3">
        <v>16.0</v>
      </c>
      <c r="I5389" s="4" t="s">
        <v>22131</v>
      </c>
      <c r="J5389" s="1" t="s">
        <v>22132</v>
      </c>
      <c r="K5389" s="1" t="s">
        <v>323</v>
      </c>
    </row>
    <row r="5390">
      <c r="A5390" s="1" t="s">
        <v>22133</v>
      </c>
      <c r="B5390" s="1" t="s">
        <v>22134</v>
      </c>
      <c r="C5390" s="1">
        <v>2010.0</v>
      </c>
      <c r="D5390" s="2">
        <v>40243.0</v>
      </c>
      <c r="F5390" s="1" t="s">
        <v>8612</v>
      </c>
      <c r="H5390" s="3">
        <v>28.0</v>
      </c>
      <c r="I5390" s="4" t="s">
        <v>22135</v>
      </c>
      <c r="J5390" s="1" t="s">
        <v>22136</v>
      </c>
      <c r="K5390" s="1" t="s">
        <v>383</v>
      </c>
    </row>
    <row r="5391">
      <c r="A5391" s="1" t="s">
        <v>22137</v>
      </c>
      <c r="B5391" s="1" t="s">
        <v>22138</v>
      </c>
      <c r="C5391" s="1">
        <v>2010.0</v>
      </c>
      <c r="D5391" s="2">
        <v>40242.0</v>
      </c>
      <c r="F5391" s="1" t="s">
        <v>22139</v>
      </c>
      <c r="H5391" s="3">
        <v>15.0</v>
      </c>
      <c r="I5391" s="4" t="s">
        <v>22140</v>
      </c>
      <c r="J5391" s="1" t="s">
        <v>22141</v>
      </c>
      <c r="K5391" s="1" t="s">
        <v>16</v>
      </c>
    </row>
    <row r="5392">
      <c r="A5392" s="1" t="s">
        <v>22142</v>
      </c>
      <c r="B5392" s="1" t="s">
        <v>22143</v>
      </c>
      <c r="C5392" s="1">
        <v>2010.0</v>
      </c>
      <c r="D5392" s="2">
        <v>40242.0</v>
      </c>
      <c r="F5392" s="1" t="s">
        <v>1366</v>
      </c>
      <c r="H5392" s="3">
        <v>477.0</v>
      </c>
      <c r="I5392" s="4" t="s">
        <v>22144</v>
      </c>
      <c r="J5392" s="1" t="s">
        <v>22145</v>
      </c>
      <c r="K5392" s="1" t="s">
        <v>16</v>
      </c>
    </row>
    <row r="5393">
      <c r="A5393" s="1" t="s">
        <v>22146</v>
      </c>
      <c r="B5393" s="1" t="s">
        <v>22147</v>
      </c>
      <c r="C5393" s="1">
        <v>2010.0</v>
      </c>
      <c r="D5393" s="2">
        <v>40240.0</v>
      </c>
      <c r="F5393" s="1" t="s">
        <v>8612</v>
      </c>
      <c r="H5393" s="3">
        <v>5.0</v>
      </c>
      <c r="I5393" s="4" t="s">
        <v>22148</v>
      </c>
      <c r="J5393" s="1" t="s">
        <v>22149</v>
      </c>
      <c r="K5393" s="1" t="s">
        <v>295</v>
      </c>
    </row>
    <row r="5394">
      <c r="A5394" s="1" t="s">
        <v>22150</v>
      </c>
      <c r="B5394" s="1" t="s">
        <v>22151</v>
      </c>
      <c r="C5394" s="1">
        <v>2010.0</v>
      </c>
      <c r="D5394" s="2">
        <v>40238.0</v>
      </c>
      <c r="F5394" s="1" t="s">
        <v>208</v>
      </c>
      <c r="H5394" s="3">
        <v>21.0</v>
      </c>
      <c r="I5394" s="4" t="s">
        <v>22152</v>
      </c>
      <c r="J5394" s="1" t="s">
        <v>22153</v>
      </c>
      <c r="K5394" s="1" t="s">
        <v>28</v>
      </c>
    </row>
    <row r="5395">
      <c r="A5395" s="1" t="s">
        <v>22154</v>
      </c>
      <c r="B5395" s="1" t="s">
        <v>22155</v>
      </c>
      <c r="C5395" s="1">
        <v>2010.0</v>
      </c>
      <c r="D5395" s="2">
        <v>40238.0</v>
      </c>
      <c r="F5395" s="1" t="s">
        <v>22156</v>
      </c>
      <c r="H5395" s="3">
        <v>4.0</v>
      </c>
      <c r="I5395" s="4" t="s">
        <v>22157</v>
      </c>
      <c r="J5395" s="1"/>
      <c r="K5395" s="1" t="s">
        <v>28</v>
      </c>
    </row>
    <row r="5396">
      <c r="A5396" s="1" t="s">
        <v>22158</v>
      </c>
      <c r="B5396" s="1" t="s">
        <v>22159</v>
      </c>
      <c r="C5396" s="1">
        <v>2010.0</v>
      </c>
      <c r="D5396" s="2">
        <v>40238.0</v>
      </c>
      <c r="F5396" s="1" t="s">
        <v>22160</v>
      </c>
      <c r="H5396" s="3">
        <v>4.0</v>
      </c>
      <c r="I5396" s="4" t="s">
        <v>22161</v>
      </c>
      <c r="J5396" s="1" t="s">
        <v>22162</v>
      </c>
      <c r="K5396" s="1" t="s">
        <v>28</v>
      </c>
    </row>
    <row r="5397">
      <c r="A5397" s="1" t="s">
        <v>22163</v>
      </c>
      <c r="B5397" s="1" t="s">
        <v>22164</v>
      </c>
      <c r="C5397" s="1">
        <v>2010.0</v>
      </c>
      <c r="D5397" s="2">
        <v>40227.0</v>
      </c>
      <c r="F5397" s="1" t="s">
        <v>3254</v>
      </c>
      <c r="H5397" s="3">
        <v>9.0</v>
      </c>
      <c r="I5397" s="4" t="s">
        <v>22165</v>
      </c>
      <c r="J5397" s="1" t="s">
        <v>22166</v>
      </c>
      <c r="K5397" s="1" t="s">
        <v>68</v>
      </c>
    </row>
    <row r="5398">
      <c r="A5398" s="1" t="s">
        <v>22167</v>
      </c>
      <c r="B5398" s="1" t="s">
        <v>22168</v>
      </c>
      <c r="C5398" s="1">
        <v>2010.0</v>
      </c>
      <c r="D5398" s="2">
        <v>40223.0</v>
      </c>
      <c r="F5398" s="1" t="s">
        <v>1040</v>
      </c>
      <c r="H5398" s="3">
        <v>11.0</v>
      </c>
      <c r="I5398" s="4" t="s">
        <v>22169</v>
      </c>
      <c r="J5398" s="1" t="s">
        <v>22170</v>
      </c>
      <c r="K5398" s="1" t="s">
        <v>383</v>
      </c>
    </row>
    <row r="5399">
      <c r="A5399" s="1" t="s">
        <v>22171</v>
      </c>
      <c r="B5399" s="1" t="s">
        <v>22172</v>
      </c>
      <c r="C5399" s="1">
        <v>2010.0</v>
      </c>
      <c r="D5399" s="2">
        <v>40223.0</v>
      </c>
      <c r="F5399" s="1" t="s">
        <v>22173</v>
      </c>
      <c r="H5399" s="3">
        <v>11.0</v>
      </c>
      <c r="I5399" s="4" t="s">
        <v>22174</v>
      </c>
      <c r="J5399" s="1" t="s">
        <v>22175</v>
      </c>
      <c r="K5399" s="1" t="s">
        <v>926</v>
      </c>
    </row>
    <row r="5400">
      <c r="A5400" s="1" t="s">
        <v>22176</v>
      </c>
      <c r="B5400" s="1" t="s">
        <v>22177</v>
      </c>
      <c r="C5400" s="1">
        <v>2010.0</v>
      </c>
      <c r="D5400" s="2">
        <v>40213.0</v>
      </c>
      <c r="F5400" s="1" t="s">
        <v>14908</v>
      </c>
      <c r="H5400" s="3">
        <v>48.0</v>
      </c>
      <c r="I5400" s="4" t="s">
        <v>22178</v>
      </c>
      <c r="J5400" s="1"/>
      <c r="K5400" s="1" t="s">
        <v>28</v>
      </c>
    </row>
    <row r="5401">
      <c r="A5401" s="1" t="s">
        <v>22179</v>
      </c>
      <c r="B5401" s="1" t="s">
        <v>22180</v>
      </c>
      <c r="C5401" s="1">
        <v>2010.0</v>
      </c>
      <c r="D5401" s="2">
        <v>40210.0</v>
      </c>
      <c r="F5401" s="1" t="s">
        <v>21643</v>
      </c>
      <c r="H5401" s="3">
        <v>25.0</v>
      </c>
      <c r="I5401" s="4" t="s">
        <v>22181</v>
      </c>
      <c r="J5401" s="1" t="s">
        <v>22182</v>
      </c>
      <c r="K5401" s="1" t="s">
        <v>1036</v>
      </c>
    </row>
    <row r="5402">
      <c r="A5402" s="1" t="s">
        <v>22183</v>
      </c>
      <c r="B5402" s="1" t="s">
        <v>22184</v>
      </c>
      <c r="C5402" s="1">
        <v>2010.0</v>
      </c>
      <c r="D5402" s="2">
        <v>40199.0</v>
      </c>
      <c r="F5402" s="1" t="s">
        <v>22185</v>
      </c>
      <c r="H5402" s="3">
        <v>50.0</v>
      </c>
      <c r="I5402" s="4" t="s">
        <v>22186</v>
      </c>
      <c r="J5402" s="1" t="s">
        <v>22187</v>
      </c>
      <c r="K5402" s="1" t="s">
        <v>413</v>
      </c>
    </row>
    <row r="5403">
      <c r="A5403" s="1" t="s">
        <v>22188</v>
      </c>
      <c r="B5403" s="1" t="s">
        <v>22189</v>
      </c>
      <c r="C5403" s="1">
        <v>2010.0</v>
      </c>
      <c r="D5403" s="2">
        <v>40183.0</v>
      </c>
      <c r="F5403" s="1" t="s">
        <v>22190</v>
      </c>
      <c r="H5403" s="3">
        <v>18.0</v>
      </c>
      <c r="I5403" s="4" t="s">
        <v>22191</v>
      </c>
      <c r="J5403" s="1" t="s">
        <v>22192</v>
      </c>
      <c r="K5403" s="1" t="s">
        <v>295</v>
      </c>
    </row>
    <row r="5404">
      <c r="A5404" s="1" t="s">
        <v>22193</v>
      </c>
      <c r="B5404" s="1" t="s">
        <v>22194</v>
      </c>
      <c r="C5404" s="1">
        <v>2010.0</v>
      </c>
      <c r="D5404" s="2">
        <v>40183.0</v>
      </c>
      <c r="F5404" s="1" t="s">
        <v>22173</v>
      </c>
      <c r="H5404" s="3">
        <v>10.0</v>
      </c>
      <c r="I5404" s="4" t="s">
        <v>22195</v>
      </c>
      <c r="J5404" s="1" t="s">
        <v>22196</v>
      </c>
      <c r="K5404" s="1" t="s">
        <v>926</v>
      </c>
    </row>
    <row r="5405">
      <c r="A5405" s="1" t="s">
        <v>22197</v>
      </c>
      <c r="B5405" s="1" t="s">
        <v>22198</v>
      </c>
      <c r="C5405" s="1">
        <v>2010.0</v>
      </c>
      <c r="D5405" s="2">
        <v>40182.0</v>
      </c>
      <c r="F5405" s="1" t="s">
        <v>286</v>
      </c>
      <c r="H5405" s="3">
        <v>9.0</v>
      </c>
      <c r="I5405" s="4" t="s">
        <v>22199</v>
      </c>
      <c r="J5405" s="1" t="s">
        <v>22200</v>
      </c>
      <c r="K5405" s="1" t="s">
        <v>295</v>
      </c>
    </row>
    <row r="5406">
      <c r="A5406" s="1" t="s">
        <v>22201</v>
      </c>
      <c r="B5406" s="1" t="s">
        <v>22202</v>
      </c>
      <c r="C5406" s="1">
        <v>2010.0</v>
      </c>
      <c r="D5406" s="2">
        <v>40179.0</v>
      </c>
      <c r="F5406" s="1" t="s">
        <v>5554</v>
      </c>
      <c r="H5406" s="3">
        <v>15.0</v>
      </c>
      <c r="I5406" s="4" t="s">
        <v>22203</v>
      </c>
      <c r="J5406" s="1" t="s">
        <v>22204</v>
      </c>
      <c r="K5406" s="1" t="s">
        <v>443</v>
      </c>
    </row>
    <row r="5407">
      <c r="A5407" s="1" t="s">
        <v>22205</v>
      </c>
      <c r="B5407" s="1" t="s">
        <v>22206</v>
      </c>
      <c r="C5407" s="1">
        <v>2010.0</v>
      </c>
      <c r="D5407" s="2">
        <v>40179.0</v>
      </c>
      <c r="F5407" s="1" t="s">
        <v>2707</v>
      </c>
      <c r="H5407" s="3">
        <v>15.0</v>
      </c>
      <c r="I5407" s="4" t="s">
        <v>22207</v>
      </c>
      <c r="J5407" s="1" t="s">
        <v>22208</v>
      </c>
      <c r="K5407" s="1" t="s">
        <v>68</v>
      </c>
    </row>
    <row r="5408">
      <c r="A5408" s="1" t="s">
        <v>22209</v>
      </c>
      <c r="B5408" s="1" t="s">
        <v>22210</v>
      </c>
      <c r="C5408" s="1">
        <v>2010.0</v>
      </c>
      <c r="D5408" s="2">
        <v>40179.0</v>
      </c>
      <c r="F5408" s="1" t="s">
        <v>1050</v>
      </c>
      <c r="H5408" s="3">
        <v>1.0</v>
      </c>
      <c r="I5408" s="4" t="s">
        <v>22211</v>
      </c>
      <c r="J5408" s="1" t="s">
        <v>22212</v>
      </c>
      <c r="K5408" s="1" t="s">
        <v>68</v>
      </c>
    </row>
    <row r="5409">
      <c r="A5409" s="1" t="s">
        <v>22213</v>
      </c>
      <c r="B5409" s="1" t="s">
        <v>21461</v>
      </c>
      <c r="C5409" s="1">
        <v>2010.0</v>
      </c>
      <c r="D5409" s="2">
        <v>40179.0</v>
      </c>
      <c r="F5409" s="1" t="s">
        <v>1050</v>
      </c>
      <c r="H5409" s="3">
        <v>0.0</v>
      </c>
      <c r="I5409" s="4" t="s">
        <v>22214</v>
      </c>
      <c r="J5409" s="1" t="s">
        <v>22215</v>
      </c>
      <c r="K5409" s="1" t="s">
        <v>16</v>
      </c>
    </row>
    <row r="5410">
      <c r="A5410" s="1" t="s">
        <v>22216</v>
      </c>
      <c r="B5410" s="1" t="s">
        <v>22217</v>
      </c>
      <c r="C5410" s="1">
        <v>2009.0</v>
      </c>
      <c r="D5410" s="2">
        <v>40176.0</v>
      </c>
      <c r="F5410" s="1" t="s">
        <v>18068</v>
      </c>
      <c r="H5410" s="3">
        <v>19.0</v>
      </c>
      <c r="I5410" s="4" t="s">
        <v>22218</v>
      </c>
      <c r="J5410" s="1" t="s">
        <v>22219</v>
      </c>
      <c r="K5410" s="1" t="s">
        <v>323</v>
      </c>
    </row>
    <row r="5411">
      <c r="A5411" s="1" t="s">
        <v>22220</v>
      </c>
      <c r="B5411" s="1" t="s">
        <v>22221</v>
      </c>
      <c r="C5411" s="1">
        <v>2009.0</v>
      </c>
      <c r="D5411" s="2">
        <v>40169.0</v>
      </c>
      <c r="F5411" s="1" t="s">
        <v>20875</v>
      </c>
      <c r="H5411" s="3">
        <v>20.0</v>
      </c>
      <c r="I5411" s="4" t="s">
        <v>22222</v>
      </c>
      <c r="J5411" s="1" t="s">
        <v>22223</v>
      </c>
      <c r="K5411" s="1" t="s">
        <v>477</v>
      </c>
    </row>
    <row r="5412">
      <c r="A5412" s="1" t="s">
        <v>22224</v>
      </c>
      <c r="B5412" s="1" t="s">
        <v>22225</v>
      </c>
      <c r="C5412" s="1">
        <v>2009.0</v>
      </c>
      <c r="D5412" s="2">
        <v>40168.0</v>
      </c>
      <c r="F5412" s="1" t="s">
        <v>4848</v>
      </c>
      <c r="H5412" s="3">
        <v>19.0</v>
      </c>
      <c r="I5412" s="4" t="s">
        <v>22226</v>
      </c>
      <c r="J5412" s="1" t="s">
        <v>22227</v>
      </c>
      <c r="K5412" s="1" t="s">
        <v>16</v>
      </c>
    </row>
    <row r="5413">
      <c r="A5413" s="1" t="s">
        <v>22228</v>
      </c>
      <c r="B5413" s="1" t="s">
        <v>22229</v>
      </c>
      <c r="C5413" s="1">
        <v>2009.0</v>
      </c>
      <c r="D5413" s="2">
        <v>40155.0</v>
      </c>
      <c r="F5413" s="1" t="s">
        <v>7495</v>
      </c>
      <c r="H5413" s="3">
        <v>40.0</v>
      </c>
      <c r="I5413" s="4" t="s">
        <v>22230</v>
      </c>
      <c r="J5413" s="1" t="s">
        <v>22231</v>
      </c>
      <c r="K5413" s="1" t="s">
        <v>383</v>
      </c>
    </row>
    <row r="5414">
      <c r="A5414" s="1" t="s">
        <v>22232</v>
      </c>
      <c r="B5414" s="1" t="s">
        <v>22233</v>
      </c>
      <c r="C5414" s="1">
        <v>2009.0</v>
      </c>
      <c r="D5414" s="2">
        <v>40150.0</v>
      </c>
      <c r="F5414" s="1" t="s">
        <v>1514</v>
      </c>
      <c r="H5414" s="3">
        <v>52.0</v>
      </c>
      <c r="I5414" s="4" t="s">
        <v>22234</v>
      </c>
      <c r="J5414" s="1" t="s">
        <v>22235</v>
      </c>
      <c r="K5414" s="1" t="s">
        <v>413</v>
      </c>
    </row>
    <row r="5415">
      <c r="A5415" s="1" t="s">
        <v>22236</v>
      </c>
      <c r="B5415" s="1" t="s">
        <v>22237</v>
      </c>
      <c r="C5415" s="1">
        <v>2009.0</v>
      </c>
      <c r="D5415" s="2">
        <v>40148.0</v>
      </c>
      <c r="F5415" s="1" t="s">
        <v>21643</v>
      </c>
      <c r="H5415" s="3">
        <v>27.0</v>
      </c>
      <c r="I5415" s="4" t="s">
        <v>22238</v>
      </c>
      <c r="J5415" s="1" t="s">
        <v>22239</v>
      </c>
      <c r="K5415" s="1" t="s">
        <v>383</v>
      </c>
    </row>
    <row r="5416">
      <c r="A5416" s="1" t="s">
        <v>22240</v>
      </c>
      <c r="B5416" s="1" t="s">
        <v>22241</v>
      </c>
      <c r="C5416" s="1">
        <v>2009.0</v>
      </c>
      <c r="D5416" s="2">
        <v>40148.0</v>
      </c>
      <c r="F5416" s="1" t="s">
        <v>671</v>
      </c>
      <c r="H5416" s="3">
        <v>24.0</v>
      </c>
      <c r="I5416" s="4" t="s">
        <v>22242</v>
      </c>
      <c r="J5416" s="1" t="s">
        <v>22243</v>
      </c>
      <c r="K5416" s="1" t="s">
        <v>28</v>
      </c>
    </row>
    <row r="5417">
      <c r="A5417" s="1" t="s">
        <v>22244</v>
      </c>
      <c r="B5417" s="1" t="s">
        <v>22245</v>
      </c>
      <c r="C5417" s="1">
        <v>2009.0</v>
      </c>
      <c r="D5417" s="2">
        <v>40148.0</v>
      </c>
      <c r="F5417" s="1" t="s">
        <v>6800</v>
      </c>
      <c r="H5417" s="3">
        <v>16.0</v>
      </c>
      <c r="I5417" s="4" t="s">
        <v>22246</v>
      </c>
      <c r="J5417" s="1" t="s">
        <v>22247</v>
      </c>
      <c r="K5417" s="1" t="s">
        <v>413</v>
      </c>
    </row>
    <row r="5418">
      <c r="A5418" s="1" t="s">
        <v>22248</v>
      </c>
      <c r="B5418" s="1" t="s">
        <v>22249</v>
      </c>
      <c r="C5418" s="1">
        <v>2009.0</v>
      </c>
      <c r="D5418" s="2">
        <v>40143.0</v>
      </c>
      <c r="F5418" s="1" t="s">
        <v>292</v>
      </c>
      <c r="H5418" s="3">
        <v>38.0</v>
      </c>
      <c r="I5418" s="4" t="s">
        <v>22250</v>
      </c>
      <c r="J5418" s="1" t="s">
        <v>22251</v>
      </c>
      <c r="K5418" s="1" t="s">
        <v>28</v>
      </c>
    </row>
    <row r="5419">
      <c r="A5419" s="1" t="s">
        <v>22252</v>
      </c>
      <c r="B5419" s="1" t="s">
        <v>22253</v>
      </c>
      <c r="C5419" s="1">
        <v>2009.0</v>
      </c>
      <c r="D5419" s="2">
        <v>40140.0</v>
      </c>
      <c r="F5419" s="1" t="s">
        <v>337</v>
      </c>
      <c r="H5419" s="3">
        <v>27.0</v>
      </c>
      <c r="I5419" s="4" t="s">
        <v>22254</v>
      </c>
      <c r="J5419" s="1" t="s">
        <v>22255</v>
      </c>
      <c r="K5419" s="1" t="s">
        <v>68</v>
      </c>
    </row>
    <row r="5420">
      <c r="A5420" s="1" t="s">
        <v>22256</v>
      </c>
      <c r="B5420" s="1" t="s">
        <v>22257</v>
      </c>
      <c r="C5420" s="1">
        <v>2009.0</v>
      </c>
      <c r="D5420" s="2">
        <v>40135.0</v>
      </c>
      <c r="F5420" s="1" t="s">
        <v>676</v>
      </c>
      <c r="H5420" s="3">
        <v>69.0</v>
      </c>
      <c r="I5420" s="4" t="s">
        <v>22258</v>
      </c>
      <c r="J5420" s="1" t="s">
        <v>22259</v>
      </c>
      <c r="K5420" s="1" t="s">
        <v>28</v>
      </c>
    </row>
    <row r="5421">
      <c r="A5421" s="1" t="s">
        <v>22260</v>
      </c>
      <c r="B5421" s="1" t="s">
        <v>22261</v>
      </c>
      <c r="C5421" s="1">
        <v>2009.0</v>
      </c>
      <c r="D5421" s="2">
        <v>40127.0</v>
      </c>
      <c r="F5421" s="1" t="s">
        <v>1777</v>
      </c>
      <c r="H5421" s="3">
        <v>104.0</v>
      </c>
      <c r="I5421" s="4" t="s">
        <v>22262</v>
      </c>
      <c r="J5421" s="1" t="s">
        <v>22263</v>
      </c>
      <c r="K5421" s="1" t="s">
        <v>295</v>
      </c>
    </row>
    <row r="5422">
      <c r="A5422" s="1" t="s">
        <v>22264</v>
      </c>
      <c r="B5422" s="1" t="s">
        <v>22265</v>
      </c>
      <c r="C5422" s="1">
        <v>2009.0</v>
      </c>
      <c r="D5422" s="2">
        <v>40124.0</v>
      </c>
      <c r="F5422" s="1" t="s">
        <v>656</v>
      </c>
      <c r="H5422" s="3">
        <v>75.0</v>
      </c>
      <c r="I5422" s="4" t="s">
        <v>22266</v>
      </c>
      <c r="J5422" s="1" t="s">
        <v>22267</v>
      </c>
      <c r="K5422" s="1" t="s">
        <v>16</v>
      </c>
    </row>
    <row r="5423">
      <c r="A5423" s="1" t="s">
        <v>22268</v>
      </c>
      <c r="B5423" s="1" t="s">
        <v>22269</v>
      </c>
      <c r="C5423" s="1">
        <v>2009.0</v>
      </c>
      <c r="D5423" s="2">
        <v>40121.0</v>
      </c>
      <c r="F5423" s="1" t="s">
        <v>410</v>
      </c>
      <c r="H5423" s="3">
        <v>43.0</v>
      </c>
      <c r="I5423" s="4" t="s">
        <v>22270</v>
      </c>
      <c r="J5423" s="1" t="s">
        <v>22271</v>
      </c>
      <c r="K5423" s="1" t="s">
        <v>28</v>
      </c>
    </row>
    <row r="5424">
      <c r="A5424" s="1" t="s">
        <v>22272</v>
      </c>
      <c r="B5424" s="1" t="s">
        <v>22273</v>
      </c>
      <c r="C5424" s="1">
        <v>2009.0</v>
      </c>
      <c r="D5424" s="2">
        <v>40120.0</v>
      </c>
      <c r="F5424" s="1" t="s">
        <v>2611</v>
      </c>
      <c r="H5424" s="3">
        <v>75.0</v>
      </c>
      <c r="I5424" s="4" t="s">
        <v>22274</v>
      </c>
      <c r="J5424" s="1" t="s">
        <v>22275</v>
      </c>
      <c r="K5424" s="1" t="s">
        <v>68</v>
      </c>
    </row>
    <row r="5425">
      <c r="A5425" s="1" t="s">
        <v>22276</v>
      </c>
      <c r="B5425" s="1" t="s">
        <v>22277</v>
      </c>
      <c r="C5425" s="1">
        <v>2009.0</v>
      </c>
      <c r="D5425" s="2">
        <v>40118.0</v>
      </c>
      <c r="F5425" s="1" t="s">
        <v>22278</v>
      </c>
      <c r="H5425" s="3">
        <v>12.0</v>
      </c>
      <c r="I5425" s="4" t="s">
        <v>22279</v>
      </c>
      <c r="J5425" s="1" t="s">
        <v>22280</v>
      </c>
      <c r="K5425" s="1" t="s">
        <v>295</v>
      </c>
    </row>
    <row r="5426">
      <c r="A5426" s="1" t="s">
        <v>22281</v>
      </c>
      <c r="B5426" s="1" t="s">
        <v>22282</v>
      </c>
      <c r="C5426" s="1">
        <v>2009.0</v>
      </c>
      <c r="D5426" s="2">
        <v>40118.0</v>
      </c>
      <c r="F5426" s="1" t="s">
        <v>276</v>
      </c>
      <c r="H5426" s="3">
        <v>47.0</v>
      </c>
      <c r="I5426" s="4" t="s">
        <v>22283</v>
      </c>
      <c r="J5426" s="1" t="s">
        <v>22284</v>
      </c>
      <c r="K5426" s="1" t="s">
        <v>527</v>
      </c>
    </row>
    <row r="5427">
      <c r="A5427" s="1" t="s">
        <v>22285</v>
      </c>
      <c r="B5427" s="1" t="s">
        <v>21141</v>
      </c>
      <c r="C5427" s="1">
        <v>2009.0</v>
      </c>
      <c r="D5427" s="2">
        <v>40118.0</v>
      </c>
      <c r="F5427" s="1" t="s">
        <v>7622</v>
      </c>
      <c r="H5427" s="3">
        <v>6.0</v>
      </c>
      <c r="I5427" s="4" t="s">
        <v>22286</v>
      </c>
      <c r="J5427" s="1"/>
      <c r="K5427" s="1" t="s">
        <v>16</v>
      </c>
    </row>
    <row r="5428">
      <c r="A5428" s="1" t="s">
        <v>22287</v>
      </c>
      <c r="B5428" s="1" t="s">
        <v>22288</v>
      </c>
      <c r="C5428" s="1">
        <v>2009.0</v>
      </c>
      <c r="D5428" s="2">
        <v>40116.0</v>
      </c>
      <c r="F5428" s="1" t="s">
        <v>4374</v>
      </c>
      <c r="H5428" s="3">
        <v>47.0</v>
      </c>
      <c r="I5428" s="4" t="s">
        <v>22289</v>
      </c>
      <c r="J5428" s="1" t="s">
        <v>22290</v>
      </c>
      <c r="K5428" s="1" t="s">
        <v>28</v>
      </c>
    </row>
    <row r="5429">
      <c r="A5429" s="1" t="s">
        <v>22291</v>
      </c>
      <c r="B5429" s="1" t="s">
        <v>22292</v>
      </c>
      <c r="C5429" s="1">
        <v>2009.0</v>
      </c>
      <c r="D5429" s="2">
        <v>40108.0</v>
      </c>
      <c r="F5429" s="1" t="s">
        <v>1040</v>
      </c>
      <c r="H5429" s="3">
        <v>36.0</v>
      </c>
      <c r="I5429" s="4" t="s">
        <v>22293</v>
      </c>
      <c r="J5429" s="1" t="s">
        <v>22294</v>
      </c>
      <c r="K5429" s="1" t="s">
        <v>295</v>
      </c>
    </row>
    <row r="5430">
      <c r="A5430" s="1" t="s">
        <v>22295</v>
      </c>
      <c r="B5430" s="1" t="s">
        <v>22296</v>
      </c>
      <c r="C5430" s="1">
        <v>2009.0</v>
      </c>
      <c r="D5430" s="2">
        <v>40102.0</v>
      </c>
      <c r="F5430" s="1" t="s">
        <v>4217</v>
      </c>
      <c r="H5430" s="3">
        <v>36.0</v>
      </c>
      <c r="I5430" s="4" t="s">
        <v>22297</v>
      </c>
      <c r="J5430" s="1" t="s">
        <v>22298</v>
      </c>
      <c r="K5430" s="1" t="s">
        <v>383</v>
      </c>
    </row>
    <row r="5431">
      <c r="A5431" s="1" t="s">
        <v>22299</v>
      </c>
      <c r="B5431" s="1" t="s">
        <v>22300</v>
      </c>
      <c r="C5431" s="1">
        <v>2009.0</v>
      </c>
      <c r="D5431" s="2">
        <v>40099.0</v>
      </c>
      <c r="F5431" s="1" t="s">
        <v>337</v>
      </c>
      <c r="H5431" s="3">
        <v>256.0</v>
      </c>
      <c r="I5431" s="4" t="s">
        <v>22301</v>
      </c>
      <c r="J5431" s="1" t="s">
        <v>22302</v>
      </c>
      <c r="K5431" s="1" t="s">
        <v>16</v>
      </c>
    </row>
    <row r="5432">
      <c r="A5432" s="1" t="s">
        <v>22303</v>
      </c>
      <c r="B5432" s="1" t="s">
        <v>22304</v>
      </c>
      <c r="C5432" s="1">
        <v>2009.0</v>
      </c>
      <c r="D5432" s="2">
        <v>40087.0</v>
      </c>
      <c r="F5432" s="1" t="s">
        <v>21027</v>
      </c>
      <c r="H5432" s="3">
        <v>16.0</v>
      </c>
      <c r="I5432" s="4" t="s">
        <v>22305</v>
      </c>
      <c r="J5432" s="1" t="s">
        <v>22306</v>
      </c>
      <c r="K5432" s="1" t="s">
        <v>926</v>
      </c>
    </row>
    <row r="5433">
      <c r="A5433" s="1" t="s">
        <v>22307</v>
      </c>
      <c r="B5433" s="1" t="s">
        <v>22308</v>
      </c>
      <c r="C5433" s="1">
        <v>2009.0</v>
      </c>
      <c r="D5433" s="2">
        <v>40087.0</v>
      </c>
      <c r="F5433" s="1" t="s">
        <v>21643</v>
      </c>
      <c r="H5433" s="3">
        <v>62.0</v>
      </c>
      <c r="I5433" s="4" t="s">
        <v>22309</v>
      </c>
      <c r="J5433" s="1" t="s">
        <v>22310</v>
      </c>
      <c r="K5433" s="1" t="s">
        <v>383</v>
      </c>
    </row>
    <row r="5434">
      <c r="A5434" s="1" t="s">
        <v>22311</v>
      </c>
      <c r="B5434" s="1" t="s">
        <v>20372</v>
      </c>
      <c r="C5434" s="1">
        <v>2009.0</v>
      </c>
      <c r="D5434" s="2">
        <v>40087.0</v>
      </c>
      <c r="F5434" s="1" t="s">
        <v>1562</v>
      </c>
      <c r="H5434" s="3">
        <v>75.0</v>
      </c>
      <c r="I5434" s="4" t="s">
        <v>22312</v>
      </c>
      <c r="J5434" s="1" t="s">
        <v>22313</v>
      </c>
      <c r="K5434" s="1" t="s">
        <v>28</v>
      </c>
    </row>
    <row r="5435">
      <c r="A5435" s="1" t="s">
        <v>22314</v>
      </c>
      <c r="B5435" s="1" t="s">
        <v>22315</v>
      </c>
      <c r="C5435" s="1">
        <v>2009.0</v>
      </c>
      <c r="D5435" s="2">
        <v>40082.0</v>
      </c>
      <c r="F5435" s="1" t="s">
        <v>1777</v>
      </c>
      <c r="H5435" s="3">
        <v>106.0</v>
      </c>
      <c r="I5435" s="4" t="s">
        <v>22316</v>
      </c>
      <c r="J5435" s="1" t="s">
        <v>22317</v>
      </c>
      <c r="K5435" s="1" t="s">
        <v>295</v>
      </c>
    </row>
    <row r="5436">
      <c r="A5436" s="1" t="s">
        <v>22318</v>
      </c>
      <c r="B5436" s="1" t="s">
        <v>22319</v>
      </c>
      <c r="C5436" s="1">
        <v>2009.0</v>
      </c>
      <c r="D5436" s="2">
        <v>40081.0</v>
      </c>
      <c r="F5436" s="1" t="s">
        <v>25</v>
      </c>
      <c r="H5436" s="3">
        <v>52.0</v>
      </c>
      <c r="I5436" s="4" t="s">
        <v>22320</v>
      </c>
      <c r="J5436" s="1" t="s">
        <v>22321</v>
      </c>
      <c r="K5436" s="1" t="s">
        <v>295</v>
      </c>
    </row>
    <row r="5437">
      <c r="A5437" s="1" t="s">
        <v>22322</v>
      </c>
      <c r="B5437" s="1" t="s">
        <v>22323</v>
      </c>
      <c r="C5437" s="1">
        <v>2009.0</v>
      </c>
      <c r="D5437" s="2">
        <v>40066.0</v>
      </c>
      <c r="F5437" s="1" t="s">
        <v>21188</v>
      </c>
      <c r="H5437" s="3">
        <v>11.0</v>
      </c>
      <c r="I5437" s="4" t="s">
        <v>22324</v>
      </c>
      <c r="J5437" s="1" t="s">
        <v>22325</v>
      </c>
      <c r="K5437" s="1" t="s">
        <v>295</v>
      </c>
    </row>
    <row r="5438">
      <c r="A5438" s="1" t="s">
        <v>22326</v>
      </c>
      <c r="B5438" s="1" t="s">
        <v>22327</v>
      </c>
      <c r="C5438" s="1">
        <v>2009.0</v>
      </c>
      <c r="D5438" s="2">
        <v>40062.0</v>
      </c>
      <c r="F5438" s="1" t="s">
        <v>22328</v>
      </c>
      <c r="H5438" s="3">
        <v>6.0</v>
      </c>
      <c r="I5438" s="4" t="s">
        <v>22329</v>
      </c>
      <c r="J5438" s="1" t="s">
        <v>22330</v>
      </c>
      <c r="K5438" s="1" t="s">
        <v>295</v>
      </c>
    </row>
    <row r="5439">
      <c r="A5439" s="1" t="s">
        <v>22331</v>
      </c>
      <c r="B5439" s="1" t="s">
        <v>22332</v>
      </c>
      <c r="C5439" s="1">
        <v>2009.0</v>
      </c>
      <c r="D5439" s="2">
        <v>40059.0</v>
      </c>
      <c r="F5439" s="1" t="s">
        <v>1588</v>
      </c>
      <c r="H5439" s="3">
        <v>3.0</v>
      </c>
      <c r="I5439" s="4" t="s">
        <v>22333</v>
      </c>
      <c r="J5439" s="1" t="s">
        <v>22334</v>
      </c>
      <c r="K5439" s="1" t="s">
        <v>28</v>
      </c>
    </row>
    <row r="5440">
      <c r="A5440" s="1" t="s">
        <v>22335</v>
      </c>
      <c r="B5440" s="1" t="s">
        <v>22336</v>
      </c>
      <c r="C5440" s="1">
        <v>2009.0</v>
      </c>
      <c r="D5440" s="2">
        <v>40057.0</v>
      </c>
      <c r="F5440" s="1" t="s">
        <v>698</v>
      </c>
      <c r="H5440" s="3">
        <v>38.0</v>
      </c>
      <c r="I5440" s="4" t="s">
        <v>22337</v>
      </c>
      <c r="J5440" s="1" t="s">
        <v>22338</v>
      </c>
      <c r="K5440" s="1" t="s">
        <v>295</v>
      </c>
    </row>
    <row r="5441">
      <c r="A5441" s="1" t="s">
        <v>22339</v>
      </c>
      <c r="B5441" s="1" t="s">
        <v>22340</v>
      </c>
      <c r="C5441" s="1">
        <v>2009.0</v>
      </c>
      <c r="D5441" s="2">
        <v>40057.0</v>
      </c>
      <c r="F5441" s="1" t="s">
        <v>3254</v>
      </c>
      <c r="H5441" s="3">
        <v>17.0</v>
      </c>
      <c r="I5441" s="4" t="s">
        <v>22341</v>
      </c>
      <c r="J5441" s="1" t="s">
        <v>22342</v>
      </c>
      <c r="K5441" s="1" t="s">
        <v>68</v>
      </c>
    </row>
    <row r="5442">
      <c r="A5442" s="1" t="s">
        <v>22343</v>
      </c>
      <c r="B5442" s="1" t="s">
        <v>21655</v>
      </c>
      <c r="C5442" s="1">
        <v>2009.0</v>
      </c>
      <c r="D5442" s="2">
        <v>40057.0</v>
      </c>
      <c r="F5442" s="1" t="s">
        <v>7622</v>
      </c>
      <c r="H5442" s="3">
        <v>2.0</v>
      </c>
      <c r="I5442" s="4" t="s">
        <v>22344</v>
      </c>
      <c r="J5442" s="1"/>
      <c r="K5442" s="1" t="s">
        <v>295</v>
      </c>
    </row>
    <row r="5443">
      <c r="A5443" s="1" t="s">
        <v>22345</v>
      </c>
      <c r="B5443" s="1" t="s">
        <v>22346</v>
      </c>
      <c r="C5443" s="1">
        <v>2009.0</v>
      </c>
      <c r="D5443" s="2">
        <v>40057.0</v>
      </c>
      <c r="F5443" s="1" t="s">
        <v>410</v>
      </c>
      <c r="H5443" s="3">
        <v>100.0</v>
      </c>
      <c r="I5443" s="4" t="s">
        <v>22347</v>
      </c>
      <c r="J5443" s="1" t="s">
        <v>22348</v>
      </c>
      <c r="K5443" s="1" t="s">
        <v>383</v>
      </c>
    </row>
    <row r="5444">
      <c r="A5444" s="1" t="s">
        <v>22349</v>
      </c>
      <c r="B5444" s="1" t="s">
        <v>22350</v>
      </c>
      <c r="C5444" s="1">
        <v>2009.0</v>
      </c>
      <c r="D5444" s="2">
        <v>40053.0</v>
      </c>
      <c r="F5444" s="1" t="s">
        <v>4235</v>
      </c>
      <c r="H5444" s="3">
        <v>20.0</v>
      </c>
      <c r="I5444" s="4" t="s">
        <v>22351</v>
      </c>
      <c r="J5444" s="1" t="s">
        <v>22352</v>
      </c>
      <c r="K5444" s="1" t="s">
        <v>383</v>
      </c>
    </row>
    <row r="5445">
      <c r="A5445" s="1" t="s">
        <v>22353</v>
      </c>
      <c r="B5445" s="1" t="s">
        <v>22354</v>
      </c>
      <c r="C5445" s="1">
        <v>2009.0</v>
      </c>
      <c r="D5445" s="2">
        <v>40045.0</v>
      </c>
      <c r="F5445" s="1" t="s">
        <v>1386</v>
      </c>
      <c r="H5445" s="3">
        <v>12.0</v>
      </c>
      <c r="I5445" s="4" t="s">
        <v>22355</v>
      </c>
      <c r="J5445" s="1" t="s">
        <v>22356</v>
      </c>
      <c r="K5445" s="1" t="s">
        <v>16</v>
      </c>
    </row>
    <row r="5446">
      <c r="A5446" s="1" t="s">
        <v>22357</v>
      </c>
      <c r="B5446" s="1" t="s">
        <v>22358</v>
      </c>
      <c r="C5446" s="1">
        <v>2009.0</v>
      </c>
      <c r="D5446" s="2">
        <v>40043.0</v>
      </c>
      <c r="F5446" s="1" t="s">
        <v>410</v>
      </c>
      <c r="H5446" s="3">
        <v>174.0</v>
      </c>
      <c r="I5446" s="4" t="s">
        <v>22359</v>
      </c>
      <c r="J5446" s="1" t="s">
        <v>22360</v>
      </c>
      <c r="K5446" s="1" t="s">
        <v>16</v>
      </c>
    </row>
    <row r="5447">
      <c r="A5447" s="1" t="s">
        <v>22361</v>
      </c>
      <c r="B5447" s="1" t="s">
        <v>22362</v>
      </c>
      <c r="C5447" s="1">
        <v>2009.0</v>
      </c>
      <c r="D5447" s="2">
        <v>40042.0</v>
      </c>
      <c r="F5447" s="1" t="s">
        <v>1340</v>
      </c>
      <c r="H5447" s="3">
        <v>78.0</v>
      </c>
      <c r="I5447" s="4" t="s">
        <v>22363</v>
      </c>
      <c r="J5447" s="1" t="s">
        <v>22364</v>
      </c>
      <c r="K5447" s="1" t="s">
        <v>28</v>
      </c>
    </row>
    <row r="5448">
      <c r="A5448" s="1" t="s">
        <v>22365</v>
      </c>
      <c r="B5448" s="1" t="s">
        <v>22366</v>
      </c>
      <c r="C5448" s="1">
        <v>2009.0</v>
      </c>
      <c r="D5448" s="2">
        <v>40040.0</v>
      </c>
      <c r="F5448" s="1" t="s">
        <v>308</v>
      </c>
      <c r="H5448" s="3">
        <v>58.0</v>
      </c>
      <c r="I5448" s="4" t="s">
        <v>22367</v>
      </c>
      <c r="J5448" s="1" t="s">
        <v>22368</v>
      </c>
      <c r="K5448" s="1" t="s">
        <v>28</v>
      </c>
    </row>
    <row r="5449">
      <c r="A5449" s="1" t="s">
        <v>22369</v>
      </c>
      <c r="B5449" s="1" t="s">
        <v>22370</v>
      </c>
      <c r="C5449" s="1">
        <v>2009.0</v>
      </c>
      <c r="D5449" s="2">
        <v>40039.0</v>
      </c>
      <c r="F5449" s="1" t="s">
        <v>396</v>
      </c>
      <c r="H5449" s="3">
        <v>107.0</v>
      </c>
      <c r="I5449" s="4" t="s">
        <v>22371</v>
      </c>
      <c r="J5449" s="1" t="s">
        <v>22372</v>
      </c>
      <c r="K5449" s="1" t="s">
        <v>323</v>
      </c>
    </row>
    <row r="5450">
      <c r="A5450" s="1" t="s">
        <v>22373</v>
      </c>
      <c r="B5450" s="1" t="s">
        <v>22374</v>
      </c>
      <c r="C5450" s="1">
        <v>2009.0</v>
      </c>
      <c r="D5450" s="2">
        <v>40037.0</v>
      </c>
      <c r="F5450" s="1" t="s">
        <v>1714</v>
      </c>
      <c r="H5450" s="3">
        <v>44.0</v>
      </c>
      <c r="I5450" s="4" t="s">
        <v>22375</v>
      </c>
      <c r="J5450" s="1" t="s">
        <v>22376</v>
      </c>
      <c r="K5450" s="1" t="s">
        <v>413</v>
      </c>
    </row>
    <row r="5451">
      <c r="A5451" s="1" t="s">
        <v>22377</v>
      </c>
      <c r="B5451" s="1" t="s">
        <v>22378</v>
      </c>
      <c r="C5451" s="1">
        <v>2009.0</v>
      </c>
      <c r="D5451" s="2">
        <v>40026.0</v>
      </c>
      <c r="F5451" s="1" t="s">
        <v>22379</v>
      </c>
      <c r="H5451" s="3">
        <v>7.0</v>
      </c>
      <c r="I5451" s="4" t="s">
        <v>22380</v>
      </c>
      <c r="J5451" s="1" t="s">
        <v>22381</v>
      </c>
      <c r="K5451" s="1" t="s">
        <v>295</v>
      </c>
    </row>
    <row r="5452">
      <c r="A5452" s="1" t="s">
        <v>22382</v>
      </c>
      <c r="B5452" s="1" t="s">
        <v>22383</v>
      </c>
      <c r="C5452" s="1">
        <v>2009.0</v>
      </c>
      <c r="D5452" s="2">
        <v>40019.0</v>
      </c>
      <c r="F5452" s="1" t="s">
        <v>410</v>
      </c>
      <c r="H5452" s="3">
        <v>126.0</v>
      </c>
      <c r="I5452" s="4" t="s">
        <v>22384</v>
      </c>
      <c r="J5452" s="1" t="s">
        <v>22385</v>
      </c>
      <c r="K5452" s="1" t="s">
        <v>16</v>
      </c>
    </row>
    <row r="5453">
      <c r="A5453" s="1" t="s">
        <v>22386</v>
      </c>
      <c r="B5453" s="1" t="s">
        <v>22387</v>
      </c>
      <c r="C5453" s="1">
        <v>2009.0</v>
      </c>
      <c r="D5453" s="2">
        <v>40009.0</v>
      </c>
      <c r="F5453" s="1" t="s">
        <v>4063</v>
      </c>
      <c r="H5453" s="3">
        <v>5.0</v>
      </c>
      <c r="I5453" s="4" t="s">
        <v>22388</v>
      </c>
      <c r="J5453" s="1" t="s">
        <v>22389</v>
      </c>
      <c r="K5453" s="1" t="s">
        <v>295</v>
      </c>
    </row>
    <row r="5454">
      <c r="A5454" s="1" t="s">
        <v>22390</v>
      </c>
      <c r="B5454" s="1" t="s">
        <v>22391</v>
      </c>
      <c r="C5454" s="1">
        <v>2009.0</v>
      </c>
      <c r="D5454" s="2">
        <v>40006.0</v>
      </c>
      <c r="F5454" s="1" t="s">
        <v>208</v>
      </c>
      <c r="H5454" s="3">
        <v>198.0</v>
      </c>
      <c r="I5454" s="4" t="s">
        <v>22392</v>
      </c>
      <c r="J5454" s="1" t="s">
        <v>22393</v>
      </c>
      <c r="K5454" s="1" t="s">
        <v>28</v>
      </c>
    </row>
    <row r="5455">
      <c r="A5455" s="1" t="s">
        <v>22394</v>
      </c>
      <c r="B5455" s="1" t="s">
        <v>22395</v>
      </c>
      <c r="C5455" s="1">
        <v>2009.0</v>
      </c>
      <c r="D5455" s="2">
        <v>39994.0</v>
      </c>
      <c r="F5455" s="1" t="s">
        <v>396</v>
      </c>
      <c r="H5455" s="3">
        <v>28.0</v>
      </c>
      <c r="I5455" s="4" t="s">
        <v>22396</v>
      </c>
      <c r="J5455" s="1" t="s">
        <v>22397</v>
      </c>
      <c r="K5455" s="1" t="s">
        <v>68</v>
      </c>
    </row>
    <row r="5456">
      <c r="A5456" s="1" t="s">
        <v>22398</v>
      </c>
      <c r="B5456" s="1" t="s">
        <v>22399</v>
      </c>
      <c r="C5456" s="1">
        <v>2009.0</v>
      </c>
      <c r="D5456" s="2">
        <v>39994.0</v>
      </c>
      <c r="F5456" s="1" t="s">
        <v>656</v>
      </c>
      <c r="H5456" s="3">
        <v>4.0</v>
      </c>
      <c r="I5456" s="4" t="s">
        <v>22400</v>
      </c>
      <c r="J5456" s="1" t="s">
        <v>22401</v>
      </c>
      <c r="K5456" s="1" t="s">
        <v>413</v>
      </c>
    </row>
    <row r="5457">
      <c r="A5457" s="1" t="s">
        <v>22402</v>
      </c>
      <c r="B5457" s="1" t="s">
        <v>22403</v>
      </c>
      <c r="C5457" s="1">
        <v>2009.0</v>
      </c>
      <c r="D5457" s="2">
        <v>39985.0</v>
      </c>
      <c r="F5457" s="1" t="s">
        <v>4848</v>
      </c>
      <c r="H5457" s="3">
        <v>13.0</v>
      </c>
      <c r="I5457" s="4" t="s">
        <v>22404</v>
      </c>
      <c r="J5457" s="1" t="s">
        <v>22405</v>
      </c>
      <c r="K5457" s="1" t="s">
        <v>418</v>
      </c>
    </row>
    <row r="5458">
      <c r="A5458" s="1" t="s">
        <v>22406</v>
      </c>
      <c r="B5458" s="1" t="s">
        <v>22407</v>
      </c>
      <c r="C5458" s="1">
        <v>2009.0</v>
      </c>
      <c r="D5458" s="2">
        <v>39968.0</v>
      </c>
      <c r="F5458" s="1" t="s">
        <v>396</v>
      </c>
      <c r="H5458" s="3">
        <v>620.0</v>
      </c>
      <c r="I5458" s="4" t="s">
        <v>22408</v>
      </c>
      <c r="J5458" s="1"/>
      <c r="K5458" s="1" t="s">
        <v>28</v>
      </c>
    </row>
    <row r="5459">
      <c r="A5459" s="1" t="s">
        <v>22409</v>
      </c>
      <c r="B5459" s="1" t="s">
        <v>22410</v>
      </c>
      <c r="C5459" s="1">
        <v>2009.0</v>
      </c>
      <c r="D5459" s="2">
        <v>39968.0</v>
      </c>
      <c r="F5459" s="1" t="s">
        <v>3254</v>
      </c>
      <c r="H5459" s="3">
        <v>3.0</v>
      </c>
      <c r="I5459" s="4" t="s">
        <v>22411</v>
      </c>
      <c r="J5459" s="1" t="s">
        <v>22412</v>
      </c>
      <c r="K5459" s="1" t="s">
        <v>403</v>
      </c>
    </row>
    <row r="5460">
      <c r="A5460" s="1" t="s">
        <v>22413</v>
      </c>
      <c r="B5460" s="1" t="s">
        <v>22414</v>
      </c>
      <c r="C5460" s="1">
        <v>2009.0</v>
      </c>
      <c r="D5460" s="2">
        <v>39965.0</v>
      </c>
      <c r="F5460" s="1" t="s">
        <v>22415</v>
      </c>
      <c r="H5460" s="3">
        <v>27.0</v>
      </c>
      <c r="I5460" s="4" t="s">
        <v>22416</v>
      </c>
      <c r="J5460" s="1" t="s">
        <v>22417</v>
      </c>
      <c r="K5460" s="1" t="s">
        <v>295</v>
      </c>
    </row>
    <row r="5461">
      <c r="A5461" s="1" t="s">
        <v>22418</v>
      </c>
      <c r="B5461" s="1" t="s">
        <v>22419</v>
      </c>
      <c r="C5461" s="1">
        <v>2009.0</v>
      </c>
      <c r="D5461" s="2">
        <v>39962.0</v>
      </c>
      <c r="F5461" s="1" t="s">
        <v>3340</v>
      </c>
      <c r="H5461" s="3">
        <v>157.0</v>
      </c>
      <c r="I5461" s="4" t="s">
        <v>22420</v>
      </c>
      <c r="J5461" s="1"/>
      <c r="K5461" s="1" t="s">
        <v>926</v>
      </c>
    </row>
    <row r="5462">
      <c r="A5462" s="1" t="s">
        <v>22421</v>
      </c>
      <c r="B5462" s="1" t="s">
        <v>22422</v>
      </c>
      <c r="C5462" s="1">
        <v>2009.0</v>
      </c>
      <c r="D5462" s="2">
        <v>39962.0</v>
      </c>
      <c r="F5462" s="1" t="s">
        <v>308</v>
      </c>
      <c r="H5462" s="3">
        <v>66.0</v>
      </c>
      <c r="I5462" s="4" t="s">
        <v>22423</v>
      </c>
      <c r="J5462" s="1" t="s">
        <v>22424</v>
      </c>
      <c r="K5462" s="1" t="s">
        <v>413</v>
      </c>
    </row>
    <row r="5463">
      <c r="A5463" s="1" t="s">
        <v>22425</v>
      </c>
      <c r="B5463" s="1" t="s">
        <v>22426</v>
      </c>
      <c r="C5463" s="1">
        <v>2009.0</v>
      </c>
      <c r="D5463" s="2">
        <v>39953.0</v>
      </c>
      <c r="F5463" s="1" t="s">
        <v>656</v>
      </c>
      <c r="H5463" s="3">
        <v>7.0</v>
      </c>
      <c r="I5463" s="4" t="s">
        <v>22427</v>
      </c>
      <c r="J5463" s="1" t="s">
        <v>22428</v>
      </c>
      <c r="K5463" s="1" t="s">
        <v>16</v>
      </c>
    </row>
    <row r="5464">
      <c r="A5464" s="1" t="s">
        <v>22429</v>
      </c>
      <c r="B5464" s="1" t="s">
        <v>22430</v>
      </c>
      <c r="C5464" s="1">
        <v>2009.0</v>
      </c>
      <c r="D5464" s="2">
        <v>39940.0</v>
      </c>
      <c r="F5464" s="1" t="s">
        <v>4848</v>
      </c>
      <c r="H5464" s="3">
        <v>15.0</v>
      </c>
      <c r="I5464" s="4" t="s">
        <v>22431</v>
      </c>
      <c r="J5464" s="1" t="s">
        <v>22432</v>
      </c>
      <c r="K5464" s="1" t="s">
        <v>323</v>
      </c>
    </row>
    <row r="5465">
      <c r="A5465" s="1" t="s">
        <v>22433</v>
      </c>
      <c r="B5465" s="1" t="s">
        <v>22434</v>
      </c>
      <c r="C5465" s="1">
        <v>2009.0</v>
      </c>
      <c r="D5465" s="2">
        <v>39934.0</v>
      </c>
      <c r="F5465" s="1" t="s">
        <v>4124</v>
      </c>
      <c r="H5465" s="3">
        <v>0.0</v>
      </c>
      <c r="I5465" s="4" t="s">
        <v>22435</v>
      </c>
      <c r="J5465" s="1" t="s">
        <v>22436</v>
      </c>
      <c r="K5465" s="1" t="s">
        <v>383</v>
      </c>
    </row>
    <row r="5466">
      <c r="A5466" s="1" t="s">
        <v>22437</v>
      </c>
      <c r="B5466" s="1" t="s">
        <v>22438</v>
      </c>
      <c r="C5466" s="1">
        <v>2009.0</v>
      </c>
      <c r="D5466" s="2">
        <v>39904.0</v>
      </c>
      <c r="F5466" s="1" t="s">
        <v>11421</v>
      </c>
      <c r="H5466" s="3">
        <v>11.0</v>
      </c>
      <c r="I5466" s="4" t="s">
        <v>22439</v>
      </c>
      <c r="J5466" s="1" t="s">
        <v>22440</v>
      </c>
      <c r="K5466" s="1" t="s">
        <v>28</v>
      </c>
    </row>
    <row r="5467">
      <c r="A5467" s="1" t="s">
        <v>22441</v>
      </c>
      <c r="B5467" s="1" t="s">
        <v>22442</v>
      </c>
      <c r="C5467" s="1">
        <v>2009.0</v>
      </c>
      <c r="D5467" s="2">
        <v>39904.0</v>
      </c>
      <c r="F5467" s="1" t="s">
        <v>1410</v>
      </c>
      <c r="H5467" s="3">
        <v>11.0</v>
      </c>
      <c r="I5467" s="4" t="s">
        <v>22443</v>
      </c>
      <c r="J5467" s="1" t="s">
        <v>22444</v>
      </c>
      <c r="K5467" s="1" t="s">
        <v>571</v>
      </c>
    </row>
    <row r="5468">
      <c r="A5468" s="1" t="s">
        <v>22445</v>
      </c>
      <c r="B5468" s="1" t="s">
        <v>22446</v>
      </c>
      <c r="C5468" s="1">
        <v>2009.0</v>
      </c>
      <c r="D5468" s="2">
        <v>39904.0</v>
      </c>
      <c r="F5468" s="1" t="s">
        <v>7158</v>
      </c>
      <c r="H5468" s="3">
        <v>11.0</v>
      </c>
      <c r="I5468" s="4" t="s">
        <v>22447</v>
      </c>
      <c r="J5468" s="1" t="s">
        <v>22448</v>
      </c>
      <c r="K5468" s="1" t="s">
        <v>16</v>
      </c>
    </row>
    <row r="5469">
      <c r="A5469" s="1" t="s">
        <v>22449</v>
      </c>
      <c r="B5469" s="1" t="s">
        <v>22450</v>
      </c>
      <c r="C5469" s="1">
        <v>2009.0</v>
      </c>
      <c r="D5469" s="2">
        <v>39897.0</v>
      </c>
      <c r="F5469" s="1" t="s">
        <v>8420</v>
      </c>
      <c r="H5469" s="3">
        <v>100.0</v>
      </c>
      <c r="I5469" s="4" t="s">
        <v>22451</v>
      </c>
      <c r="J5469" s="1" t="s">
        <v>22452</v>
      </c>
      <c r="K5469" s="1" t="s">
        <v>16</v>
      </c>
    </row>
    <row r="5470">
      <c r="A5470" s="1" t="s">
        <v>22453</v>
      </c>
      <c r="B5470" s="1" t="s">
        <v>22454</v>
      </c>
      <c r="C5470" s="1">
        <v>2009.0</v>
      </c>
      <c r="D5470" s="2">
        <v>39890.0</v>
      </c>
      <c r="F5470" s="1" t="s">
        <v>31</v>
      </c>
      <c r="H5470" s="3">
        <v>66.0</v>
      </c>
      <c r="I5470" s="4" t="s">
        <v>22455</v>
      </c>
      <c r="J5470" s="1" t="s">
        <v>22456</v>
      </c>
      <c r="K5470" s="1" t="s">
        <v>28</v>
      </c>
    </row>
    <row r="5471">
      <c r="A5471" s="1" t="s">
        <v>22457</v>
      </c>
      <c r="B5471" s="1" t="s">
        <v>22458</v>
      </c>
      <c r="C5471" s="1">
        <v>2009.0</v>
      </c>
      <c r="D5471" s="2">
        <v>39884.0</v>
      </c>
      <c r="F5471" s="1" t="s">
        <v>14908</v>
      </c>
      <c r="H5471" s="3">
        <v>105.0</v>
      </c>
      <c r="I5471" s="4" t="s">
        <v>22459</v>
      </c>
      <c r="J5471" s="1" t="s">
        <v>22460</v>
      </c>
      <c r="K5471" s="1" t="s">
        <v>443</v>
      </c>
    </row>
    <row r="5472">
      <c r="A5472" s="1" t="s">
        <v>22461</v>
      </c>
      <c r="B5472" s="1" t="s">
        <v>22462</v>
      </c>
      <c r="C5472" s="1">
        <v>2009.0</v>
      </c>
      <c r="D5472" s="2">
        <v>39875.0</v>
      </c>
      <c r="F5472" s="1" t="s">
        <v>4848</v>
      </c>
      <c r="H5472" s="3">
        <v>24.0</v>
      </c>
      <c r="I5472" s="4" t="s">
        <v>22463</v>
      </c>
      <c r="J5472" s="1" t="s">
        <v>22464</v>
      </c>
      <c r="K5472" s="1" t="s">
        <v>323</v>
      </c>
    </row>
    <row r="5473">
      <c r="A5473" s="1" t="s">
        <v>22465</v>
      </c>
      <c r="B5473" s="1" t="s">
        <v>22466</v>
      </c>
      <c r="C5473" s="1">
        <v>2009.0</v>
      </c>
      <c r="D5473" s="2">
        <v>39874.0</v>
      </c>
      <c r="F5473" s="1" t="s">
        <v>8612</v>
      </c>
      <c r="H5473" s="3">
        <v>30.0</v>
      </c>
      <c r="I5473" s="4" t="s">
        <v>22467</v>
      </c>
      <c r="J5473" s="1" t="s">
        <v>22468</v>
      </c>
      <c r="K5473" s="1" t="s">
        <v>443</v>
      </c>
    </row>
    <row r="5474">
      <c r="A5474" s="1" t="s">
        <v>22469</v>
      </c>
      <c r="B5474" s="1" t="s">
        <v>22470</v>
      </c>
      <c r="C5474" s="1">
        <v>2009.0</v>
      </c>
      <c r="D5474" s="2">
        <v>39873.0</v>
      </c>
      <c r="F5474" s="1" t="s">
        <v>4124</v>
      </c>
      <c r="H5474" s="3">
        <v>93.0</v>
      </c>
      <c r="I5474" s="4" t="s">
        <v>22471</v>
      </c>
      <c r="J5474" s="1" t="s">
        <v>22472</v>
      </c>
      <c r="K5474" s="1" t="s">
        <v>28</v>
      </c>
    </row>
    <row r="5475">
      <c r="A5475" s="1" t="s">
        <v>22473</v>
      </c>
      <c r="B5475" s="1" t="s">
        <v>22474</v>
      </c>
      <c r="C5475" s="1">
        <v>2009.0</v>
      </c>
      <c r="D5475" s="2">
        <v>39873.0</v>
      </c>
      <c r="F5475" s="1" t="s">
        <v>716</v>
      </c>
      <c r="H5475" s="3">
        <v>27.0</v>
      </c>
      <c r="I5475" s="4" t="s">
        <v>22475</v>
      </c>
      <c r="J5475" s="1" t="s">
        <v>22476</v>
      </c>
      <c r="K5475" s="1" t="s">
        <v>295</v>
      </c>
    </row>
    <row r="5476">
      <c r="A5476" s="1" t="s">
        <v>22477</v>
      </c>
      <c r="B5476" s="1" t="s">
        <v>21655</v>
      </c>
      <c r="C5476" s="1">
        <v>2009.0</v>
      </c>
      <c r="D5476" s="2">
        <v>39873.0</v>
      </c>
      <c r="F5476" s="1" t="s">
        <v>7622</v>
      </c>
      <c r="H5476" s="3">
        <v>23.0</v>
      </c>
      <c r="I5476" s="4" t="s">
        <v>22478</v>
      </c>
      <c r="J5476" s="1" t="s">
        <v>22479</v>
      </c>
      <c r="K5476" s="1" t="s">
        <v>295</v>
      </c>
    </row>
    <row r="5477">
      <c r="A5477" s="1" t="s">
        <v>22480</v>
      </c>
      <c r="B5477" s="1" t="s">
        <v>22481</v>
      </c>
      <c r="C5477" s="1">
        <v>2009.0</v>
      </c>
      <c r="D5477" s="2">
        <v>39870.0</v>
      </c>
      <c r="F5477" s="1" t="s">
        <v>1277</v>
      </c>
      <c r="H5477" s="3">
        <v>164.0</v>
      </c>
      <c r="I5477" s="4" t="s">
        <v>22482</v>
      </c>
      <c r="J5477" s="1" t="s">
        <v>22483</v>
      </c>
      <c r="K5477" s="1" t="s">
        <v>443</v>
      </c>
    </row>
    <row r="5478">
      <c r="A5478" s="1" t="s">
        <v>22484</v>
      </c>
      <c r="B5478" s="1" t="s">
        <v>22485</v>
      </c>
      <c r="C5478" s="1">
        <v>2009.0</v>
      </c>
      <c r="D5478" s="2">
        <v>39867.0</v>
      </c>
      <c r="F5478" s="1" t="s">
        <v>396</v>
      </c>
      <c r="H5478" s="3">
        <v>826.0</v>
      </c>
      <c r="I5478" s="4" t="s">
        <v>22486</v>
      </c>
      <c r="J5478" s="1"/>
      <c r="K5478" s="1" t="s">
        <v>443</v>
      </c>
    </row>
    <row r="5479">
      <c r="A5479" s="1" t="s">
        <v>22487</v>
      </c>
      <c r="B5479" s="1" t="s">
        <v>22488</v>
      </c>
      <c r="C5479" s="1">
        <v>2009.0</v>
      </c>
      <c r="D5479" s="2">
        <v>39865.0</v>
      </c>
      <c r="F5479" s="1" t="s">
        <v>19461</v>
      </c>
      <c r="H5479" s="3">
        <v>27.0</v>
      </c>
      <c r="I5479" s="4" t="s">
        <v>22489</v>
      </c>
      <c r="J5479" s="1" t="s">
        <v>22490</v>
      </c>
      <c r="K5479" s="1" t="s">
        <v>323</v>
      </c>
    </row>
    <row r="5480">
      <c r="A5480" s="1" t="s">
        <v>22491</v>
      </c>
      <c r="B5480" s="1" t="s">
        <v>22492</v>
      </c>
      <c r="C5480" s="1">
        <v>2009.0</v>
      </c>
      <c r="D5480" s="2">
        <v>39859.0</v>
      </c>
      <c r="F5480" s="1" t="s">
        <v>10121</v>
      </c>
      <c r="H5480" s="3">
        <v>11.0</v>
      </c>
      <c r="I5480" s="4" t="s">
        <v>22493</v>
      </c>
      <c r="J5480" s="1" t="s">
        <v>22494</v>
      </c>
      <c r="K5480" s="1" t="s">
        <v>295</v>
      </c>
    </row>
    <row r="5481">
      <c r="A5481" s="1" t="s">
        <v>22495</v>
      </c>
      <c r="B5481" s="1" t="s">
        <v>22496</v>
      </c>
      <c r="C5481" s="1">
        <v>2009.0</v>
      </c>
      <c r="D5481" s="2">
        <v>39856.0</v>
      </c>
      <c r="F5481" s="1" t="s">
        <v>830</v>
      </c>
      <c r="H5481" s="3">
        <v>17.0</v>
      </c>
      <c r="I5481" s="4" t="s">
        <v>22497</v>
      </c>
      <c r="J5481" s="1" t="s">
        <v>22498</v>
      </c>
      <c r="K5481" s="1" t="s">
        <v>68</v>
      </c>
    </row>
    <row r="5482">
      <c r="A5482" s="1" t="s">
        <v>22499</v>
      </c>
      <c r="B5482" s="1" t="s">
        <v>22500</v>
      </c>
      <c r="C5482" s="1">
        <v>2009.0</v>
      </c>
      <c r="D5482" s="2">
        <v>39852.0</v>
      </c>
      <c r="F5482" s="1" t="s">
        <v>2819</v>
      </c>
      <c r="H5482" s="3">
        <v>18.0</v>
      </c>
      <c r="I5482" s="4" t="s">
        <v>22501</v>
      </c>
      <c r="J5482" s="1" t="s">
        <v>22502</v>
      </c>
      <c r="K5482" s="1" t="s">
        <v>68</v>
      </c>
    </row>
    <row r="5483">
      <c r="A5483" s="1" t="s">
        <v>22503</v>
      </c>
      <c r="B5483" s="1" t="s">
        <v>22504</v>
      </c>
      <c r="C5483" s="1">
        <v>2009.0</v>
      </c>
      <c r="D5483" s="2">
        <v>39851.0</v>
      </c>
      <c r="F5483" s="1" t="s">
        <v>22505</v>
      </c>
      <c r="H5483" s="3">
        <v>81.0</v>
      </c>
      <c r="I5483" s="4" t="s">
        <v>22506</v>
      </c>
      <c r="J5483" s="1" t="s">
        <v>22507</v>
      </c>
      <c r="K5483" s="1" t="s">
        <v>443</v>
      </c>
    </row>
    <row r="5484">
      <c r="A5484" s="1" t="s">
        <v>22508</v>
      </c>
      <c r="B5484" s="1" t="s">
        <v>22509</v>
      </c>
      <c r="C5484" s="1">
        <v>2009.0</v>
      </c>
      <c r="D5484" s="2">
        <v>39851.0</v>
      </c>
      <c r="F5484" s="1" t="s">
        <v>1050</v>
      </c>
      <c r="H5484" s="3">
        <v>0.0</v>
      </c>
      <c r="I5484" s="4" t="s">
        <v>22510</v>
      </c>
      <c r="J5484" s="1"/>
      <c r="K5484" s="1" t="s">
        <v>16</v>
      </c>
    </row>
    <row r="5485">
      <c r="A5485" s="1" t="s">
        <v>22511</v>
      </c>
      <c r="B5485" s="1" t="s">
        <v>22512</v>
      </c>
      <c r="C5485" s="1">
        <v>2009.0</v>
      </c>
      <c r="D5485" s="2">
        <v>39847.0</v>
      </c>
      <c r="F5485" s="1" t="s">
        <v>3463</v>
      </c>
      <c r="H5485" s="3">
        <v>38.0</v>
      </c>
      <c r="I5485" s="4" t="s">
        <v>22513</v>
      </c>
      <c r="J5485" s="1" t="s">
        <v>22514</v>
      </c>
      <c r="K5485" s="1" t="s">
        <v>372</v>
      </c>
    </row>
    <row r="5486">
      <c r="A5486" s="1" t="s">
        <v>22515</v>
      </c>
      <c r="B5486" s="1" t="s">
        <v>22516</v>
      </c>
      <c r="C5486" s="1">
        <v>2009.0</v>
      </c>
      <c r="D5486" s="2">
        <v>39845.0</v>
      </c>
      <c r="F5486" s="1" t="s">
        <v>20502</v>
      </c>
      <c r="H5486" s="3">
        <v>19.0</v>
      </c>
      <c r="I5486" s="4" t="s">
        <v>22517</v>
      </c>
      <c r="J5486" s="1" t="s">
        <v>22518</v>
      </c>
      <c r="K5486" s="1" t="s">
        <v>323</v>
      </c>
    </row>
    <row r="5487">
      <c r="A5487" s="1" t="s">
        <v>22519</v>
      </c>
      <c r="B5487" s="1" t="s">
        <v>22520</v>
      </c>
      <c r="C5487" s="1">
        <v>2009.0</v>
      </c>
      <c r="D5487" s="2">
        <v>39841.0</v>
      </c>
      <c r="F5487" s="1" t="s">
        <v>1137</v>
      </c>
      <c r="H5487" s="3">
        <v>198.0</v>
      </c>
      <c r="I5487" s="4" t="s">
        <v>22521</v>
      </c>
      <c r="J5487" s="1" t="s">
        <v>22522</v>
      </c>
      <c r="K5487" s="1" t="s">
        <v>443</v>
      </c>
    </row>
    <row r="5488">
      <c r="A5488" s="1" t="s">
        <v>22523</v>
      </c>
      <c r="B5488" s="1" t="s">
        <v>22524</v>
      </c>
      <c r="C5488" s="1">
        <v>2009.0</v>
      </c>
      <c r="D5488" s="2">
        <v>39839.0</v>
      </c>
      <c r="F5488" s="1" t="s">
        <v>4347</v>
      </c>
      <c r="H5488" s="3">
        <v>24.0</v>
      </c>
      <c r="I5488" s="4" t="s">
        <v>22525</v>
      </c>
      <c r="J5488" s="1" t="s">
        <v>22526</v>
      </c>
      <c r="K5488" s="1" t="s">
        <v>295</v>
      </c>
    </row>
    <row r="5489">
      <c r="A5489" s="1" t="s">
        <v>22527</v>
      </c>
      <c r="B5489" s="1" t="s">
        <v>22528</v>
      </c>
      <c r="C5489" s="1">
        <v>2009.0</v>
      </c>
      <c r="D5489" s="2">
        <v>39832.0</v>
      </c>
      <c r="F5489" s="1" t="s">
        <v>22529</v>
      </c>
      <c r="H5489" s="3">
        <v>35.0</v>
      </c>
      <c r="I5489" s="4" t="s">
        <v>22530</v>
      </c>
      <c r="J5489" s="1" t="s">
        <v>22531</v>
      </c>
      <c r="K5489" s="1" t="s">
        <v>383</v>
      </c>
    </row>
    <row r="5490">
      <c r="A5490" s="1" t="s">
        <v>22532</v>
      </c>
      <c r="B5490" s="1" t="s">
        <v>22533</v>
      </c>
      <c r="C5490" s="1">
        <v>2009.0</v>
      </c>
      <c r="D5490" s="2">
        <v>39832.0</v>
      </c>
      <c r="F5490" s="1" t="s">
        <v>689</v>
      </c>
      <c r="H5490" s="3">
        <v>28.0</v>
      </c>
      <c r="I5490" s="4" t="s">
        <v>22534</v>
      </c>
      <c r="J5490" s="1" t="s">
        <v>22535</v>
      </c>
      <c r="K5490" s="1" t="s">
        <v>68</v>
      </c>
    </row>
    <row r="5491">
      <c r="A5491" s="1" t="s">
        <v>22536</v>
      </c>
      <c r="B5491" s="1" t="s">
        <v>22537</v>
      </c>
      <c r="C5491" s="1">
        <v>2009.0</v>
      </c>
      <c r="D5491" s="2">
        <v>39821.0</v>
      </c>
      <c r="F5491" s="1" t="s">
        <v>410</v>
      </c>
      <c r="H5491" s="3">
        <v>24.0</v>
      </c>
      <c r="I5491" s="4" t="s">
        <v>22538</v>
      </c>
      <c r="J5491" s="1" t="s">
        <v>22539</v>
      </c>
      <c r="K5491" s="1" t="s">
        <v>443</v>
      </c>
    </row>
    <row r="5492">
      <c r="A5492" s="1" t="s">
        <v>22540</v>
      </c>
      <c r="B5492" s="1" t="s">
        <v>22541</v>
      </c>
      <c r="C5492" s="1">
        <v>2009.0</v>
      </c>
      <c r="D5492" s="2">
        <v>39814.0</v>
      </c>
      <c r="F5492" s="1" t="s">
        <v>12680</v>
      </c>
      <c r="H5492" s="3">
        <v>19.0</v>
      </c>
      <c r="I5492" s="4" t="s">
        <v>22542</v>
      </c>
      <c r="J5492" s="1" t="s">
        <v>22543</v>
      </c>
      <c r="K5492" s="1" t="s">
        <v>295</v>
      </c>
    </row>
    <row r="5493">
      <c r="A5493" s="1" t="s">
        <v>22544</v>
      </c>
      <c r="B5493" s="1" t="s">
        <v>4764</v>
      </c>
      <c r="C5493" s="1">
        <v>2009.0</v>
      </c>
      <c r="D5493" s="2">
        <v>39814.0</v>
      </c>
      <c r="F5493" s="1" t="s">
        <v>1050</v>
      </c>
      <c r="H5493" s="3">
        <v>1.0</v>
      </c>
      <c r="I5493" s="4" t="s">
        <v>22545</v>
      </c>
      <c r="J5493" s="1" t="s">
        <v>22546</v>
      </c>
      <c r="K5493" s="1" t="s">
        <v>295</v>
      </c>
    </row>
    <row r="5494">
      <c r="A5494" s="1" t="s">
        <v>22547</v>
      </c>
      <c r="B5494" s="1" t="s">
        <v>22548</v>
      </c>
      <c r="C5494" s="1">
        <v>2009.0</v>
      </c>
      <c r="D5494" s="2">
        <v>39814.0</v>
      </c>
      <c r="F5494" s="1" t="s">
        <v>22549</v>
      </c>
      <c r="H5494" s="3">
        <v>5.0</v>
      </c>
      <c r="I5494" s="4" t="s">
        <v>22550</v>
      </c>
      <c r="J5494" s="1"/>
      <c r="K5494" s="1" t="s">
        <v>477</v>
      </c>
    </row>
    <row r="5495">
      <c r="A5495" s="1" t="s">
        <v>22551</v>
      </c>
      <c r="B5495" s="1" t="s">
        <v>22552</v>
      </c>
      <c r="C5495" s="1">
        <v>2009.0</v>
      </c>
      <c r="D5495" s="2">
        <v>39814.0</v>
      </c>
      <c r="F5495" s="1" t="s">
        <v>21315</v>
      </c>
      <c r="H5495" s="3">
        <v>9.0</v>
      </c>
      <c r="I5495" s="4" t="s">
        <v>22553</v>
      </c>
      <c r="J5495" s="1" t="s">
        <v>22554</v>
      </c>
      <c r="K5495" s="1" t="s">
        <v>16</v>
      </c>
    </row>
    <row r="5496">
      <c r="A5496" s="1" t="s">
        <v>22555</v>
      </c>
      <c r="B5496" s="1" t="s">
        <v>22556</v>
      </c>
      <c r="C5496" s="1">
        <v>2009.0</v>
      </c>
      <c r="D5496" s="2">
        <v>39814.0</v>
      </c>
      <c r="F5496" s="1" t="s">
        <v>22557</v>
      </c>
      <c r="H5496" s="3">
        <v>2.0</v>
      </c>
      <c r="I5496" s="4" t="s">
        <v>22558</v>
      </c>
      <c r="J5496" s="1" t="s">
        <v>22559</v>
      </c>
      <c r="K5496" s="1" t="s">
        <v>16</v>
      </c>
    </row>
    <row r="5497">
      <c r="A5497" s="1" t="s">
        <v>22560</v>
      </c>
      <c r="B5497" s="1" t="s">
        <v>21655</v>
      </c>
      <c r="C5497" s="1">
        <v>2009.0</v>
      </c>
      <c r="D5497" s="2">
        <v>39814.0</v>
      </c>
      <c r="F5497" s="1" t="s">
        <v>7622</v>
      </c>
      <c r="H5497" s="3">
        <v>0.0</v>
      </c>
      <c r="I5497" s="4" t="s">
        <v>22561</v>
      </c>
      <c r="J5497" s="1"/>
      <c r="K5497" s="1" t="s">
        <v>295</v>
      </c>
    </row>
    <row r="5498">
      <c r="A5498" s="1" t="s">
        <v>22562</v>
      </c>
      <c r="B5498" s="1" t="s">
        <v>22563</v>
      </c>
      <c r="C5498" s="1">
        <v>2009.0</v>
      </c>
      <c r="D5498" s="2">
        <v>39814.0</v>
      </c>
      <c r="F5498" s="1" t="s">
        <v>12638</v>
      </c>
      <c r="H5498" s="3">
        <v>33.0</v>
      </c>
      <c r="I5498" s="4" t="s">
        <v>22564</v>
      </c>
      <c r="J5498" s="1" t="s">
        <v>22565</v>
      </c>
      <c r="K5498" s="1" t="s">
        <v>16</v>
      </c>
    </row>
    <row r="5499">
      <c r="A5499" s="1" t="s">
        <v>22566</v>
      </c>
      <c r="B5499" s="1" t="s">
        <v>22567</v>
      </c>
      <c r="C5499" s="1">
        <v>2008.0</v>
      </c>
      <c r="D5499" s="2">
        <v>39799.0</v>
      </c>
      <c r="F5499" s="1" t="s">
        <v>3254</v>
      </c>
      <c r="H5499" s="3">
        <v>22.0</v>
      </c>
      <c r="I5499" s="4" t="s">
        <v>22568</v>
      </c>
      <c r="J5499" s="1" t="s">
        <v>22569</v>
      </c>
      <c r="K5499" s="1" t="s">
        <v>68</v>
      </c>
    </row>
    <row r="5500">
      <c r="A5500" s="1" t="s">
        <v>22570</v>
      </c>
      <c r="B5500" s="1" t="s">
        <v>22571</v>
      </c>
      <c r="C5500" s="1">
        <v>2008.0</v>
      </c>
      <c r="D5500" s="2">
        <v>39798.0</v>
      </c>
      <c r="F5500" s="1" t="s">
        <v>7495</v>
      </c>
      <c r="H5500" s="3">
        <v>7.0</v>
      </c>
      <c r="I5500" s="4" t="s">
        <v>22572</v>
      </c>
      <c r="J5500" s="1" t="s">
        <v>22573</v>
      </c>
      <c r="K5500" s="1" t="s">
        <v>295</v>
      </c>
    </row>
    <row r="5501">
      <c r="A5501" s="1" t="s">
        <v>22574</v>
      </c>
      <c r="B5501" s="1" t="s">
        <v>22575</v>
      </c>
      <c r="C5501" s="1">
        <v>2008.0</v>
      </c>
      <c r="D5501" s="2">
        <v>39792.0</v>
      </c>
      <c r="F5501" s="1" t="s">
        <v>1170</v>
      </c>
      <c r="H5501" s="3">
        <v>37.0</v>
      </c>
      <c r="I5501" s="4" t="s">
        <v>22576</v>
      </c>
      <c r="J5501" s="1" t="s">
        <v>22577</v>
      </c>
      <c r="K5501" s="1" t="s">
        <v>323</v>
      </c>
    </row>
    <row r="5502">
      <c r="A5502" s="1" t="s">
        <v>22578</v>
      </c>
      <c r="B5502" s="1" t="s">
        <v>16548</v>
      </c>
      <c r="C5502" s="1">
        <v>2008.0</v>
      </c>
      <c r="D5502" s="2">
        <v>39788.0</v>
      </c>
      <c r="F5502" s="1" t="s">
        <v>1050</v>
      </c>
      <c r="H5502" s="3">
        <v>2.0</v>
      </c>
      <c r="I5502" s="4" t="s">
        <v>22579</v>
      </c>
      <c r="J5502" s="1" t="s">
        <v>22580</v>
      </c>
      <c r="K5502" s="1" t="s">
        <v>28</v>
      </c>
    </row>
    <row r="5503">
      <c r="A5503" s="1" t="s">
        <v>22581</v>
      </c>
      <c r="B5503" s="1" t="s">
        <v>22582</v>
      </c>
      <c r="C5503" s="1">
        <v>2008.0</v>
      </c>
      <c r="D5503" s="2">
        <v>39785.0</v>
      </c>
      <c r="F5503" s="1" t="s">
        <v>4848</v>
      </c>
      <c r="H5503" s="3">
        <v>8.0</v>
      </c>
      <c r="I5503" s="4" t="s">
        <v>22583</v>
      </c>
      <c r="J5503" s="1" t="s">
        <v>22584</v>
      </c>
      <c r="K5503" s="1" t="s">
        <v>68</v>
      </c>
    </row>
    <row r="5504">
      <c r="A5504" s="1" t="s">
        <v>22585</v>
      </c>
      <c r="B5504" s="1" t="s">
        <v>22586</v>
      </c>
      <c r="C5504" s="1">
        <v>2008.0</v>
      </c>
      <c r="D5504" s="2">
        <v>39783.0</v>
      </c>
      <c r="F5504" s="1" t="s">
        <v>7949</v>
      </c>
      <c r="H5504" s="3">
        <v>45.0</v>
      </c>
      <c r="I5504" s="4" t="s">
        <v>22587</v>
      </c>
      <c r="J5504" s="1" t="s">
        <v>22588</v>
      </c>
      <c r="K5504" s="1" t="s">
        <v>926</v>
      </c>
    </row>
    <row r="5505">
      <c r="A5505" s="1" t="s">
        <v>22589</v>
      </c>
      <c r="B5505" s="1" t="s">
        <v>22590</v>
      </c>
      <c r="C5505" s="1">
        <v>2008.0</v>
      </c>
      <c r="D5505" s="2">
        <v>39783.0</v>
      </c>
      <c r="F5505" s="1" t="s">
        <v>386</v>
      </c>
      <c r="H5505" s="3">
        <v>72.0</v>
      </c>
      <c r="I5505" s="4" t="s">
        <v>22591</v>
      </c>
      <c r="J5505" s="1" t="s">
        <v>22592</v>
      </c>
      <c r="K5505" s="1" t="s">
        <v>443</v>
      </c>
    </row>
    <row r="5506">
      <c r="A5506" s="1" t="s">
        <v>22593</v>
      </c>
      <c r="B5506" s="1" t="s">
        <v>22594</v>
      </c>
      <c r="C5506" s="1">
        <v>2008.0</v>
      </c>
      <c r="D5506" s="2">
        <v>39783.0</v>
      </c>
      <c r="F5506" s="1" t="s">
        <v>22595</v>
      </c>
      <c r="H5506" s="3">
        <v>20.0</v>
      </c>
      <c r="I5506" s="4" t="s">
        <v>22596</v>
      </c>
      <c r="J5506" s="1" t="s">
        <v>22597</v>
      </c>
      <c r="K5506" s="1" t="s">
        <v>295</v>
      </c>
    </row>
    <row r="5507">
      <c r="A5507" s="1" t="s">
        <v>22598</v>
      </c>
      <c r="B5507" s="1" t="s">
        <v>22599</v>
      </c>
      <c r="C5507" s="1">
        <v>2008.0</v>
      </c>
      <c r="D5507" s="2">
        <v>39760.0</v>
      </c>
      <c r="F5507" s="1" t="s">
        <v>1050</v>
      </c>
      <c r="H5507" s="3">
        <v>1.0</v>
      </c>
      <c r="I5507" s="4" t="s">
        <v>22600</v>
      </c>
      <c r="J5507" s="1" t="s">
        <v>22601</v>
      </c>
      <c r="K5507" s="1" t="s">
        <v>16</v>
      </c>
    </row>
    <row r="5508">
      <c r="A5508" s="1" t="s">
        <v>22602</v>
      </c>
      <c r="B5508" s="1" t="s">
        <v>22603</v>
      </c>
      <c r="C5508" s="1">
        <v>2008.0</v>
      </c>
      <c r="D5508" s="2">
        <v>39759.0</v>
      </c>
      <c r="F5508" s="1" t="s">
        <v>308</v>
      </c>
      <c r="H5508" s="3">
        <v>34.0</v>
      </c>
      <c r="I5508" s="4" t="s">
        <v>22604</v>
      </c>
      <c r="J5508" s="1" t="s">
        <v>22605</v>
      </c>
      <c r="K5508" s="1" t="s">
        <v>68</v>
      </c>
    </row>
    <row r="5509">
      <c r="A5509" s="1" t="s">
        <v>22606</v>
      </c>
      <c r="B5509" s="1" t="s">
        <v>22607</v>
      </c>
      <c r="C5509" s="1">
        <v>2008.0</v>
      </c>
      <c r="D5509" s="2">
        <v>39753.0</v>
      </c>
      <c r="F5509" s="1" t="s">
        <v>208</v>
      </c>
      <c r="H5509" s="3">
        <v>396.0</v>
      </c>
      <c r="I5509" s="4" t="s">
        <v>22608</v>
      </c>
      <c r="J5509" s="1" t="s">
        <v>22609</v>
      </c>
      <c r="K5509" s="1" t="s">
        <v>28</v>
      </c>
    </row>
    <row r="5510">
      <c r="A5510" s="1" t="s">
        <v>22610</v>
      </c>
      <c r="B5510" s="1" t="s">
        <v>22611</v>
      </c>
      <c r="C5510" s="1">
        <v>2008.0</v>
      </c>
      <c r="D5510" s="2">
        <v>39753.0</v>
      </c>
      <c r="F5510" s="1" t="s">
        <v>1050</v>
      </c>
      <c r="H5510" s="3">
        <v>2.0</v>
      </c>
      <c r="I5510" s="4" t="s">
        <v>22612</v>
      </c>
      <c r="J5510" s="1" t="s">
        <v>22613</v>
      </c>
      <c r="K5510" s="1" t="s">
        <v>68</v>
      </c>
    </row>
    <row r="5511">
      <c r="A5511" s="1" t="s">
        <v>22614</v>
      </c>
      <c r="B5511" s="1" t="s">
        <v>22615</v>
      </c>
      <c r="C5511" s="1">
        <v>2008.0</v>
      </c>
      <c r="D5511" s="2">
        <v>39749.0</v>
      </c>
      <c r="F5511" s="1" t="s">
        <v>2774</v>
      </c>
      <c r="H5511" s="3">
        <v>80.0</v>
      </c>
      <c r="I5511" s="4" t="s">
        <v>22616</v>
      </c>
      <c r="J5511" s="1" t="s">
        <v>22617</v>
      </c>
      <c r="K5511" s="1" t="s">
        <v>28</v>
      </c>
    </row>
    <row r="5512">
      <c r="A5512" s="1" t="s">
        <v>22618</v>
      </c>
      <c r="B5512" s="1" t="s">
        <v>22619</v>
      </c>
      <c r="C5512" s="1">
        <v>2008.0</v>
      </c>
      <c r="D5512" s="2">
        <v>39746.0</v>
      </c>
      <c r="F5512" s="1" t="s">
        <v>1514</v>
      </c>
      <c r="H5512" s="3">
        <v>62.0</v>
      </c>
      <c r="I5512" s="4" t="s">
        <v>22620</v>
      </c>
      <c r="J5512" s="1" t="s">
        <v>22621</v>
      </c>
      <c r="K5512" s="1" t="s">
        <v>443</v>
      </c>
    </row>
    <row r="5513">
      <c r="A5513" s="1" t="s">
        <v>22622</v>
      </c>
      <c r="B5513" s="1" t="s">
        <v>22623</v>
      </c>
      <c r="C5513" s="1">
        <v>2008.0</v>
      </c>
      <c r="D5513" s="2">
        <v>39722.0</v>
      </c>
      <c r="F5513" s="1" t="s">
        <v>21643</v>
      </c>
      <c r="H5513" s="3">
        <v>27.0</v>
      </c>
      <c r="I5513" s="4" t="s">
        <v>22624</v>
      </c>
      <c r="J5513" s="1" t="s">
        <v>22625</v>
      </c>
      <c r="K5513" s="1" t="s">
        <v>2053</v>
      </c>
    </row>
    <row r="5514">
      <c r="A5514" s="1" t="s">
        <v>22626</v>
      </c>
      <c r="B5514" s="1" t="s">
        <v>22627</v>
      </c>
      <c r="C5514" s="1">
        <v>2008.0</v>
      </c>
      <c r="D5514" s="2">
        <v>39722.0</v>
      </c>
      <c r="F5514" s="1" t="s">
        <v>22017</v>
      </c>
      <c r="H5514" s="3">
        <v>78.0</v>
      </c>
      <c r="I5514" s="4" t="s">
        <v>22628</v>
      </c>
      <c r="J5514" s="1" t="s">
        <v>22629</v>
      </c>
      <c r="K5514" s="1" t="s">
        <v>28</v>
      </c>
    </row>
    <row r="5515">
      <c r="A5515" s="1" t="s">
        <v>22630</v>
      </c>
      <c r="B5515" s="1" t="s">
        <v>22631</v>
      </c>
      <c r="C5515" s="1">
        <v>2008.0</v>
      </c>
      <c r="D5515" s="2">
        <v>39722.0</v>
      </c>
      <c r="F5515" s="1" t="s">
        <v>12651</v>
      </c>
      <c r="H5515" s="3">
        <v>55.0</v>
      </c>
      <c r="I5515" s="4" t="s">
        <v>22632</v>
      </c>
      <c r="J5515" s="1" t="s">
        <v>22633</v>
      </c>
      <c r="K5515" s="1" t="s">
        <v>1036</v>
      </c>
    </row>
    <row r="5516">
      <c r="A5516" s="1" t="s">
        <v>22634</v>
      </c>
      <c r="B5516" s="1" t="s">
        <v>22635</v>
      </c>
      <c r="C5516" s="1">
        <v>2008.0</v>
      </c>
      <c r="D5516" s="2">
        <v>39722.0</v>
      </c>
      <c r="F5516" s="1" t="s">
        <v>3463</v>
      </c>
      <c r="H5516" s="3">
        <v>41.0</v>
      </c>
      <c r="I5516" s="4" t="s">
        <v>22636</v>
      </c>
      <c r="J5516" s="1" t="s">
        <v>22637</v>
      </c>
      <c r="K5516" s="1" t="s">
        <v>295</v>
      </c>
    </row>
    <row r="5517">
      <c r="A5517" s="1" t="s">
        <v>22638</v>
      </c>
      <c r="B5517" s="1" t="s">
        <v>22639</v>
      </c>
      <c r="C5517" s="1">
        <v>2008.0</v>
      </c>
      <c r="D5517" s="2">
        <v>39722.0</v>
      </c>
      <c r="F5517" s="1" t="s">
        <v>13473</v>
      </c>
      <c r="H5517" s="3">
        <v>76.0</v>
      </c>
      <c r="I5517" s="4" t="s">
        <v>22640</v>
      </c>
      <c r="J5517" s="1" t="s">
        <v>22641</v>
      </c>
      <c r="K5517" s="1" t="s">
        <v>443</v>
      </c>
    </row>
    <row r="5518">
      <c r="A5518" s="1" t="s">
        <v>22642</v>
      </c>
      <c r="B5518" s="1" t="s">
        <v>22643</v>
      </c>
      <c r="C5518" s="1">
        <v>2008.0</v>
      </c>
      <c r="D5518" s="2">
        <v>39721.0</v>
      </c>
      <c r="F5518" s="1" t="s">
        <v>22644</v>
      </c>
      <c r="H5518" s="3">
        <v>2.0</v>
      </c>
      <c r="I5518" s="4" t="s">
        <v>22645</v>
      </c>
      <c r="J5518" s="1" t="s">
        <v>22646</v>
      </c>
      <c r="K5518" s="1" t="s">
        <v>295</v>
      </c>
    </row>
    <row r="5519">
      <c r="A5519" s="1" t="s">
        <v>22647</v>
      </c>
      <c r="B5519" s="1" t="s">
        <v>22648</v>
      </c>
      <c r="C5519" s="1">
        <v>2008.0</v>
      </c>
      <c r="D5519" s="2">
        <v>39707.0</v>
      </c>
      <c r="F5519" s="1" t="s">
        <v>337</v>
      </c>
      <c r="H5519" s="3">
        <v>74.0</v>
      </c>
      <c r="I5519" s="4" t="s">
        <v>22649</v>
      </c>
      <c r="J5519" s="1" t="s">
        <v>22650</v>
      </c>
      <c r="K5519" s="1" t="s">
        <v>68</v>
      </c>
    </row>
    <row r="5520">
      <c r="A5520" s="1" t="s">
        <v>22651</v>
      </c>
      <c r="B5520" s="1" t="s">
        <v>22652</v>
      </c>
      <c r="C5520" s="1">
        <v>2008.0</v>
      </c>
      <c r="D5520" s="2">
        <v>39692.0</v>
      </c>
      <c r="F5520" s="1" t="s">
        <v>5554</v>
      </c>
      <c r="H5520" s="3">
        <v>15.0</v>
      </c>
      <c r="I5520" s="4" t="s">
        <v>22653</v>
      </c>
      <c r="J5520" s="1" t="s">
        <v>22654</v>
      </c>
      <c r="K5520" s="1" t="s">
        <v>383</v>
      </c>
    </row>
    <row r="5521">
      <c r="A5521" s="1" t="s">
        <v>22655</v>
      </c>
      <c r="B5521" s="1" t="s">
        <v>22656</v>
      </c>
      <c r="C5521" s="1">
        <v>2008.0</v>
      </c>
      <c r="D5521" s="2">
        <v>39692.0</v>
      </c>
      <c r="F5521" s="1" t="s">
        <v>5167</v>
      </c>
      <c r="H5521" s="3">
        <v>22.0</v>
      </c>
      <c r="I5521" s="4" t="s">
        <v>22657</v>
      </c>
      <c r="J5521" s="1" t="s">
        <v>22658</v>
      </c>
      <c r="K5521" s="1" t="s">
        <v>28</v>
      </c>
    </row>
    <row r="5522">
      <c r="A5522" s="1" t="s">
        <v>22659</v>
      </c>
      <c r="B5522" s="1" t="s">
        <v>22660</v>
      </c>
      <c r="C5522" s="1">
        <v>2008.0</v>
      </c>
      <c r="D5522" s="2">
        <v>39681.0</v>
      </c>
      <c r="F5522" s="1" t="s">
        <v>4848</v>
      </c>
      <c r="H5522" s="3">
        <v>36.0</v>
      </c>
      <c r="I5522" s="4" t="s">
        <v>22661</v>
      </c>
      <c r="J5522" s="1" t="s">
        <v>22662</v>
      </c>
      <c r="K5522" s="1" t="s">
        <v>413</v>
      </c>
    </row>
    <row r="5523">
      <c r="A5523" s="1" t="s">
        <v>22663</v>
      </c>
      <c r="B5523" s="1" t="s">
        <v>22664</v>
      </c>
      <c r="C5523" s="1">
        <v>2008.0</v>
      </c>
      <c r="D5523" s="2">
        <v>39681.0</v>
      </c>
      <c r="F5523" s="1" t="s">
        <v>308</v>
      </c>
      <c r="H5523" s="3">
        <v>84.0</v>
      </c>
      <c r="I5523" s="4" t="s">
        <v>22665</v>
      </c>
      <c r="J5523" s="1" t="s">
        <v>22666</v>
      </c>
      <c r="K5523" s="1" t="s">
        <v>16</v>
      </c>
    </row>
    <row r="5524">
      <c r="A5524" s="1" t="s">
        <v>22667</v>
      </c>
      <c r="B5524" s="1" t="s">
        <v>22668</v>
      </c>
      <c r="C5524" s="1">
        <v>2008.0</v>
      </c>
      <c r="D5524" s="2">
        <v>39669.0</v>
      </c>
      <c r="F5524" s="1" t="s">
        <v>3926</v>
      </c>
      <c r="H5524" s="3">
        <v>24.0</v>
      </c>
      <c r="I5524" s="4" t="s">
        <v>22669</v>
      </c>
      <c r="J5524" s="1" t="s">
        <v>22670</v>
      </c>
      <c r="K5524" s="1" t="s">
        <v>443</v>
      </c>
    </row>
    <row r="5525">
      <c r="A5525" s="1" t="s">
        <v>22671</v>
      </c>
      <c r="B5525" s="1" t="s">
        <v>22672</v>
      </c>
      <c r="C5525" s="1">
        <v>2008.0</v>
      </c>
      <c r="D5525" s="2">
        <v>39661.0</v>
      </c>
      <c r="F5525" s="1" t="s">
        <v>17247</v>
      </c>
      <c r="H5525" s="3">
        <v>57.0</v>
      </c>
      <c r="I5525" s="4" t="s">
        <v>22673</v>
      </c>
      <c r="J5525" s="1" t="s">
        <v>22674</v>
      </c>
      <c r="K5525" s="1" t="s">
        <v>28</v>
      </c>
    </row>
    <row r="5526">
      <c r="A5526" s="1" t="s">
        <v>22675</v>
      </c>
      <c r="B5526" s="1" t="s">
        <v>22676</v>
      </c>
      <c r="C5526" s="1">
        <v>2008.0</v>
      </c>
      <c r="D5526" s="2">
        <v>39661.0</v>
      </c>
      <c r="F5526" s="1" t="s">
        <v>1410</v>
      </c>
      <c r="H5526" s="3">
        <v>12.0</v>
      </c>
      <c r="I5526" s="4" t="s">
        <v>22677</v>
      </c>
      <c r="J5526" s="1" t="s">
        <v>22678</v>
      </c>
      <c r="K5526" s="1" t="s">
        <v>68</v>
      </c>
    </row>
    <row r="5527">
      <c r="A5527" s="1" t="s">
        <v>22679</v>
      </c>
      <c r="B5527" s="1" t="s">
        <v>22680</v>
      </c>
      <c r="C5527" s="1">
        <v>2008.0</v>
      </c>
      <c r="D5527" s="2">
        <v>39653.0</v>
      </c>
      <c r="F5527" s="1" t="s">
        <v>19</v>
      </c>
      <c r="H5527" s="3">
        <v>45.0</v>
      </c>
      <c r="I5527" s="4" t="s">
        <v>22681</v>
      </c>
      <c r="J5527" s="1" t="s">
        <v>22682</v>
      </c>
      <c r="K5527" s="1" t="s">
        <v>28</v>
      </c>
    </row>
    <row r="5528">
      <c r="A5528" s="1" t="s">
        <v>22683</v>
      </c>
      <c r="B5528" s="1" t="s">
        <v>22684</v>
      </c>
      <c r="C5528" s="1">
        <v>2008.0</v>
      </c>
      <c r="D5528" s="2">
        <v>39650.0</v>
      </c>
      <c r="F5528" s="1" t="s">
        <v>369</v>
      </c>
      <c r="H5528" s="3">
        <v>93.0</v>
      </c>
      <c r="I5528" s="4" t="s">
        <v>22685</v>
      </c>
      <c r="J5528" s="1" t="s">
        <v>22686</v>
      </c>
      <c r="K5528" s="1" t="s">
        <v>383</v>
      </c>
    </row>
    <row r="5529">
      <c r="A5529" s="1" t="s">
        <v>22687</v>
      </c>
      <c r="B5529" s="1" t="s">
        <v>22688</v>
      </c>
      <c r="C5529" s="1">
        <v>2008.0</v>
      </c>
      <c r="D5529" s="2">
        <v>39650.0</v>
      </c>
      <c r="F5529" s="1" t="s">
        <v>435</v>
      </c>
      <c r="H5529" s="3">
        <v>19.0</v>
      </c>
      <c r="I5529" s="4" t="s">
        <v>22689</v>
      </c>
      <c r="J5529" s="1" t="s">
        <v>22690</v>
      </c>
      <c r="K5529" s="1" t="s">
        <v>1036</v>
      </c>
    </row>
    <row r="5530">
      <c r="A5530" s="1" t="s">
        <v>22691</v>
      </c>
      <c r="B5530" s="1" t="s">
        <v>22692</v>
      </c>
      <c r="C5530" s="1">
        <v>2008.0</v>
      </c>
      <c r="D5530" s="2">
        <v>39648.0</v>
      </c>
      <c r="F5530" s="1" t="s">
        <v>1777</v>
      </c>
      <c r="H5530" s="3">
        <v>177.0</v>
      </c>
      <c r="I5530" s="4" t="s">
        <v>22693</v>
      </c>
      <c r="J5530" s="1" t="s">
        <v>22694</v>
      </c>
      <c r="K5530" s="1" t="s">
        <v>926</v>
      </c>
    </row>
    <row r="5531">
      <c r="A5531" s="1" t="s">
        <v>22695</v>
      </c>
      <c r="B5531" s="1" t="s">
        <v>22696</v>
      </c>
      <c r="C5531" s="1">
        <v>2008.0</v>
      </c>
      <c r="D5531" s="2">
        <v>39647.0</v>
      </c>
      <c r="F5531" s="1" t="s">
        <v>2693</v>
      </c>
      <c r="H5531" s="3">
        <v>30.0</v>
      </c>
      <c r="I5531" s="4" t="s">
        <v>22697</v>
      </c>
      <c r="J5531" s="1" t="s">
        <v>22698</v>
      </c>
      <c r="K5531" s="1" t="s">
        <v>1036</v>
      </c>
    </row>
    <row r="5532">
      <c r="A5532" s="1" t="s">
        <v>22699</v>
      </c>
      <c r="B5532" s="1" t="s">
        <v>22700</v>
      </c>
      <c r="C5532" s="1">
        <v>2008.0</v>
      </c>
      <c r="D5532" s="2">
        <v>39646.0</v>
      </c>
      <c r="F5532" s="1" t="s">
        <v>10191</v>
      </c>
      <c r="H5532" s="3">
        <v>6.0</v>
      </c>
      <c r="I5532" s="4" t="s">
        <v>22701</v>
      </c>
      <c r="J5532" s="1" t="s">
        <v>22702</v>
      </c>
      <c r="K5532" s="1" t="s">
        <v>68</v>
      </c>
    </row>
    <row r="5533">
      <c r="A5533" s="1" t="s">
        <v>22703</v>
      </c>
      <c r="B5533" s="1" t="s">
        <v>22704</v>
      </c>
      <c r="C5533" s="1">
        <v>2008.0</v>
      </c>
      <c r="D5533" s="2">
        <v>39644.0</v>
      </c>
      <c r="F5533" s="1" t="s">
        <v>410</v>
      </c>
      <c r="H5533" s="3">
        <v>57.0</v>
      </c>
      <c r="I5533" s="4" t="s">
        <v>22705</v>
      </c>
      <c r="J5533" s="1" t="s">
        <v>22706</v>
      </c>
      <c r="K5533" s="1" t="s">
        <v>16</v>
      </c>
    </row>
    <row r="5534">
      <c r="A5534" s="1" t="s">
        <v>22707</v>
      </c>
      <c r="B5534" s="1" t="s">
        <v>22708</v>
      </c>
      <c r="C5534" s="1">
        <v>2008.0</v>
      </c>
      <c r="D5534" s="2">
        <v>39644.0</v>
      </c>
      <c r="F5534" s="1" t="s">
        <v>337</v>
      </c>
      <c r="H5534" s="3">
        <v>40.0</v>
      </c>
      <c r="I5534" s="4" t="s">
        <v>22709</v>
      </c>
      <c r="J5534" s="1" t="s">
        <v>22710</v>
      </c>
      <c r="K5534" s="1" t="s">
        <v>16</v>
      </c>
    </row>
    <row r="5535">
      <c r="A5535" s="1" t="s">
        <v>22711</v>
      </c>
      <c r="B5535" s="1" t="s">
        <v>22221</v>
      </c>
      <c r="C5535" s="1">
        <v>2008.0</v>
      </c>
      <c r="D5535" s="2">
        <v>39639.0</v>
      </c>
      <c r="F5535" s="1" t="s">
        <v>20875</v>
      </c>
      <c r="H5535" s="3">
        <v>25.0</v>
      </c>
      <c r="I5535" s="4" t="s">
        <v>22712</v>
      </c>
      <c r="J5535" s="1" t="s">
        <v>22713</v>
      </c>
      <c r="K5535" s="1" t="s">
        <v>477</v>
      </c>
    </row>
    <row r="5536">
      <c r="A5536" s="1" t="s">
        <v>22714</v>
      </c>
      <c r="B5536" s="1" t="s">
        <v>22715</v>
      </c>
      <c r="C5536" s="1">
        <v>2008.0</v>
      </c>
      <c r="D5536" s="2">
        <v>39630.0</v>
      </c>
      <c r="F5536" s="1" t="s">
        <v>22716</v>
      </c>
      <c r="H5536" s="3">
        <v>16.0</v>
      </c>
      <c r="I5536" s="4" t="s">
        <v>22717</v>
      </c>
      <c r="J5536" s="1" t="s">
        <v>22718</v>
      </c>
      <c r="K5536" s="1" t="s">
        <v>383</v>
      </c>
    </row>
    <row r="5537">
      <c r="A5537" s="1" t="s">
        <v>22719</v>
      </c>
      <c r="B5537" s="1" t="s">
        <v>22720</v>
      </c>
      <c r="C5537" s="1">
        <v>2008.0</v>
      </c>
      <c r="D5537" s="2">
        <v>39624.0</v>
      </c>
      <c r="F5537" s="1" t="s">
        <v>71</v>
      </c>
      <c r="H5537" s="3">
        <v>26.0</v>
      </c>
      <c r="I5537" s="4" t="s">
        <v>22721</v>
      </c>
      <c r="J5537" s="1" t="s">
        <v>22722</v>
      </c>
      <c r="K5537" s="1" t="s">
        <v>383</v>
      </c>
    </row>
    <row r="5538">
      <c r="A5538" s="1" t="s">
        <v>22723</v>
      </c>
      <c r="B5538" s="1" t="s">
        <v>22724</v>
      </c>
      <c r="C5538" s="1">
        <v>2008.0</v>
      </c>
      <c r="D5538" s="2">
        <v>39616.0</v>
      </c>
      <c r="F5538" s="1" t="s">
        <v>435</v>
      </c>
      <c r="H5538" s="3">
        <v>16.0</v>
      </c>
      <c r="I5538" s="4" t="s">
        <v>22725</v>
      </c>
      <c r="J5538" s="1" t="s">
        <v>22726</v>
      </c>
      <c r="K5538" s="1" t="s">
        <v>477</v>
      </c>
    </row>
    <row r="5539">
      <c r="A5539" s="1" t="s">
        <v>22727</v>
      </c>
      <c r="B5539" s="1" t="s">
        <v>22728</v>
      </c>
      <c r="C5539" s="1">
        <v>2008.0</v>
      </c>
      <c r="D5539" s="2">
        <v>39616.0</v>
      </c>
      <c r="F5539" s="1" t="s">
        <v>4848</v>
      </c>
      <c r="H5539" s="3">
        <v>52.0</v>
      </c>
      <c r="I5539" s="4" t="s">
        <v>22729</v>
      </c>
      <c r="J5539" s="1" t="s">
        <v>22730</v>
      </c>
      <c r="K5539" s="1" t="s">
        <v>413</v>
      </c>
    </row>
    <row r="5540">
      <c r="A5540" s="1" t="s">
        <v>22731</v>
      </c>
      <c r="B5540" s="1" t="s">
        <v>22732</v>
      </c>
      <c r="C5540" s="1">
        <v>2008.0</v>
      </c>
      <c r="D5540" s="2">
        <v>39609.0</v>
      </c>
      <c r="F5540" s="1" t="s">
        <v>519</v>
      </c>
      <c r="H5540" s="3">
        <v>32.0</v>
      </c>
      <c r="I5540" s="4" t="s">
        <v>22733</v>
      </c>
      <c r="J5540" s="1" t="s">
        <v>22734</v>
      </c>
      <c r="K5540" s="1" t="s">
        <v>413</v>
      </c>
    </row>
    <row r="5541">
      <c r="A5541" s="1" t="s">
        <v>22735</v>
      </c>
      <c r="B5541" s="1" t="s">
        <v>22736</v>
      </c>
      <c r="C5541" s="1">
        <v>2008.0</v>
      </c>
      <c r="D5541" s="2">
        <v>39604.0</v>
      </c>
      <c r="F5541" s="1" t="s">
        <v>11421</v>
      </c>
      <c r="H5541" s="3">
        <v>58.0</v>
      </c>
      <c r="I5541" s="4" t="s">
        <v>22737</v>
      </c>
      <c r="J5541" s="1" t="s">
        <v>22738</v>
      </c>
      <c r="K5541" s="1" t="s">
        <v>28</v>
      </c>
    </row>
    <row r="5542">
      <c r="A5542" s="1" t="s">
        <v>22739</v>
      </c>
      <c r="B5542" s="1" t="s">
        <v>22740</v>
      </c>
      <c r="C5542" s="1">
        <v>2008.0</v>
      </c>
      <c r="D5542" s="2">
        <v>39602.0</v>
      </c>
      <c r="F5542" s="1" t="s">
        <v>8612</v>
      </c>
      <c r="H5542" s="3">
        <v>25.0</v>
      </c>
      <c r="I5542" s="4" t="s">
        <v>22741</v>
      </c>
      <c r="J5542" s="1" t="s">
        <v>22742</v>
      </c>
      <c r="K5542" s="1" t="s">
        <v>295</v>
      </c>
    </row>
    <row r="5543">
      <c r="A5543" s="1" t="s">
        <v>22743</v>
      </c>
      <c r="B5543" s="1" t="s">
        <v>22744</v>
      </c>
      <c r="C5543" s="1">
        <v>2008.0</v>
      </c>
      <c r="D5543" s="2">
        <v>39600.0</v>
      </c>
      <c r="F5543" s="1" t="s">
        <v>276</v>
      </c>
      <c r="H5543" s="3">
        <v>25.0</v>
      </c>
      <c r="I5543" s="4" t="s">
        <v>22745</v>
      </c>
      <c r="J5543" s="1" t="s">
        <v>22746</v>
      </c>
      <c r="K5543" s="1" t="s">
        <v>443</v>
      </c>
    </row>
    <row r="5544">
      <c r="A5544" s="1" t="s">
        <v>22747</v>
      </c>
      <c r="B5544" s="1" t="s">
        <v>22748</v>
      </c>
      <c r="C5544" s="1">
        <v>2008.0</v>
      </c>
      <c r="D5544" s="2">
        <v>39600.0</v>
      </c>
      <c r="F5544" s="1" t="s">
        <v>1199</v>
      </c>
      <c r="H5544" s="3">
        <v>4.0</v>
      </c>
      <c r="I5544" s="4" t="s">
        <v>22749</v>
      </c>
      <c r="J5544" s="1"/>
      <c r="K5544" s="1" t="s">
        <v>295</v>
      </c>
    </row>
    <row r="5545">
      <c r="A5545" s="1" t="s">
        <v>22750</v>
      </c>
      <c r="B5545" s="1" t="s">
        <v>22751</v>
      </c>
      <c r="C5545" s="1">
        <v>2008.0</v>
      </c>
      <c r="D5545" s="2">
        <v>39600.0</v>
      </c>
      <c r="F5545" s="1" t="s">
        <v>743</v>
      </c>
      <c r="H5545" s="3">
        <v>71.0</v>
      </c>
      <c r="I5545" s="4" t="s">
        <v>22752</v>
      </c>
      <c r="J5545" s="1" t="s">
        <v>22753</v>
      </c>
      <c r="K5545" s="1" t="s">
        <v>413</v>
      </c>
    </row>
    <row r="5546">
      <c r="A5546" s="1" t="s">
        <v>22754</v>
      </c>
      <c r="B5546" s="1" t="s">
        <v>22556</v>
      </c>
      <c r="C5546" s="1">
        <v>2008.0</v>
      </c>
      <c r="D5546" s="2">
        <v>39600.0</v>
      </c>
      <c r="F5546" s="1" t="s">
        <v>20646</v>
      </c>
      <c r="H5546" s="3">
        <v>36.0</v>
      </c>
      <c r="I5546" s="4" t="s">
        <v>22755</v>
      </c>
      <c r="J5546" s="1" t="s">
        <v>22756</v>
      </c>
      <c r="K5546" s="1" t="s">
        <v>16</v>
      </c>
    </row>
    <row r="5547">
      <c r="A5547" s="1" t="s">
        <v>22757</v>
      </c>
      <c r="B5547" s="1" t="s">
        <v>22758</v>
      </c>
      <c r="C5547" s="1">
        <v>2008.0</v>
      </c>
      <c r="D5547" s="2">
        <v>39595.0</v>
      </c>
      <c r="F5547" s="1" t="s">
        <v>2007</v>
      </c>
      <c r="H5547" s="3">
        <v>73.0</v>
      </c>
      <c r="I5547" s="4" t="s">
        <v>22759</v>
      </c>
      <c r="J5547" s="1" t="s">
        <v>22760</v>
      </c>
      <c r="K5547" s="1" t="s">
        <v>28</v>
      </c>
    </row>
    <row r="5548">
      <c r="A5548" s="1" t="s">
        <v>22761</v>
      </c>
      <c r="B5548" s="1" t="s">
        <v>22762</v>
      </c>
      <c r="C5548" s="1">
        <v>2008.0</v>
      </c>
      <c r="D5548" s="2">
        <v>39595.0</v>
      </c>
      <c r="F5548" s="1" t="s">
        <v>5006</v>
      </c>
      <c r="H5548" s="3">
        <v>84.0</v>
      </c>
      <c r="I5548" s="4" t="s">
        <v>22763</v>
      </c>
      <c r="J5548" s="1" t="s">
        <v>22764</v>
      </c>
      <c r="K5548" s="1" t="s">
        <v>323</v>
      </c>
    </row>
    <row r="5549">
      <c r="A5549" s="1" t="s">
        <v>22765</v>
      </c>
      <c r="B5549" s="1" t="s">
        <v>22766</v>
      </c>
      <c r="C5549" s="1">
        <v>2008.0</v>
      </c>
      <c r="D5549" s="2">
        <v>39592.0</v>
      </c>
      <c r="F5549" s="1" t="s">
        <v>15114</v>
      </c>
      <c r="H5549" s="3">
        <v>201.0</v>
      </c>
      <c r="I5549" s="4" t="s">
        <v>22767</v>
      </c>
      <c r="J5549" s="1" t="s">
        <v>22768</v>
      </c>
      <c r="K5549" s="1" t="s">
        <v>926</v>
      </c>
    </row>
    <row r="5550">
      <c r="A5550" s="1" t="s">
        <v>22769</v>
      </c>
      <c r="B5550" s="1" t="s">
        <v>22770</v>
      </c>
      <c r="C5550" s="1">
        <v>2008.0</v>
      </c>
      <c r="D5550" s="2">
        <v>39578.0</v>
      </c>
      <c r="F5550" s="1" t="s">
        <v>1050</v>
      </c>
      <c r="H5550" s="3">
        <v>0.0</v>
      </c>
      <c r="I5550" s="4" t="s">
        <v>22771</v>
      </c>
      <c r="J5550" s="1" t="s">
        <v>22772</v>
      </c>
      <c r="K5550" s="1" t="s">
        <v>68</v>
      </c>
    </row>
    <row r="5551">
      <c r="A5551" s="1" t="s">
        <v>22773</v>
      </c>
      <c r="B5551" s="1" t="s">
        <v>22720</v>
      </c>
      <c r="C5551" s="1">
        <v>2008.0</v>
      </c>
      <c r="D5551" s="2">
        <v>39573.0</v>
      </c>
      <c r="F5551" s="1" t="s">
        <v>4405</v>
      </c>
      <c r="H5551" s="3">
        <v>19.0</v>
      </c>
      <c r="I5551" s="4" t="s">
        <v>22774</v>
      </c>
      <c r="J5551" s="1" t="s">
        <v>22775</v>
      </c>
      <c r="K5551" s="1" t="s">
        <v>383</v>
      </c>
    </row>
    <row r="5552">
      <c r="A5552" s="1" t="s">
        <v>22776</v>
      </c>
      <c r="B5552" s="1" t="s">
        <v>22777</v>
      </c>
      <c r="C5552" s="1">
        <v>2008.0</v>
      </c>
      <c r="D5552" s="2">
        <v>39569.0</v>
      </c>
      <c r="F5552" s="1" t="s">
        <v>21412</v>
      </c>
      <c r="H5552" s="3">
        <v>11.0</v>
      </c>
      <c r="I5552" s="4" t="s">
        <v>22778</v>
      </c>
      <c r="J5552" s="1" t="s">
        <v>22779</v>
      </c>
      <c r="K5552" s="1" t="s">
        <v>16</v>
      </c>
    </row>
    <row r="5553">
      <c r="A5553" s="1" t="s">
        <v>22780</v>
      </c>
      <c r="B5553" s="1" t="s">
        <v>22781</v>
      </c>
      <c r="C5553" s="1">
        <v>2008.0</v>
      </c>
      <c r="D5553" s="2">
        <v>39555.0</v>
      </c>
      <c r="F5553" s="1" t="s">
        <v>5824</v>
      </c>
      <c r="H5553" s="3">
        <v>21.0</v>
      </c>
      <c r="I5553" s="4" t="s">
        <v>22782</v>
      </c>
      <c r="J5553" s="1" t="s">
        <v>22783</v>
      </c>
      <c r="K5553" s="1" t="s">
        <v>383</v>
      </c>
    </row>
    <row r="5554">
      <c r="A5554" s="1" t="s">
        <v>22784</v>
      </c>
      <c r="B5554" s="1" t="s">
        <v>22785</v>
      </c>
      <c r="C5554" s="1">
        <v>2008.0</v>
      </c>
      <c r="D5554" s="2">
        <v>39554.0</v>
      </c>
      <c r="F5554" s="1" t="s">
        <v>3233</v>
      </c>
      <c r="H5554" s="3">
        <v>12.0</v>
      </c>
      <c r="I5554" s="4" t="s">
        <v>22786</v>
      </c>
      <c r="J5554" s="1" t="s">
        <v>22787</v>
      </c>
      <c r="K5554" s="1" t="s">
        <v>68</v>
      </c>
    </row>
    <row r="5555">
      <c r="A5555" s="1" t="s">
        <v>22788</v>
      </c>
      <c r="B5555" s="1" t="s">
        <v>22789</v>
      </c>
      <c r="C5555" s="1">
        <v>2008.0</v>
      </c>
      <c r="D5555" s="2">
        <v>39553.0</v>
      </c>
      <c r="F5555" s="1" t="s">
        <v>4235</v>
      </c>
      <c r="H5555" s="3">
        <v>20.0</v>
      </c>
      <c r="I5555" s="4" t="s">
        <v>22790</v>
      </c>
      <c r="J5555" s="1" t="s">
        <v>22791</v>
      </c>
      <c r="K5555" s="1" t="s">
        <v>68</v>
      </c>
    </row>
    <row r="5556">
      <c r="A5556" s="1" t="s">
        <v>22792</v>
      </c>
      <c r="B5556" s="1" t="s">
        <v>22793</v>
      </c>
      <c r="C5556" s="1">
        <v>2008.0</v>
      </c>
      <c r="D5556" s="2">
        <v>39546.0</v>
      </c>
      <c r="F5556" s="1" t="s">
        <v>31</v>
      </c>
      <c r="H5556" s="3">
        <v>170.0</v>
      </c>
      <c r="I5556" s="4" t="s">
        <v>22794</v>
      </c>
      <c r="J5556" s="1" t="s">
        <v>22795</v>
      </c>
      <c r="K5556" s="1" t="s">
        <v>28</v>
      </c>
    </row>
    <row r="5557">
      <c r="A5557" s="1" t="s">
        <v>22796</v>
      </c>
      <c r="B5557" s="1" t="s">
        <v>22563</v>
      </c>
      <c r="C5557" s="1">
        <v>2008.0</v>
      </c>
      <c r="D5557" s="2">
        <v>39545.0</v>
      </c>
      <c r="F5557" s="1" t="s">
        <v>4405</v>
      </c>
      <c r="H5557" s="3">
        <v>146.0</v>
      </c>
      <c r="I5557" s="4" t="s">
        <v>22797</v>
      </c>
      <c r="J5557" s="1" t="s">
        <v>22798</v>
      </c>
      <c r="K5557" s="1" t="s">
        <v>16</v>
      </c>
    </row>
    <row r="5558">
      <c r="A5558" s="1" t="s">
        <v>22799</v>
      </c>
      <c r="B5558" s="1" t="s">
        <v>22800</v>
      </c>
      <c r="C5558" s="1">
        <v>2008.0</v>
      </c>
      <c r="D5558" s="2">
        <v>39539.0</v>
      </c>
      <c r="F5558" s="1" t="s">
        <v>22801</v>
      </c>
      <c r="H5558" s="3">
        <v>13.0</v>
      </c>
      <c r="I5558" s="4" t="s">
        <v>22802</v>
      </c>
      <c r="J5558" s="1" t="s">
        <v>22803</v>
      </c>
      <c r="K5558" s="1" t="s">
        <v>1036</v>
      </c>
    </row>
    <row r="5559">
      <c r="A5559" s="1" t="s">
        <v>22804</v>
      </c>
      <c r="B5559" s="1" t="s">
        <v>22805</v>
      </c>
      <c r="C5559" s="1">
        <v>2008.0</v>
      </c>
      <c r="D5559" s="2">
        <v>39539.0</v>
      </c>
      <c r="F5559" s="1" t="s">
        <v>4707</v>
      </c>
      <c r="H5559" s="3">
        <v>38.0</v>
      </c>
      <c r="I5559" s="4" t="s">
        <v>22806</v>
      </c>
      <c r="J5559" s="1" t="s">
        <v>22807</v>
      </c>
      <c r="K5559" s="1" t="s">
        <v>323</v>
      </c>
    </row>
    <row r="5560">
      <c r="A5560" s="1" t="s">
        <v>22808</v>
      </c>
      <c r="B5560" s="1" t="s">
        <v>22809</v>
      </c>
      <c r="C5560" s="1">
        <v>2008.0</v>
      </c>
      <c r="D5560" s="2">
        <v>39539.0</v>
      </c>
      <c r="F5560" s="1" t="s">
        <v>276</v>
      </c>
      <c r="H5560" s="3">
        <v>27.0</v>
      </c>
      <c r="I5560" s="4" t="s">
        <v>22810</v>
      </c>
      <c r="J5560" s="1" t="s">
        <v>22811</v>
      </c>
      <c r="K5560" s="1" t="s">
        <v>413</v>
      </c>
    </row>
    <row r="5561">
      <c r="A5561" s="1" t="s">
        <v>22812</v>
      </c>
      <c r="B5561" s="1" t="s">
        <v>22748</v>
      </c>
      <c r="C5561" s="1">
        <v>2008.0</v>
      </c>
      <c r="D5561" s="2">
        <v>39536.0</v>
      </c>
      <c r="F5561" s="1" t="s">
        <v>1050</v>
      </c>
      <c r="H5561" s="3">
        <v>0.0</v>
      </c>
      <c r="I5561" s="4" t="s">
        <v>22813</v>
      </c>
      <c r="J5561" s="1" t="s">
        <v>22814</v>
      </c>
      <c r="K5561" s="1" t="s">
        <v>295</v>
      </c>
    </row>
    <row r="5562">
      <c r="A5562" s="1" t="s">
        <v>22815</v>
      </c>
      <c r="B5562" s="1" t="s">
        <v>22816</v>
      </c>
      <c r="C5562" s="1">
        <v>2008.0</v>
      </c>
      <c r="D5562" s="2">
        <v>39535.0</v>
      </c>
      <c r="F5562" s="1" t="s">
        <v>337</v>
      </c>
      <c r="H5562" s="3">
        <v>47.0</v>
      </c>
      <c r="I5562" s="4" t="s">
        <v>22817</v>
      </c>
      <c r="J5562" s="1" t="s">
        <v>22818</v>
      </c>
      <c r="K5562" s="1" t="s">
        <v>16</v>
      </c>
    </row>
    <row r="5563">
      <c r="A5563" s="1" t="s">
        <v>22819</v>
      </c>
      <c r="B5563" s="1" t="s">
        <v>22820</v>
      </c>
      <c r="C5563" s="1">
        <v>2008.0</v>
      </c>
      <c r="D5563" s="2">
        <v>39526.0</v>
      </c>
      <c r="F5563" s="1" t="s">
        <v>2475</v>
      </c>
      <c r="H5563" s="3">
        <v>8.0</v>
      </c>
      <c r="I5563" s="4" t="s">
        <v>22821</v>
      </c>
      <c r="J5563" s="1" t="s">
        <v>22822</v>
      </c>
      <c r="K5563" s="1" t="s">
        <v>413</v>
      </c>
    </row>
    <row r="5564">
      <c r="A5564" s="1" t="s">
        <v>22823</v>
      </c>
      <c r="B5564" s="1" t="s">
        <v>22824</v>
      </c>
      <c r="C5564" s="1">
        <v>2008.0</v>
      </c>
      <c r="D5564" s="2">
        <v>39513.0</v>
      </c>
      <c r="F5564" s="1" t="s">
        <v>21188</v>
      </c>
      <c r="H5564" s="3">
        <v>36.0</v>
      </c>
      <c r="I5564" s="4" t="s">
        <v>22825</v>
      </c>
      <c r="J5564" s="1" t="s">
        <v>22826</v>
      </c>
      <c r="K5564" s="1" t="s">
        <v>1036</v>
      </c>
    </row>
    <row r="5565">
      <c r="A5565" s="1" t="s">
        <v>22827</v>
      </c>
      <c r="B5565" s="1" t="s">
        <v>22828</v>
      </c>
      <c r="C5565" s="1">
        <v>2008.0</v>
      </c>
      <c r="D5565" s="2">
        <v>39508.0</v>
      </c>
      <c r="F5565" s="1" t="s">
        <v>22829</v>
      </c>
      <c r="H5565" s="3">
        <v>20.0</v>
      </c>
      <c r="I5565" s="4" t="s">
        <v>22830</v>
      </c>
      <c r="J5565" s="1" t="s">
        <v>22831</v>
      </c>
      <c r="K5565" s="1" t="s">
        <v>68</v>
      </c>
    </row>
    <row r="5566">
      <c r="A5566" s="1" t="s">
        <v>22832</v>
      </c>
      <c r="B5566" s="1" t="s">
        <v>22833</v>
      </c>
      <c r="C5566" s="1">
        <v>2008.0</v>
      </c>
      <c r="D5566" s="2">
        <v>39499.0</v>
      </c>
      <c r="F5566" s="1" t="s">
        <v>3254</v>
      </c>
      <c r="H5566" s="3">
        <v>1.0</v>
      </c>
      <c r="I5566" s="4" t="s">
        <v>22834</v>
      </c>
      <c r="J5566" s="1" t="s">
        <v>22835</v>
      </c>
      <c r="K5566" s="1" t="s">
        <v>323</v>
      </c>
    </row>
    <row r="5567">
      <c r="A5567" s="1" t="s">
        <v>22836</v>
      </c>
      <c r="B5567" s="1" t="s">
        <v>22837</v>
      </c>
      <c r="C5567" s="1">
        <v>2008.0</v>
      </c>
      <c r="D5567" s="2">
        <v>39499.0</v>
      </c>
      <c r="F5567" s="1" t="s">
        <v>208</v>
      </c>
      <c r="H5567" s="3">
        <v>9.0</v>
      </c>
      <c r="I5567" s="4" t="s">
        <v>22838</v>
      </c>
      <c r="J5567" s="1" t="s">
        <v>22839</v>
      </c>
      <c r="K5567" s="1" t="s">
        <v>1036</v>
      </c>
    </row>
    <row r="5568">
      <c r="A5568" s="1" t="s">
        <v>22840</v>
      </c>
      <c r="B5568" s="1" t="s">
        <v>22841</v>
      </c>
      <c r="C5568" s="1">
        <v>2008.0</v>
      </c>
      <c r="D5568" s="2">
        <v>39492.0</v>
      </c>
      <c r="F5568" s="1" t="s">
        <v>2906</v>
      </c>
      <c r="H5568" s="3">
        <v>15.0</v>
      </c>
      <c r="I5568" s="4" t="s">
        <v>22842</v>
      </c>
      <c r="J5568" s="1" t="s">
        <v>22843</v>
      </c>
      <c r="K5568" s="1" t="s">
        <v>295</v>
      </c>
    </row>
    <row r="5569">
      <c r="A5569" s="1" t="s">
        <v>22844</v>
      </c>
      <c r="B5569" s="1" t="s">
        <v>22845</v>
      </c>
      <c r="C5569" s="1">
        <v>2008.0</v>
      </c>
      <c r="D5569" s="2">
        <v>39469.0</v>
      </c>
      <c r="F5569" s="1" t="s">
        <v>4848</v>
      </c>
      <c r="H5569" s="3">
        <v>13.0</v>
      </c>
      <c r="I5569" s="4" t="s">
        <v>22846</v>
      </c>
      <c r="J5569" s="1" t="s">
        <v>22847</v>
      </c>
      <c r="K5569" s="1" t="s">
        <v>28</v>
      </c>
    </row>
    <row r="5570">
      <c r="A5570" s="1" t="s">
        <v>22848</v>
      </c>
      <c r="B5570" s="1" t="s">
        <v>22849</v>
      </c>
      <c r="C5570" s="1">
        <v>2008.0</v>
      </c>
      <c r="D5570" s="2">
        <v>39469.0</v>
      </c>
      <c r="F5570" s="1" t="s">
        <v>3364</v>
      </c>
      <c r="H5570" s="3">
        <v>3.0</v>
      </c>
      <c r="I5570" s="4" t="s">
        <v>22850</v>
      </c>
      <c r="J5570" s="1" t="s">
        <v>22851</v>
      </c>
      <c r="K5570" s="1" t="s">
        <v>68</v>
      </c>
    </row>
    <row r="5571">
      <c r="A5571" s="1" t="s">
        <v>22852</v>
      </c>
      <c r="B5571" s="1" t="s">
        <v>22853</v>
      </c>
      <c r="C5571" s="1">
        <v>2008.0</v>
      </c>
      <c r="D5571" s="2">
        <v>39465.0</v>
      </c>
      <c r="F5571" s="1" t="s">
        <v>308</v>
      </c>
      <c r="H5571" s="3">
        <v>35.0</v>
      </c>
      <c r="I5571" s="4" t="s">
        <v>22854</v>
      </c>
      <c r="J5571" s="1" t="s">
        <v>22855</v>
      </c>
      <c r="K5571" s="1" t="s">
        <v>323</v>
      </c>
    </row>
    <row r="5572">
      <c r="A5572" s="1" t="s">
        <v>22856</v>
      </c>
      <c r="B5572" s="1" t="s">
        <v>22857</v>
      </c>
      <c r="C5572" s="1">
        <v>2008.0</v>
      </c>
      <c r="D5572" s="2">
        <v>39456.0</v>
      </c>
      <c r="F5572" s="1" t="s">
        <v>25</v>
      </c>
      <c r="H5572" s="3">
        <v>26.0</v>
      </c>
      <c r="I5572" s="4" t="s">
        <v>22858</v>
      </c>
      <c r="J5572" s="1" t="s">
        <v>22859</v>
      </c>
      <c r="K5572" s="1" t="s">
        <v>16</v>
      </c>
    </row>
    <row r="5573">
      <c r="A5573" s="1" t="s">
        <v>22860</v>
      </c>
      <c r="B5573" s="1" t="s">
        <v>22861</v>
      </c>
      <c r="C5573" s="1">
        <v>2008.0</v>
      </c>
      <c r="D5573" s="2">
        <v>39448.0</v>
      </c>
      <c r="F5573" s="1" t="s">
        <v>5368</v>
      </c>
      <c r="H5573" s="3">
        <v>53.0</v>
      </c>
      <c r="I5573" s="4" t="s">
        <v>22862</v>
      </c>
      <c r="J5573" s="1" t="s">
        <v>22863</v>
      </c>
      <c r="K5573" s="1" t="s">
        <v>28</v>
      </c>
    </row>
    <row r="5574">
      <c r="A5574" s="1" t="s">
        <v>22864</v>
      </c>
      <c r="B5574" s="1" t="s">
        <v>22720</v>
      </c>
      <c r="C5574" s="1">
        <v>2008.0</v>
      </c>
      <c r="D5574" s="2">
        <v>39448.0</v>
      </c>
      <c r="F5574" s="1" t="s">
        <v>22865</v>
      </c>
      <c r="H5574" s="3">
        <v>21.0</v>
      </c>
      <c r="I5574" s="4" t="s">
        <v>22866</v>
      </c>
      <c r="J5574" s="1" t="s">
        <v>22867</v>
      </c>
      <c r="K5574" s="1" t="s">
        <v>383</v>
      </c>
    </row>
    <row r="5575">
      <c r="A5575" s="1" t="s">
        <v>22868</v>
      </c>
      <c r="B5575" s="1" t="s">
        <v>22869</v>
      </c>
      <c r="C5575" s="1">
        <v>2008.0</v>
      </c>
      <c r="D5575" s="2">
        <v>39448.0</v>
      </c>
      <c r="F5575" s="1" t="s">
        <v>12638</v>
      </c>
      <c r="H5575" s="3">
        <v>26.0</v>
      </c>
      <c r="I5575" s="4" t="s">
        <v>22870</v>
      </c>
      <c r="J5575" s="1" t="s">
        <v>22871</v>
      </c>
      <c r="K5575" s="1" t="s">
        <v>1036</v>
      </c>
    </row>
    <row r="5576">
      <c r="A5576" s="1" t="s">
        <v>22872</v>
      </c>
      <c r="B5576" s="1" t="s">
        <v>22873</v>
      </c>
      <c r="C5576" s="1">
        <v>2008.0</v>
      </c>
      <c r="D5576" s="2">
        <v>39448.0</v>
      </c>
      <c r="F5576" s="1" t="s">
        <v>8612</v>
      </c>
      <c r="H5576" s="3">
        <v>16.0</v>
      </c>
      <c r="I5576" s="4" t="s">
        <v>22874</v>
      </c>
      <c r="J5576" s="1" t="s">
        <v>22875</v>
      </c>
      <c r="K5576" s="1" t="s">
        <v>383</v>
      </c>
    </row>
    <row r="5577">
      <c r="A5577" s="1" t="s">
        <v>22876</v>
      </c>
      <c r="B5577" s="1" t="s">
        <v>22877</v>
      </c>
      <c r="C5577" s="1">
        <v>2008.0</v>
      </c>
      <c r="D5577" s="2">
        <v>39448.0</v>
      </c>
      <c r="F5577" s="1" t="s">
        <v>2707</v>
      </c>
      <c r="H5577" s="3">
        <v>10.0</v>
      </c>
      <c r="I5577" s="4" t="s">
        <v>22878</v>
      </c>
      <c r="J5577" s="1" t="s">
        <v>22879</v>
      </c>
      <c r="K5577" s="1" t="s">
        <v>295</v>
      </c>
    </row>
    <row r="5578">
      <c r="A5578" s="1" t="s">
        <v>22880</v>
      </c>
      <c r="B5578" s="1" t="s">
        <v>22881</v>
      </c>
      <c r="C5578" s="1">
        <v>2008.0</v>
      </c>
      <c r="D5578" s="2">
        <v>39448.0</v>
      </c>
      <c r="F5578" s="1" t="s">
        <v>5511</v>
      </c>
      <c r="H5578" s="3">
        <v>11.0</v>
      </c>
      <c r="I5578" s="4" t="s">
        <v>22882</v>
      </c>
      <c r="J5578" s="1" t="s">
        <v>22883</v>
      </c>
      <c r="K5578" s="1" t="s">
        <v>295</v>
      </c>
    </row>
    <row r="5579">
      <c r="A5579" s="1" t="s">
        <v>22884</v>
      </c>
      <c r="B5579" s="1" t="s">
        <v>22885</v>
      </c>
      <c r="C5579" s="1">
        <v>2007.0</v>
      </c>
      <c r="D5579" s="2">
        <v>39427.0</v>
      </c>
      <c r="F5579" s="1" t="s">
        <v>2634</v>
      </c>
      <c r="H5579" s="3">
        <v>8.0</v>
      </c>
      <c r="I5579" s="4" t="s">
        <v>22886</v>
      </c>
      <c r="J5579" s="1" t="s">
        <v>22887</v>
      </c>
      <c r="K5579" s="1" t="s">
        <v>413</v>
      </c>
    </row>
    <row r="5580">
      <c r="A5580" s="1" t="s">
        <v>22888</v>
      </c>
      <c r="B5580" s="1" t="s">
        <v>22889</v>
      </c>
      <c r="C5580" s="1">
        <v>2007.0</v>
      </c>
      <c r="D5580" s="2">
        <v>39424.0</v>
      </c>
      <c r="F5580" s="1" t="s">
        <v>1050</v>
      </c>
      <c r="H5580" s="3">
        <v>0.0</v>
      </c>
      <c r="I5580" s="4" t="s">
        <v>22890</v>
      </c>
      <c r="J5580" s="1" t="s">
        <v>22891</v>
      </c>
      <c r="K5580" s="1" t="s">
        <v>383</v>
      </c>
    </row>
    <row r="5581">
      <c r="A5581" s="1" t="s">
        <v>22892</v>
      </c>
      <c r="B5581" s="1" t="s">
        <v>22893</v>
      </c>
      <c r="C5581" s="1">
        <v>2007.0</v>
      </c>
      <c r="D5581" s="2">
        <v>39423.0</v>
      </c>
      <c r="F5581" s="1" t="s">
        <v>1040</v>
      </c>
      <c r="H5581" s="3">
        <v>31.0</v>
      </c>
      <c r="I5581" s="4" t="s">
        <v>22894</v>
      </c>
      <c r="J5581" s="1" t="s">
        <v>22895</v>
      </c>
      <c r="K5581" s="1" t="s">
        <v>383</v>
      </c>
    </row>
    <row r="5582">
      <c r="A5582" s="1" t="s">
        <v>22896</v>
      </c>
      <c r="B5582" s="1" t="s">
        <v>22897</v>
      </c>
      <c r="C5582" s="1">
        <v>2007.0</v>
      </c>
      <c r="D5582" s="2">
        <v>39420.0</v>
      </c>
      <c r="F5582" s="1" t="s">
        <v>337</v>
      </c>
      <c r="H5582" s="3">
        <v>10.0</v>
      </c>
      <c r="I5582" s="4" t="s">
        <v>22898</v>
      </c>
      <c r="J5582" s="1" t="s">
        <v>22899</v>
      </c>
      <c r="K5582" s="1" t="s">
        <v>68</v>
      </c>
    </row>
    <row r="5583">
      <c r="A5583" s="1" t="s">
        <v>22900</v>
      </c>
      <c r="B5583" s="1" t="s">
        <v>22901</v>
      </c>
      <c r="C5583" s="1">
        <v>2007.0</v>
      </c>
      <c r="D5583" s="2">
        <v>39417.0</v>
      </c>
      <c r="F5583" s="1" t="s">
        <v>21643</v>
      </c>
      <c r="H5583" s="3">
        <v>41.0</v>
      </c>
      <c r="I5583" s="4" t="s">
        <v>22902</v>
      </c>
      <c r="J5583" s="1" t="s">
        <v>22903</v>
      </c>
      <c r="K5583" s="1" t="s">
        <v>443</v>
      </c>
    </row>
    <row r="5584">
      <c r="A5584" s="1" t="s">
        <v>22904</v>
      </c>
      <c r="B5584" s="1" t="s">
        <v>22905</v>
      </c>
      <c r="C5584" s="1">
        <v>2007.0</v>
      </c>
      <c r="D5584" s="2">
        <v>39417.0</v>
      </c>
      <c r="F5584" s="1" t="s">
        <v>12651</v>
      </c>
      <c r="H5584" s="3">
        <v>13.0</v>
      </c>
      <c r="I5584" s="4" t="s">
        <v>22906</v>
      </c>
      <c r="J5584" s="1" t="s">
        <v>22907</v>
      </c>
      <c r="K5584" s="1" t="s">
        <v>443</v>
      </c>
    </row>
    <row r="5585">
      <c r="A5585" s="1" t="s">
        <v>22908</v>
      </c>
      <c r="B5585" s="1" t="s">
        <v>22909</v>
      </c>
      <c r="C5585" s="1">
        <v>2007.0</v>
      </c>
      <c r="D5585" s="2">
        <v>39412.0</v>
      </c>
      <c r="F5585" s="1" t="s">
        <v>208</v>
      </c>
      <c r="H5585" s="3">
        <v>276.0</v>
      </c>
      <c r="I5585" s="4" t="s">
        <v>22910</v>
      </c>
      <c r="J5585" s="1" t="s">
        <v>22911</v>
      </c>
      <c r="K5585" s="1" t="s">
        <v>443</v>
      </c>
    </row>
    <row r="5586">
      <c r="A5586" s="1" t="s">
        <v>22912</v>
      </c>
      <c r="B5586" s="1" t="s">
        <v>22913</v>
      </c>
      <c r="C5586" s="1">
        <v>2007.0</v>
      </c>
      <c r="D5586" s="2">
        <v>39387.0</v>
      </c>
      <c r="F5586" s="1" t="s">
        <v>22914</v>
      </c>
      <c r="H5586" s="3">
        <v>45.0</v>
      </c>
      <c r="I5586" s="4" t="s">
        <v>22915</v>
      </c>
      <c r="J5586" s="1" t="s">
        <v>22916</v>
      </c>
      <c r="K5586" s="1" t="s">
        <v>443</v>
      </c>
    </row>
    <row r="5587">
      <c r="A5587" s="1" t="s">
        <v>22917</v>
      </c>
      <c r="B5587" s="1" t="s">
        <v>22918</v>
      </c>
      <c r="C5587" s="1">
        <v>2007.0</v>
      </c>
      <c r="D5587" s="2">
        <v>39381.0</v>
      </c>
      <c r="F5587" s="1" t="s">
        <v>435</v>
      </c>
      <c r="H5587" s="3">
        <v>22.0</v>
      </c>
      <c r="I5587" s="4" t="s">
        <v>22919</v>
      </c>
      <c r="J5587" s="1" t="s">
        <v>22920</v>
      </c>
      <c r="K5587" s="1" t="s">
        <v>383</v>
      </c>
    </row>
    <row r="5588">
      <c r="A5588" s="1" t="s">
        <v>22921</v>
      </c>
      <c r="B5588" s="1" t="s">
        <v>18773</v>
      </c>
      <c r="C5588" s="1">
        <v>2007.0</v>
      </c>
      <c r="D5588" s="2">
        <v>39380.0</v>
      </c>
      <c r="F5588" s="1" t="s">
        <v>2634</v>
      </c>
      <c r="H5588" s="3">
        <v>8.0</v>
      </c>
      <c r="I5588" s="4" t="s">
        <v>22922</v>
      </c>
      <c r="J5588" s="1" t="s">
        <v>22923</v>
      </c>
      <c r="K5588" s="1" t="s">
        <v>68</v>
      </c>
    </row>
    <row r="5589">
      <c r="A5589" s="1" t="s">
        <v>22924</v>
      </c>
      <c r="B5589" s="1" t="s">
        <v>22925</v>
      </c>
      <c r="C5589" s="1">
        <v>2007.0</v>
      </c>
      <c r="D5589" s="2">
        <v>39380.0</v>
      </c>
      <c r="F5589" s="1" t="s">
        <v>4848</v>
      </c>
      <c r="H5589" s="3">
        <v>39.0</v>
      </c>
      <c r="I5589" s="4" t="s">
        <v>22926</v>
      </c>
      <c r="J5589" s="1" t="s">
        <v>22927</v>
      </c>
      <c r="K5589" s="1" t="s">
        <v>295</v>
      </c>
    </row>
    <row r="5590">
      <c r="A5590" s="1" t="s">
        <v>22928</v>
      </c>
      <c r="B5590" s="1" t="s">
        <v>22929</v>
      </c>
      <c r="C5590" s="1">
        <v>2007.0</v>
      </c>
      <c r="D5590" s="2">
        <v>39365.0</v>
      </c>
      <c r="F5590" s="1" t="s">
        <v>2955</v>
      </c>
      <c r="H5590" s="3">
        <v>45.0</v>
      </c>
      <c r="I5590" s="4" t="s">
        <v>22930</v>
      </c>
      <c r="J5590" s="1" t="s">
        <v>22931</v>
      </c>
      <c r="K5590" s="1" t="s">
        <v>443</v>
      </c>
    </row>
    <row r="5591">
      <c r="A5591" s="1" t="s">
        <v>22932</v>
      </c>
      <c r="B5591" s="1" t="s">
        <v>22933</v>
      </c>
      <c r="C5591" s="1">
        <v>2007.0</v>
      </c>
      <c r="D5591" s="2">
        <v>39356.0</v>
      </c>
      <c r="F5591" s="1" t="s">
        <v>1442</v>
      </c>
      <c r="H5591" s="3">
        <v>46.0</v>
      </c>
      <c r="I5591" s="4" t="s">
        <v>22934</v>
      </c>
      <c r="J5591" s="1" t="s">
        <v>22935</v>
      </c>
      <c r="K5591" s="1" t="s">
        <v>443</v>
      </c>
    </row>
    <row r="5592">
      <c r="A5592" s="1" t="s">
        <v>22936</v>
      </c>
      <c r="B5592" s="1" t="s">
        <v>22937</v>
      </c>
      <c r="C5592" s="1">
        <v>2007.0</v>
      </c>
      <c r="D5592" s="2">
        <v>39356.0</v>
      </c>
      <c r="F5592" s="1" t="s">
        <v>20671</v>
      </c>
      <c r="H5592" s="3">
        <v>18.0</v>
      </c>
      <c r="I5592" s="4" t="s">
        <v>22938</v>
      </c>
      <c r="J5592" s="1" t="s">
        <v>22939</v>
      </c>
      <c r="K5592" s="1" t="s">
        <v>68</v>
      </c>
    </row>
    <row r="5593">
      <c r="A5593" s="1" t="s">
        <v>22940</v>
      </c>
      <c r="B5593" s="1" t="s">
        <v>22941</v>
      </c>
      <c r="C5593" s="1">
        <v>2007.0</v>
      </c>
      <c r="D5593" s="2">
        <v>39345.0</v>
      </c>
      <c r="F5593" s="1" t="s">
        <v>7495</v>
      </c>
      <c r="H5593" s="3">
        <v>18.0</v>
      </c>
      <c r="I5593" s="4" t="s">
        <v>22942</v>
      </c>
      <c r="J5593" s="1" t="s">
        <v>22943</v>
      </c>
      <c r="K5593" s="1" t="s">
        <v>68</v>
      </c>
    </row>
    <row r="5594">
      <c r="A5594" s="1" t="s">
        <v>22944</v>
      </c>
      <c r="B5594" s="1" t="s">
        <v>22945</v>
      </c>
      <c r="C5594" s="1">
        <v>2007.0</v>
      </c>
      <c r="D5594" s="2">
        <v>39337.0</v>
      </c>
      <c r="F5594" s="1" t="s">
        <v>435</v>
      </c>
      <c r="H5594" s="3">
        <v>22.0</v>
      </c>
      <c r="I5594" s="4" t="s">
        <v>22946</v>
      </c>
      <c r="J5594" s="1" t="s">
        <v>22947</v>
      </c>
      <c r="K5594" s="1" t="s">
        <v>295</v>
      </c>
    </row>
    <row r="5595">
      <c r="A5595" s="1" t="s">
        <v>22948</v>
      </c>
      <c r="B5595" s="1" t="s">
        <v>22949</v>
      </c>
      <c r="C5595" s="1">
        <v>2007.0</v>
      </c>
      <c r="D5595" s="2">
        <v>39333.0</v>
      </c>
      <c r="F5595" s="1" t="s">
        <v>2955</v>
      </c>
      <c r="H5595" s="3">
        <v>12.0</v>
      </c>
      <c r="I5595" s="4" t="s">
        <v>22950</v>
      </c>
      <c r="J5595" s="1" t="s">
        <v>22951</v>
      </c>
      <c r="K5595" s="1" t="s">
        <v>443</v>
      </c>
    </row>
    <row r="5596">
      <c r="A5596" s="1" t="s">
        <v>22952</v>
      </c>
      <c r="B5596" s="1" t="s">
        <v>22953</v>
      </c>
      <c r="C5596" s="1">
        <v>2007.0</v>
      </c>
      <c r="D5596" s="2">
        <v>39329.0</v>
      </c>
      <c r="F5596" s="1" t="s">
        <v>218</v>
      </c>
      <c r="H5596" s="3">
        <v>22.0</v>
      </c>
      <c r="I5596" s="4" t="s">
        <v>22954</v>
      </c>
      <c r="J5596" s="1" t="s">
        <v>22955</v>
      </c>
      <c r="K5596" s="1" t="s">
        <v>28</v>
      </c>
    </row>
    <row r="5597">
      <c r="A5597" s="1" t="s">
        <v>22956</v>
      </c>
      <c r="B5597" s="1" t="s">
        <v>22957</v>
      </c>
      <c r="C5597" s="1">
        <v>2007.0</v>
      </c>
      <c r="D5597" s="2">
        <v>39329.0</v>
      </c>
      <c r="F5597" s="1" t="s">
        <v>14903</v>
      </c>
      <c r="H5597" s="3">
        <v>39.0</v>
      </c>
      <c r="I5597" s="4" t="s">
        <v>22958</v>
      </c>
      <c r="J5597" s="1" t="s">
        <v>22959</v>
      </c>
      <c r="K5597" s="1" t="s">
        <v>68</v>
      </c>
    </row>
    <row r="5598">
      <c r="A5598" s="1" t="s">
        <v>22960</v>
      </c>
      <c r="B5598" s="1" t="s">
        <v>22961</v>
      </c>
      <c r="C5598" s="1">
        <v>2007.0</v>
      </c>
      <c r="D5598" s="2">
        <v>39321.0</v>
      </c>
      <c r="F5598" s="1" t="s">
        <v>3340</v>
      </c>
      <c r="H5598" s="3">
        <v>303.0</v>
      </c>
      <c r="I5598" s="4" t="s">
        <v>22962</v>
      </c>
      <c r="J5598" s="1" t="s">
        <v>22963</v>
      </c>
      <c r="K5598" s="1" t="s">
        <v>383</v>
      </c>
    </row>
    <row r="5599">
      <c r="A5599" s="1" t="s">
        <v>22964</v>
      </c>
      <c r="B5599" s="1" t="s">
        <v>22965</v>
      </c>
      <c r="C5599" s="1">
        <v>2007.0</v>
      </c>
      <c r="D5599" s="2">
        <v>39307.0</v>
      </c>
      <c r="F5599" s="1" t="s">
        <v>3254</v>
      </c>
      <c r="H5599" s="3">
        <v>3.0</v>
      </c>
      <c r="I5599" s="4" t="s">
        <v>22966</v>
      </c>
      <c r="J5599" s="1" t="s">
        <v>22967</v>
      </c>
      <c r="K5599" s="1" t="s">
        <v>68</v>
      </c>
    </row>
    <row r="5600">
      <c r="A5600" s="1" t="s">
        <v>22968</v>
      </c>
      <c r="B5600" s="1" t="s">
        <v>22969</v>
      </c>
      <c r="C5600" s="1">
        <v>2007.0</v>
      </c>
      <c r="D5600" s="2">
        <v>39301.0</v>
      </c>
      <c r="F5600" s="1" t="s">
        <v>3254</v>
      </c>
      <c r="H5600" s="3">
        <v>3.0</v>
      </c>
      <c r="I5600" s="4" t="s">
        <v>22970</v>
      </c>
      <c r="J5600" s="1" t="s">
        <v>22971</v>
      </c>
      <c r="K5600" s="1" t="s">
        <v>68</v>
      </c>
    </row>
    <row r="5601">
      <c r="A5601" s="1" t="s">
        <v>22972</v>
      </c>
      <c r="B5601" s="1" t="s">
        <v>22973</v>
      </c>
      <c r="C5601" s="1">
        <v>2007.0</v>
      </c>
      <c r="D5601" s="2">
        <v>39295.0</v>
      </c>
      <c r="F5601" s="1" t="s">
        <v>22974</v>
      </c>
      <c r="H5601" s="3">
        <v>44.0</v>
      </c>
      <c r="I5601" s="4" t="s">
        <v>22975</v>
      </c>
      <c r="J5601" s="1" t="s">
        <v>22976</v>
      </c>
      <c r="K5601" s="1" t="s">
        <v>443</v>
      </c>
    </row>
    <row r="5602">
      <c r="A5602" s="1" t="s">
        <v>22977</v>
      </c>
      <c r="B5602" s="1" t="s">
        <v>22978</v>
      </c>
      <c r="C5602" s="1">
        <v>2007.0</v>
      </c>
      <c r="D5602" s="2">
        <v>39295.0</v>
      </c>
      <c r="F5602" s="1" t="s">
        <v>16189</v>
      </c>
      <c r="H5602" s="3">
        <v>6.0</v>
      </c>
      <c r="I5602" s="4" t="s">
        <v>22979</v>
      </c>
      <c r="J5602" s="1" t="s">
        <v>22980</v>
      </c>
      <c r="K5602" s="1" t="s">
        <v>16</v>
      </c>
    </row>
    <row r="5603">
      <c r="A5603" s="1" t="s">
        <v>22981</v>
      </c>
      <c r="B5603" s="1" t="s">
        <v>22982</v>
      </c>
      <c r="C5603" s="1">
        <v>2007.0</v>
      </c>
      <c r="D5603" s="2">
        <v>39295.0</v>
      </c>
      <c r="F5603" s="1" t="s">
        <v>208</v>
      </c>
      <c r="H5603" s="3">
        <v>21.0</v>
      </c>
      <c r="I5603" s="4" t="s">
        <v>22983</v>
      </c>
      <c r="J5603" s="1" t="s">
        <v>22984</v>
      </c>
      <c r="K5603" s="1" t="s">
        <v>16</v>
      </c>
    </row>
    <row r="5604">
      <c r="A5604" s="1" t="s">
        <v>22985</v>
      </c>
      <c r="B5604" s="1" t="s">
        <v>22986</v>
      </c>
      <c r="C5604" s="1">
        <v>2007.0</v>
      </c>
      <c r="D5604" s="2">
        <v>39293.0</v>
      </c>
      <c r="F5604" s="1" t="s">
        <v>4405</v>
      </c>
      <c r="H5604" s="3">
        <v>54.0</v>
      </c>
      <c r="I5604" s="4" t="s">
        <v>22987</v>
      </c>
      <c r="J5604" s="1" t="s">
        <v>22988</v>
      </c>
      <c r="K5604" s="1" t="s">
        <v>383</v>
      </c>
    </row>
    <row r="5605">
      <c r="A5605" s="1" t="s">
        <v>22989</v>
      </c>
      <c r="B5605" s="1" t="s">
        <v>22990</v>
      </c>
      <c r="C5605" s="1">
        <v>2007.0</v>
      </c>
      <c r="D5605" s="2">
        <v>39282.0</v>
      </c>
      <c r="F5605" s="1" t="s">
        <v>1951</v>
      </c>
      <c r="H5605" s="3">
        <v>111.0</v>
      </c>
      <c r="I5605" s="4" t="s">
        <v>22991</v>
      </c>
      <c r="J5605" s="1" t="s">
        <v>22992</v>
      </c>
      <c r="K5605" s="1" t="s">
        <v>16</v>
      </c>
    </row>
    <row r="5606">
      <c r="A5606" s="1" t="s">
        <v>22993</v>
      </c>
      <c r="B5606" s="1" t="s">
        <v>22994</v>
      </c>
      <c r="C5606" s="1">
        <v>2007.0</v>
      </c>
      <c r="D5606" s="2">
        <v>39280.0</v>
      </c>
      <c r="F5606" s="1" t="s">
        <v>830</v>
      </c>
      <c r="H5606" s="3">
        <v>16.0</v>
      </c>
      <c r="I5606" s="4" t="s">
        <v>22995</v>
      </c>
      <c r="J5606" s="1" t="s">
        <v>22996</v>
      </c>
      <c r="K5606" s="1" t="s">
        <v>413</v>
      </c>
    </row>
    <row r="5607">
      <c r="A5607" s="1" t="s">
        <v>22997</v>
      </c>
      <c r="B5607" s="1" t="s">
        <v>22998</v>
      </c>
      <c r="C5607" s="1">
        <v>2007.0</v>
      </c>
      <c r="D5607" s="2">
        <v>39277.0</v>
      </c>
      <c r="F5607" s="1" t="s">
        <v>882</v>
      </c>
      <c r="H5607" s="3">
        <v>382.0</v>
      </c>
      <c r="I5607" s="4" t="s">
        <v>22999</v>
      </c>
      <c r="J5607" s="1" t="s">
        <v>23000</v>
      </c>
      <c r="K5607" s="1" t="s">
        <v>443</v>
      </c>
    </row>
    <row r="5608">
      <c r="A5608" s="1" t="s">
        <v>23001</v>
      </c>
      <c r="B5608" s="1" t="s">
        <v>23002</v>
      </c>
      <c r="C5608" s="1">
        <v>2007.0</v>
      </c>
      <c r="D5608" s="2">
        <v>39262.0</v>
      </c>
      <c r="F5608" s="1" t="s">
        <v>208</v>
      </c>
      <c r="H5608" s="3">
        <v>82.0</v>
      </c>
      <c r="I5608" s="4" t="s">
        <v>23003</v>
      </c>
      <c r="J5608" s="1" t="s">
        <v>23004</v>
      </c>
      <c r="K5608" s="1" t="s">
        <v>383</v>
      </c>
    </row>
    <row r="5609">
      <c r="A5609" s="1" t="s">
        <v>23005</v>
      </c>
      <c r="B5609" s="1" t="s">
        <v>23006</v>
      </c>
      <c r="C5609" s="1">
        <v>2007.0</v>
      </c>
      <c r="D5609" s="2">
        <v>39262.0</v>
      </c>
      <c r="F5609" s="1" t="s">
        <v>4848</v>
      </c>
      <c r="H5609" s="3">
        <v>11.0</v>
      </c>
      <c r="I5609" s="4" t="s">
        <v>23007</v>
      </c>
      <c r="J5609" s="1" t="s">
        <v>23008</v>
      </c>
      <c r="K5609" s="1" t="s">
        <v>68</v>
      </c>
    </row>
    <row r="5610">
      <c r="A5610" s="1" t="s">
        <v>23009</v>
      </c>
      <c r="B5610" s="1" t="s">
        <v>23010</v>
      </c>
      <c r="C5610" s="1">
        <v>2007.0</v>
      </c>
      <c r="D5610" s="2">
        <v>39261.0</v>
      </c>
      <c r="F5610" s="1" t="s">
        <v>2906</v>
      </c>
      <c r="H5610" s="3">
        <v>36.0</v>
      </c>
      <c r="I5610" s="4" t="s">
        <v>23011</v>
      </c>
      <c r="J5610" s="1" t="s">
        <v>23012</v>
      </c>
      <c r="K5610" s="1" t="s">
        <v>383</v>
      </c>
    </row>
    <row r="5611">
      <c r="A5611" s="1" t="s">
        <v>23013</v>
      </c>
      <c r="B5611" s="1" t="s">
        <v>23010</v>
      </c>
      <c r="C5611" s="1">
        <v>2007.0</v>
      </c>
      <c r="D5611" s="2">
        <v>39261.0</v>
      </c>
      <c r="F5611" s="1" t="s">
        <v>2906</v>
      </c>
      <c r="H5611" s="3">
        <v>21.0</v>
      </c>
      <c r="I5611" s="4" t="s">
        <v>23014</v>
      </c>
      <c r="J5611" s="1" t="s">
        <v>23015</v>
      </c>
      <c r="K5611" s="1" t="s">
        <v>383</v>
      </c>
    </row>
    <row r="5612">
      <c r="A5612" s="1" t="s">
        <v>23016</v>
      </c>
      <c r="B5612" s="1" t="s">
        <v>23017</v>
      </c>
      <c r="C5612" s="1">
        <v>2007.0</v>
      </c>
      <c r="D5612" s="2">
        <v>39251.0</v>
      </c>
      <c r="F5612" s="1" t="s">
        <v>8818</v>
      </c>
      <c r="H5612" s="3">
        <v>127.0</v>
      </c>
      <c r="I5612" s="4" t="s">
        <v>23018</v>
      </c>
      <c r="J5612" s="1" t="s">
        <v>23019</v>
      </c>
      <c r="K5612" s="1" t="s">
        <v>383</v>
      </c>
    </row>
    <row r="5613">
      <c r="A5613" s="1" t="s">
        <v>23020</v>
      </c>
      <c r="B5613" s="1" t="s">
        <v>23021</v>
      </c>
      <c r="C5613" s="1">
        <v>2007.0</v>
      </c>
      <c r="D5613" s="2">
        <v>39240.0</v>
      </c>
      <c r="F5613" s="1" t="s">
        <v>5824</v>
      </c>
      <c r="H5613" s="3">
        <v>46.0</v>
      </c>
      <c r="I5613" s="4" t="s">
        <v>23022</v>
      </c>
      <c r="J5613" s="1" t="s">
        <v>23023</v>
      </c>
      <c r="K5613" s="1" t="s">
        <v>383</v>
      </c>
    </row>
    <row r="5614">
      <c r="A5614" s="1" t="s">
        <v>23024</v>
      </c>
      <c r="B5614" s="1" t="s">
        <v>23025</v>
      </c>
      <c r="C5614" s="1">
        <v>2007.0</v>
      </c>
      <c r="D5614" s="2">
        <v>39237.0</v>
      </c>
      <c r="F5614" s="1" t="s">
        <v>15033</v>
      </c>
      <c r="H5614" s="3">
        <v>27.0</v>
      </c>
      <c r="I5614" s="4" t="s">
        <v>23026</v>
      </c>
      <c r="J5614" s="1" t="s">
        <v>23027</v>
      </c>
      <c r="K5614" s="1" t="s">
        <v>443</v>
      </c>
    </row>
    <row r="5615">
      <c r="A5615" s="1" t="s">
        <v>23028</v>
      </c>
      <c r="B5615" s="1" t="s">
        <v>23029</v>
      </c>
      <c r="C5615" s="1">
        <v>2007.0</v>
      </c>
      <c r="D5615" s="2">
        <v>39232.0</v>
      </c>
      <c r="F5615" s="1" t="s">
        <v>116</v>
      </c>
      <c r="H5615" s="3">
        <v>54.0</v>
      </c>
      <c r="I5615" s="4" t="s">
        <v>23030</v>
      </c>
      <c r="J5615" s="1" t="s">
        <v>23031</v>
      </c>
      <c r="K5615" s="1" t="s">
        <v>443</v>
      </c>
    </row>
    <row r="5616">
      <c r="A5616" s="1" t="s">
        <v>23032</v>
      </c>
      <c r="B5616" s="1" t="s">
        <v>23033</v>
      </c>
      <c r="C5616" s="1">
        <v>2007.0</v>
      </c>
      <c r="D5616" s="2">
        <v>39224.0</v>
      </c>
      <c r="F5616" s="1" t="s">
        <v>1040</v>
      </c>
      <c r="H5616" s="3">
        <v>37.0</v>
      </c>
      <c r="I5616" s="4" t="s">
        <v>23034</v>
      </c>
      <c r="J5616" s="1" t="s">
        <v>23035</v>
      </c>
      <c r="K5616" s="1" t="s">
        <v>443</v>
      </c>
    </row>
    <row r="5617">
      <c r="A5617" s="1" t="s">
        <v>23036</v>
      </c>
      <c r="B5617" s="1" t="s">
        <v>23037</v>
      </c>
      <c r="C5617" s="1">
        <v>2007.0</v>
      </c>
      <c r="D5617" s="2">
        <v>39217.0</v>
      </c>
      <c r="F5617" s="1" t="s">
        <v>3254</v>
      </c>
      <c r="H5617" s="3">
        <v>14.0</v>
      </c>
      <c r="I5617" s="4" t="s">
        <v>23038</v>
      </c>
      <c r="J5617" s="1" t="s">
        <v>23039</v>
      </c>
      <c r="K5617" s="1" t="s">
        <v>413</v>
      </c>
    </row>
    <row r="5618">
      <c r="A5618" s="1" t="s">
        <v>23040</v>
      </c>
      <c r="B5618" s="1" t="s">
        <v>23041</v>
      </c>
      <c r="C5618" s="1">
        <v>2007.0</v>
      </c>
      <c r="D5618" s="2">
        <v>39203.0</v>
      </c>
      <c r="F5618" s="1" t="s">
        <v>8420</v>
      </c>
      <c r="H5618" s="3">
        <v>73.0</v>
      </c>
      <c r="I5618" s="4" t="s">
        <v>23042</v>
      </c>
      <c r="J5618" s="1" t="s">
        <v>23043</v>
      </c>
      <c r="K5618" s="1" t="s">
        <v>2053</v>
      </c>
    </row>
    <row r="5619">
      <c r="A5619" s="1" t="s">
        <v>23044</v>
      </c>
      <c r="B5619" s="1" t="s">
        <v>23045</v>
      </c>
      <c r="C5619" s="1">
        <v>2007.0</v>
      </c>
      <c r="D5619" s="2">
        <v>39203.0</v>
      </c>
      <c r="F5619" s="1" t="s">
        <v>23046</v>
      </c>
      <c r="H5619" s="3">
        <v>157.0</v>
      </c>
      <c r="I5619" s="4" t="s">
        <v>23047</v>
      </c>
      <c r="J5619" s="1" t="s">
        <v>23048</v>
      </c>
      <c r="K5619" s="1" t="s">
        <v>28</v>
      </c>
    </row>
    <row r="5620">
      <c r="A5620" s="1" t="s">
        <v>23049</v>
      </c>
      <c r="B5620" s="1" t="s">
        <v>23050</v>
      </c>
      <c r="C5620" s="1">
        <v>2007.0</v>
      </c>
      <c r="D5620" s="2">
        <v>39203.0</v>
      </c>
      <c r="F5620" s="1" t="s">
        <v>1001</v>
      </c>
      <c r="H5620" s="3">
        <v>41.0</v>
      </c>
      <c r="I5620" s="4" t="s">
        <v>23051</v>
      </c>
      <c r="J5620" s="1" t="s">
        <v>23052</v>
      </c>
      <c r="K5620" s="1" t="s">
        <v>413</v>
      </c>
    </row>
    <row r="5621">
      <c r="A5621" s="1" t="s">
        <v>23053</v>
      </c>
      <c r="B5621" s="1" t="s">
        <v>23054</v>
      </c>
      <c r="C5621" s="1">
        <v>2007.0</v>
      </c>
      <c r="D5621" s="2">
        <v>39202.0</v>
      </c>
      <c r="F5621" s="1" t="s">
        <v>21339</v>
      </c>
      <c r="H5621" s="3">
        <v>95.0</v>
      </c>
      <c r="I5621" s="4" t="s">
        <v>23055</v>
      </c>
      <c r="J5621" s="1" t="s">
        <v>23056</v>
      </c>
      <c r="K5621" s="1" t="s">
        <v>443</v>
      </c>
    </row>
    <row r="5622">
      <c r="A5622" s="1" t="s">
        <v>23057</v>
      </c>
      <c r="B5622" s="1" t="s">
        <v>23058</v>
      </c>
      <c r="C5622" s="1">
        <v>2007.0</v>
      </c>
      <c r="D5622" s="2">
        <v>39195.0</v>
      </c>
      <c r="F5622" s="1" t="s">
        <v>1995</v>
      </c>
      <c r="H5622" s="3">
        <v>6.0</v>
      </c>
      <c r="I5622" s="4" t="s">
        <v>23059</v>
      </c>
      <c r="J5622" s="1" t="s">
        <v>23060</v>
      </c>
      <c r="K5622" s="1" t="s">
        <v>28</v>
      </c>
    </row>
    <row r="5623">
      <c r="A5623" s="1" t="s">
        <v>23061</v>
      </c>
      <c r="B5623" s="1" t="s">
        <v>23062</v>
      </c>
      <c r="C5623" s="1">
        <v>2007.0</v>
      </c>
      <c r="D5623" s="2">
        <v>39183.0</v>
      </c>
      <c r="F5623" s="1" t="s">
        <v>2955</v>
      </c>
      <c r="H5623" s="3">
        <v>39.0</v>
      </c>
      <c r="I5623" s="4" t="s">
        <v>23063</v>
      </c>
      <c r="J5623" s="1" t="s">
        <v>23064</v>
      </c>
      <c r="K5623" s="1" t="s">
        <v>1036</v>
      </c>
    </row>
    <row r="5624">
      <c r="A5624" s="1" t="s">
        <v>23065</v>
      </c>
      <c r="B5624" s="1" t="s">
        <v>23066</v>
      </c>
      <c r="C5624" s="1">
        <v>2007.0</v>
      </c>
      <c r="D5624" s="2">
        <v>39173.0</v>
      </c>
      <c r="F5624" s="1" t="s">
        <v>2378</v>
      </c>
      <c r="H5624" s="3">
        <v>13.0</v>
      </c>
      <c r="I5624" s="4" t="s">
        <v>23067</v>
      </c>
      <c r="J5624" s="1" t="s">
        <v>23068</v>
      </c>
      <c r="K5624" s="1" t="s">
        <v>383</v>
      </c>
    </row>
    <row r="5625">
      <c r="A5625" s="1" t="s">
        <v>23069</v>
      </c>
      <c r="B5625" s="1" t="s">
        <v>22881</v>
      </c>
      <c r="C5625" s="1">
        <v>2007.0</v>
      </c>
      <c r="D5625" s="2">
        <v>39170.0</v>
      </c>
      <c r="F5625" s="1" t="s">
        <v>3254</v>
      </c>
      <c r="H5625" s="3">
        <v>8.0</v>
      </c>
      <c r="I5625" s="4" t="s">
        <v>23070</v>
      </c>
      <c r="J5625" s="1" t="s">
        <v>23071</v>
      </c>
      <c r="K5625" s="1" t="s">
        <v>295</v>
      </c>
    </row>
    <row r="5626">
      <c r="A5626" s="1" t="s">
        <v>23072</v>
      </c>
      <c r="B5626" s="1" t="s">
        <v>23073</v>
      </c>
      <c r="C5626" s="1">
        <v>2007.0</v>
      </c>
      <c r="D5626" s="2">
        <v>39167.0</v>
      </c>
      <c r="F5626" s="1" t="s">
        <v>15863</v>
      </c>
      <c r="H5626" s="3">
        <v>63.0</v>
      </c>
      <c r="I5626" s="4" t="s">
        <v>23074</v>
      </c>
      <c r="J5626" s="1" t="s">
        <v>23075</v>
      </c>
      <c r="K5626" s="1" t="s">
        <v>329</v>
      </c>
    </row>
    <row r="5627">
      <c r="A5627" s="1" t="s">
        <v>23076</v>
      </c>
      <c r="B5627" s="1" t="s">
        <v>23077</v>
      </c>
      <c r="C5627" s="1">
        <v>2007.0</v>
      </c>
      <c r="D5627" s="2">
        <v>39160.0</v>
      </c>
      <c r="F5627" s="1" t="s">
        <v>337</v>
      </c>
      <c r="H5627" s="3">
        <v>14.0</v>
      </c>
      <c r="I5627" s="4" t="s">
        <v>23078</v>
      </c>
      <c r="J5627" s="1"/>
      <c r="K5627" s="1" t="s">
        <v>462</v>
      </c>
    </row>
    <row r="5628">
      <c r="A5628" s="1" t="s">
        <v>23079</v>
      </c>
      <c r="B5628" s="1" t="s">
        <v>23080</v>
      </c>
      <c r="C5628" s="1">
        <v>2007.0</v>
      </c>
      <c r="D5628" s="2">
        <v>39156.0</v>
      </c>
      <c r="F5628" s="1" t="s">
        <v>1277</v>
      </c>
      <c r="H5628" s="3">
        <v>185.0</v>
      </c>
      <c r="I5628" s="4" t="s">
        <v>23081</v>
      </c>
      <c r="J5628" s="1" t="s">
        <v>23082</v>
      </c>
      <c r="K5628" s="1" t="s">
        <v>295</v>
      </c>
    </row>
    <row r="5629">
      <c r="A5629" s="1" t="s">
        <v>23083</v>
      </c>
      <c r="B5629" s="1" t="s">
        <v>23084</v>
      </c>
      <c r="C5629" s="1">
        <v>2007.0</v>
      </c>
      <c r="D5629" s="2">
        <v>39148.0</v>
      </c>
      <c r="F5629" s="1" t="s">
        <v>2611</v>
      </c>
      <c r="H5629" s="3">
        <v>67.0</v>
      </c>
      <c r="I5629" s="4" t="s">
        <v>23085</v>
      </c>
      <c r="J5629" s="1" t="s">
        <v>23086</v>
      </c>
      <c r="K5629" s="1" t="s">
        <v>340</v>
      </c>
    </row>
    <row r="5630">
      <c r="A5630" s="1" t="s">
        <v>23087</v>
      </c>
      <c r="B5630" s="1" t="s">
        <v>23088</v>
      </c>
      <c r="C5630" s="1">
        <v>2007.0</v>
      </c>
      <c r="D5630" s="2">
        <v>39142.0</v>
      </c>
      <c r="F5630" s="1" t="s">
        <v>4124</v>
      </c>
      <c r="H5630" s="3">
        <v>12.0</v>
      </c>
      <c r="I5630" s="4" t="s">
        <v>23089</v>
      </c>
      <c r="J5630" s="1" t="s">
        <v>23090</v>
      </c>
      <c r="K5630" s="1" t="s">
        <v>443</v>
      </c>
    </row>
    <row r="5631">
      <c r="A5631" s="1" t="s">
        <v>23091</v>
      </c>
      <c r="B5631" s="1" t="s">
        <v>23092</v>
      </c>
      <c r="C5631" s="1">
        <v>2007.0</v>
      </c>
      <c r="D5631" s="2">
        <v>39142.0</v>
      </c>
      <c r="F5631" s="1" t="s">
        <v>3463</v>
      </c>
      <c r="H5631" s="3">
        <v>19.0</v>
      </c>
      <c r="I5631" s="4" t="s">
        <v>23093</v>
      </c>
      <c r="J5631" s="1" t="s">
        <v>23094</v>
      </c>
      <c r="K5631" s="1" t="s">
        <v>383</v>
      </c>
    </row>
    <row r="5632">
      <c r="A5632" s="1" t="s">
        <v>23095</v>
      </c>
      <c r="B5632" s="1" t="s">
        <v>23096</v>
      </c>
      <c r="C5632" s="1">
        <v>2007.0</v>
      </c>
      <c r="D5632" s="2">
        <v>39142.0</v>
      </c>
      <c r="F5632" s="1" t="s">
        <v>23097</v>
      </c>
      <c r="H5632" s="3">
        <v>47.0</v>
      </c>
      <c r="I5632" s="4" t="s">
        <v>23098</v>
      </c>
      <c r="J5632" s="1" t="s">
        <v>23099</v>
      </c>
      <c r="K5632" s="1" t="s">
        <v>418</v>
      </c>
    </row>
    <row r="5633">
      <c r="A5633" s="1" t="s">
        <v>23100</v>
      </c>
      <c r="B5633" s="1" t="s">
        <v>23101</v>
      </c>
      <c r="C5633" s="1">
        <v>2007.0</v>
      </c>
      <c r="D5633" s="2">
        <v>39142.0</v>
      </c>
      <c r="F5633" s="1" t="s">
        <v>6503</v>
      </c>
      <c r="H5633" s="3">
        <v>31.0</v>
      </c>
      <c r="I5633" s="4" t="s">
        <v>23102</v>
      </c>
      <c r="J5633" s="1" t="s">
        <v>23103</v>
      </c>
      <c r="K5633" s="1" t="s">
        <v>16</v>
      </c>
    </row>
    <row r="5634">
      <c r="A5634" s="1" t="s">
        <v>23104</v>
      </c>
      <c r="B5634" s="1" t="s">
        <v>23105</v>
      </c>
      <c r="C5634" s="1">
        <v>2007.0</v>
      </c>
      <c r="D5634" s="2">
        <v>39142.0</v>
      </c>
      <c r="F5634" s="1" t="s">
        <v>676</v>
      </c>
      <c r="H5634" s="3">
        <v>60.0</v>
      </c>
      <c r="I5634" s="4" t="s">
        <v>23106</v>
      </c>
      <c r="J5634" s="1" t="s">
        <v>23107</v>
      </c>
      <c r="K5634" s="1" t="s">
        <v>16</v>
      </c>
    </row>
    <row r="5635">
      <c r="A5635" s="1" t="s">
        <v>23108</v>
      </c>
      <c r="B5635" s="1" t="s">
        <v>23109</v>
      </c>
      <c r="C5635" s="1">
        <v>2007.0</v>
      </c>
      <c r="D5635" s="2">
        <v>39137.0</v>
      </c>
      <c r="F5635" s="1" t="s">
        <v>1050</v>
      </c>
      <c r="H5635" s="3">
        <v>0.0</v>
      </c>
      <c r="I5635" s="4" t="s">
        <v>23110</v>
      </c>
      <c r="J5635" s="1" t="s">
        <v>23111</v>
      </c>
      <c r="K5635" s="1" t="s">
        <v>68</v>
      </c>
    </row>
    <row r="5636">
      <c r="A5636" s="1" t="s">
        <v>23112</v>
      </c>
      <c r="B5636" s="1" t="s">
        <v>23113</v>
      </c>
      <c r="C5636" s="1">
        <v>2007.0</v>
      </c>
      <c r="D5636" s="2">
        <v>39133.0</v>
      </c>
      <c r="F5636" s="1" t="s">
        <v>1340</v>
      </c>
      <c r="H5636" s="3">
        <v>32.0</v>
      </c>
      <c r="I5636" s="4" t="s">
        <v>23114</v>
      </c>
      <c r="J5636" s="1" t="s">
        <v>23115</v>
      </c>
      <c r="K5636" s="1" t="s">
        <v>443</v>
      </c>
    </row>
    <row r="5637">
      <c r="A5637" s="1" t="s">
        <v>23116</v>
      </c>
      <c r="B5637" s="1" t="s">
        <v>23117</v>
      </c>
      <c r="C5637" s="1">
        <v>2007.0</v>
      </c>
      <c r="D5637" s="2">
        <v>39118.0</v>
      </c>
      <c r="F5637" s="1" t="s">
        <v>208</v>
      </c>
      <c r="H5637" s="3">
        <v>99.0</v>
      </c>
      <c r="I5637" s="4" t="s">
        <v>23118</v>
      </c>
      <c r="J5637" s="1" t="s">
        <v>23119</v>
      </c>
      <c r="K5637" s="1" t="s">
        <v>317</v>
      </c>
    </row>
    <row r="5638">
      <c r="A5638" s="1" t="s">
        <v>23120</v>
      </c>
      <c r="B5638" s="1" t="s">
        <v>23121</v>
      </c>
      <c r="C5638" s="1">
        <v>2007.0</v>
      </c>
      <c r="D5638" s="2">
        <v>39118.0</v>
      </c>
      <c r="F5638" s="1" t="s">
        <v>4405</v>
      </c>
      <c r="H5638" s="3">
        <v>37.0</v>
      </c>
      <c r="I5638" s="4" t="s">
        <v>23122</v>
      </c>
      <c r="J5638" s="1" t="s">
        <v>23123</v>
      </c>
      <c r="K5638" s="1" t="s">
        <v>1036</v>
      </c>
    </row>
    <row r="5639">
      <c r="A5639" s="1" t="s">
        <v>23124</v>
      </c>
      <c r="B5639" s="1" t="s">
        <v>23125</v>
      </c>
      <c r="C5639" s="1">
        <v>2007.0</v>
      </c>
      <c r="D5639" s="2">
        <v>39115.0</v>
      </c>
      <c r="F5639" s="1" t="s">
        <v>1366</v>
      </c>
      <c r="H5639" s="3">
        <v>131.0</v>
      </c>
      <c r="I5639" s="4" t="s">
        <v>23126</v>
      </c>
      <c r="J5639" s="1" t="s">
        <v>23127</v>
      </c>
      <c r="K5639" s="1" t="s">
        <v>295</v>
      </c>
    </row>
    <row r="5640">
      <c r="A5640" s="1" t="s">
        <v>23128</v>
      </c>
      <c r="B5640" s="1" t="s">
        <v>23129</v>
      </c>
      <c r="C5640" s="1">
        <v>2007.0</v>
      </c>
      <c r="D5640" s="2">
        <v>39101.0</v>
      </c>
      <c r="F5640" s="1" t="s">
        <v>1777</v>
      </c>
      <c r="H5640" s="3">
        <v>30.0</v>
      </c>
      <c r="I5640" s="4" t="s">
        <v>23130</v>
      </c>
      <c r="J5640" s="1" t="s">
        <v>23131</v>
      </c>
      <c r="K5640" s="1" t="s">
        <v>443</v>
      </c>
    </row>
    <row r="5641">
      <c r="A5641" s="1" t="s">
        <v>23132</v>
      </c>
      <c r="B5641" s="1" t="s">
        <v>23133</v>
      </c>
      <c r="C5641" s="1">
        <v>2007.0</v>
      </c>
      <c r="D5641" s="2">
        <v>39094.0</v>
      </c>
      <c r="F5641" s="1" t="s">
        <v>1777</v>
      </c>
      <c r="H5641" s="3">
        <v>2.0</v>
      </c>
      <c r="I5641" s="4" t="s">
        <v>23134</v>
      </c>
      <c r="J5641" s="1" t="s">
        <v>23135</v>
      </c>
      <c r="K5641" s="1" t="s">
        <v>295</v>
      </c>
    </row>
    <row r="5642">
      <c r="A5642" s="1" t="s">
        <v>23136</v>
      </c>
      <c r="B5642" s="1" t="s">
        <v>23137</v>
      </c>
      <c r="C5642" s="1">
        <v>2007.0</v>
      </c>
      <c r="D5642" s="2">
        <v>39092.0</v>
      </c>
      <c r="F5642" s="1" t="s">
        <v>4197</v>
      </c>
      <c r="H5642" s="3">
        <v>34.0</v>
      </c>
      <c r="I5642" s="4" t="s">
        <v>23138</v>
      </c>
      <c r="J5642" s="1" t="s">
        <v>23139</v>
      </c>
      <c r="K5642" s="1" t="s">
        <v>403</v>
      </c>
    </row>
    <row r="5643">
      <c r="A5643" s="1" t="s">
        <v>23140</v>
      </c>
      <c r="B5643" s="1" t="s">
        <v>23141</v>
      </c>
      <c r="C5643" s="1">
        <v>2007.0</v>
      </c>
      <c r="D5643" s="2">
        <v>39085.0</v>
      </c>
      <c r="F5643" s="1" t="s">
        <v>2955</v>
      </c>
      <c r="H5643" s="3">
        <v>7.0</v>
      </c>
      <c r="I5643" s="4" t="s">
        <v>23142</v>
      </c>
      <c r="J5643" s="1" t="s">
        <v>23143</v>
      </c>
      <c r="K5643" s="1" t="s">
        <v>68</v>
      </c>
    </row>
    <row r="5644">
      <c r="A5644" s="1" t="s">
        <v>23144</v>
      </c>
      <c r="B5644" s="1" t="s">
        <v>23145</v>
      </c>
      <c r="C5644" s="1">
        <v>2007.0</v>
      </c>
      <c r="D5644" s="2">
        <v>39084.0</v>
      </c>
      <c r="F5644" s="1" t="s">
        <v>1340</v>
      </c>
      <c r="H5644" s="3">
        <v>131.0</v>
      </c>
      <c r="I5644" s="4" t="s">
        <v>23146</v>
      </c>
      <c r="J5644" s="1" t="s">
        <v>23147</v>
      </c>
      <c r="K5644" s="1" t="s">
        <v>28</v>
      </c>
    </row>
    <row r="5645">
      <c r="A5645" s="1" t="s">
        <v>23148</v>
      </c>
      <c r="B5645" s="1" t="s">
        <v>23149</v>
      </c>
      <c r="C5645" s="1">
        <v>2007.0</v>
      </c>
      <c r="D5645" s="2">
        <v>39083.0</v>
      </c>
      <c r="F5645" s="1" t="s">
        <v>12330</v>
      </c>
      <c r="H5645" s="3">
        <v>33.0</v>
      </c>
      <c r="I5645" s="4" t="s">
        <v>23150</v>
      </c>
      <c r="J5645" s="1" t="s">
        <v>23151</v>
      </c>
      <c r="K5645" s="1" t="s">
        <v>323</v>
      </c>
    </row>
    <row r="5646">
      <c r="A5646" s="1" t="s">
        <v>23152</v>
      </c>
      <c r="B5646" s="1" t="s">
        <v>23153</v>
      </c>
      <c r="C5646" s="1">
        <v>2007.0</v>
      </c>
      <c r="D5646" s="2">
        <v>39083.0</v>
      </c>
      <c r="F5646" s="1" t="s">
        <v>4577</v>
      </c>
      <c r="H5646" s="3">
        <v>37.0</v>
      </c>
      <c r="I5646" s="4" t="s">
        <v>23154</v>
      </c>
      <c r="J5646" s="1" t="s">
        <v>23155</v>
      </c>
      <c r="K5646" s="1" t="s">
        <v>383</v>
      </c>
    </row>
    <row r="5647">
      <c r="A5647" s="1" t="s">
        <v>23156</v>
      </c>
      <c r="B5647" s="1" t="s">
        <v>23157</v>
      </c>
      <c r="C5647" s="1">
        <v>2007.0</v>
      </c>
      <c r="D5647" s="2">
        <v>39083.0</v>
      </c>
      <c r="F5647" s="1" t="s">
        <v>4124</v>
      </c>
      <c r="H5647" s="3">
        <v>370.0</v>
      </c>
      <c r="I5647" s="4" t="s">
        <v>23158</v>
      </c>
      <c r="J5647" s="1" t="s">
        <v>23159</v>
      </c>
      <c r="K5647" s="1" t="s">
        <v>295</v>
      </c>
    </row>
    <row r="5648">
      <c r="A5648" s="1" t="s">
        <v>23160</v>
      </c>
      <c r="B5648" s="1" t="s">
        <v>23161</v>
      </c>
      <c r="C5648" s="1">
        <v>2007.0</v>
      </c>
      <c r="D5648" s="2">
        <v>39083.0</v>
      </c>
      <c r="F5648" s="1" t="s">
        <v>10121</v>
      </c>
      <c r="H5648" s="3">
        <v>30.0</v>
      </c>
      <c r="I5648" s="4" t="s">
        <v>23162</v>
      </c>
      <c r="J5648" s="1" t="s">
        <v>23163</v>
      </c>
      <c r="K5648" s="1" t="s">
        <v>295</v>
      </c>
    </row>
    <row r="5649">
      <c r="A5649" s="1" t="s">
        <v>23164</v>
      </c>
      <c r="B5649" s="1" t="s">
        <v>23165</v>
      </c>
      <c r="C5649" s="1">
        <v>2007.0</v>
      </c>
      <c r="D5649" s="2">
        <v>39083.0</v>
      </c>
      <c r="F5649" s="1" t="s">
        <v>23166</v>
      </c>
      <c r="H5649" s="3">
        <v>9.0</v>
      </c>
      <c r="I5649" s="4" t="s">
        <v>23167</v>
      </c>
      <c r="J5649" s="1" t="s">
        <v>23168</v>
      </c>
      <c r="K5649" s="1" t="s">
        <v>16</v>
      </c>
    </row>
    <row r="5650">
      <c r="A5650" s="1" t="s">
        <v>23169</v>
      </c>
      <c r="B5650" s="1" t="s">
        <v>23170</v>
      </c>
      <c r="C5650" s="1">
        <v>2006.0</v>
      </c>
      <c r="D5650" s="2">
        <v>39053.0</v>
      </c>
      <c r="F5650" s="1" t="s">
        <v>1050</v>
      </c>
      <c r="H5650" s="3">
        <v>3.0</v>
      </c>
      <c r="I5650" s="4" t="s">
        <v>23171</v>
      </c>
      <c r="J5650" s="1" t="s">
        <v>23172</v>
      </c>
      <c r="K5650" s="1" t="s">
        <v>323</v>
      </c>
    </row>
    <row r="5651">
      <c r="A5651" s="1" t="s">
        <v>23173</v>
      </c>
      <c r="B5651" s="1" t="s">
        <v>23174</v>
      </c>
      <c r="C5651" s="1">
        <v>2006.0</v>
      </c>
      <c r="D5651" s="2">
        <v>39052.0</v>
      </c>
      <c r="F5651" s="1" t="s">
        <v>21643</v>
      </c>
      <c r="H5651" s="3">
        <v>29.0</v>
      </c>
      <c r="I5651" s="4" t="s">
        <v>23175</v>
      </c>
      <c r="J5651" s="1" t="s">
        <v>23176</v>
      </c>
      <c r="K5651" s="1" t="s">
        <v>295</v>
      </c>
    </row>
    <row r="5652">
      <c r="A5652" s="1" t="s">
        <v>23177</v>
      </c>
      <c r="B5652" s="1" t="s">
        <v>23178</v>
      </c>
      <c r="C5652" s="1">
        <v>2006.0</v>
      </c>
      <c r="D5652" s="2">
        <v>39052.0</v>
      </c>
      <c r="F5652" s="1" t="s">
        <v>676</v>
      </c>
      <c r="H5652" s="3">
        <v>37.0</v>
      </c>
      <c r="I5652" s="4" t="s">
        <v>23179</v>
      </c>
      <c r="J5652" s="1" t="s">
        <v>23180</v>
      </c>
      <c r="K5652" s="1" t="s">
        <v>443</v>
      </c>
    </row>
    <row r="5653">
      <c r="A5653" s="1" t="s">
        <v>23181</v>
      </c>
      <c r="B5653" s="1" t="s">
        <v>23182</v>
      </c>
      <c r="C5653" s="1">
        <v>2006.0</v>
      </c>
      <c r="D5653" s="2">
        <v>39052.0</v>
      </c>
      <c r="F5653" s="1" t="s">
        <v>5511</v>
      </c>
      <c r="H5653" s="3">
        <v>7.0</v>
      </c>
      <c r="I5653" s="4" t="s">
        <v>23183</v>
      </c>
      <c r="J5653" s="1" t="s">
        <v>23184</v>
      </c>
      <c r="K5653" s="1" t="s">
        <v>323</v>
      </c>
    </row>
    <row r="5654">
      <c r="A5654" s="1" t="s">
        <v>23185</v>
      </c>
      <c r="B5654" s="1" t="s">
        <v>23186</v>
      </c>
      <c r="C5654" s="1">
        <v>2006.0</v>
      </c>
      <c r="D5654" s="2">
        <v>39052.0</v>
      </c>
      <c r="F5654" s="1" t="s">
        <v>21412</v>
      </c>
      <c r="H5654" s="3">
        <v>12.0</v>
      </c>
      <c r="I5654" s="4" t="s">
        <v>23187</v>
      </c>
      <c r="J5654" s="1" t="s">
        <v>23188</v>
      </c>
      <c r="K5654" s="1" t="s">
        <v>16</v>
      </c>
    </row>
    <row r="5655">
      <c r="A5655" s="1" t="s">
        <v>23189</v>
      </c>
      <c r="B5655" s="1" t="s">
        <v>23190</v>
      </c>
      <c r="C5655" s="1">
        <v>2006.0</v>
      </c>
      <c r="D5655" s="2">
        <v>39051.0</v>
      </c>
      <c r="F5655" s="1" t="s">
        <v>2906</v>
      </c>
      <c r="H5655" s="3">
        <v>55.0</v>
      </c>
      <c r="I5655" s="4" t="s">
        <v>23191</v>
      </c>
      <c r="J5655" s="1" t="s">
        <v>23192</v>
      </c>
      <c r="K5655" s="1" t="s">
        <v>443</v>
      </c>
    </row>
    <row r="5656">
      <c r="A5656" s="1" t="s">
        <v>23193</v>
      </c>
      <c r="B5656" s="1" t="s">
        <v>23194</v>
      </c>
      <c r="C5656" s="1">
        <v>2006.0</v>
      </c>
      <c r="D5656" s="2">
        <v>39030.0</v>
      </c>
      <c r="F5656" s="1" t="s">
        <v>23195</v>
      </c>
      <c r="H5656" s="3">
        <v>12.0</v>
      </c>
      <c r="I5656" s="4" t="s">
        <v>23196</v>
      </c>
      <c r="J5656" s="1" t="s">
        <v>23197</v>
      </c>
      <c r="K5656" s="1" t="s">
        <v>383</v>
      </c>
    </row>
    <row r="5657">
      <c r="A5657" s="1" t="s">
        <v>23198</v>
      </c>
      <c r="B5657" s="1" t="s">
        <v>23199</v>
      </c>
      <c r="C5657" s="1">
        <v>2006.0</v>
      </c>
      <c r="D5657" s="2">
        <v>39022.0</v>
      </c>
      <c r="F5657" s="1" t="s">
        <v>12680</v>
      </c>
      <c r="H5657" s="3">
        <v>84.0</v>
      </c>
      <c r="I5657" s="4" t="s">
        <v>23200</v>
      </c>
      <c r="J5657" s="1" t="s">
        <v>23201</v>
      </c>
      <c r="K5657" s="1" t="s">
        <v>28</v>
      </c>
    </row>
    <row r="5658">
      <c r="A5658" s="1" t="s">
        <v>23202</v>
      </c>
      <c r="B5658" s="1" t="s">
        <v>23203</v>
      </c>
      <c r="C5658" s="1">
        <v>2006.0</v>
      </c>
      <c r="D5658" s="2">
        <v>39015.0</v>
      </c>
      <c r="F5658" s="1" t="s">
        <v>489</v>
      </c>
      <c r="H5658" s="3">
        <v>89.0</v>
      </c>
      <c r="I5658" s="4" t="s">
        <v>23204</v>
      </c>
      <c r="J5658" s="1" t="s">
        <v>23205</v>
      </c>
      <c r="K5658" s="1" t="s">
        <v>45</v>
      </c>
    </row>
    <row r="5659">
      <c r="A5659" s="1" t="s">
        <v>23206</v>
      </c>
      <c r="B5659" s="1" t="s">
        <v>23207</v>
      </c>
      <c r="C5659" s="1">
        <v>2006.0</v>
      </c>
      <c r="D5659" s="2">
        <v>39013.0</v>
      </c>
      <c r="F5659" s="1" t="s">
        <v>1859</v>
      </c>
      <c r="H5659" s="3">
        <v>7.0</v>
      </c>
      <c r="I5659" s="4" t="s">
        <v>23208</v>
      </c>
      <c r="J5659" s="1" t="s">
        <v>23209</v>
      </c>
      <c r="K5659" s="1" t="s">
        <v>16</v>
      </c>
    </row>
    <row r="5660">
      <c r="A5660" s="1" t="s">
        <v>23210</v>
      </c>
      <c r="B5660" s="1" t="s">
        <v>23211</v>
      </c>
      <c r="C5660" s="1">
        <v>2006.0</v>
      </c>
      <c r="D5660" s="2">
        <v>39003.0</v>
      </c>
      <c r="F5660" s="1" t="s">
        <v>369</v>
      </c>
      <c r="H5660" s="3">
        <v>387.0</v>
      </c>
      <c r="I5660" s="4" t="s">
        <v>23212</v>
      </c>
      <c r="J5660" s="1" t="s">
        <v>23213</v>
      </c>
      <c r="K5660" s="1" t="s">
        <v>28</v>
      </c>
    </row>
    <row r="5661">
      <c r="A5661" s="1" t="s">
        <v>23214</v>
      </c>
      <c r="B5661" s="1" t="s">
        <v>23215</v>
      </c>
      <c r="C5661" s="1">
        <v>2006.0</v>
      </c>
      <c r="D5661" s="2">
        <v>38991.0</v>
      </c>
      <c r="F5661" s="1" t="s">
        <v>23216</v>
      </c>
      <c r="H5661" s="3">
        <v>5.0</v>
      </c>
      <c r="I5661" s="4" t="s">
        <v>23217</v>
      </c>
      <c r="J5661" s="1" t="s">
        <v>23218</v>
      </c>
      <c r="K5661" s="1" t="s">
        <v>28</v>
      </c>
    </row>
    <row r="5662">
      <c r="A5662" s="1" t="s">
        <v>23219</v>
      </c>
      <c r="B5662" s="1" t="s">
        <v>23220</v>
      </c>
      <c r="C5662" s="1">
        <v>2006.0</v>
      </c>
      <c r="D5662" s="2">
        <v>38963.0</v>
      </c>
      <c r="F5662" s="1" t="s">
        <v>3468</v>
      </c>
      <c r="H5662" s="3">
        <v>16.0</v>
      </c>
      <c r="I5662" s="4" t="s">
        <v>23221</v>
      </c>
      <c r="J5662" s="1" t="s">
        <v>23222</v>
      </c>
      <c r="K5662" s="1" t="s">
        <v>16</v>
      </c>
    </row>
    <row r="5663">
      <c r="A5663" s="1" t="s">
        <v>23223</v>
      </c>
      <c r="B5663" s="1" t="s">
        <v>23224</v>
      </c>
      <c r="C5663" s="1">
        <v>2006.0</v>
      </c>
      <c r="D5663" s="2">
        <v>38961.0</v>
      </c>
      <c r="F5663" s="1" t="s">
        <v>1410</v>
      </c>
      <c r="H5663" s="3">
        <v>7.0</v>
      </c>
      <c r="I5663" s="4" t="s">
        <v>23225</v>
      </c>
      <c r="J5663" s="1" t="s">
        <v>23226</v>
      </c>
      <c r="K5663" s="1" t="s">
        <v>28</v>
      </c>
    </row>
    <row r="5664">
      <c r="A5664" s="1" t="s">
        <v>23227</v>
      </c>
      <c r="B5664" s="1" t="s">
        <v>23228</v>
      </c>
      <c r="C5664" s="1">
        <v>2006.0</v>
      </c>
      <c r="D5664" s="2">
        <v>38961.0</v>
      </c>
      <c r="F5664" s="1" t="s">
        <v>23229</v>
      </c>
      <c r="H5664" s="3">
        <v>55.0</v>
      </c>
      <c r="I5664" s="4" t="s">
        <v>23230</v>
      </c>
      <c r="J5664" s="1" t="s">
        <v>23231</v>
      </c>
      <c r="K5664" s="1" t="s">
        <v>28</v>
      </c>
    </row>
    <row r="5665">
      <c r="A5665" s="1" t="s">
        <v>23232</v>
      </c>
      <c r="B5665" s="1" t="s">
        <v>23233</v>
      </c>
      <c r="C5665" s="1">
        <v>2006.0</v>
      </c>
      <c r="D5665" s="2">
        <v>38961.0</v>
      </c>
      <c r="F5665" s="1" t="s">
        <v>1410</v>
      </c>
      <c r="H5665" s="3">
        <v>10.0</v>
      </c>
      <c r="I5665" s="4" t="s">
        <v>23234</v>
      </c>
      <c r="J5665" s="1" t="s">
        <v>23235</v>
      </c>
      <c r="K5665" s="1" t="s">
        <v>323</v>
      </c>
    </row>
    <row r="5666">
      <c r="A5666" s="1" t="s">
        <v>23236</v>
      </c>
      <c r="B5666" s="1" t="s">
        <v>23237</v>
      </c>
      <c r="C5666" s="1">
        <v>2006.0</v>
      </c>
      <c r="D5666" s="2">
        <v>38946.0</v>
      </c>
      <c r="F5666" s="1" t="s">
        <v>15114</v>
      </c>
      <c r="H5666" s="3">
        <v>61.0</v>
      </c>
      <c r="I5666" s="4" t="s">
        <v>23238</v>
      </c>
      <c r="J5666" s="1" t="s">
        <v>23239</v>
      </c>
      <c r="K5666" s="1" t="s">
        <v>443</v>
      </c>
    </row>
    <row r="5667">
      <c r="A5667" s="1" t="s">
        <v>23240</v>
      </c>
      <c r="B5667" s="1" t="s">
        <v>23241</v>
      </c>
      <c r="C5667" s="1">
        <v>2006.0</v>
      </c>
      <c r="D5667" s="2">
        <v>38944.0</v>
      </c>
      <c r="F5667" s="1" t="s">
        <v>3119</v>
      </c>
      <c r="H5667" s="3">
        <v>66.0</v>
      </c>
      <c r="I5667" s="4" t="s">
        <v>23242</v>
      </c>
      <c r="J5667" s="1" t="s">
        <v>23243</v>
      </c>
      <c r="K5667" s="1" t="s">
        <v>1036</v>
      </c>
    </row>
    <row r="5668">
      <c r="A5668" s="1" t="s">
        <v>23244</v>
      </c>
      <c r="B5668" s="1" t="s">
        <v>23245</v>
      </c>
      <c r="C5668" s="1">
        <v>2006.0</v>
      </c>
      <c r="D5668" s="2">
        <v>38932.0</v>
      </c>
      <c r="F5668" s="1" t="s">
        <v>605</v>
      </c>
      <c r="H5668" s="3">
        <v>116.0</v>
      </c>
      <c r="I5668" s="4" t="s">
        <v>23246</v>
      </c>
      <c r="J5668" s="1" t="s">
        <v>23247</v>
      </c>
      <c r="K5668" s="1" t="s">
        <v>16</v>
      </c>
    </row>
    <row r="5669">
      <c r="A5669" s="1" t="s">
        <v>23248</v>
      </c>
      <c r="B5669" s="1" t="s">
        <v>23249</v>
      </c>
      <c r="C5669" s="1">
        <v>2006.0</v>
      </c>
      <c r="D5669" s="2">
        <v>38932.0</v>
      </c>
      <c r="F5669" s="1" t="s">
        <v>1859</v>
      </c>
      <c r="H5669" s="3">
        <v>5.0</v>
      </c>
      <c r="I5669" s="4" t="s">
        <v>23250</v>
      </c>
      <c r="J5669" s="1" t="s">
        <v>23251</v>
      </c>
      <c r="K5669" s="1" t="s">
        <v>16</v>
      </c>
    </row>
    <row r="5670">
      <c r="A5670" s="1" t="s">
        <v>23252</v>
      </c>
      <c r="B5670" s="1" t="s">
        <v>23253</v>
      </c>
      <c r="C5670" s="1">
        <v>2006.0</v>
      </c>
      <c r="D5670" s="2">
        <v>38930.0</v>
      </c>
      <c r="F5670" s="1" t="s">
        <v>2191</v>
      </c>
      <c r="H5670" s="3">
        <v>15.0</v>
      </c>
      <c r="I5670" s="4" t="s">
        <v>23254</v>
      </c>
      <c r="J5670" s="1" t="s">
        <v>23255</v>
      </c>
      <c r="K5670" s="1" t="s">
        <v>295</v>
      </c>
    </row>
    <row r="5671">
      <c r="A5671" s="1" t="s">
        <v>23256</v>
      </c>
      <c r="B5671" s="1" t="s">
        <v>23257</v>
      </c>
      <c r="C5671" s="1">
        <v>2006.0</v>
      </c>
      <c r="D5671" s="2">
        <v>38930.0</v>
      </c>
      <c r="F5671" s="1" t="s">
        <v>1410</v>
      </c>
      <c r="H5671" s="3">
        <v>34.0</v>
      </c>
      <c r="I5671" s="4" t="s">
        <v>23258</v>
      </c>
      <c r="J5671" s="1" t="s">
        <v>23259</v>
      </c>
      <c r="K5671" s="1" t="s">
        <v>295</v>
      </c>
    </row>
    <row r="5672">
      <c r="A5672" s="1" t="s">
        <v>23260</v>
      </c>
      <c r="B5672" s="1" t="s">
        <v>23261</v>
      </c>
      <c r="C5672" s="1">
        <v>2006.0</v>
      </c>
      <c r="D5672" s="2">
        <v>38930.0</v>
      </c>
      <c r="F5672" s="1" t="s">
        <v>337</v>
      </c>
      <c r="H5672" s="3">
        <v>86.0</v>
      </c>
      <c r="I5672" s="4" t="s">
        <v>23262</v>
      </c>
      <c r="J5672" s="1" t="s">
        <v>23263</v>
      </c>
      <c r="K5672" s="1" t="s">
        <v>68</v>
      </c>
    </row>
    <row r="5673">
      <c r="A5673" s="1" t="s">
        <v>23264</v>
      </c>
      <c r="B5673" s="1" t="s">
        <v>23265</v>
      </c>
      <c r="C5673" s="1">
        <v>2006.0</v>
      </c>
      <c r="D5673" s="2">
        <v>38909.0</v>
      </c>
      <c r="F5673" s="1" t="s">
        <v>1366</v>
      </c>
      <c r="H5673" s="3">
        <v>57.0</v>
      </c>
      <c r="I5673" s="4" t="s">
        <v>23266</v>
      </c>
      <c r="J5673" s="1" t="s">
        <v>23267</v>
      </c>
      <c r="K5673" s="1" t="s">
        <v>926</v>
      </c>
    </row>
    <row r="5674">
      <c r="A5674" s="1" t="s">
        <v>23268</v>
      </c>
      <c r="B5674" s="1" t="s">
        <v>23269</v>
      </c>
      <c r="C5674" s="1">
        <v>2006.0</v>
      </c>
      <c r="D5674" s="2">
        <v>38909.0</v>
      </c>
      <c r="F5674" s="1" t="s">
        <v>208</v>
      </c>
      <c r="H5674" s="3">
        <v>427.0</v>
      </c>
      <c r="I5674" s="4" t="s">
        <v>23270</v>
      </c>
      <c r="J5674" s="1" t="s">
        <v>23271</v>
      </c>
      <c r="K5674" s="1" t="s">
        <v>28</v>
      </c>
    </row>
    <row r="5675">
      <c r="A5675" s="1" t="s">
        <v>23272</v>
      </c>
      <c r="B5675" s="1" t="s">
        <v>23273</v>
      </c>
      <c r="C5675" s="1">
        <v>2006.0</v>
      </c>
      <c r="D5675" s="2">
        <v>38899.0</v>
      </c>
      <c r="F5675" s="1" t="s">
        <v>23274</v>
      </c>
      <c r="H5675" s="3">
        <v>11.0</v>
      </c>
      <c r="I5675" s="4" t="s">
        <v>23275</v>
      </c>
      <c r="J5675" s="1" t="s">
        <v>23276</v>
      </c>
      <c r="K5675" s="1" t="s">
        <v>28</v>
      </c>
    </row>
    <row r="5676">
      <c r="A5676" s="1" t="s">
        <v>23277</v>
      </c>
      <c r="B5676" s="1" t="s">
        <v>23278</v>
      </c>
      <c r="C5676" s="1">
        <v>2006.0</v>
      </c>
      <c r="D5676" s="2">
        <v>38895.0</v>
      </c>
      <c r="F5676" s="1" t="s">
        <v>1904</v>
      </c>
      <c r="H5676" s="3">
        <v>46.0</v>
      </c>
      <c r="I5676" s="4" t="s">
        <v>23279</v>
      </c>
      <c r="J5676" s="1" t="s">
        <v>23280</v>
      </c>
      <c r="K5676" s="1" t="s">
        <v>16</v>
      </c>
    </row>
    <row r="5677">
      <c r="A5677" s="1" t="s">
        <v>23281</v>
      </c>
      <c r="B5677" s="1" t="s">
        <v>23282</v>
      </c>
      <c r="C5677" s="1">
        <v>2006.0</v>
      </c>
      <c r="D5677" s="2">
        <v>38888.0</v>
      </c>
      <c r="F5677" s="1" t="s">
        <v>4217</v>
      </c>
      <c r="H5677" s="3">
        <v>135.0</v>
      </c>
      <c r="I5677" s="4" t="s">
        <v>23283</v>
      </c>
      <c r="J5677" s="1" t="s">
        <v>23284</v>
      </c>
      <c r="K5677" s="1" t="s">
        <v>295</v>
      </c>
    </row>
    <row r="5678">
      <c r="A5678" s="1" t="s">
        <v>23285</v>
      </c>
      <c r="B5678" s="1" t="s">
        <v>23286</v>
      </c>
      <c r="C5678" s="1">
        <v>2006.0</v>
      </c>
      <c r="D5678" s="2">
        <v>38887.0</v>
      </c>
      <c r="F5678" s="1" t="s">
        <v>208</v>
      </c>
      <c r="H5678" s="3">
        <v>681.0</v>
      </c>
      <c r="I5678" s="4" t="s">
        <v>23287</v>
      </c>
      <c r="J5678" s="1" t="s">
        <v>23288</v>
      </c>
      <c r="K5678" s="1" t="s">
        <v>28</v>
      </c>
    </row>
    <row r="5679">
      <c r="A5679" s="1" t="s">
        <v>23289</v>
      </c>
      <c r="B5679" s="1" t="s">
        <v>23290</v>
      </c>
      <c r="C5679" s="1">
        <v>2006.0</v>
      </c>
      <c r="D5679" s="2">
        <v>38869.0</v>
      </c>
      <c r="F5679" s="1" t="s">
        <v>15339</v>
      </c>
      <c r="H5679" s="3">
        <v>95.0</v>
      </c>
      <c r="I5679" s="4" t="s">
        <v>23291</v>
      </c>
      <c r="J5679" s="1" t="s">
        <v>23292</v>
      </c>
      <c r="K5679" s="1" t="s">
        <v>383</v>
      </c>
    </row>
    <row r="5680">
      <c r="A5680" s="1" t="s">
        <v>23293</v>
      </c>
      <c r="B5680" s="1" t="s">
        <v>23294</v>
      </c>
      <c r="C5680" s="1">
        <v>2006.0</v>
      </c>
      <c r="D5680" s="2">
        <v>38869.0</v>
      </c>
      <c r="F5680" s="1" t="s">
        <v>6074</v>
      </c>
      <c r="H5680" s="3">
        <v>66.0</v>
      </c>
      <c r="I5680" s="4" t="s">
        <v>23295</v>
      </c>
      <c r="J5680" s="1" t="s">
        <v>23296</v>
      </c>
      <c r="K5680" s="1" t="s">
        <v>68</v>
      </c>
    </row>
    <row r="5681">
      <c r="A5681" s="1" t="s">
        <v>23297</v>
      </c>
      <c r="B5681" s="1" t="s">
        <v>23298</v>
      </c>
      <c r="C5681" s="1">
        <v>2006.0</v>
      </c>
      <c r="D5681" s="2">
        <v>38869.0</v>
      </c>
      <c r="F5681" s="1" t="s">
        <v>1562</v>
      </c>
      <c r="H5681" s="3">
        <v>58.0</v>
      </c>
      <c r="I5681" s="4" t="s">
        <v>23299</v>
      </c>
      <c r="J5681" s="1" t="s">
        <v>23300</v>
      </c>
      <c r="K5681" s="1" t="s">
        <v>16</v>
      </c>
    </row>
    <row r="5682">
      <c r="A5682" s="1" t="s">
        <v>23301</v>
      </c>
      <c r="B5682" s="1" t="s">
        <v>23302</v>
      </c>
      <c r="C5682" s="1">
        <v>2006.0</v>
      </c>
      <c r="D5682" s="2">
        <v>38869.0</v>
      </c>
      <c r="F5682" s="1" t="s">
        <v>5554</v>
      </c>
      <c r="H5682" s="3">
        <v>71.0</v>
      </c>
      <c r="I5682" s="4" t="s">
        <v>23303</v>
      </c>
      <c r="J5682" s="1" t="s">
        <v>23304</v>
      </c>
      <c r="K5682" s="1" t="s">
        <v>1036</v>
      </c>
    </row>
    <row r="5683">
      <c r="A5683" s="1" t="s">
        <v>23305</v>
      </c>
      <c r="B5683" s="1" t="s">
        <v>23306</v>
      </c>
      <c r="C5683" s="1">
        <v>2006.0</v>
      </c>
      <c r="D5683" s="2">
        <v>38850.0</v>
      </c>
      <c r="F5683" s="1" t="s">
        <v>396</v>
      </c>
      <c r="H5683" s="3">
        <v>2.0</v>
      </c>
      <c r="I5683" s="4" t="s">
        <v>23307</v>
      </c>
      <c r="J5683" s="1"/>
      <c r="K5683" s="1" t="s">
        <v>323</v>
      </c>
    </row>
    <row r="5684">
      <c r="A5684" s="1" t="s">
        <v>23308</v>
      </c>
      <c r="B5684" s="1" t="s">
        <v>23309</v>
      </c>
      <c r="C5684" s="1">
        <v>2006.0</v>
      </c>
      <c r="D5684" s="2">
        <v>38848.0</v>
      </c>
      <c r="F5684" s="1" t="s">
        <v>1777</v>
      </c>
      <c r="H5684" s="3">
        <v>34.0</v>
      </c>
      <c r="I5684" s="4" t="s">
        <v>23310</v>
      </c>
      <c r="J5684" s="1" t="s">
        <v>23311</v>
      </c>
      <c r="K5684" s="1" t="s">
        <v>926</v>
      </c>
    </row>
    <row r="5685">
      <c r="A5685" s="1" t="s">
        <v>23312</v>
      </c>
      <c r="B5685" s="1" t="s">
        <v>23313</v>
      </c>
      <c r="C5685" s="1">
        <v>2006.0</v>
      </c>
      <c r="D5685" s="2">
        <v>38838.0</v>
      </c>
      <c r="F5685" s="1" t="s">
        <v>4997</v>
      </c>
      <c r="H5685" s="3">
        <v>90.0</v>
      </c>
      <c r="I5685" s="4" t="s">
        <v>23314</v>
      </c>
      <c r="J5685" s="1" t="s">
        <v>23315</v>
      </c>
      <c r="K5685" s="1" t="s">
        <v>323</v>
      </c>
    </row>
    <row r="5686">
      <c r="A5686" s="1" t="s">
        <v>23316</v>
      </c>
      <c r="B5686" s="1" t="s">
        <v>23317</v>
      </c>
      <c r="C5686" s="1">
        <v>2006.0</v>
      </c>
      <c r="D5686" s="2">
        <v>38834.0</v>
      </c>
      <c r="F5686" s="1" t="s">
        <v>23318</v>
      </c>
      <c r="H5686" s="3">
        <v>24.0</v>
      </c>
      <c r="I5686" s="4" t="s">
        <v>23319</v>
      </c>
      <c r="J5686" s="1" t="s">
        <v>23320</v>
      </c>
      <c r="K5686" s="1" t="s">
        <v>16</v>
      </c>
    </row>
    <row r="5687">
      <c r="A5687" s="1" t="s">
        <v>23321</v>
      </c>
      <c r="B5687" s="1" t="s">
        <v>23322</v>
      </c>
      <c r="C5687" s="1">
        <v>2006.0</v>
      </c>
      <c r="D5687" s="2">
        <v>38831.0</v>
      </c>
      <c r="F5687" s="1" t="s">
        <v>8818</v>
      </c>
      <c r="H5687" s="3">
        <v>168.0</v>
      </c>
      <c r="I5687" s="4" t="s">
        <v>23323</v>
      </c>
      <c r="J5687" s="1" t="s">
        <v>23324</v>
      </c>
      <c r="K5687" s="1" t="s">
        <v>413</v>
      </c>
    </row>
    <row r="5688">
      <c r="A5688" s="1" t="s">
        <v>23325</v>
      </c>
      <c r="B5688" s="1" t="s">
        <v>23326</v>
      </c>
      <c r="C5688" s="1">
        <v>2006.0</v>
      </c>
      <c r="D5688" s="2">
        <v>38824.0</v>
      </c>
      <c r="F5688" s="1" t="s">
        <v>2007</v>
      </c>
      <c r="H5688" s="3">
        <v>48.0</v>
      </c>
      <c r="I5688" s="4" t="s">
        <v>23327</v>
      </c>
      <c r="J5688" s="1" t="s">
        <v>23328</v>
      </c>
      <c r="K5688" s="1" t="s">
        <v>383</v>
      </c>
    </row>
    <row r="5689">
      <c r="A5689" s="1" t="s">
        <v>23329</v>
      </c>
      <c r="B5689" s="1" t="s">
        <v>23330</v>
      </c>
      <c r="C5689" s="1">
        <v>2006.0</v>
      </c>
      <c r="D5689" s="2">
        <v>38808.0</v>
      </c>
      <c r="F5689" s="1" t="s">
        <v>21643</v>
      </c>
      <c r="H5689" s="3">
        <v>57.0</v>
      </c>
      <c r="I5689" s="4" t="s">
        <v>23331</v>
      </c>
      <c r="J5689" s="1" t="s">
        <v>23332</v>
      </c>
      <c r="K5689" s="1" t="s">
        <v>443</v>
      </c>
    </row>
    <row r="5690">
      <c r="A5690" s="1" t="s">
        <v>23333</v>
      </c>
      <c r="B5690" s="1" t="s">
        <v>23334</v>
      </c>
      <c r="C5690" s="1">
        <v>2006.0</v>
      </c>
      <c r="D5690" s="2">
        <v>38808.0</v>
      </c>
      <c r="F5690" s="1" t="s">
        <v>6800</v>
      </c>
      <c r="H5690" s="3">
        <v>7.0</v>
      </c>
      <c r="I5690" s="4" t="s">
        <v>23335</v>
      </c>
      <c r="J5690" s="1" t="s">
        <v>23336</v>
      </c>
      <c r="K5690" s="1" t="s">
        <v>295</v>
      </c>
    </row>
    <row r="5691">
      <c r="A5691" s="1" t="s">
        <v>23337</v>
      </c>
      <c r="B5691" s="1" t="s">
        <v>23338</v>
      </c>
      <c r="C5691" s="1">
        <v>2006.0</v>
      </c>
      <c r="D5691" s="2">
        <v>38796.0</v>
      </c>
      <c r="F5691" s="1" t="s">
        <v>4217</v>
      </c>
      <c r="H5691" s="3">
        <v>11.0</v>
      </c>
      <c r="I5691" s="4" t="s">
        <v>23339</v>
      </c>
      <c r="J5691" s="1"/>
      <c r="K5691" s="1" t="s">
        <v>295</v>
      </c>
    </row>
    <row r="5692">
      <c r="A5692" s="1" t="s">
        <v>23340</v>
      </c>
      <c r="B5692" s="1" t="s">
        <v>23341</v>
      </c>
      <c r="C5692" s="1">
        <v>2006.0</v>
      </c>
      <c r="D5692" s="2">
        <v>38789.0</v>
      </c>
      <c r="F5692" s="1" t="s">
        <v>2611</v>
      </c>
      <c r="H5692" s="3">
        <v>191.0</v>
      </c>
      <c r="I5692" s="4" t="s">
        <v>23342</v>
      </c>
      <c r="J5692" s="1" t="s">
        <v>23343</v>
      </c>
      <c r="K5692" s="1" t="s">
        <v>413</v>
      </c>
    </row>
    <row r="5693">
      <c r="A5693" s="1" t="s">
        <v>23344</v>
      </c>
      <c r="B5693" s="1" t="s">
        <v>23345</v>
      </c>
      <c r="C5693" s="1">
        <v>2006.0</v>
      </c>
      <c r="D5693" s="2">
        <v>38787.0</v>
      </c>
      <c r="F5693" s="1" t="s">
        <v>1050</v>
      </c>
      <c r="H5693" s="3">
        <v>0.0</v>
      </c>
      <c r="I5693" s="4" t="s">
        <v>23346</v>
      </c>
      <c r="J5693" s="1" t="s">
        <v>23347</v>
      </c>
      <c r="K5693" s="1" t="s">
        <v>413</v>
      </c>
    </row>
    <row r="5694">
      <c r="A5694" s="1" t="s">
        <v>23348</v>
      </c>
      <c r="B5694" s="1" t="s">
        <v>23349</v>
      </c>
      <c r="C5694" s="1">
        <v>2006.0</v>
      </c>
      <c r="D5694" s="2">
        <v>38777.0</v>
      </c>
      <c r="F5694" s="1" t="s">
        <v>3463</v>
      </c>
      <c r="H5694" s="3">
        <v>31.0</v>
      </c>
      <c r="I5694" s="4" t="s">
        <v>23350</v>
      </c>
      <c r="J5694" s="1" t="s">
        <v>23351</v>
      </c>
      <c r="K5694" s="1" t="s">
        <v>443</v>
      </c>
    </row>
    <row r="5695">
      <c r="A5695" s="1" t="s">
        <v>23352</v>
      </c>
      <c r="B5695" s="1" t="s">
        <v>23353</v>
      </c>
      <c r="C5695" s="1">
        <v>2006.0</v>
      </c>
      <c r="D5695" s="2">
        <v>38777.0</v>
      </c>
      <c r="F5695" s="1" t="s">
        <v>3463</v>
      </c>
      <c r="H5695" s="3">
        <v>27.0</v>
      </c>
      <c r="I5695" s="4" t="s">
        <v>23354</v>
      </c>
      <c r="J5695" s="1" t="s">
        <v>23355</v>
      </c>
      <c r="K5695" s="1" t="s">
        <v>28</v>
      </c>
    </row>
    <row r="5696">
      <c r="A5696" s="1" t="s">
        <v>23356</v>
      </c>
      <c r="B5696" s="1" t="s">
        <v>23357</v>
      </c>
      <c r="C5696" s="1">
        <v>2006.0</v>
      </c>
      <c r="D5696" s="2">
        <v>38777.0</v>
      </c>
      <c r="F5696" s="1" t="s">
        <v>10121</v>
      </c>
      <c r="H5696" s="3">
        <v>47.0</v>
      </c>
      <c r="I5696" s="4" t="s">
        <v>23358</v>
      </c>
      <c r="J5696" s="1" t="s">
        <v>23359</v>
      </c>
      <c r="K5696" s="1" t="s">
        <v>295</v>
      </c>
    </row>
    <row r="5697">
      <c r="A5697" s="1" t="s">
        <v>23360</v>
      </c>
      <c r="B5697" s="1" t="s">
        <v>23361</v>
      </c>
      <c r="C5697" s="1">
        <v>2006.0</v>
      </c>
      <c r="D5697" s="2">
        <v>38776.0</v>
      </c>
      <c r="F5697" s="1" t="s">
        <v>2007</v>
      </c>
      <c r="H5697" s="3">
        <v>24.0</v>
      </c>
      <c r="I5697" s="4" t="s">
        <v>23362</v>
      </c>
      <c r="J5697" s="1"/>
      <c r="K5697" s="1" t="s">
        <v>413</v>
      </c>
    </row>
    <row r="5698">
      <c r="A5698" s="1" t="s">
        <v>23363</v>
      </c>
      <c r="B5698" s="1" t="s">
        <v>23364</v>
      </c>
      <c r="C5698" s="1">
        <v>2006.0</v>
      </c>
      <c r="D5698" s="2">
        <v>38771.0</v>
      </c>
      <c r="F5698" s="1" t="s">
        <v>656</v>
      </c>
      <c r="H5698" s="3">
        <v>22.0</v>
      </c>
      <c r="I5698" s="4" t="s">
        <v>23365</v>
      </c>
      <c r="J5698" s="1" t="s">
        <v>23366</v>
      </c>
      <c r="K5698" s="1" t="s">
        <v>383</v>
      </c>
    </row>
    <row r="5699">
      <c r="A5699" s="1" t="s">
        <v>23367</v>
      </c>
      <c r="B5699" s="1" t="s">
        <v>23368</v>
      </c>
      <c r="C5699" s="1">
        <v>2006.0</v>
      </c>
      <c r="D5699" s="2">
        <v>38768.0</v>
      </c>
      <c r="F5699" s="1" t="s">
        <v>1777</v>
      </c>
      <c r="H5699" s="3">
        <v>101.0</v>
      </c>
      <c r="I5699" s="4" t="s">
        <v>23369</v>
      </c>
      <c r="J5699" s="1" t="s">
        <v>23370</v>
      </c>
      <c r="K5699" s="1" t="s">
        <v>383</v>
      </c>
    </row>
    <row r="5700">
      <c r="A5700" s="1" t="s">
        <v>23371</v>
      </c>
      <c r="B5700" s="1" t="s">
        <v>23372</v>
      </c>
      <c r="C5700" s="1">
        <v>2006.0</v>
      </c>
      <c r="D5700" s="2">
        <v>38755.0</v>
      </c>
      <c r="F5700" s="1" t="s">
        <v>4848</v>
      </c>
      <c r="H5700" s="3">
        <v>49.0</v>
      </c>
      <c r="I5700" s="4" t="s">
        <v>23373</v>
      </c>
      <c r="J5700" s="1" t="s">
        <v>23374</v>
      </c>
      <c r="K5700" s="1" t="s">
        <v>68</v>
      </c>
    </row>
    <row r="5701">
      <c r="A5701" s="1" t="s">
        <v>23375</v>
      </c>
      <c r="B5701" s="1" t="s">
        <v>23376</v>
      </c>
      <c r="C5701" s="1">
        <v>2006.0</v>
      </c>
      <c r="D5701" s="2">
        <v>38735.0</v>
      </c>
      <c r="F5701" s="1" t="s">
        <v>308</v>
      </c>
      <c r="H5701" s="3">
        <v>6.0</v>
      </c>
      <c r="I5701" s="4" t="s">
        <v>23377</v>
      </c>
      <c r="J5701" s="1" t="s">
        <v>23378</v>
      </c>
      <c r="K5701" s="1" t="s">
        <v>68</v>
      </c>
    </row>
    <row r="5702">
      <c r="A5702" s="1" t="s">
        <v>23379</v>
      </c>
      <c r="B5702" s="1" t="s">
        <v>23380</v>
      </c>
      <c r="C5702" s="1">
        <v>2006.0</v>
      </c>
      <c r="D5702" s="2">
        <v>38733.0</v>
      </c>
      <c r="F5702" s="1" t="s">
        <v>1366</v>
      </c>
      <c r="H5702" s="3">
        <v>55.0</v>
      </c>
      <c r="I5702" s="4" t="s">
        <v>23381</v>
      </c>
      <c r="J5702" s="1" t="s">
        <v>23382</v>
      </c>
      <c r="K5702" s="1" t="s">
        <v>443</v>
      </c>
    </row>
    <row r="5703">
      <c r="A5703" s="1" t="s">
        <v>23383</v>
      </c>
      <c r="B5703" s="1" t="s">
        <v>23384</v>
      </c>
      <c r="C5703" s="1">
        <v>2006.0</v>
      </c>
      <c r="D5703" s="2">
        <v>38721.0</v>
      </c>
      <c r="F5703" s="1" t="s">
        <v>16385</v>
      </c>
      <c r="H5703" s="3">
        <v>18.0</v>
      </c>
      <c r="I5703" s="4" t="s">
        <v>23385</v>
      </c>
      <c r="J5703" s="1" t="s">
        <v>23386</v>
      </c>
      <c r="K5703" s="1" t="s">
        <v>383</v>
      </c>
    </row>
    <row r="5704">
      <c r="A5704" s="1" t="s">
        <v>23387</v>
      </c>
      <c r="B5704" s="1" t="s">
        <v>23388</v>
      </c>
      <c r="C5704" s="1">
        <v>2006.0</v>
      </c>
      <c r="D5704" s="2">
        <v>38721.0</v>
      </c>
      <c r="F5704" s="1" t="s">
        <v>1777</v>
      </c>
      <c r="H5704" s="3">
        <v>12.0</v>
      </c>
      <c r="I5704" s="4" t="s">
        <v>23389</v>
      </c>
      <c r="J5704" s="1" t="s">
        <v>23390</v>
      </c>
      <c r="K5704" s="1" t="s">
        <v>926</v>
      </c>
    </row>
    <row r="5705">
      <c r="A5705" s="1" t="s">
        <v>23391</v>
      </c>
      <c r="B5705" s="1" t="s">
        <v>23392</v>
      </c>
      <c r="C5705" s="1">
        <v>2006.0</v>
      </c>
      <c r="D5705" s="2">
        <v>38718.0</v>
      </c>
      <c r="F5705" s="1" t="s">
        <v>2955</v>
      </c>
      <c r="H5705" s="3">
        <v>36.0</v>
      </c>
      <c r="I5705" s="4" t="s">
        <v>23393</v>
      </c>
      <c r="J5705" s="1" t="s">
        <v>23394</v>
      </c>
      <c r="K5705" s="1" t="s">
        <v>383</v>
      </c>
    </row>
    <row r="5706">
      <c r="A5706" s="1" t="s">
        <v>23395</v>
      </c>
      <c r="B5706" s="1" t="s">
        <v>23396</v>
      </c>
      <c r="C5706" s="1">
        <v>2006.0</v>
      </c>
      <c r="D5706" s="2">
        <v>38718.0</v>
      </c>
      <c r="F5706" s="1" t="s">
        <v>3233</v>
      </c>
      <c r="H5706" s="3">
        <v>13.0</v>
      </c>
      <c r="I5706" s="4" t="s">
        <v>23397</v>
      </c>
      <c r="J5706" s="1" t="s">
        <v>23398</v>
      </c>
      <c r="K5706" s="1" t="s">
        <v>443</v>
      </c>
    </row>
    <row r="5707">
      <c r="A5707" s="1" t="s">
        <v>23399</v>
      </c>
      <c r="B5707" s="1" t="s">
        <v>23400</v>
      </c>
      <c r="C5707" s="1">
        <v>2006.0</v>
      </c>
      <c r="D5707" s="2">
        <v>38718.0</v>
      </c>
      <c r="F5707" s="1" t="s">
        <v>5824</v>
      </c>
      <c r="H5707" s="3">
        <v>14.0</v>
      </c>
      <c r="I5707" s="4" t="s">
        <v>23401</v>
      </c>
      <c r="J5707" s="1" t="s">
        <v>23402</v>
      </c>
      <c r="K5707" s="1" t="s">
        <v>383</v>
      </c>
    </row>
    <row r="5708">
      <c r="A5708" s="1" t="s">
        <v>23403</v>
      </c>
      <c r="B5708" s="1" t="s">
        <v>23404</v>
      </c>
      <c r="C5708" s="1">
        <v>2006.0</v>
      </c>
      <c r="D5708" s="2">
        <v>38718.0</v>
      </c>
      <c r="F5708" s="1" t="s">
        <v>23405</v>
      </c>
      <c r="H5708" s="3">
        <v>6.0</v>
      </c>
      <c r="I5708" s="4" t="s">
        <v>23406</v>
      </c>
      <c r="J5708" s="1" t="s">
        <v>23407</v>
      </c>
      <c r="K5708" s="1" t="s">
        <v>383</v>
      </c>
    </row>
    <row r="5709">
      <c r="A5709" s="1" t="s">
        <v>23408</v>
      </c>
      <c r="B5709" s="1" t="s">
        <v>23409</v>
      </c>
      <c r="C5709" s="1">
        <v>2006.0</v>
      </c>
      <c r="D5709" s="2">
        <v>38718.0</v>
      </c>
      <c r="F5709" s="1" t="s">
        <v>11421</v>
      </c>
      <c r="H5709" s="3">
        <v>18.0</v>
      </c>
      <c r="I5709" s="4" t="s">
        <v>23410</v>
      </c>
      <c r="J5709" s="1" t="s">
        <v>23411</v>
      </c>
      <c r="K5709" s="1" t="s">
        <v>28</v>
      </c>
    </row>
    <row r="5710">
      <c r="A5710" s="1" t="s">
        <v>23412</v>
      </c>
      <c r="B5710" s="1" t="s">
        <v>23413</v>
      </c>
      <c r="C5710" s="1">
        <v>2006.0</v>
      </c>
      <c r="D5710" s="2">
        <v>38718.0</v>
      </c>
      <c r="F5710" s="1" t="s">
        <v>12638</v>
      </c>
      <c r="H5710" s="3">
        <v>84.0</v>
      </c>
      <c r="I5710" s="4" t="s">
        <v>23414</v>
      </c>
      <c r="J5710" s="1" t="s">
        <v>23415</v>
      </c>
      <c r="K5710" s="1" t="s">
        <v>383</v>
      </c>
    </row>
    <row r="5711">
      <c r="A5711" s="1" t="s">
        <v>23416</v>
      </c>
      <c r="B5711" s="1" t="s">
        <v>23417</v>
      </c>
      <c r="C5711" s="1">
        <v>2006.0</v>
      </c>
      <c r="D5711" s="2">
        <v>38718.0</v>
      </c>
      <c r="F5711" s="1" t="s">
        <v>1137</v>
      </c>
      <c r="H5711" s="3">
        <v>23.0</v>
      </c>
      <c r="I5711" s="4" t="s">
        <v>23418</v>
      </c>
      <c r="J5711" s="1" t="s">
        <v>23419</v>
      </c>
      <c r="K5711" s="1" t="s">
        <v>383</v>
      </c>
    </row>
    <row r="5712">
      <c r="A5712" s="1" t="s">
        <v>23420</v>
      </c>
      <c r="B5712" s="1" t="s">
        <v>23421</v>
      </c>
      <c r="C5712" s="1">
        <v>2006.0</v>
      </c>
      <c r="D5712" s="2">
        <v>38718.0</v>
      </c>
      <c r="F5712" s="1" t="s">
        <v>12638</v>
      </c>
      <c r="H5712" s="3">
        <v>552.0</v>
      </c>
      <c r="I5712" s="4" t="s">
        <v>23422</v>
      </c>
      <c r="J5712" s="1" t="s">
        <v>23423</v>
      </c>
      <c r="K5712" s="1" t="s">
        <v>413</v>
      </c>
    </row>
    <row r="5713">
      <c r="A5713" s="1" t="s">
        <v>23424</v>
      </c>
      <c r="B5713" s="1" t="s">
        <v>23425</v>
      </c>
      <c r="C5713" s="1">
        <v>2005.0</v>
      </c>
      <c r="D5713" s="2">
        <v>38707.0</v>
      </c>
      <c r="F5713" s="1" t="s">
        <v>2191</v>
      </c>
      <c r="H5713" s="3">
        <v>95.0</v>
      </c>
      <c r="I5713" s="4" t="s">
        <v>23426</v>
      </c>
      <c r="J5713" s="1" t="s">
        <v>23427</v>
      </c>
      <c r="K5713" s="1" t="s">
        <v>295</v>
      </c>
    </row>
    <row r="5714">
      <c r="A5714" s="1" t="s">
        <v>23428</v>
      </c>
      <c r="B5714" s="1" t="s">
        <v>22611</v>
      </c>
      <c r="C5714" s="1">
        <v>2005.0</v>
      </c>
      <c r="D5714" s="2">
        <v>38703.0</v>
      </c>
      <c r="F5714" s="1" t="s">
        <v>1050</v>
      </c>
      <c r="H5714" s="3">
        <v>0.0</v>
      </c>
      <c r="I5714" s="4" t="s">
        <v>23429</v>
      </c>
      <c r="J5714" s="1" t="s">
        <v>23430</v>
      </c>
      <c r="K5714" s="1" t="s">
        <v>68</v>
      </c>
    </row>
    <row r="5715">
      <c r="A5715" s="1" t="s">
        <v>23431</v>
      </c>
      <c r="B5715" s="1" t="s">
        <v>23432</v>
      </c>
      <c r="C5715" s="1">
        <v>2005.0</v>
      </c>
      <c r="D5715" s="2">
        <v>38687.0</v>
      </c>
      <c r="F5715" s="1" t="s">
        <v>337</v>
      </c>
      <c r="H5715" s="3">
        <v>62.0</v>
      </c>
      <c r="I5715" s="4" t="s">
        <v>23433</v>
      </c>
      <c r="J5715" s="1" t="s">
        <v>23434</v>
      </c>
      <c r="K5715" s="1" t="s">
        <v>383</v>
      </c>
    </row>
    <row r="5716">
      <c r="A5716" s="1" t="s">
        <v>23435</v>
      </c>
      <c r="B5716" s="1" t="s">
        <v>23436</v>
      </c>
      <c r="C5716" s="1">
        <v>2005.0</v>
      </c>
      <c r="D5716" s="2">
        <v>38687.0</v>
      </c>
      <c r="F5716" s="1" t="s">
        <v>22974</v>
      </c>
      <c r="H5716" s="3">
        <v>7.0</v>
      </c>
      <c r="I5716" s="4" t="s">
        <v>23437</v>
      </c>
      <c r="J5716" s="1" t="s">
        <v>23438</v>
      </c>
      <c r="K5716" s="1" t="s">
        <v>295</v>
      </c>
    </row>
    <row r="5717">
      <c r="A5717" s="1" t="s">
        <v>23439</v>
      </c>
      <c r="B5717" s="1" t="s">
        <v>23440</v>
      </c>
      <c r="C5717" s="1">
        <v>2005.0</v>
      </c>
      <c r="D5717" s="2">
        <v>38687.0</v>
      </c>
      <c r="F5717" s="1" t="s">
        <v>15512</v>
      </c>
      <c r="H5717" s="3">
        <v>49.0</v>
      </c>
      <c r="I5717" s="4" t="s">
        <v>23441</v>
      </c>
      <c r="J5717" s="1" t="s">
        <v>23442</v>
      </c>
      <c r="K5717" s="1" t="s">
        <v>317</v>
      </c>
    </row>
    <row r="5718">
      <c r="A5718" s="1" t="s">
        <v>23443</v>
      </c>
      <c r="B5718" s="1" t="s">
        <v>23444</v>
      </c>
      <c r="C5718" s="1">
        <v>2005.0</v>
      </c>
      <c r="D5718" s="2">
        <v>38687.0</v>
      </c>
      <c r="F5718" s="1" t="s">
        <v>396</v>
      </c>
      <c r="H5718" s="3">
        <v>150.0</v>
      </c>
      <c r="I5718" s="4" t="s">
        <v>23445</v>
      </c>
      <c r="J5718" s="1" t="s">
        <v>23446</v>
      </c>
      <c r="K5718" s="1" t="s">
        <v>329</v>
      </c>
    </row>
    <row r="5719">
      <c r="A5719" s="1" t="s">
        <v>23447</v>
      </c>
      <c r="B5719" s="1" t="s">
        <v>23448</v>
      </c>
      <c r="C5719" s="1">
        <v>2005.0</v>
      </c>
      <c r="D5719" s="2">
        <v>38679.0</v>
      </c>
      <c r="F5719" s="1" t="s">
        <v>1277</v>
      </c>
      <c r="H5719" s="3">
        <v>17.0</v>
      </c>
      <c r="I5719" s="4" t="s">
        <v>23449</v>
      </c>
      <c r="J5719" s="1" t="s">
        <v>23450</v>
      </c>
      <c r="K5719" s="1" t="s">
        <v>28</v>
      </c>
    </row>
    <row r="5720">
      <c r="A5720" s="1" t="s">
        <v>23451</v>
      </c>
      <c r="B5720" s="1" t="s">
        <v>23452</v>
      </c>
      <c r="C5720" s="1">
        <v>2005.0</v>
      </c>
      <c r="D5720" s="2">
        <v>38677.0</v>
      </c>
      <c r="F5720" s="1" t="s">
        <v>16385</v>
      </c>
      <c r="H5720" s="3">
        <v>14.0</v>
      </c>
      <c r="I5720" s="4" t="s">
        <v>23453</v>
      </c>
      <c r="J5720" s="1" t="s">
        <v>23454</v>
      </c>
      <c r="K5720" s="1" t="s">
        <v>1036</v>
      </c>
    </row>
    <row r="5721">
      <c r="A5721" s="1" t="s">
        <v>23455</v>
      </c>
      <c r="B5721" s="1" t="s">
        <v>23456</v>
      </c>
      <c r="C5721" s="1">
        <v>2005.0</v>
      </c>
      <c r="D5721" s="2">
        <v>38657.0</v>
      </c>
      <c r="F5721" s="1" t="s">
        <v>3463</v>
      </c>
      <c r="H5721" s="3">
        <v>91.0</v>
      </c>
      <c r="I5721" s="4" t="s">
        <v>23457</v>
      </c>
      <c r="J5721" s="1" t="s">
        <v>23458</v>
      </c>
      <c r="K5721" s="1" t="s">
        <v>443</v>
      </c>
    </row>
    <row r="5722">
      <c r="A5722" s="1" t="s">
        <v>23459</v>
      </c>
      <c r="B5722" s="1" t="s">
        <v>23460</v>
      </c>
      <c r="C5722" s="1">
        <v>2005.0</v>
      </c>
      <c r="D5722" s="2">
        <v>38657.0</v>
      </c>
      <c r="F5722" s="1" t="s">
        <v>3463</v>
      </c>
      <c r="H5722" s="3">
        <v>32.0</v>
      </c>
      <c r="I5722" s="4" t="s">
        <v>23461</v>
      </c>
      <c r="J5722" s="1" t="s">
        <v>23462</v>
      </c>
      <c r="K5722" s="1" t="s">
        <v>443</v>
      </c>
    </row>
    <row r="5723">
      <c r="A5723" s="1" t="s">
        <v>23463</v>
      </c>
      <c r="B5723" s="1" t="s">
        <v>23464</v>
      </c>
      <c r="C5723" s="1">
        <v>2005.0</v>
      </c>
      <c r="D5723" s="2">
        <v>38641.0</v>
      </c>
      <c r="F5723" s="1" t="s">
        <v>656</v>
      </c>
      <c r="H5723" s="3">
        <v>18.0</v>
      </c>
      <c r="I5723" s="4" t="s">
        <v>23465</v>
      </c>
      <c r="J5723" s="1" t="s">
        <v>23466</v>
      </c>
      <c r="K5723" s="1" t="s">
        <v>413</v>
      </c>
    </row>
    <row r="5724">
      <c r="A5724" s="1" t="s">
        <v>23467</v>
      </c>
      <c r="B5724" s="1" t="s">
        <v>23421</v>
      </c>
      <c r="C5724" s="1">
        <v>2005.0</v>
      </c>
      <c r="D5724" s="2">
        <v>38638.0</v>
      </c>
      <c r="F5724" s="1" t="s">
        <v>208</v>
      </c>
      <c r="H5724" s="3">
        <v>18.0</v>
      </c>
      <c r="I5724" s="4" t="s">
        <v>23468</v>
      </c>
      <c r="J5724" s="1" t="s">
        <v>23469</v>
      </c>
      <c r="K5724" s="1" t="s">
        <v>413</v>
      </c>
    </row>
    <row r="5725">
      <c r="A5725" s="1" t="s">
        <v>23470</v>
      </c>
      <c r="B5725" s="1" t="s">
        <v>23471</v>
      </c>
      <c r="C5725" s="1">
        <v>2005.0</v>
      </c>
      <c r="D5725" s="2">
        <v>38626.0</v>
      </c>
      <c r="F5725" s="1" t="s">
        <v>163</v>
      </c>
      <c r="H5725" s="3">
        <v>15.0</v>
      </c>
      <c r="I5725" s="4" t="s">
        <v>23472</v>
      </c>
      <c r="J5725" s="1" t="s">
        <v>23473</v>
      </c>
      <c r="K5725" s="1" t="s">
        <v>1036</v>
      </c>
    </row>
    <row r="5726">
      <c r="A5726" s="1" t="s">
        <v>23474</v>
      </c>
      <c r="B5726" s="1" t="s">
        <v>23475</v>
      </c>
      <c r="C5726" s="1">
        <v>2005.0</v>
      </c>
      <c r="D5726" s="2">
        <v>38626.0</v>
      </c>
      <c r="F5726" s="1" t="s">
        <v>2693</v>
      </c>
      <c r="H5726" s="3">
        <v>57.0</v>
      </c>
      <c r="I5726" s="4" t="s">
        <v>23476</v>
      </c>
      <c r="J5726" s="1" t="s">
        <v>23477</v>
      </c>
      <c r="K5726" s="1" t="s">
        <v>68</v>
      </c>
    </row>
    <row r="5727">
      <c r="A5727" s="1" t="s">
        <v>23478</v>
      </c>
      <c r="B5727" s="1" t="s">
        <v>23479</v>
      </c>
      <c r="C5727" s="1">
        <v>2005.0</v>
      </c>
      <c r="D5727" s="2">
        <v>38625.0</v>
      </c>
      <c r="F5727" s="1" t="s">
        <v>308</v>
      </c>
      <c r="H5727" s="3">
        <v>3.0</v>
      </c>
      <c r="I5727" s="4" t="s">
        <v>23480</v>
      </c>
      <c r="J5727" s="1" t="s">
        <v>23481</v>
      </c>
      <c r="K5727" s="1" t="s">
        <v>68</v>
      </c>
    </row>
    <row r="5728">
      <c r="A5728" s="1" t="s">
        <v>23482</v>
      </c>
      <c r="B5728" s="1" t="s">
        <v>23483</v>
      </c>
      <c r="C5728" s="1">
        <v>2005.0</v>
      </c>
      <c r="D5728" s="2">
        <v>38624.0</v>
      </c>
      <c r="F5728" s="1" t="s">
        <v>656</v>
      </c>
      <c r="H5728" s="3">
        <v>12.0</v>
      </c>
      <c r="I5728" s="4" t="s">
        <v>23484</v>
      </c>
      <c r="J5728" s="1" t="s">
        <v>23485</v>
      </c>
      <c r="K5728" s="1" t="s">
        <v>443</v>
      </c>
    </row>
    <row r="5729">
      <c r="A5729" s="1" t="s">
        <v>23486</v>
      </c>
      <c r="B5729" s="1" t="s">
        <v>23088</v>
      </c>
      <c r="C5729" s="1">
        <v>2005.0</v>
      </c>
      <c r="D5729" s="2">
        <v>38621.0</v>
      </c>
      <c r="F5729" s="1" t="s">
        <v>396</v>
      </c>
      <c r="H5729" s="3">
        <v>22.0</v>
      </c>
      <c r="I5729" s="4" t="s">
        <v>23487</v>
      </c>
      <c r="J5729" s="1"/>
      <c r="K5729" s="1" t="s">
        <v>443</v>
      </c>
    </row>
    <row r="5730">
      <c r="A5730" s="1" t="s">
        <v>23488</v>
      </c>
      <c r="B5730" s="1" t="s">
        <v>23489</v>
      </c>
      <c r="C5730" s="1">
        <v>2005.0</v>
      </c>
      <c r="D5730" s="2">
        <v>38610.0</v>
      </c>
      <c r="F5730" s="1" t="s">
        <v>1777</v>
      </c>
      <c r="H5730" s="3">
        <v>14.0</v>
      </c>
      <c r="I5730" s="4" t="s">
        <v>23490</v>
      </c>
      <c r="J5730" s="1" t="s">
        <v>23491</v>
      </c>
      <c r="K5730" s="1" t="s">
        <v>1036</v>
      </c>
    </row>
    <row r="5731">
      <c r="A5731" s="1" t="s">
        <v>23492</v>
      </c>
      <c r="B5731" s="1" t="s">
        <v>23493</v>
      </c>
      <c r="C5731" s="1">
        <v>2005.0</v>
      </c>
      <c r="D5731" s="2">
        <v>38604.0</v>
      </c>
      <c r="F5731" s="1" t="s">
        <v>519</v>
      </c>
      <c r="H5731" s="3">
        <v>87.0</v>
      </c>
      <c r="I5731" s="4" t="s">
        <v>23494</v>
      </c>
      <c r="J5731" s="1" t="s">
        <v>23495</v>
      </c>
      <c r="K5731" s="1" t="s">
        <v>68</v>
      </c>
    </row>
    <row r="5732">
      <c r="A5732" s="1" t="s">
        <v>23496</v>
      </c>
      <c r="B5732" s="1" t="s">
        <v>23497</v>
      </c>
      <c r="C5732" s="1">
        <v>2005.0</v>
      </c>
      <c r="D5732" s="2">
        <v>38581.0</v>
      </c>
      <c r="F5732" s="1" t="s">
        <v>25</v>
      </c>
      <c r="H5732" s="3">
        <v>160.0</v>
      </c>
      <c r="I5732" s="4" t="s">
        <v>23498</v>
      </c>
      <c r="J5732" s="1" t="s">
        <v>23499</v>
      </c>
      <c r="K5732" s="1" t="s">
        <v>418</v>
      </c>
    </row>
    <row r="5733">
      <c r="A5733" s="1" t="s">
        <v>23500</v>
      </c>
      <c r="B5733" s="1" t="s">
        <v>23501</v>
      </c>
      <c r="C5733" s="1">
        <v>2005.0</v>
      </c>
      <c r="D5733" s="2">
        <v>38581.0</v>
      </c>
      <c r="F5733" s="1" t="s">
        <v>4848</v>
      </c>
      <c r="H5733" s="3">
        <v>35.0</v>
      </c>
      <c r="I5733" s="4" t="s">
        <v>23502</v>
      </c>
      <c r="J5733" s="1" t="s">
        <v>23503</v>
      </c>
      <c r="K5733" s="1" t="s">
        <v>68</v>
      </c>
    </row>
    <row r="5734">
      <c r="A5734" s="1" t="s">
        <v>23504</v>
      </c>
      <c r="B5734" s="1" t="s">
        <v>23505</v>
      </c>
      <c r="C5734" s="1">
        <v>2005.0</v>
      </c>
      <c r="D5734" s="2">
        <v>38573.0</v>
      </c>
      <c r="F5734" s="1" t="s">
        <v>2007</v>
      </c>
      <c r="H5734" s="3">
        <v>202.0</v>
      </c>
      <c r="I5734" s="4" t="s">
        <v>23506</v>
      </c>
      <c r="J5734" s="1" t="s">
        <v>23507</v>
      </c>
      <c r="K5734" s="1" t="s">
        <v>16</v>
      </c>
    </row>
    <row r="5735">
      <c r="A5735" s="1" t="s">
        <v>23508</v>
      </c>
      <c r="B5735" s="1" t="s">
        <v>23509</v>
      </c>
      <c r="C5735" s="1">
        <v>2005.0</v>
      </c>
      <c r="D5735" s="2">
        <v>38565.0</v>
      </c>
      <c r="F5735" s="1" t="s">
        <v>15512</v>
      </c>
      <c r="H5735" s="3">
        <v>22.0</v>
      </c>
      <c r="I5735" s="4" t="s">
        <v>23510</v>
      </c>
      <c r="J5735" s="1" t="s">
        <v>23511</v>
      </c>
      <c r="K5735" s="1" t="s">
        <v>443</v>
      </c>
    </row>
    <row r="5736">
      <c r="A5736" s="1" t="s">
        <v>23512</v>
      </c>
      <c r="B5736" s="1" t="s">
        <v>23513</v>
      </c>
      <c r="C5736" s="1">
        <v>2005.0</v>
      </c>
      <c r="D5736" s="2">
        <v>38565.0</v>
      </c>
      <c r="F5736" s="1" t="s">
        <v>15114</v>
      </c>
      <c r="H5736" s="3">
        <v>18.0</v>
      </c>
      <c r="I5736" s="4" t="s">
        <v>23514</v>
      </c>
      <c r="J5736" s="1" t="s">
        <v>23515</v>
      </c>
      <c r="K5736" s="1" t="s">
        <v>926</v>
      </c>
    </row>
    <row r="5737">
      <c r="A5737" s="1" t="s">
        <v>23516</v>
      </c>
      <c r="B5737" s="1" t="s">
        <v>23517</v>
      </c>
      <c r="C5737" s="1">
        <v>2005.0</v>
      </c>
      <c r="D5737" s="2">
        <v>38565.0</v>
      </c>
      <c r="F5737" s="1" t="s">
        <v>3463</v>
      </c>
      <c r="H5737" s="3">
        <v>40.0</v>
      </c>
      <c r="I5737" s="4" t="s">
        <v>23518</v>
      </c>
      <c r="J5737" s="1" t="s">
        <v>23519</v>
      </c>
      <c r="K5737" s="1" t="s">
        <v>443</v>
      </c>
    </row>
    <row r="5738">
      <c r="A5738" s="1" t="s">
        <v>23520</v>
      </c>
      <c r="B5738" s="1" t="s">
        <v>23521</v>
      </c>
      <c r="C5738" s="1">
        <v>2005.0</v>
      </c>
      <c r="D5738" s="2">
        <v>38565.0</v>
      </c>
      <c r="F5738" s="1" t="s">
        <v>22974</v>
      </c>
      <c r="H5738" s="3">
        <v>6.0</v>
      </c>
      <c r="I5738" s="4" t="s">
        <v>23522</v>
      </c>
      <c r="J5738" s="1" t="s">
        <v>23523</v>
      </c>
      <c r="K5738" s="1" t="s">
        <v>926</v>
      </c>
    </row>
    <row r="5739">
      <c r="A5739" s="1" t="s">
        <v>23524</v>
      </c>
      <c r="B5739" s="1" t="s">
        <v>23493</v>
      </c>
      <c r="C5739" s="1">
        <v>2005.0</v>
      </c>
      <c r="D5739" s="2">
        <v>38553.0</v>
      </c>
      <c r="F5739" s="1" t="s">
        <v>519</v>
      </c>
      <c r="H5739" s="3">
        <v>53.0</v>
      </c>
      <c r="I5739" s="4" t="s">
        <v>23525</v>
      </c>
      <c r="J5739" s="1" t="s">
        <v>23526</v>
      </c>
      <c r="K5739" s="1" t="s">
        <v>68</v>
      </c>
    </row>
    <row r="5740">
      <c r="A5740" s="1" t="s">
        <v>23527</v>
      </c>
      <c r="B5740" s="1" t="s">
        <v>23528</v>
      </c>
      <c r="C5740" s="1">
        <v>2005.0</v>
      </c>
      <c r="D5740" s="2">
        <v>38552.0</v>
      </c>
      <c r="F5740" s="1" t="s">
        <v>3569</v>
      </c>
      <c r="H5740" s="3">
        <v>97.0</v>
      </c>
      <c r="I5740" s="4" t="s">
        <v>23529</v>
      </c>
      <c r="J5740" s="1" t="s">
        <v>23530</v>
      </c>
      <c r="K5740" s="1" t="s">
        <v>28</v>
      </c>
    </row>
    <row r="5741">
      <c r="A5741" s="1" t="s">
        <v>23531</v>
      </c>
      <c r="B5741" s="1" t="s">
        <v>23532</v>
      </c>
      <c r="C5741" s="1">
        <v>2005.0</v>
      </c>
      <c r="D5741" s="2">
        <v>38549.0</v>
      </c>
      <c r="F5741" s="1" t="s">
        <v>396</v>
      </c>
      <c r="H5741" s="3">
        <v>68.0</v>
      </c>
      <c r="I5741" s="4" t="s">
        <v>23533</v>
      </c>
      <c r="J5741" s="1"/>
      <c r="K5741" s="1" t="s">
        <v>68</v>
      </c>
    </row>
    <row r="5742">
      <c r="A5742" s="1" t="s">
        <v>23534</v>
      </c>
      <c r="B5742" s="1" t="s">
        <v>23535</v>
      </c>
      <c r="C5742" s="1">
        <v>2005.0</v>
      </c>
      <c r="D5742" s="2">
        <v>38548.0</v>
      </c>
      <c r="F5742" s="1" t="s">
        <v>799</v>
      </c>
      <c r="H5742" s="3">
        <v>71.0</v>
      </c>
      <c r="I5742" s="4" t="s">
        <v>23536</v>
      </c>
      <c r="J5742" s="1" t="s">
        <v>23537</v>
      </c>
      <c r="K5742" s="1" t="s">
        <v>413</v>
      </c>
    </row>
    <row r="5743">
      <c r="A5743" s="1" t="s">
        <v>23538</v>
      </c>
      <c r="B5743" s="1" t="s">
        <v>23539</v>
      </c>
      <c r="C5743" s="1">
        <v>2005.0</v>
      </c>
      <c r="D5743" s="2">
        <v>38541.0</v>
      </c>
      <c r="F5743" s="1" t="s">
        <v>4848</v>
      </c>
      <c r="H5743" s="3">
        <v>18.0</v>
      </c>
      <c r="I5743" s="4" t="s">
        <v>23540</v>
      </c>
      <c r="J5743" s="1" t="s">
        <v>23541</v>
      </c>
      <c r="K5743" s="1" t="s">
        <v>477</v>
      </c>
    </row>
    <row r="5744">
      <c r="A5744" s="1" t="s">
        <v>23542</v>
      </c>
      <c r="B5744" s="1" t="s">
        <v>23543</v>
      </c>
      <c r="C5744" s="1">
        <v>2005.0</v>
      </c>
      <c r="D5744" s="2">
        <v>38540.0</v>
      </c>
      <c r="F5744" s="1" t="s">
        <v>1277</v>
      </c>
      <c r="H5744" s="3">
        <v>67.0</v>
      </c>
      <c r="I5744" s="4" t="s">
        <v>23544</v>
      </c>
      <c r="J5744" s="1" t="s">
        <v>23545</v>
      </c>
      <c r="K5744" s="1" t="s">
        <v>383</v>
      </c>
    </row>
    <row r="5745">
      <c r="A5745" s="1" t="s">
        <v>23546</v>
      </c>
      <c r="B5745" s="1" t="s">
        <v>23547</v>
      </c>
      <c r="C5745" s="1">
        <v>2005.0</v>
      </c>
      <c r="D5745" s="2">
        <v>38534.0</v>
      </c>
      <c r="F5745" s="1" t="s">
        <v>4124</v>
      </c>
      <c r="H5745" s="3">
        <v>313.0</v>
      </c>
      <c r="I5745" s="4" t="s">
        <v>23548</v>
      </c>
      <c r="J5745" s="1" t="s">
        <v>23549</v>
      </c>
      <c r="K5745" s="1" t="s">
        <v>295</v>
      </c>
    </row>
    <row r="5746">
      <c r="A5746" s="1" t="s">
        <v>23550</v>
      </c>
      <c r="B5746" s="1" t="s">
        <v>23551</v>
      </c>
      <c r="C5746" s="1">
        <v>2005.0</v>
      </c>
      <c r="D5746" s="2">
        <v>38534.0</v>
      </c>
      <c r="F5746" s="1" t="s">
        <v>6188</v>
      </c>
      <c r="H5746" s="3">
        <v>77.0</v>
      </c>
      <c r="I5746" s="4" t="s">
        <v>23552</v>
      </c>
      <c r="J5746" s="1" t="s">
        <v>23553</v>
      </c>
      <c r="K5746" s="1" t="s">
        <v>28</v>
      </c>
    </row>
    <row r="5747">
      <c r="A5747" s="1" t="s">
        <v>23554</v>
      </c>
      <c r="B5747" s="1" t="s">
        <v>23396</v>
      </c>
      <c r="C5747" s="1">
        <v>2005.0</v>
      </c>
      <c r="D5747" s="2">
        <v>38534.0</v>
      </c>
      <c r="F5747" s="1" t="s">
        <v>1777</v>
      </c>
      <c r="H5747" s="3">
        <v>29.0</v>
      </c>
      <c r="I5747" s="4" t="s">
        <v>23555</v>
      </c>
      <c r="J5747" s="1" t="s">
        <v>23556</v>
      </c>
      <c r="K5747" s="1" t="s">
        <v>443</v>
      </c>
    </row>
    <row r="5748">
      <c r="A5748" s="1" t="s">
        <v>23557</v>
      </c>
      <c r="B5748" s="1" t="s">
        <v>23558</v>
      </c>
      <c r="C5748" s="1">
        <v>2005.0</v>
      </c>
      <c r="D5748" s="2">
        <v>38524.0</v>
      </c>
      <c r="F5748" s="1" t="s">
        <v>8818</v>
      </c>
      <c r="H5748" s="3">
        <v>133.0</v>
      </c>
      <c r="I5748" s="4" t="s">
        <v>23559</v>
      </c>
      <c r="J5748" s="1" t="s">
        <v>23560</v>
      </c>
      <c r="K5748" s="1" t="s">
        <v>295</v>
      </c>
    </row>
    <row r="5749">
      <c r="A5749" s="1" t="s">
        <v>23561</v>
      </c>
      <c r="B5749" s="1" t="s">
        <v>23562</v>
      </c>
      <c r="C5749" s="1">
        <v>2005.0</v>
      </c>
      <c r="D5749" s="2">
        <v>38520.0</v>
      </c>
      <c r="F5749" s="1" t="s">
        <v>4848</v>
      </c>
      <c r="H5749" s="3">
        <v>34.0</v>
      </c>
      <c r="I5749" s="4" t="s">
        <v>23563</v>
      </c>
      <c r="J5749" s="1" t="s">
        <v>23564</v>
      </c>
      <c r="K5749" s="1" t="s">
        <v>323</v>
      </c>
    </row>
    <row r="5750">
      <c r="A5750" s="1" t="s">
        <v>23565</v>
      </c>
      <c r="B5750" s="1" t="s">
        <v>23566</v>
      </c>
      <c r="C5750" s="1">
        <v>2005.0</v>
      </c>
      <c r="D5750" s="2">
        <v>38519.0</v>
      </c>
      <c r="F5750" s="1" t="s">
        <v>519</v>
      </c>
      <c r="H5750" s="3">
        <v>9.0</v>
      </c>
      <c r="I5750" s="4" t="s">
        <v>23567</v>
      </c>
      <c r="J5750" s="1" t="s">
        <v>23568</v>
      </c>
      <c r="K5750" s="1" t="s">
        <v>68</v>
      </c>
    </row>
    <row r="5751">
      <c r="A5751" s="1" t="s">
        <v>23569</v>
      </c>
      <c r="B5751" s="1" t="s">
        <v>23570</v>
      </c>
      <c r="C5751" s="1">
        <v>2005.0</v>
      </c>
      <c r="D5751" s="2">
        <v>38519.0</v>
      </c>
      <c r="F5751" s="1" t="s">
        <v>440</v>
      </c>
      <c r="H5751" s="3">
        <v>707.0</v>
      </c>
      <c r="I5751" s="4" t="s">
        <v>23571</v>
      </c>
      <c r="J5751" s="1" t="s">
        <v>23572</v>
      </c>
      <c r="K5751" s="1" t="s">
        <v>413</v>
      </c>
    </row>
    <row r="5752">
      <c r="A5752" s="1" t="s">
        <v>23573</v>
      </c>
      <c r="B5752" s="1" t="s">
        <v>23574</v>
      </c>
      <c r="C5752" s="1">
        <v>2005.0</v>
      </c>
      <c r="D5752" s="2">
        <v>38505.0</v>
      </c>
      <c r="F5752" s="1" t="s">
        <v>4980</v>
      </c>
      <c r="H5752" s="3">
        <v>48.0</v>
      </c>
      <c r="I5752" s="4" t="s">
        <v>23575</v>
      </c>
      <c r="J5752" s="1" t="s">
        <v>23576</v>
      </c>
      <c r="K5752" s="1" t="s">
        <v>443</v>
      </c>
    </row>
    <row r="5753">
      <c r="A5753" s="1" t="s">
        <v>23577</v>
      </c>
      <c r="B5753" s="1" t="s">
        <v>23578</v>
      </c>
      <c r="C5753" s="1">
        <v>2005.0</v>
      </c>
      <c r="D5753" s="2">
        <v>38504.0</v>
      </c>
      <c r="F5753" s="1" t="s">
        <v>21188</v>
      </c>
      <c r="H5753" s="3">
        <v>29.0</v>
      </c>
      <c r="I5753" s="4" t="s">
        <v>23579</v>
      </c>
      <c r="J5753" s="1" t="s">
        <v>23580</v>
      </c>
      <c r="K5753" s="1" t="s">
        <v>1036</v>
      </c>
    </row>
    <row r="5754">
      <c r="A5754" s="1" t="s">
        <v>23581</v>
      </c>
      <c r="B5754" s="1" t="s">
        <v>23582</v>
      </c>
      <c r="C5754" s="1">
        <v>2005.0</v>
      </c>
      <c r="D5754" s="2">
        <v>38504.0</v>
      </c>
      <c r="F5754" s="1" t="s">
        <v>11421</v>
      </c>
      <c r="H5754" s="3">
        <v>51.0</v>
      </c>
      <c r="I5754" s="4" t="s">
        <v>23583</v>
      </c>
      <c r="J5754" s="1" t="s">
        <v>23584</v>
      </c>
      <c r="K5754" s="1" t="s">
        <v>28</v>
      </c>
    </row>
    <row r="5755">
      <c r="A5755" s="1" t="s">
        <v>23585</v>
      </c>
      <c r="B5755" s="1" t="s">
        <v>23586</v>
      </c>
      <c r="C5755" s="1">
        <v>2005.0</v>
      </c>
      <c r="D5755" s="2">
        <v>38504.0</v>
      </c>
      <c r="F5755" s="1" t="s">
        <v>11421</v>
      </c>
      <c r="H5755" s="3">
        <v>31.0</v>
      </c>
      <c r="I5755" s="4" t="s">
        <v>23587</v>
      </c>
      <c r="J5755" s="1" t="s">
        <v>23588</v>
      </c>
      <c r="K5755" s="1" t="s">
        <v>28</v>
      </c>
    </row>
    <row r="5756">
      <c r="A5756" s="1" t="s">
        <v>23589</v>
      </c>
      <c r="B5756" s="1" t="s">
        <v>23590</v>
      </c>
      <c r="C5756" s="1">
        <v>2005.0</v>
      </c>
      <c r="D5756" s="2">
        <v>38473.0</v>
      </c>
      <c r="F5756" s="1" t="s">
        <v>8420</v>
      </c>
      <c r="H5756" s="3">
        <v>39.0</v>
      </c>
      <c r="I5756" s="4" t="s">
        <v>23591</v>
      </c>
      <c r="J5756" s="1" t="s">
        <v>23592</v>
      </c>
      <c r="K5756" s="1" t="s">
        <v>16</v>
      </c>
    </row>
    <row r="5757">
      <c r="A5757" s="1" t="s">
        <v>23593</v>
      </c>
      <c r="B5757" s="1" t="s">
        <v>22905</v>
      </c>
      <c r="C5757" s="1">
        <v>2005.0</v>
      </c>
      <c r="D5757" s="2">
        <v>38471.0</v>
      </c>
      <c r="F5757" s="1" t="s">
        <v>489</v>
      </c>
      <c r="H5757" s="3">
        <v>7.0</v>
      </c>
      <c r="I5757" s="4" t="s">
        <v>23594</v>
      </c>
      <c r="J5757" s="1" t="s">
        <v>23595</v>
      </c>
      <c r="K5757" s="1" t="s">
        <v>443</v>
      </c>
    </row>
    <row r="5758">
      <c r="A5758" s="1" t="s">
        <v>23596</v>
      </c>
      <c r="B5758" s="1" t="s">
        <v>23597</v>
      </c>
      <c r="C5758" s="1">
        <v>2005.0</v>
      </c>
      <c r="D5758" s="2">
        <v>38470.0</v>
      </c>
      <c r="F5758" s="1" t="s">
        <v>1366</v>
      </c>
      <c r="H5758" s="3">
        <v>299.0</v>
      </c>
      <c r="I5758" s="4" t="s">
        <v>23598</v>
      </c>
      <c r="J5758" s="1" t="s">
        <v>23599</v>
      </c>
      <c r="K5758" s="1" t="s">
        <v>1036</v>
      </c>
    </row>
    <row r="5759">
      <c r="A5759" s="1" t="s">
        <v>23600</v>
      </c>
      <c r="B5759" s="1" t="s">
        <v>23601</v>
      </c>
      <c r="C5759" s="1">
        <v>2005.0</v>
      </c>
      <c r="D5759" s="2">
        <v>38470.0</v>
      </c>
      <c r="F5759" s="1" t="s">
        <v>1366</v>
      </c>
      <c r="H5759" s="3">
        <v>47.0</v>
      </c>
      <c r="I5759" s="4" t="s">
        <v>23602</v>
      </c>
      <c r="J5759" s="1" t="s">
        <v>23603</v>
      </c>
      <c r="K5759" s="1" t="s">
        <v>16</v>
      </c>
    </row>
    <row r="5760">
      <c r="A5760" s="1" t="s">
        <v>23604</v>
      </c>
      <c r="B5760" s="1" t="s">
        <v>23605</v>
      </c>
      <c r="C5760" s="1">
        <v>2005.0</v>
      </c>
      <c r="D5760" s="2">
        <v>38467.0</v>
      </c>
      <c r="F5760" s="1" t="s">
        <v>136</v>
      </c>
      <c r="H5760" s="3">
        <v>26.0</v>
      </c>
      <c r="I5760" s="4" t="s">
        <v>23606</v>
      </c>
      <c r="J5760" s="1" t="s">
        <v>23607</v>
      </c>
      <c r="K5760" s="1" t="s">
        <v>383</v>
      </c>
    </row>
    <row r="5761">
      <c r="A5761" s="1" t="s">
        <v>23608</v>
      </c>
      <c r="B5761" s="1" t="s">
        <v>23609</v>
      </c>
      <c r="C5761" s="1">
        <v>2005.0</v>
      </c>
      <c r="D5761" s="2">
        <v>38463.0</v>
      </c>
      <c r="F5761" s="1" t="s">
        <v>1777</v>
      </c>
      <c r="H5761" s="3">
        <v>79.0</v>
      </c>
      <c r="I5761" s="4" t="s">
        <v>23610</v>
      </c>
      <c r="J5761" s="1" t="s">
        <v>23611</v>
      </c>
      <c r="K5761" s="1" t="s">
        <v>383</v>
      </c>
    </row>
    <row r="5762">
      <c r="A5762" s="1" t="s">
        <v>23612</v>
      </c>
      <c r="B5762" s="1" t="s">
        <v>23566</v>
      </c>
      <c r="C5762" s="1">
        <v>2005.0</v>
      </c>
      <c r="D5762" s="2">
        <v>38463.0</v>
      </c>
      <c r="F5762" s="1" t="s">
        <v>2693</v>
      </c>
      <c r="H5762" s="3">
        <v>6.0</v>
      </c>
      <c r="I5762" s="4" t="s">
        <v>23613</v>
      </c>
      <c r="J5762" s="1" t="s">
        <v>23614</v>
      </c>
      <c r="K5762" s="1" t="s">
        <v>68</v>
      </c>
    </row>
    <row r="5763">
      <c r="A5763" s="1" t="s">
        <v>23615</v>
      </c>
      <c r="B5763" s="1" t="s">
        <v>23616</v>
      </c>
      <c r="C5763" s="1">
        <v>2005.0</v>
      </c>
      <c r="D5763" s="2">
        <v>38455.0</v>
      </c>
      <c r="F5763" s="1" t="s">
        <v>1777</v>
      </c>
      <c r="H5763" s="3">
        <v>49.0</v>
      </c>
      <c r="I5763" s="4" t="s">
        <v>23617</v>
      </c>
      <c r="J5763" s="1" t="s">
        <v>23618</v>
      </c>
      <c r="K5763" s="1" t="s">
        <v>295</v>
      </c>
    </row>
    <row r="5764">
      <c r="A5764" s="1" t="s">
        <v>23619</v>
      </c>
      <c r="B5764" s="1" t="s">
        <v>23620</v>
      </c>
      <c r="C5764" s="1">
        <v>2005.0</v>
      </c>
      <c r="D5764" s="2">
        <v>38453.0</v>
      </c>
      <c r="F5764" s="1" t="s">
        <v>1366</v>
      </c>
      <c r="H5764" s="3">
        <v>97.0</v>
      </c>
      <c r="I5764" s="4" t="s">
        <v>23621</v>
      </c>
      <c r="J5764" s="1" t="s">
        <v>23622</v>
      </c>
      <c r="K5764" s="1" t="s">
        <v>926</v>
      </c>
    </row>
    <row r="5765">
      <c r="A5765" s="1" t="s">
        <v>23623</v>
      </c>
      <c r="B5765" s="1" t="s">
        <v>23440</v>
      </c>
      <c r="C5765" s="1">
        <v>2005.0</v>
      </c>
      <c r="D5765" s="2">
        <v>38443.0</v>
      </c>
      <c r="F5765" s="1" t="s">
        <v>3463</v>
      </c>
      <c r="H5765" s="3">
        <v>9.0</v>
      </c>
      <c r="I5765" s="4" t="s">
        <v>23624</v>
      </c>
      <c r="J5765" s="1" t="s">
        <v>23625</v>
      </c>
      <c r="K5765" s="1" t="s">
        <v>317</v>
      </c>
    </row>
    <row r="5766">
      <c r="A5766" s="1" t="s">
        <v>23626</v>
      </c>
      <c r="B5766" s="1" t="s">
        <v>23627</v>
      </c>
      <c r="C5766" s="1">
        <v>2005.0</v>
      </c>
      <c r="D5766" s="2">
        <v>38443.0</v>
      </c>
      <c r="F5766" s="1" t="s">
        <v>3463</v>
      </c>
      <c r="H5766" s="3">
        <v>48.0</v>
      </c>
      <c r="I5766" s="4" t="s">
        <v>23628</v>
      </c>
      <c r="J5766" s="1" t="s">
        <v>23629</v>
      </c>
      <c r="K5766" s="1" t="s">
        <v>372</v>
      </c>
    </row>
    <row r="5767">
      <c r="A5767" s="1" t="s">
        <v>23630</v>
      </c>
      <c r="B5767" s="1" t="s">
        <v>23475</v>
      </c>
      <c r="C5767" s="1">
        <v>2005.0</v>
      </c>
      <c r="D5767" s="2">
        <v>38443.0</v>
      </c>
      <c r="F5767" s="1" t="s">
        <v>286</v>
      </c>
      <c r="H5767" s="3">
        <v>33.0</v>
      </c>
      <c r="I5767" s="4" t="s">
        <v>23631</v>
      </c>
      <c r="J5767" s="1" t="s">
        <v>23632</v>
      </c>
      <c r="K5767" s="1" t="s">
        <v>68</v>
      </c>
    </row>
    <row r="5768">
      <c r="A5768" s="1" t="s">
        <v>23633</v>
      </c>
      <c r="B5768" s="1" t="s">
        <v>23634</v>
      </c>
      <c r="C5768" s="1">
        <v>2005.0</v>
      </c>
      <c r="D5768" s="2">
        <v>38443.0</v>
      </c>
      <c r="F5768" s="1" t="s">
        <v>4848</v>
      </c>
      <c r="H5768" s="3">
        <v>40.0</v>
      </c>
      <c r="I5768" s="4" t="s">
        <v>23635</v>
      </c>
      <c r="J5768" s="1" t="s">
        <v>23636</v>
      </c>
      <c r="K5768" s="1" t="s">
        <v>68</v>
      </c>
    </row>
    <row r="5769">
      <c r="A5769" s="1" t="s">
        <v>23637</v>
      </c>
      <c r="B5769" s="1" t="s">
        <v>23638</v>
      </c>
      <c r="C5769" s="1">
        <v>2005.0</v>
      </c>
      <c r="D5769" s="2">
        <v>38419.0</v>
      </c>
      <c r="F5769" s="1" t="s">
        <v>31</v>
      </c>
      <c r="H5769" s="3">
        <v>130.0</v>
      </c>
      <c r="I5769" s="4" t="s">
        <v>23639</v>
      </c>
      <c r="J5769" s="1" t="s">
        <v>23640</v>
      </c>
      <c r="K5769" s="1" t="s">
        <v>16</v>
      </c>
    </row>
    <row r="5770">
      <c r="A5770" s="1" t="s">
        <v>23641</v>
      </c>
      <c r="B5770" s="1" t="s">
        <v>23642</v>
      </c>
      <c r="C5770" s="1">
        <v>2005.0</v>
      </c>
      <c r="D5770" s="2">
        <v>38414.0</v>
      </c>
      <c r="F5770" s="1" t="s">
        <v>1277</v>
      </c>
      <c r="H5770" s="3">
        <v>72.0</v>
      </c>
      <c r="I5770" s="4" t="s">
        <v>23643</v>
      </c>
      <c r="J5770" s="1" t="s">
        <v>23644</v>
      </c>
      <c r="K5770" s="1" t="s">
        <v>443</v>
      </c>
    </row>
    <row r="5771">
      <c r="A5771" s="1" t="s">
        <v>23645</v>
      </c>
      <c r="B5771" s="1" t="s">
        <v>23646</v>
      </c>
      <c r="C5771" s="1">
        <v>2005.0</v>
      </c>
      <c r="D5771" s="2">
        <v>38397.0</v>
      </c>
      <c r="F5771" s="1" t="s">
        <v>21984</v>
      </c>
      <c r="H5771" s="3">
        <v>130.0</v>
      </c>
      <c r="I5771" s="4" t="s">
        <v>23647</v>
      </c>
      <c r="J5771" s="1" t="s">
        <v>23648</v>
      </c>
      <c r="K5771" s="1" t="s">
        <v>413</v>
      </c>
    </row>
    <row r="5772">
      <c r="A5772" s="1" t="s">
        <v>23649</v>
      </c>
      <c r="B5772" s="1" t="s">
        <v>23650</v>
      </c>
      <c r="C5772" s="1">
        <v>2005.0</v>
      </c>
      <c r="D5772" s="2">
        <v>38384.0</v>
      </c>
      <c r="F5772" s="1" t="s">
        <v>21188</v>
      </c>
      <c r="H5772" s="3">
        <v>9.0</v>
      </c>
      <c r="I5772" s="4" t="s">
        <v>23651</v>
      </c>
      <c r="J5772" s="1" t="s">
        <v>23652</v>
      </c>
      <c r="K5772" s="1" t="s">
        <v>383</v>
      </c>
    </row>
    <row r="5773">
      <c r="A5773" s="1" t="s">
        <v>23653</v>
      </c>
      <c r="B5773" s="1" t="s">
        <v>23654</v>
      </c>
      <c r="C5773" s="1">
        <v>2005.0</v>
      </c>
      <c r="D5773" s="2">
        <v>38384.0</v>
      </c>
      <c r="F5773" s="1" t="s">
        <v>2707</v>
      </c>
      <c r="H5773" s="3">
        <v>43.0</v>
      </c>
      <c r="I5773" s="4" t="s">
        <v>23655</v>
      </c>
      <c r="J5773" s="1" t="s">
        <v>23656</v>
      </c>
      <c r="K5773" s="1" t="s">
        <v>443</v>
      </c>
    </row>
    <row r="5774">
      <c r="A5774" s="1" t="s">
        <v>23657</v>
      </c>
      <c r="B5774" s="1" t="s">
        <v>23493</v>
      </c>
      <c r="C5774" s="1">
        <v>2005.0</v>
      </c>
      <c r="D5774" s="2">
        <v>38384.0</v>
      </c>
      <c r="F5774" s="1" t="s">
        <v>1410</v>
      </c>
      <c r="H5774" s="3">
        <v>4.0</v>
      </c>
      <c r="I5774" s="4" t="s">
        <v>23658</v>
      </c>
      <c r="J5774" s="1" t="s">
        <v>23659</v>
      </c>
      <c r="K5774" s="1" t="s">
        <v>68</v>
      </c>
    </row>
    <row r="5775">
      <c r="A5775" s="1" t="s">
        <v>23660</v>
      </c>
      <c r="B5775" s="1" t="s">
        <v>23661</v>
      </c>
      <c r="C5775" s="1">
        <v>2005.0</v>
      </c>
      <c r="D5775" s="2">
        <v>38384.0</v>
      </c>
      <c r="F5775" s="1" t="s">
        <v>1904</v>
      </c>
      <c r="H5775" s="3">
        <v>353.0</v>
      </c>
      <c r="I5775" s="4" t="s">
        <v>23662</v>
      </c>
      <c r="J5775" s="1" t="s">
        <v>23663</v>
      </c>
      <c r="K5775" s="1" t="s">
        <v>16</v>
      </c>
    </row>
    <row r="5776">
      <c r="A5776" s="1" t="s">
        <v>23664</v>
      </c>
      <c r="B5776" s="1" t="s">
        <v>23665</v>
      </c>
      <c r="C5776" s="1">
        <v>2005.0</v>
      </c>
      <c r="D5776" s="2">
        <v>38384.0</v>
      </c>
      <c r="F5776" s="1" t="s">
        <v>17070</v>
      </c>
      <c r="H5776" s="3">
        <v>295.0</v>
      </c>
      <c r="I5776" s="4" t="s">
        <v>23666</v>
      </c>
      <c r="J5776" s="1" t="s">
        <v>23667</v>
      </c>
      <c r="K5776" s="1" t="s">
        <v>413</v>
      </c>
    </row>
    <row r="5777">
      <c r="A5777" s="1" t="s">
        <v>23668</v>
      </c>
      <c r="B5777" s="1" t="s">
        <v>23669</v>
      </c>
      <c r="C5777" s="1">
        <v>2005.0</v>
      </c>
      <c r="D5777" s="2">
        <v>38384.0</v>
      </c>
      <c r="F5777" s="1" t="s">
        <v>2007</v>
      </c>
      <c r="H5777" s="3">
        <v>119.0</v>
      </c>
      <c r="I5777" s="4" t="s">
        <v>23670</v>
      </c>
      <c r="J5777" s="1" t="s">
        <v>23671</v>
      </c>
      <c r="K5777" s="1" t="s">
        <v>16</v>
      </c>
    </row>
    <row r="5778">
      <c r="A5778" s="1" t="s">
        <v>23672</v>
      </c>
      <c r="B5778" s="1" t="s">
        <v>23673</v>
      </c>
      <c r="C5778" s="1">
        <v>2005.0</v>
      </c>
      <c r="D5778" s="2">
        <v>38364.0</v>
      </c>
      <c r="F5778" s="1" t="s">
        <v>1505</v>
      </c>
      <c r="H5778" s="3">
        <v>198.0</v>
      </c>
      <c r="I5778" s="4" t="s">
        <v>23674</v>
      </c>
      <c r="J5778" s="1" t="s">
        <v>23675</v>
      </c>
      <c r="K5778" s="1" t="s">
        <v>418</v>
      </c>
    </row>
    <row r="5779">
      <c r="A5779" s="1" t="s">
        <v>23676</v>
      </c>
      <c r="B5779" s="1" t="s">
        <v>23551</v>
      </c>
      <c r="C5779" s="1">
        <v>2005.0</v>
      </c>
      <c r="D5779" s="2">
        <v>38359.0</v>
      </c>
      <c r="F5779" s="1" t="s">
        <v>4848</v>
      </c>
      <c r="H5779" s="3">
        <v>40.0</v>
      </c>
      <c r="I5779" s="4" t="s">
        <v>23677</v>
      </c>
      <c r="J5779" s="1" t="s">
        <v>23678</v>
      </c>
      <c r="K5779" s="1" t="s">
        <v>28</v>
      </c>
    </row>
    <row r="5780">
      <c r="A5780" s="1" t="s">
        <v>23679</v>
      </c>
      <c r="B5780" s="1" t="s">
        <v>23680</v>
      </c>
      <c r="C5780" s="1">
        <v>2005.0</v>
      </c>
      <c r="D5780" s="2">
        <v>38353.0</v>
      </c>
      <c r="F5780" s="1" t="s">
        <v>2955</v>
      </c>
      <c r="H5780" s="3">
        <v>49.0</v>
      </c>
      <c r="I5780" s="4" t="s">
        <v>23681</v>
      </c>
      <c r="J5780" s="1" t="s">
        <v>23682</v>
      </c>
      <c r="K5780" s="1" t="s">
        <v>383</v>
      </c>
    </row>
    <row r="5781">
      <c r="A5781" s="1" t="s">
        <v>23683</v>
      </c>
      <c r="B5781" s="1" t="s">
        <v>23684</v>
      </c>
      <c r="C5781" s="1">
        <v>2005.0</v>
      </c>
      <c r="D5781" s="2">
        <v>38353.0</v>
      </c>
      <c r="F5781" s="1" t="s">
        <v>1777</v>
      </c>
      <c r="H5781" s="3">
        <v>25.0</v>
      </c>
      <c r="I5781" s="4" t="s">
        <v>23685</v>
      </c>
      <c r="J5781" s="1" t="s">
        <v>23686</v>
      </c>
      <c r="K5781" s="1" t="s">
        <v>477</v>
      </c>
    </row>
    <row r="5782">
      <c r="A5782" s="1" t="s">
        <v>23687</v>
      </c>
      <c r="B5782" s="1" t="s">
        <v>23680</v>
      </c>
      <c r="C5782" s="1">
        <v>2005.0</v>
      </c>
      <c r="D5782" s="2">
        <v>38353.0</v>
      </c>
      <c r="F5782" s="1" t="s">
        <v>2955</v>
      </c>
      <c r="H5782" s="3">
        <v>15.0</v>
      </c>
      <c r="I5782" s="4" t="s">
        <v>23688</v>
      </c>
      <c r="J5782" s="1" t="s">
        <v>23689</v>
      </c>
      <c r="K5782" s="1" t="s">
        <v>383</v>
      </c>
    </row>
    <row r="5783">
      <c r="A5783" s="1" t="s">
        <v>23690</v>
      </c>
      <c r="B5783" s="1" t="s">
        <v>23691</v>
      </c>
      <c r="C5783" s="1">
        <v>2005.0</v>
      </c>
      <c r="D5783" s="2">
        <v>38353.0</v>
      </c>
      <c r="F5783" s="1" t="s">
        <v>676</v>
      </c>
      <c r="H5783" s="3">
        <v>89.0</v>
      </c>
      <c r="I5783" s="4" t="s">
        <v>23692</v>
      </c>
      <c r="J5783" s="1" t="s">
        <v>23693</v>
      </c>
      <c r="K5783" s="1" t="s">
        <v>477</v>
      </c>
    </row>
    <row r="5784">
      <c r="A5784" s="1" t="s">
        <v>23694</v>
      </c>
      <c r="B5784" s="1" t="s">
        <v>23695</v>
      </c>
      <c r="C5784" s="1">
        <v>2005.0</v>
      </c>
      <c r="D5784" s="2">
        <v>38353.0</v>
      </c>
      <c r="F5784" s="1" t="s">
        <v>2955</v>
      </c>
      <c r="H5784" s="3">
        <v>77.0</v>
      </c>
      <c r="I5784" s="4" t="s">
        <v>23696</v>
      </c>
      <c r="J5784" s="1" t="s">
        <v>23697</v>
      </c>
      <c r="K5784" s="1" t="s">
        <v>413</v>
      </c>
    </row>
    <row r="5785">
      <c r="A5785" s="1" t="s">
        <v>23698</v>
      </c>
      <c r="B5785" s="1" t="s">
        <v>23464</v>
      </c>
      <c r="C5785" s="1">
        <v>2005.0</v>
      </c>
      <c r="D5785" s="2">
        <v>38353.0</v>
      </c>
      <c r="F5785" s="1" t="s">
        <v>12638</v>
      </c>
      <c r="H5785" s="3">
        <v>29.0</v>
      </c>
      <c r="I5785" s="4" t="s">
        <v>23699</v>
      </c>
      <c r="J5785" s="1" t="s">
        <v>23700</v>
      </c>
      <c r="K5785" s="1" t="s">
        <v>413</v>
      </c>
    </row>
    <row r="5786">
      <c r="A5786" s="1" t="s">
        <v>23701</v>
      </c>
      <c r="B5786" s="1" t="s">
        <v>23702</v>
      </c>
      <c r="C5786" s="1">
        <v>2004.0</v>
      </c>
      <c r="D5786" s="2">
        <v>38323.0</v>
      </c>
      <c r="F5786" s="1" t="s">
        <v>308</v>
      </c>
      <c r="H5786" s="3">
        <v>42.0</v>
      </c>
      <c r="I5786" s="4" t="s">
        <v>23703</v>
      </c>
      <c r="J5786" s="1" t="s">
        <v>23704</v>
      </c>
      <c r="K5786" s="1" t="s">
        <v>16</v>
      </c>
    </row>
    <row r="5787">
      <c r="A5787" s="1" t="s">
        <v>23705</v>
      </c>
      <c r="B5787" s="1" t="s">
        <v>23706</v>
      </c>
      <c r="C5787" s="1">
        <v>2004.0</v>
      </c>
      <c r="D5787" s="2">
        <v>38322.0</v>
      </c>
      <c r="F5787" s="1" t="s">
        <v>1366</v>
      </c>
      <c r="H5787" s="3">
        <v>166.0</v>
      </c>
      <c r="I5787" s="4" t="s">
        <v>23707</v>
      </c>
      <c r="J5787" s="1" t="s">
        <v>23708</v>
      </c>
      <c r="K5787" s="1" t="s">
        <v>28</v>
      </c>
    </row>
    <row r="5788">
      <c r="A5788" s="1" t="s">
        <v>23709</v>
      </c>
      <c r="B5788" s="1" t="s">
        <v>23710</v>
      </c>
      <c r="C5788" s="1">
        <v>2004.0</v>
      </c>
      <c r="D5788" s="2">
        <v>38322.0</v>
      </c>
      <c r="F5788" s="1" t="s">
        <v>163</v>
      </c>
      <c r="H5788" s="3">
        <v>36.0</v>
      </c>
      <c r="I5788" s="4" t="s">
        <v>23711</v>
      </c>
      <c r="J5788" s="1" t="s">
        <v>23712</v>
      </c>
      <c r="K5788" s="1" t="s">
        <v>1036</v>
      </c>
    </row>
    <row r="5789">
      <c r="A5789" s="1" t="s">
        <v>23713</v>
      </c>
      <c r="B5789" s="1" t="s">
        <v>23714</v>
      </c>
      <c r="C5789" s="1">
        <v>2004.0</v>
      </c>
      <c r="D5789" s="2">
        <v>38322.0</v>
      </c>
      <c r="F5789" s="1" t="s">
        <v>208</v>
      </c>
      <c r="H5789" s="3">
        <v>138.0</v>
      </c>
      <c r="I5789" s="4" t="s">
        <v>23715</v>
      </c>
      <c r="J5789" s="1" t="s">
        <v>23716</v>
      </c>
      <c r="K5789" s="1" t="s">
        <v>28</v>
      </c>
    </row>
    <row r="5790">
      <c r="A5790" s="1" t="s">
        <v>23717</v>
      </c>
      <c r="B5790" s="1" t="s">
        <v>23718</v>
      </c>
      <c r="C5790" s="1">
        <v>2004.0</v>
      </c>
      <c r="D5790" s="2">
        <v>38321.0</v>
      </c>
      <c r="F5790" s="1" t="s">
        <v>1904</v>
      </c>
      <c r="H5790" s="3">
        <v>98.0</v>
      </c>
      <c r="I5790" s="4" t="s">
        <v>23719</v>
      </c>
      <c r="J5790" s="1" t="s">
        <v>23720</v>
      </c>
      <c r="K5790" s="1" t="s">
        <v>317</v>
      </c>
    </row>
    <row r="5791">
      <c r="A5791" s="1" t="s">
        <v>23721</v>
      </c>
      <c r="B5791" s="1" t="s">
        <v>23722</v>
      </c>
      <c r="C5791" s="1">
        <v>2004.0</v>
      </c>
      <c r="D5791" s="2">
        <v>38321.0</v>
      </c>
      <c r="F5791" s="1" t="s">
        <v>1366</v>
      </c>
      <c r="H5791" s="3">
        <v>50.0</v>
      </c>
      <c r="I5791" s="4" t="s">
        <v>23723</v>
      </c>
      <c r="J5791" s="1" t="s">
        <v>23724</v>
      </c>
      <c r="K5791" s="1" t="s">
        <v>16</v>
      </c>
    </row>
    <row r="5792">
      <c r="A5792" s="1" t="s">
        <v>23725</v>
      </c>
      <c r="B5792" s="1" t="s">
        <v>23726</v>
      </c>
      <c r="C5792" s="1">
        <v>2004.0</v>
      </c>
      <c r="D5792" s="2">
        <v>38307.0</v>
      </c>
      <c r="F5792" s="1" t="s">
        <v>519</v>
      </c>
      <c r="H5792" s="3">
        <v>55.0</v>
      </c>
      <c r="I5792" s="4" t="s">
        <v>23727</v>
      </c>
      <c r="J5792" s="1" t="s">
        <v>23728</v>
      </c>
      <c r="K5792" s="1" t="s">
        <v>68</v>
      </c>
    </row>
    <row r="5793">
      <c r="A5793" s="1" t="s">
        <v>23729</v>
      </c>
      <c r="B5793" s="1" t="s">
        <v>23730</v>
      </c>
      <c r="C5793" s="1">
        <v>2004.0</v>
      </c>
      <c r="D5793" s="2">
        <v>38302.0</v>
      </c>
      <c r="F5793" s="1" t="s">
        <v>4980</v>
      </c>
      <c r="H5793" s="3">
        <v>22.0</v>
      </c>
      <c r="I5793" s="4" t="s">
        <v>23731</v>
      </c>
      <c r="J5793" s="1" t="s">
        <v>23732</v>
      </c>
      <c r="K5793" s="1" t="s">
        <v>329</v>
      </c>
    </row>
    <row r="5794">
      <c r="A5794" s="1" t="s">
        <v>23733</v>
      </c>
      <c r="B5794" s="1" t="s">
        <v>23734</v>
      </c>
      <c r="C5794" s="1">
        <v>2004.0</v>
      </c>
      <c r="D5794" s="2">
        <v>38292.0</v>
      </c>
      <c r="F5794" s="1" t="s">
        <v>15033</v>
      </c>
      <c r="H5794" s="3">
        <v>106.0</v>
      </c>
      <c r="I5794" s="4" t="s">
        <v>23735</v>
      </c>
      <c r="J5794" s="1" t="s">
        <v>23736</v>
      </c>
      <c r="K5794" s="1" t="s">
        <v>68</v>
      </c>
    </row>
    <row r="5795">
      <c r="A5795" s="1" t="s">
        <v>23737</v>
      </c>
      <c r="B5795" s="1" t="s">
        <v>23738</v>
      </c>
      <c r="C5795" s="1">
        <v>2004.0</v>
      </c>
      <c r="D5795" s="2">
        <v>38292.0</v>
      </c>
      <c r="F5795" s="1" t="s">
        <v>7988</v>
      </c>
      <c r="H5795" s="3">
        <v>5.0</v>
      </c>
      <c r="I5795" s="4" t="s">
        <v>23739</v>
      </c>
      <c r="J5795" s="1" t="s">
        <v>23740</v>
      </c>
      <c r="K5795" s="1" t="s">
        <v>16</v>
      </c>
    </row>
    <row r="5796">
      <c r="A5796" s="1" t="s">
        <v>23741</v>
      </c>
      <c r="B5796" s="1" t="s">
        <v>23742</v>
      </c>
      <c r="C5796" s="1">
        <v>2004.0</v>
      </c>
      <c r="D5796" s="2">
        <v>38278.0</v>
      </c>
      <c r="F5796" s="1" t="s">
        <v>248</v>
      </c>
      <c r="H5796" s="3">
        <v>42.0</v>
      </c>
      <c r="I5796" s="4" t="s">
        <v>23743</v>
      </c>
      <c r="J5796" s="1" t="s">
        <v>23744</v>
      </c>
      <c r="K5796" s="1" t="s">
        <v>413</v>
      </c>
    </row>
    <row r="5797">
      <c r="A5797" s="1" t="s">
        <v>23745</v>
      </c>
      <c r="B5797" s="1" t="s">
        <v>23746</v>
      </c>
      <c r="C5797" s="1">
        <v>2004.0</v>
      </c>
      <c r="D5797" s="2">
        <v>38261.0</v>
      </c>
      <c r="F5797" s="1" t="s">
        <v>13473</v>
      </c>
      <c r="H5797" s="3">
        <v>39.0</v>
      </c>
      <c r="I5797" s="4" t="s">
        <v>23747</v>
      </c>
      <c r="J5797" s="1" t="s">
        <v>23748</v>
      </c>
      <c r="K5797" s="1" t="s">
        <v>383</v>
      </c>
    </row>
    <row r="5798">
      <c r="A5798" s="1" t="s">
        <v>23749</v>
      </c>
      <c r="B5798" s="1" t="s">
        <v>18148</v>
      </c>
      <c r="C5798" s="1">
        <v>2004.0</v>
      </c>
      <c r="D5798" s="2">
        <v>38261.0</v>
      </c>
      <c r="F5798" s="1" t="s">
        <v>505</v>
      </c>
      <c r="H5798" s="3">
        <v>6.0</v>
      </c>
      <c r="I5798" s="4" t="s">
        <v>23750</v>
      </c>
      <c r="J5798" s="1" t="s">
        <v>23751</v>
      </c>
      <c r="K5798" s="1" t="s">
        <v>28</v>
      </c>
    </row>
    <row r="5799">
      <c r="A5799" s="1" t="s">
        <v>23752</v>
      </c>
      <c r="B5799" s="1" t="s">
        <v>23753</v>
      </c>
      <c r="C5799" s="1">
        <v>2004.0</v>
      </c>
      <c r="D5799" s="2">
        <v>38261.0</v>
      </c>
      <c r="F5799" s="1" t="s">
        <v>1664</v>
      </c>
      <c r="H5799" s="3">
        <v>4.0</v>
      </c>
      <c r="I5799" s="4" t="s">
        <v>23754</v>
      </c>
      <c r="J5799" s="1" t="s">
        <v>23755</v>
      </c>
      <c r="K5799" s="1" t="s">
        <v>16</v>
      </c>
    </row>
    <row r="5800">
      <c r="A5800" s="1" t="s">
        <v>23756</v>
      </c>
      <c r="B5800" s="1" t="s">
        <v>23757</v>
      </c>
      <c r="C5800" s="1">
        <v>2004.0</v>
      </c>
      <c r="D5800" s="2">
        <v>38261.0</v>
      </c>
      <c r="F5800" s="1" t="s">
        <v>3926</v>
      </c>
      <c r="H5800" s="3">
        <v>95.0</v>
      </c>
      <c r="I5800" s="4" t="s">
        <v>23758</v>
      </c>
      <c r="J5800" s="1" t="s">
        <v>23759</v>
      </c>
      <c r="K5800" s="1" t="s">
        <v>295</v>
      </c>
    </row>
    <row r="5801">
      <c r="A5801" s="1" t="s">
        <v>23760</v>
      </c>
      <c r="B5801" s="1" t="s">
        <v>15732</v>
      </c>
      <c r="C5801" s="1">
        <v>2004.0</v>
      </c>
      <c r="D5801" s="2">
        <v>38261.0</v>
      </c>
      <c r="F5801" s="1" t="s">
        <v>7158</v>
      </c>
      <c r="H5801" s="3">
        <v>37.0</v>
      </c>
      <c r="I5801" s="4" t="s">
        <v>23761</v>
      </c>
      <c r="J5801" s="1" t="s">
        <v>23762</v>
      </c>
      <c r="K5801" s="1" t="s">
        <v>16</v>
      </c>
    </row>
    <row r="5802">
      <c r="A5802" s="1" t="s">
        <v>23763</v>
      </c>
      <c r="B5802" s="1" t="s">
        <v>23764</v>
      </c>
      <c r="C5802" s="1">
        <v>2004.0</v>
      </c>
      <c r="D5802" s="2">
        <v>38231.0</v>
      </c>
      <c r="F5802" s="1" t="s">
        <v>2634</v>
      </c>
      <c r="H5802" s="3">
        <v>22.0</v>
      </c>
      <c r="I5802" s="4" t="s">
        <v>23765</v>
      </c>
      <c r="J5802" s="1" t="s">
        <v>23766</v>
      </c>
      <c r="K5802" s="1" t="s">
        <v>383</v>
      </c>
    </row>
    <row r="5803">
      <c r="A5803" s="1" t="s">
        <v>23767</v>
      </c>
      <c r="B5803" s="1" t="s">
        <v>23768</v>
      </c>
      <c r="C5803" s="1">
        <v>2004.0</v>
      </c>
      <c r="D5803" s="2">
        <v>38231.0</v>
      </c>
      <c r="F5803" s="1" t="s">
        <v>1040</v>
      </c>
      <c r="H5803" s="3">
        <v>8.0</v>
      </c>
      <c r="I5803" s="4" t="s">
        <v>23769</v>
      </c>
      <c r="J5803" s="1" t="s">
        <v>23770</v>
      </c>
      <c r="K5803" s="1" t="s">
        <v>443</v>
      </c>
    </row>
    <row r="5804">
      <c r="A5804" s="1" t="s">
        <v>23771</v>
      </c>
      <c r="B5804" s="1" t="s">
        <v>23772</v>
      </c>
      <c r="C5804" s="1">
        <v>2004.0</v>
      </c>
      <c r="D5804" s="2">
        <v>38231.0</v>
      </c>
      <c r="F5804" s="1" t="s">
        <v>4124</v>
      </c>
      <c r="H5804" s="3">
        <v>51.0</v>
      </c>
      <c r="I5804" s="4" t="s">
        <v>23773</v>
      </c>
      <c r="J5804" s="1" t="s">
        <v>23774</v>
      </c>
      <c r="K5804" s="1" t="s">
        <v>413</v>
      </c>
    </row>
    <row r="5805">
      <c r="A5805" s="1" t="s">
        <v>23775</v>
      </c>
      <c r="B5805" s="1" t="s">
        <v>23109</v>
      </c>
      <c r="C5805" s="1">
        <v>2004.0</v>
      </c>
      <c r="D5805" s="2">
        <v>38231.0</v>
      </c>
      <c r="F5805" s="1" t="s">
        <v>22156</v>
      </c>
      <c r="H5805" s="3">
        <v>0.0</v>
      </c>
      <c r="I5805" s="4" t="s">
        <v>23776</v>
      </c>
      <c r="J5805" s="1"/>
      <c r="K5805" s="1" t="s">
        <v>68</v>
      </c>
    </row>
    <row r="5806">
      <c r="A5806" s="1" t="s">
        <v>23777</v>
      </c>
      <c r="B5806" s="1" t="s">
        <v>23778</v>
      </c>
      <c r="C5806" s="1">
        <v>2004.0</v>
      </c>
      <c r="D5806" s="2">
        <v>38231.0</v>
      </c>
      <c r="F5806" s="1" t="s">
        <v>208</v>
      </c>
      <c r="H5806" s="3">
        <v>17.0</v>
      </c>
      <c r="I5806" s="4" t="s">
        <v>23779</v>
      </c>
      <c r="J5806" s="1" t="s">
        <v>23780</v>
      </c>
      <c r="K5806" s="1" t="s">
        <v>16</v>
      </c>
    </row>
    <row r="5807">
      <c r="A5807" s="1" t="s">
        <v>23781</v>
      </c>
      <c r="B5807" s="1" t="s">
        <v>23782</v>
      </c>
      <c r="C5807" s="1">
        <v>2004.0</v>
      </c>
      <c r="D5807" s="2">
        <v>38226.0</v>
      </c>
      <c r="F5807" s="1" t="s">
        <v>2191</v>
      </c>
      <c r="H5807" s="3">
        <v>89.0</v>
      </c>
      <c r="I5807" s="4" t="s">
        <v>23783</v>
      </c>
      <c r="J5807" s="1" t="s">
        <v>23784</v>
      </c>
      <c r="K5807" s="1" t="s">
        <v>295</v>
      </c>
    </row>
    <row r="5808">
      <c r="A5808" s="1" t="s">
        <v>23785</v>
      </c>
      <c r="B5808" s="1" t="s">
        <v>23786</v>
      </c>
      <c r="C5808" s="1">
        <v>2004.0</v>
      </c>
      <c r="D5808" s="2">
        <v>38225.0</v>
      </c>
      <c r="F5808" s="1" t="s">
        <v>1277</v>
      </c>
      <c r="H5808" s="3">
        <v>36.0</v>
      </c>
      <c r="I5808" s="4" t="s">
        <v>23787</v>
      </c>
      <c r="J5808" s="1" t="s">
        <v>23788</v>
      </c>
      <c r="K5808" s="1" t="s">
        <v>926</v>
      </c>
    </row>
    <row r="5809">
      <c r="A5809" s="1" t="s">
        <v>23789</v>
      </c>
      <c r="B5809" s="1" t="s">
        <v>23790</v>
      </c>
      <c r="C5809" s="1">
        <v>2004.0</v>
      </c>
      <c r="D5809" s="2">
        <v>38204.0</v>
      </c>
      <c r="F5809" s="1" t="s">
        <v>396</v>
      </c>
      <c r="H5809" s="3">
        <v>122.0</v>
      </c>
      <c r="I5809" s="4" t="s">
        <v>23791</v>
      </c>
      <c r="J5809" s="1" t="s">
        <v>23792</v>
      </c>
      <c r="K5809" s="1" t="s">
        <v>68</v>
      </c>
    </row>
    <row r="5810">
      <c r="A5810" s="1" t="s">
        <v>23793</v>
      </c>
      <c r="B5810" s="1" t="s">
        <v>23794</v>
      </c>
      <c r="C5810" s="1">
        <v>2004.0</v>
      </c>
      <c r="D5810" s="2">
        <v>38200.0</v>
      </c>
      <c r="F5810" s="1" t="s">
        <v>22185</v>
      </c>
      <c r="H5810" s="3">
        <v>50.0</v>
      </c>
      <c r="I5810" s="4" t="s">
        <v>23795</v>
      </c>
      <c r="J5810" s="1" t="s">
        <v>23796</v>
      </c>
      <c r="K5810" s="1" t="s">
        <v>323</v>
      </c>
    </row>
    <row r="5811">
      <c r="A5811" s="1" t="s">
        <v>23797</v>
      </c>
      <c r="B5811" s="1" t="s">
        <v>23798</v>
      </c>
      <c r="C5811" s="1">
        <v>2004.0</v>
      </c>
      <c r="D5811" s="2">
        <v>38200.0</v>
      </c>
      <c r="F5811" s="1" t="s">
        <v>23799</v>
      </c>
      <c r="H5811" s="3">
        <v>24.0</v>
      </c>
      <c r="I5811" s="4" t="s">
        <v>23800</v>
      </c>
      <c r="J5811" s="1" t="s">
        <v>23801</v>
      </c>
      <c r="K5811" s="1" t="s">
        <v>68</v>
      </c>
    </row>
    <row r="5812">
      <c r="A5812" s="1" t="s">
        <v>23802</v>
      </c>
      <c r="B5812" s="1" t="s">
        <v>23803</v>
      </c>
      <c r="C5812" s="1">
        <v>2004.0</v>
      </c>
      <c r="D5812" s="2">
        <v>38200.0</v>
      </c>
      <c r="F5812" s="1" t="s">
        <v>2707</v>
      </c>
      <c r="H5812" s="3">
        <v>10.0</v>
      </c>
      <c r="I5812" s="4" t="s">
        <v>23804</v>
      </c>
      <c r="J5812" s="1" t="s">
        <v>23805</v>
      </c>
      <c r="K5812" s="1" t="s">
        <v>413</v>
      </c>
    </row>
    <row r="5813">
      <c r="A5813" s="1" t="s">
        <v>23806</v>
      </c>
      <c r="B5813" s="1" t="s">
        <v>23807</v>
      </c>
      <c r="C5813" s="1">
        <v>2004.0</v>
      </c>
      <c r="D5813" s="2">
        <v>38175.0</v>
      </c>
      <c r="F5813" s="1" t="s">
        <v>1505</v>
      </c>
      <c r="H5813" s="3">
        <v>320.0</v>
      </c>
      <c r="I5813" s="4" t="s">
        <v>23808</v>
      </c>
      <c r="J5813" s="1" t="s">
        <v>23809</v>
      </c>
      <c r="K5813" s="1" t="s">
        <v>413</v>
      </c>
    </row>
    <row r="5814">
      <c r="A5814" s="1" t="s">
        <v>23810</v>
      </c>
      <c r="B5814" s="1" t="s">
        <v>23811</v>
      </c>
      <c r="C5814" s="1">
        <v>2004.0</v>
      </c>
      <c r="D5814" s="2">
        <v>38174.0</v>
      </c>
      <c r="F5814" s="1" t="s">
        <v>2007</v>
      </c>
      <c r="H5814" s="3">
        <v>179.0</v>
      </c>
      <c r="I5814" s="4" t="s">
        <v>23812</v>
      </c>
      <c r="J5814" s="1" t="s">
        <v>23813</v>
      </c>
      <c r="K5814" s="1" t="s">
        <v>383</v>
      </c>
    </row>
    <row r="5815">
      <c r="A5815" s="1" t="s">
        <v>23814</v>
      </c>
      <c r="B5815" s="1" t="s">
        <v>23684</v>
      </c>
      <c r="C5815" s="1">
        <v>2004.0</v>
      </c>
      <c r="D5815" s="2">
        <v>38169.0</v>
      </c>
      <c r="F5815" s="1" t="s">
        <v>5554</v>
      </c>
      <c r="H5815" s="3">
        <v>31.0</v>
      </c>
      <c r="I5815" s="4" t="s">
        <v>23815</v>
      </c>
      <c r="J5815" s="1" t="s">
        <v>23816</v>
      </c>
      <c r="K5815" s="1" t="s">
        <v>477</v>
      </c>
    </row>
    <row r="5816">
      <c r="A5816" s="1" t="s">
        <v>23817</v>
      </c>
      <c r="B5816" s="1" t="s">
        <v>23818</v>
      </c>
      <c r="C5816" s="1">
        <v>2004.0</v>
      </c>
      <c r="D5816" s="2">
        <v>38169.0</v>
      </c>
      <c r="F5816" s="1" t="s">
        <v>676</v>
      </c>
      <c r="H5816" s="3">
        <v>41.0</v>
      </c>
      <c r="I5816" s="4" t="s">
        <v>23819</v>
      </c>
      <c r="J5816" s="1" t="s">
        <v>23820</v>
      </c>
      <c r="K5816" s="1" t="s">
        <v>16</v>
      </c>
    </row>
    <row r="5817">
      <c r="A5817" s="1" t="s">
        <v>23821</v>
      </c>
      <c r="B5817" s="1" t="s">
        <v>23822</v>
      </c>
      <c r="C5817" s="1">
        <v>2004.0</v>
      </c>
      <c r="D5817" s="2">
        <v>38169.0</v>
      </c>
      <c r="F5817" s="1" t="s">
        <v>1951</v>
      </c>
      <c r="H5817" s="3">
        <v>35.0</v>
      </c>
      <c r="I5817" s="4" t="s">
        <v>23823</v>
      </c>
      <c r="J5817" s="1" t="s">
        <v>23824</v>
      </c>
      <c r="K5817" s="1" t="s">
        <v>16</v>
      </c>
    </row>
    <row r="5818">
      <c r="A5818" s="1" t="s">
        <v>23825</v>
      </c>
      <c r="B5818" s="1" t="s">
        <v>23826</v>
      </c>
      <c r="C5818" s="1">
        <v>2004.0</v>
      </c>
      <c r="D5818" s="2">
        <v>38168.0</v>
      </c>
      <c r="F5818" s="1" t="s">
        <v>4980</v>
      </c>
      <c r="H5818" s="3">
        <v>14.0</v>
      </c>
      <c r="I5818" s="4" t="s">
        <v>23827</v>
      </c>
      <c r="J5818" s="1" t="s">
        <v>23828</v>
      </c>
      <c r="K5818" s="1" t="s">
        <v>413</v>
      </c>
    </row>
    <row r="5819">
      <c r="A5819" s="1" t="s">
        <v>23829</v>
      </c>
      <c r="B5819" s="1" t="s">
        <v>23830</v>
      </c>
      <c r="C5819" s="1">
        <v>2004.0</v>
      </c>
      <c r="D5819" s="2">
        <v>38139.0</v>
      </c>
      <c r="F5819" s="1" t="s">
        <v>208</v>
      </c>
      <c r="H5819" s="3">
        <v>14.0</v>
      </c>
      <c r="I5819" s="4" t="s">
        <v>23831</v>
      </c>
      <c r="J5819" s="1" t="s">
        <v>23832</v>
      </c>
      <c r="K5819" s="1" t="s">
        <v>383</v>
      </c>
    </row>
    <row r="5820">
      <c r="A5820" s="1" t="s">
        <v>23833</v>
      </c>
      <c r="B5820" s="1" t="s">
        <v>23794</v>
      </c>
      <c r="C5820" s="1">
        <v>2004.0</v>
      </c>
      <c r="D5820" s="2">
        <v>38139.0</v>
      </c>
      <c r="F5820" s="1" t="s">
        <v>22185</v>
      </c>
      <c r="H5820" s="3">
        <v>20.0</v>
      </c>
      <c r="I5820" s="4" t="s">
        <v>23834</v>
      </c>
      <c r="J5820" s="1" t="s">
        <v>23835</v>
      </c>
      <c r="K5820" s="1" t="s">
        <v>323</v>
      </c>
    </row>
    <row r="5821">
      <c r="A5821" s="1" t="s">
        <v>23836</v>
      </c>
      <c r="B5821" s="1" t="s">
        <v>23837</v>
      </c>
      <c r="C5821" s="1">
        <v>2004.0</v>
      </c>
      <c r="D5821" s="2">
        <v>38120.0</v>
      </c>
      <c r="F5821" s="1" t="s">
        <v>1277</v>
      </c>
      <c r="H5821" s="3">
        <v>46.0</v>
      </c>
      <c r="I5821" s="4" t="s">
        <v>23838</v>
      </c>
      <c r="J5821" s="1" t="s">
        <v>23839</v>
      </c>
      <c r="K5821" s="1" t="s">
        <v>926</v>
      </c>
    </row>
    <row r="5822">
      <c r="A5822" s="1" t="s">
        <v>23840</v>
      </c>
      <c r="B5822" s="1" t="s">
        <v>23841</v>
      </c>
      <c r="C5822" s="1">
        <v>2004.0</v>
      </c>
      <c r="D5822" s="2">
        <v>38108.0</v>
      </c>
      <c r="F5822" s="1" t="s">
        <v>2707</v>
      </c>
      <c r="H5822" s="3">
        <v>74.0</v>
      </c>
      <c r="I5822" s="4" t="s">
        <v>23842</v>
      </c>
      <c r="J5822" s="1" t="s">
        <v>23843</v>
      </c>
      <c r="K5822" s="1" t="s">
        <v>527</v>
      </c>
    </row>
    <row r="5823">
      <c r="A5823" s="1" t="s">
        <v>23844</v>
      </c>
      <c r="B5823" s="1" t="s">
        <v>23845</v>
      </c>
      <c r="C5823" s="1">
        <v>2004.0</v>
      </c>
      <c r="D5823" s="2">
        <v>38108.0</v>
      </c>
      <c r="F5823" s="1" t="s">
        <v>22078</v>
      </c>
      <c r="H5823" s="3">
        <v>20.0</v>
      </c>
      <c r="I5823" s="4" t="s">
        <v>23846</v>
      </c>
      <c r="J5823" s="1" t="s">
        <v>23847</v>
      </c>
      <c r="K5823" s="1" t="s">
        <v>413</v>
      </c>
    </row>
    <row r="5824">
      <c r="A5824" s="1" t="s">
        <v>23848</v>
      </c>
      <c r="B5824" s="1" t="s">
        <v>23849</v>
      </c>
      <c r="C5824" s="1">
        <v>2004.0</v>
      </c>
      <c r="D5824" s="2">
        <v>38096.0</v>
      </c>
      <c r="F5824" s="1" t="s">
        <v>2007</v>
      </c>
      <c r="H5824" s="3">
        <v>231.0</v>
      </c>
      <c r="I5824" s="4" t="s">
        <v>23850</v>
      </c>
      <c r="J5824" s="1" t="s">
        <v>23851</v>
      </c>
      <c r="K5824" s="1" t="s">
        <v>383</v>
      </c>
    </row>
    <row r="5825">
      <c r="A5825" s="1" t="s">
        <v>23852</v>
      </c>
      <c r="B5825" s="1" t="s">
        <v>23853</v>
      </c>
      <c r="C5825" s="1">
        <v>2004.0</v>
      </c>
      <c r="D5825" s="2">
        <v>38089.0</v>
      </c>
      <c r="F5825" s="1" t="s">
        <v>2007</v>
      </c>
      <c r="H5825" s="3">
        <v>11.0</v>
      </c>
      <c r="I5825" s="4" t="s">
        <v>23854</v>
      </c>
      <c r="J5825" s="1" t="s">
        <v>23855</v>
      </c>
      <c r="K5825" s="1" t="s">
        <v>295</v>
      </c>
    </row>
    <row r="5826">
      <c r="A5826" s="1" t="s">
        <v>23856</v>
      </c>
      <c r="B5826" s="1" t="s">
        <v>23517</v>
      </c>
      <c r="C5826" s="1">
        <v>2004.0</v>
      </c>
      <c r="D5826" s="2">
        <v>38084.0</v>
      </c>
      <c r="F5826" s="1" t="s">
        <v>484</v>
      </c>
      <c r="H5826" s="3">
        <v>108.0</v>
      </c>
      <c r="I5826" s="4" t="s">
        <v>23857</v>
      </c>
      <c r="J5826" s="1" t="s">
        <v>23858</v>
      </c>
      <c r="K5826" s="1" t="s">
        <v>443</v>
      </c>
    </row>
    <row r="5827">
      <c r="A5827" s="1" t="s">
        <v>23859</v>
      </c>
      <c r="B5827" s="1" t="s">
        <v>23860</v>
      </c>
      <c r="C5827" s="1">
        <v>2004.0</v>
      </c>
      <c r="D5827" s="2">
        <v>38078.0</v>
      </c>
      <c r="F5827" s="1" t="s">
        <v>1777</v>
      </c>
      <c r="H5827" s="3">
        <v>136.0</v>
      </c>
      <c r="I5827" s="4" t="s">
        <v>23861</v>
      </c>
      <c r="J5827" s="1" t="s">
        <v>23862</v>
      </c>
      <c r="K5827" s="1" t="s">
        <v>295</v>
      </c>
    </row>
    <row r="5828">
      <c r="A5828" s="1" t="s">
        <v>23863</v>
      </c>
      <c r="B5828" s="1" t="s">
        <v>23864</v>
      </c>
      <c r="C5828" s="1">
        <v>2004.0</v>
      </c>
      <c r="D5828" s="2">
        <v>38078.0</v>
      </c>
      <c r="F5828" s="1" t="s">
        <v>15512</v>
      </c>
      <c r="H5828" s="3">
        <v>31.0</v>
      </c>
      <c r="I5828" s="4" t="s">
        <v>23865</v>
      </c>
      <c r="J5828" s="1" t="s">
        <v>23866</v>
      </c>
      <c r="K5828" s="1" t="s">
        <v>16</v>
      </c>
    </row>
    <row r="5829">
      <c r="A5829" s="1" t="s">
        <v>23867</v>
      </c>
      <c r="B5829" s="1" t="s">
        <v>23868</v>
      </c>
      <c r="C5829" s="1">
        <v>2004.0</v>
      </c>
      <c r="D5829" s="2">
        <v>38047.0</v>
      </c>
      <c r="F5829" s="1" t="s">
        <v>23869</v>
      </c>
      <c r="H5829" s="3">
        <v>48.0</v>
      </c>
      <c r="I5829" s="4" t="s">
        <v>23870</v>
      </c>
      <c r="J5829" s="1" t="s">
        <v>23871</v>
      </c>
      <c r="K5829" s="1" t="s">
        <v>383</v>
      </c>
    </row>
    <row r="5830">
      <c r="A5830" s="1" t="s">
        <v>23872</v>
      </c>
      <c r="B5830" s="1" t="s">
        <v>23873</v>
      </c>
      <c r="C5830" s="1">
        <v>2004.0</v>
      </c>
      <c r="D5830" s="2">
        <v>38047.0</v>
      </c>
      <c r="F5830" s="1" t="s">
        <v>14908</v>
      </c>
      <c r="H5830" s="3">
        <v>83.0</v>
      </c>
      <c r="I5830" s="4" t="s">
        <v>23874</v>
      </c>
      <c r="J5830" s="1"/>
      <c r="K5830" s="1" t="s">
        <v>443</v>
      </c>
    </row>
    <row r="5831">
      <c r="A5831" s="1" t="s">
        <v>23875</v>
      </c>
      <c r="B5831" s="1" t="s">
        <v>23876</v>
      </c>
      <c r="C5831" s="1">
        <v>2004.0</v>
      </c>
      <c r="D5831" s="2">
        <v>38047.0</v>
      </c>
      <c r="F5831" s="1" t="s">
        <v>15033</v>
      </c>
      <c r="H5831" s="3">
        <v>6.0</v>
      </c>
      <c r="I5831" s="4" t="s">
        <v>23877</v>
      </c>
      <c r="J5831" s="1" t="s">
        <v>23878</v>
      </c>
      <c r="K5831" s="1" t="s">
        <v>413</v>
      </c>
    </row>
    <row r="5832">
      <c r="A5832" s="1" t="s">
        <v>23879</v>
      </c>
      <c r="B5832" s="1" t="s">
        <v>23880</v>
      </c>
      <c r="C5832" s="1">
        <v>2004.0</v>
      </c>
      <c r="D5832" s="2">
        <v>38029.0</v>
      </c>
      <c r="F5832" s="1" t="s">
        <v>1277</v>
      </c>
      <c r="H5832" s="3">
        <v>65.0</v>
      </c>
      <c r="I5832" s="4" t="s">
        <v>23881</v>
      </c>
      <c r="J5832" s="1" t="s">
        <v>23882</v>
      </c>
      <c r="K5832" s="1" t="s">
        <v>295</v>
      </c>
    </row>
    <row r="5833">
      <c r="A5833" s="1" t="s">
        <v>23883</v>
      </c>
      <c r="B5833" s="1" t="s">
        <v>23884</v>
      </c>
      <c r="C5833" s="1">
        <v>2004.0</v>
      </c>
      <c r="D5833" s="2">
        <v>38027.0</v>
      </c>
      <c r="F5833" s="1" t="s">
        <v>243</v>
      </c>
      <c r="H5833" s="3">
        <v>60.0</v>
      </c>
      <c r="I5833" s="4" t="s">
        <v>23885</v>
      </c>
      <c r="J5833" s="1" t="s">
        <v>23886</v>
      </c>
      <c r="K5833" s="1" t="s">
        <v>443</v>
      </c>
    </row>
    <row r="5834">
      <c r="A5834" s="1" t="s">
        <v>23887</v>
      </c>
      <c r="B5834" s="1" t="s">
        <v>23888</v>
      </c>
      <c r="C5834" s="1">
        <v>2004.0</v>
      </c>
      <c r="D5834" s="2">
        <v>38022.0</v>
      </c>
      <c r="F5834" s="1" t="s">
        <v>1277</v>
      </c>
      <c r="H5834" s="3">
        <v>5.0</v>
      </c>
      <c r="I5834" s="4" t="s">
        <v>23889</v>
      </c>
      <c r="J5834" s="1" t="s">
        <v>23890</v>
      </c>
      <c r="K5834" s="1" t="s">
        <v>28</v>
      </c>
    </row>
    <row r="5835">
      <c r="A5835" s="1" t="s">
        <v>23891</v>
      </c>
      <c r="B5835" s="1" t="s">
        <v>23892</v>
      </c>
      <c r="C5835" s="1">
        <v>2004.0</v>
      </c>
      <c r="D5835" s="2">
        <v>38021.0</v>
      </c>
      <c r="F5835" s="1" t="s">
        <v>233</v>
      </c>
      <c r="H5835" s="3">
        <v>47.0</v>
      </c>
      <c r="I5835" s="4" t="s">
        <v>23893</v>
      </c>
      <c r="J5835" s="1" t="s">
        <v>23894</v>
      </c>
      <c r="K5835" s="1" t="s">
        <v>413</v>
      </c>
    </row>
    <row r="5836">
      <c r="A5836" s="1" t="s">
        <v>23895</v>
      </c>
      <c r="B5836" s="1" t="s">
        <v>23896</v>
      </c>
      <c r="C5836" s="1">
        <v>2004.0</v>
      </c>
      <c r="D5836" s="2">
        <v>38018.0</v>
      </c>
      <c r="F5836" s="1" t="s">
        <v>15863</v>
      </c>
      <c r="H5836" s="3">
        <v>44.0</v>
      </c>
      <c r="I5836" s="4" t="s">
        <v>23897</v>
      </c>
      <c r="J5836" s="1"/>
      <c r="K5836" s="1" t="s">
        <v>68</v>
      </c>
    </row>
    <row r="5837">
      <c r="A5837" s="1" t="s">
        <v>23898</v>
      </c>
      <c r="B5837" s="1" t="s">
        <v>23899</v>
      </c>
      <c r="C5837" s="1">
        <v>2004.0</v>
      </c>
      <c r="D5837" s="2">
        <v>38018.0</v>
      </c>
      <c r="F5837" s="1" t="s">
        <v>676</v>
      </c>
      <c r="H5837" s="3">
        <v>154.0</v>
      </c>
      <c r="I5837" s="4" t="s">
        <v>23900</v>
      </c>
      <c r="J5837" s="1" t="s">
        <v>23901</v>
      </c>
      <c r="K5837" s="1" t="s">
        <v>16</v>
      </c>
    </row>
    <row r="5838">
      <c r="A5838" s="1" t="s">
        <v>23902</v>
      </c>
      <c r="B5838" s="1" t="s">
        <v>23903</v>
      </c>
      <c r="C5838" s="1">
        <v>2004.0</v>
      </c>
      <c r="D5838" s="2">
        <v>38013.0</v>
      </c>
      <c r="F5838" s="1" t="s">
        <v>31</v>
      </c>
      <c r="H5838" s="3">
        <v>359.0</v>
      </c>
      <c r="I5838" s="4" t="s">
        <v>23904</v>
      </c>
      <c r="J5838" s="1" t="s">
        <v>23905</v>
      </c>
      <c r="K5838" s="1" t="s">
        <v>16</v>
      </c>
    </row>
    <row r="5839">
      <c r="A5839" s="1" t="s">
        <v>23906</v>
      </c>
      <c r="B5839" s="1" t="s">
        <v>23907</v>
      </c>
      <c r="C5839" s="1">
        <v>2004.0</v>
      </c>
      <c r="D5839" s="2">
        <v>38012.0</v>
      </c>
      <c r="F5839" s="1" t="s">
        <v>23908</v>
      </c>
      <c r="H5839" s="3">
        <v>11.0</v>
      </c>
      <c r="I5839" s="4" t="s">
        <v>23909</v>
      </c>
      <c r="J5839" s="1" t="s">
        <v>23910</v>
      </c>
      <c r="K5839" s="1" t="s">
        <v>1036</v>
      </c>
    </row>
    <row r="5840">
      <c r="A5840" s="1" t="s">
        <v>23911</v>
      </c>
      <c r="B5840" s="1" t="s">
        <v>23912</v>
      </c>
      <c r="C5840" s="1">
        <v>2004.0</v>
      </c>
      <c r="D5840" s="2">
        <v>38008.0</v>
      </c>
      <c r="F5840" s="1" t="s">
        <v>2191</v>
      </c>
      <c r="H5840" s="3">
        <v>9.0</v>
      </c>
      <c r="I5840" s="4" t="s">
        <v>23913</v>
      </c>
      <c r="J5840" s="1" t="s">
        <v>23914</v>
      </c>
      <c r="K5840" s="1" t="s">
        <v>295</v>
      </c>
    </row>
    <row r="5841">
      <c r="A5841" s="1" t="s">
        <v>23915</v>
      </c>
      <c r="B5841" s="1" t="s">
        <v>23916</v>
      </c>
      <c r="C5841" s="1">
        <v>2004.0</v>
      </c>
      <c r="D5841" s="2">
        <v>38006.0</v>
      </c>
      <c r="F5841" s="1" t="s">
        <v>656</v>
      </c>
      <c r="H5841" s="3">
        <v>8.0</v>
      </c>
      <c r="I5841" s="4" t="s">
        <v>23917</v>
      </c>
      <c r="J5841" s="1" t="s">
        <v>23918</v>
      </c>
      <c r="K5841" s="1" t="s">
        <v>413</v>
      </c>
    </row>
    <row r="5842">
      <c r="A5842" s="1" t="s">
        <v>23919</v>
      </c>
      <c r="B5842" s="1" t="s">
        <v>23920</v>
      </c>
      <c r="C5842" s="1">
        <v>2004.0</v>
      </c>
      <c r="D5842" s="2">
        <v>37998.0</v>
      </c>
      <c r="F5842" s="1" t="s">
        <v>5090</v>
      </c>
      <c r="H5842" s="3">
        <v>14.0</v>
      </c>
      <c r="I5842" s="4" t="s">
        <v>23921</v>
      </c>
      <c r="J5842" s="1" t="s">
        <v>23922</v>
      </c>
      <c r="K5842" s="1" t="s">
        <v>372</v>
      </c>
    </row>
    <row r="5843">
      <c r="A5843" s="1" t="s">
        <v>23923</v>
      </c>
      <c r="B5843" s="1" t="s">
        <v>23924</v>
      </c>
      <c r="C5843" s="1">
        <v>2004.0</v>
      </c>
      <c r="D5843" s="2">
        <v>37989.0</v>
      </c>
      <c r="F5843" s="1" t="s">
        <v>1050</v>
      </c>
      <c r="H5843" s="3">
        <v>2.0</v>
      </c>
      <c r="I5843" s="4" t="s">
        <v>23925</v>
      </c>
      <c r="J5843" s="1" t="s">
        <v>23926</v>
      </c>
      <c r="K5843" s="1" t="s">
        <v>383</v>
      </c>
    </row>
    <row r="5844">
      <c r="A5844" s="1" t="s">
        <v>23927</v>
      </c>
      <c r="B5844" s="1" t="s">
        <v>23928</v>
      </c>
      <c r="C5844" s="1">
        <v>2004.0</v>
      </c>
      <c r="D5844" s="2">
        <v>37987.0</v>
      </c>
      <c r="F5844" s="1" t="s">
        <v>16385</v>
      </c>
      <c r="H5844" s="3">
        <v>54.0</v>
      </c>
      <c r="I5844" s="4" t="s">
        <v>23929</v>
      </c>
      <c r="J5844" s="1" t="s">
        <v>23930</v>
      </c>
      <c r="K5844" s="1" t="s">
        <v>383</v>
      </c>
    </row>
    <row r="5845">
      <c r="A5845" s="1" t="s">
        <v>23931</v>
      </c>
      <c r="B5845" s="1" t="s">
        <v>23932</v>
      </c>
      <c r="C5845" s="1">
        <v>2004.0</v>
      </c>
      <c r="D5845" s="2">
        <v>37987.0</v>
      </c>
      <c r="F5845" s="1" t="s">
        <v>2955</v>
      </c>
      <c r="H5845" s="3">
        <v>66.0</v>
      </c>
      <c r="I5845" s="4" t="s">
        <v>23933</v>
      </c>
      <c r="J5845" s="1" t="s">
        <v>23934</v>
      </c>
      <c r="K5845" s="1" t="s">
        <v>527</v>
      </c>
    </row>
    <row r="5846">
      <c r="A5846" s="1" t="s">
        <v>23935</v>
      </c>
      <c r="B5846" s="1" t="s">
        <v>8479</v>
      </c>
      <c r="C5846" s="1">
        <v>2004.0</v>
      </c>
      <c r="D5846" s="2">
        <v>37987.0</v>
      </c>
      <c r="F5846" s="1" t="s">
        <v>2955</v>
      </c>
      <c r="H5846" s="3">
        <v>8.0</v>
      </c>
      <c r="I5846" s="4" t="s">
        <v>23936</v>
      </c>
      <c r="J5846" s="1"/>
      <c r="K5846" s="1" t="s">
        <v>16</v>
      </c>
    </row>
    <row r="5847">
      <c r="A5847" s="1" t="s">
        <v>23937</v>
      </c>
      <c r="B5847" s="1" t="s">
        <v>23938</v>
      </c>
      <c r="C5847" s="1">
        <v>2003.0</v>
      </c>
      <c r="D5847" s="2">
        <v>37959.0</v>
      </c>
      <c r="F5847" s="1" t="s">
        <v>386</v>
      </c>
      <c r="H5847" s="3">
        <v>62.0</v>
      </c>
      <c r="I5847" s="4" t="s">
        <v>23939</v>
      </c>
      <c r="J5847" s="1" t="s">
        <v>23940</v>
      </c>
      <c r="K5847" s="1" t="s">
        <v>383</v>
      </c>
    </row>
    <row r="5848">
      <c r="A5848" s="1" t="s">
        <v>23941</v>
      </c>
      <c r="B5848" s="1" t="s">
        <v>23942</v>
      </c>
      <c r="C5848" s="1">
        <v>2003.0</v>
      </c>
      <c r="D5848" s="2">
        <v>37956.0</v>
      </c>
      <c r="F5848" s="1" t="s">
        <v>23943</v>
      </c>
      <c r="H5848" s="3">
        <v>29.0</v>
      </c>
      <c r="I5848" s="4" t="s">
        <v>23944</v>
      </c>
      <c r="J5848" s="1" t="s">
        <v>23945</v>
      </c>
      <c r="K5848" s="1" t="s">
        <v>295</v>
      </c>
    </row>
    <row r="5849">
      <c r="A5849" s="1" t="s">
        <v>23946</v>
      </c>
      <c r="B5849" s="1" t="s">
        <v>23947</v>
      </c>
      <c r="C5849" s="1">
        <v>2003.0</v>
      </c>
      <c r="D5849" s="2">
        <v>37956.0</v>
      </c>
      <c r="F5849" s="1" t="s">
        <v>21412</v>
      </c>
      <c r="H5849" s="3">
        <v>267.0</v>
      </c>
      <c r="I5849" s="4" t="s">
        <v>23948</v>
      </c>
      <c r="J5849" s="1" t="s">
        <v>23949</v>
      </c>
      <c r="K5849" s="1" t="s">
        <v>16</v>
      </c>
    </row>
    <row r="5850">
      <c r="A5850" s="1" t="s">
        <v>23950</v>
      </c>
      <c r="B5850" s="1" t="s">
        <v>23951</v>
      </c>
      <c r="C5850" s="1">
        <v>2003.0</v>
      </c>
      <c r="D5850" s="2">
        <v>37947.0</v>
      </c>
      <c r="F5850" s="1" t="s">
        <v>396</v>
      </c>
      <c r="H5850" s="3">
        <v>61.0</v>
      </c>
      <c r="I5850" s="4" t="s">
        <v>23952</v>
      </c>
      <c r="J5850" s="1" t="s">
        <v>23953</v>
      </c>
      <c r="K5850" s="1" t="s">
        <v>329</v>
      </c>
    </row>
    <row r="5851">
      <c r="A5851" s="1" t="s">
        <v>23954</v>
      </c>
      <c r="B5851" s="1" t="s">
        <v>23955</v>
      </c>
      <c r="C5851" s="1">
        <v>2003.0</v>
      </c>
      <c r="D5851" s="2">
        <v>37945.0</v>
      </c>
      <c r="F5851" s="1" t="s">
        <v>1277</v>
      </c>
      <c r="H5851" s="3">
        <v>40.0</v>
      </c>
      <c r="I5851" s="4" t="s">
        <v>23956</v>
      </c>
      <c r="J5851" s="1" t="s">
        <v>23957</v>
      </c>
      <c r="K5851" s="1" t="s">
        <v>28</v>
      </c>
    </row>
    <row r="5852">
      <c r="A5852" s="1" t="s">
        <v>23958</v>
      </c>
      <c r="B5852" s="1" t="s">
        <v>23959</v>
      </c>
      <c r="C5852" s="1">
        <v>2003.0</v>
      </c>
      <c r="D5852" s="2">
        <v>37938.0</v>
      </c>
      <c r="F5852" s="1" t="s">
        <v>1277</v>
      </c>
      <c r="H5852" s="3">
        <v>272.0</v>
      </c>
      <c r="I5852" s="4" t="s">
        <v>23960</v>
      </c>
      <c r="J5852" s="1" t="s">
        <v>23961</v>
      </c>
      <c r="K5852" s="1" t="s">
        <v>443</v>
      </c>
    </row>
    <row r="5853">
      <c r="A5853" s="1" t="s">
        <v>23962</v>
      </c>
      <c r="B5853" s="1" t="s">
        <v>23963</v>
      </c>
      <c r="C5853" s="1">
        <v>2003.0</v>
      </c>
      <c r="D5853" s="2">
        <v>37926.0</v>
      </c>
      <c r="F5853" s="1" t="s">
        <v>23964</v>
      </c>
      <c r="H5853" s="3">
        <v>91.0</v>
      </c>
      <c r="I5853" s="4" t="s">
        <v>23965</v>
      </c>
      <c r="J5853" s="1" t="s">
        <v>23966</v>
      </c>
      <c r="K5853" s="1" t="s">
        <v>383</v>
      </c>
    </row>
    <row r="5854">
      <c r="A5854" s="1" t="s">
        <v>23967</v>
      </c>
      <c r="B5854" s="1" t="s">
        <v>23968</v>
      </c>
      <c r="C5854" s="1">
        <v>2003.0</v>
      </c>
      <c r="D5854" s="2">
        <v>37926.0</v>
      </c>
      <c r="F5854" s="1" t="s">
        <v>5554</v>
      </c>
      <c r="H5854" s="3">
        <v>39.0</v>
      </c>
      <c r="I5854" s="4" t="s">
        <v>23969</v>
      </c>
      <c r="J5854" s="1" t="s">
        <v>23970</v>
      </c>
      <c r="K5854" s="1" t="s">
        <v>383</v>
      </c>
    </row>
    <row r="5855">
      <c r="A5855" s="1" t="s">
        <v>23971</v>
      </c>
      <c r="B5855" s="1" t="s">
        <v>23972</v>
      </c>
      <c r="C5855" s="1">
        <v>2003.0</v>
      </c>
      <c r="D5855" s="2">
        <v>37926.0</v>
      </c>
      <c r="F5855" s="1" t="s">
        <v>3463</v>
      </c>
      <c r="H5855" s="3">
        <v>2.0</v>
      </c>
      <c r="I5855" s="4" t="s">
        <v>23973</v>
      </c>
      <c r="J5855" s="1" t="s">
        <v>23974</v>
      </c>
      <c r="K5855" s="1" t="s">
        <v>418</v>
      </c>
    </row>
    <row r="5856">
      <c r="A5856" s="1" t="s">
        <v>23975</v>
      </c>
      <c r="B5856" s="1" t="s">
        <v>23976</v>
      </c>
      <c r="C5856" s="1">
        <v>2003.0</v>
      </c>
      <c r="D5856" s="2">
        <v>37926.0</v>
      </c>
      <c r="F5856" s="1" t="s">
        <v>1904</v>
      </c>
      <c r="H5856" s="3">
        <v>80.0</v>
      </c>
      <c r="I5856" s="4" t="s">
        <v>23977</v>
      </c>
      <c r="J5856" s="1" t="s">
        <v>23978</v>
      </c>
      <c r="K5856" s="1" t="s">
        <v>16</v>
      </c>
    </row>
    <row r="5857">
      <c r="A5857" s="1" t="s">
        <v>23979</v>
      </c>
      <c r="B5857" s="1" t="s">
        <v>23980</v>
      </c>
      <c r="C5857" s="1">
        <v>2003.0</v>
      </c>
      <c r="D5857" s="2">
        <v>37912.0</v>
      </c>
      <c r="F5857" s="1" t="s">
        <v>6907</v>
      </c>
      <c r="H5857" s="3">
        <v>154.0</v>
      </c>
      <c r="I5857" s="4" t="s">
        <v>23981</v>
      </c>
      <c r="J5857" s="1" t="s">
        <v>23982</v>
      </c>
      <c r="K5857" s="1" t="s">
        <v>28</v>
      </c>
    </row>
    <row r="5858">
      <c r="A5858" s="1" t="s">
        <v>23983</v>
      </c>
      <c r="B5858" s="1" t="s">
        <v>23984</v>
      </c>
      <c r="C5858" s="1">
        <v>2003.0</v>
      </c>
      <c r="D5858" s="2">
        <v>37903.0</v>
      </c>
      <c r="F5858" s="1" t="s">
        <v>6202</v>
      </c>
      <c r="H5858" s="3">
        <v>108.0</v>
      </c>
      <c r="I5858" s="4" t="s">
        <v>23985</v>
      </c>
      <c r="J5858" s="1" t="s">
        <v>23986</v>
      </c>
      <c r="K5858" s="1" t="s">
        <v>443</v>
      </c>
    </row>
    <row r="5859">
      <c r="A5859" s="1" t="s">
        <v>23987</v>
      </c>
      <c r="B5859" s="1" t="s">
        <v>23988</v>
      </c>
      <c r="C5859" s="1">
        <v>2003.0</v>
      </c>
      <c r="D5859" s="2">
        <v>37895.0</v>
      </c>
      <c r="F5859" s="1" t="s">
        <v>208</v>
      </c>
      <c r="H5859" s="3">
        <v>4.0</v>
      </c>
      <c r="I5859" s="4" t="s">
        <v>23989</v>
      </c>
      <c r="J5859" s="1" t="s">
        <v>23990</v>
      </c>
      <c r="K5859" s="1" t="s">
        <v>295</v>
      </c>
    </row>
    <row r="5860">
      <c r="A5860" s="1" t="s">
        <v>23991</v>
      </c>
      <c r="B5860" s="1" t="s">
        <v>23992</v>
      </c>
      <c r="C5860" s="1">
        <v>2003.0</v>
      </c>
      <c r="D5860" s="2">
        <v>37895.0</v>
      </c>
      <c r="F5860" s="1" t="s">
        <v>10121</v>
      </c>
      <c r="H5860" s="3">
        <v>18.0</v>
      </c>
      <c r="I5860" s="4" t="s">
        <v>23993</v>
      </c>
      <c r="J5860" s="1" t="s">
        <v>23994</v>
      </c>
      <c r="K5860" s="1" t="s">
        <v>295</v>
      </c>
    </row>
    <row r="5861">
      <c r="A5861" s="1" t="s">
        <v>23995</v>
      </c>
      <c r="B5861" s="1" t="s">
        <v>23996</v>
      </c>
      <c r="C5861" s="1">
        <v>2003.0</v>
      </c>
      <c r="D5861" s="2">
        <v>37865.0</v>
      </c>
      <c r="F5861" s="1" t="s">
        <v>1777</v>
      </c>
      <c r="H5861" s="3">
        <v>34.0</v>
      </c>
      <c r="I5861" s="4" t="s">
        <v>23997</v>
      </c>
      <c r="J5861" s="1" t="s">
        <v>23998</v>
      </c>
      <c r="K5861" s="1" t="s">
        <v>28</v>
      </c>
    </row>
    <row r="5862">
      <c r="A5862" s="1" t="s">
        <v>23999</v>
      </c>
      <c r="B5862" s="1" t="s">
        <v>24000</v>
      </c>
      <c r="C5862" s="1">
        <v>2003.0</v>
      </c>
      <c r="D5862" s="2">
        <v>37865.0</v>
      </c>
      <c r="F5862" s="1" t="s">
        <v>519</v>
      </c>
      <c r="H5862" s="3">
        <v>43.0</v>
      </c>
      <c r="I5862" s="4" t="s">
        <v>24001</v>
      </c>
      <c r="J5862" s="1" t="s">
        <v>24002</v>
      </c>
      <c r="K5862" s="1" t="s">
        <v>68</v>
      </c>
    </row>
    <row r="5863">
      <c r="A5863" s="1" t="s">
        <v>24003</v>
      </c>
      <c r="B5863" s="1" t="s">
        <v>24004</v>
      </c>
      <c r="C5863" s="1">
        <v>2003.0</v>
      </c>
      <c r="D5863" s="2">
        <v>37843.0</v>
      </c>
      <c r="F5863" s="1" t="s">
        <v>243</v>
      </c>
      <c r="H5863" s="3">
        <v>85.0</v>
      </c>
      <c r="I5863" s="4" t="s">
        <v>24005</v>
      </c>
      <c r="J5863" s="1" t="s">
        <v>24006</v>
      </c>
      <c r="K5863" s="1" t="s">
        <v>443</v>
      </c>
    </row>
    <row r="5864">
      <c r="A5864" s="1" t="s">
        <v>24007</v>
      </c>
      <c r="B5864" s="1" t="s">
        <v>24008</v>
      </c>
      <c r="C5864" s="1">
        <v>2003.0</v>
      </c>
      <c r="D5864" s="2">
        <v>37834.0</v>
      </c>
      <c r="F5864" s="1" t="s">
        <v>591</v>
      </c>
      <c r="H5864" s="3">
        <v>73.0</v>
      </c>
      <c r="I5864" s="4" t="s">
        <v>24009</v>
      </c>
      <c r="J5864" s="1" t="s">
        <v>24010</v>
      </c>
      <c r="K5864" s="1" t="s">
        <v>45</v>
      </c>
    </row>
    <row r="5865">
      <c r="A5865" s="1" t="s">
        <v>24011</v>
      </c>
      <c r="B5865" s="1" t="s">
        <v>24012</v>
      </c>
      <c r="C5865" s="1">
        <v>2003.0</v>
      </c>
      <c r="D5865" s="2">
        <v>37834.0</v>
      </c>
      <c r="F5865" s="1" t="s">
        <v>24013</v>
      </c>
      <c r="H5865" s="3">
        <v>2.0</v>
      </c>
      <c r="I5865" s="4" t="s">
        <v>24014</v>
      </c>
      <c r="J5865" s="1" t="s">
        <v>24015</v>
      </c>
      <c r="K5865" s="1" t="s">
        <v>926</v>
      </c>
    </row>
    <row r="5866">
      <c r="A5866" s="1" t="s">
        <v>24016</v>
      </c>
      <c r="B5866" s="1" t="s">
        <v>24017</v>
      </c>
      <c r="C5866" s="1">
        <v>2003.0</v>
      </c>
      <c r="D5866" s="2">
        <v>37834.0</v>
      </c>
      <c r="F5866" s="1" t="s">
        <v>15512</v>
      </c>
      <c r="H5866" s="3">
        <v>17.0</v>
      </c>
      <c r="I5866" s="4" t="s">
        <v>24018</v>
      </c>
      <c r="J5866" s="1" t="s">
        <v>24019</v>
      </c>
      <c r="K5866" s="1" t="s">
        <v>443</v>
      </c>
    </row>
    <row r="5867">
      <c r="A5867" s="1" t="s">
        <v>24020</v>
      </c>
      <c r="B5867" s="1" t="s">
        <v>8479</v>
      </c>
      <c r="C5867" s="1">
        <v>2003.0</v>
      </c>
      <c r="D5867" s="2">
        <v>37834.0</v>
      </c>
      <c r="F5867" s="1" t="s">
        <v>24021</v>
      </c>
      <c r="H5867" s="3">
        <v>9.0</v>
      </c>
      <c r="I5867" s="4" t="s">
        <v>24022</v>
      </c>
      <c r="J5867" s="1" t="s">
        <v>24023</v>
      </c>
      <c r="K5867" s="1" t="s">
        <v>16</v>
      </c>
    </row>
    <row r="5868">
      <c r="A5868" s="1" t="s">
        <v>24024</v>
      </c>
      <c r="B5868" s="1" t="s">
        <v>24025</v>
      </c>
      <c r="C5868" s="1">
        <v>2003.0</v>
      </c>
      <c r="D5868" s="2">
        <v>37834.0</v>
      </c>
      <c r="F5868" s="1" t="s">
        <v>23869</v>
      </c>
      <c r="H5868" s="3">
        <v>33.0</v>
      </c>
      <c r="I5868" s="4" t="s">
        <v>24026</v>
      </c>
      <c r="J5868" s="1" t="s">
        <v>24027</v>
      </c>
      <c r="K5868" s="1" t="s">
        <v>16</v>
      </c>
    </row>
    <row r="5869">
      <c r="A5869" s="1" t="s">
        <v>24028</v>
      </c>
      <c r="B5869" s="1" t="s">
        <v>24029</v>
      </c>
      <c r="C5869" s="1">
        <v>2003.0</v>
      </c>
      <c r="D5869" s="2">
        <v>37828.0</v>
      </c>
      <c r="F5869" s="1" t="s">
        <v>1050</v>
      </c>
      <c r="H5869" s="3">
        <v>0.0</v>
      </c>
      <c r="I5869" s="4" t="s">
        <v>24030</v>
      </c>
      <c r="J5869" s="1" t="s">
        <v>24031</v>
      </c>
      <c r="K5869" s="1" t="s">
        <v>383</v>
      </c>
    </row>
    <row r="5870">
      <c r="A5870" s="1" t="s">
        <v>24032</v>
      </c>
      <c r="B5870" s="1" t="s">
        <v>24033</v>
      </c>
      <c r="C5870" s="1">
        <v>2003.0</v>
      </c>
      <c r="D5870" s="2">
        <v>37819.0</v>
      </c>
      <c r="F5870" s="1" t="s">
        <v>2191</v>
      </c>
      <c r="H5870" s="3">
        <v>76.0</v>
      </c>
      <c r="I5870" s="4" t="s">
        <v>24034</v>
      </c>
      <c r="J5870" s="1" t="s">
        <v>24035</v>
      </c>
      <c r="K5870" s="1" t="s">
        <v>295</v>
      </c>
    </row>
    <row r="5871">
      <c r="A5871" s="1" t="s">
        <v>24036</v>
      </c>
      <c r="B5871" s="1" t="s">
        <v>24037</v>
      </c>
      <c r="C5871" s="1">
        <v>2003.0</v>
      </c>
      <c r="D5871" s="2">
        <v>37805.0</v>
      </c>
      <c r="F5871" s="1" t="s">
        <v>1277</v>
      </c>
      <c r="H5871" s="3">
        <v>527.0</v>
      </c>
      <c r="I5871" s="4" t="s">
        <v>24038</v>
      </c>
      <c r="J5871" s="1" t="s">
        <v>24039</v>
      </c>
      <c r="K5871" s="1" t="s">
        <v>28</v>
      </c>
    </row>
    <row r="5872">
      <c r="A5872" s="1" t="s">
        <v>24040</v>
      </c>
      <c r="B5872" s="1" t="s">
        <v>24041</v>
      </c>
      <c r="C5872" s="1">
        <v>2003.0</v>
      </c>
      <c r="D5872" s="2">
        <v>37803.0</v>
      </c>
      <c r="F5872" s="1" t="s">
        <v>21188</v>
      </c>
      <c r="H5872" s="3">
        <v>58.0</v>
      </c>
      <c r="I5872" s="4" t="s">
        <v>24042</v>
      </c>
      <c r="J5872" s="1" t="s">
        <v>24043</v>
      </c>
      <c r="K5872" s="1" t="s">
        <v>383</v>
      </c>
    </row>
    <row r="5873">
      <c r="A5873" s="1" t="s">
        <v>24044</v>
      </c>
      <c r="B5873" s="1" t="s">
        <v>24045</v>
      </c>
      <c r="C5873" s="1">
        <v>2003.0</v>
      </c>
      <c r="D5873" s="2">
        <v>37803.0</v>
      </c>
      <c r="F5873" s="1" t="s">
        <v>10121</v>
      </c>
      <c r="H5873" s="3">
        <v>13.0</v>
      </c>
      <c r="I5873" s="4" t="s">
        <v>24046</v>
      </c>
      <c r="J5873" s="1" t="s">
        <v>24047</v>
      </c>
      <c r="K5873" s="1" t="s">
        <v>295</v>
      </c>
    </row>
    <row r="5874">
      <c r="A5874" s="1" t="s">
        <v>24048</v>
      </c>
      <c r="B5874" s="1" t="s">
        <v>24049</v>
      </c>
      <c r="C5874" s="1">
        <v>2003.0</v>
      </c>
      <c r="D5874" s="2">
        <v>37803.0</v>
      </c>
      <c r="F5874" s="1" t="s">
        <v>2707</v>
      </c>
      <c r="H5874" s="3">
        <v>21.0</v>
      </c>
      <c r="I5874" s="4" t="s">
        <v>24050</v>
      </c>
      <c r="J5874" s="1" t="s">
        <v>24051</v>
      </c>
      <c r="K5874" s="1" t="s">
        <v>413</v>
      </c>
    </row>
    <row r="5875">
      <c r="A5875" s="1" t="s">
        <v>24052</v>
      </c>
      <c r="B5875" s="1" t="s">
        <v>24053</v>
      </c>
      <c r="C5875" s="1">
        <v>2003.0</v>
      </c>
      <c r="D5875" s="2">
        <v>37803.0</v>
      </c>
      <c r="F5875" s="1" t="s">
        <v>24054</v>
      </c>
      <c r="H5875" s="3">
        <v>55.0</v>
      </c>
      <c r="I5875" s="4" t="s">
        <v>24055</v>
      </c>
      <c r="J5875" s="1" t="s">
        <v>24056</v>
      </c>
      <c r="K5875" s="1" t="s">
        <v>16</v>
      </c>
    </row>
    <row r="5876">
      <c r="A5876" s="1" t="s">
        <v>24057</v>
      </c>
      <c r="B5876" s="1" t="s">
        <v>24058</v>
      </c>
      <c r="C5876" s="1">
        <v>2003.0</v>
      </c>
      <c r="D5876" s="2">
        <v>37803.0</v>
      </c>
      <c r="F5876" s="1" t="s">
        <v>3463</v>
      </c>
      <c r="H5876" s="3">
        <v>8.0</v>
      </c>
      <c r="I5876" s="4" t="s">
        <v>24059</v>
      </c>
      <c r="J5876" s="1"/>
      <c r="K5876" s="1" t="s">
        <v>443</v>
      </c>
    </row>
    <row r="5877">
      <c r="A5877" s="1" t="s">
        <v>24060</v>
      </c>
      <c r="B5877" s="1" t="s">
        <v>24061</v>
      </c>
      <c r="C5877" s="1">
        <v>2003.0</v>
      </c>
      <c r="D5877" s="2">
        <v>37773.0</v>
      </c>
      <c r="F5877" s="1" t="s">
        <v>24062</v>
      </c>
      <c r="H5877" s="3">
        <v>68.0</v>
      </c>
      <c r="I5877" s="4" t="s">
        <v>24063</v>
      </c>
      <c r="J5877" s="1"/>
      <c r="K5877" s="1" t="s">
        <v>28</v>
      </c>
    </row>
    <row r="5878">
      <c r="A5878" s="1" t="s">
        <v>24064</v>
      </c>
      <c r="B5878" s="1" t="s">
        <v>24065</v>
      </c>
      <c r="C5878" s="1">
        <v>2003.0</v>
      </c>
      <c r="D5878" s="2">
        <v>37773.0</v>
      </c>
      <c r="F5878" s="1" t="s">
        <v>13473</v>
      </c>
      <c r="H5878" s="3">
        <v>0.0</v>
      </c>
      <c r="I5878" s="4" t="s">
        <v>24066</v>
      </c>
      <c r="J5878" s="1"/>
      <c r="K5878" s="1" t="s">
        <v>443</v>
      </c>
    </row>
    <row r="5879">
      <c r="A5879" s="1" t="s">
        <v>24067</v>
      </c>
      <c r="B5879" s="1" t="s">
        <v>24068</v>
      </c>
      <c r="C5879" s="1">
        <v>2003.0</v>
      </c>
      <c r="D5879" s="2">
        <v>37773.0</v>
      </c>
      <c r="F5879" s="1" t="s">
        <v>2611</v>
      </c>
      <c r="H5879" s="3">
        <v>15.0</v>
      </c>
      <c r="I5879" s="4" t="s">
        <v>24069</v>
      </c>
      <c r="J5879" s="1"/>
      <c r="K5879" s="1" t="s">
        <v>413</v>
      </c>
    </row>
    <row r="5880">
      <c r="A5880" s="1" t="s">
        <v>24070</v>
      </c>
      <c r="B5880" s="1" t="s">
        <v>24068</v>
      </c>
      <c r="C5880" s="1">
        <v>2003.0</v>
      </c>
      <c r="D5880" s="2">
        <v>37773.0</v>
      </c>
      <c r="F5880" s="1" t="s">
        <v>2611</v>
      </c>
      <c r="H5880" s="3">
        <v>107.0</v>
      </c>
      <c r="I5880" s="4" t="s">
        <v>24071</v>
      </c>
      <c r="J5880" s="1" t="s">
        <v>24072</v>
      </c>
      <c r="K5880" s="1" t="s">
        <v>413</v>
      </c>
    </row>
    <row r="5881">
      <c r="A5881" s="1" t="s">
        <v>24073</v>
      </c>
      <c r="B5881" s="1" t="s">
        <v>24074</v>
      </c>
      <c r="C5881" s="1">
        <v>2003.0</v>
      </c>
      <c r="D5881" s="2">
        <v>37773.0</v>
      </c>
      <c r="F5881" s="1" t="s">
        <v>7899</v>
      </c>
      <c r="H5881" s="3">
        <v>39.0</v>
      </c>
      <c r="I5881" s="4" t="s">
        <v>24075</v>
      </c>
      <c r="J5881" s="1" t="s">
        <v>24076</v>
      </c>
      <c r="K5881" s="1" t="s">
        <v>68</v>
      </c>
    </row>
    <row r="5882">
      <c r="A5882" s="1" t="s">
        <v>24077</v>
      </c>
      <c r="B5882" s="1" t="s">
        <v>24078</v>
      </c>
      <c r="C5882" s="1">
        <v>2003.0</v>
      </c>
      <c r="D5882" s="2">
        <v>37771.0</v>
      </c>
      <c r="F5882" s="1" t="s">
        <v>656</v>
      </c>
      <c r="H5882" s="3">
        <v>5.0</v>
      </c>
      <c r="I5882" s="4" t="s">
        <v>24079</v>
      </c>
      <c r="J5882" s="1" t="s">
        <v>24080</v>
      </c>
      <c r="K5882" s="1" t="s">
        <v>295</v>
      </c>
    </row>
    <row r="5883">
      <c r="A5883" s="1" t="s">
        <v>24081</v>
      </c>
      <c r="B5883" s="1" t="s">
        <v>24082</v>
      </c>
      <c r="C5883" s="1">
        <v>2003.0</v>
      </c>
      <c r="D5883" s="2">
        <v>37761.0</v>
      </c>
      <c r="F5883" s="1" t="s">
        <v>2007</v>
      </c>
      <c r="H5883" s="3">
        <v>120.0</v>
      </c>
      <c r="I5883" s="4" t="s">
        <v>24083</v>
      </c>
      <c r="J5883" s="1"/>
      <c r="K5883" s="1" t="s">
        <v>295</v>
      </c>
    </row>
    <row r="5884">
      <c r="A5884" s="1" t="s">
        <v>24084</v>
      </c>
      <c r="B5884" s="1" t="s">
        <v>24085</v>
      </c>
      <c r="C5884" s="1">
        <v>2003.0</v>
      </c>
      <c r="D5884" s="2">
        <v>37747.0</v>
      </c>
      <c r="F5884" s="1" t="s">
        <v>5090</v>
      </c>
      <c r="H5884" s="3">
        <v>45.0</v>
      </c>
      <c r="I5884" s="4" t="s">
        <v>24086</v>
      </c>
      <c r="J5884" s="1" t="s">
        <v>24087</v>
      </c>
      <c r="K5884" s="1" t="s">
        <v>462</v>
      </c>
    </row>
    <row r="5885">
      <c r="A5885" s="1" t="s">
        <v>24088</v>
      </c>
      <c r="B5885" s="1" t="s">
        <v>24089</v>
      </c>
      <c r="C5885" s="1">
        <v>2003.0</v>
      </c>
      <c r="D5885" s="2">
        <v>37742.0</v>
      </c>
      <c r="F5885" s="1" t="s">
        <v>163</v>
      </c>
      <c r="H5885" s="3">
        <v>19.0</v>
      </c>
      <c r="I5885" s="4" t="s">
        <v>24090</v>
      </c>
      <c r="J5885" s="1" t="s">
        <v>24091</v>
      </c>
      <c r="K5885" s="1" t="s">
        <v>443</v>
      </c>
    </row>
    <row r="5886">
      <c r="A5886" s="1" t="s">
        <v>24092</v>
      </c>
      <c r="B5886" s="1" t="s">
        <v>24093</v>
      </c>
      <c r="C5886" s="1">
        <v>2003.0</v>
      </c>
      <c r="D5886" s="2">
        <v>37726.0</v>
      </c>
      <c r="F5886" s="1" t="s">
        <v>25</v>
      </c>
      <c r="H5886" s="3">
        <v>21.0</v>
      </c>
      <c r="I5886" s="4" t="s">
        <v>24094</v>
      </c>
      <c r="J5886" s="1" t="s">
        <v>24095</v>
      </c>
      <c r="K5886" s="1" t="s">
        <v>413</v>
      </c>
    </row>
    <row r="5887">
      <c r="A5887" s="1" t="s">
        <v>24096</v>
      </c>
      <c r="B5887" s="1" t="s">
        <v>24097</v>
      </c>
      <c r="C5887" s="1">
        <v>2003.0</v>
      </c>
      <c r="D5887" s="2">
        <v>37721.0</v>
      </c>
      <c r="F5887" s="1" t="s">
        <v>1277</v>
      </c>
      <c r="H5887" s="3">
        <v>287.0</v>
      </c>
      <c r="I5887" s="4" t="s">
        <v>24098</v>
      </c>
      <c r="J5887" s="1" t="s">
        <v>24099</v>
      </c>
      <c r="K5887" s="1" t="s">
        <v>295</v>
      </c>
    </row>
    <row r="5888">
      <c r="A5888" s="1" t="s">
        <v>24100</v>
      </c>
      <c r="B5888" s="1" t="s">
        <v>24101</v>
      </c>
      <c r="C5888" s="1">
        <v>2003.0</v>
      </c>
      <c r="D5888" s="2">
        <v>37713.0</v>
      </c>
      <c r="F5888" s="1" t="s">
        <v>308</v>
      </c>
      <c r="H5888" s="3">
        <v>12.0</v>
      </c>
      <c r="I5888" s="4" t="s">
        <v>24102</v>
      </c>
      <c r="J5888" s="1" t="s">
        <v>24103</v>
      </c>
      <c r="K5888" s="1" t="s">
        <v>413</v>
      </c>
    </row>
    <row r="5889">
      <c r="A5889" s="1" t="s">
        <v>24104</v>
      </c>
      <c r="B5889" s="1" t="s">
        <v>24105</v>
      </c>
      <c r="C5889" s="1">
        <v>2003.0</v>
      </c>
      <c r="D5889" s="2">
        <v>37712.0</v>
      </c>
      <c r="F5889" s="1" t="s">
        <v>676</v>
      </c>
      <c r="H5889" s="3">
        <v>82.0</v>
      </c>
      <c r="I5889" s="4" t="s">
        <v>24106</v>
      </c>
      <c r="J5889" s="1" t="s">
        <v>24107</v>
      </c>
      <c r="K5889" s="1" t="s">
        <v>926</v>
      </c>
    </row>
    <row r="5890">
      <c r="A5890" s="1" t="s">
        <v>24108</v>
      </c>
      <c r="B5890" s="1" t="s">
        <v>24109</v>
      </c>
      <c r="C5890" s="1">
        <v>2003.0</v>
      </c>
      <c r="D5890" s="2">
        <v>37712.0</v>
      </c>
      <c r="F5890" s="1" t="s">
        <v>4848</v>
      </c>
      <c r="H5890" s="3">
        <v>45.0</v>
      </c>
      <c r="I5890" s="4" t="s">
        <v>24110</v>
      </c>
      <c r="J5890" s="1" t="s">
        <v>24111</v>
      </c>
      <c r="K5890" s="1" t="s">
        <v>413</v>
      </c>
    </row>
    <row r="5891">
      <c r="A5891" s="1" t="s">
        <v>24112</v>
      </c>
      <c r="B5891" s="1" t="s">
        <v>24113</v>
      </c>
      <c r="C5891" s="1">
        <v>2003.0</v>
      </c>
      <c r="D5891" s="2">
        <v>37712.0</v>
      </c>
      <c r="F5891" s="1" t="s">
        <v>15512</v>
      </c>
      <c r="H5891" s="3">
        <v>18.0</v>
      </c>
      <c r="I5891" s="4" t="s">
        <v>24114</v>
      </c>
      <c r="J5891" s="1" t="s">
        <v>24115</v>
      </c>
      <c r="K5891" s="1" t="s">
        <v>16</v>
      </c>
    </row>
    <row r="5892">
      <c r="A5892" s="1" t="s">
        <v>24116</v>
      </c>
      <c r="B5892" s="1" t="s">
        <v>24117</v>
      </c>
      <c r="C5892" s="1">
        <v>2003.0</v>
      </c>
      <c r="D5892" s="2">
        <v>37708.0</v>
      </c>
      <c r="F5892" s="1" t="s">
        <v>656</v>
      </c>
      <c r="H5892" s="3">
        <v>3.0</v>
      </c>
      <c r="I5892" s="4" t="s">
        <v>24118</v>
      </c>
      <c r="J5892" s="1" t="s">
        <v>24119</v>
      </c>
      <c r="K5892" s="1" t="s">
        <v>443</v>
      </c>
    </row>
    <row r="5893">
      <c r="A5893" s="1" t="s">
        <v>24120</v>
      </c>
      <c r="B5893" s="1" t="s">
        <v>24121</v>
      </c>
      <c r="C5893" s="1">
        <v>2003.0</v>
      </c>
      <c r="D5893" s="2">
        <v>37688.0</v>
      </c>
      <c r="F5893" s="1" t="s">
        <v>396</v>
      </c>
      <c r="H5893" s="3">
        <v>58.0</v>
      </c>
      <c r="I5893" s="4" t="s">
        <v>24122</v>
      </c>
      <c r="J5893" s="1"/>
      <c r="K5893" s="1" t="s">
        <v>16</v>
      </c>
    </row>
    <row r="5894">
      <c r="A5894" s="1" t="s">
        <v>24123</v>
      </c>
      <c r="B5894" s="1" t="s">
        <v>24124</v>
      </c>
      <c r="C5894" s="1">
        <v>2003.0</v>
      </c>
      <c r="D5894" s="2">
        <v>37681.0</v>
      </c>
      <c r="F5894" s="1" t="s">
        <v>4861</v>
      </c>
      <c r="H5894" s="3">
        <v>1.0</v>
      </c>
      <c r="I5894" s="4" t="s">
        <v>24125</v>
      </c>
      <c r="J5894" s="1" t="s">
        <v>24126</v>
      </c>
      <c r="K5894" s="1" t="s">
        <v>477</v>
      </c>
    </row>
    <row r="5895">
      <c r="A5895" s="1" t="s">
        <v>24127</v>
      </c>
      <c r="B5895" s="1" t="s">
        <v>24128</v>
      </c>
      <c r="C5895" s="1">
        <v>2003.0</v>
      </c>
      <c r="D5895" s="2">
        <v>37681.0</v>
      </c>
      <c r="F5895" s="1" t="s">
        <v>435</v>
      </c>
      <c r="H5895" s="3">
        <v>27.0</v>
      </c>
      <c r="I5895" s="4" t="s">
        <v>24129</v>
      </c>
      <c r="J5895" s="1" t="s">
        <v>24130</v>
      </c>
      <c r="K5895" s="1" t="s">
        <v>295</v>
      </c>
    </row>
    <row r="5896">
      <c r="A5896" s="1" t="s">
        <v>24131</v>
      </c>
      <c r="B5896" s="1" t="s">
        <v>24132</v>
      </c>
      <c r="C5896" s="1">
        <v>2003.0</v>
      </c>
      <c r="D5896" s="2">
        <v>37681.0</v>
      </c>
      <c r="F5896" s="1" t="s">
        <v>2560</v>
      </c>
      <c r="H5896" s="3">
        <v>65.0</v>
      </c>
      <c r="I5896" s="4" t="s">
        <v>24133</v>
      </c>
      <c r="J5896" s="1" t="s">
        <v>24134</v>
      </c>
      <c r="K5896" s="1" t="s">
        <v>295</v>
      </c>
    </row>
    <row r="5897">
      <c r="A5897" s="1" t="s">
        <v>24135</v>
      </c>
      <c r="B5897" s="1" t="s">
        <v>24136</v>
      </c>
      <c r="C5897" s="1">
        <v>2003.0</v>
      </c>
      <c r="D5897" s="2">
        <v>37681.0</v>
      </c>
      <c r="F5897" s="1" t="s">
        <v>4980</v>
      </c>
      <c r="H5897" s="3">
        <v>41.0</v>
      </c>
      <c r="I5897" s="4" t="s">
        <v>24137</v>
      </c>
      <c r="J5897" s="1" t="s">
        <v>24138</v>
      </c>
      <c r="K5897" s="1" t="s">
        <v>413</v>
      </c>
    </row>
    <row r="5898">
      <c r="A5898" s="1" t="s">
        <v>24139</v>
      </c>
      <c r="B5898" s="1" t="s">
        <v>24140</v>
      </c>
      <c r="C5898" s="1">
        <v>2003.0</v>
      </c>
      <c r="D5898" s="2">
        <v>37681.0</v>
      </c>
      <c r="F5898" s="1" t="s">
        <v>4124</v>
      </c>
      <c r="H5898" s="3">
        <v>12.0</v>
      </c>
      <c r="I5898" s="4" t="s">
        <v>24141</v>
      </c>
      <c r="J5898" s="1" t="s">
        <v>24142</v>
      </c>
      <c r="K5898" s="1" t="s">
        <v>16</v>
      </c>
    </row>
    <row r="5899">
      <c r="A5899" s="1" t="s">
        <v>24143</v>
      </c>
      <c r="B5899" s="1" t="s">
        <v>24144</v>
      </c>
      <c r="C5899" s="1">
        <v>2003.0</v>
      </c>
      <c r="D5899" s="2">
        <v>37681.0</v>
      </c>
      <c r="F5899" s="1" t="s">
        <v>276</v>
      </c>
      <c r="H5899" s="3">
        <v>35.0</v>
      </c>
      <c r="I5899" s="4" t="s">
        <v>24145</v>
      </c>
      <c r="J5899" s="1" t="s">
        <v>24146</v>
      </c>
      <c r="K5899" s="1" t="s">
        <v>16</v>
      </c>
    </row>
    <row r="5900">
      <c r="A5900" s="1" t="s">
        <v>24147</v>
      </c>
      <c r="B5900" s="1" t="s">
        <v>24148</v>
      </c>
      <c r="C5900" s="1">
        <v>2003.0</v>
      </c>
      <c r="D5900" s="2">
        <v>37653.0</v>
      </c>
      <c r="F5900" s="1" t="s">
        <v>5554</v>
      </c>
      <c r="H5900" s="3">
        <v>15.0</v>
      </c>
      <c r="I5900" s="4" t="s">
        <v>24149</v>
      </c>
      <c r="J5900" s="1" t="s">
        <v>24150</v>
      </c>
      <c r="K5900" s="1" t="s">
        <v>383</v>
      </c>
    </row>
    <row r="5901">
      <c r="A5901" s="1" t="s">
        <v>24151</v>
      </c>
      <c r="B5901" s="1" t="s">
        <v>24152</v>
      </c>
      <c r="C5901" s="1">
        <v>2003.0</v>
      </c>
      <c r="D5901" s="2">
        <v>37653.0</v>
      </c>
      <c r="F5901" s="1" t="s">
        <v>4848</v>
      </c>
      <c r="H5901" s="3">
        <v>5.0</v>
      </c>
      <c r="I5901" s="4" t="s">
        <v>24153</v>
      </c>
      <c r="J5901" s="1" t="s">
        <v>24154</v>
      </c>
      <c r="K5901" s="1" t="s">
        <v>68</v>
      </c>
    </row>
    <row r="5902">
      <c r="A5902" s="1" t="s">
        <v>24155</v>
      </c>
      <c r="B5902" s="1" t="s">
        <v>24156</v>
      </c>
      <c r="C5902" s="1">
        <v>2003.0</v>
      </c>
      <c r="D5902" s="2">
        <v>37622.0</v>
      </c>
      <c r="F5902" s="1" t="s">
        <v>2955</v>
      </c>
      <c r="H5902" s="3">
        <v>2.0</v>
      </c>
      <c r="I5902" s="4" t="s">
        <v>24157</v>
      </c>
      <c r="J5902" s="1"/>
      <c r="K5902" s="1" t="s">
        <v>443</v>
      </c>
    </row>
    <row r="5903">
      <c r="A5903" s="1" t="s">
        <v>24158</v>
      </c>
      <c r="B5903" s="1" t="s">
        <v>24159</v>
      </c>
      <c r="C5903" s="1">
        <v>2003.0</v>
      </c>
      <c r="D5903" s="2">
        <v>37622.0</v>
      </c>
      <c r="F5903" s="1" t="s">
        <v>248</v>
      </c>
      <c r="H5903" s="3">
        <v>7.0</v>
      </c>
      <c r="I5903" s="4" t="s">
        <v>24160</v>
      </c>
      <c r="J5903" s="1" t="s">
        <v>24161</v>
      </c>
      <c r="K5903" s="1" t="s">
        <v>28</v>
      </c>
    </row>
    <row r="5904">
      <c r="A5904" s="1" t="s">
        <v>24162</v>
      </c>
      <c r="B5904" s="1" t="s">
        <v>24163</v>
      </c>
      <c r="C5904" s="1">
        <v>2003.0</v>
      </c>
      <c r="D5904" s="2">
        <v>37622.0</v>
      </c>
      <c r="F5904" s="1" t="s">
        <v>21188</v>
      </c>
      <c r="H5904" s="3">
        <v>68.0</v>
      </c>
      <c r="I5904" s="4" t="s">
        <v>24164</v>
      </c>
      <c r="J5904" s="1" t="s">
        <v>24165</v>
      </c>
      <c r="K5904" s="1" t="s">
        <v>1036</v>
      </c>
    </row>
    <row r="5905">
      <c r="A5905" s="1" t="s">
        <v>24166</v>
      </c>
      <c r="B5905" s="1" t="s">
        <v>24167</v>
      </c>
      <c r="C5905" s="1">
        <v>2003.0</v>
      </c>
      <c r="D5905" s="2">
        <v>37622.0</v>
      </c>
      <c r="F5905" s="1" t="s">
        <v>2955</v>
      </c>
      <c r="H5905" s="3">
        <v>14.0</v>
      </c>
      <c r="I5905" s="4" t="s">
        <v>24168</v>
      </c>
      <c r="J5905" s="1" t="s">
        <v>24169</v>
      </c>
      <c r="K5905" s="1" t="s">
        <v>323</v>
      </c>
    </row>
    <row r="5906">
      <c r="A5906" s="1" t="s">
        <v>24170</v>
      </c>
      <c r="B5906" s="1" t="s">
        <v>23764</v>
      </c>
      <c r="C5906" s="1">
        <v>2003.0</v>
      </c>
      <c r="D5906" s="2">
        <v>37622.0</v>
      </c>
      <c r="F5906" s="1" t="s">
        <v>24171</v>
      </c>
      <c r="H5906" s="3">
        <v>20.0</v>
      </c>
      <c r="I5906" s="4" t="s">
        <v>24172</v>
      </c>
      <c r="J5906" s="1" t="s">
        <v>24173</v>
      </c>
      <c r="K5906" s="1" t="s">
        <v>383</v>
      </c>
    </row>
    <row r="5907">
      <c r="A5907" s="1" t="s">
        <v>24174</v>
      </c>
      <c r="B5907" s="1" t="s">
        <v>20587</v>
      </c>
      <c r="C5907" s="1">
        <v>2003.0</v>
      </c>
      <c r="D5907" s="2">
        <v>37622.0</v>
      </c>
      <c r="F5907" s="1" t="s">
        <v>24175</v>
      </c>
      <c r="H5907" s="3">
        <v>0.0</v>
      </c>
      <c r="I5907" s="4" t="s">
        <v>24176</v>
      </c>
      <c r="J5907" s="1"/>
      <c r="K5907" s="1" t="s">
        <v>28</v>
      </c>
    </row>
    <row r="5908">
      <c r="A5908" s="1" t="s">
        <v>24177</v>
      </c>
      <c r="B5908" s="1" t="s">
        <v>24178</v>
      </c>
      <c r="C5908" s="1">
        <v>2003.0</v>
      </c>
      <c r="D5908" s="2">
        <v>37622.0</v>
      </c>
      <c r="F5908" s="1" t="s">
        <v>2955</v>
      </c>
      <c r="H5908" s="3">
        <v>17.0</v>
      </c>
      <c r="I5908" s="4" t="s">
        <v>24179</v>
      </c>
      <c r="J5908" s="1" t="s">
        <v>24180</v>
      </c>
      <c r="K5908" s="1" t="s">
        <v>383</v>
      </c>
    </row>
    <row r="5909">
      <c r="A5909" s="1" t="s">
        <v>24181</v>
      </c>
      <c r="B5909" s="1" t="s">
        <v>24182</v>
      </c>
      <c r="C5909" s="1">
        <v>2003.0</v>
      </c>
      <c r="D5909" s="2">
        <v>37622.0</v>
      </c>
      <c r="F5909" s="1" t="s">
        <v>12638</v>
      </c>
      <c r="H5909" s="3">
        <v>33.0</v>
      </c>
      <c r="I5909" s="4" t="s">
        <v>24183</v>
      </c>
      <c r="J5909" s="1" t="s">
        <v>24184</v>
      </c>
      <c r="K5909" s="1" t="s">
        <v>477</v>
      </c>
    </row>
    <row r="5910">
      <c r="A5910" s="1" t="s">
        <v>24185</v>
      </c>
      <c r="B5910" s="1" t="s">
        <v>24186</v>
      </c>
      <c r="C5910" s="1">
        <v>2003.0</v>
      </c>
      <c r="D5910" s="2">
        <v>37622.0</v>
      </c>
      <c r="F5910" s="1" t="s">
        <v>1040</v>
      </c>
      <c r="H5910" s="3">
        <v>159.0</v>
      </c>
      <c r="I5910" s="4" t="s">
        <v>24187</v>
      </c>
      <c r="J5910" s="1" t="s">
        <v>24188</v>
      </c>
      <c r="K5910" s="1" t="s">
        <v>16</v>
      </c>
    </row>
    <row r="5911">
      <c r="A5911" s="1" t="s">
        <v>24189</v>
      </c>
      <c r="B5911" s="1" t="s">
        <v>24190</v>
      </c>
      <c r="C5911" s="1">
        <v>2003.0</v>
      </c>
      <c r="D5911" s="2">
        <v>37622.0</v>
      </c>
      <c r="F5911" s="1" t="s">
        <v>2955</v>
      </c>
      <c r="H5911" s="3">
        <v>0.0</v>
      </c>
      <c r="I5911" s="4" t="s">
        <v>24191</v>
      </c>
      <c r="J5911" s="1"/>
      <c r="K5911" s="1" t="s">
        <v>16</v>
      </c>
    </row>
    <row r="5912">
      <c r="A5912" s="1" t="s">
        <v>24192</v>
      </c>
      <c r="B5912" s="1" t="s">
        <v>24193</v>
      </c>
      <c r="C5912" s="1">
        <v>2002.0</v>
      </c>
      <c r="D5912" s="2">
        <v>37591.0</v>
      </c>
      <c r="F5912" s="1" t="s">
        <v>5554</v>
      </c>
      <c r="H5912" s="3">
        <v>168.0</v>
      </c>
      <c r="I5912" s="4" t="s">
        <v>24194</v>
      </c>
      <c r="J5912" s="1" t="s">
        <v>24195</v>
      </c>
      <c r="K5912" s="1" t="s">
        <v>443</v>
      </c>
    </row>
    <row r="5913">
      <c r="A5913" s="1" t="s">
        <v>24196</v>
      </c>
      <c r="B5913" s="1" t="s">
        <v>24197</v>
      </c>
      <c r="C5913" s="1">
        <v>2002.0</v>
      </c>
      <c r="D5913" s="2">
        <v>37591.0</v>
      </c>
      <c r="F5913" s="1" t="s">
        <v>7464</v>
      </c>
      <c r="H5913" s="3">
        <v>101.0</v>
      </c>
      <c r="I5913" s="4" t="s">
        <v>24198</v>
      </c>
      <c r="J5913" s="1" t="s">
        <v>24199</v>
      </c>
      <c r="K5913" s="1" t="s">
        <v>413</v>
      </c>
    </row>
    <row r="5914">
      <c r="A5914" s="1" t="s">
        <v>24200</v>
      </c>
      <c r="B5914" s="1" t="s">
        <v>24201</v>
      </c>
      <c r="C5914" s="1">
        <v>2002.0</v>
      </c>
      <c r="D5914" s="2">
        <v>37591.0</v>
      </c>
      <c r="F5914" s="1" t="s">
        <v>5686</v>
      </c>
      <c r="H5914" s="3">
        <v>78.0</v>
      </c>
      <c r="I5914" s="4" t="s">
        <v>24202</v>
      </c>
      <c r="J5914" s="1" t="s">
        <v>24203</v>
      </c>
      <c r="K5914" s="1" t="s">
        <v>462</v>
      </c>
    </row>
    <row r="5915">
      <c r="A5915" s="1" t="s">
        <v>24204</v>
      </c>
      <c r="B5915" s="1" t="s">
        <v>24205</v>
      </c>
      <c r="C5915" s="1">
        <v>2002.0</v>
      </c>
      <c r="D5915" s="2">
        <v>37561.0</v>
      </c>
      <c r="F5915" s="1" t="s">
        <v>5554</v>
      </c>
      <c r="H5915" s="3">
        <v>57.0</v>
      </c>
      <c r="I5915" s="4" t="s">
        <v>24206</v>
      </c>
      <c r="J5915" s="1" t="s">
        <v>24207</v>
      </c>
      <c r="K5915" s="1" t="s">
        <v>383</v>
      </c>
    </row>
    <row r="5916">
      <c r="A5916" s="1" t="s">
        <v>24208</v>
      </c>
      <c r="B5916" s="1" t="s">
        <v>24209</v>
      </c>
      <c r="C5916" s="1">
        <v>2002.0</v>
      </c>
      <c r="D5916" s="2">
        <v>37561.0</v>
      </c>
      <c r="F5916" s="1" t="s">
        <v>5554</v>
      </c>
      <c r="H5916" s="3">
        <v>14.0</v>
      </c>
      <c r="I5916" s="4" t="s">
        <v>24210</v>
      </c>
      <c r="J5916" s="1"/>
      <c r="K5916" s="1" t="s">
        <v>16</v>
      </c>
    </row>
    <row r="5917">
      <c r="A5917" s="1" t="s">
        <v>24211</v>
      </c>
      <c r="B5917" s="1" t="s">
        <v>24212</v>
      </c>
      <c r="C5917" s="1">
        <v>2002.0</v>
      </c>
      <c r="D5917" s="2">
        <v>37553.0</v>
      </c>
      <c r="F5917" s="1" t="s">
        <v>6202</v>
      </c>
      <c r="H5917" s="3">
        <v>45.0</v>
      </c>
      <c r="I5917" s="4" t="s">
        <v>24213</v>
      </c>
      <c r="J5917" s="1" t="s">
        <v>24214</v>
      </c>
      <c r="K5917" s="1" t="s">
        <v>443</v>
      </c>
    </row>
    <row r="5918">
      <c r="A5918" s="1" t="s">
        <v>24215</v>
      </c>
      <c r="B5918" s="1" t="s">
        <v>24216</v>
      </c>
      <c r="C5918" s="1">
        <v>2002.0</v>
      </c>
      <c r="D5918" s="2">
        <v>37544.0</v>
      </c>
      <c r="F5918" s="1" t="s">
        <v>15339</v>
      </c>
      <c r="H5918" s="3">
        <v>42.0</v>
      </c>
      <c r="I5918" s="4" t="s">
        <v>24217</v>
      </c>
      <c r="J5918" s="1" t="s">
        <v>24218</v>
      </c>
      <c r="K5918" s="1" t="s">
        <v>295</v>
      </c>
    </row>
    <row r="5919">
      <c r="A5919" s="1" t="s">
        <v>24219</v>
      </c>
      <c r="B5919" s="1" t="s">
        <v>24220</v>
      </c>
      <c r="C5919" s="1">
        <v>2002.0</v>
      </c>
      <c r="D5919" s="2">
        <v>37541.0</v>
      </c>
      <c r="F5919" s="1" t="s">
        <v>396</v>
      </c>
      <c r="H5919" s="3">
        <v>110.0</v>
      </c>
      <c r="I5919" s="4" t="s">
        <v>24221</v>
      </c>
      <c r="J5919" s="1" t="s">
        <v>24222</v>
      </c>
      <c r="K5919" s="1" t="s">
        <v>477</v>
      </c>
    </row>
    <row r="5920">
      <c r="A5920" s="1" t="s">
        <v>24223</v>
      </c>
      <c r="B5920" s="1" t="s">
        <v>24224</v>
      </c>
      <c r="C5920" s="1">
        <v>2002.0</v>
      </c>
      <c r="D5920" s="2">
        <v>37530.0</v>
      </c>
      <c r="F5920" s="1" t="s">
        <v>10121</v>
      </c>
      <c r="H5920" s="3">
        <v>18.0</v>
      </c>
      <c r="I5920" s="4" t="s">
        <v>24225</v>
      </c>
      <c r="J5920" s="1" t="s">
        <v>24226</v>
      </c>
      <c r="K5920" s="1" t="s">
        <v>295</v>
      </c>
    </row>
    <row r="5921">
      <c r="A5921" s="1" t="s">
        <v>24227</v>
      </c>
      <c r="B5921" s="1" t="s">
        <v>24228</v>
      </c>
      <c r="C5921" s="1">
        <v>2002.0</v>
      </c>
      <c r="D5921" s="2">
        <v>37530.0</v>
      </c>
      <c r="F5921" s="1" t="s">
        <v>4848</v>
      </c>
      <c r="H5921" s="3">
        <v>172.0</v>
      </c>
      <c r="I5921" s="4" t="s">
        <v>24229</v>
      </c>
      <c r="J5921" s="1" t="s">
        <v>24230</v>
      </c>
      <c r="K5921" s="1" t="s">
        <v>323</v>
      </c>
    </row>
    <row r="5922">
      <c r="A5922" s="1" t="s">
        <v>24231</v>
      </c>
      <c r="B5922" s="1" t="s">
        <v>24232</v>
      </c>
      <c r="C5922" s="1">
        <v>2002.0</v>
      </c>
      <c r="D5922" s="2">
        <v>37500.0</v>
      </c>
      <c r="F5922" s="1" t="s">
        <v>1777</v>
      </c>
      <c r="H5922" s="3">
        <v>3.0</v>
      </c>
      <c r="I5922" s="4" t="s">
        <v>24233</v>
      </c>
      <c r="J5922" s="1" t="s">
        <v>24234</v>
      </c>
      <c r="K5922" s="1" t="s">
        <v>295</v>
      </c>
    </row>
    <row r="5923">
      <c r="A5923" s="1" t="s">
        <v>24235</v>
      </c>
      <c r="B5923" s="1" t="s">
        <v>22748</v>
      </c>
      <c r="C5923" s="1">
        <v>2002.0</v>
      </c>
      <c r="D5923" s="2">
        <v>37492.0</v>
      </c>
      <c r="F5923" s="1" t="s">
        <v>1050</v>
      </c>
      <c r="H5923" s="3">
        <v>0.0</v>
      </c>
      <c r="I5923" s="4" t="s">
        <v>24236</v>
      </c>
      <c r="J5923" s="1" t="s">
        <v>24237</v>
      </c>
      <c r="K5923" s="1" t="s">
        <v>295</v>
      </c>
    </row>
    <row r="5924">
      <c r="A5924" s="1" t="s">
        <v>24238</v>
      </c>
      <c r="B5924" s="1" t="s">
        <v>24239</v>
      </c>
      <c r="C5924" s="1">
        <v>2002.0</v>
      </c>
      <c r="D5924" s="2">
        <v>37492.0</v>
      </c>
      <c r="F5924" s="1" t="s">
        <v>1050</v>
      </c>
      <c r="H5924" s="3">
        <v>0.0</v>
      </c>
      <c r="I5924" s="4" t="s">
        <v>24240</v>
      </c>
      <c r="J5924" s="1" t="s">
        <v>24241</v>
      </c>
      <c r="K5924" s="1" t="s">
        <v>16</v>
      </c>
    </row>
    <row r="5925">
      <c r="A5925" s="1" t="s">
        <v>24242</v>
      </c>
      <c r="B5925" s="1" t="s">
        <v>24243</v>
      </c>
      <c r="C5925" s="1">
        <v>2002.0</v>
      </c>
      <c r="D5925" s="2">
        <v>37469.0</v>
      </c>
      <c r="F5925" s="1" t="s">
        <v>386</v>
      </c>
      <c r="H5925" s="3">
        <v>89.0</v>
      </c>
      <c r="I5925" s="4" t="s">
        <v>24244</v>
      </c>
      <c r="J5925" s="1" t="s">
        <v>24245</v>
      </c>
      <c r="K5925" s="1" t="s">
        <v>383</v>
      </c>
    </row>
    <row r="5926">
      <c r="A5926" s="1" t="s">
        <v>24246</v>
      </c>
      <c r="B5926" s="1" t="s">
        <v>24247</v>
      </c>
      <c r="C5926" s="1">
        <v>2002.0</v>
      </c>
      <c r="D5926" s="2">
        <v>37469.0</v>
      </c>
      <c r="F5926" s="1" t="s">
        <v>1277</v>
      </c>
      <c r="H5926" s="3">
        <v>143.0</v>
      </c>
      <c r="I5926" s="4" t="s">
        <v>24248</v>
      </c>
      <c r="J5926" s="1" t="s">
        <v>24249</v>
      </c>
      <c r="K5926" s="1" t="s">
        <v>295</v>
      </c>
    </row>
    <row r="5927">
      <c r="A5927" s="1" t="s">
        <v>24250</v>
      </c>
      <c r="B5927" s="1" t="s">
        <v>24251</v>
      </c>
      <c r="C5927" s="1">
        <v>2002.0</v>
      </c>
      <c r="D5927" s="2">
        <v>37469.0</v>
      </c>
      <c r="F5927" s="1" t="s">
        <v>163</v>
      </c>
      <c r="H5927" s="3">
        <v>13.0</v>
      </c>
      <c r="I5927" s="4" t="s">
        <v>24252</v>
      </c>
      <c r="J5927" s="1" t="s">
        <v>24253</v>
      </c>
      <c r="K5927" s="1" t="s">
        <v>295</v>
      </c>
    </row>
    <row r="5928">
      <c r="A5928" s="1" t="s">
        <v>24254</v>
      </c>
      <c r="B5928" s="1" t="s">
        <v>24255</v>
      </c>
      <c r="C5928" s="1">
        <v>2002.0</v>
      </c>
      <c r="D5928" s="2">
        <v>37469.0</v>
      </c>
      <c r="F5928" s="1" t="s">
        <v>10222</v>
      </c>
      <c r="H5928" s="3">
        <v>16.0</v>
      </c>
      <c r="I5928" s="4" t="s">
        <v>24256</v>
      </c>
      <c r="J5928" s="1" t="s">
        <v>24257</v>
      </c>
      <c r="K5928" s="1" t="s">
        <v>295</v>
      </c>
    </row>
    <row r="5929">
      <c r="A5929" s="1" t="s">
        <v>24258</v>
      </c>
      <c r="B5929" s="1" t="s">
        <v>24259</v>
      </c>
      <c r="C5929" s="1">
        <v>2002.0</v>
      </c>
      <c r="D5929" s="2">
        <v>37469.0</v>
      </c>
      <c r="F5929" s="1" t="s">
        <v>24260</v>
      </c>
      <c r="H5929" s="3">
        <v>65.0</v>
      </c>
      <c r="I5929" s="4" t="s">
        <v>24261</v>
      </c>
      <c r="J5929" s="1" t="s">
        <v>24262</v>
      </c>
      <c r="K5929" s="1" t="s">
        <v>68</v>
      </c>
    </row>
    <row r="5930">
      <c r="A5930" s="1" t="s">
        <v>24263</v>
      </c>
      <c r="B5930" s="1" t="s">
        <v>24264</v>
      </c>
      <c r="C5930" s="1">
        <v>2002.0</v>
      </c>
      <c r="D5930" s="2">
        <v>37452.0</v>
      </c>
      <c r="F5930" s="1" t="s">
        <v>25</v>
      </c>
      <c r="H5930" s="3">
        <v>62.0</v>
      </c>
      <c r="I5930" s="4" t="s">
        <v>24265</v>
      </c>
      <c r="J5930" s="1" t="s">
        <v>24266</v>
      </c>
      <c r="K5930" s="1" t="s">
        <v>295</v>
      </c>
    </row>
    <row r="5931">
      <c r="A5931" s="1" t="s">
        <v>24267</v>
      </c>
      <c r="B5931" s="1" t="s">
        <v>24268</v>
      </c>
      <c r="C5931" s="1">
        <v>2002.0</v>
      </c>
      <c r="D5931" s="2">
        <v>37450.0</v>
      </c>
      <c r="F5931" s="1" t="s">
        <v>882</v>
      </c>
      <c r="H5931" s="3">
        <v>327.0</v>
      </c>
      <c r="I5931" s="4" t="s">
        <v>24269</v>
      </c>
      <c r="J5931" s="1" t="s">
        <v>24270</v>
      </c>
      <c r="K5931" s="1" t="s">
        <v>16</v>
      </c>
    </row>
    <row r="5932">
      <c r="A5932" s="1" t="s">
        <v>24271</v>
      </c>
      <c r="B5932" s="1" t="s">
        <v>24272</v>
      </c>
      <c r="C5932" s="1">
        <v>2002.0</v>
      </c>
      <c r="D5932" s="2">
        <v>37438.0</v>
      </c>
      <c r="F5932" s="1" t="s">
        <v>337</v>
      </c>
      <c r="H5932" s="3">
        <v>78.0</v>
      </c>
      <c r="I5932" s="4" t="s">
        <v>24273</v>
      </c>
      <c r="J5932" s="1" t="s">
        <v>24274</v>
      </c>
      <c r="K5932" s="1" t="s">
        <v>443</v>
      </c>
    </row>
    <row r="5933">
      <c r="A5933" s="1" t="s">
        <v>24275</v>
      </c>
      <c r="B5933" s="1" t="s">
        <v>24276</v>
      </c>
      <c r="C5933" s="1">
        <v>2002.0</v>
      </c>
      <c r="D5933" s="2">
        <v>37438.0</v>
      </c>
      <c r="F5933" s="1" t="s">
        <v>1777</v>
      </c>
      <c r="H5933" s="3">
        <v>30.0</v>
      </c>
      <c r="I5933" s="4" t="s">
        <v>24277</v>
      </c>
      <c r="J5933" s="1" t="s">
        <v>24278</v>
      </c>
      <c r="K5933" s="1" t="s">
        <v>295</v>
      </c>
    </row>
    <row r="5934">
      <c r="A5934" s="1" t="s">
        <v>24279</v>
      </c>
      <c r="B5934" s="1" t="s">
        <v>24280</v>
      </c>
      <c r="C5934" s="1">
        <v>2002.0</v>
      </c>
      <c r="D5934" s="2">
        <v>37438.0</v>
      </c>
      <c r="F5934" s="1" t="s">
        <v>24281</v>
      </c>
      <c r="H5934" s="3">
        <v>15.0</v>
      </c>
      <c r="I5934" s="4" t="s">
        <v>24282</v>
      </c>
      <c r="J5934" s="1" t="s">
        <v>24283</v>
      </c>
      <c r="K5934" s="1" t="s">
        <v>443</v>
      </c>
    </row>
    <row r="5935">
      <c r="A5935" s="1" t="s">
        <v>24284</v>
      </c>
      <c r="B5935" s="1" t="s">
        <v>24285</v>
      </c>
      <c r="C5935" s="1">
        <v>2002.0</v>
      </c>
      <c r="D5935" s="2">
        <v>37438.0</v>
      </c>
      <c r="F5935" s="1" t="s">
        <v>22974</v>
      </c>
      <c r="H5935" s="3">
        <v>130.0</v>
      </c>
      <c r="I5935" s="4" t="s">
        <v>24286</v>
      </c>
      <c r="J5935" s="1" t="s">
        <v>24287</v>
      </c>
      <c r="K5935" s="1" t="s">
        <v>443</v>
      </c>
    </row>
    <row r="5936">
      <c r="A5936" s="1" t="s">
        <v>24288</v>
      </c>
      <c r="B5936" s="1" t="s">
        <v>24289</v>
      </c>
      <c r="C5936" s="1">
        <v>2002.0</v>
      </c>
      <c r="D5936" s="2">
        <v>37438.0</v>
      </c>
      <c r="F5936" s="1" t="s">
        <v>208</v>
      </c>
      <c r="H5936" s="3">
        <v>56.0</v>
      </c>
      <c r="I5936" s="4" t="s">
        <v>24290</v>
      </c>
      <c r="J5936" s="1"/>
      <c r="K5936" s="1" t="s">
        <v>443</v>
      </c>
    </row>
    <row r="5937">
      <c r="A5937" s="1" t="s">
        <v>24291</v>
      </c>
      <c r="B5937" s="1" t="s">
        <v>24292</v>
      </c>
      <c r="C5937" s="1">
        <v>2002.0</v>
      </c>
      <c r="D5937" s="2">
        <v>37438.0</v>
      </c>
      <c r="F5937" s="1" t="s">
        <v>743</v>
      </c>
      <c r="H5937" s="3">
        <v>103.0</v>
      </c>
      <c r="I5937" s="4" t="s">
        <v>24293</v>
      </c>
      <c r="J5937" s="1" t="s">
        <v>24294</v>
      </c>
      <c r="K5937" s="1" t="s">
        <v>68</v>
      </c>
    </row>
    <row r="5938">
      <c r="A5938" s="1" t="s">
        <v>24295</v>
      </c>
      <c r="B5938" s="1" t="s">
        <v>24296</v>
      </c>
      <c r="C5938" s="1">
        <v>2002.0</v>
      </c>
      <c r="D5938" s="2">
        <v>37438.0</v>
      </c>
      <c r="F5938" s="1" t="s">
        <v>12651</v>
      </c>
      <c r="H5938" s="3">
        <v>8.0</v>
      </c>
      <c r="I5938" s="4" t="s">
        <v>24297</v>
      </c>
      <c r="J5938" s="1" t="s">
        <v>24298</v>
      </c>
      <c r="K5938" s="1" t="s">
        <v>16</v>
      </c>
    </row>
    <row r="5939">
      <c r="A5939" s="1" t="s">
        <v>24299</v>
      </c>
      <c r="B5939" s="1" t="s">
        <v>24300</v>
      </c>
      <c r="C5939" s="1">
        <v>2002.0</v>
      </c>
      <c r="D5939" s="2">
        <v>37429.0</v>
      </c>
      <c r="F5939" s="1" t="s">
        <v>1050</v>
      </c>
      <c r="H5939" s="3">
        <v>0.0</v>
      </c>
      <c r="I5939" s="4" t="s">
        <v>24301</v>
      </c>
      <c r="J5939" s="1" t="s">
        <v>24302</v>
      </c>
      <c r="K5939" s="1" t="s">
        <v>443</v>
      </c>
    </row>
    <row r="5940">
      <c r="A5940" s="1" t="s">
        <v>24303</v>
      </c>
      <c r="B5940" s="1" t="s">
        <v>24304</v>
      </c>
      <c r="C5940" s="1">
        <v>2002.0</v>
      </c>
      <c r="D5940" s="2">
        <v>37429.0</v>
      </c>
      <c r="F5940" s="1" t="s">
        <v>1050</v>
      </c>
      <c r="H5940" s="3">
        <v>0.0</v>
      </c>
      <c r="I5940" s="4" t="s">
        <v>24305</v>
      </c>
      <c r="J5940" s="1" t="s">
        <v>24306</v>
      </c>
      <c r="K5940" s="1" t="s">
        <v>443</v>
      </c>
    </row>
    <row r="5941">
      <c r="A5941" s="1" t="s">
        <v>24307</v>
      </c>
      <c r="B5941" s="1" t="s">
        <v>24308</v>
      </c>
      <c r="C5941" s="1">
        <v>2002.0</v>
      </c>
      <c r="D5941" s="2">
        <v>37425.0</v>
      </c>
      <c r="F5941" s="1" t="s">
        <v>2007</v>
      </c>
      <c r="H5941" s="3">
        <v>271.0</v>
      </c>
      <c r="I5941" s="4" t="s">
        <v>24309</v>
      </c>
      <c r="J5941" s="1" t="s">
        <v>24310</v>
      </c>
      <c r="K5941" s="1" t="s">
        <v>477</v>
      </c>
    </row>
    <row r="5942">
      <c r="A5942" s="1" t="s">
        <v>24311</v>
      </c>
      <c r="B5942" s="1" t="s">
        <v>24312</v>
      </c>
      <c r="C5942" s="1">
        <v>2002.0</v>
      </c>
      <c r="D5942" s="2">
        <v>37408.0</v>
      </c>
      <c r="F5942" s="1" t="s">
        <v>8420</v>
      </c>
      <c r="H5942" s="3">
        <v>149.0</v>
      </c>
      <c r="I5942" s="4" t="s">
        <v>24313</v>
      </c>
      <c r="J5942" s="1" t="s">
        <v>24314</v>
      </c>
      <c r="K5942" s="1" t="s">
        <v>413</v>
      </c>
    </row>
    <row r="5943">
      <c r="A5943" s="1" t="s">
        <v>24315</v>
      </c>
      <c r="B5943" s="1" t="s">
        <v>24316</v>
      </c>
      <c r="C5943" s="1">
        <v>2002.0</v>
      </c>
      <c r="D5943" s="2">
        <v>37391.0</v>
      </c>
      <c r="F5943" s="1" t="s">
        <v>24317</v>
      </c>
      <c r="H5943" s="3">
        <v>40.0</v>
      </c>
      <c r="I5943" s="4" t="s">
        <v>24318</v>
      </c>
      <c r="J5943" s="1" t="s">
        <v>24319</v>
      </c>
      <c r="K5943" s="1" t="s">
        <v>443</v>
      </c>
    </row>
    <row r="5944">
      <c r="A5944" s="1" t="s">
        <v>24320</v>
      </c>
      <c r="B5944" s="1" t="s">
        <v>24321</v>
      </c>
      <c r="C5944" s="1">
        <v>2002.0</v>
      </c>
      <c r="D5944" s="2">
        <v>37377.0</v>
      </c>
      <c r="F5944" s="1" t="s">
        <v>22974</v>
      </c>
      <c r="H5944" s="3">
        <v>14.0</v>
      </c>
      <c r="I5944" s="4" t="s">
        <v>24322</v>
      </c>
      <c r="J5944" s="1" t="s">
        <v>24323</v>
      </c>
      <c r="K5944" s="1" t="s">
        <v>443</v>
      </c>
    </row>
    <row r="5945">
      <c r="A5945" s="1" t="s">
        <v>24324</v>
      </c>
      <c r="B5945" s="1" t="s">
        <v>24325</v>
      </c>
      <c r="C5945" s="1">
        <v>2002.0</v>
      </c>
      <c r="D5945" s="2">
        <v>37377.0</v>
      </c>
      <c r="F5945" s="1" t="s">
        <v>1277</v>
      </c>
      <c r="H5945" s="3">
        <v>164.0</v>
      </c>
      <c r="I5945" s="4" t="s">
        <v>24326</v>
      </c>
      <c r="J5945" s="1" t="s">
        <v>24327</v>
      </c>
      <c r="K5945" s="1" t="s">
        <v>295</v>
      </c>
    </row>
    <row r="5946">
      <c r="A5946" s="1" t="s">
        <v>24328</v>
      </c>
      <c r="B5946" s="1" t="s">
        <v>24329</v>
      </c>
      <c r="C5946" s="1">
        <v>2002.0</v>
      </c>
      <c r="D5946" s="2">
        <v>37377.0</v>
      </c>
      <c r="F5946" s="1" t="s">
        <v>7464</v>
      </c>
      <c r="H5946" s="3">
        <v>45.0</v>
      </c>
      <c r="I5946" s="4" t="s">
        <v>24330</v>
      </c>
      <c r="J5946" s="1"/>
      <c r="K5946" s="1" t="s">
        <v>443</v>
      </c>
    </row>
    <row r="5947">
      <c r="A5947" s="1" t="s">
        <v>24331</v>
      </c>
      <c r="B5947" s="1" t="s">
        <v>24332</v>
      </c>
      <c r="C5947" s="1">
        <v>2002.0</v>
      </c>
      <c r="D5947" s="2">
        <v>37347.0</v>
      </c>
      <c r="F5947" s="1" t="s">
        <v>10191</v>
      </c>
      <c r="H5947" s="3">
        <v>50.0</v>
      </c>
      <c r="I5947" s="4" t="s">
        <v>24333</v>
      </c>
      <c r="J5947" s="1" t="s">
        <v>24334</v>
      </c>
      <c r="K5947" s="1" t="s">
        <v>323</v>
      </c>
    </row>
    <row r="5948">
      <c r="A5948" s="1" t="s">
        <v>24335</v>
      </c>
      <c r="B5948" s="1" t="s">
        <v>24336</v>
      </c>
      <c r="C5948" s="1">
        <v>2002.0</v>
      </c>
      <c r="D5948" s="2">
        <v>37347.0</v>
      </c>
      <c r="F5948" s="1" t="s">
        <v>8612</v>
      </c>
      <c r="H5948" s="3">
        <v>4.0</v>
      </c>
      <c r="I5948" s="4" t="s">
        <v>24337</v>
      </c>
      <c r="J5948" s="1" t="s">
        <v>24338</v>
      </c>
      <c r="K5948" s="1" t="s">
        <v>413</v>
      </c>
    </row>
    <row r="5949">
      <c r="A5949" s="1" t="s">
        <v>24339</v>
      </c>
      <c r="B5949" s="1" t="s">
        <v>24340</v>
      </c>
      <c r="C5949" s="1">
        <v>2002.0</v>
      </c>
      <c r="D5949" s="2">
        <v>37316.0</v>
      </c>
      <c r="F5949" s="1" t="s">
        <v>24341</v>
      </c>
      <c r="H5949" s="3">
        <v>8.0</v>
      </c>
      <c r="I5949" s="4" t="s">
        <v>24342</v>
      </c>
      <c r="J5949" s="1" t="s">
        <v>24343</v>
      </c>
      <c r="K5949" s="1" t="s">
        <v>383</v>
      </c>
    </row>
    <row r="5950">
      <c r="A5950" s="1" t="s">
        <v>24344</v>
      </c>
      <c r="B5950" s="1" t="s">
        <v>24345</v>
      </c>
      <c r="C5950" s="1">
        <v>2002.0</v>
      </c>
      <c r="D5950" s="2">
        <v>37316.0</v>
      </c>
      <c r="F5950" s="1" t="s">
        <v>337</v>
      </c>
      <c r="H5950" s="3">
        <v>116.0</v>
      </c>
      <c r="I5950" s="4" t="s">
        <v>24346</v>
      </c>
      <c r="J5950" s="1" t="s">
        <v>24347</v>
      </c>
      <c r="K5950" s="1" t="s">
        <v>413</v>
      </c>
    </row>
    <row r="5951">
      <c r="A5951" s="1" t="s">
        <v>24348</v>
      </c>
      <c r="B5951" s="1" t="s">
        <v>24349</v>
      </c>
      <c r="C5951" s="1">
        <v>2002.0</v>
      </c>
      <c r="D5951" s="2">
        <v>37302.0</v>
      </c>
      <c r="F5951" s="1" t="s">
        <v>25</v>
      </c>
      <c r="H5951" s="3">
        <v>155.0</v>
      </c>
      <c r="I5951" s="4" t="s">
        <v>24350</v>
      </c>
      <c r="J5951" s="1" t="s">
        <v>24351</v>
      </c>
      <c r="K5951" s="1" t="s">
        <v>1036</v>
      </c>
    </row>
    <row r="5952">
      <c r="A5952" s="1" t="s">
        <v>24352</v>
      </c>
      <c r="B5952" s="1" t="s">
        <v>24353</v>
      </c>
      <c r="C5952" s="1">
        <v>2002.0</v>
      </c>
      <c r="D5952" s="2">
        <v>37288.0</v>
      </c>
      <c r="F5952" s="1" t="s">
        <v>1772</v>
      </c>
      <c r="H5952" s="3">
        <v>6.0</v>
      </c>
      <c r="I5952" s="4" t="s">
        <v>24354</v>
      </c>
      <c r="J5952" s="1" t="s">
        <v>24355</v>
      </c>
      <c r="K5952" s="1" t="s">
        <v>28</v>
      </c>
    </row>
    <row r="5953">
      <c r="A5953" s="1" t="s">
        <v>24356</v>
      </c>
      <c r="B5953" s="1" t="s">
        <v>24280</v>
      </c>
      <c r="C5953" s="1">
        <v>2002.0</v>
      </c>
      <c r="D5953" s="2">
        <v>37288.0</v>
      </c>
      <c r="F5953" s="1" t="s">
        <v>6188</v>
      </c>
      <c r="H5953" s="3">
        <v>1.0</v>
      </c>
      <c r="I5953" s="4" t="s">
        <v>24357</v>
      </c>
      <c r="J5953" s="1" t="s">
        <v>24358</v>
      </c>
      <c r="K5953" s="1" t="s">
        <v>443</v>
      </c>
    </row>
    <row r="5954">
      <c r="A5954" s="1" t="s">
        <v>24359</v>
      </c>
      <c r="B5954" s="1" t="s">
        <v>24360</v>
      </c>
      <c r="C5954" s="1">
        <v>2002.0</v>
      </c>
      <c r="D5954" s="2">
        <v>37288.0</v>
      </c>
      <c r="F5954" s="1" t="s">
        <v>7464</v>
      </c>
      <c r="H5954" s="3">
        <v>34.0</v>
      </c>
      <c r="I5954" s="4" t="s">
        <v>24361</v>
      </c>
      <c r="J5954" s="1" t="s">
        <v>24362</v>
      </c>
      <c r="K5954" s="1" t="s">
        <v>443</v>
      </c>
    </row>
    <row r="5955">
      <c r="A5955" s="1" t="s">
        <v>24363</v>
      </c>
      <c r="B5955" s="1" t="s">
        <v>24364</v>
      </c>
      <c r="C5955" s="1">
        <v>2002.0</v>
      </c>
      <c r="D5955" s="2">
        <v>37288.0</v>
      </c>
      <c r="F5955" s="1" t="s">
        <v>8420</v>
      </c>
      <c r="H5955" s="3">
        <v>160.0</v>
      </c>
      <c r="I5955" s="4" t="s">
        <v>24365</v>
      </c>
      <c r="J5955" s="1" t="s">
        <v>24366</v>
      </c>
      <c r="K5955" s="1" t="s">
        <v>413</v>
      </c>
    </row>
    <row r="5956">
      <c r="A5956" s="1" t="s">
        <v>24367</v>
      </c>
      <c r="B5956" s="1" t="s">
        <v>24368</v>
      </c>
      <c r="C5956" s="1">
        <v>2002.0</v>
      </c>
      <c r="D5956" s="2">
        <v>37257.0</v>
      </c>
      <c r="F5956" s="1" t="s">
        <v>24369</v>
      </c>
      <c r="H5956" s="3">
        <v>0.0</v>
      </c>
      <c r="I5956" s="4" t="s">
        <v>24370</v>
      </c>
      <c r="J5956" s="1"/>
      <c r="K5956" s="1" t="s">
        <v>28</v>
      </c>
    </row>
    <row r="5957">
      <c r="A5957" s="1" t="s">
        <v>24371</v>
      </c>
      <c r="B5957" s="1" t="s">
        <v>24372</v>
      </c>
      <c r="C5957" s="1">
        <v>2002.0</v>
      </c>
      <c r="D5957" s="2">
        <v>37257.0</v>
      </c>
      <c r="F5957" s="1" t="s">
        <v>24369</v>
      </c>
      <c r="H5957" s="3">
        <v>2.0</v>
      </c>
      <c r="I5957" s="4" t="s">
        <v>24373</v>
      </c>
      <c r="J5957" s="1"/>
      <c r="K5957" s="1" t="s">
        <v>443</v>
      </c>
    </row>
    <row r="5958">
      <c r="A5958" s="1" t="s">
        <v>24374</v>
      </c>
      <c r="B5958" s="1" t="s">
        <v>24375</v>
      </c>
      <c r="C5958" s="1">
        <v>2002.0</v>
      </c>
      <c r="D5958" s="2">
        <v>37257.0</v>
      </c>
      <c r="F5958" s="1" t="s">
        <v>4861</v>
      </c>
      <c r="H5958" s="3">
        <v>22.0</v>
      </c>
      <c r="I5958" s="4" t="s">
        <v>24376</v>
      </c>
      <c r="J5958" s="1" t="s">
        <v>24377</v>
      </c>
      <c r="K5958" s="1" t="s">
        <v>295</v>
      </c>
    </row>
    <row r="5959">
      <c r="A5959" s="1" t="s">
        <v>24378</v>
      </c>
      <c r="B5959" s="1" t="s">
        <v>24379</v>
      </c>
      <c r="C5959" s="1">
        <v>2002.0</v>
      </c>
      <c r="D5959" s="2">
        <v>37257.0</v>
      </c>
      <c r="F5959" s="1" t="s">
        <v>24171</v>
      </c>
      <c r="H5959" s="3">
        <v>16.0</v>
      </c>
      <c r="I5959" s="4" t="s">
        <v>24380</v>
      </c>
      <c r="J5959" s="1" t="s">
        <v>24381</v>
      </c>
      <c r="K5959" s="1" t="s">
        <v>68</v>
      </c>
    </row>
    <row r="5960">
      <c r="A5960" s="1" t="s">
        <v>24382</v>
      </c>
      <c r="B5960" s="1" t="s">
        <v>24186</v>
      </c>
      <c r="C5960" s="1">
        <v>2002.0</v>
      </c>
      <c r="D5960" s="2">
        <v>37257.0</v>
      </c>
      <c r="F5960" s="1" t="s">
        <v>24369</v>
      </c>
      <c r="H5960" s="3">
        <v>1.0</v>
      </c>
      <c r="I5960" s="4" t="s">
        <v>24383</v>
      </c>
      <c r="J5960" s="1"/>
      <c r="K5960" s="1" t="s">
        <v>16</v>
      </c>
    </row>
    <row r="5961">
      <c r="A5961" s="1" t="s">
        <v>24384</v>
      </c>
      <c r="B5961" s="1" t="s">
        <v>24385</v>
      </c>
      <c r="C5961" s="1">
        <v>2001.0</v>
      </c>
      <c r="D5961" s="2">
        <v>37226.0</v>
      </c>
      <c r="F5961" s="1" t="s">
        <v>24386</v>
      </c>
      <c r="H5961" s="3">
        <v>7.0</v>
      </c>
      <c r="I5961" s="4" t="s">
        <v>24387</v>
      </c>
      <c r="J5961" s="1" t="s">
        <v>24388</v>
      </c>
      <c r="K5961" s="1" t="s">
        <v>295</v>
      </c>
    </row>
    <row r="5962">
      <c r="A5962" s="1" t="s">
        <v>24389</v>
      </c>
      <c r="B5962" s="1" t="s">
        <v>24390</v>
      </c>
      <c r="C5962" s="1">
        <v>2001.0</v>
      </c>
      <c r="D5962" s="2">
        <v>37226.0</v>
      </c>
      <c r="F5962" s="1" t="s">
        <v>10121</v>
      </c>
      <c r="H5962" s="3">
        <v>14.0</v>
      </c>
      <c r="I5962" s="4" t="s">
        <v>24391</v>
      </c>
      <c r="J5962" s="1" t="s">
        <v>24392</v>
      </c>
      <c r="K5962" s="1" t="s">
        <v>295</v>
      </c>
    </row>
    <row r="5963">
      <c r="A5963" s="1" t="s">
        <v>24393</v>
      </c>
      <c r="B5963" s="1" t="s">
        <v>24394</v>
      </c>
      <c r="C5963" s="1">
        <v>2001.0</v>
      </c>
      <c r="D5963" s="2">
        <v>37226.0</v>
      </c>
      <c r="F5963" s="1" t="s">
        <v>1777</v>
      </c>
      <c r="H5963" s="3">
        <v>41.0</v>
      </c>
      <c r="I5963" s="4" t="s">
        <v>24395</v>
      </c>
      <c r="J5963" s="1" t="s">
        <v>24396</v>
      </c>
      <c r="K5963" s="1" t="s">
        <v>477</v>
      </c>
    </row>
    <row r="5964">
      <c r="A5964" s="1" t="s">
        <v>24397</v>
      </c>
      <c r="B5964" s="1" t="s">
        <v>24398</v>
      </c>
      <c r="C5964" s="1">
        <v>2001.0</v>
      </c>
      <c r="D5964" s="2">
        <v>37226.0</v>
      </c>
      <c r="F5964" s="1" t="s">
        <v>15512</v>
      </c>
      <c r="H5964" s="3">
        <v>38.0</v>
      </c>
      <c r="I5964" s="4" t="s">
        <v>24399</v>
      </c>
      <c r="J5964" s="1" t="s">
        <v>24400</v>
      </c>
      <c r="K5964" s="1" t="s">
        <v>16</v>
      </c>
    </row>
    <row r="5965">
      <c r="A5965" s="1" t="s">
        <v>24401</v>
      </c>
      <c r="B5965" s="1" t="s">
        <v>24402</v>
      </c>
      <c r="C5965" s="1">
        <v>2001.0</v>
      </c>
      <c r="D5965" s="2">
        <v>37196.0</v>
      </c>
      <c r="F5965" s="1" t="s">
        <v>8612</v>
      </c>
      <c r="H5965" s="3">
        <v>10.0</v>
      </c>
      <c r="I5965" s="4" t="s">
        <v>24403</v>
      </c>
      <c r="J5965" s="1" t="s">
        <v>24404</v>
      </c>
      <c r="K5965" s="1" t="s">
        <v>443</v>
      </c>
    </row>
    <row r="5966">
      <c r="A5966" s="1" t="s">
        <v>24405</v>
      </c>
      <c r="B5966" s="1" t="s">
        <v>24406</v>
      </c>
      <c r="C5966" s="1">
        <v>2001.0</v>
      </c>
      <c r="D5966" s="2">
        <v>37191.0</v>
      </c>
      <c r="F5966" s="1" t="s">
        <v>1050</v>
      </c>
      <c r="H5966" s="3">
        <v>1.0</v>
      </c>
      <c r="I5966" s="4" t="s">
        <v>24407</v>
      </c>
      <c r="J5966" s="1" t="s">
        <v>24408</v>
      </c>
      <c r="K5966" s="1" t="s">
        <v>16</v>
      </c>
    </row>
    <row r="5967">
      <c r="A5967" s="1" t="s">
        <v>24409</v>
      </c>
      <c r="B5967" s="1" t="s">
        <v>24410</v>
      </c>
      <c r="C5967" s="1">
        <v>2001.0</v>
      </c>
      <c r="D5967" s="2">
        <v>37179.0</v>
      </c>
      <c r="F5967" s="1" t="s">
        <v>15339</v>
      </c>
      <c r="H5967" s="3">
        <v>38.0</v>
      </c>
      <c r="I5967" s="4" t="s">
        <v>24411</v>
      </c>
      <c r="J5967" s="1" t="s">
        <v>24412</v>
      </c>
      <c r="K5967" s="1" t="s">
        <v>68</v>
      </c>
    </row>
    <row r="5968">
      <c r="A5968" s="1" t="s">
        <v>24413</v>
      </c>
      <c r="B5968" s="1" t="s">
        <v>24414</v>
      </c>
      <c r="C5968" s="1">
        <v>2001.0</v>
      </c>
      <c r="D5968" s="2">
        <v>37173.0</v>
      </c>
      <c r="F5968" s="1" t="s">
        <v>2007</v>
      </c>
      <c r="H5968" s="3">
        <v>339.0</v>
      </c>
      <c r="I5968" s="4" t="s">
        <v>24415</v>
      </c>
      <c r="J5968" s="1" t="s">
        <v>24416</v>
      </c>
      <c r="K5968" s="1" t="s">
        <v>383</v>
      </c>
    </row>
    <row r="5969">
      <c r="A5969" s="1" t="s">
        <v>24417</v>
      </c>
      <c r="B5969" s="1" t="s">
        <v>24418</v>
      </c>
      <c r="C5969" s="1">
        <v>2001.0</v>
      </c>
      <c r="D5969" s="2">
        <v>37162.0</v>
      </c>
      <c r="F5969" s="1" t="s">
        <v>656</v>
      </c>
      <c r="H5969" s="3">
        <v>15.0</v>
      </c>
      <c r="I5969" s="4" t="s">
        <v>24419</v>
      </c>
      <c r="J5969" s="1" t="s">
        <v>24420</v>
      </c>
      <c r="K5969" s="1" t="s">
        <v>443</v>
      </c>
    </row>
    <row r="5970">
      <c r="A5970" s="1" t="s">
        <v>24421</v>
      </c>
      <c r="B5970" s="1" t="s">
        <v>24422</v>
      </c>
      <c r="C5970" s="1">
        <v>2001.0</v>
      </c>
      <c r="D5970" s="2">
        <v>37135.0</v>
      </c>
      <c r="F5970" s="1" t="s">
        <v>23964</v>
      </c>
      <c r="H5970" s="3">
        <v>194.0</v>
      </c>
      <c r="I5970" s="4" t="s">
        <v>24423</v>
      </c>
      <c r="J5970" s="1" t="s">
        <v>24424</v>
      </c>
      <c r="K5970" s="1" t="s">
        <v>926</v>
      </c>
    </row>
    <row r="5971">
      <c r="A5971" s="1" t="s">
        <v>24425</v>
      </c>
      <c r="B5971" s="1" t="s">
        <v>24426</v>
      </c>
      <c r="C5971" s="1">
        <v>2001.0</v>
      </c>
      <c r="D5971" s="2">
        <v>37104.0</v>
      </c>
      <c r="F5971" s="1" t="s">
        <v>10121</v>
      </c>
      <c r="H5971" s="3">
        <v>23.0</v>
      </c>
      <c r="I5971" s="4" t="s">
        <v>24427</v>
      </c>
      <c r="J5971" s="1" t="s">
        <v>24428</v>
      </c>
      <c r="K5971" s="1" t="s">
        <v>28</v>
      </c>
    </row>
    <row r="5972">
      <c r="A5972" s="1" t="s">
        <v>24429</v>
      </c>
      <c r="B5972" s="1" t="s">
        <v>24430</v>
      </c>
      <c r="C5972" s="1">
        <v>2001.0</v>
      </c>
      <c r="D5972" s="2">
        <v>37104.0</v>
      </c>
      <c r="F5972" s="1" t="s">
        <v>10222</v>
      </c>
      <c r="H5972" s="3">
        <v>50.0</v>
      </c>
      <c r="I5972" s="4" t="s">
        <v>24431</v>
      </c>
      <c r="J5972" s="1" t="s">
        <v>24432</v>
      </c>
      <c r="K5972" s="1" t="s">
        <v>295</v>
      </c>
    </row>
    <row r="5973">
      <c r="A5973" s="1" t="s">
        <v>24433</v>
      </c>
      <c r="B5973" s="1" t="s">
        <v>24402</v>
      </c>
      <c r="C5973" s="1">
        <v>2001.0</v>
      </c>
      <c r="D5973" s="2">
        <v>37093.0</v>
      </c>
      <c r="F5973" s="1" t="s">
        <v>396</v>
      </c>
      <c r="H5973" s="3">
        <v>318.0</v>
      </c>
      <c r="I5973" s="4" t="s">
        <v>24434</v>
      </c>
      <c r="J5973" s="1" t="s">
        <v>24435</v>
      </c>
      <c r="K5973" s="1" t="s">
        <v>443</v>
      </c>
    </row>
    <row r="5974">
      <c r="A5974" s="1" t="s">
        <v>24436</v>
      </c>
      <c r="B5974" s="1" t="s">
        <v>24437</v>
      </c>
      <c r="C5974" s="1">
        <v>2001.0</v>
      </c>
      <c r="D5974" s="2">
        <v>37068.0</v>
      </c>
      <c r="F5974" s="1" t="s">
        <v>2007</v>
      </c>
      <c r="H5974" s="3">
        <v>102.0</v>
      </c>
      <c r="I5974" s="4" t="s">
        <v>24438</v>
      </c>
      <c r="J5974" s="1" t="s">
        <v>24439</v>
      </c>
      <c r="K5974" s="1" t="s">
        <v>443</v>
      </c>
    </row>
    <row r="5975">
      <c r="A5975" s="1" t="s">
        <v>24440</v>
      </c>
      <c r="B5975" s="1" t="s">
        <v>24441</v>
      </c>
      <c r="C5975" s="1">
        <v>2001.0</v>
      </c>
      <c r="D5975" s="2">
        <v>37043.0</v>
      </c>
      <c r="F5975" s="1" t="s">
        <v>24442</v>
      </c>
      <c r="H5975" s="3">
        <v>12.0</v>
      </c>
      <c r="I5975" s="4" t="s">
        <v>24443</v>
      </c>
      <c r="J5975" s="1" t="s">
        <v>24444</v>
      </c>
      <c r="K5975" s="1" t="s">
        <v>1036</v>
      </c>
    </row>
    <row r="5976">
      <c r="A5976" s="1" t="s">
        <v>24445</v>
      </c>
      <c r="B5976" s="1" t="s">
        <v>24446</v>
      </c>
      <c r="C5976" s="1">
        <v>2001.0</v>
      </c>
      <c r="D5976" s="2">
        <v>37043.0</v>
      </c>
      <c r="F5976" s="1" t="s">
        <v>8420</v>
      </c>
      <c r="H5976" s="3">
        <v>238.0</v>
      </c>
      <c r="I5976" s="4" t="s">
        <v>24447</v>
      </c>
      <c r="J5976" s="1" t="s">
        <v>24448</v>
      </c>
      <c r="K5976" s="1" t="s">
        <v>413</v>
      </c>
    </row>
    <row r="5977">
      <c r="A5977" s="1" t="s">
        <v>24449</v>
      </c>
      <c r="B5977" s="1" t="s">
        <v>24450</v>
      </c>
      <c r="C5977" s="1">
        <v>2001.0</v>
      </c>
      <c r="D5977" s="2">
        <v>37012.0</v>
      </c>
      <c r="F5977" s="1" t="s">
        <v>24451</v>
      </c>
      <c r="H5977" s="3">
        <v>1.0</v>
      </c>
      <c r="I5977" s="4" t="s">
        <v>24452</v>
      </c>
      <c r="J5977" s="1" t="s">
        <v>24453</v>
      </c>
      <c r="K5977" s="1" t="s">
        <v>16</v>
      </c>
    </row>
    <row r="5978">
      <c r="A5978" s="1" t="s">
        <v>24454</v>
      </c>
      <c r="B5978" s="1" t="s">
        <v>24455</v>
      </c>
      <c r="C5978" s="1">
        <v>2001.0</v>
      </c>
      <c r="D5978" s="2">
        <v>36982.0</v>
      </c>
      <c r="F5978" s="1" t="s">
        <v>22549</v>
      </c>
      <c r="H5978" s="3">
        <v>23.0</v>
      </c>
      <c r="I5978" s="4" t="s">
        <v>24456</v>
      </c>
      <c r="J5978" s="1" t="s">
        <v>24457</v>
      </c>
      <c r="K5978" s="1" t="s">
        <v>295</v>
      </c>
    </row>
    <row r="5979">
      <c r="A5979" s="1" t="s">
        <v>24458</v>
      </c>
      <c r="B5979" s="1" t="s">
        <v>24459</v>
      </c>
      <c r="C5979" s="1">
        <v>2001.0</v>
      </c>
      <c r="D5979" s="2">
        <v>36982.0</v>
      </c>
      <c r="F5979" s="1" t="s">
        <v>25</v>
      </c>
      <c r="H5979" s="3">
        <v>11.0</v>
      </c>
      <c r="I5979" s="4" t="s">
        <v>24460</v>
      </c>
      <c r="J5979" s="1" t="s">
        <v>24461</v>
      </c>
      <c r="K5979" s="1" t="s">
        <v>295</v>
      </c>
    </row>
    <row r="5980">
      <c r="A5980" s="1" t="s">
        <v>24462</v>
      </c>
      <c r="B5980" s="1" t="s">
        <v>24463</v>
      </c>
      <c r="C5980" s="1">
        <v>2001.0</v>
      </c>
      <c r="D5980" s="2">
        <v>36982.0</v>
      </c>
      <c r="F5980" s="1" t="s">
        <v>10191</v>
      </c>
      <c r="H5980" s="3">
        <v>19.0</v>
      </c>
      <c r="I5980" s="4" t="s">
        <v>24464</v>
      </c>
      <c r="J5980" s="1" t="s">
        <v>24465</v>
      </c>
      <c r="K5980" s="1" t="s">
        <v>413</v>
      </c>
    </row>
    <row r="5981">
      <c r="A5981" s="1" t="s">
        <v>24466</v>
      </c>
      <c r="B5981" s="1" t="s">
        <v>24467</v>
      </c>
      <c r="C5981" s="1">
        <v>2001.0</v>
      </c>
      <c r="D5981" s="2">
        <v>36951.0</v>
      </c>
      <c r="F5981" s="1" t="s">
        <v>10121</v>
      </c>
      <c r="H5981" s="3">
        <v>35.0</v>
      </c>
      <c r="I5981" s="4" t="s">
        <v>24468</v>
      </c>
      <c r="J5981" s="1" t="s">
        <v>24469</v>
      </c>
      <c r="K5981" s="1" t="s">
        <v>28</v>
      </c>
    </row>
    <row r="5982">
      <c r="A5982" s="1" t="s">
        <v>24470</v>
      </c>
      <c r="B5982" s="1" t="s">
        <v>24471</v>
      </c>
      <c r="C5982" s="1">
        <v>2001.0</v>
      </c>
      <c r="D5982" s="2">
        <v>36923.0</v>
      </c>
      <c r="F5982" s="1" t="s">
        <v>6188</v>
      </c>
      <c r="H5982" s="3">
        <v>5.0</v>
      </c>
      <c r="I5982" s="4" t="s">
        <v>24472</v>
      </c>
      <c r="J5982" s="1" t="s">
        <v>24473</v>
      </c>
      <c r="K5982" s="1" t="s">
        <v>295</v>
      </c>
    </row>
    <row r="5983">
      <c r="A5983" s="1" t="s">
        <v>24474</v>
      </c>
      <c r="B5983" s="1" t="s">
        <v>24475</v>
      </c>
      <c r="C5983" s="1">
        <v>2001.0</v>
      </c>
      <c r="D5983" s="2">
        <v>36892.0</v>
      </c>
      <c r="F5983" s="1" t="s">
        <v>4217</v>
      </c>
      <c r="H5983" s="3">
        <v>0.0</v>
      </c>
      <c r="I5983" s="4" t="s">
        <v>24476</v>
      </c>
      <c r="J5983" s="1" t="s">
        <v>24477</v>
      </c>
      <c r="K5983" s="1" t="s">
        <v>28</v>
      </c>
    </row>
    <row r="5984">
      <c r="A5984" s="1" t="s">
        <v>24478</v>
      </c>
      <c r="B5984" s="1" t="s">
        <v>24479</v>
      </c>
      <c r="C5984" s="1">
        <v>2001.0</v>
      </c>
      <c r="D5984" s="2">
        <v>36892.0</v>
      </c>
      <c r="F5984" s="1" t="s">
        <v>248</v>
      </c>
      <c r="H5984" s="3">
        <v>17.0</v>
      </c>
      <c r="I5984" s="4" t="s">
        <v>24480</v>
      </c>
      <c r="J5984" s="1" t="s">
        <v>24481</v>
      </c>
      <c r="K5984" s="1" t="s">
        <v>28</v>
      </c>
    </row>
    <row r="5985">
      <c r="A5985" s="1" t="s">
        <v>24482</v>
      </c>
      <c r="B5985" s="1" t="s">
        <v>24483</v>
      </c>
      <c r="C5985" s="1">
        <v>2001.0</v>
      </c>
      <c r="D5985" s="2">
        <v>36892.0</v>
      </c>
      <c r="F5985" s="1" t="s">
        <v>2955</v>
      </c>
      <c r="H5985" s="3">
        <v>115.0</v>
      </c>
      <c r="I5985" s="4" t="s">
        <v>24484</v>
      </c>
      <c r="J5985" s="1" t="s">
        <v>24485</v>
      </c>
      <c r="K5985" s="1" t="s">
        <v>16</v>
      </c>
    </row>
    <row r="5986">
      <c r="A5986" s="1" t="s">
        <v>24486</v>
      </c>
      <c r="B5986" s="1" t="s">
        <v>24487</v>
      </c>
      <c r="C5986" s="1">
        <v>2000.0</v>
      </c>
      <c r="D5986" s="2">
        <v>36886.0</v>
      </c>
      <c r="F5986" s="1" t="s">
        <v>31</v>
      </c>
      <c r="H5986" s="3">
        <v>73.0</v>
      </c>
      <c r="I5986" s="4" t="s">
        <v>24488</v>
      </c>
      <c r="J5986" s="1" t="s">
        <v>24489</v>
      </c>
      <c r="K5986" s="1" t="s">
        <v>323</v>
      </c>
    </row>
    <row r="5987">
      <c r="A5987" s="1" t="s">
        <v>24490</v>
      </c>
      <c r="B5987" s="1" t="s">
        <v>24491</v>
      </c>
      <c r="C5987" s="1">
        <v>2000.0</v>
      </c>
      <c r="D5987" s="2">
        <v>36861.0</v>
      </c>
      <c r="F5987" s="1" t="s">
        <v>6188</v>
      </c>
      <c r="H5987" s="3">
        <v>7.0</v>
      </c>
      <c r="I5987" s="4" t="s">
        <v>24492</v>
      </c>
      <c r="J5987" s="1" t="s">
        <v>24493</v>
      </c>
      <c r="K5987" s="1" t="s">
        <v>413</v>
      </c>
    </row>
    <row r="5988">
      <c r="A5988" s="1" t="s">
        <v>24494</v>
      </c>
      <c r="B5988" s="1" t="s">
        <v>24495</v>
      </c>
      <c r="C5988" s="1">
        <v>2000.0</v>
      </c>
      <c r="D5988" s="2">
        <v>36802.0</v>
      </c>
      <c r="F5988" s="1" t="s">
        <v>2007</v>
      </c>
      <c r="H5988" s="3">
        <v>53.0</v>
      </c>
      <c r="I5988" s="4" t="s">
        <v>24496</v>
      </c>
      <c r="J5988" s="1" t="s">
        <v>24497</v>
      </c>
      <c r="K5988" s="1" t="s">
        <v>295</v>
      </c>
    </row>
    <row r="5989">
      <c r="A5989" s="1" t="s">
        <v>24498</v>
      </c>
      <c r="B5989" s="1" t="s">
        <v>24499</v>
      </c>
      <c r="C5989" s="1">
        <v>2000.0</v>
      </c>
      <c r="D5989" s="2">
        <v>36738.0</v>
      </c>
      <c r="F5989" s="1" t="s">
        <v>2634</v>
      </c>
      <c r="H5989" s="3">
        <v>21.0</v>
      </c>
      <c r="I5989" s="4" t="s">
        <v>24500</v>
      </c>
      <c r="J5989" s="1" t="s">
        <v>24501</v>
      </c>
      <c r="K5989" s="1" t="s">
        <v>403</v>
      </c>
    </row>
    <row r="5990">
      <c r="A5990" s="1" t="s">
        <v>24502</v>
      </c>
      <c r="B5990" s="1" t="s">
        <v>24503</v>
      </c>
      <c r="C5990" s="1">
        <v>2000.0</v>
      </c>
      <c r="D5990" s="2">
        <v>36701.0</v>
      </c>
      <c r="F5990" s="1" t="s">
        <v>1050</v>
      </c>
      <c r="H5990" s="3">
        <v>0.0</v>
      </c>
      <c r="I5990" s="4" t="s">
        <v>24504</v>
      </c>
      <c r="J5990" s="1" t="s">
        <v>24505</v>
      </c>
      <c r="K5990" s="1" t="s">
        <v>295</v>
      </c>
    </row>
    <row r="5991">
      <c r="A5991" s="1" t="s">
        <v>24506</v>
      </c>
      <c r="B5991" s="1" t="s">
        <v>24507</v>
      </c>
      <c r="C5991" s="1">
        <v>2000.0</v>
      </c>
      <c r="D5991" s="2">
        <v>36678.0</v>
      </c>
      <c r="F5991" s="1" t="s">
        <v>1137</v>
      </c>
      <c r="H5991" s="3">
        <v>18.0</v>
      </c>
      <c r="I5991" s="4" t="s">
        <v>24508</v>
      </c>
      <c r="J5991" s="1" t="s">
        <v>24509</v>
      </c>
      <c r="K5991" s="1" t="s">
        <v>413</v>
      </c>
    </row>
    <row r="5992">
      <c r="A5992" s="1" t="s">
        <v>24510</v>
      </c>
      <c r="B5992" s="1" t="s">
        <v>24511</v>
      </c>
      <c r="C5992" s="1">
        <v>2000.0</v>
      </c>
      <c r="D5992" s="2">
        <v>36647.0</v>
      </c>
      <c r="F5992" s="1" t="s">
        <v>4124</v>
      </c>
      <c r="H5992" s="3">
        <v>38.0</v>
      </c>
      <c r="I5992" s="4" t="s">
        <v>24512</v>
      </c>
      <c r="J5992" s="1" t="s">
        <v>24513</v>
      </c>
      <c r="K5992" s="1" t="s">
        <v>16</v>
      </c>
    </row>
    <row r="5993">
      <c r="A5993" s="1" t="s">
        <v>24514</v>
      </c>
      <c r="B5993" s="1" t="s">
        <v>24515</v>
      </c>
      <c r="C5993" s="1">
        <v>2000.0</v>
      </c>
      <c r="D5993" s="2">
        <v>36647.0</v>
      </c>
      <c r="F5993" s="1" t="s">
        <v>2693</v>
      </c>
      <c r="H5993" s="3">
        <v>57.0</v>
      </c>
      <c r="I5993" s="4" t="s">
        <v>24516</v>
      </c>
      <c r="J5993" s="1" t="s">
        <v>24517</v>
      </c>
      <c r="K5993" s="1" t="s">
        <v>16</v>
      </c>
    </row>
    <row r="5994">
      <c r="A5994" s="1" t="s">
        <v>24518</v>
      </c>
      <c r="B5994" s="1" t="s">
        <v>24519</v>
      </c>
      <c r="C5994" s="1">
        <v>2000.0</v>
      </c>
      <c r="D5994" s="2">
        <v>36624.0</v>
      </c>
      <c r="F5994" s="1" t="s">
        <v>1050</v>
      </c>
      <c r="H5994" s="3">
        <v>1.0</v>
      </c>
      <c r="I5994" s="4" t="s">
        <v>24520</v>
      </c>
      <c r="J5994" s="1" t="s">
        <v>24521</v>
      </c>
      <c r="K5994" s="1" t="s">
        <v>295</v>
      </c>
    </row>
    <row r="5995">
      <c r="A5995" s="1" t="s">
        <v>24522</v>
      </c>
      <c r="B5995" s="1" t="s">
        <v>24523</v>
      </c>
      <c r="C5995" s="1">
        <v>2000.0</v>
      </c>
      <c r="D5995" s="2">
        <v>36586.0</v>
      </c>
      <c r="F5995" s="1" t="s">
        <v>1199</v>
      </c>
      <c r="H5995" s="3">
        <v>28.0</v>
      </c>
      <c r="I5995" s="4" t="s">
        <v>24524</v>
      </c>
      <c r="J5995" s="1" t="s">
        <v>24525</v>
      </c>
      <c r="K5995" s="1" t="s">
        <v>45</v>
      </c>
    </row>
    <row r="5996">
      <c r="A5996" s="1" t="s">
        <v>24526</v>
      </c>
      <c r="B5996" s="1" t="s">
        <v>24527</v>
      </c>
      <c r="C5996" s="1">
        <v>2000.0</v>
      </c>
      <c r="D5996" s="2">
        <v>36586.0</v>
      </c>
      <c r="F5996" s="1" t="s">
        <v>15114</v>
      </c>
      <c r="H5996" s="3">
        <v>7.0</v>
      </c>
      <c r="I5996" s="4" t="s">
        <v>24528</v>
      </c>
      <c r="J5996" s="1" t="s">
        <v>24529</v>
      </c>
      <c r="K5996" s="1" t="s">
        <v>295</v>
      </c>
    </row>
    <row r="5997">
      <c r="A5997" s="1" t="s">
        <v>24530</v>
      </c>
      <c r="B5997" s="1" t="s">
        <v>24531</v>
      </c>
      <c r="C5997" s="1">
        <v>2000.0</v>
      </c>
      <c r="D5997" s="2">
        <v>36586.0</v>
      </c>
      <c r="F5997" s="1" t="s">
        <v>5554</v>
      </c>
      <c r="H5997" s="3">
        <v>40.0</v>
      </c>
      <c r="I5997" s="4" t="s">
        <v>24532</v>
      </c>
      <c r="J5997" s="1" t="s">
        <v>24533</v>
      </c>
      <c r="K5997" s="1" t="s">
        <v>16</v>
      </c>
    </row>
    <row r="5998">
      <c r="A5998" s="1" t="s">
        <v>24534</v>
      </c>
      <c r="B5998" s="1" t="s">
        <v>24535</v>
      </c>
      <c r="C5998" s="1">
        <v>2000.0</v>
      </c>
      <c r="D5998" s="2">
        <v>36557.0</v>
      </c>
      <c r="F5998" s="1" t="s">
        <v>1137</v>
      </c>
      <c r="H5998" s="3">
        <v>0.0</v>
      </c>
      <c r="I5998" s="4" t="s">
        <v>24536</v>
      </c>
      <c r="J5998" s="1" t="s">
        <v>24537</v>
      </c>
      <c r="K5998" s="1" t="s">
        <v>16</v>
      </c>
    </row>
    <row r="5999">
      <c r="A5999" s="1" t="s">
        <v>24538</v>
      </c>
      <c r="B5999" s="1" t="s">
        <v>24539</v>
      </c>
      <c r="C5999" s="1">
        <v>2000.0</v>
      </c>
      <c r="D5999" s="2">
        <v>36557.0</v>
      </c>
      <c r="F5999" s="1" t="s">
        <v>24540</v>
      </c>
      <c r="H5999" s="3">
        <v>5.0</v>
      </c>
      <c r="I5999" s="4" t="s">
        <v>24541</v>
      </c>
      <c r="J5999" s="1"/>
      <c r="K5999" s="1" t="s">
        <v>16</v>
      </c>
    </row>
    <row r="6000">
      <c r="A6000" s="1" t="s">
        <v>24542</v>
      </c>
      <c r="B6000" s="1" t="s">
        <v>24543</v>
      </c>
      <c r="C6000" s="1">
        <v>1999.0</v>
      </c>
      <c r="D6000" s="2">
        <v>36498.0</v>
      </c>
      <c r="F6000" s="1" t="s">
        <v>1050</v>
      </c>
      <c r="H6000" s="3">
        <v>1.0</v>
      </c>
      <c r="I6000" s="4" t="s">
        <v>24544</v>
      </c>
      <c r="J6000" s="1" t="s">
        <v>24545</v>
      </c>
      <c r="K6000" s="1" t="s">
        <v>295</v>
      </c>
    </row>
    <row r="6001">
      <c r="A6001" s="1" t="s">
        <v>24546</v>
      </c>
      <c r="B6001" s="1" t="s">
        <v>24547</v>
      </c>
      <c r="C6001" s="1">
        <v>1999.0</v>
      </c>
      <c r="D6001" s="2">
        <v>36465.0</v>
      </c>
      <c r="F6001" s="1" t="s">
        <v>2075</v>
      </c>
      <c r="H6001" s="3">
        <v>24.0</v>
      </c>
      <c r="I6001" s="4" t="s">
        <v>24548</v>
      </c>
      <c r="J6001" s="1" t="s">
        <v>24549</v>
      </c>
      <c r="K6001" s="1" t="s">
        <v>28</v>
      </c>
    </row>
    <row r="6002">
      <c r="A6002" s="1" t="s">
        <v>24550</v>
      </c>
      <c r="B6002" s="1" t="s">
        <v>24551</v>
      </c>
      <c r="C6002" s="1">
        <v>1999.0</v>
      </c>
      <c r="D6002" s="2">
        <v>36434.0</v>
      </c>
      <c r="F6002" s="1" t="s">
        <v>1777</v>
      </c>
      <c r="H6002" s="3">
        <v>27.0</v>
      </c>
      <c r="I6002" s="4" t="s">
        <v>24552</v>
      </c>
      <c r="J6002" s="1" t="s">
        <v>24553</v>
      </c>
      <c r="K6002" s="1" t="s">
        <v>926</v>
      </c>
    </row>
    <row r="6003">
      <c r="A6003" s="1" t="s">
        <v>24554</v>
      </c>
      <c r="B6003" s="1" t="s">
        <v>24555</v>
      </c>
      <c r="C6003" s="1">
        <v>1999.0</v>
      </c>
      <c r="D6003" s="2">
        <v>36434.0</v>
      </c>
      <c r="F6003" s="1" t="s">
        <v>2955</v>
      </c>
      <c r="H6003" s="3">
        <v>303.0</v>
      </c>
      <c r="I6003" s="4" t="s">
        <v>24556</v>
      </c>
      <c r="J6003" s="1" t="s">
        <v>24557</v>
      </c>
      <c r="K6003" s="1" t="s">
        <v>926</v>
      </c>
    </row>
    <row r="6004">
      <c r="A6004" s="1" t="s">
        <v>24558</v>
      </c>
      <c r="B6004" s="1" t="s">
        <v>24559</v>
      </c>
      <c r="C6004" s="1">
        <v>1999.0</v>
      </c>
      <c r="D6004" s="2">
        <v>36427.0</v>
      </c>
      <c r="F6004" s="1" t="s">
        <v>656</v>
      </c>
      <c r="H6004" s="3">
        <v>82.0</v>
      </c>
      <c r="I6004" s="4" t="s">
        <v>24560</v>
      </c>
      <c r="J6004" s="1" t="s">
        <v>24561</v>
      </c>
      <c r="K6004" s="1" t="s">
        <v>1036</v>
      </c>
    </row>
    <row r="6005">
      <c r="A6005" s="1" t="s">
        <v>24562</v>
      </c>
      <c r="B6005" s="1" t="s">
        <v>24563</v>
      </c>
      <c r="C6005" s="1">
        <v>1999.0</v>
      </c>
      <c r="D6005" s="2">
        <v>36424.0</v>
      </c>
      <c r="F6005" s="1" t="s">
        <v>2007</v>
      </c>
      <c r="H6005" s="3">
        <v>159.0</v>
      </c>
      <c r="I6005" s="4" t="s">
        <v>24564</v>
      </c>
      <c r="J6005" s="1" t="s">
        <v>24565</v>
      </c>
      <c r="K6005" s="1" t="s">
        <v>295</v>
      </c>
    </row>
    <row r="6006">
      <c r="A6006" s="1" t="s">
        <v>24566</v>
      </c>
      <c r="B6006" s="1" t="s">
        <v>24567</v>
      </c>
      <c r="C6006" s="1">
        <v>1999.0</v>
      </c>
      <c r="D6006" s="2">
        <v>36404.0</v>
      </c>
      <c r="F6006" s="1" t="s">
        <v>10121</v>
      </c>
      <c r="H6006" s="3">
        <v>46.0</v>
      </c>
      <c r="I6006" s="4" t="s">
        <v>24568</v>
      </c>
      <c r="J6006" s="1" t="s">
        <v>24569</v>
      </c>
      <c r="K6006" s="1" t="s">
        <v>926</v>
      </c>
    </row>
    <row r="6007">
      <c r="A6007" s="1" t="s">
        <v>24570</v>
      </c>
      <c r="B6007" s="1" t="s">
        <v>24571</v>
      </c>
      <c r="C6007" s="1">
        <v>1999.0</v>
      </c>
      <c r="D6007" s="2">
        <v>36404.0</v>
      </c>
      <c r="F6007" s="1" t="s">
        <v>435</v>
      </c>
      <c r="H6007" s="3">
        <v>15.0</v>
      </c>
      <c r="I6007" s="4" t="s">
        <v>24572</v>
      </c>
      <c r="J6007" s="1" t="s">
        <v>24573</v>
      </c>
      <c r="K6007" s="1" t="s">
        <v>295</v>
      </c>
    </row>
    <row r="6008">
      <c r="A6008" s="1" t="s">
        <v>24574</v>
      </c>
      <c r="B6008" s="1" t="s">
        <v>24575</v>
      </c>
      <c r="C6008" s="1">
        <v>1999.0</v>
      </c>
      <c r="D6008" s="2">
        <v>36403.0</v>
      </c>
      <c r="F6008" s="1" t="s">
        <v>2007</v>
      </c>
      <c r="H6008" s="3">
        <v>245.0</v>
      </c>
      <c r="I6008" s="4" t="s">
        <v>24576</v>
      </c>
      <c r="J6008" s="1" t="s">
        <v>24577</v>
      </c>
      <c r="K6008" s="1" t="s">
        <v>926</v>
      </c>
    </row>
    <row r="6009">
      <c r="A6009" s="1" t="s">
        <v>24578</v>
      </c>
      <c r="B6009" s="1" t="s">
        <v>24579</v>
      </c>
      <c r="C6009" s="1">
        <v>1999.0</v>
      </c>
      <c r="D6009" s="2">
        <v>36388.0</v>
      </c>
      <c r="F6009" s="1" t="s">
        <v>656</v>
      </c>
      <c r="H6009" s="3">
        <v>34.0</v>
      </c>
      <c r="I6009" s="4" t="s">
        <v>24580</v>
      </c>
      <c r="J6009" s="1" t="s">
        <v>24581</v>
      </c>
      <c r="K6009" s="1" t="s">
        <v>477</v>
      </c>
    </row>
    <row r="6010">
      <c r="A6010" s="1" t="s">
        <v>24582</v>
      </c>
      <c r="B6010" s="1" t="s">
        <v>24583</v>
      </c>
      <c r="C6010" s="1">
        <v>1999.0</v>
      </c>
      <c r="D6010" s="2">
        <v>36356.0</v>
      </c>
      <c r="F6010" s="1" t="s">
        <v>15114</v>
      </c>
      <c r="H6010" s="3">
        <v>16.0</v>
      </c>
      <c r="I6010" s="4" t="s">
        <v>24584</v>
      </c>
      <c r="J6010" s="1" t="s">
        <v>24585</v>
      </c>
      <c r="K6010" s="1" t="s">
        <v>16</v>
      </c>
    </row>
    <row r="6011">
      <c r="A6011" s="1" t="s">
        <v>24586</v>
      </c>
      <c r="B6011" s="1" t="s">
        <v>24587</v>
      </c>
      <c r="C6011" s="1">
        <v>1999.0</v>
      </c>
      <c r="D6011" s="2">
        <v>36312.0</v>
      </c>
      <c r="F6011" s="1" t="s">
        <v>1040</v>
      </c>
      <c r="H6011" s="3">
        <v>59.0</v>
      </c>
      <c r="I6011" s="4" t="s">
        <v>24588</v>
      </c>
      <c r="J6011" s="1" t="s">
        <v>24589</v>
      </c>
      <c r="K6011" s="1" t="s">
        <v>443</v>
      </c>
    </row>
    <row r="6012">
      <c r="A6012" s="1" t="s">
        <v>24590</v>
      </c>
      <c r="B6012" s="1" t="s">
        <v>24591</v>
      </c>
      <c r="C6012" s="1">
        <v>1999.0</v>
      </c>
      <c r="D6012" s="2">
        <v>36281.0</v>
      </c>
      <c r="F6012" s="1" t="s">
        <v>4124</v>
      </c>
      <c r="H6012" s="3">
        <v>11.0</v>
      </c>
      <c r="I6012" s="4" t="s">
        <v>24592</v>
      </c>
      <c r="J6012" s="1" t="s">
        <v>24593</v>
      </c>
      <c r="K6012" s="1" t="s">
        <v>443</v>
      </c>
    </row>
    <row r="6013">
      <c r="A6013" s="1" t="s">
        <v>24594</v>
      </c>
      <c r="B6013" s="1" t="s">
        <v>24595</v>
      </c>
      <c r="C6013" s="1">
        <v>1999.0</v>
      </c>
      <c r="D6013" s="2">
        <v>36251.0</v>
      </c>
      <c r="F6013" s="1" t="s">
        <v>24596</v>
      </c>
      <c r="H6013" s="3">
        <v>16.0</v>
      </c>
      <c r="I6013" s="4" t="s">
        <v>24597</v>
      </c>
      <c r="J6013" s="1" t="s">
        <v>24598</v>
      </c>
      <c r="K6013" s="1" t="s">
        <v>295</v>
      </c>
    </row>
    <row r="6014">
      <c r="A6014" s="1" t="s">
        <v>24599</v>
      </c>
      <c r="B6014" s="1" t="s">
        <v>24600</v>
      </c>
      <c r="C6014" s="1">
        <v>1999.0</v>
      </c>
      <c r="D6014" s="2">
        <v>36251.0</v>
      </c>
      <c r="F6014" s="1" t="s">
        <v>25</v>
      </c>
      <c r="H6014" s="3">
        <v>15.0</v>
      </c>
      <c r="I6014" s="4" t="s">
        <v>24601</v>
      </c>
      <c r="J6014" s="1" t="s">
        <v>24602</v>
      </c>
      <c r="K6014" s="1" t="s">
        <v>295</v>
      </c>
    </row>
    <row r="6015">
      <c r="A6015" s="1" t="s">
        <v>24603</v>
      </c>
      <c r="B6015" s="1" t="s">
        <v>24604</v>
      </c>
      <c r="C6015" s="1">
        <v>1999.0</v>
      </c>
      <c r="D6015" s="2">
        <v>36225.0</v>
      </c>
      <c r="F6015" s="1" t="s">
        <v>1050</v>
      </c>
      <c r="H6015" s="3">
        <v>1.0</v>
      </c>
      <c r="I6015" s="4" t="s">
        <v>24605</v>
      </c>
      <c r="J6015" s="1" t="s">
        <v>24606</v>
      </c>
      <c r="K6015" s="1" t="s">
        <v>295</v>
      </c>
    </row>
    <row r="6016">
      <c r="A6016" s="1" t="s">
        <v>24607</v>
      </c>
      <c r="B6016" s="1" t="s">
        <v>24608</v>
      </c>
      <c r="C6016" s="1">
        <v>1999.0</v>
      </c>
      <c r="D6016" s="2">
        <v>36220.0</v>
      </c>
      <c r="F6016" s="1" t="s">
        <v>24609</v>
      </c>
      <c r="H6016" s="3">
        <v>8.0</v>
      </c>
      <c r="I6016" s="4" t="s">
        <v>24610</v>
      </c>
      <c r="J6016" s="1" t="s">
        <v>24611</v>
      </c>
      <c r="K6016" s="1" t="s">
        <v>1036</v>
      </c>
    </row>
    <row r="6017">
      <c r="A6017" s="1" t="s">
        <v>24612</v>
      </c>
      <c r="B6017" s="1" t="s">
        <v>24613</v>
      </c>
      <c r="C6017" s="1">
        <v>1999.0</v>
      </c>
      <c r="D6017" s="2">
        <v>36192.0</v>
      </c>
      <c r="F6017" s="1" t="s">
        <v>1277</v>
      </c>
      <c r="H6017" s="3">
        <v>38.0</v>
      </c>
      <c r="I6017" s="4" t="s">
        <v>24614</v>
      </c>
      <c r="J6017" s="1" t="s">
        <v>24615</v>
      </c>
      <c r="K6017" s="1" t="s">
        <v>16</v>
      </c>
    </row>
    <row r="6018">
      <c r="A6018" s="1" t="s">
        <v>24616</v>
      </c>
      <c r="B6018" s="1" t="s">
        <v>24617</v>
      </c>
      <c r="C6018" s="1">
        <v>1998.0</v>
      </c>
      <c r="D6018" s="2">
        <v>36100.0</v>
      </c>
      <c r="F6018" s="1" t="s">
        <v>1277</v>
      </c>
      <c r="H6018" s="3">
        <v>43.0</v>
      </c>
      <c r="I6018" s="4" t="s">
        <v>24618</v>
      </c>
      <c r="J6018" s="1" t="s">
        <v>24619</v>
      </c>
      <c r="K6018" s="1" t="s">
        <v>1036</v>
      </c>
    </row>
    <row r="6019">
      <c r="A6019" s="1" t="s">
        <v>24620</v>
      </c>
      <c r="B6019" s="1" t="s">
        <v>24621</v>
      </c>
      <c r="C6019" s="1">
        <v>1998.0</v>
      </c>
      <c r="D6019" s="2">
        <v>36100.0</v>
      </c>
      <c r="F6019" s="1" t="s">
        <v>24622</v>
      </c>
      <c r="H6019" s="3">
        <v>6.0</v>
      </c>
      <c r="I6019" s="4" t="s">
        <v>24623</v>
      </c>
      <c r="J6019" s="1" t="s">
        <v>24624</v>
      </c>
      <c r="K6019" s="1" t="s">
        <v>926</v>
      </c>
    </row>
    <row r="6020">
      <c r="A6020" s="1" t="s">
        <v>24625</v>
      </c>
      <c r="B6020" s="1" t="s">
        <v>24626</v>
      </c>
      <c r="C6020" s="1">
        <v>1998.0</v>
      </c>
      <c r="D6020" s="2">
        <v>36100.0</v>
      </c>
      <c r="F6020" s="1" t="s">
        <v>8612</v>
      </c>
      <c r="H6020" s="3">
        <v>17.0</v>
      </c>
      <c r="I6020" s="4" t="s">
        <v>24627</v>
      </c>
      <c r="J6020" s="1" t="s">
        <v>24628</v>
      </c>
      <c r="K6020" s="1" t="s">
        <v>16</v>
      </c>
    </row>
    <row r="6021">
      <c r="A6021" s="1" t="s">
        <v>24629</v>
      </c>
      <c r="B6021" s="1" t="s">
        <v>24630</v>
      </c>
      <c r="C6021" s="1">
        <v>1998.0</v>
      </c>
      <c r="D6021" s="2">
        <v>36069.0</v>
      </c>
      <c r="F6021" s="1" t="s">
        <v>1366</v>
      </c>
      <c r="H6021" s="3">
        <v>17.0</v>
      </c>
      <c r="I6021" s="4" t="s">
        <v>24631</v>
      </c>
      <c r="J6021" s="1" t="s">
        <v>24632</v>
      </c>
      <c r="K6021" s="1" t="s">
        <v>16</v>
      </c>
    </row>
    <row r="6022">
      <c r="A6022" s="1" t="s">
        <v>24633</v>
      </c>
      <c r="B6022" s="1" t="s">
        <v>24527</v>
      </c>
      <c r="C6022" s="1">
        <v>1998.0</v>
      </c>
      <c r="D6022" s="2">
        <v>36053.0</v>
      </c>
      <c r="F6022" s="1" t="s">
        <v>15114</v>
      </c>
      <c r="H6022" s="3">
        <v>10.0</v>
      </c>
      <c r="I6022" s="4" t="s">
        <v>24634</v>
      </c>
      <c r="J6022" s="1" t="s">
        <v>24635</v>
      </c>
      <c r="K6022" s="1" t="s">
        <v>295</v>
      </c>
    </row>
    <row r="6023">
      <c r="A6023" s="1" t="s">
        <v>24636</v>
      </c>
      <c r="B6023" s="1" t="s">
        <v>24637</v>
      </c>
      <c r="C6023" s="1">
        <v>1998.0</v>
      </c>
      <c r="D6023" s="2">
        <v>35994.0</v>
      </c>
      <c r="F6023" s="1" t="s">
        <v>1050</v>
      </c>
      <c r="H6023" s="3">
        <v>0.0</v>
      </c>
      <c r="I6023" s="4" t="s">
        <v>24638</v>
      </c>
      <c r="J6023" s="1" t="s">
        <v>24639</v>
      </c>
      <c r="K6023" s="1" t="s">
        <v>295</v>
      </c>
    </row>
    <row r="6024">
      <c r="A6024" s="1" t="s">
        <v>24640</v>
      </c>
      <c r="B6024" s="1" t="s">
        <v>24641</v>
      </c>
      <c r="C6024" s="1">
        <v>1998.0</v>
      </c>
      <c r="D6024" s="2">
        <v>35977.0</v>
      </c>
      <c r="F6024" s="1" t="s">
        <v>5554</v>
      </c>
      <c r="H6024" s="3">
        <v>28.0</v>
      </c>
      <c r="I6024" s="4" t="s">
        <v>24642</v>
      </c>
      <c r="J6024" s="1" t="s">
        <v>24643</v>
      </c>
      <c r="K6024" s="1" t="s">
        <v>16</v>
      </c>
    </row>
    <row r="6025">
      <c r="A6025" s="1" t="s">
        <v>24644</v>
      </c>
      <c r="B6025" s="1" t="s">
        <v>24645</v>
      </c>
      <c r="C6025" s="1">
        <v>1998.0</v>
      </c>
      <c r="D6025" s="2">
        <v>35947.0</v>
      </c>
      <c r="F6025" s="1" t="s">
        <v>1199</v>
      </c>
      <c r="H6025" s="3">
        <v>24.0</v>
      </c>
      <c r="I6025" s="4" t="s">
        <v>24646</v>
      </c>
      <c r="J6025" s="1" t="s">
        <v>24647</v>
      </c>
      <c r="K6025" s="1" t="s">
        <v>295</v>
      </c>
    </row>
    <row r="6026">
      <c r="A6026" s="1" t="s">
        <v>24648</v>
      </c>
      <c r="B6026" s="1" t="s">
        <v>22748</v>
      </c>
      <c r="C6026" s="1">
        <v>1998.0</v>
      </c>
      <c r="D6026" s="2">
        <v>35916.0</v>
      </c>
      <c r="F6026" s="1" t="s">
        <v>596</v>
      </c>
      <c r="H6026" s="3">
        <v>2.0</v>
      </c>
      <c r="I6026" s="4" t="s">
        <v>24649</v>
      </c>
      <c r="J6026" s="1" t="s">
        <v>24650</v>
      </c>
      <c r="K6026" s="1" t="s">
        <v>295</v>
      </c>
    </row>
    <row r="6027">
      <c r="A6027" s="1" t="s">
        <v>24651</v>
      </c>
      <c r="B6027" s="1" t="s">
        <v>24652</v>
      </c>
      <c r="C6027" s="1">
        <v>1998.0</v>
      </c>
      <c r="D6027" s="2">
        <v>35916.0</v>
      </c>
      <c r="F6027" s="1" t="s">
        <v>5554</v>
      </c>
      <c r="H6027" s="3">
        <v>19.0</v>
      </c>
      <c r="I6027" s="4" t="s">
        <v>24653</v>
      </c>
      <c r="J6027" s="1" t="s">
        <v>24654</v>
      </c>
      <c r="K6027" s="1" t="s">
        <v>16</v>
      </c>
    </row>
    <row r="6028">
      <c r="A6028" s="1" t="s">
        <v>24655</v>
      </c>
      <c r="B6028" s="1" t="s">
        <v>24595</v>
      </c>
      <c r="C6028" s="1">
        <v>1998.0</v>
      </c>
      <c r="D6028" s="2">
        <v>35855.0</v>
      </c>
      <c r="F6028" s="1" t="s">
        <v>24596</v>
      </c>
      <c r="H6028" s="3">
        <v>6.0</v>
      </c>
      <c r="I6028" s="4" t="s">
        <v>24656</v>
      </c>
      <c r="J6028" s="1" t="s">
        <v>24657</v>
      </c>
      <c r="K6028" s="1" t="s">
        <v>295</v>
      </c>
    </row>
    <row r="6029">
      <c r="A6029" s="1" t="s">
        <v>24658</v>
      </c>
      <c r="B6029" s="1" t="s">
        <v>24659</v>
      </c>
      <c r="C6029" s="1">
        <v>1998.0</v>
      </c>
      <c r="D6029" s="2">
        <v>35841.0</v>
      </c>
      <c r="F6029" s="1" t="s">
        <v>25</v>
      </c>
      <c r="H6029" s="3">
        <v>101.0</v>
      </c>
      <c r="I6029" s="4" t="s">
        <v>24660</v>
      </c>
      <c r="J6029" s="1" t="s">
        <v>24661</v>
      </c>
      <c r="K6029" s="1" t="s">
        <v>295</v>
      </c>
    </row>
    <row r="6030">
      <c r="A6030" s="1" t="s">
        <v>24662</v>
      </c>
      <c r="B6030" s="1" t="s">
        <v>24663</v>
      </c>
      <c r="C6030" s="1">
        <v>1998.0</v>
      </c>
      <c r="D6030" s="2">
        <v>35827.0</v>
      </c>
      <c r="F6030" s="1" t="s">
        <v>15368</v>
      </c>
      <c r="H6030" s="3">
        <v>9.0</v>
      </c>
      <c r="I6030" s="4" t="s">
        <v>24664</v>
      </c>
      <c r="J6030" s="1" t="s">
        <v>24665</v>
      </c>
      <c r="K6030" s="1" t="s">
        <v>16</v>
      </c>
    </row>
    <row r="6031">
      <c r="A6031" s="1" t="s">
        <v>24666</v>
      </c>
      <c r="B6031" s="1" t="s">
        <v>24667</v>
      </c>
      <c r="C6031" s="1">
        <v>1998.0</v>
      </c>
      <c r="D6031" s="2">
        <v>35796.0</v>
      </c>
      <c r="F6031" s="1" t="s">
        <v>2955</v>
      </c>
      <c r="H6031" s="3">
        <v>45.0</v>
      </c>
      <c r="I6031" s="4" t="s">
        <v>24668</v>
      </c>
      <c r="J6031" s="1" t="s">
        <v>24669</v>
      </c>
      <c r="K6031" s="1" t="s">
        <v>16</v>
      </c>
    </row>
    <row r="6032">
      <c r="A6032" s="1" t="s">
        <v>24670</v>
      </c>
      <c r="B6032" s="1" t="s">
        <v>24671</v>
      </c>
      <c r="C6032" s="1">
        <v>1997.0</v>
      </c>
      <c r="D6032" s="2">
        <v>35765.0</v>
      </c>
      <c r="F6032" s="1" t="s">
        <v>489</v>
      </c>
      <c r="H6032" s="3">
        <v>4.0</v>
      </c>
      <c r="I6032" s="4" t="s">
        <v>24672</v>
      </c>
      <c r="J6032" s="1" t="s">
        <v>24673</v>
      </c>
      <c r="K6032" s="1" t="s">
        <v>295</v>
      </c>
    </row>
    <row r="6033">
      <c r="A6033" s="1" t="s">
        <v>24674</v>
      </c>
      <c r="B6033" s="1" t="s">
        <v>24675</v>
      </c>
      <c r="C6033" s="1">
        <v>1997.0</v>
      </c>
      <c r="D6033" s="2">
        <v>35735.0</v>
      </c>
      <c r="F6033" s="1" t="s">
        <v>396</v>
      </c>
      <c r="H6033" s="3">
        <v>81.0</v>
      </c>
      <c r="I6033" s="4" t="s">
        <v>24676</v>
      </c>
      <c r="J6033" s="1"/>
      <c r="K6033" s="1" t="s">
        <v>16</v>
      </c>
    </row>
    <row r="6034">
      <c r="A6034" s="1" t="s">
        <v>24677</v>
      </c>
      <c r="B6034" s="1" t="s">
        <v>22748</v>
      </c>
      <c r="C6034" s="3">
        <v>1997.0</v>
      </c>
      <c r="D6034" s="2">
        <v>35602.0</v>
      </c>
      <c r="F6034" s="1" t="s">
        <v>1050</v>
      </c>
      <c r="H6034" s="3">
        <v>0.0</v>
      </c>
      <c r="I6034" s="4" t="s">
        <v>24678</v>
      </c>
      <c r="J6034" s="1" t="s">
        <v>24679</v>
      </c>
      <c r="K6034" s="1" t="s">
        <v>295</v>
      </c>
    </row>
    <row r="6035">
      <c r="A6035" s="1" t="s">
        <v>24680</v>
      </c>
      <c r="B6035" s="1" t="s">
        <v>24681</v>
      </c>
      <c r="C6035" s="1">
        <v>1997.0</v>
      </c>
      <c r="D6035" s="2">
        <v>35582.0</v>
      </c>
      <c r="F6035" s="1" t="s">
        <v>24682</v>
      </c>
      <c r="H6035" s="3">
        <v>25.0</v>
      </c>
      <c r="I6035" s="4" t="s">
        <v>24683</v>
      </c>
      <c r="J6035" s="1"/>
      <c r="K6035" s="1" t="s">
        <v>295</v>
      </c>
    </row>
    <row r="6036">
      <c r="A6036" s="1" t="s">
        <v>24684</v>
      </c>
      <c r="B6036" s="1" t="s">
        <v>24685</v>
      </c>
      <c r="C6036" s="1">
        <v>1997.0</v>
      </c>
      <c r="D6036" s="2">
        <v>35521.0</v>
      </c>
      <c r="F6036" s="1" t="s">
        <v>2497</v>
      </c>
      <c r="H6036" s="3">
        <v>10.0</v>
      </c>
      <c r="I6036" s="4" t="s">
        <v>24686</v>
      </c>
      <c r="J6036" s="1" t="s">
        <v>24687</v>
      </c>
      <c r="K6036" s="1" t="s">
        <v>16</v>
      </c>
    </row>
    <row r="6037">
      <c r="A6037" s="1" t="s">
        <v>24688</v>
      </c>
      <c r="B6037" s="1" t="s">
        <v>24689</v>
      </c>
      <c r="C6037" s="1">
        <v>1993.0</v>
      </c>
      <c r="D6037" s="2">
        <v>34121.0</v>
      </c>
      <c r="F6037" s="1" t="s">
        <v>24690</v>
      </c>
      <c r="H6037" s="3">
        <v>10.0</v>
      </c>
      <c r="I6037" s="4" t="s">
        <v>24691</v>
      </c>
      <c r="J6037" s="1" t="s">
        <v>24692</v>
      </c>
      <c r="K6037" s="1" t="s">
        <v>68</v>
      </c>
    </row>
    <row r="6038">
      <c r="A6038" s="1" t="s">
        <v>24693</v>
      </c>
      <c r="B6038" s="1" t="s">
        <v>24694</v>
      </c>
      <c r="C6038" s="1"/>
      <c r="D6038" s="2"/>
      <c r="F6038" s="1" t="s">
        <v>21984</v>
      </c>
      <c r="H6038" s="3">
        <v>133.0</v>
      </c>
      <c r="I6038" s="4" t="s">
        <v>24695</v>
      </c>
      <c r="J6038" s="1" t="s">
        <v>24696</v>
      </c>
      <c r="K6038" s="1" t="s">
        <v>383</v>
      </c>
    </row>
    <row r="6039">
      <c r="A6039" s="1" t="s">
        <v>24697</v>
      </c>
      <c r="B6039" s="1" t="s">
        <v>24698</v>
      </c>
      <c r="C6039" s="3"/>
      <c r="D6039" s="2"/>
      <c r="F6039" s="1" t="s">
        <v>396</v>
      </c>
      <c r="H6039" s="3">
        <v>119.0</v>
      </c>
      <c r="I6039" s="4" t="s">
        <v>24699</v>
      </c>
      <c r="J6039" s="1" t="s">
        <v>24700</v>
      </c>
      <c r="K6039" s="1" t="s">
        <v>443</v>
      </c>
    </row>
    <row r="6040">
      <c r="A6040" s="1" t="s">
        <v>24701</v>
      </c>
      <c r="B6040" s="1" t="s">
        <v>24702</v>
      </c>
      <c r="C6040" s="3"/>
      <c r="D6040" s="2"/>
      <c r="F6040" s="1" t="s">
        <v>1505</v>
      </c>
      <c r="H6040" s="3">
        <v>10.0</v>
      </c>
      <c r="I6040" s="4" t="s">
        <v>24703</v>
      </c>
      <c r="J6040" s="1" t="s">
        <v>24704</v>
      </c>
      <c r="K6040" s="1" t="s">
        <v>68</v>
      </c>
    </row>
    <row r="6041">
      <c r="A6041" s="1" t="s">
        <v>24705</v>
      </c>
      <c r="B6041" s="1" t="s">
        <v>24706</v>
      </c>
      <c r="C6041" s="1"/>
      <c r="D6041" s="2"/>
      <c r="F6041" s="1" t="s">
        <v>14057</v>
      </c>
      <c r="H6041" s="3">
        <v>3.0</v>
      </c>
      <c r="I6041" s="4" t="s">
        <v>24707</v>
      </c>
      <c r="J6041" s="1" t="s">
        <v>24708</v>
      </c>
      <c r="K6041" s="1" t="s">
        <v>413</v>
      </c>
    </row>
    <row r="6042">
      <c r="A6042" s="1" t="s">
        <v>24709</v>
      </c>
      <c r="B6042" s="1" t="s">
        <v>11239</v>
      </c>
      <c r="C6042" s="1"/>
      <c r="D6042" s="2"/>
      <c r="F6042" s="1" t="s">
        <v>14057</v>
      </c>
      <c r="H6042" s="3">
        <v>14.0</v>
      </c>
      <c r="I6042" s="4" t="s">
        <v>24710</v>
      </c>
      <c r="J6042" s="1" t="s">
        <v>24711</v>
      </c>
      <c r="K6042" s="1" t="s">
        <v>68</v>
      </c>
    </row>
    <row r="6043">
      <c r="A6043" s="1" t="s">
        <v>24712</v>
      </c>
      <c r="B6043" s="1" t="s">
        <v>24713</v>
      </c>
      <c r="D6043" s="2"/>
      <c r="F6043" s="1" t="s">
        <v>2007</v>
      </c>
      <c r="H6043" s="3">
        <v>63.0</v>
      </c>
      <c r="I6043" s="4" t="s">
        <v>24714</v>
      </c>
      <c r="J6043" s="1" t="s">
        <v>24715</v>
      </c>
      <c r="K6043" s="1" t="s">
        <v>295</v>
      </c>
    </row>
    <row r="6044">
      <c r="A6044" s="1" t="s">
        <v>24716</v>
      </c>
      <c r="B6044" s="1" t="s">
        <v>24717</v>
      </c>
      <c r="C6044" s="1">
        <v>2024.0</v>
      </c>
      <c r="D6044" s="2">
        <v>45553.0</v>
      </c>
      <c r="F6044" s="1" t="s">
        <v>1442</v>
      </c>
      <c r="H6044" s="3">
        <v>0.0</v>
      </c>
      <c r="I6044" s="4" t="s">
        <v>24718</v>
      </c>
      <c r="J6044" s="1" t="s">
        <v>24719</v>
      </c>
      <c r="K6044" s="1" t="s">
        <v>28</v>
      </c>
    </row>
    <row r="6045">
      <c r="A6045" s="1" t="s">
        <v>24720</v>
      </c>
      <c r="B6045" s="1" t="s">
        <v>24721</v>
      </c>
      <c r="C6045" s="1">
        <v>2024.0</v>
      </c>
      <c r="D6045" s="2">
        <v>45509.0</v>
      </c>
      <c r="F6045" s="1" t="s">
        <v>2676</v>
      </c>
      <c r="H6045" s="3">
        <v>0.0</v>
      </c>
      <c r="I6045" s="4" t="s">
        <v>24722</v>
      </c>
      <c r="J6045" s="1" t="s">
        <v>24723</v>
      </c>
      <c r="K6045" s="1" t="s">
        <v>28</v>
      </c>
    </row>
    <row r="6046">
      <c r="A6046" s="1" t="s">
        <v>24724</v>
      </c>
      <c r="B6046" s="1" t="s">
        <v>24725</v>
      </c>
      <c r="C6046" s="1">
        <v>2024.0</v>
      </c>
      <c r="D6046" s="2">
        <v>45617.0</v>
      </c>
      <c r="F6046" s="1" t="s">
        <v>524</v>
      </c>
      <c r="H6046" s="3">
        <v>0.0</v>
      </c>
      <c r="I6046" s="4" t="s">
        <v>24726</v>
      </c>
      <c r="J6046" s="1" t="s">
        <v>24727</v>
      </c>
      <c r="K6046" s="1" t="s">
        <v>24728</v>
      </c>
    </row>
    <row r="6047">
      <c r="A6047" s="1" t="s">
        <v>24729</v>
      </c>
      <c r="B6047" s="1" t="s">
        <v>24730</v>
      </c>
      <c r="C6047" s="1">
        <v>2024.0</v>
      </c>
      <c r="D6047" s="2">
        <v>45474.0</v>
      </c>
      <c r="F6047" s="1" t="s">
        <v>24731</v>
      </c>
      <c r="H6047" s="3">
        <v>0.0</v>
      </c>
      <c r="I6047" s="4" t="s">
        <v>24732</v>
      </c>
      <c r="J6047" s="1" t="s">
        <v>24733</v>
      </c>
      <c r="K6047" s="1" t="s">
        <v>24734</v>
      </c>
    </row>
    <row r="6048">
      <c r="A6048" s="1" t="s">
        <v>24735</v>
      </c>
      <c r="B6048" s="1" t="s">
        <v>24736</v>
      </c>
      <c r="C6048" s="1">
        <v>2024.0</v>
      </c>
      <c r="D6048" s="2">
        <v>45466.0</v>
      </c>
      <c r="F6048" s="1" t="s">
        <v>1381</v>
      </c>
      <c r="H6048" s="3">
        <v>1.0</v>
      </c>
      <c r="I6048" s="4" t="s">
        <v>24737</v>
      </c>
      <c r="J6048" s="1" t="s">
        <v>24738</v>
      </c>
      <c r="K6048" s="1" t="s">
        <v>24728</v>
      </c>
    </row>
    <row r="6049">
      <c r="A6049" s="1" t="s">
        <v>24739</v>
      </c>
      <c r="B6049" s="1" t="s">
        <v>24740</v>
      </c>
      <c r="C6049" s="1">
        <v>2024.0</v>
      </c>
      <c r="D6049" s="2">
        <v>45467.0</v>
      </c>
      <c r="F6049" s="1" t="s">
        <v>1358</v>
      </c>
      <c r="H6049" s="3">
        <v>0.0</v>
      </c>
      <c r="I6049" s="4" t="s">
        <v>24741</v>
      </c>
      <c r="J6049" s="1" t="s">
        <v>24742</v>
      </c>
      <c r="K6049" s="1" t="s">
        <v>24743</v>
      </c>
    </row>
    <row r="6050">
      <c r="A6050" s="1" t="s">
        <v>24744</v>
      </c>
      <c r="B6050" s="1" t="s">
        <v>24745</v>
      </c>
      <c r="C6050" s="1">
        <v>2024.0</v>
      </c>
      <c r="D6050" s="2">
        <v>45552.0</v>
      </c>
      <c r="F6050" s="1" t="s">
        <v>5559</v>
      </c>
      <c r="H6050" s="3">
        <v>0.0</v>
      </c>
      <c r="I6050" s="4" t="s">
        <v>24746</v>
      </c>
      <c r="J6050" s="1" t="s">
        <v>24747</v>
      </c>
      <c r="K6050" s="1" t="s">
        <v>24743</v>
      </c>
    </row>
    <row r="6051">
      <c r="A6051" s="1" t="s">
        <v>24748</v>
      </c>
      <c r="B6051" s="1" t="s">
        <v>24749</v>
      </c>
      <c r="C6051" s="1">
        <v>2024.0</v>
      </c>
      <c r="D6051" s="2">
        <v>45456.0</v>
      </c>
      <c r="F6051" s="1" t="s">
        <v>24750</v>
      </c>
      <c r="H6051" s="3">
        <v>0.0</v>
      </c>
      <c r="I6051" s="4" t="s">
        <v>24751</v>
      </c>
      <c r="J6051" s="1" t="s">
        <v>24752</v>
      </c>
      <c r="K6051" s="1" t="s">
        <v>24753</v>
      </c>
    </row>
    <row r="6052">
      <c r="A6052" s="1" t="s">
        <v>24754</v>
      </c>
      <c r="B6052" s="1" t="s">
        <v>156</v>
      </c>
      <c r="C6052" s="1">
        <v>2024.0</v>
      </c>
      <c r="D6052" s="2">
        <v>45583.0</v>
      </c>
      <c r="F6052" s="1" t="s">
        <v>157</v>
      </c>
      <c r="H6052" s="3">
        <v>0.0</v>
      </c>
      <c r="I6052" s="4" t="s">
        <v>24755</v>
      </c>
      <c r="J6052" s="1" t="s">
        <v>24756</v>
      </c>
      <c r="K6052" s="1" t="s">
        <v>24743</v>
      </c>
    </row>
    <row r="6053">
      <c r="A6053" s="1" t="s">
        <v>24757</v>
      </c>
      <c r="B6053" s="1" t="s">
        <v>24758</v>
      </c>
      <c r="C6053" s="1">
        <v>2024.0</v>
      </c>
      <c r="D6053" s="2">
        <v>45583.0</v>
      </c>
      <c r="F6053" s="1" t="s">
        <v>157</v>
      </c>
      <c r="H6053" s="3">
        <v>0.0</v>
      </c>
      <c r="I6053" s="4" t="s">
        <v>24759</v>
      </c>
      <c r="J6053" s="1" t="s">
        <v>24760</v>
      </c>
      <c r="K6053" s="1" t="s">
        <v>24743</v>
      </c>
    </row>
    <row r="6054">
      <c r="A6054" s="1" t="s">
        <v>24761</v>
      </c>
      <c r="B6054" s="1" t="s">
        <v>156</v>
      </c>
      <c r="C6054" s="1">
        <v>2024.0</v>
      </c>
      <c r="D6054" s="2">
        <v>45569.0</v>
      </c>
      <c r="F6054" s="1" t="s">
        <v>157</v>
      </c>
      <c r="H6054" s="3">
        <v>2.0</v>
      </c>
      <c r="I6054" s="4" t="s">
        <v>24762</v>
      </c>
      <c r="J6054" s="1" t="s">
        <v>24763</v>
      </c>
      <c r="K6054" s="1" t="s">
        <v>24743</v>
      </c>
    </row>
    <row r="6055">
      <c r="A6055" s="1" t="s">
        <v>24764</v>
      </c>
      <c r="B6055" s="1" t="s">
        <v>24765</v>
      </c>
      <c r="C6055" s="1">
        <v>2024.0</v>
      </c>
      <c r="D6055" s="2">
        <v>45541.0</v>
      </c>
      <c r="F6055" s="1" t="s">
        <v>157</v>
      </c>
      <c r="H6055" s="3">
        <v>1.0</v>
      </c>
      <c r="I6055" s="4" t="s">
        <v>24766</v>
      </c>
      <c r="J6055" s="1" t="s">
        <v>24767</v>
      </c>
      <c r="K6055" s="1" t="s">
        <v>24743</v>
      </c>
    </row>
    <row r="6056">
      <c r="A6056" s="1" t="s">
        <v>24768</v>
      </c>
      <c r="B6056" s="1" t="s">
        <v>24769</v>
      </c>
      <c r="C6056" s="1">
        <v>2024.0</v>
      </c>
      <c r="D6056" s="2">
        <v>45541.0</v>
      </c>
      <c r="F6056" s="1" t="s">
        <v>157</v>
      </c>
      <c r="H6056" s="3">
        <v>0.0</v>
      </c>
      <c r="I6056" s="4" t="s">
        <v>24770</v>
      </c>
      <c r="J6056" s="1" t="s">
        <v>24771</v>
      </c>
      <c r="K6056" s="1" t="s">
        <v>24743</v>
      </c>
    </row>
    <row r="6057">
      <c r="A6057" s="1" t="s">
        <v>24772</v>
      </c>
      <c r="B6057" s="1" t="s">
        <v>24773</v>
      </c>
      <c r="C6057" s="1">
        <v>2024.0</v>
      </c>
      <c r="D6057" s="2">
        <v>45512.0</v>
      </c>
      <c r="F6057" s="1" t="s">
        <v>5944</v>
      </c>
      <c r="H6057" s="3">
        <v>0.0</v>
      </c>
      <c r="I6057" s="4" t="s">
        <v>24774</v>
      </c>
      <c r="J6057" s="1" t="s">
        <v>24775</v>
      </c>
      <c r="K6057" s="1" t="s">
        <v>24743</v>
      </c>
    </row>
    <row r="6058">
      <c r="A6058" s="1" t="s">
        <v>24776</v>
      </c>
      <c r="B6058" s="1" t="s">
        <v>156</v>
      </c>
      <c r="C6058" s="1">
        <v>2024.0</v>
      </c>
      <c r="D6058" s="2">
        <v>45492.0</v>
      </c>
      <c r="F6058" s="1" t="s">
        <v>157</v>
      </c>
      <c r="H6058" s="3">
        <v>0.0</v>
      </c>
      <c r="I6058" s="4" t="s">
        <v>24777</v>
      </c>
      <c r="J6058" s="1" t="s">
        <v>24778</v>
      </c>
      <c r="K6058" s="1" t="s">
        <v>24743</v>
      </c>
    </row>
    <row r="6059">
      <c r="A6059" s="1" t="s">
        <v>24779</v>
      </c>
      <c r="B6059" s="1" t="s">
        <v>24780</v>
      </c>
      <c r="C6059" s="1">
        <v>2024.0</v>
      </c>
      <c r="D6059" s="2">
        <v>45471.0</v>
      </c>
      <c r="F6059" s="1" t="s">
        <v>157</v>
      </c>
      <c r="H6059" s="3">
        <v>2.0</v>
      </c>
      <c r="I6059" s="4" t="s">
        <v>24781</v>
      </c>
      <c r="J6059" s="1" t="s">
        <v>24782</v>
      </c>
      <c r="K6059" s="1" t="s">
        <v>24753</v>
      </c>
    </row>
    <row r="6060">
      <c r="A6060" s="1" t="s">
        <v>24783</v>
      </c>
      <c r="B6060" s="1" t="s">
        <v>24784</v>
      </c>
      <c r="C6060" s="1">
        <v>2024.0</v>
      </c>
      <c r="D6060" s="2">
        <v>45473.0</v>
      </c>
      <c r="F6060" s="1" t="s">
        <v>24785</v>
      </c>
      <c r="H6060" s="3">
        <v>0.0</v>
      </c>
      <c r="I6060" s="4" t="s">
        <v>24786</v>
      </c>
      <c r="J6060" s="1" t="s">
        <v>24787</v>
      </c>
      <c r="K6060" s="1" t="s">
        <v>24788</v>
      </c>
    </row>
    <row r="6061">
      <c r="A6061" s="1" t="s">
        <v>24789</v>
      </c>
      <c r="B6061" s="1" t="s">
        <v>24790</v>
      </c>
      <c r="C6061" s="1">
        <v>2024.0</v>
      </c>
      <c r="D6061" s="2">
        <v>45450.0</v>
      </c>
      <c r="F6061" s="1" t="s">
        <v>157</v>
      </c>
      <c r="H6061" s="3">
        <v>1.0</v>
      </c>
      <c r="I6061" s="4" t="s">
        <v>24791</v>
      </c>
      <c r="J6061" s="1" t="s">
        <v>24792</v>
      </c>
      <c r="K6061" s="1" t="s">
        <v>24743</v>
      </c>
    </row>
    <row r="6062">
      <c r="A6062" s="1" t="s">
        <v>24793</v>
      </c>
      <c r="B6062" s="1" t="s">
        <v>24769</v>
      </c>
      <c r="C6062" s="1">
        <v>2024.0</v>
      </c>
      <c r="D6062" s="2">
        <v>45443.0</v>
      </c>
      <c r="F6062" s="1" t="s">
        <v>157</v>
      </c>
      <c r="H6062" s="3">
        <v>2.0</v>
      </c>
      <c r="I6062" s="4" t="s">
        <v>24794</v>
      </c>
      <c r="J6062" s="1" t="s">
        <v>24795</v>
      </c>
      <c r="K6062" s="1" t="s">
        <v>24743</v>
      </c>
    </row>
    <row r="6063">
      <c r="A6063" s="1" t="s">
        <v>24796</v>
      </c>
      <c r="B6063" s="1" t="s">
        <v>24797</v>
      </c>
      <c r="C6063" s="1">
        <v>2024.0</v>
      </c>
      <c r="D6063" s="2">
        <v>45602.0</v>
      </c>
      <c r="F6063" s="1" t="s">
        <v>681</v>
      </c>
      <c r="H6063" s="3">
        <v>0.0</v>
      </c>
      <c r="I6063" s="4" t="s">
        <v>24798</v>
      </c>
      <c r="J6063" s="1" t="s">
        <v>24799</v>
      </c>
      <c r="K6063" s="1" t="s">
        <v>24743</v>
      </c>
    </row>
    <row r="6064">
      <c r="A6064" s="1" t="s">
        <v>24800</v>
      </c>
      <c r="B6064" s="1" t="s">
        <v>24801</v>
      </c>
      <c r="C6064" s="1">
        <v>2024.0</v>
      </c>
      <c r="D6064" s="2">
        <v>45636.0</v>
      </c>
      <c r="F6064" s="1" t="s">
        <v>1614</v>
      </c>
      <c r="H6064" s="3">
        <v>0.0</v>
      </c>
      <c r="I6064" s="4" t="s">
        <v>24802</v>
      </c>
      <c r="J6064" s="1" t="s">
        <v>24803</v>
      </c>
      <c r="K6064" s="1" t="s">
        <v>24728</v>
      </c>
    </row>
    <row r="6065">
      <c r="A6065" s="1" t="s">
        <v>24804</v>
      </c>
      <c r="B6065" s="1" t="s">
        <v>24805</v>
      </c>
      <c r="C6065" s="1">
        <v>2024.0</v>
      </c>
      <c r="D6065" s="2">
        <v>45610.0</v>
      </c>
      <c r="F6065" s="1" t="s">
        <v>2365</v>
      </c>
      <c r="H6065" s="3">
        <v>0.0</v>
      </c>
      <c r="I6065" s="4" t="s">
        <v>24806</v>
      </c>
      <c r="K6065" s="1" t="s">
        <v>24728</v>
      </c>
    </row>
    <row r="6066">
      <c r="A6066" s="1" t="s">
        <v>24807</v>
      </c>
      <c r="B6066" s="1" t="s">
        <v>24805</v>
      </c>
      <c r="C6066" s="1">
        <v>2024.0</v>
      </c>
      <c r="D6066" s="2">
        <v>45610.0</v>
      </c>
      <c r="F6066" s="1" t="s">
        <v>2365</v>
      </c>
      <c r="H6066" s="3">
        <v>0.0</v>
      </c>
      <c r="I6066" s="4" t="s">
        <v>24808</v>
      </c>
      <c r="K6066" s="1" t="s">
        <v>24728</v>
      </c>
    </row>
    <row r="6067">
      <c r="A6067" s="1" t="s">
        <v>24809</v>
      </c>
      <c r="B6067" s="1" t="s">
        <v>24805</v>
      </c>
      <c r="C6067" s="1">
        <v>2024.0</v>
      </c>
      <c r="D6067" s="2">
        <v>45559.0</v>
      </c>
      <c r="F6067" s="1" t="s">
        <v>2365</v>
      </c>
      <c r="H6067" s="3">
        <v>0.0</v>
      </c>
      <c r="I6067" s="4" t="s">
        <v>24810</v>
      </c>
      <c r="K6067" s="1" t="s">
        <v>24728</v>
      </c>
    </row>
    <row r="6068">
      <c r="A6068" s="1" t="s">
        <v>24811</v>
      </c>
      <c r="B6068" s="1" t="s">
        <v>24805</v>
      </c>
      <c r="C6068" s="1">
        <v>2024.0</v>
      </c>
      <c r="D6068" s="2">
        <v>45559.0</v>
      </c>
      <c r="F6068" s="1" t="s">
        <v>2365</v>
      </c>
      <c r="H6068" s="3">
        <v>0.0</v>
      </c>
      <c r="I6068" s="4" t="s">
        <v>24812</v>
      </c>
      <c r="K6068" s="1" t="s">
        <v>24728</v>
      </c>
    </row>
    <row r="6069">
      <c r="A6069" s="1" t="s">
        <v>24813</v>
      </c>
      <c r="B6069" s="1" t="s">
        <v>24814</v>
      </c>
      <c r="C6069" s="1">
        <v>2024.0</v>
      </c>
      <c r="D6069" s="2">
        <v>45545.0</v>
      </c>
      <c r="F6069" s="1" t="s">
        <v>835</v>
      </c>
      <c r="H6069" s="3">
        <v>0.0</v>
      </c>
      <c r="I6069" s="4" t="s">
        <v>24815</v>
      </c>
      <c r="J6069" s="1" t="s">
        <v>24816</v>
      </c>
      <c r="K6069" s="1" t="s">
        <v>24728</v>
      </c>
    </row>
    <row r="6070">
      <c r="A6070" s="1" t="s">
        <v>24817</v>
      </c>
      <c r="B6070" s="1" t="s">
        <v>24818</v>
      </c>
      <c r="C6070" s="1">
        <v>2024.0</v>
      </c>
      <c r="D6070" s="2">
        <v>45499.0</v>
      </c>
      <c r="F6070" s="1" t="s">
        <v>2365</v>
      </c>
      <c r="H6070" s="3">
        <v>0.0</v>
      </c>
      <c r="I6070" s="4" t="s">
        <v>24819</v>
      </c>
      <c r="J6070" s="1" t="s">
        <v>24820</v>
      </c>
      <c r="K6070" s="1" t="s">
        <v>24728</v>
      </c>
    </row>
    <row r="6071">
      <c r="A6071" s="1" t="s">
        <v>24821</v>
      </c>
      <c r="B6071" s="1" t="s">
        <v>24822</v>
      </c>
      <c r="C6071" s="1">
        <v>2024.0</v>
      </c>
      <c r="D6071" s="2">
        <v>45483.0</v>
      </c>
      <c r="F6071" s="1" t="s">
        <v>24823</v>
      </c>
      <c r="H6071" s="3">
        <v>0.0</v>
      </c>
      <c r="I6071" s="4" t="s">
        <v>24824</v>
      </c>
      <c r="J6071" s="1" t="s">
        <v>24825</v>
      </c>
      <c r="K6071" s="1" t="s">
        <v>24728</v>
      </c>
    </row>
    <row r="6072">
      <c r="A6072" s="1" t="s">
        <v>24826</v>
      </c>
      <c r="B6072" s="1" t="s">
        <v>24827</v>
      </c>
      <c r="C6072" s="1">
        <v>2024.0</v>
      </c>
      <c r="D6072" s="2">
        <v>45496.0</v>
      </c>
      <c r="F6072" s="1" t="s">
        <v>776</v>
      </c>
      <c r="H6072" s="3">
        <v>0.0</v>
      </c>
      <c r="I6072" s="4" t="s">
        <v>24828</v>
      </c>
      <c r="J6072" s="1" t="s">
        <v>24829</v>
      </c>
      <c r="K6072" s="1" t="s">
        <v>24734</v>
      </c>
    </row>
    <row r="6073">
      <c r="A6073" s="1" t="s">
        <v>24830</v>
      </c>
      <c r="B6073" s="1" t="s">
        <v>24831</v>
      </c>
      <c r="C6073" s="1">
        <v>2024.0</v>
      </c>
      <c r="D6073" s="2">
        <v>45627.0</v>
      </c>
      <c r="F6073" s="1" t="s">
        <v>24832</v>
      </c>
      <c r="H6073" s="3">
        <v>0.0</v>
      </c>
      <c r="I6073" s="4" t="s">
        <v>24833</v>
      </c>
      <c r="J6073" s="1" t="s">
        <v>24834</v>
      </c>
      <c r="K6073" s="1" t="s">
        <v>24743</v>
      </c>
    </row>
    <row r="6074">
      <c r="A6074" s="1" t="s">
        <v>24835</v>
      </c>
      <c r="B6074" s="1" t="s">
        <v>24836</v>
      </c>
      <c r="C6074" s="1">
        <v>2024.0</v>
      </c>
      <c r="D6074" s="2">
        <v>45631.0</v>
      </c>
      <c r="F6074" s="1" t="s">
        <v>1588</v>
      </c>
      <c r="H6074" s="3">
        <v>0.0</v>
      </c>
      <c r="I6074" s="4" t="s">
        <v>24837</v>
      </c>
      <c r="J6074" s="1" t="s">
        <v>24838</v>
      </c>
      <c r="K6074" s="1" t="s">
        <v>28</v>
      </c>
    </row>
    <row r="6075">
      <c r="A6075" s="1" t="s">
        <v>24839</v>
      </c>
      <c r="B6075" s="1" t="s">
        <v>24840</v>
      </c>
      <c r="C6075" s="1">
        <v>2024.0</v>
      </c>
      <c r="D6075" s="2">
        <v>45575.0</v>
      </c>
      <c r="F6075" s="1" t="s">
        <v>24841</v>
      </c>
      <c r="H6075" s="3">
        <v>0.0</v>
      </c>
      <c r="I6075" s="4" t="s">
        <v>24842</v>
      </c>
      <c r="K6075" s="1" t="s">
        <v>24734</v>
      </c>
    </row>
    <row r="6076">
      <c r="A6076" s="1" t="s">
        <v>24843</v>
      </c>
      <c r="B6076" s="1" t="s">
        <v>24844</v>
      </c>
      <c r="C6076" s="1">
        <v>2024.0</v>
      </c>
      <c r="D6076" s="2">
        <v>45468.0</v>
      </c>
      <c r="F6076" s="1" t="s">
        <v>24845</v>
      </c>
      <c r="H6076" s="3">
        <v>3.0</v>
      </c>
      <c r="I6076" s="4" t="s">
        <v>24846</v>
      </c>
      <c r="J6076" s="1" t="s">
        <v>24847</v>
      </c>
      <c r="K6076" s="1" t="s">
        <v>24743</v>
      </c>
    </row>
    <row r="6077">
      <c r="A6077" s="1" t="s">
        <v>24848</v>
      </c>
      <c r="B6077" s="1" t="s">
        <v>24849</v>
      </c>
      <c r="C6077" s="1">
        <v>2024.0</v>
      </c>
      <c r="D6077" s="2">
        <v>45472.0</v>
      </c>
      <c r="F6077" s="1" t="s">
        <v>681</v>
      </c>
      <c r="H6077" s="3">
        <v>0.0</v>
      </c>
      <c r="I6077" s="4" t="s">
        <v>24850</v>
      </c>
      <c r="J6077" s="1" t="s">
        <v>24851</v>
      </c>
      <c r="K6077" s="1" t="s">
        <v>28</v>
      </c>
    </row>
    <row r="6078">
      <c r="A6078" s="1" t="s">
        <v>24852</v>
      </c>
      <c r="B6078" s="1" t="s">
        <v>24853</v>
      </c>
      <c r="C6078" s="1">
        <v>2024.0</v>
      </c>
      <c r="D6078" s="2">
        <v>45562.0</v>
      </c>
      <c r="F6078" s="1" t="s">
        <v>2634</v>
      </c>
      <c r="H6078" s="3">
        <v>0.0</v>
      </c>
      <c r="I6078" s="4" t="s">
        <v>24854</v>
      </c>
      <c r="J6078" s="1" t="s">
        <v>24855</v>
      </c>
      <c r="K6078" s="1" t="s">
        <v>28</v>
      </c>
    </row>
    <row r="6079">
      <c r="A6079" s="1" t="s">
        <v>24856</v>
      </c>
      <c r="B6079" s="1" t="s">
        <v>24857</v>
      </c>
      <c r="C6079" s="1">
        <v>2024.0</v>
      </c>
      <c r="D6079" s="2">
        <v>45498.0</v>
      </c>
      <c r="F6079" s="1" t="s">
        <v>3535</v>
      </c>
      <c r="H6079" s="3">
        <v>2.0</v>
      </c>
      <c r="I6079" s="4" t="s">
        <v>24858</v>
      </c>
      <c r="J6079" s="1" t="s">
        <v>24859</v>
      </c>
      <c r="K6079" s="1" t="s">
        <v>28</v>
      </c>
    </row>
    <row r="6080">
      <c r="A6080" s="1" t="s">
        <v>24860</v>
      </c>
      <c r="B6080" s="1" t="s">
        <v>24861</v>
      </c>
      <c r="C6080" s="1">
        <v>2024.0</v>
      </c>
      <c r="D6080" s="2">
        <v>45635.0</v>
      </c>
      <c r="F6080" s="1" t="s">
        <v>208</v>
      </c>
      <c r="H6080" s="3">
        <v>0.0</v>
      </c>
      <c r="I6080" s="4" t="s">
        <v>24862</v>
      </c>
      <c r="J6080" s="1" t="s">
        <v>24863</v>
      </c>
      <c r="K6080" s="1" t="s">
        <v>24788</v>
      </c>
    </row>
    <row r="6081">
      <c r="A6081" s="1" t="s">
        <v>24864</v>
      </c>
      <c r="B6081" s="1" t="s">
        <v>24865</v>
      </c>
      <c r="C6081" s="1">
        <v>2024.0</v>
      </c>
      <c r="D6081" s="2">
        <v>45566.0</v>
      </c>
      <c r="F6081" s="1" t="s">
        <v>4392</v>
      </c>
      <c r="H6081" s="3">
        <v>0.0</v>
      </c>
      <c r="I6081" s="4" t="s">
        <v>24866</v>
      </c>
      <c r="J6081" s="1" t="s">
        <v>24867</v>
      </c>
      <c r="K6081" s="1" t="s">
        <v>28</v>
      </c>
    </row>
    <row r="6082">
      <c r="A6082" s="1" t="s">
        <v>24868</v>
      </c>
      <c r="B6082" s="1" t="s">
        <v>24869</v>
      </c>
      <c r="C6082" s="1">
        <v>2024.0</v>
      </c>
      <c r="D6082" s="2">
        <v>45627.0</v>
      </c>
      <c r="F6082" s="1" t="s">
        <v>1822</v>
      </c>
      <c r="H6082" s="3">
        <v>0.0</v>
      </c>
      <c r="I6082" s="4" t="s">
        <v>24870</v>
      </c>
      <c r="J6082" s="1" t="s">
        <v>24871</v>
      </c>
      <c r="K6082" s="1" t="s">
        <v>24788</v>
      </c>
    </row>
    <row r="6083">
      <c r="A6083" s="1" t="s">
        <v>24872</v>
      </c>
      <c r="B6083" s="1" t="s">
        <v>24873</v>
      </c>
      <c r="C6083" s="1">
        <v>2024.0</v>
      </c>
      <c r="D6083" s="2">
        <v>45556.0</v>
      </c>
      <c r="F6083" s="1" t="s">
        <v>24874</v>
      </c>
      <c r="H6083" s="3">
        <v>0.0</v>
      </c>
      <c r="I6083" s="4" t="s">
        <v>24875</v>
      </c>
      <c r="J6083" s="1" t="s">
        <v>24876</v>
      </c>
      <c r="K6083" s="1" t="s">
        <v>24734</v>
      </c>
    </row>
    <row r="6084">
      <c r="A6084" s="1" t="s">
        <v>24877</v>
      </c>
      <c r="B6084" s="1" t="s">
        <v>24878</v>
      </c>
      <c r="C6084" s="1">
        <v>2024.0</v>
      </c>
      <c r="D6084" s="2">
        <v>45518.0</v>
      </c>
      <c r="F6084" s="1" t="s">
        <v>1128</v>
      </c>
      <c r="H6084" s="3">
        <v>2.0</v>
      </c>
      <c r="I6084" s="4" t="s">
        <v>24879</v>
      </c>
      <c r="J6084" s="1" t="s">
        <v>24880</v>
      </c>
      <c r="K6084" s="1" t="s">
        <v>24753</v>
      </c>
    </row>
    <row r="6085">
      <c r="A6085" s="1" t="s">
        <v>24881</v>
      </c>
      <c r="B6085" s="1" t="s">
        <v>24882</v>
      </c>
      <c r="C6085" s="1">
        <v>2024.0</v>
      </c>
      <c r="D6085" s="2">
        <v>45517.0</v>
      </c>
      <c r="F6085" s="1" t="s">
        <v>24883</v>
      </c>
      <c r="H6085" s="3">
        <v>0.0</v>
      </c>
      <c r="I6085" s="4" t="s">
        <v>24884</v>
      </c>
      <c r="J6085" s="1" t="s">
        <v>24885</v>
      </c>
      <c r="K6085" s="1" t="s">
        <v>24728</v>
      </c>
    </row>
    <row r="6086">
      <c r="A6086" s="1" t="s">
        <v>24886</v>
      </c>
      <c r="B6086" s="1" t="s">
        <v>24887</v>
      </c>
      <c r="C6086" s="1">
        <v>2024.0</v>
      </c>
      <c r="D6086" s="2">
        <v>45525.0</v>
      </c>
      <c r="F6086" s="1" t="s">
        <v>1366</v>
      </c>
      <c r="H6086" s="3">
        <v>1.0</v>
      </c>
      <c r="I6086" s="4" t="s">
        <v>24888</v>
      </c>
      <c r="J6086" s="1" t="s">
        <v>24889</v>
      </c>
      <c r="K6086" s="1" t="s">
        <v>24734</v>
      </c>
    </row>
    <row r="6087">
      <c r="A6087" s="1" t="s">
        <v>24890</v>
      </c>
      <c r="B6087" s="1" t="s">
        <v>207</v>
      </c>
      <c r="C6087" s="1">
        <v>2024.0</v>
      </c>
      <c r="D6087" s="2">
        <v>45420.0</v>
      </c>
      <c r="F6087" s="1" t="s">
        <v>208</v>
      </c>
      <c r="H6087" s="3">
        <v>3.0</v>
      </c>
      <c r="I6087" s="4" t="s">
        <v>209</v>
      </c>
      <c r="J6087" s="1" t="s">
        <v>24891</v>
      </c>
      <c r="K6087" s="1" t="s">
        <v>24892</v>
      </c>
    </row>
    <row r="6088">
      <c r="A6088" s="1" t="s">
        <v>24893</v>
      </c>
      <c r="B6088" s="1" t="s">
        <v>24894</v>
      </c>
      <c r="C6088" s="1">
        <v>2024.0</v>
      </c>
      <c r="D6088" s="2">
        <v>45622.0</v>
      </c>
      <c r="F6088" s="1" t="s">
        <v>465</v>
      </c>
      <c r="H6088" s="3">
        <v>0.0</v>
      </c>
      <c r="I6088" s="4" t="s">
        <v>24895</v>
      </c>
      <c r="J6088" s="1" t="s">
        <v>24896</v>
      </c>
      <c r="K6088" s="1" t="s">
        <v>24728</v>
      </c>
    </row>
    <row r="6089">
      <c r="A6089" s="1" t="s">
        <v>24897</v>
      </c>
      <c r="B6089" s="1" t="s">
        <v>24898</v>
      </c>
      <c r="C6089" s="1">
        <v>2024.0</v>
      </c>
      <c r="D6089" s="2">
        <v>45585.0</v>
      </c>
      <c r="F6089" s="1" t="s">
        <v>3276</v>
      </c>
      <c r="H6089" s="3">
        <v>0.0</v>
      </c>
      <c r="I6089" s="4" t="s">
        <v>24899</v>
      </c>
      <c r="J6089" s="1" t="s">
        <v>24900</v>
      </c>
      <c r="K6089" s="1" t="s">
        <v>24728</v>
      </c>
    </row>
    <row r="6090">
      <c r="A6090" s="1" t="s">
        <v>24901</v>
      </c>
      <c r="B6090" s="1" t="s">
        <v>24902</v>
      </c>
      <c r="C6090" s="1">
        <v>2024.0</v>
      </c>
      <c r="D6090" s="2">
        <v>45533.0</v>
      </c>
      <c r="F6090" s="1" t="s">
        <v>24903</v>
      </c>
      <c r="H6090" s="3">
        <v>0.0</v>
      </c>
      <c r="I6090" s="4" t="s">
        <v>24904</v>
      </c>
      <c r="J6090" s="1" t="s">
        <v>24905</v>
      </c>
      <c r="K6090" s="1" t="s">
        <v>24728</v>
      </c>
    </row>
    <row r="6091">
      <c r="A6091" s="1" t="s">
        <v>24906</v>
      </c>
      <c r="B6091" s="1" t="s">
        <v>24907</v>
      </c>
      <c r="C6091" s="1">
        <v>2024.0</v>
      </c>
      <c r="D6091" s="2">
        <v>45608.0</v>
      </c>
      <c r="F6091" s="1" t="s">
        <v>208</v>
      </c>
      <c r="H6091" s="3">
        <v>0.0</v>
      </c>
      <c r="I6091" s="4" t="s">
        <v>24908</v>
      </c>
      <c r="J6091" s="1" t="s">
        <v>24909</v>
      </c>
      <c r="K6091" s="1" t="s">
        <v>24788</v>
      </c>
    </row>
    <row r="6092">
      <c r="A6092" s="1" t="s">
        <v>24910</v>
      </c>
      <c r="B6092" s="1" t="s">
        <v>24911</v>
      </c>
      <c r="C6092" s="1">
        <v>2024.0</v>
      </c>
      <c r="D6092" s="2">
        <v>45580.0</v>
      </c>
      <c r="F6092" s="1" t="s">
        <v>24912</v>
      </c>
      <c r="H6092" s="3">
        <v>0.0</v>
      </c>
      <c r="I6092" s="4" t="s">
        <v>24913</v>
      </c>
      <c r="J6092" s="1" t="s">
        <v>24914</v>
      </c>
      <c r="K6092" s="1" t="s">
        <v>24892</v>
      </c>
    </row>
    <row r="6093">
      <c r="A6093" s="1" t="s">
        <v>24915</v>
      </c>
      <c r="B6093" s="1" t="s">
        <v>24916</v>
      </c>
      <c r="C6093" s="1">
        <v>2024.0</v>
      </c>
      <c r="D6093" s="2">
        <v>45497.0</v>
      </c>
      <c r="F6093" s="1" t="s">
        <v>147</v>
      </c>
      <c r="H6093" s="3">
        <v>0.0</v>
      </c>
      <c r="I6093" s="4" t="s">
        <v>24917</v>
      </c>
      <c r="J6093" s="1" t="s">
        <v>24918</v>
      </c>
      <c r="K6093" s="1" t="s">
        <v>24743</v>
      </c>
    </row>
    <row r="6094">
      <c r="A6094" s="1" t="s">
        <v>24919</v>
      </c>
      <c r="B6094" s="1" t="s">
        <v>24920</v>
      </c>
      <c r="C6094" s="1">
        <v>2024.0</v>
      </c>
      <c r="D6094" s="2">
        <v>45601.0</v>
      </c>
      <c r="F6094" s="1" t="s">
        <v>1317</v>
      </c>
      <c r="H6094" s="3">
        <v>0.0</v>
      </c>
      <c r="I6094" s="4" t="s">
        <v>24921</v>
      </c>
      <c r="J6094" s="1" t="s">
        <v>24922</v>
      </c>
      <c r="K6094" s="1" t="s">
        <v>24788</v>
      </c>
    </row>
    <row r="6095">
      <c r="A6095" s="1" t="s">
        <v>24923</v>
      </c>
      <c r="B6095" s="1" t="s">
        <v>24924</v>
      </c>
      <c r="C6095" s="1">
        <v>2024.0</v>
      </c>
      <c r="D6095" s="2">
        <v>45570.0</v>
      </c>
      <c r="F6095" s="1" t="s">
        <v>24925</v>
      </c>
      <c r="H6095" s="3">
        <v>0.0</v>
      </c>
      <c r="I6095" s="4" t="s">
        <v>24926</v>
      </c>
      <c r="J6095" s="1" t="s">
        <v>24927</v>
      </c>
      <c r="K6095" s="1" t="s">
        <v>24753</v>
      </c>
    </row>
    <row r="6096">
      <c r="A6096" s="1" t="s">
        <v>24928</v>
      </c>
      <c r="B6096" s="1" t="s">
        <v>24929</v>
      </c>
      <c r="C6096" s="1">
        <v>2024.0</v>
      </c>
      <c r="D6096" s="2">
        <v>45444.0</v>
      </c>
      <c r="F6096" s="1" t="s">
        <v>6998</v>
      </c>
      <c r="H6096" s="3">
        <v>0.0</v>
      </c>
      <c r="I6096" s="4" t="s">
        <v>24930</v>
      </c>
      <c r="J6096" s="1" t="s">
        <v>24931</v>
      </c>
      <c r="K6096" s="1" t="s">
        <v>28</v>
      </c>
    </row>
    <row r="6097">
      <c r="A6097" s="1" t="s">
        <v>24932</v>
      </c>
      <c r="B6097" s="1" t="s">
        <v>24933</v>
      </c>
      <c r="C6097" s="1">
        <v>2024.0</v>
      </c>
      <c r="D6097" s="2">
        <v>45538.0</v>
      </c>
      <c r="F6097" s="1" t="s">
        <v>726</v>
      </c>
      <c r="H6097" s="3">
        <v>0.0</v>
      </c>
      <c r="I6097" s="4" t="s">
        <v>24934</v>
      </c>
      <c r="J6097" s="1" t="s">
        <v>24935</v>
      </c>
      <c r="K6097" s="1" t="s">
        <v>24788</v>
      </c>
    </row>
    <row r="6098">
      <c r="A6098" s="1" t="s">
        <v>24936</v>
      </c>
      <c r="B6098" s="1" t="s">
        <v>24937</v>
      </c>
      <c r="C6098" s="1">
        <v>2024.0</v>
      </c>
      <c r="D6098" s="2">
        <v>45567.0</v>
      </c>
      <c r="F6098" s="1" t="s">
        <v>835</v>
      </c>
      <c r="H6098" s="3">
        <v>0.0</v>
      </c>
      <c r="I6098" s="4" t="s">
        <v>24938</v>
      </c>
      <c r="J6098" s="1" t="s">
        <v>24939</v>
      </c>
      <c r="K6098" s="1" t="s">
        <v>28</v>
      </c>
    </row>
    <row r="6099">
      <c r="A6099" s="1" t="s">
        <v>24940</v>
      </c>
      <c r="B6099" s="1" t="s">
        <v>24941</v>
      </c>
      <c r="C6099" s="1">
        <v>2024.0</v>
      </c>
      <c r="D6099" s="2">
        <v>45548.0</v>
      </c>
      <c r="F6099" s="1" t="s">
        <v>835</v>
      </c>
      <c r="H6099" s="3">
        <v>0.0</v>
      </c>
      <c r="I6099" s="4" t="s">
        <v>24942</v>
      </c>
      <c r="J6099" s="1" t="s">
        <v>24943</v>
      </c>
      <c r="K6099" s="1" t="s">
        <v>28</v>
      </c>
    </row>
    <row r="6100">
      <c r="A6100" s="1" t="s">
        <v>24944</v>
      </c>
      <c r="B6100" s="1" t="s">
        <v>24945</v>
      </c>
      <c r="C6100" s="1">
        <v>2024.0</v>
      </c>
      <c r="D6100" s="2">
        <v>45541.0</v>
      </c>
      <c r="F6100" s="1" t="s">
        <v>681</v>
      </c>
      <c r="H6100" s="3">
        <v>1.0</v>
      </c>
      <c r="I6100" s="4" t="s">
        <v>24946</v>
      </c>
      <c r="J6100" s="1" t="s">
        <v>24947</v>
      </c>
      <c r="K6100" s="1" t="s">
        <v>24948</v>
      </c>
    </row>
    <row r="6101">
      <c r="A6101" s="1" t="s">
        <v>24949</v>
      </c>
      <c r="B6101" s="1" t="s">
        <v>24950</v>
      </c>
      <c r="C6101" s="1">
        <v>2024.0</v>
      </c>
      <c r="D6101" s="2">
        <v>45512.0</v>
      </c>
      <c r="F6101" s="1" t="s">
        <v>681</v>
      </c>
      <c r="H6101" s="3">
        <v>0.0</v>
      </c>
      <c r="I6101" s="4" t="s">
        <v>24951</v>
      </c>
      <c r="J6101" s="1" t="s">
        <v>24952</v>
      </c>
      <c r="K6101" s="1" t="s">
        <v>24948</v>
      </c>
    </row>
    <row r="6102">
      <c r="A6102" s="1" t="s">
        <v>24953</v>
      </c>
      <c r="B6102" s="1" t="s">
        <v>24954</v>
      </c>
      <c r="C6102" s="1">
        <v>2024.0</v>
      </c>
      <c r="D6102" s="2">
        <v>45449.0</v>
      </c>
      <c r="F6102" s="1" t="s">
        <v>510</v>
      </c>
      <c r="H6102" s="3">
        <v>0.0</v>
      </c>
      <c r="I6102" s="4" t="s">
        <v>24955</v>
      </c>
      <c r="J6102" s="1" t="s">
        <v>24956</v>
      </c>
      <c r="K6102" s="1" t="s">
        <v>28</v>
      </c>
    </row>
    <row r="6103">
      <c r="A6103" s="1" t="s">
        <v>24957</v>
      </c>
      <c r="B6103" s="1" t="s">
        <v>24958</v>
      </c>
      <c r="C6103" s="1">
        <v>2024.0</v>
      </c>
      <c r="D6103" s="2">
        <v>45463.0</v>
      </c>
      <c r="F6103" s="1" t="s">
        <v>790</v>
      </c>
      <c r="H6103" s="3">
        <v>0.0</v>
      </c>
      <c r="I6103" s="4" t="s">
        <v>24959</v>
      </c>
      <c r="J6103" s="1" t="s">
        <v>24960</v>
      </c>
      <c r="K6103" s="1" t="s">
        <v>24753</v>
      </c>
    </row>
    <row r="6104">
      <c r="A6104" s="1" t="s">
        <v>24961</v>
      </c>
      <c r="B6104" s="1" t="s">
        <v>24962</v>
      </c>
      <c r="C6104" s="1">
        <v>2024.0</v>
      </c>
      <c r="D6104" s="2">
        <v>45619.0</v>
      </c>
      <c r="F6104" s="1" t="s">
        <v>1415</v>
      </c>
      <c r="H6104" s="3">
        <v>0.0</v>
      </c>
      <c r="I6104" s="4" t="s">
        <v>24963</v>
      </c>
      <c r="J6104" s="1" t="s">
        <v>24964</v>
      </c>
      <c r="K6104" s="1" t="s">
        <v>24743</v>
      </c>
    </row>
    <row r="6105">
      <c r="A6105" s="1" t="s">
        <v>24965</v>
      </c>
      <c r="B6105" s="1" t="s">
        <v>24966</v>
      </c>
      <c r="C6105" s="1">
        <v>2024.0</v>
      </c>
      <c r="D6105" s="2">
        <v>45606.0</v>
      </c>
      <c r="F6105" s="1" t="s">
        <v>1358</v>
      </c>
      <c r="H6105" s="3">
        <v>0.0</v>
      </c>
      <c r="I6105" s="4" t="s">
        <v>24967</v>
      </c>
      <c r="J6105" s="1" t="s">
        <v>24968</v>
      </c>
      <c r="K6105" s="1" t="s">
        <v>24734</v>
      </c>
    </row>
    <row r="6106">
      <c r="A6106" s="1" t="s">
        <v>24969</v>
      </c>
      <c r="B6106" s="1" t="s">
        <v>24970</v>
      </c>
      <c r="C6106" s="1">
        <v>2024.0</v>
      </c>
      <c r="D6106" s="2">
        <v>45524.0</v>
      </c>
      <c r="F6106" s="1" t="s">
        <v>71</v>
      </c>
      <c r="H6106" s="3">
        <v>0.0</v>
      </c>
      <c r="I6106" s="4" t="s">
        <v>24971</v>
      </c>
      <c r="J6106" s="1" t="s">
        <v>24972</v>
      </c>
      <c r="K6106" s="1" t="s">
        <v>24728</v>
      </c>
    </row>
    <row r="6107">
      <c r="A6107" s="1" t="s">
        <v>24973</v>
      </c>
      <c r="B6107" s="1" t="s">
        <v>24974</v>
      </c>
      <c r="C6107" s="1">
        <v>2024.0</v>
      </c>
      <c r="D6107" s="2">
        <v>45516.0</v>
      </c>
      <c r="F6107" s="1" t="s">
        <v>6393</v>
      </c>
      <c r="H6107" s="3">
        <v>0.0</v>
      </c>
      <c r="I6107" s="4" t="s">
        <v>24975</v>
      </c>
      <c r="J6107" s="1" t="s">
        <v>24976</v>
      </c>
      <c r="K6107" s="1" t="s">
        <v>28</v>
      </c>
    </row>
    <row r="6108">
      <c r="A6108" s="1" t="s">
        <v>24977</v>
      </c>
      <c r="B6108" s="1" t="s">
        <v>24978</v>
      </c>
      <c r="C6108" s="1">
        <v>2024.0</v>
      </c>
      <c r="D6108" s="2">
        <v>45491.0</v>
      </c>
      <c r="F6108" s="1" t="s">
        <v>208</v>
      </c>
      <c r="H6108" s="3">
        <v>0.0</v>
      </c>
      <c r="I6108" s="4" t="s">
        <v>24979</v>
      </c>
      <c r="J6108" s="1" t="s">
        <v>24980</v>
      </c>
      <c r="K6108" s="1" t="s">
        <v>24743</v>
      </c>
    </row>
    <row r="6109">
      <c r="A6109" s="1" t="s">
        <v>24981</v>
      </c>
      <c r="B6109" s="1" t="s">
        <v>24982</v>
      </c>
      <c r="C6109" s="1">
        <v>2024.0</v>
      </c>
      <c r="D6109" s="2">
        <v>45481.0</v>
      </c>
      <c r="F6109" s="1" t="s">
        <v>24983</v>
      </c>
      <c r="H6109" s="3">
        <v>0.0</v>
      </c>
      <c r="I6109" s="4" t="s">
        <v>24984</v>
      </c>
      <c r="J6109" s="1" t="s">
        <v>24985</v>
      </c>
      <c r="K6109" s="1" t="s">
        <v>24743</v>
      </c>
    </row>
    <row r="6110">
      <c r="A6110" s="1" t="s">
        <v>24986</v>
      </c>
      <c r="B6110" s="1" t="s">
        <v>24987</v>
      </c>
      <c r="C6110" s="1">
        <v>2024.0</v>
      </c>
      <c r="D6110" s="2">
        <v>45509.0</v>
      </c>
      <c r="F6110" s="1" t="s">
        <v>71</v>
      </c>
      <c r="H6110" s="3">
        <v>0.0</v>
      </c>
      <c r="I6110" s="4" t="s">
        <v>24988</v>
      </c>
      <c r="J6110" s="1" t="s">
        <v>24989</v>
      </c>
      <c r="K6110" s="1" t="s">
        <v>24728</v>
      </c>
    </row>
    <row r="6111">
      <c r="A6111" s="1" t="s">
        <v>24990</v>
      </c>
      <c r="B6111" s="1" t="s">
        <v>24991</v>
      </c>
      <c r="C6111" s="1">
        <v>2024.0</v>
      </c>
      <c r="D6111" s="2">
        <v>45505.0</v>
      </c>
      <c r="F6111" s="1" t="s">
        <v>24992</v>
      </c>
      <c r="H6111" s="3">
        <v>0.0</v>
      </c>
      <c r="I6111" s="4" t="s">
        <v>24993</v>
      </c>
      <c r="K6111" s="1" t="s">
        <v>28</v>
      </c>
    </row>
    <row r="6112">
      <c r="A6112" s="1" t="s">
        <v>24994</v>
      </c>
      <c r="B6112" s="1" t="s">
        <v>24995</v>
      </c>
      <c r="C6112" s="1">
        <v>2024.0</v>
      </c>
      <c r="D6112" s="2">
        <v>45470.0</v>
      </c>
      <c r="F6112" s="1" t="s">
        <v>24996</v>
      </c>
      <c r="H6112" s="3">
        <v>0.0</v>
      </c>
      <c r="I6112" s="4" t="s">
        <v>24997</v>
      </c>
      <c r="J6112" s="1" t="s">
        <v>24998</v>
      </c>
      <c r="K6112" s="1" t="s">
        <v>24753</v>
      </c>
    </row>
    <row r="6113">
      <c r="A6113" s="1" t="s">
        <v>24999</v>
      </c>
      <c r="B6113" s="1" t="s">
        <v>24991</v>
      </c>
      <c r="C6113" s="1">
        <v>2024.0</v>
      </c>
      <c r="D6113" s="2">
        <v>45470.0</v>
      </c>
      <c r="F6113" s="1" t="s">
        <v>24992</v>
      </c>
      <c r="H6113" s="3">
        <v>2.0</v>
      </c>
      <c r="I6113" s="4" t="s">
        <v>25000</v>
      </c>
      <c r="J6113" s="1" t="s">
        <v>25001</v>
      </c>
      <c r="K6113" s="1" t="s">
        <v>28</v>
      </c>
    </row>
    <row r="6114">
      <c r="A6114" s="1" t="s">
        <v>25002</v>
      </c>
      <c r="B6114" s="1" t="s">
        <v>25003</v>
      </c>
      <c r="C6114" s="1">
        <v>2024.0</v>
      </c>
      <c r="D6114" s="2">
        <v>45526.0</v>
      </c>
      <c r="F6114" s="1" t="s">
        <v>14720</v>
      </c>
      <c r="H6114" s="3">
        <v>0.0</v>
      </c>
      <c r="I6114" s="4" t="s">
        <v>25004</v>
      </c>
      <c r="J6114" s="1" t="s">
        <v>25005</v>
      </c>
      <c r="K6114" s="1" t="s">
        <v>28</v>
      </c>
    </row>
    <row r="6115">
      <c r="A6115" s="1" t="s">
        <v>25006</v>
      </c>
      <c r="B6115" s="1" t="s">
        <v>25007</v>
      </c>
      <c r="C6115" s="1">
        <v>2024.0</v>
      </c>
      <c r="D6115" s="2">
        <v>45589.0</v>
      </c>
      <c r="F6115" s="1" t="s">
        <v>1349</v>
      </c>
      <c r="H6115" s="3">
        <v>0.0</v>
      </c>
      <c r="I6115" s="4" t="s">
        <v>25008</v>
      </c>
      <c r="J6115" s="1" t="s">
        <v>25009</v>
      </c>
      <c r="K6115" s="1" t="s">
        <v>28</v>
      </c>
    </row>
    <row r="6116">
      <c r="A6116" s="1" t="s">
        <v>25010</v>
      </c>
      <c r="B6116" s="1" t="s">
        <v>25011</v>
      </c>
      <c r="C6116" s="1">
        <v>2024.0</v>
      </c>
      <c r="D6116" s="2">
        <v>45567.0</v>
      </c>
      <c r="F6116" s="1" t="s">
        <v>1349</v>
      </c>
      <c r="H6116" s="3">
        <v>0.0</v>
      </c>
      <c r="I6116" s="4" t="s">
        <v>25012</v>
      </c>
      <c r="J6116" s="1" t="s">
        <v>25013</v>
      </c>
      <c r="K6116" s="1" t="s">
        <v>28</v>
      </c>
    </row>
    <row r="6117">
      <c r="A6117" s="1" t="s">
        <v>25014</v>
      </c>
      <c r="B6117" s="1" t="s">
        <v>25015</v>
      </c>
      <c r="C6117" s="1">
        <v>2024.0</v>
      </c>
      <c r="D6117" s="2">
        <v>45594.0</v>
      </c>
      <c r="F6117" s="1" t="s">
        <v>7024</v>
      </c>
      <c r="H6117" s="3">
        <v>0.0</v>
      </c>
      <c r="I6117" s="4" t="s">
        <v>25016</v>
      </c>
      <c r="J6117" s="1" t="s">
        <v>25017</v>
      </c>
      <c r="K6117" s="1" t="s">
        <v>24753</v>
      </c>
    </row>
    <row r="6118">
      <c r="A6118" s="1" t="s">
        <v>25018</v>
      </c>
      <c r="B6118" s="1" t="s">
        <v>25019</v>
      </c>
      <c r="C6118" s="1">
        <v>2024.0</v>
      </c>
      <c r="D6118" s="2">
        <v>45561.0</v>
      </c>
      <c r="F6118" s="1" t="s">
        <v>591</v>
      </c>
      <c r="H6118" s="3">
        <v>0.0</v>
      </c>
      <c r="I6118" s="4" t="s">
        <v>25020</v>
      </c>
      <c r="J6118" s="1" t="s">
        <v>25021</v>
      </c>
      <c r="K6118" s="1" t="s">
        <v>24743</v>
      </c>
    </row>
    <row r="6119">
      <c r="A6119" s="1" t="s">
        <v>25022</v>
      </c>
      <c r="B6119" s="1" t="s">
        <v>25023</v>
      </c>
      <c r="C6119" s="1">
        <v>2024.0</v>
      </c>
      <c r="D6119" s="2">
        <v>45551.0</v>
      </c>
      <c r="F6119" s="1" t="s">
        <v>1040</v>
      </c>
      <c r="H6119" s="3">
        <v>0.0</v>
      </c>
      <c r="I6119" s="4" t="s">
        <v>25024</v>
      </c>
      <c r="J6119" s="1" t="s">
        <v>25025</v>
      </c>
      <c r="K6119" s="1" t="s">
        <v>24753</v>
      </c>
    </row>
    <row r="6120">
      <c r="A6120" s="1" t="s">
        <v>25026</v>
      </c>
      <c r="B6120" s="1" t="s">
        <v>25027</v>
      </c>
      <c r="C6120" s="1">
        <v>2024.0</v>
      </c>
      <c r="D6120" s="2">
        <v>45566.0</v>
      </c>
      <c r="F6120" s="1" t="s">
        <v>9158</v>
      </c>
      <c r="H6120" s="3">
        <v>0.0</v>
      </c>
      <c r="I6120" s="4" t="s">
        <v>25028</v>
      </c>
      <c r="J6120" s="1" t="s">
        <v>25029</v>
      </c>
      <c r="K6120" s="1" t="s">
        <v>24753</v>
      </c>
    </row>
    <row r="6121">
      <c r="A6121" s="1" t="s">
        <v>25030</v>
      </c>
      <c r="B6121" s="1" t="s">
        <v>25031</v>
      </c>
      <c r="C6121" s="1">
        <v>2024.0</v>
      </c>
      <c r="D6121" s="2">
        <v>45456.0</v>
      </c>
      <c r="F6121" s="1" t="s">
        <v>25032</v>
      </c>
      <c r="H6121" s="3">
        <v>0.0</v>
      </c>
      <c r="I6121" s="4" t="s">
        <v>25033</v>
      </c>
      <c r="J6121" s="1" t="s">
        <v>25034</v>
      </c>
      <c r="K6121" s="1" t="s">
        <v>28</v>
      </c>
    </row>
    <row r="6122">
      <c r="A6122" s="1" t="s">
        <v>25035</v>
      </c>
      <c r="B6122" s="1" t="s">
        <v>25036</v>
      </c>
      <c r="C6122" s="1">
        <v>2024.0</v>
      </c>
      <c r="D6122" s="2">
        <v>45450.0</v>
      </c>
      <c r="F6122" s="1" t="s">
        <v>19</v>
      </c>
      <c r="H6122" s="3">
        <v>1.0</v>
      </c>
      <c r="I6122" s="4" t="s">
        <v>20</v>
      </c>
      <c r="J6122" s="1" t="s">
        <v>25037</v>
      </c>
      <c r="K6122" s="1" t="s">
        <v>24948</v>
      </c>
    </row>
    <row r="6123">
      <c r="A6123" s="1" t="s">
        <v>25038</v>
      </c>
      <c r="B6123" s="1" t="s">
        <v>25039</v>
      </c>
      <c r="C6123" s="1">
        <v>2024.0</v>
      </c>
      <c r="D6123" s="2">
        <v>45406.0</v>
      </c>
      <c r="F6123" s="1" t="s">
        <v>326</v>
      </c>
      <c r="H6123" s="3">
        <v>0.0</v>
      </c>
      <c r="I6123" s="4" t="s">
        <v>327</v>
      </c>
      <c r="J6123" s="1" t="s">
        <v>25040</v>
      </c>
      <c r="K6123" s="1" t="s">
        <v>24892</v>
      </c>
    </row>
    <row r="6124">
      <c r="A6124" s="1" t="s">
        <v>25041</v>
      </c>
      <c r="B6124" s="1" t="s">
        <v>25042</v>
      </c>
      <c r="C6124" s="1">
        <v>2024.0</v>
      </c>
      <c r="D6124" s="2">
        <v>45535.0</v>
      </c>
      <c r="F6124" s="1" t="s">
        <v>25</v>
      </c>
      <c r="H6124" s="3">
        <v>0.0</v>
      </c>
      <c r="I6124" s="4" t="s">
        <v>25043</v>
      </c>
      <c r="J6124" s="1" t="s">
        <v>25044</v>
      </c>
      <c r="K6124" s="1" t="s">
        <v>28</v>
      </c>
    </row>
    <row r="6125">
      <c r="A6125" s="1" t="s">
        <v>25045</v>
      </c>
      <c r="B6125" s="1" t="s">
        <v>25046</v>
      </c>
      <c r="C6125" s="1">
        <v>2024.0</v>
      </c>
      <c r="D6125" s="2">
        <v>45565.0</v>
      </c>
      <c r="F6125" s="1" t="s">
        <v>5758</v>
      </c>
      <c r="H6125" s="3">
        <v>0.0</v>
      </c>
      <c r="I6125" s="4" t="s">
        <v>25047</v>
      </c>
      <c r="J6125" s="1" t="s">
        <v>25048</v>
      </c>
      <c r="K6125" s="1" t="s">
        <v>28</v>
      </c>
    </row>
    <row r="6126">
      <c r="A6126" s="1" t="s">
        <v>25049</v>
      </c>
      <c r="B6126" s="1" t="s">
        <v>25050</v>
      </c>
      <c r="C6126" s="1">
        <v>2024.0</v>
      </c>
      <c r="D6126" s="2">
        <v>45518.0</v>
      </c>
      <c r="F6126" s="1" t="s">
        <v>243</v>
      </c>
      <c r="H6126" s="3">
        <v>0.0</v>
      </c>
      <c r="I6126" s="4" t="s">
        <v>25051</v>
      </c>
      <c r="K6126" s="1" t="s">
        <v>28</v>
      </c>
    </row>
    <row r="6127">
      <c r="A6127" s="1" t="s">
        <v>25052</v>
      </c>
      <c r="B6127" s="1" t="s">
        <v>25053</v>
      </c>
      <c r="C6127" s="1">
        <v>2024.0</v>
      </c>
      <c r="D6127" s="2">
        <v>45320.0</v>
      </c>
      <c r="F6127" s="1" t="s">
        <v>4217</v>
      </c>
      <c r="H6127" s="3">
        <v>0.0</v>
      </c>
      <c r="I6127" s="4" t="s">
        <v>25054</v>
      </c>
      <c r="J6127" s="1" t="s">
        <v>25055</v>
      </c>
      <c r="K6127" s="1" t="s">
        <v>24743</v>
      </c>
    </row>
    <row r="6128">
      <c r="A6128" s="1" t="s">
        <v>25056</v>
      </c>
      <c r="B6128" s="1" t="s">
        <v>25057</v>
      </c>
      <c r="C6128" s="1">
        <v>2023.0</v>
      </c>
      <c r="D6128" s="2">
        <v>45257.0</v>
      </c>
      <c r="F6128" s="1" t="s">
        <v>4217</v>
      </c>
      <c r="H6128" s="3">
        <v>0.0</v>
      </c>
      <c r="I6128" s="4" t="s">
        <v>25058</v>
      </c>
      <c r="J6128" s="1" t="s">
        <v>25059</v>
      </c>
      <c r="K6128" s="1" t="s">
        <v>24753</v>
      </c>
    </row>
    <row r="6129">
      <c r="A6129" s="1" t="s">
        <v>25060</v>
      </c>
      <c r="B6129" s="1" t="s">
        <v>25061</v>
      </c>
      <c r="C6129" s="1">
        <v>2024.0</v>
      </c>
      <c r="D6129" s="2">
        <v>45628.0</v>
      </c>
      <c r="F6129" s="1" t="s">
        <v>19</v>
      </c>
      <c r="H6129" s="3">
        <v>0.0</v>
      </c>
      <c r="I6129" s="4" t="s">
        <v>25062</v>
      </c>
      <c r="J6129" s="1" t="s">
        <v>25063</v>
      </c>
      <c r="K6129" s="1" t="s">
        <v>28</v>
      </c>
    </row>
    <row r="6130">
      <c r="A6130" s="1" t="s">
        <v>25064</v>
      </c>
      <c r="B6130" s="1" t="s">
        <v>25065</v>
      </c>
      <c r="C6130" s="1">
        <v>2024.0</v>
      </c>
      <c r="D6130" s="2">
        <v>45618.0</v>
      </c>
      <c r="F6130" s="1" t="s">
        <v>76</v>
      </c>
      <c r="H6130" s="3">
        <v>0.0</v>
      </c>
      <c r="I6130" s="4" t="s">
        <v>25066</v>
      </c>
      <c r="J6130" s="1" t="s">
        <v>25067</v>
      </c>
      <c r="K6130" s="1" t="s">
        <v>24743</v>
      </c>
    </row>
    <row r="6131">
      <c r="A6131" s="1" t="s">
        <v>25068</v>
      </c>
      <c r="B6131" s="1" t="s">
        <v>25069</v>
      </c>
      <c r="C6131" s="1">
        <v>2024.0</v>
      </c>
      <c r="D6131" s="2">
        <v>45586.0</v>
      </c>
      <c r="F6131" s="1" t="s">
        <v>1300</v>
      </c>
      <c r="H6131" s="3">
        <v>0.0</v>
      </c>
      <c r="I6131" s="4" t="s">
        <v>25070</v>
      </c>
      <c r="J6131" s="1" t="s">
        <v>25071</v>
      </c>
      <c r="K6131" s="1" t="s">
        <v>24728</v>
      </c>
    </row>
    <row r="6132">
      <c r="A6132" s="1" t="s">
        <v>25072</v>
      </c>
      <c r="B6132" s="1" t="s">
        <v>25073</v>
      </c>
      <c r="C6132" s="1">
        <v>2024.0</v>
      </c>
      <c r="D6132" s="2">
        <v>45561.0</v>
      </c>
      <c r="F6132" s="1" t="s">
        <v>8948</v>
      </c>
      <c r="H6132" s="3">
        <v>0.0</v>
      </c>
      <c r="I6132" s="4" t="s">
        <v>25074</v>
      </c>
      <c r="J6132" s="1" t="s">
        <v>25075</v>
      </c>
      <c r="K6132" s="1" t="s">
        <v>24728</v>
      </c>
    </row>
    <row r="6133">
      <c r="A6133" s="1" t="s">
        <v>25076</v>
      </c>
      <c r="B6133" s="1" t="s">
        <v>25077</v>
      </c>
      <c r="C6133" s="1">
        <v>2024.0</v>
      </c>
      <c r="D6133" s="2">
        <v>45636.0</v>
      </c>
      <c r="F6133" s="1" t="s">
        <v>2435</v>
      </c>
      <c r="H6133" s="3">
        <v>0.0</v>
      </c>
      <c r="I6133" s="4" t="s">
        <v>25078</v>
      </c>
      <c r="J6133" s="1" t="s">
        <v>25079</v>
      </c>
      <c r="K6133" s="1" t="s">
        <v>28</v>
      </c>
    </row>
    <row r="6134">
      <c r="A6134" s="1" t="s">
        <v>25080</v>
      </c>
      <c r="B6134" s="1" t="s">
        <v>25081</v>
      </c>
      <c r="C6134" s="1">
        <v>2024.0</v>
      </c>
      <c r="D6134" s="2">
        <v>45539.0</v>
      </c>
      <c r="F6134" s="1" t="s">
        <v>2982</v>
      </c>
      <c r="H6134" s="3">
        <v>0.0</v>
      </c>
      <c r="I6134" s="4" t="s">
        <v>25082</v>
      </c>
      <c r="J6134" s="1" t="s">
        <v>25083</v>
      </c>
      <c r="K6134" s="1" t="s">
        <v>24753</v>
      </c>
    </row>
    <row r="6135">
      <c r="A6135" s="1" t="s">
        <v>25084</v>
      </c>
      <c r="B6135" s="1" t="s">
        <v>25085</v>
      </c>
      <c r="C6135" s="1">
        <v>2024.0</v>
      </c>
      <c r="D6135" s="2">
        <v>45474.0</v>
      </c>
      <c r="F6135" s="1" t="s">
        <v>25086</v>
      </c>
      <c r="H6135" s="3">
        <v>0.0</v>
      </c>
      <c r="I6135" s="4" t="s">
        <v>25087</v>
      </c>
      <c r="J6135" s="1" t="s">
        <v>25088</v>
      </c>
      <c r="K6135" s="1" t="s">
        <v>28</v>
      </c>
    </row>
    <row r="6136">
      <c r="A6136" s="1" t="s">
        <v>25089</v>
      </c>
      <c r="B6136" s="1" t="s">
        <v>25090</v>
      </c>
      <c r="C6136" s="1">
        <v>2024.0</v>
      </c>
      <c r="D6136" s="2">
        <v>45643.0</v>
      </c>
      <c r="F6136" s="1" t="s">
        <v>8818</v>
      </c>
      <c r="H6136" s="3">
        <v>0.0</v>
      </c>
      <c r="I6136" s="4" t="s">
        <v>25091</v>
      </c>
      <c r="K6136" s="1" t="s">
        <v>24753</v>
      </c>
    </row>
    <row r="6137">
      <c r="A6137" s="1" t="s">
        <v>25092</v>
      </c>
      <c r="B6137" s="1" t="s">
        <v>25093</v>
      </c>
      <c r="C6137" s="1">
        <v>2024.0</v>
      </c>
      <c r="D6137" s="2">
        <v>45498.0</v>
      </c>
      <c r="F6137" s="1" t="s">
        <v>1859</v>
      </c>
      <c r="H6137" s="3">
        <v>0.0</v>
      </c>
      <c r="I6137" s="4" t="s">
        <v>25094</v>
      </c>
      <c r="J6137" s="1" t="s">
        <v>25095</v>
      </c>
      <c r="K6137" s="1" t="s">
        <v>24728</v>
      </c>
    </row>
    <row r="6138">
      <c r="A6138" s="1" t="s">
        <v>25096</v>
      </c>
      <c r="B6138" s="1" t="s">
        <v>25097</v>
      </c>
      <c r="C6138" s="1">
        <v>2024.0</v>
      </c>
      <c r="D6138" s="2">
        <v>45616.0</v>
      </c>
      <c r="F6138" s="1" t="s">
        <v>11956</v>
      </c>
      <c r="H6138" s="3">
        <v>0.0</v>
      </c>
      <c r="I6138" s="4" t="s">
        <v>25098</v>
      </c>
      <c r="J6138" s="1" t="s">
        <v>25099</v>
      </c>
      <c r="K6138" s="1" t="s">
        <v>24753</v>
      </c>
    </row>
    <row r="6139">
      <c r="A6139" s="1" t="s">
        <v>25100</v>
      </c>
      <c r="B6139" s="1" t="s">
        <v>25101</v>
      </c>
      <c r="C6139" s="1">
        <v>2024.0</v>
      </c>
      <c r="D6139" s="2">
        <v>45597.0</v>
      </c>
      <c r="F6139" s="1" t="s">
        <v>3535</v>
      </c>
      <c r="H6139" s="3">
        <v>0.0</v>
      </c>
      <c r="I6139" s="4" t="s">
        <v>25102</v>
      </c>
      <c r="K6139" s="1" t="s">
        <v>24743</v>
      </c>
    </row>
    <row r="6140">
      <c r="A6140" s="1" t="s">
        <v>25103</v>
      </c>
      <c r="B6140" s="1" t="s">
        <v>25104</v>
      </c>
      <c r="C6140" s="1">
        <v>2024.0</v>
      </c>
      <c r="D6140" s="2">
        <v>45514.0</v>
      </c>
      <c r="F6140" s="1" t="s">
        <v>2031</v>
      </c>
      <c r="H6140" s="3">
        <v>0.0</v>
      </c>
      <c r="I6140" s="4" t="s">
        <v>25105</v>
      </c>
      <c r="J6140" s="1" t="s">
        <v>25106</v>
      </c>
      <c r="K6140" s="1" t="s">
        <v>28</v>
      </c>
    </row>
    <row r="6141">
      <c r="A6141" s="1" t="s">
        <v>25107</v>
      </c>
      <c r="B6141" s="1" t="s">
        <v>25108</v>
      </c>
      <c r="C6141" s="1">
        <v>2024.0</v>
      </c>
      <c r="D6141" s="2">
        <v>45575.0</v>
      </c>
      <c r="F6141" s="1" t="s">
        <v>59</v>
      </c>
      <c r="H6141" s="3">
        <v>3.0</v>
      </c>
      <c r="I6141" s="4" t="s">
        <v>25109</v>
      </c>
      <c r="J6141" s="1" t="s">
        <v>25110</v>
      </c>
      <c r="K6141" s="1" t="s">
        <v>24948</v>
      </c>
    </row>
    <row r="6142">
      <c r="A6142" s="1" t="s">
        <v>25111</v>
      </c>
      <c r="B6142" s="1" t="s">
        <v>25112</v>
      </c>
      <c r="C6142" s="1">
        <v>2024.0</v>
      </c>
      <c r="D6142" s="2">
        <v>45590.0</v>
      </c>
      <c r="F6142" s="1" t="s">
        <v>882</v>
      </c>
      <c r="H6142" s="3">
        <v>1.0</v>
      </c>
      <c r="I6142" s="4" t="s">
        <v>25113</v>
      </c>
      <c r="J6142" s="1" t="s">
        <v>25114</v>
      </c>
      <c r="K6142" s="1" t="s">
        <v>28</v>
      </c>
    </row>
    <row r="6143">
      <c r="A6143" s="1" t="s">
        <v>25115</v>
      </c>
      <c r="B6143" s="1" t="s">
        <v>25116</v>
      </c>
      <c r="C6143" s="1">
        <v>2024.0</v>
      </c>
      <c r="D6143" s="2">
        <v>45560.0</v>
      </c>
      <c r="F6143" s="1" t="s">
        <v>1277</v>
      </c>
      <c r="H6143" s="3">
        <v>0.0</v>
      </c>
      <c r="I6143" s="4" t="s">
        <v>25117</v>
      </c>
      <c r="J6143" s="1" t="s">
        <v>25118</v>
      </c>
      <c r="K6143" s="1" t="s">
        <v>28</v>
      </c>
    </row>
    <row r="6144">
      <c r="A6144" s="1" t="s">
        <v>25119</v>
      </c>
      <c r="B6144" s="1" t="s">
        <v>25120</v>
      </c>
      <c r="C6144" s="1">
        <v>2024.0</v>
      </c>
      <c r="D6144" s="2">
        <v>45543.0</v>
      </c>
      <c r="F6144" s="1" t="s">
        <v>4655</v>
      </c>
      <c r="H6144" s="3">
        <v>0.0</v>
      </c>
      <c r="I6144" s="4" t="s">
        <v>25121</v>
      </c>
      <c r="J6144" s="1" t="s">
        <v>25122</v>
      </c>
      <c r="K6144" s="1" t="s">
        <v>24753</v>
      </c>
    </row>
    <row r="6145">
      <c r="A6145" s="1" t="s">
        <v>25123</v>
      </c>
      <c r="B6145" s="1" t="s">
        <v>25124</v>
      </c>
      <c r="C6145" s="1">
        <v>2024.0</v>
      </c>
      <c r="D6145" s="2">
        <v>45541.0</v>
      </c>
      <c r="F6145" s="1" t="s">
        <v>71</v>
      </c>
      <c r="H6145" s="3">
        <v>0.0</v>
      </c>
      <c r="I6145" s="4" t="s">
        <v>25125</v>
      </c>
      <c r="J6145" s="1" t="s">
        <v>25126</v>
      </c>
      <c r="K6145" s="1" t="s">
        <v>28</v>
      </c>
    </row>
    <row r="6146">
      <c r="A6146" s="1" t="s">
        <v>25127</v>
      </c>
      <c r="B6146" s="1" t="s">
        <v>25128</v>
      </c>
      <c r="C6146" s="1">
        <v>2024.0</v>
      </c>
      <c r="D6146" s="2">
        <v>45532.0</v>
      </c>
      <c r="F6146" s="1" t="s">
        <v>500</v>
      </c>
      <c r="H6146" s="3">
        <v>0.0</v>
      </c>
      <c r="I6146" s="4" t="s">
        <v>25129</v>
      </c>
      <c r="J6146" s="1" t="s">
        <v>25130</v>
      </c>
      <c r="K6146" s="1" t="s">
        <v>24753</v>
      </c>
    </row>
    <row r="6147">
      <c r="A6147" s="1" t="s">
        <v>25131</v>
      </c>
      <c r="B6147" s="1" t="s">
        <v>25132</v>
      </c>
      <c r="C6147" s="1">
        <v>2024.0</v>
      </c>
      <c r="D6147" s="2">
        <v>45509.0</v>
      </c>
      <c r="F6147" s="1" t="s">
        <v>11185</v>
      </c>
      <c r="H6147" s="3">
        <v>0.0</v>
      </c>
      <c r="I6147" s="4" t="s">
        <v>25133</v>
      </c>
      <c r="J6147" s="1" t="s">
        <v>25134</v>
      </c>
      <c r="K6147" s="1" t="s">
        <v>28</v>
      </c>
    </row>
    <row r="6148">
      <c r="A6148" s="1" t="s">
        <v>25135</v>
      </c>
      <c r="B6148" s="1" t="s">
        <v>25136</v>
      </c>
      <c r="C6148" s="1">
        <v>2024.0</v>
      </c>
      <c r="D6148" s="2">
        <v>45503.0</v>
      </c>
      <c r="F6148" s="1" t="s">
        <v>17371</v>
      </c>
      <c r="H6148" s="3">
        <v>0.0</v>
      </c>
      <c r="I6148" s="4" t="s">
        <v>25137</v>
      </c>
      <c r="J6148" s="1" t="s">
        <v>25138</v>
      </c>
      <c r="K6148" s="1" t="s">
        <v>28</v>
      </c>
    </row>
    <row r="6149">
      <c r="A6149" s="1" t="s">
        <v>25139</v>
      </c>
      <c r="B6149" s="1" t="s">
        <v>25140</v>
      </c>
      <c r="C6149" s="1">
        <v>2024.0</v>
      </c>
      <c r="D6149" s="2">
        <v>45484.0</v>
      </c>
      <c r="F6149" s="1" t="s">
        <v>106</v>
      </c>
      <c r="H6149" s="3">
        <v>0.0</v>
      </c>
      <c r="I6149" s="4" t="s">
        <v>25141</v>
      </c>
      <c r="J6149" s="1" t="s">
        <v>25142</v>
      </c>
      <c r="K6149" s="1" t="s">
        <v>24728</v>
      </c>
    </row>
    <row r="6150">
      <c r="A6150" s="1" t="s">
        <v>25143</v>
      </c>
      <c r="B6150" s="1" t="s">
        <v>135</v>
      </c>
      <c r="C6150" s="1">
        <v>2024.0</v>
      </c>
      <c r="D6150" s="2">
        <v>45435.0</v>
      </c>
      <c r="F6150" s="1" t="s">
        <v>136</v>
      </c>
      <c r="H6150" s="3">
        <v>0.0</v>
      </c>
      <c r="I6150" s="4" t="s">
        <v>137</v>
      </c>
      <c r="J6150" s="1" t="s">
        <v>25144</v>
      </c>
      <c r="K6150" s="1" t="s">
        <v>24734</v>
      </c>
    </row>
    <row r="6151">
      <c r="A6151" s="1" t="s">
        <v>25145</v>
      </c>
      <c r="B6151" s="1" t="s">
        <v>319</v>
      </c>
      <c r="C6151" s="1">
        <v>2024.0</v>
      </c>
      <c r="D6151" s="2">
        <v>45407.0</v>
      </c>
      <c r="F6151" s="1" t="s">
        <v>320</v>
      </c>
      <c r="H6151" s="3">
        <v>1.0</v>
      </c>
      <c r="I6151" s="4" t="s">
        <v>321</v>
      </c>
      <c r="J6151" s="1" t="s">
        <v>25146</v>
      </c>
      <c r="K6151" s="1" t="s">
        <v>24753</v>
      </c>
    </row>
    <row r="6152">
      <c r="A6152" s="1" t="s">
        <v>25147</v>
      </c>
      <c r="B6152" s="1" t="s">
        <v>651</v>
      </c>
      <c r="C6152" s="1">
        <v>2024.0</v>
      </c>
      <c r="D6152" s="2">
        <v>45594.0</v>
      </c>
      <c r="F6152" s="1" t="s">
        <v>500</v>
      </c>
      <c r="H6152" s="3">
        <v>0.0</v>
      </c>
      <c r="I6152" s="4" t="s">
        <v>652</v>
      </c>
      <c r="J6152" s="1" t="s">
        <v>25148</v>
      </c>
      <c r="K6152" s="1" t="s">
        <v>24753</v>
      </c>
    </row>
    <row r="6153">
      <c r="A6153" s="1" t="s">
        <v>25149</v>
      </c>
      <c r="B6153" s="1" t="s">
        <v>25150</v>
      </c>
      <c r="C6153" s="1">
        <v>2023.0</v>
      </c>
      <c r="D6153" s="2">
        <v>45273.0</v>
      </c>
      <c r="F6153" s="1" t="s">
        <v>4217</v>
      </c>
      <c r="H6153" s="3">
        <v>1.0</v>
      </c>
      <c r="I6153" s="4" t="s">
        <v>25151</v>
      </c>
      <c r="J6153" s="1" t="s">
        <v>25152</v>
      </c>
      <c r="K6153" s="1" t="s">
        <v>24728</v>
      </c>
    </row>
    <row r="6154">
      <c r="A6154" s="1" t="s">
        <v>25153</v>
      </c>
      <c r="B6154" s="1" t="s">
        <v>25154</v>
      </c>
      <c r="C6154" s="1">
        <v>2024.0</v>
      </c>
      <c r="D6154" s="2">
        <v>45627.0</v>
      </c>
      <c r="F6154" s="1" t="s">
        <v>25155</v>
      </c>
      <c r="H6154" s="3">
        <v>0.0</v>
      </c>
      <c r="I6154" s="4" t="s">
        <v>25156</v>
      </c>
      <c r="J6154" s="1" t="s">
        <v>25157</v>
      </c>
      <c r="K6154" s="1" t="s">
        <v>24743</v>
      </c>
    </row>
    <row r="6155">
      <c r="A6155" s="1" t="s">
        <v>25158</v>
      </c>
      <c r="B6155" s="1" t="s">
        <v>25159</v>
      </c>
      <c r="C6155" s="1">
        <v>2024.0</v>
      </c>
      <c r="D6155" s="2">
        <v>45611.0</v>
      </c>
      <c r="F6155" s="1" t="s">
        <v>1340</v>
      </c>
      <c r="H6155" s="3">
        <v>0.0</v>
      </c>
      <c r="I6155" s="4" t="s">
        <v>25160</v>
      </c>
      <c r="K6155" s="1" t="s">
        <v>24753</v>
      </c>
    </row>
    <row r="6156">
      <c r="A6156" s="1" t="s">
        <v>25161</v>
      </c>
      <c r="B6156" s="1" t="s">
        <v>25162</v>
      </c>
      <c r="C6156" s="1">
        <v>2024.0</v>
      </c>
      <c r="D6156" s="2">
        <v>45565.0</v>
      </c>
      <c r="F6156" s="1" t="s">
        <v>1381</v>
      </c>
      <c r="H6156" s="3">
        <v>0.0</v>
      </c>
      <c r="I6156" s="4" t="s">
        <v>25163</v>
      </c>
      <c r="J6156" s="1" t="s">
        <v>25164</v>
      </c>
      <c r="K6156" s="1" t="s">
        <v>28</v>
      </c>
    </row>
    <row r="6157">
      <c r="A6157" s="1" t="s">
        <v>25165</v>
      </c>
      <c r="B6157" s="1" t="s">
        <v>25166</v>
      </c>
      <c r="C6157" s="1">
        <v>2024.0</v>
      </c>
      <c r="D6157" s="2">
        <v>45567.0</v>
      </c>
      <c r="F6157" s="1" t="s">
        <v>25167</v>
      </c>
      <c r="H6157" s="3">
        <v>0.0</v>
      </c>
      <c r="I6157" s="4" t="s">
        <v>25168</v>
      </c>
      <c r="J6157" s="1" t="s">
        <v>25169</v>
      </c>
      <c r="K6157" s="1" t="s">
        <v>28</v>
      </c>
    </row>
    <row r="6158">
      <c r="A6158" s="1" t="s">
        <v>25170</v>
      </c>
      <c r="B6158" s="1" t="s">
        <v>25159</v>
      </c>
      <c r="C6158" s="1">
        <v>2024.0</v>
      </c>
      <c r="D6158" s="2">
        <v>45511.0</v>
      </c>
      <c r="F6158" s="1" t="s">
        <v>1340</v>
      </c>
      <c r="H6158" s="3">
        <v>1.0</v>
      </c>
      <c r="I6158" s="4" t="s">
        <v>25171</v>
      </c>
      <c r="J6158" s="1" t="s">
        <v>25172</v>
      </c>
      <c r="K6158" s="1" t="s">
        <v>24753</v>
      </c>
    </row>
    <row r="6159">
      <c r="A6159" s="1" t="s">
        <v>25173</v>
      </c>
      <c r="B6159" s="1" t="s">
        <v>25174</v>
      </c>
      <c r="C6159" s="1">
        <v>2024.0</v>
      </c>
      <c r="D6159" s="2">
        <v>45483.0</v>
      </c>
      <c r="F6159" s="1" t="s">
        <v>1381</v>
      </c>
      <c r="H6159" s="3">
        <v>0.0</v>
      </c>
      <c r="I6159" s="4" t="s">
        <v>25175</v>
      </c>
      <c r="J6159" s="1" t="s">
        <v>25176</v>
      </c>
      <c r="K6159" s="1" t="s">
        <v>28</v>
      </c>
    </row>
    <row r="6160">
      <c r="A6160" s="1" t="s">
        <v>25177</v>
      </c>
      <c r="B6160" s="1" t="s">
        <v>25178</v>
      </c>
      <c r="C6160" s="1">
        <v>2024.0</v>
      </c>
      <c r="D6160" s="2">
        <v>45450.0</v>
      </c>
      <c r="F6160" s="1" t="s">
        <v>25179</v>
      </c>
      <c r="H6160" s="3">
        <v>0.0</v>
      </c>
      <c r="I6160" s="4" t="s">
        <v>25180</v>
      </c>
      <c r="J6160" s="1" t="s">
        <v>25181</v>
      </c>
      <c r="K6160" s="1" t="s">
        <v>24743</v>
      </c>
    </row>
    <row r="6161">
      <c r="A6161" s="1" t="s">
        <v>25182</v>
      </c>
      <c r="B6161" s="1" t="s">
        <v>25183</v>
      </c>
      <c r="C6161" s="1">
        <v>2024.0</v>
      </c>
      <c r="D6161" s="2">
        <v>45458.0</v>
      </c>
      <c r="F6161" s="1" t="s">
        <v>1381</v>
      </c>
      <c r="H6161" s="3">
        <v>0.0</v>
      </c>
      <c r="I6161" s="4" t="s">
        <v>25184</v>
      </c>
      <c r="J6161" s="1" t="s">
        <v>25185</v>
      </c>
      <c r="K6161" s="1" t="s">
        <v>28</v>
      </c>
    </row>
    <row r="6162">
      <c r="A6162" s="1" t="s">
        <v>25186</v>
      </c>
      <c r="B6162" s="1" t="s">
        <v>25187</v>
      </c>
      <c r="C6162" s="1">
        <v>2024.0</v>
      </c>
      <c r="D6162" s="2">
        <v>45625.0</v>
      </c>
      <c r="F6162" s="1" t="s">
        <v>106</v>
      </c>
      <c r="H6162" s="3">
        <v>0.0</v>
      </c>
      <c r="I6162" s="4" t="s">
        <v>25188</v>
      </c>
      <c r="J6162" s="1" t="s">
        <v>25189</v>
      </c>
      <c r="K6162" s="1" t="s">
        <v>28</v>
      </c>
    </row>
    <row r="6163">
      <c r="A6163" s="1" t="s">
        <v>25190</v>
      </c>
      <c r="B6163" s="1" t="s">
        <v>25191</v>
      </c>
      <c r="C6163" s="1">
        <v>2024.0</v>
      </c>
      <c r="D6163" s="2">
        <v>45579.0</v>
      </c>
      <c r="F6163" s="1" t="s">
        <v>248</v>
      </c>
      <c r="H6163" s="3">
        <v>0.0</v>
      </c>
      <c r="I6163" s="4" t="s">
        <v>25192</v>
      </c>
      <c r="J6163" s="1" t="s">
        <v>25193</v>
      </c>
      <c r="K6163" s="1" t="s">
        <v>28</v>
      </c>
    </row>
    <row r="6164">
      <c r="A6164" s="1" t="s">
        <v>25194</v>
      </c>
      <c r="B6164" s="1" t="s">
        <v>25195</v>
      </c>
      <c r="C6164" s="1">
        <v>2024.0</v>
      </c>
      <c r="D6164" s="2">
        <v>45567.0</v>
      </c>
      <c r="F6164" s="1" t="s">
        <v>4741</v>
      </c>
      <c r="H6164" s="3">
        <v>0.0</v>
      </c>
      <c r="I6164" s="4" t="s">
        <v>25196</v>
      </c>
      <c r="J6164" s="1" t="s">
        <v>25197</v>
      </c>
      <c r="K6164" s="1" t="s">
        <v>24753</v>
      </c>
    </row>
    <row r="6165">
      <c r="A6165" s="1" t="s">
        <v>25198</v>
      </c>
      <c r="B6165" s="1" t="s">
        <v>25199</v>
      </c>
      <c r="C6165" s="1">
        <v>2024.0</v>
      </c>
      <c r="D6165" s="2">
        <v>45553.0</v>
      </c>
      <c r="F6165" s="1" t="s">
        <v>369</v>
      </c>
      <c r="H6165" s="3">
        <v>0.0</v>
      </c>
      <c r="I6165" s="4" t="s">
        <v>25200</v>
      </c>
      <c r="J6165" s="1" t="s">
        <v>25201</v>
      </c>
      <c r="K6165" s="1" t="s">
        <v>24743</v>
      </c>
    </row>
    <row r="6166">
      <c r="A6166" s="1" t="s">
        <v>25202</v>
      </c>
      <c r="B6166" s="1" t="s">
        <v>25203</v>
      </c>
      <c r="C6166" s="1">
        <v>2024.0</v>
      </c>
      <c r="D6166" s="2">
        <v>45521.0</v>
      </c>
      <c r="F6166" s="1" t="s">
        <v>271</v>
      </c>
      <c r="H6166" s="3">
        <v>0.0</v>
      </c>
      <c r="I6166" s="4" t="s">
        <v>25204</v>
      </c>
      <c r="J6166" s="1" t="s">
        <v>25205</v>
      </c>
      <c r="K6166" s="1" t="s">
        <v>28</v>
      </c>
    </row>
    <row r="6167">
      <c r="A6167" s="1" t="s">
        <v>25206</v>
      </c>
      <c r="B6167" s="1" t="s">
        <v>25207</v>
      </c>
      <c r="C6167" s="1">
        <v>2024.0</v>
      </c>
      <c r="D6167" s="2">
        <v>45595.0</v>
      </c>
      <c r="F6167" s="1" t="s">
        <v>25208</v>
      </c>
      <c r="H6167" s="3">
        <v>0.0</v>
      </c>
      <c r="I6167" s="4" t="s">
        <v>25209</v>
      </c>
      <c r="J6167" s="1" t="s">
        <v>25210</v>
      </c>
      <c r="K6167" s="1" t="s">
        <v>28</v>
      </c>
    </row>
    <row r="6168">
      <c r="A6168" s="1" t="s">
        <v>25211</v>
      </c>
      <c r="B6168" s="1" t="s">
        <v>25212</v>
      </c>
      <c r="C6168" s="1">
        <v>2024.0</v>
      </c>
      <c r="D6168" s="2">
        <v>45565.0</v>
      </c>
      <c r="F6168" s="1" t="s">
        <v>4577</v>
      </c>
      <c r="H6168" s="3">
        <v>0.0</v>
      </c>
      <c r="I6168" s="4" t="s">
        <v>25213</v>
      </c>
      <c r="J6168" s="1" t="s">
        <v>25214</v>
      </c>
      <c r="K6168" s="1" t="s">
        <v>24892</v>
      </c>
    </row>
    <row r="6169">
      <c r="A6169" s="1" t="s">
        <v>25215</v>
      </c>
      <c r="B6169" s="1" t="s">
        <v>25216</v>
      </c>
      <c r="C6169" s="1">
        <v>2024.0</v>
      </c>
      <c r="D6169" s="2">
        <v>45510.0</v>
      </c>
      <c r="F6169" s="1" t="s">
        <v>25217</v>
      </c>
      <c r="H6169" s="3">
        <v>0.0</v>
      </c>
      <c r="I6169" s="4" t="s">
        <v>25218</v>
      </c>
      <c r="J6169" s="1" t="s">
        <v>25219</v>
      </c>
      <c r="K6169" s="1" t="s">
        <v>28</v>
      </c>
    </row>
    <row r="6170">
      <c r="A6170" s="1" t="s">
        <v>25220</v>
      </c>
      <c r="B6170" s="1" t="s">
        <v>25221</v>
      </c>
      <c r="C6170" s="1">
        <v>2024.0</v>
      </c>
      <c r="D6170" s="2">
        <v>45498.0</v>
      </c>
      <c r="F6170" s="1" t="s">
        <v>578</v>
      </c>
      <c r="H6170" s="3">
        <v>0.0</v>
      </c>
      <c r="I6170" s="4" t="s">
        <v>25222</v>
      </c>
      <c r="J6170" s="1" t="s">
        <v>25223</v>
      </c>
      <c r="K6170" s="1" t="s">
        <v>24728</v>
      </c>
    </row>
    <row r="6171">
      <c r="A6171" s="1" t="s">
        <v>25224</v>
      </c>
      <c r="B6171" s="1" t="s">
        <v>25225</v>
      </c>
      <c r="C6171" s="1">
        <v>2024.0</v>
      </c>
      <c r="D6171" s="2">
        <v>45597.0</v>
      </c>
      <c r="F6171" s="1" t="s">
        <v>25226</v>
      </c>
      <c r="H6171" s="3">
        <v>0.0</v>
      </c>
      <c r="I6171" s="4" t="s">
        <v>25227</v>
      </c>
      <c r="J6171" s="1" t="s">
        <v>25228</v>
      </c>
      <c r="K6171" s="1" t="s">
        <v>24743</v>
      </c>
    </row>
    <row r="6172">
      <c r="A6172" s="1" t="s">
        <v>25229</v>
      </c>
      <c r="B6172" s="1" t="s">
        <v>25230</v>
      </c>
      <c r="C6172" s="1">
        <v>2024.0</v>
      </c>
      <c r="D6172" s="2">
        <v>45542.0</v>
      </c>
      <c r="F6172" s="1" t="s">
        <v>25231</v>
      </c>
      <c r="H6172" s="3">
        <v>0.0</v>
      </c>
      <c r="I6172" s="4" t="s">
        <v>25232</v>
      </c>
      <c r="J6172" s="1" t="s">
        <v>25233</v>
      </c>
      <c r="K6172" s="1" t="s">
        <v>24948</v>
      </c>
    </row>
    <row r="6173">
      <c r="A6173" s="1" t="s">
        <v>25234</v>
      </c>
      <c r="B6173" s="1" t="s">
        <v>25235</v>
      </c>
      <c r="C6173" s="1">
        <v>2024.0</v>
      </c>
      <c r="D6173" s="2">
        <v>45494.0</v>
      </c>
      <c r="F6173" s="1" t="s">
        <v>4539</v>
      </c>
      <c r="H6173" s="3">
        <v>0.0</v>
      </c>
      <c r="I6173" s="4" t="s">
        <v>25236</v>
      </c>
      <c r="J6173" s="1" t="s">
        <v>25237</v>
      </c>
      <c r="K6173" s="1" t="s">
        <v>24753</v>
      </c>
    </row>
    <row r="6174">
      <c r="A6174" s="1" t="s">
        <v>25238</v>
      </c>
      <c r="B6174" s="1" t="s">
        <v>25239</v>
      </c>
      <c r="C6174" s="1">
        <v>2024.0</v>
      </c>
      <c r="D6174" s="2">
        <v>45624.0</v>
      </c>
      <c r="F6174" s="1" t="s">
        <v>298</v>
      </c>
      <c r="H6174" s="3">
        <v>0.0</v>
      </c>
      <c r="I6174" s="4" t="s">
        <v>25240</v>
      </c>
      <c r="J6174" s="1" t="s">
        <v>25241</v>
      </c>
      <c r="K6174" s="1" t="s">
        <v>24753</v>
      </c>
    </row>
    <row r="6175">
      <c r="A6175" s="1" t="s">
        <v>25242</v>
      </c>
      <c r="B6175" s="1" t="s">
        <v>25243</v>
      </c>
      <c r="C6175" s="1">
        <v>2024.0</v>
      </c>
      <c r="D6175" s="2">
        <v>45555.0</v>
      </c>
      <c r="F6175" s="1" t="s">
        <v>71</v>
      </c>
      <c r="H6175" s="3">
        <v>0.0</v>
      </c>
      <c r="I6175" s="4" t="s">
        <v>25244</v>
      </c>
      <c r="J6175" s="1" t="s">
        <v>25245</v>
      </c>
      <c r="K6175" s="1" t="s">
        <v>25246</v>
      </c>
    </row>
    <row r="6176">
      <c r="A6176" s="1" t="s">
        <v>25247</v>
      </c>
      <c r="B6176" s="1" t="s">
        <v>25248</v>
      </c>
      <c r="C6176" s="1">
        <v>2024.0</v>
      </c>
      <c r="D6176" s="2">
        <v>45536.0</v>
      </c>
      <c r="F6176" s="1" t="s">
        <v>882</v>
      </c>
      <c r="H6176" s="3">
        <v>0.0</v>
      </c>
      <c r="I6176" s="4" t="s">
        <v>25249</v>
      </c>
      <c r="K6176" s="1" t="s">
        <v>68</v>
      </c>
    </row>
    <row r="6177">
      <c r="A6177" s="1" t="s">
        <v>25250</v>
      </c>
      <c r="B6177" s="1" t="s">
        <v>25251</v>
      </c>
      <c r="C6177" s="1">
        <v>2024.0</v>
      </c>
      <c r="D6177" s="2">
        <v>45539.0</v>
      </c>
      <c r="F6177" s="1" t="s">
        <v>500</v>
      </c>
      <c r="H6177" s="3">
        <v>0.0</v>
      </c>
      <c r="I6177" s="4" t="s">
        <v>25252</v>
      </c>
      <c r="J6177" s="1" t="s">
        <v>25253</v>
      </c>
      <c r="K6177" s="1" t="s">
        <v>25254</v>
      </c>
    </row>
    <row r="6178">
      <c r="A6178" s="1" t="s">
        <v>25255</v>
      </c>
      <c r="B6178" s="1" t="s">
        <v>25256</v>
      </c>
      <c r="C6178" s="1">
        <v>2024.0</v>
      </c>
      <c r="D6178" s="2">
        <v>45457.0</v>
      </c>
      <c r="F6178" s="1" t="s">
        <v>568</v>
      </c>
      <c r="H6178" s="3">
        <v>0.0</v>
      </c>
      <c r="I6178" s="4" t="s">
        <v>25257</v>
      </c>
      <c r="J6178" s="1" t="s">
        <v>25258</v>
      </c>
      <c r="K6178" s="1" t="s">
        <v>68</v>
      </c>
    </row>
    <row r="6179">
      <c r="A6179" s="1" t="s">
        <v>25259</v>
      </c>
      <c r="B6179" s="1" t="s">
        <v>25260</v>
      </c>
      <c r="C6179" s="1">
        <v>2024.0</v>
      </c>
      <c r="D6179" s="2">
        <v>45628.0</v>
      </c>
      <c r="F6179" s="1" t="s">
        <v>347</v>
      </c>
      <c r="H6179" s="3">
        <v>0.0</v>
      </c>
      <c r="I6179" s="4" t="s">
        <v>25261</v>
      </c>
      <c r="J6179" s="1" t="s">
        <v>25262</v>
      </c>
      <c r="K6179" s="1" t="s">
        <v>24728</v>
      </c>
    </row>
    <row r="6180">
      <c r="A6180" s="1" t="s">
        <v>25263</v>
      </c>
      <c r="B6180" s="1" t="s">
        <v>25264</v>
      </c>
      <c r="C6180" s="1">
        <v>2024.0</v>
      </c>
      <c r="D6180" s="2">
        <v>45574.0</v>
      </c>
      <c r="F6180" s="1" t="s">
        <v>91</v>
      </c>
      <c r="H6180" s="3">
        <v>0.0</v>
      </c>
      <c r="I6180" s="4" t="s">
        <v>25265</v>
      </c>
      <c r="J6180" s="1" t="s">
        <v>25266</v>
      </c>
      <c r="K6180" s="1" t="s">
        <v>24753</v>
      </c>
    </row>
    <row r="6181">
      <c r="A6181" s="1" t="s">
        <v>25267</v>
      </c>
      <c r="B6181" s="1" t="s">
        <v>25268</v>
      </c>
      <c r="C6181" s="1">
        <v>2024.0</v>
      </c>
      <c r="D6181" s="2">
        <v>45627.0</v>
      </c>
      <c r="F6181" s="1" t="s">
        <v>9182</v>
      </c>
      <c r="H6181" s="3">
        <v>0.0</v>
      </c>
      <c r="I6181" s="4" t="s">
        <v>25269</v>
      </c>
      <c r="J6181" s="1" t="s">
        <v>25270</v>
      </c>
      <c r="K6181" s="1" t="s">
        <v>25254</v>
      </c>
    </row>
    <row r="6182">
      <c r="A6182" s="1" t="s">
        <v>25271</v>
      </c>
      <c r="B6182" s="1" t="s">
        <v>25272</v>
      </c>
      <c r="C6182" s="1">
        <v>2024.0</v>
      </c>
      <c r="D6182" s="2">
        <v>45483.0</v>
      </c>
      <c r="F6182" s="1" t="s">
        <v>10247</v>
      </c>
      <c r="H6182" s="3">
        <v>0.0</v>
      </c>
      <c r="I6182" s="4" t="s">
        <v>25273</v>
      </c>
      <c r="J6182" s="1" t="s">
        <v>25274</v>
      </c>
      <c r="K6182" s="1" t="s">
        <v>25254</v>
      </c>
    </row>
    <row r="6183">
      <c r="A6183" s="1" t="s">
        <v>25275</v>
      </c>
      <c r="B6183" s="1" t="s">
        <v>25276</v>
      </c>
      <c r="C6183" s="1">
        <v>2024.0</v>
      </c>
      <c r="D6183" s="2">
        <v>45481.0</v>
      </c>
      <c r="F6183" s="1" t="s">
        <v>2007</v>
      </c>
      <c r="H6183" s="3">
        <v>0.0</v>
      </c>
      <c r="I6183" s="4" t="s">
        <v>25277</v>
      </c>
      <c r="K6183" s="1" t="s">
        <v>68</v>
      </c>
    </row>
    <row r="6184">
      <c r="A6184" s="1" t="s">
        <v>25278</v>
      </c>
      <c r="B6184" s="1" t="s">
        <v>25279</v>
      </c>
      <c r="C6184" s="1">
        <v>2024.0</v>
      </c>
      <c r="D6184" s="2">
        <v>45591.0</v>
      </c>
      <c r="F6184" s="1" t="s">
        <v>271</v>
      </c>
      <c r="H6184" s="3">
        <v>0.0</v>
      </c>
      <c r="I6184" s="4" t="s">
        <v>25280</v>
      </c>
      <c r="J6184" s="1" t="s">
        <v>25281</v>
      </c>
      <c r="K6184" s="1" t="s">
        <v>68</v>
      </c>
    </row>
    <row r="6185">
      <c r="A6185" s="1" t="s">
        <v>25282</v>
      </c>
      <c r="B6185" s="1" t="s">
        <v>25283</v>
      </c>
      <c r="C6185" s="1">
        <v>2024.0</v>
      </c>
      <c r="D6185" s="2">
        <v>45583.0</v>
      </c>
      <c r="F6185" s="1" t="s">
        <v>1859</v>
      </c>
      <c r="H6185" s="3">
        <v>0.0</v>
      </c>
      <c r="I6185" s="4" t="s">
        <v>25284</v>
      </c>
      <c r="J6185" s="1" t="s">
        <v>25285</v>
      </c>
      <c r="K6185" s="1" t="s">
        <v>68</v>
      </c>
    </row>
    <row r="6186">
      <c r="A6186" s="1" t="s">
        <v>25286</v>
      </c>
      <c r="B6186" s="1" t="s">
        <v>25287</v>
      </c>
      <c r="C6186" s="1">
        <v>2024.0</v>
      </c>
      <c r="D6186" s="2">
        <v>45507.0</v>
      </c>
      <c r="F6186" s="1" t="s">
        <v>1637</v>
      </c>
      <c r="H6186" s="3">
        <v>0.0</v>
      </c>
      <c r="I6186" s="4" t="s">
        <v>25288</v>
      </c>
      <c r="J6186" s="1" t="s">
        <v>25289</v>
      </c>
      <c r="K6186" s="1" t="s">
        <v>68</v>
      </c>
    </row>
    <row r="6187">
      <c r="A6187" s="1" t="s">
        <v>25290</v>
      </c>
      <c r="B6187" s="1" t="s">
        <v>25291</v>
      </c>
      <c r="C6187" s="1">
        <v>2024.0</v>
      </c>
      <c r="D6187" s="2">
        <v>45481.0</v>
      </c>
      <c r="F6187" s="1" t="s">
        <v>2577</v>
      </c>
      <c r="H6187" s="3">
        <v>1.0</v>
      </c>
      <c r="I6187" s="4" t="s">
        <v>25292</v>
      </c>
      <c r="J6187" s="1" t="s">
        <v>25293</v>
      </c>
      <c r="K6187" s="1" t="s">
        <v>25294</v>
      </c>
    </row>
    <row r="6188">
      <c r="A6188" s="1" t="s">
        <v>25295</v>
      </c>
      <c r="B6188" s="1" t="s">
        <v>25296</v>
      </c>
      <c r="C6188" s="1">
        <v>2024.0</v>
      </c>
      <c r="D6188" s="2">
        <v>45475.0</v>
      </c>
      <c r="F6188" s="1" t="s">
        <v>6343</v>
      </c>
      <c r="H6188" s="3">
        <v>0.0</v>
      </c>
      <c r="I6188" s="4" t="s">
        <v>25297</v>
      </c>
      <c r="J6188" s="1" t="s">
        <v>25298</v>
      </c>
      <c r="K6188" s="1" t="s">
        <v>24753</v>
      </c>
    </row>
    <row r="6189">
      <c r="A6189" s="1" t="s">
        <v>25299</v>
      </c>
      <c r="B6189" s="1" t="s">
        <v>25300</v>
      </c>
      <c r="C6189" s="1">
        <v>2024.0</v>
      </c>
      <c r="D6189" s="2">
        <v>45554.0</v>
      </c>
      <c r="F6189" s="1" t="s">
        <v>9747</v>
      </c>
      <c r="H6189" s="3">
        <v>0.0</v>
      </c>
      <c r="I6189" s="4" t="s">
        <v>25301</v>
      </c>
      <c r="J6189" s="1" t="s">
        <v>25302</v>
      </c>
      <c r="K6189" s="1" t="s">
        <v>68</v>
      </c>
    </row>
    <row r="6190">
      <c r="A6190" s="5" t="s">
        <v>25303</v>
      </c>
      <c r="B6190" s="1" t="s">
        <v>25304</v>
      </c>
      <c r="C6190" s="1">
        <v>2024.0</v>
      </c>
      <c r="D6190" s="2">
        <v>45495.0</v>
      </c>
      <c r="F6190" s="1" t="s">
        <v>9747</v>
      </c>
      <c r="H6190" s="3">
        <v>0.0</v>
      </c>
      <c r="I6190" s="4" t="s">
        <v>25305</v>
      </c>
      <c r="J6190" s="1" t="s">
        <v>25306</v>
      </c>
      <c r="K6190" s="1" t="s">
        <v>68</v>
      </c>
    </row>
    <row r="6191">
      <c r="A6191" s="1" t="s">
        <v>25307</v>
      </c>
      <c r="B6191" s="1" t="s">
        <v>25308</v>
      </c>
      <c r="C6191" s="1">
        <v>2024.0</v>
      </c>
      <c r="D6191" s="2">
        <v>45471.0</v>
      </c>
      <c r="F6191" s="1" t="s">
        <v>25309</v>
      </c>
      <c r="H6191" s="3">
        <v>0.0</v>
      </c>
      <c r="I6191" s="4" t="s">
        <v>25310</v>
      </c>
      <c r="J6191" s="1" t="s">
        <v>25311</v>
      </c>
      <c r="K6191" s="1" t="s">
        <v>68</v>
      </c>
    </row>
    <row r="6192">
      <c r="A6192" s="1" t="s">
        <v>25312</v>
      </c>
      <c r="B6192" s="1" t="s">
        <v>25313</v>
      </c>
      <c r="C6192" s="1">
        <v>2024.0</v>
      </c>
      <c r="D6192" s="2">
        <v>45457.0</v>
      </c>
      <c r="F6192" s="1" t="s">
        <v>9747</v>
      </c>
      <c r="H6192" s="3">
        <v>1.0</v>
      </c>
      <c r="I6192" s="4" t="s">
        <v>25314</v>
      </c>
      <c r="J6192" s="1" t="s">
        <v>25315</v>
      </c>
      <c r="K6192" s="1" t="s">
        <v>68</v>
      </c>
    </row>
    <row r="6193">
      <c r="A6193" s="1" t="s">
        <v>25316</v>
      </c>
      <c r="B6193" s="1" t="s">
        <v>25317</v>
      </c>
      <c r="C6193" s="1">
        <v>2024.0</v>
      </c>
      <c r="D6193" s="2">
        <v>45581.0</v>
      </c>
      <c r="F6193" s="1" t="s">
        <v>6188</v>
      </c>
      <c r="H6193" s="3">
        <v>0.0</v>
      </c>
      <c r="I6193" s="4" t="s">
        <v>25318</v>
      </c>
      <c r="J6193" s="1" t="s">
        <v>25319</v>
      </c>
      <c r="K6193" s="1" t="s">
        <v>24753</v>
      </c>
    </row>
    <row r="6194">
      <c r="A6194" s="1" t="s">
        <v>25320</v>
      </c>
      <c r="B6194" s="1" t="s">
        <v>25321</v>
      </c>
      <c r="C6194" s="1">
        <v>2024.0</v>
      </c>
      <c r="D6194" s="2">
        <v>45610.0</v>
      </c>
      <c r="F6194" s="1" t="s">
        <v>71</v>
      </c>
      <c r="H6194" s="3">
        <v>0.0</v>
      </c>
      <c r="I6194" s="4" t="s">
        <v>25322</v>
      </c>
      <c r="J6194" s="1" t="s">
        <v>25323</v>
      </c>
      <c r="K6194" s="1" t="s">
        <v>24728</v>
      </c>
    </row>
    <row r="6195">
      <c r="A6195" s="1" t="s">
        <v>25324</v>
      </c>
      <c r="B6195" s="1" t="s">
        <v>25325</v>
      </c>
      <c r="C6195" s="1">
        <v>2024.0</v>
      </c>
      <c r="D6195" s="2">
        <v>45596.0</v>
      </c>
      <c r="F6195" s="1" t="s">
        <v>1154</v>
      </c>
      <c r="H6195" s="3">
        <v>0.0</v>
      </c>
      <c r="I6195" s="4" t="s">
        <v>25326</v>
      </c>
      <c r="J6195" s="1" t="s">
        <v>25327</v>
      </c>
      <c r="K6195" s="1" t="s">
        <v>24728</v>
      </c>
    </row>
    <row r="6196">
      <c r="A6196" s="1" t="s">
        <v>25328</v>
      </c>
      <c r="B6196" s="1" t="s">
        <v>25329</v>
      </c>
      <c r="C6196" s="1">
        <v>2024.0</v>
      </c>
      <c r="D6196" s="2">
        <v>45579.0</v>
      </c>
      <c r="F6196" s="1" t="s">
        <v>474</v>
      </c>
      <c r="H6196" s="3">
        <v>0.0</v>
      </c>
      <c r="I6196" s="4" t="s">
        <v>25330</v>
      </c>
      <c r="J6196" s="1" t="s">
        <v>25331</v>
      </c>
      <c r="K6196" s="1" t="s">
        <v>24728</v>
      </c>
    </row>
    <row r="6197">
      <c r="A6197" s="1" t="s">
        <v>25332</v>
      </c>
      <c r="B6197" s="1" t="s">
        <v>25333</v>
      </c>
      <c r="C6197" s="1">
        <v>2024.0</v>
      </c>
      <c r="D6197" s="2">
        <v>45461.0</v>
      </c>
      <c r="F6197" s="1" t="s">
        <v>474</v>
      </c>
      <c r="H6197" s="3">
        <v>0.0</v>
      </c>
      <c r="I6197" s="4" t="s">
        <v>25334</v>
      </c>
      <c r="J6197" s="1" t="s">
        <v>25335</v>
      </c>
      <c r="K6197" s="1" t="s">
        <v>24728</v>
      </c>
    </row>
    <row r="6198">
      <c r="A6198" s="1" t="s">
        <v>25336</v>
      </c>
      <c r="B6198" s="1" t="s">
        <v>25337</v>
      </c>
      <c r="C6198" s="1">
        <v>2024.0</v>
      </c>
      <c r="D6198" s="2">
        <v>45526.0</v>
      </c>
      <c r="F6198" s="1" t="s">
        <v>25338</v>
      </c>
      <c r="H6198" s="3">
        <v>0.0</v>
      </c>
      <c r="I6198" s="4" t="s">
        <v>25339</v>
      </c>
      <c r="J6198" s="1" t="s">
        <v>25340</v>
      </c>
      <c r="K6198" s="1" t="s">
        <v>24728</v>
      </c>
    </row>
    <row r="6199">
      <c r="A6199" s="5" t="s">
        <v>25341</v>
      </c>
      <c r="B6199" s="1" t="s">
        <v>25342</v>
      </c>
      <c r="C6199" s="1">
        <v>2024.0</v>
      </c>
      <c r="D6199" s="2">
        <v>45463.0</v>
      </c>
      <c r="F6199" s="1" t="s">
        <v>1154</v>
      </c>
      <c r="H6199" s="3">
        <v>1.0</v>
      </c>
      <c r="I6199" s="4" t="s">
        <v>25343</v>
      </c>
      <c r="J6199" s="1" t="s">
        <v>25344</v>
      </c>
      <c r="K6199" s="1" t="s">
        <v>24728</v>
      </c>
    </row>
    <row r="6200">
      <c r="A6200" s="1" t="s">
        <v>25345</v>
      </c>
      <c r="B6200" s="1" t="s">
        <v>25346</v>
      </c>
      <c r="C6200" s="1">
        <v>2024.0</v>
      </c>
      <c r="D6200" s="2">
        <v>45608.0</v>
      </c>
      <c r="F6200" s="1" t="s">
        <v>4848</v>
      </c>
      <c r="H6200" s="3">
        <v>0.0</v>
      </c>
      <c r="I6200" s="4" t="s">
        <v>25347</v>
      </c>
      <c r="J6200" s="1" t="s">
        <v>25348</v>
      </c>
      <c r="K6200" s="1" t="s">
        <v>68</v>
      </c>
    </row>
    <row r="6201">
      <c r="A6201" s="1" t="s">
        <v>25349</v>
      </c>
      <c r="B6201" s="1" t="s">
        <v>25350</v>
      </c>
      <c r="C6201" s="1">
        <v>2024.0</v>
      </c>
      <c r="D6201" s="2">
        <v>45468.0</v>
      </c>
      <c r="F6201" s="1" t="s">
        <v>2297</v>
      </c>
      <c r="H6201" s="3">
        <v>1.0</v>
      </c>
      <c r="I6201" s="4" t="s">
        <v>25351</v>
      </c>
      <c r="J6201" s="1" t="s">
        <v>25352</v>
      </c>
      <c r="K6201" s="1" t="s">
        <v>68</v>
      </c>
    </row>
    <row r="6202">
      <c r="A6202" s="1" t="s">
        <v>25353</v>
      </c>
      <c r="B6202" s="1" t="s">
        <v>25354</v>
      </c>
      <c r="C6202" s="1">
        <v>2024.0</v>
      </c>
      <c r="D6202" s="2">
        <v>45628.0</v>
      </c>
      <c r="F6202" s="1" t="s">
        <v>25355</v>
      </c>
      <c r="H6202" s="3">
        <v>0.0</v>
      </c>
      <c r="I6202" s="4" t="s">
        <v>25356</v>
      </c>
      <c r="J6202" s="1" t="s">
        <v>25357</v>
      </c>
      <c r="K6202" s="1" t="s">
        <v>25254</v>
      </c>
    </row>
    <row r="6203">
      <c r="A6203" s="1" t="s">
        <v>25358</v>
      </c>
      <c r="B6203" s="1" t="s">
        <v>25359</v>
      </c>
      <c r="C6203" s="1">
        <v>2024.0</v>
      </c>
      <c r="D6203" s="2">
        <v>45482.0</v>
      </c>
      <c r="F6203" s="1" t="s">
        <v>9756</v>
      </c>
      <c r="H6203" s="3">
        <v>0.0</v>
      </c>
      <c r="I6203" s="4" t="s">
        <v>25360</v>
      </c>
      <c r="J6203" s="1" t="s">
        <v>25361</v>
      </c>
      <c r="K6203" s="1" t="s">
        <v>24753</v>
      </c>
    </row>
    <row r="6204">
      <c r="A6204" s="1" t="s">
        <v>25362</v>
      </c>
      <c r="B6204" s="1" t="s">
        <v>25363</v>
      </c>
      <c r="C6204" s="1">
        <v>2024.0</v>
      </c>
      <c r="D6204" s="2">
        <v>45485.0</v>
      </c>
      <c r="F6204" s="1" t="s">
        <v>298</v>
      </c>
      <c r="H6204" s="3">
        <v>0.0</v>
      </c>
      <c r="I6204" s="4" t="s">
        <v>25364</v>
      </c>
      <c r="J6204" s="1" t="s">
        <v>25365</v>
      </c>
      <c r="K6204" s="1" t="s">
        <v>25294</v>
      </c>
    </row>
    <row r="6205">
      <c r="A6205" s="1" t="s">
        <v>25366</v>
      </c>
      <c r="B6205" s="1" t="s">
        <v>182</v>
      </c>
      <c r="C6205" s="1">
        <v>2024.0</v>
      </c>
      <c r="D6205" s="2">
        <v>45612.0</v>
      </c>
      <c r="F6205" s="1" t="s">
        <v>183</v>
      </c>
      <c r="H6205" s="3">
        <v>0.0</v>
      </c>
      <c r="I6205" s="4" t="s">
        <v>25367</v>
      </c>
      <c r="J6205" s="1" t="s">
        <v>25368</v>
      </c>
      <c r="K6205" s="1" t="s">
        <v>68</v>
      </c>
    </row>
    <row r="6206">
      <c r="A6206" s="1" t="s">
        <v>25369</v>
      </c>
      <c r="B6206" s="1" t="s">
        <v>25370</v>
      </c>
      <c r="C6206" s="1">
        <v>2024.0</v>
      </c>
      <c r="D6206" s="2">
        <v>45527.0</v>
      </c>
      <c r="F6206" s="1" t="s">
        <v>743</v>
      </c>
      <c r="H6206" s="3">
        <v>0.0</v>
      </c>
      <c r="I6206" s="4" t="s">
        <v>25371</v>
      </c>
      <c r="J6206" s="1" t="s">
        <v>25372</v>
      </c>
      <c r="K6206" s="1" t="s">
        <v>68</v>
      </c>
    </row>
    <row r="6207">
      <c r="A6207" s="1" t="s">
        <v>25373</v>
      </c>
      <c r="B6207" s="1" t="s">
        <v>25374</v>
      </c>
      <c r="C6207" s="1">
        <v>2024.0</v>
      </c>
      <c r="D6207" s="2">
        <v>45575.0</v>
      </c>
      <c r="F6207" s="1" t="s">
        <v>2560</v>
      </c>
      <c r="H6207" s="3">
        <v>0.0</v>
      </c>
      <c r="I6207" s="4" t="s">
        <v>25375</v>
      </c>
      <c r="J6207" s="1" t="s">
        <v>25376</v>
      </c>
      <c r="K6207" s="1" t="s">
        <v>25246</v>
      </c>
    </row>
    <row r="6208">
      <c r="A6208" s="1" t="s">
        <v>25377</v>
      </c>
      <c r="B6208" s="1" t="s">
        <v>25378</v>
      </c>
      <c r="C6208" s="1">
        <v>2024.0</v>
      </c>
      <c r="D6208" s="2">
        <v>45599.0</v>
      </c>
      <c r="F6208" s="1" t="s">
        <v>25379</v>
      </c>
      <c r="H6208" s="3">
        <v>0.0</v>
      </c>
      <c r="I6208" s="4" t="s">
        <v>25380</v>
      </c>
      <c r="J6208" s="1" t="s">
        <v>25381</v>
      </c>
      <c r="K6208" s="1" t="s">
        <v>24753</v>
      </c>
    </row>
    <row r="6209">
      <c r="A6209" s="1" t="s">
        <v>25382</v>
      </c>
      <c r="B6209" s="1" t="s">
        <v>25383</v>
      </c>
      <c r="C6209" s="1">
        <v>2024.0</v>
      </c>
      <c r="D6209" s="2">
        <v>45538.0</v>
      </c>
      <c r="F6209" s="1" t="s">
        <v>726</v>
      </c>
      <c r="H6209" s="3">
        <v>0.0</v>
      </c>
      <c r="I6209" s="4" t="s">
        <v>25384</v>
      </c>
      <c r="J6209" s="1" t="s">
        <v>25385</v>
      </c>
      <c r="K6209" s="1" t="s">
        <v>24892</v>
      </c>
    </row>
    <row r="6210">
      <c r="A6210" s="1" t="s">
        <v>25386</v>
      </c>
      <c r="B6210" s="1" t="s">
        <v>25387</v>
      </c>
      <c r="C6210" s="1">
        <v>2024.0</v>
      </c>
      <c r="D6210" s="2">
        <v>45573.0</v>
      </c>
      <c r="F6210" s="1" t="s">
        <v>4848</v>
      </c>
      <c r="H6210" s="3">
        <v>0.0</v>
      </c>
      <c r="I6210" s="4" t="s">
        <v>25388</v>
      </c>
      <c r="J6210" s="1" t="s">
        <v>25389</v>
      </c>
      <c r="K6210" s="1" t="s">
        <v>25294</v>
      </c>
    </row>
    <row r="6211">
      <c r="A6211" s="1" t="s">
        <v>25390</v>
      </c>
      <c r="B6211" s="1" t="s">
        <v>25391</v>
      </c>
      <c r="C6211" s="1">
        <v>2024.0</v>
      </c>
      <c r="D6211" s="2">
        <v>45619.0</v>
      </c>
      <c r="F6211" s="1" t="s">
        <v>1637</v>
      </c>
      <c r="H6211" s="3">
        <v>0.0</v>
      </c>
      <c r="I6211" s="4" t="s">
        <v>25392</v>
      </c>
      <c r="J6211" s="1" t="s">
        <v>25393</v>
      </c>
      <c r="K6211" s="1" t="s">
        <v>25254</v>
      </c>
    </row>
    <row r="6212">
      <c r="A6212" s="1" t="s">
        <v>25394</v>
      </c>
      <c r="B6212" s="1" t="s">
        <v>25395</v>
      </c>
      <c r="C6212" s="1">
        <v>2024.0</v>
      </c>
      <c r="D6212" s="2">
        <v>45569.0</v>
      </c>
      <c r="F6212" s="1" t="s">
        <v>1637</v>
      </c>
      <c r="H6212" s="3">
        <v>0.0</v>
      </c>
      <c r="I6212" s="4" t="s">
        <v>25396</v>
      </c>
      <c r="J6212" s="1" t="s">
        <v>25397</v>
      </c>
      <c r="K6212" s="1" t="s">
        <v>25254</v>
      </c>
    </row>
    <row r="6213">
      <c r="A6213" s="1" t="s">
        <v>25398</v>
      </c>
      <c r="B6213" s="1" t="s">
        <v>25399</v>
      </c>
      <c r="C6213" s="1">
        <v>2024.0</v>
      </c>
      <c r="D6213" s="2">
        <v>45553.0</v>
      </c>
      <c r="F6213" s="1" t="s">
        <v>1154</v>
      </c>
      <c r="H6213" s="3">
        <v>1.0</v>
      </c>
      <c r="I6213" s="4" t="s">
        <v>25400</v>
      </c>
      <c r="J6213" s="1" t="s">
        <v>25401</v>
      </c>
      <c r="K6213" s="1" t="s">
        <v>68</v>
      </c>
    </row>
    <row r="6214">
      <c r="A6214" s="1" t="s">
        <v>25402</v>
      </c>
      <c r="B6214" s="1" t="s">
        <v>25403</v>
      </c>
      <c r="C6214" s="1">
        <v>2024.0</v>
      </c>
      <c r="D6214" s="2">
        <v>45515.0</v>
      </c>
      <c r="F6214" s="1" t="s">
        <v>3909</v>
      </c>
      <c r="H6214" s="3">
        <v>1.0</v>
      </c>
      <c r="I6214" s="4" t="s">
        <v>25404</v>
      </c>
      <c r="J6214" s="1" t="s">
        <v>25405</v>
      </c>
      <c r="K6214" s="1" t="s">
        <v>68</v>
      </c>
    </row>
    <row r="6215">
      <c r="A6215" s="1" t="s">
        <v>25406</v>
      </c>
      <c r="B6215" s="1" t="s">
        <v>25407</v>
      </c>
      <c r="C6215" s="1">
        <v>2024.0</v>
      </c>
      <c r="D6215" s="2">
        <v>45583.0</v>
      </c>
      <c r="F6215" s="1" t="s">
        <v>2586</v>
      </c>
      <c r="H6215" s="3">
        <v>0.0</v>
      </c>
      <c r="I6215" s="4" t="s">
        <v>25408</v>
      </c>
      <c r="J6215" s="1" t="s">
        <v>25409</v>
      </c>
      <c r="K6215" s="1" t="s">
        <v>68</v>
      </c>
    </row>
    <row r="6216">
      <c r="A6216" s="1" t="s">
        <v>25410</v>
      </c>
      <c r="B6216" s="1" t="s">
        <v>25411</v>
      </c>
      <c r="C6216" s="1">
        <v>2024.0</v>
      </c>
      <c r="D6216" s="2">
        <v>45583.0</v>
      </c>
      <c r="F6216" s="1" t="s">
        <v>25412</v>
      </c>
      <c r="H6216" s="3">
        <v>0.0</v>
      </c>
      <c r="I6216" s="4" t="s">
        <v>25413</v>
      </c>
      <c r="J6216" s="1" t="s">
        <v>25414</v>
      </c>
      <c r="K6216" s="1" t="s">
        <v>68</v>
      </c>
    </row>
    <row r="6217">
      <c r="A6217" s="1" t="s">
        <v>25415</v>
      </c>
      <c r="B6217" s="1" t="s">
        <v>25416</v>
      </c>
      <c r="C6217" s="1">
        <v>2024.0</v>
      </c>
      <c r="D6217" s="2">
        <v>45618.0</v>
      </c>
      <c r="F6217" s="1" t="s">
        <v>1922</v>
      </c>
      <c r="H6217" s="3">
        <v>0.0</v>
      </c>
      <c r="I6217" s="4" t="s">
        <v>25417</v>
      </c>
      <c r="J6217" s="1" t="s">
        <v>25418</v>
      </c>
      <c r="K6217" s="1" t="s">
        <v>24753</v>
      </c>
    </row>
    <row r="6218">
      <c r="A6218" s="1" t="s">
        <v>25419</v>
      </c>
      <c r="B6218" s="1" t="s">
        <v>25420</v>
      </c>
      <c r="C6218" s="1">
        <v>2024.0</v>
      </c>
      <c r="D6218" s="2">
        <v>45586.0</v>
      </c>
      <c r="F6218" s="1" t="s">
        <v>6352</v>
      </c>
      <c r="H6218" s="3">
        <v>0.0</v>
      </c>
      <c r="I6218" s="4" t="s">
        <v>25421</v>
      </c>
      <c r="J6218" s="1" t="s">
        <v>25422</v>
      </c>
      <c r="K6218" s="1" t="s">
        <v>68</v>
      </c>
    </row>
    <row r="6219">
      <c r="A6219" s="1" t="s">
        <v>25423</v>
      </c>
      <c r="B6219" s="1" t="s">
        <v>25424</v>
      </c>
      <c r="C6219" s="1">
        <v>2024.0</v>
      </c>
      <c r="D6219" s="2">
        <v>45574.0</v>
      </c>
      <c r="F6219" s="1" t="s">
        <v>1528</v>
      </c>
      <c r="H6219" s="3">
        <v>0.0</v>
      </c>
      <c r="I6219" s="4" t="s">
        <v>25425</v>
      </c>
      <c r="J6219" s="1" t="s">
        <v>25426</v>
      </c>
      <c r="K6219" s="1" t="s">
        <v>68</v>
      </c>
    </row>
    <row r="6220">
      <c r="A6220" s="1" t="s">
        <v>25427</v>
      </c>
      <c r="B6220" s="1" t="s">
        <v>25428</v>
      </c>
      <c r="C6220" s="1">
        <v>2024.0</v>
      </c>
      <c r="D6220" s="2">
        <v>45478.0</v>
      </c>
      <c r="F6220" s="1" t="s">
        <v>6006</v>
      </c>
      <c r="H6220" s="3">
        <v>1.0</v>
      </c>
      <c r="I6220" s="4" t="s">
        <v>25429</v>
      </c>
      <c r="J6220" s="1" t="s">
        <v>25430</v>
      </c>
      <c r="K6220" s="1" t="s">
        <v>68</v>
      </c>
    </row>
    <row r="6221">
      <c r="A6221" s="5" t="s">
        <v>741</v>
      </c>
      <c r="B6221" s="1" t="s">
        <v>742</v>
      </c>
      <c r="C6221" s="1">
        <v>2024.0</v>
      </c>
      <c r="D6221" s="2">
        <v>45354.0</v>
      </c>
      <c r="F6221" s="1" t="s">
        <v>743</v>
      </c>
      <c r="H6221" s="3">
        <v>0.0</v>
      </c>
      <c r="I6221" s="4" t="s">
        <v>744</v>
      </c>
      <c r="J6221" s="1" t="s">
        <v>745</v>
      </c>
      <c r="K6221" s="1" t="s">
        <v>24728</v>
      </c>
    </row>
    <row r="6222">
      <c r="A6222" s="1" t="s">
        <v>25431</v>
      </c>
      <c r="B6222" s="1" t="s">
        <v>1208</v>
      </c>
      <c r="C6222" s="1">
        <v>2024.0</v>
      </c>
      <c r="D6222" s="2">
        <v>45294.0</v>
      </c>
      <c r="F6222" s="1" t="s">
        <v>1209</v>
      </c>
      <c r="H6222" s="3">
        <v>4.0</v>
      </c>
      <c r="I6222" s="4" t="s">
        <v>25432</v>
      </c>
      <c r="J6222" s="1" t="s">
        <v>25433</v>
      </c>
      <c r="K6222" s="1" t="s">
        <v>68</v>
      </c>
    </row>
    <row r="6223">
      <c r="A6223" s="1" t="s">
        <v>25434</v>
      </c>
      <c r="B6223" s="1" t="s">
        <v>25435</v>
      </c>
      <c r="C6223" s="1">
        <v>2024.0</v>
      </c>
      <c r="D6223" s="2">
        <v>45470.0</v>
      </c>
      <c r="F6223" s="1" t="s">
        <v>86</v>
      </c>
      <c r="H6223" s="3">
        <v>0.0</v>
      </c>
      <c r="I6223" s="4" t="s">
        <v>25436</v>
      </c>
      <c r="J6223" s="1" t="s">
        <v>25437</v>
      </c>
      <c r="K6223" s="1" t="s">
        <v>68</v>
      </c>
    </row>
    <row r="6224">
      <c r="A6224" s="1" t="s">
        <v>25438</v>
      </c>
      <c r="B6224" s="1" t="s">
        <v>25439</v>
      </c>
      <c r="C6224" s="1">
        <v>2024.0</v>
      </c>
      <c r="D6224" s="2">
        <v>45624.0</v>
      </c>
      <c r="F6224" s="1" t="s">
        <v>1001</v>
      </c>
      <c r="H6224" s="3">
        <v>0.0</v>
      </c>
      <c r="I6224" s="4" t="s">
        <v>25440</v>
      </c>
      <c r="J6224" s="1" t="s">
        <v>25441</v>
      </c>
      <c r="K6224" s="1" t="s">
        <v>25442</v>
      </c>
    </row>
    <row r="6225">
      <c r="A6225" s="1" t="s">
        <v>25443</v>
      </c>
      <c r="B6225" s="1" t="s">
        <v>25444</v>
      </c>
      <c r="C6225" s="1">
        <v>2024.0</v>
      </c>
      <c r="D6225" s="2">
        <v>45600.0</v>
      </c>
      <c r="F6225" s="1" t="s">
        <v>762</v>
      </c>
      <c r="H6225" s="3">
        <v>0.0</v>
      </c>
      <c r="I6225" s="4" t="s">
        <v>25445</v>
      </c>
      <c r="J6225" s="1" t="s">
        <v>25446</v>
      </c>
      <c r="K6225" s="1" t="s">
        <v>24892</v>
      </c>
    </row>
    <row r="6226">
      <c r="A6226" s="1" t="s">
        <v>25447</v>
      </c>
      <c r="B6226" s="1" t="s">
        <v>25448</v>
      </c>
      <c r="C6226" s="1">
        <v>2024.0</v>
      </c>
      <c r="D6226" s="2">
        <v>45472.0</v>
      </c>
      <c r="F6226" s="1" t="s">
        <v>8771</v>
      </c>
      <c r="H6226" s="3">
        <v>0.0</v>
      </c>
      <c r="I6226" s="4" t="s">
        <v>25449</v>
      </c>
      <c r="J6226" s="1" t="s">
        <v>25450</v>
      </c>
      <c r="K6226" s="1" t="s">
        <v>25451</v>
      </c>
    </row>
    <row r="6227">
      <c r="A6227" s="1" t="s">
        <v>25452</v>
      </c>
      <c r="B6227" s="1" t="s">
        <v>25453</v>
      </c>
      <c r="C6227" s="1">
        <v>2024.0</v>
      </c>
      <c r="D6227" s="2">
        <v>45532.0</v>
      </c>
      <c r="F6227" s="1" t="s">
        <v>2110</v>
      </c>
      <c r="H6227" s="3">
        <v>0.0</v>
      </c>
      <c r="I6227" s="4" t="s">
        <v>25454</v>
      </c>
      <c r="J6227" s="1" t="s">
        <v>25455</v>
      </c>
      <c r="K6227" s="1" t="s">
        <v>68</v>
      </c>
    </row>
    <row r="6228">
      <c r="A6228" s="1" t="s">
        <v>25456</v>
      </c>
      <c r="B6228" s="1" t="s">
        <v>25457</v>
      </c>
      <c r="C6228" s="1">
        <v>2024.0</v>
      </c>
      <c r="D6228" s="2">
        <v>45636.0</v>
      </c>
      <c r="F6228" s="1" t="s">
        <v>410</v>
      </c>
      <c r="H6228" s="3">
        <v>0.0</v>
      </c>
      <c r="I6228" s="4" t="s">
        <v>25458</v>
      </c>
      <c r="J6228" s="1" t="s">
        <v>25459</v>
      </c>
      <c r="K6228" s="1" t="s">
        <v>24728</v>
      </c>
    </row>
    <row r="6229">
      <c r="A6229" s="1" t="s">
        <v>25460</v>
      </c>
      <c r="B6229" s="1" t="s">
        <v>25461</v>
      </c>
      <c r="C6229" s="1">
        <v>2024.0</v>
      </c>
      <c r="D6229" s="2">
        <v>45628.0</v>
      </c>
      <c r="F6229" s="1" t="s">
        <v>16429</v>
      </c>
      <c r="H6229" s="3">
        <v>0.0</v>
      </c>
      <c r="I6229" s="4" t="s">
        <v>25462</v>
      </c>
      <c r="J6229" s="1" t="s">
        <v>25463</v>
      </c>
      <c r="K6229" s="1" t="s">
        <v>16</v>
      </c>
    </row>
    <row r="6230">
      <c r="A6230" s="1" t="s">
        <v>25464</v>
      </c>
      <c r="B6230" s="1" t="s">
        <v>25465</v>
      </c>
      <c r="C6230" s="1">
        <v>2024.0</v>
      </c>
      <c r="D6230" s="2">
        <v>45470.0</v>
      </c>
      <c r="F6230" s="1" t="s">
        <v>332</v>
      </c>
      <c r="H6230" s="3">
        <v>0.0</v>
      </c>
      <c r="I6230" s="4" t="s">
        <v>25466</v>
      </c>
      <c r="J6230" s="1" t="s">
        <v>25467</v>
      </c>
      <c r="K6230" s="1" t="s">
        <v>16</v>
      </c>
    </row>
    <row r="6231">
      <c r="A6231" s="1" t="s">
        <v>25468</v>
      </c>
      <c r="B6231" s="1" t="s">
        <v>25469</v>
      </c>
      <c r="C6231" s="1">
        <v>2024.0</v>
      </c>
      <c r="D6231" s="2">
        <v>45545.0</v>
      </c>
      <c r="F6231" s="1" t="s">
        <v>2987</v>
      </c>
      <c r="H6231" s="3">
        <v>0.0</v>
      </c>
      <c r="I6231" s="4" t="s">
        <v>25470</v>
      </c>
      <c r="K6231" s="1" t="s">
        <v>25471</v>
      </c>
    </row>
    <row r="6232">
      <c r="A6232" s="1" t="s">
        <v>25472</v>
      </c>
      <c r="B6232" s="1" t="s">
        <v>25473</v>
      </c>
      <c r="C6232" s="1">
        <v>2024.0</v>
      </c>
      <c r="D6232" s="2">
        <v>45611.0</v>
      </c>
      <c r="F6232" s="1" t="s">
        <v>1982</v>
      </c>
      <c r="H6232" s="3">
        <v>0.0</v>
      </c>
      <c r="I6232" s="4" t="s">
        <v>25474</v>
      </c>
      <c r="J6232" s="1" t="s">
        <v>25475</v>
      </c>
      <c r="K6232" s="1" t="s">
        <v>16</v>
      </c>
    </row>
    <row r="6233">
      <c r="A6233" s="1" t="s">
        <v>25476</v>
      </c>
      <c r="B6233" s="1" t="s">
        <v>25477</v>
      </c>
      <c r="C6233" s="1">
        <v>2024.0</v>
      </c>
      <c r="D6233" s="2">
        <v>45561.0</v>
      </c>
      <c r="F6233" s="1" t="s">
        <v>25478</v>
      </c>
      <c r="H6233" s="3">
        <v>0.0</v>
      </c>
      <c r="I6233" s="4" t="s">
        <v>25479</v>
      </c>
      <c r="J6233" s="1" t="s">
        <v>25480</v>
      </c>
      <c r="K6233" s="1" t="s">
        <v>16</v>
      </c>
    </row>
    <row r="6234">
      <c r="A6234" s="1" t="s">
        <v>25481</v>
      </c>
      <c r="B6234" s="1" t="s">
        <v>25482</v>
      </c>
      <c r="C6234" s="1">
        <v>2024.0</v>
      </c>
      <c r="D6234" s="2">
        <v>45455.0</v>
      </c>
      <c r="F6234" s="1" t="s">
        <v>1762</v>
      </c>
      <c r="H6234" s="3">
        <v>0.0</v>
      </c>
      <c r="I6234" s="4" t="s">
        <v>25483</v>
      </c>
      <c r="J6234" s="1" t="s">
        <v>25484</v>
      </c>
      <c r="K6234" s="1" t="s">
        <v>16</v>
      </c>
    </row>
    <row r="6235">
      <c r="A6235" s="1" t="s">
        <v>25485</v>
      </c>
      <c r="B6235" s="1" t="s">
        <v>25486</v>
      </c>
      <c r="C6235" s="1">
        <v>2024.0</v>
      </c>
      <c r="D6235" s="2">
        <v>45604.0</v>
      </c>
      <c r="F6235" s="1" t="s">
        <v>2577</v>
      </c>
      <c r="H6235" s="3">
        <v>0.0</v>
      </c>
      <c r="I6235" s="4" t="s">
        <v>25487</v>
      </c>
      <c r="J6235" s="1" t="s">
        <v>25488</v>
      </c>
      <c r="K6235" s="1" t="s">
        <v>25489</v>
      </c>
    </row>
    <row r="6236">
      <c r="A6236" s="1" t="s">
        <v>25490</v>
      </c>
      <c r="B6236" s="1" t="s">
        <v>25491</v>
      </c>
      <c r="C6236" s="1">
        <v>2024.0</v>
      </c>
      <c r="D6236" s="2">
        <v>45566.0</v>
      </c>
      <c r="F6236" s="1" t="s">
        <v>4634</v>
      </c>
      <c r="H6236" s="3">
        <v>0.0</v>
      </c>
      <c r="I6236" s="4" t="s">
        <v>25492</v>
      </c>
      <c r="J6236" s="1" t="s">
        <v>25493</v>
      </c>
      <c r="K6236" s="1" t="s">
        <v>16</v>
      </c>
    </row>
    <row r="6237">
      <c r="A6237" s="1" t="s">
        <v>25494</v>
      </c>
      <c r="B6237" s="1" t="s">
        <v>25495</v>
      </c>
      <c r="C6237" s="1">
        <v>2024.0</v>
      </c>
      <c r="D6237" s="2">
        <v>45539.0</v>
      </c>
      <c r="F6237" s="1" t="s">
        <v>347</v>
      </c>
      <c r="H6237" s="3">
        <v>0.0</v>
      </c>
      <c r="I6237" s="4" t="s">
        <v>25496</v>
      </c>
      <c r="J6237" s="1" t="s">
        <v>25497</v>
      </c>
      <c r="K6237" s="1" t="s">
        <v>16</v>
      </c>
    </row>
    <row r="6238">
      <c r="A6238" s="1" t="s">
        <v>25498</v>
      </c>
      <c r="B6238" s="1" t="s">
        <v>25499</v>
      </c>
      <c r="C6238" s="1">
        <v>2024.0</v>
      </c>
      <c r="D6238" s="2">
        <v>45531.0</v>
      </c>
      <c r="F6238" s="1" t="s">
        <v>71</v>
      </c>
      <c r="H6238" s="3">
        <v>2.0</v>
      </c>
      <c r="I6238" s="4" t="s">
        <v>25500</v>
      </c>
      <c r="J6238" s="1" t="s">
        <v>25501</v>
      </c>
      <c r="K6238" s="1" t="s">
        <v>16</v>
      </c>
    </row>
    <row r="6239">
      <c r="A6239" s="1" t="s">
        <v>25502</v>
      </c>
      <c r="B6239" s="1" t="s">
        <v>25503</v>
      </c>
      <c r="C6239" s="1">
        <v>2024.0</v>
      </c>
      <c r="D6239" s="2">
        <v>45455.0</v>
      </c>
      <c r="F6239" s="1" t="s">
        <v>1095</v>
      </c>
      <c r="H6239" s="3">
        <v>0.0</v>
      </c>
      <c r="I6239" s="4" t="s">
        <v>25504</v>
      </c>
      <c r="J6239" s="1" t="s">
        <v>25505</v>
      </c>
      <c r="K6239" s="1" t="s">
        <v>16</v>
      </c>
    </row>
    <row r="6240">
      <c r="A6240" s="1" t="s">
        <v>25506</v>
      </c>
      <c r="B6240" s="1" t="s">
        <v>25507</v>
      </c>
      <c r="C6240" s="1">
        <v>2024.0</v>
      </c>
      <c r="D6240" s="2">
        <v>45457.0</v>
      </c>
      <c r="F6240" s="1" t="s">
        <v>218</v>
      </c>
      <c r="H6240" s="3">
        <v>2.0</v>
      </c>
      <c r="I6240" s="4" t="s">
        <v>25508</v>
      </c>
      <c r="J6240" s="1" t="s">
        <v>25509</v>
      </c>
      <c r="K6240" s="1" t="s">
        <v>25254</v>
      </c>
    </row>
    <row r="6241">
      <c r="A6241" s="1" t="s">
        <v>25510</v>
      </c>
      <c r="B6241" s="1" t="s">
        <v>25511</v>
      </c>
      <c r="C6241" s="1">
        <v>2024.0</v>
      </c>
      <c r="D6241" s="2">
        <v>45608.0</v>
      </c>
      <c r="F6241" s="1" t="s">
        <v>1095</v>
      </c>
      <c r="H6241" s="3">
        <v>0.0</v>
      </c>
      <c r="I6241" s="4" t="s">
        <v>25512</v>
      </c>
      <c r="J6241" s="1" t="s">
        <v>25513</v>
      </c>
      <c r="K6241" s="1" t="s">
        <v>25489</v>
      </c>
    </row>
    <row r="6242">
      <c r="A6242" s="1" t="s">
        <v>25514</v>
      </c>
      <c r="B6242" s="1" t="s">
        <v>25515</v>
      </c>
      <c r="C6242" s="1">
        <v>2024.0</v>
      </c>
      <c r="D6242" s="2">
        <v>45579.0</v>
      </c>
      <c r="F6242" s="1" t="s">
        <v>25516</v>
      </c>
      <c r="H6242" s="3">
        <v>0.0</v>
      </c>
      <c r="I6242" s="4" t="s">
        <v>25517</v>
      </c>
      <c r="J6242" s="1" t="s">
        <v>25518</v>
      </c>
      <c r="K6242" s="1" t="s">
        <v>25489</v>
      </c>
    </row>
    <row r="6243">
      <c r="A6243" s="1" t="s">
        <v>25519</v>
      </c>
      <c r="B6243" s="1" t="s">
        <v>25520</v>
      </c>
      <c r="C6243" s="1">
        <v>2024.0</v>
      </c>
      <c r="D6243" s="2">
        <v>45572.0</v>
      </c>
      <c r="F6243" s="1" t="s">
        <v>1095</v>
      </c>
      <c r="H6243" s="3">
        <v>0.0</v>
      </c>
      <c r="I6243" s="4" t="s">
        <v>25521</v>
      </c>
      <c r="J6243" s="1" t="s">
        <v>25522</v>
      </c>
      <c r="K6243" s="1" t="s">
        <v>25489</v>
      </c>
    </row>
    <row r="6244">
      <c r="A6244" s="1" t="s">
        <v>25523</v>
      </c>
      <c r="B6244" s="1" t="s">
        <v>25524</v>
      </c>
      <c r="C6244" s="1">
        <v>2024.0</v>
      </c>
      <c r="D6244" s="2">
        <v>45453.0</v>
      </c>
      <c r="F6244" s="1" t="s">
        <v>3263</v>
      </c>
      <c r="H6244" s="3">
        <v>0.0</v>
      </c>
      <c r="I6244" s="4" t="s">
        <v>25525</v>
      </c>
      <c r="J6244" s="1" t="s">
        <v>25526</v>
      </c>
      <c r="K6244" s="1" t="s">
        <v>16</v>
      </c>
    </row>
    <row r="6245">
      <c r="A6245" s="1" t="s">
        <v>25527</v>
      </c>
      <c r="B6245" s="1" t="s">
        <v>25528</v>
      </c>
      <c r="C6245" s="1">
        <v>2024.0</v>
      </c>
      <c r="D6245" s="2">
        <v>45573.0</v>
      </c>
      <c r="F6245" s="1" t="s">
        <v>13</v>
      </c>
      <c r="H6245" s="3">
        <v>0.0</v>
      </c>
      <c r="I6245" s="4" t="s">
        <v>25529</v>
      </c>
      <c r="J6245" s="1" t="s">
        <v>25530</v>
      </c>
      <c r="K6245" s="1" t="s">
        <v>16</v>
      </c>
    </row>
    <row r="6246">
      <c r="A6246" s="1" t="s">
        <v>25531</v>
      </c>
      <c r="B6246" s="1" t="s">
        <v>25532</v>
      </c>
      <c r="C6246" s="1">
        <v>2024.0</v>
      </c>
      <c r="D6246" s="2">
        <v>45499.0</v>
      </c>
      <c r="F6246" s="1" t="s">
        <v>2335</v>
      </c>
      <c r="H6246" s="3">
        <v>0.0</v>
      </c>
      <c r="I6246" s="4" t="s">
        <v>25533</v>
      </c>
      <c r="J6246" s="1" t="s">
        <v>25534</v>
      </c>
      <c r="K6246" s="1" t="s">
        <v>16</v>
      </c>
    </row>
    <row r="6247">
      <c r="A6247" s="1" t="s">
        <v>25535</v>
      </c>
      <c r="B6247" s="1" t="s">
        <v>25536</v>
      </c>
      <c r="C6247" s="1">
        <v>2024.0</v>
      </c>
      <c r="D6247" s="2">
        <v>45506.0</v>
      </c>
      <c r="F6247" s="1" t="s">
        <v>2634</v>
      </c>
      <c r="H6247" s="3">
        <v>0.0</v>
      </c>
      <c r="I6247" s="4" t="s">
        <v>25537</v>
      </c>
      <c r="J6247" s="1" t="s">
        <v>25538</v>
      </c>
      <c r="K6247" s="1" t="s">
        <v>25471</v>
      </c>
    </row>
    <row r="6248">
      <c r="A6248" s="1" t="s">
        <v>25539</v>
      </c>
      <c r="B6248" s="1" t="s">
        <v>25540</v>
      </c>
      <c r="C6248" s="1">
        <v>2024.0</v>
      </c>
      <c r="D6248" s="2">
        <v>45505.0</v>
      </c>
      <c r="F6248" s="1" t="s">
        <v>2611</v>
      </c>
      <c r="H6248" s="3">
        <v>0.0</v>
      </c>
      <c r="I6248" s="4" t="s">
        <v>25541</v>
      </c>
      <c r="J6248" s="1" t="s">
        <v>25542</v>
      </c>
      <c r="K6248" s="1" t="s">
        <v>25471</v>
      </c>
    </row>
    <row r="6249">
      <c r="A6249" s="1" t="s">
        <v>25543</v>
      </c>
      <c r="B6249" s="1" t="s">
        <v>25544</v>
      </c>
      <c r="C6249" s="1">
        <v>2024.0</v>
      </c>
      <c r="D6249" s="2">
        <v>45504.0</v>
      </c>
      <c r="F6249" s="1" t="s">
        <v>106</v>
      </c>
      <c r="H6249" s="3">
        <v>0.0</v>
      </c>
      <c r="I6249" s="4" t="s">
        <v>25545</v>
      </c>
      <c r="J6249" s="1" t="s">
        <v>25546</v>
      </c>
      <c r="K6249" s="1" t="s">
        <v>16</v>
      </c>
    </row>
    <row r="6250">
      <c r="A6250" s="1" t="s">
        <v>25547</v>
      </c>
      <c r="B6250" s="1" t="s">
        <v>25548</v>
      </c>
      <c r="C6250" s="1">
        <v>2024.0</v>
      </c>
      <c r="D6250" s="2">
        <v>45589.0</v>
      </c>
      <c r="F6250" s="1" t="s">
        <v>568</v>
      </c>
      <c r="H6250" s="3">
        <v>0.0</v>
      </c>
      <c r="I6250" s="4" t="s">
        <v>25549</v>
      </c>
      <c r="J6250" s="1" t="s">
        <v>25550</v>
      </c>
      <c r="K6250" s="1" t="s">
        <v>16</v>
      </c>
    </row>
    <row r="6251">
      <c r="A6251" s="1" t="s">
        <v>25551</v>
      </c>
      <c r="B6251" s="1" t="s">
        <v>25552</v>
      </c>
      <c r="C6251" s="1">
        <v>2024.0</v>
      </c>
      <c r="D6251" s="2">
        <v>45469.0</v>
      </c>
      <c r="F6251" s="1" t="s">
        <v>568</v>
      </c>
      <c r="H6251" s="3">
        <v>0.0</v>
      </c>
      <c r="I6251" s="4" t="s">
        <v>25553</v>
      </c>
      <c r="J6251" s="1" t="s">
        <v>25554</v>
      </c>
      <c r="K6251" s="1" t="s">
        <v>16</v>
      </c>
    </row>
    <row r="6252">
      <c r="A6252" s="1" t="s">
        <v>25555</v>
      </c>
      <c r="B6252" s="1" t="s">
        <v>25556</v>
      </c>
      <c r="C6252" s="1">
        <v>2024.0</v>
      </c>
      <c r="D6252" s="2">
        <v>45617.0</v>
      </c>
      <c r="F6252" s="1" t="s">
        <v>3583</v>
      </c>
      <c r="H6252" s="3">
        <v>0.0</v>
      </c>
      <c r="I6252" s="4" t="s">
        <v>25557</v>
      </c>
      <c r="J6252" s="1" t="s">
        <v>25558</v>
      </c>
      <c r="K6252" s="1" t="s">
        <v>16</v>
      </c>
    </row>
    <row r="6253">
      <c r="A6253" s="1" t="s">
        <v>25559</v>
      </c>
      <c r="B6253" s="1" t="s">
        <v>25560</v>
      </c>
      <c r="C6253" s="1">
        <v>2024.0</v>
      </c>
      <c r="D6253" s="2">
        <v>45565.0</v>
      </c>
      <c r="F6253" s="1" t="s">
        <v>2101</v>
      </c>
      <c r="H6253" s="3">
        <v>0.0</v>
      </c>
      <c r="I6253" s="4" t="s">
        <v>25561</v>
      </c>
      <c r="J6253" s="1" t="s">
        <v>25562</v>
      </c>
      <c r="K6253" s="1" t="s">
        <v>25254</v>
      </c>
    </row>
    <row r="6254">
      <c r="A6254" s="1" t="s">
        <v>25563</v>
      </c>
      <c r="B6254" s="1" t="s">
        <v>25564</v>
      </c>
      <c r="C6254" s="1">
        <v>2024.0</v>
      </c>
      <c r="D6254" s="2">
        <v>45558.0</v>
      </c>
      <c r="F6254" s="1" t="s">
        <v>3926</v>
      </c>
      <c r="H6254" s="3">
        <v>0.0</v>
      </c>
      <c r="I6254" s="4" t="s">
        <v>25565</v>
      </c>
      <c r="J6254" s="1" t="s">
        <v>25566</v>
      </c>
      <c r="K6254" s="1" t="s">
        <v>25254</v>
      </c>
    </row>
    <row r="6255">
      <c r="A6255" s="1" t="s">
        <v>25567</v>
      </c>
      <c r="B6255" s="1" t="s">
        <v>25568</v>
      </c>
      <c r="C6255" s="1">
        <v>2024.0</v>
      </c>
      <c r="D6255" s="2">
        <v>45496.0</v>
      </c>
      <c r="F6255" s="1" t="s">
        <v>2996</v>
      </c>
      <c r="H6255" s="3">
        <v>1.0</v>
      </c>
      <c r="I6255" s="4" t="s">
        <v>25569</v>
      </c>
      <c r="J6255" s="1" t="s">
        <v>25570</v>
      </c>
      <c r="K6255" s="1" t="s">
        <v>16</v>
      </c>
    </row>
    <row r="6256">
      <c r="A6256" s="1" t="s">
        <v>25571</v>
      </c>
      <c r="B6256" s="1" t="s">
        <v>25572</v>
      </c>
      <c r="C6256" s="1">
        <v>2024.0</v>
      </c>
      <c r="D6256" s="2">
        <v>45597.0</v>
      </c>
      <c r="F6256" s="1" t="s">
        <v>25573</v>
      </c>
      <c r="H6256" s="3">
        <v>0.0</v>
      </c>
      <c r="I6256" s="4" t="s">
        <v>25574</v>
      </c>
      <c r="J6256" s="1" t="s">
        <v>25575</v>
      </c>
      <c r="K6256" s="1" t="s">
        <v>25254</v>
      </c>
    </row>
    <row r="6257">
      <c r="A6257" s="1" t="s">
        <v>25576</v>
      </c>
      <c r="B6257" s="1" t="s">
        <v>25577</v>
      </c>
      <c r="C6257" s="1">
        <v>2024.0</v>
      </c>
      <c r="D6257" s="2">
        <v>45477.0</v>
      </c>
      <c r="F6257" s="1" t="s">
        <v>96</v>
      </c>
      <c r="H6257" s="3">
        <v>0.0</v>
      </c>
      <c r="I6257" s="4" t="s">
        <v>25578</v>
      </c>
      <c r="J6257" s="1" t="s">
        <v>25579</v>
      </c>
      <c r="K6257" s="1" t="s">
        <v>16</v>
      </c>
    </row>
    <row r="6258">
      <c r="A6258" s="1" t="s">
        <v>25580</v>
      </c>
      <c r="B6258" s="1" t="s">
        <v>25581</v>
      </c>
      <c r="C6258" s="1">
        <v>2024.0</v>
      </c>
      <c r="D6258" s="2">
        <v>45601.0</v>
      </c>
      <c r="F6258" s="1" t="s">
        <v>71</v>
      </c>
      <c r="H6258" s="3">
        <v>0.0</v>
      </c>
      <c r="I6258" s="4" t="s">
        <v>25582</v>
      </c>
      <c r="J6258" s="1" t="s">
        <v>25583</v>
      </c>
      <c r="K6258" s="1" t="s">
        <v>25584</v>
      </c>
    </row>
    <row r="6259">
      <c r="A6259" s="1" t="s">
        <v>25585</v>
      </c>
      <c r="B6259" s="1" t="s">
        <v>25586</v>
      </c>
      <c r="C6259" s="1">
        <v>2024.0</v>
      </c>
      <c r="D6259" s="2">
        <v>45573.0</v>
      </c>
      <c r="F6259" s="1" t="s">
        <v>2012</v>
      </c>
      <c r="H6259" s="3">
        <v>0.0</v>
      </c>
      <c r="I6259" s="4" t="s">
        <v>25587</v>
      </c>
      <c r="J6259" s="1" t="s">
        <v>25588</v>
      </c>
      <c r="K6259" s="1" t="s">
        <v>25254</v>
      </c>
    </row>
    <row r="6260">
      <c r="A6260" s="1" t="s">
        <v>25589</v>
      </c>
      <c r="B6260" s="1" t="s">
        <v>25590</v>
      </c>
      <c r="C6260" s="1">
        <v>2024.0</v>
      </c>
      <c r="D6260" s="2">
        <v>45548.0</v>
      </c>
      <c r="F6260" s="1" t="s">
        <v>25591</v>
      </c>
      <c r="H6260" s="3">
        <v>0.0</v>
      </c>
      <c r="I6260" s="4" t="s">
        <v>25592</v>
      </c>
      <c r="J6260" s="1" t="s">
        <v>25593</v>
      </c>
      <c r="K6260" s="1" t="s">
        <v>25471</v>
      </c>
    </row>
    <row r="6261">
      <c r="A6261" s="1" t="s">
        <v>25594</v>
      </c>
      <c r="B6261" s="1" t="s">
        <v>25595</v>
      </c>
      <c r="C6261" s="1">
        <v>2024.0</v>
      </c>
      <c r="D6261" s="2">
        <v>45456.0</v>
      </c>
      <c r="F6261" s="1" t="s">
        <v>1904</v>
      </c>
      <c r="H6261" s="3">
        <v>1.0</v>
      </c>
      <c r="I6261" s="4" t="s">
        <v>25596</v>
      </c>
      <c r="J6261" s="1" t="s">
        <v>25597</v>
      </c>
      <c r="K6261" s="1" t="s">
        <v>16</v>
      </c>
    </row>
    <row r="6262">
      <c r="A6262" s="1" t="s">
        <v>25598</v>
      </c>
      <c r="B6262" s="1" t="s">
        <v>25599</v>
      </c>
      <c r="C6262" s="1">
        <v>2024.0</v>
      </c>
      <c r="D6262" s="2">
        <v>45575.0</v>
      </c>
      <c r="F6262" s="1" t="s">
        <v>1459</v>
      </c>
      <c r="H6262" s="3">
        <v>0.0</v>
      </c>
      <c r="I6262" s="4" t="s">
        <v>25600</v>
      </c>
      <c r="J6262" s="1" t="s">
        <v>25601</v>
      </c>
      <c r="K6262" s="1" t="s">
        <v>16</v>
      </c>
    </row>
    <row r="6263">
      <c r="A6263" s="1" t="s">
        <v>25602</v>
      </c>
      <c r="B6263" s="1" t="s">
        <v>25603</v>
      </c>
      <c r="C6263" s="1">
        <v>2024.0</v>
      </c>
      <c r="D6263" s="2">
        <v>45624.0</v>
      </c>
      <c r="F6263" s="1" t="s">
        <v>689</v>
      </c>
      <c r="H6263" s="3">
        <v>0.0</v>
      </c>
      <c r="I6263" s="4" t="s">
        <v>25604</v>
      </c>
      <c r="J6263" s="1" t="s">
        <v>25605</v>
      </c>
      <c r="K6263" s="1" t="s">
        <v>25489</v>
      </c>
    </row>
    <row r="6264">
      <c r="A6264" s="1" t="s">
        <v>25606</v>
      </c>
      <c r="B6264" s="1" t="s">
        <v>25607</v>
      </c>
      <c r="C6264" s="1">
        <v>2024.0</v>
      </c>
      <c r="D6264" s="2">
        <v>45602.0</v>
      </c>
      <c r="F6264" s="1" t="s">
        <v>6301</v>
      </c>
      <c r="H6264" s="3">
        <v>0.0</v>
      </c>
      <c r="I6264" s="4" t="s">
        <v>25608</v>
      </c>
      <c r="J6264" s="1" t="s">
        <v>25609</v>
      </c>
      <c r="K6264" s="1" t="s">
        <v>16</v>
      </c>
    </row>
    <row r="6265">
      <c r="A6265" s="1" t="s">
        <v>25610</v>
      </c>
      <c r="B6265" s="1" t="s">
        <v>25611</v>
      </c>
      <c r="C6265" s="1">
        <v>2024.0</v>
      </c>
      <c r="D6265" s="2">
        <v>45461.0</v>
      </c>
      <c r="F6265" s="1" t="s">
        <v>6540</v>
      </c>
      <c r="H6265" s="3">
        <v>0.0</v>
      </c>
      <c r="I6265" s="4" t="s">
        <v>25612</v>
      </c>
      <c r="J6265" s="1" t="s">
        <v>25613</v>
      </c>
      <c r="K6265" s="1" t="s">
        <v>25584</v>
      </c>
    </row>
    <row r="6266">
      <c r="A6266" s="1" t="s">
        <v>25614</v>
      </c>
      <c r="B6266" s="1" t="s">
        <v>25615</v>
      </c>
      <c r="C6266" s="1">
        <v>2024.0</v>
      </c>
      <c r="D6266" s="2">
        <v>45536.0</v>
      </c>
      <c r="F6266" s="1" t="s">
        <v>2352</v>
      </c>
      <c r="H6266" s="3">
        <v>0.0</v>
      </c>
      <c r="I6266" s="4" t="s">
        <v>25616</v>
      </c>
      <c r="J6266" s="1" t="s">
        <v>25617</v>
      </c>
      <c r="K6266" s="1" t="s">
        <v>16</v>
      </c>
    </row>
    <row r="6267">
      <c r="A6267" s="1" t="s">
        <v>25618</v>
      </c>
      <c r="B6267" s="1" t="s">
        <v>25619</v>
      </c>
      <c r="C6267" s="1">
        <v>2024.0</v>
      </c>
      <c r="D6267" s="2">
        <v>45517.0</v>
      </c>
      <c r="F6267" s="1" t="s">
        <v>96</v>
      </c>
      <c r="H6267" s="3">
        <v>1.0</v>
      </c>
      <c r="I6267" s="4" t="s">
        <v>25620</v>
      </c>
      <c r="J6267" s="1" t="s">
        <v>25621</v>
      </c>
      <c r="K6267" s="1" t="s">
        <v>25471</v>
      </c>
    </row>
    <row r="6268">
      <c r="A6268" s="1" t="s">
        <v>25622</v>
      </c>
      <c r="B6268" s="1" t="s">
        <v>25623</v>
      </c>
      <c r="C6268" s="1">
        <v>2024.0</v>
      </c>
      <c r="D6268" s="2">
        <v>45444.0</v>
      </c>
      <c r="F6268" s="1" t="s">
        <v>25624</v>
      </c>
      <c r="H6268" s="3">
        <v>0.0</v>
      </c>
      <c r="I6268" s="4" t="s">
        <v>25625</v>
      </c>
      <c r="J6268" s="1" t="s">
        <v>25626</v>
      </c>
      <c r="K6268" s="1" t="s">
        <v>16</v>
      </c>
    </row>
    <row r="6269">
      <c r="A6269" s="1" t="s">
        <v>25627</v>
      </c>
      <c r="B6269" s="1" t="s">
        <v>25628</v>
      </c>
      <c r="C6269" s="1">
        <v>2024.0</v>
      </c>
      <c r="D6269" s="2">
        <v>45451.0</v>
      </c>
      <c r="F6269" s="1" t="s">
        <v>332</v>
      </c>
      <c r="H6269" s="3">
        <v>0.0</v>
      </c>
      <c r="I6269" s="4" t="s">
        <v>25629</v>
      </c>
      <c r="J6269" s="1" t="s">
        <v>25630</v>
      </c>
      <c r="K6269" s="1" t="s">
        <v>16</v>
      </c>
    </row>
    <row r="6270">
      <c r="A6270" s="1" t="s">
        <v>25631</v>
      </c>
      <c r="B6270" s="1" t="s">
        <v>25632</v>
      </c>
      <c r="C6270" s="1">
        <v>2024.0</v>
      </c>
      <c r="D6270" s="2">
        <v>45476.0</v>
      </c>
      <c r="F6270" s="1" t="s">
        <v>25</v>
      </c>
      <c r="H6270" s="3">
        <v>0.0</v>
      </c>
      <c r="I6270" s="4" t="s">
        <v>25633</v>
      </c>
      <c r="J6270" s="1" t="s">
        <v>25634</v>
      </c>
      <c r="K6270" s="1" t="s">
        <v>25584</v>
      </c>
    </row>
    <row r="6271">
      <c r="A6271" s="5" t="s">
        <v>994</v>
      </c>
      <c r="B6271" s="1" t="s">
        <v>995</v>
      </c>
      <c r="C6271" s="1">
        <v>2024.0</v>
      </c>
      <c r="D6271" s="2">
        <v>45323.0</v>
      </c>
      <c r="F6271" s="1" t="s">
        <v>996</v>
      </c>
      <c r="H6271" s="3">
        <v>0.0</v>
      </c>
      <c r="I6271" s="4" t="s">
        <v>997</v>
      </c>
      <c r="J6271" s="1" t="s">
        <v>998</v>
      </c>
      <c r="K6271" s="1" t="s">
        <v>25254</v>
      </c>
    </row>
    <row r="6272">
      <c r="A6272" s="1" t="s">
        <v>25635</v>
      </c>
      <c r="B6272" s="1" t="s">
        <v>25636</v>
      </c>
      <c r="C6272" s="1">
        <v>2024.0</v>
      </c>
      <c r="D6272" s="2">
        <v>45499.0</v>
      </c>
      <c r="F6272" s="1" t="s">
        <v>5753</v>
      </c>
      <c r="H6272" s="3">
        <v>0.0</v>
      </c>
      <c r="I6272" s="4" t="s">
        <v>25637</v>
      </c>
      <c r="J6272" s="1" t="s">
        <v>25638</v>
      </c>
      <c r="K6272" s="1" t="s">
        <v>16</v>
      </c>
    </row>
    <row r="6273">
      <c r="A6273" s="1" t="s">
        <v>25639</v>
      </c>
      <c r="B6273" s="1" t="s">
        <v>25640</v>
      </c>
      <c r="C6273" s="1">
        <v>2024.0</v>
      </c>
      <c r="D6273" s="2">
        <v>45483.0</v>
      </c>
      <c r="F6273" s="1" t="s">
        <v>1349</v>
      </c>
      <c r="H6273" s="3">
        <v>0.0</v>
      </c>
      <c r="I6273" s="4" t="s">
        <v>25641</v>
      </c>
      <c r="J6273" s="1" t="s">
        <v>25642</v>
      </c>
      <c r="K6273" s="1" t="s">
        <v>16</v>
      </c>
    </row>
    <row r="6274">
      <c r="A6274" s="1" t="s">
        <v>25643</v>
      </c>
      <c r="B6274" s="1" t="s">
        <v>25644</v>
      </c>
      <c r="C6274" s="1">
        <v>2024.0</v>
      </c>
      <c r="D6274" s="2">
        <v>45456.0</v>
      </c>
      <c r="F6274" s="1" t="s">
        <v>25645</v>
      </c>
      <c r="H6274" s="3">
        <v>0.0</v>
      </c>
      <c r="I6274" s="4" t="s">
        <v>25646</v>
      </c>
      <c r="J6274" s="1" t="s">
        <v>25647</v>
      </c>
      <c r="K6274" s="1" t="s">
        <v>16</v>
      </c>
    </row>
    <row r="6275">
      <c r="A6275" s="1" t="s">
        <v>25648</v>
      </c>
      <c r="B6275" s="1" t="s">
        <v>25649</v>
      </c>
      <c r="C6275" s="1">
        <v>2024.0</v>
      </c>
      <c r="D6275" s="2">
        <v>45593.0</v>
      </c>
      <c r="F6275" s="1" t="s">
        <v>25650</v>
      </c>
      <c r="H6275" s="3">
        <v>0.0</v>
      </c>
      <c r="I6275" s="4" t="s">
        <v>25651</v>
      </c>
      <c r="J6275" s="1" t="s">
        <v>25652</v>
      </c>
      <c r="K6275" s="1" t="s">
        <v>16</v>
      </c>
    </row>
    <row r="6276">
      <c r="A6276" s="1" t="s">
        <v>25653</v>
      </c>
      <c r="B6276" s="1" t="s">
        <v>25654</v>
      </c>
      <c r="C6276" s="1">
        <v>2024.0</v>
      </c>
      <c r="D6276" s="2">
        <v>45467.0</v>
      </c>
      <c r="F6276" s="1" t="s">
        <v>1074</v>
      </c>
      <c r="H6276" s="3">
        <v>1.0</v>
      </c>
      <c r="I6276" s="4" t="s">
        <v>25655</v>
      </c>
      <c r="J6276" s="1" t="s">
        <v>25656</v>
      </c>
      <c r="K6276" s="1" t="s">
        <v>16</v>
      </c>
    </row>
    <row r="6277">
      <c r="A6277" s="1" t="s">
        <v>25657</v>
      </c>
      <c r="B6277" s="1" t="s">
        <v>25658</v>
      </c>
      <c r="C6277" s="1">
        <v>2024.0</v>
      </c>
      <c r="D6277" s="2">
        <v>45562.0</v>
      </c>
      <c r="F6277" s="1" t="s">
        <v>6540</v>
      </c>
      <c r="H6277" s="3">
        <v>1.0</v>
      </c>
      <c r="I6277" s="4" t="s">
        <v>25659</v>
      </c>
      <c r="J6277" s="1" t="s">
        <v>25660</v>
      </c>
      <c r="K6277" s="1" t="s">
        <v>16</v>
      </c>
    </row>
    <row r="6278">
      <c r="A6278" s="1" t="s">
        <v>25661</v>
      </c>
      <c r="B6278" s="1" t="s">
        <v>25662</v>
      </c>
      <c r="C6278" s="1">
        <v>2024.0</v>
      </c>
      <c r="D6278" s="2">
        <v>45470.0</v>
      </c>
      <c r="F6278" s="1" t="s">
        <v>25663</v>
      </c>
      <c r="H6278" s="3">
        <v>0.0</v>
      </c>
      <c r="I6278" s="4" t="s">
        <v>25664</v>
      </c>
      <c r="J6278" s="1" t="s">
        <v>25665</v>
      </c>
      <c r="K6278" s="1" t="s">
        <v>16</v>
      </c>
    </row>
    <row r="6279">
      <c r="A6279" s="1" t="s">
        <v>25666</v>
      </c>
      <c r="B6279" s="1" t="s">
        <v>25667</v>
      </c>
      <c r="C6279" s="1">
        <v>2024.0</v>
      </c>
      <c r="D6279" s="2">
        <v>45608.0</v>
      </c>
      <c r="F6279" s="1" t="s">
        <v>2577</v>
      </c>
      <c r="H6279" s="3">
        <v>0.0</v>
      </c>
      <c r="I6279" s="4" t="s">
        <v>25668</v>
      </c>
      <c r="J6279" s="1" t="s">
        <v>25669</v>
      </c>
      <c r="K6279" s="1" t="s">
        <v>25254</v>
      </c>
    </row>
    <row r="6280">
      <c r="A6280" s="1" t="s">
        <v>25670</v>
      </c>
      <c r="B6280" s="1" t="s">
        <v>25671</v>
      </c>
      <c r="C6280" s="1">
        <v>2024.0</v>
      </c>
      <c r="D6280" s="2">
        <v>45602.0</v>
      </c>
      <c r="F6280" s="1" t="s">
        <v>25672</v>
      </c>
      <c r="H6280" s="3">
        <v>0.0</v>
      </c>
      <c r="I6280" s="4" t="s">
        <v>25673</v>
      </c>
      <c r="J6280" s="1" t="s">
        <v>25674</v>
      </c>
      <c r="K6280" s="1" t="s">
        <v>16</v>
      </c>
    </row>
    <row r="6281">
      <c r="A6281" s="1" t="s">
        <v>25675</v>
      </c>
      <c r="B6281" s="1" t="s">
        <v>25676</v>
      </c>
      <c r="C6281" s="1">
        <v>2024.0</v>
      </c>
      <c r="D6281" s="2">
        <v>45581.0</v>
      </c>
      <c r="F6281" s="1" t="s">
        <v>17458</v>
      </c>
      <c r="H6281" s="3">
        <v>0.0</v>
      </c>
      <c r="I6281" s="4" t="s">
        <v>25677</v>
      </c>
      <c r="J6281" s="1" t="s">
        <v>25678</v>
      </c>
      <c r="K6281" s="1" t="s">
        <v>25254</v>
      </c>
    </row>
    <row r="6282">
      <c r="A6282" s="1" t="s">
        <v>25679</v>
      </c>
      <c r="B6282" s="1" t="s">
        <v>25680</v>
      </c>
      <c r="C6282" s="1">
        <v>2024.0</v>
      </c>
      <c r="D6282" s="2">
        <v>45530.0</v>
      </c>
      <c r="F6282" s="1" t="s">
        <v>183</v>
      </c>
      <c r="H6282" s="3">
        <v>0.0</v>
      </c>
      <c r="I6282" s="4" t="s">
        <v>25681</v>
      </c>
      <c r="K6282" s="1" t="s">
        <v>16</v>
      </c>
    </row>
    <row r="6283">
      <c r="A6283" s="1" t="s">
        <v>25682</v>
      </c>
      <c r="B6283" s="1" t="s">
        <v>25683</v>
      </c>
      <c r="C6283" s="1">
        <v>2024.0</v>
      </c>
      <c r="D6283" s="2">
        <v>45489.0</v>
      </c>
      <c r="F6283" s="1" t="s">
        <v>1095</v>
      </c>
      <c r="H6283" s="3">
        <v>1.0</v>
      </c>
      <c r="I6283" s="4" t="s">
        <v>25684</v>
      </c>
      <c r="J6283" s="1" t="s">
        <v>25685</v>
      </c>
      <c r="K6283" s="1" t="s">
        <v>16</v>
      </c>
    </row>
    <row r="6284">
      <c r="A6284" s="1" t="s">
        <v>25686</v>
      </c>
      <c r="B6284" s="1" t="s">
        <v>25687</v>
      </c>
      <c r="C6284" s="1">
        <v>2024.0</v>
      </c>
      <c r="D6284" s="2">
        <v>45593.0</v>
      </c>
      <c r="F6284" s="1" t="s">
        <v>489</v>
      </c>
      <c r="H6284" s="3">
        <v>0.0</v>
      </c>
      <c r="I6284" s="4" t="s">
        <v>25688</v>
      </c>
      <c r="K6284" s="1" t="s">
        <v>16</v>
      </c>
    </row>
    <row r="6285">
      <c r="A6285" s="1" t="s">
        <v>25689</v>
      </c>
      <c r="B6285" s="1" t="s">
        <v>25690</v>
      </c>
      <c r="C6285" s="1">
        <v>2024.0</v>
      </c>
      <c r="D6285" s="2">
        <v>45555.0</v>
      </c>
      <c r="F6285" s="1" t="s">
        <v>59</v>
      </c>
      <c r="H6285" s="3">
        <v>0.0</v>
      </c>
      <c r="I6285" s="4" t="s">
        <v>25691</v>
      </c>
      <c r="J6285" s="1" t="s">
        <v>25692</v>
      </c>
      <c r="K6285" s="1" t="s">
        <v>16</v>
      </c>
    </row>
    <row r="6286">
      <c r="A6286" s="1" t="s">
        <v>25693</v>
      </c>
      <c r="B6286" s="1" t="s">
        <v>25694</v>
      </c>
      <c r="C6286" s="1">
        <v>2024.0</v>
      </c>
      <c r="D6286" s="2">
        <v>45547.0</v>
      </c>
      <c r="F6286" s="1" t="s">
        <v>1095</v>
      </c>
      <c r="H6286" s="3">
        <v>0.0</v>
      </c>
      <c r="I6286" s="4" t="s">
        <v>25695</v>
      </c>
      <c r="J6286" s="1" t="s">
        <v>25696</v>
      </c>
      <c r="K6286" s="1" t="s">
        <v>16</v>
      </c>
    </row>
    <row r="6287">
      <c r="A6287" s="1" t="s">
        <v>25697</v>
      </c>
      <c r="B6287" s="1" t="s">
        <v>25698</v>
      </c>
      <c r="C6287" s="1">
        <v>2024.0</v>
      </c>
      <c r="D6287" s="2">
        <v>45449.0</v>
      </c>
      <c r="F6287" s="1" t="s">
        <v>1095</v>
      </c>
      <c r="H6287" s="3">
        <v>1.0</v>
      </c>
      <c r="I6287" s="4" t="s">
        <v>25699</v>
      </c>
      <c r="J6287" s="1" t="s">
        <v>25700</v>
      </c>
      <c r="K6287" s="1" t="s">
        <v>16</v>
      </c>
    </row>
    <row r="6288">
      <c r="A6288" s="1" t="s">
        <v>25701</v>
      </c>
      <c r="B6288" s="1" t="s">
        <v>25702</v>
      </c>
      <c r="C6288" s="1">
        <v>2024.0</v>
      </c>
      <c r="D6288" s="2">
        <v>45549.0</v>
      </c>
      <c r="F6288" s="1" t="s">
        <v>3351</v>
      </c>
      <c r="H6288" s="3">
        <v>0.0</v>
      </c>
      <c r="I6288" s="4" t="s">
        <v>25703</v>
      </c>
      <c r="J6288" s="1" t="s">
        <v>25704</v>
      </c>
      <c r="K6288" s="1" t="s">
        <v>25471</v>
      </c>
    </row>
    <row r="6289">
      <c r="A6289" s="1" t="s">
        <v>25705</v>
      </c>
      <c r="B6289" s="1" t="s">
        <v>25706</v>
      </c>
      <c r="C6289" s="1">
        <v>2024.0</v>
      </c>
      <c r="D6289" s="2">
        <v>45531.0</v>
      </c>
      <c r="F6289" s="1" t="s">
        <v>1705</v>
      </c>
      <c r="H6289" s="3">
        <v>0.0</v>
      </c>
      <c r="I6289" s="4" t="s">
        <v>25707</v>
      </c>
      <c r="J6289" s="1" t="s">
        <v>25708</v>
      </c>
      <c r="K6289" s="1" t="s">
        <v>25709</v>
      </c>
    </row>
    <row r="6290">
      <c r="A6290" s="1" t="s">
        <v>25710</v>
      </c>
      <c r="B6290" s="1" t="s">
        <v>25711</v>
      </c>
      <c r="C6290" s="1">
        <v>2024.0</v>
      </c>
      <c r="D6290" s="2">
        <v>45526.0</v>
      </c>
      <c r="F6290" s="1" t="s">
        <v>634</v>
      </c>
      <c r="H6290" s="3">
        <v>2.0</v>
      </c>
      <c r="I6290" s="4" t="s">
        <v>25712</v>
      </c>
      <c r="J6290" s="1" t="s">
        <v>25713</v>
      </c>
      <c r="K6290" s="1" t="s">
        <v>25709</v>
      </c>
    </row>
    <row r="6291">
      <c r="A6291" s="1" t="s">
        <v>25714</v>
      </c>
      <c r="B6291" s="1" t="s">
        <v>2412</v>
      </c>
      <c r="C6291" s="1">
        <v>2024.0</v>
      </c>
      <c r="D6291" s="2">
        <v>45365.0</v>
      </c>
      <c r="F6291" s="1" t="s">
        <v>10418</v>
      </c>
      <c r="H6291" s="3">
        <v>0.0</v>
      </c>
      <c r="I6291" s="4" t="s">
        <v>25715</v>
      </c>
      <c r="J6291" s="1" t="s">
        <v>25716</v>
      </c>
      <c r="K6291" s="1" t="s">
        <v>25717</v>
      </c>
    </row>
    <row r="6292">
      <c r="A6292" s="1" t="s">
        <v>25718</v>
      </c>
      <c r="B6292" s="1" t="s">
        <v>25719</v>
      </c>
      <c r="C6292" s="1">
        <v>2024.0</v>
      </c>
      <c r="D6292" s="2">
        <v>45537.0</v>
      </c>
      <c r="F6292" s="1" t="s">
        <v>3263</v>
      </c>
      <c r="H6292" s="3">
        <v>0.0</v>
      </c>
      <c r="I6292" s="4" t="s">
        <v>25720</v>
      </c>
      <c r="J6292" s="1" t="s">
        <v>25721</v>
      </c>
      <c r="K6292" s="1" t="s">
        <v>16</v>
      </c>
    </row>
    <row r="6293">
      <c r="A6293" s="1" t="s">
        <v>25722</v>
      </c>
      <c r="B6293" s="1" t="s">
        <v>25723</v>
      </c>
      <c r="C6293" s="1">
        <v>2024.0</v>
      </c>
      <c r="D6293" s="2">
        <v>45566.0</v>
      </c>
      <c r="F6293" s="1" t="s">
        <v>5167</v>
      </c>
      <c r="H6293" s="3">
        <v>0.0</v>
      </c>
      <c r="I6293" s="4" t="s">
        <v>25724</v>
      </c>
      <c r="J6293" s="1" t="s">
        <v>25725</v>
      </c>
      <c r="K6293" s="1" t="s">
        <v>16</v>
      </c>
    </row>
    <row r="6294">
      <c r="A6294" s="1" t="s">
        <v>25726</v>
      </c>
      <c r="B6294" s="1" t="s">
        <v>25727</v>
      </c>
      <c r="C6294" s="1">
        <v>2024.0</v>
      </c>
      <c r="D6294" s="2">
        <v>45454.0</v>
      </c>
      <c r="F6294" s="1" t="s">
        <v>6347</v>
      </c>
      <c r="H6294" s="3">
        <v>2.0</v>
      </c>
      <c r="I6294" s="4" t="s">
        <v>25728</v>
      </c>
      <c r="J6294" s="1" t="s">
        <v>25729</v>
      </c>
      <c r="K6294" s="1" t="s">
        <v>16</v>
      </c>
    </row>
    <row r="6295">
      <c r="A6295" s="1" t="s">
        <v>25730</v>
      </c>
      <c r="B6295" s="1" t="s">
        <v>25731</v>
      </c>
      <c r="C6295" s="1">
        <v>2024.0</v>
      </c>
      <c r="D6295" s="2">
        <v>45631.0</v>
      </c>
      <c r="F6295" s="1" t="s">
        <v>163</v>
      </c>
      <c r="H6295" s="3">
        <v>0.0</v>
      </c>
      <c r="I6295" s="4" t="s">
        <v>25732</v>
      </c>
      <c r="J6295" s="1" t="s">
        <v>25733</v>
      </c>
      <c r="K6295" s="1" t="s">
        <v>25471</v>
      </c>
    </row>
    <row r="6296">
      <c r="A6296" s="1" t="s">
        <v>25734</v>
      </c>
      <c r="B6296" s="1" t="s">
        <v>25735</v>
      </c>
      <c r="C6296" s="1">
        <v>2024.0</v>
      </c>
      <c r="D6296" s="2">
        <v>45584.0</v>
      </c>
      <c r="F6296" s="1" t="s">
        <v>882</v>
      </c>
      <c r="H6296" s="3">
        <v>0.0</v>
      </c>
      <c r="I6296" s="4" t="s">
        <v>25736</v>
      </c>
      <c r="J6296" s="1" t="s">
        <v>25737</v>
      </c>
      <c r="K6296" s="1" t="s">
        <v>25489</v>
      </c>
    </row>
    <row r="6297">
      <c r="A6297" s="1" t="s">
        <v>25738</v>
      </c>
      <c r="B6297" s="1" t="s">
        <v>25739</v>
      </c>
      <c r="C6297" s="1">
        <v>2024.0</v>
      </c>
      <c r="D6297" s="2">
        <v>45579.0</v>
      </c>
      <c r="F6297" s="1" t="s">
        <v>271</v>
      </c>
      <c r="H6297" s="3">
        <v>2.0</v>
      </c>
      <c r="I6297" s="4" t="s">
        <v>25740</v>
      </c>
      <c r="J6297" s="1" t="s">
        <v>25741</v>
      </c>
      <c r="K6297" s="1" t="s">
        <v>25471</v>
      </c>
    </row>
    <row r="6298">
      <c r="A6298" s="1" t="s">
        <v>25742</v>
      </c>
      <c r="B6298" s="1" t="s">
        <v>25743</v>
      </c>
      <c r="C6298" s="1">
        <v>2024.0</v>
      </c>
      <c r="D6298" s="2">
        <v>45547.0</v>
      </c>
      <c r="F6298" s="1" t="s">
        <v>2017</v>
      </c>
      <c r="H6298" s="3">
        <v>0.0</v>
      </c>
      <c r="I6298" s="4" t="s">
        <v>25744</v>
      </c>
      <c r="J6298" s="1" t="s">
        <v>25745</v>
      </c>
      <c r="K6298" s="1" t="s">
        <v>25489</v>
      </c>
    </row>
    <row r="6299">
      <c r="A6299" s="1" t="s">
        <v>25746</v>
      </c>
      <c r="B6299" s="1" t="s">
        <v>25747</v>
      </c>
      <c r="C6299" s="1">
        <v>2024.0</v>
      </c>
      <c r="D6299" s="2">
        <v>45573.0</v>
      </c>
      <c r="F6299" s="1" t="s">
        <v>5554</v>
      </c>
      <c r="H6299" s="3">
        <v>0.0</v>
      </c>
      <c r="I6299" s="4" t="s">
        <v>25748</v>
      </c>
      <c r="J6299" s="1" t="s">
        <v>25749</v>
      </c>
      <c r="K6299" s="1" t="s">
        <v>16</v>
      </c>
    </row>
    <row r="6300">
      <c r="A6300" s="1" t="s">
        <v>25750</v>
      </c>
      <c r="B6300" s="1" t="s">
        <v>25751</v>
      </c>
      <c r="C6300" s="1">
        <v>2024.0</v>
      </c>
      <c r="D6300" s="2">
        <v>45502.0</v>
      </c>
      <c r="F6300" s="1" t="s">
        <v>1095</v>
      </c>
      <c r="H6300" s="3">
        <v>0.0</v>
      </c>
      <c r="I6300" s="4" t="s">
        <v>25752</v>
      </c>
      <c r="J6300" s="1" t="s">
        <v>25753</v>
      </c>
      <c r="K6300" s="1" t="s">
        <v>25254</v>
      </c>
    </row>
    <row r="6301">
      <c r="A6301" s="1" t="s">
        <v>25754</v>
      </c>
      <c r="B6301" s="1" t="s">
        <v>25755</v>
      </c>
      <c r="C6301" s="1">
        <v>2024.0</v>
      </c>
      <c r="D6301" s="2">
        <v>45488.0</v>
      </c>
      <c r="F6301" s="1" t="s">
        <v>3535</v>
      </c>
      <c r="H6301" s="3">
        <v>3.0</v>
      </c>
      <c r="I6301" s="4" t="s">
        <v>25756</v>
      </c>
      <c r="J6301" s="1" t="s">
        <v>25757</v>
      </c>
      <c r="K6301" s="1" t="s">
        <v>16</v>
      </c>
    </row>
    <row r="6302">
      <c r="A6302" s="1" t="s">
        <v>25758</v>
      </c>
      <c r="B6302" s="1" t="s">
        <v>25759</v>
      </c>
      <c r="C6302" s="1">
        <v>2024.0</v>
      </c>
      <c r="D6302" s="2">
        <v>45483.0</v>
      </c>
      <c r="F6302" s="1" t="s">
        <v>558</v>
      </c>
      <c r="H6302" s="3">
        <v>0.0</v>
      </c>
      <c r="I6302" s="4" t="s">
        <v>25760</v>
      </c>
      <c r="J6302" s="1" t="s">
        <v>25761</v>
      </c>
      <c r="K6302" s="1" t="s">
        <v>16</v>
      </c>
    </row>
    <row r="6303">
      <c r="A6303" s="1" t="s">
        <v>25762</v>
      </c>
      <c r="B6303" s="1" t="s">
        <v>25763</v>
      </c>
      <c r="C6303" s="1">
        <v>2024.0</v>
      </c>
      <c r="D6303" s="2">
        <v>45617.0</v>
      </c>
      <c r="F6303" s="1" t="s">
        <v>7425</v>
      </c>
      <c r="H6303" s="3">
        <v>0.0</v>
      </c>
      <c r="I6303" s="4" t="s">
        <v>25764</v>
      </c>
      <c r="J6303" s="1" t="s">
        <v>25765</v>
      </c>
      <c r="K6303" s="1" t="s">
        <v>25471</v>
      </c>
    </row>
    <row r="6304">
      <c r="A6304" s="1" t="s">
        <v>25766</v>
      </c>
      <c r="B6304" s="1" t="s">
        <v>25767</v>
      </c>
      <c r="C6304" s="1">
        <v>2024.0</v>
      </c>
      <c r="D6304" s="2">
        <v>45545.0</v>
      </c>
      <c r="F6304" s="1" t="s">
        <v>183</v>
      </c>
      <c r="H6304" s="3">
        <v>1.0</v>
      </c>
      <c r="I6304" s="4" t="s">
        <v>25768</v>
      </c>
      <c r="J6304" s="1" t="s">
        <v>25769</v>
      </c>
      <c r="K6304" s="1" t="s">
        <v>25471</v>
      </c>
    </row>
    <row r="6305">
      <c r="A6305" s="1" t="s">
        <v>25770</v>
      </c>
      <c r="B6305" s="1" t="s">
        <v>25771</v>
      </c>
      <c r="C6305" s="1">
        <v>2024.0</v>
      </c>
      <c r="D6305" s="2">
        <v>45551.0</v>
      </c>
      <c r="F6305" s="1" t="s">
        <v>183</v>
      </c>
      <c r="H6305" s="3">
        <v>4.0</v>
      </c>
      <c r="I6305" s="4" t="s">
        <v>25772</v>
      </c>
      <c r="J6305" s="1" t="s">
        <v>25773</v>
      </c>
      <c r="K6305" s="1" t="s">
        <v>25471</v>
      </c>
    </row>
    <row r="6306">
      <c r="A6306" s="1" t="s">
        <v>25774</v>
      </c>
      <c r="B6306" s="1" t="s">
        <v>25775</v>
      </c>
      <c r="C6306" s="1">
        <v>2024.0</v>
      </c>
      <c r="D6306" s="2">
        <v>45596.0</v>
      </c>
      <c r="F6306" s="1" t="s">
        <v>1938</v>
      </c>
      <c r="H6306" s="3">
        <v>0.0</v>
      </c>
      <c r="I6306" s="4" t="s">
        <v>25776</v>
      </c>
      <c r="J6306" s="1" t="s">
        <v>25777</v>
      </c>
      <c r="K6306" s="1" t="s">
        <v>25709</v>
      </c>
    </row>
    <row r="6307">
      <c r="A6307" s="1" t="s">
        <v>25778</v>
      </c>
      <c r="B6307" s="1" t="s">
        <v>25779</v>
      </c>
      <c r="C6307" s="1">
        <v>2024.0</v>
      </c>
      <c r="D6307" s="2">
        <v>45580.0</v>
      </c>
      <c r="F6307" s="1" t="s">
        <v>1649</v>
      </c>
      <c r="H6307" s="3">
        <v>0.0</v>
      </c>
      <c r="I6307" s="4" t="s">
        <v>25780</v>
      </c>
      <c r="J6307" s="1" t="s">
        <v>25781</v>
      </c>
      <c r="K6307" s="1" t="s">
        <v>16</v>
      </c>
    </row>
    <row r="6308">
      <c r="A6308" s="1" t="s">
        <v>25782</v>
      </c>
      <c r="B6308" s="1" t="s">
        <v>25783</v>
      </c>
      <c r="C6308" s="1">
        <v>2024.0</v>
      </c>
      <c r="D6308" s="2">
        <v>45528.0</v>
      </c>
      <c r="F6308" s="1" t="s">
        <v>1762</v>
      </c>
      <c r="H6308" s="3">
        <v>0.0</v>
      </c>
      <c r="I6308" s="4" t="s">
        <v>25784</v>
      </c>
      <c r="J6308" s="1" t="s">
        <v>25785</v>
      </c>
      <c r="K6308" s="1" t="s">
        <v>25471</v>
      </c>
    </row>
    <row r="6309">
      <c r="A6309" s="1" t="s">
        <v>25786</v>
      </c>
      <c r="B6309" s="1" t="s">
        <v>25787</v>
      </c>
      <c r="C6309" s="1">
        <v>2024.0</v>
      </c>
      <c r="D6309" s="2">
        <v>45519.0</v>
      </c>
      <c r="F6309" s="1" t="s">
        <v>13</v>
      </c>
      <c r="H6309" s="3">
        <v>0.0</v>
      </c>
      <c r="I6309" s="4" t="s">
        <v>25788</v>
      </c>
      <c r="J6309" s="1" t="s">
        <v>25789</v>
      </c>
      <c r="K6309" s="1" t="s">
        <v>25471</v>
      </c>
    </row>
    <row r="6310">
      <c r="A6310" s="1" t="s">
        <v>25790</v>
      </c>
      <c r="B6310" s="1" t="s">
        <v>25791</v>
      </c>
      <c r="C6310" s="1">
        <v>2024.0</v>
      </c>
      <c r="D6310" s="2">
        <v>45460.0</v>
      </c>
      <c r="F6310" s="1" t="s">
        <v>5829</v>
      </c>
      <c r="H6310" s="3">
        <v>0.0</v>
      </c>
      <c r="I6310" s="4" t="s">
        <v>25792</v>
      </c>
      <c r="J6310" s="1" t="s">
        <v>25793</v>
      </c>
      <c r="K6310" s="1" t="s">
        <v>25254</v>
      </c>
    </row>
    <row r="6311">
      <c r="A6311" s="1" t="s">
        <v>25794</v>
      </c>
      <c r="B6311" s="1" t="s">
        <v>25795</v>
      </c>
      <c r="C6311" s="1">
        <v>2024.0</v>
      </c>
      <c r="D6311" s="2">
        <v>45636.0</v>
      </c>
      <c r="F6311" s="1" t="s">
        <v>7464</v>
      </c>
      <c r="H6311" s="3">
        <v>0.0</v>
      </c>
      <c r="I6311" s="4" t="s">
        <v>25796</v>
      </c>
      <c r="J6311" s="1" t="s">
        <v>25797</v>
      </c>
      <c r="K6311" s="1" t="s">
        <v>16</v>
      </c>
    </row>
    <row r="6312">
      <c r="A6312" s="1" t="s">
        <v>25798</v>
      </c>
      <c r="B6312" s="1" t="s">
        <v>25799</v>
      </c>
      <c r="C6312" s="1">
        <v>2024.0</v>
      </c>
      <c r="D6312" s="2">
        <v>45597.0</v>
      </c>
      <c r="F6312" s="1" t="s">
        <v>762</v>
      </c>
      <c r="H6312" s="3">
        <v>0.0</v>
      </c>
      <c r="I6312" s="4" t="s">
        <v>25800</v>
      </c>
      <c r="J6312" s="1" t="s">
        <v>25801</v>
      </c>
      <c r="K6312" s="1" t="s">
        <v>16</v>
      </c>
    </row>
    <row r="6313">
      <c r="A6313" s="1" t="s">
        <v>25802</v>
      </c>
      <c r="B6313" s="1" t="s">
        <v>25803</v>
      </c>
      <c r="C6313" s="1">
        <v>2024.0</v>
      </c>
      <c r="D6313" s="2">
        <v>45569.0</v>
      </c>
      <c r="F6313" s="1" t="s">
        <v>59</v>
      </c>
      <c r="H6313" s="3">
        <v>0.0</v>
      </c>
      <c r="I6313" s="4" t="s">
        <v>25804</v>
      </c>
      <c r="J6313" s="1" t="s">
        <v>25805</v>
      </c>
      <c r="K6313" s="1" t="s">
        <v>25471</v>
      </c>
    </row>
    <row r="6314">
      <c r="A6314" s="1" t="s">
        <v>25806</v>
      </c>
      <c r="B6314" s="1" t="s">
        <v>25807</v>
      </c>
      <c r="C6314" s="1">
        <v>2024.0</v>
      </c>
      <c r="D6314" s="2">
        <v>45484.0</v>
      </c>
      <c r="F6314" s="1" t="s">
        <v>2036</v>
      </c>
      <c r="H6314" s="3">
        <v>0.0</v>
      </c>
      <c r="I6314" s="4" t="s">
        <v>25808</v>
      </c>
      <c r="J6314" s="1" t="s">
        <v>25809</v>
      </c>
      <c r="K6314" s="1" t="s">
        <v>16</v>
      </c>
    </row>
    <row r="6315">
      <c r="A6315" s="1" t="s">
        <v>25810</v>
      </c>
      <c r="B6315" s="1" t="s">
        <v>25811</v>
      </c>
      <c r="C6315" s="1">
        <v>2024.0</v>
      </c>
      <c r="D6315" s="2">
        <v>45488.0</v>
      </c>
      <c r="F6315" s="1" t="s">
        <v>86</v>
      </c>
      <c r="H6315" s="3">
        <v>0.0</v>
      </c>
      <c r="I6315" s="4" t="s">
        <v>25812</v>
      </c>
      <c r="J6315" s="1" t="s">
        <v>25813</v>
      </c>
      <c r="K6315" s="1" t="s">
        <v>25471</v>
      </c>
    </row>
    <row r="6316">
      <c r="A6316" s="1" t="s">
        <v>25814</v>
      </c>
      <c r="B6316" s="1" t="s">
        <v>25815</v>
      </c>
      <c r="C6316" s="1">
        <v>2024.0</v>
      </c>
      <c r="D6316" s="2">
        <v>45475.0</v>
      </c>
      <c r="F6316" s="1" t="s">
        <v>2955</v>
      </c>
      <c r="H6316" s="3">
        <v>1.0</v>
      </c>
      <c r="I6316" s="4" t="s">
        <v>25816</v>
      </c>
      <c r="J6316" s="1" t="s">
        <v>25817</v>
      </c>
      <c r="K6316" s="1" t="s">
        <v>16</v>
      </c>
    </row>
    <row r="6317">
      <c r="A6317" s="1" t="s">
        <v>25818</v>
      </c>
      <c r="B6317" s="1" t="s">
        <v>25819</v>
      </c>
      <c r="C6317" s="1">
        <v>2024.0</v>
      </c>
      <c r="D6317" s="2">
        <v>45461.0</v>
      </c>
      <c r="F6317" s="1" t="s">
        <v>2955</v>
      </c>
      <c r="H6317" s="3">
        <v>0.0</v>
      </c>
      <c r="I6317" s="4" t="s">
        <v>25820</v>
      </c>
      <c r="J6317" s="1" t="s">
        <v>25821</v>
      </c>
      <c r="K6317" s="1" t="s">
        <v>16</v>
      </c>
    </row>
    <row r="6318">
      <c r="A6318" s="1" t="s">
        <v>25822</v>
      </c>
      <c r="B6318" s="1" t="s">
        <v>25823</v>
      </c>
      <c r="C6318" s="1">
        <v>2024.0</v>
      </c>
      <c r="D6318" s="2">
        <v>45541.0</v>
      </c>
      <c r="F6318" s="1" t="s">
        <v>59</v>
      </c>
      <c r="H6318" s="3">
        <v>2.0</v>
      </c>
      <c r="I6318" s="4" t="s">
        <v>554</v>
      </c>
      <c r="J6318" s="1" t="s">
        <v>25824</v>
      </c>
      <c r="K6318" s="1" t="s">
        <v>25489</v>
      </c>
    </row>
    <row r="6319">
      <c r="A6319" s="1" t="s">
        <v>25825</v>
      </c>
      <c r="B6319" s="1" t="s">
        <v>202</v>
      </c>
      <c r="C6319" s="1">
        <v>2024.0</v>
      </c>
      <c r="D6319" s="2">
        <v>45551.0</v>
      </c>
      <c r="F6319" s="1" t="s">
        <v>37</v>
      </c>
      <c r="H6319" s="3">
        <v>0.0</v>
      </c>
      <c r="I6319" s="4" t="s">
        <v>25826</v>
      </c>
      <c r="K6319" s="1" t="s">
        <v>25254</v>
      </c>
    </row>
    <row r="6320">
      <c r="A6320" s="1" t="s">
        <v>25827</v>
      </c>
      <c r="B6320" s="1" t="s">
        <v>25828</v>
      </c>
      <c r="C6320" s="1">
        <v>2024.0</v>
      </c>
      <c r="D6320" s="2">
        <v>45540.0</v>
      </c>
      <c r="F6320" s="1" t="s">
        <v>25829</v>
      </c>
      <c r="H6320" s="3">
        <v>0.0</v>
      </c>
      <c r="I6320" s="4" t="s">
        <v>25830</v>
      </c>
      <c r="J6320" s="1" t="s">
        <v>25831</v>
      </c>
      <c r="K6320" s="1" t="s">
        <v>25709</v>
      </c>
    </row>
    <row r="6321">
      <c r="A6321" s="1" t="s">
        <v>25832</v>
      </c>
      <c r="B6321" s="1" t="s">
        <v>25833</v>
      </c>
      <c r="C6321" s="1">
        <v>2024.0</v>
      </c>
      <c r="D6321" s="2">
        <v>45618.0</v>
      </c>
      <c r="F6321" s="1" t="s">
        <v>347</v>
      </c>
      <c r="H6321" s="3">
        <v>0.0</v>
      </c>
      <c r="I6321" s="4" t="s">
        <v>25834</v>
      </c>
      <c r="J6321" s="1" t="s">
        <v>25835</v>
      </c>
      <c r="K6321" s="1" t="s">
        <v>16</v>
      </c>
    </row>
    <row r="6322">
      <c r="A6322" s="1" t="s">
        <v>25836</v>
      </c>
      <c r="B6322" s="1" t="s">
        <v>25837</v>
      </c>
      <c r="C6322" s="1">
        <v>2024.0</v>
      </c>
      <c r="D6322" s="2">
        <v>45566.0</v>
      </c>
      <c r="F6322" s="1" t="s">
        <v>2309</v>
      </c>
      <c r="H6322" s="3">
        <v>0.0</v>
      </c>
      <c r="I6322" s="4" t="s">
        <v>25838</v>
      </c>
      <c r="J6322" s="1" t="s">
        <v>25839</v>
      </c>
      <c r="K6322" s="1" t="s">
        <v>25709</v>
      </c>
    </row>
    <row r="6323">
      <c r="A6323" s="1" t="s">
        <v>25840</v>
      </c>
      <c r="B6323" s="1" t="s">
        <v>25841</v>
      </c>
      <c r="C6323" s="1">
        <v>2024.0</v>
      </c>
      <c r="D6323" s="2">
        <v>45553.0</v>
      </c>
      <c r="F6323" s="1" t="s">
        <v>25645</v>
      </c>
      <c r="H6323" s="3">
        <v>0.0</v>
      </c>
      <c r="I6323" s="4" t="s">
        <v>25842</v>
      </c>
      <c r="J6323" s="1" t="s">
        <v>25843</v>
      </c>
      <c r="K6323" s="1" t="s">
        <v>16</v>
      </c>
    </row>
    <row r="6324">
      <c r="A6324" s="1" t="s">
        <v>25844</v>
      </c>
      <c r="B6324" s="1" t="s">
        <v>25845</v>
      </c>
      <c r="C6324" s="1">
        <v>2024.0</v>
      </c>
      <c r="D6324" s="2">
        <v>45538.0</v>
      </c>
      <c r="F6324" s="1" t="s">
        <v>726</v>
      </c>
      <c r="H6324" s="3">
        <v>0.0</v>
      </c>
      <c r="I6324" s="4" t="s">
        <v>25846</v>
      </c>
      <c r="J6324" s="1" t="s">
        <v>25847</v>
      </c>
      <c r="K6324" s="1" t="s">
        <v>16</v>
      </c>
    </row>
    <row r="6325">
      <c r="A6325" s="1" t="s">
        <v>25848</v>
      </c>
      <c r="B6325" s="1" t="s">
        <v>25849</v>
      </c>
      <c r="C6325" s="1">
        <v>2024.0</v>
      </c>
      <c r="D6325" s="2">
        <v>45532.0</v>
      </c>
      <c r="F6325" s="1" t="s">
        <v>25850</v>
      </c>
      <c r="H6325" s="3">
        <v>0.0</v>
      </c>
      <c r="I6325" s="4" t="s">
        <v>25851</v>
      </c>
      <c r="J6325" s="1" t="s">
        <v>25852</v>
      </c>
      <c r="K6325" s="1" t="s">
        <v>16</v>
      </c>
    </row>
    <row r="6326">
      <c r="A6326" s="1" t="s">
        <v>25853</v>
      </c>
      <c r="B6326" s="1" t="s">
        <v>25854</v>
      </c>
      <c r="C6326" s="1">
        <v>2024.0</v>
      </c>
      <c r="D6326" s="2">
        <v>45488.0</v>
      </c>
      <c r="F6326" s="1" t="s">
        <v>25855</v>
      </c>
      <c r="H6326" s="3">
        <v>2.0</v>
      </c>
      <c r="I6326" s="4" t="s">
        <v>25856</v>
      </c>
      <c r="J6326" s="1" t="s">
        <v>25857</v>
      </c>
      <c r="K6326" s="1" t="s">
        <v>25489</v>
      </c>
    </row>
    <row r="6327">
      <c r="A6327" s="1" t="s">
        <v>25858</v>
      </c>
      <c r="B6327" s="1" t="s">
        <v>25859</v>
      </c>
      <c r="C6327" s="1">
        <v>2024.0</v>
      </c>
      <c r="D6327" s="2">
        <v>45595.0</v>
      </c>
      <c r="F6327" s="1" t="s">
        <v>183</v>
      </c>
      <c r="H6327" s="3">
        <v>0.0</v>
      </c>
      <c r="I6327" s="4" t="s">
        <v>25860</v>
      </c>
      <c r="K6327" s="1" t="s">
        <v>25709</v>
      </c>
    </row>
    <row r="6328">
      <c r="A6328" s="1" t="s">
        <v>25861</v>
      </c>
      <c r="B6328" s="1" t="s">
        <v>25859</v>
      </c>
      <c r="C6328" s="1">
        <v>2024.0</v>
      </c>
      <c r="D6328" s="2">
        <v>45521.0</v>
      </c>
      <c r="F6328" s="1" t="s">
        <v>183</v>
      </c>
      <c r="H6328" s="3">
        <v>2.0</v>
      </c>
      <c r="I6328" s="4" t="s">
        <v>25862</v>
      </c>
      <c r="J6328" s="1" t="s">
        <v>25863</v>
      </c>
      <c r="K6328" s="1" t="s">
        <v>25709</v>
      </c>
    </row>
    <row r="6329">
      <c r="A6329" s="1" t="s">
        <v>25864</v>
      </c>
      <c r="B6329" s="1" t="s">
        <v>25865</v>
      </c>
      <c r="C6329" s="1">
        <v>2024.0</v>
      </c>
      <c r="D6329" s="2">
        <v>45509.0</v>
      </c>
      <c r="F6329" s="1" t="s">
        <v>643</v>
      </c>
      <c r="H6329" s="3">
        <v>0.0</v>
      </c>
      <c r="I6329" s="4" t="s">
        <v>25866</v>
      </c>
      <c r="J6329" s="1" t="s">
        <v>25867</v>
      </c>
      <c r="K6329" s="1" t="s">
        <v>16</v>
      </c>
    </row>
    <row r="6330">
      <c r="A6330" s="1" t="s">
        <v>25868</v>
      </c>
      <c r="B6330" s="1" t="s">
        <v>25869</v>
      </c>
      <c r="C6330" s="1">
        <v>2024.0</v>
      </c>
      <c r="D6330" s="2">
        <v>45566.0</v>
      </c>
      <c r="F6330" s="1" t="s">
        <v>519</v>
      </c>
      <c r="H6330" s="3">
        <v>1.0</v>
      </c>
      <c r="I6330" s="4" t="s">
        <v>25870</v>
      </c>
      <c r="J6330" s="1" t="s">
        <v>25871</v>
      </c>
      <c r="K6330" s="1" t="s">
        <v>16</v>
      </c>
    </row>
    <row r="6331">
      <c r="A6331" s="1" t="s">
        <v>25872</v>
      </c>
      <c r="B6331" s="1" t="s">
        <v>25873</v>
      </c>
      <c r="C6331" s="1">
        <v>2024.0</v>
      </c>
      <c r="D6331" s="2">
        <v>45343.0</v>
      </c>
      <c r="F6331" s="1" t="s">
        <v>25874</v>
      </c>
      <c r="H6331" s="3">
        <v>0.0</v>
      </c>
      <c r="I6331" s="4" t="s">
        <v>25875</v>
      </c>
      <c r="J6331" s="1" t="s">
        <v>25876</v>
      </c>
      <c r="K6331" s="1" t="s">
        <v>45</v>
      </c>
    </row>
    <row r="6332">
      <c r="A6332" s="1" t="s">
        <v>25877</v>
      </c>
      <c r="B6332" s="1" t="s">
        <v>25878</v>
      </c>
      <c r="C6332" s="1">
        <v>2024.0</v>
      </c>
      <c r="D6332" s="2">
        <v>45579.0</v>
      </c>
      <c r="F6332" s="1" t="s">
        <v>25086</v>
      </c>
      <c r="H6332" s="3">
        <v>0.0</v>
      </c>
      <c r="I6332" s="4" t="s">
        <v>25879</v>
      </c>
      <c r="J6332" s="1" t="s">
        <v>25880</v>
      </c>
      <c r="K6332" s="1" t="s">
        <v>45</v>
      </c>
    </row>
    <row r="6333">
      <c r="A6333" s="1" t="s">
        <v>25881</v>
      </c>
      <c r="B6333" s="1" t="s">
        <v>25882</v>
      </c>
      <c r="C6333" s="1">
        <v>2024.0</v>
      </c>
      <c r="D6333" s="2">
        <v>45611.0</v>
      </c>
      <c r="F6333" s="1" t="s">
        <v>13419</v>
      </c>
      <c r="H6333" s="3">
        <v>0.0</v>
      </c>
      <c r="I6333" s="4" t="s">
        <v>25883</v>
      </c>
      <c r="J6333" s="1" t="s">
        <v>25884</v>
      </c>
      <c r="K6333" s="1" t="s">
        <v>45</v>
      </c>
    </row>
    <row r="6334">
      <c r="A6334" s="1" t="s">
        <v>25885</v>
      </c>
      <c r="B6334" s="1" t="s">
        <v>25886</v>
      </c>
      <c r="C6334" s="1">
        <v>2024.0</v>
      </c>
      <c r="D6334" s="2">
        <v>45597.0</v>
      </c>
      <c r="F6334" s="1" t="s">
        <v>271</v>
      </c>
      <c r="H6334" s="3">
        <v>0.0</v>
      </c>
      <c r="I6334" s="4" t="s">
        <v>25887</v>
      </c>
      <c r="J6334" s="1" t="s">
        <v>25888</v>
      </c>
      <c r="K6334" s="1" t="s">
        <v>25442</v>
      </c>
    </row>
    <row r="6335">
      <c r="A6335" s="1" t="s">
        <v>25889</v>
      </c>
      <c r="B6335" s="1" t="s">
        <v>25890</v>
      </c>
      <c r="C6335" s="1">
        <v>2024.0</v>
      </c>
      <c r="D6335" s="2">
        <v>45581.0</v>
      </c>
      <c r="F6335" s="1" t="s">
        <v>3747</v>
      </c>
      <c r="H6335" s="3">
        <v>0.0</v>
      </c>
      <c r="I6335" s="4" t="s">
        <v>25891</v>
      </c>
      <c r="J6335" s="1" t="s">
        <v>25892</v>
      </c>
      <c r="K6335" s="1" t="s">
        <v>25451</v>
      </c>
    </row>
    <row r="6336">
      <c r="A6336" s="1" t="s">
        <v>25893</v>
      </c>
      <c r="B6336" s="1" t="s">
        <v>25894</v>
      </c>
      <c r="C6336" s="1">
        <v>2024.0</v>
      </c>
      <c r="D6336" s="2">
        <v>45566.0</v>
      </c>
      <c r="F6336" s="1" t="s">
        <v>3747</v>
      </c>
      <c r="H6336" s="3">
        <v>0.0</v>
      </c>
      <c r="I6336" s="4" t="s">
        <v>25895</v>
      </c>
      <c r="J6336" s="1" t="s">
        <v>25896</v>
      </c>
      <c r="K6336" s="1" t="s">
        <v>25451</v>
      </c>
    </row>
    <row r="6337">
      <c r="A6337" s="1" t="s">
        <v>25897</v>
      </c>
      <c r="B6337" s="1" t="s">
        <v>25898</v>
      </c>
      <c r="C6337" s="1">
        <v>2024.0</v>
      </c>
      <c r="D6337" s="2">
        <v>45474.0</v>
      </c>
      <c r="F6337" s="1" t="s">
        <v>3522</v>
      </c>
      <c r="H6337" s="3">
        <v>1.0</v>
      </c>
      <c r="I6337" s="4" t="s">
        <v>25899</v>
      </c>
      <c r="K6337" s="1" t="s">
        <v>25451</v>
      </c>
    </row>
    <row r="6338">
      <c r="A6338" s="1" t="s">
        <v>25900</v>
      </c>
      <c r="B6338" s="1" t="s">
        <v>25901</v>
      </c>
      <c r="C6338" s="1">
        <v>2024.0</v>
      </c>
      <c r="D6338" s="2">
        <v>45412.0</v>
      </c>
      <c r="F6338" s="1" t="s">
        <v>8714</v>
      </c>
      <c r="H6338" s="3">
        <v>0.0</v>
      </c>
      <c r="I6338" s="4" t="s">
        <v>25902</v>
      </c>
      <c r="J6338" s="1" t="s">
        <v>25903</v>
      </c>
      <c r="K6338" s="1" t="s">
        <v>45</v>
      </c>
    </row>
    <row r="6339">
      <c r="A6339" s="1" t="s">
        <v>25904</v>
      </c>
      <c r="B6339" s="1" t="s">
        <v>25905</v>
      </c>
      <c r="C6339" s="1">
        <v>2024.0</v>
      </c>
      <c r="D6339" s="2">
        <v>45444.0</v>
      </c>
      <c r="F6339" s="1" t="s">
        <v>3364</v>
      </c>
      <c r="H6339" s="3">
        <v>2.0</v>
      </c>
      <c r="I6339" s="4" t="s">
        <v>25906</v>
      </c>
      <c r="J6339" s="1" t="s">
        <v>25907</v>
      </c>
      <c r="K6339" s="1" t="s">
        <v>25451</v>
      </c>
    </row>
    <row r="6340">
      <c r="A6340" s="1" t="s">
        <v>25908</v>
      </c>
      <c r="B6340" s="1" t="s">
        <v>25909</v>
      </c>
      <c r="C6340" s="1">
        <v>2024.0</v>
      </c>
      <c r="D6340" s="2">
        <v>45460.0</v>
      </c>
      <c r="F6340" s="1" t="s">
        <v>7380</v>
      </c>
      <c r="H6340" s="3">
        <v>0.0</v>
      </c>
      <c r="I6340" s="4" t="s">
        <v>25910</v>
      </c>
      <c r="J6340" s="1" t="s">
        <v>25911</v>
      </c>
      <c r="K6340" s="1" t="s">
        <v>45</v>
      </c>
    </row>
    <row r="6341">
      <c r="A6341" s="1" t="s">
        <v>25912</v>
      </c>
      <c r="B6341" s="1" t="s">
        <v>25913</v>
      </c>
      <c r="C6341" s="1">
        <v>2024.0</v>
      </c>
      <c r="D6341" s="2">
        <v>45617.0</v>
      </c>
      <c r="F6341" s="1" t="s">
        <v>3535</v>
      </c>
      <c r="H6341" s="3">
        <v>0.0</v>
      </c>
      <c r="I6341" s="4" t="s">
        <v>25914</v>
      </c>
      <c r="K6341" s="1" t="s">
        <v>25451</v>
      </c>
    </row>
    <row r="6342">
      <c r="A6342" s="1" t="s">
        <v>25915</v>
      </c>
      <c r="B6342" s="1" t="s">
        <v>25916</v>
      </c>
      <c r="C6342" s="1">
        <v>2024.0</v>
      </c>
      <c r="D6342" s="2">
        <v>45616.0</v>
      </c>
      <c r="F6342" s="1" t="s">
        <v>1904</v>
      </c>
      <c r="H6342" s="3">
        <v>0.0</v>
      </c>
      <c r="I6342" s="4" t="s">
        <v>25917</v>
      </c>
      <c r="J6342" s="1" t="s">
        <v>25918</v>
      </c>
      <c r="K6342" s="1" t="s">
        <v>25919</v>
      </c>
    </row>
    <row r="6343">
      <c r="A6343" s="1" t="s">
        <v>25920</v>
      </c>
      <c r="B6343" s="1" t="s">
        <v>25913</v>
      </c>
      <c r="C6343" s="1">
        <v>2024.0</v>
      </c>
      <c r="D6343" s="2">
        <v>45589.0</v>
      </c>
      <c r="F6343" s="1" t="s">
        <v>3535</v>
      </c>
      <c r="H6343" s="3">
        <v>1.0</v>
      </c>
      <c r="I6343" s="4" t="s">
        <v>25921</v>
      </c>
      <c r="J6343" s="1" t="s">
        <v>25922</v>
      </c>
      <c r="K6343" s="1" t="s">
        <v>25451</v>
      </c>
    </row>
    <row r="6344">
      <c r="A6344" s="1" t="s">
        <v>25923</v>
      </c>
      <c r="B6344" s="1" t="s">
        <v>25924</v>
      </c>
      <c r="C6344" s="1">
        <v>2024.0</v>
      </c>
      <c r="D6344" s="2">
        <v>45572.0</v>
      </c>
      <c r="F6344" s="1" t="s">
        <v>10930</v>
      </c>
      <c r="H6344" s="3">
        <v>0.0</v>
      </c>
      <c r="I6344" s="4" t="s">
        <v>25925</v>
      </c>
      <c r="J6344" s="1" t="s">
        <v>25926</v>
      </c>
      <c r="K6344" s="1" t="s">
        <v>45</v>
      </c>
    </row>
    <row r="6345">
      <c r="A6345" s="1" t="s">
        <v>25927</v>
      </c>
      <c r="B6345" s="1" t="s">
        <v>25928</v>
      </c>
      <c r="C6345" s="1">
        <v>2024.0</v>
      </c>
      <c r="D6345" s="2">
        <v>45566.0</v>
      </c>
      <c r="F6345" s="1" t="s">
        <v>25929</v>
      </c>
      <c r="H6345" s="3">
        <v>0.0</v>
      </c>
      <c r="I6345" s="4" t="s">
        <v>25930</v>
      </c>
      <c r="J6345" s="1" t="s">
        <v>25931</v>
      </c>
      <c r="K6345" s="1" t="s">
        <v>45</v>
      </c>
    </row>
    <row r="6346">
      <c r="A6346" s="1" t="s">
        <v>25932</v>
      </c>
      <c r="B6346" s="1" t="s">
        <v>25933</v>
      </c>
      <c r="C6346" s="1">
        <v>2024.0</v>
      </c>
      <c r="D6346" s="2">
        <v>45542.0</v>
      </c>
      <c r="F6346" s="1" t="s">
        <v>25934</v>
      </c>
      <c r="H6346" s="3">
        <v>2.0</v>
      </c>
      <c r="I6346" s="4" t="s">
        <v>25935</v>
      </c>
      <c r="J6346" s="1" t="s">
        <v>25936</v>
      </c>
      <c r="K6346" s="1" t="s">
        <v>25937</v>
      </c>
    </row>
    <row r="6347">
      <c r="A6347" s="1" t="s">
        <v>25938</v>
      </c>
      <c r="B6347" s="1" t="s">
        <v>25939</v>
      </c>
      <c r="C6347" s="1">
        <v>2024.0</v>
      </c>
      <c r="D6347" s="2">
        <v>45409.0</v>
      </c>
      <c r="F6347" s="1" t="s">
        <v>1137</v>
      </c>
      <c r="H6347" s="3">
        <v>0.0</v>
      </c>
      <c r="I6347" s="4" t="s">
        <v>25940</v>
      </c>
      <c r="J6347" s="1" t="s">
        <v>25941</v>
      </c>
      <c r="K6347" s="1" t="s">
        <v>45</v>
      </c>
    </row>
    <row r="6348">
      <c r="A6348" s="1" t="s">
        <v>25942</v>
      </c>
      <c r="B6348" s="1" t="s">
        <v>25943</v>
      </c>
      <c r="C6348" s="1">
        <v>2024.0</v>
      </c>
      <c r="D6348" s="2">
        <v>45455.0</v>
      </c>
      <c r="F6348" s="1" t="s">
        <v>25944</v>
      </c>
      <c r="H6348" s="3">
        <v>1.0</v>
      </c>
      <c r="I6348" s="4" t="s">
        <v>25945</v>
      </c>
      <c r="J6348" s="1" t="s">
        <v>25946</v>
      </c>
      <c r="K6348" s="1" t="s">
        <v>45</v>
      </c>
    </row>
    <row r="6349">
      <c r="A6349" s="1" t="s">
        <v>25947</v>
      </c>
      <c r="B6349" s="1" t="s">
        <v>25948</v>
      </c>
      <c r="C6349" s="1">
        <v>2024.0</v>
      </c>
      <c r="D6349" s="2">
        <v>45627.0</v>
      </c>
      <c r="F6349" s="1" t="s">
        <v>276</v>
      </c>
      <c r="H6349" s="3">
        <v>0.0</v>
      </c>
      <c r="I6349" s="4" t="s">
        <v>25949</v>
      </c>
      <c r="J6349" s="1" t="s">
        <v>25950</v>
      </c>
      <c r="K6349" s="1" t="s">
        <v>45</v>
      </c>
    </row>
    <row r="6350">
      <c r="A6350" s="1" t="s">
        <v>25951</v>
      </c>
      <c r="B6350" s="1" t="s">
        <v>25952</v>
      </c>
      <c r="C6350" s="1">
        <v>2024.0</v>
      </c>
      <c r="D6350" s="2">
        <v>45484.0</v>
      </c>
      <c r="F6350" s="1" t="s">
        <v>5806</v>
      </c>
      <c r="H6350" s="3">
        <v>0.0</v>
      </c>
      <c r="I6350" s="4" t="s">
        <v>25953</v>
      </c>
      <c r="J6350" s="1" t="s">
        <v>25954</v>
      </c>
      <c r="K6350" s="1" t="s">
        <v>25937</v>
      </c>
    </row>
    <row r="6351">
      <c r="A6351" s="1" t="s">
        <v>25955</v>
      </c>
      <c r="B6351" s="1" t="s">
        <v>25956</v>
      </c>
      <c r="C6351" s="1">
        <v>2024.0</v>
      </c>
      <c r="D6351" s="2">
        <v>45473.0</v>
      </c>
      <c r="F6351" s="1" t="s">
        <v>1381</v>
      </c>
      <c r="H6351" s="3">
        <v>0.0</v>
      </c>
      <c r="I6351" s="4" t="s">
        <v>25957</v>
      </c>
      <c r="J6351" s="1" t="s">
        <v>25958</v>
      </c>
      <c r="K6351" s="1" t="s">
        <v>25294</v>
      </c>
    </row>
    <row r="6352">
      <c r="A6352" s="1" t="s">
        <v>25959</v>
      </c>
      <c r="B6352" s="1" t="s">
        <v>25960</v>
      </c>
      <c r="C6352" s="1">
        <v>2024.0</v>
      </c>
      <c r="D6352" s="2">
        <v>45604.0</v>
      </c>
      <c r="F6352" s="1" t="s">
        <v>1006</v>
      </c>
      <c r="H6352" s="3">
        <v>0.0</v>
      </c>
      <c r="I6352" s="4" t="s">
        <v>25961</v>
      </c>
      <c r="J6352" s="1" t="s">
        <v>25962</v>
      </c>
      <c r="K6352" s="1" t="s">
        <v>25246</v>
      </c>
    </row>
    <row r="6353">
      <c r="A6353" s="1" t="s">
        <v>25963</v>
      </c>
      <c r="B6353" s="1" t="s">
        <v>25964</v>
      </c>
      <c r="C6353" s="1">
        <v>2024.0</v>
      </c>
      <c r="D6353" s="2">
        <v>45536.0</v>
      </c>
      <c r="F6353" s="1" t="s">
        <v>25965</v>
      </c>
      <c r="H6353" s="3">
        <v>0.0</v>
      </c>
      <c r="I6353" s="4" t="s">
        <v>25966</v>
      </c>
      <c r="J6353" s="1" t="s">
        <v>25967</v>
      </c>
      <c r="K6353" s="1" t="s">
        <v>25919</v>
      </c>
    </row>
    <row r="6354">
      <c r="A6354" s="1" t="s">
        <v>25968</v>
      </c>
      <c r="B6354" s="1" t="s">
        <v>25969</v>
      </c>
      <c r="C6354" s="1">
        <v>2024.0</v>
      </c>
      <c r="D6354" s="2">
        <v>45461.0</v>
      </c>
      <c r="F6354" s="1" t="s">
        <v>1705</v>
      </c>
      <c r="H6354" s="3">
        <v>0.0</v>
      </c>
      <c r="I6354" s="4" t="s">
        <v>25970</v>
      </c>
      <c r="J6354" s="1" t="s">
        <v>25971</v>
      </c>
      <c r="K6354" s="1" t="s">
        <v>25937</v>
      </c>
    </row>
    <row r="6355">
      <c r="A6355" s="1" t="s">
        <v>25972</v>
      </c>
      <c r="B6355" s="1" t="s">
        <v>25973</v>
      </c>
      <c r="C6355" s="1">
        <v>2024.0</v>
      </c>
      <c r="D6355" s="2">
        <v>45488.0</v>
      </c>
      <c r="F6355" s="1" t="s">
        <v>208</v>
      </c>
      <c r="H6355" s="3">
        <v>0.0</v>
      </c>
      <c r="I6355" s="4" t="s">
        <v>25974</v>
      </c>
      <c r="J6355" s="1" t="s">
        <v>25975</v>
      </c>
      <c r="K6355" s="1" t="s">
        <v>25246</v>
      </c>
    </row>
    <row r="6356">
      <c r="A6356" s="1" t="s">
        <v>25976</v>
      </c>
      <c r="B6356" s="1" t="s">
        <v>25977</v>
      </c>
      <c r="C6356" s="1">
        <v>2024.0</v>
      </c>
      <c r="D6356" s="2">
        <v>45474.0</v>
      </c>
      <c r="F6356" s="1" t="s">
        <v>2352</v>
      </c>
      <c r="H6356" s="3">
        <v>1.0</v>
      </c>
      <c r="I6356" s="4" t="s">
        <v>25978</v>
      </c>
      <c r="K6356" s="1" t="s">
        <v>25937</v>
      </c>
    </row>
    <row r="6357">
      <c r="A6357" s="1" t="s">
        <v>25979</v>
      </c>
      <c r="B6357" s="1" t="s">
        <v>167</v>
      </c>
      <c r="C6357" s="1">
        <v>2024.0</v>
      </c>
      <c r="D6357" s="2">
        <v>45600.0</v>
      </c>
      <c r="F6357" s="1" t="s">
        <v>25</v>
      </c>
      <c r="H6357" s="3">
        <v>0.0</v>
      </c>
      <c r="I6357" s="4" t="s">
        <v>168</v>
      </c>
      <c r="J6357" s="1" t="s">
        <v>25980</v>
      </c>
      <c r="K6357" s="1" t="s">
        <v>45</v>
      </c>
    </row>
    <row r="6358">
      <c r="A6358" s="1" t="s">
        <v>25981</v>
      </c>
      <c r="B6358" s="1" t="s">
        <v>25982</v>
      </c>
      <c r="C6358" s="1">
        <v>2024.0</v>
      </c>
      <c r="D6358" s="2">
        <v>45590.0</v>
      </c>
      <c r="F6358" s="1" t="s">
        <v>25983</v>
      </c>
      <c r="H6358" s="3">
        <v>0.0</v>
      </c>
      <c r="I6358" s="4" t="s">
        <v>25984</v>
      </c>
      <c r="J6358" s="1" t="s">
        <v>25985</v>
      </c>
      <c r="K6358" s="1" t="s">
        <v>45</v>
      </c>
    </row>
    <row r="6359">
      <c r="A6359" s="1" t="s">
        <v>25986</v>
      </c>
      <c r="B6359" s="1" t="s">
        <v>25987</v>
      </c>
      <c r="C6359" s="1">
        <v>2024.0</v>
      </c>
      <c r="D6359" s="2">
        <v>45552.0</v>
      </c>
      <c r="F6359" s="1" t="s">
        <v>790</v>
      </c>
      <c r="H6359" s="3">
        <v>0.0</v>
      </c>
      <c r="I6359" s="4" t="s">
        <v>25988</v>
      </c>
      <c r="J6359" s="1" t="s">
        <v>25989</v>
      </c>
      <c r="K6359" s="1" t="s">
        <v>25919</v>
      </c>
    </row>
    <row r="6360">
      <c r="A6360" s="1" t="s">
        <v>25990</v>
      </c>
      <c r="B6360" s="1" t="s">
        <v>25991</v>
      </c>
      <c r="C6360" s="1">
        <v>2024.0</v>
      </c>
      <c r="D6360" s="2">
        <v>45465.0</v>
      </c>
      <c r="F6360" s="1" t="s">
        <v>2497</v>
      </c>
      <c r="H6360" s="3">
        <v>1.0</v>
      </c>
      <c r="I6360" s="4" t="s">
        <v>25992</v>
      </c>
      <c r="J6360" s="1" t="s">
        <v>25993</v>
      </c>
      <c r="K6360" s="1" t="s">
        <v>25919</v>
      </c>
    </row>
    <row r="6361">
      <c r="D6361" s="2"/>
    </row>
    <row r="6362">
      <c r="D6362" s="2"/>
    </row>
    <row r="6363">
      <c r="D6363" s="2"/>
    </row>
    <row r="6364">
      <c r="D6364" s="2"/>
    </row>
    <row r="6365">
      <c r="D6365" s="2"/>
    </row>
    <row r="6366">
      <c r="D6366" s="2"/>
    </row>
    <row r="6367">
      <c r="D6367" s="2"/>
    </row>
    <row r="6368">
      <c r="D6368" s="2"/>
    </row>
    <row r="6369">
      <c r="D6369" s="2"/>
    </row>
    <row r="6370">
      <c r="D6370" s="2"/>
    </row>
    <row r="6371">
      <c r="D6371" s="2"/>
    </row>
    <row r="6372">
      <c r="D6372" s="2"/>
    </row>
    <row r="6373">
      <c r="D6373" s="2"/>
    </row>
    <row r="6374">
      <c r="D6374" s="2"/>
    </row>
    <row r="6375">
      <c r="D6375" s="2"/>
    </row>
    <row r="6376">
      <c r="D6376" s="2"/>
    </row>
    <row r="6377">
      <c r="D6377" s="2"/>
    </row>
    <row r="6378">
      <c r="D6378" s="2"/>
    </row>
    <row r="6379">
      <c r="D6379" s="2"/>
    </row>
    <row r="6380">
      <c r="D6380" s="2"/>
    </row>
    <row r="6381">
      <c r="D6381" s="2"/>
    </row>
    <row r="6382">
      <c r="D6382" s="2"/>
    </row>
    <row r="6383">
      <c r="D6383" s="2"/>
    </row>
    <row r="6384">
      <c r="D6384" s="2"/>
    </row>
    <row r="6385">
      <c r="D6385" s="2"/>
    </row>
    <row r="6386">
      <c r="D6386" s="2"/>
    </row>
    <row r="6387">
      <c r="D6387" s="2"/>
    </row>
    <row r="6388">
      <c r="D6388" s="2"/>
    </row>
    <row r="6389">
      <c r="D6389" s="2"/>
    </row>
    <row r="6390">
      <c r="D6390" s="2"/>
    </row>
    <row r="6391">
      <c r="D6391" s="2"/>
    </row>
    <row r="6392">
      <c r="D6392" s="2"/>
    </row>
    <row r="6393">
      <c r="D6393" s="2"/>
    </row>
    <row r="6394">
      <c r="D6394" s="2"/>
    </row>
    <row r="6395">
      <c r="D6395" s="2"/>
    </row>
    <row r="6396">
      <c r="D6396" s="2"/>
    </row>
    <row r="6397">
      <c r="D6397" s="2"/>
    </row>
    <row r="6398">
      <c r="D6398" s="2"/>
    </row>
    <row r="6399">
      <c r="D6399" s="2"/>
    </row>
    <row r="6400">
      <c r="D6400" s="2"/>
    </row>
    <row r="6401">
      <c r="D6401" s="2"/>
    </row>
    <row r="6402">
      <c r="D6402" s="2"/>
    </row>
    <row r="6403">
      <c r="D6403" s="2"/>
    </row>
    <row r="6404">
      <c r="D6404" s="2"/>
    </row>
    <row r="6405">
      <c r="D6405" s="2"/>
    </row>
    <row r="6406">
      <c r="D6406" s="2"/>
    </row>
    <row r="6407">
      <c r="D6407" s="2"/>
    </row>
    <row r="6408">
      <c r="D6408" s="2"/>
    </row>
    <row r="6409">
      <c r="D6409" s="2"/>
    </row>
    <row r="6410">
      <c r="D6410" s="2"/>
    </row>
    <row r="6411">
      <c r="D6411" s="2"/>
    </row>
    <row r="6412">
      <c r="D6412" s="2"/>
    </row>
    <row r="6413">
      <c r="D6413" s="2"/>
    </row>
    <row r="6414">
      <c r="D6414" s="2"/>
    </row>
    <row r="6415">
      <c r="D6415" s="2"/>
    </row>
    <row r="6416">
      <c r="D6416" s="2"/>
    </row>
    <row r="6417">
      <c r="D6417" s="2"/>
    </row>
    <row r="6418">
      <c r="D6418" s="2"/>
    </row>
    <row r="6419">
      <c r="D6419" s="2"/>
    </row>
    <row r="6420">
      <c r="D6420" s="2"/>
    </row>
    <row r="6421">
      <c r="D6421" s="2"/>
    </row>
    <row r="6422">
      <c r="D6422" s="2"/>
    </row>
    <row r="6423">
      <c r="D6423" s="2"/>
    </row>
    <row r="6424">
      <c r="D6424" s="2"/>
    </row>
    <row r="6425">
      <c r="D6425" s="2"/>
    </row>
    <row r="6426">
      <c r="D6426" s="2"/>
    </row>
    <row r="6427">
      <c r="D6427" s="2"/>
    </row>
    <row r="6428">
      <c r="D6428" s="2"/>
    </row>
    <row r="6429">
      <c r="D6429" s="2"/>
    </row>
    <row r="6430">
      <c r="D6430" s="2"/>
    </row>
    <row r="6431">
      <c r="D6431" s="2"/>
    </row>
    <row r="6432">
      <c r="D6432" s="2"/>
    </row>
    <row r="6433">
      <c r="D6433" s="2"/>
    </row>
    <row r="6434">
      <c r="D6434" s="2"/>
    </row>
    <row r="6435">
      <c r="D6435" s="2"/>
    </row>
    <row r="6436">
      <c r="D6436" s="2"/>
    </row>
    <row r="6437">
      <c r="D6437" s="2"/>
    </row>
    <row r="6438">
      <c r="D6438" s="2"/>
    </row>
    <row r="6439">
      <c r="D6439" s="2"/>
    </row>
    <row r="6440">
      <c r="D6440" s="2"/>
    </row>
    <row r="6441">
      <c r="D6441" s="2"/>
    </row>
    <row r="6442">
      <c r="D6442" s="2"/>
    </row>
    <row r="6443">
      <c r="D6443" s="2"/>
    </row>
    <row r="6444">
      <c r="D6444" s="2"/>
    </row>
    <row r="6445">
      <c r="D6445" s="2"/>
    </row>
    <row r="6446">
      <c r="D6446" s="2"/>
    </row>
    <row r="6447">
      <c r="D6447" s="2"/>
    </row>
    <row r="6448">
      <c r="D6448" s="2"/>
    </row>
    <row r="6449">
      <c r="D6449" s="2"/>
    </row>
    <row r="6450">
      <c r="D6450" s="2"/>
    </row>
    <row r="6451">
      <c r="D6451" s="2"/>
    </row>
    <row r="6452">
      <c r="D6452" s="2"/>
    </row>
    <row r="6453">
      <c r="D6453" s="2"/>
    </row>
    <row r="6454">
      <c r="D6454" s="2"/>
    </row>
    <row r="6455">
      <c r="D6455" s="2"/>
    </row>
    <row r="6456">
      <c r="D6456" s="2"/>
    </row>
    <row r="6457">
      <c r="D6457" s="2"/>
    </row>
    <row r="6458">
      <c r="D6458" s="2"/>
    </row>
    <row r="6459">
      <c r="D6459" s="2"/>
    </row>
    <row r="6460">
      <c r="D6460" s="2"/>
    </row>
    <row r="6461">
      <c r="D6461" s="2"/>
    </row>
    <row r="6462">
      <c r="D6462" s="2"/>
    </row>
    <row r="6463">
      <c r="D6463" s="2"/>
    </row>
    <row r="6464">
      <c r="D6464" s="2"/>
    </row>
    <row r="6465">
      <c r="D6465" s="2"/>
    </row>
    <row r="6466">
      <c r="D6466" s="2"/>
    </row>
    <row r="6467">
      <c r="D6467" s="2"/>
    </row>
    <row r="6468">
      <c r="D6468" s="2"/>
    </row>
    <row r="6469">
      <c r="D6469" s="2"/>
    </row>
    <row r="6470">
      <c r="D6470" s="2"/>
    </row>
    <row r="6471">
      <c r="D6471" s="2"/>
    </row>
    <row r="6472">
      <c r="D6472" s="2"/>
    </row>
    <row r="6473">
      <c r="D6473" s="2"/>
    </row>
    <row r="6474">
      <c r="D6474" s="2"/>
    </row>
    <row r="6475">
      <c r="D6475" s="2"/>
    </row>
    <row r="6476">
      <c r="D6476" s="2"/>
    </row>
    <row r="6477">
      <c r="D6477" s="2"/>
    </row>
    <row r="6478">
      <c r="D6478" s="2"/>
    </row>
    <row r="6479">
      <c r="D6479" s="2"/>
    </row>
    <row r="6480">
      <c r="D6480" s="2"/>
    </row>
    <row r="6481">
      <c r="D6481" s="2"/>
    </row>
    <row r="6482">
      <c r="D6482" s="2"/>
    </row>
    <row r="6483">
      <c r="D6483" s="2"/>
    </row>
    <row r="6484">
      <c r="D6484" s="2"/>
    </row>
    <row r="6485">
      <c r="D6485" s="2"/>
    </row>
    <row r="6486">
      <c r="D6486" s="2"/>
    </row>
    <row r="6487">
      <c r="D6487" s="2"/>
    </row>
    <row r="6488">
      <c r="D6488" s="2"/>
    </row>
    <row r="6489">
      <c r="D6489" s="2"/>
    </row>
    <row r="6490">
      <c r="D6490" s="2"/>
    </row>
    <row r="6491">
      <c r="D6491" s="2"/>
    </row>
    <row r="6492">
      <c r="D6492" s="2"/>
    </row>
    <row r="6493">
      <c r="D6493" s="2"/>
    </row>
    <row r="6494">
      <c r="D6494" s="2"/>
    </row>
    <row r="6495">
      <c r="D6495" s="2"/>
    </row>
    <row r="6496">
      <c r="D6496" s="2"/>
    </row>
    <row r="6497">
      <c r="D6497" s="2"/>
    </row>
    <row r="6498">
      <c r="D6498" s="2"/>
    </row>
    <row r="6499">
      <c r="D6499" s="2"/>
    </row>
    <row r="6500">
      <c r="D6500" s="2"/>
    </row>
    <row r="6501">
      <c r="D6501" s="2"/>
    </row>
    <row r="6502">
      <c r="D6502" s="2"/>
    </row>
    <row r="6503">
      <c r="D6503" s="2"/>
    </row>
    <row r="6504">
      <c r="D6504" s="2"/>
    </row>
    <row r="6505">
      <c r="D6505" s="2"/>
    </row>
    <row r="6506">
      <c r="D6506" s="2"/>
    </row>
    <row r="6507">
      <c r="D6507" s="2"/>
    </row>
    <row r="6508">
      <c r="D6508" s="2"/>
    </row>
    <row r="6509">
      <c r="D6509" s="2"/>
    </row>
    <row r="6510">
      <c r="D6510" s="2"/>
    </row>
    <row r="6511">
      <c r="D6511" s="2"/>
    </row>
    <row r="6512">
      <c r="D6512" s="2"/>
    </row>
    <row r="6513">
      <c r="D6513" s="2"/>
    </row>
    <row r="6514">
      <c r="D6514" s="2"/>
    </row>
    <row r="6515">
      <c r="D6515" s="2"/>
    </row>
    <row r="6516">
      <c r="D6516" s="2"/>
    </row>
    <row r="6517">
      <c r="D6517" s="2"/>
    </row>
    <row r="6518">
      <c r="D6518" s="2"/>
    </row>
    <row r="6519">
      <c r="D6519" s="2"/>
    </row>
    <row r="6520">
      <c r="D6520" s="2"/>
    </row>
    <row r="6521">
      <c r="D6521" s="2"/>
    </row>
    <row r="6522">
      <c r="D6522" s="2"/>
    </row>
    <row r="6523">
      <c r="D6523" s="2"/>
    </row>
    <row r="6524">
      <c r="D6524" s="2"/>
    </row>
    <row r="6525">
      <c r="D6525" s="2"/>
    </row>
    <row r="6526">
      <c r="D6526" s="2"/>
    </row>
    <row r="6527">
      <c r="D6527" s="2"/>
    </row>
    <row r="6528">
      <c r="D6528" s="2"/>
    </row>
    <row r="6529">
      <c r="D6529" s="2"/>
    </row>
    <row r="6530">
      <c r="D6530" s="2"/>
    </row>
    <row r="6531">
      <c r="D6531" s="2"/>
    </row>
    <row r="6532">
      <c r="D6532" s="2"/>
    </row>
    <row r="6533">
      <c r="D6533" s="2"/>
    </row>
    <row r="6534">
      <c r="D6534" s="2"/>
    </row>
    <row r="6535">
      <c r="D6535" s="2"/>
    </row>
    <row r="6536">
      <c r="D6536" s="2"/>
    </row>
    <row r="6537">
      <c r="D6537" s="2"/>
    </row>
    <row r="6538">
      <c r="D6538" s="2"/>
    </row>
    <row r="6539">
      <c r="D6539" s="2"/>
    </row>
    <row r="6540">
      <c r="D6540" s="2"/>
    </row>
    <row r="6541">
      <c r="D6541" s="2"/>
    </row>
    <row r="6542">
      <c r="D6542" s="2"/>
    </row>
    <row r="6543">
      <c r="D6543" s="2"/>
    </row>
    <row r="6544">
      <c r="D6544" s="2"/>
    </row>
    <row r="6545">
      <c r="D6545" s="2"/>
    </row>
    <row r="6546">
      <c r="D6546" s="2"/>
    </row>
    <row r="6547">
      <c r="D6547" s="2"/>
    </row>
    <row r="6548">
      <c r="D6548" s="2"/>
    </row>
    <row r="6549">
      <c r="D6549" s="2"/>
    </row>
    <row r="6550">
      <c r="D6550" s="2"/>
    </row>
    <row r="6551">
      <c r="D6551" s="2"/>
    </row>
    <row r="6552">
      <c r="D6552" s="2"/>
    </row>
    <row r="6553">
      <c r="D6553" s="2"/>
    </row>
    <row r="6554">
      <c r="D6554" s="2"/>
    </row>
    <row r="6555">
      <c r="D6555" s="2"/>
    </row>
    <row r="6556">
      <c r="D6556" s="2"/>
    </row>
    <row r="6557">
      <c r="D6557" s="2"/>
    </row>
    <row r="6558">
      <c r="D6558" s="2"/>
    </row>
    <row r="6559">
      <c r="D6559" s="2"/>
    </row>
    <row r="6560">
      <c r="D6560" s="2"/>
    </row>
    <row r="6561">
      <c r="D6561" s="2"/>
    </row>
    <row r="6562">
      <c r="D6562" s="2"/>
    </row>
    <row r="6563">
      <c r="D6563" s="2"/>
    </row>
    <row r="6564">
      <c r="D6564" s="2"/>
    </row>
    <row r="6565">
      <c r="D6565" s="2"/>
    </row>
    <row r="6566">
      <c r="D6566" s="2"/>
    </row>
    <row r="6567">
      <c r="D6567" s="2"/>
    </row>
    <row r="6568">
      <c r="D6568" s="2"/>
    </row>
    <row r="6569">
      <c r="D6569" s="2"/>
    </row>
    <row r="6570">
      <c r="D6570" s="2"/>
    </row>
    <row r="6571">
      <c r="D6571" s="2"/>
    </row>
    <row r="6572">
      <c r="D6572" s="2"/>
    </row>
    <row r="6573">
      <c r="D6573" s="2"/>
    </row>
    <row r="6574">
      <c r="D6574" s="2"/>
    </row>
    <row r="6575">
      <c r="D6575" s="2"/>
    </row>
    <row r="6576">
      <c r="D6576" s="2"/>
    </row>
    <row r="6577">
      <c r="D6577" s="2"/>
    </row>
    <row r="6578">
      <c r="D6578" s="2"/>
    </row>
    <row r="6579">
      <c r="D6579" s="2"/>
    </row>
    <row r="6580">
      <c r="D6580" s="2"/>
    </row>
    <row r="6581">
      <c r="D6581" s="2"/>
    </row>
    <row r="6582">
      <c r="D6582" s="2"/>
    </row>
    <row r="6583">
      <c r="D6583" s="2"/>
    </row>
    <row r="6584">
      <c r="D6584" s="2"/>
    </row>
    <row r="6585">
      <c r="D6585" s="2"/>
    </row>
    <row r="6586">
      <c r="D6586" s="2"/>
    </row>
    <row r="6587">
      <c r="D6587" s="2"/>
    </row>
    <row r="6588">
      <c r="D6588" s="2"/>
    </row>
    <row r="6589">
      <c r="D6589" s="2"/>
    </row>
    <row r="6590">
      <c r="D6590" s="2"/>
    </row>
    <row r="6591">
      <c r="D6591" s="2"/>
    </row>
    <row r="6592">
      <c r="D6592" s="2"/>
    </row>
    <row r="6593">
      <c r="D6593" s="2"/>
    </row>
    <row r="6594">
      <c r="D6594" s="2"/>
    </row>
    <row r="6595">
      <c r="D6595" s="2"/>
    </row>
    <row r="6596">
      <c r="D6596" s="2"/>
    </row>
    <row r="6597">
      <c r="D6597" s="2"/>
    </row>
    <row r="6598">
      <c r="D6598" s="2"/>
    </row>
    <row r="6599">
      <c r="D6599" s="2"/>
    </row>
    <row r="6600">
      <c r="D6600" s="2"/>
    </row>
    <row r="6601">
      <c r="D6601" s="2"/>
    </row>
    <row r="6602">
      <c r="D6602" s="2"/>
    </row>
    <row r="6603">
      <c r="D6603" s="2"/>
    </row>
    <row r="6604">
      <c r="D6604" s="2"/>
    </row>
    <row r="6605">
      <c r="D6605" s="2"/>
    </row>
    <row r="6606">
      <c r="D6606" s="2"/>
    </row>
    <row r="6607">
      <c r="D6607" s="2"/>
    </row>
    <row r="6608">
      <c r="D6608" s="2"/>
    </row>
    <row r="6609">
      <c r="D6609" s="2"/>
    </row>
    <row r="6610">
      <c r="D6610" s="2"/>
    </row>
    <row r="6611">
      <c r="D6611" s="2"/>
    </row>
    <row r="6612">
      <c r="D6612" s="2"/>
    </row>
    <row r="6613">
      <c r="D6613" s="2"/>
    </row>
    <row r="6614">
      <c r="D6614" s="2"/>
    </row>
    <row r="6615">
      <c r="D6615" s="2"/>
    </row>
    <row r="6616">
      <c r="D6616" s="2"/>
    </row>
    <row r="6617">
      <c r="D6617" s="2"/>
    </row>
    <row r="6618">
      <c r="D6618" s="2"/>
    </row>
    <row r="6619">
      <c r="D6619" s="2"/>
    </row>
    <row r="6620">
      <c r="D6620" s="2"/>
    </row>
    <row r="6621">
      <c r="D6621" s="2"/>
    </row>
    <row r="6622">
      <c r="D6622" s="2"/>
    </row>
    <row r="6623">
      <c r="D6623" s="2"/>
    </row>
    <row r="6624">
      <c r="D6624" s="2"/>
    </row>
    <row r="6625">
      <c r="D6625" s="2"/>
    </row>
    <row r="6626">
      <c r="D6626" s="2"/>
    </row>
    <row r="6627">
      <c r="D6627" s="2"/>
    </row>
    <row r="6628">
      <c r="D6628" s="2"/>
    </row>
    <row r="6629">
      <c r="D6629" s="2"/>
    </row>
    <row r="6630">
      <c r="D6630" s="2"/>
    </row>
    <row r="6631">
      <c r="D6631" s="2"/>
    </row>
    <row r="6632">
      <c r="D6632" s="2"/>
    </row>
    <row r="6633">
      <c r="D6633" s="2"/>
    </row>
    <row r="6634">
      <c r="D6634" s="2"/>
    </row>
    <row r="6635">
      <c r="D6635" s="2"/>
    </row>
    <row r="6636">
      <c r="D6636" s="2"/>
    </row>
    <row r="6637">
      <c r="D6637" s="2"/>
    </row>
    <row r="6638">
      <c r="D6638" s="2"/>
    </row>
    <row r="6639">
      <c r="D6639" s="2"/>
    </row>
    <row r="6640">
      <c r="D6640" s="2"/>
    </row>
    <row r="6641">
      <c r="D6641" s="2"/>
    </row>
    <row r="6642">
      <c r="D6642" s="2"/>
    </row>
    <row r="6643">
      <c r="D6643" s="2"/>
    </row>
    <row r="6644">
      <c r="D6644" s="2"/>
    </row>
    <row r="6645">
      <c r="D6645" s="2"/>
    </row>
    <row r="6646">
      <c r="D6646" s="2"/>
    </row>
    <row r="6647">
      <c r="D6647" s="2"/>
    </row>
    <row r="6648">
      <c r="D6648" s="2"/>
    </row>
    <row r="6649">
      <c r="D6649" s="2"/>
    </row>
    <row r="6650">
      <c r="D6650" s="2"/>
    </row>
    <row r="6651">
      <c r="D6651" s="2"/>
    </row>
    <row r="6652">
      <c r="D6652" s="2"/>
    </row>
    <row r="6653">
      <c r="D6653" s="2"/>
    </row>
    <row r="6654">
      <c r="D6654" s="2"/>
    </row>
    <row r="6655">
      <c r="D6655" s="2"/>
    </row>
    <row r="6656">
      <c r="D6656" s="2"/>
    </row>
    <row r="6657">
      <c r="D6657" s="2"/>
    </row>
    <row r="6658">
      <c r="D6658" s="2"/>
    </row>
    <row r="6659">
      <c r="D6659" s="2"/>
    </row>
    <row r="6660">
      <c r="D6660" s="2"/>
    </row>
    <row r="6661">
      <c r="D6661" s="2"/>
    </row>
    <row r="6662">
      <c r="D6662" s="2"/>
    </row>
    <row r="6663">
      <c r="D6663" s="2"/>
    </row>
    <row r="6664">
      <c r="D6664" s="2"/>
    </row>
    <row r="6665">
      <c r="D6665" s="2"/>
    </row>
    <row r="6666">
      <c r="D6666" s="2"/>
    </row>
    <row r="6667">
      <c r="D6667" s="2"/>
    </row>
    <row r="6668">
      <c r="D6668" s="2"/>
    </row>
    <row r="6669">
      <c r="D6669" s="2"/>
    </row>
    <row r="6670">
      <c r="D6670" s="2"/>
    </row>
    <row r="6671">
      <c r="D6671" s="2"/>
    </row>
    <row r="6672">
      <c r="D6672" s="2"/>
    </row>
    <row r="6673">
      <c r="D6673" s="2"/>
    </row>
    <row r="6674">
      <c r="D6674" s="2"/>
    </row>
    <row r="6675">
      <c r="D6675" s="2"/>
    </row>
    <row r="6676">
      <c r="D6676" s="2"/>
    </row>
    <row r="6677">
      <c r="D6677" s="2"/>
    </row>
    <row r="6678">
      <c r="D6678" s="2"/>
    </row>
    <row r="6679">
      <c r="D6679" s="2"/>
    </row>
    <row r="6680">
      <c r="D6680" s="2"/>
    </row>
    <row r="6681">
      <c r="D6681" s="2"/>
    </row>
    <row r="6682">
      <c r="D6682" s="2"/>
    </row>
    <row r="6683">
      <c r="D6683" s="2"/>
    </row>
    <row r="6684">
      <c r="D6684" s="2"/>
    </row>
    <row r="6685">
      <c r="D6685" s="2"/>
    </row>
    <row r="6686">
      <c r="D6686" s="2"/>
    </row>
    <row r="6687">
      <c r="D6687" s="2"/>
    </row>
    <row r="6688">
      <c r="D6688" s="2"/>
    </row>
    <row r="6689">
      <c r="D6689" s="2"/>
    </row>
    <row r="6690">
      <c r="D6690" s="2"/>
    </row>
    <row r="6691">
      <c r="D6691" s="2"/>
    </row>
    <row r="6692">
      <c r="D6692" s="2"/>
    </row>
    <row r="6693">
      <c r="D6693" s="2"/>
    </row>
    <row r="6694">
      <c r="D6694" s="2"/>
    </row>
    <row r="6695">
      <c r="D6695" s="2"/>
    </row>
    <row r="6696">
      <c r="D6696" s="2"/>
    </row>
    <row r="6697">
      <c r="D6697" s="2"/>
    </row>
    <row r="6698">
      <c r="D6698" s="2"/>
    </row>
    <row r="6699">
      <c r="D6699" s="2"/>
    </row>
    <row r="6700">
      <c r="D6700" s="2"/>
    </row>
    <row r="6701">
      <c r="D6701" s="2"/>
    </row>
    <row r="6702">
      <c r="D6702" s="2"/>
    </row>
    <row r="6703">
      <c r="D6703" s="2"/>
    </row>
    <row r="6704">
      <c r="D6704" s="2"/>
    </row>
    <row r="6705">
      <c r="D6705" s="2"/>
    </row>
    <row r="6706">
      <c r="D6706" s="2"/>
    </row>
    <row r="6707">
      <c r="D6707" s="2"/>
    </row>
    <row r="6708">
      <c r="D6708" s="2"/>
    </row>
    <row r="6709">
      <c r="D6709" s="2"/>
    </row>
    <row r="6710">
      <c r="D6710" s="2"/>
    </row>
    <row r="6711">
      <c r="D6711" s="2"/>
    </row>
    <row r="6712">
      <c r="D6712" s="2"/>
    </row>
    <row r="6713">
      <c r="D6713" s="2"/>
    </row>
    <row r="6714">
      <c r="D6714" s="2"/>
    </row>
    <row r="6715">
      <c r="D6715" s="2"/>
    </row>
    <row r="6716">
      <c r="D6716" s="2"/>
    </row>
    <row r="6717">
      <c r="D6717" s="2"/>
    </row>
    <row r="6718">
      <c r="D6718" s="2"/>
    </row>
    <row r="6719">
      <c r="D6719" s="2"/>
    </row>
    <row r="6720">
      <c r="D6720" s="2"/>
    </row>
    <row r="6721">
      <c r="D6721" s="2"/>
    </row>
    <row r="6722">
      <c r="D6722" s="2"/>
    </row>
    <row r="6723">
      <c r="D6723" s="2"/>
    </row>
    <row r="6724">
      <c r="D6724" s="2"/>
    </row>
    <row r="6725">
      <c r="D6725" s="2"/>
    </row>
    <row r="6726">
      <c r="D6726" s="2"/>
    </row>
    <row r="6727">
      <c r="D6727" s="2"/>
    </row>
    <row r="6728">
      <c r="D6728" s="2"/>
    </row>
    <row r="6729">
      <c r="D6729" s="2"/>
    </row>
    <row r="6730">
      <c r="D6730" s="2"/>
    </row>
    <row r="6731">
      <c r="D6731" s="2"/>
    </row>
    <row r="6732">
      <c r="D6732" s="2"/>
    </row>
    <row r="6733">
      <c r="D6733" s="2"/>
    </row>
    <row r="6734">
      <c r="D6734" s="2"/>
    </row>
    <row r="6735">
      <c r="D6735" s="2"/>
    </row>
    <row r="6736">
      <c r="D6736" s="2"/>
    </row>
    <row r="6737">
      <c r="D6737" s="2"/>
    </row>
    <row r="6738">
      <c r="D6738" s="2"/>
    </row>
    <row r="6739">
      <c r="D6739" s="2"/>
    </row>
    <row r="6740">
      <c r="D6740" s="2"/>
    </row>
    <row r="6741">
      <c r="D6741" s="2"/>
    </row>
    <row r="6742">
      <c r="D6742" s="2"/>
    </row>
    <row r="6743">
      <c r="D6743" s="2"/>
    </row>
    <row r="6744">
      <c r="D6744" s="2"/>
    </row>
    <row r="6745">
      <c r="D6745" s="2"/>
    </row>
    <row r="6746">
      <c r="D6746" s="2"/>
    </row>
    <row r="6747">
      <c r="D6747" s="2"/>
    </row>
    <row r="6748">
      <c r="D6748" s="2"/>
    </row>
    <row r="6749">
      <c r="D6749" s="2"/>
    </row>
    <row r="6750">
      <c r="D6750" s="2"/>
    </row>
    <row r="6751">
      <c r="D6751" s="2"/>
    </row>
    <row r="6752">
      <c r="D6752" s="2"/>
    </row>
    <row r="6753">
      <c r="D6753" s="2"/>
    </row>
    <row r="6754">
      <c r="D6754" s="2"/>
    </row>
    <row r="6755">
      <c r="D6755" s="2"/>
    </row>
    <row r="6756">
      <c r="D6756" s="2"/>
    </row>
    <row r="6757">
      <c r="D6757" s="2"/>
    </row>
    <row r="6758">
      <c r="D6758" s="2"/>
    </row>
    <row r="6759">
      <c r="D6759" s="2"/>
    </row>
    <row r="6760">
      <c r="D6760" s="2"/>
    </row>
    <row r="6761">
      <c r="D6761" s="2"/>
    </row>
    <row r="6762">
      <c r="D6762" s="2"/>
    </row>
    <row r="6763">
      <c r="D6763" s="2"/>
    </row>
    <row r="6764">
      <c r="D6764" s="2"/>
    </row>
    <row r="6765">
      <c r="D6765" s="2"/>
    </row>
    <row r="6766">
      <c r="D6766" s="2"/>
    </row>
    <row r="6767">
      <c r="D6767" s="2"/>
    </row>
    <row r="6768">
      <c r="D6768" s="2"/>
    </row>
    <row r="6769">
      <c r="D6769" s="2"/>
    </row>
    <row r="6770">
      <c r="D6770" s="2"/>
    </row>
    <row r="6771">
      <c r="D6771" s="2"/>
    </row>
    <row r="6772">
      <c r="D6772" s="2"/>
    </row>
    <row r="6773">
      <c r="D6773" s="2"/>
    </row>
    <row r="6774">
      <c r="D6774" s="2"/>
    </row>
    <row r="6775">
      <c r="D6775" s="2"/>
    </row>
    <row r="6776">
      <c r="D6776" s="2"/>
    </row>
    <row r="6777">
      <c r="D6777" s="2"/>
    </row>
    <row r="6778">
      <c r="D6778" s="2"/>
    </row>
    <row r="6779">
      <c r="D6779" s="2"/>
    </row>
    <row r="6780">
      <c r="D6780" s="2"/>
    </row>
    <row r="6781">
      <c r="D6781" s="2"/>
    </row>
    <row r="6782">
      <c r="D6782" s="2"/>
    </row>
    <row r="6783">
      <c r="D6783" s="2"/>
    </row>
    <row r="6784">
      <c r="D6784" s="2"/>
    </row>
    <row r="6785">
      <c r="D6785" s="2"/>
    </row>
    <row r="6786">
      <c r="D6786" s="2"/>
    </row>
    <row r="6787">
      <c r="D6787" s="2"/>
    </row>
    <row r="6788">
      <c r="D6788" s="2"/>
    </row>
    <row r="6789">
      <c r="D6789" s="2"/>
    </row>
    <row r="6790">
      <c r="D6790" s="2"/>
    </row>
    <row r="6791">
      <c r="D6791" s="2"/>
    </row>
    <row r="6792">
      <c r="D6792" s="2"/>
    </row>
    <row r="6793">
      <c r="D6793" s="2"/>
    </row>
    <row r="6794">
      <c r="D6794" s="2"/>
    </row>
    <row r="6795">
      <c r="D6795" s="2"/>
    </row>
    <row r="6796">
      <c r="D6796" s="2"/>
    </row>
    <row r="6797">
      <c r="D6797" s="2"/>
    </row>
    <row r="6798">
      <c r="D6798" s="2"/>
    </row>
    <row r="6799">
      <c r="D6799" s="2"/>
    </row>
    <row r="6800">
      <c r="D6800" s="2"/>
    </row>
    <row r="6801">
      <c r="D6801" s="2"/>
    </row>
    <row r="6802">
      <c r="D6802" s="2"/>
    </row>
    <row r="6803">
      <c r="D6803" s="2"/>
    </row>
    <row r="6804">
      <c r="D6804" s="2"/>
    </row>
    <row r="6805">
      <c r="D6805" s="2"/>
    </row>
    <row r="6806">
      <c r="D6806" s="2"/>
    </row>
    <row r="6807">
      <c r="D6807" s="2"/>
    </row>
    <row r="6808">
      <c r="D6808" s="2"/>
    </row>
    <row r="6809">
      <c r="D6809" s="2"/>
    </row>
    <row r="6810">
      <c r="D6810" s="2"/>
    </row>
    <row r="6811">
      <c r="D6811" s="2"/>
    </row>
    <row r="6812">
      <c r="D6812" s="2"/>
    </row>
    <row r="6813">
      <c r="D6813" s="2"/>
    </row>
    <row r="6814">
      <c r="D6814" s="2"/>
    </row>
    <row r="6815">
      <c r="D6815" s="2"/>
    </row>
    <row r="6816">
      <c r="D6816" s="2"/>
    </row>
    <row r="6817">
      <c r="D6817" s="2"/>
    </row>
    <row r="6818">
      <c r="D6818" s="2"/>
    </row>
    <row r="6819">
      <c r="D6819" s="2"/>
    </row>
    <row r="6820">
      <c r="D6820" s="2"/>
    </row>
    <row r="6821">
      <c r="D6821" s="2"/>
    </row>
    <row r="6822">
      <c r="D6822" s="2"/>
    </row>
    <row r="6823">
      <c r="D6823" s="2"/>
    </row>
    <row r="6824">
      <c r="D6824" s="2"/>
    </row>
    <row r="6825">
      <c r="D6825" s="2"/>
    </row>
    <row r="6826">
      <c r="D6826" s="2"/>
    </row>
    <row r="6827">
      <c r="D6827" s="2"/>
    </row>
    <row r="6828">
      <c r="D6828" s="2"/>
    </row>
    <row r="6829">
      <c r="D6829" s="2"/>
    </row>
    <row r="6830">
      <c r="D6830" s="2"/>
    </row>
    <row r="6831">
      <c r="D6831" s="2"/>
    </row>
    <row r="6832">
      <c r="D6832" s="2"/>
    </row>
    <row r="6833">
      <c r="D6833" s="2"/>
    </row>
    <row r="6834">
      <c r="D6834" s="2"/>
    </row>
    <row r="6835">
      <c r="D6835" s="2"/>
    </row>
    <row r="6836">
      <c r="D6836" s="2"/>
    </row>
    <row r="6837">
      <c r="D6837" s="2"/>
    </row>
    <row r="6838">
      <c r="D6838" s="2"/>
    </row>
    <row r="6839">
      <c r="D6839" s="2"/>
    </row>
    <row r="6840">
      <c r="D6840" s="2"/>
    </row>
    <row r="6841">
      <c r="D6841" s="2"/>
    </row>
    <row r="6842">
      <c r="D6842" s="2"/>
    </row>
    <row r="6843">
      <c r="D6843" s="2"/>
    </row>
    <row r="6844">
      <c r="D6844" s="2"/>
    </row>
    <row r="6845">
      <c r="D6845" s="2"/>
    </row>
    <row r="6846">
      <c r="D6846" s="2"/>
    </row>
    <row r="6847">
      <c r="D6847" s="2"/>
    </row>
    <row r="6848">
      <c r="D6848" s="2"/>
    </row>
    <row r="6849">
      <c r="D6849" s="2"/>
    </row>
    <row r="6850">
      <c r="D6850" s="2"/>
    </row>
    <row r="6851">
      <c r="D6851" s="2"/>
    </row>
    <row r="6852">
      <c r="D6852" s="2"/>
    </row>
    <row r="6853">
      <c r="D6853" s="2"/>
    </row>
    <row r="6854">
      <c r="D6854" s="2"/>
    </row>
    <row r="6855">
      <c r="D6855" s="2"/>
    </row>
    <row r="6856">
      <c r="D6856" s="2"/>
    </row>
    <row r="6857">
      <c r="D6857" s="2"/>
    </row>
    <row r="6858">
      <c r="D6858" s="2"/>
    </row>
    <row r="6859">
      <c r="D6859" s="2"/>
    </row>
    <row r="6860">
      <c r="D6860" s="2"/>
    </row>
    <row r="6861">
      <c r="D6861" s="2"/>
    </row>
    <row r="6862">
      <c r="D6862" s="2"/>
    </row>
    <row r="6863">
      <c r="D6863" s="2"/>
    </row>
    <row r="6864">
      <c r="D6864" s="2"/>
    </row>
    <row r="6865">
      <c r="D6865" s="2"/>
    </row>
    <row r="6866">
      <c r="D6866" s="2"/>
    </row>
    <row r="6867">
      <c r="D6867" s="2"/>
    </row>
    <row r="6868">
      <c r="D6868" s="2"/>
    </row>
    <row r="6869">
      <c r="D6869" s="2"/>
    </row>
    <row r="6870">
      <c r="D6870" s="2"/>
    </row>
    <row r="6871">
      <c r="D6871" s="2"/>
    </row>
    <row r="6872">
      <c r="D6872" s="2"/>
    </row>
    <row r="6873">
      <c r="D6873" s="2"/>
    </row>
    <row r="6874">
      <c r="D6874" s="2"/>
    </row>
    <row r="6875">
      <c r="D6875" s="2"/>
    </row>
    <row r="6876">
      <c r="D6876" s="2"/>
    </row>
    <row r="6877">
      <c r="D6877" s="2"/>
    </row>
    <row r="6878">
      <c r="D6878" s="2"/>
    </row>
    <row r="6879">
      <c r="D6879" s="2"/>
    </row>
    <row r="6880">
      <c r="D6880" s="2"/>
    </row>
    <row r="6881">
      <c r="D6881" s="2"/>
    </row>
    <row r="6882">
      <c r="D6882" s="2"/>
    </row>
    <row r="6883">
      <c r="D6883" s="2"/>
    </row>
    <row r="6884">
      <c r="D6884" s="2"/>
    </row>
    <row r="6885">
      <c r="D6885" s="2"/>
    </row>
    <row r="6886">
      <c r="D6886" s="2"/>
    </row>
    <row r="6887">
      <c r="D6887" s="2"/>
    </row>
    <row r="6888">
      <c r="D6888" s="2"/>
    </row>
    <row r="6889">
      <c r="D6889" s="2"/>
    </row>
    <row r="6890">
      <c r="D6890" s="2"/>
    </row>
    <row r="6891">
      <c r="D6891" s="2"/>
    </row>
    <row r="6892">
      <c r="D6892" s="2"/>
    </row>
    <row r="6893">
      <c r="D6893" s="2"/>
    </row>
    <row r="6894">
      <c r="D6894" s="2"/>
    </row>
    <row r="6895">
      <c r="D6895" s="2"/>
    </row>
    <row r="6896">
      <c r="D6896" s="2"/>
    </row>
    <row r="6897">
      <c r="D6897" s="2"/>
    </row>
    <row r="6898">
      <c r="D6898" s="2"/>
    </row>
    <row r="6899">
      <c r="D6899" s="2"/>
    </row>
    <row r="6900">
      <c r="D6900" s="2"/>
    </row>
    <row r="6901">
      <c r="D6901" s="2"/>
    </row>
    <row r="6902">
      <c r="D6902" s="2"/>
    </row>
    <row r="6903">
      <c r="D6903" s="2"/>
    </row>
    <row r="6904">
      <c r="D6904" s="2"/>
    </row>
    <row r="6905">
      <c r="D6905" s="2"/>
    </row>
    <row r="6906">
      <c r="D6906" s="2"/>
    </row>
    <row r="6907">
      <c r="D6907" s="2"/>
    </row>
    <row r="6908">
      <c r="D6908" s="2"/>
    </row>
    <row r="6909">
      <c r="D6909" s="2"/>
    </row>
    <row r="6910">
      <c r="D6910" s="2"/>
    </row>
    <row r="6911">
      <c r="D6911" s="2"/>
    </row>
    <row r="6912">
      <c r="D6912" s="2"/>
    </row>
    <row r="6913">
      <c r="D6913" s="2"/>
    </row>
    <row r="6914">
      <c r="D6914" s="2"/>
    </row>
    <row r="6915">
      <c r="D6915" s="2"/>
    </row>
    <row r="6916">
      <c r="D6916" s="2"/>
    </row>
    <row r="6917">
      <c r="D6917" s="2"/>
    </row>
    <row r="6918">
      <c r="D6918" s="2"/>
    </row>
    <row r="6919">
      <c r="D6919" s="2"/>
    </row>
    <row r="6920">
      <c r="D6920" s="2"/>
    </row>
    <row r="6921">
      <c r="D6921" s="2"/>
    </row>
    <row r="6922">
      <c r="D6922" s="2"/>
    </row>
    <row r="6923">
      <c r="D6923" s="2"/>
    </row>
    <row r="6924">
      <c r="D6924" s="2"/>
    </row>
    <row r="6925">
      <c r="D6925" s="2"/>
    </row>
    <row r="6926">
      <c r="D6926" s="2"/>
    </row>
    <row r="6927">
      <c r="D6927" s="2"/>
    </row>
    <row r="6928">
      <c r="D6928" s="2"/>
    </row>
    <row r="6929">
      <c r="D6929" s="2"/>
    </row>
    <row r="6930">
      <c r="D6930" s="2"/>
    </row>
    <row r="6931">
      <c r="D6931" s="2"/>
    </row>
    <row r="6932">
      <c r="D6932" s="2"/>
    </row>
    <row r="6933">
      <c r="D6933" s="2"/>
    </row>
    <row r="6934">
      <c r="D6934" s="2"/>
    </row>
    <row r="6935">
      <c r="D6935" s="2"/>
    </row>
    <row r="6936">
      <c r="D6936" s="2"/>
    </row>
    <row r="6937">
      <c r="D6937" s="2"/>
    </row>
    <row r="6938">
      <c r="D6938" s="2"/>
    </row>
    <row r="6939">
      <c r="D6939" s="2"/>
    </row>
    <row r="6940">
      <c r="D6940" s="2"/>
    </row>
    <row r="6941">
      <c r="D6941" s="2"/>
    </row>
    <row r="6942">
      <c r="D6942" s="2"/>
    </row>
    <row r="6943">
      <c r="D6943" s="2"/>
    </row>
    <row r="6944">
      <c r="D6944" s="2"/>
    </row>
    <row r="6945">
      <c r="D6945" s="2"/>
    </row>
    <row r="6946">
      <c r="D6946" s="2"/>
    </row>
    <row r="6947">
      <c r="D6947" s="2"/>
    </row>
    <row r="6948">
      <c r="D6948" s="2"/>
    </row>
    <row r="6949">
      <c r="D6949" s="2"/>
    </row>
    <row r="6950">
      <c r="D6950" s="2"/>
    </row>
    <row r="6951">
      <c r="D6951" s="2"/>
    </row>
    <row r="6952">
      <c r="D6952" s="2"/>
    </row>
    <row r="6953">
      <c r="D6953" s="2"/>
    </row>
    <row r="6954">
      <c r="D6954" s="2"/>
    </row>
    <row r="6955">
      <c r="D6955" s="2"/>
    </row>
    <row r="6956">
      <c r="D6956" s="2"/>
    </row>
    <row r="6957">
      <c r="D6957" s="2"/>
    </row>
    <row r="6958">
      <c r="D6958" s="2"/>
    </row>
    <row r="6959">
      <c r="D6959" s="2"/>
    </row>
    <row r="6960">
      <c r="D6960" s="2"/>
    </row>
    <row r="6961">
      <c r="D6961" s="2"/>
    </row>
    <row r="6962">
      <c r="D6962" s="2"/>
    </row>
    <row r="6963">
      <c r="D6963" s="2"/>
    </row>
    <row r="6964">
      <c r="D6964" s="2"/>
    </row>
    <row r="6965">
      <c r="D6965" s="2"/>
    </row>
    <row r="6966">
      <c r="D6966" s="2"/>
    </row>
    <row r="6967">
      <c r="D6967" s="2"/>
    </row>
    <row r="6968">
      <c r="D6968" s="2"/>
    </row>
    <row r="6969">
      <c r="D6969" s="2"/>
    </row>
    <row r="6970">
      <c r="D6970" s="2"/>
    </row>
    <row r="6971">
      <c r="D6971" s="2"/>
    </row>
    <row r="6972">
      <c r="D6972" s="2"/>
    </row>
    <row r="6973">
      <c r="D6973" s="2"/>
    </row>
    <row r="6974">
      <c r="D6974" s="2"/>
    </row>
    <row r="6975">
      <c r="D6975" s="2"/>
    </row>
    <row r="6976">
      <c r="D6976" s="2"/>
    </row>
    <row r="6977">
      <c r="D6977" s="2"/>
    </row>
    <row r="6978">
      <c r="D6978" s="2"/>
    </row>
    <row r="6979">
      <c r="D6979" s="2"/>
    </row>
    <row r="6980">
      <c r="D6980" s="2"/>
    </row>
    <row r="6981">
      <c r="D6981" s="2"/>
    </row>
    <row r="6982">
      <c r="D6982" s="2"/>
    </row>
    <row r="6983">
      <c r="D6983" s="2"/>
    </row>
    <row r="6984">
      <c r="D6984" s="2"/>
    </row>
    <row r="6985">
      <c r="D6985" s="2"/>
    </row>
    <row r="6986">
      <c r="D6986" s="2"/>
    </row>
    <row r="6987">
      <c r="D6987" s="2"/>
    </row>
    <row r="6988">
      <c r="D6988" s="2"/>
    </row>
    <row r="6989">
      <c r="D6989" s="2"/>
    </row>
    <row r="6990">
      <c r="D6990" s="2"/>
    </row>
    <row r="6991">
      <c r="D6991" s="2"/>
    </row>
    <row r="6992">
      <c r="D6992" s="2"/>
    </row>
    <row r="6993">
      <c r="D6993" s="2"/>
    </row>
    <row r="6994">
      <c r="D6994" s="2"/>
    </row>
    <row r="6995">
      <c r="D6995" s="2"/>
    </row>
    <row r="6996">
      <c r="D6996" s="2"/>
    </row>
    <row r="6997">
      <c r="D6997" s="2"/>
    </row>
    <row r="6998">
      <c r="D6998" s="2"/>
    </row>
    <row r="6999">
      <c r="D6999" s="2"/>
    </row>
    <row r="7000">
      <c r="D7000" s="2"/>
    </row>
    <row r="7001">
      <c r="D7001" s="2"/>
    </row>
    <row r="7002">
      <c r="D7002" s="2"/>
    </row>
    <row r="7003">
      <c r="D7003" s="2"/>
    </row>
    <row r="7004">
      <c r="D7004" s="2"/>
    </row>
    <row r="7005">
      <c r="D7005" s="2"/>
    </row>
    <row r="7006">
      <c r="D7006" s="2"/>
    </row>
    <row r="7007">
      <c r="D7007" s="2"/>
    </row>
    <row r="7008">
      <c r="D7008" s="2"/>
    </row>
    <row r="7009">
      <c r="D7009" s="2"/>
    </row>
    <row r="7010">
      <c r="D7010" s="2"/>
    </row>
    <row r="7011">
      <c r="D7011" s="2"/>
    </row>
    <row r="7012">
      <c r="D7012" s="2"/>
    </row>
    <row r="7013">
      <c r="D7013" s="2"/>
    </row>
    <row r="7014">
      <c r="D7014" s="2"/>
    </row>
    <row r="7015">
      <c r="D7015" s="2"/>
    </row>
    <row r="7016">
      <c r="D7016" s="2"/>
    </row>
    <row r="7017">
      <c r="D7017" s="2"/>
    </row>
    <row r="7018">
      <c r="D7018" s="2"/>
    </row>
    <row r="7019">
      <c r="D7019" s="2"/>
    </row>
    <row r="7020">
      <c r="D7020" s="2"/>
    </row>
    <row r="7021">
      <c r="D7021" s="2"/>
    </row>
    <row r="7022">
      <c r="D7022" s="2"/>
    </row>
    <row r="7023">
      <c r="D7023" s="2"/>
    </row>
    <row r="7024">
      <c r="D7024" s="2"/>
    </row>
    <row r="7025">
      <c r="D7025" s="2"/>
    </row>
    <row r="7026">
      <c r="D7026" s="2"/>
    </row>
    <row r="7027">
      <c r="D7027" s="2"/>
    </row>
    <row r="7028">
      <c r="D7028" s="2"/>
    </row>
    <row r="7029">
      <c r="D7029" s="2"/>
    </row>
    <row r="7030">
      <c r="D7030" s="2"/>
    </row>
    <row r="7031">
      <c r="D7031" s="2"/>
    </row>
    <row r="7032">
      <c r="D7032" s="2"/>
    </row>
    <row r="7033">
      <c r="D7033" s="2"/>
    </row>
    <row r="7034">
      <c r="D7034" s="2"/>
    </row>
    <row r="7035">
      <c r="D7035" s="2"/>
    </row>
    <row r="7036">
      <c r="D7036" s="2"/>
    </row>
    <row r="7037">
      <c r="D7037" s="2"/>
    </row>
    <row r="7038">
      <c r="D7038" s="2"/>
    </row>
    <row r="7039">
      <c r="D7039" s="2"/>
    </row>
    <row r="7040">
      <c r="D7040" s="2"/>
    </row>
    <row r="7041">
      <c r="D7041" s="2"/>
    </row>
    <row r="7042">
      <c r="D7042" s="2"/>
    </row>
    <row r="7043">
      <c r="D7043" s="2"/>
    </row>
    <row r="7044">
      <c r="D7044" s="2"/>
    </row>
    <row r="7045">
      <c r="D7045" s="2"/>
    </row>
    <row r="7046">
      <c r="D7046" s="2"/>
    </row>
    <row r="7047">
      <c r="D7047" s="2"/>
    </row>
    <row r="7048">
      <c r="D7048" s="2"/>
    </row>
    <row r="7049">
      <c r="D7049" s="2"/>
    </row>
    <row r="7050">
      <c r="D7050" s="2"/>
    </row>
    <row r="7051">
      <c r="D7051" s="2"/>
    </row>
    <row r="7052">
      <c r="D7052" s="2"/>
    </row>
    <row r="7053">
      <c r="D7053" s="2"/>
    </row>
    <row r="7054">
      <c r="D7054" s="2"/>
    </row>
    <row r="7055">
      <c r="D7055" s="2"/>
    </row>
    <row r="7056">
      <c r="D7056" s="2"/>
    </row>
    <row r="7057">
      <c r="D7057" s="2"/>
    </row>
    <row r="7058">
      <c r="D7058" s="2"/>
    </row>
    <row r="7059">
      <c r="D7059" s="2"/>
    </row>
    <row r="7060">
      <c r="D7060" s="2"/>
    </row>
    <row r="7061">
      <c r="D7061" s="2"/>
    </row>
    <row r="7062">
      <c r="D7062" s="2"/>
    </row>
    <row r="7063">
      <c r="D7063" s="2"/>
    </row>
    <row r="7064">
      <c r="D7064" s="2"/>
    </row>
    <row r="7065">
      <c r="D7065" s="2"/>
    </row>
    <row r="7066">
      <c r="D7066" s="2"/>
    </row>
    <row r="7067">
      <c r="D7067" s="2"/>
    </row>
    <row r="7068">
      <c r="D7068" s="2"/>
    </row>
    <row r="7069">
      <c r="D7069" s="2"/>
    </row>
    <row r="7070">
      <c r="D7070" s="2"/>
    </row>
    <row r="7071">
      <c r="D7071" s="2"/>
    </row>
    <row r="7072">
      <c r="D7072" s="2"/>
    </row>
    <row r="7073">
      <c r="D7073" s="2"/>
    </row>
    <row r="7074">
      <c r="D7074" s="2"/>
    </row>
    <row r="7075">
      <c r="D7075" s="2"/>
    </row>
    <row r="7076">
      <c r="D7076" s="2"/>
    </row>
    <row r="7077">
      <c r="D7077" s="2"/>
    </row>
    <row r="7078">
      <c r="D7078" s="2"/>
    </row>
    <row r="7079">
      <c r="D7079" s="2"/>
    </row>
    <row r="7080">
      <c r="D7080" s="2"/>
    </row>
    <row r="7081">
      <c r="D7081" s="2"/>
    </row>
    <row r="7082">
      <c r="D7082" s="2"/>
    </row>
    <row r="7083">
      <c r="D7083" s="2"/>
    </row>
    <row r="7084">
      <c r="D7084" s="2"/>
    </row>
    <row r="7085">
      <c r="D7085" s="2"/>
    </row>
    <row r="7086">
      <c r="D7086" s="2"/>
    </row>
    <row r="7087">
      <c r="D7087" s="2"/>
    </row>
    <row r="7088">
      <c r="D7088" s="2"/>
    </row>
    <row r="7089">
      <c r="D7089" s="2"/>
    </row>
    <row r="7090">
      <c r="D7090" s="2"/>
    </row>
    <row r="7091">
      <c r="D7091" s="2"/>
    </row>
    <row r="7092">
      <c r="D7092" s="2"/>
    </row>
    <row r="7093">
      <c r="D7093" s="2"/>
    </row>
    <row r="7094">
      <c r="D7094" s="2"/>
    </row>
    <row r="7095">
      <c r="D7095" s="2"/>
    </row>
    <row r="7096">
      <c r="D7096" s="2"/>
    </row>
    <row r="7097">
      <c r="D7097" s="2"/>
    </row>
    <row r="7098">
      <c r="D7098" s="2"/>
    </row>
    <row r="7099">
      <c r="D7099" s="2"/>
    </row>
    <row r="7100">
      <c r="D7100" s="2"/>
    </row>
    <row r="7101">
      <c r="D7101" s="2"/>
    </row>
    <row r="7102">
      <c r="D7102" s="2"/>
    </row>
    <row r="7103">
      <c r="D7103" s="2"/>
    </row>
    <row r="7104">
      <c r="D7104" s="2"/>
    </row>
    <row r="7105">
      <c r="D7105" s="2"/>
    </row>
    <row r="7106">
      <c r="D7106" s="2"/>
    </row>
    <row r="7107">
      <c r="D7107" s="2"/>
    </row>
    <row r="7108">
      <c r="D7108" s="2"/>
    </row>
    <row r="7109">
      <c r="D7109" s="2"/>
    </row>
    <row r="7110">
      <c r="D7110" s="2"/>
    </row>
    <row r="7111">
      <c r="D7111" s="2"/>
    </row>
    <row r="7112">
      <c r="D7112" s="2"/>
    </row>
    <row r="7113">
      <c r="D7113" s="2"/>
    </row>
    <row r="7114">
      <c r="D7114" s="2"/>
    </row>
    <row r="7115">
      <c r="D7115" s="2"/>
    </row>
    <row r="7116">
      <c r="D7116" s="2"/>
    </row>
    <row r="7117">
      <c r="D7117" s="2"/>
    </row>
    <row r="7118">
      <c r="D7118" s="2"/>
    </row>
    <row r="7119">
      <c r="D7119" s="2"/>
    </row>
    <row r="7120">
      <c r="D7120" s="2"/>
    </row>
    <row r="7121">
      <c r="D7121" s="2"/>
    </row>
    <row r="7122">
      <c r="D7122" s="2"/>
    </row>
    <row r="7123">
      <c r="D7123" s="2"/>
    </row>
    <row r="7124">
      <c r="D7124" s="2"/>
    </row>
    <row r="7125">
      <c r="D7125" s="2"/>
    </row>
    <row r="7126">
      <c r="D7126" s="2"/>
    </row>
    <row r="7127">
      <c r="D7127" s="2"/>
    </row>
    <row r="7128">
      <c r="D7128" s="2"/>
    </row>
    <row r="7129">
      <c r="D7129" s="2"/>
    </row>
    <row r="7130">
      <c r="D7130" s="2"/>
    </row>
    <row r="7131">
      <c r="D7131" s="2"/>
    </row>
    <row r="7132">
      <c r="D7132" s="2"/>
    </row>
    <row r="7133">
      <c r="D7133" s="2"/>
    </row>
    <row r="7134">
      <c r="D7134" s="2"/>
    </row>
    <row r="7135">
      <c r="D7135" s="2"/>
    </row>
    <row r="7136">
      <c r="D7136" s="2"/>
    </row>
    <row r="7137">
      <c r="D7137" s="2"/>
    </row>
    <row r="7138">
      <c r="D7138" s="2"/>
    </row>
    <row r="7139">
      <c r="D7139" s="2"/>
    </row>
    <row r="7140">
      <c r="D7140" s="2"/>
    </row>
    <row r="7141">
      <c r="D7141" s="2"/>
    </row>
    <row r="7142">
      <c r="D7142" s="2"/>
    </row>
    <row r="7143">
      <c r="D7143" s="2"/>
    </row>
    <row r="7144">
      <c r="D7144" s="2"/>
    </row>
    <row r="7145">
      <c r="D7145" s="2"/>
    </row>
    <row r="7146">
      <c r="D7146" s="2"/>
    </row>
    <row r="7147">
      <c r="D7147" s="2"/>
    </row>
    <row r="7148">
      <c r="D7148" s="2"/>
    </row>
    <row r="7149">
      <c r="D7149" s="2"/>
    </row>
    <row r="7150">
      <c r="D7150" s="2"/>
    </row>
    <row r="7151">
      <c r="D7151" s="2"/>
    </row>
    <row r="7152">
      <c r="D7152" s="2"/>
    </row>
    <row r="7153">
      <c r="D7153" s="2"/>
    </row>
    <row r="7154">
      <c r="D7154" s="2"/>
    </row>
    <row r="7155">
      <c r="D7155" s="2"/>
    </row>
    <row r="7156">
      <c r="D7156" s="2"/>
    </row>
    <row r="7157">
      <c r="D7157" s="2"/>
    </row>
    <row r="7158">
      <c r="D7158" s="2"/>
    </row>
    <row r="7159">
      <c r="D7159" s="2"/>
    </row>
    <row r="7160">
      <c r="D7160" s="2"/>
    </row>
    <row r="7161">
      <c r="D7161" s="2"/>
    </row>
    <row r="7162">
      <c r="D7162" s="2"/>
    </row>
    <row r="7163">
      <c r="D7163" s="2"/>
    </row>
    <row r="7164">
      <c r="D7164" s="2"/>
    </row>
    <row r="7165">
      <c r="D7165" s="2"/>
    </row>
    <row r="7166">
      <c r="D7166" s="2"/>
    </row>
    <row r="7167">
      <c r="D7167" s="2"/>
    </row>
    <row r="7168">
      <c r="D7168" s="2"/>
    </row>
    <row r="7169">
      <c r="D7169" s="2"/>
    </row>
    <row r="7170">
      <c r="D7170" s="2"/>
    </row>
    <row r="7171">
      <c r="D7171" s="2"/>
    </row>
    <row r="7172">
      <c r="D7172" s="2"/>
    </row>
    <row r="7173">
      <c r="D7173" s="2"/>
    </row>
    <row r="7174">
      <c r="D7174" s="2"/>
    </row>
    <row r="7175">
      <c r="D7175" s="2"/>
    </row>
    <row r="7176">
      <c r="D7176" s="2"/>
    </row>
    <row r="7177">
      <c r="D7177" s="2"/>
    </row>
    <row r="7178">
      <c r="D7178" s="2"/>
    </row>
    <row r="7179">
      <c r="D7179" s="2"/>
    </row>
    <row r="7180">
      <c r="D7180" s="2"/>
    </row>
    <row r="7181">
      <c r="D7181" s="2"/>
    </row>
    <row r="7182">
      <c r="D7182" s="2"/>
    </row>
    <row r="7183">
      <c r="D7183" s="2"/>
    </row>
    <row r="7184">
      <c r="D7184" s="2"/>
    </row>
    <row r="7185">
      <c r="D7185" s="2"/>
    </row>
    <row r="7186">
      <c r="D7186" s="2"/>
    </row>
    <row r="7187">
      <c r="D7187" s="2"/>
    </row>
    <row r="7188">
      <c r="D7188" s="2"/>
    </row>
    <row r="7189">
      <c r="D7189" s="2"/>
    </row>
    <row r="7190">
      <c r="D7190" s="2"/>
    </row>
    <row r="7191">
      <c r="D7191" s="2"/>
    </row>
    <row r="7192">
      <c r="D7192" s="2"/>
    </row>
    <row r="7193">
      <c r="D7193" s="2"/>
    </row>
    <row r="7194">
      <c r="D7194" s="2"/>
    </row>
    <row r="7195">
      <c r="D7195" s="2"/>
    </row>
    <row r="7196">
      <c r="D7196" s="2"/>
    </row>
    <row r="7197">
      <c r="D7197" s="2"/>
    </row>
    <row r="7198">
      <c r="D7198" s="2"/>
    </row>
    <row r="7199">
      <c r="D7199" s="2"/>
    </row>
    <row r="7200">
      <c r="D7200" s="2"/>
    </row>
    <row r="7201">
      <c r="D7201" s="2"/>
    </row>
    <row r="7202">
      <c r="D7202" s="2"/>
    </row>
    <row r="7203">
      <c r="D7203" s="2"/>
    </row>
    <row r="7204">
      <c r="D7204" s="2"/>
    </row>
    <row r="7205">
      <c r="D7205" s="2"/>
    </row>
    <row r="7206">
      <c r="D7206" s="2"/>
    </row>
    <row r="7207">
      <c r="D7207" s="2"/>
    </row>
    <row r="7208">
      <c r="D7208" s="2"/>
    </row>
    <row r="7209">
      <c r="D7209" s="2"/>
    </row>
    <row r="7210">
      <c r="D7210" s="2"/>
    </row>
    <row r="7211">
      <c r="D7211" s="2"/>
    </row>
    <row r="7212">
      <c r="D7212" s="2"/>
    </row>
    <row r="7213">
      <c r="D7213" s="2"/>
    </row>
    <row r="7214">
      <c r="D7214" s="2"/>
    </row>
    <row r="7215">
      <c r="D7215" s="2"/>
    </row>
    <row r="7216">
      <c r="D7216" s="2"/>
    </row>
    <row r="7217">
      <c r="D7217" s="2"/>
    </row>
    <row r="7218">
      <c r="D7218" s="2"/>
    </row>
    <row r="7219">
      <c r="D7219" s="2"/>
    </row>
    <row r="7220">
      <c r="D7220" s="2"/>
    </row>
    <row r="7221">
      <c r="D7221" s="2"/>
    </row>
    <row r="7222">
      <c r="D7222" s="2"/>
    </row>
    <row r="7223">
      <c r="D7223" s="2"/>
    </row>
    <row r="7224">
      <c r="D7224" s="2"/>
    </row>
    <row r="7225">
      <c r="D7225" s="2"/>
    </row>
    <row r="7226">
      <c r="D7226" s="2"/>
    </row>
    <row r="7227">
      <c r="D7227" s="2"/>
    </row>
    <row r="7228">
      <c r="D7228" s="2"/>
    </row>
    <row r="7229">
      <c r="D7229" s="2"/>
    </row>
    <row r="7230">
      <c r="D7230" s="2"/>
    </row>
    <row r="7231">
      <c r="D7231" s="2"/>
    </row>
    <row r="7232">
      <c r="D7232" s="2"/>
    </row>
    <row r="7233">
      <c r="D7233" s="2"/>
    </row>
    <row r="7234">
      <c r="D7234" s="2"/>
    </row>
    <row r="7235">
      <c r="D7235" s="2"/>
    </row>
    <row r="7236">
      <c r="D7236" s="2"/>
    </row>
    <row r="7237">
      <c r="D7237" s="2"/>
    </row>
    <row r="7238">
      <c r="D7238" s="2"/>
    </row>
    <row r="7239">
      <c r="D7239" s="2"/>
    </row>
    <row r="7240">
      <c r="D7240" s="2"/>
    </row>
    <row r="7241">
      <c r="D7241" s="2"/>
    </row>
    <row r="7242">
      <c r="D7242" s="2"/>
    </row>
    <row r="7243">
      <c r="D7243" s="2"/>
    </row>
    <row r="7244">
      <c r="D7244" s="2"/>
    </row>
    <row r="7245">
      <c r="D7245" s="2"/>
    </row>
    <row r="7246">
      <c r="D7246" s="2"/>
    </row>
    <row r="7247">
      <c r="D7247" s="2"/>
    </row>
    <row r="7248">
      <c r="D7248" s="2"/>
    </row>
    <row r="7249">
      <c r="D7249" s="2"/>
    </row>
    <row r="7250">
      <c r="D7250" s="2"/>
    </row>
    <row r="7251">
      <c r="D7251" s="2"/>
    </row>
    <row r="7252">
      <c r="D7252" s="2"/>
    </row>
    <row r="7253">
      <c r="D7253" s="2"/>
    </row>
    <row r="7254">
      <c r="D7254" s="2"/>
    </row>
    <row r="7255">
      <c r="D7255" s="2"/>
    </row>
    <row r="7256">
      <c r="D7256" s="2"/>
    </row>
    <row r="7257">
      <c r="D7257" s="2"/>
    </row>
    <row r="7258">
      <c r="D7258" s="2"/>
    </row>
    <row r="7259">
      <c r="D7259" s="2"/>
    </row>
    <row r="7260">
      <c r="D7260" s="2"/>
    </row>
    <row r="7261">
      <c r="D7261" s="2"/>
    </row>
    <row r="7262">
      <c r="D7262" s="2"/>
    </row>
    <row r="7263">
      <c r="D7263" s="2"/>
    </row>
    <row r="7264">
      <c r="D7264" s="2"/>
    </row>
    <row r="7265">
      <c r="D7265" s="2"/>
    </row>
    <row r="7266">
      <c r="D7266" s="2"/>
    </row>
    <row r="7267">
      <c r="D7267" s="2"/>
    </row>
    <row r="7268">
      <c r="D7268" s="2"/>
    </row>
    <row r="7269">
      <c r="D7269" s="2"/>
    </row>
    <row r="7270">
      <c r="D7270" s="2"/>
    </row>
    <row r="7271">
      <c r="D7271" s="2"/>
    </row>
    <row r="7272">
      <c r="D7272" s="2"/>
    </row>
    <row r="7273">
      <c r="D7273" s="2"/>
    </row>
    <row r="7274">
      <c r="D7274" s="2"/>
    </row>
    <row r="7275">
      <c r="D7275" s="2"/>
    </row>
    <row r="7276">
      <c r="D7276" s="2"/>
    </row>
    <row r="7277">
      <c r="D7277" s="2"/>
    </row>
    <row r="7278">
      <c r="D7278" s="2"/>
    </row>
    <row r="7279">
      <c r="D7279" s="2"/>
    </row>
    <row r="7280">
      <c r="D7280" s="2"/>
    </row>
    <row r="7281">
      <c r="D7281" s="2"/>
    </row>
    <row r="7282">
      <c r="D7282" s="2"/>
    </row>
    <row r="7283">
      <c r="D7283" s="2"/>
    </row>
    <row r="7284">
      <c r="D7284" s="2"/>
    </row>
    <row r="7285">
      <c r="D7285" s="2"/>
    </row>
    <row r="7286">
      <c r="D7286" s="2"/>
    </row>
    <row r="7287">
      <c r="D7287" s="2"/>
    </row>
    <row r="7288">
      <c r="D7288" s="2"/>
    </row>
    <row r="7289">
      <c r="D7289" s="2"/>
    </row>
    <row r="7290">
      <c r="D7290" s="2"/>
    </row>
    <row r="7291">
      <c r="D7291" s="2"/>
    </row>
    <row r="7292">
      <c r="D7292" s="2"/>
    </row>
    <row r="7293">
      <c r="D7293" s="2"/>
    </row>
    <row r="7294">
      <c r="D7294" s="2"/>
    </row>
    <row r="7295">
      <c r="D7295" s="2"/>
    </row>
    <row r="7296">
      <c r="D7296" s="2"/>
    </row>
    <row r="7297">
      <c r="D7297" s="2"/>
    </row>
    <row r="7298">
      <c r="D7298" s="2"/>
    </row>
    <row r="7299">
      <c r="D7299" s="2"/>
    </row>
    <row r="7300">
      <c r="D7300" s="2"/>
    </row>
    <row r="7301">
      <c r="D7301" s="2"/>
    </row>
    <row r="7302">
      <c r="D7302" s="2"/>
    </row>
    <row r="7303">
      <c r="D7303" s="2"/>
    </row>
    <row r="7304">
      <c r="D7304" s="2"/>
    </row>
    <row r="7305">
      <c r="D7305" s="2"/>
    </row>
    <row r="7306">
      <c r="D7306" s="2"/>
    </row>
    <row r="7307">
      <c r="D7307" s="2"/>
    </row>
    <row r="7308">
      <c r="D7308" s="2"/>
    </row>
    <row r="7309">
      <c r="D7309" s="2"/>
    </row>
    <row r="7310">
      <c r="D7310" s="2"/>
    </row>
    <row r="7311">
      <c r="D7311" s="2"/>
    </row>
    <row r="7312">
      <c r="D7312" s="2"/>
    </row>
    <row r="7313">
      <c r="D7313" s="2"/>
    </row>
    <row r="7314">
      <c r="D7314" s="2"/>
    </row>
    <row r="7315">
      <c r="D7315" s="2"/>
    </row>
    <row r="7316">
      <c r="D7316" s="2"/>
    </row>
    <row r="7317">
      <c r="D7317" s="2"/>
    </row>
    <row r="7318">
      <c r="D7318" s="2"/>
    </row>
    <row r="7319">
      <c r="D7319" s="2"/>
    </row>
    <row r="7320">
      <c r="D7320" s="2"/>
    </row>
    <row r="7321">
      <c r="D7321" s="2"/>
    </row>
    <row r="7322">
      <c r="D7322" s="2"/>
    </row>
    <row r="7323">
      <c r="D7323" s="2"/>
    </row>
    <row r="7324">
      <c r="D7324" s="2"/>
    </row>
    <row r="7325">
      <c r="D7325" s="2"/>
    </row>
    <row r="7326">
      <c r="D7326" s="2"/>
    </row>
    <row r="7327">
      <c r="D7327" s="2"/>
    </row>
    <row r="7328">
      <c r="D7328" s="2"/>
    </row>
    <row r="7329">
      <c r="D7329" s="2"/>
    </row>
    <row r="7330">
      <c r="D7330" s="2"/>
    </row>
    <row r="7331">
      <c r="D7331" s="2"/>
    </row>
    <row r="7332">
      <c r="D7332" s="2"/>
    </row>
    <row r="7333">
      <c r="D7333" s="2"/>
    </row>
    <row r="7334">
      <c r="D7334" s="2"/>
    </row>
    <row r="7335">
      <c r="D7335" s="2"/>
    </row>
    <row r="7336">
      <c r="D7336" s="2"/>
    </row>
    <row r="7337">
      <c r="D7337" s="2"/>
    </row>
    <row r="7338">
      <c r="D7338" s="2"/>
    </row>
    <row r="7339">
      <c r="D7339" s="2"/>
    </row>
    <row r="7340">
      <c r="D7340" s="2"/>
    </row>
    <row r="7341">
      <c r="D7341" s="2"/>
    </row>
    <row r="7342">
      <c r="D7342" s="2"/>
    </row>
    <row r="7343">
      <c r="D7343" s="2"/>
    </row>
    <row r="7344">
      <c r="D7344" s="2"/>
    </row>
    <row r="7345">
      <c r="D7345" s="2"/>
    </row>
    <row r="7346">
      <c r="D7346" s="2"/>
    </row>
    <row r="7347">
      <c r="D7347" s="2"/>
    </row>
    <row r="7348">
      <c r="D7348" s="2"/>
    </row>
    <row r="7349">
      <c r="D7349" s="2"/>
    </row>
    <row r="7350">
      <c r="D7350" s="2"/>
    </row>
    <row r="7351">
      <c r="D7351" s="2"/>
    </row>
    <row r="7352">
      <c r="D7352" s="2"/>
    </row>
    <row r="7353">
      <c r="D7353" s="2"/>
    </row>
    <row r="7354">
      <c r="D7354" s="2"/>
    </row>
    <row r="7355">
      <c r="D7355" s="2"/>
    </row>
    <row r="7356">
      <c r="D7356" s="2"/>
    </row>
    <row r="7357">
      <c r="D7357" s="2"/>
    </row>
    <row r="7358">
      <c r="D7358" s="2"/>
    </row>
    <row r="7359">
      <c r="D7359" s="2"/>
    </row>
    <row r="7360">
      <c r="D7360" s="2"/>
    </row>
    <row r="7361">
      <c r="D7361" s="2"/>
    </row>
    <row r="7362">
      <c r="D7362" s="2"/>
    </row>
    <row r="7363">
      <c r="D7363" s="2"/>
    </row>
    <row r="7364">
      <c r="D7364" s="2"/>
    </row>
    <row r="7365">
      <c r="D7365" s="2"/>
    </row>
    <row r="7366">
      <c r="D7366" s="2"/>
    </row>
    <row r="7367">
      <c r="D7367" s="2"/>
    </row>
    <row r="7368">
      <c r="D7368" s="2"/>
    </row>
    <row r="7369">
      <c r="D7369" s="2"/>
    </row>
    <row r="7370">
      <c r="D7370" s="2"/>
    </row>
    <row r="7371">
      <c r="D7371" s="2"/>
    </row>
    <row r="7372">
      <c r="D7372" s="2"/>
    </row>
    <row r="7373">
      <c r="D7373" s="2"/>
    </row>
    <row r="7374">
      <c r="D7374" s="2"/>
    </row>
    <row r="7375">
      <c r="D7375" s="2"/>
    </row>
    <row r="7376">
      <c r="D7376" s="2"/>
    </row>
    <row r="7377">
      <c r="D7377" s="2"/>
    </row>
    <row r="7378">
      <c r="D7378" s="2"/>
    </row>
    <row r="7379">
      <c r="D7379" s="2"/>
    </row>
    <row r="7380">
      <c r="D7380" s="2"/>
    </row>
    <row r="7381">
      <c r="D7381" s="2"/>
    </row>
    <row r="7382">
      <c r="D7382" s="2"/>
    </row>
    <row r="7383">
      <c r="D7383" s="2"/>
    </row>
    <row r="7384">
      <c r="D7384" s="2"/>
    </row>
    <row r="7385">
      <c r="D7385" s="2"/>
    </row>
    <row r="7386">
      <c r="D7386" s="2"/>
    </row>
    <row r="7387">
      <c r="D7387" s="2"/>
    </row>
    <row r="7388">
      <c r="D7388" s="2"/>
    </row>
    <row r="7389">
      <c r="D7389" s="2"/>
    </row>
    <row r="7390">
      <c r="D7390" s="2"/>
    </row>
    <row r="7391">
      <c r="D7391" s="2"/>
    </row>
    <row r="7392">
      <c r="D7392" s="2"/>
    </row>
    <row r="7393">
      <c r="D7393" s="2"/>
    </row>
    <row r="7394">
      <c r="D7394" s="2"/>
    </row>
    <row r="7395">
      <c r="D7395" s="2"/>
    </row>
    <row r="7396">
      <c r="D7396" s="2"/>
    </row>
    <row r="7397">
      <c r="D7397" s="2"/>
    </row>
    <row r="7398">
      <c r="D7398" s="2"/>
    </row>
    <row r="7399">
      <c r="D7399" s="2"/>
    </row>
    <row r="7400">
      <c r="D7400" s="2"/>
    </row>
    <row r="7401">
      <c r="D7401" s="2"/>
    </row>
    <row r="7402">
      <c r="D7402" s="2"/>
    </row>
    <row r="7403">
      <c r="D7403" s="2"/>
    </row>
    <row r="7404">
      <c r="D7404" s="2"/>
    </row>
    <row r="7405">
      <c r="D7405" s="2"/>
    </row>
    <row r="7406">
      <c r="D7406" s="2"/>
    </row>
    <row r="7407">
      <c r="D7407" s="2"/>
    </row>
    <row r="7408">
      <c r="D7408" s="2"/>
    </row>
    <row r="7409">
      <c r="D7409" s="2"/>
    </row>
    <row r="7410">
      <c r="D7410" s="2"/>
    </row>
    <row r="7411">
      <c r="D7411" s="2"/>
    </row>
    <row r="7412">
      <c r="D7412" s="2"/>
    </row>
    <row r="7413">
      <c r="D7413" s="2"/>
    </row>
    <row r="7414">
      <c r="D7414" s="2"/>
    </row>
    <row r="7415">
      <c r="D7415" s="2"/>
    </row>
    <row r="7416">
      <c r="D7416" s="2"/>
    </row>
    <row r="7417">
      <c r="D7417" s="2"/>
    </row>
    <row r="7418">
      <c r="D7418" s="2"/>
    </row>
    <row r="7419">
      <c r="D7419" s="2"/>
    </row>
    <row r="7420">
      <c r="D7420" s="2"/>
    </row>
    <row r="7421">
      <c r="D7421" s="2"/>
    </row>
    <row r="7422">
      <c r="D7422" s="2"/>
    </row>
    <row r="7423">
      <c r="D7423" s="2"/>
    </row>
    <row r="7424">
      <c r="D7424" s="2"/>
    </row>
    <row r="7425">
      <c r="D7425" s="2"/>
    </row>
    <row r="7426">
      <c r="D7426" s="2"/>
    </row>
    <row r="7427">
      <c r="D7427" s="2"/>
    </row>
    <row r="7428">
      <c r="D7428" s="2"/>
    </row>
    <row r="7429">
      <c r="D7429" s="2"/>
    </row>
    <row r="7430">
      <c r="D7430" s="2"/>
    </row>
    <row r="7431">
      <c r="D7431" s="2"/>
    </row>
    <row r="7432">
      <c r="D7432" s="2"/>
    </row>
    <row r="7433">
      <c r="D7433" s="2"/>
    </row>
    <row r="7434">
      <c r="D7434" s="2"/>
    </row>
    <row r="7435">
      <c r="D7435" s="2"/>
    </row>
    <row r="7436">
      <c r="D7436" s="2"/>
    </row>
    <row r="7437">
      <c r="D7437" s="2"/>
    </row>
    <row r="7438">
      <c r="D7438" s="2"/>
    </row>
    <row r="7439">
      <c r="D7439" s="2"/>
    </row>
    <row r="7440">
      <c r="D7440" s="2"/>
    </row>
    <row r="7441">
      <c r="D7441" s="2"/>
    </row>
    <row r="7442">
      <c r="D7442" s="2"/>
    </row>
    <row r="7443">
      <c r="D7443" s="2"/>
    </row>
    <row r="7444">
      <c r="D7444" s="2"/>
    </row>
    <row r="7445">
      <c r="D7445" s="2"/>
    </row>
    <row r="7446">
      <c r="D7446" s="2"/>
    </row>
    <row r="7447">
      <c r="D7447" s="2"/>
    </row>
    <row r="7448">
      <c r="D7448" s="2"/>
    </row>
    <row r="7449">
      <c r="D7449" s="2"/>
    </row>
    <row r="7450">
      <c r="D7450" s="2"/>
    </row>
    <row r="7451">
      <c r="D7451" s="2"/>
    </row>
    <row r="7452">
      <c r="D7452" s="2"/>
    </row>
    <row r="7453">
      <c r="D7453" s="2"/>
    </row>
    <row r="7454">
      <c r="D7454" s="2"/>
    </row>
    <row r="7455">
      <c r="D7455" s="2"/>
    </row>
    <row r="7456">
      <c r="D7456" s="2"/>
    </row>
    <row r="7457">
      <c r="D7457" s="2"/>
    </row>
    <row r="7458">
      <c r="D7458" s="2"/>
    </row>
    <row r="7459">
      <c r="D7459" s="2"/>
    </row>
    <row r="7460">
      <c r="D7460" s="2"/>
    </row>
    <row r="7461">
      <c r="D7461" s="2"/>
    </row>
    <row r="7462">
      <c r="D7462" s="2"/>
    </row>
    <row r="7463">
      <c r="D7463" s="2"/>
    </row>
    <row r="7464">
      <c r="D7464" s="2"/>
    </row>
    <row r="7465">
      <c r="D7465" s="2"/>
    </row>
    <row r="7466">
      <c r="D7466" s="2"/>
    </row>
    <row r="7467">
      <c r="D7467" s="2"/>
    </row>
    <row r="7468">
      <c r="D7468" s="2"/>
    </row>
    <row r="7469">
      <c r="D7469" s="2"/>
    </row>
    <row r="7470">
      <c r="D7470" s="2"/>
    </row>
    <row r="7471">
      <c r="D7471" s="2"/>
    </row>
    <row r="7472">
      <c r="D7472" s="2"/>
    </row>
    <row r="7473">
      <c r="D7473" s="2"/>
    </row>
    <row r="7474">
      <c r="D7474" s="2"/>
    </row>
    <row r="7475">
      <c r="D7475" s="2"/>
    </row>
    <row r="7476">
      <c r="D7476" s="2"/>
    </row>
    <row r="7477">
      <c r="D7477" s="2"/>
    </row>
    <row r="7478">
      <c r="D7478" s="2"/>
    </row>
    <row r="7479">
      <c r="D7479" s="2"/>
    </row>
    <row r="7480">
      <c r="D7480" s="2"/>
    </row>
    <row r="7481">
      <c r="D7481" s="2"/>
    </row>
    <row r="7482">
      <c r="D7482" s="2"/>
    </row>
    <row r="7483">
      <c r="D7483" s="2"/>
    </row>
    <row r="7484">
      <c r="D7484" s="2"/>
    </row>
    <row r="7485">
      <c r="D7485" s="2"/>
    </row>
    <row r="7486">
      <c r="D7486" s="2"/>
    </row>
    <row r="7487">
      <c r="D7487" s="2"/>
    </row>
    <row r="7488">
      <c r="D7488" s="2"/>
    </row>
    <row r="7489">
      <c r="D7489" s="2"/>
    </row>
    <row r="7490">
      <c r="D7490" s="2"/>
    </row>
    <row r="7491">
      <c r="D7491" s="2"/>
    </row>
    <row r="7492">
      <c r="D7492" s="2"/>
    </row>
    <row r="7493">
      <c r="D7493" s="2"/>
    </row>
    <row r="7494">
      <c r="D7494" s="2"/>
    </row>
    <row r="7495">
      <c r="D7495" s="2"/>
    </row>
    <row r="7496">
      <c r="D7496" s="2"/>
    </row>
    <row r="7497">
      <c r="D7497" s="2"/>
    </row>
    <row r="7498">
      <c r="D7498" s="2"/>
    </row>
    <row r="7499">
      <c r="D7499" s="2"/>
    </row>
    <row r="7500">
      <c r="D7500" s="2"/>
    </row>
    <row r="7501">
      <c r="D7501" s="2"/>
    </row>
    <row r="7502">
      <c r="D7502" s="2"/>
    </row>
    <row r="7503">
      <c r="D7503" s="2"/>
    </row>
    <row r="7504">
      <c r="D7504" s="2"/>
    </row>
    <row r="7505">
      <c r="D7505" s="2"/>
    </row>
    <row r="7506">
      <c r="D7506" s="2"/>
    </row>
    <row r="7507">
      <c r="D7507" s="2"/>
    </row>
    <row r="7508">
      <c r="D7508" s="2"/>
    </row>
    <row r="7509">
      <c r="D7509" s="2"/>
    </row>
    <row r="7510">
      <c r="D7510" s="2"/>
    </row>
    <row r="7511">
      <c r="D7511" s="2"/>
    </row>
    <row r="7512">
      <c r="D7512" s="2"/>
    </row>
    <row r="7513">
      <c r="D7513" s="2"/>
    </row>
    <row r="7514">
      <c r="D7514" s="2"/>
    </row>
    <row r="7515">
      <c r="D7515" s="2"/>
    </row>
    <row r="7516">
      <c r="D7516" s="2"/>
    </row>
    <row r="7517">
      <c r="D7517" s="2"/>
    </row>
    <row r="7518">
      <c r="D7518" s="2"/>
    </row>
    <row r="7519">
      <c r="D7519" s="2"/>
    </row>
    <row r="7520">
      <c r="D7520" s="2"/>
    </row>
    <row r="7521">
      <c r="D7521" s="2"/>
    </row>
    <row r="7522">
      <c r="D7522" s="2"/>
    </row>
    <row r="7523">
      <c r="D7523" s="2"/>
    </row>
    <row r="7524">
      <c r="D7524" s="2"/>
    </row>
    <row r="7525">
      <c r="D7525" s="2"/>
    </row>
    <row r="7526">
      <c r="D7526" s="2"/>
    </row>
    <row r="7527">
      <c r="D7527" s="2"/>
    </row>
    <row r="7528">
      <c r="D7528" s="2"/>
    </row>
    <row r="7529">
      <c r="D7529" s="2"/>
    </row>
    <row r="7530">
      <c r="D7530" s="2"/>
    </row>
    <row r="7531">
      <c r="D7531" s="2"/>
    </row>
    <row r="7532">
      <c r="D7532" s="2"/>
    </row>
    <row r="7533">
      <c r="D7533" s="2"/>
    </row>
    <row r="7534">
      <c r="D7534" s="2"/>
    </row>
    <row r="7535">
      <c r="D7535" s="2"/>
    </row>
    <row r="7536">
      <c r="D7536" s="2"/>
    </row>
    <row r="7537">
      <c r="D7537" s="2"/>
    </row>
    <row r="7538">
      <c r="D7538" s="2"/>
    </row>
    <row r="7539">
      <c r="D7539" s="2"/>
    </row>
    <row r="7540">
      <c r="D7540" s="2"/>
    </row>
    <row r="7541">
      <c r="D7541" s="2"/>
    </row>
    <row r="7542">
      <c r="D7542" s="2"/>
    </row>
    <row r="7543">
      <c r="D7543" s="2"/>
    </row>
    <row r="7544">
      <c r="D7544" s="2"/>
    </row>
    <row r="7545">
      <c r="D7545" s="2"/>
    </row>
    <row r="7546">
      <c r="D7546" s="2"/>
    </row>
    <row r="7547">
      <c r="D7547" s="2"/>
    </row>
    <row r="7548">
      <c r="D7548" s="2"/>
    </row>
    <row r="7549">
      <c r="D7549" s="2"/>
    </row>
    <row r="7550">
      <c r="D7550" s="2"/>
    </row>
    <row r="7551">
      <c r="D7551" s="2"/>
    </row>
    <row r="7552">
      <c r="D7552" s="2"/>
    </row>
    <row r="7553">
      <c r="D7553" s="2"/>
    </row>
    <row r="7554">
      <c r="D7554" s="2"/>
    </row>
    <row r="7555">
      <c r="D7555" s="2"/>
    </row>
    <row r="7556">
      <c r="D7556" s="2"/>
    </row>
    <row r="7557">
      <c r="D7557" s="2"/>
    </row>
    <row r="7558">
      <c r="D7558" s="2"/>
    </row>
    <row r="7559">
      <c r="D7559" s="2"/>
    </row>
    <row r="7560">
      <c r="D7560" s="2"/>
    </row>
    <row r="7561">
      <c r="D7561" s="2"/>
    </row>
    <row r="7562">
      <c r="D7562" s="2"/>
    </row>
    <row r="7563">
      <c r="D7563" s="2"/>
    </row>
    <row r="7564">
      <c r="D7564" s="2"/>
    </row>
    <row r="7565">
      <c r="D7565" s="2"/>
    </row>
    <row r="7566">
      <c r="D7566" s="2"/>
    </row>
    <row r="7567">
      <c r="D7567" s="2"/>
    </row>
    <row r="7568">
      <c r="D7568" s="2"/>
    </row>
    <row r="7569">
      <c r="D7569" s="2"/>
    </row>
    <row r="7570">
      <c r="D7570" s="2"/>
    </row>
    <row r="7571">
      <c r="D7571" s="2"/>
    </row>
    <row r="7572">
      <c r="D7572" s="2"/>
    </row>
    <row r="7573">
      <c r="D7573" s="2"/>
    </row>
    <row r="7574">
      <c r="D7574" s="2"/>
    </row>
    <row r="7575">
      <c r="D7575" s="2"/>
    </row>
    <row r="7576">
      <c r="D7576" s="2"/>
    </row>
    <row r="7577">
      <c r="D7577" s="2"/>
    </row>
    <row r="7578">
      <c r="D7578" s="2"/>
    </row>
    <row r="7579">
      <c r="D7579" s="2"/>
    </row>
    <row r="7580">
      <c r="D7580" s="2"/>
    </row>
    <row r="7581">
      <c r="D7581" s="2"/>
    </row>
    <row r="7582">
      <c r="D7582" s="2"/>
    </row>
    <row r="7583">
      <c r="D7583" s="2"/>
    </row>
    <row r="7584">
      <c r="D7584" s="2"/>
    </row>
    <row r="7585">
      <c r="D7585" s="2"/>
    </row>
    <row r="7586">
      <c r="D7586" s="2"/>
    </row>
    <row r="7587">
      <c r="D7587" s="2"/>
    </row>
    <row r="7588">
      <c r="D7588" s="2"/>
    </row>
    <row r="7589">
      <c r="D7589" s="2"/>
    </row>
    <row r="7590">
      <c r="D7590" s="2"/>
    </row>
    <row r="7591">
      <c r="D7591" s="2"/>
    </row>
    <row r="7592">
      <c r="D7592" s="2"/>
    </row>
    <row r="7593">
      <c r="D7593" s="2"/>
    </row>
    <row r="7594">
      <c r="D7594" s="2"/>
    </row>
    <row r="7595">
      <c r="D7595" s="2"/>
    </row>
    <row r="7596">
      <c r="D7596" s="2"/>
    </row>
    <row r="7597">
      <c r="D7597" s="2"/>
    </row>
    <row r="7598">
      <c r="D7598" s="2"/>
    </row>
    <row r="7599">
      <c r="D7599" s="2"/>
    </row>
    <row r="7600">
      <c r="D7600" s="2"/>
    </row>
    <row r="7601">
      <c r="D7601" s="2"/>
    </row>
    <row r="7602">
      <c r="D7602" s="2"/>
    </row>
    <row r="7603">
      <c r="D7603" s="2"/>
    </row>
    <row r="7604">
      <c r="D7604" s="2"/>
    </row>
    <row r="7605">
      <c r="D7605" s="2"/>
    </row>
    <row r="7606">
      <c r="D7606" s="2"/>
    </row>
    <row r="7607">
      <c r="D7607" s="2"/>
    </row>
    <row r="7608">
      <c r="D7608" s="2"/>
    </row>
    <row r="7609">
      <c r="D7609" s="2"/>
    </row>
    <row r="7610">
      <c r="D7610" s="2"/>
    </row>
    <row r="7611">
      <c r="D7611" s="2"/>
    </row>
    <row r="7612">
      <c r="D7612" s="2"/>
    </row>
    <row r="7613">
      <c r="D7613" s="2"/>
    </row>
    <row r="7614">
      <c r="D7614" s="2"/>
    </row>
    <row r="7615">
      <c r="D7615" s="2"/>
    </row>
    <row r="7616">
      <c r="D7616" s="2"/>
    </row>
    <row r="7617">
      <c r="D7617" s="2"/>
    </row>
    <row r="7618">
      <c r="D7618" s="2"/>
    </row>
    <row r="7619">
      <c r="D7619" s="2"/>
    </row>
    <row r="7620">
      <c r="D7620" s="2"/>
    </row>
    <row r="7621">
      <c r="D7621" s="2"/>
    </row>
    <row r="7622">
      <c r="D7622" s="2"/>
    </row>
    <row r="7623">
      <c r="D7623" s="2"/>
    </row>
    <row r="7624">
      <c r="D7624" s="2"/>
    </row>
    <row r="7625">
      <c r="D7625" s="2"/>
    </row>
    <row r="7626">
      <c r="D7626" s="2"/>
    </row>
    <row r="7627">
      <c r="D7627" s="2"/>
    </row>
    <row r="7628">
      <c r="D7628" s="2"/>
    </row>
    <row r="7629">
      <c r="D7629" s="2"/>
    </row>
    <row r="7630">
      <c r="D7630" s="2"/>
    </row>
    <row r="7631">
      <c r="D7631" s="2"/>
    </row>
    <row r="7632">
      <c r="D7632" s="2"/>
    </row>
    <row r="7633">
      <c r="D7633" s="2"/>
    </row>
    <row r="7634">
      <c r="D7634" s="2"/>
    </row>
    <row r="7635">
      <c r="D7635" s="2"/>
    </row>
    <row r="7636">
      <c r="D7636" s="2"/>
    </row>
    <row r="7637">
      <c r="D7637" s="2"/>
    </row>
    <row r="7638">
      <c r="D7638" s="2"/>
    </row>
    <row r="7639">
      <c r="D7639" s="2"/>
    </row>
    <row r="7640">
      <c r="D7640" s="2"/>
    </row>
    <row r="7641">
      <c r="D7641" s="2"/>
    </row>
    <row r="7642">
      <c r="D7642" s="2"/>
    </row>
    <row r="7643">
      <c r="D7643" s="2"/>
    </row>
    <row r="7644">
      <c r="D7644" s="2"/>
    </row>
    <row r="7645">
      <c r="D7645" s="2"/>
    </row>
    <row r="7646">
      <c r="D7646" s="2"/>
    </row>
    <row r="7647">
      <c r="D7647" s="2"/>
    </row>
    <row r="7648">
      <c r="D7648" s="2"/>
    </row>
    <row r="7649">
      <c r="D7649" s="2"/>
    </row>
    <row r="7650">
      <c r="D7650" s="2"/>
    </row>
    <row r="7651">
      <c r="D7651" s="2"/>
    </row>
    <row r="7652">
      <c r="D7652" s="2"/>
    </row>
    <row r="7653">
      <c r="D7653" s="2"/>
    </row>
    <row r="7654">
      <c r="D7654" s="2"/>
    </row>
    <row r="7655">
      <c r="D7655" s="2"/>
    </row>
    <row r="7656">
      <c r="D7656" s="2"/>
    </row>
    <row r="7657">
      <c r="D7657" s="2"/>
    </row>
    <row r="7658">
      <c r="D7658" s="2"/>
    </row>
    <row r="7659">
      <c r="D7659" s="2"/>
    </row>
    <row r="7660">
      <c r="D7660" s="2"/>
    </row>
    <row r="7661">
      <c r="D7661" s="2"/>
    </row>
    <row r="7662">
      <c r="D7662" s="2"/>
    </row>
    <row r="7663">
      <c r="D7663" s="2"/>
    </row>
    <row r="7664">
      <c r="D7664" s="2"/>
    </row>
    <row r="7665">
      <c r="D7665" s="2"/>
    </row>
    <row r="7666">
      <c r="D7666" s="2"/>
    </row>
    <row r="7667">
      <c r="D7667" s="2"/>
    </row>
    <row r="7668">
      <c r="D7668" s="2"/>
    </row>
    <row r="7669">
      <c r="D7669" s="2"/>
    </row>
    <row r="7670">
      <c r="D7670" s="2"/>
    </row>
    <row r="7671">
      <c r="D7671" s="2"/>
    </row>
    <row r="7672">
      <c r="D7672" s="2"/>
    </row>
    <row r="7673">
      <c r="D7673" s="2"/>
    </row>
    <row r="7674">
      <c r="D7674" s="2"/>
    </row>
    <row r="7675">
      <c r="D7675" s="2"/>
    </row>
    <row r="7676">
      <c r="D7676" s="2"/>
    </row>
    <row r="7677">
      <c r="D7677" s="2"/>
    </row>
    <row r="7678">
      <c r="D7678" s="2"/>
    </row>
    <row r="7679">
      <c r="D7679" s="2"/>
    </row>
    <row r="7680">
      <c r="D7680" s="2"/>
    </row>
    <row r="7681">
      <c r="D7681" s="2"/>
    </row>
    <row r="7682">
      <c r="D7682" s="2"/>
    </row>
    <row r="7683">
      <c r="D7683" s="2"/>
    </row>
    <row r="7684">
      <c r="D7684" s="2"/>
    </row>
    <row r="7685">
      <c r="D7685" s="2"/>
    </row>
    <row r="7686">
      <c r="D7686" s="2"/>
    </row>
    <row r="7687">
      <c r="D7687" s="2"/>
    </row>
    <row r="7688">
      <c r="D7688" s="2"/>
    </row>
    <row r="7689">
      <c r="D7689" s="2"/>
    </row>
    <row r="7690">
      <c r="D7690" s="2"/>
    </row>
    <row r="7691">
      <c r="D7691" s="2"/>
    </row>
    <row r="7692">
      <c r="D7692" s="2"/>
    </row>
    <row r="7693">
      <c r="D7693" s="2"/>
    </row>
    <row r="7694">
      <c r="D7694" s="2"/>
    </row>
    <row r="7695">
      <c r="D7695" s="2"/>
    </row>
    <row r="7696">
      <c r="D7696" s="2"/>
    </row>
    <row r="7697">
      <c r="D7697" s="2"/>
    </row>
    <row r="7698">
      <c r="D7698" s="2"/>
    </row>
    <row r="7699">
      <c r="D7699" s="2"/>
    </row>
    <row r="7700">
      <c r="D7700" s="2"/>
    </row>
    <row r="7701">
      <c r="D7701" s="2"/>
    </row>
    <row r="7702">
      <c r="D7702" s="2"/>
    </row>
    <row r="7703">
      <c r="D7703" s="2"/>
    </row>
    <row r="7704">
      <c r="D7704" s="2"/>
    </row>
    <row r="7705">
      <c r="D7705" s="2"/>
    </row>
    <row r="7706">
      <c r="D7706" s="2"/>
    </row>
    <row r="7707">
      <c r="D7707" s="2"/>
    </row>
    <row r="7708">
      <c r="D7708" s="2"/>
    </row>
    <row r="7709">
      <c r="D7709" s="2"/>
    </row>
    <row r="7710">
      <c r="D7710" s="2"/>
    </row>
    <row r="7711">
      <c r="D7711" s="2"/>
    </row>
    <row r="7712">
      <c r="D7712" s="2"/>
    </row>
    <row r="7713">
      <c r="D7713" s="2"/>
    </row>
    <row r="7714">
      <c r="D7714" s="2"/>
    </row>
    <row r="7715">
      <c r="D7715" s="2"/>
    </row>
    <row r="7716">
      <c r="D7716" s="2"/>
    </row>
    <row r="7717">
      <c r="D7717" s="2"/>
    </row>
    <row r="7718">
      <c r="D7718" s="2"/>
    </row>
    <row r="7719">
      <c r="D7719" s="2"/>
    </row>
    <row r="7720">
      <c r="D7720" s="2"/>
    </row>
    <row r="7721">
      <c r="D7721" s="2"/>
    </row>
    <row r="7722">
      <c r="D7722" s="2"/>
    </row>
    <row r="7723">
      <c r="D7723" s="2"/>
    </row>
    <row r="7724">
      <c r="D7724" s="2"/>
    </row>
    <row r="7725">
      <c r="D7725" s="2"/>
    </row>
    <row r="7726">
      <c r="D7726" s="2"/>
    </row>
    <row r="7727">
      <c r="D7727" s="2"/>
    </row>
    <row r="7728">
      <c r="D7728" s="2"/>
    </row>
    <row r="7729">
      <c r="D7729" s="2"/>
    </row>
    <row r="7730">
      <c r="D7730" s="2"/>
    </row>
    <row r="7731">
      <c r="D7731" s="2"/>
    </row>
    <row r="7732">
      <c r="D7732" s="2"/>
    </row>
    <row r="7733">
      <c r="D7733" s="2"/>
    </row>
    <row r="7734">
      <c r="D7734" s="2"/>
    </row>
    <row r="7735">
      <c r="D7735" s="2"/>
    </row>
    <row r="7736">
      <c r="D7736" s="2"/>
    </row>
    <row r="7737">
      <c r="D7737" s="2"/>
    </row>
    <row r="7738">
      <c r="D7738" s="2"/>
    </row>
    <row r="7739">
      <c r="D7739" s="2"/>
    </row>
    <row r="7740">
      <c r="D7740" s="2"/>
    </row>
    <row r="7741">
      <c r="D7741" s="2"/>
    </row>
    <row r="7742">
      <c r="D7742" s="2"/>
    </row>
    <row r="7743">
      <c r="D7743" s="2"/>
    </row>
    <row r="7744">
      <c r="D7744" s="2"/>
    </row>
    <row r="7745">
      <c r="D7745" s="2"/>
    </row>
    <row r="7746">
      <c r="D7746" s="2"/>
    </row>
    <row r="7747">
      <c r="D7747" s="2"/>
    </row>
    <row r="7748">
      <c r="D7748" s="2"/>
    </row>
    <row r="7749">
      <c r="D7749" s="2"/>
    </row>
    <row r="7750">
      <c r="D7750" s="2"/>
    </row>
    <row r="7751">
      <c r="D7751" s="2"/>
    </row>
    <row r="7752">
      <c r="D7752" s="2"/>
    </row>
    <row r="7753">
      <c r="D7753" s="2"/>
    </row>
    <row r="7754">
      <c r="D7754" s="2"/>
    </row>
    <row r="7755">
      <c r="D7755" s="2"/>
    </row>
    <row r="7756">
      <c r="D7756" s="2"/>
    </row>
    <row r="7757">
      <c r="D7757" s="2"/>
    </row>
    <row r="7758">
      <c r="D7758" s="2"/>
    </row>
    <row r="7759">
      <c r="D7759" s="2"/>
    </row>
    <row r="7760">
      <c r="D7760" s="2"/>
    </row>
    <row r="7761">
      <c r="D7761" s="2"/>
    </row>
    <row r="7762">
      <c r="D7762" s="2"/>
    </row>
    <row r="7763">
      <c r="D7763" s="2"/>
    </row>
    <row r="7764">
      <c r="D7764" s="2"/>
    </row>
    <row r="7765">
      <c r="D7765" s="2"/>
    </row>
    <row r="7766">
      <c r="D7766" s="2"/>
    </row>
    <row r="7767">
      <c r="D7767" s="2"/>
    </row>
    <row r="7768">
      <c r="D7768" s="2"/>
    </row>
    <row r="7769">
      <c r="D7769" s="2"/>
    </row>
    <row r="7770">
      <c r="D7770" s="2"/>
    </row>
    <row r="7771">
      <c r="D7771" s="2"/>
    </row>
    <row r="7772">
      <c r="D7772" s="2"/>
    </row>
    <row r="7773">
      <c r="D7773" s="2"/>
    </row>
    <row r="7774">
      <c r="D7774" s="2"/>
    </row>
    <row r="7775">
      <c r="D7775" s="2"/>
    </row>
    <row r="7776">
      <c r="D7776" s="2"/>
    </row>
    <row r="7777">
      <c r="D7777" s="2"/>
    </row>
    <row r="7778">
      <c r="D7778" s="2"/>
    </row>
    <row r="7779">
      <c r="D7779" s="2"/>
    </row>
    <row r="7780">
      <c r="D7780" s="2"/>
    </row>
    <row r="7781">
      <c r="D7781" s="2"/>
    </row>
    <row r="7782">
      <c r="D7782" s="2"/>
    </row>
    <row r="7783">
      <c r="D7783" s="2"/>
    </row>
    <row r="7784">
      <c r="D7784" s="2"/>
    </row>
    <row r="7785">
      <c r="D7785" s="2"/>
    </row>
    <row r="7786">
      <c r="D7786" s="2"/>
    </row>
    <row r="7787">
      <c r="D7787" s="2"/>
    </row>
    <row r="7788">
      <c r="D7788" s="2"/>
    </row>
    <row r="7789">
      <c r="D7789" s="2"/>
    </row>
    <row r="7790">
      <c r="D7790" s="2"/>
    </row>
    <row r="7791">
      <c r="D7791" s="2"/>
    </row>
    <row r="7792">
      <c r="D7792" s="2"/>
    </row>
    <row r="7793">
      <c r="D7793" s="2"/>
    </row>
    <row r="7794">
      <c r="D7794" s="2"/>
    </row>
    <row r="7795">
      <c r="D7795" s="2"/>
    </row>
    <row r="7796">
      <c r="D7796" s="2"/>
    </row>
    <row r="7797">
      <c r="D7797" s="2"/>
    </row>
    <row r="7798">
      <c r="D7798" s="2"/>
    </row>
    <row r="7799">
      <c r="D7799" s="2"/>
    </row>
    <row r="7800">
      <c r="D7800" s="2"/>
    </row>
    <row r="7801">
      <c r="D7801" s="2"/>
    </row>
    <row r="7802">
      <c r="D7802" s="2"/>
    </row>
    <row r="7803">
      <c r="D7803" s="2"/>
    </row>
    <row r="7804">
      <c r="D7804" s="2"/>
    </row>
    <row r="7805">
      <c r="D7805" s="2"/>
    </row>
    <row r="7806">
      <c r="D7806" s="2"/>
    </row>
    <row r="7807">
      <c r="D7807" s="2"/>
    </row>
    <row r="7808">
      <c r="D7808" s="2"/>
    </row>
    <row r="7809">
      <c r="D7809" s="2"/>
    </row>
    <row r="7810">
      <c r="D7810" s="2"/>
    </row>
    <row r="7811">
      <c r="D7811" s="2"/>
    </row>
    <row r="7812">
      <c r="D7812" s="2"/>
    </row>
    <row r="7813">
      <c r="D7813" s="2"/>
    </row>
    <row r="7814">
      <c r="D7814" s="2"/>
    </row>
    <row r="7815">
      <c r="D7815" s="2"/>
    </row>
    <row r="7816">
      <c r="D7816" s="2"/>
    </row>
    <row r="7817">
      <c r="D7817" s="2"/>
    </row>
    <row r="7818">
      <c r="D7818" s="2"/>
    </row>
    <row r="7819">
      <c r="D7819" s="2"/>
    </row>
    <row r="7820">
      <c r="D7820" s="2"/>
    </row>
    <row r="7821">
      <c r="D7821" s="2"/>
    </row>
    <row r="7822">
      <c r="D7822" s="2"/>
    </row>
    <row r="7823">
      <c r="D7823" s="2"/>
    </row>
    <row r="7824">
      <c r="D7824" s="2"/>
    </row>
    <row r="7825">
      <c r="D7825" s="2"/>
    </row>
    <row r="7826">
      <c r="D7826" s="2"/>
    </row>
    <row r="7827">
      <c r="D7827" s="2"/>
    </row>
    <row r="7828">
      <c r="D7828" s="2"/>
    </row>
    <row r="7829">
      <c r="D7829" s="2"/>
    </row>
    <row r="7830">
      <c r="D7830" s="2"/>
    </row>
    <row r="7831">
      <c r="D7831" s="2"/>
    </row>
    <row r="7832">
      <c r="D7832" s="2"/>
    </row>
    <row r="7833">
      <c r="D7833" s="2"/>
    </row>
    <row r="7834">
      <c r="D7834" s="2"/>
    </row>
    <row r="7835">
      <c r="D7835" s="2"/>
    </row>
    <row r="7836">
      <c r="D7836" s="2"/>
    </row>
    <row r="7837">
      <c r="D7837" s="2"/>
    </row>
    <row r="7838">
      <c r="D7838" s="2"/>
    </row>
    <row r="7839">
      <c r="D7839" s="2"/>
    </row>
    <row r="7840">
      <c r="D7840" s="2"/>
    </row>
    <row r="7841">
      <c r="D7841" s="2"/>
    </row>
    <row r="7842">
      <c r="D7842" s="2"/>
    </row>
    <row r="7843">
      <c r="D7843" s="2"/>
    </row>
    <row r="7844">
      <c r="D7844" s="2"/>
    </row>
    <row r="7845">
      <c r="D7845" s="2"/>
    </row>
    <row r="7846">
      <c r="D7846" s="2"/>
    </row>
    <row r="7847">
      <c r="D7847" s="2"/>
    </row>
    <row r="7848">
      <c r="D7848" s="2"/>
    </row>
    <row r="7849">
      <c r="D7849" s="2"/>
    </row>
    <row r="7850">
      <c r="D7850" s="2"/>
    </row>
    <row r="7851">
      <c r="D7851" s="2"/>
    </row>
    <row r="7852">
      <c r="D7852" s="2"/>
    </row>
    <row r="7853">
      <c r="D7853" s="2"/>
    </row>
    <row r="7854">
      <c r="D7854" s="2"/>
    </row>
    <row r="7855">
      <c r="D7855" s="2"/>
    </row>
    <row r="7856">
      <c r="D7856" s="2"/>
    </row>
    <row r="7857">
      <c r="D7857" s="2"/>
    </row>
    <row r="7858">
      <c r="D7858" s="2"/>
    </row>
    <row r="7859">
      <c r="D7859" s="2"/>
    </row>
    <row r="7860">
      <c r="D7860" s="2"/>
    </row>
    <row r="7861">
      <c r="D7861" s="2"/>
    </row>
    <row r="7862">
      <c r="D7862" s="2"/>
    </row>
    <row r="7863">
      <c r="D7863" s="2"/>
    </row>
    <row r="7864">
      <c r="D7864" s="2"/>
    </row>
    <row r="7865">
      <c r="D7865" s="2"/>
    </row>
    <row r="7866">
      <c r="D7866" s="2"/>
    </row>
    <row r="7867">
      <c r="D7867" s="2"/>
    </row>
    <row r="7868">
      <c r="D7868" s="2"/>
    </row>
    <row r="7869">
      <c r="D7869" s="2"/>
    </row>
    <row r="7870">
      <c r="D7870" s="2"/>
    </row>
    <row r="7871">
      <c r="D7871" s="2"/>
    </row>
    <row r="7872">
      <c r="D7872" s="2"/>
    </row>
    <row r="7873">
      <c r="D7873" s="2"/>
    </row>
    <row r="7874">
      <c r="D7874" s="2"/>
    </row>
    <row r="7875">
      <c r="D7875" s="2"/>
    </row>
    <row r="7876">
      <c r="D7876" s="2"/>
    </row>
    <row r="7877">
      <c r="D7877" s="2"/>
    </row>
    <row r="7878">
      <c r="D7878" s="2"/>
    </row>
    <row r="7879">
      <c r="D7879" s="2"/>
    </row>
    <row r="7880">
      <c r="D7880" s="2"/>
    </row>
    <row r="7881">
      <c r="D7881" s="2"/>
    </row>
    <row r="7882">
      <c r="D7882" s="2"/>
    </row>
    <row r="7883">
      <c r="D7883" s="2"/>
    </row>
    <row r="7884">
      <c r="D7884" s="2"/>
    </row>
    <row r="7885">
      <c r="D7885" s="2"/>
    </row>
    <row r="7886">
      <c r="D7886" s="2"/>
    </row>
    <row r="7887">
      <c r="D7887" s="2"/>
    </row>
    <row r="7888">
      <c r="D7888" s="2"/>
    </row>
    <row r="7889">
      <c r="D7889" s="2"/>
    </row>
    <row r="7890">
      <c r="D7890" s="2"/>
    </row>
    <row r="7891">
      <c r="D7891" s="2"/>
    </row>
    <row r="7892">
      <c r="D7892" s="2"/>
    </row>
    <row r="7893">
      <c r="D7893" s="2"/>
    </row>
    <row r="7894">
      <c r="D7894" s="2"/>
    </row>
    <row r="7895">
      <c r="D7895" s="2"/>
    </row>
    <row r="7896">
      <c r="D7896" s="2"/>
    </row>
    <row r="7897">
      <c r="D7897" s="2"/>
    </row>
    <row r="7898">
      <c r="D7898" s="2"/>
    </row>
    <row r="7899">
      <c r="D7899" s="2"/>
    </row>
    <row r="7900">
      <c r="D7900" s="2"/>
    </row>
    <row r="7901">
      <c r="D7901" s="2"/>
    </row>
    <row r="7902">
      <c r="D7902" s="2"/>
    </row>
    <row r="7903">
      <c r="D7903" s="2"/>
    </row>
    <row r="7904">
      <c r="D7904" s="2"/>
    </row>
    <row r="7905">
      <c r="D7905" s="2"/>
    </row>
    <row r="7906">
      <c r="D7906" s="2"/>
    </row>
    <row r="7907">
      <c r="D7907" s="2"/>
    </row>
    <row r="7908">
      <c r="D7908" s="2"/>
    </row>
    <row r="7909">
      <c r="D7909" s="2"/>
    </row>
    <row r="7910">
      <c r="D7910" s="2"/>
    </row>
    <row r="7911">
      <c r="D7911" s="2"/>
    </row>
    <row r="7912">
      <c r="D7912" s="2"/>
    </row>
    <row r="7913">
      <c r="D7913" s="2"/>
    </row>
    <row r="7914">
      <c r="D7914" s="2"/>
    </row>
    <row r="7915">
      <c r="D7915" s="2"/>
    </row>
    <row r="7916">
      <c r="D7916" s="2"/>
    </row>
    <row r="7917">
      <c r="D7917" s="2"/>
    </row>
    <row r="7918">
      <c r="D7918" s="2"/>
    </row>
    <row r="7919">
      <c r="D7919" s="2"/>
    </row>
    <row r="7920">
      <c r="D7920" s="2"/>
    </row>
    <row r="7921">
      <c r="D7921" s="2"/>
    </row>
    <row r="7922">
      <c r="D7922" s="2"/>
    </row>
    <row r="7923">
      <c r="D7923" s="2"/>
    </row>
    <row r="7924">
      <c r="D7924" s="2"/>
    </row>
    <row r="7925">
      <c r="D7925" s="2"/>
    </row>
    <row r="7926">
      <c r="D7926" s="2"/>
    </row>
    <row r="7927">
      <c r="D7927" s="2"/>
    </row>
    <row r="7928">
      <c r="D7928" s="2"/>
    </row>
    <row r="7929">
      <c r="D7929" s="2"/>
    </row>
    <row r="7930">
      <c r="D7930" s="2"/>
    </row>
    <row r="7931">
      <c r="D7931" s="2"/>
    </row>
    <row r="7932">
      <c r="D7932" s="2"/>
    </row>
    <row r="7933">
      <c r="D7933" s="2"/>
    </row>
    <row r="7934">
      <c r="D7934" s="2"/>
    </row>
    <row r="7935">
      <c r="D7935" s="2"/>
    </row>
    <row r="7936">
      <c r="D7936" s="2"/>
    </row>
    <row r="7937">
      <c r="D7937" s="2"/>
    </row>
    <row r="7938">
      <c r="D7938" s="2"/>
    </row>
    <row r="7939">
      <c r="D7939" s="2"/>
    </row>
    <row r="7940">
      <c r="D7940" s="2"/>
    </row>
    <row r="7941">
      <c r="D7941" s="2"/>
    </row>
    <row r="7942">
      <c r="D7942" s="2"/>
    </row>
    <row r="7943">
      <c r="D7943" s="2"/>
    </row>
    <row r="7944">
      <c r="D7944" s="2"/>
    </row>
    <row r="7945">
      <c r="D7945" s="2"/>
    </row>
    <row r="7946">
      <c r="D7946" s="2"/>
    </row>
    <row r="7947">
      <c r="D7947" s="2"/>
    </row>
    <row r="7948">
      <c r="D7948" s="2"/>
    </row>
    <row r="7949">
      <c r="D7949" s="2"/>
    </row>
    <row r="7950">
      <c r="D7950" s="2"/>
    </row>
    <row r="7951">
      <c r="D7951" s="2"/>
    </row>
    <row r="7952">
      <c r="D7952" s="2"/>
    </row>
    <row r="7953">
      <c r="D7953" s="2"/>
    </row>
    <row r="7954">
      <c r="D7954" s="2"/>
    </row>
    <row r="7955">
      <c r="D7955" s="2"/>
    </row>
    <row r="7956">
      <c r="D7956" s="2"/>
    </row>
    <row r="7957">
      <c r="D7957" s="2"/>
    </row>
    <row r="7958">
      <c r="D7958" s="2"/>
    </row>
    <row r="7959">
      <c r="D7959" s="2"/>
    </row>
    <row r="7960">
      <c r="D7960" s="2"/>
    </row>
    <row r="7961">
      <c r="D7961" s="2"/>
    </row>
    <row r="7962">
      <c r="D7962" s="2"/>
    </row>
    <row r="7963">
      <c r="D7963" s="2"/>
    </row>
    <row r="7964">
      <c r="D7964" s="2"/>
    </row>
    <row r="7965">
      <c r="D7965" s="2"/>
    </row>
    <row r="7966">
      <c r="D7966" s="2"/>
    </row>
    <row r="7967">
      <c r="D7967" s="2"/>
    </row>
    <row r="7968">
      <c r="D7968" s="2"/>
    </row>
    <row r="7969">
      <c r="D7969" s="2"/>
    </row>
    <row r="7970">
      <c r="D7970" s="2"/>
    </row>
    <row r="7971">
      <c r="D7971" s="2"/>
    </row>
    <row r="7972">
      <c r="D7972" s="2"/>
    </row>
    <row r="7973">
      <c r="D7973" s="2"/>
    </row>
    <row r="7974">
      <c r="D7974" s="2"/>
    </row>
    <row r="7975">
      <c r="D7975" s="2"/>
    </row>
    <row r="7976">
      <c r="D7976" s="2"/>
    </row>
    <row r="7977">
      <c r="D7977" s="2"/>
    </row>
    <row r="7978">
      <c r="D7978" s="2"/>
    </row>
    <row r="7979">
      <c r="D7979" s="2"/>
    </row>
    <row r="7980">
      <c r="D7980" s="2"/>
    </row>
    <row r="7981">
      <c r="D7981" s="2"/>
    </row>
    <row r="7982">
      <c r="D7982" s="2"/>
    </row>
    <row r="7983">
      <c r="D7983" s="2"/>
    </row>
    <row r="7984">
      <c r="D7984" s="2"/>
    </row>
    <row r="7985">
      <c r="D7985" s="2"/>
    </row>
    <row r="7986">
      <c r="D7986" s="2"/>
    </row>
    <row r="7987">
      <c r="D7987" s="2"/>
    </row>
    <row r="7988">
      <c r="D7988" s="2"/>
    </row>
    <row r="7989">
      <c r="D7989" s="2"/>
    </row>
    <row r="7990">
      <c r="D7990" s="2"/>
    </row>
    <row r="7991">
      <c r="D7991" s="2"/>
    </row>
    <row r="7992">
      <c r="D7992" s="2"/>
    </row>
    <row r="7993">
      <c r="D7993" s="2"/>
    </row>
    <row r="7994">
      <c r="D7994" s="2"/>
    </row>
    <row r="7995">
      <c r="D7995" s="2"/>
    </row>
    <row r="7996">
      <c r="D7996" s="2"/>
    </row>
    <row r="7997">
      <c r="D7997" s="2"/>
    </row>
    <row r="7998">
      <c r="D7998" s="2"/>
    </row>
    <row r="7999">
      <c r="D7999" s="2"/>
    </row>
    <row r="8000">
      <c r="D8000" s="2"/>
    </row>
    <row r="8001">
      <c r="D8001" s="2"/>
    </row>
    <row r="8002">
      <c r="D8002" s="2"/>
    </row>
    <row r="8003">
      <c r="D8003" s="2"/>
    </row>
    <row r="8004">
      <c r="D8004" s="2"/>
    </row>
    <row r="8005">
      <c r="D8005" s="2"/>
    </row>
    <row r="8006">
      <c r="D8006" s="2"/>
    </row>
    <row r="8007">
      <c r="D8007" s="2"/>
    </row>
    <row r="8008">
      <c r="D8008" s="2"/>
    </row>
    <row r="8009">
      <c r="D8009" s="2"/>
    </row>
    <row r="8010">
      <c r="D8010" s="2"/>
    </row>
    <row r="8011">
      <c r="D8011" s="2"/>
    </row>
    <row r="8012">
      <c r="D8012" s="2"/>
    </row>
    <row r="8013">
      <c r="D8013" s="2"/>
    </row>
    <row r="8014">
      <c r="D8014" s="2"/>
    </row>
    <row r="8015">
      <c r="D8015" s="2"/>
    </row>
    <row r="8016">
      <c r="D8016" s="2"/>
    </row>
    <row r="8017">
      <c r="D8017" s="2"/>
    </row>
    <row r="8018">
      <c r="D8018" s="2"/>
    </row>
    <row r="8019">
      <c r="D8019" s="2"/>
    </row>
    <row r="8020">
      <c r="D8020" s="2"/>
    </row>
    <row r="8021">
      <c r="D8021" s="2"/>
    </row>
    <row r="8022">
      <c r="D8022" s="2"/>
    </row>
    <row r="8023">
      <c r="D8023" s="2"/>
    </row>
    <row r="8024">
      <c r="D8024" s="2"/>
    </row>
    <row r="8025">
      <c r="D8025" s="2"/>
    </row>
    <row r="8026">
      <c r="D8026" s="2"/>
    </row>
    <row r="8027">
      <c r="D8027" s="2"/>
    </row>
    <row r="8028">
      <c r="D8028" s="2"/>
    </row>
    <row r="8029">
      <c r="D8029" s="2"/>
    </row>
    <row r="8030">
      <c r="D8030" s="2"/>
    </row>
    <row r="8031">
      <c r="D8031" s="2"/>
    </row>
    <row r="8032">
      <c r="D8032" s="2"/>
    </row>
    <row r="8033">
      <c r="D8033" s="2"/>
    </row>
    <row r="8034">
      <c r="D8034" s="2"/>
    </row>
    <row r="8035">
      <c r="D8035" s="2"/>
    </row>
    <row r="8036">
      <c r="D8036" s="2"/>
    </row>
    <row r="8037">
      <c r="D8037" s="2"/>
    </row>
    <row r="8038">
      <c r="D8038" s="2"/>
    </row>
    <row r="8039">
      <c r="D8039" s="2"/>
    </row>
    <row r="8040">
      <c r="D8040" s="2"/>
    </row>
    <row r="8041">
      <c r="D8041" s="2"/>
    </row>
    <row r="8042">
      <c r="D8042" s="2"/>
    </row>
    <row r="8043">
      <c r="D8043" s="2"/>
    </row>
    <row r="8044">
      <c r="D8044" s="2"/>
    </row>
    <row r="8045">
      <c r="D8045" s="2"/>
    </row>
    <row r="8046">
      <c r="D8046" s="2"/>
    </row>
    <row r="8047">
      <c r="D8047" s="2"/>
    </row>
    <row r="8048">
      <c r="D8048" s="2"/>
    </row>
    <row r="8049">
      <c r="D8049" s="2"/>
    </row>
    <row r="8050">
      <c r="D8050" s="2"/>
    </row>
    <row r="8051">
      <c r="D8051" s="2"/>
    </row>
    <row r="8052">
      <c r="D8052" s="2"/>
    </row>
    <row r="8053">
      <c r="D8053" s="2"/>
    </row>
    <row r="8054">
      <c r="D8054" s="2"/>
    </row>
    <row r="8055">
      <c r="D8055" s="2"/>
    </row>
    <row r="8056">
      <c r="D8056" s="2"/>
    </row>
    <row r="8057">
      <c r="D8057" s="2"/>
    </row>
    <row r="8058">
      <c r="D8058" s="2"/>
    </row>
    <row r="8059">
      <c r="D8059" s="2"/>
    </row>
    <row r="8060">
      <c r="D8060" s="2"/>
    </row>
    <row r="8061">
      <c r="D8061" s="2"/>
    </row>
    <row r="8062">
      <c r="D8062" s="2"/>
    </row>
    <row r="8063">
      <c r="D8063" s="2"/>
    </row>
    <row r="8064">
      <c r="D8064" s="2"/>
    </row>
    <row r="8065">
      <c r="D8065" s="2"/>
    </row>
    <row r="8066">
      <c r="D8066" s="2"/>
    </row>
    <row r="8067">
      <c r="D8067" s="2"/>
    </row>
    <row r="8068">
      <c r="D8068" s="2"/>
    </row>
    <row r="8069">
      <c r="D8069" s="2"/>
    </row>
    <row r="8070">
      <c r="D8070" s="2"/>
    </row>
    <row r="8071">
      <c r="D8071" s="2"/>
    </row>
    <row r="8072">
      <c r="D8072" s="2"/>
    </row>
    <row r="8073">
      <c r="D8073" s="2"/>
    </row>
    <row r="8074">
      <c r="D8074" s="2"/>
    </row>
    <row r="8075">
      <c r="D8075" s="2"/>
    </row>
    <row r="8076">
      <c r="D8076" s="2"/>
    </row>
    <row r="8077">
      <c r="D8077" s="2"/>
    </row>
    <row r="8078">
      <c r="D8078" s="2"/>
    </row>
    <row r="8079">
      <c r="D8079" s="2"/>
    </row>
    <row r="8080">
      <c r="D8080" s="2"/>
    </row>
    <row r="8081">
      <c r="D8081" s="2"/>
    </row>
    <row r="8082">
      <c r="D8082" s="2"/>
    </row>
    <row r="8083">
      <c r="D8083" s="2"/>
    </row>
    <row r="8084">
      <c r="D8084" s="2"/>
    </row>
    <row r="8085">
      <c r="D8085" s="2"/>
    </row>
    <row r="8086">
      <c r="D8086" s="2"/>
    </row>
    <row r="8087">
      <c r="D8087" s="2"/>
    </row>
    <row r="8088">
      <c r="D8088" s="2"/>
    </row>
    <row r="8089">
      <c r="D8089" s="2"/>
    </row>
    <row r="8090">
      <c r="D8090" s="2"/>
    </row>
    <row r="8091">
      <c r="D8091" s="2"/>
    </row>
    <row r="8092">
      <c r="D8092" s="2"/>
    </row>
    <row r="8093">
      <c r="D8093" s="2"/>
    </row>
    <row r="8094">
      <c r="D8094" s="2"/>
    </row>
    <row r="8095">
      <c r="D8095" s="2"/>
    </row>
    <row r="8096">
      <c r="D8096" s="2"/>
    </row>
    <row r="8097">
      <c r="D8097" s="2"/>
    </row>
    <row r="8098">
      <c r="D8098" s="2"/>
    </row>
    <row r="8099">
      <c r="D8099" s="2"/>
    </row>
    <row r="8100">
      <c r="D8100" s="2"/>
    </row>
    <row r="8101">
      <c r="D8101" s="2"/>
    </row>
    <row r="8102">
      <c r="D8102" s="2"/>
    </row>
    <row r="8103">
      <c r="D8103" s="2"/>
    </row>
    <row r="8104">
      <c r="D8104" s="2"/>
    </row>
    <row r="8105">
      <c r="D8105" s="2"/>
    </row>
    <row r="8106">
      <c r="D8106" s="2"/>
    </row>
    <row r="8107">
      <c r="D8107" s="2"/>
    </row>
    <row r="8108">
      <c r="D8108" s="2"/>
    </row>
    <row r="8109">
      <c r="D8109" s="2"/>
    </row>
    <row r="8110">
      <c r="D8110" s="2"/>
    </row>
    <row r="8111">
      <c r="D8111" s="2"/>
    </row>
    <row r="8112">
      <c r="D8112" s="2"/>
    </row>
    <row r="8113">
      <c r="D8113" s="2"/>
    </row>
    <row r="8114">
      <c r="D8114" s="2"/>
    </row>
    <row r="8115">
      <c r="D8115" s="2"/>
    </row>
    <row r="8116">
      <c r="D8116" s="2"/>
    </row>
    <row r="8117">
      <c r="D8117" s="2"/>
    </row>
    <row r="8118">
      <c r="D8118" s="2"/>
    </row>
    <row r="8119">
      <c r="D8119" s="2"/>
    </row>
    <row r="8120">
      <c r="D8120" s="2"/>
    </row>
    <row r="8121">
      <c r="D8121" s="2"/>
    </row>
    <row r="8122">
      <c r="D8122" s="2"/>
    </row>
    <row r="8123">
      <c r="D8123" s="2"/>
    </row>
    <row r="8124">
      <c r="D8124" s="2"/>
    </row>
    <row r="8125">
      <c r="D8125" s="2"/>
    </row>
    <row r="8126">
      <c r="D8126" s="2"/>
    </row>
    <row r="8127">
      <c r="D8127" s="2"/>
    </row>
    <row r="8128">
      <c r="D8128" s="2"/>
    </row>
    <row r="8129">
      <c r="D8129" s="2"/>
    </row>
    <row r="8130">
      <c r="D8130" s="2"/>
    </row>
    <row r="8131">
      <c r="D8131" s="2"/>
    </row>
    <row r="8132">
      <c r="D8132" s="2"/>
    </row>
    <row r="8133">
      <c r="D8133" s="2"/>
    </row>
    <row r="8134">
      <c r="D8134" s="2"/>
    </row>
    <row r="8135">
      <c r="D8135" s="2"/>
    </row>
    <row r="8136">
      <c r="D8136" s="2"/>
    </row>
    <row r="8137">
      <c r="D8137" s="2"/>
    </row>
    <row r="8138">
      <c r="D8138" s="2"/>
    </row>
    <row r="8139">
      <c r="D8139" s="2"/>
    </row>
    <row r="8140">
      <c r="D8140" s="2"/>
    </row>
    <row r="8141">
      <c r="D8141" s="2"/>
    </row>
    <row r="8142">
      <c r="D8142" s="2"/>
    </row>
    <row r="8143">
      <c r="D8143" s="2"/>
    </row>
    <row r="8144">
      <c r="D8144" s="2"/>
    </row>
    <row r="8145">
      <c r="D8145" s="2"/>
    </row>
    <row r="8146">
      <c r="D8146" s="2"/>
    </row>
    <row r="8147">
      <c r="D8147" s="2"/>
    </row>
    <row r="8148">
      <c r="D8148" s="2"/>
    </row>
    <row r="8149">
      <c r="D8149" s="2"/>
    </row>
    <row r="8150">
      <c r="D8150" s="2"/>
    </row>
    <row r="8151">
      <c r="D8151" s="2"/>
    </row>
    <row r="8152">
      <c r="D8152" s="2"/>
    </row>
    <row r="8153">
      <c r="D8153" s="2"/>
    </row>
    <row r="8154">
      <c r="D8154" s="2"/>
    </row>
    <row r="8155">
      <c r="D8155" s="2"/>
    </row>
    <row r="8156">
      <c r="D8156" s="2"/>
    </row>
    <row r="8157">
      <c r="D8157" s="2"/>
    </row>
    <row r="8158">
      <c r="D8158" s="2"/>
    </row>
    <row r="8159">
      <c r="D8159" s="2"/>
    </row>
    <row r="8160">
      <c r="D8160" s="2"/>
    </row>
    <row r="8161">
      <c r="D8161" s="2"/>
    </row>
    <row r="8162">
      <c r="D8162" s="2"/>
    </row>
    <row r="8163">
      <c r="D8163" s="2"/>
    </row>
    <row r="8164">
      <c r="D8164" s="2"/>
    </row>
    <row r="8165">
      <c r="D8165" s="2"/>
    </row>
    <row r="8166">
      <c r="D8166" s="2"/>
    </row>
    <row r="8167">
      <c r="D8167" s="2"/>
    </row>
    <row r="8168">
      <c r="D8168" s="2"/>
    </row>
    <row r="8169">
      <c r="D8169" s="2"/>
    </row>
    <row r="8170">
      <c r="D8170" s="2"/>
    </row>
    <row r="8171">
      <c r="D8171" s="2"/>
    </row>
    <row r="8172">
      <c r="D8172" s="2"/>
    </row>
    <row r="8173">
      <c r="D8173" s="2"/>
    </row>
    <row r="8174">
      <c r="D8174" s="2"/>
    </row>
    <row r="8175">
      <c r="D8175" s="2"/>
    </row>
    <row r="8176">
      <c r="D8176" s="2"/>
    </row>
    <row r="8177">
      <c r="D8177" s="2"/>
    </row>
    <row r="8178">
      <c r="D8178" s="2"/>
    </row>
    <row r="8179">
      <c r="D8179" s="2"/>
    </row>
    <row r="8180">
      <c r="D8180" s="2"/>
    </row>
    <row r="8181">
      <c r="D8181" s="2"/>
    </row>
    <row r="8182">
      <c r="D8182" s="2"/>
    </row>
    <row r="8183">
      <c r="D8183" s="2"/>
    </row>
    <row r="8184">
      <c r="D8184" s="2"/>
    </row>
    <row r="8185">
      <c r="D8185" s="2"/>
    </row>
    <row r="8186">
      <c r="D8186" s="2"/>
    </row>
    <row r="8187">
      <c r="D8187" s="2"/>
    </row>
    <row r="8188">
      <c r="D8188" s="2"/>
    </row>
    <row r="8189">
      <c r="D8189" s="2"/>
    </row>
    <row r="8190">
      <c r="D8190" s="2"/>
    </row>
    <row r="8191">
      <c r="D8191" s="2"/>
    </row>
    <row r="8192">
      <c r="D8192" s="2"/>
    </row>
    <row r="8193">
      <c r="D8193" s="2"/>
    </row>
    <row r="8194">
      <c r="D8194" s="2"/>
    </row>
    <row r="8195">
      <c r="D8195" s="2"/>
    </row>
    <row r="8196">
      <c r="D8196" s="2"/>
    </row>
    <row r="8197">
      <c r="D8197" s="2"/>
    </row>
    <row r="8198">
      <c r="D8198" s="2"/>
    </row>
    <row r="8199">
      <c r="D8199" s="2"/>
    </row>
    <row r="8200">
      <c r="D8200" s="2"/>
    </row>
    <row r="8201">
      <c r="D8201" s="2"/>
    </row>
    <row r="8202">
      <c r="D8202" s="2"/>
    </row>
    <row r="8203">
      <c r="D8203" s="2"/>
    </row>
    <row r="8204">
      <c r="D8204" s="2"/>
    </row>
    <row r="8205">
      <c r="D8205" s="2"/>
    </row>
    <row r="8206">
      <c r="D8206" s="2"/>
    </row>
    <row r="8207">
      <c r="D8207" s="2"/>
    </row>
    <row r="8208">
      <c r="D8208" s="2"/>
    </row>
    <row r="8209">
      <c r="D8209" s="2"/>
    </row>
    <row r="8210">
      <c r="D8210" s="2"/>
    </row>
    <row r="8211">
      <c r="D8211" s="2"/>
    </row>
    <row r="8212">
      <c r="D8212" s="2"/>
    </row>
    <row r="8213">
      <c r="D8213" s="2"/>
    </row>
    <row r="8214">
      <c r="D8214" s="2"/>
    </row>
    <row r="8215">
      <c r="D8215" s="2"/>
    </row>
    <row r="8216">
      <c r="D8216" s="2"/>
    </row>
    <row r="8217">
      <c r="D8217" s="2"/>
    </row>
    <row r="8218">
      <c r="D8218" s="2"/>
    </row>
    <row r="8219">
      <c r="D8219" s="2"/>
    </row>
    <row r="8220">
      <c r="D8220" s="2"/>
    </row>
    <row r="8221">
      <c r="D8221" s="2"/>
    </row>
    <row r="8222">
      <c r="D8222" s="2"/>
    </row>
    <row r="8223">
      <c r="D8223" s="2"/>
    </row>
    <row r="8224">
      <c r="D8224" s="2"/>
    </row>
    <row r="8225">
      <c r="D8225" s="2"/>
    </row>
    <row r="8226">
      <c r="D8226" s="2"/>
    </row>
    <row r="8227">
      <c r="D8227" s="2"/>
    </row>
    <row r="8228">
      <c r="D8228" s="2"/>
    </row>
    <row r="8229">
      <c r="D8229" s="2"/>
    </row>
    <row r="8230">
      <c r="D8230" s="2"/>
    </row>
    <row r="8231">
      <c r="D8231" s="2"/>
    </row>
    <row r="8232">
      <c r="D8232" s="2"/>
    </row>
    <row r="8233">
      <c r="D8233" s="2"/>
    </row>
    <row r="8234">
      <c r="D8234" s="2"/>
    </row>
    <row r="8235">
      <c r="D8235" s="2"/>
    </row>
    <row r="8236">
      <c r="D8236" s="2"/>
    </row>
    <row r="8237">
      <c r="D8237" s="2"/>
    </row>
    <row r="8238">
      <c r="D8238" s="2"/>
    </row>
    <row r="8239">
      <c r="D8239" s="2"/>
    </row>
    <row r="8240">
      <c r="D8240" s="2"/>
    </row>
    <row r="8241">
      <c r="D8241" s="2"/>
    </row>
    <row r="8242">
      <c r="D8242" s="2"/>
    </row>
    <row r="8243">
      <c r="D8243" s="2"/>
    </row>
    <row r="8244">
      <c r="D8244" s="2"/>
    </row>
    <row r="8245">
      <c r="D8245" s="2"/>
    </row>
    <row r="8246">
      <c r="D8246" s="2"/>
    </row>
    <row r="8247">
      <c r="D8247" s="2"/>
    </row>
    <row r="8248">
      <c r="D8248" s="2"/>
    </row>
    <row r="8249">
      <c r="D8249" s="2"/>
    </row>
    <row r="8250">
      <c r="D8250" s="2"/>
    </row>
    <row r="8251">
      <c r="D8251" s="2"/>
    </row>
    <row r="8252">
      <c r="D8252" s="2"/>
    </row>
    <row r="8253">
      <c r="D8253" s="2"/>
    </row>
    <row r="8254">
      <c r="D8254" s="2"/>
    </row>
    <row r="8255">
      <c r="D8255" s="2"/>
    </row>
    <row r="8256">
      <c r="D8256" s="2"/>
    </row>
    <row r="8257">
      <c r="D8257" s="2"/>
    </row>
    <row r="8258">
      <c r="D8258" s="2"/>
    </row>
    <row r="8259">
      <c r="D8259" s="2"/>
    </row>
    <row r="8260">
      <c r="D8260" s="2"/>
    </row>
    <row r="8261">
      <c r="D8261" s="2"/>
    </row>
    <row r="8262">
      <c r="D8262" s="2"/>
    </row>
    <row r="8263">
      <c r="D8263" s="2"/>
    </row>
    <row r="8264">
      <c r="D8264" s="2"/>
    </row>
    <row r="8265">
      <c r="D8265" s="2"/>
    </row>
    <row r="8266">
      <c r="D8266" s="2"/>
    </row>
    <row r="8267">
      <c r="D8267" s="2"/>
    </row>
    <row r="8268">
      <c r="D8268" s="2"/>
    </row>
    <row r="8269">
      <c r="D8269" s="2"/>
    </row>
    <row r="8270">
      <c r="D8270" s="2"/>
    </row>
    <row r="8271">
      <c r="D8271" s="2"/>
    </row>
    <row r="8272">
      <c r="D8272" s="2"/>
    </row>
    <row r="8273">
      <c r="D8273" s="2"/>
    </row>
    <row r="8274">
      <c r="D8274" s="2"/>
    </row>
    <row r="8275">
      <c r="D8275" s="2"/>
    </row>
    <row r="8276">
      <c r="D8276" s="2"/>
    </row>
    <row r="8277">
      <c r="D8277" s="2"/>
    </row>
    <row r="8278">
      <c r="D8278" s="2"/>
    </row>
    <row r="8279">
      <c r="D8279" s="2"/>
    </row>
    <row r="8280">
      <c r="D8280" s="2"/>
    </row>
    <row r="8281">
      <c r="D8281" s="2"/>
    </row>
    <row r="8282">
      <c r="D8282" s="2"/>
    </row>
    <row r="8283">
      <c r="D8283" s="2"/>
    </row>
    <row r="8284">
      <c r="D8284" s="2"/>
    </row>
    <row r="8285">
      <c r="D8285" s="2"/>
    </row>
    <row r="8286">
      <c r="D8286" s="2"/>
    </row>
    <row r="8287">
      <c r="D8287" s="2"/>
    </row>
    <row r="8288">
      <c r="D8288" s="2"/>
    </row>
    <row r="8289">
      <c r="D8289" s="2"/>
    </row>
    <row r="8290">
      <c r="D8290" s="2"/>
    </row>
    <row r="8291">
      <c r="D8291" s="2"/>
    </row>
    <row r="8292">
      <c r="D8292" s="2"/>
    </row>
    <row r="8293">
      <c r="D8293" s="2"/>
    </row>
    <row r="8294">
      <c r="D8294" s="2"/>
    </row>
    <row r="8295">
      <c r="D8295" s="2"/>
    </row>
    <row r="8296">
      <c r="D8296" s="2"/>
    </row>
    <row r="8297">
      <c r="D8297" s="2"/>
    </row>
    <row r="8298">
      <c r="D8298" s="2"/>
    </row>
    <row r="8299">
      <c r="D8299" s="2"/>
    </row>
    <row r="8300">
      <c r="D8300" s="2"/>
    </row>
    <row r="8301">
      <c r="D8301" s="2"/>
    </row>
    <row r="8302">
      <c r="D8302" s="2"/>
    </row>
    <row r="8303">
      <c r="D8303" s="2"/>
    </row>
    <row r="8304">
      <c r="D8304" s="2"/>
    </row>
    <row r="8305">
      <c r="D8305" s="2"/>
    </row>
    <row r="8306">
      <c r="D8306" s="2"/>
    </row>
    <row r="8307">
      <c r="D8307" s="2"/>
    </row>
    <row r="8308">
      <c r="D8308" s="2"/>
    </row>
    <row r="8309">
      <c r="D8309" s="2"/>
    </row>
    <row r="8310">
      <c r="D8310" s="2"/>
    </row>
    <row r="8311">
      <c r="D8311" s="2"/>
    </row>
    <row r="8312">
      <c r="D8312" s="2"/>
    </row>
    <row r="8313">
      <c r="D8313" s="2"/>
    </row>
    <row r="8314">
      <c r="D8314" s="2"/>
    </row>
    <row r="8315">
      <c r="D8315" s="2"/>
    </row>
    <row r="8316">
      <c r="D8316" s="2"/>
    </row>
    <row r="8317">
      <c r="D8317" s="2"/>
    </row>
    <row r="8318">
      <c r="D8318" s="2"/>
    </row>
    <row r="8319">
      <c r="D8319" s="2"/>
    </row>
    <row r="8320">
      <c r="D8320" s="2"/>
    </row>
    <row r="8321">
      <c r="D8321" s="2"/>
    </row>
    <row r="8322">
      <c r="D8322" s="2"/>
    </row>
    <row r="8323">
      <c r="D8323" s="2"/>
    </row>
    <row r="8324">
      <c r="D8324" s="2"/>
    </row>
    <row r="8325">
      <c r="D8325" s="2"/>
    </row>
    <row r="8326">
      <c r="D8326" s="2"/>
    </row>
    <row r="8327">
      <c r="D8327" s="2"/>
    </row>
    <row r="8328">
      <c r="D8328" s="2"/>
    </row>
    <row r="8329">
      <c r="D8329" s="2"/>
    </row>
    <row r="8330">
      <c r="D8330" s="2"/>
    </row>
    <row r="8331">
      <c r="D8331" s="2"/>
    </row>
    <row r="8332">
      <c r="D8332" s="2"/>
    </row>
    <row r="8333">
      <c r="D8333" s="2"/>
    </row>
    <row r="8334">
      <c r="D8334" s="2"/>
    </row>
    <row r="8335">
      <c r="D8335" s="2"/>
    </row>
    <row r="8336">
      <c r="D8336" s="2"/>
    </row>
    <row r="8337">
      <c r="D8337" s="2"/>
    </row>
    <row r="8338">
      <c r="D8338" s="2"/>
    </row>
    <row r="8339">
      <c r="D8339" s="2"/>
    </row>
    <row r="8340">
      <c r="D8340" s="2"/>
    </row>
    <row r="8341">
      <c r="D8341" s="2"/>
    </row>
    <row r="8342">
      <c r="D8342" s="2"/>
    </row>
    <row r="8343">
      <c r="D8343" s="2"/>
    </row>
    <row r="8344">
      <c r="D8344" s="2"/>
    </row>
    <row r="8345">
      <c r="D8345" s="2"/>
    </row>
    <row r="8346">
      <c r="D8346" s="2"/>
    </row>
    <row r="8347">
      <c r="D8347" s="2"/>
    </row>
    <row r="8348">
      <c r="D8348" s="2"/>
    </row>
    <row r="8349">
      <c r="D8349" s="2"/>
    </row>
    <row r="8350">
      <c r="D8350" s="2"/>
    </row>
    <row r="8351">
      <c r="D8351" s="2"/>
    </row>
    <row r="8352">
      <c r="D8352" s="2"/>
    </row>
    <row r="8353">
      <c r="D8353" s="2"/>
    </row>
    <row r="8354">
      <c r="D8354" s="2"/>
    </row>
    <row r="8355">
      <c r="D8355" s="2"/>
    </row>
    <row r="8356">
      <c r="D8356" s="2"/>
    </row>
    <row r="8357">
      <c r="D8357" s="2"/>
    </row>
    <row r="8358">
      <c r="D8358" s="2"/>
    </row>
    <row r="8359">
      <c r="D8359" s="2"/>
    </row>
    <row r="8360">
      <c r="D8360" s="2"/>
    </row>
    <row r="8361">
      <c r="D8361" s="2"/>
    </row>
    <row r="8362">
      <c r="D8362" s="2"/>
    </row>
    <row r="8363">
      <c r="D8363" s="2"/>
    </row>
    <row r="8364">
      <c r="D8364" s="2"/>
    </row>
    <row r="8365">
      <c r="D8365" s="2"/>
    </row>
    <row r="8366">
      <c r="D8366" s="2"/>
    </row>
    <row r="8367">
      <c r="D8367" s="2"/>
    </row>
    <row r="8368">
      <c r="D8368" s="2"/>
    </row>
    <row r="8369">
      <c r="D8369" s="2"/>
    </row>
    <row r="8370">
      <c r="D8370" s="2"/>
    </row>
    <row r="8371">
      <c r="D8371" s="2"/>
    </row>
    <row r="8372">
      <c r="D8372" s="2"/>
    </row>
    <row r="8373">
      <c r="D8373" s="2"/>
    </row>
    <row r="8374">
      <c r="D8374" s="2"/>
    </row>
    <row r="8375">
      <c r="D8375" s="2"/>
    </row>
    <row r="8376">
      <c r="D8376" s="2"/>
    </row>
    <row r="8377">
      <c r="D8377" s="2"/>
    </row>
    <row r="8378">
      <c r="D8378" s="2"/>
    </row>
    <row r="8379">
      <c r="D8379" s="2"/>
    </row>
    <row r="8380">
      <c r="D8380" s="2"/>
    </row>
    <row r="8381">
      <c r="D8381" s="2"/>
    </row>
    <row r="8382">
      <c r="D8382" s="2"/>
    </row>
    <row r="8383">
      <c r="D8383" s="2"/>
    </row>
    <row r="8384">
      <c r="D8384" s="2"/>
    </row>
    <row r="8385">
      <c r="D8385" s="2"/>
    </row>
    <row r="8386">
      <c r="D8386" s="2"/>
    </row>
    <row r="8387">
      <c r="D8387" s="2"/>
    </row>
    <row r="8388">
      <c r="D8388" s="2"/>
    </row>
    <row r="8389">
      <c r="D8389" s="2"/>
    </row>
    <row r="8390">
      <c r="D8390" s="2"/>
    </row>
    <row r="8391">
      <c r="D8391" s="2"/>
    </row>
    <row r="8392">
      <c r="D8392" s="2"/>
    </row>
    <row r="8393">
      <c r="D8393" s="2"/>
    </row>
    <row r="8394">
      <c r="D8394" s="2"/>
    </row>
    <row r="8395">
      <c r="D8395" s="2"/>
    </row>
    <row r="8396">
      <c r="D8396" s="2"/>
    </row>
    <row r="8397">
      <c r="D8397" s="2"/>
    </row>
    <row r="8398">
      <c r="D8398" s="2"/>
    </row>
    <row r="8399">
      <c r="D8399" s="2"/>
    </row>
    <row r="8400">
      <c r="D8400" s="2"/>
    </row>
    <row r="8401">
      <c r="D8401" s="2"/>
    </row>
    <row r="8402">
      <c r="D8402" s="2"/>
    </row>
    <row r="8403">
      <c r="D8403" s="2"/>
    </row>
    <row r="8404">
      <c r="D8404" s="2"/>
    </row>
    <row r="8405">
      <c r="D8405" s="2"/>
    </row>
    <row r="8406">
      <c r="D8406" s="2"/>
    </row>
    <row r="8407">
      <c r="D8407" s="2"/>
    </row>
    <row r="8408">
      <c r="D8408" s="2"/>
    </row>
    <row r="8409">
      <c r="D8409" s="2"/>
    </row>
    <row r="8410">
      <c r="D8410" s="2"/>
    </row>
    <row r="8411">
      <c r="D8411" s="2"/>
    </row>
    <row r="8412">
      <c r="D8412" s="2"/>
    </row>
    <row r="8413">
      <c r="D8413" s="2"/>
    </row>
    <row r="8414">
      <c r="D8414" s="2"/>
    </row>
    <row r="8415">
      <c r="D8415" s="2"/>
    </row>
    <row r="8416">
      <c r="D8416" s="2"/>
    </row>
    <row r="8417">
      <c r="D8417" s="2"/>
    </row>
    <row r="8418">
      <c r="D8418" s="2"/>
    </row>
    <row r="8419">
      <c r="D8419" s="2"/>
    </row>
    <row r="8420">
      <c r="D8420" s="2"/>
    </row>
    <row r="8421">
      <c r="D8421" s="2"/>
    </row>
    <row r="8422">
      <c r="D8422" s="2"/>
    </row>
    <row r="8423">
      <c r="D8423" s="2"/>
    </row>
    <row r="8424">
      <c r="D8424" s="2"/>
    </row>
    <row r="8425">
      <c r="D8425" s="2"/>
    </row>
    <row r="8426">
      <c r="D8426" s="2"/>
    </row>
    <row r="8427">
      <c r="D8427" s="2"/>
    </row>
    <row r="8428">
      <c r="D8428" s="2"/>
    </row>
    <row r="8429">
      <c r="D8429" s="2"/>
    </row>
    <row r="8430">
      <c r="D8430" s="2"/>
    </row>
    <row r="8431">
      <c r="D8431" s="2"/>
    </row>
    <row r="8432">
      <c r="D8432" s="2"/>
    </row>
    <row r="8433">
      <c r="D8433" s="2"/>
    </row>
    <row r="8434">
      <c r="D8434" s="2"/>
    </row>
    <row r="8435">
      <c r="D8435" s="2"/>
    </row>
    <row r="8436">
      <c r="D8436" s="2"/>
    </row>
    <row r="8437">
      <c r="D8437" s="2"/>
    </row>
    <row r="8438">
      <c r="D8438" s="2"/>
    </row>
    <row r="8439">
      <c r="D8439" s="2"/>
    </row>
    <row r="8440">
      <c r="D8440" s="2"/>
    </row>
    <row r="8441">
      <c r="D8441" s="2"/>
    </row>
    <row r="8442">
      <c r="D8442" s="2"/>
    </row>
    <row r="8443">
      <c r="D8443" s="2"/>
    </row>
    <row r="8444">
      <c r="D8444" s="2"/>
    </row>
    <row r="8445">
      <c r="D8445" s="2"/>
    </row>
    <row r="8446">
      <c r="D8446" s="2"/>
    </row>
    <row r="8447">
      <c r="D8447" s="2"/>
    </row>
    <row r="8448">
      <c r="D8448" s="2"/>
    </row>
    <row r="8449">
      <c r="D8449" s="2"/>
    </row>
    <row r="8450">
      <c r="D8450" s="2"/>
    </row>
    <row r="8451">
      <c r="D8451" s="2"/>
    </row>
    <row r="8452">
      <c r="D8452" s="2"/>
    </row>
    <row r="8453">
      <c r="D8453" s="2"/>
    </row>
    <row r="8454">
      <c r="D8454" s="2"/>
    </row>
    <row r="8455">
      <c r="D8455" s="2"/>
    </row>
    <row r="8456">
      <c r="D8456" s="2"/>
    </row>
    <row r="8457">
      <c r="D8457" s="2"/>
    </row>
    <row r="8458">
      <c r="D8458" s="2"/>
    </row>
    <row r="8459">
      <c r="D8459" s="2"/>
    </row>
    <row r="8460">
      <c r="D8460" s="2"/>
    </row>
    <row r="8461">
      <c r="D8461" s="2"/>
    </row>
    <row r="8462">
      <c r="D8462" s="2"/>
    </row>
    <row r="8463">
      <c r="D8463" s="2"/>
    </row>
    <row r="8464">
      <c r="D8464" s="2"/>
    </row>
    <row r="8465">
      <c r="D8465" s="2"/>
    </row>
    <row r="8466">
      <c r="D8466" s="2"/>
    </row>
    <row r="8467">
      <c r="D8467" s="2"/>
    </row>
    <row r="8468">
      <c r="D8468" s="2"/>
    </row>
    <row r="8469">
      <c r="D8469" s="2"/>
    </row>
    <row r="8470">
      <c r="D8470" s="2"/>
    </row>
    <row r="8471">
      <c r="D8471" s="2"/>
    </row>
    <row r="8472">
      <c r="D8472" s="2"/>
    </row>
    <row r="8473">
      <c r="D8473" s="2"/>
    </row>
    <row r="8474">
      <c r="D8474" s="2"/>
    </row>
    <row r="8475">
      <c r="D8475" s="2"/>
    </row>
    <row r="8476">
      <c r="D8476" s="2"/>
    </row>
    <row r="8477">
      <c r="D8477" s="2"/>
    </row>
    <row r="8478">
      <c r="D8478" s="2"/>
    </row>
    <row r="8479">
      <c r="D8479" s="2"/>
    </row>
    <row r="8480">
      <c r="D8480" s="2"/>
    </row>
    <row r="8481">
      <c r="D8481" s="2"/>
    </row>
    <row r="8482">
      <c r="D8482" s="2"/>
    </row>
    <row r="8483">
      <c r="D8483" s="2"/>
    </row>
    <row r="8484">
      <c r="D8484" s="2"/>
    </row>
    <row r="8485">
      <c r="D8485" s="2"/>
    </row>
    <row r="8486">
      <c r="D8486" s="2"/>
    </row>
    <row r="8487">
      <c r="D8487" s="2"/>
    </row>
    <row r="8488">
      <c r="D8488" s="2"/>
    </row>
    <row r="8489">
      <c r="D8489" s="2"/>
    </row>
    <row r="8490">
      <c r="D8490" s="2"/>
    </row>
    <row r="8491">
      <c r="D8491" s="2"/>
    </row>
    <row r="8492">
      <c r="D8492" s="2"/>
    </row>
    <row r="8493">
      <c r="D8493" s="2"/>
    </row>
    <row r="8494">
      <c r="D8494" s="2"/>
    </row>
    <row r="8495">
      <c r="D8495" s="2"/>
    </row>
    <row r="8496">
      <c r="D8496" s="2"/>
    </row>
    <row r="8497">
      <c r="D8497" s="2"/>
    </row>
    <row r="8498">
      <c r="D8498" s="2"/>
    </row>
    <row r="8499">
      <c r="D8499" s="2"/>
    </row>
    <row r="8500">
      <c r="D8500" s="2"/>
    </row>
    <row r="8501">
      <c r="D8501" s="2"/>
    </row>
    <row r="8502">
      <c r="D8502" s="2"/>
    </row>
    <row r="8503">
      <c r="D8503" s="2"/>
    </row>
    <row r="8504">
      <c r="D8504" s="2"/>
    </row>
    <row r="8505">
      <c r="D8505" s="2"/>
    </row>
    <row r="8506">
      <c r="D8506" s="2"/>
    </row>
    <row r="8507">
      <c r="D8507" s="2"/>
    </row>
    <row r="8508">
      <c r="D8508" s="2"/>
    </row>
    <row r="8509">
      <c r="D8509" s="2"/>
    </row>
    <row r="8510">
      <c r="D8510" s="2"/>
    </row>
    <row r="8511">
      <c r="D8511" s="2"/>
    </row>
    <row r="8512">
      <c r="D8512" s="2"/>
    </row>
    <row r="8513">
      <c r="D8513" s="2"/>
    </row>
    <row r="8514">
      <c r="D8514" s="2"/>
    </row>
    <row r="8515">
      <c r="D8515" s="2"/>
    </row>
    <row r="8516">
      <c r="D8516" s="2"/>
    </row>
    <row r="8517">
      <c r="D8517" s="2"/>
    </row>
    <row r="8518">
      <c r="D8518" s="2"/>
    </row>
    <row r="8519">
      <c r="D8519" s="2"/>
    </row>
    <row r="8520">
      <c r="D8520" s="2"/>
    </row>
    <row r="8521">
      <c r="D8521" s="2"/>
    </row>
    <row r="8522">
      <c r="D8522" s="2"/>
    </row>
    <row r="8523">
      <c r="D8523" s="2"/>
    </row>
    <row r="8524">
      <c r="D8524" s="2"/>
    </row>
    <row r="8525">
      <c r="D8525" s="2"/>
    </row>
    <row r="8526">
      <c r="D8526" s="2"/>
    </row>
    <row r="8527">
      <c r="D8527" s="2"/>
    </row>
    <row r="8528">
      <c r="D8528" s="2"/>
    </row>
    <row r="8529">
      <c r="D8529" s="2"/>
    </row>
    <row r="8530">
      <c r="D8530" s="2"/>
    </row>
    <row r="8531">
      <c r="D8531" s="2"/>
    </row>
    <row r="8532">
      <c r="D8532" s="2"/>
    </row>
    <row r="8533">
      <c r="D8533" s="2"/>
    </row>
    <row r="8534">
      <c r="D8534" s="2"/>
    </row>
    <row r="8535">
      <c r="D8535" s="2"/>
    </row>
    <row r="8536">
      <c r="D8536" s="2"/>
    </row>
    <row r="8537">
      <c r="D8537" s="2"/>
    </row>
    <row r="8538">
      <c r="D8538" s="2"/>
    </row>
    <row r="8539">
      <c r="D8539" s="2"/>
    </row>
    <row r="8540">
      <c r="D8540" s="2"/>
    </row>
    <row r="8541">
      <c r="D8541" s="2"/>
    </row>
    <row r="8542">
      <c r="D8542" s="2"/>
    </row>
    <row r="8543">
      <c r="D8543" s="2"/>
    </row>
    <row r="8544">
      <c r="D8544" s="2"/>
    </row>
    <row r="8545">
      <c r="D8545" s="2"/>
    </row>
    <row r="8546">
      <c r="D8546" s="2"/>
    </row>
    <row r="8547">
      <c r="D8547" s="2"/>
    </row>
    <row r="8548">
      <c r="D8548" s="2"/>
    </row>
    <row r="8549">
      <c r="D8549" s="2"/>
    </row>
    <row r="8550">
      <c r="D8550" s="2"/>
    </row>
    <row r="8551">
      <c r="D8551" s="2"/>
    </row>
    <row r="8552">
      <c r="D8552" s="2"/>
    </row>
    <row r="8553">
      <c r="D8553" s="2"/>
    </row>
    <row r="8554">
      <c r="D8554" s="2"/>
    </row>
    <row r="8555">
      <c r="D8555" s="2"/>
    </row>
    <row r="8556">
      <c r="D8556" s="2"/>
    </row>
    <row r="8557">
      <c r="D8557" s="2"/>
    </row>
    <row r="8558">
      <c r="D8558" s="2"/>
    </row>
    <row r="8559">
      <c r="D8559" s="2"/>
    </row>
    <row r="8560">
      <c r="D8560" s="2"/>
    </row>
    <row r="8561">
      <c r="D8561" s="2"/>
    </row>
    <row r="8562">
      <c r="D8562" s="2"/>
    </row>
    <row r="8563">
      <c r="D8563" s="2"/>
    </row>
    <row r="8564">
      <c r="D8564" s="2"/>
    </row>
    <row r="8565">
      <c r="D8565" s="2"/>
    </row>
    <row r="8566">
      <c r="D8566" s="2"/>
    </row>
    <row r="8567">
      <c r="D8567" s="2"/>
    </row>
    <row r="8568">
      <c r="D8568" s="2"/>
    </row>
    <row r="8569">
      <c r="D8569" s="2"/>
    </row>
    <row r="8570">
      <c r="D8570" s="2"/>
    </row>
    <row r="8571">
      <c r="D8571" s="2"/>
    </row>
    <row r="8572">
      <c r="D8572" s="2"/>
    </row>
    <row r="8573">
      <c r="D8573" s="2"/>
    </row>
    <row r="8574">
      <c r="D8574" s="2"/>
    </row>
    <row r="8575">
      <c r="D8575" s="2"/>
    </row>
    <row r="8576">
      <c r="D8576" s="2"/>
    </row>
    <row r="8577">
      <c r="D8577" s="2"/>
    </row>
    <row r="8578">
      <c r="D8578" s="2"/>
    </row>
    <row r="8579">
      <c r="D8579" s="2"/>
    </row>
    <row r="8580">
      <c r="D8580" s="2"/>
    </row>
    <row r="8581">
      <c r="D8581" s="2"/>
    </row>
    <row r="8582">
      <c r="D8582" s="2"/>
    </row>
    <row r="8583">
      <c r="D8583" s="2"/>
    </row>
    <row r="8584">
      <c r="D8584" s="2"/>
    </row>
    <row r="8585">
      <c r="D8585" s="2"/>
    </row>
    <row r="8586">
      <c r="D8586" s="2"/>
    </row>
    <row r="8587">
      <c r="D8587" s="2"/>
    </row>
    <row r="8588">
      <c r="D8588" s="2"/>
    </row>
    <row r="8589">
      <c r="D8589" s="2"/>
    </row>
    <row r="8590">
      <c r="D8590" s="2"/>
    </row>
    <row r="8591">
      <c r="D8591" s="2"/>
    </row>
    <row r="8592">
      <c r="D8592" s="2"/>
    </row>
    <row r="8593">
      <c r="D8593" s="2"/>
    </row>
    <row r="8594">
      <c r="D8594" s="2"/>
    </row>
    <row r="8595">
      <c r="D8595" s="2"/>
    </row>
    <row r="8596">
      <c r="D8596" s="2"/>
    </row>
    <row r="8597">
      <c r="D8597" s="2"/>
    </row>
    <row r="8598">
      <c r="D8598" s="2"/>
    </row>
    <row r="8599">
      <c r="D8599" s="2"/>
    </row>
    <row r="8600">
      <c r="D8600" s="2"/>
    </row>
    <row r="8601">
      <c r="D8601" s="2"/>
    </row>
    <row r="8602">
      <c r="D8602" s="2"/>
    </row>
    <row r="8603">
      <c r="D8603" s="2"/>
    </row>
    <row r="8604">
      <c r="D8604" s="2"/>
    </row>
    <row r="8605">
      <c r="D8605" s="2"/>
    </row>
    <row r="8606">
      <c r="D8606" s="2"/>
    </row>
    <row r="8607">
      <c r="D8607" s="2"/>
    </row>
    <row r="8608">
      <c r="D8608" s="2"/>
    </row>
    <row r="8609">
      <c r="D8609" s="2"/>
    </row>
    <row r="8610">
      <c r="D8610" s="2"/>
    </row>
    <row r="8611">
      <c r="D8611" s="2"/>
    </row>
    <row r="8612">
      <c r="D8612" s="2"/>
    </row>
    <row r="8613">
      <c r="D8613" s="2"/>
    </row>
    <row r="8614">
      <c r="D8614" s="2"/>
    </row>
    <row r="8615">
      <c r="D8615" s="2"/>
    </row>
    <row r="8616">
      <c r="D8616" s="2"/>
    </row>
    <row r="8617">
      <c r="D8617" s="2"/>
    </row>
    <row r="8618">
      <c r="D8618" s="2"/>
    </row>
    <row r="8619">
      <c r="D8619" s="2"/>
    </row>
    <row r="8620">
      <c r="D8620" s="2"/>
    </row>
    <row r="8621">
      <c r="D8621" s="2"/>
    </row>
    <row r="8622">
      <c r="D8622" s="2"/>
    </row>
    <row r="8623">
      <c r="D8623" s="2"/>
    </row>
    <row r="8624">
      <c r="D8624" s="2"/>
    </row>
    <row r="8625">
      <c r="D8625" s="2"/>
    </row>
    <row r="8626">
      <c r="D8626" s="2"/>
    </row>
    <row r="8627">
      <c r="D8627" s="2"/>
    </row>
    <row r="8628">
      <c r="D8628" s="2"/>
    </row>
    <row r="8629">
      <c r="D8629" s="2"/>
    </row>
    <row r="8630">
      <c r="D8630" s="2"/>
    </row>
    <row r="8631">
      <c r="D8631" s="2"/>
    </row>
    <row r="8632">
      <c r="D8632" s="2"/>
    </row>
    <row r="8633">
      <c r="D8633" s="2"/>
    </row>
    <row r="8634">
      <c r="D8634" s="2"/>
    </row>
    <row r="8635">
      <c r="D8635" s="2"/>
    </row>
    <row r="8636">
      <c r="D8636" s="2"/>
    </row>
    <row r="8637">
      <c r="D8637" s="2"/>
    </row>
    <row r="8638">
      <c r="D8638" s="2"/>
    </row>
    <row r="8639">
      <c r="D8639" s="2"/>
    </row>
    <row r="8640">
      <c r="D8640" s="2"/>
    </row>
    <row r="8641">
      <c r="D8641" s="2"/>
    </row>
    <row r="8642">
      <c r="D8642" s="2"/>
    </row>
    <row r="8643">
      <c r="D8643" s="2"/>
    </row>
    <row r="8644">
      <c r="D8644" s="2"/>
    </row>
    <row r="8645">
      <c r="D8645" s="2"/>
    </row>
    <row r="8646">
      <c r="D8646" s="2"/>
    </row>
    <row r="8647">
      <c r="D8647" s="2"/>
    </row>
    <row r="8648">
      <c r="D8648" s="2"/>
    </row>
    <row r="8649">
      <c r="D8649" s="2"/>
    </row>
    <row r="8650">
      <c r="D8650" s="2"/>
    </row>
    <row r="8651">
      <c r="D8651" s="2"/>
    </row>
    <row r="8652">
      <c r="D8652" s="2"/>
    </row>
    <row r="8653">
      <c r="D8653" s="2"/>
    </row>
    <row r="8654">
      <c r="D8654" s="2"/>
    </row>
    <row r="8655">
      <c r="D8655" s="2"/>
    </row>
    <row r="8656">
      <c r="D8656" s="2"/>
    </row>
    <row r="8657">
      <c r="D8657" s="2"/>
    </row>
    <row r="8658">
      <c r="D8658" s="2"/>
    </row>
    <row r="8659">
      <c r="D8659" s="2"/>
    </row>
    <row r="8660">
      <c r="D8660" s="2"/>
    </row>
    <row r="8661">
      <c r="D8661" s="2"/>
    </row>
    <row r="8662">
      <c r="D8662" s="2"/>
    </row>
    <row r="8663">
      <c r="D8663" s="2"/>
    </row>
    <row r="8664">
      <c r="D8664" s="2"/>
    </row>
    <row r="8665">
      <c r="D8665" s="2"/>
    </row>
    <row r="8666">
      <c r="D8666" s="2"/>
    </row>
    <row r="8667">
      <c r="D8667" s="2"/>
    </row>
    <row r="8668">
      <c r="D8668" s="2"/>
    </row>
    <row r="8669">
      <c r="D8669" s="2"/>
    </row>
    <row r="8670">
      <c r="D8670" s="2"/>
    </row>
    <row r="8671">
      <c r="D8671" s="2"/>
    </row>
    <row r="8672">
      <c r="D8672" s="2"/>
    </row>
    <row r="8673">
      <c r="D8673" s="2"/>
    </row>
    <row r="8674">
      <c r="D8674" s="2"/>
    </row>
    <row r="8675">
      <c r="D8675" s="2"/>
    </row>
    <row r="8676">
      <c r="D8676" s="2"/>
    </row>
    <row r="8677">
      <c r="D8677" s="2"/>
    </row>
    <row r="8678">
      <c r="D8678" s="2"/>
    </row>
    <row r="8679">
      <c r="D8679" s="2"/>
    </row>
    <row r="8680">
      <c r="D8680" s="2"/>
    </row>
    <row r="8681">
      <c r="D8681" s="2"/>
    </row>
    <row r="8682">
      <c r="D8682" s="2"/>
    </row>
    <row r="8683">
      <c r="D8683" s="2"/>
    </row>
    <row r="8684">
      <c r="D8684" s="2"/>
    </row>
    <row r="8685">
      <c r="D8685" s="2"/>
    </row>
    <row r="8686">
      <c r="D8686" s="2"/>
    </row>
    <row r="8687">
      <c r="D8687" s="2"/>
    </row>
    <row r="8688">
      <c r="D8688" s="2"/>
    </row>
    <row r="8689">
      <c r="D8689" s="2"/>
    </row>
    <row r="8690">
      <c r="D8690" s="2"/>
    </row>
    <row r="8691">
      <c r="D8691" s="2"/>
    </row>
    <row r="8692">
      <c r="D8692" s="2"/>
    </row>
    <row r="8693">
      <c r="D8693" s="2"/>
    </row>
    <row r="8694">
      <c r="D8694" s="2"/>
    </row>
    <row r="8695">
      <c r="D8695" s="2"/>
    </row>
    <row r="8696">
      <c r="D8696" s="2"/>
    </row>
    <row r="8697">
      <c r="D8697" s="2"/>
    </row>
    <row r="8698">
      <c r="D8698" s="2"/>
    </row>
    <row r="8699">
      <c r="D8699" s="2"/>
    </row>
    <row r="8700">
      <c r="D8700" s="2"/>
    </row>
    <row r="8701">
      <c r="D8701" s="2"/>
    </row>
    <row r="8702">
      <c r="D8702" s="2"/>
    </row>
    <row r="8703">
      <c r="D8703" s="2"/>
    </row>
    <row r="8704">
      <c r="D8704" s="2"/>
    </row>
    <row r="8705">
      <c r="D8705" s="2"/>
    </row>
    <row r="8706">
      <c r="D8706" s="2"/>
    </row>
    <row r="8707">
      <c r="D8707" s="2"/>
    </row>
    <row r="8708">
      <c r="D8708" s="2"/>
    </row>
    <row r="8709">
      <c r="D8709" s="2"/>
    </row>
    <row r="8710">
      <c r="D8710" s="2"/>
    </row>
    <row r="8711">
      <c r="D8711" s="2"/>
    </row>
    <row r="8712">
      <c r="D8712" s="2"/>
    </row>
    <row r="8713">
      <c r="D8713" s="2"/>
    </row>
    <row r="8714">
      <c r="D8714" s="2"/>
    </row>
    <row r="8715">
      <c r="D8715" s="2"/>
    </row>
    <row r="8716">
      <c r="D8716" s="2"/>
    </row>
    <row r="8717">
      <c r="D8717" s="2"/>
    </row>
    <row r="8718">
      <c r="D8718" s="2"/>
    </row>
    <row r="8719">
      <c r="D8719" s="2"/>
    </row>
    <row r="8720">
      <c r="D8720" s="2"/>
    </row>
    <row r="8721">
      <c r="D8721" s="2"/>
    </row>
    <row r="8722">
      <c r="D8722" s="2"/>
    </row>
    <row r="8723">
      <c r="D8723" s="2"/>
    </row>
    <row r="8724">
      <c r="D8724" s="2"/>
    </row>
    <row r="8725">
      <c r="D8725" s="2"/>
    </row>
    <row r="8726">
      <c r="D8726" s="2"/>
    </row>
    <row r="8727">
      <c r="D8727" s="2"/>
    </row>
    <row r="8728">
      <c r="D8728" s="2"/>
    </row>
    <row r="8729">
      <c r="D8729" s="2"/>
    </row>
    <row r="8730">
      <c r="D8730" s="2"/>
    </row>
    <row r="8731">
      <c r="D8731" s="2"/>
    </row>
    <row r="8732">
      <c r="D8732" s="2"/>
    </row>
    <row r="8733">
      <c r="D8733" s="2"/>
    </row>
    <row r="8734">
      <c r="D8734" s="2"/>
    </row>
    <row r="8735">
      <c r="D8735" s="2"/>
    </row>
    <row r="8736">
      <c r="D8736" s="2"/>
    </row>
    <row r="8737">
      <c r="D8737" s="2"/>
    </row>
    <row r="8738">
      <c r="D8738" s="2"/>
    </row>
    <row r="8739">
      <c r="D8739" s="2"/>
    </row>
    <row r="8740">
      <c r="D8740" s="2"/>
    </row>
    <row r="8741">
      <c r="D8741" s="2"/>
    </row>
    <row r="8742">
      <c r="D8742" s="2"/>
    </row>
    <row r="8743">
      <c r="D8743" s="2"/>
    </row>
    <row r="8744">
      <c r="D8744" s="2"/>
    </row>
    <row r="8745">
      <c r="D8745" s="2"/>
    </row>
    <row r="8746">
      <c r="D8746" s="2"/>
    </row>
    <row r="8747">
      <c r="D8747" s="2"/>
    </row>
    <row r="8748">
      <c r="D8748" s="2"/>
    </row>
    <row r="8749">
      <c r="D8749" s="2"/>
    </row>
    <row r="8750">
      <c r="D8750" s="2"/>
    </row>
    <row r="8751">
      <c r="D8751" s="2"/>
    </row>
    <row r="8752">
      <c r="D8752" s="2"/>
    </row>
    <row r="8753">
      <c r="D8753" s="2"/>
    </row>
    <row r="8754">
      <c r="D8754" s="2"/>
    </row>
    <row r="8755">
      <c r="D8755" s="2"/>
    </row>
    <row r="8756">
      <c r="D8756" s="2"/>
    </row>
    <row r="8757">
      <c r="D8757" s="2"/>
    </row>
    <row r="8758">
      <c r="D8758" s="2"/>
    </row>
    <row r="8759">
      <c r="D8759" s="2"/>
    </row>
    <row r="8760">
      <c r="D8760" s="2"/>
    </row>
    <row r="8761">
      <c r="D8761" s="2"/>
    </row>
    <row r="8762">
      <c r="D8762" s="2"/>
    </row>
    <row r="8763">
      <c r="D8763" s="2"/>
    </row>
    <row r="8764">
      <c r="D8764" s="2"/>
    </row>
    <row r="8765">
      <c r="D8765" s="2"/>
    </row>
    <row r="8766">
      <c r="D8766" s="2"/>
    </row>
    <row r="8767">
      <c r="D8767" s="2"/>
    </row>
    <row r="8768">
      <c r="D8768" s="2"/>
    </row>
    <row r="8769">
      <c r="D8769" s="2"/>
    </row>
    <row r="8770">
      <c r="D8770" s="2"/>
    </row>
    <row r="8771">
      <c r="D8771" s="2"/>
    </row>
    <row r="8772">
      <c r="D8772" s="2"/>
    </row>
    <row r="8773">
      <c r="D8773" s="2"/>
    </row>
    <row r="8774">
      <c r="D8774" s="2"/>
    </row>
    <row r="8775">
      <c r="D8775" s="2"/>
    </row>
    <row r="8776">
      <c r="D8776" s="2"/>
    </row>
    <row r="8777">
      <c r="D8777" s="2"/>
    </row>
    <row r="8778">
      <c r="D8778" s="2"/>
    </row>
    <row r="8779">
      <c r="D8779" s="2"/>
    </row>
    <row r="8780">
      <c r="D8780" s="2"/>
    </row>
    <row r="8781">
      <c r="D8781" s="2"/>
    </row>
    <row r="8782">
      <c r="D8782" s="2"/>
    </row>
    <row r="8783">
      <c r="D8783" s="2"/>
    </row>
    <row r="8784">
      <c r="D8784" s="2"/>
    </row>
    <row r="8785">
      <c r="D8785" s="2"/>
    </row>
    <row r="8786">
      <c r="D8786" s="2"/>
    </row>
    <row r="8787">
      <c r="D8787" s="2"/>
    </row>
    <row r="8788">
      <c r="D8788" s="2"/>
    </row>
    <row r="8789">
      <c r="D8789" s="2"/>
    </row>
    <row r="8790">
      <c r="D8790" s="2"/>
    </row>
    <row r="8791">
      <c r="D8791" s="2"/>
    </row>
    <row r="8792">
      <c r="D8792" s="2"/>
    </row>
    <row r="8793">
      <c r="D8793" s="2"/>
    </row>
    <row r="8794">
      <c r="D8794" s="2"/>
    </row>
    <row r="8795">
      <c r="D8795" s="2"/>
    </row>
    <row r="8796">
      <c r="D8796" s="2"/>
    </row>
    <row r="8797">
      <c r="D8797" s="2"/>
    </row>
    <row r="8798">
      <c r="D8798" s="2"/>
    </row>
    <row r="8799">
      <c r="D8799" s="2"/>
    </row>
    <row r="8800">
      <c r="D8800" s="2"/>
    </row>
    <row r="8801">
      <c r="D8801" s="2"/>
    </row>
    <row r="8802">
      <c r="D8802" s="2"/>
    </row>
    <row r="8803">
      <c r="D8803" s="2"/>
    </row>
    <row r="8804">
      <c r="D8804" s="2"/>
    </row>
    <row r="8805">
      <c r="D8805" s="2"/>
    </row>
    <row r="8806">
      <c r="D8806" s="2"/>
    </row>
    <row r="8807">
      <c r="D8807" s="2"/>
    </row>
    <row r="8808">
      <c r="D8808" s="2"/>
    </row>
    <row r="8809">
      <c r="D8809" s="2"/>
    </row>
    <row r="8810">
      <c r="D8810" s="2"/>
    </row>
    <row r="8811">
      <c r="D8811" s="2"/>
    </row>
    <row r="8812">
      <c r="D8812" s="2"/>
    </row>
    <row r="8813">
      <c r="D8813" s="2"/>
    </row>
    <row r="8814">
      <c r="D8814" s="2"/>
    </row>
    <row r="8815">
      <c r="D8815" s="2"/>
    </row>
    <row r="8816">
      <c r="D8816" s="2"/>
    </row>
    <row r="8817">
      <c r="D8817" s="2"/>
    </row>
    <row r="8818">
      <c r="D8818" s="2"/>
    </row>
    <row r="8819">
      <c r="D8819" s="2"/>
    </row>
    <row r="8820">
      <c r="D8820" s="2"/>
    </row>
    <row r="8821">
      <c r="D8821" s="2"/>
    </row>
    <row r="8822">
      <c r="D8822" s="2"/>
    </row>
    <row r="8823">
      <c r="D8823" s="2"/>
    </row>
    <row r="8824">
      <c r="D8824" s="2"/>
    </row>
    <row r="8825">
      <c r="D8825" s="2"/>
    </row>
    <row r="8826">
      <c r="D8826" s="2"/>
    </row>
    <row r="8827">
      <c r="D8827" s="2"/>
    </row>
    <row r="8828">
      <c r="D8828" s="2"/>
    </row>
    <row r="8829">
      <c r="D8829" s="2"/>
    </row>
    <row r="8830">
      <c r="D8830" s="2"/>
    </row>
    <row r="8831">
      <c r="D8831" s="2"/>
    </row>
    <row r="8832">
      <c r="D8832" s="2"/>
    </row>
    <row r="8833">
      <c r="D8833" s="2"/>
    </row>
    <row r="8834">
      <c r="D8834" s="2"/>
    </row>
    <row r="8835">
      <c r="D8835" s="2"/>
    </row>
    <row r="8836">
      <c r="D8836" s="2"/>
    </row>
    <row r="8837">
      <c r="D8837" s="2"/>
    </row>
    <row r="8838">
      <c r="D8838" s="2"/>
    </row>
    <row r="8839">
      <c r="D8839" s="2"/>
    </row>
    <row r="8840">
      <c r="D8840" s="2"/>
    </row>
    <row r="8841">
      <c r="D8841" s="2"/>
    </row>
    <row r="8842">
      <c r="D8842" s="2"/>
    </row>
    <row r="8843">
      <c r="D8843" s="2"/>
    </row>
    <row r="8844">
      <c r="D8844" s="2"/>
    </row>
    <row r="8845">
      <c r="D8845" s="2"/>
    </row>
    <row r="8846">
      <c r="D8846" s="2"/>
    </row>
    <row r="8847">
      <c r="D8847" s="2"/>
    </row>
    <row r="8848">
      <c r="D8848" s="2"/>
    </row>
    <row r="8849">
      <c r="D8849" s="2"/>
    </row>
    <row r="8850">
      <c r="D8850" s="2"/>
    </row>
    <row r="8851">
      <c r="D8851" s="2"/>
    </row>
    <row r="8852">
      <c r="D8852" s="2"/>
    </row>
    <row r="8853">
      <c r="D8853" s="2"/>
    </row>
    <row r="8854">
      <c r="D8854" s="2"/>
    </row>
    <row r="8855">
      <c r="D8855" s="2"/>
    </row>
    <row r="8856">
      <c r="D8856" s="2"/>
    </row>
    <row r="8857">
      <c r="D8857" s="2"/>
    </row>
    <row r="8858">
      <c r="D8858" s="2"/>
    </row>
    <row r="8859">
      <c r="D8859" s="2"/>
    </row>
    <row r="8860">
      <c r="D8860" s="2"/>
    </row>
    <row r="8861">
      <c r="D8861" s="2"/>
    </row>
    <row r="8862">
      <c r="D8862" s="2"/>
    </row>
    <row r="8863">
      <c r="D8863" s="2"/>
    </row>
    <row r="8864">
      <c r="D8864" s="2"/>
    </row>
    <row r="8865">
      <c r="D8865" s="2"/>
    </row>
    <row r="8866">
      <c r="D8866" s="2"/>
    </row>
    <row r="8867">
      <c r="D8867" s="2"/>
    </row>
    <row r="8868">
      <c r="D8868" s="2"/>
    </row>
    <row r="8869">
      <c r="D8869" s="2"/>
    </row>
    <row r="8870">
      <c r="D8870" s="2"/>
    </row>
    <row r="8871">
      <c r="D8871" s="2"/>
    </row>
    <row r="8872">
      <c r="D8872" s="2"/>
    </row>
    <row r="8873">
      <c r="D8873" s="2"/>
    </row>
    <row r="8874">
      <c r="D8874" s="2"/>
    </row>
    <row r="8875">
      <c r="D8875" s="2"/>
    </row>
    <row r="8876">
      <c r="D8876" s="2"/>
    </row>
    <row r="8877">
      <c r="D8877" s="2"/>
    </row>
    <row r="8878">
      <c r="D8878" s="2"/>
    </row>
    <row r="8879">
      <c r="D8879" s="2"/>
    </row>
    <row r="8880">
      <c r="D8880" s="2"/>
    </row>
    <row r="8881">
      <c r="D8881" s="2"/>
    </row>
    <row r="8882">
      <c r="D8882" s="2"/>
    </row>
    <row r="8883">
      <c r="D8883" s="2"/>
    </row>
    <row r="8884">
      <c r="D8884" s="2"/>
    </row>
    <row r="8885">
      <c r="D8885" s="2"/>
    </row>
    <row r="8886">
      <c r="D8886" s="2"/>
    </row>
    <row r="8887">
      <c r="D8887" s="2"/>
    </row>
    <row r="8888">
      <c r="D8888" s="2"/>
    </row>
    <row r="8889">
      <c r="D8889" s="2"/>
    </row>
    <row r="8890">
      <c r="D8890" s="2"/>
    </row>
    <row r="8891">
      <c r="D8891" s="2"/>
    </row>
    <row r="8892">
      <c r="D8892" s="2"/>
    </row>
    <row r="8893">
      <c r="D8893" s="2"/>
    </row>
    <row r="8894">
      <c r="D8894" s="2"/>
    </row>
    <row r="8895">
      <c r="D8895" s="2"/>
    </row>
    <row r="8896">
      <c r="D8896" s="2"/>
    </row>
    <row r="8897">
      <c r="D8897" s="2"/>
    </row>
    <row r="8898">
      <c r="D8898" s="2"/>
    </row>
    <row r="8899">
      <c r="D8899" s="2"/>
    </row>
    <row r="8900">
      <c r="D8900" s="2"/>
    </row>
    <row r="8901">
      <c r="D8901" s="2"/>
    </row>
    <row r="8902">
      <c r="D8902" s="2"/>
    </row>
    <row r="8903">
      <c r="D8903" s="2"/>
    </row>
    <row r="8904">
      <c r="D8904" s="2"/>
    </row>
    <row r="8905">
      <c r="D8905" s="2"/>
    </row>
    <row r="8906">
      <c r="D8906" s="2"/>
    </row>
    <row r="8907">
      <c r="D8907" s="2"/>
    </row>
    <row r="8908">
      <c r="D8908" s="2"/>
    </row>
    <row r="8909">
      <c r="D8909" s="2"/>
    </row>
    <row r="8910">
      <c r="D8910" s="2"/>
    </row>
    <row r="8911">
      <c r="D8911" s="2"/>
    </row>
    <row r="8912">
      <c r="D8912" s="2"/>
    </row>
    <row r="8913">
      <c r="D8913" s="2"/>
    </row>
    <row r="8914">
      <c r="D8914" s="2"/>
    </row>
    <row r="8915">
      <c r="D8915" s="2"/>
    </row>
    <row r="8916">
      <c r="D8916" s="2"/>
    </row>
    <row r="8917">
      <c r="D8917" s="2"/>
    </row>
    <row r="8918">
      <c r="D8918" s="2"/>
    </row>
    <row r="8919">
      <c r="D8919" s="2"/>
    </row>
    <row r="8920">
      <c r="D8920" s="2"/>
    </row>
    <row r="8921">
      <c r="D8921" s="2"/>
    </row>
    <row r="8922">
      <c r="D8922" s="2"/>
    </row>
    <row r="8923">
      <c r="D8923" s="2"/>
    </row>
    <row r="8924">
      <c r="D8924" s="2"/>
    </row>
    <row r="8925">
      <c r="D8925" s="2"/>
    </row>
    <row r="8926">
      <c r="D8926" s="2"/>
    </row>
    <row r="8927">
      <c r="D8927" s="2"/>
    </row>
    <row r="8928">
      <c r="D8928" s="2"/>
    </row>
    <row r="8929">
      <c r="D8929" s="2"/>
    </row>
    <row r="8930">
      <c r="D8930" s="2"/>
    </row>
    <row r="8931">
      <c r="D8931" s="2"/>
    </row>
    <row r="8932">
      <c r="D8932" s="2"/>
    </row>
    <row r="8933">
      <c r="D8933" s="2"/>
    </row>
    <row r="8934">
      <c r="D8934" s="2"/>
    </row>
    <row r="8935">
      <c r="D8935" s="2"/>
    </row>
    <row r="8936">
      <c r="D8936" s="2"/>
    </row>
    <row r="8937">
      <c r="D8937" s="2"/>
    </row>
    <row r="8938">
      <c r="D8938" s="2"/>
    </row>
    <row r="8939">
      <c r="D8939" s="2"/>
    </row>
    <row r="8940">
      <c r="D8940" s="2"/>
    </row>
    <row r="8941">
      <c r="D8941" s="2"/>
    </row>
    <row r="8942">
      <c r="D8942" s="2"/>
    </row>
    <row r="8943">
      <c r="D8943" s="2"/>
    </row>
    <row r="8944">
      <c r="D8944" s="2"/>
    </row>
    <row r="8945">
      <c r="D8945" s="2"/>
    </row>
    <row r="8946">
      <c r="D8946" s="2"/>
    </row>
    <row r="8947">
      <c r="D8947" s="2"/>
    </row>
    <row r="8948">
      <c r="D8948" s="2"/>
    </row>
    <row r="8949">
      <c r="D8949" s="2"/>
    </row>
    <row r="8950">
      <c r="D8950" s="2"/>
    </row>
    <row r="8951">
      <c r="D8951" s="2"/>
    </row>
    <row r="8952">
      <c r="D8952" s="2"/>
    </row>
    <row r="8953">
      <c r="D8953" s="2"/>
    </row>
    <row r="8954">
      <c r="D8954" s="2"/>
    </row>
    <row r="8955">
      <c r="D8955" s="2"/>
    </row>
    <row r="8956">
      <c r="D8956" s="2"/>
    </row>
    <row r="8957">
      <c r="D8957" s="2"/>
    </row>
    <row r="8958">
      <c r="D8958" s="2"/>
    </row>
    <row r="8959">
      <c r="D8959" s="2"/>
    </row>
    <row r="8960">
      <c r="D8960" s="2"/>
    </row>
    <row r="8961">
      <c r="D8961" s="2"/>
    </row>
    <row r="8962">
      <c r="D8962" s="2"/>
    </row>
    <row r="8963">
      <c r="D8963" s="2"/>
    </row>
    <row r="8964">
      <c r="D8964" s="2"/>
    </row>
    <row r="8965">
      <c r="D8965" s="2"/>
    </row>
    <row r="8966">
      <c r="D8966" s="2"/>
    </row>
    <row r="8967">
      <c r="D8967" s="2"/>
    </row>
    <row r="8968">
      <c r="D8968" s="2"/>
    </row>
    <row r="8969">
      <c r="D8969" s="2"/>
    </row>
    <row r="8970">
      <c r="D8970" s="2"/>
    </row>
    <row r="8971">
      <c r="D8971" s="2"/>
    </row>
    <row r="8972">
      <c r="D8972" s="2"/>
    </row>
    <row r="8973">
      <c r="D8973" s="2"/>
    </row>
    <row r="8974">
      <c r="D8974" s="2"/>
    </row>
    <row r="8975">
      <c r="D8975" s="2"/>
    </row>
    <row r="8976">
      <c r="D8976" s="2"/>
    </row>
    <row r="8977">
      <c r="D8977" s="2"/>
    </row>
    <row r="8978">
      <c r="D8978" s="2"/>
    </row>
    <row r="8979">
      <c r="D8979" s="2"/>
    </row>
    <row r="8980">
      <c r="D8980" s="2"/>
    </row>
    <row r="8981">
      <c r="D8981" s="2"/>
    </row>
    <row r="8982">
      <c r="D8982" s="2"/>
    </row>
    <row r="8983">
      <c r="D8983" s="2"/>
    </row>
    <row r="8984">
      <c r="D8984" s="2"/>
    </row>
    <row r="8985">
      <c r="D8985" s="2"/>
    </row>
    <row r="8986">
      <c r="D8986" s="2"/>
    </row>
    <row r="8987">
      <c r="D8987" s="2"/>
    </row>
    <row r="8988">
      <c r="D8988" s="2"/>
    </row>
    <row r="8989">
      <c r="D8989" s="2"/>
    </row>
    <row r="8990">
      <c r="D8990" s="2"/>
    </row>
    <row r="8991">
      <c r="D8991" s="2"/>
    </row>
    <row r="8992">
      <c r="D8992" s="2"/>
    </row>
    <row r="8993">
      <c r="D8993" s="2"/>
    </row>
    <row r="8994">
      <c r="D8994" s="2"/>
    </row>
    <row r="8995">
      <c r="D8995" s="2"/>
    </row>
    <row r="8996">
      <c r="D8996" s="2"/>
    </row>
    <row r="8997">
      <c r="D8997" s="2"/>
    </row>
    <row r="8998">
      <c r="D8998" s="2"/>
    </row>
    <row r="8999">
      <c r="D8999" s="2"/>
    </row>
    <row r="9000">
      <c r="D9000" s="2"/>
    </row>
    <row r="9001">
      <c r="D9001" s="2"/>
    </row>
    <row r="9002">
      <c r="D9002" s="2"/>
    </row>
    <row r="9003">
      <c r="D9003" s="2"/>
    </row>
    <row r="9004">
      <c r="D9004" s="2"/>
    </row>
    <row r="9005">
      <c r="D9005" s="2"/>
    </row>
    <row r="9006">
      <c r="D9006" s="2"/>
    </row>
    <row r="9007">
      <c r="D9007" s="2"/>
    </row>
    <row r="9008">
      <c r="D9008" s="2"/>
    </row>
    <row r="9009">
      <c r="D9009" s="2"/>
    </row>
    <row r="9010">
      <c r="D9010" s="2"/>
    </row>
    <row r="9011">
      <c r="D9011" s="2"/>
    </row>
    <row r="9012">
      <c r="D9012" s="2"/>
    </row>
    <row r="9013">
      <c r="D9013" s="2"/>
    </row>
    <row r="9014">
      <c r="D9014" s="2"/>
    </row>
    <row r="9015">
      <c r="D9015" s="2"/>
    </row>
    <row r="9016">
      <c r="D9016" s="2"/>
    </row>
    <row r="9017">
      <c r="D9017" s="2"/>
    </row>
    <row r="9018">
      <c r="D9018" s="2"/>
    </row>
    <row r="9019">
      <c r="D9019" s="2"/>
    </row>
    <row r="9020">
      <c r="D9020" s="2"/>
    </row>
    <row r="9021">
      <c r="D9021" s="2"/>
    </row>
    <row r="9022">
      <c r="D9022" s="2"/>
    </row>
    <row r="9023">
      <c r="D9023" s="2"/>
    </row>
    <row r="9024">
      <c r="D9024" s="2"/>
    </row>
    <row r="9025">
      <c r="D9025" s="2"/>
    </row>
    <row r="9026">
      <c r="D9026" s="2"/>
    </row>
    <row r="9027">
      <c r="D9027" s="2"/>
    </row>
    <row r="9028">
      <c r="D9028" s="2"/>
    </row>
    <row r="9029">
      <c r="D9029" s="2"/>
    </row>
    <row r="9030">
      <c r="D9030" s="2"/>
    </row>
    <row r="9031">
      <c r="D9031" s="2"/>
    </row>
    <row r="9032">
      <c r="D9032" s="2"/>
    </row>
    <row r="9033">
      <c r="D9033" s="2"/>
    </row>
    <row r="9034">
      <c r="D9034" s="2"/>
    </row>
    <row r="9035">
      <c r="D9035" s="2"/>
    </row>
    <row r="9036">
      <c r="D9036" s="2"/>
    </row>
    <row r="9037">
      <c r="D9037" s="2"/>
    </row>
    <row r="9038">
      <c r="D9038" s="2"/>
    </row>
    <row r="9039">
      <c r="D9039" s="2"/>
    </row>
    <row r="9040">
      <c r="D9040" s="2"/>
    </row>
    <row r="9041">
      <c r="D9041" s="2"/>
    </row>
    <row r="9042">
      <c r="D9042" s="2"/>
    </row>
    <row r="9043">
      <c r="D9043" s="2"/>
    </row>
    <row r="9044">
      <c r="D9044" s="2"/>
    </row>
    <row r="9045">
      <c r="D9045" s="2"/>
    </row>
    <row r="9046">
      <c r="D9046" s="2"/>
    </row>
    <row r="9047">
      <c r="D9047" s="2"/>
    </row>
    <row r="9048">
      <c r="D9048" s="2"/>
    </row>
    <row r="9049">
      <c r="D9049" s="2"/>
    </row>
    <row r="9050">
      <c r="D9050" s="2"/>
    </row>
    <row r="9051">
      <c r="D9051" s="2"/>
    </row>
    <row r="9052">
      <c r="D9052" s="2"/>
    </row>
    <row r="9053">
      <c r="D9053" s="2"/>
    </row>
    <row r="9054">
      <c r="D9054" s="2"/>
    </row>
    <row r="9055">
      <c r="D9055" s="2"/>
    </row>
    <row r="9056">
      <c r="D9056" s="2"/>
    </row>
    <row r="9057">
      <c r="D9057" s="2"/>
    </row>
    <row r="9058">
      <c r="D9058" s="2"/>
    </row>
    <row r="9059">
      <c r="D9059" s="2"/>
    </row>
    <row r="9060">
      <c r="D9060" s="2"/>
    </row>
    <row r="9061">
      <c r="D9061" s="2"/>
    </row>
    <row r="9062">
      <c r="D9062" s="2"/>
    </row>
    <row r="9063">
      <c r="D9063" s="2"/>
    </row>
    <row r="9064">
      <c r="D9064" s="2"/>
    </row>
    <row r="9065">
      <c r="D9065" s="2"/>
    </row>
    <row r="9066">
      <c r="D9066" s="2"/>
    </row>
    <row r="9067">
      <c r="D9067" s="2"/>
    </row>
    <row r="9068">
      <c r="D9068" s="2"/>
    </row>
    <row r="9069">
      <c r="D9069" s="2"/>
    </row>
    <row r="9070">
      <c r="D9070" s="2"/>
    </row>
    <row r="9071">
      <c r="D9071" s="2"/>
    </row>
    <row r="9072">
      <c r="D9072" s="2"/>
    </row>
    <row r="9073">
      <c r="D9073" s="2"/>
    </row>
    <row r="9074">
      <c r="D9074" s="2"/>
    </row>
    <row r="9075">
      <c r="D9075" s="2"/>
    </row>
    <row r="9076">
      <c r="D9076" s="2"/>
    </row>
    <row r="9077">
      <c r="D9077" s="2"/>
    </row>
    <row r="9078">
      <c r="D9078" s="2"/>
    </row>
    <row r="9079">
      <c r="D9079" s="2"/>
    </row>
    <row r="9080">
      <c r="D9080" s="2"/>
    </row>
    <row r="9081">
      <c r="D9081" s="2"/>
    </row>
    <row r="9082">
      <c r="D9082" s="2"/>
    </row>
    <row r="9083">
      <c r="D9083" s="2"/>
    </row>
    <row r="9084">
      <c r="D9084" s="2"/>
    </row>
    <row r="9085">
      <c r="D9085" s="2"/>
    </row>
    <row r="9086">
      <c r="D9086" s="2"/>
    </row>
    <row r="9087">
      <c r="D9087" s="2"/>
    </row>
    <row r="9088">
      <c r="D9088" s="2"/>
    </row>
    <row r="9089">
      <c r="D9089" s="2"/>
    </row>
    <row r="9090">
      <c r="D9090" s="2"/>
    </row>
    <row r="9091">
      <c r="D9091" s="2"/>
    </row>
    <row r="9092">
      <c r="D9092" s="2"/>
    </row>
    <row r="9093">
      <c r="D9093" s="2"/>
    </row>
    <row r="9094">
      <c r="D9094" s="2"/>
    </row>
    <row r="9095">
      <c r="D9095" s="2"/>
    </row>
    <row r="9096">
      <c r="D9096" s="2"/>
    </row>
    <row r="9097">
      <c r="D9097" s="2"/>
    </row>
    <row r="9098">
      <c r="D9098" s="2"/>
    </row>
    <row r="9099">
      <c r="D9099" s="2"/>
    </row>
    <row r="9100">
      <c r="D9100" s="2"/>
    </row>
    <row r="9101">
      <c r="D9101" s="2"/>
    </row>
    <row r="9102">
      <c r="D9102" s="2"/>
    </row>
    <row r="9103">
      <c r="D9103" s="2"/>
    </row>
    <row r="9104">
      <c r="D9104" s="2"/>
    </row>
    <row r="9105">
      <c r="D9105" s="2"/>
    </row>
    <row r="9106">
      <c r="D9106" s="2"/>
    </row>
    <row r="9107">
      <c r="D9107" s="2"/>
    </row>
    <row r="9108">
      <c r="D9108" s="2"/>
    </row>
    <row r="9109">
      <c r="D9109" s="2"/>
    </row>
    <row r="9110">
      <c r="D9110" s="2"/>
    </row>
    <row r="9111">
      <c r="D9111" s="2"/>
    </row>
    <row r="9112">
      <c r="D9112" s="2"/>
    </row>
    <row r="9113">
      <c r="D9113" s="2"/>
    </row>
    <row r="9114">
      <c r="D9114" s="2"/>
    </row>
    <row r="9115">
      <c r="D9115" s="2"/>
    </row>
    <row r="9116">
      <c r="D9116" s="2"/>
    </row>
    <row r="9117">
      <c r="D9117" s="2"/>
    </row>
    <row r="9118">
      <c r="D9118" s="2"/>
    </row>
    <row r="9119">
      <c r="D9119" s="2"/>
    </row>
    <row r="9120">
      <c r="D9120" s="2"/>
    </row>
    <row r="9121">
      <c r="D9121" s="2"/>
    </row>
    <row r="9122">
      <c r="D9122" s="2"/>
    </row>
    <row r="9123">
      <c r="D9123" s="2"/>
    </row>
    <row r="9124">
      <c r="D9124" s="2"/>
    </row>
    <row r="9125">
      <c r="D9125" s="2"/>
    </row>
    <row r="9126">
      <c r="D9126" s="2"/>
    </row>
    <row r="9127">
      <c r="D9127" s="2"/>
    </row>
    <row r="9128">
      <c r="D9128" s="2"/>
    </row>
    <row r="9129">
      <c r="D9129" s="2"/>
    </row>
    <row r="9130">
      <c r="D9130" s="2"/>
    </row>
    <row r="9131">
      <c r="D9131" s="2"/>
    </row>
    <row r="9132">
      <c r="D9132" s="2"/>
    </row>
    <row r="9133">
      <c r="D9133" s="2"/>
    </row>
    <row r="9134">
      <c r="D9134" s="2"/>
    </row>
    <row r="9135">
      <c r="D9135" s="2"/>
    </row>
    <row r="9136">
      <c r="D9136" s="2"/>
    </row>
    <row r="9137">
      <c r="D9137" s="2"/>
    </row>
    <row r="9138">
      <c r="D9138" s="2"/>
    </row>
    <row r="9139">
      <c r="D9139" s="2"/>
    </row>
    <row r="9140">
      <c r="D9140" s="2"/>
    </row>
    <row r="9141">
      <c r="D9141" s="2"/>
    </row>
    <row r="9142">
      <c r="D9142" s="2"/>
    </row>
    <row r="9143">
      <c r="D9143" s="2"/>
    </row>
    <row r="9144">
      <c r="D9144" s="2"/>
    </row>
    <row r="9145">
      <c r="D9145" s="2"/>
    </row>
    <row r="9146">
      <c r="D9146" s="2"/>
    </row>
    <row r="9147">
      <c r="D9147" s="2"/>
    </row>
    <row r="9148">
      <c r="D9148" s="2"/>
    </row>
    <row r="9149">
      <c r="D9149" s="2"/>
    </row>
    <row r="9150">
      <c r="D9150" s="2"/>
    </row>
    <row r="9151">
      <c r="D9151" s="2"/>
    </row>
    <row r="9152">
      <c r="D9152" s="2"/>
    </row>
    <row r="9153">
      <c r="D9153" s="2"/>
    </row>
    <row r="9154">
      <c r="D9154" s="2"/>
    </row>
    <row r="9155">
      <c r="D9155" s="2"/>
    </row>
    <row r="9156">
      <c r="D9156" s="2"/>
    </row>
    <row r="9157">
      <c r="D9157" s="2"/>
    </row>
    <row r="9158">
      <c r="D9158" s="2"/>
    </row>
    <row r="9159">
      <c r="D9159" s="2"/>
    </row>
    <row r="9160">
      <c r="D9160" s="2"/>
    </row>
    <row r="9161">
      <c r="D9161" s="2"/>
    </row>
    <row r="9162">
      <c r="D9162" s="2"/>
    </row>
    <row r="9163">
      <c r="D9163" s="2"/>
    </row>
    <row r="9164">
      <c r="D9164" s="2"/>
    </row>
    <row r="9165">
      <c r="D9165" s="2"/>
    </row>
    <row r="9166">
      <c r="D9166" s="2"/>
    </row>
    <row r="9167">
      <c r="D9167" s="2"/>
    </row>
    <row r="9168">
      <c r="D9168" s="2"/>
    </row>
    <row r="9169">
      <c r="D9169" s="2"/>
    </row>
    <row r="9170">
      <c r="D9170" s="2"/>
    </row>
    <row r="9171">
      <c r="D9171" s="2"/>
    </row>
    <row r="9172">
      <c r="D9172" s="2"/>
    </row>
    <row r="9173">
      <c r="D9173" s="2"/>
    </row>
    <row r="9174">
      <c r="D9174" s="2"/>
    </row>
    <row r="9175">
      <c r="D9175" s="2"/>
    </row>
    <row r="9176">
      <c r="D9176" s="2"/>
    </row>
    <row r="9177">
      <c r="D9177" s="2"/>
    </row>
    <row r="9178">
      <c r="D9178" s="2"/>
    </row>
    <row r="9179">
      <c r="D9179" s="2"/>
    </row>
    <row r="9180">
      <c r="D9180" s="2"/>
    </row>
    <row r="9181">
      <c r="D9181" s="2"/>
    </row>
    <row r="9182">
      <c r="D9182" s="2"/>
    </row>
    <row r="9183">
      <c r="D9183" s="2"/>
    </row>
    <row r="9184">
      <c r="D9184" s="2"/>
    </row>
    <row r="9185">
      <c r="D9185" s="2"/>
    </row>
    <row r="9186">
      <c r="D9186" s="2"/>
    </row>
    <row r="9187">
      <c r="D9187" s="2"/>
    </row>
    <row r="9188">
      <c r="D9188" s="2"/>
    </row>
    <row r="9189">
      <c r="D9189" s="2"/>
    </row>
    <row r="9190">
      <c r="D9190" s="2"/>
    </row>
    <row r="9191">
      <c r="D9191" s="2"/>
    </row>
    <row r="9192">
      <c r="D9192" s="2"/>
    </row>
    <row r="9193">
      <c r="D9193" s="2"/>
    </row>
    <row r="9194">
      <c r="D9194" s="2"/>
    </row>
    <row r="9195">
      <c r="D9195" s="2"/>
    </row>
    <row r="9196">
      <c r="D9196" s="2"/>
    </row>
    <row r="9197">
      <c r="D9197" s="2"/>
    </row>
    <row r="9198">
      <c r="D9198" s="2"/>
    </row>
    <row r="9199">
      <c r="D9199" s="2"/>
    </row>
    <row r="9200">
      <c r="D9200" s="2"/>
    </row>
    <row r="9201">
      <c r="D9201" s="2"/>
    </row>
    <row r="9202">
      <c r="D9202" s="2"/>
    </row>
    <row r="9203">
      <c r="D9203" s="2"/>
    </row>
    <row r="9204">
      <c r="D9204" s="2"/>
    </row>
    <row r="9205">
      <c r="D9205" s="2"/>
    </row>
    <row r="9206">
      <c r="D9206" s="2"/>
    </row>
    <row r="9207">
      <c r="D9207" s="2"/>
    </row>
    <row r="9208">
      <c r="D9208" s="2"/>
    </row>
    <row r="9209">
      <c r="D9209" s="2"/>
    </row>
    <row r="9210">
      <c r="D9210" s="2"/>
    </row>
    <row r="9211">
      <c r="D9211" s="2"/>
    </row>
    <row r="9212">
      <c r="D9212" s="2"/>
    </row>
    <row r="9213">
      <c r="D9213" s="2"/>
    </row>
    <row r="9214">
      <c r="D9214" s="2"/>
    </row>
    <row r="9215">
      <c r="D9215" s="2"/>
    </row>
    <row r="9216">
      <c r="D9216" s="2"/>
    </row>
    <row r="9217">
      <c r="D9217" s="2"/>
    </row>
    <row r="9218">
      <c r="D9218" s="2"/>
    </row>
    <row r="9219">
      <c r="D9219" s="2"/>
    </row>
    <row r="9220">
      <c r="D9220" s="2"/>
    </row>
    <row r="9221">
      <c r="D9221" s="2"/>
    </row>
    <row r="9222">
      <c r="D9222" s="2"/>
    </row>
    <row r="9223">
      <c r="D9223" s="2"/>
    </row>
    <row r="9224">
      <c r="D9224" s="2"/>
    </row>
    <row r="9225">
      <c r="D9225" s="2"/>
    </row>
    <row r="9226">
      <c r="D9226" s="2"/>
    </row>
    <row r="9227">
      <c r="D9227" s="2"/>
    </row>
    <row r="9228">
      <c r="D9228" s="2"/>
    </row>
    <row r="9229">
      <c r="D9229" s="2"/>
    </row>
    <row r="9230">
      <c r="D9230" s="2"/>
    </row>
    <row r="9231">
      <c r="D9231" s="2"/>
    </row>
    <row r="9232">
      <c r="D9232" s="2"/>
    </row>
    <row r="9233">
      <c r="D9233" s="2"/>
    </row>
    <row r="9234">
      <c r="D9234" s="2"/>
    </row>
    <row r="9235">
      <c r="D9235" s="2"/>
    </row>
    <row r="9236">
      <c r="D9236" s="2"/>
    </row>
    <row r="9237">
      <c r="D9237" s="2"/>
    </row>
    <row r="9238">
      <c r="D9238" s="2"/>
    </row>
    <row r="9239">
      <c r="D9239" s="2"/>
    </row>
    <row r="9240">
      <c r="D9240" s="2"/>
    </row>
    <row r="9241">
      <c r="D9241" s="2"/>
    </row>
    <row r="9242">
      <c r="D9242" s="2"/>
    </row>
    <row r="9243">
      <c r="D9243" s="2"/>
    </row>
    <row r="9244">
      <c r="D9244" s="2"/>
    </row>
    <row r="9245">
      <c r="D9245" s="2"/>
    </row>
    <row r="9246">
      <c r="D9246" s="2"/>
    </row>
    <row r="9247">
      <c r="D9247" s="2"/>
    </row>
    <row r="9248">
      <c r="D9248" s="2"/>
    </row>
    <row r="9249">
      <c r="D9249" s="2"/>
    </row>
    <row r="9250">
      <c r="D9250" s="2"/>
    </row>
    <row r="9251">
      <c r="D9251" s="2"/>
    </row>
    <row r="9252">
      <c r="D9252" s="2"/>
    </row>
    <row r="9253">
      <c r="D9253" s="2"/>
    </row>
    <row r="9254">
      <c r="D9254" s="2"/>
    </row>
    <row r="9255">
      <c r="D9255" s="2"/>
    </row>
    <row r="9256">
      <c r="D9256" s="2"/>
    </row>
    <row r="9257">
      <c r="D9257" s="2"/>
    </row>
    <row r="9258">
      <c r="D9258" s="2"/>
    </row>
    <row r="9259">
      <c r="D9259" s="2"/>
    </row>
    <row r="9260">
      <c r="D9260" s="2"/>
    </row>
    <row r="9261">
      <c r="D9261" s="2"/>
    </row>
    <row r="9262">
      <c r="D9262" s="2"/>
    </row>
    <row r="9263">
      <c r="D9263" s="2"/>
    </row>
    <row r="9264">
      <c r="D9264" s="2"/>
    </row>
    <row r="9265">
      <c r="D9265" s="2"/>
    </row>
    <row r="9266">
      <c r="D9266" s="2"/>
    </row>
    <row r="9267">
      <c r="D9267" s="2"/>
    </row>
    <row r="9268">
      <c r="D9268" s="2"/>
    </row>
    <row r="9269">
      <c r="D9269" s="2"/>
    </row>
    <row r="9270">
      <c r="D9270" s="2"/>
    </row>
    <row r="9271">
      <c r="D9271" s="2"/>
    </row>
    <row r="9272">
      <c r="D9272" s="2"/>
    </row>
    <row r="9273">
      <c r="D9273" s="2"/>
    </row>
    <row r="9274">
      <c r="D9274" s="2"/>
    </row>
    <row r="9275">
      <c r="D9275" s="2"/>
    </row>
    <row r="9276">
      <c r="D9276" s="2"/>
    </row>
    <row r="9277">
      <c r="D9277" s="2"/>
    </row>
    <row r="9278">
      <c r="D9278" s="2"/>
    </row>
    <row r="9279">
      <c r="D9279" s="2"/>
    </row>
    <row r="9280">
      <c r="D9280" s="2"/>
    </row>
    <row r="9281">
      <c r="D9281" s="2"/>
    </row>
    <row r="9282">
      <c r="D9282" s="2"/>
    </row>
    <row r="9283">
      <c r="D9283" s="2"/>
    </row>
    <row r="9284">
      <c r="D9284" s="2"/>
    </row>
    <row r="9285">
      <c r="D9285" s="2"/>
    </row>
    <row r="9286">
      <c r="D9286" s="2"/>
    </row>
    <row r="9287">
      <c r="D9287" s="2"/>
    </row>
    <row r="9288">
      <c r="D9288" s="2"/>
    </row>
    <row r="9289">
      <c r="D9289" s="2"/>
    </row>
    <row r="9290">
      <c r="D9290" s="2"/>
    </row>
    <row r="9291">
      <c r="D9291" s="2"/>
    </row>
    <row r="9292">
      <c r="D9292" s="2"/>
    </row>
    <row r="9293">
      <c r="D9293" s="2"/>
    </row>
    <row r="9294">
      <c r="D9294" s="2"/>
    </row>
    <row r="9295">
      <c r="D9295" s="2"/>
    </row>
    <row r="9296">
      <c r="D9296" s="2"/>
    </row>
    <row r="9297">
      <c r="D9297" s="2"/>
    </row>
    <row r="9298">
      <c r="D9298" s="2"/>
    </row>
    <row r="9299">
      <c r="D9299" s="2"/>
    </row>
    <row r="9300">
      <c r="D9300" s="2"/>
    </row>
    <row r="9301">
      <c r="D9301" s="2"/>
    </row>
    <row r="9302">
      <c r="D9302" s="2"/>
    </row>
    <row r="9303">
      <c r="D9303" s="2"/>
    </row>
    <row r="9304">
      <c r="D9304" s="2"/>
    </row>
    <row r="9305">
      <c r="D9305" s="2"/>
    </row>
    <row r="9306">
      <c r="D9306" s="2"/>
    </row>
    <row r="9307">
      <c r="D9307" s="2"/>
    </row>
    <row r="9308">
      <c r="D9308" s="2"/>
    </row>
    <row r="9309">
      <c r="D9309" s="2"/>
    </row>
    <row r="9310">
      <c r="D9310" s="2"/>
    </row>
    <row r="9311">
      <c r="D9311" s="2"/>
    </row>
    <row r="9312">
      <c r="D9312" s="2"/>
    </row>
    <row r="9313">
      <c r="D9313" s="2"/>
    </row>
    <row r="9314">
      <c r="D9314" s="2"/>
    </row>
    <row r="9315">
      <c r="D9315" s="2"/>
    </row>
    <row r="9316">
      <c r="D9316" s="2"/>
    </row>
    <row r="9317">
      <c r="D9317" s="2"/>
    </row>
    <row r="9318">
      <c r="D9318" s="2"/>
    </row>
    <row r="9319">
      <c r="D9319" s="2"/>
    </row>
    <row r="9320">
      <c r="D9320" s="2"/>
    </row>
    <row r="9321">
      <c r="D9321" s="2"/>
    </row>
    <row r="9322">
      <c r="D9322" s="2"/>
    </row>
    <row r="9323">
      <c r="D9323" s="2"/>
    </row>
    <row r="9324">
      <c r="D9324" s="2"/>
    </row>
    <row r="9325">
      <c r="D9325" s="2"/>
    </row>
    <row r="9326">
      <c r="D9326" s="2"/>
    </row>
    <row r="9327">
      <c r="D9327" s="2"/>
    </row>
    <row r="9328">
      <c r="D9328" s="2"/>
    </row>
    <row r="9329">
      <c r="D9329" s="2"/>
    </row>
    <row r="9330">
      <c r="D9330" s="2"/>
    </row>
    <row r="9331">
      <c r="D9331" s="2"/>
    </row>
    <row r="9332">
      <c r="D9332" s="2"/>
    </row>
    <row r="9333">
      <c r="D9333" s="2"/>
    </row>
    <row r="9334">
      <c r="D9334" s="2"/>
    </row>
    <row r="9335">
      <c r="D9335" s="2"/>
    </row>
    <row r="9336">
      <c r="D9336" s="2"/>
    </row>
    <row r="9337">
      <c r="D9337" s="2"/>
    </row>
    <row r="9338">
      <c r="D9338" s="2"/>
    </row>
    <row r="9339">
      <c r="D9339" s="2"/>
    </row>
    <row r="9340">
      <c r="D9340" s="2"/>
    </row>
    <row r="9341">
      <c r="D9341" s="2"/>
    </row>
    <row r="9342">
      <c r="D9342" s="2"/>
    </row>
    <row r="9343">
      <c r="D9343" s="2"/>
    </row>
    <row r="9344">
      <c r="D9344" s="2"/>
    </row>
    <row r="9345">
      <c r="D9345" s="2"/>
    </row>
    <row r="9346">
      <c r="D9346" s="2"/>
    </row>
    <row r="9347">
      <c r="D9347" s="2"/>
    </row>
    <row r="9348">
      <c r="D9348" s="2"/>
    </row>
    <row r="9349">
      <c r="D9349" s="2"/>
    </row>
    <row r="9350">
      <c r="D9350" s="2"/>
    </row>
    <row r="9351">
      <c r="D9351" s="2"/>
    </row>
    <row r="9352">
      <c r="D9352" s="2"/>
    </row>
    <row r="9353">
      <c r="D9353" s="2"/>
    </row>
    <row r="9354">
      <c r="D9354" s="2"/>
    </row>
    <row r="9355">
      <c r="D9355" s="2"/>
    </row>
    <row r="9356">
      <c r="D9356" s="2"/>
    </row>
    <row r="9357">
      <c r="D9357" s="2"/>
    </row>
    <row r="9358">
      <c r="D9358" s="2"/>
    </row>
    <row r="9359">
      <c r="D9359" s="2"/>
    </row>
    <row r="9360">
      <c r="D9360" s="2"/>
    </row>
    <row r="9361">
      <c r="D9361" s="2"/>
    </row>
    <row r="9362">
      <c r="D9362" s="2"/>
    </row>
    <row r="9363">
      <c r="D9363" s="2"/>
    </row>
    <row r="9364">
      <c r="D9364" s="2"/>
    </row>
    <row r="9365">
      <c r="D9365" s="2"/>
    </row>
    <row r="9366">
      <c r="D9366" s="2"/>
    </row>
    <row r="9367">
      <c r="D9367" s="2"/>
    </row>
    <row r="9368">
      <c r="D9368" s="2"/>
    </row>
    <row r="9369">
      <c r="D9369" s="2"/>
    </row>
    <row r="9370">
      <c r="D9370" s="2"/>
    </row>
    <row r="9371">
      <c r="D9371" s="2"/>
    </row>
    <row r="9372">
      <c r="D9372" s="2"/>
    </row>
    <row r="9373">
      <c r="D9373" s="2"/>
    </row>
    <row r="9374">
      <c r="D9374" s="2"/>
    </row>
    <row r="9375">
      <c r="D9375" s="2"/>
    </row>
    <row r="9376">
      <c r="D9376" s="2"/>
    </row>
    <row r="9377">
      <c r="D9377" s="2"/>
    </row>
    <row r="9378">
      <c r="D9378" s="2"/>
    </row>
    <row r="9379">
      <c r="D9379" s="2"/>
    </row>
    <row r="9380">
      <c r="D9380" s="2"/>
    </row>
    <row r="9381">
      <c r="D9381" s="2"/>
    </row>
    <row r="9382">
      <c r="D9382" s="2"/>
    </row>
    <row r="9383">
      <c r="D9383" s="2"/>
    </row>
    <row r="9384">
      <c r="D9384" s="2"/>
    </row>
    <row r="9385">
      <c r="D9385" s="2"/>
    </row>
    <row r="9386">
      <c r="D9386" s="2"/>
    </row>
    <row r="9387">
      <c r="D9387" s="2"/>
    </row>
    <row r="9388">
      <c r="D9388" s="2"/>
    </row>
    <row r="9389">
      <c r="D9389" s="2"/>
    </row>
    <row r="9390">
      <c r="D9390" s="2"/>
    </row>
    <row r="9391">
      <c r="D9391" s="2"/>
    </row>
    <row r="9392">
      <c r="D9392" s="2"/>
    </row>
    <row r="9393">
      <c r="D9393" s="2"/>
    </row>
    <row r="9394">
      <c r="D9394" s="2"/>
    </row>
    <row r="9395">
      <c r="D9395" s="2"/>
    </row>
    <row r="9396">
      <c r="D9396" s="2"/>
    </row>
    <row r="9397">
      <c r="D9397" s="2"/>
    </row>
    <row r="9398">
      <c r="D9398" s="2"/>
    </row>
    <row r="9399">
      <c r="D9399" s="2"/>
    </row>
    <row r="9400">
      <c r="D9400" s="2"/>
    </row>
    <row r="9401">
      <c r="D9401" s="2"/>
    </row>
    <row r="9402">
      <c r="D9402" s="2"/>
    </row>
    <row r="9403">
      <c r="D9403" s="2"/>
    </row>
    <row r="9404">
      <c r="D9404" s="2"/>
    </row>
    <row r="9405">
      <c r="D9405" s="2"/>
    </row>
    <row r="9406">
      <c r="D9406" s="2"/>
    </row>
    <row r="9407">
      <c r="D9407" s="2"/>
    </row>
    <row r="9408">
      <c r="D9408" s="2"/>
    </row>
    <row r="9409">
      <c r="D9409" s="2"/>
    </row>
    <row r="9410">
      <c r="D9410" s="2"/>
    </row>
    <row r="9411">
      <c r="D9411" s="2"/>
    </row>
    <row r="9412">
      <c r="D9412" s="2"/>
    </row>
    <row r="9413">
      <c r="D9413" s="2"/>
    </row>
    <row r="9414">
      <c r="D9414" s="2"/>
    </row>
    <row r="9415">
      <c r="D9415" s="6"/>
    </row>
    <row r="9416">
      <c r="D9416" s="7"/>
    </row>
    <row r="9417">
      <c r="D9417" s="7"/>
    </row>
    <row r="9418">
      <c r="D9418" s="7"/>
    </row>
    <row r="9419">
      <c r="D9419" s="7"/>
    </row>
  </sheetData>
  <customSheetViews>
    <customSheetView guid="{56CEABED-A2A3-4858-BF6E-6ED85DBC3552}" filter="1" showAutoFilter="1">
      <autoFilter ref="$A$1:$K$9419"/>
    </customSheetView>
  </customSheetViews>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 r:id="rId1093" ref="I1094"/>
    <hyperlink r:id="rId1094" ref="I1095"/>
    <hyperlink r:id="rId1095" ref="I1096"/>
    <hyperlink r:id="rId1096" ref="I1097"/>
    <hyperlink r:id="rId1097" ref="I1098"/>
    <hyperlink r:id="rId1098" ref="I1099"/>
    <hyperlink r:id="rId1099" ref="I1100"/>
    <hyperlink r:id="rId1100" ref="I1101"/>
    <hyperlink r:id="rId1101" ref="I1102"/>
    <hyperlink r:id="rId1102" ref="I1103"/>
    <hyperlink r:id="rId1103" ref="I1104"/>
    <hyperlink r:id="rId1104" ref="I1105"/>
    <hyperlink r:id="rId1105" ref="I1106"/>
    <hyperlink r:id="rId1106" ref="I1107"/>
    <hyperlink r:id="rId1107" ref="I1108"/>
    <hyperlink r:id="rId1108" ref="I1109"/>
    <hyperlink r:id="rId1109" ref="I1110"/>
    <hyperlink r:id="rId1110" ref="I1111"/>
    <hyperlink r:id="rId1111" ref="I1112"/>
    <hyperlink r:id="rId1112" ref="I1113"/>
    <hyperlink r:id="rId1113" ref="I1114"/>
    <hyperlink r:id="rId1114" ref="I1115"/>
    <hyperlink r:id="rId1115" ref="I1116"/>
    <hyperlink r:id="rId1116" ref="I1117"/>
    <hyperlink r:id="rId1117" ref="I1118"/>
    <hyperlink r:id="rId1118" ref="I1119"/>
    <hyperlink r:id="rId1119" ref="I1120"/>
    <hyperlink r:id="rId1120" ref="I1121"/>
    <hyperlink r:id="rId1121" ref="I1122"/>
    <hyperlink r:id="rId1122" ref="I1123"/>
    <hyperlink r:id="rId1123" ref="I1124"/>
    <hyperlink r:id="rId1124" ref="I1125"/>
    <hyperlink r:id="rId1125" ref="I1126"/>
    <hyperlink r:id="rId1126" ref="I1127"/>
    <hyperlink r:id="rId1127" ref="I1128"/>
    <hyperlink r:id="rId1128" ref="I1129"/>
    <hyperlink r:id="rId1129" ref="I1130"/>
    <hyperlink r:id="rId1130" ref="I1131"/>
    <hyperlink r:id="rId1131" ref="I1132"/>
    <hyperlink r:id="rId1132" ref="I1133"/>
    <hyperlink r:id="rId1133" ref="I1134"/>
    <hyperlink r:id="rId1134" ref="I1135"/>
    <hyperlink r:id="rId1135" ref="I1136"/>
    <hyperlink r:id="rId1136" ref="I1137"/>
    <hyperlink r:id="rId1137" ref="I1138"/>
    <hyperlink r:id="rId1138" ref="I1139"/>
    <hyperlink r:id="rId1139" ref="I1140"/>
    <hyperlink r:id="rId1140" ref="I1141"/>
    <hyperlink r:id="rId1141" ref="I1142"/>
    <hyperlink r:id="rId1142" ref="I1143"/>
    <hyperlink r:id="rId1143" ref="I1144"/>
    <hyperlink r:id="rId1144" ref="I1145"/>
    <hyperlink r:id="rId1145" ref="I1146"/>
    <hyperlink r:id="rId1146" ref="I1147"/>
    <hyperlink r:id="rId1147" ref="I1148"/>
    <hyperlink r:id="rId1148" ref="I1149"/>
    <hyperlink r:id="rId1149" ref="I1150"/>
    <hyperlink r:id="rId1150" ref="I1151"/>
    <hyperlink r:id="rId1151" ref="I1152"/>
    <hyperlink r:id="rId1152" ref="I1153"/>
    <hyperlink r:id="rId1153" ref="I1154"/>
    <hyperlink r:id="rId1154" ref="I1155"/>
    <hyperlink r:id="rId1155" ref="I1156"/>
    <hyperlink r:id="rId1156" ref="I1157"/>
    <hyperlink r:id="rId1157" ref="I1158"/>
    <hyperlink r:id="rId1158" ref="I1159"/>
    <hyperlink r:id="rId1159" ref="I1160"/>
    <hyperlink r:id="rId1160" ref="I1161"/>
    <hyperlink r:id="rId1161" ref="I1162"/>
    <hyperlink r:id="rId1162" ref="I1163"/>
    <hyperlink r:id="rId1163" ref="I1164"/>
    <hyperlink r:id="rId1164" ref="I1165"/>
    <hyperlink r:id="rId1165" ref="I1166"/>
    <hyperlink r:id="rId1166" ref="I1167"/>
    <hyperlink r:id="rId1167" ref="I1168"/>
    <hyperlink r:id="rId1168" ref="I1169"/>
    <hyperlink r:id="rId1169" ref="I1170"/>
    <hyperlink r:id="rId1170" ref="I1171"/>
    <hyperlink r:id="rId1171" ref="I1172"/>
    <hyperlink r:id="rId1172" ref="I1173"/>
    <hyperlink r:id="rId1173" ref="I1174"/>
    <hyperlink r:id="rId1174" ref="I1175"/>
    <hyperlink r:id="rId1175" ref="I1176"/>
    <hyperlink r:id="rId1176" ref="I1177"/>
    <hyperlink r:id="rId1177" ref="I1178"/>
    <hyperlink r:id="rId1178" ref="I1179"/>
    <hyperlink r:id="rId1179" ref="I1180"/>
    <hyperlink r:id="rId1180" ref="I1181"/>
    <hyperlink r:id="rId1181" ref="I1182"/>
    <hyperlink r:id="rId1182" ref="I1183"/>
    <hyperlink r:id="rId1183" ref="I1184"/>
    <hyperlink r:id="rId1184" ref="I1185"/>
    <hyperlink r:id="rId1185" ref="I1186"/>
    <hyperlink r:id="rId1186" ref="I1187"/>
    <hyperlink r:id="rId1187" ref="I1188"/>
    <hyperlink r:id="rId1188" ref="I1189"/>
    <hyperlink r:id="rId1189" ref="I1190"/>
    <hyperlink r:id="rId1190" ref="I1191"/>
    <hyperlink r:id="rId1191" ref="I1192"/>
    <hyperlink r:id="rId1192" ref="I1193"/>
    <hyperlink r:id="rId1193" ref="I1194"/>
    <hyperlink r:id="rId1194" ref="I1195"/>
    <hyperlink r:id="rId1195" ref="I1196"/>
    <hyperlink r:id="rId1196" ref="I1197"/>
    <hyperlink r:id="rId1197" ref="I1198"/>
    <hyperlink r:id="rId1198" ref="I1199"/>
    <hyperlink r:id="rId1199" ref="I1200"/>
    <hyperlink r:id="rId1200" ref="I1201"/>
    <hyperlink r:id="rId1201" ref="I1202"/>
    <hyperlink r:id="rId1202" ref="I1203"/>
    <hyperlink r:id="rId1203" ref="I1204"/>
    <hyperlink r:id="rId1204" ref="I1205"/>
    <hyperlink r:id="rId1205" ref="I1206"/>
    <hyperlink r:id="rId1206" ref="I1207"/>
    <hyperlink r:id="rId1207" ref="I1208"/>
    <hyperlink r:id="rId1208" ref="I1209"/>
    <hyperlink r:id="rId1209" ref="I1210"/>
    <hyperlink r:id="rId1210" ref="I1211"/>
    <hyperlink r:id="rId1211" ref="I1212"/>
    <hyperlink r:id="rId1212" ref="I1213"/>
    <hyperlink r:id="rId1213" ref="I1214"/>
    <hyperlink r:id="rId1214" ref="I1215"/>
    <hyperlink r:id="rId1215" ref="I1216"/>
    <hyperlink r:id="rId1216" ref="I1217"/>
    <hyperlink r:id="rId1217" ref="I1218"/>
    <hyperlink r:id="rId1218" ref="I1219"/>
    <hyperlink r:id="rId1219" ref="I1220"/>
    <hyperlink r:id="rId1220" ref="I1221"/>
    <hyperlink r:id="rId1221" ref="I1222"/>
    <hyperlink r:id="rId1222" ref="I1223"/>
    <hyperlink r:id="rId1223" ref="I1224"/>
    <hyperlink r:id="rId1224" ref="I1225"/>
    <hyperlink r:id="rId1225" ref="I1226"/>
    <hyperlink r:id="rId1226" ref="I1227"/>
    <hyperlink r:id="rId1227" ref="I1228"/>
    <hyperlink r:id="rId1228" ref="I1229"/>
    <hyperlink r:id="rId1229" ref="I1230"/>
    <hyperlink r:id="rId1230" ref="I1231"/>
    <hyperlink r:id="rId1231" ref="I1232"/>
    <hyperlink r:id="rId1232" ref="I1233"/>
    <hyperlink r:id="rId1233" ref="I1234"/>
    <hyperlink r:id="rId1234" ref="I1235"/>
    <hyperlink r:id="rId1235" ref="I1236"/>
    <hyperlink r:id="rId1236" ref="I1237"/>
    <hyperlink r:id="rId1237" ref="I1238"/>
    <hyperlink r:id="rId1238" ref="I1239"/>
    <hyperlink r:id="rId1239" ref="I1240"/>
    <hyperlink r:id="rId1240" ref="I1241"/>
    <hyperlink r:id="rId1241" ref="I1242"/>
    <hyperlink r:id="rId1242" ref="I1243"/>
    <hyperlink r:id="rId1243" ref="I1244"/>
    <hyperlink r:id="rId1244" ref="I1245"/>
    <hyperlink r:id="rId1245" ref="I1246"/>
    <hyperlink r:id="rId1246" ref="I1247"/>
    <hyperlink r:id="rId1247" ref="I1248"/>
    <hyperlink r:id="rId1248" ref="I1249"/>
    <hyperlink r:id="rId1249" ref="I1250"/>
    <hyperlink r:id="rId1250" ref="I1251"/>
    <hyperlink r:id="rId1251" ref="I1252"/>
    <hyperlink r:id="rId1252" ref="I1253"/>
    <hyperlink r:id="rId1253" ref="I1254"/>
    <hyperlink r:id="rId1254" ref="I1255"/>
    <hyperlink r:id="rId1255" ref="I1256"/>
    <hyperlink r:id="rId1256" ref="I1257"/>
    <hyperlink r:id="rId1257" ref="I1258"/>
    <hyperlink r:id="rId1258" ref="I1259"/>
    <hyperlink r:id="rId1259" ref="I1260"/>
    <hyperlink r:id="rId1260" ref="I1261"/>
    <hyperlink r:id="rId1261" ref="I1262"/>
    <hyperlink r:id="rId1262" ref="I1263"/>
    <hyperlink r:id="rId1263" ref="I1264"/>
    <hyperlink r:id="rId1264" ref="I1265"/>
    <hyperlink r:id="rId1265" ref="I1266"/>
    <hyperlink r:id="rId1266" ref="I1267"/>
    <hyperlink r:id="rId1267" ref="I1268"/>
    <hyperlink r:id="rId1268" ref="I1269"/>
    <hyperlink r:id="rId1269" ref="I1270"/>
    <hyperlink r:id="rId1270" ref="I1271"/>
    <hyperlink r:id="rId1271" ref="I1272"/>
    <hyperlink r:id="rId1272" ref="I1273"/>
    <hyperlink r:id="rId1273" ref="I1274"/>
    <hyperlink r:id="rId1274" ref="I1275"/>
    <hyperlink r:id="rId1275" ref="I1276"/>
    <hyperlink r:id="rId1276" ref="I1277"/>
    <hyperlink r:id="rId1277" ref="I1278"/>
    <hyperlink r:id="rId1278" ref="I1279"/>
    <hyperlink r:id="rId1279" ref="I1280"/>
    <hyperlink r:id="rId1280" ref="I1281"/>
    <hyperlink r:id="rId1281" ref="I1282"/>
    <hyperlink r:id="rId1282" ref="I1283"/>
    <hyperlink r:id="rId1283" ref="I1284"/>
    <hyperlink r:id="rId1284" ref="I1285"/>
    <hyperlink r:id="rId1285" ref="I1286"/>
    <hyperlink r:id="rId1286" ref="I1287"/>
    <hyperlink r:id="rId1287" ref="I1288"/>
    <hyperlink r:id="rId1288" ref="I1289"/>
    <hyperlink r:id="rId1289" ref="I1290"/>
    <hyperlink r:id="rId1290" ref="I1291"/>
    <hyperlink r:id="rId1291" ref="I1292"/>
    <hyperlink r:id="rId1292" ref="I1293"/>
    <hyperlink r:id="rId1293" ref="I1294"/>
    <hyperlink r:id="rId1294" ref="I1295"/>
    <hyperlink r:id="rId1295" ref="I1296"/>
    <hyperlink r:id="rId1296" ref="I1297"/>
    <hyperlink r:id="rId1297" ref="I1298"/>
    <hyperlink r:id="rId1298" ref="I1299"/>
    <hyperlink r:id="rId1299" ref="I1300"/>
    <hyperlink r:id="rId1300" ref="I1301"/>
    <hyperlink r:id="rId1301" ref="I1302"/>
    <hyperlink r:id="rId1302" ref="I1303"/>
    <hyperlink r:id="rId1303" ref="I1304"/>
    <hyperlink r:id="rId1304" ref="I1305"/>
    <hyperlink r:id="rId1305" ref="I1306"/>
    <hyperlink r:id="rId1306" ref="I1307"/>
    <hyperlink r:id="rId1307" ref="I1308"/>
    <hyperlink r:id="rId1308" ref="I1309"/>
    <hyperlink r:id="rId1309" ref="I1310"/>
    <hyperlink r:id="rId1310" ref="I1311"/>
    <hyperlink r:id="rId1311" ref="I1312"/>
    <hyperlink r:id="rId1312" ref="I1313"/>
    <hyperlink r:id="rId1313" ref="I1314"/>
    <hyperlink r:id="rId1314" ref="I1315"/>
    <hyperlink r:id="rId1315" ref="I1316"/>
    <hyperlink r:id="rId1316" ref="I1317"/>
    <hyperlink r:id="rId1317" ref="I1318"/>
    <hyperlink r:id="rId1318" ref="I1319"/>
    <hyperlink r:id="rId1319" ref="I1320"/>
    <hyperlink r:id="rId1320" ref="I1321"/>
    <hyperlink r:id="rId1321" ref="I1322"/>
    <hyperlink r:id="rId1322" ref="I1323"/>
    <hyperlink r:id="rId1323" ref="I1324"/>
    <hyperlink r:id="rId1324" ref="I1325"/>
    <hyperlink r:id="rId1325" ref="I1326"/>
    <hyperlink r:id="rId1326" ref="I1327"/>
    <hyperlink r:id="rId1327" ref="I1328"/>
    <hyperlink r:id="rId1328" ref="I1329"/>
    <hyperlink r:id="rId1329" ref="I1330"/>
    <hyperlink r:id="rId1330" ref="I1331"/>
    <hyperlink r:id="rId1331" ref="I1332"/>
    <hyperlink r:id="rId1332" ref="I1333"/>
    <hyperlink r:id="rId1333" ref="I1334"/>
    <hyperlink r:id="rId1334" ref="I1335"/>
    <hyperlink r:id="rId1335" ref="I1336"/>
    <hyperlink r:id="rId1336" ref="I1337"/>
    <hyperlink r:id="rId1337" ref="I1338"/>
    <hyperlink r:id="rId1338" ref="I1339"/>
    <hyperlink r:id="rId1339" ref="I1340"/>
    <hyperlink r:id="rId1340" ref="I1341"/>
    <hyperlink r:id="rId1341" ref="I1342"/>
    <hyperlink r:id="rId1342" ref="I1343"/>
    <hyperlink r:id="rId1343" ref="I1344"/>
    <hyperlink r:id="rId1344" ref="I1345"/>
    <hyperlink r:id="rId1345" ref="I1346"/>
    <hyperlink r:id="rId1346" ref="I1347"/>
    <hyperlink r:id="rId1347" ref="I1348"/>
    <hyperlink r:id="rId1348" ref="I1349"/>
    <hyperlink r:id="rId1349" ref="I1350"/>
    <hyperlink r:id="rId1350" ref="I1351"/>
    <hyperlink r:id="rId1351" ref="I1352"/>
    <hyperlink r:id="rId1352" ref="I1353"/>
    <hyperlink r:id="rId1353" ref="I1354"/>
    <hyperlink r:id="rId1354" ref="I1355"/>
    <hyperlink r:id="rId1355" ref="I1356"/>
    <hyperlink r:id="rId1356" ref="I1357"/>
    <hyperlink r:id="rId1357" ref="I1358"/>
    <hyperlink r:id="rId1358" ref="I1359"/>
    <hyperlink r:id="rId1359" ref="I1360"/>
    <hyperlink r:id="rId1360" ref="I1361"/>
    <hyperlink r:id="rId1361" ref="I1362"/>
    <hyperlink r:id="rId1362" ref="I1363"/>
    <hyperlink r:id="rId1363" ref="I1364"/>
    <hyperlink r:id="rId1364" ref="I1365"/>
    <hyperlink r:id="rId1365" ref="I1366"/>
    <hyperlink r:id="rId1366" ref="I1367"/>
    <hyperlink r:id="rId1367" ref="I1368"/>
    <hyperlink r:id="rId1368" ref="I1369"/>
    <hyperlink r:id="rId1369" ref="I1370"/>
    <hyperlink r:id="rId1370" ref="I1371"/>
    <hyperlink r:id="rId1371" ref="I1372"/>
    <hyperlink r:id="rId1372" ref="I1373"/>
    <hyperlink r:id="rId1373" ref="I1374"/>
    <hyperlink r:id="rId1374" ref="I1375"/>
    <hyperlink r:id="rId1375" ref="I1376"/>
    <hyperlink r:id="rId1376" ref="I1377"/>
    <hyperlink r:id="rId1377" ref="I1378"/>
    <hyperlink r:id="rId1378" ref="I1379"/>
    <hyperlink r:id="rId1379" ref="I1380"/>
    <hyperlink r:id="rId1380" ref="I1381"/>
    <hyperlink r:id="rId1381" ref="I1382"/>
    <hyperlink r:id="rId1382" ref="I1383"/>
    <hyperlink r:id="rId1383" ref="I1384"/>
    <hyperlink r:id="rId1384" ref="I1385"/>
    <hyperlink r:id="rId1385" ref="I1386"/>
    <hyperlink r:id="rId1386" ref="I1387"/>
    <hyperlink r:id="rId1387" ref="I1388"/>
    <hyperlink r:id="rId1388" ref="I1389"/>
    <hyperlink r:id="rId1389" ref="I1390"/>
    <hyperlink r:id="rId1390" ref="I1391"/>
    <hyperlink r:id="rId1391" ref="I1392"/>
    <hyperlink r:id="rId1392" ref="I1393"/>
    <hyperlink r:id="rId1393" ref="I1394"/>
    <hyperlink r:id="rId1394" ref="I1395"/>
    <hyperlink r:id="rId1395" ref="I1396"/>
    <hyperlink r:id="rId1396" ref="I1397"/>
    <hyperlink r:id="rId1397" ref="I1398"/>
    <hyperlink r:id="rId1398" ref="I1399"/>
    <hyperlink r:id="rId1399" ref="I1400"/>
    <hyperlink r:id="rId1400" ref="I1401"/>
    <hyperlink r:id="rId1401" ref="I1402"/>
    <hyperlink r:id="rId1402" ref="I1403"/>
    <hyperlink r:id="rId1403" ref="I1404"/>
    <hyperlink r:id="rId1404" ref="I1405"/>
    <hyperlink r:id="rId1405" ref="I1406"/>
    <hyperlink r:id="rId1406" ref="I1407"/>
    <hyperlink r:id="rId1407" ref="I1408"/>
    <hyperlink r:id="rId1408" ref="I1409"/>
    <hyperlink r:id="rId1409" ref="I1410"/>
    <hyperlink r:id="rId1410" ref="I1411"/>
    <hyperlink r:id="rId1411" ref="I1412"/>
    <hyperlink r:id="rId1412" ref="I1413"/>
    <hyperlink r:id="rId1413" ref="I1414"/>
    <hyperlink r:id="rId1414" ref="I1415"/>
    <hyperlink r:id="rId1415" ref="I1416"/>
    <hyperlink r:id="rId1416" ref="I1417"/>
    <hyperlink r:id="rId1417" ref="I1418"/>
    <hyperlink r:id="rId1418" ref="I1419"/>
    <hyperlink r:id="rId1419" ref="I1420"/>
    <hyperlink r:id="rId1420" ref="I1421"/>
    <hyperlink r:id="rId1421" ref="I1422"/>
    <hyperlink r:id="rId1422" ref="I1423"/>
    <hyperlink r:id="rId1423" ref="I1424"/>
    <hyperlink r:id="rId1424" ref="I1425"/>
    <hyperlink r:id="rId1425" ref="I1426"/>
    <hyperlink r:id="rId1426" ref="I1427"/>
    <hyperlink r:id="rId1427" ref="I1428"/>
    <hyperlink r:id="rId1428" ref="I1429"/>
    <hyperlink r:id="rId1429" ref="I1430"/>
    <hyperlink r:id="rId1430" ref="I1431"/>
    <hyperlink r:id="rId1431" ref="I1432"/>
    <hyperlink r:id="rId1432" ref="I1433"/>
    <hyperlink r:id="rId1433" ref="I1434"/>
    <hyperlink r:id="rId1434" ref="I1435"/>
    <hyperlink r:id="rId1435" ref="I1436"/>
    <hyperlink r:id="rId1436" ref="I1437"/>
    <hyperlink r:id="rId1437" ref="I1438"/>
    <hyperlink r:id="rId1438" ref="I1439"/>
    <hyperlink r:id="rId1439" ref="I1440"/>
    <hyperlink r:id="rId1440" ref="I1441"/>
    <hyperlink r:id="rId1441" ref="I1442"/>
    <hyperlink r:id="rId1442" ref="I1443"/>
    <hyperlink r:id="rId1443" ref="I1444"/>
    <hyperlink r:id="rId1444" ref="I1445"/>
    <hyperlink r:id="rId1445" ref="I1446"/>
    <hyperlink r:id="rId1446" ref="I1447"/>
    <hyperlink r:id="rId1447" ref="I1448"/>
    <hyperlink r:id="rId1448" ref="I1449"/>
    <hyperlink r:id="rId1449" ref="I1450"/>
    <hyperlink r:id="rId1450" ref="I1451"/>
    <hyperlink r:id="rId1451" ref="I1452"/>
    <hyperlink r:id="rId1452" ref="I1453"/>
    <hyperlink r:id="rId1453" ref="I1454"/>
    <hyperlink r:id="rId1454" ref="I1455"/>
    <hyperlink r:id="rId1455" ref="I1456"/>
    <hyperlink r:id="rId1456" ref="I1457"/>
    <hyperlink r:id="rId1457" ref="I1458"/>
    <hyperlink r:id="rId1458" ref="I1459"/>
    <hyperlink r:id="rId1459" ref="I1460"/>
    <hyperlink r:id="rId1460" ref="I1461"/>
    <hyperlink r:id="rId1461" ref="I1462"/>
    <hyperlink r:id="rId1462" ref="I1463"/>
    <hyperlink r:id="rId1463" ref="I1464"/>
    <hyperlink r:id="rId1464" ref="I1465"/>
    <hyperlink r:id="rId1465" ref="I1466"/>
    <hyperlink r:id="rId1466" ref="I1467"/>
    <hyperlink r:id="rId1467" ref="I1468"/>
    <hyperlink r:id="rId1468" ref="I1469"/>
    <hyperlink r:id="rId1469" ref="I1470"/>
    <hyperlink r:id="rId1470" ref="I1471"/>
    <hyperlink r:id="rId1471" ref="I1472"/>
    <hyperlink r:id="rId1472" ref="I1473"/>
    <hyperlink r:id="rId1473" ref="I1474"/>
    <hyperlink r:id="rId1474" ref="I1475"/>
    <hyperlink r:id="rId1475" ref="I1476"/>
    <hyperlink r:id="rId1476" ref="I1477"/>
    <hyperlink r:id="rId1477" ref="I1478"/>
    <hyperlink r:id="rId1478" ref="I1479"/>
    <hyperlink r:id="rId1479" ref="I1480"/>
    <hyperlink r:id="rId1480" ref="I1481"/>
    <hyperlink r:id="rId1481" ref="I1482"/>
    <hyperlink r:id="rId1482" ref="I1483"/>
    <hyperlink r:id="rId1483" ref="I1484"/>
    <hyperlink r:id="rId1484" ref="I1485"/>
    <hyperlink r:id="rId1485" ref="I1486"/>
    <hyperlink r:id="rId1486" ref="I1487"/>
    <hyperlink r:id="rId1487" ref="I1488"/>
    <hyperlink r:id="rId1488" ref="I1489"/>
    <hyperlink r:id="rId1489" ref="I1490"/>
    <hyperlink r:id="rId1490" ref="I1491"/>
    <hyperlink r:id="rId1491" ref="I1492"/>
    <hyperlink r:id="rId1492" ref="I1493"/>
    <hyperlink r:id="rId1493" ref="I1494"/>
    <hyperlink r:id="rId1494" ref="I1495"/>
    <hyperlink r:id="rId1495" ref="I1496"/>
    <hyperlink r:id="rId1496" ref="I1497"/>
    <hyperlink r:id="rId1497" ref="I1498"/>
    <hyperlink r:id="rId1498" ref="I1499"/>
    <hyperlink r:id="rId1499" ref="I1500"/>
    <hyperlink r:id="rId1500" ref="I1501"/>
    <hyperlink r:id="rId1501" ref="I1502"/>
    <hyperlink r:id="rId1502" ref="I1503"/>
    <hyperlink r:id="rId1503" ref="I1504"/>
    <hyperlink r:id="rId1504" ref="I1505"/>
    <hyperlink r:id="rId1505" ref="I1506"/>
    <hyperlink r:id="rId1506" ref="I1507"/>
    <hyperlink r:id="rId1507" ref="I1508"/>
    <hyperlink r:id="rId1508" ref="I1509"/>
    <hyperlink r:id="rId1509" ref="I1510"/>
    <hyperlink r:id="rId1510" ref="I1511"/>
    <hyperlink r:id="rId1511" ref="I1512"/>
    <hyperlink r:id="rId1512" ref="I1513"/>
    <hyperlink r:id="rId1513" ref="I1514"/>
    <hyperlink r:id="rId1514" ref="I1515"/>
    <hyperlink r:id="rId1515" ref="I1516"/>
    <hyperlink r:id="rId1516" ref="I1517"/>
    <hyperlink r:id="rId1517" ref="I1518"/>
    <hyperlink r:id="rId1518" ref="I1519"/>
    <hyperlink r:id="rId1519" ref="I1520"/>
    <hyperlink r:id="rId1520" ref="I1521"/>
    <hyperlink r:id="rId1521" ref="I1522"/>
    <hyperlink r:id="rId1522" ref="I1523"/>
    <hyperlink r:id="rId1523" ref="I1524"/>
    <hyperlink r:id="rId1524" ref="I1525"/>
    <hyperlink r:id="rId1525" ref="I1526"/>
    <hyperlink r:id="rId1526" ref="I1527"/>
    <hyperlink r:id="rId1527" ref="I1528"/>
    <hyperlink r:id="rId1528" ref="I1529"/>
    <hyperlink r:id="rId1529" ref="I1530"/>
    <hyperlink r:id="rId1530" ref="I1531"/>
    <hyperlink r:id="rId1531" ref="I1532"/>
    <hyperlink r:id="rId1532" ref="I1533"/>
    <hyperlink r:id="rId1533" ref="I1534"/>
    <hyperlink r:id="rId1534" ref="I1535"/>
    <hyperlink r:id="rId1535" ref="I1536"/>
    <hyperlink r:id="rId1536" ref="I1537"/>
    <hyperlink r:id="rId1537" ref="I1538"/>
    <hyperlink r:id="rId1538" ref="I1539"/>
    <hyperlink r:id="rId1539" ref="I1540"/>
    <hyperlink r:id="rId1540" ref="I1541"/>
    <hyperlink r:id="rId1541" ref="I1542"/>
    <hyperlink r:id="rId1542" ref="I1543"/>
    <hyperlink r:id="rId1543" ref="I1544"/>
    <hyperlink r:id="rId1544" ref="I1545"/>
    <hyperlink r:id="rId1545" ref="I1546"/>
    <hyperlink r:id="rId1546" ref="I1547"/>
    <hyperlink r:id="rId1547" ref="I1548"/>
    <hyperlink r:id="rId1548" ref="I1549"/>
    <hyperlink r:id="rId1549" ref="I1550"/>
    <hyperlink r:id="rId1550" ref="I1551"/>
    <hyperlink r:id="rId1551" ref="I1552"/>
    <hyperlink r:id="rId1552" ref="I1553"/>
    <hyperlink r:id="rId1553" ref="I1554"/>
    <hyperlink r:id="rId1554" ref="I1555"/>
    <hyperlink r:id="rId1555" ref="I1556"/>
    <hyperlink r:id="rId1556" ref="I1557"/>
    <hyperlink r:id="rId1557" ref="I1558"/>
    <hyperlink r:id="rId1558" ref="I1559"/>
    <hyperlink r:id="rId1559" ref="I1560"/>
    <hyperlink r:id="rId1560" ref="I1561"/>
    <hyperlink r:id="rId1561" ref="I1562"/>
    <hyperlink r:id="rId1562" ref="I1563"/>
    <hyperlink r:id="rId1563" ref="I1564"/>
    <hyperlink r:id="rId1564" ref="I1565"/>
    <hyperlink r:id="rId1565" ref="I1566"/>
    <hyperlink r:id="rId1566" ref="I1567"/>
    <hyperlink r:id="rId1567" ref="I1568"/>
    <hyperlink r:id="rId1568" ref="I1569"/>
    <hyperlink r:id="rId1569" ref="I1570"/>
    <hyperlink r:id="rId1570" ref="I1571"/>
    <hyperlink r:id="rId1571" ref="I1572"/>
    <hyperlink r:id="rId1572" ref="I1573"/>
    <hyperlink r:id="rId1573" ref="I1574"/>
    <hyperlink r:id="rId1574" ref="I1575"/>
    <hyperlink r:id="rId1575" ref="I1576"/>
    <hyperlink r:id="rId1576" ref="I1577"/>
    <hyperlink r:id="rId1577" ref="I1578"/>
    <hyperlink r:id="rId1578" ref="I1579"/>
    <hyperlink r:id="rId1579" ref="I1580"/>
    <hyperlink r:id="rId1580" ref="I1581"/>
    <hyperlink r:id="rId1581" ref="I1582"/>
    <hyperlink r:id="rId1582" ref="I1583"/>
    <hyperlink r:id="rId1583" ref="I1584"/>
    <hyperlink r:id="rId1584" ref="I1585"/>
    <hyperlink r:id="rId1585" ref="I1586"/>
    <hyperlink r:id="rId1586" ref="I1587"/>
    <hyperlink r:id="rId1587" ref="I1588"/>
    <hyperlink r:id="rId1588" ref="I1589"/>
    <hyperlink r:id="rId1589" ref="I1590"/>
    <hyperlink r:id="rId1590" ref="I1591"/>
    <hyperlink r:id="rId1591" ref="I1592"/>
    <hyperlink r:id="rId1592" ref="I1593"/>
    <hyperlink r:id="rId1593" ref="I1594"/>
    <hyperlink r:id="rId1594" ref="I1595"/>
    <hyperlink r:id="rId1595" ref="I1596"/>
    <hyperlink r:id="rId1596" ref="I1597"/>
    <hyperlink r:id="rId1597" ref="I1598"/>
    <hyperlink r:id="rId1598" ref="I1599"/>
    <hyperlink r:id="rId1599" ref="I1600"/>
    <hyperlink r:id="rId1600" ref="I1601"/>
    <hyperlink r:id="rId1601" ref="I1602"/>
    <hyperlink r:id="rId1602" ref="I1603"/>
    <hyperlink r:id="rId1603" ref="I1604"/>
    <hyperlink r:id="rId1604" ref="I1605"/>
    <hyperlink r:id="rId1605" ref="I1606"/>
    <hyperlink r:id="rId1606" ref="I1607"/>
    <hyperlink r:id="rId1607" ref="I1608"/>
    <hyperlink r:id="rId1608" ref="I1609"/>
    <hyperlink r:id="rId1609" ref="I1610"/>
    <hyperlink r:id="rId1610" ref="I1611"/>
    <hyperlink r:id="rId1611" ref="I1612"/>
    <hyperlink r:id="rId1612" ref="I1613"/>
    <hyperlink r:id="rId1613" ref="I1614"/>
    <hyperlink r:id="rId1614" ref="I1615"/>
    <hyperlink r:id="rId1615" ref="I1616"/>
    <hyperlink r:id="rId1616" ref="I1617"/>
    <hyperlink r:id="rId1617" ref="I1618"/>
    <hyperlink r:id="rId1618" ref="I1619"/>
    <hyperlink r:id="rId1619" ref="I1620"/>
    <hyperlink r:id="rId1620" ref="I1621"/>
    <hyperlink r:id="rId1621" ref="I1622"/>
    <hyperlink r:id="rId1622" ref="I1623"/>
    <hyperlink r:id="rId1623" ref="I1624"/>
    <hyperlink r:id="rId1624" ref="I1625"/>
    <hyperlink r:id="rId1625" ref="I1626"/>
    <hyperlink r:id="rId1626" ref="I1627"/>
    <hyperlink r:id="rId1627" ref="I1628"/>
    <hyperlink r:id="rId1628" ref="I1629"/>
    <hyperlink r:id="rId1629" ref="I1630"/>
    <hyperlink r:id="rId1630" ref="I1631"/>
    <hyperlink r:id="rId1631" ref="I1632"/>
    <hyperlink r:id="rId1632" ref="I1633"/>
    <hyperlink r:id="rId1633" ref="I1634"/>
    <hyperlink r:id="rId1634" ref="I1635"/>
    <hyperlink r:id="rId1635" ref="I1636"/>
    <hyperlink r:id="rId1636" ref="I1637"/>
    <hyperlink r:id="rId1637" ref="I1638"/>
    <hyperlink r:id="rId1638" ref="I1639"/>
    <hyperlink r:id="rId1639" ref="I1640"/>
    <hyperlink r:id="rId1640" ref="I1641"/>
    <hyperlink r:id="rId1641" ref="I1642"/>
    <hyperlink r:id="rId1642" ref="I1643"/>
    <hyperlink r:id="rId1643" ref="I1644"/>
    <hyperlink r:id="rId1644" ref="I1645"/>
    <hyperlink r:id="rId1645" ref="I1646"/>
    <hyperlink r:id="rId1646" ref="I1647"/>
    <hyperlink r:id="rId1647" ref="I1648"/>
    <hyperlink r:id="rId1648" ref="I1649"/>
    <hyperlink r:id="rId1649" ref="I1650"/>
    <hyperlink r:id="rId1650" ref="I1651"/>
    <hyperlink r:id="rId1651" ref="I1652"/>
    <hyperlink r:id="rId1652" ref="I1653"/>
    <hyperlink r:id="rId1653" ref="I1654"/>
    <hyperlink r:id="rId1654" ref="I1655"/>
    <hyperlink r:id="rId1655" ref="I1656"/>
    <hyperlink r:id="rId1656" ref="I1657"/>
    <hyperlink r:id="rId1657" ref="I1658"/>
    <hyperlink r:id="rId1658" ref="I1659"/>
    <hyperlink r:id="rId1659" ref="I1660"/>
    <hyperlink r:id="rId1660" ref="I1661"/>
    <hyperlink r:id="rId1661" ref="I1662"/>
    <hyperlink r:id="rId1662" ref="I1663"/>
    <hyperlink r:id="rId1663" ref="I1664"/>
    <hyperlink r:id="rId1664" ref="I1665"/>
    <hyperlink r:id="rId1665" ref="I1666"/>
    <hyperlink r:id="rId1666" ref="I1667"/>
    <hyperlink r:id="rId1667" ref="I1668"/>
    <hyperlink r:id="rId1668" ref="I1669"/>
    <hyperlink r:id="rId1669" ref="I1670"/>
    <hyperlink r:id="rId1670" ref="I1671"/>
    <hyperlink r:id="rId1671" ref="I1672"/>
    <hyperlink r:id="rId1672" ref="I1673"/>
    <hyperlink r:id="rId1673" ref="I1674"/>
    <hyperlink r:id="rId1674" ref="I1675"/>
    <hyperlink r:id="rId1675" ref="I1676"/>
    <hyperlink r:id="rId1676" ref="I1677"/>
    <hyperlink r:id="rId1677" ref="I1678"/>
    <hyperlink r:id="rId1678" ref="I1679"/>
    <hyperlink r:id="rId1679" ref="I1680"/>
    <hyperlink r:id="rId1680" ref="I1681"/>
    <hyperlink r:id="rId1681" ref="I1682"/>
    <hyperlink r:id="rId1682" ref="I1683"/>
    <hyperlink r:id="rId1683" ref="I1684"/>
    <hyperlink r:id="rId1684" ref="I1685"/>
    <hyperlink r:id="rId1685" ref="I1686"/>
    <hyperlink r:id="rId1686" ref="I1687"/>
    <hyperlink r:id="rId1687" ref="I1688"/>
    <hyperlink r:id="rId1688" ref="I1689"/>
    <hyperlink r:id="rId1689" ref="I1690"/>
    <hyperlink r:id="rId1690" ref="I1691"/>
    <hyperlink r:id="rId1691" ref="I1692"/>
    <hyperlink r:id="rId1692" ref="I1693"/>
    <hyperlink r:id="rId1693" ref="I1694"/>
    <hyperlink r:id="rId1694" ref="I1695"/>
    <hyperlink r:id="rId1695" ref="I1696"/>
    <hyperlink r:id="rId1696" ref="I1697"/>
    <hyperlink r:id="rId1697" ref="I1698"/>
    <hyperlink r:id="rId1698" ref="I1699"/>
    <hyperlink r:id="rId1699" ref="I1700"/>
    <hyperlink r:id="rId1700" ref="I1701"/>
    <hyperlink r:id="rId1701" ref="I1702"/>
    <hyperlink r:id="rId1702" ref="I1703"/>
    <hyperlink r:id="rId1703" ref="I1704"/>
    <hyperlink r:id="rId1704" ref="I1705"/>
    <hyperlink r:id="rId1705" ref="I1706"/>
    <hyperlink r:id="rId1706" ref="I1707"/>
    <hyperlink r:id="rId1707" ref="I1708"/>
    <hyperlink r:id="rId1708" ref="I1709"/>
    <hyperlink r:id="rId1709" ref="I1710"/>
    <hyperlink r:id="rId1710" ref="I1711"/>
    <hyperlink r:id="rId1711" ref="I1712"/>
    <hyperlink r:id="rId1712" ref="I1713"/>
    <hyperlink r:id="rId1713" ref="I1714"/>
    <hyperlink r:id="rId1714" ref="I1715"/>
    <hyperlink r:id="rId1715" ref="I1716"/>
    <hyperlink r:id="rId1716" ref="I1717"/>
    <hyperlink r:id="rId1717" ref="I1718"/>
    <hyperlink r:id="rId1718" ref="I1719"/>
    <hyperlink r:id="rId1719" ref="I1720"/>
    <hyperlink r:id="rId1720" ref="I1721"/>
    <hyperlink r:id="rId1721" ref="I1722"/>
    <hyperlink r:id="rId1722" ref="I1723"/>
    <hyperlink r:id="rId1723" ref="I1724"/>
    <hyperlink r:id="rId1724" ref="I1725"/>
    <hyperlink r:id="rId1725" ref="I1726"/>
    <hyperlink r:id="rId1726" ref="I1727"/>
    <hyperlink r:id="rId1727" ref="I1728"/>
    <hyperlink r:id="rId1728" ref="I1729"/>
    <hyperlink r:id="rId1729" ref="I1730"/>
    <hyperlink r:id="rId1730" ref="I1731"/>
    <hyperlink r:id="rId1731" ref="I1732"/>
    <hyperlink r:id="rId1732" ref="I1733"/>
    <hyperlink r:id="rId1733" ref="I1734"/>
    <hyperlink r:id="rId1734" ref="I1735"/>
    <hyperlink r:id="rId1735" ref="I1736"/>
    <hyperlink r:id="rId1736" ref="I1737"/>
    <hyperlink r:id="rId1737" ref="I1738"/>
    <hyperlink r:id="rId1738" ref="I1739"/>
    <hyperlink r:id="rId1739" ref="I1740"/>
    <hyperlink r:id="rId1740" ref="I1741"/>
    <hyperlink r:id="rId1741" ref="I1742"/>
    <hyperlink r:id="rId1742" ref="I1743"/>
    <hyperlink r:id="rId1743" ref="I1744"/>
    <hyperlink r:id="rId1744" ref="I1745"/>
    <hyperlink r:id="rId1745" ref="I1746"/>
    <hyperlink r:id="rId1746" ref="I1747"/>
    <hyperlink r:id="rId1747" ref="I1748"/>
    <hyperlink r:id="rId1748" ref="I1749"/>
    <hyperlink r:id="rId1749" ref="I1750"/>
    <hyperlink r:id="rId1750" ref="I1751"/>
    <hyperlink r:id="rId1751" ref="I1752"/>
    <hyperlink r:id="rId1752" ref="I1753"/>
    <hyperlink r:id="rId1753" ref="I1754"/>
    <hyperlink r:id="rId1754" ref="I1755"/>
    <hyperlink r:id="rId1755" ref="I1756"/>
    <hyperlink r:id="rId1756" ref="I1757"/>
    <hyperlink r:id="rId1757" ref="I1758"/>
    <hyperlink r:id="rId1758" ref="I1759"/>
    <hyperlink r:id="rId1759" ref="I1760"/>
    <hyperlink r:id="rId1760" ref="I1761"/>
    <hyperlink r:id="rId1761" ref="I1762"/>
    <hyperlink r:id="rId1762" ref="I1763"/>
    <hyperlink r:id="rId1763" ref="I1764"/>
    <hyperlink r:id="rId1764" ref="I1765"/>
    <hyperlink r:id="rId1765" ref="I1766"/>
    <hyperlink r:id="rId1766" ref="I1767"/>
    <hyperlink r:id="rId1767" ref="I1768"/>
    <hyperlink r:id="rId1768" ref="I1769"/>
    <hyperlink r:id="rId1769" ref="I1770"/>
    <hyperlink r:id="rId1770" ref="I1771"/>
    <hyperlink r:id="rId1771" ref="I1772"/>
    <hyperlink r:id="rId1772" ref="I1773"/>
    <hyperlink r:id="rId1773" ref="I1774"/>
    <hyperlink r:id="rId1774" ref="I1775"/>
    <hyperlink r:id="rId1775" ref="I1776"/>
    <hyperlink r:id="rId1776" ref="I1777"/>
    <hyperlink r:id="rId1777" ref="I1778"/>
    <hyperlink r:id="rId1778" ref="I1779"/>
    <hyperlink r:id="rId1779" ref="I1780"/>
    <hyperlink r:id="rId1780" ref="I1781"/>
    <hyperlink r:id="rId1781" ref="I1782"/>
    <hyperlink r:id="rId1782" ref="I1783"/>
    <hyperlink r:id="rId1783" ref="I1784"/>
    <hyperlink r:id="rId1784" ref="I1785"/>
    <hyperlink r:id="rId1785" ref="I1786"/>
    <hyperlink r:id="rId1786" ref="I1787"/>
    <hyperlink r:id="rId1787" ref="I1788"/>
    <hyperlink r:id="rId1788" ref="I1789"/>
    <hyperlink r:id="rId1789" ref="I1790"/>
    <hyperlink r:id="rId1790" ref="I1791"/>
    <hyperlink r:id="rId1791" ref="I1792"/>
    <hyperlink r:id="rId1792" ref="I1793"/>
    <hyperlink r:id="rId1793" ref="I1794"/>
    <hyperlink r:id="rId1794" ref="I1795"/>
    <hyperlink r:id="rId1795" ref="I1796"/>
    <hyperlink r:id="rId1796" ref="I1797"/>
    <hyperlink r:id="rId1797" ref="I1798"/>
    <hyperlink r:id="rId1798" ref="I1799"/>
    <hyperlink r:id="rId1799" ref="I1800"/>
    <hyperlink r:id="rId1800" ref="I1801"/>
    <hyperlink r:id="rId1801" ref="I1802"/>
    <hyperlink r:id="rId1802" ref="I1803"/>
    <hyperlink r:id="rId1803" ref="I1804"/>
    <hyperlink r:id="rId1804" ref="I1805"/>
    <hyperlink r:id="rId1805" ref="I1806"/>
    <hyperlink r:id="rId1806" ref="I1807"/>
    <hyperlink r:id="rId1807" ref="I1808"/>
    <hyperlink r:id="rId1808" ref="I1809"/>
    <hyperlink r:id="rId1809" ref="I1810"/>
    <hyperlink r:id="rId1810" ref="I1811"/>
    <hyperlink r:id="rId1811" ref="I1812"/>
    <hyperlink r:id="rId1812" ref="I1813"/>
    <hyperlink r:id="rId1813" ref="I1814"/>
    <hyperlink r:id="rId1814" ref="I1815"/>
    <hyperlink r:id="rId1815" ref="I1816"/>
    <hyperlink r:id="rId1816" ref="I1817"/>
    <hyperlink r:id="rId1817" ref="I1818"/>
    <hyperlink r:id="rId1818" ref="I1819"/>
    <hyperlink r:id="rId1819" ref="I1820"/>
    <hyperlink r:id="rId1820" ref="I1821"/>
    <hyperlink r:id="rId1821" ref="I1822"/>
    <hyperlink r:id="rId1822" ref="I1823"/>
    <hyperlink r:id="rId1823" ref="I1824"/>
    <hyperlink r:id="rId1824" ref="I1825"/>
    <hyperlink r:id="rId1825" ref="I1826"/>
    <hyperlink r:id="rId1826" ref="I1827"/>
    <hyperlink r:id="rId1827" ref="I1828"/>
    <hyperlink r:id="rId1828" ref="I1829"/>
    <hyperlink r:id="rId1829" ref="I1830"/>
    <hyperlink r:id="rId1830" ref="I1831"/>
    <hyperlink r:id="rId1831" ref="I1832"/>
    <hyperlink r:id="rId1832" ref="I1833"/>
    <hyperlink r:id="rId1833" ref="I1834"/>
    <hyperlink r:id="rId1834" ref="I1835"/>
    <hyperlink r:id="rId1835" ref="I1836"/>
    <hyperlink r:id="rId1836" ref="I1837"/>
    <hyperlink r:id="rId1837" ref="I1838"/>
    <hyperlink r:id="rId1838" ref="I1839"/>
    <hyperlink r:id="rId1839" ref="I1840"/>
    <hyperlink r:id="rId1840" ref="I1841"/>
    <hyperlink r:id="rId1841" ref="I1842"/>
    <hyperlink r:id="rId1842" ref="I1843"/>
    <hyperlink r:id="rId1843" ref="I1844"/>
    <hyperlink r:id="rId1844" ref="I1845"/>
    <hyperlink r:id="rId1845" ref="I1846"/>
    <hyperlink r:id="rId1846" ref="I1847"/>
    <hyperlink r:id="rId1847" ref="I1848"/>
    <hyperlink r:id="rId1848" ref="I1849"/>
    <hyperlink r:id="rId1849" ref="I1850"/>
    <hyperlink r:id="rId1850" ref="I1851"/>
    <hyperlink r:id="rId1851" ref="I1852"/>
    <hyperlink r:id="rId1852" ref="I1853"/>
    <hyperlink r:id="rId1853" ref="I1854"/>
    <hyperlink r:id="rId1854" ref="I1855"/>
    <hyperlink r:id="rId1855" ref="I1856"/>
    <hyperlink r:id="rId1856" ref="I1857"/>
    <hyperlink r:id="rId1857" ref="I1858"/>
    <hyperlink r:id="rId1858" ref="I1859"/>
    <hyperlink r:id="rId1859" ref="I1860"/>
    <hyperlink r:id="rId1860" ref="I1861"/>
    <hyperlink r:id="rId1861" ref="I1862"/>
    <hyperlink r:id="rId1862" ref="I1863"/>
    <hyperlink r:id="rId1863" ref="I1864"/>
    <hyperlink r:id="rId1864" ref="I1865"/>
    <hyperlink r:id="rId1865" ref="I1866"/>
    <hyperlink r:id="rId1866" ref="I1867"/>
    <hyperlink r:id="rId1867" ref="I1868"/>
    <hyperlink r:id="rId1868" ref="I1869"/>
    <hyperlink r:id="rId1869" ref="I1870"/>
    <hyperlink r:id="rId1870" ref="I1871"/>
    <hyperlink r:id="rId1871" ref="I1872"/>
    <hyperlink r:id="rId1872" ref="I1873"/>
    <hyperlink r:id="rId1873" ref="I1874"/>
    <hyperlink r:id="rId1874" ref="I1875"/>
    <hyperlink r:id="rId1875" ref="I1876"/>
    <hyperlink r:id="rId1876" ref="I1877"/>
    <hyperlink r:id="rId1877" ref="I1878"/>
    <hyperlink r:id="rId1878" ref="I1879"/>
    <hyperlink r:id="rId1879" ref="I1880"/>
    <hyperlink r:id="rId1880" ref="I1881"/>
    <hyperlink r:id="rId1881" ref="I1882"/>
    <hyperlink r:id="rId1882" ref="I1883"/>
    <hyperlink r:id="rId1883" ref="I1884"/>
    <hyperlink r:id="rId1884" ref="I1885"/>
    <hyperlink r:id="rId1885" ref="I1886"/>
    <hyperlink r:id="rId1886" ref="I1887"/>
    <hyperlink r:id="rId1887" ref="I1888"/>
    <hyperlink r:id="rId1888" ref="I1889"/>
    <hyperlink r:id="rId1889" ref="I1890"/>
    <hyperlink r:id="rId1890" ref="I1891"/>
    <hyperlink r:id="rId1891" ref="I1892"/>
    <hyperlink r:id="rId1892" ref="I1893"/>
    <hyperlink r:id="rId1893" ref="I1894"/>
    <hyperlink r:id="rId1894" ref="I1895"/>
    <hyperlink r:id="rId1895" ref="I1896"/>
    <hyperlink r:id="rId1896" ref="I1897"/>
    <hyperlink r:id="rId1897" ref="I1898"/>
    <hyperlink r:id="rId1898" ref="I1899"/>
    <hyperlink r:id="rId1899" ref="I1900"/>
    <hyperlink r:id="rId1900" ref="I1901"/>
    <hyperlink r:id="rId1901" ref="I1902"/>
    <hyperlink r:id="rId1902" ref="I1903"/>
    <hyperlink r:id="rId1903" ref="I1904"/>
    <hyperlink r:id="rId1904" ref="I1905"/>
    <hyperlink r:id="rId1905" ref="I1906"/>
    <hyperlink r:id="rId1906" ref="I1907"/>
    <hyperlink r:id="rId1907" ref="I1908"/>
    <hyperlink r:id="rId1908" ref="I1909"/>
    <hyperlink r:id="rId1909" ref="I1910"/>
    <hyperlink r:id="rId1910" ref="I1911"/>
    <hyperlink r:id="rId1911" ref="I1912"/>
    <hyperlink r:id="rId1912" ref="I1913"/>
    <hyperlink r:id="rId1913" ref="I1914"/>
    <hyperlink r:id="rId1914" ref="I1915"/>
    <hyperlink r:id="rId1915" ref="I1916"/>
    <hyperlink r:id="rId1916" ref="I1917"/>
    <hyperlink r:id="rId1917" ref="I1918"/>
    <hyperlink r:id="rId1918" ref="I1919"/>
    <hyperlink r:id="rId1919" ref="I1920"/>
    <hyperlink r:id="rId1920" ref="I1921"/>
    <hyperlink r:id="rId1921" ref="I1922"/>
    <hyperlink r:id="rId1922" ref="I1923"/>
    <hyperlink r:id="rId1923" ref="I1924"/>
    <hyperlink r:id="rId1924" ref="I1925"/>
    <hyperlink r:id="rId1925" ref="I1926"/>
    <hyperlink r:id="rId1926" ref="I1927"/>
    <hyperlink r:id="rId1927" ref="I1928"/>
    <hyperlink r:id="rId1928" ref="I1929"/>
    <hyperlink r:id="rId1929" ref="I1930"/>
    <hyperlink r:id="rId1930" ref="I1931"/>
    <hyperlink r:id="rId1931" ref="I1932"/>
    <hyperlink r:id="rId1932" ref="I1933"/>
    <hyperlink r:id="rId1933" ref="I1934"/>
    <hyperlink r:id="rId1934" ref="I1935"/>
    <hyperlink r:id="rId1935" ref="I1936"/>
    <hyperlink r:id="rId1936" ref="I1937"/>
    <hyperlink r:id="rId1937" ref="I1938"/>
    <hyperlink r:id="rId1938" ref="I1939"/>
    <hyperlink r:id="rId1939" ref="I1940"/>
    <hyperlink r:id="rId1940" ref="I1941"/>
    <hyperlink r:id="rId1941" ref="I1942"/>
    <hyperlink r:id="rId1942" ref="I1943"/>
    <hyperlink r:id="rId1943" ref="I1944"/>
    <hyperlink r:id="rId1944" ref="I1945"/>
    <hyperlink r:id="rId1945" ref="I1946"/>
    <hyperlink r:id="rId1946" ref="I1947"/>
    <hyperlink r:id="rId1947" ref="I1948"/>
    <hyperlink r:id="rId1948" ref="I1949"/>
    <hyperlink r:id="rId1949" ref="I1950"/>
    <hyperlink r:id="rId1950" ref="I1951"/>
    <hyperlink r:id="rId1951" ref="I1952"/>
    <hyperlink r:id="rId1952" ref="I1953"/>
    <hyperlink r:id="rId1953" ref="I1954"/>
    <hyperlink r:id="rId1954" ref="I1955"/>
    <hyperlink r:id="rId1955" ref="I1956"/>
    <hyperlink r:id="rId1956" ref="I1957"/>
    <hyperlink r:id="rId1957" ref="I1958"/>
    <hyperlink r:id="rId1958" ref="I1959"/>
    <hyperlink r:id="rId1959" ref="I1960"/>
    <hyperlink r:id="rId1960" ref="I1961"/>
    <hyperlink r:id="rId1961" ref="I1962"/>
    <hyperlink r:id="rId1962" ref="I1963"/>
    <hyperlink r:id="rId1963" ref="I1964"/>
    <hyperlink r:id="rId1964" ref="I1965"/>
    <hyperlink r:id="rId1965" ref="I1966"/>
    <hyperlink r:id="rId1966" ref="I1967"/>
    <hyperlink r:id="rId1967" ref="I1968"/>
    <hyperlink r:id="rId1968" ref="I1969"/>
    <hyperlink r:id="rId1969" ref="I1970"/>
    <hyperlink r:id="rId1970" ref="I1971"/>
    <hyperlink r:id="rId1971" ref="I1972"/>
    <hyperlink r:id="rId1972" ref="I1973"/>
    <hyperlink r:id="rId1973" ref="I1974"/>
    <hyperlink r:id="rId1974" ref="I1975"/>
    <hyperlink r:id="rId1975" ref="I1976"/>
    <hyperlink r:id="rId1976" ref="I1977"/>
    <hyperlink r:id="rId1977" ref="I1978"/>
    <hyperlink r:id="rId1978" ref="I1979"/>
    <hyperlink r:id="rId1979" ref="I1980"/>
    <hyperlink r:id="rId1980" ref="I1981"/>
    <hyperlink r:id="rId1981" ref="I1982"/>
    <hyperlink r:id="rId1982" ref="I1983"/>
    <hyperlink r:id="rId1983" ref="I1984"/>
    <hyperlink r:id="rId1984" ref="I1985"/>
    <hyperlink r:id="rId1985" ref="I1986"/>
    <hyperlink r:id="rId1986" ref="I1987"/>
    <hyperlink r:id="rId1987" ref="I1988"/>
    <hyperlink r:id="rId1988" ref="I1989"/>
    <hyperlink r:id="rId1989" ref="I1990"/>
    <hyperlink r:id="rId1990" ref="I1991"/>
    <hyperlink r:id="rId1991" ref="I1992"/>
    <hyperlink r:id="rId1992" ref="I1993"/>
    <hyperlink r:id="rId1993" ref="I1994"/>
    <hyperlink r:id="rId1994" ref="I1995"/>
    <hyperlink r:id="rId1995" ref="I1996"/>
    <hyperlink r:id="rId1996" ref="I1997"/>
    <hyperlink r:id="rId1997" ref="I1998"/>
    <hyperlink r:id="rId1998" ref="I1999"/>
    <hyperlink r:id="rId1999" ref="I2000"/>
    <hyperlink r:id="rId2000" ref="I2001"/>
    <hyperlink r:id="rId2001" ref="I2002"/>
    <hyperlink r:id="rId2002" ref="I2003"/>
    <hyperlink r:id="rId2003" ref="I2004"/>
    <hyperlink r:id="rId2004" ref="I2005"/>
    <hyperlink r:id="rId2005" ref="I2006"/>
    <hyperlink r:id="rId2006" ref="I2007"/>
    <hyperlink r:id="rId2007" ref="I2008"/>
    <hyperlink r:id="rId2008" ref="I2009"/>
    <hyperlink r:id="rId2009" ref="I2010"/>
    <hyperlink r:id="rId2010" ref="I2011"/>
    <hyperlink r:id="rId2011" ref="I2012"/>
    <hyperlink r:id="rId2012" ref="I2013"/>
    <hyperlink r:id="rId2013" ref="I2014"/>
    <hyperlink r:id="rId2014" ref="I2015"/>
    <hyperlink r:id="rId2015" ref="I2016"/>
    <hyperlink r:id="rId2016" ref="I2017"/>
    <hyperlink r:id="rId2017" ref="I2018"/>
    <hyperlink r:id="rId2018" ref="I2019"/>
    <hyperlink r:id="rId2019" ref="I2020"/>
    <hyperlink r:id="rId2020" ref="I2021"/>
    <hyperlink r:id="rId2021" ref="I2022"/>
    <hyperlink r:id="rId2022" ref="I2023"/>
    <hyperlink r:id="rId2023" ref="I2024"/>
    <hyperlink r:id="rId2024" ref="I2025"/>
    <hyperlink r:id="rId2025" ref="I2026"/>
    <hyperlink r:id="rId2026" ref="I2027"/>
    <hyperlink r:id="rId2027" ref="I2028"/>
    <hyperlink r:id="rId2028" ref="I2029"/>
    <hyperlink r:id="rId2029" ref="I2030"/>
    <hyperlink r:id="rId2030" ref="I2031"/>
    <hyperlink r:id="rId2031" ref="I2032"/>
    <hyperlink r:id="rId2032" ref="I2033"/>
    <hyperlink r:id="rId2033" ref="I2034"/>
    <hyperlink r:id="rId2034" ref="I2035"/>
    <hyperlink r:id="rId2035" ref="I2036"/>
    <hyperlink r:id="rId2036" ref="I2037"/>
    <hyperlink r:id="rId2037" ref="I2038"/>
    <hyperlink r:id="rId2038" ref="I2039"/>
    <hyperlink r:id="rId2039" ref="I2040"/>
    <hyperlink r:id="rId2040" ref="I2041"/>
    <hyperlink r:id="rId2041" ref="I2042"/>
    <hyperlink r:id="rId2042" ref="I2043"/>
    <hyperlink r:id="rId2043" ref="I2044"/>
    <hyperlink r:id="rId2044" ref="I2045"/>
    <hyperlink r:id="rId2045" ref="I2046"/>
    <hyperlink r:id="rId2046" ref="I2047"/>
    <hyperlink r:id="rId2047" ref="I2048"/>
    <hyperlink r:id="rId2048" ref="I2049"/>
    <hyperlink r:id="rId2049" ref="I2050"/>
    <hyperlink r:id="rId2050" ref="I2051"/>
    <hyperlink r:id="rId2051" ref="I2052"/>
    <hyperlink r:id="rId2052" ref="I2053"/>
    <hyperlink r:id="rId2053" ref="I2054"/>
    <hyperlink r:id="rId2054" ref="I2055"/>
    <hyperlink r:id="rId2055" ref="I2056"/>
    <hyperlink r:id="rId2056" ref="I2057"/>
    <hyperlink r:id="rId2057" ref="I2058"/>
    <hyperlink r:id="rId2058" ref="I2059"/>
    <hyperlink r:id="rId2059" ref="I2060"/>
    <hyperlink r:id="rId2060" ref="I2061"/>
    <hyperlink r:id="rId2061" ref="I2062"/>
    <hyperlink r:id="rId2062" ref="I2063"/>
    <hyperlink r:id="rId2063" ref="I2064"/>
    <hyperlink r:id="rId2064" ref="I2065"/>
    <hyperlink r:id="rId2065" ref="I2066"/>
    <hyperlink r:id="rId2066" ref="I2067"/>
    <hyperlink r:id="rId2067" ref="I2068"/>
    <hyperlink r:id="rId2068" ref="I2069"/>
    <hyperlink r:id="rId2069" ref="I2070"/>
    <hyperlink r:id="rId2070" ref="I2071"/>
    <hyperlink r:id="rId2071" ref="I2072"/>
    <hyperlink r:id="rId2072" ref="I2073"/>
    <hyperlink r:id="rId2073" ref="I2074"/>
    <hyperlink r:id="rId2074" ref="I2075"/>
    <hyperlink r:id="rId2075" ref="I2076"/>
    <hyperlink r:id="rId2076" ref="I2077"/>
    <hyperlink r:id="rId2077" ref="I2078"/>
    <hyperlink r:id="rId2078" ref="I2079"/>
    <hyperlink r:id="rId2079" ref="I2080"/>
    <hyperlink r:id="rId2080" ref="I2081"/>
    <hyperlink r:id="rId2081" ref="I2082"/>
    <hyperlink r:id="rId2082" ref="I2083"/>
    <hyperlink r:id="rId2083" ref="I2084"/>
    <hyperlink r:id="rId2084" ref="I2085"/>
    <hyperlink r:id="rId2085" ref="I2086"/>
    <hyperlink r:id="rId2086" ref="I2087"/>
    <hyperlink r:id="rId2087" ref="I2088"/>
    <hyperlink r:id="rId2088" ref="I2089"/>
    <hyperlink r:id="rId2089" ref="I2090"/>
    <hyperlink r:id="rId2090" ref="I2091"/>
    <hyperlink r:id="rId2091" ref="I2092"/>
    <hyperlink r:id="rId2092" ref="I2093"/>
    <hyperlink r:id="rId2093" ref="I2094"/>
    <hyperlink r:id="rId2094" ref="I2095"/>
    <hyperlink r:id="rId2095" ref="I2096"/>
    <hyperlink r:id="rId2096" ref="I2097"/>
    <hyperlink r:id="rId2097" ref="I2098"/>
    <hyperlink r:id="rId2098" ref="I2099"/>
    <hyperlink r:id="rId2099" ref="I2100"/>
    <hyperlink r:id="rId2100" ref="I2101"/>
    <hyperlink r:id="rId2101" ref="I2102"/>
    <hyperlink r:id="rId2102" ref="I2103"/>
    <hyperlink r:id="rId2103" ref="I2104"/>
    <hyperlink r:id="rId2104" ref="I2105"/>
    <hyperlink r:id="rId2105" ref="I2106"/>
    <hyperlink r:id="rId2106" ref="I2107"/>
    <hyperlink r:id="rId2107" ref="I2108"/>
    <hyperlink r:id="rId2108" ref="I2109"/>
    <hyperlink r:id="rId2109" ref="I2110"/>
    <hyperlink r:id="rId2110" ref="I2111"/>
    <hyperlink r:id="rId2111" ref="I2112"/>
    <hyperlink r:id="rId2112" ref="I2113"/>
    <hyperlink r:id="rId2113" ref="I2114"/>
    <hyperlink r:id="rId2114" ref="I2115"/>
    <hyperlink r:id="rId2115" ref="I2116"/>
    <hyperlink r:id="rId2116" ref="I2117"/>
    <hyperlink r:id="rId2117" ref="I2118"/>
    <hyperlink r:id="rId2118" ref="I2119"/>
    <hyperlink r:id="rId2119" ref="I2120"/>
    <hyperlink r:id="rId2120" ref="I2121"/>
    <hyperlink r:id="rId2121" ref="I2122"/>
    <hyperlink r:id="rId2122" ref="I2123"/>
    <hyperlink r:id="rId2123" ref="I2124"/>
    <hyperlink r:id="rId2124" ref="I2125"/>
    <hyperlink r:id="rId2125" ref="I2126"/>
    <hyperlink r:id="rId2126" ref="I2127"/>
    <hyperlink r:id="rId2127" ref="I2128"/>
    <hyperlink r:id="rId2128" ref="I2129"/>
    <hyperlink r:id="rId2129" ref="I2130"/>
    <hyperlink r:id="rId2130" ref="I2131"/>
    <hyperlink r:id="rId2131" ref="I2132"/>
    <hyperlink r:id="rId2132" ref="I2133"/>
    <hyperlink r:id="rId2133" ref="I2134"/>
    <hyperlink r:id="rId2134" ref="I2135"/>
    <hyperlink r:id="rId2135" ref="I2136"/>
    <hyperlink r:id="rId2136" ref="I2137"/>
    <hyperlink r:id="rId2137" ref="I2138"/>
    <hyperlink r:id="rId2138" ref="I2139"/>
    <hyperlink r:id="rId2139" ref="I2140"/>
    <hyperlink r:id="rId2140" ref="I2141"/>
    <hyperlink r:id="rId2141" ref="I2142"/>
    <hyperlink r:id="rId2142" ref="I2143"/>
    <hyperlink r:id="rId2143" ref="I2144"/>
    <hyperlink r:id="rId2144" ref="I2145"/>
    <hyperlink r:id="rId2145" ref="I2146"/>
    <hyperlink r:id="rId2146" ref="I2147"/>
    <hyperlink r:id="rId2147" ref="I2148"/>
    <hyperlink r:id="rId2148" ref="I2149"/>
    <hyperlink r:id="rId2149" ref="I2150"/>
    <hyperlink r:id="rId2150" ref="I2151"/>
    <hyperlink r:id="rId2151" ref="I2152"/>
    <hyperlink r:id="rId2152" ref="I2153"/>
    <hyperlink r:id="rId2153" ref="I2154"/>
    <hyperlink r:id="rId2154" ref="I2155"/>
    <hyperlink r:id="rId2155" ref="I2156"/>
    <hyperlink r:id="rId2156" ref="I2157"/>
    <hyperlink r:id="rId2157" ref="I2158"/>
    <hyperlink r:id="rId2158" ref="I2159"/>
    <hyperlink r:id="rId2159" ref="I2160"/>
    <hyperlink r:id="rId2160" ref="I2161"/>
    <hyperlink r:id="rId2161" ref="I2162"/>
    <hyperlink r:id="rId2162" ref="I2163"/>
    <hyperlink r:id="rId2163" ref="I2164"/>
    <hyperlink r:id="rId2164" ref="I2165"/>
    <hyperlink r:id="rId2165" ref="I2166"/>
    <hyperlink r:id="rId2166" ref="I2167"/>
    <hyperlink r:id="rId2167" ref="I2168"/>
    <hyperlink r:id="rId2168" ref="I2169"/>
    <hyperlink r:id="rId2169" ref="I2170"/>
    <hyperlink r:id="rId2170" ref="I2171"/>
    <hyperlink r:id="rId2171" ref="I2172"/>
    <hyperlink r:id="rId2172" ref="I2173"/>
    <hyperlink r:id="rId2173" ref="I2174"/>
    <hyperlink r:id="rId2174" ref="I2175"/>
    <hyperlink r:id="rId2175" ref="I2176"/>
    <hyperlink r:id="rId2176" ref="I2177"/>
    <hyperlink r:id="rId2177" ref="I2178"/>
    <hyperlink r:id="rId2178" ref="I2179"/>
    <hyperlink r:id="rId2179" ref="I2180"/>
    <hyperlink r:id="rId2180" ref="I2181"/>
    <hyperlink r:id="rId2181" ref="I2182"/>
    <hyperlink r:id="rId2182" ref="I2183"/>
    <hyperlink r:id="rId2183" ref="I2184"/>
    <hyperlink r:id="rId2184" ref="I2185"/>
    <hyperlink r:id="rId2185" ref="I2186"/>
    <hyperlink r:id="rId2186" ref="I2187"/>
    <hyperlink r:id="rId2187" ref="I2188"/>
    <hyperlink r:id="rId2188" ref="I2189"/>
    <hyperlink r:id="rId2189" ref="I2190"/>
    <hyperlink r:id="rId2190" ref="I2191"/>
    <hyperlink r:id="rId2191" ref="I2192"/>
    <hyperlink r:id="rId2192" ref="I2193"/>
    <hyperlink r:id="rId2193" ref="I2194"/>
    <hyperlink r:id="rId2194" ref="I2195"/>
    <hyperlink r:id="rId2195" ref="I2196"/>
    <hyperlink r:id="rId2196" ref="I2197"/>
    <hyperlink r:id="rId2197" ref="I2198"/>
    <hyperlink r:id="rId2198" ref="I2199"/>
    <hyperlink r:id="rId2199" ref="I2200"/>
    <hyperlink r:id="rId2200" ref="I2201"/>
    <hyperlink r:id="rId2201" ref="I2202"/>
    <hyperlink r:id="rId2202" ref="I2203"/>
    <hyperlink r:id="rId2203" ref="I2204"/>
    <hyperlink r:id="rId2204" ref="I2205"/>
    <hyperlink r:id="rId2205" ref="I2206"/>
    <hyperlink r:id="rId2206" ref="I2207"/>
    <hyperlink r:id="rId2207" ref="I2208"/>
    <hyperlink r:id="rId2208" ref="I2209"/>
    <hyperlink r:id="rId2209" ref="I2210"/>
    <hyperlink r:id="rId2210" ref="I2211"/>
    <hyperlink r:id="rId2211" ref="I2212"/>
    <hyperlink r:id="rId2212" ref="I2213"/>
    <hyperlink r:id="rId2213" ref="I2214"/>
    <hyperlink r:id="rId2214" ref="I2215"/>
    <hyperlink r:id="rId2215" ref="I2216"/>
    <hyperlink r:id="rId2216" ref="I2217"/>
    <hyperlink r:id="rId2217" ref="I2218"/>
    <hyperlink r:id="rId2218" ref="I2219"/>
    <hyperlink r:id="rId2219" ref="I2220"/>
    <hyperlink r:id="rId2220" ref="I2221"/>
    <hyperlink r:id="rId2221" ref="I2222"/>
    <hyperlink r:id="rId2222" ref="I2223"/>
    <hyperlink r:id="rId2223" ref="I2224"/>
    <hyperlink r:id="rId2224" ref="I2225"/>
    <hyperlink r:id="rId2225" ref="I2226"/>
    <hyperlink r:id="rId2226" ref="I2227"/>
    <hyperlink r:id="rId2227" ref="I2228"/>
    <hyperlink r:id="rId2228" ref="I2229"/>
    <hyperlink r:id="rId2229" ref="I2230"/>
    <hyperlink r:id="rId2230" ref="I2231"/>
    <hyperlink r:id="rId2231" ref="I2232"/>
    <hyperlink r:id="rId2232" ref="I2233"/>
    <hyperlink r:id="rId2233" ref="I2234"/>
    <hyperlink r:id="rId2234" ref="I2235"/>
    <hyperlink r:id="rId2235" ref="I2236"/>
    <hyperlink r:id="rId2236" ref="I2237"/>
    <hyperlink r:id="rId2237" ref="I2238"/>
    <hyperlink r:id="rId2238" ref="I2239"/>
    <hyperlink r:id="rId2239" ref="I2240"/>
    <hyperlink r:id="rId2240" ref="I2241"/>
    <hyperlink r:id="rId2241" ref="I2242"/>
    <hyperlink r:id="rId2242" ref="I2243"/>
    <hyperlink r:id="rId2243" ref="I2244"/>
    <hyperlink r:id="rId2244" ref="I2245"/>
    <hyperlink r:id="rId2245" ref="I2246"/>
    <hyperlink r:id="rId2246" ref="I2247"/>
    <hyperlink r:id="rId2247" ref="I2248"/>
    <hyperlink r:id="rId2248" ref="I2249"/>
    <hyperlink r:id="rId2249" ref="I2250"/>
    <hyperlink r:id="rId2250" ref="I2251"/>
    <hyperlink r:id="rId2251" ref="I2252"/>
    <hyperlink r:id="rId2252" ref="I2253"/>
    <hyperlink r:id="rId2253" ref="I2254"/>
    <hyperlink r:id="rId2254" ref="I2255"/>
    <hyperlink r:id="rId2255" ref="I2256"/>
    <hyperlink r:id="rId2256" ref="I2257"/>
    <hyperlink r:id="rId2257" ref="I2258"/>
    <hyperlink r:id="rId2258" ref="I2259"/>
    <hyperlink r:id="rId2259" ref="I2260"/>
    <hyperlink r:id="rId2260" ref="I2261"/>
    <hyperlink r:id="rId2261" ref="I2262"/>
    <hyperlink r:id="rId2262" ref="I2263"/>
    <hyperlink r:id="rId2263" ref="I2264"/>
    <hyperlink r:id="rId2264" ref="I2265"/>
    <hyperlink r:id="rId2265" ref="I2266"/>
    <hyperlink r:id="rId2266" ref="I2267"/>
    <hyperlink r:id="rId2267" ref="I2268"/>
    <hyperlink r:id="rId2268" ref="I2269"/>
    <hyperlink r:id="rId2269" ref="I2270"/>
    <hyperlink r:id="rId2270" ref="I2271"/>
    <hyperlink r:id="rId2271" ref="I2272"/>
    <hyperlink r:id="rId2272" ref="I2273"/>
    <hyperlink r:id="rId2273" ref="I2274"/>
    <hyperlink r:id="rId2274" ref="I2275"/>
    <hyperlink r:id="rId2275" ref="I2276"/>
    <hyperlink r:id="rId2276" ref="I2277"/>
    <hyperlink r:id="rId2277" ref="I2278"/>
    <hyperlink r:id="rId2278" ref="I2279"/>
    <hyperlink r:id="rId2279" ref="I2280"/>
    <hyperlink r:id="rId2280" ref="I2281"/>
    <hyperlink r:id="rId2281" ref="I2282"/>
    <hyperlink r:id="rId2282" ref="I2283"/>
    <hyperlink r:id="rId2283" ref="I2284"/>
    <hyperlink r:id="rId2284" ref="I2285"/>
    <hyperlink r:id="rId2285" ref="I2286"/>
    <hyperlink r:id="rId2286" ref="I2287"/>
    <hyperlink r:id="rId2287" ref="I2288"/>
    <hyperlink r:id="rId2288" ref="I2289"/>
    <hyperlink r:id="rId2289" ref="I2290"/>
    <hyperlink r:id="rId2290" ref="I2291"/>
    <hyperlink r:id="rId2291" ref="I2292"/>
    <hyperlink r:id="rId2292" ref="I2293"/>
    <hyperlink r:id="rId2293" ref="I2294"/>
    <hyperlink r:id="rId2294" ref="I2295"/>
    <hyperlink r:id="rId2295" ref="I2296"/>
    <hyperlink r:id="rId2296" ref="I2297"/>
    <hyperlink r:id="rId2297" ref="I2298"/>
    <hyperlink r:id="rId2298" ref="I2299"/>
    <hyperlink r:id="rId2299" ref="I2300"/>
    <hyperlink r:id="rId2300" ref="I2301"/>
    <hyperlink r:id="rId2301" ref="I2302"/>
    <hyperlink r:id="rId2302" ref="I2303"/>
    <hyperlink r:id="rId2303" ref="I2304"/>
    <hyperlink r:id="rId2304" ref="I2305"/>
    <hyperlink r:id="rId2305" ref="I2306"/>
    <hyperlink r:id="rId2306" ref="I2307"/>
    <hyperlink r:id="rId2307" ref="I2308"/>
    <hyperlink r:id="rId2308" ref="I2309"/>
    <hyperlink r:id="rId2309" ref="I2310"/>
    <hyperlink r:id="rId2310" ref="I2311"/>
    <hyperlink r:id="rId2311" ref="I2312"/>
    <hyperlink r:id="rId2312" ref="I2313"/>
    <hyperlink r:id="rId2313" ref="I2314"/>
    <hyperlink r:id="rId2314" ref="I2315"/>
    <hyperlink r:id="rId2315" ref="I2316"/>
    <hyperlink r:id="rId2316" ref="I2317"/>
    <hyperlink r:id="rId2317" ref="I2318"/>
    <hyperlink r:id="rId2318" ref="I2319"/>
    <hyperlink r:id="rId2319" ref="I2320"/>
    <hyperlink r:id="rId2320" ref="I2321"/>
    <hyperlink r:id="rId2321" ref="I2322"/>
    <hyperlink r:id="rId2322" ref="I2323"/>
    <hyperlink r:id="rId2323" ref="I2324"/>
    <hyperlink r:id="rId2324" ref="I2325"/>
    <hyperlink r:id="rId2325" ref="I2326"/>
    <hyperlink r:id="rId2326" ref="I2327"/>
    <hyperlink r:id="rId2327" ref="I2328"/>
    <hyperlink r:id="rId2328" ref="I2329"/>
    <hyperlink r:id="rId2329" ref="I2330"/>
    <hyperlink r:id="rId2330" ref="I2331"/>
    <hyperlink r:id="rId2331" ref="I2332"/>
    <hyperlink r:id="rId2332" ref="I2333"/>
    <hyperlink r:id="rId2333" ref="I2334"/>
    <hyperlink r:id="rId2334" ref="I2335"/>
    <hyperlink r:id="rId2335" ref="I2336"/>
    <hyperlink r:id="rId2336" ref="I2337"/>
    <hyperlink r:id="rId2337" ref="I2338"/>
    <hyperlink r:id="rId2338" ref="I2339"/>
    <hyperlink r:id="rId2339" ref="I2340"/>
    <hyperlink r:id="rId2340" ref="I2341"/>
    <hyperlink r:id="rId2341" ref="I2342"/>
    <hyperlink r:id="rId2342" ref="I2343"/>
    <hyperlink r:id="rId2343" ref="I2344"/>
    <hyperlink r:id="rId2344" ref="I2345"/>
    <hyperlink r:id="rId2345" ref="I2346"/>
    <hyperlink r:id="rId2346" ref="I2347"/>
    <hyperlink r:id="rId2347" ref="I2348"/>
    <hyperlink r:id="rId2348" ref="I2349"/>
    <hyperlink r:id="rId2349" ref="I2350"/>
    <hyperlink r:id="rId2350" ref="I2351"/>
    <hyperlink r:id="rId2351" ref="I2352"/>
    <hyperlink r:id="rId2352" ref="I2353"/>
    <hyperlink r:id="rId2353" ref="I2354"/>
    <hyperlink r:id="rId2354" ref="I2355"/>
    <hyperlink r:id="rId2355" ref="I2356"/>
    <hyperlink r:id="rId2356" ref="I2357"/>
    <hyperlink r:id="rId2357" ref="I2358"/>
    <hyperlink r:id="rId2358" ref="I2359"/>
    <hyperlink r:id="rId2359" ref="I2360"/>
    <hyperlink r:id="rId2360" ref="I2361"/>
    <hyperlink r:id="rId2361" ref="I2362"/>
    <hyperlink r:id="rId2362" ref="I2363"/>
    <hyperlink r:id="rId2363" ref="I2364"/>
    <hyperlink r:id="rId2364" ref="I2365"/>
    <hyperlink r:id="rId2365" ref="I2366"/>
    <hyperlink r:id="rId2366" ref="I2367"/>
    <hyperlink r:id="rId2367" ref="I2368"/>
    <hyperlink r:id="rId2368" ref="I2369"/>
    <hyperlink r:id="rId2369" ref="I2370"/>
    <hyperlink r:id="rId2370" ref="I2371"/>
    <hyperlink r:id="rId2371" ref="I2372"/>
    <hyperlink r:id="rId2372" ref="I2373"/>
    <hyperlink r:id="rId2373" ref="I2374"/>
    <hyperlink r:id="rId2374" ref="I2375"/>
    <hyperlink r:id="rId2375" ref="I2376"/>
    <hyperlink r:id="rId2376" ref="I2377"/>
    <hyperlink r:id="rId2377" ref="I2378"/>
    <hyperlink r:id="rId2378" ref="I2379"/>
    <hyperlink r:id="rId2379" ref="I2380"/>
    <hyperlink r:id="rId2380" ref="I2381"/>
    <hyperlink r:id="rId2381" ref="I2382"/>
    <hyperlink r:id="rId2382" ref="I2383"/>
    <hyperlink r:id="rId2383" ref="I2384"/>
    <hyperlink r:id="rId2384" ref="I2385"/>
    <hyperlink r:id="rId2385" ref="I2386"/>
    <hyperlink r:id="rId2386" ref="I2387"/>
    <hyperlink r:id="rId2387" ref="I2388"/>
    <hyperlink r:id="rId2388" ref="I2389"/>
    <hyperlink r:id="rId2389" ref="I2390"/>
    <hyperlink r:id="rId2390" ref="I2391"/>
    <hyperlink r:id="rId2391" ref="I2392"/>
    <hyperlink r:id="rId2392" ref="I2393"/>
    <hyperlink r:id="rId2393" ref="I2394"/>
    <hyperlink r:id="rId2394" ref="I2395"/>
    <hyperlink r:id="rId2395" ref="I2396"/>
    <hyperlink r:id="rId2396" ref="I2397"/>
    <hyperlink r:id="rId2397" ref="I2398"/>
    <hyperlink r:id="rId2398" ref="I2399"/>
    <hyperlink r:id="rId2399" ref="I2400"/>
    <hyperlink r:id="rId2400" ref="I2401"/>
    <hyperlink r:id="rId2401" ref="I2402"/>
    <hyperlink r:id="rId2402" ref="I2403"/>
    <hyperlink r:id="rId2403" ref="I2404"/>
    <hyperlink r:id="rId2404" ref="I2405"/>
    <hyperlink r:id="rId2405" ref="I2406"/>
    <hyperlink r:id="rId2406" ref="I2407"/>
    <hyperlink r:id="rId2407" ref="I2408"/>
    <hyperlink r:id="rId2408" ref="I2409"/>
    <hyperlink r:id="rId2409" ref="I2410"/>
    <hyperlink r:id="rId2410" ref="I2411"/>
    <hyperlink r:id="rId2411" ref="I2412"/>
    <hyperlink r:id="rId2412" ref="I2413"/>
    <hyperlink r:id="rId2413" ref="I2414"/>
    <hyperlink r:id="rId2414" ref="I2415"/>
    <hyperlink r:id="rId2415" ref="I2416"/>
    <hyperlink r:id="rId2416" ref="I2417"/>
    <hyperlink r:id="rId2417" ref="I2418"/>
    <hyperlink r:id="rId2418" ref="I2419"/>
    <hyperlink r:id="rId2419" ref="I2420"/>
    <hyperlink r:id="rId2420" ref="I2421"/>
    <hyperlink r:id="rId2421" ref="I2422"/>
    <hyperlink r:id="rId2422" ref="I2423"/>
    <hyperlink r:id="rId2423" ref="I2424"/>
    <hyperlink r:id="rId2424" ref="I2425"/>
    <hyperlink r:id="rId2425" ref="I2426"/>
    <hyperlink r:id="rId2426" ref="I2427"/>
    <hyperlink r:id="rId2427" ref="I2428"/>
    <hyperlink r:id="rId2428" ref="I2429"/>
    <hyperlink r:id="rId2429" ref="I2430"/>
    <hyperlink r:id="rId2430" ref="I2431"/>
    <hyperlink r:id="rId2431" ref="I2432"/>
    <hyperlink r:id="rId2432" ref="I2433"/>
    <hyperlink r:id="rId2433" ref="I2434"/>
    <hyperlink r:id="rId2434" ref="I2435"/>
    <hyperlink r:id="rId2435" ref="I2436"/>
    <hyperlink r:id="rId2436" ref="I2437"/>
    <hyperlink r:id="rId2437" ref="I2438"/>
    <hyperlink r:id="rId2438" ref="I2439"/>
    <hyperlink r:id="rId2439" ref="I2440"/>
    <hyperlink r:id="rId2440" ref="I2441"/>
    <hyperlink r:id="rId2441" ref="I2442"/>
    <hyperlink r:id="rId2442" ref="I2443"/>
    <hyperlink r:id="rId2443" ref="I2444"/>
    <hyperlink r:id="rId2444" ref="I2445"/>
    <hyperlink r:id="rId2445" ref="I2446"/>
    <hyperlink r:id="rId2446" ref="I2447"/>
    <hyperlink r:id="rId2447" ref="I2448"/>
    <hyperlink r:id="rId2448" ref="I2449"/>
    <hyperlink r:id="rId2449" ref="I2450"/>
    <hyperlink r:id="rId2450" ref="I2451"/>
    <hyperlink r:id="rId2451" ref="I2452"/>
    <hyperlink r:id="rId2452" ref="I2453"/>
    <hyperlink r:id="rId2453" ref="I2454"/>
    <hyperlink r:id="rId2454" ref="I2455"/>
    <hyperlink r:id="rId2455" ref="I2456"/>
    <hyperlink r:id="rId2456" ref="I2457"/>
    <hyperlink r:id="rId2457" ref="I2458"/>
    <hyperlink r:id="rId2458" ref="I2459"/>
    <hyperlink r:id="rId2459" ref="I2460"/>
    <hyperlink r:id="rId2460" ref="I2461"/>
    <hyperlink r:id="rId2461" ref="I2462"/>
    <hyperlink r:id="rId2462" ref="I2463"/>
    <hyperlink r:id="rId2463" ref="I2464"/>
    <hyperlink r:id="rId2464" ref="I2465"/>
    <hyperlink r:id="rId2465" ref="I2466"/>
    <hyperlink r:id="rId2466" ref="I2467"/>
    <hyperlink r:id="rId2467" ref="I2468"/>
    <hyperlink r:id="rId2468" ref="I2469"/>
    <hyperlink r:id="rId2469" ref="I2470"/>
    <hyperlink r:id="rId2470" ref="I2471"/>
    <hyperlink r:id="rId2471" ref="I2472"/>
    <hyperlink r:id="rId2472" ref="I2473"/>
    <hyperlink r:id="rId2473" ref="I2474"/>
    <hyperlink r:id="rId2474" ref="I2475"/>
    <hyperlink r:id="rId2475" ref="I2476"/>
    <hyperlink r:id="rId2476" ref="I2477"/>
    <hyperlink r:id="rId2477" ref="I2478"/>
    <hyperlink r:id="rId2478" ref="I2479"/>
    <hyperlink r:id="rId2479" ref="I2480"/>
    <hyperlink r:id="rId2480" ref="I2481"/>
    <hyperlink r:id="rId2481" ref="I2482"/>
    <hyperlink r:id="rId2482" ref="I2483"/>
    <hyperlink r:id="rId2483" ref="I2484"/>
    <hyperlink r:id="rId2484" ref="I2485"/>
    <hyperlink r:id="rId2485" ref="I2486"/>
    <hyperlink r:id="rId2486" ref="I2487"/>
    <hyperlink r:id="rId2487" ref="I2488"/>
    <hyperlink r:id="rId2488" ref="I2489"/>
    <hyperlink r:id="rId2489" ref="I2490"/>
    <hyperlink r:id="rId2490" ref="I2491"/>
    <hyperlink r:id="rId2491" ref="I2492"/>
    <hyperlink r:id="rId2492" ref="I2493"/>
    <hyperlink r:id="rId2493" ref="I2494"/>
    <hyperlink r:id="rId2494" ref="I2495"/>
    <hyperlink r:id="rId2495" ref="I2496"/>
    <hyperlink r:id="rId2496" ref="I2497"/>
    <hyperlink r:id="rId2497" ref="I2498"/>
    <hyperlink r:id="rId2498" ref="I2499"/>
    <hyperlink r:id="rId2499" ref="I2500"/>
    <hyperlink r:id="rId2500" ref="I2501"/>
    <hyperlink r:id="rId2501" ref="I2502"/>
    <hyperlink r:id="rId2502" ref="I2503"/>
    <hyperlink r:id="rId2503" ref="I2504"/>
    <hyperlink r:id="rId2504" ref="I2505"/>
    <hyperlink r:id="rId2505" ref="I2506"/>
    <hyperlink r:id="rId2506" ref="I2507"/>
    <hyperlink r:id="rId2507" ref="I2508"/>
    <hyperlink r:id="rId2508" ref="I2509"/>
    <hyperlink r:id="rId2509" ref="I2510"/>
    <hyperlink r:id="rId2510" ref="I2511"/>
    <hyperlink r:id="rId2511" ref="I2512"/>
    <hyperlink r:id="rId2512" ref="I2513"/>
    <hyperlink r:id="rId2513" ref="I2514"/>
    <hyperlink r:id="rId2514" ref="I2515"/>
    <hyperlink r:id="rId2515" ref="I2516"/>
    <hyperlink r:id="rId2516" ref="I2517"/>
    <hyperlink r:id="rId2517" ref="I2518"/>
    <hyperlink r:id="rId2518" ref="I2519"/>
    <hyperlink r:id="rId2519" ref="I2520"/>
    <hyperlink r:id="rId2520" ref="I2521"/>
    <hyperlink r:id="rId2521" ref="I2522"/>
    <hyperlink r:id="rId2522" ref="I2523"/>
    <hyperlink r:id="rId2523" ref="I2524"/>
    <hyperlink r:id="rId2524" ref="I2525"/>
    <hyperlink r:id="rId2525" ref="I2526"/>
    <hyperlink r:id="rId2526" ref="I2527"/>
    <hyperlink r:id="rId2527" ref="I2528"/>
    <hyperlink r:id="rId2528" ref="I2529"/>
    <hyperlink r:id="rId2529" ref="I2530"/>
    <hyperlink r:id="rId2530" ref="I2531"/>
    <hyperlink r:id="rId2531" ref="I2532"/>
    <hyperlink r:id="rId2532" ref="I2533"/>
    <hyperlink r:id="rId2533" ref="I2534"/>
    <hyperlink r:id="rId2534" ref="I2535"/>
    <hyperlink r:id="rId2535" ref="I2536"/>
    <hyperlink r:id="rId2536" ref="I2537"/>
    <hyperlink r:id="rId2537" ref="I2538"/>
    <hyperlink r:id="rId2538" ref="I2539"/>
    <hyperlink r:id="rId2539" ref="I2540"/>
    <hyperlink r:id="rId2540" ref="I2541"/>
    <hyperlink r:id="rId2541" ref="I2542"/>
    <hyperlink r:id="rId2542" ref="I2543"/>
    <hyperlink r:id="rId2543" ref="I2544"/>
    <hyperlink r:id="rId2544" ref="I2545"/>
    <hyperlink r:id="rId2545" ref="I2546"/>
    <hyperlink r:id="rId2546" ref="I2547"/>
    <hyperlink r:id="rId2547" ref="I2548"/>
    <hyperlink r:id="rId2548" ref="I2549"/>
    <hyperlink r:id="rId2549" ref="I2550"/>
    <hyperlink r:id="rId2550" ref="I2551"/>
    <hyperlink r:id="rId2551" ref="I2552"/>
    <hyperlink r:id="rId2552" ref="I2553"/>
    <hyperlink r:id="rId2553" ref="I2554"/>
    <hyperlink r:id="rId2554" ref="I2555"/>
    <hyperlink r:id="rId2555" ref="I2556"/>
    <hyperlink r:id="rId2556" ref="I2557"/>
    <hyperlink r:id="rId2557" ref="I2558"/>
    <hyperlink r:id="rId2558" ref="I2559"/>
    <hyperlink r:id="rId2559" ref="I2560"/>
    <hyperlink r:id="rId2560" ref="I2561"/>
    <hyperlink r:id="rId2561" ref="I2562"/>
    <hyperlink r:id="rId2562" ref="I2563"/>
    <hyperlink r:id="rId2563" ref="I2564"/>
    <hyperlink r:id="rId2564" ref="I2565"/>
    <hyperlink r:id="rId2565" ref="I2566"/>
    <hyperlink r:id="rId2566" ref="I2567"/>
    <hyperlink r:id="rId2567" ref="I2568"/>
    <hyperlink r:id="rId2568" ref="I2569"/>
    <hyperlink r:id="rId2569" ref="I2570"/>
    <hyperlink r:id="rId2570" ref="I2571"/>
    <hyperlink r:id="rId2571" ref="I2572"/>
    <hyperlink r:id="rId2572" ref="I2573"/>
    <hyperlink r:id="rId2573" ref="I2574"/>
    <hyperlink r:id="rId2574" ref="I2575"/>
    <hyperlink r:id="rId2575" ref="I2576"/>
    <hyperlink r:id="rId2576" ref="I2577"/>
    <hyperlink r:id="rId2577" ref="I2578"/>
    <hyperlink r:id="rId2578" ref="I2579"/>
    <hyperlink r:id="rId2579" ref="I2580"/>
    <hyperlink r:id="rId2580" ref="I2581"/>
    <hyperlink r:id="rId2581" ref="I2582"/>
    <hyperlink r:id="rId2582" ref="I2583"/>
    <hyperlink r:id="rId2583" ref="I2584"/>
    <hyperlink r:id="rId2584" ref="I2585"/>
    <hyperlink r:id="rId2585" ref="I2586"/>
    <hyperlink r:id="rId2586" ref="I2587"/>
    <hyperlink r:id="rId2587" ref="I2588"/>
    <hyperlink r:id="rId2588" ref="I2589"/>
    <hyperlink r:id="rId2589" ref="I2590"/>
    <hyperlink r:id="rId2590" ref="I2591"/>
    <hyperlink r:id="rId2591" ref="I2592"/>
    <hyperlink r:id="rId2592" ref="I2593"/>
    <hyperlink r:id="rId2593" ref="I2594"/>
    <hyperlink r:id="rId2594" ref="I2595"/>
    <hyperlink r:id="rId2595" ref="I2596"/>
    <hyperlink r:id="rId2596" ref="I2597"/>
    <hyperlink r:id="rId2597" ref="I2598"/>
    <hyperlink r:id="rId2598" ref="I2599"/>
    <hyperlink r:id="rId2599" ref="I2600"/>
    <hyperlink r:id="rId2600" ref="I2601"/>
    <hyperlink r:id="rId2601" ref="I2602"/>
    <hyperlink r:id="rId2602" ref="I2603"/>
    <hyperlink r:id="rId2603" ref="I2604"/>
    <hyperlink r:id="rId2604" ref="I2605"/>
    <hyperlink r:id="rId2605" ref="I2606"/>
    <hyperlink r:id="rId2606" ref="I2607"/>
    <hyperlink r:id="rId2607" ref="I2608"/>
    <hyperlink r:id="rId2608" ref="I2609"/>
    <hyperlink r:id="rId2609" ref="I2610"/>
    <hyperlink r:id="rId2610" ref="I2611"/>
    <hyperlink r:id="rId2611" ref="I2612"/>
    <hyperlink r:id="rId2612" ref="I2613"/>
    <hyperlink r:id="rId2613" ref="I2614"/>
    <hyperlink r:id="rId2614" ref="I2615"/>
    <hyperlink r:id="rId2615" ref="I2616"/>
    <hyperlink r:id="rId2616" ref="I2617"/>
    <hyperlink r:id="rId2617" ref="I2618"/>
    <hyperlink r:id="rId2618" ref="I2619"/>
    <hyperlink r:id="rId2619" ref="I2620"/>
    <hyperlink r:id="rId2620" ref="I2621"/>
    <hyperlink r:id="rId2621" ref="I2622"/>
    <hyperlink r:id="rId2622" ref="I2623"/>
    <hyperlink r:id="rId2623" ref="I2624"/>
    <hyperlink r:id="rId2624" ref="I2625"/>
    <hyperlink r:id="rId2625" ref="I2626"/>
    <hyperlink r:id="rId2626" ref="I2627"/>
    <hyperlink r:id="rId2627" ref="I2628"/>
    <hyperlink r:id="rId2628" ref="I2629"/>
    <hyperlink r:id="rId2629" ref="I2630"/>
    <hyperlink r:id="rId2630" ref="I2631"/>
    <hyperlink r:id="rId2631" ref="I2632"/>
    <hyperlink r:id="rId2632" ref="I2633"/>
    <hyperlink r:id="rId2633" ref="I2634"/>
    <hyperlink r:id="rId2634" ref="I2635"/>
    <hyperlink r:id="rId2635" ref="I2636"/>
    <hyperlink r:id="rId2636" ref="I2637"/>
    <hyperlink r:id="rId2637" ref="I2638"/>
    <hyperlink r:id="rId2638" ref="I2639"/>
    <hyperlink r:id="rId2639" ref="I2640"/>
    <hyperlink r:id="rId2640" ref="I2641"/>
    <hyperlink r:id="rId2641" ref="I2642"/>
    <hyperlink r:id="rId2642" ref="I2643"/>
    <hyperlink r:id="rId2643" ref="I2644"/>
    <hyperlink r:id="rId2644" ref="I2645"/>
    <hyperlink r:id="rId2645" ref="I2646"/>
    <hyperlink r:id="rId2646" ref="I2647"/>
    <hyperlink r:id="rId2647" ref="I2648"/>
    <hyperlink r:id="rId2648" ref="I2649"/>
    <hyperlink r:id="rId2649" ref="I2650"/>
    <hyperlink r:id="rId2650" ref="I2651"/>
    <hyperlink r:id="rId2651" ref="I2652"/>
    <hyperlink r:id="rId2652" ref="I2653"/>
    <hyperlink r:id="rId2653" ref="I2654"/>
    <hyperlink r:id="rId2654" ref="I2655"/>
    <hyperlink r:id="rId2655" ref="I2656"/>
    <hyperlink r:id="rId2656" ref="I2657"/>
    <hyperlink r:id="rId2657" ref="I2658"/>
    <hyperlink r:id="rId2658" ref="I2659"/>
    <hyperlink r:id="rId2659" ref="I2660"/>
    <hyperlink r:id="rId2660" ref="I2661"/>
    <hyperlink r:id="rId2661" ref="I2662"/>
    <hyperlink r:id="rId2662" ref="I2663"/>
    <hyperlink r:id="rId2663" ref="I2664"/>
    <hyperlink r:id="rId2664" ref="I2665"/>
    <hyperlink r:id="rId2665" ref="I2666"/>
    <hyperlink r:id="rId2666" ref="I2667"/>
    <hyperlink r:id="rId2667" ref="I2668"/>
    <hyperlink r:id="rId2668" ref="I2669"/>
    <hyperlink r:id="rId2669" ref="I2670"/>
    <hyperlink r:id="rId2670" ref="I2671"/>
    <hyperlink r:id="rId2671" ref="I2672"/>
    <hyperlink r:id="rId2672" ref="I2673"/>
    <hyperlink r:id="rId2673" ref="I2674"/>
    <hyperlink r:id="rId2674" ref="I2675"/>
    <hyperlink r:id="rId2675" ref="I2676"/>
    <hyperlink r:id="rId2676" ref="I2677"/>
    <hyperlink r:id="rId2677" ref="I2678"/>
    <hyperlink r:id="rId2678" ref="I2679"/>
    <hyperlink r:id="rId2679" ref="I2680"/>
    <hyperlink r:id="rId2680" ref="I2681"/>
    <hyperlink r:id="rId2681" ref="I2682"/>
    <hyperlink r:id="rId2682" ref="I2683"/>
    <hyperlink r:id="rId2683" ref="I2684"/>
    <hyperlink r:id="rId2684" ref="I2685"/>
    <hyperlink r:id="rId2685" ref="I2686"/>
    <hyperlink r:id="rId2686" ref="I2687"/>
    <hyperlink r:id="rId2687" ref="I2688"/>
    <hyperlink r:id="rId2688" ref="I2689"/>
    <hyperlink r:id="rId2689" ref="I2690"/>
    <hyperlink r:id="rId2690" ref="I2691"/>
    <hyperlink r:id="rId2691" ref="I2692"/>
    <hyperlink r:id="rId2692" ref="I2693"/>
    <hyperlink r:id="rId2693" ref="I2694"/>
    <hyperlink r:id="rId2694" ref="I2695"/>
    <hyperlink r:id="rId2695" ref="I2696"/>
    <hyperlink r:id="rId2696" ref="I2697"/>
    <hyperlink r:id="rId2697" ref="I2698"/>
    <hyperlink r:id="rId2698" ref="I2699"/>
    <hyperlink r:id="rId2699" ref="I2700"/>
    <hyperlink r:id="rId2700" ref="I2701"/>
    <hyperlink r:id="rId2701" ref="I2702"/>
    <hyperlink r:id="rId2702" ref="I2703"/>
    <hyperlink r:id="rId2703" ref="I2704"/>
    <hyperlink r:id="rId2704" ref="I2705"/>
    <hyperlink r:id="rId2705" ref="I2706"/>
    <hyperlink r:id="rId2706" ref="I2707"/>
    <hyperlink r:id="rId2707" ref="I2708"/>
    <hyperlink r:id="rId2708" ref="I2709"/>
    <hyperlink r:id="rId2709" ref="I2710"/>
    <hyperlink r:id="rId2710" ref="I2711"/>
    <hyperlink r:id="rId2711" ref="I2712"/>
    <hyperlink r:id="rId2712" ref="I2713"/>
    <hyperlink r:id="rId2713" ref="I2714"/>
    <hyperlink r:id="rId2714" ref="I2715"/>
    <hyperlink r:id="rId2715" ref="I2716"/>
    <hyperlink r:id="rId2716" ref="I2717"/>
    <hyperlink r:id="rId2717" ref="I2718"/>
    <hyperlink r:id="rId2718" ref="I2719"/>
    <hyperlink r:id="rId2719" ref="I2720"/>
    <hyperlink r:id="rId2720" ref="I2721"/>
    <hyperlink r:id="rId2721" ref="I2722"/>
    <hyperlink r:id="rId2722" ref="I2723"/>
    <hyperlink r:id="rId2723" ref="I2724"/>
    <hyperlink r:id="rId2724" ref="I2725"/>
    <hyperlink r:id="rId2725" ref="I2726"/>
    <hyperlink r:id="rId2726" ref="I2727"/>
    <hyperlink r:id="rId2727" ref="I2728"/>
    <hyperlink r:id="rId2728" ref="I2729"/>
    <hyperlink r:id="rId2729" ref="I2730"/>
    <hyperlink r:id="rId2730" ref="I2731"/>
    <hyperlink r:id="rId2731" ref="I2732"/>
    <hyperlink r:id="rId2732" ref="I2733"/>
    <hyperlink r:id="rId2733" ref="I2734"/>
    <hyperlink r:id="rId2734" ref="I2735"/>
    <hyperlink r:id="rId2735" ref="I2736"/>
    <hyperlink r:id="rId2736" ref="I2737"/>
    <hyperlink r:id="rId2737" ref="I2738"/>
    <hyperlink r:id="rId2738" ref="I2739"/>
    <hyperlink r:id="rId2739" ref="I2740"/>
    <hyperlink r:id="rId2740" ref="I2741"/>
    <hyperlink r:id="rId2741" ref="I2742"/>
    <hyperlink r:id="rId2742" ref="I2743"/>
    <hyperlink r:id="rId2743" ref="I2744"/>
    <hyperlink r:id="rId2744" ref="I2745"/>
    <hyperlink r:id="rId2745" ref="I2746"/>
    <hyperlink r:id="rId2746" ref="I2747"/>
    <hyperlink r:id="rId2747" ref="I2748"/>
    <hyperlink r:id="rId2748" ref="I2749"/>
    <hyperlink r:id="rId2749" ref="I2750"/>
    <hyperlink r:id="rId2750" ref="I2751"/>
    <hyperlink r:id="rId2751" ref="I2752"/>
    <hyperlink r:id="rId2752" ref="I2753"/>
    <hyperlink r:id="rId2753" ref="I2754"/>
    <hyperlink r:id="rId2754" ref="I2755"/>
    <hyperlink r:id="rId2755" ref="I2756"/>
    <hyperlink r:id="rId2756" ref="I2757"/>
    <hyperlink r:id="rId2757" ref="I2758"/>
    <hyperlink r:id="rId2758" ref="I2759"/>
    <hyperlink r:id="rId2759" ref="I2760"/>
    <hyperlink r:id="rId2760" ref="I2761"/>
    <hyperlink r:id="rId2761" ref="I2762"/>
    <hyperlink r:id="rId2762" ref="I2763"/>
    <hyperlink r:id="rId2763" ref="I2764"/>
    <hyperlink r:id="rId2764" ref="I2765"/>
    <hyperlink r:id="rId2765" ref="I2766"/>
    <hyperlink r:id="rId2766" ref="I2767"/>
    <hyperlink r:id="rId2767" ref="I2768"/>
    <hyperlink r:id="rId2768" ref="I2769"/>
    <hyperlink r:id="rId2769" ref="I2770"/>
    <hyperlink r:id="rId2770" ref="I2771"/>
    <hyperlink r:id="rId2771" ref="I2772"/>
    <hyperlink r:id="rId2772" ref="I2773"/>
    <hyperlink r:id="rId2773" ref="I2774"/>
    <hyperlink r:id="rId2774" ref="I2775"/>
    <hyperlink r:id="rId2775" ref="I2776"/>
    <hyperlink r:id="rId2776" ref="I2777"/>
    <hyperlink r:id="rId2777" ref="I2778"/>
    <hyperlink r:id="rId2778" ref="I2779"/>
    <hyperlink r:id="rId2779" ref="I2780"/>
    <hyperlink r:id="rId2780" ref="I2781"/>
    <hyperlink r:id="rId2781" ref="I2782"/>
    <hyperlink r:id="rId2782" ref="I2783"/>
    <hyperlink r:id="rId2783" ref="I2784"/>
    <hyperlink r:id="rId2784" ref="I2785"/>
    <hyperlink r:id="rId2785" ref="I2786"/>
    <hyperlink r:id="rId2786" ref="I2787"/>
    <hyperlink r:id="rId2787" ref="I2788"/>
    <hyperlink r:id="rId2788" ref="I2789"/>
    <hyperlink r:id="rId2789" ref="I2790"/>
    <hyperlink r:id="rId2790" ref="I2791"/>
    <hyperlink r:id="rId2791" ref="I2792"/>
    <hyperlink r:id="rId2792" ref="I2793"/>
    <hyperlink r:id="rId2793" ref="I2794"/>
    <hyperlink r:id="rId2794" ref="I2795"/>
    <hyperlink r:id="rId2795" ref="I2796"/>
    <hyperlink r:id="rId2796" ref="I2797"/>
    <hyperlink r:id="rId2797" ref="I2798"/>
    <hyperlink r:id="rId2798" ref="I2799"/>
    <hyperlink r:id="rId2799" ref="I2800"/>
    <hyperlink r:id="rId2800" ref="I2801"/>
    <hyperlink r:id="rId2801" ref="I2802"/>
    <hyperlink r:id="rId2802" ref="I2803"/>
    <hyperlink r:id="rId2803" ref="I2804"/>
    <hyperlink r:id="rId2804" ref="I2805"/>
    <hyperlink r:id="rId2805" ref="I2806"/>
    <hyperlink r:id="rId2806" ref="I2807"/>
    <hyperlink r:id="rId2807" ref="I2808"/>
    <hyperlink r:id="rId2808" ref="I2809"/>
    <hyperlink r:id="rId2809" ref="I2810"/>
    <hyperlink r:id="rId2810" ref="I2811"/>
    <hyperlink r:id="rId2811" ref="I2812"/>
    <hyperlink r:id="rId2812" ref="I2813"/>
    <hyperlink r:id="rId2813" ref="I2814"/>
    <hyperlink r:id="rId2814" ref="I2815"/>
    <hyperlink r:id="rId2815" ref="I2816"/>
    <hyperlink r:id="rId2816" ref="I2817"/>
    <hyperlink r:id="rId2817" ref="I2818"/>
    <hyperlink r:id="rId2818" ref="I2819"/>
    <hyperlink r:id="rId2819" ref="I2820"/>
    <hyperlink r:id="rId2820" ref="I2821"/>
    <hyperlink r:id="rId2821" ref="I2822"/>
    <hyperlink r:id="rId2822" ref="I2823"/>
    <hyperlink r:id="rId2823" ref="I2824"/>
    <hyperlink r:id="rId2824" ref="I2825"/>
    <hyperlink r:id="rId2825" ref="I2826"/>
    <hyperlink r:id="rId2826" ref="I2827"/>
    <hyperlink r:id="rId2827" ref="I2828"/>
    <hyperlink r:id="rId2828" ref="I2829"/>
    <hyperlink r:id="rId2829" ref="I2830"/>
    <hyperlink r:id="rId2830" ref="I2831"/>
    <hyperlink r:id="rId2831" ref="I2832"/>
    <hyperlink r:id="rId2832" ref="I2833"/>
    <hyperlink r:id="rId2833" ref="I2834"/>
    <hyperlink r:id="rId2834" ref="I2835"/>
    <hyperlink r:id="rId2835" ref="I2836"/>
    <hyperlink r:id="rId2836" ref="I2837"/>
    <hyperlink r:id="rId2837" ref="I2838"/>
    <hyperlink r:id="rId2838" ref="I2839"/>
    <hyperlink r:id="rId2839" ref="I2840"/>
    <hyperlink r:id="rId2840" ref="I2841"/>
    <hyperlink r:id="rId2841" ref="I2842"/>
    <hyperlink r:id="rId2842" ref="I2843"/>
    <hyperlink r:id="rId2843" ref="I2844"/>
    <hyperlink r:id="rId2844" ref="I2845"/>
    <hyperlink r:id="rId2845" ref="I2846"/>
    <hyperlink r:id="rId2846" ref="I2847"/>
    <hyperlink r:id="rId2847" ref="I2848"/>
    <hyperlink r:id="rId2848" ref="I2849"/>
    <hyperlink r:id="rId2849" ref="I2850"/>
    <hyperlink r:id="rId2850" ref="I2851"/>
    <hyperlink r:id="rId2851" ref="I2852"/>
    <hyperlink r:id="rId2852" ref="I2853"/>
    <hyperlink r:id="rId2853" ref="I2854"/>
    <hyperlink r:id="rId2854" ref="I2855"/>
    <hyperlink r:id="rId2855" ref="I2856"/>
    <hyperlink r:id="rId2856" ref="I2857"/>
    <hyperlink r:id="rId2857" ref="I2858"/>
    <hyperlink r:id="rId2858" ref="I2859"/>
    <hyperlink r:id="rId2859" ref="I2860"/>
    <hyperlink r:id="rId2860" ref="I2861"/>
    <hyperlink r:id="rId2861" ref="I2862"/>
    <hyperlink r:id="rId2862" ref="I2863"/>
    <hyperlink r:id="rId2863" ref="I2864"/>
    <hyperlink r:id="rId2864" ref="I2865"/>
    <hyperlink r:id="rId2865" ref="I2866"/>
    <hyperlink r:id="rId2866" ref="I2867"/>
    <hyperlink r:id="rId2867" ref="I2868"/>
    <hyperlink r:id="rId2868" ref="I2869"/>
    <hyperlink r:id="rId2869" ref="I2870"/>
    <hyperlink r:id="rId2870" ref="I2871"/>
    <hyperlink r:id="rId2871" ref="I2872"/>
    <hyperlink r:id="rId2872" ref="I2873"/>
    <hyperlink r:id="rId2873" ref="I2874"/>
    <hyperlink r:id="rId2874" ref="I2875"/>
    <hyperlink r:id="rId2875" ref="I2876"/>
    <hyperlink r:id="rId2876" ref="I2877"/>
    <hyperlink r:id="rId2877" ref="I2878"/>
    <hyperlink r:id="rId2878" ref="I2879"/>
    <hyperlink r:id="rId2879" ref="I2880"/>
    <hyperlink r:id="rId2880" ref="I2881"/>
    <hyperlink r:id="rId2881" ref="I2882"/>
    <hyperlink r:id="rId2882" ref="I2883"/>
    <hyperlink r:id="rId2883" ref="I2884"/>
    <hyperlink r:id="rId2884" ref="I2885"/>
    <hyperlink r:id="rId2885" ref="I2886"/>
    <hyperlink r:id="rId2886" ref="I2887"/>
    <hyperlink r:id="rId2887" ref="I2888"/>
    <hyperlink r:id="rId2888" ref="I2889"/>
    <hyperlink r:id="rId2889" ref="I2890"/>
    <hyperlink r:id="rId2890" ref="I2891"/>
    <hyperlink r:id="rId2891" ref="I2892"/>
    <hyperlink r:id="rId2892" ref="I2893"/>
    <hyperlink r:id="rId2893" ref="I2894"/>
    <hyperlink r:id="rId2894" ref="I2895"/>
    <hyperlink r:id="rId2895" ref="I2896"/>
    <hyperlink r:id="rId2896" ref="I2897"/>
    <hyperlink r:id="rId2897" ref="I2898"/>
    <hyperlink r:id="rId2898" ref="I2899"/>
    <hyperlink r:id="rId2899" ref="I2900"/>
    <hyperlink r:id="rId2900" ref="I2901"/>
    <hyperlink r:id="rId2901" ref="I2902"/>
    <hyperlink r:id="rId2902" ref="I2903"/>
    <hyperlink r:id="rId2903" ref="I2904"/>
    <hyperlink r:id="rId2904" ref="I2905"/>
    <hyperlink r:id="rId2905" ref="I2906"/>
    <hyperlink r:id="rId2906" ref="I2907"/>
    <hyperlink r:id="rId2907" ref="I2908"/>
    <hyperlink r:id="rId2908" ref="I2909"/>
    <hyperlink r:id="rId2909" ref="I2910"/>
    <hyperlink r:id="rId2910" ref="I2911"/>
    <hyperlink r:id="rId2911" ref="I2912"/>
    <hyperlink r:id="rId2912" ref="I2913"/>
    <hyperlink r:id="rId2913" ref="I2914"/>
    <hyperlink r:id="rId2914" ref="I2915"/>
    <hyperlink r:id="rId2915" ref="I2916"/>
    <hyperlink r:id="rId2916" ref="I2917"/>
    <hyperlink r:id="rId2917" ref="I2918"/>
    <hyperlink r:id="rId2918" ref="I2919"/>
    <hyperlink r:id="rId2919" ref="I2920"/>
    <hyperlink r:id="rId2920" ref="I2921"/>
    <hyperlink r:id="rId2921" ref="I2922"/>
    <hyperlink r:id="rId2922" ref="I2923"/>
    <hyperlink r:id="rId2923" ref="I2924"/>
    <hyperlink r:id="rId2924" ref="I2925"/>
    <hyperlink r:id="rId2925" ref="I2926"/>
    <hyperlink r:id="rId2926" ref="I2927"/>
    <hyperlink r:id="rId2927" ref="I2928"/>
    <hyperlink r:id="rId2928" ref="I2929"/>
    <hyperlink r:id="rId2929" ref="I2930"/>
    <hyperlink r:id="rId2930" ref="I2931"/>
    <hyperlink r:id="rId2931" ref="I2932"/>
    <hyperlink r:id="rId2932" ref="I2933"/>
    <hyperlink r:id="rId2933" ref="I2934"/>
    <hyperlink r:id="rId2934" ref="I2935"/>
    <hyperlink r:id="rId2935" ref="I2936"/>
    <hyperlink r:id="rId2936" ref="I2937"/>
    <hyperlink r:id="rId2937" ref="I2938"/>
    <hyperlink r:id="rId2938" ref="I2939"/>
    <hyperlink r:id="rId2939" ref="I2940"/>
    <hyperlink r:id="rId2940" ref="I2941"/>
    <hyperlink r:id="rId2941" ref="I2942"/>
    <hyperlink r:id="rId2942" ref="I2943"/>
    <hyperlink r:id="rId2943" ref="I2944"/>
    <hyperlink r:id="rId2944" ref="I2945"/>
    <hyperlink r:id="rId2945" ref="I2946"/>
    <hyperlink r:id="rId2946" ref="I2947"/>
    <hyperlink r:id="rId2947" ref="I2948"/>
    <hyperlink r:id="rId2948" ref="I2949"/>
    <hyperlink r:id="rId2949" ref="I2950"/>
    <hyperlink r:id="rId2950" ref="I2951"/>
    <hyperlink r:id="rId2951" ref="I2952"/>
    <hyperlink r:id="rId2952" ref="I2953"/>
    <hyperlink r:id="rId2953" ref="I2954"/>
    <hyperlink r:id="rId2954" ref="I2955"/>
    <hyperlink r:id="rId2955" ref="I2956"/>
    <hyperlink r:id="rId2956" ref="I2957"/>
    <hyperlink r:id="rId2957" ref="I2958"/>
    <hyperlink r:id="rId2958" ref="I2959"/>
    <hyperlink r:id="rId2959" ref="I2960"/>
    <hyperlink r:id="rId2960" ref="I2961"/>
    <hyperlink r:id="rId2961" ref="I2962"/>
    <hyperlink r:id="rId2962" ref="I2963"/>
    <hyperlink r:id="rId2963" ref="I2964"/>
    <hyperlink r:id="rId2964" ref="I2965"/>
    <hyperlink r:id="rId2965" ref="I2966"/>
    <hyperlink r:id="rId2966" ref="I2967"/>
    <hyperlink r:id="rId2967" ref="I2968"/>
    <hyperlink r:id="rId2968" ref="I2969"/>
    <hyperlink r:id="rId2969" ref="I2970"/>
    <hyperlink r:id="rId2970" ref="I2971"/>
    <hyperlink r:id="rId2971" ref="I2972"/>
    <hyperlink r:id="rId2972" ref="I2973"/>
    <hyperlink r:id="rId2973" ref="I2974"/>
    <hyperlink r:id="rId2974" ref="I2975"/>
    <hyperlink r:id="rId2975" ref="I2976"/>
    <hyperlink r:id="rId2976" ref="I2977"/>
    <hyperlink r:id="rId2977" ref="I2978"/>
    <hyperlink r:id="rId2978" ref="I2979"/>
    <hyperlink r:id="rId2979" ref="I2980"/>
    <hyperlink r:id="rId2980" ref="I2981"/>
    <hyperlink r:id="rId2981" ref="I2982"/>
    <hyperlink r:id="rId2982" ref="I2983"/>
    <hyperlink r:id="rId2983" ref="I2984"/>
    <hyperlink r:id="rId2984" ref="I2985"/>
    <hyperlink r:id="rId2985" ref="I2986"/>
    <hyperlink r:id="rId2986" ref="I2987"/>
    <hyperlink r:id="rId2987" ref="I2988"/>
    <hyperlink r:id="rId2988" ref="I2989"/>
    <hyperlink r:id="rId2989" ref="I2990"/>
    <hyperlink r:id="rId2990" ref="I2991"/>
    <hyperlink r:id="rId2991" ref="I2992"/>
    <hyperlink r:id="rId2992" ref="I2993"/>
    <hyperlink r:id="rId2993" ref="I2994"/>
    <hyperlink r:id="rId2994" ref="I2995"/>
    <hyperlink r:id="rId2995" ref="I2996"/>
    <hyperlink r:id="rId2996" ref="I2997"/>
    <hyperlink r:id="rId2997" ref="I2998"/>
    <hyperlink r:id="rId2998" ref="I2999"/>
    <hyperlink r:id="rId2999" ref="I3000"/>
    <hyperlink r:id="rId3000" ref="I3001"/>
    <hyperlink r:id="rId3001" ref="I3002"/>
    <hyperlink r:id="rId3002" ref="I3003"/>
    <hyperlink r:id="rId3003" ref="I3004"/>
    <hyperlink r:id="rId3004" ref="I3005"/>
    <hyperlink r:id="rId3005" ref="I3006"/>
    <hyperlink r:id="rId3006" ref="I3007"/>
    <hyperlink r:id="rId3007" ref="I3008"/>
    <hyperlink r:id="rId3008" ref="I3009"/>
    <hyperlink r:id="rId3009" ref="I3010"/>
    <hyperlink r:id="rId3010" ref="I3011"/>
    <hyperlink r:id="rId3011" ref="I3012"/>
    <hyperlink r:id="rId3012" ref="I3013"/>
    <hyperlink r:id="rId3013" ref="I3014"/>
    <hyperlink r:id="rId3014" ref="I3015"/>
    <hyperlink r:id="rId3015" ref="I3016"/>
    <hyperlink r:id="rId3016" ref="I3017"/>
    <hyperlink r:id="rId3017" ref="I3018"/>
    <hyperlink r:id="rId3018" ref="I3019"/>
    <hyperlink r:id="rId3019" ref="I3020"/>
    <hyperlink r:id="rId3020" ref="I3021"/>
    <hyperlink r:id="rId3021" ref="I3022"/>
    <hyperlink r:id="rId3022" ref="I3023"/>
    <hyperlink r:id="rId3023" ref="I3024"/>
    <hyperlink r:id="rId3024" ref="I3025"/>
    <hyperlink r:id="rId3025" ref="I3026"/>
    <hyperlink r:id="rId3026" ref="I3027"/>
    <hyperlink r:id="rId3027" ref="I3028"/>
    <hyperlink r:id="rId3028" ref="I3029"/>
    <hyperlink r:id="rId3029" ref="I3030"/>
    <hyperlink r:id="rId3030" ref="I3031"/>
    <hyperlink r:id="rId3031" ref="I3032"/>
    <hyperlink r:id="rId3032" ref="I3033"/>
    <hyperlink r:id="rId3033" ref="I3034"/>
    <hyperlink r:id="rId3034" ref="I3035"/>
    <hyperlink r:id="rId3035" ref="I3036"/>
    <hyperlink r:id="rId3036" ref="I3037"/>
    <hyperlink r:id="rId3037" ref="I3038"/>
    <hyperlink r:id="rId3038" ref="I3039"/>
    <hyperlink r:id="rId3039" ref="I3040"/>
    <hyperlink r:id="rId3040" ref="I3041"/>
    <hyperlink r:id="rId3041" ref="I3042"/>
    <hyperlink r:id="rId3042" ref="I3043"/>
    <hyperlink r:id="rId3043" ref="I3044"/>
    <hyperlink r:id="rId3044" ref="I3045"/>
    <hyperlink r:id="rId3045" ref="I3046"/>
    <hyperlink r:id="rId3046" ref="I3047"/>
    <hyperlink r:id="rId3047" ref="I3048"/>
    <hyperlink r:id="rId3048" ref="I3049"/>
    <hyperlink r:id="rId3049" ref="I3050"/>
    <hyperlink r:id="rId3050" ref="I3051"/>
    <hyperlink r:id="rId3051" ref="I3052"/>
    <hyperlink r:id="rId3052" ref="I3053"/>
    <hyperlink r:id="rId3053" ref="I3054"/>
    <hyperlink r:id="rId3054" ref="I3055"/>
    <hyperlink r:id="rId3055" ref="I3056"/>
    <hyperlink r:id="rId3056" ref="I3057"/>
    <hyperlink r:id="rId3057" ref="I3058"/>
    <hyperlink r:id="rId3058" ref="I3059"/>
    <hyperlink r:id="rId3059" ref="I3060"/>
    <hyperlink r:id="rId3060" ref="I3061"/>
    <hyperlink r:id="rId3061" ref="I3062"/>
    <hyperlink r:id="rId3062" ref="I3063"/>
    <hyperlink r:id="rId3063" ref="I3064"/>
    <hyperlink r:id="rId3064" ref="I3065"/>
    <hyperlink r:id="rId3065" ref="I3066"/>
    <hyperlink r:id="rId3066" ref="I3067"/>
    <hyperlink r:id="rId3067" ref="I3068"/>
    <hyperlink r:id="rId3068" ref="I3069"/>
    <hyperlink r:id="rId3069" ref="I3070"/>
    <hyperlink r:id="rId3070" ref="I3071"/>
    <hyperlink r:id="rId3071" ref="I3072"/>
    <hyperlink r:id="rId3072" ref="I3073"/>
    <hyperlink r:id="rId3073" ref="I3074"/>
    <hyperlink r:id="rId3074" ref="I3075"/>
    <hyperlink r:id="rId3075" ref="I3076"/>
    <hyperlink r:id="rId3076" ref="I3077"/>
    <hyperlink r:id="rId3077" ref="I3078"/>
    <hyperlink r:id="rId3078" ref="I3079"/>
    <hyperlink r:id="rId3079" ref="I3080"/>
    <hyperlink r:id="rId3080" ref="I3081"/>
    <hyperlink r:id="rId3081" ref="I3082"/>
    <hyperlink r:id="rId3082" ref="I3083"/>
    <hyperlink r:id="rId3083" ref="I3084"/>
    <hyperlink r:id="rId3084" ref="I3085"/>
    <hyperlink r:id="rId3085" ref="I3086"/>
    <hyperlink r:id="rId3086" ref="I3087"/>
    <hyperlink r:id="rId3087" ref="I3088"/>
    <hyperlink r:id="rId3088" ref="I3089"/>
    <hyperlink r:id="rId3089" ref="I3090"/>
    <hyperlink r:id="rId3090" ref="I3091"/>
    <hyperlink r:id="rId3091" ref="I3092"/>
    <hyperlink r:id="rId3092" ref="I3093"/>
    <hyperlink r:id="rId3093" ref="I3094"/>
    <hyperlink r:id="rId3094" ref="I3095"/>
    <hyperlink r:id="rId3095" ref="I3096"/>
    <hyperlink r:id="rId3096" ref="I3097"/>
    <hyperlink r:id="rId3097" ref="I3098"/>
    <hyperlink r:id="rId3098" ref="I3099"/>
    <hyperlink r:id="rId3099" ref="I3100"/>
    <hyperlink r:id="rId3100" ref="I3101"/>
    <hyperlink r:id="rId3101" ref="I3102"/>
    <hyperlink r:id="rId3102" ref="I3103"/>
    <hyperlink r:id="rId3103" ref="I3104"/>
    <hyperlink r:id="rId3104" ref="I3105"/>
    <hyperlink r:id="rId3105" ref="I3106"/>
    <hyperlink r:id="rId3106" ref="I3107"/>
    <hyperlink r:id="rId3107" ref="I3108"/>
    <hyperlink r:id="rId3108" ref="I3109"/>
    <hyperlink r:id="rId3109" ref="I3110"/>
    <hyperlink r:id="rId3110" ref="I3111"/>
    <hyperlink r:id="rId3111" ref="I3112"/>
    <hyperlink r:id="rId3112" ref="I3113"/>
    <hyperlink r:id="rId3113" ref="I3114"/>
    <hyperlink r:id="rId3114" ref="I3115"/>
    <hyperlink r:id="rId3115" ref="I3116"/>
    <hyperlink r:id="rId3116" ref="I3117"/>
    <hyperlink r:id="rId3117" ref="I3118"/>
    <hyperlink r:id="rId3118" ref="I3119"/>
    <hyperlink r:id="rId3119" ref="I3120"/>
    <hyperlink r:id="rId3120" ref="I3121"/>
    <hyperlink r:id="rId3121" ref="I3122"/>
    <hyperlink r:id="rId3122" ref="I3123"/>
    <hyperlink r:id="rId3123" ref="I3124"/>
    <hyperlink r:id="rId3124" ref="I3125"/>
    <hyperlink r:id="rId3125" ref="I3126"/>
    <hyperlink r:id="rId3126" ref="I3127"/>
    <hyperlink r:id="rId3127" ref="I3128"/>
    <hyperlink r:id="rId3128" ref="I3129"/>
    <hyperlink r:id="rId3129" ref="I3130"/>
    <hyperlink r:id="rId3130" ref="I3131"/>
    <hyperlink r:id="rId3131" ref="I3132"/>
    <hyperlink r:id="rId3132" ref="I3133"/>
    <hyperlink r:id="rId3133" ref="I3134"/>
    <hyperlink r:id="rId3134" ref="I3135"/>
    <hyperlink r:id="rId3135" ref="I3136"/>
    <hyperlink r:id="rId3136" ref="I3137"/>
    <hyperlink r:id="rId3137" ref="I3138"/>
    <hyperlink r:id="rId3138" ref="I3139"/>
    <hyperlink r:id="rId3139" ref="I3140"/>
    <hyperlink r:id="rId3140" ref="I3141"/>
    <hyperlink r:id="rId3141" ref="I3142"/>
    <hyperlink r:id="rId3142" ref="I3143"/>
    <hyperlink r:id="rId3143" ref="I3144"/>
    <hyperlink r:id="rId3144" ref="I3145"/>
    <hyperlink r:id="rId3145" ref="I3146"/>
    <hyperlink r:id="rId3146" ref="I3147"/>
    <hyperlink r:id="rId3147" ref="I3148"/>
    <hyperlink r:id="rId3148" ref="I3149"/>
    <hyperlink r:id="rId3149" ref="I3150"/>
    <hyperlink r:id="rId3150" ref="I3151"/>
    <hyperlink r:id="rId3151" ref="I3152"/>
    <hyperlink r:id="rId3152" ref="I3153"/>
    <hyperlink r:id="rId3153" ref="I3154"/>
    <hyperlink r:id="rId3154" ref="I3155"/>
    <hyperlink r:id="rId3155" ref="I3156"/>
    <hyperlink r:id="rId3156" ref="I3157"/>
    <hyperlink r:id="rId3157" ref="I3158"/>
    <hyperlink r:id="rId3158" ref="I3159"/>
    <hyperlink r:id="rId3159" ref="I3160"/>
    <hyperlink r:id="rId3160" ref="I3161"/>
    <hyperlink r:id="rId3161" ref="I3162"/>
    <hyperlink r:id="rId3162" ref="I3163"/>
    <hyperlink r:id="rId3163" ref="I3164"/>
    <hyperlink r:id="rId3164" ref="I3165"/>
    <hyperlink r:id="rId3165" ref="I3166"/>
    <hyperlink r:id="rId3166" ref="I3167"/>
    <hyperlink r:id="rId3167" ref="I3168"/>
    <hyperlink r:id="rId3168" ref="I3169"/>
    <hyperlink r:id="rId3169" ref="I3170"/>
    <hyperlink r:id="rId3170" ref="I3171"/>
    <hyperlink r:id="rId3171" ref="I3172"/>
    <hyperlink r:id="rId3172" ref="I3173"/>
    <hyperlink r:id="rId3173" ref="I3174"/>
    <hyperlink r:id="rId3174" ref="I3175"/>
    <hyperlink r:id="rId3175" ref="I3176"/>
    <hyperlink r:id="rId3176" ref="I3177"/>
    <hyperlink r:id="rId3177" ref="I3178"/>
    <hyperlink r:id="rId3178" ref="I3179"/>
    <hyperlink r:id="rId3179" ref="I3180"/>
    <hyperlink r:id="rId3180" ref="I3181"/>
    <hyperlink r:id="rId3181" ref="I3182"/>
    <hyperlink r:id="rId3182" ref="I3183"/>
    <hyperlink r:id="rId3183" ref="I3184"/>
    <hyperlink r:id="rId3184" ref="I3185"/>
    <hyperlink r:id="rId3185" ref="I3186"/>
    <hyperlink r:id="rId3186" ref="I3187"/>
    <hyperlink r:id="rId3187" ref="I3188"/>
    <hyperlink r:id="rId3188" ref="I3189"/>
    <hyperlink r:id="rId3189" ref="I3190"/>
    <hyperlink r:id="rId3190" ref="I3191"/>
    <hyperlink r:id="rId3191" ref="I3192"/>
    <hyperlink r:id="rId3192" ref="I3193"/>
    <hyperlink r:id="rId3193" ref="I3194"/>
    <hyperlink r:id="rId3194" ref="I3195"/>
    <hyperlink r:id="rId3195" ref="I3196"/>
    <hyperlink r:id="rId3196" ref="I3197"/>
    <hyperlink r:id="rId3197" ref="I3198"/>
    <hyperlink r:id="rId3198" ref="I3199"/>
    <hyperlink r:id="rId3199" ref="I3200"/>
    <hyperlink r:id="rId3200" ref="I3201"/>
    <hyperlink r:id="rId3201" ref="I3202"/>
    <hyperlink r:id="rId3202" ref="I3203"/>
    <hyperlink r:id="rId3203" ref="I3204"/>
    <hyperlink r:id="rId3204" ref="I3205"/>
    <hyperlink r:id="rId3205" ref="I3206"/>
    <hyperlink r:id="rId3206" ref="I3207"/>
    <hyperlink r:id="rId3207" ref="I3208"/>
    <hyperlink r:id="rId3208" ref="I3209"/>
    <hyperlink r:id="rId3209" ref="I3210"/>
    <hyperlink r:id="rId3210" ref="I3211"/>
    <hyperlink r:id="rId3211" ref="I3212"/>
    <hyperlink r:id="rId3212" ref="I3213"/>
    <hyperlink r:id="rId3213" ref="I3214"/>
    <hyperlink r:id="rId3214" ref="I3215"/>
    <hyperlink r:id="rId3215" ref="I3216"/>
    <hyperlink r:id="rId3216" ref="I3217"/>
    <hyperlink r:id="rId3217" ref="I3218"/>
    <hyperlink r:id="rId3218" ref="I3219"/>
    <hyperlink r:id="rId3219" ref="I3220"/>
    <hyperlink r:id="rId3220" ref="I3221"/>
    <hyperlink r:id="rId3221" ref="I3222"/>
    <hyperlink r:id="rId3222" ref="I3223"/>
    <hyperlink r:id="rId3223" ref="I3224"/>
    <hyperlink r:id="rId3224" ref="I3225"/>
    <hyperlink r:id="rId3225" ref="I3226"/>
    <hyperlink r:id="rId3226" ref="I3227"/>
    <hyperlink r:id="rId3227" ref="I3228"/>
    <hyperlink r:id="rId3228" ref="I3229"/>
    <hyperlink r:id="rId3229" ref="I3230"/>
    <hyperlink r:id="rId3230" ref="I3231"/>
    <hyperlink r:id="rId3231" ref="I3232"/>
    <hyperlink r:id="rId3232" ref="I3233"/>
    <hyperlink r:id="rId3233" ref="I3234"/>
    <hyperlink r:id="rId3234" ref="I3235"/>
    <hyperlink r:id="rId3235" ref="I3236"/>
    <hyperlink r:id="rId3236" ref="I3237"/>
    <hyperlink r:id="rId3237" ref="I3238"/>
    <hyperlink r:id="rId3238" ref="I3239"/>
    <hyperlink r:id="rId3239" ref="I3240"/>
    <hyperlink r:id="rId3240" ref="I3241"/>
    <hyperlink r:id="rId3241" ref="I3242"/>
    <hyperlink r:id="rId3242" ref="I3243"/>
    <hyperlink r:id="rId3243" ref="I3244"/>
    <hyperlink r:id="rId3244" ref="I3245"/>
    <hyperlink r:id="rId3245" ref="I3246"/>
    <hyperlink r:id="rId3246" ref="I3247"/>
    <hyperlink r:id="rId3247" ref="I3248"/>
    <hyperlink r:id="rId3248" ref="I3249"/>
    <hyperlink r:id="rId3249" ref="I3250"/>
    <hyperlink r:id="rId3250" ref="I3251"/>
    <hyperlink r:id="rId3251" ref="I3252"/>
    <hyperlink r:id="rId3252" ref="I3253"/>
    <hyperlink r:id="rId3253" ref="I3254"/>
    <hyperlink r:id="rId3254" ref="I3255"/>
    <hyperlink r:id="rId3255" ref="I3256"/>
    <hyperlink r:id="rId3256" ref="I3257"/>
    <hyperlink r:id="rId3257" ref="I3258"/>
    <hyperlink r:id="rId3258" ref="I3259"/>
    <hyperlink r:id="rId3259" ref="I3260"/>
    <hyperlink r:id="rId3260" ref="I3261"/>
    <hyperlink r:id="rId3261" ref="I3262"/>
    <hyperlink r:id="rId3262" ref="I3263"/>
    <hyperlink r:id="rId3263" ref="I3264"/>
    <hyperlink r:id="rId3264" ref="I3265"/>
    <hyperlink r:id="rId3265" ref="I3266"/>
    <hyperlink r:id="rId3266" ref="I3267"/>
    <hyperlink r:id="rId3267" ref="I3268"/>
    <hyperlink r:id="rId3268" ref="I3269"/>
    <hyperlink r:id="rId3269" ref="I3270"/>
    <hyperlink r:id="rId3270" ref="I3271"/>
    <hyperlink r:id="rId3271" ref="I3272"/>
    <hyperlink r:id="rId3272" ref="I3273"/>
    <hyperlink r:id="rId3273" ref="I3274"/>
    <hyperlink r:id="rId3274" ref="I3275"/>
    <hyperlink r:id="rId3275" ref="I3276"/>
    <hyperlink r:id="rId3276" ref="I3277"/>
    <hyperlink r:id="rId3277" ref="I3278"/>
    <hyperlink r:id="rId3278" ref="I3279"/>
    <hyperlink r:id="rId3279" ref="I3280"/>
    <hyperlink r:id="rId3280" ref="I3281"/>
    <hyperlink r:id="rId3281" ref="I3282"/>
    <hyperlink r:id="rId3282" ref="I3283"/>
    <hyperlink r:id="rId3283" ref="I3284"/>
    <hyperlink r:id="rId3284" ref="I3285"/>
    <hyperlink r:id="rId3285" ref="I3286"/>
    <hyperlink r:id="rId3286" ref="I3287"/>
    <hyperlink r:id="rId3287" ref="I3288"/>
    <hyperlink r:id="rId3288" ref="I3289"/>
    <hyperlink r:id="rId3289" ref="I3290"/>
    <hyperlink r:id="rId3290" ref="I3291"/>
    <hyperlink r:id="rId3291" ref="I3292"/>
    <hyperlink r:id="rId3292" ref="I3293"/>
    <hyperlink r:id="rId3293" ref="I3294"/>
    <hyperlink r:id="rId3294" ref="I3295"/>
    <hyperlink r:id="rId3295" ref="I3296"/>
    <hyperlink r:id="rId3296" ref="I3297"/>
    <hyperlink r:id="rId3297" ref="I3298"/>
    <hyperlink r:id="rId3298" ref="I3299"/>
    <hyperlink r:id="rId3299" ref="I3300"/>
    <hyperlink r:id="rId3300" ref="I3301"/>
    <hyperlink r:id="rId3301" ref="I3302"/>
    <hyperlink r:id="rId3302" ref="I3303"/>
    <hyperlink r:id="rId3303" ref="I3304"/>
    <hyperlink r:id="rId3304" ref="I3305"/>
    <hyperlink r:id="rId3305" ref="I3306"/>
    <hyperlink r:id="rId3306" ref="I3307"/>
    <hyperlink r:id="rId3307" ref="I3308"/>
    <hyperlink r:id="rId3308" ref="I3309"/>
    <hyperlink r:id="rId3309" ref="I3310"/>
    <hyperlink r:id="rId3310" ref="I3311"/>
    <hyperlink r:id="rId3311" ref="I3312"/>
    <hyperlink r:id="rId3312" ref="I3313"/>
    <hyperlink r:id="rId3313" ref="I3314"/>
    <hyperlink r:id="rId3314" ref="I3315"/>
    <hyperlink r:id="rId3315" ref="I3316"/>
    <hyperlink r:id="rId3316" ref="I3317"/>
    <hyperlink r:id="rId3317" ref="I3318"/>
    <hyperlink r:id="rId3318" ref="I3319"/>
    <hyperlink r:id="rId3319" ref="I3320"/>
    <hyperlink r:id="rId3320" ref="I3321"/>
    <hyperlink r:id="rId3321" ref="I3322"/>
    <hyperlink r:id="rId3322" ref="I3323"/>
    <hyperlink r:id="rId3323" ref="I3324"/>
    <hyperlink r:id="rId3324" ref="I3325"/>
    <hyperlink r:id="rId3325" ref="I3326"/>
    <hyperlink r:id="rId3326" ref="I3327"/>
    <hyperlink r:id="rId3327" ref="I3328"/>
    <hyperlink r:id="rId3328" ref="I3329"/>
    <hyperlink r:id="rId3329" ref="I3330"/>
    <hyperlink r:id="rId3330" ref="I3331"/>
    <hyperlink r:id="rId3331" ref="I3332"/>
    <hyperlink r:id="rId3332" ref="I3333"/>
    <hyperlink r:id="rId3333" ref="I3334"/>
    <hyperlink r:id="rId3334" ref="I3335"/>
    <hyperlink r:id="rId3335" ref="I3336"/>
    <hyperlink r:id="rId3336" ref="I3337"/>
    <hyperlink r:id="rId3337" ref="I3338"/>
    <hyperlink r:id="rId3338" ref="I3339"/>
    <hyperlink r:id="rId3339" ref="I3340"/>
    <hyperlink r:id="rId3340" ref="I3341"/>
    <hyperlink r:id="rId3341" ref="I3342"/>
    <hyperlink r:id="rId3342" ref="I3343"/>
    <hyperlink r:id="rId3343" ref="I3344"/>
    <hyperlink r:id="rId3344" ref="I3345"/>
    <hyperlink r:id="rId3345" ref="I3346"/>
    <hyperlink r:id="rId3346" ref="I3347"/>
    <hyperlink r:id="rId3347" ref="I3348"/>
    <hyperlink r:id="rId3348" ref="I3349"/>
    <hyperlink r:id="rId3349" ref="I3350"/>
    <hyperlink r:id="rId3350" ref="I3351"/>
    <hyperlink r:id="rId3351" ref="I3352"/>
    <hyperlink r:id="rId3352" ref="I3353"/>
    <hyperlink r:id="rId3353" ref="I3354"/>
    <hyperlink r:id="rId3354" ref="I3355"/>
    <hyperlink r:id="rId3355" ref="I3356"/>
    <hyperlink r:id="rId3356" ref="I3357"/>
    <hyperlink r:id="rId3357" ref="I3358"/>
    <hyperlink r:id="rId3358" ref="I3359"/>
    <hyperlink r:id="rId3359" ref="I3360"/>
    <hyperlink r:id="rId3360" ref="I3361"/>
    <hyperlink r:id="rId3361" ref="I3362"/>
    <hyperlink r:id="rId3362" ref="I3363"/>
    <hyperlink r:id="rId3363" ref="I3364"/>
    <hyperlink r:id="rId3364" ref="I3365"/>
    <hyperlink r:id="rId3365" ref="I3366"/>
    <hyperlink r:id="rId3366" ref="I3367"/>
    <hyperlink r:id="rId3367" ref="I3368"/>
    <hyperlink r:id="rId3368" ref="I3369"/>
    <hyperlink r:id="rId3369" ref="I3370"/>
    <hyperlink r:id="rId3370" ref="I3371"/>
    <hyperlink r:id="rId3371" ref="I3372"/>
    <hyperlink r:id="rId3372" ref="I3373"/>
    <hyperlink r:id="rId3373" ref="I3374"/>
    <hyperlink r:id="rId3374" ref="I3375"/>
    <hyperlink r:id="rId3375" ref="I3376"/>
    <hyperlink r:id="rId3376" ref="I3377"/>
    <hyperlink r:id="rId3377" ref="I3378"/>
    <hyperlink r:id="rId3378" ref="I3379"/>
    <hyperlink r:id="rId3379" ref="I3380"/>
    <hyperlink r:id="rId3380" ref="I3381"/>
    <hyperlink r:id="rId3381" ref="I3382"/>
    <hyperlink r:id="rId3382" ref="I3383"/>
    <hyperlink r:id="rId3383" ref="I3384"/>
    <hyperlink r:id="rId3384" ref="I3385"/>
    <hyperlink r:id="rId3385" ref="I3386"/>
    <hyperlink r:id="rId3386" ref="I3387"/>
    <hyperlink r:id="rId3387" ref="I3388"/>
    <hyperlink r:id="rId3388" ref="I3389"/>
    <hyperlink r:id="rId3389" ref="I3390"/>
    <hyperlink r:id="rId3390" ref="I3391"/>
    <hyperlink r:id="rId3391" ref="I3392"/>
    <hyperlink r:id="rId3392" ref="I3393"/>
    <hyperlink r:id="rId3393" ref="I3394"/>
    <hyperlink r:id="rId3394" ref="I3395"/>
    <hyperlink r:id="rId3395" ref="I3396"/>
    <hyperlink r:id="rId3396" ref="I3397"/>
    <hyperlink r:id="rId3397" ref="I3398"/>
    <hyperlink r:id="rId3398" ref="I3399"/>
    <hyperlink r:id="rId3399" ref="I3400"/>
    <hyperlink r:id="rId3400" ref="I3401"/>
    <hyperlink r:id="rId3401" ref="I3402"/>
    <hyperlink r:id="rId3402" ref="I3403"/>
    <hyperlink r:id="rId3403" ref="I3404"/>
    <hyperlink r:id="rId3404" ref="I3405"/>
    <hyperlink r:id="rId3405" ref="I3406"/>
    <hyperlink r:id="rId3406" ref="I3407"/>
    <hyperlink r:id="rId3407" ref="I3408"/>
    <hyperlink r:id="rId3408" ref="I3409"/>
    <hyperlink r:id="rId3409" ref="I3410"/>
    <hyperlink r:id="rId3410" ref="I3411"/>
    <hyperlink r:id="rId3411" ref="I3412"/>
    <hyperlink r:id="rId3412" ref="I3413"/>
    <hyperlink r:id="rId3413" ref="I3414"/>
    <hyperlink r:id="rId3414" ref="I3415"/>
    <hyperlink r:id="rId3415" ref="I3416"/>
    <hyperlink r:id="rId3416" ref="I3417"/>
    <hyperlink r:id="rId3417" ref="I3418"/>
    <hyperlink r:id="rId3418" ref="I3419"/>
    <hyperlink r:id="rId3419" ref="I3420"/>
    <hyperlink r:id="rId3420" ref="I3421"/>
    <hyperlink r:id="rId3421" ref="I3422"/>
    <hyperlink r:id="rId3422" ref="I3423"/>
    <hyperlink r:id="rId3423" ref="I3424"/>
    <hyperlink r:id="rId3424" ref="I3425"/>
    <hyperlink r:id="rId3425" ref="I3426"/>
    <hyperlink r:id="rId3426" ref="I3427"/>
    <hyperlink r:id="rId3427" ref="I3428"/>
    <hyperlink r:id="rId3428" ref="I3429"/>
    <hyperlink r:id="rId3429" ref="I3430"/>
    <hyperlink r:id="rId3430" ref="I3431"/>
    <hyperlink r:id="rId3431" ref="I3432"/>
    <hyperlink r:id="rId3432" ref="I3433"/>
    <hyperlink r:id="rId3433" ref="I3434"/>
    <hyperlink r:id="rId3434" ref="I3435"/>
    <hyperlink r:id="rId3435" ref="I3436"/>
    <hyperlink r:id="rId3436" ref="I3437"/>
    <hyperlink r:id="rId3437" ref="I3438"/>
    <hyperlink r:id="rId3438" ref="I3439"/>
    <hyperlink r:id="rId3439" ref="I3440"/>
    <hyperlink r:id="rId3440" ref="I3441"/>
    <hyperlink r:id="rId3441" ref="I3442"/>
    <hyperlink r:id="rId3442" ref="I3443"/>
    <hyperlink r:id="rId3443" ref="I3444"/>
    <hyperlink r:id="rId3444" ref="I3445"/>
    <hyperlink r:id="rId3445" ref="I3446"/>
    <hyperlink r:id="rId3446" ref="I3447"/>
    <hyperlink r:id="rId3447" ref="I3448"/>
    <hyperlink r:id="rId3448" ref="I3449"/>
    <hyperlink r:id="rId3449" ref="I3450"/>
    <hyperlink r:id="rId3450" ref="I3451"/>
    <hyperlink r:id="rId3451" ref="I3452"/>
    <hyperlink r:id="rId3452" ref="I3453"/>
    <hyperlink r:id="rId3453" ref="I3454"/>
    <hyperlink r:id="rId3454" ref="I3455"/>
    <hyperlink r:id="rId3455" ref="I3456"/>
    <hyperlink r:id="rId3456" ref="I3457"/>
    <hyperlink r:id="rId3457" ref="I3458"/>
    <hyperlink r:id="rId3458" ref="I3459"/>
    <hyperlink r:id="rId3459" ref="I3460"/>
    <hyperlink r:id="rId3460" ref="I3461"/>
    <hyperlink r:id="rId3461" ref="I3462"/>
    <hyperlink r:id="rId3462" ref="I3463"/>
    <hyperlink r:id="rId3463" ref="I3464"/>
    <hyperlink r:id="rId3464" ref="I3465"/>
    <hyperlink r:id="rId3465" ref="I3466"/>
    <hyperlink r:id="rId3466" ref="I3467"/>
    <hyperlink r:id="rId3467" ref="I3468"/>
    <hyperlink r:id="rId3468" ref="I3469"/>
    <hyperlink r:id="rId3469" ref="I3470"/>
    <hyperlink r:id="rId3470" ref="I3471"/>
    <hyperlink r:id="rId3471" ref="I3472"/>
    <hyperlink r:id="rId3472" ref="I3473"/>
    <hyperlink r:id="rId3473" ref="I3474"/>
    <hyperlink r:id="rId3474" ref="I3475"/>
    <hyperlink r:id="rId3475" ref="I3476"/>
    <hyperlink r:id="rId3476" ref="I3477"/>
    <hyperlink r:id="rId3477" ref="I3478"/>
    <hyperlink r:id="rId3478" ref="I3479"/>
    <hyperlink r:id="rId3479" ref="I3480"/>
    <hyperlink r:id="rId3480" ref="I3481"/>
    <hyperlink r:id="rId3481" ref="I3482"/>
    <hyperlink r:id="rId3482" ref="I3483"/>
    <hyperlink r:id="rId3483" ref="I3484"/>
    <hyperlink r:id="rId3484" ref="I3485"/>
    <hyperlink r:id="rId3485" ref="I3486"/>
    <hyperlink r:id="rId3486" ref="I3487"/>
    <hyperlink r:id="rId3487" ref="I3488"/>
    <hyperlink r:id="rId3488" ref="I3489"/>
    <hyperlink r:id="rId3489" ref="I3490"/>
    <hyperlink r:id="rId3490" ref="I3491"/>
    <hyperlink r:id="rId3491" ref="I3492"/>
    <hyperlink r:id="rId3492" ref="I3493"/>
    <hyperlink r:id="rId3493" ref="I3494"/>
    <hyperlink r:id="rId3494" ref="I3495"/>
    <hyperlink r:id="rId3495" ref="I3496"/>
    <hyperlink r:id="rId3496" ref="I3497"/>
    <hyperlink r:id="rId3497" ref="I3498"/>
    <hyperlink r:id="rId3498" ref="I3499"/>
    <hyperlink r:id="rId3499" ref="I3500"/>
    <hyperlink r:id="rId3500" ref="I3501"/>
    <hyperlink r:id="rId3501" ref="I3502"/>
    <hyperlink r:id="rId3502" ref="I3503"/>
    <hyperlink r:id="rId3503" ref="I3504"/>
    <hyperlink r:id="rId3504" ref="I3505"/>
    <hyperlink r:id="rId3505" ref="I3506"/>
    <hyperlink r:id="rId3506" ref="I3507"/>
    <hyperlink r:id="rId3507" ref="I3508"/>
    <hyperlink r:id="rId3508" ref="I3509"/>
    <hyperlink r:id="rId3509" ref="I3510"/>
    <hyperlink r:id="rId3510" ref="I3511"/>
    <hyperlink r:id="rId3511" ref="I3512"/>
    <hyperlink r:id="rId3512" ref="I3513"/>
    <hyperlink r:id="rId3513" ref="I3514"/>
    <hyperlink r:id="rId3514" ref="I3515"/>
    <hyperlink r:id="rId3515" ref="I3516"/>
    <hyperlink r:id="rId3516" ref="I3517"/>
    <hyperlink r:id="rId3517" ref="I3518"/>
    <hyperlink r:id="rId3518" ref="I3519"/>
    <hyperlink r:id="rId3519" ref="I3520"/>
    <hyperlink r:id="rId3520" ref="I3521"/>
    <hyperlink r:id="rId3521" ref="I3522"/>
    <hyperlink r:id="rId3522" ref="I3523"/>
    <hyperlink r:id="rId3523" ref="I3524"/>
    <hyperlink r:id="rId3524" ref="I3525"/>
    <hyperlink r:id="rId3525" ref="I3526"/>
    <hyperlink r:id="rId3526" ref="I3527"/>
    <hyperlink r:id="rId3527" ref="I3528"/>
    <hyperlink r:id="rId3528" ref="I3529"/>
    <hyperlink r:id="rId3529" ref="I3530"/>
    <hyperlink r:id="rId3530" ref="I3531"/>
    <hyperlink r:id="rId3531" ref="I3532"/>
    <hyperlink r:id="rId3532" ref="I3533"/>
    <hyperlink r:id="rId3533" ref="I3534"/>
    <hyperlink r:id="rId3534" ref="I3535"/>
    <hyperlink r:id="rId3535" ref="I3536"/>
    <hyperlink r:id="rId3536" ref="I3537"/>
    <hyperlink r:id="rId3537" ref="I3538"/>
    <hyperlink r:id="rId3538" ref="I3539"/>
    <hyperlink r:id="rId3539" ref="I3540"/>
    <hyperlink r:id="rId3540" ref="I3541"/>
    <hyperlink r:id="rId3541" ref="I3542"/>
    <hyperlink r:id="rId3542" ref="I3543"/>
    <hyperlink r:id="rId3543" ref="I3544"/>
    <hyperlink r:id="rId3544" ref="I3545"/>
    <hyperlink r:id="rId3545" ref="I3546"/>
    <hyperlink r:id="rId3546" ref="I3547"/>
    <hyperlink r:id="rId3547" ref="I3548"/>
    <hyperlink r:id="rId3548" ref="I3549"/>
    <hyperlink r:id="rId3549" ref="I3550"/>
    <hyperlink r:id="rId3550" ref="I3551"/>
    <hyperlink r:id="rId3551" ref="I3552"/>
    <hyperlink r:id="rId3552" ref="I3553"/>
    <hyperlink r:id="rId3553" ref="I3554"/>
    <hyperlink r:id="rId3554" ref="I3555"/>
    <hyperlink r:id="rId3555" ref="I3556"/>
    <hyperlink r:id="rId3556" ref="I3557"/>
    <hyperlink r:id="rId3557" ref="I3558"/>
    <hyperlink r:id="rId3558" ref="I3559"/>
    <hyperlink r:id="rId3559" ref="I3560"/>
    <hyperlink r:id="rId3560" ref="I3561"/>
    <hyperlink r:id="rId3561" ref="I3562"/>
    <hyperlink r:id="rId3562" ref="I3563"/>
    <hyperlink r:id="rId3563" ref="I3564"/>
    <hyperlink r:id="rId3564" ref="I3565"/>
    <hyperlink r:id="rId3565" ref="I3566"/>
    <hyperlink r:id="rId3566" ref="I3567"/>
    <hyperlink r:id="rId3567" ref="I3568"/>
    <hyperlink r:id="rId3568" ref="I3569"/>
    <hyperlink r:id="rId3569" ref="I3570"/>
    <hyperlink r:id="rId3570" ref="I3571"/>
    <hyperlink r:id="rId3571" ref="I3572"/>
    <hyperlink r:id="rId3572" ref="I3573"/>
    <hyperlink r:id="rId3573" ref="I3574"/>
    <hyperlink r:id="rId3574" ref="I3575"/>
    <hyperlink r:id="rId3575" ref="I3576"/>
    <hyperlink r:id="rId3576" ref="I3577"/>
    <hyperlink r:id="rId3577" ref="I3578"/>
    <hyperlink r:id="rId3578" ref="I3579"/>
    <hyperlink r:id="rId3579" ref="I3580"/>
    <hyperlink r:id="rId3580" ref="I3581"/>
    <hyperlink r:id="rId3581" ref="I3582"/>
    <hyperlink r:id="rId3582" ref="I3583"/>
    <hyperlink r:id="rId3583" ref="I3584"/>
    <hyperlink r:id="rId3584" ref="I3585"/>
    <hyperlink r:id="rId3585" ref="I3586"/>
    <hyperlink r:id="rId3586" ref="I3587"/>
    <hyperlink r:id="rId3587" ref="I3588"/>
    <hyperlink r:id="rId3588" ref="I3589"/>
    <hyperlink r:id="rId3589" ref="I3590"/>
    <hyperlink r:id="rId3590" ref="I3591"/>
    <hyperlink r:id="rId3591" ref="I3592"/>
    <hyperlink r:id="rId3592" ref="I3593"/>
    <hyperlink r:id="rId3593" ref="I3594"/>
    <hyperlink r:id="rId3594" ref="I3595"/>
    <hyperlink r:id="rId3595" ref="I3596"/>
    <hyperlink r:id="rId3596" ref="I3597"/>
    <hyperlink r:id="rId3597" ref="I3598"/>
    <hyperlink r:id="rId3598" ref="I3599"/>
    <hyperlink r:id="rId3599" ref="I3600"/>
    <hyperlink r:id="rId3600" ref="I3601"/>
    <hyperlink r:id="rId3601" ref="I3602"/>
    <hyperlink r:id="rId3602" ref="I3603"/>
    <hyperlink r:id="rId3603" ref="I3604"/>
    <hyperlink r:id="rId3604" ref="I3605"/>
    <hyperlink r:id="rId3605" ref="I3606"/>
    <hyperlink r:id="rId3606" ref="I3607"/>
    <hyperlink r:id="rId3607" ref="I3608"/>
    <hyperlink r:id="rId3608" ref="I3609"/>
    <hyperlink r:id="rId3609" ref="I3610"/>
    <hyperlink r:id="rId3610" ref="I3611"/>
    <hyperlink r:id="rId3611" ref="I3612"/>
    <hyperlink r:id="rId3612" ref="I3613"/>
    <hyperlink r:id="rId3613" ref="I3614"/>
    <hyperlink r:id="rId3614" ref="I3615"/>
    <hyperlink r:id="rId3615" ref="I3616"/>
    <hyperlink r:id="rId3616" ref="I3617"/>
    <hyperlink r:id="rId3617" ref="I3618"/>
    <hyperlink r:id="rId3618" ref="I3619"/>
    <hyperlink r:id="rId3619" ref="I3620"/>
    <hyperlink r:id="rId3620" ref="I3621"/>
    <hyperlink r:id="rId3621" ref="I3622"/>
    <hyperlink r:id="rId3622" ref="I3623"/>
    <hyperlink r:id="rId3623" ref="I3624"/>
    <hyperlink r:id="rId3624" ref="I3625"/>
    <hyperlink r:id="rId3625" ref="I3626"/>
    <hyperlink r:id="rId3626" ref="I3627"/>
    <hyperlink r:id="rId3627" ref="I3628"/>
    <hyperlink r:id="rId3628" ref="I3629"/>
    <hyperlink r:id="rId3629" ref="I3630"/>
    <hyperlink r:id="rId3630" ref="I3631"/>
    <hyperlink r:id="rId3631" ref="I3632"/>
    <hyperlink r:id="rId3632" ref="I3633"/>
    <hyperlink r:id="rId3633" ref="I3634"/>
    <hyperlink r:id="rId3634" ref="I3635"/>
    <hyperlink r:id="rId3635" ref="I3636"/>
    <hyperlink r:id="rId3636" ref="I3637"/>
    <hyperlink r:id="rId3637" ref="I3638"/>
    <hyperlink r:id="rId3638" ref="I3639"/>
    <hyperlink r:id="rId3639" ref="I3640"/>
    <hyperlink r:id="rId3640" ref="I3641"/>
    <hyperlink r:id="rId3641" ref="I3642"/>
    <hyperlink r:id="rId3642" ref="I3643"/>
    <hyperlink r:id="rId3643" ref="I3644"/>
    <hyperlink r:id="rId3644" ref="I3645"/>
    <hyperlink r:id="rId3645" ref="I3646"/>
    <hyperlink r:id="rId3646" ref="I3647"/>
    <hyperlink r:id="rId3647" ref="I3648"/>
    <hyperlink r:id="rId3648" ref="I3649"/>
    <hyperlink r:id="rId3649" ref="I3650"/>
    <hyperlink r:id="rId3650" ref="I3651"/>
    <hyperlink r:id="rId3651" ref="I3652"/>
    <hyperlink r:id="rId3652" ref="I3653"/>
    <hyperlink r:id="rId3653" ref="I3654"/>
    <hyperlink r:id="rId3654" ref="I3655"/>
    <hyperlink r:id="rId3655" ref="I3656"/>
    <hyperlink r:id="rId3656" ref="I3657"/>
    <hyperlink r:id="rId3657" ref="I3658"/>
    <hyperlink r:id="rId3658" ref="I3659"/>
    <hyperlink r:id="rId3659" ref="I3660"/>
    <hyperlink r:id="rId3660" ref="I3661"/>
    <hyperlink r:id="rId3661" ref="I3662"/>
    <hyperlink r:id="rId3662" ref="I3663"/>
    <hyperlink r:id="rId3663" ref="I3664"/>
    <hyperlink r:id="rId3664" ref="I3665"/>
    <hyperlink r:id="rId3665" ref="I3666"/>
    <hyperlink r:id="rId3666" ref="I3667"/>
    <hyperlink r:id="rId3667" ref="I3668"/>
    <hyperlink r:id="rId3668" ref="I3669"/>
    <hyperlink r:id="rId3669" ref="I3670"/>
    <hyperlink r:id="rId3670" ref="I3671"/>
    <hyperlink r:id="rId3671" ref="I3672"/>
    <hyperlink r:id="rId3672" ref="I3673"/>
    <hyperlink r:id="rId3673" ref="I3674"/>
    <hyperlink r:id="rId3674" ref="I3675"/>
    <hyperlink r:id="rId3675" ref="I3676"/>
    <hyperlink r:id="rId3676" ref="I3677"/>
    <hyperlink r:id="rId3677" ref="I3678"/>
    <hyperlink r:id="rId3678" ref="I3679"/>
    <hyperlink r:id="rId3679" ref="I3680"/>
    <hyperlink r:id="rId3680" ref="I3681"/>
    <hyperlink r:id="rId3681" ref="I3682"/>
    <hyperlink r:id="rId3682" ref="I3683"/>
    <hyperlink r:id="rId3683" ref="I3684"/>
    <hyperlink r:id="rId3684" ref="I3685"/>
    <hyperlink r:id="rId3685" ref="I3686"/>
    <hyperlink r:id="rId3686" ref="I3687"/>
    <hyperlink r:id="rId3687" ref="I3688"/>
    <hyperlink r:id="rId3688" ref="I3689"/>
    <hyperlink r:id="rId3689" ref="I3690"/>
    <hyperlink r:id="rId3690" ref="I3691"/>
    <hyperlink r:id="rId3691" ref="I3692"/>
    <hyperlink r:id="rId3692" ref="I3693"/>
    <hyperlink r:id="rId3693" ref="I3694"/>
    <hyperlink r:id="rId3694" ref="I3695"/>
    <hyperlink r:id="rId3695" ref="I3696"/>
    <hyperlink r:id="rId3696" ref="I3697"/>
    <hyperlink r:id="rId3697" ref="I3698"/>
    <hyperlink r:id="rId3698" ref="I3699"/>
    <hyperlink r:id="rId3699" ref="I3700"/>
    <hyperlink r:id="rId3700" ref="I3701"/>
    <hyperlink r:id="rId3701" ref="I3702"/>
    <hyperlink r:id="rId3702" ref="I3703"/>
    <hyperlink r:id="rId3703" ref="I3704"/>
    <hyperlink r:id="rId3704" ref="I3705"/>
    <hyperlink r:id="rId3705" ref="I3706"/>
    <hyperlink r:id="rId3706" ref="I3707"/>
    <hyperlink r:id="rId3707" ref="I3708"/>
    <hyperlink r:id="rId3708" ref="I3709"/>
    <hyperlink r:id="rId3709" ref="I3710"/>
    <hyperlink r:id="rId3710" ref="I3711"/>
    <hyperlink r:id="rId3711" ref="I3712"/>
    <hyperlink r:id="rId3712" ref="I3713"/>
    <hyperlink r:id="rId3713" ref="I3714"/>
    <hyperlink r:id="rId3714" ref="I3715"/>
    <hyperlink r:id="rId3715" ref="I3716"/>
    <hyperlink r:id="rId3716" ref="I3717"/>
    <hyperlink r:id="rId3717" ref="I3718"/>
    <hyperlink r:id="rId3718" ref="I3719"/>
    <hyperlink r:id="rId3719" ref="I3720"/>
    <hyperlink r:id="rId3720" ref="I3721"/>
    <hyperlink r:id="rId3721" ref="I3722"/>
    <hyperlink r:id="rId3722" ref="I3723"/>
    <hyperlink r:id="rId3723" ref="I3724"/>
    <hyperlink r:id="rId3724" ref="I3725"/>
    <hyperlink r:id="rId3725" ref="I3726"/>
    <hyperlink r:id="rId3726" ref="I3727"/>
    <hyperlink r:id="rId3727" ref="I3728"/>
    <hyperlink r:id="rId3728" ref="I3729"/>
    <hyperlink r:id="rId3729" ref="I3730"/>
    <hyperlink r:id="rId3730" ref="I3731"/>
    <hyperlink r:id="rId3731" ref="I3732"/>
    <hyperlink r:id="rId3732" ref="I3733"/>
    <hyperlink r:id="rId3733" ref="I3734"/>
    <hyperlink r:id="rId3734" ref="I3735"/>
    <hyperlink r:id="rId3735" ref="I3736"/>
    <hyperlink r:id="rId3736" ref="I3737"/>
    <hyperlink r:id="rId3737" ref="I3738"/>
    <hyperlink r:id="rId3738" ref="I3739"/>
    <hyperlink r:id="rId3739" ref="I3740"/>
    <hyperlink r:id="rId3740" ref="I3741"/>
    <hyperlink r:id="rId3741" ref="I3742"/>
    <hyperlink r:id="rId3742" ref="I3743"/>
    <hyperlink r:id="rId3743" ref="I3744"/>
    <hyperlink r:id="rId3744" ref="I3745"/>
    <hyperlink r:id="rId3745" ref="I3746"/>
    <hyperlink r:id="rId3746" ref="I3747"/>
    <hyperlink r:id="rId3747" ref="I3748"/>
    <hyperlink r:id="rId3748" ref="I3749"/>
    <hyperlink r:id="rId3749" ref="I3750"/>
    <hyperlink r:id="rId3750" ref="I3751"/>
    <hyperlink r:id="rId3751" ref="I3752"/>
    <hyperlink r:id="rId3752" ref="I3753"/>
    <hyperlink r:id="rId3753" ref="I3754"/>
    <hyperlink r:id="rId3754" ref="I3755"/>
    <hyperlink r:id="rId3755" ref="I3756"/>
    <hyperlink r:id="rId3756" ref="I3757"/>
    <hyperlink r:id="rId3757" ref="I3758"/>
    <hyperlink r:id="rId3758" ref="I3759"/>
    <hyperlink r:id="rId3759" ref="I3760"/>
    <hyperlink r:id="rId3760" ref="I3761"/>
    <hyperlink r:id="rId3761" ref="I3762"/>
    <hyperlink r:id="rId3762" ref="I3763"/>
    <hyperlink r:id="rId3763" ref="I3764"/>
    <hyperlink r:id="rId3764" ref="I3765"/>
    <hyperlink r:id="rId3765" ref="I3766"/>
    <hyperlink r:id="rId3766" ref="I3767"/>
    <hyperlink r:id="rId3767" ref="I3768"/>
    <hyperlink r:id="rId3768" ref="I3769"/>
    <hyperlink r:id="rId3769" ref="I3770"/>
    <hyperlink r:id="rId3770" ref="I3771"/>
    <hyperlink r:id="rId3771" ref="I3772"/>
    <hyperlink r:id="rId3772" ref="I3773"/>
    <hyperlink r:id="rId3773" ref="I3774"/>
    <hyperlink r:id="rId3774" ref="I3775"/>
    <hyperlink r:id="rId3775" ref="I3776"/>
    <hyperlink r:id="rId3776" ref="I3777"/>
    <hyperlink r:id="rId3777" ref="I3778"/>
    <hyperlink r:id="rId3778" ref="I3779"/>
    <hyperlink r:id="rId3779" ref="I3780"/>
    <hyperlink r:id="rId3780" ref="I3781"/>
    <hyperlink r:id="rId3781" ref="I3782"/>
    <hyperlink r:id="rId3782" ref="I3783"/>
    <hyperlink r:id="rId3783" ref="I3784"/>
    <hyperlink r:id="rId3784" ref="I3785"/>
    <hyperlink r:id="rId3785" ref="I3786"/>
    <hyperlink r:id="rId3786" ref="I3787"/>
    <hyperlink r:id="rId3787" ref="I3788"/>
    <hyperlink r:id="rId3788" ref="I3789"/>
    <hyperlink r:id="rId3789" ref="I3790"/>
    <hyperlink r:id="rId3790" ref="I3791"/>
    <hyperlink r:id="rId3791" ref="I3792"/>
    <hyperlink r:id="rId3792" ref="I3793"/>
    <hyperlink r:id="rId3793" ref="I3794"/>
    <hyperlink r:id="rId3794" ref="I3795"/>
    <hyperlink r:id="rId3795" ref="I3796"/>
    <hyperlink r:id="rId3796" ref="I3797"/>
    <hyperlink r:id="rId3797" ref="I3798"/>
    <hyperlink r:id="rId3798" ref="I3799"/>
    <hyperlink r:id="rId3799" ref="I3800"/>
    <hyperlink r:id="rId3800" ref="I3801"/>
    <hyperlink r:id="rId3801" ref="I3802"/>
    <hyperlink r:id="rId3802" ref="I3803"/>
    <hyperlink r:id="rId3803" ref="I3804"/>
    <hyperlink r:id="rId3804" ref="I3805"/>
    <hyperlink r:id="rId3805" ref="I3806"/>
    <hyperlink r:id="rId3806" ref="I3807"/>
    <hyperlink r:id="rId3807" ref="I3808"/>
    <hyperlink r:id="rId3808" ref="I3809"/>
    <hyperlink r:id="rId3809" ref="I3810"/>
    <hyperlink r:id="rId3810" ref="I3811"/>
    <hyperlink r:id="rId3811" ref="I3812"/>
    <hyperlink r:id="rId3812" ref="I3813"/>
    <hyperlink r:id="rId3813" ref="I3814"/>
    <hyperlink r:id="rId3814" ref="I3815"/>
    <hyperlink r:id="rId3815" ref="I3816"/>
    <hyperlink r:id="rId3816" ref="I3817"/>
    <hyperlink r:id="rId3817" ref="I3818"/>
    <hyperlink r:id="rId3818" ref="I3819"/>
    <hyperlink r:id="rId3819" ref="I3820"/>
    <hyperlink r:id="rId3820" ref="I3821"/>
    <hyperlink r:id="rId3821" ref="I3822"/>
    <hyperlink r:id="rId3822" ref="I3823"/>
    <hyperlink r:id="rId3823" ref="I3824"/>
    <hyperlink r:id="rId3824" ref="I3825"/>
    <hyperlink r:id="rId3825" ref="I3826"/>
    <hyperlink r:id="rId3826" ref="I3827"/>
    <hyperlink r:id="rId3827" ref="I3828"/>
    <hyperlink r:id="rId3828" ref="I3829"/>
    <hyperlink r:id="rId3829" ref="I3830"/>
    <hyperlink r:id="rId3830" ref="I3831"/>
    <hyperlink r:id="rId3831" ref="I3832"/>
    <hyperlink r:id="rId3832" ref="I3833"/>
    <hyperlink r:id="rId3833" ref="I3834"/>
    <hyperlink r:id="rId3834" ref="I3835"/>
    <hyperlink r:id="rId3835" ref="I3836"/>
    <hyperlink r:id="rId3836" ref="I3837"/>
    <hyperlink r:id="rId3837" ref="I3838"/>
    <hyperlink r:id="rId3838" ref="I3839"/>
    <hyperlink r:id="rId3839" ref="I3840"/>
    <hyperlink r:id="rId3840" ref="I3841"/>
    <hyperlink r:id="rId3841" ref="I3842"/>
    <hyperlink r:id="rId3842" ref="I3843"/>
    <hyperlink r:id="rId3843" ref="I3844"/>
    <hyperlink r:id="rId3844" ref="I3845"/>
    <hyperlink r:id="rId3845" ref="I3846"/>
    <hyperlink r:id="rId3846" ref="I3847"/>
    <hyperlink r:id="rId3847" ref="I3848"/>
    <hyperlink r:id="rId3848" ref="I3849"/>
    <hyperlink r:id="rId3849" ref="I3850"/>
    <hyperlink r:id="rId3850" ref="I3851"/>
    <hyperlink r:id="rId3851" ref="I3852"/>
    <hyperlink r:id="rId3852" ref="I3853"/>
    <hyperlink r:id="rId3853" ref="I3854"/>
    <hyperlink r:id="rId3854" ref="I3855"/>
    <hyperlink r:id="rId3855" ref="I3856"/>
    <hyperlink r:id="rId3856" ref="I3857"/>
    <hyperlink r:id="rId3857" ref="I3858"/>
    <hyperlink r:id="rId3858" ref="I3859"/>
    <hyperlink r:id="rId3859" ref="I3860"/>
    <hyperlink r:id="rId3860" ref="I3861"/>
    <hyperlink r:id="rId3861" ref="I3862"/>
    <hyperlink r:id="rId3862" ref="I3863"/>
    <hyperlink r:id="rId3863" ref="I3864"/>
    <hyperlink r:id="rId3864" ref="I3865"/>
    <hyperlink r:id="rId3865" ref="I3866"/>
    <hyperlink r:id="rId3866" ref="I3867"/>
    <hyperlink r:id="rId3867" ref="I3868"/>
    <hyperlink r:id="rId3868" ref="I3869"/>
    <hyperlink r:id="rId3869" ref="I3870"/>
    <hyperlink r:id="rId3870" ref="I3871"/>
    <hyperlink r:id="rId3871" ref="I3872"/>
    <hyperlink r:id="rId3872" ref="I3873"/>
    <hyperlink r:id="rId3873" ref="I3874"/>
    <hyperlink r:id="rId3874" ref="I3875"/>
    <hyperlink r:id="rId3875" ref="I3876"/>
    <hyperlink r:id="rId3876" ref="I3877"/>
    <hyperlink r:id="rId3877" ref="I3878"/>
    <hyperlink r:id="rId3878" ref="I3879"/>
    <hyperlink r:id="rId3879" ref="I3880"/>
    <hyperlink r:id="rId3880" ref="I3881"/>
    <hyperlink r:id="rId3881" ref="I3882"/>
    <hyperlink r:id="rId3882" ref="I3883"/>
    <hyperlink r:id="rId3883" ref="I3884"/>
    <hyperlink r:id="rId3884" ref="I3885"/>
    <hyperlink r:id="rId3885" ref="I3886"/>
    <hyperlink r:id="rId3886" ref="I3887"/>
    <hyperlink r:id="rId3887" ref="I3888"/>
    <hyperlink r:id="rId3888" ref="I3889"/>
    <hyperlink r:id="rId3889" ref="I3890"/>
    <hyperlink r:id="rId3890" ref="I3891"/>
    <hyperlink r:id="rId3891" ref="I3892"/>
    <hyperlink r:id="rId3892" ref="I3893"/>
    <hyperlink r:id="rId3893" ref="I3894"/>
    <hyperlink r:id="rId3894" ref="I3895"/>
    <hyperlink r:id="rId3895" ref="I3896"/>
    <hyperlink r:id="rId3896" ref="I3897"/>
    <hyperlink r:id="rId3897" ref="I3898"/>
    <hyperlink r:id="rId3898" ref="I3899"/>
    <hyperlink r:id="rId3899" ref="I3900"/>
    <hyperlink r:id="rId3900" ref="I3901"/>
    <hyperlink r:id="rId3901" ref="I3902"/>
    <hyperlink r:id="rId3902" ref="I3903"/>
    <hyperlink r:id="rId3903" ref="I3904"/>
    <hyperlink r:id="rId3904" ref="I3905"/>
    <hyperlink r:id="rId3905" ref="I3906"/>
    <hyperlink r:id="rId3906" ref="I3907"/>
    <hyperlink r:id="rId3907" ref="I3908"/>
    <hyperlink r:id="rId3908" ref="I3909"/>
    <hyperlink r:id="rId3909" ref="I3910"/>
    <hyperlink r:id="rId3910" ref="I3911"/>
    <hyperlink r:id="rId3911" ref="I3912"/>
    <hyperlink r:id="rId3912" ref="I3913"/>
    <hyperlink r:id="rId3913" ref="I3914"/>
    <hyperlink r:id="rId3914" ref="I3915"/>
    <hyperlink r:id="rId3915" ref="I3916"/>
    <hyperlink r:id="rId3916" ref="I3917"/>
    <hyperlink r:id="rId3917" ref="I3918"/>
    <hyperlink r:id="rId3918" ref="I3919"/>
    <hyperlink r:id="rId3919" ref="I3920"/>
    <hyperlink r:id="rId3920" ref="I3921"/>
    <hyperlink r:id="rId3921" ref="I3922"/>
    <hyperlink r:id="rId3922" ref="I3923"/>
    <hyperlink r:id="rId3923" ref="I3924"/>
    <hyperlink r:id="rId3924" ref="I3925"/>
    <hyperlink r:id="rId3925" ref="I3926"/>
    <hyperlink r:id="rId3926" ref="I3927"/>
    <hyperlink r:id="rId3927" ref="I3928"/>
    <hyperlink r:id="rId3928" ref="I3929"/>
    <hyperlink r:id="rId3929" ref="I3930"/>
    <hyperlink r:id="rId3930" ref="I3931"/>
    <hyperlink r:id="rId3931" ref="I3932"/>
    <hyperlink r:id="rId3932" ref="I3933"/>
    <hyperlink r:id="rId3933" ref="I3934"/>
    <hyperlink r:id="rId3934" ref="I3935"/>
    <hyperlink r:id="rId3935" ref="I3936"/>
    <hyperlink r:id="rId3936" ref="I3937"/>
    <hyperlink r:id="rId3937" ref="I3938"/>
    <hyperlink r:id="rId3938" ref="I3939"/>
    <hyperlink r:id="rId3939" ref="I3940"/>
    <hyperlink r:id="rId3940" ref="I3941"/>
    <hyperlink r:id="rId3941" ref="I3942"/>
    <hyperlink r:id="rId3942" ref="I3943"/>
    <hyperlink r:id="rId3943" ref="I3944"/>
    <hyperlink r:id="rId3944" ref="I3945"/>
    <hyperlink r:id="rId3945" ref="I3946"/>
    <hyperlink r:id="rId3946" ref="I3947"/>
    <hyperlink r:id="rId3947" ref="I3948"/>
    <hyperlink r:id="rId3948" ref="I3949"/>
    <hyperlink r:id="rId3949" ref="I3950"/>
    <hyperlink r:id="rId3950" ref="I3951"/>
    <hyperlink r:id="rId3951" ref="I3952"/>
    <hyperlink r:id="rId3952" ref="I3953"/>
    <hyperlink r:id="rId3953" ref="I3954"/>
    <hyperlink r:id="rId3954" ref="I3955"/>
    <hyperlink r:id="rId3955" ref="I3956"/>
    <hyperlink r:id="rId3956" ref="I3957"/>
    <hyperlink r:id="rId3957" ref="I3958"/>
    <hyperlink r:id="rId3958" ref="I3959"/>
    <hyperlink r:id="rId3959" ref="I3960"/>
    <hyperlink r:id="rId3960" ref="I3961"/>
    <hyperlink r:id="rId3961" ref="I3962"/>
    <hyperlink r:id="rId3962" ref="I3963"/>
    <hyperlink r:id="rId3963" ref="I3964"/>
    <hyperlink r:id="rId3964" ref="I3965"/>
    <hyperlink r:id="rId3965" ref="I3966"/>
    <hyperlink r:id="rId3966" ref="I3967"/>
    <hyperlink r:id="rId3967" ref="I3968"/>
    <hyperlink r:id="rId3968" ref="I3969"/>
    <hyperlink r:id="rId3969" ref="I3970"/>
    <hyperlink r:id="rId3970" ref="I3971"/>
    <hyperlink r:id="rId3971" ref="I3972"/>
    <hyperlink r:id="rId3972" ref="I3973"/>
    <hyperlink r:id="rId3973" ref="I3974"/>
    <hyperlink r:id="rId3974" ref="I3975"/>
    <hyperlink r:id="rId3975" ref="I3976"/>
    <hyperlink r:id="rId3976" ref="I3977"/>
    <hyperlink r:id="rId3977" ref="I3978"/>
    <hyperlink r:id="rId3978" ref="I3979"/>
    <hyperlink r:id="rId3979" ref="I3980"/>
    <hyperlink r:id="rId3980" ref="I3981"/>
    <hyperlink r:id="rId3981" ref="I3982"/>
    <hyperlink r:id="rId3982" ref="I3983"/>
    <hyperlink r:id="rId3983" ref="I3984"/>
    <hyperlink r:id="rId3984" ref="I3985"/>
    <hyperlink r:id="rId3985" ref="I3986"/>
    <hyperlink r:id="rId3986" ref="I3987"/>
    <hyperlink r:id="rId3987" ref="I3988"/>
    <hyperlink r:id="rId3988" ref="I3989"/>
    <hyperlink r:id="rId3989" ref="I3990"/>
    <hyperlink r:id="rId3990" ref="I3991"/>
    <hyperlink r:id="rId3991" ref="I3992"/>
    <hyperlink r:id="rId3992" ref="I3993"/>
    <hyperlink r:id="rId3993" ref="I3994"/>
    <hyperlink r:id="rId3994" ref="I3995"/>
    <hyperlink r:id="rId3995" ref="I3996"/>
    <hyperlink r:id="rId3996" ref="I3997"/>
    <hyperlink r:id="rId3997" ref="I3998"/>
    <hyperlink r:id="rId3998" ref="I3999"/>
    <hyperlink r:id="rId3999" ref="I4000"/>
    <hyperlink r:id="rId4000" ref="I4001"/>
    <hyperlink r:id="rId4001" ref="I4002"/>
    <hyperlink r:id="rId4002" ref="I4003"/>
    <hyperlink r:id="rId4003" ref="I4004"/>
    <hyperlink r:id="rId4004" ref="I4005"/>
    <hyperlink r:id="rId4005" ref="I4006"/>
    <hyperlink r:id="rId4006" ref="I4007"/>
    <hyperlink r:id="rId4007" ref="I4008"/>
    <hyperlink r:id="rId4008" ref="I4009"/>
    <hyperlink r:id="rId4009" ref="I4010"/>
    <hyperlink r:id="rId4010" ref="I4011"/>
    <hyperlink r:id="rId4011" ref="I4012"/>
    <hyperlink r:id="rId4012" ref="I4013"/>
    <hyperlink r:id="rId4013" ref="I4014"/>
    <hyperlink r:id="rId4014" ref="I4015"/>
    <hyperlink r:id="rId4015" ref="I4016"/>
    <hyperlink r:id="rId4016" ref="I4017"/>
    <hyperlink r:id="rId4017" ref="I4018"/>
    <hyperlink r:id="rId4018" ref="I4019"/>
    <hyperlink r:id="rId4019" ref="I4020"/>
    <hyperlink r:id="rId4020" ref="I4021"/>
    <hyperlink r:id="rId4021" ref="I4022"/>
    <hyperlink r:id="rId4022" ref="I4023"/>
    <hyperlink r:id="rId4023" ref="I4024"/>
    <hyperlink r:id="rId4024" ref="I4025"/>
    <hyperlink r:id="rId4025" ref="I4026"/>
    <hyperlink r:id="rId4026" ref="I4027"/>
    <hyperlink r:id="rId4027" ref="I4028"/>
    <hyperlink r:id="rId4028" ref="I4029"/>
    <hyperlink r:id="rId4029" ref="I4030"/>
    <hyperlink r:id="rId4030" ref="I4031"/>
    <hyperlink r:id="rId4031" ref="I4032"/>
    <hyperlink r:id="rId4032" ref="I4033"/>
    <hyperlink r:id="rId4033" ref="I4034"/>
    <hyperlink r:id="rId4034" ref="I4035"/>
    <hyperlink r:id="rId4035" ref="I4036"/>
    <hyperlink r:id="rId4036" ref="I4037"/>
    <hyperlink r:id="rId4037" ref="I4038"/>
    <hyperlink r:id="rId4038" ref="I4039"/>
    <hyperlink r:id="rId4039" ref="I4040"/>
    <hyperlink r:id="rId4040" ref="I4041"/>
    <hyperlink r:id="rId4041" ref="I4042"/>
    <hyperlink r:id="rId4042" ref="I4043"/>
    <hyperlink r:id="rId4043" ref="I4044"/>
    <hyperlink r:id="rId4044" ref="I4045"/>
    <hyperlink r:id="rId4045" ref="I4046"/>
    <hyperlink r:id="rId4046" ref="I4047"/>
    <hyperlink r:id="rId4047" ref="I4048"/>
    <hyperlink r:id="rId4048" ref="I4049"/>
    <hyperlink r:id="rId4049" ref="I4050"/>
    <hyperlink r:id="rId4050" ref="I4051"/>
    <hyperlink r:id="rId4051" ref="I4052"/>
    <hyperlink r:id="rId4052" ref="I4053"/>
    <hyperlink r:id="rId4053" ref="I4054"/>
    <hyperlink r:id="rId4054" ref="I4055"/>
    <hyperlink r:id="rId4055" ref="I4056"/>
    <hyperlink r:id="rId4056" ref="I4057"/>
    <hyperlink r:id="rId4057" ref="I4058"/>
    <hyperlink r:id="rId4058" ref="I4059"/>
    <hyperlink r:id="rId4059" ref="I4060"/>
    <hyperlink r:id="rId4060" ref="I4061"/>
    <hyperlink r:id="rId4061" ref="I4062"/>
    <hyperlink r:id="rId4062" ref="I4063"/>
    <hyperlink r:id="rId4063" ref="I4064"/>
    <hyperlink r:id="rId4064" ref="I4065"/>
    <hyperlink r:id="rId4065" ref="I4066"/>
    <hyperlink r:id="rId4066" ref="I4067"/>
    <hyperlink r:id="rId4067" ref="I4068"/>
    <hyperlink r:id="rId4068" ref="I4069"/>
    <hyperlink r:id="rId4069" ref="I4070"/>
    <hyperlink r:id="rId4070" ref="I4071"/>
    <hyperlink r:id="rId4071" ref="I4072"/>
    <hyperlink r:id="rId4072" ref="I4073"/>
    <hyperlink r:id="rId4073" ref="I4074"/>
    <hyperlink r:id="rId4074" ref="I4075"/>
    <hyperlink r:id="rId4075" ref="I4076"/>
    <hyperlink r:id="rId4076" ref="I4077"/>
    <hyperlink r:id="rId4077" ref="I4078"/>
    <hyperlink r:id="rId4078" ref="I4079"/>
    <hyperlink r:id="rId4079" ref="I4080"/>
    <hyperlink r:id="rId4080" ref="I4081"/>
    <hyperlink r:id="rId4081" ref="I4082"/>
    <hyperlink r:id="rId4082" ref="I4083"/>
    <hyperlink r:id="rId4083" ref="I4084"/>
    <hyperlink r:id="rId4084" ref="I4085"/>
    <hyperlink r:id="rId4085" ref="I4086"/>
    <hyperlink r:id="rId4086" ref="I4087"/>
    <hyperlink r:id="rId4087" ref="I4088"/>
    <hyperlink r:id="rId4088" ref="I4089"/>
    <hyperlink r:id="rId4089" ref="I4090"/>
    <hyperlink r:id="rId4090" ref="I4091"/>
    <hyperlink r:id="rId4091" ref="I4092"/>
    <hyperlink r:id="rId4092" ref="I4093"/>
    <hyperlink r:id="rId4093" ref="I4094"/>
    <hyperlink r:id="rId4094" ref="I4095"/>
    <hyperlink r:id="rId4095" ref="I4096"/>
    <hyperlink r:id="rId4096" ref="I4097"/>
    <hyperlink r:id="rId4097" ref="I4098"/>
    <hyperlink r:id="rId4098" ref="I4099"/>
    <hyperlink r:id="rId4099" ref="I4100"/>
    <hyperlink r:id="rId4100" ref="I4101"/>
    <hyperlink r:id="rId4101" ref="I4102"/>
    <hyperlink r:id="rId4102" ref="I4103"/>
    <hyperlink r:id="rId4103" ref="I4104"/>
    <hyperlink r:id="rId4104" ref="I4105"/>
    <hyperlink r:id="rId4105" ref="I4106"/>
    <hyperlink r:id="rId4106" ref="I4107"/>
    <hyperlink r:id="rId4107" ref="I4108"/>
    <hyperlink r:id="rId4108" ref="I4109"/>
    <hyperlink r:id="rId4109" ref="I4110"/>
    <hyperlink r:id="rId4110" ref="I4111"/>
    <hyperlink r:id="rId4111" ref="I4112"/>
    <hyperlink r:id="rId4112" ref="I4113"/>
    <hyperlink r:id="rId4113" ref="I4114"/>
    <hyperlink r:id="rId4114" ref="I4115"/>
    <hyperlink r:id="rId4115" ref="I4116"/>
    <hyperlink r:id="rId4116" ref="I4117"/>
    <hyperlink r:id="rId4117" ref="I4118"/>
    <hyperlink r:id="rId4118" ref="I4119"/>
    <hyperlink r:id="rId4119" ref="I4120"/>
    <hyperlink r:id="rId4120" ref="I4121"/>
    <hyperlink r:id="rId4121" ref="I4122"/>
    <hyperlink r:id="rId4122" ref="I4123"/>
    <hyperlink r:id="rId4123" ref="I4124"/>
    <hyperlink r:id="rId4124" ref="I4125"/>
    <hyperlink r:id="rId4125" ref="I4126"/>
    <hyperlink r:id="rId4126" ref="I4127"/>
    <hyperlink r:id="rId4127" ref="I4128"/>
    <hyperlink r:id="rId4128" ref="I4129"/>
    <hyperlink r:id="rId4129" ref="I4130"/>
    <hyperlink r:id="rId4130" ref="I4131"/>
    <hyperlink r:id="rId4131" ref="I4132"/>
    <hyperlink r:id="rId4132" ref="I4133"/>
    <hyperlink r:id="rId4133" ref="I4134"/>
    <hyperlink r:id="rId4134" ref="I4135"/>
    <hyperlink r:id="rId4135" ref="I4136"/>
    <hyperlink r:id="rId4136" ref="I4137"/>
    <hyperlink r:id="rId4137" ref="I4138"/>
    <hyperlink r:id="rId4138" ref="I4139"/>
    <hyperlink r:id="rId4139" ref="I4140"/>
    <hyperlink r:id="rId4140" ref="I4141"/>
    <hyperlink r:id="rId4141" ref="I4142"/>
    <hyperlink r:id="rId4142" ref="I4143"/>
    <hyperlink r:id="rId4143" ref="I4144"/>
    <hyperlink r:id="rId4144" ref="I4145"/>
    <hyperlink r:id="rId4145" ref="I4146"/>
    <hyperlink r:id="rId4146" ref="I4147"/>
    <hyperlink r:id="rId4147" ref="I4148"/>
    <hyperlink r:id="rId4148" ref="I4149"/>
    <hyperlink r:id="rId4149" ref="I4150"/>
    <hyperlink r:id="rId4150" ref="I4151"/>
    <hyperlink r:id="rId4151" ref="I4152"/>
    <hyperlink r:id="rId4152" ref="I4153"/>
    <hyperlink r:id="rId4153" ref="I4154"/>
    <hyperlink r:id="rId4154" ref="I4155"/>
    <hyperlink r:id="rId4155" ref="I4156"/>
    <hyperlink r:id="rId4156" ref="I4157"/>
    <hyperlink r:id="rId4157" ref="I4158"/>
    <hyperlink r:id="rId4158" ref="I4159"/>
    <hyperlink r:id="rId4159" ref="I4160"/>
    <hyperlink r:id="rId4160" ref="I4161"/>
    <hyperlink r:id="rId4161" ref="I4162"/>
    <hyperlink r:id="rId4162" ref="I4163"/>
    <hyperlink r:id="rId4163" ref="I4164"/>
    <hyperlink r:id="rId4164" ref="I4165"/>
    <hyperlink r:id="rId4165" ref="I4166"/>
    <hyperlink r:id="rId4166" ref="I4167"/>
    <hyperlink r:id="rId4167" ref="I4168"/>
    <hyperlink r:id="rId4168" ref="I4169"/>
    <hyperlink r:id="rId4169" ref="I4170"/>
    <hyperlink r:id="rId4170" ref="I4171"/>
    <hyperlink r:id="rId4171" ref="I4172"/>
    <hyperlink r:id="rId4172" ref="I4173"/>
    <hyperlink r:id="rId4173" ref="I4174"/>
    <hyperlink r:id="rId4174" ref="I4175"/>
    <hyperlink r:id="rId4175" ref="I4176"/>
    <hyperlink r:id="rId4176" ref="I4177"/>
    <hyperlink r:id="rId4177" ref="I4178"/>
    <hyperlink r:id="rId4178" ref="I4179"/>
    <hyperlink r:id="rId4179" ref="I4180"/>
    <hyperlink r:id="rId4180" ref="I4181"/>
    <hyperlink r:id="rId4181" ref="I4182"/>
    <hyperlink r:id="rId4182" ref="I4183"/>
    <hyperlink r:id="rId4183" ref="I4184"/>
    <hyperlink r:id="rId4184" ref="I4185"/>
    <hyperlink r:id="rId4185" ref="I4186"/>
    <hyperlink r:id="rId4186" ref="I4187"/>
    <hyperlink r:id="rId4187" ref="I4188"/>
    <hyperlink r:id="rId4188" ref="I4189"/>
    <hyperlink r:id="rId4189" ref="I4190"/>
    <hyperlink r:id="rId4190" ref="I4191"/>
    <hyperlink r:id="rId4191" ref="I4192"/>
    <hyperlink r:id="rId4192" ref="I4193"/>
    <hyperlink r:id="rId4193" ref="I4194"/>
    <hyperlink r:id="rId4194" ref="I4195"/>
    <hyperlink r:id="rId4195" ref="I4196"/>
    <hyperlink r:id="rId4196" ref="I4197"/>
    <hyperlink r:id="rId4197" ref="I4198"/>
    <hyperlink r:id="rId4198" ref="I4199"/>
    <hyperlink r:id="rId4199" ref="I4200"/>
    <hyperlink r:id="rId4200" ref="I4201"/>
    <hyperlink r:id="rId4201" ref="I4202"/>
    <hyperlink r:id="rId4202" ref="I4203"/>
    <hyperlink r:id="rId4203" ref="I4204"/>
    <hyperlink r:id="rId4204" ref="I4205"/>
    <hyperlink r:id="rId4205" ref="I4206"/>
    <hyperlink r:id="rId4206" ref="I4207"/>
    <hyperlink r:id="rId4207" ref="I4208"/>
    <hyperlink r:id="rId4208" ref="I4209"/>
    <hyperlink r:id="rId4209" ref="I4210"/>
    <hyperlink r:id="rId4210" ref="I4211"/>
    <hyperlink r:id="rId4211" ref="I4212"/>
    <hyperlink r:id="rId4212" ref="I4213"/>
    <hyperlink r:id="rId4213" ref="I4214"/>
    <hyperlink r:id="rId4214" ref="I4215"/>
    <hyperlink r:id="rId4215" ref="I4216"/>
    <hyperlink r:id="rId4216" ref="I4217"/>
    <hyperlink r:id="rId4217" ref="I4218"/>
    <hyperlink r:id="rId4218" ref="I4219"/>
    <hyperlink r:id="rId4219" ref="I4220"/>
    <hyperlink r:id="rId4220" ref="I4221"/>
    <hyperlink r:id="rId4221" ref="I4222"/>
    <hyperlink r:id="rId4222" ref="I4223"/>
    <hyperlink r:id="rId4223" ref="I4224"/>
    <hyperlink r:id="rId4224" ref="I4225"/>
    <hyperlink r:id="rId4225" ref="I4226"/>
    <hyperlink r:id="rId4226" ref="I4227"/>
    <hyperlink r:id="rId4227" ref="I4228"/>
    <hyperlink r:id="rId4228" ref="I4229"/>
    <hyperlink r:id="rId4229" ref="I4230"/>
    <hyperlink r:id="rId4230" ref="I4231"/>
    <hyperlink r:id="rId4231" ref="I4232"/>
    <hyperlink r:id="rId4232" ref="I4233"/>
    <hyperlink r:id="rId4233" ref="I4234"/>
    <hyperlink r:id="rId4234" ref="I4235"/>
    <hyperlink r:id="rId4235" ref="I4236"/>
    <hyperlink r:id="rId4236" ref="I4237"/>
    <hyperlink r:id="rId4237" ref="I4238"/>
    <hyperlink r:id="rId4238" ref="I4239"/>
    <hyperlink r:id="rId4239" ref="I4240"/>
    <hyperlink r:id="rId4240" ref="I4241"/>
    <hyperlink r:id="rId4241" ref="I4242"/>
    <hyperlink r:id="rId4242" ref="I4243"/>
    <hyperlink r:id="rId4243" ref="I4244"/>
    <hyperlink r:id="rId4244" ref="I4245"/>
    <hyperlink r:id="rId4245" ref="I4246"/>
    <hyperlink r:id="rId4246" ref="I4247"/>
    <hyperlink r:id="rId4247" ref="I4248"/>
    <hyperlink r:id="rId4248" ref="I4249"/>
    <hyperlink r:id="rId4249" ref="I4250"/>
    <hyperlink r:id="rId4250" ref="I4251"/>
    <hyperlink r:id="rId4251" ref="I4252"/>
    <hyperlink r:id="rId4252" ref="I4253"/>
    <hyperlink r:id="rId4253" ref="I4254"/>
    <hyperlink r:id="rId4254" ref="I4255"/>
    <hyperlink r:id="rId4255" ref="I4256"/>
    <hyperlink r:id="rId4256" ref="I4257"/>
    <hyperlink r:id="rId4257" ref="I4258"/>
    <hyperlink r:id="rId4258" ref="I4259"/>
    <hyperlink r:id="rId4259" ref="I4260"/>
    <hyperlink r:id="rId4260" ref="I4261"/>
    <hyperlink r:id="rId4261" ref="I4262"/>
    <hyperlink r:id="rId4262" ref="I4263"/>
    <hyperlink r:id="rId4263" ref="I4264"/>
    <hyperlink r:id="rId4264" ref="I4265"/>
    <hyperlink r:id="rId4265" ref="I4266"/>
    <hyperlink r:id="rId4266" ref="I4267"/>
    <hyperlink r:id="rId4267" ref="I4268"/>
    <hyperlink r:id="rId4268" ref="I4269"/>
    <hyperlink r:id="rId4269" ref="I4270"/>
    <hyperlink r:id="rId4270" ref="I4271"/>
    <hyperlink r:id="rId4271" ref="I4272"/>
    <hyperlink r:id="rId4272" ref="I4273"/>
    <hyperlink r:id="rId4273" ref="I4274"/>
    <hyperlink r:id="rId4274" ref="I4275"/>
    <hyperlink r:id="rId4275" ref="I4276"/>
    <hyperlink r:id="rId4276" ref="I4277"/>
    <hyperlink r:id="rId4277" ref="I4278"/>
    <hyperlink r:id="rId4278" ref="I4279"/>
    <hyperlink r:id="rId4279" ref="I4280"/>
    <hyperlink r:id="rId4280" ref="I4281"/>
    <hyperlink r:id="rId4281" ref="I4282"/>
    <hyperlink r:id="rId4282" ref="I4283"/>
    <hyperlink r:id="rId4283" ref="I4284"/>
    <hyperlink r:id="rId4284" ref="I4285"/>
    <hyperlink r:id="rId4285" ref="I4286"/>
    <hyperlink r:id="rId4286" ref="I4287"/>
    <hyperlink r:id="rId4287" ref="I4288"/>
    <hyperlink r:id="rId4288" ref="I4289"/>
    <hyperlink r:id="rId4289" ref="I4290"/>
    <hyperlink r:id="rId4290" ref="I4291"/>
    <hyperlink r:id="rId4291" ref="I4292"/>
    <hyperlink r:id="rId4292" ref="I4293"/>
    <hyperlink r:id="rId4293" ref="I4294"/>
    <hyperlink r:id="rId4294" ref="I4295"/>
    <hyperlink r:id="rId4295" ref="I4296"/>
    <hyperlink r:id="rId4296" ref="I4297"/>
    <hyperlink r:id="rId4297" ref="I4298"/>
    <hyperlink r:id="rId4298" ref="I4299"/>
    <hyperlink r:id="rId4299" ref="I4300"/>
    <hyperlink r:id="rId4300" ref="I4301"/>
    <hyperlink r:id="rId4301" ref="I4302"/>
    <hyperlink r:id="rId4302" ref="I4303"/>
    <hyperlink r:id="rId4303" ref="I4304"/>
    <hyperlink r:id="rId4304" ref="I4305"/>
    <hyperlink r:id="rId4305" ref="I4306"/>
    <hyperlink r:id="rId4306" ref="I4307"/>
    <hyperlink r:id="rId4307" ref="I4308"/>
    <hyperlink r:id="rId4308" ref="I4309"/>
    <hyperlink r:id="rId4309" ref="I4310"/>
    <hyperlink r:id="rId4310" ref="I4311"/>
    <hyperlink r:id="rId4311" ref="I4312"/>
    <hyperlink r:id="rId4312" ref="I4313"/>
    <hyperlink r:id="rId4313" ref="I4314"/>
    <hyperlink r:id="rId4314" ref="I4315"/>
    <hyperlink r:id="rId4315" ref="I4316"/>
    <hyperlink r:id="rId4316" ref="I4317"/>
    <hyperlink r:id="rId4317" ref="I4318"/>
    <hyperlink r:id="rId4318" ref="I4319"/>
    <hyperlink r:id="rId4319" ref="I4320"/>
    <hyperlink r:id="rId4320" ref="I4321"/>
    <hyperlink r:id="rId4321" ref="I4322"/>
    <hyperlink r:id="rId4322" ref="I4323"/>
    <hyperlink r:id="rId4323" ref="I4324"/>
    <hyperlink r:id="rId4324" ref="I4325"/>
    <hyperlink r:id="rId4325" ref="I4326"/>
    <hyperlink r:id="rId4326" ref="I4327"/>
    <hyperlink r:id="rId4327" ref="I4328"/>
    <hyperlink r:id="rId4328" ref="I4329"/>
    <hyperlink r:id="rId4329" ref="I4330"/>
    <hyperlink r:id="rId4330" ref="I4331"/>
    <hyperlink r:id="rId4331" ref="I4332"/>
    <hyperlink r:id="rId4332" ref="I4333"/>
    <hyperlink r:id="rId4333" ref="I4334"/>
    <hyperlink r:id="rId4334" ref="I4335"/>
    <hyperlink r:id="rId4335" ref="I4336"/>
    <hyperlink r:id="rId4336" ref="I4337"/>
    <hyperlink r:id="rId4337" ref="I4338"/>
    <hyperlink r:id="rId4338" ref="I4339"/>
    <hyperlink r:id="rId4339" ref="I4340"/>
    <hyperlink r:id="rId4340" ref="I4341"/>
    <hyperlink r:id="rId4341" ref="I4342"/>
    <hyperlink r:id="rId4342" ref="I4343"/>
    <hyperlink r:id="rId4343" ref="I4344"/>
    <hyperlink r:id="rId4344" ref="I4345"/>
    <hyperlink r:id="rId4345" ref="I4346"/>
    <hyperlink r:id="rId4346" ref="I4347"/>
    <hyperlink r:id="rId4347" ref="I4348"/>
    <hyperlink r:id="rId4348" ref="I4349"/>
    <hyperlink r:id="rId4349" ref="I4350"/>
    <hyperlink r:id="rId4350" ref="I4351"/>
    <hyperlink r:id="rId4351" ref="I4352"/>
    <hyperlink r:id="rId4352" ref="I4353"/>
    <hyperlink r:id="rId4353" ref="I4354"/>
    <hyperlink r:id="rId4354" ref="I4355"/>
    <hyperlink r:id="rId4355" ref="I4356"/>
    <hyperlink r:id="rId4356" ref="I4357"/>
    <hyperlink r:id="rId4357" ref="I4358"/>
    <hyperlink r:id="rId4358" ref="I4359"/>
    <hyperlink r:id="rId4359" ref="I4360"/>
    <hyperlink r:id="rId4360" ref="I4361"/>
    <hyperlink r:id="rId4361" ref="I4362"/>
    <hyperlink r:id="rId4362" ref="I4363"/>
    <hyperlink r:id="rId4363" ref="I4364"/>
    <hyperlink r:id="rId4364" ref="I4365"/>
    <hyperlink r:id="rId4365" ref="I4366"/>
    <hyperlink r:id="rId4366" ref="I4367"/>
    <hyperlink r:id="rId4367" ref="I4368"/>
    <hyperlink r:id="rId4368" ref="I4369"/>
    <hyperlink r:id="rId4369" ref="I4370"/>
    <hyperlink r:id="rId4370" ref="I4371"/>
    <hyperlink r:id="rId4371" ref="I4372"/>
    <hyperlink r:id="rId4372" ref="I4373"/>
    <hyperlink r:id="rId4373" ref="I4374"/>
    <hyperlink r:id="rId4374" ref="I4375"/>
    <hyperlink r:id="rId4375" ref="I4376"/>
    <hyperlink r:id="rId4376" ref="I4377"/>
    <hyperlink r:id="rId4377" ref="I4378"/>
    <hyperlink r:id="rId4378" ref="I4379"/>
    <hyperlink r:id="rId4379" ref="I4380"/>
    <hyperlink r:id="rId4380" ref="I4381"/>
    <hyperlink r:id="rId4381" ref="I4382"/>
    <hyperlink r:id="rId4382" ref="I4383"/>
    <hyperlink r:id="rId4383" ref="I4384"/>
    <hyperlink r:id="rId4384" ref="I4385"/>
    <hyperlink r:id="rId4385" ref="I4386"/>
    <hyperlink r:id="rId4386" ref="I4387"/>
    <hyperlink r:id="rId4387" ref="I4388"/>
    <hyperlink r:id="rId4388" ref="I4389"/>
    <hyperlink r:id="rId4389" ref="I4390"/>
    <hyperlink r:id="rId4390" ref="I4391"/>
    <hyperlink r:id="rId4391" ref="I4392"/>
    <hyperlink r:id="rId4392" ref="I4393"/>
    <hyperlink r:id="rId4393" ref="I4394"/>
    <hyperlink r:id="rId4394" ref="I4395"/>
    <hyperlink r:id="rId4395" ref="I4396"/>
    <hyperlink r:id="rId4396" ref="I4397"/>
    <hyperlink r:id="rId4397" ref="I4398"/>
    <hyperlink r:id="rId4398" ref="I4399"/>
    <hyperlink r:id="rId4399" ref="I4400"/>
    <hyperlink r:id="rId4400" ref="I4401"/>
    <hyperlink r:id="rId4401" ref="I4402"/>
    <hyperlink r:id="rId4402" ref="I4403"/>
    <hyperlink r:id="rId4403" ref="I4404"/>
    <hyperlink r:id="rId4404" ref="I4405"/>
    <hyperlink r:id="rId4405" ref="I4406"/>
    <hyperlink r:id="rId4406" ref="I4407"/>
    <hyperlink r:id="rId4407" ref="I4408"/>
    <hyperlink r:id="rId4408" ref="I4409"/>
    <hyperlink r:id="rId4409" ref="I4410"/>
    <hyperlink r:id="rId4410" ref="I4411"/>
    <hyperlink r:id="rId4411" ref="I4412"/>
    <hyperlink r:id="rId4412" ref="I4413"/>
    <hyperlink r:id="rId4413" ref="I4414"/>
    <hyperlink r:id="rId4414" ref="I4415"/>
    <hyperlink r:id="rId4415" ref="I4416"/>
    <hyperlink r:id="rId4416" ref="I4417"/>
    <hyperlink r:id="rId4417" ref="I4418"/>
    <hyperlink r:id="rId4418" ref="I4419"/>
    <hyperlink r:id="rId4419" ref="I4420"/>
    <hyperlink r:id="rId4420" ref="I4421"/>
    <hyperlink r:id="rId4421" ref="I4422"/>
    <hyperlink r:id="rId4422" ref="I4423"/>
    <hyperlink r:id="rId4423" ref="I4424"/>
    <hyperlink r:id="rId4424" ref="I4425"/>
    <hyperlink r:id="rId4425" ref="I4426"/>
    <hyperlink r:id="rId4426" ref="I4427"/>
    <hyperlink r:id="rId4427" ref="I4428"/>
    <hyperlink r:id="rId4428" ref="I4429"/>
    <hyperlink r:id="rId4429" ref="I4430"/>
    <hyperlink r:id="rId4430" ref="I4431"/>
    <hyperlink r:id="rId4431" ref="I4432"/>
    <hyperlink r:id="rId4432" ref="I4433"/>
    <hyperlink r:id="rId4433" ref="I4434"/>
    <hyperlink r:id="rId4434" ref="I4435"/>
    <hyperlink r:id="rId4435" ref="I4436"/>
    <hyperlink r:id="rId4436" ref="I4437"/>
    <hyperlink r:id="rId4437" ref="I4438"/>
    <hyperlink r:id="rId4438" ref="I4439"/>
    <hyperlink r:id="rId4439" ref="I4440"/>
    <hyperlink r:id="rId4440" ref="I4441"/>
    <hyperlink r:id="rId4441" ref="I4442"/>
    <hyperlink r:id="rId4442" ref="I4443"/>
    <hyperlink r:id="rId4443" ref="I4444"/>
    <hyperlink r:id="rId4444" ref="I4445"/>
    <hyperlink r:id="rId4445" ref="I4446"/>
    <hyperlink r:id="rId4446" ref="I4447"/>
    <hyperlink r:id="rId4447" ref="I4448"/>
    <hyperlink r:id="rId4448" ref="I4449"/>
    <hyperlink r:id="rId4449" ref="I4450"/>
    <hyperlink r:id="rId4450" ref="I4451"/>
    <hyperlink r:id="rId4451" ref="I4452"/>
    <hyperlink r:id="rId4452" ref="I4453"/>
    <hyperlink r:id="rId4453" ref="I4454"/>
    <hyperlink r:id="rId4454" ref="I4455"/>
    <hyperlink r:id="rId4455" ref="I4456"/>
    <hyperlink r:id="rId4456" ref="I4457"/>
    <hyperlink r:id="rId4457" ref="I4458"/>
    <hyperlink r:id="rId4458" ref="I4459"/>
    <hyperlink r:id="rId4459" ref="I4460"/>
    <hyperlink r:id="rId4460" ref="I4461"/>
    <hyperlink r:id="rId4461" ref="I4462"/>
    <hyperlink r:id="rId4462" ref="I4463"/>
    <hyperlink r:id="rId4463" ref="I4464"/>
    <hyperlink r:id="rId4464" ref="I4465"/>
    <hyperlink r:id="rId4465" ref="I4466"/>
    <hyperlink r:id="rId4466" ref="I4467"/>
    <hyperlink r:id="rId4467" ref="I4468"/>
    <hyperlink r:id="rId4468" ref="I4469"/>
    <hyperlink r:id="rId4469" ref="I4470"/>
    <hyperlink r:id="rId4470" ref="I4471"/>
    <hyperlink r:id="rId4471" ref="I4472"/>
    <hyperlink r:id="rId4472" ref="I4473"/>
    <hyperlink r:id="rId4473" ref="I4474"/>
    <hyperlink r:id="rId4474" ref="I4475"/>
    <hyperlink r:id="rId4475" ref="I4476"/>
    <hyperlink r:id="rId4476" ref="I4477"/>
    <hyperlink r:id="rId4477" ref="I4478"/>
    <hyperlink r:id="rId4478" ref="I4479"/>
    <hyperlink r:id="rId4479" ref="I4480"/>
    <hyperlink r:id="rId4480" ref="I4481"/>
    <hyperlink r:id="rId4481" ref="I4482"/>
    <hyperlink r:id="rId4482" ref="I4483"/>
    <hyperlink r:id="rId4483" ref="I4484"/>
    <hyperlink r:id="rId4484" ref="I4485"/>
    <hyperlink r:id="rId4485" ref="I4486"/>
    <hyperlink r:id="rId4486" ref="I4487"/>
    <hyperlink r:id="rId4487" ref="I4488"/>
    <hyperlink r:id="rId4488" ref="I4489"/>
    <hyperlink r:id="rId4489" ref="I4490"/>
    <hyperlink r:id="rId4490" ref="I4491"/>
    <hyperlink r:id="rId4491" ref="I4492"/>
    <hyperlink r:id="rId4492" ref="I4493"/>
    <hyperlink r:id="rId4493" ref="I4494"/>
    <hyperlink r:id="rId4494" ref="I4495"/>
    <hyperlink r:id="rId4495" ref="I4496"/>
    <hyperlink r:id="rId4496" ref="I4497"/>
    <hyperlink r:id="rId4497" ref="I4498"/>
    <hyperlink r:id="rId4498" ref="I4499"/>
    <hyperlink r:id="rId4499" ref="I4500"/>
    <hyperlink r:id="rId4500" ref="I4501"/>
    <hyperlink r:id="rId4501" ref="I4502"/>
    <hyperlink r:id="rId4502" ref="I4503"/>
    <hyperlink r:id="rId4503" ref="I4504"/>
    <hyperlink r:id="rId4504" ref="I4505"/>
    <hyperlink r:id="rId4505" ref="I4506"/>
    <hyperlink r:id="rId4506" ref="I4507"/>
    <hyperlink r:id="rId4507" ref="I4508"/>
    <hyperlink r:id="rId4508" ref="I4509"/>
    <hyperlink r:id="rId4509" ref="I4510"/>
    <hyperlink r:id="rId4510" ref="I4511"/>
    <hyperlink r:id="rId4511" ref="I4512"/>
    <hyperlink r:id="rId4512" ref="I4513"/>
    <hyperlink r:id="rId4513" ref="I4514"/>
    <hyperlink r:id="rId4514" ref="I4515"/>
    <hyperlink r:id="rId4515" ref="I4516"/>
    <hyperlink r:id="rId4516" ref="I4517"/>
    <hyperlink r:id="rId4517" ref="I4518"/>
    <hyperlink r:id="rId4518" ref="I4519"/>
    <hyperlink r:id="rId4519" ref="I4520"/>
    <hyperlink r:id="rId4520" ref="I4521"/>
    <hyperlink r:id="rId4521" ref="I4522"/>
    <hyperlink r:id="rId4522" ref="I4523"/>
    <hyperlink r:id="rId4523" ref="I4524"/>
    <hyperlink r:id="rId4524" ref="I4525"/>
    <hyperlink r:id="rId4525" ref="I4526"/>
    <hyperlink r:id="rId4526" ref="I4527"/>
    <hyperlink r:id="rId4527" ref="I4528"/>
    <hyperlink r:id="rId4528" ref="I4529"/>
    <hyperlink r:id="rId4529" ref="I4530"/>
    <hyperlink r:id="rId4530" ref="I4531"/>
    <hyperlink r:id="rId4531" ref="I4532"/>
    <hyperlink r:id="rId4532" ref="I4533"/>
    <hyperlink r:id="rId4533" ref="I4534"/>
    <hyperlink r:id="rId4534" ref="I4535"/>
    <hyperlink r:id="rId4535" ref="I4536"/>
    <hyperlink r:id="rId4536" ref="I4537"/>
    <hyperlink r:id="rId4537" ref="I4538"/>
    <hyperlink r:id="rId4538" ref="I4539"/>
    <hyperlink r:id="rId4539" ref="I4540"/>
    <hyperlink r:id="rId4540" ref="I4541"/>
    <hyperlink r:id="rId4541" ref="I4542"/>
    <hyperlink r:id="rId4542" ref="I4543"/>
    <hyperlink r:id="rId4543" ref="I4544"/>
    <hyperlink r:id="rId4544" ref="I4545"/>
    <hyperlink r:id="rId4545" ref="I4546"/>
    <hyperlink r:id="rId4546" ref="I4547"/>
    <hyperlink r:id="rId4547" ref="I4548"/>
    <hyperlink r:id="rId4548" ref="I4549"/>
    <hyperlink r:id="rId4549" ref="I4550"/>
    <hyperlink r:id="rId4550" ref="I4551"/>
    <hyperlink r:id="rId4551" ref="I4552"/>
    <hyperlink r:id="rId4552" ref="I4553"/>
    <hyperlink r:id="rId4553" ref="I4554"/>
    <hyperlink r:id="rId4554" ref="I4555"/>
    <hyperlink r:id="rId4555" ref="I4556"/>
    <hyperlink r:id="rId4556" ref="I4557"/>
    <hyperlink r:id="rId4557" ref="I4558"/>
    <hyperlink r:id="rId4558" ref="I4559"/>
    <hyperlink r:id="rId4559" ref="I4560"/>
    <hyperlink r:id="rId4560" ref="I4561"/>
    <hyperlink r:id="rId4561" ref="I4562"/>
    <hyperlink r:id="rId4562" ref="I4563"/>
    <hyperlink r:id="rId4563" ref="I4564"/>
    <hyperlink r:id="rId4564" ref="I4565"/>
    <hyperlink r:id="rId4565" ref="I4566"/>
    <hyperlink r:id="rId4566" ref="I4567"/>
    <hyperlink r:id="rId4567" ref="I4568"/>
    <hyperlink r:id="rId4568" ref="I4569"/>
    <hyperlink r:id="rId4569" ref="I4570"/>
    <hyperlink r:id="rId4570" ref="I4571"/>
    <hyperlink r:id="rId4571" ref="I4572"/>
    <hyperlink r:id="rId4572" ref="I4573"/>
    <hyperlink r:id="rId4573" ref="I4574"/>
    <hyperlink r:id="rId4574" ref="I4575"/>
    <hyperlink r:id="rId4575" ref="I4576"/>
    <hyperlink r:id="rId4576" ref="I4577"/>
    <hyperlink r:id="rId4577" ref="I4578"/>
    <hyperlink r:id="rId4578" ref="I4579"/>
    <hyperlink r:id="rId4579" ref="I4580"/>
    <hyperlink r:id="rId4580" ref="I4581"/>
    <hyperlink r:id="rId4581" ref="I4582"/>
    <hyperlink r:id="rId4582" ref="I4583"/>
    <hyperlink r:id="rId4583" ref="I4584"/>
    <hyperlink r:id="rId4584" ref="I4585"/>
    <hyperlink r:id="rId4585" ref="I4586"/>
    <hyperlink r:id="rId4586" ref="I4587"/>
    <hyperlink r:id="rId4587" ref="I4588"/>
    <hyperlink r:id="rId4588" ref="I4589"/>
    <hyperlink r:id="rId4589" ref="I4590"/>
    <hyperlink r:id="rId4590" ref="I4591"/>
    <hyperlink r:id="rId4591" ref="I4592"/>
    <hyperlink r:id="rId4592" ref="I4593"/>
    <hyperlink r:id="rId4593" ref="I4594"/>
    <hyperlink r:id="rId4594" ref="I4595"/>
    <hyperlink r:id="rId4595" ref="I4596"/>
    <hyperlink r:id="rId4596" ref="I4597"/>
    <hyperlink r:id="rId4597" ref="I4598"/>
    <hyperlink r:id="rId4598" ref="I4599"/>
    <hyperlink r:id="rId4599" ref="I4600"/>
    <hyperlink r:id="rId4600" ref="I4601"/>
    <hyperlink r:id="rId4601" ref="I4602"/>
    <hyperlink r:id="rId4602" ref="I4603"/>
    <hyperlink r:id="rId4603" ref="I4604"/>
    <hyperlink r:id="rId4604" ref="I4605"/>
    <hyperlink r:id="rId4605" ref="I4606"/>
    <hyperlink r:id="rId4606" ref="I4607"/>
    <hyperlink r:id="rId4607" ref="I4608"/>
    <hyperlink r:id="rId4608" ref="I4609"/>
    <hyperlink r:id="rId4609" ref="I4610"/>
    <hyperlink r:id="rId4610" ref="I4611"/>
    <hyperlink r:id="rId4611" ref="I4612"/>
    <hyperlink r:id="rId4612" ref="I4613"/>
    <hyperlink r:id="rId4613" ref="I4614"/>
    <hyperlink r:id="rId4614" ref="I4615"/>
    <hyperlink r:id="rId4615" ref="I4616"/>
    <hyperlink r:id="rId4616" ref="I4617"/>
    <hyperlink r:id="rId4617" ref="I4618"/>
    <hyperlink r:id="rId4618" ref="I4619"/>
    <hyperlink r:id="rId4619" ref="I4620"/>
    <hyperlink r:id="rId4620" ref="I4621"/>
    <hyperlink r:id="rId4621" ref="I4622"/>
    <hyperlink r:id="rId4622" ref="I4623"/>
    <hyperlink r:id="rId4623" ref="I4624"/>
    <hyperlink r:id="rId4624" ref="I4625"/>
    <hyperlink r:id="rId4625" ref="I4626"/>
    <hyperlink r:id="rId4626" ref="I4627"/>
    <hyperlink r:id="rId4627" ref="I4628"/>
    <hyperlink r:id="rId4628" ref="I4629"/>
    <hyperlink r:id="rId4629" ref="I4630"/>
    <hyperlink r:id="rId4630" ref="I4631"/>
    <hyperlink r:id="rId4631" ref="I4632"/>
    <hyperlink r:id="rId4632" ref="I4633"/>
    <hyperlink r:id="rId4633" ref="I4634"/>
    <hyperlink r:id="rId4634" ref="I4635"/>
    <hyperlink r:id="rId4635" ref="I4636"/>
    <hyperlink r:id="rId4636" ref="I4637"/>
    <hyperlink r:id="rId4637" ref="I4638"/>
    <hyperlink r:id="rId4638" ref="I4639"/>
    <hyperlink r:id="rId4639" ref="I4640"/>
    <hyperlink r:id="rId4640" ref="I4641"/>
    <hyperlink r:id="rId4641" ref="I4642"/>
    <hyperlink r:id="rId4642" ref="I4643"/>
    <hyperlink r:id="rId4643" ref="I4644"/>
    <hyperlink r:id="rId4644" ref="I4645"/>
    <hyperlink r:id="rId4645" ref="I4646"/>
    <hyperlink r:id="rId4646" ref="I4647"/>
    <hyperlink r:id="rId4647" ref="I4648"/>
    <hyperlink r:id="rId4648" ref="I4649"/>
    <hyperlink r:id="rId4649" ref="I4650"/>
    <hyperlink r:id="rId4650" ref="I4651"/>
    <hyperlink r:id="rId4651" ref="I4652"/>
    <hyperlink r:id="rId4652" ref="I4653"/>
    <hyperlink r:id="rId4653" ref="I4654"/>
    <hyperlink r:id="rId4654" ref="I4655"/>
    <hyperlink r:id="rId4655" ref="I4656"/>
    <hyperlink r:id="rId4656" ref="I4657"/>
    <hyperlink r:id="rId4657" ref="I4658"/>
    <hyperlink r:id="rId4658" ref="I4659"/>
    <hyperlink r:id="rId4659" ref="I4660"/>
    <hyperlink r:id="rId4660" ref="I4661"/>
    <hyperlink r:id="rId4661" ref="I4662"/>
    <hyperlink r:id="rId4662" ref="I4663"/>
    <hyperlink r:id="rId4663" ref="I4664"/>
    <hyperlink r:id="rId4664" ref="I4665"/>
    <hyperlink r:id="rId4665" ref="I4666"/>
    <hyperlink r:id="rId4666" ref="I4667"/>
    <hyperlink r:id="rId4667" ref="I4668"/>
    <hyperlink r:id="rId4668" ref="I4669"/>
    <hyperlink r:id="rId4669" ref="I4670"/>
    <hyperlink r:id="rId4670" ref="I4671"/>
    <hyperlink r:id="rId4671" ref="I4672"/>
    <hyperlink r:id="rId4672" ref="I4673"/>
    <hyperlink r:id="rId4673" ref="I4674"/>
    <hyperlink r:id="rId4674" ref="I4675"/>
    <hyperlink r:id="rId4675" ref="I4676"/>
    <hyperlink r:id="rId4676" ref="I4677"/>
    <hyperlink r:id="rId4677" ref="I4678"/>
    <hyperlink r:id="rId4678" ref="I4679"/>
    <hyperlink r:id="rId4679" ref="I4680"/>
    <hyperlink r:id="rId4680" ref="I4681"/>
    <hyperlink r:id="rId4681" ref="I4682"/>
    <hyperlink r:id="rId4682" ref="I4683"/>
    <hyperlink r:id="rId4683" ref="I4684"/>
    <hyperlink r:id="rId4684" ref="I4685"/>
    <hyperlink r:id="rId4685" ref="I4686"/>
    <hyperlink r:id="rId4686" ref="I4687"/>
    <hyperlink r:id="rId4687" ref="I4688"/>
    <hyperlink r:id="rId4688" ref="I4689"/>
    <hyperlink r:id="rId4689" ref="I4690"/>
    <hyperlink r:id="rId4690" ref="I4691"/>
    <hyperlink r:id="rId4691" ref="I4692"/>
    <hyperlink r:id="rId4692" ref="I4693"/>
    <hyperlink r:id="rId4693" ref="I4694"/>
    <hyperlink r:id="rId4694" ref="I4695"/>
    <hyperlink r:id="rId4695" ref="I4696"/>
    <hyperlink r:id="rId4696" ref="I4697"/>
    <hyperlink r:id="rId4697" ref="I4698"/>
    <hyperlink r:id="rId4698" ref="I4699"/>
    <hyperlink r:id="rId4699" ref="I4700"/>
    <hyperlink r:id="rId4700" ref="I4701"/>
    <hyperlink r:id="rId4701" ref="I4702"/>
    <hyperlink r:id="rId4702" ref="I4703"/>
    <hyperlink r:id="rId4703" ref="I4704"/>
    <hyperlink r:id="rId4704" ref="I4705"/>
    <hyperlink r:id="rId4705" ref="I4706"/>
    <hyperlink r:id="rId4706" ref="I4707"/>
    <hyperlink r:id="rId4707" ref="I4708"/>
    <hyperlink r:id="rId4708" ref="I4709"/>
    <hyperlink r:id="rId4709" ref="I4710"/>
    <hyperlink r:id="rId4710" ref="I4711"/>
    <hyperlink r:id="rId4711" ref="I4712"/>
    <hyperlink r:id="rId4712" ref="I4713"/>
    <hyperlink r:id="rId4713" ref="I4714"/>
    <hyperlink r:id="rId4714" ref="I4715"/>
    <hyperlink r:id="rId4715" ref="I4716"/>
    <hyperlink r:id="rId4716" ref="I4717"/>
    <hyperlink r:id="rId4717" ref="I4718"/>
    <hyperlink r:id="rId4718" ref="I4719"/>
    <hyperlink r:id="rId4719" ref="I4720"/>
    <hyperlink r:id="rId4720" ref="I4721"/>
    <hyperlink r:id="rId4721" ref="I4722"/>
    <hyperlink r:id="rId4722" ref="I4723"/>
    <hyperlink r:id="rId4723" ref="I4724"/>
    <hyperlink r:id="rId4724" ref="I4725"/>
    <hyperlink r:id="rId4725" ref="I4726"/>
    <hyperlink r:id="rId4726" ref="I4727"/>
    <hyperlink r:id="rId4727" ref="I4728"/>
    <hyperlink r:id="rId4728" ref="I4729"/>
    <hyperlink r:id="rId4729" ref="I4730"/>
    <hyperlink r:id="rId4730" ref="I4731"/>
    <hyperlink r:id="rId4731" ref="I4732"/>
    <hyperlink r:id="rId4732" ref="I4733"/>
    <hyperlink r:id="rId4733" ref="I4734"/>
    <hyperlink r:id="rId4734" ref="I4735"/>
    <hyperlink r:id="rId4735" ref="I4736"/>
    <hyperlink r:id="rId4736" ref="I4737"/>
    <hyperlink r:id="rId4737" ref="I4738"/>
    <hyperlink r:id="rId4738" ref="I4739"/>
    <hyperlink r:id="rId4739" ref="I4740"/>
    <hyperlink r:id="rId4740" ref="I4741"/>
    <hyperlink r:id="rId4741" ref="I4742"/>
    <hyperlink r:id="rId4742" ref="I4743"/>
    <hyperlink r:id="rId4743" ref="I4744"/>
    <hyperlink r:id="rId4744" ref="I4745"/>
    <hyperlink r:id="rId4745" ref="I4746"/>
    <hyperlink r:id="rId4746" ref="I4747"/>
    <hyperlink r:id="rId4747" ref="I4748"/>
    <hyperlink r:id="rId4748" ref="I4749"/>
    <hyperlink r:id="rId4749" ref="I4750"/>
    <hyperlink r:id="rId4750" ref="I4751"/>
    <hyperlink r:id="rId4751" ref="I4752"/>
    <hyperlink r:id="rId4752" ref="I4753"/>
    <hyperlink r:id="rId4753" ref="I4754"/>
    <hyperlink r:id="rId4754" ref="I4755"/>
    <hyperlink r:id="rId4755" ref="I4756"/>
    <hyperlink r:id="rId4756" ref="I4757"/>
    <hyperlink r:id="rId4757" ref="I4758"/>
    <hyperlink r:id="rId4758" ref="I4759"/>
    <hyperlink r:id="rId4759" ref="I4760"/>
    <hyperlink r:id="rId4760" ref="I4761"/>
    <hyperlink r:id="rId4761" ref="I4762"/>
    <hyperlink r:id="rId4762" ref="I4763"/>
    <hyperlink r:id="rId4763" ref="I4764"/>
    <hyperlink r:id="rId4764" ref="I4765"/>
    <hyperlink r:id="rId4765" ref="I4766"/>
    <hyperlink r:id="rId4766" ref="I4767"/>
    <hyperlink r:id="rId4767" ref="I4768"/>
    <hyperlink r:id="rId4768" ref="I4769"/>
    <hyperlink r:id="rId4769" ref="I4770"/>
    <hyperlink r:id="rId4770" ref="I4771"/>
    <hyperlink r:id="rId4771" ref="I4772"/>
    <hyperlink r:id="rId4772" ref="I4773"/>
    <hyperlink r:id="rId4773" ref="I4774"/>
    <hyperlink r:id="rId4774" ref="I4775"/>
    <hyperlink r:id="rId4775" ref="I4776"/>
    <hyperlink r:id="rId4776" ref="I4777"/>
    <hyperlink r:id="rId4777" ref="I4778"/>
    <hyperlink r:id="rId4778" ref="I4779"/>
    <hyperlink r:id="rId4779" ref="I4780"/>
    <hyperlink r:id="rId4780" ref="I4781"/>
    <hyperlink r:id="rId4781" ref="I4782"/>
    <hyperlink r:id="rId4782" ref="I4783"/>
    <hyperlink r:id="rId4783" ref="I4784"/>
    <hyperlink r:id="rId4784" ref="I4785"/>
    <hyperlink r:id="rId4785" ref="I4786"/>
    <hyperlink r:id="rId4786" ref="I4787"/>
    <hyperlink r:id="rId4787" ref="I4788"/>
    <hyperlink r:id="rId4788" ref="I4789"/>
    <hyperlink r:id="rId4789" ref="I4790"/>
    <hyperlink r:id="rId4790" ref="I4791"/>
    <hyperlink r:id="rId4791" ref="I4792"/>
    <hyperlink r:id="rId4792" ref="I4793"/>
    <hyperlink r:id="rId4793" ref="I4794"/>
    <hyperlink r:id="rId4794" ref="I4795"/>
    <hyperlink r:id="rId4795" ref="I4796"/>
    <hyperlink r:id="rId4796" ref="I4797"/>
    <hyperlink r:id="rId4797" ref="I4798"/>
    <hyperlink r:id="rId4798" ref="I4799"/>
    <hyperlink r:id="rId4799" ref="I4800"/>
    <hyperlink r:id="rId4800" ref="I4801"/>
    <hyperlink r:id="rId4801" ref="I4802"/>
    <hyperlink r:id="rId4802" ref="I4803"/>
    <hyperlink r:id="rId4803" ref="I4804"/>
    <hyperlink r:id="rId4804" ref="I4805"/>
    <hyperlink r:id="rId4805" ref="I4806"/>
    <hyperlink r:id="rId4806" ref="I4807"/>
    <hyperlink r:id="rId4807" ref="I4808"/>
    <hyperlink r:id="rId4808" ref="I4809"/>
    <hyperlink r:id="rId4809" ref="I4810"/>
    <hyperlink r:id="rId4810" ref="I4811"/>
    <hyperlink r:id="rId4811" ref="I4812"/>
    <hyperlink r:id="rId4812" ref="I4813"/>
    <hyperlink r:id="rId4813" ref="I4814"/>
    <hyperlink r:id="rId4814" ref="I4815"/>
    <hyperlink r:id="rId4815" ref="I4816"/>
    <hyperlink r:id="rId4816" ref="I4817"/>
    <hyperlink r:id="rId4817" ref="I4818"/>
    <hyperlink r:id="rId4818" ref="I4819"/>
    <hyperlink r:id="rId4819" ref="I4820"/>
    <hyperlink r:id="rId4820" ref="I4821"/>
    <hyperlink r:id="rId4821" ref="I4822"/>
    <hyperlink r:id="rId4822" ref="I4823"/>
    <hyperlink r:id="rId4823" ref="I4824"/>
    <hyperlink r:id="rId4824" ref="I4825"/>
    <hyperlink r:id="rId4825" ref="I4826"/>
    <hyperlink r:id="rId4826" ref="I4827"/>
    <hyperlink r:id="rId4827" ref="I4828"/>
    <hyperlink r:id="rId4828" ref="I4829"/>
    <hyperlink r:id="rId4829" ref="I4830"/>
    <hyperlink r:id="rId4830" ref="I4831"/>
    <hyperlink r:id="rId4831" ref="I4832"/>
    <hyperlink r:id="rId4832" ref="I4833"/>
    <hyperlink r:id="rId4833" ref="I4834"/>
    <hyperlink r:id="rId4834" ref="I4835"/>
    <hyperlink r:id="rId4835" ref="I4836"/>
    <hyperlink r:id="rId4836" ref="I4837"/>
    <hyperlink r:id="rId4837" ref="I4838"/>
    <hyperlink r:id="rId4838" ref="I4839"/>
    <hyperlink r:id="rId4839" ref="I4840"/>
    <hyperlink r:id="rId4840" ref="I4841"/>
    <hyperlink r:id="rId4841" ref="I4842"/>
    <hyperlink r:id="rId4842" ref="I4843"/>
    <hyperlink r:id="rId4843" ref="I4844"/>
    <hyperlink r:id="rId4844" ref="I4845"/>
    <hyperlink r:id="rId4845" ref="I4846"/>
    <hyperlink r:id="rId4846" ref="I4847"/>
    <hyperlink r:id="rId4847" ref="I4848"/>
    <hyperlink r:id="rId4848" ref="I4849"/>
    <hyperlink r:id="rId4849" ref="I4850"/>
    <hyperlink r:id="rId4850" ref="I4851"/>
    <hyperlink r:id="rId4851" ref="I4852"/>
    <hyperlink r:id="rId4852" ref="I4853"/>
    <hyperlink r:id="rId4853" ref="I4854"/>
    <hyperlink r:id="rId4854" ref="I4855"/>
    <hyperlink r:id="rId4855" ref="I4856"/>
    <hyperlink r:id="rId4856" ref="I4857"/>
    <hyperlink r:id="rId4857" ref="I4858"/>
    <hyperlink r:id="rId4858" ref="I4859"/>
    <hyperlink r:id="rId4859" ref="I4860"/>
    <hyperlink r:id="rId4860" ref="I4861"/>
    <hyperlink r:id="rId4861" ref="I4862"/>
    <hyperlink r:id="rId4862" ref="I4863"/>
    <hyperlink r:id="rId4863" ref="I4864"/>
    <hyperlink r:id="rId4864" ref="I4865"/>
    <hyperlink r:id="rId4865" ref="I4866"/>
    <hyperlink r:id="rId4866" ref="I4867"/>
    <hyperlink r:id="rId4867" ref="I4868"/>
    <hyperlink r:id="rId4868" ref="I4869"/>
    <hyperlink r:id="rId4869" ref="I4870"/>
    <hyperlink r:id="rId4870" ref="I4871"/>
    <hyperlink r:id="rId4871" ref="I4872"/>
    <hyperlink r:id="rId4872" ref="I4873"/>
    <hyperlink r:id="rId4873" ref="I4874"/>
    <hyperlink r:id="rId4874" ref="I4875"/>
    <hyperlink r:id="rId4875" ref="I4876"/>
    <hyperlink r:id="rId4876" ref="I4877"/>
    <hyperlink r:id="rId4877" ref="I4878"/>
    <hyperlink r:id="rId4878" ref="I4879"/>
    <hyperlink r:id="rId4879" ref="I4880"/>
    <hyperlink r:id="rId4880" ref="I4881"/>
    <hyperlink r:id="rId4881" ref="I4882"/>
    <hyperlink r:id="rId4882" ref="I4883"/>
    <hyperlink r:id="rId4883" ref="I4884"/>
    <hyperlink r:id="rId4884" ref="I4885"/>
    <hyperlink r:id="rId4885" ref="I4886"/>
    <hyperlink r:id="rId4886" ref="I4887"/>
    <hyperlink r:id="rId4887" ref="I4888"/>
    <hyperlink r:id="rId4888" ref="I4889"/>
    <hyperlink r:id="rId4889" ref="I4890"/>
    <hyperlink r:id="rId4890" ref="I4891"/>
    <hyperlink r:id="rId4891" ref="I4892"/>
    <hyperlink r:id="rId4892" ref="I4893"/>
    <hyperlink r:id="rId4893" ref="I4894"/>
    <hyperlink r:id="rId4894" ref="I4895"/>
    <hyperlink r:id="rId4895" ref="I4896"/>
    <hyperlink r:id="rId4896" ref="I4897"/>
    <hyperlink r:id="rId4897" ref="I4898"/>
    <hyperlink r:id="rId4898" ref="I4899"/>
    <hyperlink r:id="rId4899" ref="I4900"/>
    <hyperlink r:id="rId4900" ref="I4901"/>
    <hyperlink r:id="rId4901" ref="I4902"/>
    <hyperlink r:id="rId4902" ref="I4903"/>
    <hyperlink r:id="rId4903" ref="I4904"/>
    <hyperlink r:id="rId4904" ref="I4905"/>
    <hyperlink r:id="rId4905" ref="I4906"/>
    <hyperlink r:id="rId4906" ref="I4907"/>
    <hyperlink r:id="rId4907" ref="I4908"/>
    <hyperlink r:id="rId4908" ref="I4909"/>
    <hyperlink r:id="rId4909" ref="I4910"/>
    <hyperlink r:id="rId4910" ref="I4911"/>
    <hyperlink r:id="rId4911" ref="I4912"/>
    <hyperlink r:id="rId4912" ref="I4913"/>
    <hyperlink r:id="rId4913" ref="I4914"/>
    <hyperlink r:id="rId4914" ref="I4915"/>
    <hyperlink r:id="rId4915" ref="I4916"/>
    <hyperlink r:id="rId4916" ref="I4917"/>
    <hyperlink r:id="rId4917" ref="I4918"/>
    <hyperlink r:id="rId4918" ref="I4919"/>
    <hyperlink r:id="rId4919" ref="I4920"/>
    <hyperlink r:id="rId4920" ref="I4921"/>
    <hyperlink r:id="rId4921" ref="I4922"/>
    <hyperlink r:id="rId4922" ref="I4923"/>
    <hyperlink r:id="rId4923" ref="I4924"/>
    <hyperlink r:id="rId4924" ref="I4925"/>
    <hyperlink r:id="rId4925" ref="I4926"/>
    <hyperlink r:id="rId4926" ref="I4927"/>
    <hyperlink r:id="rId4927" ref="I4928"/>
    <hyperlink r:id="rId4928" ref="I4929"/>
    <hyperlink r:id="rId4929" ref="I4930"/>
    <hyperlink r:id="rId4930" ref="I4931"/>
    <hyperlink r:id="rId4931" ref="I4932"/>
    <hyperlink r:id="rId4932" ref="I4933"/>
    <hyperlink r:id="rId4933" ref="I4934"/>
    <hyperlink r:id="rId4934" ref="I4935"/>
    <hyperlink r:id="rId4935" ref="I4936"/>
    <hyperlink r:id="rId4936" ref="I4937"/>
    <hyperlink r:id="rId4937" ref="I4938"/>
    <hyperlink r:id="rId4938" ref="I4939"/>
    <hyperlink r:id="rId4939" ref="I4940"/>
    <hyperlink r:id="rId4940" ref="I4941"/>
    <hyperlink r:id="rId4941" ref="I4942"/>
    <hyperlink r:id="rId4942" ref="I4943"/>
    <hyperlink r:id="rId4943" ref="I4944"/>
    <hyperlink r:id="rId4944" ref="I4945"/>
    <hyperlink r:id="rId4945" ref="I4946"/>
    <hyperlink r:id="rId4946" ref="I4947"/>
    <hyperlink r:id="rId4947" ref="I4948"/>
    <hyperlink r:id="rId4948" ref="I4949"/>
    <hyperlink r:id="rId4949" ref="I4950"/>
    <hyperlink r:id="rId4950" ref="I4951"/>
    <hyperlink r:id="rId4951" ref="I4952"/>
    <hyperlink r:id="rId4952" ref="I4953"/>
    <hyperlink r:id="rId4953" ref="I4954"/>
    <hyperlink r:id="rId4954" ref="I4955"/>
    <hyperlink r:id="rId4955" ref="I4956"/>
    <hyperlink r:id="rId4956" ref="I4957"/>
    <hyperlink r:id="rId4957" ref="I4958"/>
    <hyperlink r:id="rId4958" ref="I4959"/>
    <hyperlink r:id="rId4959" ref="I4960"/>
    <hyperlink r:id="rId4960" ref="I4961"/>
    <hyperlink r:id="rId4961" ref="I4962"/>
    <hyperlink r:id="rId4962" ref="I4963"/>
    <hyperlink r:id="rId4963" ref="I4964"/>
    <hyperlink r:id="rId4964" ref="I4965"/>
    <hyperlink r:id="rId4965" ref="I4966"/>
    <hyperlink r:id="rId4966" ref="I4967"/>
    <hyperlink r:id="rId4967" ref="I4968"/>
    <hyperlink r:id="rId4968" ref="I4969"/>
    <hyperlink r:id="rId4969" ref="I4970"/>
    <hyperlink r:id="rId4970" ref="I4971"/>
    <hyperlink r:id="rId4971" ref="I4972"/>
    <hyperlink r:id="rId4972" ref="I4973"/>
    <hyperlink r:id="rId4973" ref="I4974"/>
    <hyperlink r:id="rId4974" ref="I4975"/>
    <hyperlink r:id="rId4975" ref="I4976"/>
    <hyperlink r:id="rId4976" ref="I4977"/>
    <hyperlink r:id="rId4977" ref="I4978"/>
    <hyperlink r:id="rId4978" ref="I4979"/>
    <hyperlink r:id="rId4979" ref="I4980"/>
    <hyperlink r:id="rId4980" ref="I4981"/>
    <hyperlink r:id="rId4981" ref="I4982"/>
    <hyperlink r:id="rId4982" ref="I4983"/>
    <hyperlink r:id="rId4983" ref="I4984"/>
    <hyperlink r:id="rId4984" ref="I4985"/>
    <hyperlink r:id="rId4985" ref="I4986"/>
    <hyperlink r:id="rId4986" ref="I4987"/>
    <hyperlink r:id="rId4987" ref="I4988"/>
    <hyperlink r:id="rId4988" ref="I4989"/>
    <hyperlink r:id="rId4989" ref="I4990"/>
    <hyperlink r:id="rId4990" ref="I4991"/>
    <hyperlink r:id="rId4991" ref="I4992"/>
    <hyperlink r:id="rId4992" ref="I4993"/>
    <hyperlink r:id="rId4993" ref="I4994"/>
    <hyperlink r:id="rId4994" ref="I4995"/>
    <hyperlink r:id="rId4995" ref="I4996"/>
    <hyperlink r:id="rId4996" ref="I4997"/>
    <hyperlink r:id="rId4997" ref="I4998"/>
    <hyperlink r:id="rId4998" ref="I4999"/>
    <hyperlink r:id="rId4999" ref="I5000"/>
    <hyperlink r:id="rId5000" ref="I5001"/>
    <hyperlink r:id="rId5001" ref="I5002"/>
    <hyperlink r:id="rId5002" ref="I5003"/>
    <hyperlink r:id="rId5003" ref="I5004"/>
    <hyperlink r:id="rId5004" ref="I5005"/>
    <hyperlink r:id="rId5005" ref="I5006"/>
    <hyperlink r:id="rId5006" ref="I5007"/>
    <hyperlink r:id="rId5007" ref="I5008"/>
    <hyperlink r:id="rId5008" ref="I5009"/>
    <hyperlink r:id="rId5009" ref="I5010"/>
    <hyperlink r:id="rId5010" ref="I5011"/>
    <hyperlink r:id="rId5011" ref="I5012"/>
    <hyperlink r:id="rId5012" ref="I5013"/>
    <hyperlink r:id="rId5013" ref="I5014"/>
    <hyperlink r:id="rId5014" ref="I5015"/>
    <hyperlink r:id="rId5015" ref="I5016"/>
    <hyperlink r:id="rId5016" ref="I5017"/>
    <hyperlink r:id="rId5017" ref="I5018"/>
    <hyperlink r:id="rId5018" ref="I5019"/>
    <hyperlink r:id="rId5019" ref="I5020"/>
    <hyperlink r:id="rId5020" ref="I5021"/>
    <hyperlink r:id="rId5021" ref="I5022"/>
    <hyperlink r:id="rId5022" ref="I5023"/>
    <hyperlink r:id="rId5023" ref="I5024"/>
    <hyperlink r:id="rId5024" ref="I5025"/>
    <hyperlink r:id="rId5025" ref="I5026"/>
    <hyperlink r:id="rId5026" ref="I5027"/>
    <hyperlink r:id="rId5027" ref="I5028"/>
    <hyperlink r:id="rId5028" ref="I5029"/>
    <hyperlink r:id="rId5029" ref="I5030"/>
    <hyperlink r:id="rId5030" ref="I5031"/>
    <hyperlink r:id="rId5031" ref="I5032"/>
    <hyperlink r:id="rId5032" ref="I5033"/>
    <hyperlink r:id="rId5033" ref="I5034"/>
    <hyperlink r:id="rId5034" ref="I5035"/>
    <hyperlink r:id="rId5035" ref="I5036"/>
    <hyperlink r:id="rId5036" ref="I5037"/>
    <hyperlink r:id="rId5037" ref="I5038"/>
    <hyperlink r:id="rId5038" ref="I5039"/>
    <hyperlink r:id="rId5039" ref="I5040"/>
    <hyperlink r:id="rId5040" ref="I5041"/>
    <hyperlink r:id="rId5041" ref="I5042"/>
    <hyperlink r:id="rId5042" ref="I5043"/>
    <hyperlink r:id="rId5043" ref="I5044"/>
    <hyperlink r:id="rId5044" ref="I5045"/>
    <hyperlink r:id="rId5045" ref="I5046"/>
    <hyperlink r:id="rId5046" ref="I5047"/>
    <hyperlink r:id="rId5047" ref="I5048"/>
    <hyperlink r:id="rId5048" ref="I5049"/>
    <hyperlink r:id="rId5049" ref="I5050"/>
    <hyperlink r:id="rId5050" ref="I5051"/>
    <hyperlink r:id="rId5051" ref="I5052"/>
    <hyperlink r:id="rId5052" ref="I5053"/>
    <hyperlink r:id="rId5053" ref="I5054"/>
    <hyperlink r:id="rId5054" ref="I5055"/>
    <hyperlink r:id="rId5055" ref="I5056"/>
    <hyperlink r:id="rId5056" ref="I5057"/>
    <hyperlink r:id="rId5057" ref="I5058"/>
    <hyperlink r:id="rId5058" ref="I5059"/>
    <hyperlink r:id="rId5059" ref="I5060"/>
    <hyperlink r:id="rId5060" ref="I5061"/>
    <hyperlink r:id="rId5061" ref="I5062"/>
    <hyperlink r:id="rId5062" ref="I5063"/>
    <hyperlink r:id="rId5063" ref="I5064"/>
    <hyperlink r:id="rId5064" ref="I5065"/>
    <hyperlink r:id="rId5065" ref="I5066"/>
    <hyperlink r:id="rId5066" ref="I5067"/>
    <hyperlink r:id="rId5067" ref="I5068"/>
    <hyperlink r:id="rId5068" ref="I5069"/>
    <hyperlink r:id="rId5069" ref="I5070"/>
    <hyperlink r:id="rId5070" ref="I5071"/>
    <hyperlink r:id="rId5071" ref="I5072"/>
    <hyperlink r:id="rId5072" ref="I5073"/>
    <hyperlink r:id="rId5073" ref="I5074"/>
    <hyperlink r:id="rId5074" ref="I5075"/>
    <hyperlink r:id="rId5075" ref="I5076"/>
    <hyperlink r:id="rId5076" ref="I5077"/>
    <hyperlink r:id="rId5077" ref="I5078"/>
    <hyperlink r:id="rId5078" ref="I5079"/>
    <hyperlink r:id="rId5079" ref="I5080"/>
    <hyperlink r:id="rId5080" ref="I5081"/>
    <hyperlink r:id="rId5081" ref="I5082"/>
    <hyperlink r:id="rId5082" ref="I5083"/>
    <hyperlink r:id="rId5083" ref="I5084"/>
    <hyperlink r:id="rId5084" ref="I5085"/>
    <hyperlink r:id="rId5085" ref="I5086"/>
    <hyperlink r:id="rId5086" ref="I5087"/>
    <hyperlink r:id="rId5087" ref="I5088"/>
    <hyperlink r:id="rId5088" ref="I5089"/>
    <hyperlink r:id="rId5089" ref="I5090"/>
    <hyperlink r:id="rId5090" ref="I5091"/>
    <hyperlink r:id="rId5091" ref="I5092"/>
    <hyperlink r:id="rId5092" ref="I5093"/>
    <hyperlink r:id="rId5093" ref="I5094"/>
    <hyperlink r:id="rId5094" ref="I5095"/>
    <hyperlink r:id="rId5095" ref="I5096"/>
    <hyperlink r:id="rId5096" ref="I5097"/>
    <hyperlink r:id="rId5097" ref="I5098"/>
    <hyperlink r:id="rId5098" ref="I5099"/>
    <hyperlink r:id="rId5099" ref="I5100"/>
    <hyperlink r:id="rId5100" ref="I5101"/>
    <hyperlink r:id="rId5101" ref="I5102"/>
    <hyperlink r:id="rId5102" ref="I5103"/>
    <hyperlink r:id="rId5103" ref="I5104"/>
    <hyperlink r:id="rId5104" ref="I5105"/>
    <hyperlink r:id="rId5105" ref="I5106"/>
    <hyperlink r:id="rId5106" ref="I5107"/>
    <hyperlink r:id="rId5107" ref="I5108"/>
    <hyperlink r:id="rId5108" ref="I5109"/>
    <hyperlink r:id="rId5109" ref="I5110"/>
    <hyperlink r:id="rId5110" ref="I5111"/>
    <hyperlink r:id="rId5111" ref="I5112"/>
    <hyperlink r:id="rId5112" ref="I5113"/>
    <hyperlink r:id="rId5113" ref="I5114"/>
    <hyperlink r:id="rId5114" ref="I5115"/>
    <hyperlink r:id="rId5115" ref="I5116"/>
    <hyperlink r:id="rId5116" ref="I5117"/>
    <hyperlink r:id="rId5117" ref="I5118"/>
    <hyperlink r:id="rId5118" ref="I5119"/>
    <hyperlink r:id="rId5119" ref="I5120"/>
    <hyperlink r:id="rId5120" ref="I5121"/>
    <hyperlink r:id="rId5121" ref="I5122"/>
    <hyperlink r:id="rId5122" ref="I5123"/>
    <hyperlink r:id="rId5123" ref="I5124"/>
    <hyperlink r:id="rId5124" ref="I5125"/>
    <hyperlink r:id="rId5125" ref="I5126"/>
    <hyperlink r:id="rId5126" ref="I5127"/>
    <hyperlink r:id="rId5127" ref="I5128"/>
    <hyperlink r:id="rId5128" ref="I5129"/>
    <hyperlink r:id="rId5129" ref="I5130"/>
    <hyperlink r:id="rId5130" ref="I5131"/>
    <hyperlink r:id="rId5131" ref="I5132"/>
    <hyperlink r:id="rId5132" ref="I5133"/>
    <hyperlink r:id="rId5133" ref="I5134"/>
    <hyperlink r:id="rId5134" ref="I5135"/>
    <hyperlink r:id="rId5135" ref="I5136"/>
    <hyperlink r:id="rId5136" ref="I5137"/>
    <hyperlink r:id="rId5137" ref="I5138"/>
    <hyperlink r:id="rId5138" ref="I5139"/>
    <hyperlink r:id="rId5139" ref="I5140"/>
    <hyperlink r:id="rId5140" ref="I5141"/>
    <hyperlink r:id="rId5141" ref="I5142"/>
    <hyperlink r:id="rId5142" ref="I5143"/>
    <hyperlink r:id="rId5143" ref="I5144"/>
    <hyperlink r:id="rId5144" ref="I5145"/>
    <hyperlink r:id="rId5145" ref="I5146"/>
    <hyperlink r:id="rId5146" ref="I5147"/>
    <hyperlink r:id="rId5147" ref="I5148"/>
    <hyperlink r:id="rId5148" ref="I5149"/>
    <hyperlink r:id="rId5149" ref="I5150"/>
    <hyperlink r:id="rId5150" ref="I5151"/>
    <hyperlink r:id="rId5151" ref="I5152"/>
    <hyperlink r:id="rId5152" ref="I5153"/>
    <hyperlink r:id="rId5153" ref="I5154"/>
    <hyperlink r:id="rId5154" ref="I5155"/>
    <hyperlink r:id="rId5155" ref="I5156"/>
    <hyperlink r:id="rId5156" ref="I5157"/>
    <hyperlink r:id="rId5157" ref="I5158"/>
    <hyperlink r:id="rId5158" ref="I5159"/>
    <hyperlink r:id="rId5159" ref="I5160"/>
    <hyperlink r:id="rId5160" ref="I5161"/>
    <hyperlink r:id="rId5161" ref="I5162"/>
    <hyperlink r:id="rId5162" ref="I5163"/>
    <hyperlink r:id="rId5163" ref="I5164"/>
    <hyperlink r:id="rId5164" ref="I5165"/>
    <hyperlink r:id="rId5165" ref="I5166"/>
    <hyperlink r:id="rId5166" ref="I5167"/>
    <hyperlink r:id="rId5167" ref="I5168"/>
    <hyperlink r:id="rId5168" ref="I5169"/>
    <hyperlink r:id="rId5169" ref="I5170"/>
    <hyperlink r:id="rId5170" ref="I5171"/>
    <hyperlink r:id="rId5171" ref="I5172"/>
    <hyperlink r:id="rId5172" ref="I5173"/>
    <hyperlink r:id="rId5173" ref="I5174"/>
    <hyperlink r:id="rId5174" ref="I5175"/>
    <hyperlink r:id="rId5175" ref="I5176"/>
    <hyperlink r:id="rId5176" ref="I5177"/>
    <hyperlink r:id="rId5177" ref="I5178"/>
    <hyperlink r:id="rId5178" ref="I5179"/>
    <hyperlink r:id="rId5179" ref="I5180"/>
    <hyperlink r:id="rId5180" ref="I5181"/>
    <hyperlink r:id="rId5181" ref="I5182"/>
    <hyperlink r:id="rId5182" ref="I5183"/>
    <hyperlink r:id="rId5183" ref="I5184"/>
    <hyperlink r:id="rId5184" ref="I5185"/>
    <hyperlink r:id="rId5185" ref="I5186"/>
    <hyperlink r:id="rId5186" ref="I5187"/>
    <hyperlink r:id="rId5187" ref="I5188"/>
    <hyperlink r:id="rId5188" ref="I5189"/>
    <hyperlink r:id="rId5189" ref="I5190"/>
    <hyperlink r:id="rId5190" ref="I5191"/>
    <hyperlink r:id="rId5191" ref="I5192"/>
    <hyperlink r:id="rId5192" ref="I5193"/>
    <hyperlink r:id="rId5193" ref="I5194"/>
    <hyperlink r:id="rId5194" ref="I5195"/>
    <hyperlink r:id="rId5195" ref="I5196"/>
    <hyperlink r:id="rId5196" ref="I5197"/>
    <hyperlink r:id="rId5197" ref="I5198"/>
    <hyperlink r:id="rId5198" ref="I5199"/>
    <hyperlink r:id="rId5199" ref="I5200"/>
    <hyperlink r:id="rId5200" ref="I5201"/>
    <hyperlink r:id="rId5201" ref="I5202"/>
    <hyperlink r:id="rId5202" ref="I5203"/>
    <hyperlink r:id="rId5203" ref="I5204"/>
    <hyperlink r:id="rId5204" ref="I5205"/>
    <hyperlink r:id="rId5205" ref="I5206"/>
    <hyperlink r:id="rId5206" ref="I5207"/>
    <hyperlink r:id="rId5207" ref="I5208"/>
    <hyperlink r:id="rId5208" ref="I5209"/>
    <hyperlink r:id="rId5209" ref="I5210"/>
    <hyperlink r:id="rId5210" ref="I5211"/>
    <hyperlink r:id="rId5211" ref="I5212"/>
    <hyperlink r:id="rId5212" ref="I5213"/>
    <hyperlink r:id="rId5213" ref="I5214"/>
    <hyperlink r:id="rId5214" ref="I5215"/>
    <hyperlink r:id="rId5215" ref="I5216"/>
    <hyperlink r:id="rId5216" ref="I5217"/>
    <hyperlink r:id="rId5217" ref="I5218"/>
    <hyperlink r:id="rId5218" ref="I5219"/>
    <hyperlink r:id="rId5219" ref="I5220"/>
    <hyperlink r:id="rId5220" ref="I5221"/>
    <hyperlink r:id="rId5221" ref="I5222"/>
    <hyperlink r:id="rId5222" ref="I5223"/>
    <hyperlink r:id="rId5223" ref="I5224"/>
    <hyperlink r:id="rId5224" ref="I5225"/>
    <hyperlink r:id="rId5225" ref="I5226"/>
    <hyperlink r:id="rId5226" ref="I5227"/>
    <hyperlink r:id="rId5227" ref="I5228"/>
    <hyperlink r:id="rId5228" ref="I5229"/>
    <hyperlink r:id="rId5229" ref="I5230"/>
    <hyperlink r:id="rId5230" ref="I5231"/>
    <hyperlink r:id="rId5231" ref="I5232"/>
    <hyperlink r:id="rId5232" ref="I5233"/>
    <hyperlink r:id="rId5233" ref="I5234"/>
    <hyperlink r:id="rId5234" ref="I5235"/>
    <hyperlink r:id="rId5235" ref="I5236"/>
    <hyperlink r:id="rId5236" ref="I5237"/>
    <hyperlink r:id="rId5237" ref="I5238"/>
    <hyperlink r:id="rId5238" ref="I5239"/>
    <hyperlink r:id="rId5239" ref="I5240"/>
    <hyperlink r:id="rId5240" ref="I5241"/>
    <hyperlink r:id="rId5241" ref="I5242"/>
    <hyperlink r:id="rId5242" ref="I5243"/>
    <hyperlink r:id="rId5243" ref="I5244"/>
    <hyperlink r:id="rId5244" ref="I5245"/>
    <hyperlink r:id="rId5245" ref="I5246"/>
    <hyperlink r:id="rId5246" ref="I5247"/>
    <hyperlink r:id="rId5247" ref="I5248"/>
    <hyperlink r:id="rId5248" ref="I5249"/>
    <hyperlink r:id="rId5249" ref="I5250"/>
    <hyperlink r:id="rId5250" ref="I5251"/>
    <hyperlink r:id="rId5251" ref="I5252"/>
    <hyperlink r:id="rId5252" ref="I5253"/>
    <hyperlink r:id="rId5253" ref="I5254"/>
    <hyperlink r:id="rId5254" ref="I5255"/>
    <hyperlink r:id="rId5255" ref="I5256"/>
    <hyperlink r:id="rId5256" ref="I5257"/>
    <hyperlink r:id="rId5257" ref="I5258"/>
    <hyperlink r:id="rId5258" ref="I5259"/>
    <hyperlink r:id="rId5259" ref="I5260"/>
    <hyperlink r:id="rId5260" ref="I5261"/>
    <hyperlink r:id="rId5261" ref="I5262"/>
    <hyperlink r:id="rId5262" ref="I5263"/>
    <hyperlink r:id="rId5263" ref="I5264"/>
    <hyperlink r:id="rId5264" ref="I5265"/>
    <hyperlink r:id="rId5265" ref="I5266"/>
    <hyperlink r:id="rId5266" ref="I5267"/>
    <hyperlink r:id="rId5267" ref="I5268"/>
    <hyperlink r:id="rId5268" ref="I5269"/>
    <hyperlink r:id="rId5269" ref="I5270"/>
    <hyperlink r:id="rId5270" ref="I5271"/>
    <hyperlink r:id="rId5271" ref="I5272"/>
    <hyperlink r:id="rId5272" ref="I5273"/>
    <hyperlink r:id="rId5273" ref="I5274"/>
    <hyperlink r:id="rId5274" ref="I5275"/>
    <hyperlink r:id="rId5275" ref="I5276"/>
    <hyperlink r:id="rId5276" ref="I5277"/>
    <hyperlink r:id="rId5277" ref="I5278"/>
    <hyperlink r:id="rId5278" ref="I5279"/>
    <hyperlink r:id="rId5279" ref="I5280"/>
    <hyperlink r:id="rId5280" ref="I5281"/>
    <hyperlink r:id="rId5281" ref="I5282"/>
    <hyperlink r:id="rId5282" ref="I5283"/>
    <hyperlink r:id="rId5283" ref="I5284"/>
    <hyperlink r:id="rId5284" ref="I5285"/>
    <hyperlink r:id="rId5285" ref="I5286"/>
    <hyperlink r:id="rId5286" ref="I5287"/>
    <hyperlink r:id="rId5287" ref="I5288"/>
    <hyperlink r:id="rId5288" ref="I5289"/>
    <hyperlink r:id="rId5289" ref="I5290"/>
    <hyperlink r:id="rId5290" ref="I5291"/>
    <hyperlink r:id="rId5291" ref="I5292"/>
    <hyperlink r:id="rId5292" ref="I5293"/>
    <hyperlink r:id="rId5293" ref="I5294"/>
    <hyperlink r:id="rId5294" ref="I5295"/>
    <hyperlink r:id="rId5295" ref="I5296"/>
    <hyperlink r:id="rId5296" ref="I5297"/>
    <hyperlink r:id="rId5297" ref="I5298"/>
    <hyperlink r:id="rId5298" ref="I5299"/>
    <hyperlink r:id="rId5299" ref="I5300"/>
    <hyperlink r:id="rId5300" ref="I5301"/>
    <hyperlink r:id="rId5301" ref="I5302"/>
    <hyperlink r:id="rId5302" ref="I5303"/>
    <hyperlink r:id="rId5303" ref="I5304"/>
    <hyperlink r:id="rId5304" ref="I5305"/>
    <hyperlink r:id="rId5305" ref="I5306"/>
    <hyperlink r:id="rId5306" ref="I5307"/>
    <hyperlink r:id="rId5307" ref="I5308"/>
    <hyperlink r:id="rId5308" ref="I5309"/>
    <hyperlink r:id="rId5309" ref="I5310"/>
    <hyperlink r:id="rId5310" ref="I5311"/>
    <hyperlink r:id="rId5311" ref="I5312"/>
    <hyperlink r:id="rId5312" ref="I5313"/>
    <hyperlink r:id="rId5313" ref="I5314"/>
    <hyperlink r:id="rId5314" ref="I5315"/>
    <hyperlink r:id="rId5315" ref="I5316"/>
    <hyperlink r:id="rId5316" ref="I5317"/>
    <hyperlink r:id="rId5317" ref="I5318"/>
    <hyperlink r:id="rId5318" ref="I5319"/>
    <hyperlink r:id="rId5319" ref="I5320"/>
    <hyperlink r:id="rId5320" ref="I5321"/>
    <hyperlink r:id="rId5321" ref="I5322"/>
    <hyperlink r:id="rId5322" ref="I5323"/>
    <hyperlink r:id="rId5323" ref="I5324"/>
    <hyperlink r:id="rId5324" ref="I5325"/>
    <hyperlink r:id="rId5325" ref="I5326"/>
    <hyperlink r:id="rId5326" ref="I5327"/>
    <hyperlink r:id="rId5327" ref="I5328"/>
    <hyperlink r:id="rId5328" ref="I5329"/>
    <hyperlink r:id="rId5329" ref="I5330"/>
    <hyperlink r:id="rId5330" ref="I5331"/>
    <hyperlink r:id="rId5331" ref="I5332"/>
    <hyperlink r:id="rId5332" ref="I5333"/>
    <hyperlink r:id="rId5333" ref="I5334"/>
    <hyperlink r:id="rId5334" ref="I5335"/>
    <hyperlink r:id="rId5335" ref="I5336"/>
    <hyperlink r:id="rId5336" ref="I5337"/>
    <hyperlink r:id="rId5337" ref="I5338"/>
    <hyperlink r:id="rId5338" ref="I5339"/>
    <hyperlink r:id="rId5339" ref="I5340"/>
    <hyperlink r:id="rId5340" ref="I5341"/>
    <hyperlink r:id="rId5341" ref="I5342"/>
    <hyperlink r:id="rId5342" ref="I5343"/>
    <hyperlink r:id="rId5343" ref="I5344"/>
    <hyperlink r:id="rId5344" ref="I5345"/>
    <hyperlink r:id="rId5345" ref="I5346"/>
    <hyperlink r:id="rId5346" ref="I5347"/>
    <hyperlink r:id="rId5347" ref="I5348"/>
    <hyperlink r:id="rId5348" ref="I5349"/>
    <hyperlink r:id="rId5349" ref="I5350"/>
    <hyperlink r:id="rId5350" ref="I5351"/>
    <hyperlink r:id="rId5351" ref="I5352"/>
    <hyperlink r:id="rId5352" ref="I5353"/>
    <hyperlink r:id="rId5353" ref="I5354"/>
    <hyperlink r:id="rId5354" ref="I5355"/>
    <hyperlink r:id="rId5355" ref="I5356"/>
    <hyperlink r:id="rId5356" ref="I5357"/>
    <hyperlink r:id="rId5357" ref="I5358"/>
    <hyperlink r:id="rId5358" ref="I5359"/>
    <hyperlink r:id="rId5359" ref="I5360"/>
    <hyperlink r:id="rId5360" ref="I5361"/>
    <hyperlink r:id="rId5361" ref="I5362"/>
    <hyperlink r:id="rId5362" ref="I5363"/>
    <hyperlink r:id="rId5363" ref="I5364"/>
    <hyperlink r:id="rId5364" ref="I5365"/>
    <hyperlink r:id="rId5365" ref="I5366"/>
    <hyperlink r:id="rId5366" ref="I5367"/>
    <hyperlink r:id="rId5367" ref="I5368"/>
    <hyperlink r:id="rId5368" ref="I5369"/>
    <hyperlink r:id="rId5369" ref="I5370"/>
    <hyperlink r:id="rId5370" ref="I5371"/>
    <hyperlink r:id="rId5371" ref="I5372"/>
    <hyperlink r:id="rId5372" ref="I5373"/>
    <hyperlink r:id="rId5373" ref="I5374"/>
    <hyperlink r:id="rId5374" ref="I5375"/>
    <hyperlink r:id="rId5375" ref="I5376"/>
    <hyperlink r:id="rId5376" ref="I5377"/>
    <hyperlink r:id="rId5377" ref="I5378"/>
    <hyperlink r:id="rId5378" ref="I5379"/>
    <hyperlink r:id="rId5379" ref="I5380"/>
    <hyperlink r:id="rId5380" ref="I5381"/>
    <hyperlink r:id="rId5381" ref="I5382"/>
    <hyperlink r:id="rId5382" ref="I5383"/>
    <hyperlink r:id="rId5383" ref="I5384"/>
    <hyperlink r:id="rId5384" ref="I5385"/>
    <hyperlink r:id="rId5385" ref="I5386"/>
    <hyperlink r:id="rId5386" ref="I5387"/>
    <hyperlink r:id="rId5387" ref="I5388"/>
    <hyperlink r:id="rId5388" ref="I5389"/>
    <hyperlink r:id="rId5389" ref="I5390"/>
    <hyperlink r:id="rId5390" ref="I5391"/>
    <hyperlink r:id="rId5391" ref="I5392"/>
    <hyperlink r:id="rId5392" ref="I5393"/>
    <hyperlink r:id="rId5393" ref="I5394"/>
    <hyperlink r:id="rId5394" ref="I5395"/>
    <hyperlink r:id="rId5395" ref="I5396"/>
    <hyperlink r:id="rId5396" ref="I5397"/>
    <hyperlink r:id="rId5397" ref="I5398"/>
    <hyperlink r:id="rId5398" ref="I5399"/>
    <hyperlink r:id="rId5399" ref="I5400"/>
    <hyperlink r:id="rId5400" ref="I5401"/>
    <hyperlink r:id="rId5401" ref="I5402"/>
    <hyperlink r:id="rId5402" ref="I5403"/>
    <hyperlink r:id="rId5403" ref="I5404"/>
    <hyperlink r:id="rId5404" ref="I5405"/>
    <hyperlink r:id="rId5405" ref="I5406"/>
    <hyperlink r:id="rId5406" ref="I5407"/>
    <hyperlink r:id="rId5407" ref="I5408"/>
    <hyperlink r:id="rId5408" ref="I5409"/>
    <hyperlink r:id="rId5409" ref="I5410"/>
    <hyperlink r:id="rId5410" ref="I5411"/>
    <hyperlink r:id="rId5411" ref="I5412"/>
    <hyperlink r:id="rId5412" ref="I5413"/>
    <hyperlink r:id="rId5413" ref="I5414"/>
    <hyperlink r:id="rId5414" ref="I5415"/>
    <hyperlink r:id="rId5415" ref="I5416"/>
    <hyperlink r:id="rId5416" ref="I5417"/>
    <hyperlink r:id="rId5417" ref="I5418"/>
    <hyperlink r:id="rId5418" ref="I5419"/>
    <hyperlink r:id="rId5419" ref="I5420"/>
    <hyperlink r:id="rId5420" ref="I5421"/>
    <hyperlink r:id="rId5421" ref="I5422"/>
    <hyperlink r:id="rId5422" ref="I5423"/>
    <hyperlink r:id="rId5423" ref="I5424"/>
    <hyperlink r:id="rId5424" ref="I5425"/>
    <hyperlink r:id="rId5425" ref="I5426"/>
    <hyperlink r:id="rId5426" ref="I5427"/>
    <hyperlink r:id="rId5427" ref="I5428"/>
    <hyperlink r:id="rId5428" ref="I5429"/>
    <hyperlink r:id="rId5429" ref="I5430"/>
    <hyperlink r:id="rId5430" ref="I5431"/>
    <hyperlink r:id="rId5431" ref="I5432"/>
    <hyperlink r:id="rId5432" ref="I5433"/>
    <hyperlink r:id="rId5433" ref="I5434"/>
    <hyperlink r:id="rId5434" ref="I5435"/>
    <hyperlink r:id="rId5435" ref="I5436"/>
    <hyperlink r:id="rId5436" ref="I5437"/>
    <hyperlink r:id="rId5437" ref="I5438"/>
    <hyperlink r:id="rId5438" ref="I5439"/>
    <hyperlink r:id="rId5439" ref="I5440"/>
    <hyperlink r:id="rId5440" ref="I5441"/>
    <hyperlink r:id="rId5441" ref="I5442"/>
    <hyperlink r:id="rId5442" ref="I5443"/>
    <hyperlink r:id="rId5443" ref="I5444"/>
    <hyperlink r:id="rId5444" ref="I5445"/>
    <hyperlink r:id="rId5445" ref="I5446"/>
    <hyperlink r:id="rId5446" ref="I5447"/>
    <hyperlink r:id="rId5447" ref="I5448"/>
    <hyperlink r:id="rId5448" ref="I5449"/>
    <hyperlink r:id="rId5449" ref="I5450"/>
    <hyperlink r:id="rId5450" ref="I5451"/>
    <hyperlink r:id="rId5451" ref="I5452"/>
    <hyperlink r:id="rId5452" ref="I5453"/>
    <hyperlink r:id="rId5453" ref="I5454"/>
    <hyperlink r:id="rId5454" ref="I5455"/>
    <hyperlink r:id="rId5455" ref="I5456"/>
    <hyperlink r:id="rId5456" ref="I5457"/>
    <hyperlink r:id="rId5457" ref="I5458"/>
    <hyperlink r:id="rId5458" ref="I5459"/>
    <hyperlink r:id="rId5459" ref="I5460"/>
    <hyperlink r:id="rId5460" ref="I5461"/>
    <hyperlink r:id="rId5461" ref="I5462"/>
    <hyperlink r:id="rId5462" ref="I5463"/>
    <hyperlink r:id="rId5463" ref="I5464"/>
    <hyperlink r:id="rId5464" ref="I5465"/>
    <hyperlink r:id="rId5465" ref="I5466"/>
    <hyperlink r:id="rId5466" ref="I5467"/>
    <hyperlink r:id="rId5467" ref="I5468"/>
    <hyperlink r:id="rId5468" ref="I5469"/>
    <hyperlink r:id="rId5469" ref="I5470"/>
    <hyperlink r:id="rId5470" ref="I5471"/>
    <hyperlink r:id="rId5471" ref="I5472"/>
    <hyperlink r:id="rId5472" ref="I5473"/>
    <hyperlink r:id="rId5473" ref="I5474"/>
    <hyperlink r:id="rId5474" ref="I5475"/>
    <hyperlink r:id="rId5475" ref="I5476"/>
    <hyperlink r:id="rId5476" ref="I5477"/>
    <hyperlink r:id="rId5477" ref="I5478"/>
    <hyperlink r:id="rId5478" ref="I5479"/>
    <hyperlink r:id="rId5479" ref="I5480"/>
    <hyperlink r:id="rId5480" ref="I5481"/>
    <hyperlink r:id="rId5481" ref="I5482"/>
    <hyperlink r:id="rId5482" ref="I5483"/>
    <hyperlink r:id="rId5483" ref="I5484"/>
    <hyperlink r:id="rId5484" ref="I5485"/>
    <hyperlink r:id="rId5485" ref="I5486"/>
    <hyperlink r:id="rId5486" ref="I5487"/>
    <hyperlink r:id="rId5487" ref="I5488"/>
    <hyperlink r:id="rId5488" ref="I5489"/>
    <hyperlink r:id="rId5489" ref="I5490"/>
    <hyperlink r:id="rId5490" ref="I5491"/>
    <hyperlink r:id="rId5491" ref="I5492"/>
    <hyperlink r:id="rId5492" ref="I5493"/>
    <hyperlink r:id="rId5493" ref="I5494"/>
    <hyperlink r:id="rId5494" ref="I5495"/>
    <hyperlink r:id="rId5495" ref="I5496"/>
    <hyperlink r:id="rId5496" ref="I5497"/>
    <hyperlink r:id="rId5497" ref="I5498"/>
    <hyperlink r:id="rId5498" ref="I5499"/>
    <hyperlink r:id="rId5499" ref="I5500"/>
    <hyperlink r:id="rId5500" ref="I5501"/>
    <hyperlink r:id="rId5501" ref="I5502"/>
    <hyperlink r:id="rId5502" ref="I5503"/>
    <hyperlink r:id="rId5503" ref="I5504"/>
    <hyperlink r:id="rId5504" ref="I5505"/>
    <hyperlink r:id="rId5505" ref="I5506"/>
    <hyperlink r:id="rId5506" ref="I5507"/>
    <hyperlink r:id="rId5507" ref="I5508"/>
    <hyperlink r:id="rId5508" ref="I5509"/>
    <hyperlink r:id="rId5509" ref="I5510"/>
    <hyperlink r:id="rId5510" ref="I5511"/>
    <hyperlink r:id="rId5511" ref="I5512"/>
    <hyperlink r:id="rId5512" ref="I5513"/>
    <hyperlink r:id="rId5513" ref="I5514"/>
    <hyperlink r:id="rId5514" ref="I5515"/>
    <hyperlink r:id="rId5515" ref="I5516"/>
    <hyperlink r:id="rId5516" ref="I5517"/>
    <hyperlink r:id="rId5517" ref="I5518"/>
    <hyperlink r:id="rId5518" ref="I5519"/>
    <hyperlink r:id="rId5519" ref="I5520"/>
    <hyperlink r:id="rId5520" ref="I5521"/>
    <hyperlink r:id="rId5521" ref="I5522"/>
    <hyperlink r:id="rId5522" ref="I5523"/>
    <hyperlink r:id="rId5523" ref="I5524"/>
    <hyperlink r:id="rId5524" ref="I5525"/>
    <hyperlink r:id="rId5525" ref="I5526"/>
    <hyperlink r:id="rId5526" ref="I5527"/>
    <hyperlink r:id="rId5527" ref="I5528"/>
    <hyperlink r:id="rId5528" ref="I5529"/>
    <hyperlink r:id="rId5529" ref="I5530"/>
    <hyperlink r:id="rId5530" ref="I5531"/>
    <hyperlink r:id="rId5531" ref="I5532"/>
    <hyperlink r:id="rId5532" ref="I5533"/>
    <hyperlink r:id="rId5533" ref="I5534"/>
    <hyperlink r:id="rId5534" ref="I5535"/>
    <hyperlink r:id="rId5535" ref="I5536"/>
    <hyperlink r:id="rId5536" ref="I5537"/>
    <hyperlink r:id="rId5537" ref="I5538"/>
    <hyperlink r:id="rId5538" ref="I5539"/>
    <hyperlink r:id="rId5539" ref="I5540"/>
    <hyperlink r:id="rId5540" ref="I5541"/>
    <hyperlink r:id="rId5541" ref="I5542"/>
    <hyperlink r:id="rId5542" ref="I5543"/>
    <hyperlink r:id="rId5543" ref="I5544"/>
    <hyperlink r:id="rId5544" ref="I5545"/>
    <hyperlink r:id="rId5545" ref="I5546"/>
    <hyperlink r:id="rId5546" ref="I5547"/>
    <hyperlink r:id="rId5547" ref="I5548"/>
    <hyperlink r:id="rId5548" ref="I5549"/>
    <hyperlink r:id="rId5549" ref="I5550"/>
    <hyperlink r:id="rId5550" ref="I5551"/>
    <hyperlink r:id="rId5551" ref="I5552"/>
    <hyperlink r:id="rId5552" ref="I5553"/>
    <hyperlink r:id="rId5553" ref="I5554"/>
    <hyperlink r:id="rId5554" ref="I5555"/>
    <hyperlink r:id="rId5555" ref="I5556"/>
    <hyperlink r:id="rId5556" ref="I5557"/>
    <hyperlink r:id="rId5557" ref="I5558"/>
    <hyperlink r:id="rId5558" ref="I5559"/>
    <hyperlink r:id="rId5559" ref="I5560"/>
    <hyperlink r:id="rId5560" ref="I5561"/>
    <hyperlink r:id="rId5561" ref="I5562"/>
    <hyperlink r:id="rId5562" ref="I5563"/>
    <hyperlink r:id="rId5563" ref="I5564"/>
    <hyperlink r:id="rId5564" ref="I5565"/>
    <hyperlink r:id="rId5565" ref="I5566"/>
    <hyperlink r:id="rId5566" ref="I5567"/>
    <hyperlink r:id="rId5567" ref="I5568"/>
    <hyperlink r:id="rId5568" ref="I5569"/>
    <hyperlink r:id="rId5569" ref="I5570"/>
    <hyperlink r:id="rId5570" ref="I5571"/>
    <hyperlink r:id="rId5571" ref="I5572"/>
    <hyperlink r:id="rId5572" ref="I5573"/>
    <hyperlink r:id="rId5573" ref="I5574"/>
    <hyperlink r:id="rId5574" ref="I5575"/>
    <hyperlink r:id="rId5575" ref="I5576"/>
    <hyperlink r:id="rId5576" ref="I5577"/>
    <hyperlink r:id="rId5577" ref="I5578"/>
    <hyperlink r:id="rId5578" ref="I5579"/>
    <hyperlink r:id="rId5579" ref="I5580"/>
    <hyperlink r:id="rId5580" ref="I5581"/>
    <hyperlink r:id="rId5581" ref="I5582"/>
    <hyperlink r:id="rId5582" ref="I5583"/>
    <hyperlink r:id="rId5583" ref="I5584"/>
    <hyperlink r:id="rId5584" ref="I5585"/>
    <hyperlink r:id="rId5585" ref="I5586"/>
    <hyperlink r:id="rId5586" ref="I5587"/>
    <hyperlink r:id="rId5587" ref="I5588"/>
    <hyperlink r:id="rId5588" ref="I5589"/>
    <hyperlink r:id="rId5589" ref="I5590"/>
    <hyperlink r:id="rId5590" ref="I5591"/>
    <hyperlink r:id="rId5591" ref="I5592"/>
    <hyperlink r:id="rId5592" ref="I5593"/>
    <hyperlink r:id="rId5593" ref="I5594"/>
    <hyperlink r:id="rId5594" ref="I5595"/>
    <hyperlink r:id="rId5595" ref="I5596"/>
    <hyperlink r:id="rId5596" ref="I5597"/>
    <hyperlink r:id="rId5597" ref="I5598"/>
    <hyperlink r:id="rId5598" ref="I5599"/>
    <hyperlink r:id="rId5599" ref="I5600"/>
    <hyperlink r:id="rId5600" ref="I5601"/>
    <hyperlink r:id="rId5601" ref="I5602"/>
    <hyperlink r:id="rId5602" ref="I5603"/>
    <hyperlink r:id="rId5603" ref="I5604"/>
    <hyperlink r:id="rId5604" ref="I5605"/>
    <hyperlink r:id="rId5605" ref="I5606"/>
    <hyperlink r:id="rId5606" ref="I5607"/>
    <hyperlink r:id="rId5607" ref="I5608"/>
    <hyperlink r:id="rId5608" ref="I5609"/>
    <hyperlink r:id="rId5609" ref="I5610"/>
    <hyperlink r:id="rId5610" ref="I5611"/>
    <hyperlink r:id="rId5611" ref="I5612"/>
    <hyperlink r:id="rId5612" ref="I5613"/>
    <hyperlink r:id="rId5613" ref="I5614"/>
    <hyperlink r:id="rId5614" ref="I5615"/>
    <hyperlink r:id="rId5615" ref="I5616"/>
    <hyperlink r:id="rId5616" ref="I5617"/>
    <hyperlink r:id="rId5617" ref="I5618"/>
    <hyperlink r:id="rId5618" ref="I5619"/>
    <hyperlink r:id="rId5619" ref="I5620"/>
    <hyperlink r:id="rId5620" ref="I5621"/>
    <hyperlink r:id="rId5621" ref="I5622"/>
    <hyperlink r:id="rId5622" ref="I5623"/>
    <hyperlink r:id="rId5623" ref="I5624"/>
    <hyperlink r:id="rId5624" ref="I5625"/>
    <hyperlink r:id="rId5625" ref="I5626"/>
    <hyperlink r:id="rId5626" ref="I5627"/>
    <hyperlink r:id="rId5627" ref="I5628"/>
    <hyperlink r:id="rId5628" ref="I5629"/>
    <hyperlink r:id="rId5629" ref="I5630"/>
    <hyperlink r:id="rId5630" ref="I5631"/>
    <hyperlink r:id="rId5631" ref="I5632"/>
    <hyperlink r:id="rId5632" ref="I5633"/>
    <hyperlink r:id="rId5633" ref="I5634"/>
    <hyperlink r:id="rId5634" ref="I5635"/>
    <hyperlink r:id="rId5635" ref="I5636"/>
    <hyperlink r:id="rId5636" ref="I5637"/>
    <hyperlink r:id="rId5637" ref="I5638"/>
    <hyperlink r:id="rId5638" ref="I5639"/>
    <hyperlink r:id="rId5639" ref="I5640"/>
    <hyperlink r:id="rId5640" ref="I5641"/>
    <hyperlink r:id="rId5641" ref="I5642"/>
    <hyperlink r:id="rId5642" ref="I5643"/>
    <hyperlink r:id="rId5643" ref="I5644"/>
    <hyperlink r:id="rId5644" ref="I5645"/>
    <hyperlink r:id="rId5645" ref="I5646"/>
    <hyperlink r:id="rId5646" ref="I5647"/>
    <hyperlink r:id="rId5647" ref="I5648"/>
    <hyperlink r:id="rId5648" ref="I5649"/>
    <hyperlink r:id="rId5649" ref="I5650"/>
    <hyperlink r:id="rId5650" ref="I5651"/>
    <hyperlink r:id="rId5651" ref="I5652"/>
    <hyperlink r:id="rId5652" ref="I5653"/>
    <hyperlink r:id="rId5653" ref="I5654"/>
    <hyperlink r:id="rId5654" ref="I5655"/>
    <hyperlink r:id="rId5655" ref="I5656"/>
    <hyperlink r:id="rId5656" ref="I5657"/>
    <hyperlink r:id="rId5657" ref="I5658"/>
    <hyperlink r:id="rId5658" ref="I5659"/>
    <hyperlink r:id="rId5659" ref="I5660"/>
    <hyperlink r:id="rId5660" ref="I5661"/>
    <hyperlink r:id="rId5661" ref="I5662"/>
    <hyperlink r:id="rId5662" ref="I5663"/>
    <hyperlink r:id="rId5663" ref="I5664"/>
    <hyperlink r:id="rId5664" ref="I5665"/>
    <hyperlink r:id="rId5665" ref="I5666"/>
    <hyperlink r:id="rId5666" ref="I5667"/>
    <hyperlink r:id="rId5667" ref="I5668"/>
    <hyperlink r:id="rId5668" ref="I5669"/>
    <hyperlink r:id="rId5669" ref="I5670"/>
    <hyperlink r:id="rId5670" ref="I5671"/>
    <hyperlink r:id="rId5671" ref="I5672"/>
    <hyperlink r:id="rId5672" ref="I5673"/>
    <hyperlink r:id="rId5673" ref="I5674"/>
    <hyperlink r:id="rId5674" ref="I5675"/>
    <hyperlink r:id="rId5675" ref="I5676"/>
    <hyperlink r:id="rId5676" ref="I5677"/>
    <hyperlink r:id="rId5677" ref="I5678"/>
    <hyperlink r:id="rId5678" ref="I5679"/>
    <hyperlink r:id="rId5679" ref="I5680"/>
    <hyperlink r:id="rId5680" ref="I5681"/>
    <hyperlink r:id="rId5681" ref="I5682"/>
    <hyperlink r:id="rId5682" ref="I5683"/>
    <hyperlink r:id="rId5683" ref="I5684"/>
    <hyperlink r:id="rId5684" ref="I5685"/>
    <hyperlink r:id="rId5685" ref="I5686"/>
    <hyperlink r:id="rId5686" ref="I5687"/>
    <hyperlink r:id="rId5687" ref="I5688"/>
    <hyperlink r:id="rId5688" ref="I5689"/>
    <hyperlink r:id="rId5689" ref="I5690"/>
    <hyperlink r:id="rId5690" ref="I5691"/>
    <hyperlink r:id="rId5691" ref="I5692"/>
    <hyperlink r:id="rId5692" ref="I5693"/>
    <hyperlink r:id="rId5693" ref="I5694"/>
    <hyperlink r:id="rId5694" ref="I5695"/>
    <hyperlink r:id="rId5695" ref="I5696"/>
    <hyperlink r:id="rId5696" ref="I5697"/>
    <hyperlink r:id="rId5697" ref="I5698"/>
    <hyperlink r:id="rId5698" ref="I5699"/>
    <hyperlink r:id="rId5699" ref="I5700"/>
    <hyperlink r:id="rId5700" ref="I5701"/>
    <hyperlink r:id="rId5701" ref="I5702"/>
    <hyperlink r:id="rId5702" ref="I5703"/>
    <hyperlink r:id="rId5703" ref="I5704"/>
    <hyperlink r:id="rId5704" ref="I5705"/>
    <hyperlink r:id="rId5705" ref="I5706"/>
    <hyperlink r:id="rId5706" ref="I5707"/>
    <hyperlink r:id="rId5707" ref="I5708"/>
    <hyperlink r:id="rId5708" ref="I5709"/>
    <hyperlink r:id="rId5709" ref="I5710"/>
    <hyperlink r:id="rId5710" ref="I5711"/>
    <hyperlink r:id="rId5711" ref="I5712"/>
    <hyperlink r:id="rId5712" ref="I5713"/>
    <hyperlink r:id="rId5713" ref="I5714"/>
    <hyperlink r:id="rId5714" ref="I5715"/>
    <hyperlink r:id="rId5715" ref="I5716"/>
    <hyperlink r:id="rId5716" ref="I5717"/>
    <hyperlink r:id="rId5717" ref="I5718"/>
    <hyperlink r:id="rId5718" ref="I5719"/>
    <hyperlink r:id="rId5719" ref="I5720"/>
    <hyperlink r:id="rId5720" ref="I5721"/>
    <hyperlink r:id="rId5721" ref="I5722"/>
    <hyperlink r:id="rId5722" ref="I5723"/>
    <hyperlink r:id="rId5723" ref="I5724"/>
    <hyperlink r:id="rId5724" ref="I5725"/>
    <hyperlink r:id="rId5725" ref="I5726"/>
    <hyperlink r:id="rId5726" ref="I5727"/>
    <hyperlink r:id="rId5727" ref="I5728"/>
    <hyperlink r:id="rId5728" ref="I5729"/>
    <hyperlink r:id="rId5729" ref="I5730"/>
    <hyperlink r:id="rId5730" ref="I5731"/>
    <hyperlink r:id="rId5731" ref="I5732"/>
    <hyperlink r:id="rId5732" ref="I5733"/>
    <hyperlink r:id="rId5733" ref="I5734"/>
    <hyperlink r:id="rId5734" ref="I5735"/>
    <hyperlink r:id="rId5735" ref="I5736"/>
    <hyperlink r:id="rId5736" ref="I5737"/>
    <hyperlink r:id="rId5737" ref="I5738"/>
    <hyperlink r:id="rId5738" ref="I5739"/>
    <hyperlink r:id="rId5739" ref="I5740"/>
    <hyperlink r:id="rId5740" ref="I5741"/>
    <hyperlink r:id="rId5741" ref="I5742"/>
    <hyperlink r:id="rId5742" ref="I5743"/>
    <hyperlink r:id="rId5743" ref="I5744"/>
    <hyperlink r:id="rId5744" ref="I5745"/>
    <hyperlink r:id="rId5745" ref="I5746"/>
    <hyperlink r:id="rId5746" ref="I5747"/>
    <hyperlink r:id="rId5747" ref="I5748"/>
    <hyperlink r:id="rId5748" ref="I5749"/>
    <hyperlink r:id="rId5749" ref="I5750"/>
    <hyperlink r:id="rId5750" ref="I5751"/>
    <hyperlink r:id="rId5751" ref="I5752"/>
    <hyperlink r:id="rId5752" ref="I5753"/>
    <hyperlink r:id="rId5753" ref="I5754"/>
    <hyperlink r:id="rId5754" ref="I5755"/>
    <hyperlink r:id="rId5755" ref="I5756"/>
    <hyperlink r:id="rId5756" ref="I5757"/>
    <hyperlink r:id="rId5757" ref="I5758"/>
    <hyperlink r:id="rId5758" ref="I5759"/>
    <hyperlink r:id="rId5759" ref="I5760"/>
    <hyperlink r:id="rId5760" ref="I5761"/>
    <hyperlink r:id="rId5761" ref="I5762"/>
    <hyperlink r:id="rId5762" ref="I5763"/>
    <hyperlink r:id="rId5763" ref="I5764"/>
    <hyperlink r:id="rId5764" ref="I5765"/>
    <hyperlink r:id="rId5765" ref="I5766"/>
    <hyperlink r:id="rId5766" ref="I5767"/>
    <hyperlink r:id="rId5767" ref="I5768"/>
    <hyperlink r:id="rId5768" ref="I5769"/>
    <hyperlink r:id="rId5769" ref="I5770"/>
    <hyperlink r:id="rId5770" ref="I5771"/>
    <hyperlink r:id="rId5771" ref="I5772"/>
    <hyperlink r:id="rId5772" ref="I5773"/>
    <hyperlink r:id="rId5773" ref="I5774"/>
    <hyperlink r:id="rId5774" ref="I5775"/>
    <hyperlink r:id="rId5775" ref="I5776"/>
    <hyperlink r:id="rId5776" ref="I5777"/>
    <hyperlink r:id="rId5777" ref="I5778"/>
    <hyperlink r:id="rId5778" ref="I5779"/>
    <hyperlink r:id="rId5779" ref="I5780"/>
    <hyperlink r:id="rId5780" ref="I5781"/>
    <hyperlink r:id="rId5781" ref="I5782"/>
    <hyperlink r:id="rId5782" ref="I5783"/>
    <hyperlink r:id="rId5783" ref="I5784"/>
    <hyperlink r:id="rId5784" ref="I5785"/>
    <hyperlink r:id="rId5785" ref="I5786"/>
    <hyperlink r:id="rId5786" ref="I5787"/>
    <hyperlink r:id="rId5787" ref="I5788"/>
    <hyperlink r:id="rId5788" ref="I5789"/>
    <hyperlink r:id="rId5789" ref="I5790"/>
    <hyperlink r:id="rId5790" ref="I5791"/>
    <hyperlink r:id="rId5791" ref="I5792"/>
    <hyperlink r:id="rId5792" ref="I5793"/>
    <hyperlink r:id="rId5793" ref="I5794"/>
    <hyperlink r:id="rId5794" ref="I5795"/>
    <hyperlink r:id="rId5795" ref="I5796"/>
    <hyperlink r:id="rId5796" ref="I5797"/>
    <hyperlink r:id="rId5797" ref="I5798"/>
    <hyperlink r:id="rId5798" ref="I5799"/>
    <hyperlink r:id="rId5799" ref="I5800"/>
    <hyperlink r:id="rId5800" ref="I5801"/>
    <hyperlink r:id="rId5801" ref="I5802"/>
    <hyperlink r:id="rId5802" ref="I5803"/>
    <hyperlink r:id="rId5803" ref="I5804"/>
    <hyperlink r:id="rId5804" ref="I5805"/>
    <hyperlink r:id="rId5805" ref="I5806"/>
    <hyperlink r:id="rId5806" ref="I5807"/>
    <hyperlink r:id="rId5807" ref="I5808"/>
    <hyperlink r:id="rId5808" ref="I5809"/>
    <hyperlink r:id="rId5809" ref="I5810"/>
    <hyperlink r:id="rId5810" ref="I5811"/>
    <hyperlink r:id="rId5811" ref="I5812"/>
    <hyperlink r:id="rId5812" ref="I5813"/>
    <hyperlink r:id="rId5813" ref="I5814"/>
    <hyperlink r:id="rId5814" ref="I5815"/>
    <hyperlink r:id="rId5815" ref="I5816"/>
    <hyperlink r:id="rId5816" ref="I5817"/>
    <hyperlink r:id="rId5817" ref="I5818"/>
    <hyperlink r:id="rId5818" ref="I5819"/>
    <hyperlink r:id="rId5819" ref="I5820"/>
    <hyperlink r:id="rId5820" ref="I5821"/>
    <hyperlink r:id="rId5821" ref="I5822"/>
    <hyperlink r:id="rId5822" ref="I5823"/>
    <hyperlink r:id="rId5823" ref="I5824"/>
    <hyperlink r:id="rId5824" ref="I5825"/>
    <hyperlink r:id="rId5825" ref="I5826"/>
    <hyperlink r:id="rId5826" ref="I5827"/>
    <hyperlink r:id="rId5827" ref="I5828"/>
    <hyperlink r:id="rId5828" ref="I5829"/>
    <hyperlink r:id="rId5829" ref="I5830"/>
    <hyperlink r:id="rId5830" ref="I5831"/>
    <hyperlink r:id="rId5831" ref="I5832"/>
    <hyperlink r:id="rId5832" ref="I5833"/>
    <hyperlink r:id="rId5833" ref="I5834"/>
    <hyperlink r:id="rId5834" ref="I5835"/>
    <hyperlink r:id="rId5835" ref="I5836"/>
    <hyperlink r:id="rId5836" ref="I5837"/>
    <hyperlink r:id="rId5837" ref="I5838"/>
    <hyperlink r:id="rId5838" ref="I5839"/>
    <hyperlink r:id="rId5839" ref="I5840"/>
    <hyperlink r:id="rId5840" ref="I5841"/>
    <hyperlink r:id="rId5841" ref="I5842"/>
    <hyperlink r:id="rId5842" ref="I5843"/>
    <hyperlink r:id="rId5843" ref="I5844"/>
    <hyperlink r:id="rId5844" ref="I5845"/>
    <hyperlink r:id="rId5845" ref="I5846"/>
    <hyperlink r:id="rId5846" ref="I5847"/>
    <hyperlink r:id="rId5847" ref="I5848"/>
    <hyperlink r:id="rId5848" ref="I5849"/>
    <hyperlink r:id="rId5849" ref="I5850"/>
    <hyperlink r:id="rId5850" ref="I5851"/>
    <hyperlink r:id="rId5851" ref="I5852"/>
    <hyperlink r:id="rId5852" ref="I5853"/>
    <hyperlink r:id="rId5853" ref="I5854"/>
    <hyperlink r:id="rId5854" ref="I5855"/>
    <hyperlink r:id="rId5855" ref="I5856"/>
    <hyperlink r:id="rId5856" ref="I5857"/>
    <hyperlink r:id="rId5857" ref="I5858"/>
    <hyperlink r:id="rId5858" ref="I5859"/>
    <hyperlink r:id="rId5859" ref="I5860"/>
    <hyperlink r:id="rId5860" ref="I5861"/>
    <hyperlink r:id="rId5861" ref="I5862"/>
    <hyperlink r:id="rId5862" ref="I5863"/>
    <hyperlink r:id="rId5863" ref="I5864"/>
    <hyperlink r:id="rId5864" ref="I5865"/>
    <hyperlink r:id="rId5865" ref="I5866"/>
    <hyperlink r:id="rId5866" ref="I5867"/>
    <hyperlink r:id="rId5867" ref="I5868"/>
    <hyperlink r:id="rId5868" ref="I5869"/>
    <hyperlink r:id="rId5869" ref="I5870"/>
    <hyperlink r:id="rId5870" ref="I5871"/>
    <hyperlink r:id="rId5871" ref="I5872"/>
    <hyperlink r:id="rId5872" ref="I5873"/>
    <hyperlink r:id="rId5873" ref="I5874"/>
    <hyperlink r:id="rId5874" ref="I5875"/>
    <hyperlink r:id="rId5875" ref="I5876"/>
    <hyperlink r:id="rId5876" ref="I5877"/>
    <hyperlink r:id="rId5877" ref="I5878"/>
    <hyperlink r:id="rId5878" ref="I5879"/>
    <hyperlink r:id="rId5879" ref="I5880"/>
    <hyperlink r:id="rId5880" ref="I5881"/>
    <hyperlink r:id="rId5881" ref="I5882"/>
    <hyperlink r:id="rId5882" ref="I5883"/>
    <hyperlink r:id="rId5883" ref="I5884"/>
    <hyperlink r:id="rId5884" ref="I5885"/>
    <hyperlink r:id="rId5885" ref="I5886"/>
    <hyperlink r:id="rId5886" ref="I5887"/>
    <hyperlink r:id="rId5887" ref="I5888"/>
    <hyperlink r:id="rId5888" ref="I5889"/>
    <hyperlink r:id="rId5889" ref="I5890"/>
    <hyperlink r:id="rId5890" ref="I5891"/>
    <hyperlink r:id="rId5891" ref="I5892"/>
    <hyperlink r:id="rId5892" ref="I5893"/>
    <hyperlink r:id="rId5893" ref="I5894"/>
    <hyperlink r:id="rId5894" ref="I5895"/>
    <hyperlink r:id="rId5895" ref="I5896"/>
    <hyperlink r:id="rId5896" ref="I5897"/>
    <hyperlink r:id="rId5897" ref="I5898"/>
    <hyperlink r:id="rId5898" ref="I5899"/>
    <hyperlink r:id="rId5899" ref="I5900"/>
    <hyperlink r:id="rId5900" ref="I5901"/>
    <hyperlink r:id="rId5901" ref="I5902"/>
    <hyperlink r:id="rId5902" ref="I5903"/>
    <hyperlink r:id="rId5903" ref="I5904"/>
    <hyperlink r:id="rId5904" ref="I5905"/>
    <hyperlink r:id="rId5905" ref="I5906"/>
    <hyperlink r:id="rId5906" ref="I5907"/>
    <hyperlink r:id="rId5907" ref="I5908"/>
    <hyperlink r:id="rId5908" ref="I5909"/>
    <hyperlink r:id="rId5909" ref="I5910"/>
    <hyperlink r:id="rId5910" ref="I5911"/>
    <hyperlink r:id="rId5911" ref="I5912"/>
    <hyperlink r:id="rId5912" ref="I5913"/>
    <hyperlink r:id="rId5913" ref="I5914"/>
    <hyperlink r:id="rId5914" ref="I5915"/>
    <hyperlink r:id="rId5915" ref="I5916"/>
    <hyperlink r:id="rId5916" ref="I5917"/>
    <hyperlink r:id="rId5917" ref="I5918"/>
    <hyperlink r:id="rId5918" ref="I5919"/>
    <hyperlink r:id="rId5919" ref="I5920"/>
    <hyperlink r:id="rId5920" ref="I5921"/>
    <hyperlink r:id="rId5921" ref="I5922"/>
    <hyperlink r:id="rId5922" ref="I5923"/>
    <hyperlink r:id="rId5923" ref="I5924"/>
    <hyperlink r:id="rId5924" ref="I5925"/>
    <hyperlink r:id="rId5925" ref="I5926"/>
    <hyperlink r:id="rId5926" ref="I5927"/>
    <hyperlink r:id="rId5927" ref="I5928"/>
    <hyperlink r:id="rId5928" ref="I5929"/>
    <hyperlink r:id="rId5929" ref="I5930"/>
    <hyperlink r:id="rId5930" ref="I5931"/>
    <hyperlink r:id="rId5931" ref="I5932"/>
    <hyperlink r:id="rId5932" ref="I5933"/>
    <hyperlink r:id="rId5933" ref="I5934"/>
    <hyperlink r:id="rId5934" ref="I5935"/>
    <hyperlink r:id="rId5935" ref="I5936"/>
    <hyperlink r:id="rId5936" ref="I5937"/>
    <hyperlink r:id="rId5937" ref="I5938"/>
    <hyperlink r:id="rId5938" ref="I5939"/>
    <hyperlink r:id="rId5939" ref="I5940"/>
    <hyperlink r:id="rId5940" ref="I5941"/>
    <hyperlink r:id="rId5941" ref="I5942"/>
    <hyperlink r:id="rId5942" ref="I5943"/>
    <hyperlink r:id="rId5943" ref="I5944"/>
    <hyperlink r:id="rId5944" ref="I5945"/>
    <hyperlink r:id="rId5945" ref="I5946"/>
    <hyperlink r:id="rId5946" ref="I5947"/>
    <hyperlink r:id="rId5947" ref="I5948"/>
    <hyperlink r:id="rId5948" ref="I5949"/>
    <hyperlink r:id="rId5949" ref="I5950"/>
    <hyperlink r:id="rId5950" ref="I5951"/>
    <hyperlink r:id="rId5951" ref="I5952"/>
    <hyperlink r:id="rId5952" ref="I5953"/>
    <hyperlink r:id="rId5953" ref="I5954"/>
    <hyperlink r:id="rId5954" ref="I5955"/>
    <hyperlink r:id="rId5955" ref="I5956"/>
    <hyperlink r:id="rId5956" ref="I5957"/>
    <hyperlink r:id="rId5957" ref="I5958"/>
    <hyperlink r:id="rId5958" ref="I5959"/>
    <hyperlink r:id="rId5959" ref="I5960"/>
    <hyperlink r:id="rId5960" ref="I5961"/>
    <hyperlink r:id="rId5961" ref="I5962"/>
    <hyperlink r:id="rId5962" ref="I5963"/>
    <hyperlink r:id="rId5963" ref="I5964"/>
    <hyperlink r:id="rId5964" ref="I5965"/>
    <hyperlink r:id="rId5965" ref="I5966"/>
    <hyperlink r:id="rId5966" ref="I5967"/>
    <hyperlink r:id="rId5967" ref="I5968"/>
    <hyperlink r:id="rId5968" ref="I5969"/>
    <hyperlink r:id="rId5969" ref="I5970"/>
    <hyperlink r:id="rId5970" ref="I5971"/>
    <hyperlink r:id="rId5971" ref="I5972"/>
    <hyperlink r:id="rId5972" ref="I5973"/>
    <hyperlink r:id="rId5973" ref="I5974"/>
    <hyperlink r:id="rId5974" ref="I5975"/>
    <hyperlink r:id="rId5975" ref="I5976"/>
    <hyperlink r:id="rId5976" ref="I5977"/>
    <hyperlink r:id="rId5977" ref="I5978"/>
    <hyperlink r:id="rId5978" ref="I5979"/>
    <hyperlink r:id="rId5979" ref="I5980"/>
    <hyperlink r:id="rId5980" ref="I5981"/>
    <hyperlink r:id="rId5981" ref="I5982"/>
    <hyperlink r:id="rId5982" ref="I5983"/>
    <hyperlink r:id="rId5983" ref="I5984"/>
    <hyperlink r:id="rId5984" ref="I5985"/>
    <hyperlink r:id="rId5985" ref="I5986"/>
    <hyperlink r:id="rId5986" ref="I5987"/>
    <hyperlink r:id="rId5987" ref="I5988"/>
    <hyperlink r:id="rId5988" ref="I5989"/>
    <hyperlink r:id="rId5989" ref="I5990"/>
    <hyperlink r:id="rId5990" ref="I5991"/>
    <hyperlink r:id="rId5991" ref="I5992"/>
    <hyperlink r:id="rId5992" ref="I5993"/>
    <hyperlink r:id="rId5993" ref="I5994"/>
    <hyperlink r:id="rId5994" ref="I5995"/>
    <hyperlink r:id="rId5995" ref="I5996"/>
    <hyperlink r:id="rId5996" ref="I5997"/>
    <hyperlink r:id="rId5997" ref="I5998"/>
    <hyperlink r:id="rId5998" ref="I5999"/>
    <hyperlink r:id="rId5999" ref="I6000"/>
    <hyperlink r:id="rId6000" ref="I6001"/>
    <hyperlink r:id="rId6001" ref="I6002"/>
    <hyperlink r:id="rId6002" ref="I6003"/>
    <hyperlink r:id="rId6003" ref="I6004"/>
    <hyperlink r:id="rId6004" ref="I6005"/>
    <hyperlink r:id="rId6005" ref="I6006"/>
    <hyperlink r:id="rId6006" ref="I6007"/>
    <hyperlink r:id="rId6007" ref="I6008"/>
    <hyperlink r:id="rId6008" ref="I6009"/>
    <hyperlink r:id="rId6009" ref="I6010"/>
    <hyperlink r:id="rId6010" ref="I6011"/>
    <hyperlink r:id="rId6011" ref="I6012"/>
    <hyperlink r:id="rId6012" ref="I6013"/>
    <hyperlink r:id="rId6013" ref="I6014"/>
    <hyperlink r:id="rId6014" ref="I6015"/>
    <hyperlink r:id="rId6015" ref="I6016"/>
    <hyperlink r:id="rId6016" ref="I6017"/>
    <hyperlink r:id="rId6017" ref="I6018"/>
    <hyperlink r:id="rId6018" ref="I6019"/>
    <hyperlink r:id="rId6019" ref="I6020"/>
    <hyperlink r:id="rId6020" ref="I6021"/>
    <hyperlink r:id="rId6021" ref="I6022"/>
    <hyperlink r:id="rId6022" ref="I6023"/>
    <hyperlink r:id="rId6023" ref="I6024"/>
    <hyperlink r:id="rId6024" ref="I6025"/>
    <hyperlink r:id="rId6025" ref="I6026"/>
    <hyperlink r:id="rId6026" ref="I6027"/>
    <hyperlink r:id="rId6027" ref="I6028"/>
    <hyperlink r:id="rId6028" ref="I6029"/>
    <hyperlink r:id="rId6029" ref="I6030"/>
    <hyperlink r:id="rId6030" ref="I6031"/>
    <hyperlink r:id="rId6031" ref="I6032"/>
    <hyperlink r:id="rId6032" ref="I6033"/>
    <hyperlink r:id="rId6033" ref="I6034"/>
    <hyperlink r:id="rId6034" ref="I6035"/>
    <hyperlink r:id="rId6035" ref="I6036"/>
    <hyperlink r:id="rId6036" ref="I6037"/>
    <hyperlink r:id="rId6037" ref="I6038"/>
    <hyperlink r:id="rId6038" ref="I6039"/>
    <hyperlink r:id="rId6039" ref="I6040"/>
    <hyperlink r:id="rId6040" ref="I6041"/>
    <hyperlink r:id="rId6041" ref="I6042"/>
    <hyperlink r:id="rId6042" ref="I6043"/>
    <hyperlink r:id="rId6043" ref="I6044"/>
    <hyperlink r:id="rId6044" ref="I6045"/>
    <hyperlink r:id="rId6045" ref="I6046"/>
    <hyperlink r:id="rId6046" ref="I6047"/>
    <hyperlink r:id="rId6047" ref="I6048"/>
    <hyperlink r:id="rId6048" ref="I6049"/>
    <hyperlink r:id="rId6049" ref="I6050"/>
    <hyperlink r:id="rId6050" ref="I6051"/>
    <hyperlink r:id="rId6051" ref="I6052"/>
    <hyperlink r:id="rId6052" ref="I6053"/>
    <hyperlink r:id="rId6053" ref="I6054"/>
    <hyperlink r:id="rId6054" ref="I6055"/>
    <hyperlink r:id="rId6055" ref="I6056"/>
    <hyperlink r:id="rId6056" ref="I6057"/>
    <hyperlink r:id="rId6057" ref="I6058"/>
    <hyperlink r:id="rId6058" ref="I6059"/>
    <hyperlink r:id="rId6059" ref="I6060"/>
    <hyperlink r:id="rId6060" ref="I6061"/>
    <hyperlink r:id="rId6061" ref="I6062"/>
    <hyperlink r:id="rId6062" ref="I6063"/>
    <hyperlink r:id="rId6063" ref="I6064"/>
    <hyperlink r:id="rId6064" ref="I6065"/>
    <hyperlink r:id="rId6065" ref="I6066"/>
    <hyperlink r:id="rId6066" ref="I6067"/>
    <hyperlink r:id="rId6067" ref="I6068"/>
    <hyperlink r:id="rId6068" ref="I6069"/>
    <hyperlink r:id="rId6069" ref="I6070"/>
    <hyperlink r:id="rId6070" ref="I6071"/>
    <hyperlink r:id="rId6071" ref="I6072"/>
    <hyperlink r:id="rId6072" ref="I6073"/>
    <hyperlink r:id="rId6073" ref="I6074"/>
    <hyperlink r:id="rId6074" ref="I6075"/>
    <hyperlink r:id="rId6075" ref="I6076"/>
    <hyperlink r:id="rId6076" ref="I6077"/>
    <hyperlink r:id="rId6077" ref="I6078"/>
    <hyperlink r:id="rId6078" ref="I6079"/>
    <hyperlink r:id="rId6079" ref="I6080"/>
    <hyperlink r:id="rId6080" ref="I6081"/>
    <hyperlink r:id="rId6081" ref="I6082"/>
    <hyperlink r:id="rId6082" ref="I6083"/>
    <hyperlink r:id="rId6083" ref="I6084"/>
    <hyperlink r:id="rId6084" ref="I6085"/>
    <hyperlink r:id="rId6085" ref="I6086"/>
    <hyperlink r:id="rId6086" ref="I6087"/>
    <hyperlink r:id="rId6087" ref="I6088"/>
    <hyperlink r:id="rId6088" ref="I6089"/>
    <hyperlink r:id="rId6089" ref="I6090"/>
    <hyperlink r:id="rId6090" ref="I6091"/>
    <hyperlink r:id="rId6091" ref="I6092"/>
    <hyperlink r:id="rId6092" ref="I6093"/>
    <hyperlink r:id="rId6093" ref="I6094"/>
    <hyperlink r:id="rId6094" ref="I6095"/>
    <hyperlink r:id="rId6095" ref="I6096"/>
    <hyperlink r:id="rId6096" ref="I6097"/>
    <hyperlink r:id="rId6097" ref="I6098"/>
    <hyperlink r:id="rId6098" ref="I6099"/>
    <hyperlink r:id="rId6099" ref="I6100"/>
    <hyperlink r:id="rId6100" ref="I6101"/>
    <hyperlink r:id="rId6101" ref="I6102"/>
    <hyperlink r:id="rId6102" ref="I6103"/>
    <hyperlink r:id="rId6103" ref="I6104"/>
    <hyperlink r:id="rId6104" ref="I6105"/>
    <hyperlink r:id="rId6105" ref="I6106"/>
    <hyperlink r:id="rId6106" ref="I6107"/>
    <hyperlink r:id="rId6107" ref="I6108"/>
    <hyperlink r:id="rId6108" ref="I6109"/>
    <hyperlink r:id="rId6109" ref="I6110"/>
    <hyperlink r:id="rId6110" ref="I6111"/>
    <hyperlink r:id="rId6111" ref="I6112"/>
    <hyperlink r:id="rId6112" ref="I6113"/>
    <hyperlink r:id="rId6113" ref="I6114"/>
    <hyperlink r:id="rId6114" ref="I6115"/>
    <hyperlink r:id="rId6115" ref="I6116"/>
    <hyperlink r:id="rId6116" ref="I6117"/>
    <hyperlink r:id="rId6117" ref="I6118"/>
    <hyperlink r:id="rId6118" ref="I6119"/>
    <hyperlink r:id="rId6119" ref="I6120"/>
    <hyperlink r:id="rId6120" ref="I6121"/>
    <hyperlink r:id="rId6121" ref="I6122"/>
    <hyperlink r:id="rId6122" ref="I6123"/>
    <hyperlink r:id="rId6123" ref="I6124"/>
    <hyperlink r:id="rId6124" ref="I6125"/>
    <hyperlink r:id="rId6125" ref="I6126"/>
    <hyperlink r:id="rId6126" ref="I6127"/>
    <hyperlink r:id="rId6127" ref="I6128"/>
    <hyperlink r:id="rId6128" ref="I6129"/>
    <hyperlink r:id="rId6129" ref="I6130"/>
    <hyperlink r:id="rId6130" ref="I6131"/>
    <hyperlink r:id="rId6131" ref="I6132"/>
    <hyperlink r:id="rId6132" ref="I6133"/>
    <hyperlink r:id="rId6133" ref="I6134"/>
    <hyperlink r:id="rId6134" ref="I6135"/>
    <hyperlink r:id="rId6135" ref="I6136"/>
    <hyperlink r:id="rId6136" ref="I6137"/>
    <hyperlink r:id="rId6137" ref="I6138"/>
    <hyperlink r:id="rId6138" ref="I6139"/>
    <hyperlink r:id="rId6139" ref="I6140"/>
    <hyperlink r:id="rId6140" ref="I6141"/>
    <hyperlink r:id="rId6141" ref="I6142"/>
    <hyperlink r:id="rId6142" ref="I6143"/>
    <hyperlink r:id="rId6143" ref="I6144"/>
    <hyperlink r:id="rId6144" ref="I6145"/>
    <hyperlink r:id="rId6145" ref="I6146"/>
    <hyperlink r:id="rId6146" ref="I6147"/>
    <hyperlink r:id="rId6147" ref="I6148"/>
    <hyperlink r:id="rId6148" ref="I6149"/>
    <hyperlink r:id="rId6149" ref="I6150"/>
    <hyperlink r:id="rId6150" ref="I6151"/>
    <hyperlink r:id="rId6151" ref="I6152"/>
    <hyperlink r:id="rId6152" ref="I6153"/>
    <hyperlink r:id="rId6153" ref="I6154"/>
    <hyperlink r:id="rId6154" ref="I6155"/>
    <hyperlink r:id="rId6155" ref="I6156"/>
    <hyperlink r:id="rId6156" ref="I6157"/>
    <hyperlink r:id="rId6157" ref="I6158"/>
    <hyperlink r:id="rId6158" ref="I6159"/>
    <hyperlink r:id="rId6159" ref="I6160"/>
    <hyperlink r:id="rId6160" ref="I6161"/>
    <hyperlink r:id="rId6161" ref="I6162"/>
    <hyperlink r:id="rId6162" ref="I6163"/>
    <hyperlink r:id="rId6163" ref="I6164"/>
    <hyperlink r:id="rId6164" ref="I6165"/>
    <hyperlink r:id="rId6165" ref="I6166"/>
    <hyperlink r:id="rId6166" ref="I6167"/>
    <hyperlink r:id="rId6167" ref="I6168"/>
    <hyperlink r:id="rId6168" ref="I6169"/>
    <hyperlink r:id="rId6169" ref="I6170"/>
    <hyperlink r:id="rId6170" ref="I6171"/>
    <hyperlink r:id="rId6171" ref="I6172"/>
    <hyperlink r:id="rId6172" ref="I6173"/>
    <hyperlink r:id="rId6173" ref="I6174"/>
    <hyperlink r:id="rId6174" ref="I6175"/>
    <hyperlink r:id="rId6175" ref="I6176"/>
    <hyperlink r:id="rId6176" ref="I6177"/>
    <hyperlink r:id="rId6177" ref="I6178"/>
    <hyperlink r:id="rId6178" ref="I6179"/>
    <hyperlink r:id="rId6179" ref="I6180"/>
    <hyperlink r:id="rId6180" ref="I6181"/>
    <hyperlink r:id="rId6181" ref="I6182"/>
    <hyperlink r:id="rId6182" ref="I6183"/>
    <hyperlink r:id="rId6183" ref="I6184"/>
    <hyperlink r:id="rId6184" ref="I6185"/>
    <hyperlink r:id="rId6185" ref="I6186"/>
    <hyperlink r:id="rId6186" ref="I6187"/>
    <hyperlink r:id="rId6187" ref="I6188"/>
    <hyperlink r:id="rId6188" ref="I6189"/>
    <hyperlink r:id="rId6189" ref="I6190"/>
    <hyperlink r:id="rId6190" ref="I6191"/>
    <hyperlink r:id="rId6191" ref="I6192"/>
    <hyperlink r:id="rId6192" ref="I6193"/>
    <hyperlink r:id="rId6193" ref="I6194"/>
    <hyperlink r:id="rId6194" ref="I6195"/>
    <hyperlink r:id="rId6195" ref="I6196"/>
    <hyperlink r:id="rId6196" ref="I6197"/>
    <hyperlink r:id="rId6197" ref="I6198"/>
    <hyperlink r:id="rId6198" ref="I6199"/>
    <hyperlink r:id="rId6199" ref="I6200"/>
    <hyperlink r:id="rId6200" ref="I6201"/>
    <hyperlink r:id="rId6201" ref="I6202"/>
    <hyperlink r:id="rId6202" ref="I6203"/>
    <hyperlink r:id="rId6203" ref="I6204"/>
    <hyperlink r:id="rId6204" ref="I6205"/>
    <hyperlink r:id="rId6205" ref="I6206"/>
    <hyperlink r:id="rId6206" ref="I6207"/>
    <hyperlink r:id="rId6207" ref="I6208"/>
    <hyperlink r:id="rId6208" ref="I6209"/>
    <hyperlink r:id="rId6209" ref="I6210"/>
    <hyperlink r:id="rId6210" ref="I6211"/>
    <hyperlink r:id="rId6211" ref="I6212"/>
    <hyperlink r:id="rId6212" ref="I6213"/>
    <hyperlink r:id="rId6213" ref="I6214"/>
    <hyperlink r:id="rId6214" ref="I6215"/>
    <hyperlink r:id="rId6215" ref="I6216"/>
    <hyperlink r:id="rId6216" ref="I6217"/>
    <hyperlink r:id="rId6217" ref="I6218"/>
    <hyperlink r:id="rId6218" ref="I6219"/>
    <hyperlink r:id="rId6219" ref="I6220"/>
    <hyperlink r:id="rId6220" ref="I6221"/>
    <hyperlink r:id="rId6221" ref="I6222"/>
    <hyperlink r:id="rId6222" ref="I6223"/>
    <hyperlink r:id="rId6223" ref="I6224"/>
    <hyperlink r:id="rId6224" ref="I6225"/>
    <hyperlink r:id="rId6225" ref="I6226"/>
    <hyperlink r:id="rId6226" ref="I6227"/>
    <hyperlink r:id="rId6227" ref="I6228"/>
    <hyperlink r:id="rId6228" ref="I6229"/>
    <hyperlink r:id="rId6229" ref="I6230"/>
    <hyperlink r:id="rId6230" ref="I6231"/>
    <hyperlink r:id="rId6231" ref="I6232"/>
    <hyperlink r:id="rId6232" ref="I6233"/>
    <hyperlink r:id="rId6233" ref="I6234"/>
    <hyperlink r:id="rId6234" ref="I6235"/>
    <hyperlink r:id="rId6235" ref="I6236"/>
    <hyperlink r:id="rId6236" ref="I6237"/>
    <hyperlink r:id="rId6237" ref="I6238"/>
    <hyperlink r:id="rId6238" ref="I6239"/>
    <hyperlink r:id="rId6239" ref="I6240"/>
    <hyperlink r:id="rId6240" ref="I6241"/>
    <hyperlink r:id="rId6241" ref="I6242"/>
    <hyperlink r:id="rId6242" ref="I6243"/>
    <hyperlink r:id="rId6243" ref="I6244"/>
    <hyperlink r:id="rId6244" ref="I6245"/>
    <hyperlink r:id="rId6245" ref="I6246"/>
    <hyperlink r:id="rId6246" ref="I6247"/>
    <hyperlink r:id="rId6247" ref="I6248"/>
    <hyperlink r:id="rId6248" ref="I6249"/>
    <hyperlink r:id="rId6249" ref="I6250"/>
    <hyperlink r:id="rId6250" ref="I6251"/>
    <hyperlink r:id="rId6251" ref="I6252"/>
    <hyperlink r:id="rId6252" ref="I6253"/>
    <hyperlink r:id="rId6253" ref="I6254"/>
    <hyperlink r:id="rId6254" ref="I6255"/>
    <hyperlink r:id="rId6255" ref="I6256"/>
    <hyperlink r:id="rId6256" ref="I6257"/>
    <hyperlink r:id="rId6257" ref="I6258"/>
    <hyperlink r:id="rId6258" ref="I6259"/>
    <hyperlink r:id="rId6259" ref="I6260"/>
    <hyperlink r:id="rId6260" ref="I6261"/>
    <hyperlink r:id="rId6261" ref="I6262"/>
    <hyperlink r:id="rId6262" ref="I6263"/>
    <hyperlink r:id="rId6263" ref="I6264"/>
    <hyperlink r:id="rId6264" ref="I6265"/>
    <hyperlink r:id="rId6265" ref="I6266"/>
    <hyperlink r:id="rId6266" ref="I6267"/>
    <hyperlink r:id="rId6267" ref="I6268"/>
    <hyperlink r:id="rId6268" ref="I6269"/>
    <hyperlink r:id="rId6269" ref="I6270"/>
    <hyperlink r:id="rId6270" ref="I6271"/>
    <hyperlink r:id="rId6271" ref="I6272"/>
    <hyperlink r:id="rId6272" ref="I6273"/>
    <hyperlink r:id="rId6273" ref="I6274"/>
    <hyperlink r:id="rId6274" ref="I6275"/>
    <hyperlink r:id="rId6275" ref="I6276"/>
    <hyperlink r:id="rId6276" ref="I6277"/>
    <hyperlink r:id="rId6277" ref="I6278"/>
    <hyperlink r:id="rId6278" ref="I6279"/>
    <hyperlink r:id="rId6279" ref="I6280"/>
    <hyperlink r:id="rId6280" ref="I6281"/>
    <hyperlink r:id="rId6281" ref="I6282"/>
    <hyperlink r:id="rId6282" ref="I6283"/>
    <hyperlink r:id="rId6283" ref="I6284"/>
    <hyperlink r:id="rId6284" ref="I6285"/>
    <hyperlink r:id="rId6285" ref="I6286"/>
    <hyperlink r:id="rId6286" ref="I6287"/>
    <hyperlink r:id="rId6287" ref="I6288"/>
    <hyperlink r:id="rId6288" ref="I6289"/>
    <hyperlink r:id="rId6289" ref="I6290"/>
    <hyperlink r:id="rId6290" ref="I6291"/>
    <hyperlink r:id="rId6291" ref="I6292"/>
    <hyperlink r:id="rId6292" ref="I6293"/>
    <hyperlink r:id="rId6293" ref="I6294"/>
    <hyperlink r:id="rId6294" ref="I6295"/>
    <hyperlink r:id="rId6295" ref="I6296"/>
    <hyperlink r:id="rId6296" ref="I6297"/>
    <hyperlink r:id="rId6297" ref="I6298"/>
    <hyperlink r:id="rId6298" ref="I6299"/>
    <hyperlink r:id="rId6299" ref="I6300"/>
    <hyperlink r:id="rId6300" ref="I6301"/>
    <hyperlink r:id="rId6301" ref="I6302"/>
    <hyperlink r:id="rId6302" ref="I6303"/>
    <hyperlink r:id="rId6303" ref="I6304"/>
    <hyperlink r:id="rId6304" ref="I6305"/>
    <hyperlink r:id="rId6305" ref="I6306"/>
    <hyperlink r:id="rId6306" ref="I6307"/>
    <hyperlink r:id="rId6307" ref="I6308"/>
    <hyperlink r:id="rId6308" ref="I6309"/>
    <hyperlink r:id="rId6309" ref="I6310"/>
    <hyperlink r:id="rId6310" ref="I6311"/>
    <hyperlink r:id="rId6311" ref="I6312"/>
    <hyperlink r:id="rId6312" ref="I6313"/>
    <hyperlink r:id="rId6313" ref="I6314"/>
    <hyperlink r:id="rId6314" ref="I6315"/>
    <hyperlink r:id="rId6315" ref="I6316"/>
    <hyperlink r:id="rId6316" ref="I6317"/>
    <hyperlink r:id="rId6317" ref="I6318"/>
    <hyperlink r:id="rId6318" ref="I6319"/>
    <hyperlink r:id="rId6319" ref="I6320"/>
    <hyperlink r:id="rId6320" ref="I6321"/>
    <hyperlink r:id="rId6321" ref="I6322"/>
    <hyperlink r:id="rId6322" ref="I6323"/>
    <hyperlink r:id="rId6323" ref="I6324"/>
    <hyperlink r:id="rId6324" ref="I6325"/>
    <hyperlink r:id="rId6325" ref="I6326"/>
    <hyperlink r:id="rId6326" ref="I6327"/>
    <hyperlink r:id="rId6327" ref="I6328"/>
    <hyperlink r:id="rId6328" ref="I6329"/>
    <hyperlink r:id="rId6329" ref="I6330"/>
    <hyperlink r:id="rId6330" ref="I6331"/>
    <hyperlink r:id="rId6331" ref="I6332"/>
    <hyperlink r:id="rId6332" ref="I6333"/>
    <hyperlink r:id="rId6333" ref="I6334"/>
    <hyperlink r:id="rId6334" ref="I6335"/>
    <hyperlink r:id="rId6335" ref="I6336"/>
    <hyperlink r:id="rId6336" ref="I6337"/>
    <hyperlink r:id="rId6337" ref="I6338"/>
    <hyperlink r:id="rId6338" ref="I6339"/>
    <hyperlink r:id="rId6339" ref="I6340"/>
    <hyperlink r:id="rId6340" ref="I6341"/>
    <hyperlink r:id="rId6341" ref="I6342"/>
    <hyperlink r:id="rId6342" ref="I6343"/>
    <hyperlink r:id="rId6343" ref="I6344"/>
    <hyperlink r:id="rId6344" ref="I6345"/>
    <hyperlink r:id="rId6345" ref="I6346"/>
    <hyperlink r:id="rId6346" ref="I6347"/>
    <hyperlink r:id="rId6347" ref="I6348"/>
    <hyperlink r:id="rId6348" ref="I6349"/>
    <hyperlink r:id="rId6349" ref="I6350"/>
    <hyperlink r:id="rId6350" ref="I6351"/>
    <hyperlink r:id="rId6351" ref="I6352"/>
    <hyperlink r:id="rId6352" ref="I6353"/>
    <hyperlink r:id="rId6353" ref="I6354"/>
    <hyperlink r:id="rId6354" ref="I6355"/>
    <hyperlink r:id="rId6355" ref="I6356"/>
    <hyperlink r:id="rId6356" ref="I6357"/>
    <hyperlink r:id="rId6357" ref="I6358"/>
    <hyperlink r:id="rId6358" ref="I6359"/>
    <hyperlink r:id="rId6359" ref="I6360"/>
  </hyperlinks>
  <drawing r:id="rId636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25"/>
    <col customWidth="1" min="2" max="2" width="24.13"/>
    <col customWidth="1" min="3" max="3" width="48.38"/>
    <col customWidth="1" min="4" max="4" width="38.0"/>
    <col customWidth="1" min="5" max="5" width="24.5"/>
    <col customWidth="1" min="6" max="6" width="11.5"/>
  </cols>
  <sheetData>
    <row r="1">
      <c r="A1" s="8"/>
    </row>
    <row r="2">
      <c r="B2" s="9" t="s">
        <v>25994</v>
      </c>
    </row>
    <row r="3">
      <c r="B3" s="10">
        <f>COUNT(Data!C2:C6514)</f>
        <v>6353</v>
      </c>
    </row>
    <row r="4">
      <c r="B4" s="11" t="s">
        <v>25995</v>
      </c>
    </row>
    <row r="5">
      <c r="B5" s="10">
        <f>COUNTIF(Data!C2:C6514,YEAR(NOW()) - 1)</f>
        <v>571</v>
      </c>
    </row>
    <row r="6">
      <c r="B6" s="11" t="s">
        <v>25996</v>
      </c>
    </row>
    <row r="7">
      <c r="B7" s="10">
        <f t="array" ref="B7">COUNTIF(DATEDIF(Data!D2:D6514, TODAY(), "D"), "&lt;365")
</f>
        <v>431</v>
      </c>
    </row>
    <row r="8">
      <c r="B8" s="11" t="s">
        <v>25997</v>
      </c>
      <c r="G8" s="12"/>
    </row>
    <row r="9">
      <c r="B9" s="13">
        <f t="array" ref="B9">COUNTIF(DATEDIF(Data!D2:D6514, TODAY(), "D"), "&lt;31")
</f>
        <v>0</v>
      </c>
    </row>
    <row r="10">
      <c r="B10" s="14"/>
    </row>
    <row r="11" ht="369.0" customHeight="1"/>
    <row r="12">
      <c r="D12" s="15" t="s">
        <v>25998</v>
      </c>
    </row>
    <row r="13">
      <c r="B13" s="16"/>
      <c r="C13" s="16"/>
      <c r="D13" s="16"/>
      <c r="E13" s="16"/>
      <c r="F13" s="16"/>
      <c r="G13" s="16"/>
      <c r="I13" s="17"/>
    </row>
    <row r="14">
      <c r="B14" s="16" t="s">
        <v>25999</v>
      </c>
      <c r="I14" s="17" t="s">
        <v>26000</v>
      </c>
    </row>
    <row r="15">
      <c r="B15" s="18" t="s">
        <v>26001</v>
      </c>
      <c r="C15" s="19" t="s">
        <v>0</v>
      </c>
      <c r="D15" s="19" t="s">
        <v>1</v>
      </c>
      <c r="I15" s="15" t="s">
        <v>26002</v>
      </c>
    </row>
    <row r="16">
      <c r="B16" s="20">
        <f>Calculations!V3</f>
        <v>45643</v>
      </c>
      <c r="C16" s="21" t="str">
        <f>IF(LEN(Calculations!T3)&gt;60, LEFT(Calculations!T3, 60)&amp;"...",Calculations!T3)</f>
        <v>Acute Respiratory Infections Fuel Cardiovascular Disease.</v>
      </c>
      <c r="D16" s="12" t="str">
        <f>IF(LEN(Calculations!U3)&gt;70, LEFT(Calculations!U3, 70)&amp;"...",Calculations!U3)</f>
        <v>van Royen, Florien S; Venekamp, Roderick P; Bruijning-Verhagen, Patric...</v>
      </c>
      <c r="I16" s="15" t="s">
        <v>26003</v>
      </c>
    </row>
    <row r="17">
      <c r="B17" s="20">
        <f>Calculations!V4</f>
        <v>45636</v>
      </c>
      <c r="C17" s="21" t="str">
        <f>IF(LEN(Calculations!T4)&gt;60, LEFT(Calculations!T4, 60)&amp;"...",Calculations!T4)</f>
        <v>The nationwide Dietary Intake after Diagnosis and Colorectal...</v>
      </c>
      <c r="D17" s="12" t="str">
        <f>IF(LEN(Calculations!U4)&gt;70, LEFT(Calculations!U4, 70)&amp;"...",Calculations!U4)</f>
        <v>Derksen, Jeroen W G; Smit, Karel C; Hoeven, Irene W F; Sijtsma, Femke ...</v>
      </c>
      <c r="I17" s="22" t="s">
        <v>26004</v>
      </c>
    </row>
    <row r="18">
      <c r="B18" s="20">
        <f>Calculations!V5</f>
        <v>45636</v>
      </c>
      <c r="C18" s="21" t="str">
        <f>IF(LEN(Calculations!T5)&gt;60, LEFT(Calculations!T5, 60)&amp;"...",Calculations!T5)</f>
        <v>A unified framework for diagnostic test development and eval...</v>
      </c>
      <c r="D18" s="12" t="str">
        <f>IF(LEN(Calculations!U5)&gt;70, LEFT(Calculations!U5, 70)&amp;"...",Calculations!U5)</f>
        <v>Chaturvedi, Madhav; Köster, Denise; Bossuyt, Patrick M; Gerke, Oke; Ju...</v>
      </c>
    </row>
    <row r="19">
      <c r="B19" s="20">
        <f>Calculations!V6</f>
        <v>45636</v>
      </c>
      <c r="C19" s="21" t="str">
        <f>IF(LEN(Calculations!T6)&gt;60, LEFT(Calculations!T6, 60)&amp;"...",Calculations!T6)</f>
        <v>Sex differences in the efficacy of angiotensin receptor bloc...</v>
      </c>
      <c r="D19" s="12" t="str">
        <f>IF(LEN(Calculations!U6)&gt;70, LEFT(Calculations!U6, 70)&amp;"...",Calculations!U6)</f>
        <v>de Vries, Sieta T; Pena, Michelle J; Tye, Sok Cin; Peters, Sanne A E; ...</v>
      </c>
    </row>
    <row r="20">
      <c r="B20" s="20">
        <f>Calculations!V7</f>
        <v>45636</v>
      </c>
      <c r="C20" s="21" t="str">
        <f>IF(LEN(Calculations!T7)&gt;60, LEFT(Calculations!T7, 60)&amp;"...",Calculations!T7)</f>
        <v>Examining causal relationships between educational attainmen...</v>
      </c>
      <c r="D20" s="12" t="str">
        <f>IF(LEN(Calculations!U7)&gt;70, LEFT(Calculations!U7, 70)&amp;"...",Calculations!U7)</f>
        <v>Macciotta, Alessandra; Sacerdote, Carlotta; Giachino, Claudia; Di Giro...</v>
      </c>
    </row>
    <row r="22">
      <c r="B22" s="16" t="s">
        <v>26005</v>
      </c>
    </row>
    <row r="23">
      <c r="B23" s="23" t="s">
        <v>26006</v>
      </c>
      <c r="C23" s="24" t="s">
        <v>0</v>
      </c>
      <c r="D23" s="24" t="s">
        <v>1</v>
      </c>
    </row>
    <row r="24">
      <c r="B24" s="25">
        <f>Calculations!AA3</f>
        <v>57</v>
      </c>
      <c r="C24" s="26" t="str">
        <f>IF(LEN(Calculations!X3)&gt;60, LEFT(Calculations!X3, 60)&amp;"...",Calculations!X3)</f>
        <v>Effect of Hemodiafiltration or Hemodialysis on Mortality in ...</v>
      </c>
      <c r="D24" s="27" t="str">
        <f>IF(LEN(Calculations!Y3)&gt;70, LEFT(Calculations!Y3, 70)&amp;"...",Calculations!Y3)</f>
        <v>Blankestijn, Peter J; Vernooij, Robin W M; Hockham, Carinna; Strippoli...</v>
      </c>
    </row>
    <row r="25">
      <c r="B25" s="25">
        <f>Calculations!AA4</f>
        <v>48</v>
      </c>
      <c r="C25" s="26" t="str">
        <f>IF(LEN(Calculations!X4)&gt;60, LEFT(Calculations!X4, 60)&amp;"...",Calculations!X4)</f>
        <v>There is no such thing as a validated prediction model.</v>
      </c>
      <c r="D25" s="27" t="str">
        <f>IF(LEN(Calculations!Y4)&gt;70, LEFT(Calculations!Y4, 70)&amp;"...",Calculations!Y4)</f>
        <v>Van Calster, Ben; Steyerberg, Ewout W; Wynants, Laure; van Smeden, Maa...</v>
      </c>
    </row>
    <row r="26">
      <c r="B26" s="25">
        <f>Calculations!AA5</f>
        <v>42</v>
      </c>
      <c r="C26" s="26" t="str">
        <f>IF(LEN(Calculations!X5)&gt;60, LEFT(Calculations!X5, 60)&amp;"...",Calculations!X5)</f>
        <v>Randomized Trial of BCG Vaccine to Protect against Covid-19 ...</v>
      </c>
      <c r="D26" s="27" t="str">
        <f>IF(LEN(Calculations!Y5)&gt;70, LEFT(Calculations!Y5, 70)&amp;"...",Calculations!Y5)</f>
        <v>Pittet, Laure F; Messina, Nicole L; Orsini, Francesca; Moore, Cecilia ...</v>
      </c>
    </row>
    <row r="27">
      <c r="B27" s="25">
        <f>Calculations!AA6</f>
        <v>26</v>
      </c>
      <c r="C27" s="26" t="str">
        <f>IF(LEN(Calculations!X6)&gt;60, LEFT(Calculations!X6, 60)&amp;"...",Calculations!X6)</f>
        <v>PRISMA AI reporting guidelines for systematic reviews and me...</v>
      </c>
      <c r="D27" s="27" t="str">
        <f>IF(LEN(Calculations!Y6)&gt;70, LEFT(Calculations!Y6, 70)&amp;"...",Calculations!Y6)</f>
        <v>Cacciamani, Giovanni E; Chu, Timothy N; Sanford, Daniel I; Abreu, Andr...</v>
      </c>
    </row>
    <row r="28">
      <c r="B28" s="25">
        <f>Calculations!AA7</f>
        <v>24</v>
      </c>
      <c r="C28" s="26" t="str">
        <f>IF(LEN(Calculations!X7)&gt;60, LEFT(Calculations!X7, 60)&amp;"...",Calculations!X7)</f>
        <v>Effectiveness of bivalent mRNA booster vaccination against S...</v>
      </c>
      <c r="D28" s="27" t="str">
        <f>IF(LEN(Calculations!Y7)&gt;70, LEFT(Calculations!Y7, 70)&amp;"...",Calculations!Y7)</f>
        <v>Huiberts, Anne J; de Gier, Brechje; Hoeve, Christina E; de Melker, Hes...</v>
      </c>
    </row>
    <row r="30">
      <c r="B30" s="16" t="s">
        <v>26007</v>
      </c>
    </row>
    <row r="31">
      <c r="B31" s="17" t="s">
        <v>26008</v>
      </c>
      <c r="C31" s="17" t="s">
        <v>4433</v>
      </c>
    </row>
    <row r="32">
      <c r="B32" s="17" t="s">
        <v>26009</v>
      </c>
      <c r="C32" s="28">
        <f>COUNT(E35:E6514)</f>
        <v>130</v>
      </c>
    </row>
    <row r="33">
      <c r="C33" s="17"/>
      <c r="D33" s="17"/>
      <c r="E33" s="29"/>
      <c r="F33" s="29"/>
    </row>
    <row r="34">
      <c r="C34" s="17" t="s">
        <v>0</v>
      </c>
      <c r="D34" s="17" t="s">
        <v>1</v>
      </c>
      <c r="E34" s="29" t="s">
        <v>26010</v>
      </c>
      <c r="F34" s="29" t="s">
        <v>26006</v>
      </c>
    </row>
    <row r="35">
      <c r="C35" s="30" t="str">
        <f>IFERROR(__xludf.DUMMYFUNCTION("SORT(FILTER({Data!A2:B6514,Data!D2:D6514,Data!H2:H6514},  ISNUMBER(SEARCH(C31, Data!B2:B6514))), 3, FALSE)"),"Updating methods for AI-based clinical prediction models: a scoping review.")</f>
        <v>Updating methods for AI-based clinical prediction models: a scoping review.</v>
      </c>
      <c r="D35" s="31"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E35" s="32">
        <f>IFERROR(__xludf.DUMMYFUNCTION("""COMPUTED_VALUE"""),45635.0)</f>
        <v>45635</v>
      </c>
      <c r="F35" s="31">
        <f>IFERROR(__xludf.DUMMYFUNCTION("""COMPUTED_VALUE"""),0.0)</f>
        <v>0</v>
      </c>
    </row>
    <row r="36">
      <c r="C36" s="30" t="str">
        <f>IFERROR(__xludf.DUMMYFUNCTION("""COMPUTED_VALUE"""),"Risk-Based Decision Making: Estimands for Sequential Prediction Under Interventions.")</f>
        <v>Risk-Based Decision Making: Estimands for Sequential Prediction Under Interventions.</v>
      </c>
      <c r="D36" s="31"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E36" s="32">
        <f>IFERROR(__xludf.DUMMYFUNCTION("""COMPUTED_VALUE"""),45627.0)</f>
        <v>45627</v>
      </c>
      <c r="F36" s="31">
        <f>IFERROR(__xludf.DUMMYFUNCTION("""COMPUTED_VALUE"""),0.0)</f>
        <v>0</v>
      </c>
    </row>
    <row r="37">
      <c r="C37" s="31" t="str">
        <f>IFERROR(__xludf.DUMMYFUNCTION("""COMPUTED_VALUE"""),"Methodological quality assessment tools for diagnosis and prognosis research: overview and guidance.")</f>
        <v>Methodological quality assessment tools for diagnosis and prognosis research: overview and guidance.</v>
      </c>
      <c r="D37" s="31"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E37" s="32">
        <f>IFERROR(__xludf.DUMMYFUNCTION("""COMPUTED_VALUE"""),45608.0)</f>
        <v>45608</v>
      </c>
      <c r="F37" s="31">
        <f>IFERROR(__xludf.DUMMYFUNCTION("""COMPUTED_VALUE"""),0.0)</f>
        <v>0</v>
      </c>
    </row>
    <row r="38">
      <c r="C38" s="31"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D38" s="31" t="str">
        <f>IFERROR(__xludf.DUMMYFUNCTION("""COMPUTED_VALUE"""),"Fox, Matthew P; Adrien, Nedghie; van Smeden, Maarten; Suarez, Elizabeth")</f>
        <v>Fox, Matthew P; Adrien, Nedghie; van Smeden, Maarten; Suarez, Elizabeth</v>
      </c>
      <c r="E38" s="32">
        <f>IFERROR(__xludf.DUMMYFUNCTION("""COMPUTED_VALUE"""),45600.0)</f>
        <v>45600</v>
      </c>
      <c r="F38" s="31">
        <f>IFERROR(__xludf.DUMMYFUNCTION("""COMPUTED_VALUE"""),0.0)</f>
        <v>0</v>
      </c>
    </row>
    <row r="39">
      <c r="C39" s="31"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D39" s="31"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E39" s="32">
        <f>IFERROR(__xludf.DUMMYFUNCTION("""COMPUTED_VALUE"""),45555.0)</f>
        <v>45555</v>
      </c>
      <c r="F39" s="31">
        <f>IFERROR(__xludf.DUMMYFUNCTION("""COMPUTED_VALUE"""),0.0)</f>
        <v>0</v>
      </c>
    </row>
    <row r="40">
      <c r="C40" s="31" t="str">
        <f>IFERROR(__xludf.DUMMYFUNCTION("""COMPUTED_VALUE"""),"Availability of Evidence for Predictive Machine Learning Algorithms in Primary Care: A Systematic Review.")</f>
        <v>Availability of Evidence for Predictive Machine Learning Algorithms in Primary Care: A Systematic Review.</v>
      </c>
      <c r="D40" s="31"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E40" s="32">
        <f>IFERROR(__xludf.DUMMYFUNCTION("""COMPUTED_VALUE"""),45538.0)</f>
        <v>45538</v>
      </c>
      <c r="F40" s="31">
        <f>IFERROR(__xludf.DUMMYFUNCTION("""COMPUTED_VALUE"""),0.0)</f>
        <v>0</v>
      </c>
    </row>
    <row r="41">
      <c r="C41" s="31" t="str">
        <f>IFERROR(__xludf.DUMMYFUNCTION("""COMPUTED_VALUE"""),"Safety of treating acute pulmonary embolism at home: an individual patient data meta-analysis.")</f>
        <v>Safety of treating acute pulmonary embolism at home: an individual patient data meta-analysis.</v>
      </c>
      <c r="D41" s="31"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E41" s="32">
        <f>IFERROR(__xludf.DUMMYFUNCTION("""COMPUTED_VALUE"""),45525.0)</f>
        <v>45525</v>
      </c>
      <c r="F41" s="31">
        <f>IFERROR(__xludf.DUMMYFUNCTION("""COMPUTED_VALUE"""),1.0)</f>
        <v>1</v>
      </c>
    </row>
    <row r="42">
      <c r="C42" s="31" t="str">
        <f>IFERROR(__xludf.DUMMYFUNCTION("""COMPUTED_VALUE"""),"Estimating uncertainty when providing individual cardiovascular risk predictions: a Bayesian survival analysis.")</f>
        <v>Estimating uncertainty when providing individual cardiovascular risk predictions: a Bayesian survival analysis.</v>
      </c>
      <c r="D42" s="31"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E42" s="32">
        <f>IFERROR(__xludf.DUMMYFUNCTION("""COMPUTED_VALUE"""),45488.0)</f>
        <v>45488</v>
      </c>
      <c r="F42" s="31">
        <f>IFERROR(__xludf.DUMMYFUNCTION("""COMPUTED_VALUE"""),0.0)</f>
        <v>0</v>
      </c>
    </row>
    <row r="43">
      <c r="C43" s="31" t="str">
        <f>IFERROR(__xludf.DUMMYFUNCTION("""COMPUTED_VALUE"""),"Predicting Benefit From FOLFOXIRI Plus Bevacizumab in Patients With Metastatic Colorectal Cancer.")</f>
        <v>Predicting Benefit From FOLFOXIRI Plus Bevacizumab in Patients With Metastatic Colorectal Cancer.</v>
      </c>
      <c r="D43" s="31"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E43" s="32">
        <f>IFERROR(__xludf.DUMMYFUNCTION("""COMPUTED_VALUE"""),45474.0)</f>
        <v>45474</v>
      </c>
      <c r="F43" s="31">
        <f>IFERROR(__xludf.DUMMYFUNCTION("""COMPUTED_VALUE"""),0.0)</f>
        <v>0</v>
      </c>
    </row>
    <row r="44">
      <c r="C44" s="31" t="str">
        <f>IFERROR(__xludf.DUMMYFUNCTION("""COMPUTED_VALUE"""),"From text to treatment: the crucial role of validation for generative large language models in health care.")</f>
        <v>From text to treatment: the crucial role of validation for generative large language models in health care.</v>
      </c>
      <c r="D44" s="31" t="str">
        <f>IFERROR(__xludf.DUMMYFUNCTION("""COMPUTED_VALUE"""),"de Hond, Anne; Leeuwenberg, Tuur; Bartels, Richard; van Buchem, Marieke; Kant, Ilse; Moons, Karel Gm; van Smeden, Maarten")</f>
        <v>de Hond, Anne; Leeuwenberg, Tuur; Bartels, Richard; van Buchem, Marieke; Kant, Ilse; Moons, Karel Gm; van Smeden, Maarten</v>
      </c>
      <c r="E44" s="32">
        <f>IFERROR(__xludf.DUMMYFUNCTION("""COMPUTED_VALUE"""),45474.0)</f>
        <v>45474</v>
      </c>
      <c r="F44" s="31">
        <f>IFERROR(__xludf.DUMMYFUNCTION("""COMPUTED_VALUE"""),1.0)</f>
        <v>1</v>
      </c>
    </row>
    <row r="45">
      <c r="C45" s="31" t="str">
        <f>IFERROR(__xludf.DUMMYFUNCTION("""COMPUTED_VALUE"""),"Tutorial: dos and don'ts in clinical prediction research for venous thromboembolism.")</f>
        <v>Tutorial: dos and don'ts in clinical prediction research for venous thromboembolism.</v>
      </c>
      <c r="D45" s="31" t="str">
        <f>IFERROR(__xludf.DUMMYFUNCTION("""COMPUTED_VALUE"""),"Nemeth, Banne; Smeets, Mark J R; Cannegieter, Suzanne C; van Smeden, Maarten")</f>
        <v>Nemeth, Banne; Smeets, Mark J R; Cannegieter, Suzanne C; van Smeden, Maarten</v>
      </c>
      <c r="E45" s="32">
        <f>IFERROR(__xludf.DUMMYFUNCTION("""COMPUTED_VALUE"""),45461.0)</f>
        <v>45461</v>
      </c>
      <c r="F45" s="31">
        <f>IFERROR(__xludf.DUMMYFUNCTION("""COMPUTED_VALUE"""),0.0)</f>
        <v>0</v>
      </c>
    </row>
    <row r="46">
      <c r="C46" s="31"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D46" s="31" t="str">
        <f>IFERROR(__xludf.DUMMYFUNCTION("""COMPUTED_VALUE"""),"Piccininni, Marco; Wechsung, Maximilian; Van Calster, Ben; Rohmann, Jessica L; Konigorski, Stefan; van Smeden, Maarten")</f>
        <v>Piccininni, Marco; Wechsung, Maximilian; Van Calster, Ben; Rohmann, Jessica L; Konigorski, Stefan; van Smeden, Maarten</v>
      </c>
      <c r="E46" s="32">
        <f>IFERROR(__xludf.DUMMYFUNCTION("""COMPUTED_VALUE"""),45448.0)</f>
        <v>45448</v>
      </c>
      <c r="F46" s="31">
        <f>IFERROR(__xludf.DUMMYFUNCTION("""COMPUTED_VALUE"""),0.0)</f>
        <v>0</v>
      </c>
    </row>
    <row r="47">
      <c r="C47" s="31" t="str">
        <f>IFERROR(__xludf.DUMMYFUNCTION("""COMPUTED_VALUE"""),"It's not all about residual confounding: a plea for QBA for epidemiologic researchers and educators.")</f>
        <v>It's not all about residual confounding: a plea for QBA for epidemiologic researchers and educators.</v>
      </c>
      <c r="D47" s="31" t="str">
        <f>IFERROR(__xludf.DUMMYFUNCTION("""COMPUTED_VALUE"""),"Fox, Matthew P; Adrien, Nedghie; van Smeden, Maarten; Suarez, Elizabeth")</f>
        <v>Fox, Matthew P; Adrien, Nedghie; van Smeden, Maarten; Suarez, Elizabeth</v>
      </c>
      <c r="E47" s="32">
        <f>IFERROR(__xludf.DUMMYFUNCTION("""COMPUTED_VALUE"""),45429.0)</f>
        <v>45429</v>
      </c>
      <c r="F47" s="31">
        <f>IFERROR(__xludf.DUMMYFUNCTION("""COMPUTED_VALUE"""),0.0)</f>
        <v>0</v>
      </c>
    </row>
    <row r="48">
      <c r="C48" s="31"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D48" s="31" t="str">
        <f>IFERROR(__xludf.DUMMYFUNCTION("""COMPUTED_VALUE"""),"Fankhauser, Christian D; Wettstein, Marian S; Würnschimmel, Christoph; van Smeden, Maarten; Clarke, Noel W")</f>
        <v>Fankhauser, Christian D; Wettstein, Marian S; Würnschimmel, Christoph; van Smeden, Maarten; Clarke, Noel W</v>
      </c>
      <c r="E48" s="32">
        <f>IFERROR(__xludf.DUMMYFUNCTION("""COMPUTED_VALUE"""),45427.0)</f>
        <v>45427</v>
      </c>
      <c r="F48" s="31">
        <f>IFERROR(__xludf.DUMMYFUNCTION("""COMPUTED_VALUE"""),0.0)</f>
        <v>0</v>
      </c>
    </row>
    <row r="49">
      <c r="C49" s="31" t="str">
        <f>IFERROR(__xludf.DUMMYFUNCTION("""COMPUTED_VALUE"""),"Don't be misled: Three misconceptions about external validation of clinical prediction models.")</f>
        <v>Don't be misled: Three misconceptions about external validation of clinical prediction models.</v>
      </c>
      <c r="D49" s="31"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49" s="32">
        <f>IFERROR(__xludf.DUMMYFUNCTION("""COMPUTED_VALUE"""),45420.0)</f>
        <v>45420</v>
      </c>
      <c r="F49" s="31">
        <f>IFERROR(__xludf.DUMMYFUNCTION("""COMPUTED_VALUE"""),0.0)</f>
        <v>0</v>
      </c>
    </row>
    <row r="50">
      <c r="C50" s="31" t="str">
        <f>IFERROR(__xludf.DUMMYFUNCTION("""COMPUTED_VALUE"""),"Don't be misled: 3 misconceptions about external validation of clinical prediction models.")</f>
        <v>Don't be misled: 3 misconceptions about external validation of clinical prediction models.</v>
      </c>
      <c r="D50" s="31"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50" s="32">
        <f>IFERROR(__xludf.DUMMYFUNCTION("""COMPUTED_VALUE"""),45420.0)</f>
        <v>45420</v>
      </c>
      <c r="F50" s="31">
        <f>IFERROR(__xludf.DUMMYFUNCTION("""COMPUTED_VALUE"""),3.0)</f>
        <v>3</v>
      </c>
    </row>
    <row r="51">
      <c r="C51" s="31"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D51" s="31"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E51" s="32">
        <f>IFERROR(__xludf.DUMMYFUNCTION("""COMPUTED_VALUE"""),45412.0)</f>
        <v>45412</v>
      </c>
      <c r="F51" s="31">
        <f>IFERROR(__xludf.DUMMYFUNCTION("""COMPUTED_VALUE"""),0.0)</f>
        <v>0</v>
      </c>
    </row>
    <row r="52">
      <c r="C52" s="31" t="str">
        <f>IFERROR(__xludf.DUMMYFUNCTION("""COMPUTED_VALUE"""),"TRIPOD+AI statement: updated guidance for reporting clinical prediction models that use regression or machine learning methods.")</f>
        <v>TRIPOD+AI statement: updated guidance for reporting clinical prediction models that use regression or machine learning methods.</v>
      </c>
      <c r="D52" s="31"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E52" s="32">
        <f>IFERROR(__xludf.DUMMYFUNCTION("""COMPUTED_VALUE"""),45398.0)</f>
        <v>45398</v>
      </c>
      <c r="F52" s="31">
        <f>IFERROR(__xludf.DUMMYFUNCTION("""COMPUTED_VALUE"""),2.0)</f>
        <v>2</v>
      </c>
    </row>
    <row r="53">
      <c r="C53" s="31"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D53" s="31" t="str">
        <f>IFERROR(__xludf.DUMMYFUNCTION("""COMPUTED_VALUE"""),"van Royen, Florien Sophie-Anne; van Smeden, Maarten; van Doorn, Sander; Rutten, Frans H; Geersing, Geert-Jan")</f>
        <v>van Royen, Florien Sophie-Anne; van Smeden, Maarten; van Doorn, Sander; Rutten, Frans H; Geersing, Geert-Jan</v>
      </c>
      <c r="E53" s="32">
        <f>IFERROR(__xludf.DUMMYFUNCTION("""COMPUTED_VALUE"""),45398.0)</f>
        <v>45398</v>
      </c>
      <c r="F53" s="31">
        <f>IFERROR(__xludf.DUMMYFUNCTION("""COMPUTED_VALUE"""),0.0)</f>
        <v>0</v>
      </c>
    </row>
    <row r="54">
      <c r="C54" s="31" t="str">
        <f>IFERROR(__xludf.DUMMYFUNCTION("""COMPUTED_VALUE"""),"SPIN-PM: A consensus framework to evaluate the presence of spin in studies on prediction models.")</f>
        <v>SPIN-PM: A consensus framework to evaluate the presence of spin in studies on prediction models.</v>
      </c>
      <c r="D54" s="31" t="str">
        <f>IFERROR(__xludf.DUMMYFUNCTION("""COMPUTED_VALUE"""),"Andaur Navarro, Constanza L; Damen, Johanna Aa; Ghannad, Mona; Dhiman, Paula; van Smeden, Maarten; Reitsma, Johannes B; Collins, Gary S; Riley, Richard D; Moons, Karel Gm; Hooft, Lotty")</f>
        <v>Andaur Navarro, Constanza L; Damen, Johanna Aa; Ghannad, Mona; Dhiman, Paula; van Smeden, Maarten; Reitsma, Johannes B; Collins, Gary S; Riley, Richard D; Moons, Karel Gm; Hooft, Lotty</v>
      </c>
      <c r="E54" s="32">
        <f>IFERROR(__xludf.DUMMYFUNCTION("""COMPUTED_VALUE"""),45397.0)</f>
        <v>45397</v>
      </c>
      <c r="F54" s="31">
        <f>IFERROR(__xludf.DUMMYFUNCTION("""COMPUTED_VALUE"""),0.0)</f>
        <v>0</v>
      </c>
    </row>
    <row r="55">
      <c r="C55" s="31" t="str">
        <f>IFERROR(__xludf.DUMMYFUNCTION("""COMPUTED_VALUE"""),"SPIN-PM: a consensus framework to evaluate the presence of spin in studies on prediction models.")</f>
        <v>SPIN-PM: a consensus framework to evaluate the presence of spin in studies on prediction models.</v>
      </c>
      <c r="D55" s="31"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E55" s="32">
        <f>IFERROR(__xludf.DUMMYFUNCTION("""COMPUTED_VALUE"""),45397.0)</f>
        <v>45397</v>
      </c>
      <c r="F55" s="31">
        <f>IFERROR(__xludf.DUMMYFUNCTION("""COMPUTED_VALUE"""),1.0)</f>
        <v>1</v>
      </c>
    </row>
    <row r="56">
      <c r="C56" s="31"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D56" s="31"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E56" s="32">
        <f>IFERROR(__xludf.DUMMYFUNCTION("""COMPUTED_VALUE"""),45378.0)</f>
        <v>45378</v>
      </c>
      <c r="F56" s="31">
        <f>IFERROR(__xludf.DUMMYFUNCTION("""COMPUTED_VALUE"""),0.0)</f>
        <v>0</v>
      </c>
    </row>
    <row r="57">
      <c r="C57" s="31"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D57" s="31"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E57" s="32">
        <f>IFERROR(__xludf.DUMMYFUNCTION("""COMPUTED_VALUE"""),45374.0)</f>
        <v>45374</v>
      </c>
      <c r="F57" s="31">
        <f>IFERROR(__xludf.DUMMYFUNCTION("""COMPUTED_VALUE"""),0.0)</f>
        <v>0</v>
      </c>
    </row>
    <row r="58">
      <c r="C58" s="31"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D58" s="31"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E58" s="32">
        <f>IFERROR(__xludf.DUMMYFUNCTION("""COMPUTED_VALUE"""),45345.0)</f>
        <v>45345</v>
      </c>
      <c r="F58" s="31">
        <f>IFERROR(__xludf.DUMMYFUNCTION("""COMPUTED_VALUE"""),0.0)</f>
        <v>0</v>
      </c>
    </row>
    <row r="59">
      <c r="C59" s="31"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D59" s="31"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E59" s="32">
        <f>IFERROR(__xludf.DUMMYFUNCTION("""COMPUTED_VALUE"""),45345.0)</f>
        <v>45345</v>
      </c>
      <c r="F59" s="31">
        <f>IFERROR(__xludf.DUMMYFUNCTION("""COMPUTED_VALUE"""),0.0)</f>
        <v>0</v>
      </c>
    </row>
    <row r="60">
      <c r="C60" s="31"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D60" s="31"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E60" s="32">
        <f>IFERROR(__xludf.DUMMYFUNCTION("""COMPUTED_VALUE"""),45324.0)</f>
        <v>45324</v>
      </c>
      <c r="F60" s="31">
        <f>IFERROR(__xludf.DUMMYFUNCTION("""COMPUTED_VALUE"""),1.0)</f>
        <v>1</v>
      </c>
    </row>
    <row r="61">
      <c r="C61" s="31"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D61" s="31"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E61" s="32">
        <f>IFERROR(__xludf.DUMMYFUNCTION("""COMPUTED_VALUE"""),45313.0)</f>
        <v>45313</v>
      </c>
      <c r="F61" s="31">
        <f>IFERROR(__xludf.DUMMYFUNCTION("""COMPUTED_VALUE"""),4.0)</f>
        <v>4</v>
      </c>
    </row>
    <row r="62">
      <c r="C62" s="31"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D62" s="31" t="str">
        <f>IFERROR(__xludf.DUMMYFUNCTION("""COMPUTED_VALUE"""),"Sushil, Madhumita; Butte, Atul J; Schuit, Ewoud; van Smeden, Maarten; Leeuwenberg, Artuur M")</f>
        <v>Sushil, Madhumita; Butte, Atul J; Schuit, Ewoud; van Smeden, Maarten; Leeuwenberg, Artuur M</v>
      </c>
      <c r="E62" s="32">
        <f>IFERROR(__xludf.DUMMYFUNCTION("""COMPUTED_VALUE"""),45305.0)</f>
        <v>45305</v>
      </c>
      <c r="F62" s="31">
        <f>IFERROR(__xludf.DUMMYFUNCTION("""COMPUTED_VALUE"""),0.0)</f>
        <v>0</v>
      </c>
    </row>
    <row r="63">
      <c r="C63" s="31" t="str">
        <f>IFERROR(__xludf.DUMMYFUNCTION("""COMPUTED_VALUE"""),"A comparison of hyperparameter tuning procedures for clinical prediction models: A simulation study.")</f>
        <v>A comparison of hyperparameter tuning procedures for clinical prediction models: A simulation study.</v>
      </c>
      <c r="D63" s="31" t="str">
        <f>IFERROR(__xludf.DUMMYFUNCTION("""COMPUTED_VALUE"""),"Dunias, Zoë S; Van Calster, Ben; Timmerman, Dirk; Boulesteix, Anne-Laure; van Smeden, Maarten")</f>
        <v>Dunias, Zoë S; Van Calster, Ben; Timmerman, Dirk; Boulesteix, Anne-Laure; van Smeden, Maarten</v>
      </c>
      <c r="E63" s="32">
        <f>IFERROR(__xludf.DUMMYFUNCTION("""COMPUTED_VALUE"""),45299.0)</f>
        <v>45299</v>
      </c>
      <c r="F63" s="31">
        <f>IFERROR(__xludf.DUMMYFUNCTION("""COMPUTED_VALUE"""),0.0)</f>
        <v>0</v>
      </c>
    </row>
    <row r="64">
      <c r="C64" s="31" t="str">
        <f>IFERROR(__xludf.DUMMYFUNCTION("""COMPUTED_VALUE"""),"Evaluation of clinical prediction models (part 1): from development to external validation.")</f>
        <v>Evaluation of clinical prediction models (part 1): from development to external validation.</v>
      </c>
      <c r="D64" s="31"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E64" s="32">
        <f>IFERROR(__xludf.DUMMYFUNCTION("""COMPUTED_VALUE"""),45299.0)</f>
        <v>45299</v>
      </c>
      <c r="F64" s="31">
        <f>IFERROR(__xludf.DUMMYFUNCTION("""COMPUTED_VALUE"""),9.0)</f>
        <v>9</v>
      </c>
    </row>
    <row r="65">
      <c r="C65" s="31"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D65" s="31"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E65" s="32">
        <f>IFERROR(__xludf.DUMMYFUNCTION("""COMPUTED_VALUE"""),45268.0)</f>
        <v>45268</v>
      </c>
      <c r="F65" s="31">
        <f>IFERROR(__xludf.DUMMYFUNCTION("""COMPUTED_VALUE"""),0.0)</f>
        <v>0</v>
      </c>
    </row>
    <row r="66">
      <c r="C66" s="31" t="str">
        <f>IFERROR(__xludf.DUMMYFUNCTION("""COMPUTED_VALUE"""),"Five critical quality criteria for artificial intelligence-based prediction models.")</f>
        <v>Five critical quality criteria for artificial intelligence-based prediction models.</v>
      </c>
      <c r="D66" s="31" t="str">
        <f>IFERROR(__xludf.DUMMYFUNCTION("""COMPUTED_VALUE"""),"van Royen, Florien S; Asselbergs, Folkert W; Alfonso, Fernando; Vardas, Panos; van Smeden, Maarten")</f>
        <v>van Royen, Florien S; Asselbergs, Folkert W; Alfonso, Fernando; Vardas, Panos; van Smeden, Maarten</v>
      </c>
      <c r="E66" s="32">
        <f>IFERROR(__xludf.DUMMYFUNCTION("""COMPUTED_VALUE"""),45267.0)</f>
        <v>45267</v>
      </c>
      <c r="F66" s="31">
        <f>IFERROR(__xludf.DUMMYFUNCTION("""COMPUTED_VALUE"""),5.0)</f>
        <v>5</v>
      </c>
    </row>
    <row r="67">
      <c r="C67" s="31"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D67" s="31"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E67" s="32">
        <f>IFERROR(__xludf.DUMMYFUNCTION("""COMPUTED_VALUE"""),45267.0)</f>
        <v>45267</v>
      </c>
      <c r="F67" s="31">
        <f>IFERROR(__xludf.DUMMYFUNCTION("""COMPUTED_VALUE"""),1.0)</f>
        <v>1</v>
      </c>
    </row>
    <row r="68">
      <c r="C68" s="31" t="str">
        <f>IFERROR(__xludf.DUMMYFUNCTION("""COMPUTED_VALUE"""),"Estimated causal effects of common respiratory infections on cardiovascular risk: a meta-analysis.")</f>
        <v>Estimated causal effects of common respiratory infections on cardiovascular risk: a meta-analysis.</v>
      </c>
      <c r="D68" s="31"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E68" s="32">
        <f>IFERROR(__xludf.DUMMYFUNCTION("""COMPUTED_VALUE"""),45258.0)</f>
        <v>45258</v>
      </c>
      <c r="F68" s="31">
        <f>IFERROR(__xludf.DUMMYFUNCTION("""COMPUTED_VALUE"""),1.0)</f>
        <v>1</v>
      </c>
    </row>
    <row r="69">
      <c r="C69" s="31" t="str">
        <f>IFERROR(__xludf.DUMMYFUNCTION("""COMPUTED_VALUE"""),"The relevance of competing risk adjustment in cardiovascular risk prediction models for clinical practice.")</f>
        <v>The relevance of competing risk adjustment in cardiovascular risk prediction models for clinical practice.</v>
      </c>
      <c r="D69" s="31"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E69" s="32">
        <f>IFERROR(__xludf.DUMMYFUNCTION("""COMPUTED_VALUE"""),45239.0)</f>
        <v>45239</v>
      </c>
      <c r="F69" s="31">
        <f>IFERROR(__xludf.DUMMYFUNCTION("""COMPUTED_VALUE"""),5.0)</f>
        <v>5</v>
      </c>
    </row>
    <row r="70">
      <c r="C70" s="31" t="str">
        <f>IFERROR(__xludf.DUMMYFUNCTION("""COMPUTED_VALUE"""),"Why the grass isn't always greener on the machine learning side.")</f>
        <v>Why the grass isn't always greener on the machine learning side.</v>
      </c>
      <c r="D70" s="31" t="str">
        <f>IFERROR(__xludf.DUMMYFUNCTION("""COMPUTED_VALUE"""),"de Hond, Anne; Huisman, Menno; Van Smeden, Maarten")</f>
        <v>de Hond, Anne; Huisman, Menno; Van Smeden, Maarten</v>
      </c>
      <c r="E70" s="32">
        <f>IFERROR(__xludf.DUMMYFUNCTION("""COMPUTED_VALUE"""),45222.0)</f>
        <v>45222</v>
      </c>
      <c r="F70" s="31">
        <f>IFERROR(__xludf.DUMMYFUNCTION("""COMPUTED_VALUE"""),0.0)</f>
        <v>0</v>
      </c>
    </row>
    <row r="71">
      <c r="C71" s="31"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D71" s="31"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E71" s="32">
        <f>IFERROR(__xludf.DUMMYFUNCTION("""COMPUTED_VALUE"""),45218.0)</f>
        <v>45218</v>
      </c>
      <c r="F71" s="31">
        <f>IFERROR(__xludf.DUMMYFUNCTION("""COMPUTED_VALUE"""),1.0)</f>
        <v>1</v>
      </c>
    </row>
    <row r="72">
      <c r="C72" s="31"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D72" s="31" t="str">
        <f>IFERROR(__xludf.DUMMYFUNCTION("""COMPUTED_VALUE"""),"Morris, Tim P; van Smeden, Maarten; Pham, Tra My")</f>
        <v>Morris, Tim P; van Smeden, Maarten; Pham, Tra My</v>
      </c>
      <c r="E72" s="32">
        <f>IFERROR(__xludf.DUMMYFUNCTION("""COMPUTED_VALUE"""),45198.0)</f>
        <v>45198</v>
      </c>
      <c r="F72" s="31">
        <f>IFERROR(__xludf.DUMMYFUNCTION("""COMPUTED_VALUE"""),0.0)</f>
        <v>0</v>
      </c>
    </row>
    <row r="73">
      <c r="C73" s="31"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D73" s="31"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E73" s="32">
        <f>IFERROR(__xludf.DUMMYFUNCTION("""COMPUTED_VALUE"""),45197.0)</f>
        <v>45197</v>
      </c>
      <c r="F73" s="31">
        <f>IFERROR(__xludf.DUMMYFUNCTION("""COMPUTED_VALUE"""),0.0)</f>
        <v>0</v>
      </c>
    </row>
    <row r="74">
      <c r="C74" s="31"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D74" s="31"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E74" s="32">
        <f>IFERROR(__xludf.DUMMYFUNCTION("""COMPUTED_VALUE"""),45174.0)</f>
        <v>45174</v>
      </c>
      <c r="F74" s="31">
        <f>IFERROR(__xludf.DUMMYFUNCTION("""COMPUTED_VALUE"""),0.0)</f>
        <v>0</v>
      </c>
    </row>
    <row r="75">
      <c r="C75" s="31" t="str">
        <f>IFERROR(__xludf.DUMMYFUNCTION("""COMPUTED_VALUE"""),"Diagnostic management of acute pulmonary embolism: a prediction model based on a patient data meta-analysis.")</f>
        <v>Diagnostic management of acute pulmonary embolism: a prediction model based on a patient data meta-analysis.</v>
      </c>
      <c r="D75" s="31"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E75" s="32">
        <f>IFERROR(__xludf.DUMMYFUNCTION("""COMPUTED_VALUE"""),45160.0)</f>
        <v>45160</v>
      </c>
      <c r="F75" s="31">
        <f>IFERROR(__xludf.DUMMYFUNCTION("""COMPUTED_VALUE"""),5.0)</f>
        <v>5</v>
      </c>
    </row>
    <row r="76">
      <c r="C76" s="31"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D76" s="31" t="str">
        <f>IFERROR(__xludf.DUMMYFUNCTION("""COMPUTED_VALUE"""),"Rademaker, Maaike M; Smit, Adriana L; Stokroos, Robert J; van Smeden, Maarten; Stegeman, Inge")</f>
        <v>Rademaker, Maaike M; Smit, Adriana L; Stokroos, Robert J; van Smeden, Maarten; Stegeman, Inge</v>
      </c>
      <c r="E76" s="32">
        <f>IFERROR(__xludf.DUMMYFUNCTION("""COMPUTED_VALUE"""),45141.0)</f>
        <v>45141</v>
      </c>
      <c r="F76" s="31">
        <f>IFERROR(__xludf.DUMMYFUNCTION("""COMPUTED_VALUE"""),0.0)</f>
        <v>0</v>
      </c>
    </row>
    <row r="77">
      <c r="C77" s="31"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D77" s="31" t="str">
        <f>IFERROR(__xludf.DUMMYFUNCTION("""COMPUTED_VALUE"""),"Ma, Jie; Dhiman, Paula; Qi, Cathy; Bullock, Garrett; van Smeden, Maarten; Riley, Richard D; Collins, Gary S")</f>
        <v>Ma, Jie; Dhiman, Paula; Qi, Cathy; Bullock, Garrett; van Smeden, Maarten; Riley, Richard D; Collins, Gary S</v>
      </c>
      <c r="E77" s="32">
        <f>IFERROR(__xludf.DUMMYFUNCTION("""COMPUTED_VALUE"""),45140.0)</f>
        <v>45140</v>
      </c>
      <c r="F77" s="31">
        <f>IFERROR(__xludf.DUMMYFUNCTION("""COMPUTED_VALUE"""),4.0)</f>
        <v>4</v>
      </c>
    </row>
    <row r="78">
      <c r="C78" s="31"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D78" s="31"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E78" s="32">
        <f>IFERROR(__xludf.DUMMYFUNCTION("""COMPUTED_VALUE"""),45076.0)</f>
        <v>45076</v>
      </c>
      <c r="F78" s="31">
        <f>IFERROR(__xludf.DUMMYFUNCTION("""COMPUTED_VALUE"""),1.0)</f>
        <v>1</v>
      </c>
    </row>
    <row r="79">
      <c r="C79" s="31" t="str">
        <f>IFERROR(__xludf.DUMMYFUNCTION("""COMPUTED_VALUE"""),"Guidelines for Reporting Observational Research in Urology: The Importance of Clear Reference to Causality.")</f>
        <v>Guidelines for Reporting Observational Research in Urology: The Importance of Clear Reference to Causality.</v>
      </c>
      <c r="D79" s="31" t="str">
        <f>IFERROR(__xludf.DUMMYFUNCTION("""COMPUTED_VALUE"""),"Vickers, Andrew J; Assel, Melissa; Dunn, Rodney L; Zabor, Emily C; Kattan, Michael W; van Smeden, Maarten; Dahly, Darren")</f>
        <v>Vickers, Andrew J; Assel, Melissa; Dunn, Rodney L; Zabor, Emily C; Kattan, Michael W; van Smeden, Maarten; Dahly, Darren</v>
      </c>
      <c r="E79" s="32">
        <f>IFERROR(__xludf.DUMMYFUNCTION("""COMPUTED_VALUE"""),45066.0)</f>
        <v>45066</v>
      </c>
      <c r="F79" s="31">
        <f>IFERROR(__xludf.DUMMYFUNCTION("""COMPUTED_VALUE"""),0.0)</f>
        <v>0</v>
      </c>
    </row>
    <row r="80">
      <c r="C80" s="31"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D80" s="31" t="str">
        <f>IFERROR(__xludf.DUMMYFUNCTION("""COMPUTED_VALUE"""),"Lohmann, Anna; Groenwold, Rolf H H; van Smeden, Maarten")</f>
        <v>Lohmann, Anna; Groenwold, Rolf H H; van Smeden, Maarten</v>
      </c>
      <c r="E80" s="32">
        <f>IFERROR(__xludf.DUMMYFUNCTION("""COMPUTED_VALUE"""),45064.0)</f>
        <v>45064</v>
      </c>
      <c r="F80" s="31">
        <f>IFERROR(__xludf.DUMMYFUNCTION("""COMPUTED_VALUE"""),1.0)</f>
        <v>1</v>
      </c>
    </row>
    <row r="81">
      <c r="C81" s="31" t="str">
        <f>IFERROR(__xludf.DUMMYFUNCTION("""COMPUTED_VALUE"""),"Machine Learning and Statistics in Clinical Research Articles-Moving Past the False Dichotomy.")</f>
        <v>Machine Learning and Statistics in Clinical Research Articles-Moving Past the False Dichotomy.</v>
      </c>
      <c r="D81" s="31" t="str">
        <f>IFERROR(__xludf.DUMMYFUNCTION("""COMPUTED_VALUE"""),"Finlayson, Samuel G; Beam, Andrew L; van Smeden, Maarten")</f>
        <v>Finlayson, Samuel G; Beam, Andrew L; van Smeden, Maarten</v>
      </c>
      <c r="E81" s="32">
        <f>IFERROR(__xludf.DUMMYFUNCTION("""COMPUTED_VALUE"""),45047.0)</f>
        <v>45047</v>
      </c>
      <c r="F81" s="31">
        <f>IFERROR(__xludf.DUMMYFUNCTION("""COMPUTED_VALUE"""),9.0)</f>
        <v>9</v>
      </c>
    </row>
    <row r="82">
      <c r="C82" s="31"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D82" s="31" t="str">
        <f>IFERROR(__xludf.DUMMYFUNCTION("""COMPUTED_VALUE"""),"Sisk, Rose; Sperrin, Matthew; Peek, Niels; van Smeden, Maarten; Martin, Glen Philip")</f>
        <v>Sisk, Rose; Sperrin, Matthew; Peek, Niels; van Smeden, Maarten; Martin, Glen Philip</v>
      </c>
      <c r="E82" s="32">
        <f>IFERROR(__xludf.DUMMYFUNCTION("""COMPUTED_VALUE"""),45043.0)</f>
        <v>45043</v>
      </c>
      <c r="F82" s="31">
        <f>IFERROR(__xludf.DUMMYFUNCTION("""COMPUTED_VALUE"""),7.0)</f>
        <v>7</v>
      </c>
    </row>
    <row r="83">
      <c r="C83" s="31"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D83" s="31"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E83" s="32">
        <f>IFERROR(__xludf.DUMMYFUNCTION("""COMPUTED_VALUE"""),45020.0)</f>
        <v>45020</v>
      </c>
      <c r="F83" s="31">
        <f>IFERROR(__xludf.DUMMYFUNCTION("""COMPUTED_VALUE"""),2.0)</f>
        <v>2</v>
      </c>
    </row>
    <row r="84">
      <c r="C84" s="31" t="str">
        <f>IFERROR(__xludf.DUMMYFUNCTION("""COMPUTED_VALUE"""),"[A new prognostic prediction model for heart failure: will it help the general practitioner?].")</f>
        <v>[A new prognostic prediction model for heart failure: will it help the general practitioner?].</v>
      </c>
      <c r="D84" s="31" t="str">
        <f>IFERROR(__xludf.DUMMYFUNCTION("""COMPUTED_VALUE"""),"Rutten, Frans H; van Smeden, Maarten")</f>
        <v>Rutten, Frans H; van Smeden, Maarten</v>
      </c>
      <c r="E84" s="32">
        <f>IFERROR(__xludf.DUMMYFUNCTION("""COMPUTED_VALUE"""),45014.0)</f>
        <v>45014</v>
      </c>
      <c r="F84" s="31">
        <f>IFERROR(__xludf.DUMMYFUNCTION("""COMPUTED_VALUE"""),0.0)</f>
        <v>0</v>
      </c>
    </row>
    <row r="85">
      <c r="C85" s="31" t="str">
        <f>IFERROR(__xludf.DUMMYFUNCTION("""COMPUTED_VALUE"""),"There is no such thing as a validated prediction model.")</f>
        <v>There is no such thing as a validated prediction model.</v>
      </c>
      <c r="D85" s="31" t="str">
        <f>IFERROR(__xludf.DUMMYFUNCTION("""COMPUTED_VALUE"""),"Van Calster, Ben; Steyerberg, Ewout W; Wynants, Laure; van Smeden, Maarten")</f>
        <v>Van Calster, Ben; Steyerberg, Ewout W; Wynants, Laure; van Smeden, Maarten</v>
      </c>
      <c r="E85" s="32">
        <f>IFERROR(__xludf.DUMMYFUNCTION("""COMPUTED_VALUE"""),44981.0)</f>
        <v>44981</v>
      </c>
      <c r="F85" s="31">
        <f>IFERROR(__xludf.DUMMYFUNCTION("""COMPUTED_VALUE"""),48.0)</f>
        <v>48</v>
      </c>
    </row>
    <row r="86">
      <c r="C86" s="31"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D86" s="31"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E86" s="32">
        <f>IFERROR(__xludf.DUMMYFUNCTION("""COMPUTED_VALUE"""),44977.0)</f>
        <v>44977</v>
      </c>
      <c r="F86" s="31">
        <f>IFERROR(__xludf.DUMMYFUNCTION("""COMPUTED_VALUE"""),18.0)</f>
        <v>18</v>
      </c>
    </row>
    <row r="87">
      <c r="C87" s="31" t="str">
        <f>IFERROR(__xludf.DUMMYFUNCTION("""COMPUTED_VALUE"""),"Minimum sample size for developing a multivariable prediction model using multinomial logistic regression.")</f>
        <v>Minimum sample size for developing a multivariable prediction model using multinomial logistic regression.</v>
      </c>
      <c r="D87" s="31" t="str">
        <f>IFERROR(__xludf.DUMMYFUNCTION("""COMPUTED_VALUE"""),"Pate, Alexander; Riley, Richard D; Collins, Gary S; van Smeden, Maarten; Van Calster, Ben; Ensor, Joie; Martin, Glen P")</f>
        <v>Pate, Alexander; Riley, Richard D; Collins, Gary S; van Smeden, Maarten; Van Calster, Ben; Ensor, Joie; Martin, Glen P</v>
      </c>
      <c r="E87" s="32">
        <f>IFERROR(__xludf.DUMMYFUNCTION("""COMPUTED_VALUE"""),44945.0)</f>
        <v>44945</v>
      </c>
      <c r="F87" s="31">
        <f>IFERROR(__xludf.DUMMYFUNCTION("""COMPUTED_VALUE"""),16.0)</f>
        <v>16</v>
      </c>
    </row>
    <row r="88">
      <c r="C88" s="31"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D88" s="31"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E88" s="32">
        <f>IFERROR(__xludf.DUMMYFUNCTION("""COMPUTED_VALUE"""),44922.0)</f>
        <v>44922</v>
      </c>
      <c r="F88" s="31">
        <f>IFERROR(__xludf.DUMMYFUNCTION("""COMPUTED_VALUE"""),30.0)</f>
        <v>30</v>
      </c>
    </row>
    <row r="89">
      <c r="C89" s="31" t="str">
        <f>IFERROR(__xludf.DUMMYFUNCTION("""COMPUTED_VALUE"""),"Noninvasive diagnostic work-up for suspected acute pulmonary embolism during pregnancy: a systematic review and meta-analysis of individual patient data.")</f>
        <v>Noninvasive diagnostic work-up for suspected acute pulmonary embolism during pregnancy: a systematic review and meta-analysis of individual patient data.</v>
      </c>
      <c r="D89" s="31" t="str">
        <f>IFERROR(__xludf.DUMMYFUNCTION("""COMPUTED_VALUE"""),"Stals, Milou A M; Moumneh, Thomas; Ainle, Fionnuala Ni; Aujesky, Drahomir; van Bemmel, Thomas; Bertoletti, Laurent; Bistervels, Ingrid M; Chauleur, Céline; Couturaud, Francis; van Dooren, Yordi P A; Elias, Antoine; Faber, Laura M; Le Gall, Catherine; Hofs"&amp;"tee, Herman M A; van der Hulle, Tom; Kruip, Marieke J H A; Maignan, Maxime; Mairuhu, Albert T A; Middeldorp, Saskia; Le Moigne, Emmanuelle; Nijkeuter, Mathilde; van der Pol, Liselotte M; Robert-Ebadi, Helia; Roy, Pierre-Marie; Sanchez, Olivier; Schmidt, J"&amp;"eannot; van Smeden, Maarten; Tromeur, Cecile; Wolde, Marije Ten; Righini, Marc; Le Gal, Grégoire; Huisman, Menno V; Klok, Frederikus A")</f>
        <v>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v>
      </c>
      <c r="E89" s="32">
        <f>IFERROR(__xludf.DUMMYFUNCTION("""COMPUTED_VALUE"""),44917.0)</f>
        <v>44917</v>
      </c>
      <c r="F89" s="31">
        <f>IFERROR(__xludf.DUMMYFUNCTION("""COMPUTED_VALUE"""),7.0)</f>
        <v>7</v>
      </c>
    </row>
    <row r="90">
      <c r="C90" s="31" t="str">
        <f>IFERROR(__xludf.DUMMYFUNCTION("""COMPUTED_VALUE"""),"Minimal reporting improvement after peer review in reports of COVID-19 prediction models: systematic review.")</f>
        <v>Minimal reporting improvement after peer review in reports of COVID-19 prediction models: systematic review.</v>
      </c>
      <c r="D90" s="31" t="str">
        <f>IFERROR(__xludf.DUMMYFUNCTION("""COMPUTED_VALUE"""),"Hudda, Mohammed T; Archer, Lucinda; van Smeden, Maarten; Moons, Karel G M; Collins, Gary S; Steyerberg, Ewout W; Wahlich, Charlotte; Reitsma, Johannes B; Riley, Richard D; Van Calster, Ben; Wynants, Laure")</f>
        <v>Hudda, Mohammed T; Archer, Lucinda; van Smeden, Maarten; Moons, Karel G M; Collins, Gary S; Steyerberg, Ewout W; Wahlich, Charlotte; Reitsma, Johannes B; Riley, Richard D; Van Calster, Ben; Wynants, Laure</v>
      </c>
      <c r="E90" s="32">
        <f>IFERROR(__xludf.DUMMYFUNCTION("""COMPUTED_VALUE"""),44909.0)</f>
        <v>44909</v>
      </c>
      <c r="F90" s="31">
        <f>IFERROR(__xludf.DUMMYFUNCTION("""COMPUTED_VALUE"""),3.0)</f>
        <v>3</v>
      </c>
    </row>
    <row r="91">
      <c r="C91" s="31" t="str">
        <f>IFERROR(__xludf.DUMMYFUNCTION("""COMPUTED_VALUE"""),"Systematic review identifies the design and methodological conduct of studies on machine learning-based prediction models.")</f>
        <v>Systematic review identifies the design and methodological conduct of studies on machine learning-based prediction models.</v>
      </c>
      <c r="D91" s="31" t="str">
        <f>IFERROR(__xludf.DUMMYFUNCTION("""COMPUTED_VALUE"""),"Andaur Navarro, Constanza L; Damen, Johanna A A; van Smeden, Maarten; Takada, Toshihiko; Nijman, Steven W J; Dhiman, Paula; Ma, Jie; Collins, Gary S; Bajpai, Ram; Riley, Richard D; Moons, Karel G M; Hooft, Lotty")</f>
        <v>Andaur Navarro, Constanza L; Damen, Johanna A A; van Smeden, Maarten; Takada, Toshihiko; Nijman, Steven W J; Dhiman, Paula; Ma, Jie; Collins, Gary S; Bajpai, Ram; Riley, Richard D; Moons, Karel G M; Hooft, Lotty</v>
      </c>
      <c r="E91" s="32">
        <f>IFERROR(__xludf.DUMMYFUNCTION("""COMPUTED_VALUE"""),44890.0)</f>
        <v>44890</v>
      </c>
      <c r="F91" s="31">
        <f>IFERROR(__xludf.DUMMYFUNCTION("""COMPUTED_VALUE"""),19.0)</f>
        <v>19</v>
      </c>
    </row>
    <row r="92">
      <c r="C92" s="31" t="str">
        <f>IFERROR(__xludf.DUMMYFUNCTION("""COMPUTED_VALUE"""),"External Validation of the Colon Life Nomogram for Predicting 12-Week Mortality in Dutch Metastatic Colorectal Cancer Patients Treated with Trifluridine/Tipiracil in Daily Practice.")</f>
        <v>External Validation of the Colon Life Nomogram for Predicting 12-Week Mortality in Dutch Metastatic Colorectal Cancer Patients Treated with Trifluridine/Tipiracil in Daily Practice.</v>
      </c>
      <c r="D92" s="31" t="str">
        <f>IFERROR(__xludf.DUMMYFUNCTION("""COMPUTED_VALUE"""),"Hamers, Patricia A H; Wensink, G Emerens; van Smeden, Maarten; Vink, Geraldine R; Smabers, Lidwien P; Lunenberg, Renee A; Laclé, Miangela M; Koopman, Miriam; May, Anne M; Roodhart, Jeanine M L")</f>
        <v>Hamers, Patricia A H; Wensink, G Emerens; van Smeden, Maarten; Vink, Geraldine R; Smabers, Lidwien P; Lunenberg, Renee A; Laclé, Miangela M; Koopman, Miriam; May, Anne M; Roodhart, Jeanine M L</v>
      </c>
      <c r="E92" s="32">
        <f>IFERROR(__xludf.DUMMYFUNCTION("""COMPUTED_VALUE"""),44852.0)</f>
        <v>44852</v>
      </c>
      <c r="F92" s="31">
        <f>IFERROR(__xludf.DUMMYFUNCTION("""COMPUTED_VALUE"""),1.0)</f>
        <v>1</v>
      </c>
    </row>
    <row r="93">
      <c r="C93" s="31" t="str">
        <f>IFERROR(__xludf.DUMMYFUNCTION("""COMPUTED_VALUE"""),"Development and validation of a prediction rule for patients suspected of acute coronary syndrome in primary care: a cross-sectional study.")</f>
        <v>Development and validation of a prediction rule for patients suspected of acute coronary syndrome in primary care: a cross-sectional study.</v>
      </c>
      <c r="D93" s="31" t="str">
        <f>IFERROR(__xludf.DUMMYFUNCTION("""COMPUTED_VALUE"""),"Wouters, Loes T C M; Zwart, Dorien L M; Erkelens, Daphne C A; Adriaansen, Elisabeth J M; den Ruijter, Hester M; De Groot, Esther; Damoiseaux, Roger A M J; Hoes, Arno W; van Smeden, Maarten; Rutten, Frans H")</f>
        <v>Wouters, Loes T C M; Zwart, Dorien L M; Erkelens, Daphne C A; Adriaansen, Elisabeth J M; den Ruijter, Hester M; De Groot, Esther; Damoiseaux, Roger A M J; Hoes, Arno W; van Smeden, Maarten; Rutten, Frans H</v>
      </c>
      <c r="E93" s="32">
        <f>IFERROR(__xludf.DUMMYFUNCTION("""COMPUTED_VALUE"""),44839.0)</f>
        <v>44839</v>
      </c>
      <c r="F93" s="31">
        <f>IFERROR(__xludf.DUMMYFUNCTION("""COMPUTED_VALUE"""),0.0)</f>
        <v>0</v>
      </c>
    </row>
    <row r="94">
      <c r="C94" s="31" t="str">
        <f>IFERROR(__xludf.DUMMYFUNCTION("""COMPUTED_VALUE"""),"Developing, validating, updating and judging the impact of prognostic models for respiratory diseases.")</f>
        <v>Developing, validating, updating and judging the impact of prognostic models for respiratory diseases.</v>
      </c>
      <c r="D94" s="31" t="str">
        <f>IFERROR(__xludf.DUMMYFUNCTION("""COMPUTED_VALUE"""),"van Royen, Florien S; Moons, Karel G M; Geersing, Geert-Jan; van Smeden, Maarten")</f>
        <v>van Royen, Florien S; Moons, Karel G M; Geersing, Geert-Jan; van Smeden, Maarten</v>
      </c>
      <c r="E94" s="32">
        <f>IFERROR(__xludf.DUMMYFUNCTION("""COMPUTED_VALUE"""),44819.0)</f>
        <v>44819</v>
      </c>
      <c r="F94" s="31">
        <f>IFERROR(__xludf.DUMMYFUNCTION("""COMPUTED_VALUE"""),15.0)</f>
        <v>15</v>
      </c>
    </row>
    <row r="95">
      <c r="C95" s="31"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D95" s="31" t="str">
        <f>IFERROR(__xludf.DUMMYFUNCTION("""COMPUTED_VALUE"""),"van den Goorbergh, Ruben; van Smeden, Maarten; Timmerman, Dirk; Van Calster, Ben")</f>
        <v>van den Goorbergh, Ruben; van Smeden, Maarten; Timmerman, Dirk; Van Calster, Ben</v>
      </c>
      <c r="E95" s="32">
        <f>IFERROR(__xludf.DUMMYFUNCTION("""COMPUTED_VALUE"""),44789.0)</f>
        <v>44789</v>
      </c>
      <c r="F95" s="31">
        <f>IFERROR(__xludf.DUMMYFUNCTION("""COMPUTED_VALUE"""),76.0)</f>
        <v>76</v>
      </c>
    </row>
    <row r="96">
      <c r="C96" s="31" t="str">
        <f>IFERROR(__xludf.DUMMYFUNCTION("""COMPUTED_VALUE"""),"Critical appraisal of artificial intelligence-based prediction models for cardiovascular disease.")</f>
        <v>Critical appraisal of artificial intelligence-based prediction models for cardiovascular disease.</v>
      </c>
      <c r="D96" s="31" t="str">
        <f>IFERROR(__xludf.DUMMYFUNCTION("""COMPUTED_VALUE"""),"van Smeden, Maarten; Heinze, Georg; Van Calster, Ben; Asselbergs, Folkert W; Vardas, Panos E; Bruining, Nico; de Jaegere, Peter; Moore, Jason H; Denaxas, Spiros; Boulesteix, Anne Laure; Moons, Karel G M")</f>
        <v>van Smeden, Maarten; Heinze, Georg; Van Calster, Ben; Asselbergs, Folkert W; Vardas, Panos E; Bruining, Nico; de Jaegere, Peter; Moore, Jason H; Denaxas, Spiros; Boulesteix, Anne Laure; Moons, Karel G M</v>
      </c>
      <c r="E96" s="32">
        <f>IFERROR(__xludf.DUMMYFUNCTION("""COMPUTED_VALUE"""),44787.0)</f>
        <v>44787</v>
      </c>
      <c r="F96" s="31">
        <f>IFERROR(__xludf.DUMMYFUNCTION("""COMPUTED_VALUE"""),55.0)</f>
        <v>55</v>
      </c>
    </row>
    <row r="97">
      <c r="C97" s="31" t="str">
        <f>IFERROR(__xludf.DUMMYFUNCTION("""COMPUTED_VALUE"""),"A Very Short List of Common Pitfalls in Research Design, Data Analysis, and Reporting.")</f>
        <v>A Very Short List of Common Pitfalls in Research Design, Data Analysis, and Reporting.</v>
      </c>
      <c r="D97" s="31" t="str">
        <f>IFERROR(__xludf.DUMMYFUNCTION("""COMPUTED_VALUE"""),"van Smeden, Maarten")</f>
        <v>van Smeden, Maarten</v>
      </c>
      <c r="E97" s="32">
        <f>IFERROR(__xludf.DUMMYFUNCTION("""COMPUTED_VALUE"""),44783.0)</f>
        <v>44783</v>
      </c>
      <c r="F97" s="31">
        <f>IFERROR(__xludf.DUMMYFUNCTION("""COMPUTED_VALUE"""),0.0)</f>
        <v>0</v>
      </c>
    </row>
    <row r="98">
      <c r="C98" s="31" t="str">
        <f>IFERROR(__xludf.DUMMYFUNCTION("""COMPUTED_VALUE"""),"How to conduct a systematic review and meta-analysis of prognostic model studies.")</f>
        <v>How to conduct a systematic review and meta-analysis of prognostic model studies.</v>
      </c>
      <c r="D98" s="31" t="str">
        <f>IFERROR(__xludf.DUMMYFUNCTION("""COMPUTED_VALUE"""),"Damen, Johanna A A; Moons, Karel G M; van Smeden, Maarten; Hooft, Lotty")</f>
        <v>Damen, Johanna A A; Moons, Karel G M; van Smeden, Maarten; Hooft, Lotty</v>
      </c>
      <c r="E98" s="32">
        <f>IFERROR(__xludf.DUMMYFUNCTION("""COMPUTED_VALUE"""),44777.0)</f>
        <v>44777</v>
      </c>
      <c r="F98" s="31">
        <f>IFERROR(__xludf.DUMMYFUNCTION("""COMPUTED_VALUE"""),20.0)</f>
        <v>20</v>
      </c>
    </row>
    <row r="99">
      <c r="C99" s="31"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D99" s="31"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E99" s="32">
        <f>IFERROR(__xludf.DUMMYFUNCTION("""COMPUTED_VALUE"""),44775.0)</f>
        <v>44775</v>
      </c>
      <c r="F99" s="31">
        <f>IFERROR(__xludf.DUMMYFUNCTION("""COMPUTED_VALUE"""),0.0)</f>
        <v>0</v>
      </c>
    </row>
    <row r="100">
      <c r="C100" s="31" t="str">
        <f>IFERROR(__xludf.DUMMYFUNCTION("""COMPUTED_VALUE"""),"Clinical prediction models for mortality in patients with covid-19: external validation and individual participant data meta-analysis.")</f>
        <v>Clinical prediction models for mortality in patients with covid-19: external validation and individual participant data meta-analysis.</v>
      </c>
      <c r="D100" s="31" t="str">
        <f>IFERROR(__xludf.DUMMYFUNCTION("""COMPUTED_VALUE"""),"de Jong, Valentijn M T; Rousset, Rebecca Z; Antonio-Villa, Neftalí Eduardo; Buenen, Arnoldus G; Van Calster, Ben; Bello-Chavolla, Omar Yaxmehen; Brunskill, Nigel J; Curcin, Vasa; Damen, Johanna A A; Fermín-Martínez, Carlos A; Fernández-Chirino, Luisa; Fer"&amp;"rari, Davide; Free, Robert C; Gupta, Rishi K; Haldar, Pranabashis; Hedberg, Pontus; Korang, Steven Kwasi; Kurstjens, Steef; Kusters, Ron; Major, Rupert W; Maxwell, Lauren; Nair, Rajeshwari; Naucler, Pontus; Nguyen, Tri-Long; Noursadeghi, Mahdad; Rosa, Ros"&amp;"sana; Soares, Felipe; Takada, Toshihiko; van Royen, Florien S; van Smeden, Maarten; Wynants, Laure; Modrák, Martin; ,; Asselbergs, Folkert W; Linschoten, Marijke; ,; Moons, Karel G M; Debray, Thomas P A")</f>
        <v>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v>
      </c>
      <c r="E100" s="32">
        <f>IFERROR(__xludf.DUMMYFUNCTION("""COMPUTED_VALUE"""),44754.0)</f>
        <v>44754</v>
      </c>
      <c r="F100" s="31">
        <f>IFERROR(__xludf.DUMMYFUNCTION("""COMPUTED_VALUE"""),23.0)</f>
        <v>23</v>
      </c>
    </row>
    <row r="101">
      <c r="C101" s="31" t="str">
        <f>IFERROR(__xludf.DUMMYFUNCTION("""COMPUTED_VALUE"""),"A comparison of full model specification and backward elimination of potential confounders when estimating marginal and conditional causal effects on binary outcomes from observational data.")</f>
        <v>A comparison of full model specification and backward elimination of potential confounders when estimating marginal and conditional causal effects on binary outcomes from observational data.</v>
      </c>
      <c r="D101" s="31" t="str">
        <f>IFERROR(__xludf.DUMMYFUNCTION("""COMPUTED_VALUE"""),"Luijken, Kim; Groenwold, Rolf H H; van Smeden, Maarten; Strohmaier, Susanne; Heinze, Georg")</f>
        <v>Luijken, Kim; Groenwold, Rolf H H; van Smeden, Maarten; Strohmaier, Susanne; Heinze, Georg</v>
      </c>
      <c r="E101" s="32">
        <f>IFERROR(__xludf.DUMMYFUNCTION("""COMPUTED_VALUE"""),44693.0)</f>
        <v>44693</v>
      </c>
      <c r="F101" s="31">
        <f>IFERROR(__xludf.DUMMYFUNCTION("""COMPUTED_VALUE"""),1.0)</f>
        <v>1</v>
      </c>
    </row>
    <row r="102">
      <c r="C102" s="31"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D102" s="31"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E102" s="32">
        <f>IFERROR(__xludf.DUMMYFUNCTION("""COMPUTED_VALUE"""),44690.0)</f>
        <v>44690</v>
      </c>
      <c r="F102" s="31">
        <f>IFERROR(__xludf.DUMMYFUNCTION("""COMPUTED_VALUE"""),18.0)</f>
        <v>18</v>
      </c>
    </row>
    <row r="103">
      <c r="C103" s="31" t="str">
        <f>IFERROR(__xludf.DUMMYFUNCTION("""COMPUTED_VALUE"""),"Measures of (injury and illness) occurrence: a primer on epidemiological concepts and terminology for authors.")</f>
        <v>Measures of (injury and illness) occurrence: a primer on epidemiological concepts and terminology for authors.</v>
      </c>
      <c r="D103" s="31" t="str">
        <f>IFERROR(__xludf.DUMMYFUNCTION("""COMPUTED_VALUE"""),"Impellizzeri, Franco M; McCall, Alan; Meyer, Tim; van Smeden, Maarten")</f>
        <v>Impellizzeri, Franco M; McCall, Alan; Meyer, Tim; van Smeden, Maarten</v>
      </c>
      <c r="E103" s="32">
        <f>IFERROR(__xludf.DUMMYFUNCTION("""COMPUTED_VALUE"""),44682.0)</f>
        <v>44682</v>
      </c>
      <c r="F103" s="31">
        <f>IFERROR(__xludf.DUMMYFUNCTION("""COMPUTED_VALUE"""),4.0)</f>
        <v>4</v>
      </c>
    </row>
    <row r="104">
      <c r="C104" s="31" t="str">
        <f>IFERROR(__xludf.DUMMYFUNCTION("""COMPUTED_VALUE"""),"Etiology of Myocardial Injury in Critically Ill Patients with Sepsis: A Cohort Study.")</f>
        <v>Etiology of Myocardial Injury in Critically Ill Patients with Sepsis: A Cohort Study.</v>
      </c>
      <c r="D104" s="31" t="str">
        <f>IFERROR(__xludf.DUMMYFUNCTION("""COMPUTED_VALUE"""),"Frencken, Jos F; van Smeden, Maarten; van de Groep, Kirsten; Ong, David S Y; Klein Klouwenberg, Peter M C; Juffermans, Nicole; Bonten, Marc J M; van der Poll, Tom; Cremer, Olaf L; ,")</f>
        <v>Frencken, Jos F; van Smeden, Maarten; van de Groep, Kirsten; Ong, David S Y; Klein Klouwenberg, Peter M C; Juffermans, Nicole; Bonten, Marc J M; van der Poll, Tom; Cremer, Olaf L; ,</v>
      </c>
      <c r="E104" s="32">
        <f>IFERROR(__xludf.DUMMYFUNCTION("""COMPUTED_VALUE"""),44682.0)</f>
        <v>44682</v>
      </c>
      <c r="F104" s="31">
        <f>IFERROR(__xludf.DUMMYFUNCTION("""COMPUTED_VALUE"""),5.0)</f>
        <v>5</v>
      </c>
    </row>
    <row r="105">
      <c r="C105" s="31" t="str">
        <f>IFERROR(__xludf.DUMMYFUNCTION("""COMPUTED_VALUE"""),"Optimising telephone triage of patients calling for acute shortness of breath during out-of-hours primary care: protocol of a multiple methods study (Opticall).")</f>
        <v>Optimising telephone triage of patients calling for acute shortness of breath during out-of-hours primary care: protocol of a multiple methods study (Opticall).</v>
      </c>
      <c r="D105" s="31" t="str">
        <f>IFERROR(__xludf.DUMMYFUNCTION("""COMPUTED_VALUE"""),"Spek, Michelle; Venekamp, Roderick; De Groot, Esther; Geersing, Geert-Jan; Erkelens, Daphne Carmen; van Smeden, Maarten; Rutten, Frans H; Zwart, Dorien L")</f>
        <v>Spek, Michelle; Venekamp, Roderick; De Groot, Esther; Geersing, Geert-Jan; Erkelens, Daphne Carmen; van Smeden, Maarten; Rutten, Frans H; Zwart, Dorien L</v>
      </c>
      <c r="E105" s="32">
        <f>IFERROR(__xludf.DUMMYFUNCTION("""COMPUTED_VALUE"""),44672.0)</f>
        <v>44672</v>
      </c>
      <c r="F105" s="31">
        <f>IFERROR(__xludf.DUMMYFUNCTION("""COMPUTED_VALUE"""),3.0)</f>
        <v>3</v>
      </c>
    </row>
    <row r="106">
      <c r="C106" s="31" t="str">
        <f>IFERROR(__xludf.DUMMYFUNCTION("""COMPUTED_VALUE"""),"Cardiovascular vulnerability predicts hospitalisation in primary care clinically suspected and confirmed COVID-19 patients: A model development and validation study.")</f>
        <v>Cardiovascular vulnerability predicts hospitalisation in primary care clinically suspected and confirmed COVID-19 patients: A model development and validation study.</v>
      </c>
      <c r="D106" s="31" t="str">
        <f>IFERROR(__xludf.DUMMYFUNCTION("""COMPUTED_VALUE"""),"van Royen, Florien S; Joosten, Linda P T; van Smeden, Maarten; Slottje, Pauline; Rutten, Frans H; Geersing, Geert-Jan; van Doorn, Sander")</f>
        <v>van Royen, Florien S; Joosten, Linda P T; van Smeden, Maarten; Slottje, Pauline; Rutten, Frans H; Geersing, Geert-Jan; van Doorn, Sander</v>
      </c>
      <c r="E106" s="32">
        <f>IFERROR(__xludf.DUMMYFUNCTION("""COMPUTED_VALUE"""),44662.0)</f>
        <v>44662</v>
      </c>
      <c r="F106" s="31">
        <f>IFERROR(__xludf.DUMMYFUNCTION("""COMPUTED_VALUE"""),3.0)</f>
        <v>3</v>
      </c>
    </row>
    <row r="107">
      <c r="C107" s="31" t="str">
        <f>IFERROR(__xludf.DUMMYFUNCTION("""COMPUTED_VALUE"""),"External validation of the MSKCC nomogram to estimate five-year overall survival after surgery for stage I-III colon cancer in a Dutch population.")</f>
        <v>External validation of the MSKCC nomogram to estimate five-year overall survival after surgery for stage I-III colon cancer in a Dutch population.</v>
      </c>
      <c r="D107" s="31" t="str">
        <f>IFERROR(__xludf.DUMMYFUNCTION("""COMPUTED_VALUE"""),"Bond, Marinde J G; Hamers, Patricia A H; Vink, Geraldine R; van Grevenstein, Wilhelmina M U; Laclé, Miangela M; van Smeden, Maarten; Koopman, Miriam; Roodhart, Jeanine M L; Punt, Cornelis J A; May, Anne M")</f>
        <v>Bond, Marinde J G; Hamers, Patricia A H; Vink, Geraldine R; van Grevenstein, Wilhelmina M U; Laclé, Miangela M; van Smeden, Maarten; Koopman, Miriam; Roodhart, Jeanine M L; Punt, Cornelis J A; May, Anne M</v>
      </c>
      <c r="E107" s="32">
        <f>IFERROR(__xludf.DUMMYFUNCTION("""COMPUTED_VALUE"""),44627.0)</f>
        <v>44627</v>
      </c>
      <c r="F107" s="31">
        <f>IFERROR(__xludf.DUMMYFUNCTION("""COMPUTED_VALUE"""),0.0)</f>
        <v>0</v>
      </c>
    </row>
    <row r="108">
      <c r="C108" s="31"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D108" s="31"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E108" s="32">
        <f>IFERROR(__xludf.DUMMYFUNCTION("""COMPUTED_VALUE"""),44596.0)</f>
        <v>44596</v>
      </c>
      <c r="F108" s="31">
        <f>IFERROR(__xludf.DUMMYFUNCTION("""COMPUTED_VALUE"""),6.0)</f>
        <v>6</v>
      </c>
    </row>
    <row r="109">
      <c r="C109" s="31" t="str">
        <f>IFERROR(__xludf.DUMMYFUNCTION("""COMPUTED_VALUE"""),"Sex- and age specific association of new-onset atrial fibrillation with in-hospital mortality in hospitalised COVID-19 patients.")</f>
        <v>Sex- and age specific association of new-onset atrial fibrillation with in-hospital mortality in hospitalised COVID-19 patients.</v>
      </c>
      <c r="D109" s="31" t="str">
        <f>IFERROR(__xludf.DUMMYFUNCTION("""COMPUTED_VALUE"""),"Offerhaus, Joost A; Joosten, Linda P T; van Smeden, Maarten; Linschoten, Marijke; Bleijendaal, Hidde; Tieleman, Robert; Wilde, Arthur A M; Rutten, Frans H; Geersing, Geert-Jan; Remme, Carol Ann; ,")</f>
        <v>Offerhaus, Joost A; Joosten, Linda P T; van Smeden, Maarten; Linschoten, Marijke; Bleijendaal, Hidde; Tieleman, Robert; Wilde, Arthur A M; Rutten, Frans H; Geersing, Geert-Jan; Remme, Carol Ann; ,</v>
      </c>
      <c r="E109" s="32">
        <f>IFERROR(__xludf.DUMMYFUNCTION("""COMPUTED_VALUE"""),44596.0)</f>
        <v>44596</v>
      </c>
      <c r="F109" s="31">
        <f>IFERROR(__xludf.DUMMYFUNCTION("""COMPUTED_VALUE"""),8.0)</f>
        <v>8</v>
      </c>
    </row>
    <row r="110">
      <c r="C110" s="31" t="str">
        <f>IFERROR(__xludf.DUMMYFUNCTION("""COMPUTED_VALUE"""),"Prognostic factors for adverse outcomes in patients with COVID-19: a field-wide systematic review and meta-analysis.")</f>
        <v>Prognostic factors for adverse outcomes in patients with COVID-19: a field-wide systematic review and meta-analysis.</v>
      </c>
      <c r="D110" s="31" t="str">
        <f>IFERROR(__xludf.DUMMYFUNCTION("""COMPUTED_VALUE"""),"Bellou, Vanesa; Tzoulaki, Ioanna; van Smeden, Maarten; Moons, Karel G M; Evangelou, Evangelos; Belbasis, Lazaros")</f>
        <v>Bellou, Vanesa; Tzoulaki, Ioanna; van Smeden, Maarten; Moons, Karel G M; Evangelou, Evangelos; Belbasis, Lazaros</v>
      </c>
      <c r="E110" s="32">
        <f>IFERROR(__xludf.DUMMYFUNCTION("""COMPUTED_VALUE"""),44595.0)</f>
        <v>44595</v>
      </c>
      <c r="F110" s="31">
        <f>IFERROR(__xludf.DUMMYFUNCTION("""COMPUTED_VALUE"""),37.0)</f>
        <v>37</v>
      </c>
    </row>
    <row r="111">
      <c r="C111" s="31" t="str">
        <f>IFERROR(__xludf.DUMMYFUNCTION("""COMPUTED_VALUE"""),"The year in cardiovascular medicine 2021: digital health and innovation.")</f>
        <v>The year in cardiovascular medicine 2021: digital health and innovation.</v>
      </c>
      <c r="D111" s="31" t="str">
        <f>IFERROR(__xludf.DUMMYFUNCTION("""COMPUTED_VALUE"""),"Vardas, Panos E; Asselbergs, Folkert W; van Smeden, Maarten; Friedman, Paul")</f>
        <v>Vardas, Panos E; Asselbergs, Folkert W; van Smeden, Maarten; Friedman, Paul</v>
      </c>
      <c r="E111" s="32">
        <f>IFERROR(__xludf.DUMMYFUNCTION("""COMPUTED_VALUE"""),44592.0)</f>
        <v>44592</v>
      </c>
      <c r="F111" s="31">
        <f>IFERROR(__xludf.DUMMYFUNCTION("""COMPUTED_VALUE"""),27.0)</f>
        <v>27</v>
      </c>
    </row>
    <row r="112">
      <c r="C112" s="31" t="str">
        <f>IFERROR(__xludf.DUMMYFUNCTION("""COMPUTED_VALUE"""),"Artificial Intelligence and Statistics: Just the Old Wine in New Wineskins?")</f>
        <v>Artificial Intelligence and Statistics: Just the Old Wine in New Wineskins?</v>
      </c>
      <c r="D112" s="31" t="str">
        <f>IFERROR(__xludf.DUMMYFUNCTION("""COMPUTED_VALUE"""),"Faes, Livia; Sim, Dawn A; van Smeden, Maarten; Held, Ulrike; Bossuyt, Patrick M; Bachmann, Lucas M")</f>
        <v>Faes, Livia; Sim, Dawn A; van Smeden, Maarten; Held, Ulrike; Bossuyt, Patrick M; Bachmann, Lucas M</v>
      </c>
      <c r="E112" s="32">
        <f>IFERROR(__xludf.DUMMYFUNCTION("""COMPUTED_VALUE"""),44587.0)</f>
        <v>44587</v>
      </c>
      <c r="F112" s="31">
        <f>IFERROR(__xludf.DUMMYFUNCTION("""COMPUTED_VALUE"""),9.0)</f>
        <v>9</v>
      </c>
    </row>
    <row r="113">
      <c r="C113" s="31" t="str">
        <f>IFERROR(__xludf.DUMMYFUNCTION("""COMPUTED_VALUE"""),"Ruling out pulmonary embolism across different healthcare settings: A systematic review and individual patient data meta-analysis.")</f>
        <v>Ruling out pulmonary embolism across different healthcare settings: A systematic review and individual patient data meta-analysis.</v>
      </c>
      <c r="D113" s="31" t="str">
        <f>IFERROR(__xludf.DUMMYFUNCTION("""COMPUTED_VALUE"""),"Geersing, Geert-Jan; Takada, Toshihiko; Klok, Frederikus A; Büller, Harry R; Courtney, D Mark; Freund, Yonathan; Galipienzo, Javier; Le Gal, Gregoire; Ghanima, Waleed; Kline, Jeffrey A; Huisman, Menno V; Moons, Karel G M; Perrier, Arnaud; Parpia, Sameer; "&amp;"Robert-Ebadi, Helia; Righini, Marc; Roy, Pierre-Marie; van Smeden, Maarten; Stals, Milou A M; Wells, Philip S; de Wit, Kerstin; Kraaijpoel, Noémie; van Es, Nick")</f>
        <v>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v>
      </c>
      <c r="E113" s="32">
        <f>IFERROR(__xludf.DUMMYFUNCTION("""COMPUTED_VALUE"""),44586.0)</f>
        <v>44586</v>
      </c>
      <c r="F113" s="31">
        <f>IFERROR(__xludf.DUMMYFUNCTION("""COMPUTED_VALUE"""),21.0)</f>
        <v>21</v>
      </c>
    </row>
    <row r="114">
      <c r="C114" s="31" t="str">
        <f>IFERROR(__xludf.DUMMYFUNCTION("""COMPUTED_VALUE"""),"Performance of binary prediction models in high-correlation low-dimensional settings: a comparison of methods.")</f>
        <v>Performance of binary prediction models in high-correlation low-dimensional settings: a comparison of methods.</v>
      </c>
      <c r="D114" s="31" t="str">
        <f>IFERROR(__xludf.DUMMYFUNCTION("""COMPUTED_VALUE"""),"Leeuwenberg, Artuur M; van Smeden, Maarten; Langendijk, Johannes A; van der Schaaf, Arjen; Mauer, Murielle E; Moons, Karel G M; Reitsma, Johannes B; Schuit, Ewoud")</f>
        <v>Leeuwenberg, Artuur M; van Smeden, Maarten; Langendijk, Johannes A; van der Schaaf, Arjen; Mauer, Murielle E; Moons, Karel G M; Reitsma, Johannes B; Schuit, Ewoud</v>
      </c>
      <c r="E114" s="32">
        <f>IFERROR(__xludf.DUMMYFUNCTION("""COMPUTED_VALUE"""),44572.0)</f>
        <v>44572</v>
      </c>
      <c r="F114" s="31">
        <f>IFERROR(__xludf.DUMMYFUNCTION("""COMPUTED_VALUE"""),10.0)</f>
        <v>10</v>
      </c>
    </row>
    <row r="115">
      <c r="C115" s="31" t="str">
        <f>IFERROR(__xludf.DUMMYFUNCTION("""COMPUTED_VALUE"""),"Guidelines and quality criteria for artificial intelligence-based prediction models in healthcare: a scoping review.")</f>
        <v>Guidelines and quality criteria for artificial intelligence-based prediction models in healthcare: a scoping review.</v>
      </c>
      <c r="D115" s="31" t="str">
        <f>IFERROR(__xludf.DUMMYFUNCTION("""COMPUTED_VALUE"""),"de Hond, Anne A H; Leeuwenberg, Artuur M; Hooft, Lotty; Kant, Ilse M J; Nijman, Steven W J; van Os, Hendrikus J A; Aardoom, Jiska J; Debray, Thomas P A; Schuit, Ewoud; van Smeden, Maarten; Reitsma, Johannes B; Steyerberg, Ewout W; Chavannes, Niels H; Moon"&amp;"s, Karel G M")</f>
        <v>de Hond, Anne A H; Leeuwenberg, Artuur M; Hooft, Lotty; Kant, Ilse M J; Nijman, Steven W J; van Os, Hendrikus J A; Aardoom, Jiska J; Debray, Thomas P A; Schuit, Ewoud; van Smeden, Maarten; Reitsma, Johannes B; Steyerberg, Ewout W; Chavannes, Niels H; Moons, Karel G M</v>
      </c>
      <c r="E115" s="32">
        <f>IFERROR(__xludf.DUMMYFUNCTION("""COMPUTED_VALUE"""),44571.0)</f>
        <v>44571</v>
      </c>
      <c r="F115" s="31">
        <f>IFERROR(__xludf.DUMMYFUNCTION("""COMPUTED_VALUE"""),150.0)</f>
        <v>150</v>
      </c>
    </row>
    <row r="116">
      <c r="C116" s="31"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D116" s="31"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E116" s="32">
        <f>IFERROR(__xludf.DUMMYFUNCTION("""COMPUTED_VALUE"""),44546.0)</f>
        <v>44546</v>
      </c>
      <c r="F116" s="31">
        <f>IFERROR(__xludf.DUMMYFUNCTION("""COMPUTED_VALUE"""),34.0)</f>
        <v>34</v>
      </c>
    </row>
    <row r="117">
      <c r="C117" s="31" t="str">
        <f>IFERROR(__xludf.DUMMYFUNCTION("""COMPUTED_VALUE"""),"Safety and Efficiency of Diagnostic Strategies for Ruling Out Pulmonary Embolism in Clinically Relevant Patient Subgroups : A Systematic Review and Individual-Patient Data Meta-analysis.")</f>
        <v>Safety and Efficiency of Diagnostic Strategies for Ruling Out Pulmonary Embolism in Clinically Relevant Patient Subgroups : A Systematic Review and Individual-Patient Data Meta-analysis.</v>
      </c>
      <c r="D117" s="31" t="str">
        <f>IFERROR(__xludf.DUMMYFUNCTION("""COMPUTED_VALUE"""),"Stals, Milou A M; Takada, Toshihiko; Kraaijpoel, Noémie; van Es, Nick; Büller, Harry R; Courtney, D Mark; Freund, Yonathan; Galipienzo, Javier; Le Gal, Grégoire; Ghanima, Waleed; Huisman, Menno V; Kline, Jeffrey A; Moons, Karel G M; Parpia, Sameer; Perrie"&amp;"r, Arnaud; Righini, Marc; Robert-Ebadi, Helia; Roy, Pierre-Marie; van Smeden, Maarten; Wells, Phil S; de Wit, Kerstin; Geersing, Geert-Jan; Klok, Frederikus A")</f>
        <v>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v>
      </c>
      <c r="E117" s="32">
        <f>IFERROR(__xludf.DUMMYFUNCTION("""COMPUTED_VALUE"""),44544.0)</f>
        <v>44544</v>
      </c>
      <c r="F117" s="31">
        <f>IFERROR(__xludf.DUMMYFUNCTION("""COMPUTED_VALUE"""),29.0)</f>
        <v>29</v>
      </c>
    </row>
    <row r="118">
      <c r="C118" s="31"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D118" s="31" t="str">
        <f>IFERROR(__xludf.DUMMYFUNCTION("""COMPUTED_VALUE"""),"Edlinger, Michael; van Smeden, Maarten; Alber, Hannes F; Wanitschek, Maria; Van Calster, Ben")</f>
        <v>Edlinger, Michael; van Smeden, Maarten; Alber, Hannes F; Wanitschek, Maria; Van Calster, Ben</v>
      </c>
      <c r="E118" s="32">
        <f>IFERROR(__xludf.DUMMYFUNCTION("""COMPUTED_VALUE"""),44542.0)</f>
        <v>44542</v>
      </c>
      <c r="F118" s="31">
        <f>IFERROR(__xludf.DUMMYFUNCTION("""COMPUTED_VALUE"""),8.0)</f>
        <v>8</v>
      </c>
    </row>
    <row r="119">
      <c r="C119" s="31" t="str">
        <f>IFERROR(__xludf.DUMMYFUNCTION("""COMPUTED_VALUE"""),"QCOVID in Scotland: time to recalibrate our expectations?")</f>
        <v>QCOVID in Scotland: time to recalibrate our expectations?</v>
      </c>
      <c r="D119" s="31" t="str">
        <f>IFERROR(__xludf.DUMMYFUNCTION("""COMPUTED_VALUE"""),"Gupta, Rishi K; van Smeden, Maarten")</f>
        <v>Gupta, Rishi K; van Smeden, Maarten</v>
      </c>
      <c r="E119" s="32">
        <f>IFERROR(__xludf.DUMMYFUNCTION("""COMPUTED_VALUE"""),44515.0)</f>
        <v>44515</v>
      </c>
      <c r="F119" s="31">
        <f>IFERROR(__xludf.DUMMYFUNCTION("""COMPUTED_VALUE"""),0.0)</f>
        <v>0</v>
      </c>
    </row>
    <row r="120">
      <c r="C120" s="31" t="str">
        <f>IFERROR(__xludf.DUMMYFUNCTION("""COMPUTED_VALUE"""),"Why clinical context and relevant protocols matter: author's reply.")</f>
        <v>Why clinical context and relevant protocols matter: author's reply.</v>
      </c>
      <c r="D120" s="31" t="str">
        <f>IFERROR(__xludf.DUMMYFUNCTION("""COMPUTED_VALUE"""),"Impellizzeri, Franco M; McCall, Alan; van Smeden, Maarten")</f>
        <v>Impellizzeri, Franco M; McCall, Alan; van Smeden, Maarten</v>
      </c>
      <c r="E120" s="32">
        <f>IFERROR(__xludf.DUMMYFUNCTION("""COMPUTED_VALUE"""),44501.0)</f>
        <v>44501</v>
      </c>
      <c r="F120" s="31">
        <f>IFERROR(__xludf.DUMMYFUNCTION("""COMPUTED_VALUE"""),0.0)</f>
        <v>0</v>
      </c>
    </row>
    <row r="121">
      <c r="C121" s="31" t="str">
        <f>IFERROR(__xludf.DUMMYFUNCTION("""COMPUTED_VALUE"""),"Projecting the impact of triple CFTR modulator therapy on intravenous antibiotic requirements in cystic fibrosis using patient registry data combined with treatment effects from randomised trials.")</f>
        <v>Projecting the impact of triple CFTR modulator therapy on intravenous antibiotic requirements in cystic fibrosis using patient registry data combined with treatment effects from randomised trials.</v>
      </c>
      <c r="D121" s="31" t="str">
        <f>IFERROR(__xludf.DUMMYFUNCTION("""COMPUTED_VALUE"""),"Keogh, Ruth H; Cosgriff, Rebecca; Andrinopoulou, Eleni-Rosalina; Brownlee, Keith G; Carr, Siobhán B; Diaz-Ordaz, Karla; Granger, Emily; Jewell, Nicholas P; Lewin, Alex; Leyrat, Clemence; Schlüter, Daniela K; van Smeden, Maarten; Szczesniak, Rhonda D; Conn"&amp;"ett, Gary J")</f>
        <v>Keogh, Ruth H; Cosgriff, Rebecca; Andrinopoulou, Eleni-Rosalina; Brownlee, Keith G; Carr, Siobhán B; Diaz-Ordaz, Karla; Granger, Emily; Jewell, Nicholas P; Lewin, Alex; Leyrat, Clemence; Schlüter, Daniela K; van Smeden, Maarten; Szczesniak, Rhonda D; Connett, Gary J</v>
      </c>
      <c r="E121" s="32">
        <f>IFERROR(__xludf.DUMMYFUNCTION("""COMPUTED_VALUE"""),44462.0)</f>
        <v>44462</v>
      </c>
      <c r="F121" s="31">
        <f>IFERROR(__xludf.DUMMYFUNCTION("""COMPUTED_VALUE"""),12.0)</f>
        <v>12</v>
      </c>
    </row>
    <row r="122">
      <c r="C122" s="31"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D122" s="31" t="str">
        <f>IFERROR(__xludf.DUMMYFUNCTION("""COMPUTED_VALUE"""),"Morris, Tim P; van Smeden, Maarten")</f>
        <v>Morris, Tim P; van Smeden, Maarten</v>
      </c>
      <c r="E122" s="32">
        <f>IFERROR(__xludf.DUMMYFUNCTION("""COMPUTED_VALUE"""),44461.0)</f>
        <v>44461</v>
      </c>
      <c r="F122" s="31">
        <f>IFERROR(__xludf.DUMMYFUNCTION("""COMPUTED_VALUE"""),3.0)</f>
        <v>3</v>
      </c>
    </row>
    <row r="123">
      <c r="C123" s="31"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D123" s="31" t="str">
        <f>IFERROR(__xludf.DUMMYFUNCTION("""COMPUTED_VALUE"""),"Impellizzeri, Franco M; McCall, Alan; van Smeden, Maarten")</f>
        <v>Impellizzeri, Franco M; McCall, Alan; van Smeden, Maarten</v>
      </c>
      <c r="E123" s="32">
        <f>IFERROR(__xludf.DUMMYFUNCTION("""COMPUTED_VALUE"""),44450.0)</f>
        <v>44450</v>
      </c>
      <c r="F123" s="31">
        <f>IFERROR(__xludf.DUMMYFUNCTION("""COMPUTED_VALUE"""),23.0)</f>
        <v>23</v>
      </c>
    </row>
    <row r="124">
      <c r="C124" s="31" t="str">
        <f>IFERROR(__xludf.DUMMYFUNCTION("""COMPUTED_VALUE"""),"Flaws in the Development and Validation of a Coronavirus Disease 2019 Prediction Model.")</f>
        <v>Flaws in the Development and Validation of a Coronavirus Disease 2019 Prediction Model.</v>
      </c>
      <c r="D124" s="31" t="str">
        <f>IFERROR(__xludf.DUMMYFUNCTION("""COMPUTED_VALUE"""),"Collins, Gary S; Riley, Richard D; van Smeden, Maarten")</f>
        <v>Collins, Gary S; Riley, Richard D; van Smeden, Maarten</v>
      </c>
      <c r="E124" s="32">
        <f>IFERROR(__xludf.DUMMYFUNCTION("""COMPUTED_VALUE"""),44410.0)</f>
        <v>44410</v>
      </c>
      <c r="F124" s="31">
        <f>IFERROR(__xludf.DUMMYFUNCTION("""COMPUTED_VALUE"""),0.0)</f>
        <v>0</v>
      </c>
    </row>
    <row r="125">
      <c r="C125" s="31" t="str">
        <f>IFERROR(__xludf.DUMMYFUNCTION("""COMPUTED_VALUE"""),"Prediction models: stepwise development and simultaneous validation is a step back.")</f>
        <v>Prediction models: stepwise development and simultaneous validation is a step back.</v>
      </c>
      <c r="D125" s="31" t="str">
        <f>IFERROR(__xludf.DUMMYFUNCTION("""COMPUTED_VALUE"""),"Heinze, Georg; van Smeden, Maarten; Wynants, Laure; Steyerberg, Ewout; van Calster, Ben")</f>
        <v>Heinze, Georg; van Smeden, Maarten; Wynants, Laure; Steyerberg, Ewout; van Calster, Ben</v>
      </c>
      <c r="E125" s="32">
        <f>IFERROR(__xludf.DUMMYFUNCTION("""COMPUTED_VALUE"""),44409.0)</f>
        <v>44409</v>
      </c>
      <c r="F125" s="31">
        <f>IFERROR(__xludf.DUMMYFUNCTION("""COMPUTED_VALUE"""),1.0)</f>
        <v>1</v>
      </c>
    </row>
    <row r="126">
      <c r="C126" s="31" t="str">
        <f>IFERROR(__xludf.DUMMYFUNCTION("""COMPUTED_VALUE"""),"Protocol for development of a reporting guideline (TRIPOD-AI) and risk of bias tool (PROBAST-AI) for diagnostic and prognostic prediction model studies based on artificial intelligence.")</f>
        <v>Protocol for development of a reporting guideline (TRIPOD-AI) and risk of bias tool (PROBAST-AI) for diagnostic and prognostic prediction model studies based on artificial intelligence.</v>
      </c>
      <c r="D126" s="31" t="str">
        <f>IFERROR(__xludf.DUMMYFUNCTION("""COMPUTED_VALUE"""),"Collins, Gary S; Dhiman, Paula; Andaur Navarro, Constanza L; Ma, Jie; Hooft, Lotty; Reitsma, Johannes B; Logullo, Patricia; Beam, Andrew L; Peng, Lily; Van Calster, Ben; van Smeden, Maarten; Riley, Richard D; Moons, Karel Gm")</f>
        <v>Collins, Gary S; Dhiman, Paula; Andaur Navarro, Constanza L; Ma, Jie; Hooft, Lotty; Reitsma, Johannes B; Logullo, Patricia; Beam, Andrew L; Peng, Lily; Van Calster, Ben; van Smeden, Maarten; Riley, Richard D; Moons, Karel Gm</v>
      </c>
      <c r="E126" s="32">
        <f>IFERROR(__xludf.DUMMYFUNCTION("""COMPUTED_VALUE"""),44386.0)</f>
        <v>44386</v>
      </c>
      <c r="F126" s="31">
        <f>IFERROR(__xludf.DUMMYFUNCTION("""COMPUTED_VALUE"""),320.0)</f>
        <v>320</v>
      </c>
    </row>
    <row r="127">
      <c r="C127" s="31" t="str">
        <f>IFERROR(__xludf.DUMMYFUNCTION("""COMPUTED_VALUE"""),"Identifying adults with acute rhinosinusitis in primary care that benefit most from antibiotics: protocol of an individual patient data meta-analysis using multivariable risk prediction modelling.")</f>
        <v>Identifying adults with acute rhinosinusitis in primary care that benefit most from antibiotics: protocol of an individual patient data meta-analysis using multivariable risk prediction modelling.</v>
      </c>
      <c r="D127" s="31" t="str">
        <f>IFERROR(__xludf.DUMMYFUNCTION("""COMPUTED_VALUE"""),"Venekamp, Roderick P; Hoogland, Jeroen; van Smeden, Maarten; Rovers, Maroeska M; De Sutter, An I; Merenstein, Daniel; van Essen, Gerrit A; Kaiser, Laurent; Liira, Helena; Little, Paul; Bucher, Heiner Cc; Reitsma, Johannes B")</f>
        <v>Venekamp, Roderick P; Hoogland, Jeroen; van Smeden, Maarten; Rovers, Maroeska M; De Sutter, An I; Merenstein, Daniel; van Essen, Gerrit A; Kaiser, Laurent; Liira, Helena; Little, Paul; Bucher, Heiner Cc; Reitsma, Johannes B</v>
      </c>
      <c r="E127" s="32">
        <f>IFERROR(__xludf.DUMMYFUNCTION("""COMPUTED_VALUE"""),44378.0)</f>
        <v>44378</v>
      </c>
      <c r="F127" s="31">
        <f>IFERROR(__xludf.DUMMYFUNCTION("""COMPUTED_VALUE"""),1.0)</f>
        <v>1</v>
      </c>
    </row>
    <row r="128">
      <c r="C128" s="31" t="str">
        <f>IFERROR(__xludf.DUMMYFUNCTION("""COMPUTED_VALUE"""),"Gender-stratified analyses of symptoms associated with acute coronary syndrome in telephone triage: a cross-sectional study.")</f>
        <v>Gender-stratified analyses of symptoms associated with acute coronary syndrome in telephone triage: a cross-sectional study.</v>
      </c>
      <c r="D128" s="31" t="str">
        <f>IFERROR(__xludf.DUMMYFUNCTION("""COMPUTED_VALUE"""),"Wouters, Loes T C M; Zwart, Dorien L M; Erkelens, Daphne C A; De Groot, Esther; van Smeden, Maarten; Hoes, Arno W; Damoiseaux, Roger A M J; Rutten, Frans H")</f>
        <v>Wouters, Loes T C M; Zwart, Dorien L M; Erkelens, Daphne C A; De Groot, Esther; van Smeden, Maarten; Hoes, Arno W; Damoiseaux, Roger A M J; Rutten, Frans H</v>
      </c>
      <c r="E128" s="32">
        <f>IFERROR(__xludf.DUMMYFUNCTION("""COMPUTED_VALUE"""),44372.0)</f>
        <v>44372</v>
      </c>
      <c r="F128" s="31">
        <f>IFERROR(__xludf.DUMMYFUNCTION("""COMPUTED_VALUE"""),6.0)</f>
        <v>6</v>
      </c>
    </row>
    <row r="129">
      <c r="C129" s="31" t="str">
        <f>IFERROR(__xludf.DUMMYFUNCTION("""COMPUTED_VALUE"""),"Mecor: An R package for measurement error correction in linear regression models with a continuous outcome.")</f>
        <v>Mecor: An R package for measurement error correction in linear regression models with a continuous outcome.</v>
      </c>
      <c r="D129" s="31" t="str">
        <f>IFERROR(__xludf.DUMMYFUNCTION("""COMPUTED_VALUE"""),"Nab, Linda; van Smeden, Maarten; Keogh, Ruth H; Groenwold, Rolf H H")</f>
        <v>Nab, Linda; van Smeden, Maarten; Keogh, Ruth H; Groenwold, Rolf H H</v>
      </c>
      <c r="E129" s="32">
        <f>IFERROR(__xludf.DUMMYFUNCTION("""COMPUTED_VALUE"""),44364.0)</f>
        <v>44364</v>
      </c>
      <c r="F129" s="31">
        <f>IFERROR(__xludf.DUMMYFUNCTION("""COMPUTED_VALUE"""),8.0)</f>
        <v>8</v>
      </c>
    </row>
    <row r="130">
      <c r="C130" s="31" t="str">
        <f>IFERROR(__xludf.DUMMYFUNCTION("""COMPUTED_VALUE"""),"Methodology over metrics: current scientific standards are a disservice to patients and society.")</f>
        <v>Methodology over metrics: current scientific standards are a disservice to patients and society.</v>
      </c>
      <c r="D130" s="31" t="str">
        <f>IFERROR(__xludf.DUMMYFUNCTION("""COMPUTED_VALUE"""),"Van Calster, Ben; Wynants, Laure; Riley, Richard D; van Smeden, Maarten; Collins, Gary S")</f>
        <v>Van Calster, Ben; Wynants, Laure; Riley, Richard D; van Smeden, Maarten; Collins, Gary S</v>
      </c>
      <c r="E130" s="32">
        <f>IFERROR(__xludf.DUMMYFUNCTION("""COMPUTED_VALUE"""),44346.0)</f>
        <v>44346</v>
      </c>
      <c r="F130" s="31">
        <f>IFERROR(__xludf.DUMMYFUNCTION("""COMPUTED_VALUE"""),52.0)</f>
        <v>52</v>
      </c>
    </row>
    <row r="131">
      <c r="C131" s="31" t="str">
        <f>IFERROR(__xludf.DUMMYFUNCTION("""COMPUTED_VALUE"""),"Minimum sample size for external validation of a clinical prediction model with a binary outcome.")</f>
        <v>Minimum sample size for external validation of a clinical prediction model with a binary outcome.</v>
      </c>
      <c r="D131" s="31" t="str">
        <f>IFERROR(__xludf.DUMMYFUNCTION("""COMPUTED_VALUE"""),"Riley, Richard D; Debray, Thomas P A; Collins, Gary S; Archer, Lucinda; Ensor, Joie; van Smeden, Maarten; Snell, Kym I E")</f>
        <v>Riley, Richard D; Debray, Thomas P A; Collins, Gary S; Archer, Lucinda; Ensor, Joie; van Smeden, Maarten; Snell, Kym I E</v>
      </c>
      <c r="E131" s="32">
        <f>IFERROR(__xludf.DUMMYFUNCTION("""COMPUTED_VALUE"""),44340.0)</f>
        <v>44340</v>
      </c>
      <c r="F131" s="31">
        <f>IFERROR(__xludf.DUMMYFUNCTION("""COMPUTED_VALUE"""),124.0)</f>
        <v>124</v>
      </c>
    </row>
    <row r="132">
      <c r="C132" s="31" t="str">
        <f>IFERROR(__xludf.DUMMYFUNCTION("""COMPUTED_VALUE"""),"New-user and prevalent-user designs and the definition of study time origin in pharmacoepidemiology: A review of reporting practices.")</f>
        <v>New-user and prevalent-user designs and the definition of study time origin in pharmacoepidemiology: A review of reporting practices.</v>
      </c>
      <c r="D132" s="31" t="str">
        <f>IFERROR(__xludf.DUMMYFUNCTION("""COMPUTED_VALUE"""),"Luijken, Kim; Spekreijse, Judith J; van Smeden, Maarten; Gardarsdottir, Helga; Groenwold, Rolf H H")</f>
        <v>Luijken, Kim; Spekreijse, Judith J; van Smeden, Maarten; Gardarsdottir, Helga; Groenwold, Rolf H H</v>
      </c>
      <c r="E132" s="32">
        <f>IFERROR(__xludf.DUMMYFUNCTION("""COMPUTED_VALUE"""),44326.0)</f>
        <v>44326</v>
      </c>
      <c r="F132" s="31">
        <f>IFERROR(__xludf.DUMMYFUNCTION("""COMPUTED_VALUE"""),7.0)</f>
        <v>7</v>
      </c>
    </row>
    <row r="133">
      <c r="C133" s="31" t="str">
        <f>IFERROR(__xludf.DUMMYFUNCTION("""COMPUTED_VALUE"""),"Clinical prediction models: diagnosis versus prognosis.")</f>
        <v>Clinical prediction models: diagnosis versus prognosis.</v>
      </c>
      <c r="D133" s="31" t="str">
        <f>IFERROR(__xludf.DUMMYFUNCTION("""COMPUTED_VALUE"""),"van Smeden, Maarten; Reitsma, Johannes B; Riley, Richard D; Collins, Gary S; Moons, Karel Gm")</f>
        <v>van Smeden, Maarten; Reitsma, Johannes B; Riley, Richard D; Collins, Gary S; Moons, Karel Gm</v>
      </c>
      <c r="E133" s="32">
        <f>IFERROR(__xludf.DUMMYFUNCTION("""COMPUTED_VALUE"""),44287.0)</f>
        <v>44287</v>
      </c>
      <c r="F133" s="31">
        <f>IFERROR(__xludf.DUMMYFUNCTION("""COMPUTED_VALUE"""),61.0)</f>
        <v>61</v>
      </c>
    </row>
    <row r="134">
      <c r="C134" s="31" t="str">
        <f>IFERROR(__xludf.DUMMYFUNCTION("""COMPUTED_VALUE"""),"Adaptive sample size determination for the development of clinical prediction models.")</f>
        <v>Adaptive sample size determination for the development of clinical prediction models.</v>
      </c>
      <c r="D134" s="31"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E134" s="32">
        <f>IFERROR(__xludf.DUMMYFUNCTION("""COMPUTED_VALUE"""),44277.0)</f>
        <v>44277</v>
      </c>
      <c r="F134" s="31">
        <f>IFERROR(__xludf.DUMMYFUNCTION("""COMPUTED_VALUE"""),9.0)</f>
        <v>9</v>
      </c>
    </row>
    <row r="135">
      <c r="C135" s="31"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D135" s="31"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E135" s="32">
        <f>IFERROR(__xludf.DUMMYFUNCTION("""COMPUTED_VALUE"""),44207.0)</f>
        <v>44207</v>
      </c>
      <c r="F135" s="31">
        <f>IFERROR(__xludf.DUMMYFUNCTION("""COMPUTED_VALUE"""),143.0)</f>
        <v>143</v>
      </c>
    </row>
    <row r="136">
      <c r="C136" s="31" t="str">
        <f>IFERROR(__xludf.DUMMYFUNCTION("""COMPUTED_VALUE"""),"Comment on Williamson et al. (OpenSAFELY): The Table 2 Fallacy in a Study of COVID-19 Mortality Risk Factors.")</f>
        <v>Comment on Williamson et al. (OpenSAFELY): The Table 2 Fallacy in a Study of COVID-19 Mortality Risk Factors.</v>
      </c>
      <c r="D136" s="31" t="str">
        <f>IFERROR(__xludf.DUMMYFUNCTION("""COMPUTED_VALUE"""),"Westreich, Daniel; Edwards, Jessie K; van Smeden, Maarten")</f>
        <v>Westreich, Daniel; Edwards, Jessie K; van Smeden, Maarten</v>
      </c>
      <c r="E136" s="32">
        <f>IFERROR(__xludf.DUMMYFUNCTION("""COMPUTED_VALUE"""),44197.0)</f>
        <v>44197</v>
      </c>
      <c r="F136" s="31">
        <f>IFERROR(__xludf.DUMMYFUNCTION("""COMPUTED_VALUE"""),17.0)</f>
        <v>17</v>
      </c>
    </row>
    <row r="137">
      <c r="C137" s="31" t="str">
        <f>IFERROR(__xludf.DUMMYFUNCTION("""COMPUTED_VALUE"""),"Systematic evaluation and external validation of 22 prognostic models among hospitalised adults with COVID-19: an observational cohort study.")</f>
        <v>Systematic evaluation and external validation of 22 prognostic models among hospitalised adults with COVID-19: an observational cohort study.</v>
      </c>
      <c r="D137" s="31" t="str">
        <f>IFERROR(__xludf.DUMMYFUNCTION("""COMPUTED_VALUE"""),"Gupta, Rishi K; Marks, Michael; Samuels, Thomas H A; Luintel, Akish; Rampling, Tommy; Chowdhury, Humayra; Quartagno, Matteo; Nair, Arjun; Lipman, Marc; Abubakar, Ibrahim; van Smeden, Maarten; Wong, Wai Keong; Williams, Bryan; Noursadeghi, Mahdad; ,")</f>
        <v>Gupta, Rishi K; Marks, Michael; Samuels, Thomas H A; Luintel, Akish; Rampling, Tommy; Chowdhury, Humayra; Quartagno, Matteo; Nair, Arjun; Lipman, Marc; Abubakar, Ibrahim; van Smeden, Maarten; Wong, Wai Keong; Williams, Bryan; Noursadeghi, Mahdad; ,</v>
      </c>
      <c r="E137" s="32">
        <f>IFERROR(__xludf.DUMMYFUNCTION("""COMPUTED_VALUE"""),44189.0)</f>
        <v>44189</v>
      </c>
      <c r="F137" s="31">
        <f>IFERROR(__xludf.DUMMYFUNCTION("""COMPUTED_VALUE"""),130.0)</f>
        <v>130</v>
      </c>
    </row>
    <row r="138">
      <c r="C138" s="31"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D138" s="31"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E138" s="32">
        <f>IFERROR(__xludf.DUMMYFUNCTION("""COMPUTED_VALUE"""),44166.0)</f>
        <v>44166</v>
      </c>
      <c r="F138" s="31">
        <f>IFERROR(__xludf.DUMMYFUNCTION("""COMPUTED_VALUE"""),40.0)</f>
        <v>40</v>
      </c>
    </row>
    <row r="139">
      <c r="C139" s="31" t="str">
        <f>IFERROR(__xludf.DUMMYFUNCTION("""COMPUTED_VALUE"""),"A Workflow for Missing Values Imputation of Untargeted Metabolomics Data.")</f>
        <v>A Workflow for Missing Values Imputation of Untargeted Metabolomics Data.</v>
      </c>
      <c r="D139" s="31" t="str">
        <f>IFERROR(__xludf.DUMMYFUNCTION("""COMPUTED_VALUE"""),"Faquih, Tariq; van Smeden, Maarten; Luo, Jiao; le Cessie, Saskia; Kastenmüller, Gabi; Krumsiek, Jan; Noordam, Raymond; van Heemst, Diana; Rosendaal, Frits R; van Hylckama Vlieg, Astrid; Willems van Dijk, Ko; Mook-Kanamori, Dennis O")</f>
        <v>Faquih, Tariq; van Smeden, Maarten; Luo, Jiao; le Cessie, Saskia; Kastenmüller, Gabi; Krumsiek, Jan; Noordam, Raymond; van Heemst, Diana; Rosendaal, Frits R; van Hylckama Vlieg, Astrid; Willems van Dijk, Ko; Mook-Kanamori, Dennis O</v>
      </c>
      <c r="E139" s="32">
        <f>IFERROR(__xludf.DUMMYFUNCTION("""COMPUTED_VALUE"""),44161.0)</f>
        <v>44161</v>
      </c>
      <c r="F139" s="31">
        <f>IFERROR(__xludf.DUMMYFUNCTION("""COMPUTED_VALUE"""),21.0)</f>
        <v>21</v>
      </c>
    </row>
    <row r="140">
      <c r="C140" s="31" t="str">
        <f>IFERROR(__xludf.DUMMYFUNCTION("""COMPUTED_VALUE"""),"Cardiac complications in patients hospitalised with COVID-19.")</f>
        <v>Cardiac complications in patients hospitalised with COVID-19.</v>
      </c>
      <c r="D140" s="31" t="str">
        <f>IFERROR(__xludf.DUMMYFUNCTION("""COMPUTED_VALUE"""),"Linschoten, Marijke; Peters, Sanne; van Smeden, Maarten; Jewbali, Lucia S; Schaap, Jeroen; Siebelink, Hans-Marc; Smits, Peter C; Tieleman, Robert G; van der Harst, Pim; van Gilst, Wiek H; Asselbergs, Folkert W; ,")</f>
        <v>Linschoten, Marijke; Peters, Sanne; van Smeden, Maarten; Jewbali, Lucia S; Schaap, Jeroen; Siebelink, Hans-Marc; Smits, Peter C; Tieleman, Robert G; van der Harst, Pim; van Gilst, Wiek H; Asselbergs, Folkert W; ,</v>
      </c>
      <c r="E140" s="32">
        <f>IFERROR(__xludf.DUMMYFUNCTION("""COMPUTED_VALUE"""),44156.0)</f>
        <v>44156</v>
      </c>
      <c r="F140" s="31">
        <f>IFERROR(__xludf.DUMMYFUNCTION("""COMPUTED_VALUE"""),108.0)</f>
        <v>108</v>
      </c>
    </row>
    <row r="141">
      <c r="C141" s="31"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D141" s="31"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E141" s="32">
        <f>IFERROR(__xludf.DUMMYFUNCTION("""COMPUTED_VALUE"""),44089.0)</f>
        <v>44089</v>
      </c>
      <c r="F141" s="31">
        <f>IFERROR(__xludf.DUMMYFUNCTION("""COMPUTED_VALUE"""),1.0)</f>
        <v>1</v>
      </c>
    </row>
    <row r="142">
      <c r="C142" s="31" t="str">
        <f>IFERROR(__xludf.DUMMYFUNCTION("""COMPUTED_VALUE"""),"COVID-19 prediction models should adhere to methodological and reporting standards.")</f>
        <v>COVID-19 prediction models should adhere to methodological and reporting standards.</v>
      </c>
      <c r="D142" s="31" t="str">
        <f>IFERROR(__xludf.DUMMYFUNCTION("""COMPUTED_VALUE"""),"Collins, Gary S; van Smeden, Maarten; Riley, Richard D")</f>
        <v>Collins, Gary S; van Smeden, Maarten; Riley, Richard D</v>
      </c>
      <c r="E142" s="32">
        <f>IFERROR(__xludf.DUMMYFUNCTION("""COMPUTED_VALUE"""),44084.0)</f>
        <v>44084</v>
      </c>
      <c r="F142" s="31">
        <f>IFERROR(__xludf.DUMMYFUNCTION("""COMPUTED_VALUE"""),16.0)</f>
        <v>16</v>
      </c>
    </row>
    <row r="143">
      <c r="C143" s="31" t="str">
        <f>IFERROR(__xludf.DUMMYFUNCTION("""COMPUTED_VALUE"""),"A cautionary note on the use of the missing indicator method for handling missing data in prediction research.")</f>
        <v>A cautionary note on the use of the missing indicator method for handling missing data in prediction research.</v>
      </c>
      <c r="D143" s="31" t="str">
        <f>IFERROR(__xludf.DUMMYFUNCTION("""COMPUTED_VALUE"""),"van Smeden, Maarten; Groenwold, Rolf H H; Moons, Karel Gm")</f>
        <v>van Smeden, Maarten; Groenwold, Rolf H H; Moons, Karel Gm</v>
      </c>
      <c r="E143" s="32">
        <f>IFERROR(__xludf.DUMMYFUNCTION("""COMPUTED_VALUE"""),44001.0)</f>
        <v>44001</v>
      </c>
      <c r="F143" s="31">
        <f>IFERROR(__xludf.DUMMYFUNCTION("""COMPUTED_VALUE"""),20.0)</f>
        <v>20</v>
      </c>
    </row>
    <row r="144">
      <c r="C144" s="31" t="str">
        <f>IFERROR(__xludf.DUMMYFUNCTION("""COMPUTED_VALUE"""),"Prediction models for diagnosis and prognosis of covid-19: systematic review and critical appraisal.")</f>
        <v>Prediction models for diagnosis and prognosis of covid-19: systematic review and critical appraisal.</v>
      </c>
      <c r="D144" s="31" t="str">
        <f>IFERROR(__xludf.DUMMYFUNCTION("""COMPUTED_VALUE"""),"Wynants, Laure; Van Calster, Ben; Collins, Gary S; Riley, Richard D; Heinze, Georg; Schuit, Ewoud; Bonten, Marc M J; Dahly, Darren L; Damen, Johanna A A; Debray, Thomas P A; de Jong, Valentijn M T; De Vos, Maarten; Dhiman, Paul; Haller, Maria C; Harhay, M"&amp;"ichael O; Henckaerts, Liesbet; Heus, Pauline; Kammer, Michael; Kreuzberger, Nina; Lohmann, Anna; Luijken, Kim; Ma, Jie; Martin, Glen P; McLernon, David J; Andaur Navarro, Constanza L; Reitsma, Johannes B; Sergeant, Jamie C; Shi, Chunhu; Skoetz, Nicole; Sm"&amp;"its, Luc J M; Snell, Kym I E; Sperrin, Matthew; Spijker, René; Steyerberg, Ewout W; Takada, Toshihiko; Tzoulaki, Ioanna; van Kuijk, Sander M J; van Bussel, Bas; van der Horst, Iwan C C; van Royen, Florien S; Verbakel, Jan Y; Wallisch, Christine; Wilkinson"&amp;", Jack; Wolff, Robert; Hooft, Lotty; Moons, Karel G M; van Smeden, Maarten")</f>
        <v>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v>
      </c>
      <c r="E144" s="32">
        <f>IFERROR(__xludf.DUMMYFUNCTION("""COMPUTED_VALUE"""),43928.0)</f>
        <v>43928</v>
      </c>
      <c r="F144" s="31">
        <f>IFERROR(__xludf.DUMMYFUNCTION("""COMPUTED_VALUE"""),1744.0)</f>
        <v>1744</v>
      </c>
    </row>
    <row r="145">
      <c r="C145" s="31" t="str">
        <f>IFERROR(__xludf.DUMMYFUNCTION("""COMPUTED_VALUE"""),"Calculating the sample size required for developing a clinical prediction model.")</f>
        <v>Calculating the sample size required for developing a clinical prediction model.</v>
      </c>
      <c r="D145" s="31" t="str">
        <f>IFERROR(__xludf.DUMMYFUNCTION("""COMPUTED_VALUE"""),"Riley, Richard D; Ensor, Joie; Snell, Kym I E; Harrell, Frank E; Martin, Glen P; Reitsma, Johannes B; Moons, Karel G M; Collins, Gary; van Smeden, Maarten")</f>
        <v>Riley, Richard D; Ensor, Joie; Snell, Kym I E; Harrell, Frank E; Martin, Glen P; Reitsma, Johannes B; Moons, Karel G M; Collins, Gary; van Smeden, Maarten</v>
      </c>
      <c r="E145" s="32">
        <f>IFERROR(__xludf.DUMMYFUNCTION("""COMPUTED_VALUE"""),43908.0)</f>
        <v>43908</v>
      </c>
      <c r="F145" s="31">
        <f>IFERROR(__xludf.DUMMYFUNCTION("""COMPUTED_VALUE"""),795.0)</f>
        <v>795</v>
      </c>
    </row>
    <row r="146">
      <c r="C146" s="31" t="str">
        <f>IFERROR(__xludf.DUMMYFUNCTION("""COMPUTED_VALUE"""),"Forcing dichotomous disease classification from reference standards leads to bias in diagnostic accuracy estimates: A simulation study.")</f>
        <v>Forcing dichotomous disease classification from reference standards leads to bias in diagnostic accuracy estimates: A simulation study.</v>
      </c>
      <c r="D146" s="31" t="str">
        <f>IFERROR(__xludf.DUMMYFUNCTION("""COMPUTED_VALUE"""),"Jenniskens, Kevin; Naaktgeboren, Christiana A; Reitsma, Johannes B; Hooft, Lotty; Moons, Karel G M; van Smeden, Maarten")</f>
        <v>Jenniskens, Kevin; Naaktgeboren, Christiana A; Reitsma, Johannes B; Hooft, Lotty; Moons, Karel G M; van Smeden, Maarten</v>
      </c>
      <c r="E146" s="32">
        <f>IFERROR(__xludf.DUMMYFUNCTION("""COMPUTED_VALUE"""),43544.0)</f>
        <v>43544</v>
      </c>
      <c r="F146" s="31">
        <f>IFERROR(__xludf.DUMMYFUNCTION("""COMPUTED_VALUE"""),7.0)</f>
        <v>7</v>
      </c>
    </row>
    <row r="147">
      <c r="C147" s="31" t="str">
        <f>IFERROR(__xludf.DUMMYFUNCTION("""COMPUTED_VALUE"""),"Sample size considerations and predictive performance of multinomial logistic prediction models.")</f>
        <v>Sample size considerations and predictive performance of multinomial logistic prediction models.</v>
      </c>
      <c r="D147" s="31" t="str">
        <f>IFERROR(__xludf.DUMMYFUNCTION("""COMPUTED_VALUE"""),"de Jong, Valentijn M T; Eijkemans, Marinus J C; van Calster, Ben; Timmerman, Dirk; Moons, Karel G M; Steyerberg, Ewout W; van Smeden, Maarten")</f>
        <v>de Jong, Valentijn M T; Eijkemans, Marinus J C; van Calster, Ben; Timmerman, Dirk; Moons, Karel G M; Steyerberg, Ewout W; van Smeden, Maarten</v>
      </c>
      <c r="E147" s="32">
        <f>IFERROR(__xludf.DUMMYFUNCTION("""COMPUTED_VALUE"""),43471.0)</f>
        <v>43471</v>
      </c>
      <c r="F147" s="31">
        <f>IFERROR(__xludf.DUMMYFUNCTION("""COMPUTED_VALUE"""),64.0)</f>
        <v>64</v>
      </c>
    </row>
    <row r="148">
      <c r="C148" s="31" t="str">
        <f>IFERROR(__xludf.DUMMYFUNCTION("""COMPUTED_VALUE"""),"Adjustment for unmeasured confounding through informative priors for the confounder-outcome relation.")</f>
        <v>Adjustment for unmeasured confounding through informative priors for the confounder-outcome relation.</v>
      </c>
      <c r="D148" s="31" t="str">
        <f>IFERROR(__xludf.DUMMYFUNCTION("""COMPUTED_VALUE"""),"Groenwold, Rolf H H; Shofty, Inbal; Miočević, Milica; van Smeden, Maarten; Klugkist, Irene")</f>
        <v>Groenwold, Rolf H H; Shofty, Inbal; Miočević, Milica; van Smeden, Maarten; Klugkist, Irene</v>
      </c>
      <c r="E148" s="32">
        <f>IFERROR(__xludf.DUMMYFUNCTION("""COMPUTED_VALUE"""),43456.0)</f>
        <v>43456</v>
      </c>
      <c r="F148" s="31">
        <f>IFERROR(__xludf.DUMMYFUNCTION("""COMPUTED_VALUE"""),2.0)</f>
        <v>2</v>
      </c>
    </row>
    <row r="149">
      <c r="C149" s="31" t="str">
        <f>IFERROR(__xludf.DUMMYFUNCTION("""COMPUTED_VALUE"""),"Sample size for binary logistic prediction models: Beyond events per variable criteria.")</f>
        <v>Sample size for binary logistic prediction models: Beyond events per variable criteria.</v>
      </c>
      <c r="D149" s="31" t="str">
        <f>IFERROR(__xludf.DUMMYFUNCTION("""COMPUTED_VALUE"""),"van Smeden, Maarten; Moons, Karel Gm; de Groot, Joris Ah; Collins, Gary S; Altman, Douglas G; Eijkemans, Marinus Jc; Reitsma, Johannes B")</f>
        <v>van Smeden, Maarten; Moons, Karel Gm; de Groot, Joris Ah; Collins, Gary S; Altman, Douglas G; Eijkemans, Marinus Jc; Reitsma, Johannes B</v>
      </c>
      <c r="E149" s="32">
        <f>IFERROR(__xludf.DUMMYFUNCTION("""COMPUTED_VALUE"""),43284.0)</f>
        <v>43284</v>
      </c>
      <c r="F149" s="31">
        <f>IFERROR(__xludf.DUMMYFUNCTION("""COMPUTED_VALUE"""),278.0)</f>
        <v>278</v>
      </c>
    </row>
    <row r="150">
      <c r="C150" s="31" t="str">
        <f>IFERROR(__xludf.DUMMYFUNCTION("""COMPUTED_VALUE"""),"Challenges in measuring interprofessional-interorganisational collaboration with a questionnaire.")</f>
        <v>Challenges in measuring interprofessional-interorganisational collaboration with a questionnaire.</v>
      </c>
      <c r="D150" s="31" t="str">
        <f>IFERROR(__xludf.DUMMYFUNCTION("""COMPUTED_VALUE"""),"Meijer, Loes J; de Groot, Esther; van Smeden, Maarten; Schellevis, François G; Damoiseaux, Roger Amj")</f>
        <v>Meijer, Loes J; de Groot, Esther; van Smeden, Maarten; Schellevis, François G; Damoiseaux, Roger Amj</v>
      </c>
      <c r="E150" s="32">
        <f>IFERROR(__xludf.DUMMYFUNCTION("""COMPUTED_VALUE"""),43211.0)</f>
        <v>43211</v>
      </c>
      <c r="F150" s="31">
        <f>IFERROR(__xludf.DUMMYFUNCTION("""COMPUTED_VALUE"""),6.0)</f>
        <v>6</v>
      </c>
    </row>
    <row r="151">
      <c r="C151" s="31" t="str">
        <f>IFERROR(__xludf.DUMMYFUNCTION("""COMPUTED_VALUE"""),"Measurement error is often neglected in medical literature: a systematic review.")</f>
        <v>Measurement error is often neglected in medical literature: a systematic review.</v>
      </c>
      <c r="D151" s="31" t="str">
        <f>IFERROR(__xludf.DUMMYFUNCTION("""COMPUTED_VALUE"""),"Brakenhoff, Timo B; Mitroiu, Marian; Keogh, Ruth H; Moons, Karel G M; Groenwold, Rolf H H; van Smeden, Maarten")</f>
        <v>Brakenhoff, Timo B; Mitroiu, Marian; Keogh, Ruth H; Moons, Karel G M; Groenwold, Rolf H H; van Smeden, Maarten</v>
      </c>
      <c r="E151" s="32">
        <f>IFERROR(__xludf.DUMMYFUNCTION("""COMPUTED_VALUE"""),43165.0)</f>
        <v>43165</v>
      </c>
      <c r="F151" s="31">
        <f>IFERROR(__xludf.DUMMYFUNCTION("""COMPUTED_VALUE"""),68.0)</f>
        <v>68</v>
      </c>
    </row>
    <row r="152">
      <c r="C152" s="31" t="str">
        <f>IFERROR(__xludf.DUMMYFUNCTION("""COMPUTED_VALUE"""),"Towards an appropriate framework to facilitate responsible inclusion of pregnant women in drug development programs.")</f>
        <v>Towards an appropriate framework to facilitate responsible inclusion of pregnant women in drug development programs.</v>
      </c>
      <c r="D152" s="31" t="str">
        <f>IFERROR(__xludf.DUMMYFUNCTION("""COMPUTED_VALUE"""),"Roes, Kit C B; van der Zande, Indira S E; van Smeden, Maarten; van der Graaf, Rieke")</f>
        <v>Roes, Kit C B; van der Zande, Indira S E; van Smeden, Maarten; van der Graaf, Rieke</v>
      </c>
      <c r="E152" s="32">
        <f>IFERROR(__xludf.DUMMYFUNCTION("""COMPUTED_VALUE"""),43151.0)</f>
        <v>43151</v>
      </c>
      <c r="F152" s="31">
        <f>IFERROR(__xludf.DUMMYFUNCTION("""COMPUTED_VALUE"""),8.0)</f>
        <v>8</v>
      </c>
    </row>
    <row r="153">
      <c r="C153" s="31" t="str">
        <f>IFERROR(__xludf.DUMMYFUNCTION("""COMPUTED_VALUE"""),"Random measurement error: Why worry? An example of cardiovascular risk factors.")</f>
        <v>Random measurement error: Why worry? An example of cardiovascular risk factors.</v>
      </c>
      <c r="D153" s="31" t="str">
        <f>IFERROR(__xludf.DUMMYFUNCTION("""COMPUTED_VALUE"""),"Brakenhoff, Timo B; van Smeden, Maarten; Visseren, Frank L J; Groenwold, Rolf H H")</f>
        <v>Brakenhoff, Timo B; van Smeden, Maarten; Visseren, Frank L J; Groenwold, Rolf H H</v>
      </c>
      <c r="E153" s="32">
        <f>IFERROR(__xludf.DUMMYFUNCTION("""COMPUTED_VALUE"""),43140.0)</f>
        <v>43140</v>
      </c>
      <c r="F153" s="31">
        <f>IFERROR(__xludf.DUMMYFUNCTION("""COMPUTED_VALUE"""),40.0)</f>
        <v>40</v>
      </c>
    </row>
    <row r="154">
      <c r="C154" s="31" t="str">
        <f>IFERROR(__xludf.DUMMYFUNCTION("""COMPUTED_VALUE"""),"Concerns about composite reference standards in diagnostic research.")</f>
        <v>Concerns about composite reference standards in diagnostic research.</v>
      </c>
      <c r="D154" s="31" t="str">
        <f>IFERROR(__xludf.DUMMYFUNCTION("""COMPUTED_VALUE"""),"Dendukuri, Nandini; Schiller, Ian; de Groot, Joris; Libman, Michael; Moons, Karel; Reitsma, Johannes; van Smeden, Maarten")</f>
        <v>Dendukuri, Nandini; Schiller, Ian; de Groot, Joris; Libman, Michael; Moons, Karel; Reitsma, Johannes; van Smeden, Maarten</v>
      </c>
      <c r="E154" s="32">
        <f>IFERROR(__xludf.DUMMYFUNCTION("""COMPUTED_VALUE"""),43118.0)</f>
        <v>43118</v>
      </c>
      <c r="F154" s="31">
        <f>IFERROR(__xludf.DUMMYFUNCTION("""COMPUTED_VALUE"""),23.0)</f>
        <v>23</v>
      </c>
    </row>
    <row r="155">
      <c r="C155" s="31" t="str">
        <f>IFERROR(__xludf.DUMMYFUNCTION("""COMPUTED_VALUE"""),"Event rate net reclassification index and the integrated discrimination improvement for studying incremental value of risk markers.")</f>
        <v>Event rate net reclassification index and the integrated discrimination improvement for studying incremental value of risk markers.</v>
      </c>
      <c r="D155" s="31" t="str">
        <f>IFERROR(__xludf.DUMMYFUNCTION("""COMPUTED_VALUE"""),"van Smeden, Maarten; Moons, Karel G M")</f>
        <v>van Smeden, Maarten; Moons, Karel G M</v>
      </c>
      <c r="E155" s="32">
        <f>IFERROR(__xludf.DUMMYFUNCTION("""COMPUTED_VALUE"""),43079.0)</f>
        <v>43079</v>
      </c>
      <c r="F155" s="31">
        <f>IFERROR(__xludf.DUMMYFUNCTION("""COMPUTED_VALUE"""),9.0)</f>
        <v>9</v>
      </c>
    </row>
    <row r="156">
      <c r="C156" s="31" t="str">
        <f>IFERROR(__xludf.DUMMYFUNCTION("""COMPUTED_VALUE"""),"Efficient Sampling in Unmatched Case-Control Studies When the Total Number of Cases and Controls Is Fixed.")</f>
        <v>Efficient Sampling in Unmatched Case-Control Studies When the Total Number of Cases and Controls Is Fixed.</v>
      </c>
      <c r="D156" s="31" t="str">
        <f>IFERROR(__xludf.DUMMYFUNCTION("""COMPUTED_VALUE"""),"Groenwold, Rolf H H; van Smeden, Maarten")</f>
        <v>Groenwold, Rolf H H; van Smeden, Maarten</v>
      </c>
      <c r="E156" s="32">
        <f>IFERROR(__xludf.DUMMYFUNCTION("""COMPUTED_VALUE"""),43040.0)</f>
        <v>43040</v>
      </c>
      <c r="F156" s="31">
        <f>IFERROR(__xludf.DUMMYFUNCTION("""COMPUTED_VALUE"""),7.0)</f>
        <v>7</v>
      </c>
    </row>
    <row r="157">
      <c r="C157" s="31" t="str">
        <f>IFERROR(__xludf.DUMMYFUNCTION("""COMPUTED_VALUE"""),"Series: Pragmatic trials and real world evidence: Paper 6. Outcome measures in the real world.")</f>
        <v>Series: Pragmatic trials and real world evidence: Paper 6. Outcome measures in the real world.</v>
      </c>
      <c r="D157" s="31"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E157" s="32">
        <f>IFERROR(__xludf.DUMMYFUNCTION("""COMPUTED_VALUE"""),42866.0)</f>
        <v>42866</v>
      </c>
      <c r="F157" s="31">
        <f>IFERROR(__xludf.DUMMYFUNCTION("""COMPUTED_VALUE"""),31.0)</f>
        <v>31</v>
      </c>
    </row>
    <row r="158">
      <c r="C158" s="31"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D158" s="31" t="str">
        <f>IFERROR(__xludf.DUMMYFUNCTION("""COMPUTED_VALUE"""),"Ockhuijsen, Henrietta D L; van Smeden, Maarten; van den Hoogen, Agnes; Boivin, Jacky")</f>
        <v>Ockhuijsen, Henrietta D L; van Smeden, Maarten; van den Hoogen, Agnes; Boivin, Jacky</v>
      </c>
      <c r="E158" s="32">
        <f>IFERROR(__xludf.DUMMYFUNCTION("""COMPUTED_VALUE"""),42865.0)</f>
        <v>42865</v>
      </c>
      <c r="F158" s="31">
        <f>IFERROR(__xludf.DUMMYFUNCTION("""COMPUTED_VALUE"""),16.0)</f>
        <v>16</v>
      </c>
    </row>
    <row r="159">
      <c r="C159" s="31" t="str">
        <f>IFERROR(__xludf.DUMMYFUNCTION("""COMPUTED_VALUE"""),"No rationale for 1 variable per 10 events criterion for binary logistic regression analysis.")</f>
        <v>No rationale for 1 variable per 10 events criterion for binary logistic regression analysis.</v>
      </c>
      <c r="D159" s="31" t="str">
        <f>IFERROR(__xludf.DUMMYFUNCTION("""COMPUTED_VALUE"""),"van Smeden, Maarten; de Groot, Joris A H; Moons, Karel G M; Collins, Gary S; Altman, Douglas G; Eijkemans, Marinus J C; Reitsma, Johannes B")</f>
        <v>van Smeden, Maarten; de Groot, Joris A H; Moons, Karel G M; Collins, Gary S; Altman, Douglas G; Eijkemans, Marinus J C; Reitsma, Johannes B</v>
      </c>
      <c r="E159" s="32">
        <f>IFERROR(__xludf.DUMMYFUNCTION("""COMPUTED_VALUE"""),42698.0)</f>
        <v>42698</v>
      </c>
      <c r="F159" s="31">
        <f>IFERROR(__xludf.DUMMYFUNCTION("""COMPUTED_VALUE"""),254.0)</f>
        <v>254</v>
      </c>
    </row>
    <row r="160">
      <c r="C160" s="31" t="str">
        <f>IFERROR(__xludf.DUMMYFUNCTION("""COMPUTED_VALUE"""),"Response to the commentary on ""A nomogram was developed to enhance the use of multinomial logistic regression modelling in diagnostic research"".")</f>
        <v>Response to the commentary on "A nomogram was developed to enhance the use of multinomial logistic regression modelling in diagnostic research".</v>
      </c>
      <c r="D160" s="31" t="str">
        <f>IFERROR(__xludf.DUMMYFUNCTION("""COMPUTED_VALUE"""),"Reitsma, Johannes B; van Smeden, Maarten; de Groot, Joris A H; Bertens, Loes C M; Moons, Karel G M")</f>
        <v>Reitsma, Johannes B; van Smeden, Maarten; de Groot, Joris A H; Bertens, Loes C M; Moons, Karel G M</v>
      </c>
      <c r="E160" s="32">
        <f>IFERROR(__xludf.DUMMYFUNCTION("""COMPUTED_VALUE"""),42459.0)</f>
        <v>42459</v>
      </c>
      <c r="F160" s="31">
        <f>IFERROR(__xludf.DUMMYFUNCTION("""COMPUTED_VALUE"""),1.0)</f>
        <v>1</v>
      </c>
    </row>
    <row r="161">
      <c r="C161" s="31" t="str">
        <f>IFERROR(__xludf.DUMMYFUNCTION("""COMPUTED_VALUE"""),"Problems in detecting misfit of latent class models in diagnostic research without a gold standard were shown.")</f>
        <v>Problems in detecting misfit of latent class models in diagnostic research without a gold standard were shown.</v>
      </c>
      <c r="D161" s="31" t="str">
        <f>IFERROR(__xludf.DUMMYFUNCTION("""COMPUTED_VALUE"""),"van Smeden, Maarten; Oberski, Daniel L; Reitsma, Johannes B; Vermunt, Jeroen K; Moons, Karel G M; de Groot, Joris A H")</f>
        <v>van Smeden, Maarten; Oberski, Daniel L; Reitsma, Johannes B; Vermunt, Jeroen K; Moons, Karel G M; de Groot, Joris A H</v>
      </c>
      <c r="E161" s="32">
        <f>IFERROR(__xludf.DUMMYFUNCTION("""COMPUTED_VALUE"""),42333.0)</f>
        <v>42333</v>
      </c>
      <c r="F161" s="31">
        <f>IFERROR(__xludf.DUMMYFUNCTION("""COMPUTED_VALUE"""),3.0)</f>
        <v>3</v>
      </c>
    </row>
    <row r="162">
      <c r="C162" s="31" t="str">
        <f>IFERROR(__xludf.DUMMYFUNCTION("""COMPUTED_VALUE"""),"Bias due to composite reference standards in diagnostic accuracy studies.")</f>
        <v>Bias due to composite reference standards in diagnostic accuracy studies.</v>
      </c>
      <c r="D162" s="31" t="str">
        <f>IFERROR(__xludf.DUMMYFUNCTION("""COMPUTED_VALUE"""),"Schiller, Ian; van Smeden, Maarten; Hadgu, Alula; Libman, Michael; Reitsma, Johannes B; Dendukuri, Nandini")</f>
        <v>Schiller, Ian; van Smeden, Maarten; Hadgu, Alula; Libman, Michael; Reitsma, Johannes B; Dendukuri, Nandini</v>
      </c>
      <c r="E162" s="32">
        <f>IFERROR(__xludf.DUMMYFUNCTION("""COMPUTED_VALUE"""),42318.0)</f>
        <v>42318</v>
      </c>
      <c r="F162" s="31">
        <f>IFERROR(__xludf.DUMMYFUNCTION("""COMPUTED_VALUE"""),40.0)</f>
        <v>40</v>
      </c>
    </row>
    <row r="163">
      <c r="C163" s="31" t="str">
        <f>IFERROR(__xludf.DUMMYFUNCTION("""COMPUTED_VALUE"""),"Value of composite reference standards in diagnostic research.")</f>
        <v>Value of composite reference standards in diagnostic research.</v>
      </c>
      <c r="D163" s="31" t="str">
        <f>IFERROR(__xludf.DUMMYFUNCTION("""COMPUTED_VALUE"""),"Naaktgeboren, Christiana A; Bertens, Loes C M; van Smeden, Maarten; de Groot, Joris A H; Moons, Karel G M; Reitsma, Johannes B")</f>
        <v>Naaktgeboren, Christiana A; Bertens, Loes C M; van Smeden, Maarten; de Groot, Joris A H; Moons, Karel G M; Reitsma, Johannes B</v>
      </c>
      <c r="E163" s="32">
        <f>IFERROR(__xludf.DUMMYFUNCTION("""COMPUTED_VALUE"""),41572.0)</f>
        <v>41572</v>
      </c>
      <c r="F163" s="31">
        <f>IFERROR(__xludf.DUMMYFUNCTION("""COMPUTED_VALUE"""),68.0)</f>
        <v>68</v>
      </c>
    </row>
    <row r="164">
      <c r="C164" s="31" t="str">
        <f>IFERROR(__xludf.DUMMYFUNCTION("""COMPUTED_VALUE"""),"Evaluating diagnostic accuracy in the face of multiple reference standards.")</f>
        <v>Evaluating diagnostic accuracy in the face of multiple reference standards.</v>
      </c>
      <c r="D164" s="31" t="str">
        <f>IFERROR(__xludf.DUMMYFUNCTION("""COMPUTED_VALUE"""),"Naaktgeboren, Christiana A; de Groot, Joris A H; van Smeden, Maarten; Moons, Karel G M; Reitsma, Johannes B")</f>
        <v>Naaktgeboren, Christiana A; de Groot, Joris A H; van Smeden, Maarten; Moons, Karel G M; Reitsma, Johannes B</v>
      </c>
      <c r="E164" s="32">
        <f>IFERROR(__xludf.DUMMYFUNCTION("""COMPUTED_VALUE"""),41492.0)</f>
        <v>41492</v>
      </c>
      <c r="F164" s="31">
        <f>IFERROR(__xludf.DUMMYFUNCTION("""COMPUTED_VALUE"""),29.0)</f>
        <v>29</v>
      </c>
    </row>
  </sheetData>
  <mergeCells count="3">
    <mergeCell ref="B14:G14"/>
    <mergeCell ref="B22:G22"/>
    <mergeCell ref="B30:G3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25"/>
    <col customWidth="1" min="2" max="2" width="24.13"/>
    <col customWidth="1" min="3" max="3" width="49.63"/>
    <col customWidth="1" min="4" max="4" width="10.0"/>
    <col customWidth="1" min="5" max="5" width="24.5"/>
    <col customWidth="1" min="6" max="6" width="11.5"/>
  </cols>
  <sheetData>
    <row r="1">
      <c r="A1" s="8"/>
    </row>
    <row r="2">
      <c r="B2" s="9" t="s">
        <v>25994</v>
      </c>
    </row>
    <row r="3">
      <c r="B3" s="10">
        <f>COUNT(Data!C2:C6514)</f>
        <v>6353</v>
      </c>
    </row>
    <row r="4">
      <c r="B4" s="11" t="s">
        <v>25995</v>
      </c>
    </row>
    <row r="5">
      <c r="B5" s="10">
        <f>COUNTIF(Data!C2:C6514,YEAR(NOW()) - 1)</f>
        <v>571</v>
      </c>
    </row>
    <row r="6">
      <c r="B6" s="11" t="s">
        <v>25996</v>
      </c>
    </row>
    <row r="7">
      <c r="B7" s="10">
        <f t="array" ref="B7">COUNTIF(DATEDIF(Data!D2:D6514, TODAY(), "D"), "&lt;365")
</f>
        <v>431</v>
      </c>
    </row>
    <row r="8">
      <c r="B8" s="11" t="s">
        <v>25997</v>
      </c>
      <c r="G8" s="12"/>
    </row>
    <row r="9">
      <c r="B9" s="13">
        <f t="array" ref="B9">COUNTIF(DATEDIF(Data!D2:D6514, TODAY(), "D"), "&lt;31")
</f>
        <v>0</v>
      </c>
    </row>
    <row r="10">
      <c r="B10" s="14"/>
    </row>
    <row r="11" ht="369.0" customHeight="1"/>
    <row r="12">
      <c r="D12" s="15" t="s">
        <v>25998</v>
      </c>
    </row>
    <row r="13">
      <c r="B13" s="16"/>
      <c r="C13" s="16"/>
      <c r="D13" s="16"/>
      <c r="E13" s="16"/>
      <c r="F13" s="16"/>
      <c r="G13" s="16"/>
      <c r="I13" s="17"/>
    </row>
    <row r="14">
      <c r="B14" s="16" t="s">
        <v>25999</v>
      </c>
      <c r="I14" s="17" t="s">
        <v>26000</v>
      </c>
    </row>
    <row r="15">
      <c r="B15" s="18" t="s">
        <v>26001</v>
      </c>
      <c r="C15" s="19" t="s">
        <v>0</v>
      </c>
      <c r="D15" s="19" t="s">
        <v>1</v>
      </c>
      <c r="I15" s="15" t="s">
        <v>26002</v>
      </c>
    </row>
    <row r="16">
      <c r="B16" s="20">
        <f>Calculations!V3</f>
        <v>45643</v>
      </c>
      <c r="C16" s="21" t="str">
        <f>IF(LEN(Calculations!T3)&gt;60, LEFT(Calculations!T3, 60)&amp;"...",Calculations!T3)</f>
        <v>Acute Respiratory Infections Fuel Cardiovascular Disease.</v>
      </c>
      <c r="D16" s="12" t="str">
        <f>IF(LEN(Calculations!U3)&gt;70, LEFT(Calculations!U3, 70)&amp;"...",Calculations!U3)</f>
        <v>van Royen, Florien S; Venekamp, Roderick P; Bruijning-Verhagen, Patric...</v>
      </c>
      <c r="I16" s="15" t="s">
        <v>26003</v>
      </c>
    </row>
    <row r="17">
      <c r="B17" s="20">
        <f>Calculations!V4</f>
        <v>45636</v>
      </c>
      <c r="C17" s="21" t="str">
        <f>IF(LEN(Calculations!T4)&gt;60, LEFT(Calculations!T4, 60)&amp;"...",Calculations!T4)</f>
        <v>The nationwide Dietary Intake after Diagnosis and Colorectal...</v>
      </c>
      <c r="D17" s="12" t="str">
        <f>IF(LEN(Calculations!U4)&gt;70, LEFT(Calculations!U4, 70)&amp;"...",Calculations!U4)</f>
        <v>Derksen, Jeroen W G; Smit, Karel C; Hoeven, Irene W F; Sijtsma, Femke ...</v>
      </c>
      <c r="I17" s="22" t="s">
        <v>26004</v>
      </c>
    </row>
    <row r="18">
      <c r="B18" s="20">
        <f>Calculations!V5</f>
        <v>45636</v>
      </c>
      <c r="C18" s="21" t="str">
        <f>IF(LEN(Calculations!T5)&gt;60, LEFT(Calculations!T5, 60)&amp;"...",Calculations!T5)</f>
        <v>A unified framework for diagnostic test development and eval...</v>
      </c>
      <c r="D18" s="12" t="str">
        <f>IF(LEN(Calculations!U5)&gt;70, LEFT(Calculations!U5, 70)&amp;"...",Calculations!U5)</f>
        <v>Chaturvedi, Madhav; Köster, Denise; Bossuyt, Patrick M; Gerke, Oke; Ju...</v>
      </c>
    </row>
    <row r="19">
      <c r="B19" s="20">
        <f>Calculations!V6</f>
        <v>45636</v>
      </c>
      <c r="C19" s="21" t="str">
        <f>IF(LEN(Calculations!T6)&gt;60, LEFT(Calculations!T6, 60)&amp;"...",Calculations!T6)</f>
        <v>Sex differences in the efficacy of angiotensin receptor bloc...</v>
      </c>
      <c r="D19" s="12" t="str">
        <f>IF(LEN(Calculations!U6)&gt;70, LEFT(Calculations!U6, 70)&amp;"...",Calculations!U6)</f>
        <v>de Vries, Sieta T; Pena, Michelle J; Tye, Sok Cin; Peters, Sanne A E; ...</v>
      </c>
    </row>
    <row r="20">
      <c r="B20" s="20">
        <f>Calculations!V7</f>
        <v>45636</v>
      </c>
      <c r="C20" s="21" t="str">
        <f>IF(LEN(Calculations!T7)&gt;60, LEFT(Calculations!T7, 60)&amp;"...",Calculations!T7)</f>
        <v>Examining causal relationships between educational attainmen...</v>
      </c>
      <c r="D20" s="12" t="str">
        <f>IF(LEN(Calculations!U7)&gt;70, LEFT(Calculations!U7, 70)&amp;"...",Calculations!U7)</f>
        <v>Macciotta, Alessandra; Sacerdote, Carlotta; Giachino, Claudia; Di Giro...</v>
      </c>
    </row>
    <row r="22">
      <c r="B22" s="16" t="s">
        <v>26005</v>
      </c>
    </row>
    <row r="23">
      <c r="B23" s="23" t="s">
        <v>26006</v>
      </c>
      <c r="C23" s="24" t="s">
        <v>0</v>
      </c>
      <c r="D23" s="24" t="s">
        <v>1</v>
      </c>
    </row>
    <row r="24">
      <c r="B24" s="25">
        <f>Calculations!AA3</f>
        <v>57</v>
      </c>
      <c r="C24" s="26" t="str">
        <f>IF(LEN(Calculations!X3)&gt;60, LEFT(Calculations!X3, 60)&amp;"...",Calculations!X3)</f>
        <v>Effect of Hemodiafiltration or Hemodialysis on Mortality in ...</v>
      </c>
      <c r="D24" s="27" t="str">
        <f>IF(LEN(Calculations!Y3)&gt;70, LEFT(Calculations!Y3, 70)&amp;"...",Calculations!Y3)</f>
        <v>Blankestijn, Peter J; Vernooij, Robin W M; Hockham, Carinna; Strippoli...</v>
      </c>
    </row>
    <row r="25">
      <c r="B25" s="25">
        <f>Calculations!AA4</f>
        <v>48</v>
      </c>
      <c r="C25" s="26" t="str">
        <f>IF(LEN(Calculations!X4)&gt;60, LEFT(Calculations!X4, 60)&amp;"...",Calculations!X4)</f>
        <v>There is no such thing as a validated prediction model.</v>
      </c>
      <c r="D25" s="27" t="str">
        <f>IF(LEN(Calculations!Y4)&gt;70, LEFT(Calculations!Y4, 70)&amp;"...",Calculations!Y4)</f>
        <v>Van Calster, Ben; Steyerberg, Ewout W; Wynants, Laure; van Smeden, Maa...</v>
      </c>
    </row>
    <row r="26">
      <c r="B26" s="25">
        <f>Calculations!AA5</f>
        <v>42</v>
      </c>
      <c r="C26" s="26" t="str">
        <f>IF(LEN(Calculations!X5)&gt;60, LEFT(Calculations!X5, 60)&amp;"...",Calculations!X5)</f>
        <v>Randomized Trial of BCG Vaccine to Protect against Covid-19 ...</v>
      </c>
      <c r="D26" s="27" t="str">
        <f>IF(LEN(Calculations!Y5)&gt;70, LEFT(Calculations!Y5, 70)&amp;"...",Calculations!Y5)</f>
        <v>Pittet, Laure F; Messina, Nicole L; Orsini, Francesca; Moore, Cecilia ...</v>
      </c>
    </row>
    <row r="27">
      <c r="B27" s="25">
        <f>Calculations!AA6</f>
        <v>26</v>
      </c>
      <c r="C27" s="26" t="str">
        <f>IF(LEN(Calculations!X6)&gt;60, LEFT(Calculations!X6, 60)&amp;"...",Calculations!X6)</f>
        <v>PRISMA AI reporting guidelines for systematic reviews and me...</v>
      </c>
      <c r="D27" s="27" t="str">
        <f>IF(LEN(Calculations!Y6)&gt;70, LEFT(Calculations!Y6, 70)&amp;"...",Calculations!Y6)</f>
        <v>Cacciamani, Giovanni E; Chu, Timothy N; Sanford, Daniel I; Abreu, Andr...</v>
      </c>
    </row>
    <row r="28">
      <c r="B28" s="25">
        <f>Calculations!AA7</f>
        <v>24</v>
      </c>
      <c r="C28" s="26" t="str">
        <f>IF(LEN(Calculations!X7)&gt;60, LEFT(Calculations!X7, 60)&amp;"...",Calculations!X7)</f>
        <v>Effectiveness of bivalent mRNA booster vaccination against S...</v>
      </c>
      <c r="D28" s="27" t="str">
        <f>IF(LEN(Calculations!Y7)&gt;70, LEFT(Calculations!Y7, 70)&amp;"...",Calculations!Y7)</f>
        <v>Huiberts, Anne J; de Gier, Brechje; Hoeve, Christina E; de Melker, Hes...</v>
      </c>
    </row>
    <row r="30">
      <c r="B30" s="16" t="s">
        <v>26011</v>
      </c>
    </row>
    <row r="31">
      <c r="B31" s="17" t="s">
        <v>26008</v>
      </c>
      <c r="C31" s="17" t="s">
        <v>4433</v>
      </c>
    </row>
    <row r="32">
      <c r="B32" s="17" t="s">
        <v>26009</v>
      </c>
      <c r="C32" s="28">
        <f>COUNT(E35:E6514)</f>
        <v>130</v>
      </c>
    </row>
    <row r="33">
      <c r="C33" s="17"/>
      <c r="D33" s="17"/>
      <c r="E33" s="29"/>
      <c r="F33" s="29"/>
    </row>
    <row r="34">
      <c r="C34" s="17" t="s">
        <v>0</v>
      </c>
      <c r="D34" s="17" t="s">
        <v>1</v>
      </c>
      <c r="E34" s="29" t="s">
        <v>26012</v>
      </c>
      <c r="F34" s="29" t="s">
        <v>26006</v>
      </c>
    </row>
    <row r="35">
      <c r="C35" s="30" t="str">
        <f>IFERROR(__xludf.DUMMYFUNCTION("SORT(FILTER({Data!A2:B6514,Data!D2:D6514,Data!H2:H6514},  ISNUMBER(SEARCH(C31, Data!B2:B6514))), 3, FALSE)"),"Updating methods for AI-based clinical prediction models: a scoping review.")</f>
        <v>Updating methods for AI-based clinical prediction models: a scoping review.</v>
      </c>
      <c r="D35" s="31"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E35" s="32">
        <f>IFERROR(__xludf.DUMMYFUNCTION("""COMPUTED_VALUE"""),45635.0)</f>
        <v>45635</v>
      </c>
      <c r="F35" s="31">
        <f>IFERROR(__xludf.DUMMYFUNCTION("""COMPUTED_VALUE"""),0.0)</f>
        <v>0</v>
      </c>
    </row>
    <row r="36">
      <c r="C36" s="30" t="str">
        <f>IFERROR(__xludf.DUMMYFUNCTION("""COMPUTED_VALUE"""),"Risk-Based Decision Making: Estimands for Sequential Prediction Under Interventions.")</f>
        <v>Risk-Based Decision Making: Estimands for Sequential Prediction Under Interventions.</v>
      </c>
      <c r="D36" s="31"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E36" s="32">
        <f>IFERROR(__xludf.DUMMYFUNCTION("""COMPUTED_VALUE"""),45627.0)</f>
        <v>45627</v>
      </c>
      <c r="F36" s="31">
        <f>IFERROR(__xludf.DUMMYFUNCTION("""COMPUTED_VALUE"""),0.0)</f>
        <v>0</v>
      </c>
    </row>
    <row r="37">
      <c r="C37" s="31" t="str">
        <f>IFERROR(__xludf.DUMMYFUNCTION("""COMPUTED_VALUE"""),"Methodological quality assessment tools for diagnosis and prognosis research: overview and guidance.")</f>
        <v>Methodological quality assessment tools for diagnosis and prognosis research: overview and guidance.</v>
      </c>
      <c r="D37" s="31"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E37" s="32">
        <f>IFERROR(__xludf.DUMMYFUNCTION("""COMPUTED_VALUE"""),45608.0)</f>
        <v>45608</v>
      </c>
      <c r="F37" s="31">
        <f>IFERROR(__xludf.DUMMYFUNCTION("""COMPUTED_VALUE"""),0.0)</f>
        <v>0</v>
      </c>
    </row>
    <row r="38">
      <c r="C38" s="31"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D38" s="31" t="str">
        <f>IFERROR(__xludf.DUMMYFUNCTION("""COMPUTED_VALUE"""),"Fox, Matthew P; Adrien, Nedghie; van Smeden, Maarten; Suarez, Elizabeth")</f>
        <v>Fox, Matthew P; Adrien, Nedghie; van Smeden, Maarten; Suarez, Elizabeth</v>
      </c>
      <c r="E38" s="32">
        <f>IFERROR(__xludf.DUMMYFUNCTION("""COMPUTED_VALUE"""),45600.0)</f>
        <v>45600</v>
      </c>
      <c r="F38" s="31">
        <f>IFERROR(__xludf.DUMMYFUNCTION("""COMPUTED_VALUE"""),0.0)</f>
        <v>0</v>
      </c>
    </row>
    <row r="39">
      <c r="C39" s="31"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D39" s="31"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E39" s="32">
        <f>IFERROR(__xludf.DUMMYFUNCTION("""COMPUTED_VALUE"""),45555.0)</f>
        <v>45555</v>
      </c>
      <c r="F39" s="31">
        <f>IFERROR(__xludf.DUMMYFUNCTION("""COMPUTED_VALUE"""),0.0)</f>
        <v>0</v>
      </c>
    </row>
    <row r="40">
      <c r="C40" s="31" t="str">
        <f>IFERROR(__xludf.DUMMYFUNCTION("""COMPUTED_VALUE"""),"Availability of Evidence for Predictive Machine Learning Algorithms in Primary Care: A Systematic Review.")</f>
        <v>Availability of Evidence for Predictive Machine Learning Algorithms in Primary Care: A Systematic Review.</v>
      </c>
      <c r="D40" s="31"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E40" s="32">
        <f>IFERROR(__xludf.DUMMYFUNCTION("""COMPUTED_VALUE"""),45538.0)</f>
        <v>45538</v>
      </c>
      <c r="F40" s="31">
        <f>IFERROR(__xludf.DUMMYFUNCTION("""COMPUTED_VALUE"""),0.0)</f>
        <v>0</v>
      </c>
    </row>
    <row r="41">
      <c r="C41" s="31" t="str">
        <f>IFERROR(__xludf.DUMMYFUNCTION("""COMPUTED_VALUE"""),"Safety of treating acute pulmonary embolism at home: an individual patient data meta-analysis.")</f>
        <v>Safety of treating acute pulmonary embolism at home: an individual patient data meta-analysis.</v>
      </c>
      <c r="D41" s="31"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E41" s="32">
        <f>IFERROR(__xludf.DUMMYFUNCTION("""COMPUTED_VALUE"""),45525.0)</f>
        <v>45525</v>
      </c>
      <c r="F41" s="31">
        <f>IFERROR(__xludf.DUMMYFUNCTION("""COMPUTED_VALUE"""),1.0)</f>
        <v>1</v>
      </c>
    </row>
    <row r="42">
      <c r="C42" s="31" t="str">
        <f>IFERROR(__xludf.DUMMYFUNCTION("""COMPUTED_VALUE"""),"Estimating uncertainty when providing individual cardiovascular risk predictions: a Bayesian survival analysis.")</f>
        <v>Estimating uncertainty when providing individual cardiovascular risk predictions: a Bayesian survival analysis.</v>
      </c>
      <c r="D42" s="31"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E42" s="32">
        <f>IFERROR(__xludf.DUMMYFUNCTION("""COMPUTED_VALUE"""),45488.0)</f>
        <v>45488</v>
      </c>
      <c r="F42" s="31">
        <f>IFERROR(__xludf.DUMMYFUNCTION("""COMPUTED_VALUE"""),0.0)</f>
        <v>0</v>
      </c>
    </row>
    <row r="43">
      <c r="C43" s="31" t="str">
        <f>IFERROR(__xludf.DUMMYFUNCTION("""COMPUTED_VALUE"""),"Predicting Benefit From FOLFOXIRI Plus Bevacizumab in Patients With Metastatic Colorectal Cancer.")</f>
        <v>Predicting Benefit From FOLFOXIRI Plus Bevacizumab in Patients With Metastatic Colorectal Cancer.</v>
      </c>
      <c r="D43" s="31"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E43" s="32">
        <f>IFERROR(__xludf.DUMMYFUNCTION("""COMPUTED_VALUE"""),45474.0)</f>
        <v>45474</v>
      </c>
      <c r="F43" s="31">
        <f>IFERROR(__xludf.DUMMYFUNCTION("""COMPUTED_VALUE"""),0.0)</f>
        <v>0</v>
      </c>
    </row>
    <row r="44">
      <c r="C44" s="31" t="str">
        <f>IFERROR(__xludf.DUMMYFUNCTION("""COMPUTED_VALUE"""),"From text to treatment: the crucial role of validation for generative large language models in health care.")</f>
        <v>From text to treatment: the crucial role of validation for generative large language models in health care.</v>
      </c>
      <c r="D44" s="31" t="str">
        <f>IFERROR(__xludf.DUMMYFUNCTION("""COMPUTED_VALUE"""),"de Hond, Anne; Leeuwenberg, Tuur; Bartels, Richard; van Buchem, Marieke; Kant, Ilse; Moons, Karel Gm; van Smeden, Maarten")</f>
        <v>de Hond, Anne; Leeuwenberg, Tuur; Bartels, Richard; van Buchem, Marieke; Kant, Ilse; Moons, Karel Gm; van Smeden, Maarten</v>
      </c>
      <c r="E44" s="32">
        <f>IFERROR(__xludf.DUMMYFUNCTION("""COMPUTED_VALUE"""),45474.0)</f>
        <v>45474</v>
      </c>
      <c r="F44" s="31">
        <f>IFERROR(__xludf.DUMMYFUNCTION("""COMPUTED_VALUE"""),1.0)</f>
        <v>1</v>
      </c>
    </row>
    <row r="45">
      <c r="C45" s="31" t="str">
        <f>IFERROR(__xludf.DUMMYFUNCTION("""COMPUTED_VALUE"""),"Tutorial: dos and don'ts in clinical prediction research for venous thromboembolism.")</f>
        <v>Tutorial: dos and don'ts in clinical prediction research for venous thromboembolism.</v>
      </c>
      <c r="D45" s="31" t="str">
        <f>IFERROR(__xludf.DUMMYFUNCTION("""COMPUTED_VALUE"""),"Nemeth, Banne; Smeets, Mark J R; Cannegieter, Suzanne C; van Smeden, Maarten")</f>
        <v>Nemeth, Banne; Smeets, Mark J R; Cannegieter, Suzanne C; van Smeden, Maarten</v>
      </c>
      <c r="E45" s="32">
        <f>IFERROR(__xludf.DUMMYFUNCTION("""COMPUTED_VALUE"""),45461.0)</f>
        <v>45461</v>
      </c>
      <c r="F45" s="31">
        <f>IFERROR(__xludf.DUMMYFUNCTION("""COMPUTED_VALUE"""),0.0)</f>
        <v>0</v>
      </c>
    </row>
    <row r="46">
      <c r="C46" s="31"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D46" s="31" t="str">
        <f>IFERROR(__xludf.DUMMYFUNCTION("""COMPUTED_VALUE"""),"Piccininni, Marco; Wechsung, Maximilian; Van Calster, Ben; Rohmann, Jessica L; Konigorski, Stefan; van Smeden, Maarten")</f>
        <v>Piccininni, Marco; Wechsung, Maximilian; Van Calster, Ben; Rohmann, Jessica L; Konigorski, Stefan; van Smeden, Maarten</v>
      </c>
      <c r="E46" s="32">
        <f>IFERROR(__xludf.DUMMYFUNCTION("""COMPUTED_VALUE"""),45448.0)</f>
        <v>45448</v>
      </c>
      <c r="F46" s="31">
        <f>IFERROR(__xludf.DUMMYFUNCTION("""COMPUTED_VALUE"""),0.0)</f>
        <v>0</v>
      </c>
    </row>
    <row r="47">
      <c r="C47" s="31" t="str">
        <f>IFERROR(__xludf.DUMMYFUNCTION("""COMPUTED_VALUE"""),"It's not all about residual confounding: a plea for QBA for epidemiologic researchers and educators.")</f>
        <v>It's not all about residual confounding: a plea for QBA for epidemiologic researchers and educators.</v>
      </c>
      <c r="D47" s="31" t="str">
        <f>IFERROR(__xludf.DUMMYFUNCTION("""COMPUTED_VALUE"""),"Fox, Matthew P; Adrien, Nedghie; van Smeden, Maarten; Suarez, Elizabeth")</f>
        <v>Fox, Matthew P; Adrien, Nedghie; van Smeden, Maarten; Suarez, Elizabeth</v>
      </c>
      <c r="E47" s="32">
        <f>IFERROR(__xludf.DUMMYFUNCTION("""COMPUTED_VALUE"""),45429.0)</f>
        <v>45429</v>
      </c>
      <c r="F47" s="31">
        <f>IFERROR(__xludf.DUMMYFUNCTION("""COMPUTED_VALUE"""),0.0)</f>
        <v>0</v>
      </c>
    </row>
    <row r="48">
      <c r="C48" s="31"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D48" s="31" t="str">
        <f>IFERROR(__xludf.DUMMYFUNCTION("""COMPUTED_VALUE"""),"Fankhauser, Christian D; Wettstein, Marian S; Würnschimmel, Christoph; van Smeden, Maarten; Clarke, Noel W")</f>
        <v>Fankhauser, Christian D; Wettstein, Marian S; Würnschimmel, Christoph; van Smeden, Maarten; Clarke, Noel W</v>
      </c>
      <c r="E48" s="32">
        <f>IFERROR(__xludf.DUMMYFUNCTION("""COMPUTED_VALUE"""),45427.0)</f>
        <v>45427</v>
      </c>
      <c r="F48" s="31">
        <f>IFERROR(__xludf.DUMMYFUNCTION("""COMPUTED_VALUE"""),0.0)</f>
        <v>0</v>
      </c>
    </row>
    <row r="49">
      <c r="C49" s="31" t="str">
        <f>IFERROR(__xludf.DUMMYFUNCTION("""COMPUTED_VALUE"""),"Don't be misled: Three misconceptions about external validation of clinical prediction models.")</f>
        <v>Don't be misled: Three misconceptions about external validation of clinical prediction models.</v>
      </c>
      <c r="D49" s="31"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49" s="32">
        <f>IFERROR(__xludf.DUMMYFUNCTION("""COMPUTED_VALUE"""),45420.0)</f>
        <v>45420</v>
      </c>
      <c r="F49" s="31">
        <f>IFERROR(__xludf.DUMMYFUNCTION("""COMPUTED_VALUE"""),0.0)</f>
        <v>0</v>
      </c>
    </row>
    <row r="50">
      <c r="C50" s="31" t="str">
        <f>IFERROR(__xludf.DUMMYFUNCTION("""COMPUTED_VALUE"""),"Don't be misled: 3 misconceptions about external validation of clinical prediction models.")</f>
        <v>Don't be misled: 3 misconceptions about external validation of clinical prediction models.</v>
      </c>
      <c r="D50" s="31"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50" s="32">
        <f>IFERROR(__xludf.DUMMYFUNCTION("""COMPUTED_VALUE"""),45420.0)</f>
        <v>45420</v>
      </c>
      <c r="F50" s="31">
        <f>IFERROR(__xludf.DUMMYFUNCTION("""COMPUTED_VALUE"""),3.0)</f>
        <v>3</v>
      </c>
    </row>
    <row r="51">
      <c r="C51" s="31"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D51" s="31"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E51" s="32">
        <f>IFERROR(__xludf.DUMMYFUNCTION("""COMPUTED_VALUE"""),45412.0)</f>
        <v>45412</v>
      </c>
      <c r="F51" s="31">
        <f>IFERROR(__xludf.DUMMYFUNCTION("""COMPUTED_VALUE"""),0.0)</f>
        <v>0</v>
      </c>
    </row>
    <row r="52">
      <c r="C52" s="31" t="str">
        <f>IFERROR(__xludf.DUMMYFUNCTION("""COMPUTED_VALUE"""),"TRIPOD+AI statement: updated guidance for reporting clinical prediction models that use regression or machine learning methods.")</f>
        <v>TRIPOD+AI statement: updated guidance for reporting clinical prediction models that use regression or machine learning methods.</v>
      </c>
      <c r="D52" s="31"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E52" s="32">
        <f>IFERROR(__xludf.DUMMYFUNCTION("""COMPUTED_VALUE"""),45398.0)</f>
        <v>45398</v>
      </c>
      <c r="F52" s="31">
        <f>IFERROR(__xludf.DUMMYFUNCTION("""COMPUTED_VALUE"""),2.0)</f>
        <v>2</v>
      </c>
    </row>
    <row r="53">
      <c r="C53" s="31"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D53" s="31" t="str">
        <f>IFERROR(__xludf.DUMMYFUNCTION("""COMPUTED_VALUE"""),"van Royen, Florien Sophie-Anne; van Smeden, Maarten; van Doorn, Sander; Rutten, Frans H; Geersing, Geert-Jan")</f>
        <v>van Royen, Florien Sophie-Anne; van Smeden, Maarten; van Doorn, Sander; Rutten, Frans H; Geersing, Geert-Jan</v>
      </c>
      <c r="E53" s="32">
        <f>IFERROR(__xludf.DUMMYFUNCTION("""COMPUTED_VALUE"""),45398.0)</f>
        <v>45398</v>
      </c>
      <c r="F53" s="31">
        <f>IFERROR(__xludf.DUMMYFUNCTION("""COMPUTED_VALUE"""),0.0)</f>
        <v>0</v>
      </c>
    </row>
    <row r="54">
      <c r="C54" s="31" t="str">
        <f>IFERROR(__xludf.DUMMYFUNCTION("""COMPUTED_VALUE"""),"SPIN-PM: A consensus framework to evaluate the presence of spin in studies on prediction models.")</f>
        <v>SPIN-PM: A consensus framework to evaluate the presence of spin in studies on prediction models.</v>
      </c>
      <c r="D54" s="31" t="str">
        <f>IFERROR(__xludf.DUMMYFUNCTION("""COMPUTED_VALUE"""),"Andaur Navarro, Constanza L; Damen, Johanna Aa; Ghannad, Mona; Dhiman, Paula; van Smeden, Maarten; Reitsma, Johannes B; Collins, Gary S; Riley, Richard D; Moons, Karel Gm; Hooft, Lotty")</f>
        <v>Andaur Navarro, Constanza L; Damen, Johanna Aa; Ghannad, Mona; Dhiman, Paula; van Smeden, Maarten; Reitsma, Johannes B; Collins, Gary S; Riley, Richard D; Moons, Karel Gm; Hooft, Lotty</v>
      </c>
      <c r="E54" s="32">
        <f>IFERROR(__xludf.DUMMYFUNCTION("""COMPUTED_VALUE"""),45397.0)</f>
        <v>45397</v>
      </c>
      <c r="F54" s="31">
        <f>IFERROR(__xludf.DUMMYFUNCTION("""COMPUTED_VALUE"""),0.0)</f>
        <v>0</v>
      </c>
    </row>
    <row r="55">
      <c r="C55" s="31" t="str">
        <f>IFERROR(__xludf.DUMMYFUNCTION("""COMPUTED_VALUE"""),"SPIN-PM: a consensus framework to evaluate the presence of spin in studies on prediction models.")</f>
        <v>SPIN-PM: a consensus framework to evaluate the presence of spin in studies on prediction models.</v>
      </c>
      <c r="D55" s="31"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E55" s="32">
        <f>IFERROR(__xludf.DUMMYFUNCTION("""COMPUTED_VALUE"""),45397.0)</f>
        <v>45397</v>
      </c>
      <c r="F55" s="31">
        <f>IFERROR(__xludf.DUMMYFUNCTION("""COMPUTED_VALUE"""),1.0)</f>
        <v>1</v>
      </c>
    </row>
    <row r="56">
      <c r="C56" s="31"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D56" s="31"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E56" s="32">
        <f>IFERROR(__xludf.DUMMYFUNCTION("""COMPUTED_VALUE"""),45378.0)</f>
        <v>45378</v>
      </c>
      <c r="F56" s="31">
        <f>IFERROR(__xludf.DUMMYFUNCTION("""COMPUTED_VALUE"""),0.0)</f>
        <v>0</v>
      </c>
    </row>
    <row r="57">
      <c r="C57" s="31"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D57" s="31"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E57" s="32">
        <f>IFERROR(__xludf.DUMMYFUNCTION("""COMPUTED_VALUE"""),45374.0)</f>
        <v>45374</v>
      </c>
      <c r="F57" s="31">
        <f>IFERROR(__xludf.DUMMYFUNCTION("""COMPUTED_VALUE"""),0.0)</f>
        <v>0</v>
      </c>
    </row>
    <row r="58">
      <c r="C58" s="31"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D58" s="31"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E58" s="32">
        <f>IFERROR(__xludf.DUMMYFUNCTION("""COMPUTED_VALUE"""),45345.0)</f>
        <v>45345</v>
      </c>
      <c r="F58" s="31">
        <f>IFERROR(__xludf.DUMMYFUNCTION("""COMPUTED_VALUE"""),0.0)</f>
        <v>0</v>
      </c>
    </row>
    <row r="59">
      <c r="C59" s="31"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D59" s="31"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E59" s="32">
        <f>IFERROR(__xludf.DUMMYFUNCTION("""COMPUTED_VALUE"""),45345.0)</f>
        <v>45345</v>
      </c>
      <c r="F59" s="31">
        <f>IFERROR(__xludf.DUMMYFUNCTION("""COMPUTED_VALUE"""),0.0)</f>
        <v>0</v>
      </c>
    </row>
    <row r="60">
      <c r="C60" s="31"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D60" s="31"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E60" s="32">
        <f>IFERROR(__xludf.DUMMYFUNCTION("""COMPUTED_VALUE"""),45324.0)</f>
        <v>45324</v>
      </c>
      <c r="F60" s="31">
        <f>IFERROR(__xludf.DUMMYFUNCTION("""COMPUTED_VALUE"""),1.0)</f>
        <v>1</v>
      </c>
    </row>
    <row r="61">
      <c r="C61" s="31"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D61" s="31"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E61" s="32">
        <f>IFERROR(__xludf.DUMMYFUNCTION("""COMPUTED_VALUE"""),45313.0)</f>
        <v>45313</v>
      </c>
      <c r="F61" s="31">
        <f>IFERROR(__xludf.DUMMYFUNCTION("""COMPUTED_VALUE"""),4.0)</f>
        <v>4</v>
      </c>
    </row>
    <row r="62">
      <c r="C62" s="31"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D62" s="31" t="str">
        <f>IFERROR(__xludf.DUMMYFUNCTION("""COMPUTED_VALUE"""),"Sushil, Madhumita; Butte, Atul J; Schuit, Ewoud; van Smeden, Maarten; Leeuwenberg, Artuur M")</f>
        <v>Sushil, Madhumita; Butte, Atul J; Schuit, Ewoud; van Smeden, Maarten; Leeuwenberg, Artuur M</v>
      </c>
      <c r="E62" s="32">
        <f>IFERROR(__xludf.DUMMYFUNCTION("""COMPUTED_VALUE"""),45305.0)</f>
        <v>45305</v>
      </c>
      <c r="F62" s="31">
        <f>IFERROR(__xludf.DUMMYFUNCTION("""COMPUTED_VALUE"""),0.0)</f>
        <v>0</v>
      </c>
    </row>
    <row r="63">
      <c r="C63" s="31" t="str">
        <f>IFERROR(__xludf.DUMMYFUNCTION("""COMPUTED_VALUE"""),"A comparison of hyperparameter tuning procedures for clinical prediction models: A simulation study.")</f>
        <v>A comparison of hyperparameter tuning procedures for clinical prediction models: A simulation study.</v>
      </c>
      <c r="D63" s="31" t="str">
        <f>IFERROR(__xludf.DUMMYFUNCTION("""COMPUTED_VALUE"""),"Dunias, Zoë S; Van Calster, Ben; Timmerman, Dirk; Boulesteix, Anne-Laure; van Smeden, Maarten")</f>
        <v>Dunias, Zoë S; Van Calster, Ben; Timmerman, Dirk; Boulesteix, Anne-Laure; van Smeden, Maarten</v>
      </c>
      <c r="E63" s="32">
        <f>IFERROR(__xludf.DUMMYFUNCTION("""COMPUTED_VALUE"""),45299.0)</f>
        <v>45299</v>
      </c>
      <c r="F63" s="31">
        <f>IFERROR(__xludf.DUMMYFUNCTION("""COMPUTED_VALUE"""),0.0)</f>
        <v>0</v>
      </c>
    </row>
    <row r="64">
      <c r="C64" s="31" t="str">
        <f>IFERROR(__xludf.DUMMYFUNCTION("""COMPUTED_VALUE"""),"Evaluation of clinical prediction models (part 1): from development to external validation.")</f>
        <v>Evaluation of clinical prediction models (part 1): from development to external validation.</v>
      </c>
      <c r="D64" s="31"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E64" s="32">
        <f>IFERROR(__xludf.DUMMYFUNCTION("""COMPUTED_VALUE"""),45299.0)</f>
        <v>45299</v>
      </c>
      <c r="F64" s="31">
        <f>IFERROR(__xludf.DUMMYFUNCTION("""COMPUTED_VALUE"""),9.0)</f>
        <v>9</v>
      </c>
    </row>
    <row r="65">
      <c r="C65" s="31"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D65" s="31"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E65" s="32">
        <f>IFERROR(__xludf.DUMMYFUNCTION("""COMPUTED_VALUE"""),45268.0)</f>
        <v>45268</v>
      </c>
      <c r="F65" s="31">
        <f>IFERROR(__xludf.DUMMYFUNCTION("""COMPUTED_VALUE"""),0.0)</f>
        <v>0</v>
      </c>
    </row>
    <row r="66">
      <c r="C66" s="31" t="str">
        <f>IFERROR(__xludf.DUMMYFUNCTION("""COMPUTED_VALUE"""),"Five critical quality criteria for artificial intelligence-based prediction models.")</f>
        <v>Five critical quality criteria for artificial intelligence-based prediction models.</v>
      </c>
      <c r="D66" s="31" t="str">
        <f>IFERROR(__xludf.DUMMYFUNCTION("""COMPUTED_VALUE"""),"van Royen, Florien S; Asselbergs, Folkert W; Alfonso, Fernando; Vardas, Panos; van Smeden, Maarten")</f>
        <v>van Royen, Florien S; Asselbergs, Folkert W; Alfonso, Fernando; Vardas, Panos; van Smeden, Maarten</v>
      </c>
      <c r="E66" s="32">
        <f>IFERROR(__xludf.DUMMYFUNCTION("""COMPUTED_VALUE"""),45267.0)</f>
        <v>45267</v>
      </c>
      <c r="F66" s="31">
        <f>IFERROR(__xludf.DUMMYFUNCTION("""COMPUTED_VALUE"""),5.0)</f>
        <v>5</v>
      </c>
    </row>
    <row r="67">
      <c r="C67" s="31"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D67" s="31"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E67" s="32">
        <f>IFERROR(__xludf.DUMMYFUNCTION("""COMPUTED_VALUE"""),45267.0)</f>
        <v>45267</v>
      </c>
      <c r="F67" s="31">
        <f>IFERROR(__xludf.DUMMYFUNCTION("""COMPUTED_VALUE"""),1.0)</f>
        <v>1</v>
      </c>
    </row>
    <row r="68">
      <c r="C68" s="31" t="str">
        <f>IFERROR(__xludf.DUMMYFUNCTION("""COMPUTED_VALUE"""),"Estimated causal effects of common respiratory infections on cardiovascular risk: a meta-analysis.")</f>
        <v>Estimated causal effects of common respiratory infections on cardiovascular risk: a meta-analysis.</v>
      </c>
      <c r="D68" s="31"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E68" s="32">
        <f>IFERROR(__xludf.DUMMYFUNCTION("""COMPUTED_VALUE"""),45258.0)</f>
        <v>45258</v>
      </c>
      <c r="F68" s="31">
        <f>IFERROR(__xludf.DUMMYFUNCTION("""COMPUTED_VALUE"""),1.0)</f>
        <v>1</v>
      </c>
    </row>
    <row r="69">
      <c r="C69" s="31" t="str">
        <f>IFERROR(__xludf.DUMMYFUNCTION("""COMPUTED_VALUE"""),"The relevance of competing risk adjustment in cardiovascular risk prediction models for clinical practice.")</f>
        <v>The relevance of competing risk adjustment in cardiovascular risk prediction models for clinical practice.</v>
      </c>
      <c r="D69" s="31"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E69" s="32">
        <f>IFERROR(__xludf.DUMMYFUNCTION("""COMPUTED_VALUE"""),45239.0)</f>
        <v>45239</v>
      </c>
      <c r="F69" s="31">
        <f>IFERROR(__xludf.DUMMYFUNCTION("""COMPUTED_VALUE"""),5.0)</f>
        <v>5</v>
      </c>
    </row>
    <row r="70">
      <c r="C70" s="31" t="str">
        <f>IFERROR(__xludf.DUMMYFUNCTION("""COMPUTED_VALUE"""),"Why the grass isn't always greener on the machine learning side.")</f>
        <v>Why the grass isn't always greener on the machine learning side.</v>
      </c>
      <c r="D70" s="31" t="str">
        <f>IFERROR(__xludf.DUMMYFUNCTION("""COMPUTED_VALUE"""),"de Hond, Anne; Huisman, Menno; Van Smeden, Maarten")</f>
        <v>de Hond, Anne; Huisman, Menno; Van Smeden, Maarten</v>
      </c>
      <c r="E70" s="32">
        <f>IFERROR(__xludf.DUMMYFUNCTION("""COMPUTED_VALUE"""),45222.0)</f>
        <v>45222</v>
      </c>
      <c r="F70" s="31">
        <f>IFERROR(__xludf.DUMMYFUNCTION("""COMPUTED_VALUE"""),0.0)</f>
        <v>0</v>
      </c>
    </row>
    <row r="71">
      <c r="C71" s="31"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D71" s="31"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E71" s="32">
        <f>IFERROR(__xludf.DUMMYFUNCTION("""COMPUTED_VALUE"""),45218.0)</f>
        <v>45218</v>
      </c>
      <c r="F71" s="31">
        <f>IFERROR(__xludf.DUMMYFUNCTION("""COMPUTED_VALUE"""),1.0)</f>
        <v>1</v>
      </c>
    </row>
    <row r="72">
      <c r="C72" s="31"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D72" s="31" t="str">
        <f>IFERROR(__xludf.DUMMYFUNCTION("""COMPUTED_VALUE"""),"Morris, Tim P; van Smeden, Maarten; Pham, Tra My")</f>
        <v>Morris, Tim P; van Smeden, Maarten; Pham, Tra My</v>
      </c>
      <c r="E72" s="32">
        <f>IFERROR(__xludf.DUMMYFUNCTION("""COMPUTED_VALUE"""),45198.0)</f>
        <v>45198</v>
      </c>
      <c r="F72" s="31">
        <f>IFERROR(__xludf.DUMMYFUNCTION("""COMPUTED_VALUE"""),0.0)</f>
        <v>0</v>
      </c>
    </row>
    <row r="73">
      <c r="C73" s="31"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D73" s="31"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E73" s="32">
        <f>IFERROR(__xludf.DUMMYFUNCTION("""COMPUTED_VALUE"""),45197.0)</f>
        <v>45197</v>
      </c>
      <c r="F73" s="31">
        <f>IFERROR(__xludf.DUMMYFUNCTION("""COMPUTED_VALUE"""),0.0)</f>
        <v>0</v>
      </c>
    </row>
    <row r="74">
      <c r="C74" s="31"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D74" s="31"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E74" s="32">
        <f>IFERROR(__xludf.DUMMYFUNCTION("""COMPUTED_VALUE"""),45174.0)</f>
        <v>45174</v>
      </c>
      <c r="F74" s="31">
        <f>IFERROR(__xludf.DUMMYFUNCTION("""COMPUTED_VALUE"""),0.0)</f>
        <v>0</v>
      </c>
    </row>
    <row r="75">
      <c r="C75" s="31" t="str">
        <f>IFERROR(__xludf.DUMMYFUNCTION("""COMPUTED_VALUE"""),"Diagnostic management of acute pulmonary embolism: a prediction model based on a patient data meta-analysis.")</f>
        <v>Diagnostic management of acute pulmonary embolism: a prediction model based on a patient data meta-analysis.</v>
      </c>
      <c r="D75" s="31"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E75" s="32">
        <f>IFERROR(__xludf.DUMMYFUNCTION("""COMPUTED_VALUE"""),45160.0)</f>
        <v>45160</v>
      </c>
      <c r="F75" s="31">
        <f>IFERROR(__xludf.DUMMYFUNCTION("""COMPUTED_VALUE"""),5.0)</f>
        <v>5</v>
      </c>
    </row>
    <row r="76">
      <c r="C76" s="31"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D76" s="31" t="str">
        <f>IFERROR(__xludf.DUMMYFUNCTION("""COMPUTED_VALUE"""),"Rademaker, Maaike M; Smit, Adriana L; Stokroos, Robert J; van Smeden, Maarten; Stegeman, Inge")</f>
        <v>Rademaker, Maaike M; Smit, Adriana L; Stokroos, Robert J; van Smeden, Maarten; Stegeman, Inge</v>
      </c>
      <c r="E76" s="32">
        <f>IFERROR(__xludf.DUMMYFUNCTION("""COMPUTED_VALUE"""),45141.0)</f>
        <v>45141</v>
      </c>
      <c r="F76" s="31">
        <f>IFERROR(__xludf.DUMMYFUNCTION("""COMPUTED_VALUE"""),0.0)</f>
        <v>0</v>
      </c>
    </row>
    <row r="77">
      <c r="C77" s="31"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D77" s="31" t="str">
        <f>IFERROR(__xludf.DUMMYFUNCTION("""COMPUTED_VALUE"""),"Ma, Jie; Dhiman, Paula; Qi, Cathy; Bullock, Garrett; van Smeden, Maarten; Riley, Richard D; Collins, Gary S")</f>
        <v>Ma, Jie; Dhiman, Paula; Qi, Cathy; Bullock, Garrett; van Smeden, Maarten; Riley, Richard D; Collins, Gary S</v>
      </c>
      <c r="E77" s="32">
        <f>IFERROR(__xludf.DUMMYFUNCTION("""COMPUTED_VALUE"""),45140.0)</f>
        <v>45140</v>
      </c>
      <c r="F77" s="31">
        <f>IFERROR(__xludf.DUMMYFUNCTION("""COMPUTED_VALUE"""),4.0)</f>
        <v>4</v>
      </c>
    </row>
    <row r="78">
      <c r="C78" s="31"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D78" s="31"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E78" s="32">
        <f>IFERROR(__xludf.DUMMYFUNCTION("""COMPUTED_VALUE"""),45076.0)</f>
        <v>45076</v>
      </c>
      <c r="F78" s="31">
        <f>IFERROR(__xludf.DUMMYFUNCTION("""COMPUTED_VALUE"""),1.0)</f>
        <v>1</v>
      </c>
    </row>
    <row r="79">
      <c r="C79" s="31" t="str">
        <f>IFERROR(__xludf.DUMMYFUNCTION("""COMPUTED_VALUE"""),"Guidelines for Reporting Observational Research in Urology: The Importance of Clear Reference to Causality.")</f>
        <v>Guidelines for Reporting Observational Research in Urology: The Importance of Clear Reference to Causality.</v>
      </c>
      <c r="D79" s="31" t="str">
        <f>IFERROR(__xludf.DUMMYFUNCTION("""COMPUTED_VALUE"""),"Vickers, Andrew J; Assel, Melissa; Dunn, Rodney L; Zabor, Emily C; Kattan, Michael W; van Smeden, Maarten; Dahly, Darren")</f>
        <v>Vickers, Andrew J; Assel, Melissa; Dunn, Rodney L; Zabor, Emily C; Kattan, Michael W; van Smeden, Maarten; Dahly, Darren</v>
      </c>
      <c r="E79" s="32">
        <f>IFERROR(__xludf.DUMMYFUNCTION("""COMPUTED_VALUE"""),45066.0)</f>
        <v>45066</v>
      </c>
      <c r="F79" s="31">
        <f>IFERROR(__xludf.DUMMYFUNCTION("""COMPUTED_VALUE"""),0.0)</f>
        <v>0</v>
      </c>
    </row>
    <row r="80">
      <c r="C80" s="31"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D80" s="31" t="str">
        <f>IFERROR(__xludf.DUMMYFUNCTION("""COMPUTED_VALUE"""),"Lohmann, Anna; Groenwold, Rolf H H; van Smeden, Maarten")</f>
        <v>Lohmann, Anna; Groenwold, Rolf H H; van Smeden, Maarten</v>
      </c>
      <c r="E80" s="32">
        <f>IFERROR(__xludf.DUMMYFUNCTION("""COMPUTED_VALUE"""),45064.0)</f>
        <v>45064</v>
      </c>
      <c r="F80" s="31">
        <f>IFERROR(__xludf.DUMMYFUNCTION("""COMPUTED_VALUE"""),1.0)</f>
        <v>1</v>
      </c>
    </row>
    <row r="81">
      <c r="C81" s="31" t="str">
        <f>IFERROR(__xludf.DUMMYFUNCTION("""COMPUTED_VALUE"""),"Machine Learning and Statistics in Clinical Research Articles-Moving Past the False Dichotomy.")</f>
        <v>Machine Learning and Statistics in Clinical Research Articles-Moving Past the False Dichotomy.</v>
      </c>
      <c r="D81" s="31" t="str">
        <f>IFERROR(__xludf.DUMMYFUNCTION("""COMPUTED_VALUE"""),"Finlayson, Samuel G; Beam, Andrew L; van Smeden, Maarten")</f>
        <v>Finlayson, Samuel G; Beam, Andrew L; van Smeden, Maarten</v>
      </c>
      <c r="E81" s="32">
        <f>IFERROR(__xludf.DUMMYFUNCTION("""COMPUTED_VALUE"""),45047.0)</f>
        <v>45047</v>
      </c>
      <c r="F81" s="31">
        <f>IFERROR(__xludf.DUMMYFUNCTION("""COMPUTED_VALUE"""),9.0)</f>
        <v>9</v>
      </c>
    </row>
    <row r="82">
      <c r="C82" s="31"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D82" s="31" t="str">
        <f>IFERROR(__xludf.DUMMYFUNCTION("""COMPUTED_VALUE"""),"Sisk, Rose; Sperrin, Matthew; Peek, Niels; van Smeden, Maarten; Martin, Glen Philip")</f>
        <v>Sisk, Rose; Sperrin, Matthew; Peek, Niels; van Smeden, Maarten; Martin, Glen Philip</v>
      </c>
      <c r="E82" s="32">
        <f>IFERROR(__xludf.DUMMYFUNCTION("""COMPUTED_VALUE"""),45043.0)</f>
        <v>45043</v>
      </c>
      <c r="F82" s="31">
        <f>IFERROR(__xludf.DUMMYFUNCTION("""COMPUTED_VALUE"""),7.0)</f>
        <v>7</v>
      </c>
    </row>
    <row r="83">
      <c r="C83" s="31"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D83" s="31"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E83" s="32">
        <f>IFERROR(__xludf.DUMMYFUNCTION("""COMPUTED_VALUE"""),45020.0)</f>
        <v>45020</v>
      </c>
      <c r="F83" s="31">
        <f>IFERROR(__xludf.DUMMYFUNCTION("""COMPUTED_VALUE"""),2.0)</f>
        <v>2</v>
      </c>
    </row>
    <row r="84">
      <c r="C84" s="31" t="str">
        <f>IFERROR(__xludf.DUMMYFUNCTION("""COMPUTED_VALUE"""),"[A new prognostic prediction model for heart failure: will it help the general practitioner?].")</f>
        <v>[A new prognostic prediction model for heart failure: will it help the general practitioner?].</v>
      </c>
      <c r="D84" s="31" t="str">
        <f>IFERROR(__xludf.DUMMYFUNCTION("""COMPUTED_VALUE"""),"Rutten, Frans H; van Smeden, Maarten")</f>
        <v>Rutten, Frans H; van Smeden, Maarten</v>
      </c>
      <c r="E84" s="32">
        <f>IFERROR(__xludf.DUMMYFUNCTION("""COMPUTED_VALUE"""),45014.0)</f>
        <v>45014</v>
      </c>
      <c r="F84" s="31">
        <f>IFERROR(__xludf.DUMMYFUNCTION("""COMPUTED_VALUE"""),0.0)</f>
        <v>0</v>
      </c>
    </row>
    <row r="85">
      <c r="C85" s="31" t="str">
        <f>IFERROR(__xludf.DUMMYFUNCTION("""COMPUTED_VALUE"""),"There is no such thing as a validated prediction model.")</f>
        <v>There is no such thing as a validated prediction model.</v>
      </c>
      <c r="D85" s="31" t="str">
        <f>IFERROR(__xludf.DUMMYFUNCTION("""COMPUTED_VALUE"""),"Van Calster, Ben; Steyerberg, Ewout W; Wynants, Laure; van Smeden, Maarten")</f>
        <v>Van Calster, Ben; Steyerberg, Ewout W; Wynants, Laure; van Smeden, Maarten</v>
      </c>
      <c r="E85" s="32">
        <f>IFERROR(__xludf.DUMMYFUNCTION("""COMPUTED_VALUE"""),44981.0)</f>
        <v>44981</v>
      </c>
      <c r="F85" s="31">
        <f>IFERROR(__xludf.DUMMYFUNCTION("""COMPUTED_VALUE"""),48.0)</f>
        <v>48</v>
      </c>
    </row>
    <row r="86">
      <c r="C86" s="31"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D86" s="31"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E86" s="32">
        <f>IFERROR(__xludf.DUMMYFUNCTION("""COMPUTED_VALUE"""),44977.0)</f>
        <v>44977</v>
      </c>
      <c r="F86" s="31">
        <f>IFERROR(__xludf.DUMMYFUNCTION("""COMPUTED_VALUE"""),18.0)</f>
        <v>18</v>
      </c>
    </row>
    <row r="87">
      <c r="C87" s="31" t="str">
        <f>IFERROR(__xludf.DUMMYFUNCTION("""COMPUTED_VALUE"""),"Minimum sample size for developing a multivariable prediction model using multinomial logistic regression.")</f>
        <v>Minimum sample size for developing a multivariable prediction model using multinomial logistic regression.</v>
      </c>
      <c r="D87" s="31" t="str">
        <f>IFERROR(__xludf.DUMMYFUNCTION("""COMPUTED_VALUE"""),"Pate, Alexander; Riley, Richard D; Collins, Gary S; van Smeden, Maarten; Van Calster, Ben; Ensor, Joie; Martin, Glen P")</f>
        <v>Pate, Alexander; Riley, Richard D; Collins, Gary S; van Smeden, Maarten; Van Calster, Ben; Ensor, Joie; Martin, Glen P</v>
      </c>
      <c r="E87" s="32">
        <f>IFERROR(__xludf.DUMMYFUNCTION("""COMPUTED_VALUE"""),44945.0)</f>
        <v>44945</v>
      </c>
      <c r="F87" s="31">
        <f>IFERROR(__xludf.DUMMYFUNCTION("""COMPUTED_VALUE"""),16.0)</f>
        <v>16</v>
      </c>
    </row>
    <row r="88">
      <c r="C88" s="31"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D88" s="31"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E88" s="32">
        <f>IFERROR(__xludf.DUMMYFUNCTION("""COMPUTED_VALUE"""),44922.0)</f>
        <v>44922</v>
      </c>
      <c r="F88" s="31">
        <f>IFERROR(__xludf.DUMMYFUNCTION("""COMPUTED_VALUE"""),30.0)</f>
        <v>30</v>
      </c>
    </row>
    <row r="89">
      <c r="C89" s="31" t="str">
        <f>IFERROR(__xludf.DUMMYFUNCTION("""COMPUTED_VALUE"""),"Noninvasive diagnostic work-up for suspected acute pulmonary embolism during pregnancy: a systematic review and meta-analysis of individual patient data.")</f>
        <v>Noninvasive diagnostic work-up for suspected acute pulmonary embolism during pregnancy: a systematic review and meta-analysis of individual patient data.</v>
      </c>
      <c r="D89" s="31" t="str">
        <f>IFERROR(__xludf.DUMMYFUNCTION("""COMPUTED_VALUE"""),"Stals, Milou A M; Moumneh, Thomas; Ainle, Fionnuala Ni; Aujesky, Drahomir; van Bemmel, Thomas; Bertoletti, Laurent; Bistervels, Ingrid M; Chauleur, Céline; Couturaud, Francis; van Dooren, Yordi P A; Elias, Antoine; Faber, Laura M; Le Gall, Catherine; Hofs"&amp;"tee, Herman M A; van der Hulle, Tom; Kruip, Marieke J H A; Maignan, Maxime; Mairuhu, Albert T A; Middeldorp, Saskia; Le Moigne, Emmanuelle; Nijkeuter, Mathilde; van der Pol, Liselotte M; Robert-Ebadi, Helia; Roy, Pierre-Marie; Sanchez, Olivier; Schmidt, J"&amp;"eannot; van Smeden, Maarten; Tromeur, Cecile; Wolde, Marije Ten; Righini, Marc; Le Gal, Grégoire; Huisman, Menno V; Klok, Frederikus A")</f>
        <v>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v>
      </c>
      <c r="E89" s="32">
        <f>IFERROR(__xludf.DUMMYFUNCTION("""COMPUTED_VALUE"""),44917.0)</f>
        <v>44917</v>
      </c>
      <c r="F89" s="31">
        <f>IFERROR(__xludf.DUMMYFUNCTION("""COMPUTED_VALUE"""),7.0)</f>
        <v>7</v>
      </c>
    </row>
    <row r="90">
      <c r="C90" s="31" t="str">
        <f>IFERROR(__xludf.DUMMYFUNCTION("""COMPUTED_VALUE"""),"Minimal reporting improvement after peer review in reports of COVID-19 prediction models: systematic review.")</f>
        <v>Minimal reporting improvement after peer review in reports of COVID-19 prediction models: systematic review.</v>
      </c>
      <c r="D90" s="31" t="str">
        <f>IFERROR(__xludf.DUMMYFUNCTION("""COMPUTED_VALUE"""),"Hudda, Mohammed T; Archer, Lucinda; van Smeden, Maarten; Moons, Karel G M; Collins, Gary S; Steyerberg, Ewout W; Wahlich, Charlotte; Reitsma, Johannes B; Riley, Richard D; Van Calster, Ben; Wynants, Laure")</f>
        <v>Hudda, Mohammed T; Archer, Lucinda; van Smeden, Maarten; Moons, Karel G M; Collins, Gary S; Steyerberg, Ewout W; Wahlich, Charlotte; Reitsma, Johannes B; Riley, Richard D; Van Calster, Ben; Wynants, Laure</v>
      </c>
      <c r="E90" s="32">
        <f>IFERROR(__xludf.DUMMYFUNCTION("""COMPUTED_VALUE"""),44909.0)</f>
        <v>44909</v>
      </c>
      <c r="F90" s="31">
        <f>IFERROR(__xludf.DUMMYFUNCTION("""COMPUTED_VALUE"""),3.0)</f>
        <v>3</v>
      </c>
    </row>
    <row r="91">
      <c r="C91" s="31" t="str">
        <f>IFERROR(__xludf.DUMMYFUNCTION("""COMPUTED_VALUE"""),"Systematic review identifies the design and methodological conduct of studies on machine learning-based prediction models.")</f>
        <v>Systematic review identifies the design and methodological conduct of studies on machine learning-based prediction models.</v>
      </c>
      <c r="D91" s="31" t="str">
        <f>IFERROR(__xludf.DUMMYFUNCTION("""COMPUTED_VALUE"""),"Andaur Navarro, Constanza L; Damen, Johanna A A; van Smeden, Maarten; Takada, Toshihiko; Nijman, Steven W J; Dhiman, Paula; Ma, Jie; Collins, Gary S; Bajpai, Ram; Riley, Richard D; Moons, Karel G M; Hooft, Lotty")</f>
        <v>Andaur Navarro, Constanza L; Damen, Johanna A A; van Smeden, Maarten; Takada, Toshihiko; Nijman, Steven W J; Dhiman, Paula; Ma, Jie; Collins, Gary S; Bajpai, Ram; Riley, Richard D; Moons, Karel G M; Hooft, Lotty</v>
      </c>
      <c r="E91" s="32">
        <f>IFERROR(__xludf.DUMMYFUNCTION("""COMPUTED_VALUE"""),44890.0)</f>
        <v>44890</v>
      </c>
      <c r="F91" s="31">
        <f>IFERROR(__xludf.DUMMYFUNCTION("""COMPUTED_VALUE"""),19.0)</f>
        <v>19</v>
      </c>
    </row>
    <row r="92">
      <c r="C92" s="31" t="str">
        <f>IFERROR(__xludf.DUMMYFUNCTION("""COMPUTED_VALUE"""),"External Validation of the Colon Life Nomogram for Predicting 12-Week Mortality in Dutch Metastatic Colorectal Cancer Patients Treated with Trifluridine/Tipiracil in Daily Practice.")</f>
        <v>External Validation of the Colon Life Nomogram for Predicting 12-Week Mortality in Dutch Metastatic Colorectal Cancer Patients Treated with Trifluridine/Tipiracil in Daily Practice.</v>
      </c>
      <c r="D92" s="31" t="str">
        <f>IFERROR(__xludf.DUMMYFUNCTION("""COMPUTED_VALUE"""),"Hamers, Patricia A H; Wensink, G Emerens; van Smeden, Maarten; Vink, Geraldine R; Smabers, Lidwien P; Lunenberg, Renee A; Laclé, Miangela M; Koopman, Miriam; May, Anne M; Roodhart, Jeanine M L")</f>
        <v>Hamers, Patricia A H; Wensink, G Emerens; van Smeden, Maarten; Vink, Geraldine R; Smabers, Lidwien P; Lunenberg, Renee A; Laclé, Miangela M; Koopman, Miriam; May, Anne M; Roodhart, Jeanine M L</v>
      </c>
      <c r="E92" s="32">
        <f>IFERROR(__xludf.DUMMYFUNCTION("""COMPUTED_VALUE"""),44852.0)</f>
        <v>44852</v>
      </c>
      <c r="F92" s="31">
        <f>IFERROR(__xludf.DUMMYFUNCTION("""COMPUTED_VALUE"""),1.0)</f>
        <v>1</v>
      </c>
    </row>
    <row r="93">
      <c r="C93" s="31" t="str">
        <f>IFERROR(__xludf.DUMMYFUNCTION("""COMPUTED_VALUE"""),"Development and validation of a prediction rule for patients suspected of acute coronary syndrome in primary care: a cross-sectional study.")</f>
        <v>Development and validation of a prediction rule for patients suspected of acute coronary syndrome in primary care: a cross-sectional study.</v>
      </c>
      <c r="D93" s="31" t="str">
        <f>IFERROR(__xludf.DUMMYFUNCTION("""COMPUTED_VALUE"""),"Wouters, Loes T C M; Zwart, Dorien L M; Erkelens, Daphne C A; Adriaansen, Elisabeth J M; den Ruijter, Hester M; De Groot, Esther; Damoiseaux, Roger A M J; Hoes, Arno W; van Smeden, Maarten; Rutten, Frans H")</f>
        <v>Wouters, Loes T C M; Zwart, Dorien L M; Erkelens, Daphne C A; Adriaansen, Elisabeth J M; den Ruijter, Hester M; De Groot, Esther; Damoiseaux, Roger A M J; Hoes, Arno W; van Smeden, Maarten; Rutten, Frans H</v>
      </c>
      <c r="E93" s="32">
        <f>IFERROR(__xludf.DUMMYFUNCTION("""COMPUTED_VALUE"""),44839.0)</f>
        <v>44839</v>
      </c>
      <c r="F93" s="31">
        <f>IFERROR(__xludf.DUMMYFUNCTION("""COMPUTED_VALUE"""),0.0)</f>
        <v>0</v>
      </c>
    </row>
    <row r="94">
      <c r="C94" s="31" t="str">
        <f>IFERROR(__xludf.DUMMYFUNCTION("""COMPUTED_VALUE"""),"Developing, validating, updating and judging the impact of prognostic models for respiratory diseases.")</f>
        <v>Developing, validating, updating and judging the impact of prognostic models for respiratory diseases.</v>
      </c>
      <c r="D94" s="31" t="str">
        <f>IFERROR(__xludf.DUMMYFUNCTION("""COMPUTED_VALUE"""),"van Royen, Florien S; Moons, Karel G M; Geersing, Geert-Jan; van Smeden, Maarten")</f>
        <v>van Royen, Florien S; Moons, Karel G M; Geersing, Geert-Jan; van Smeden, Maarten</v>
      </c>
      <c r="E94" s="32">
        <f>IFERROR(__xludf.DUMMYFUNCTION("""COMPUTED_VALUE"""),44819.0)</f>
        <v>44819</v>
      </c>
      <c r="F94" s="31">
        <f>IFERROR(__xludf.DUMMYFUNCTION("""COMPUTED_VALUE"""),15.0)</f>
        <v>15</v>
      </c>
    </row>
    <row r="95">
      <c r="C95" s="31"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D95" s="31" t="str">
        <f>IFERROR(__xludf.DUMMYFUNCTION("""COMPUTED_VALUE"""),"van den Goorbergh, Ruben; van Smeden, Maarten; Timmerman, Dirk; Van Calster, Ben")</f>
        <v>van den Goorbergh, Ruben; van Smeden, Maarten; Timmerman, Dirk; Van Calster, Ben</v>
      </c>
      <c r="E95" s="32">
        <f>IFERROR(__xludf.DUMMYFUNCTION("""COMPUTED_VALUE"""),44789.0)</f>
        <v>44789</v>
      </c>
      <c r="F95" s="31">
        <f>IFERROR(__xludf.DUMMYFUNCTION("""COMPUTED_VALUE"""),76.0)</f>
        <v>76</v>
      </c>
    </row>
    <row r="96">
      <c r="C96" s="31" t="str">
        <f>IFERROR(__xludf.DUMMYFUNCTION("""COMPUTED_VALUE"""),"Critical appraisal of artificial intelligence-based prediction models for cardiovascular disease.")</f>
        <v>Critical appraisal of artificial intelligence-based prediction models for cardiovascular disease.</v>
      </c>
      <c r="D96" s="31" t="str">
        <f>IFERROR(__xludf.DUMMYFUNCTION("""COMPUTED_VALUE"""),"van Smeden, Maarten; Heinze, Georg; Van Calster, Ben; Asselbergs, Folkert W; Vardas, Panos E; Bruining, Nico; de Jaegere, Peter; Moore, Jason H; Denaxas, Spiros; Boulesteix, Anne Laure; Moons, Karel G M")</f>
        <v>van Smeden, Maarten; Heinze, Georg; Van Calster, Ben; Asselbergs, Folkert W; Vardas, Panos E; Bruining, Nico; de Jaegere, Peter; Moore, Jason H; Denaxas, Spiros; Boulesteix, Anne Laure; Moons, Karel G M</v>
      </c>
      <c r="E96" s="32">
        <f>IFERROR(__xludf.DUMMYFUNCTION("""COMPUTED_VALUE"""),44787.0)</f>
        <v>44787</v>
      </c>
      <c r="F96" s="31">
        <f>IFERROR(__xludf.DUMMYFUNCTION("""COMPUTED_VALUE"""),55.0)</f>
        <v>55</v>
      </c>
    </row>
    <row r="97">
      <c r="C97" s="31" t="str">
        <f>IFERROR(__xludf.DUMMYFUNCTION("""COMPUTED_VALUE"""),"A Very Short List of Common Pitfalls in Research Design, Data Analysis, and Reporting.")</f>
        <v>A Very Short List of Common Pitfalls in Research Design, Data Analysis, and Reporting.</v>
      </c>
      <c r="D97" s="31" t="str">
        <f>IFERROR(__xludf.DUMMYFUNCTION("""COMPUTED_VALUE"""),"van Smeden, Maarten")</f>
        <v>van Smeden, Maarten</v>
      </c>
      <c r="E97" s="32">
        <f>IFERROR(__xludf.DUMMYFUNCTION("""COMPUTED_VALUE"""),44783.0)</f>
        <v>44783</v>
      </c>
      <c r="F97" s="31">
        <f>IFERROR(__xludf.DUMMYFUNCTION("""COMPUTED_VALUE"""),0.0)</f>
        <v>0</v>
      </c>
    </row>
    <row r="98">
      <c r="C98" s="31" t="str">
        <f>IFERROR(__xludf.DUMMYFUNCTION("""COMPUTED_VALUE"""),"How to conduct a systematic review and meta-analysis of prognostic model studies.")</f>
        <v>How to conduct a systematic review and meta-analysis of prognostic model studies.</v>
      </c>
      <c r="D98" s="31" t="str">
        <f>IFERROR(__xludf.DUMMYFUNCTION("""COMPUTED_VALUE"""),"Damen, Johanna A A; Moons, Karel G M; van Smeden, Maarten; Hooft, Lotty")</f>
        <v>Damen, Johanna A A; Moons, Karel G M; van Smeden, Maarten; Hooft, Lotty</v>
      </c>
      <c r="E98" s="32">
        <f>IFERROR(__xludf.DUMMYFUNCTION("""COMPUTED_VALUE"""),44777.0)</f>
        <v>44777</v>
      </c>
      <c r="F98" s="31">
        <f>IFERROR(__xludf.DUMMYFUNCTION("""COMPUTED_VALUE"""),20.0)</f>
        <v>20</v>
      </c>
    </row>
    <row r="99">
      <c r="C99" s="31"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D99" s="31"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E99" s="32">
        <f>IFERROR(__xludf.DUMMYFUNCTION("""COMPUTED_VALUE"""),44775.0)</f>
        <v>44775</v>
      </c>
      <c r="F99" s="31">
        <f>IFERROR(__xludf.DUMMYFUNCTION("""COMPUTED_VALUE"""),0.0)</f>
        <v>0</v>
      </c>
    </row>
    <row r="100">
      <c r="C100" s="31" t="str">
        <f>IFERROR(__xludf.DUMMYFUNCTION("""COMPUTED_VALUE"""),"Clinical prediction models for mortality in patients with covid-19: external validation and individual participant data meta-analysis.")</f>
        <v>Clinical prediction models for mortality in patients with covid-19: external validation and individual participant data meta-analysis.</v>
      </c>
      <c r="D100" s="31" t="str">
        <f>IFERROR(__xludf.DUMMYFUNCTION("""COMPUTED_VALUE"""),"de Jong, Valentijn M T; Rousset, Rebecca Z; Antonio-Villa, Neftalí Eduardo; Buenen, Arnoldus G; Van Calster, Ben; Bello-Chavolla, Omar Yaxmehen; Brunskill, Nigel J; Curcin, Vasa; Damen, Johanna A A; Fermín-Martínez, Carlos A; Fernández-Chirino, Luisa; Fer"&amp;"rari, Davide; Free, Robert C; Gupta, Rishi K; Haldar, Pranabashis; Hedberg, Pontus; Korang, Steven Kwasi; Kurstjens, Steef; Kusters, Ron; Major, Rupert W; Maxwell, Lauren; Nair, Rajeshwari; Naucler, Pontus; Nguyen, Tri-Long; Noursadeghi, Mahdad; Rosa, Ros"&amp;"sana; Soares, Felipe; Takada, Toshihiko; van Royen, Florien S; van Smeden, Maarten; Wynants, Laure; Modrák, Martin; ,; Asselbergs, Folkert W; Linschoten, Marijke; ,; Moons, Karel G M; Debray, Thomas P A")</f>
        <v>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v>
      </c>
      <c r="E100" s="32">
        <f>IFERROR(__xludf.DUMMYFUNCTION("""COMPUTED_VALUE"""),44754.0)</f>
        <v>44754</v>
      </c>
      <c r="F100" s="31">
        <f>IFERROR(__xludf.DUMMYFUNCTION("""COMPUTED_VALUE"""),23.0)</f>
        <v>23</v>
      </c>
    </row>
    <row r="101">
      <c r="C101" s="31" t="str">
        <f>IFERROR(__xludf.DUMMYFUNCTION("""COMPUTED_VALUE"""),"A comparison of full model specification and backward elimination of potential confounders when estimating marginal and conditional causal effects on binary outcomes from observational data.")</f>
        <v>A comparison of full model specification and backward elimination of potential confounders when estimating marginal and conditional causal effects on binary outcomes from observational data.</v>
      </c>
      <c r="D101" s="31" t="str">
        <f>IFERROR(__xludf.DUMMYFUNCTION("""COMPUTED_VALUE"""),"Luijken, Kim; Groenwold, Rolf H H; van Smeden, Maarten; Strohmaier, Susanne; Heinze, Georg")</f>
        <v>Luijken, Kim; Groenwold, Rolf H H; van Smeden, Maarten; Strohmaier, Susanne; Heinze, Georg</v>
      </c>
      <c r="E101" s="32">
        <f>IFERROR(__xludf.DUMMYFUNCTION("""COMPUTED_VALUE"""),44693.0)</f>
        <v>44693</v>
      </c>
      <c r="F101" s="31">
        <f>IFERROR(__xludf.DUMMYFUNCTION("""COMPUTED_VALUE"""),1.0)</f>
        <v>1</v>
      </c>
    </row>
    <row r="102">
      <c r="C102" s="31"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D102" s="31"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E102" s="32">
        <f>IFERROR(__xludf.DUMMYFUNCTION("""COMPUTED_VALUE"""),44690.0)</f>
        <v>44690</v>
      </c>
      <c r="F102" s="31">
        <f>IFERROR(__xludf.DUMMYFUNCTION("""COMPUTED_VALUE"""),18.0)</f>
        <v>18</v>
      </c>
    </row>
    <row r="103">
      <c r="C103" s="31" t="str">
        <f>IFERROR(__xludf.DUMMYFUNCTION("""COMPUTED_VALUE"""),"Measures of (injury and illness) occurrence: a primer on epidemiological concepts and terminology for authors.")</f>
        <v>Measures of (injury and illness) occurrence: a primer on epidemiological concepts and terminology for authors.</v>
      </c>
      <c r="D103" s="31" t="str">
        <f>IFERROR(__xludf.DUMMYFUNCTION("""COMPUTED_VALUE"""),"Impellizzeri, Franco M; McCall, Alan; Meyer, Tim; van Smeden, Maarten")</f>
        <v>Impellizzeri, Franco M; McCall, Alan; Meyer, Tim; van Smeden, Maarten</v>
      </c>
      <c r="E103" s="32">
        <f>IFERROR(__xludf.DUMMYFUNCTION("""COMPUTED_VALUE"""),44682.0)</f>
        <v>44682</v>
      </c>
      <c r="F103" s="31">
        <f>IFERROR(__xludf.DUMMYFUNCTION("""COMPUTED_VALUE"""),4.0)</f>
        <v>4</v>
      </c>
    </row>
    <row r="104">
      <c r="C104" s="31" t="str">
        <f>IFERROR(__xludf.DUMMYFUNCTION("""COMPUTED_VALUE"""),"Etiology of Myocardial Injury in Critically Ill Patients with Sepsis: A Cohort Study.")</f>
        <v>Etiology of Myocardial Injury in Critically Ill Patients with Sepsis: A Cohort Study.</v>
      </c>
      <c r="D104" s="31" t="str">
        <f>IFERROR(__xludf.DUMMYFUNCTION("""COMPUTED_VALUE"""),"Frencken, Jos F; van Smeden, Maarten; van de Groep, Kirsten; Ong, David S Y; Klein Klouwenberg, Peter M C; Juffermans, Nicole; Bonten, Marc J M; van der Poll, Tom; Cremer, Olaf L; ,")</f>
        <v>Frencken, Jos F; van Smeden, Maarten; van de Groep, Kirsten; Ong, David S Y; Klein Klouwenberg, Peter M C; Juffermans, Nicole; Bonten, Marc J M; van der Poll, Tom; Cremer, Olaf L; ,</v>
      </c>
      <c r="E104" s="32">
        <f>IFERROR(__xludf.DUMMYFUNCTION("""COMPUTED_VALUE"""),44682.0)</f>
        <v>44682</v>
      </c>
      <c r="F104" s="31">
        <f>IFERROR(__xludf.DUMMYFUNCTION("""COMPUTED_VALUE"""),5.0)</f>
        <v>5</v>
      </c>
    </row>
    <row r="105">
      <c r="C105" s="31" t="str">
        <f>IFERROR(__xludf.DUMMYFUNCTION("""COMPUTED_VALUE"""),"Optimising telephone triage of patients calling for acute shortness of breath during out-of-hours primary care: protocol of a multiple methods study (Opticall).")</f>
        <v>Optimising telephone triage of patients calling for acute shortness of breath during out-of-hours primary care: protocol of a multiple methods study (Opticall).</v>
      </c>
      <c r="D105" s="31" t="str">
        <f>IFERROR(__xludf.DUMMYFUNCTION("""COMPUTED_VALUE"""),"Spek, Michelle; Venekamp, Roderick; De Groot, Esther; Geersing, Geert-Jan; Erkelens, Daphne Carmen; van Smeden, Maarten; Rutten, Frans H; Zwart, Dorien L")</f>
        <v>Spek, Michelle; Venekamp, Roderick; De Groot, Esther; Geersing, Geert-Jan; Erkelens, Daphne Carmen; van Smeden, Maarten; Rutten, Frans H; Zwart, Dorien L</v>
      </c>
      <c r="E105" s="32">
        <f>IFERROR(__xludf.DUMMYFUNCTION("""COMPUTED_VALUE"""),44672.0)</f>
        <v>44672</v>
      </c>
      <c r="F105" s="31">
        <f>IFERROR(__xludf.DUMMYFUNCTION("""COMPUTED_VALUE"""),3.0)</f>
        <v>3</v>
      </c>
    </row>
    <row r="106">
      <c r="C106" s="31" t="str">
        <f>IFERROR(__xludf.DUMMYFUNCTION("""COMPUTED_VALUE"""),"Cardiovascular vulnerability predicts hospitalisation in primary care clinically suspected and confirmed COVID-19 patients: A model development and validation study.")</f>
        <v>Cardiovascular vulnerability predicts hospitalisation in primary care clinically suspected and confirmed COVID-19 patients: A model development and validation study.</v>
      </c>
      <c r="D106" s="31" t="str">
        <f>IFERROR(__xludf.DUMMYFUNCTION("""COMPUTED_VALUE"""),"van Royen, Florien S; Joosten, Linda P T; van Smeden, Maarten; Slottje, Pauline; Rutten, Frans H; Geersing, Geert-Jan; van Doorn, Sander")</f>
        <v>van Royen, Florien S; Joosten, Linda P T; van Smeden, Maarten; Slottje, Pauline; Rutten, Frans H; Geersing, Geert-Jan; van Doorn, Sander</v>
      </c>
      <c r="E106" s="32">
        <f>IFERROR(__xludf.DUMMYFUNCTION("""COMPUTED_VALUE"""),44662.0)</f>
        <v>44662</v>
      </c>
      <c r="F106" s="31">
        <f>IFERROR(__xludf.DUMMYFUNCTION("""COMPUTED_VALUE"""),3.0)</f>
        <v>3</v>
      </c>
    </row>
    <row r="107">
      <c r="C107" s="31" t="str">
        <f>IFERROR(__xludf.DUMMYFUNCTION("""COMPUTED_VALUE"""),"External validation of the MSKCC nomogram to estimate five-year overall survival after surgery for stage I-III colon cancer in a Dutch population.")</f>
        <v>External validation of the MSKCC nomogram to estimate five-year overall survival after surgery for stage I-III colon cancer in a Dutch population.</v>
      </c>
      <c r="D107" s="31" t="str">
        <f>IFERROR(__xludf.DUMMYFUNCTION("""COMPUTED_VALUE"""),"Bond, Marinde J G; Hamers, Patricia A H; Vink, Geraldine R; van Grevenstein, Wilhelmina M U; Laclé, Miangela M; van Smeden, Maarten; Koopman, Miriam; Roodhart, Jeanine M L; Punt, Cornelis J A; May, Anne M")</f>
        <v>Bond, Marinde J G; Hamers, Patricia A H; Vink, Geraldine R; van Grevenstein, Wilhelmina M U; Laclé, Miangela M; van Smeden, Maarten; Koopman, Miriam; Roodhart, Jeanine M L; Punt, Cornelis J A; May, Anne M</v>
      </c>
      <c r="E107" s="32">
        <f>IFERROR(__xludf.DUMMYFUNCTION("""COMPUTED_VALUE"""),44627.0)</f>
        <v>44627</v>
      </c>
      <c r="F107" s="31">
        <f>IFERROR(__xludf.DUMMYFUNCTION("""COMPUTED_VALUE"""),0.0)</f>
        <v>0</v>
      </c>
    </row>
    <row r="108">
      <c r="C108" s="31"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D108" s="31"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E108" s="32">
        <f>IFERROR(__xludf.DUMMYFUNCTION("""COMPUTED_VALUE"""),44596.0)</f>
        <v>44596</v>
      </c>
      <c r="F108" s="31">
        <f>IFERROR(__xludf.DUMMYFUNCTION("""COMPUTED_VALUE"""),6.0)</f>
        <v>6</v>
      </c>
    </row>
    <row r="109">
      <c r="C109" s="31" t="str">
        <f>IFERROR(__xludf.DUMMYFUNCTION("""COMPUTED_VALUE"""),"Sex- and age specific association of new-onset atrial fibrillation with in-hospital mortality in hospitalised COVID-19 patients.")</f>
        <v>Sex- and age specific association of new-onset atrial fibrillation with in-hospital mortality in hospitalised COVID-19 patients.</v>
      </c>
      <c r="D109" s="31" t="str">
        <f>IFERROR(__xludf.DUMMYFUNCTION("""COMPUTED_VALUE"""),"Offerhaus, Joost A; Joosten, Linda P T; van Smeden, Maarten; Linschoten, Marijke; Bleijendaal, Hidde; Tieleman, Robert; Wilde, Arthur A M; Rutten, Frans H; Geersing, Geert-Jan; Remme, Carol Ann; ,")</f>
        <v>Offerhaus, Joost A; Joosten, Linda P T; van Smeden, Maarten; Linschoten, Marijke; Bleijendaal, Hidde; Tieleman, Robert; Wilde, Arthur A M; Rutten, Frans H; Geersing, Geert-Jan; Remme, Carol Ann; ,</v>
      </c>
      <c r="E109" s="32">
        <f>IFERROR(__xludf.DUMMYFUNCTION("""COMPUTED_VALUE"""),44596.0)</f>
        <v>44596</v>
      </c>
      <c r="F109" s="31">
        <f>IFERROR(__xludf.DUMMYFUNCTION("""COMPUTED_VALUE"""),8.0)</f>
        <v>8</v>
      </c>
    </row>
    <row r="110">
      <c r="C110" s="31" t="str">
        <f>IFERROR(__xludf.DUMMYFUNCTION("""COMPUTED_VALUE"""),"Prognostic factors for adverse outcomes in patients with COVID-19: a field-wide systematic review and meta-analysis.")</f>
        <v>Prognostic factors for adverse outcomes in patients with COVID-19: a field-wide systematic review and meta-analysis.</v>
      </c>
      <c r="D110" s="31" t="str">
        <f>IFERROR(__xludf.DUMMYFUNCTION("""COMPUTED_VALUE"""),"Bellou, Vanesa; Tzoulaki, Ioanna; van Smeden, Maarten; Moons, Karel G M; Evangelou, Evangelos; Belbasis, Lazaros")</f>
        <v>Bellou, Vanesa; Tzoulaki, Ioanna; van Smeden, Maarten; Moons, Karel G M; Evangelou, Evangelos; Belbasis, Lazaros</v>
      </c>
      <c r="E110" s="32">
        <f>IFERROR(__xludf.DUMMYFUNCTION("""COMPUTED_VALUE"""),44595.0)</f>
        <v>44595</v>
      </c>
      <c r="F110" s="31">
        <f>IFERROR(__xludf.DUMMYFUNCTION("""COMPUTED_VALUE"""),37.0)</f>
        <v>37</v>
      </c>
    </row>
    <row r="111">
      <c r="C111" s="31" t="str">
        <f>IFERROR(__xludf.DUMMYFUNCTION("""COMPUTED_VALUE"""),"The year in cardiovascular medicine 2021: digital health and innovation.")</f>
        <v>The year in cardiovascular medicine 2021: digital health and innovation.</v>
      </c>
      <c r="D111" s="31" t="str">
        <f>IFERROR(__xludf.DUMMYFUNCTION("""COMPUTED_VALUE"""),"Vardas, Panos E; Asselbergs, Folkert W; van Smeden, Maarten; Friedman, Paul")</f>
        <v>Vardas, Panos E; Asselbergs, Folkert W; van Smeden, Maarten; Friedman, Paul</v>
      </c>
      <c r="E111" s="32">
        <f>IFERROR(__xludf.DUMMYFUNCTION("""COMPUTED_VALUE"""),44592.0)</f>
        <v>44592</v>
      </c>
      <c r="F111" s="31">
        <f>IFERROR(__xludf.DUMMYFUNCTION("""COMPUTED_VALUE"""),27.0)</f>
        <v>27</v>
      </c>
    </row>
    <row r="112">
      <c r="C112" s="31" t="str">
        <f>IFERROR(__xludf.DUMMYFUNCTION("""COMPUTED_VALUE"""),"Artificial Intelligence and Statistics: Just the Old Wine in New Wineskins?")</f>
        <v>Artificial Intelligence and Statistics: Just the Old Wine in New Wineskins?</v>
      </c>
      <c r="D112" s="31" t="str">
        <f>IFERROR(__xludf.DUMMYFUNCTION("""COMPUTED_VALUE"""),"Faes, Livia; Sim, Dawn A; van Smeden, Maarten; Held, Ulrike; Bossuyt, Patrick M; Bachmann, Lucas M")</f>
        <v>Faes, Livia; Sim, Dawn A; van Smeden, Maarten; Held, Ulrike; Bossuyt, Patrick M; Bachmann, Lucas M</v>
      </c>
      <c r="E112" s="32">
        <f>IFERROR(__xludf.DUMMYFUNCTION("""COMPUTED_VALUE"""),44587.0)</f>
        <v>44587</v>
      </c>
      <c r="F112" s="31">
        <f>IFERROR(__xludf.DUMMYFUNCTION("""COMPUTED_VALUE"""),9.0)</f>
        <v>9</v>
      </c>
    </row>
    <row r="113">
      <c r="C113" s="31" t="str">
        <f>IFERROR(__xludf.DUMMYFUNCTION("""COMPUTED_VALUE"""),"Ruling out pulmonary embolism across different healthcare settings: A systematic review and individual patient data meta-analysis.")</f>
        <v>Ruling out pulmonary embolism across different healthcare settings: A systematic review and individual patient data meta-analysis.</v>
      </c>
      <c r="D113" s="31" t="str">
        <f>IFERROR(__xludf.DUMMYFUNCTION("""COMPUTED_VALUE"""),"Geersing, Geert-Jan; Takada, Toshihiko; Klok, Frederikus A; Büller, Harry R; Courtney, D Mark; Freund, Yonathan; Galipienzo, Javier; Le Gal, Gregoire; Ghanima, Waleed; Kline, Jeffrey A; Huisman, Menno V; Moons, Karel G M; Perrier, Arnaud; Parpia, Sameer; "&amp;"Robert-Ebadi, Helia; Righini, Marc; Roy, Pierre-Marie; van Smeden, Maarten; Stals, Milou A M; Wells, Philip S; de Wit, Kerstin; Kraaijpoel, Noémie; van Es, Nick")</f>
        <v>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v>
      </c>
      <c r="E113" s="32">
        <f>IFERROR(__xludf.DUMMYFUNCTION("""COMPUTED_VALUE"""),44586.0)</f>
        <v>44586</v>
      </c>
      <c r="F113" s="31">
        <f>IFERROR(__xludf.DUMMYFUNCTION("""COMPUTED_VALUE"""),21.0)</f>
        <v>21</v>
      </c>
    </row>
    <row r="114">
      <c r="C114" s="31" t="str">
        <f>IFERROR(__xludf.DUMMYFUNCTION("""COMPUTED_VALUE"""),"Performance of binary prediction models in high-correlation low-dimensional settings: a comparison of methods.")</f>
        <v>Performance of binary prediction models in high-correlation low-dimensional settings: a comparison of methods.</v>
      </c>
      <c r="D114" s="31" t="str">
        <f>IFERROR(__xludf.DUMMYFUNCTION("""COMPUTED_VALUE"""),"Leeuwenberg, Artuur M; van Smeden, Maarten; Langendijk, Johannes A; van der Schaaf, Arjen; Mauer, Murielle E; Moons, Karel G M; Reitsma, Johannes B; Schuit, Ewoud")</f>
        <v>Leeuwenberg, Artuur M; van Smeden, Maarten; Langendijk, Johannes A; van der Schaaf, Arjen; Mauer, Murielle E; Moons, Karel G M; Reitsma, Johannes B; Schuit, Ewoud</v>
      </c>
      <c r="E114" s="32">
        <f>IFERROR(__xludf.DUMMYFUNCTION("""COMPUTED_VALUE"""),44572.0)</f>
        <v>44572</v>
      </c>
      <c r="F114" s="31">
        <f>IFERROR(__xludf.DUMMYFUNCTION("""COMPUTED_VALUE"""),10.0)</f>
        <v>10</v>
      </c>
    </row>
    <row r="115">
      <c r="C115" s="31" t="str">
        <f>IFERROR(__xludf.DUMMYFUNCTION("""COMPUTED_VALUE"""),"Guidelines and quality criteria for artificial intelligence-based prediction models in healthcare: a scoping review.")</f>
        <v>Guidelines and quality criteria for artificial intelligence-based prediction models in healthcare: a scoping review.</v>
      </c>
      <c r="D115" s="31" t="str">
        <f>IFERROR(__xludf.DUMMYFUNCTION("""COMPUTED_VALUE"""),"de Hond, Anne A H; Leeuwenberg, Artuur M; Hooft, Lotty; Kant, Ilse M J; Nijman, Steven W J; van Os, Hendrikus J A; Aardoom, Jiska J; Debray, Thomas P A; Schuit, Ewoud; van Smeden, Maarten; Reitsma, Johannes B; Steyerberg, Ewout W; Chavannes, Niels H; Moon"&amp;"s, Karel G M")</f>
        <v>de Hond, Anne A H; Leeuwenberg, Artuur M; Hooft, Lotty; Kant, Ilse M J; Nijman, Steven W J; van Os, Hendrikus J A; Aardoom, Jiska J; Debray, Thomas P A; Schuit, Ewoud; van Smeden, Maarten; Reitsma, Johannes B; Steyerberg, Ewout W; Chavannes, Niels H; Moons, Karel G M</v>
      </c>
      <c r="E115" s="32">
        <f>IFERROR(__xludf.DUMMYFUNCTION("""COMPUTED_VALUE"""),44571.0)</f>
        <v>44571</v>
      </c>
      <c r="F115" s="31">
        <f>IFERROR(__xludf.DUMMYFUNCTION("""COMPUTED_VALUE"""),150.0)</f>
        <v>150</v>
      </c>
    </row>
    <row r="116">
      <c r="C116" s="31"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D116" s="31"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E116" s="32">
        <f>IFERROR(__xludf.DUMMYFUNCTION("""COMPUTED_VALUE"""),44546.0)</f>
        <v>44546</v>
      </c>
      <c r="F116" s="31">
        <f>IFERROR(__xludf.DUMMYFUNCTION("""COMPUTED_VALUE"""),34.0)</f>
        <v>34</v>
      </c>
    </row>
    <row r="117">
      <c r="C117" s="31" t="str">
        <f>IFERROR(__xludf.DUMMYFUNCTION("""COMPUTED_VALUE"""),"Safety and Efficiency of Diagnostic Strategies for Ruling Out Pulmonary Embolism in Clinically Relevant Patient Subgroups : A Systematic Review and Individual-Patient Data Meta-analysis.")</f>
        <v>Safety and Efficiency of Diagnostic Strategies for Ruling Out Pulmonary Embolism in Clinically Relevant Patient Subgroups : A Systematic Review and Individual-Patient Data Meta-analysis.</v>
      </c>
      <c r="D117" s="31" t="str">
        <f>IFERROR(__xludf.DUMMYFUNCTION("""COMPUTED_VALUE"""),"Stals, Milou A M; Takada, Toshihiko; Kraaijpoel, Noémie; van Es, Nick; Büller, Harry R; Courtney, D Mark; Freund, Yonathan; Galipienzo, Javier; Le Gal, Grégoire; Ghanima, Waleed; Huisman, Menno V; Kline, Jeffrey A; Moons, Karel G M; Parpia, Sameer; Perrie"&amp;"r, Arnaud; Righini, Marc; Robert-Ebadi, Helia; Roy, Pierre-Marie; van Smeden, Maarten; Wells, Phil S; de Wit, Kerstin; Geersing, Geert-Jan; Klok, Frederikus A")</f>
        <v>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v>
      </c>
      <c r="E117" s="32">
        <f>IFERROR(__xludf.DUMMYFUNCTION("""COMPUTED_VALUE"""),44544.0)</f>
        <v>44544</v>
      </c>
      <c r="F117" s="31">
        <f>IFERROR(__xludf.DUMMYFUNCTION("""COMPUTED_VALUE"""),29.0)</f>
        <v>29</v>
      </c>
    </row>
    <row r="118">
      <c r="C118" s="31"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D118" s="31" t="str">
        <f>IFERROR(__xludf.DUMMYFUNCTION("""COMPUTED_VALUE"""),"Edlinger, Michael; van Smeden, Maarten; Alber, Hannes F; Wanitschek, Maria; Van Calster, Ben")</f>
        <v>Edlinger, Michael; van Smeden, Maarten; Alber, Hannes F; Wanitschek, Maria; Van Calster, Ben</v>
      </c>
      <c r="E118" s="32">
        <f>IFERROR(__xludf.DUMMYFUNCTION("""COMPUTED_VALUE"""),44542.0)</f>
        <v>44542</v>
      </c>
      <c r="F118" s="31">
        <f>IFERROR(__xludf.DUMMYFUNCTION("""COMPUTED_VALUE"""),8.0)</f>
        <v>8</v>
      </c>
    </row>
    <row r="119">
      <c r="C119" s="31" t="str">
        <f>IFERROR(__xludf.DUMMYFUNCTION("""COMPUTED_VALUE"""),"QCOVID in Scotland: time to recalibrate our expectations?")</f>
        <v>QCOVID in Scotland: time to recalibrate our expectations?</v>
      </c>
      <c r="D119" s="31" t="str">
        <f>IFERROR(__xludf.DUMMYFUNCTION("""COMPUTED_VALUE"""),"Gupta, Rishi K; van Smeden, Maarten")</f>
        <v>Gupta, Rishi K; van Smeden, Maarten</v>
      </c>
      <c r="E119" s="32">
        <f>IFERROR(__xludf.DUMMYFUNCTION("""COMPUTED_VALUE"""),44515.0)</f>
        <v>44515</v>
      </c>
      <c r="F119" s="31">
        <f>IFERROR(__xludf.DUMMYFUNCTION("""COMPUTED_VALUE"""),0.0)</f>
        <v>0</v>
      </c>
    </row>
    <row r="120">
      <c r="C120" s="31" t="str">
        <f>IFERROR(__xludf.DUMMYFUNCTION("""COMPUTED_VALUE"""),"Why clinical context and relevant protocols matter: author's reply.")</f>
        <v>Why clinical context and relevant protocols matter: author's reply.</v>
      </c>
      <c r="D120" s="31" t="str">
        <f>IFERROR(__xludf.DUMMYFUNCTION("""COMPUTED_VALUE"""),"Impellizzeri, Franco M; McCall, Alan; van Smeden, Maarten")</f>
        <v>Impellizzeri, Franco M; McCall, Alan; van Smeden, Maarten</v>
      </c>
      <c r="E120" s="32">
        <f>IFERROR(__xludf.DUMMYFUNCTION("""COMPUTED_VALUE"""),44501.0)</f>
        <v>44501</v>
      </c>
      <c r="F120" s="31">
        <f>IFERROR(__xludf.DUMMYFUNCTION("""COMPUTED_VALUE"""),0.0)</f>
        <v>0</v>
      </c>
    </row>
    <row r="121">
      <c r="C121" s="31" t="str">
        <f>IFERROR(__xludf.DUMMYFUNCTION("""COMPUTED_VALUE"""),"Projecting the impact of triple CFTR modulator therapy on intravenous antibiotic requirements in cystic fibrosis using patient registry data combined with treatment effects from randomised trials.")</f>
        <v>Projecting the impact of triple CFTR modulator therapy on intravenous antibiotic requirements in cystic fibrosis using patient registry data combined with treatment effects from randomised trials.</v>
      </c>
      <c r="D121" s="31" t="str">
        <f>IFERROR(__xludf.DUMMYFUNCTION("""COMPUTED_VALUE"""),"Keogh, Ruth H; Cosgriff, Rebecca; Andrinopoulou, Eleni-Rosalina; Brownlee, Keith G; Carr, Siobhán B; Diaz-Ordaz, Karla; Granger, Emily; Jewell, Nicholas P; Lewin, Alex; Leyrat, Clemence; Schlüter, Daniela K; van Smeden, Maarten; Szczesniak, Rhonda D; Conn"&amp;"ett, Gary J")</f>
        <v>Keogh, Ruth H; Cosgriff, Rebecca; Andrinopoulou, Eleni-Rosalina; Brownlee, Keith G; Carr, Siobhán B; Diaz-Ordaz, Karla; Granger, Emily; Jewell, Nicholas P; Lewin, Alex; Leyrat, Clemence; Schlüter, Daniela K; van Smeden, Maarten; Szczesniak, Rhonda D; Connett, Gary J</v>
      </c>
      <c r="E121" s="32">
        <f>IFERROR(__xludf.DUMMYFUNCTION("""COMPUTED_VALUE"""),44462.0)</f>
        <v>44462</v>
      </c>
      <c r="F121" s="31">
        <f>IFERROR(__xludf.DUMMYFUNCTION("""COMPUTED_VALUE"""),12.0)</f>
        <v>12</v>
      </c>
    </row>
    <row r="122">
      <c r="C122" s="31"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D122" s="31" t="str">
        <f>IFERROR(__xludf.DUMMYFUNCTION("""COMPUTED_VALUE"""),"Morris, Tim P; van Smeden, Maarten")</f>
        <v>Morris, Tim P; van Smeden, Maarten</v>
      </c>
      <c r="E122" s="32">
        <f>IFERROR(__xludf.DUMMYFUNCTION("""COMPUTED_VALUE"""),44461.0)</f>
        <v>44461</v>
      </c>
      <c r="F122" s="31">
        <f>IFERROR(__xludf.DUMMYFUNCTION("""COMPUTED_VALUE"""),3.0)</f>
        <v>3</v>
      </c>
    </row>
    <row r="123">
      <c r="C123" s="31"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D123" s="31" t="str">
        <f>IFERROR(__xludf.DUMMYFUNCTION("""COMPUTED_VALUE"""),"Impellizzeri, Franco M; McCall, Alan; van Smeden, Maarten")</f>
        <v>Impellizzeri, Franco M; McCall, Alan; van Smeden, Maarten</v>
      </c>
      <c r="E123" s="32">
        <f>IFERROR(__xludf.DUMMYFUNCTION("""COMPUTED_VALUE"""),44450.0)</f>
        <v>44450</v>
      </c>
      <c r="F123" s="31">
        <f>IFERROR(__xludf.DUMMYFUNCTION("""COMPUTED_VALUE"""),23.0)</f>
        <v>23</v>
      </c>
    </row>
    <row r="124">
      <c r="C124" s="31" t="str">
        <f>IFERROR(__xludf.DUMMYFUNCTION("""COMPUTED_VALUE"""),"Flaws in the Development and Validation of a Coronavirus Disease 2019 Prediction Model.")</f>
        <v>Flaws in the Development and Validation of a Coronavirus Disease 2019 Prediction Model.</v>
      </c>
      <c r="D124" s="31" t="str">
        <f>IFERROR(__xludf.DUMMYFUNCTION("""COMPUTED_VALUE"""),"Collins, Gary S; Riley, Richard D; van Smeden, Maarten")</f>
        <v>Collins, Gary S; Riley, Richard D; van Smeden, Maarten</v>
      </c>
      <c r="E124" s="32">
        <f>IFERROR(__xludf.DUMMYFUNCTION("""COMPUTED_VALUE"""),44410.0)</f>
        <v>44410</v>
      </c>
      <c r="F124" s="31">
        <f>IFERROR(__xludf.DUMMYFUNCTION("""COMPUTED_VALUE"""),0.0)</f>
        <v>0</v>
      </c>
    </row>
    <row r="125">
      <c r="C125" s="31" t="str">
        <f>IFERROR(__xludf.DUMMYFUNCTION("""COMPUTED_VALUE"""),"Prediction models: stepwise development and simultaneous validation is a step back.")</f>
        <v>Prediction models: stepwise development and simultaneous validation is a step back.</v>
      </c>
      <c r="D125" s="31" t="str">
        <f>IFERROR(__xludf.DUMMYFUNCTION("""COMPUTED_VALUE"""),"Heinze, Georg; van Smeden, Maarten; Wynants, Laure; Steyerberg, Ewout; van Calster, Ben")</f>
        <v>Heinze, Georg; van Smeden, Maarten; Wynants, Laure; Steyerberg, Ewout; van Calster, Ben</v>
      </c>
      <c r="E125" s="32">
        <f>IFERROR(__xludf.DUMMYFUNCTION("""COMPUTED_VALUE"""),44409.0)</f>
        <v>44409</v>
      </c>
      <c r="F125" s="31">
        <f>IFERROR(__xludf.DUMMYFUNCTION("""COMPUTED_VALUE"""),1.0)</f>
        <v>1</v>
      </c>
    </row>
    <row r="126">
      <c r="C126" s="31" t="str">
        <f>IFERROR(__xludf.DUMMYFUNCTION("""COMPUTED_VALUE"""),"Protocol for development of a reporting guideline (TRIPOD-AI) and risk of bias tool (PROBAST-AI) for diagnostic and prognostic prediction model studies based on artificial intelligence.")</f>
        <v>Protocol for development of a reporting guideline (TRIPOD-AI) and risk of bias tool (PROBAST-AI) for diagnostic and prognostic prediction model studies based on artificial intelligence.</v>
      </c>
      <c r="D126" s="31" t="str">
        <f>IFERROR(__xludf.DUMMYFUNCTION("""COMPUTED_VALUE"""),"Collins, Gary S; Dhiman, Paula; Andaur Navarro, Constanza L; Ma, Jie; Hooft, Lotty; Reitsma, Johannes B; Logullo, Patricia; Beam, Andrew L; Peng, Lily; Van Calster, Ben; van Smeden, Maarten; Riley, Richard D; Moons, Karel Gm")</f>
        <v>Collins, Gary S; Dhiman, Paula; Andaur Navarro, Constanza L; Ma, Jie; Hooft, Lotty; Reitsma, Johannes B; Logullo, Patricia; Beam, Andrew L; Peng, Lily; Van Calster, Ben; van Smeden, Maarten; Riley, Richard D; Moons, Karel Gm</v>
      </c>
      <c r="E126" s="32">
        <f>IFERROR(__xludf.DUMMYFUNCTION("""COMPUTED_VALUE"""),44386.0)</f>
        <v>44386</v>
      </c>
      <c r="F126" s="31">
        <f>IFERROR(__xludf.DUMMYFUNCTION("""COMPUTED_VALUE"""),320.0)</f>
        <v>320</v>
      </c>
    </row>
    <row r="127">
      <c r="C127" s="31" t="str">
        <f>IFERROR(__xludf.DUMMYFUNCTION("""COMPUTED_VALUE"""),"Identifying adults with acute rhinosinusitis in primary care that benefit most from antibiotics: protocol of an individual patient data meta-analysis using multivariable risk prediction modelling.")</f>
        <v>Identifying adults with acute rhinosinusitis in primary care that benefit most from antibiotics: protocol of an individual patient data meta-analysis using multivariable risk prediction modelling.</v>
      </c>
      <c r="D127" s="31" t="str">
        <f>IFERROR(__xludf.DUMMYFUNCTION("""COMPUTED_VALUE"""),"Venekamp, Roderick P; Hoogland, Jeroen; van Smeden, Maarten; Rovers, Maroeska M; De Sutter, An I; Merenstein, Daniel; van Essen, Gerrit A; Kaiser, Laurent; Liira, Helena; Little, Paul; Bucher, Heiner Cc; Reitsma, Johannes B")</f>
        <v>Venekamp, Roderick P; Hoogland, Jeroen; van Smeden, Maarten; Rovers, Maroeska M; De Sutter, An I; Merenstein, Daniel; van Essen, Gerrit A; Kaiser, Laurent; Liira, Helena; Little, Paul; Bucher, Heiner Cc; Reitsma, Johannes B</v>
      </c>
      <c r="E127" s="32">
        <f>IFERROR(__xludf.DUMMYFUNCTION("""COMPUTED_VALUE"""),44378.0)</f>
        <v>44378</v>
      </c>
      <c r="F127" s="31">
        <f>IFERROR(__xludf.DUMMYFUNCTION("""COMPUTED_VALUE"""),1.0)</f>
        <v>1</v>
      </c>
    </row>
    <row r="128">
      <c r="C128" s="31" t="str">
        <f>IFERROR(__xludf.DUMMYFUNCTION("""COMPUTED_VALUE"""),"Gender-stratified analyses of symptoms associated with acute coronary syndrome in telephone triage: a cross-sectional study.")</f>
        <v>Gender-stratified analyses of symptoms associated with acute coronary syndrome in telephone triage: a cross-sectional study.</v>
      </c>
      <c r="D128" s="31" t="str">
        <f>IFERROR(__xludf.DUMMYFUNCTION("""COMPUTED_VALUE"""),"Wouters, Loes T C M; Zwart, Dorien L M; Erkelens, Daphne C A; De Groot, Esther; van Smeden, Maarten; Hoes, Arno W; Damoiseaux, Roger A M J; Rutten, Frans H")</f>
        <v>Wouters, Loes T C M; Zwart, Dorien L M; Erkelens, Daphne C A; De Groot, Esther; van Smeden, Maarten; Hoes, Arno W; Damoiseaux, Roger A M J; Rutten, Frans H</v>
      </c>
      <c r="E128" s="32">
        <f>IFERROR(__xludf.DUMMYFUNCTION("""COMPUTED_VALUE"""),44372.0)</f>
        <v>44372</v>
      </c>
      <c r="F128" s="31">
        <f>IFERROR(__xludf.DUMMYFUNCTION("""COMPUTED_VALUE"""),6.0)</f>
        <v>6</v>
      </c>
    </row>
    <row r="129">
      <c r="C129" s="31" t="str">
        <f>IFERROR(__xludf.DUMMYFUNCTION("""COMPUTED_VALUE"""),"Mecor: An R package for measurement error correction in linear regression models with a continuous outcome.")</f>
        <v>Mecor: An R package for measurement error correction in linear regression models with a continuous outcome.</v>
      </c>
      <c r="D129" s="31" t="str">
        <f>IFERROR(__xludf.DUMMYFUNCTION("""COMPUTED_VALUE"""),"Nab, Linda; van Smeden, Maarten; Keogh, Ruth H; Groenwold, Rolf H H")</f>
        <v>Nab, Linda; van Smeden, Maarten; Keogh, Ruth H; Groenwold, Rolf H H</v>
      </c>
      <c r="E129" s="32">
        <f>IFERROR(__xludf.DUMMYFUNCTION("""COMPUTED_VALUE"""),44364.0)</f>
        <v>44364</v>
      </c>
      <c r="F129" s="31">
        <f>IFERROR(__xludf.DUMMYFUNCTION("""COMPUTED_VALUE"""),8.0)</f>
        <v>8</v>
      </c>
    </row>
    <row r="130">
      <c r="C130" s="31" t="str">
        <f>IFERROR(__xludf.DUMMYFUNCTION("""COMPUTED_VALUE"""),"Methodology over metrics: current scientific standards are a disservice to patients and society.")</f>
        <v>Methodology over metrics: current scientific standards are a disservice to patients and society.</v>
      </c>
      <c r="D130" s="31" t="str">
        <f>IFERROR(__xludf.DUMMYFUNCTION("""COMPUTED_VALUE"""),"Van Calster, Ben; Wynants, Laure; Riley, Richard D; van Smeden, Maarten; Collins, Gary S")</f>
        <v>Van Calster, Ben; Wynants, Laure; Riley, Richard D; van Smeden, Maarten; Collins, Gary S</v>
      </c>
      <c r="E130" s="32">
        <f>IFERROR(__xludf.DUMMYFUNCTION("""COMPUTED_VALUE"""),44346.0)</f>
        <v>44346</v>
      </c>
      <c r="F130" s="31">
        <f>IFERROR(__xludf.DUMMYFUNCTION("""COMPUTED_VALUE"""),52.0)</f>
        <v>52</v>
      </c>
    </row>
    <row r="131">
      <c r="C131" s="31" t="str">
        <f>IFERROR(__xludf.DUMMYFUNCTION("""COMPUTED_VALUE"""),"Minimum sample size for external validation of a clinical prediction model with a binary outcome.")</f>
        <v>Minimum sample size for external validation of a clinical prediction model with a binary outcome.</v>
      </c>
      <c r="D131" s="31" t="str">
        <f>IFERROR(__xludf.DUMMYFUNCTION("""COMPUTED_VALUE"""),"Riley, Richard D; Debray, Thomas P A; Collins, Gary S; Archer, Lucinda; Ensor, Joie; van Smeden, Maarten; Snell, Kym I E")</f>
        <v>Riley, Richard D; Debray, Thomas P A; Collins, Gary S; Archer, Lucinda; Ensor, Joie; van Smeden, Maarten; Snell, Kym I E</v>
      </c>
      <c r="E131" s="32">
        <f>IFERROR(__xludf.DUMMYFUNCTION("""COMPUTED_VALUE"""),44340.0)</f>
        <v>44340</v>
      </c>
      <c r="F131" s="31">
        <f>IFERROR(__xludf.DUMMYFUNCTION("""COMPUTED_VALUE"""),124.0)</f>
        <v>124</v>
      </c>
    </row>
    <row r="132">
      <c r="C132" s="31" t="str">
        <f>IFERROR(__xludf.DUMMYFUNCTION("""COMPUTED_VALUE"""),"New-user and prevalent-user designs and the definition of study time origin in pharmacoepidemiology: A review of reporting practices.")</f>
        <v>New-user and prevalent-user designs and the definition of study time origin in pharmacoepidemiology: A review of reporting practices.</v>
      </c>
      <c r="D132" s="31" t="str">
        <f>IFERROR(__xludf.DUMMYFUNCTION("""COMPUTED_VALUE"""),"Luijken, Kim; Spekreijse, Judith J; van Smeden, Maarten; Gardarsdottir, Helga; Groenwold, Rolf H H")</f>
        <v>Luijken, Kim; Spekreijse, Judith J; van Smeden, Maarten; Gardarsdottir, Helga; Groenwold, Rolf H H</v>
      </c>
      <c r="E132" s="32">
        <f>IFERROR(__xludf.DUMMYFUNCTION("""COMPUTED_VALUE"""),44326.0)</f>
        <v>44326</v>
      </c>
      <c r="F132" s="31">
        <f>IFERROR(__xludf.DUMMYFUNCTION("""COMPUTED_VALUE"""),7.0)</f>
        <v>7</v>
      </c>
    </row>
    <row r="133">
      <c r="C133" s="31" t="str">
        <f>IFERROR(__xludf.DUMMYFUNCTION("""COMPUTED_VALUE"""),"Clinical prediction models: diagnosis versus prognosis.")</f>
        <v>Clinical prediction models: diagnosis versus prognosis.</v>
      </c>
      <c r="D133" s="31" t="str">
        <f>IFERROR(__xludf.DUMMYFUNCTION("""COMPUTED_VALUE"""),"van Smeden, Maarten; Reitsma, Johannes B; Riley, Richard D; Collins, Gary S; Moons, Karel Gm")</f>
        <v>van Smeden, Maarten; Reitsma, Johannes B; Riley, Richard D; Collins, Gary S; Moons, Karel Gm</v>
      </c>
      <c r="E133" s="32">
        <f>IFERROR(__xludf.DUMMYFUNCTION("""COMPUTED_VALUE"""),44287.0)</f>
        <v>44287</v>
      </c>
      <c r="F133" s="31">
        <f>IFERROR(__xludf.DUMMYFUNCTION("""COMPUTED_VALUE"""),61.0)</f>
        <v>61</v>
      </c>
    </row>
    <row r="134">
      <c r="C134" s="31" t="str">
        <f>IFERROR(__xludf.DUMMYFUNCTION("""COMPUTED_VALUE"""),"Adaptive sample size determination for the development of clinical prediction models.")</f>
        <v>Adaptive sample size determination for the development of clinical prediction models.</v>
      </c>
      <c r="D134" s="31"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E134" s="32">
        <f>IFERROR(__xludf.DUMMYFUNCTION("""COMPUTED_VALUE"""),44277.0)</f>
        <v>44277</v>
      </c>
      <c r="F134" s="31">
        <f>IFERROR(__xludf.DUMMYFUNCTION("""COMPUTED_VALUE"""),9.0)</f>
        <v>9</v>
      </c>
    </row>
    <row r="135">
      <c r="C135" s="31"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D135" s="31"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E135" s="32">
        <f>IFERROR(__xludf.DUMMYFUNCTION("""COMPUTED_VALUE"""),44207.0)</f>
        <v>44207</v>
      </c>
      <c r="F135" s="31">
        <f>IFERROR(__xludf.DUMMYFUNCTION("""COMPUTED_VALUE"""),143.0)</f>
        <v>143</v>
      </c>
    </row>
    <row r="136">
      <c r="C136" s="31" t="str">
        <f>IFERROR(__xludf.DUMMYFUNCTION("""COMPUTED_VALUE"""),"Comment on Williamson et al. (OpenSAFELY): The Table 2 Fallacy in a Study of COVID-19 Mortality Risk Factors.")</f>
        <v>Comment on Williamson et al. (OpenSAFELY): The Table 2 Fallacy in a Study of COVID-19 Mortality Risk Factors.</v>
      </c>
      <c r="D136" s="31" t="str">
        <f>IFERROR(__xludf.DUMMYFUNCTION("""COMPUTED_VALUE"""),"Westreich, Daniel; Edwards, Jessie K; van Smeden, Maarten")</f>
        <v>Westreich, Daniel; Edwards, Jessie K; van Smeden, Maarten</v>
      </c>
      <c r="E136" s="32">
        <f>IFERROR(__xludf.DUMMYFUNCTION("""COMPUTED_VALUE"""),44197.0)</f>
        <v>44197</v>
      </c>
      <c r="F136" s="31">
        <f>IFERROR(__xludf.DUMMYFUNCTION("""COMPUTED_VALUE"""),17.0)</f>
        <v>17</v>
      </c>
    </row>
    <row r="137">
      <c r="C137" s="31" t="str">
        <f>IFERROR(__xludf.DUMMYFUNCTION("""COMPUTED_VALUE"""),"Systematic evaluation and external validation of 22 prognostic models among hospitalised adults with COVID-19: an observational cohort study.")</f>
        <v>Systematic evaluation and external validation of 22 prognostic models among hospitalised adults with COVID-19: an observational cohort study.</v>
      </c>
      <c r="D137" s="31" t="str">
        <f>IFERROR(__xludf.DUMMYFUNCTION("""COMPUTED_VALUE"""),"Gupta, Rishi K; Marks, Michael; Samuels, Thomas H A; Luintel, Akish; Rampling, Tommy; Chowdhury, Humayra; Quartagno, Matteo; Nair, Arjun; Lipman, Marc; Abubakar, Ibrahim; van Smeden, Maarten; Wong, Wai Keong; Williams, Bryan; Noursadeghi, Mahdad; ,")</f>
        <v>Gupta, Rishi K; Marks, Michael; Samuels, Thomas H A; Luintel, Akish; Rampling, Tommy; Chowdhury, Humayra; Quartagno, Matteo; Nair, Arjun; Lipman, Marc; Abubakar, Ibrahim; van Smeden, Maarten; Wong, Wai Keong; Williams, Bryan; Noursadeghi, Mahdad; ,</v>
      </c>
      <c r="E137" s="32">
        <f>IFERROR(__xludf.DUMMYFUNCTION("""COMPUTED_VALUE"""),44189.0)</f>
        <v>44189</v>
      </c>
      <c r="F137" s="31">
        <f>IFERROR(__xludf.DUMMYFUNCTION("""COMPUTED_VALUE"""),130.0)</f>
        <v>130</v>
      </c>
    </row>
    <row r="138">
      <c r="C138" s="31"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D138" s="31"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E138" s="32">
        <f>IFERROR(__xludf.DUMMYFUNCTION("""COMPUTED_VALUE"""),44166.0)</f>
        <v>44166</v>
      </c>
      <c r="F138" s="31">
        <f>IFERROR(__xludf.DUMMYFUNCTION("""COMPUTED_VALUE"""),40.0)</f>
        <v>40</v>
      </c>
    </row>
    <row r="139">
      <c r="C139" s="31" t="str">
        <f>IFERROR(__xludf.DUMMYFUNCTION("""COMPUTED_VALUE"""),"A Workflow for Missing Values Imputation of Untargeted Metabolomics Data.")</f>
        <v>A Workflow for Missing Values Imputation of Untargeted Metabolomics Data.</v>
      </c>
      <c r="D139" s="31" t="str">
        <f>IFERROR(__xludf.DUMMYFUNCTION("""COMPUTED_VALUE"""),"Faquih, Tariq; van Smeden, Maarten; Luo, Jiao; le Cessie, Saskia; Kastenmüller, Gabi; Krumsiek, Jan; Noordam, Raymond; van Heemst, Diana; Rosendaal, Frits R; van Hylckama Vlieg, Astrid; Willems van Dijk, Ko; Mook-Kanamori, Dennis O")</f>
        <v>Faquih, Tariq; van Smeden, Maarten; Luo, Jiao; le Cessie, Saskia; Kastenmüller, Gabi; Krumsiek, Jan; Noordam, Raymond; van Heemst, Diana; Rosendaal, Frits R; van Hylckama Vlieg, Astrid; Willems van Dijk, Ko; Mook-Kanamori, Dennis O</v>
      </c>
      <c r="E139" s="32">
        <f>IFERROR(__xludf.DUMMYFUNCTION("""COMPUTED_VALUE"""),44161.0)</f>
        <v>44161</v>
      </c>
      <c r="F139" s="31">
        <f>IFERROR(__xludf.DUMMYFUNCTION("""COMPUTED_VALUE"""),21.0)</f>
        <v>21</v>
      </c>
    </row>
    <row r="140">
      <c r="C140" s="31" t="str">
        <f>IFERROR(__xludf.DUMMYFUNCTION("""COMPUTED_VALUE"""),"Cardiac complications in patients hospitalised with COVID-19.")</f>
        <v>Cardiac complications in patients hospitalised with COVID-19.</v>
      </c>
      <c r="D140" s="31" t="str">
        <f>IFERROR(__xludf.DUMMYFUNCTION("""COMPUTED_VALUE"""),"Linschoten, Marijke; Peters, Sanne; van Smeden, Maarten; Jewbali, Lucia S; Schaap, Jeroen; Siebelink, Hans-Marc; Smits, Peter C; Tieleman, Robert G; van der Harst, Pim; van Gilst, Wiek H; Asselbergs, Folkert W; ,")</f>
        <v>Linschoten, Marijke; Peters, Sanne; van Smeden, Maarten; Jewbali, Lucia S; Schaap, Jeroen; Siebelink, Hans-Marc; Smits, Peter C; Tieleman, Robert G; van der Harst, Pim; van Gilst, Wiek H; Asselbergs, Folkert W; ,</v>
      </c>
      <c r="E140" s="32">
        <f>IFERROR(__xludf.DUMMYFUNCTION("""COMPUTED_VALUE"""),44156.0)</f>
        <v>44156</v>
      </c>
      <c r="F140" s="31">
        <f>IFERROR(__xludf.DUMMYFUNCTION("""COMPUTED_VALUE"""),108.0)</f>
        <v>108</v>
      </c>
    </row>
    <row r="141">
      <c r="C141" s="31"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D141" s="31"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E141" s="32">
        <f>IFERROR(__xludf.DUMMYFUNCTION("""COMPUTED_VALUE"""),44089.0)</f>
        <v>44089</v>
      </c>
      <c r="F141" s="31">
        <f>IFERROR(__xludf.DUMMYFUNCTION("""COMPUTED_VALUE"""),1.0)</f>
        <v>1</v>
      </c>
    </row>
    <row r="142">
      <c r="C142" s="31" t="str">
        <f>IFERROR(__xludf.DUMMYFUNCTION("""COMPUTED_VALUE"""),"COVID-19 prediction models should adhere to methodological and reporting standards.")</f>
        <v>COVID-19 prediction models should adhere to methodological and reporting standards.</v>
      </c>
      <c r="D142" s="31" t="str">
        <f>IFERROR(__xludf.DUMMYFUNCTION("""COMPUTED_VALUE"""),"Collins, Gary S; van Smeden, Maarten; Riley, Richard D")</f>
        <v>Collins, Gary S; van Smeden, Maarten; Riley, Richard D</v>
      </c>
      <c r="E142" s="32">
        <f>IFERROR(__xludf.DUMMYFUNCTION("""COMPUTED_VALUE"""),44084.0)</f>
        <v>44084</v>
      </c>
      <c r="F142" s="31">
        <f>IFERROR(__xludf.DUMMYFUNCTION("""COMPUTED_VALUE"""),16.0)</f>
        <v>16</v>
      </c>
    </row>
    <row r="143">
      <c r="C143" s="31" t="str">
        <f>IFERROR(__xludf.DUMMYFUNCTION("""COMPUTED_VALUE"""),"A cautionary note on the use of the missing indicator method for handling missing data in prediction research.")</f>
        <v>A cautionary note on the use of the missing indicator method for handling missing data in prediction research.</v>
      </c>
      <c r="D143" s="31" t="str">
        <f>IFERROR(__xludf.DUMMYFUNCTION("""COMPUTED_VALUE"""),"van Smeden, Maarten; Groenwold, Rolf H H; Moons, Karel Gm")</f>
        <v>van Smeden, Maarten; Groenwold, Rolf H H; Moons, Karel Gm</v>
      </c>
      <c r="E143" s="32">
        <f>IFERROR(__xludf.DUMMYFUNCTION("""COMPUTED_VALUE"""),44001.0)</f>
        <v>44001</v>
      </c>
      <c r="F143" s="31">
        <f>IFERROR(__xludf.DUMMYFUNCTION("""COMPUTED_VALUE"""),20.0)</f>
        <v>20</v>
      </c>
    </row>
    <row r="144">
      <c r="C144" s="31" t="str">
        <f>IFERROR(__xludf.DUMMYFUNCTION("""COMPUTED_VALUE"""),"Prediction models for diagnosis and prognosis of covid-19: systematic review and critical appraisal.")</f>
        <v>Prediction models for diagnosis and prognosis of covid-19: systematic review and critical appraisal.</v>
      </c>
      <c r="D144" s="31" t="str">
        <f>IFERROR(__xludf.DUMMYFUNCTION("""COMPUTED_VALUE"""),"Wynants, Laure; Van Calster, Ben; Collins, Gary S; Riley, Richard D; Heinze, Georg; Schuit, Ewoud; Bonten, Marc M J; Dahly, Darren L; Damen, Johanna A A; Debray, Thomas P A; de Jong, Valentijn M T; De Vos, Maarten; Dhiman, Paul; Haller, Maria C; Harhay, M"&amp;"ichael O; Henckaerts, Liesbet; Heus, Pauline; Kammer, Michael; Kreuzberger, Nina; Lohmann, Anna; Luijken, Kim; Ma, Jie; Martin, Glen P; McLernon, David J; Andaur Navarro, Constanza L; Reitsma, Johannes B; Sergeant, Jamie C; Shi, Chunhu; Skoetz, Nicole; Sm"&amp;"its, Luc J M; Snell, Kym I E; Sperrin, Matthew; Spijker, René; Steyerberg, Ewout W; Takada, Toshihiko; Tzoulaki, Ioanna; van Kuijk, Sander M J; van Bussel, Bas; van der Horst, Iwan C C; van Royen, Florien S; Verbakel, Jan Y; Wallisch, Christine; Wilkinson"&amp;", Jack; Wolff, Robert; Hooft, Lotty; Moons, Karel G M; van Smeden, Maarten")</f>
        <v>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v>
      </c>
      <c r="E144" s="32">
        <f>IFERROR(__xludf.DUMMYFUNCTION("""COMPUTED_VALUE"""),43928.0)</f>
        <v>43928</v>
      </c>
      <c r="F144" s="31">
        <f>IFERROR(__xludf.DUMMYFUNCTION("""COMPUTED_VALUE"""),1744.0)</f>
        <v>1744</v>
      </c>
    </row>
    <row r="145">
      <c r="C145" s="31" t="str">
        <f>IFERROR(__xludf.DUMMYFUNCTION("""COMPUTED_VALUE"""),"Calculating the sample size required for developing a clinical prediction model.")</f>
        <v>Calculating the sample size required for developing a clinical prediction model.</v>
      </c>
      <c r="D145" s="31" t="str">
        <f>IFERROR(__xludf.DUMMYFUNCTION("""COMPUTED_VALUE"""),"Riley, Richard D; Ensor, Joie; Snell, Kym I E; Harrell, Frank E; Martin, Glen P; Reitsma, Johannes B; Moons, Karel G M; Collins, Gary; van Smeden, Maarten")</f>
        <v>Riley, Richard D; Ensor, Joie; Snell, Kym I E; Harrell, Frank E; Martin, Glen P; Reitsma, Johannes B; Moons, Karel G M; Collins, Gary; van Smeden, Maarten</v>
      </c>
      <c r="E145" s="32">
        <f>IFERROR(__xludf.DUMMYFUNCTION("""COMPUTED_VALUE"""),43908.0)</f>
        <v>43908</v>
      </c>
      <c r="F145" s="31">
        <f>IFERROR(__xludf.DUMMYFUNCTION("""COMPUTED_VALUE"""),795.0)</f>
        <v>795</v>
      </c>
    </row>
    <row r="146">
      <c r="C146" s="31" t="str">
        <f>IFERROR(__xludf.DUMMYFUNCTION("""COMPUTED_VALUE"""),"Forcing dichotomous disease classification from reference standards leads to bias in diagnostic accuracy estimates: A simulation study.")</f>
        <v>Forcing dichotomous disease classification from reference standards leads to bias in diagnostic accuracy estimates: A simulation study.</v>
      </c>
      <c r="D146" s="31" t="str">
        <f>IFERROR(__xludf.DUMMYFUNCTION("""COMPUTED_VALUE"""),"Jenniskens, Kevin; Naaktgeboren, Christiana A; Reitsma, Johannes B; Hooft, Lotty; Moons, Karel G M; van Smeden, Maarten")</f>
        <v>Jenniskens, Kevin; Naaktgeboren, Christiana A; Reitsma, Johannes B; Hooft, Lotty; Moons, Karel G M; van Smeden, Maarten</v>
      </c>
      <c r="E146" s="32">
        <f>IFERROR(__xludf.DUMMYFUNCTION("""COMPUTED_VALUE"""),43544.0)</f>
        <v>43544</v>
      </c>
      <c r="F146" s="31">
        <f>IFERROR(__xludf.DUMMYFUNCTION("""COMPUTED_VALUE"""),7.0)</f>
        <v>7</v>
      </c>
    </row>
    <row r="147">
      <c r="C147" s="31" t="str">
        <f>IFERROR(__xludf.DUMMYFUNCTION("""COMPUTED_VALUE"""),"Sample size considerations and predictive performance of multinomial logistic prediction models.")</f>
        <v>Sample size considerations and predictive performance of multinomial logistic prediction models.</v>
      </c>
      <c r="D147" s="31" t="str">
        <f>IFERROR(__xludf.DUMMYFUNCTION("""COMPUTED_VALUE"""),"de Jong, Valentijn M T; Eijkemans, Marinus J C; van Calster, Ben; Timmerman, Dirk; Moons, Karel G M; Steyerberg, Ewout W; van Smeden, Maarten")</f>
        <v>de Jong, Valentijn M T; Eijkemans, Marinus J C; van Calster, Ben; Timmerman, Dirk; Moons, Karel G M; Steyerberg, Ewout W; van Smeden, Maarten</v>
      </c>
      <c r="E147" s="32">
        <f>IFERROR(__xludf.DUMMYFUNCTION("""COMPUTED_VALUE"""),43471.0)</f>
        <v>43471</v>
      </c>
      <c r="F147" s="31">
        <f>IFERROR(__xludf.DUMMYFUNCTION("""COMPUTED_VALUE"""),64.0)</f>
        <v>64</v>
      </c>
    </row>
    <row r="148">
      <c r="C148" s="31" t="str">
        <f>IFERROR(__xludf.DUMMYFUNCTION("""COMPUTED_VALUE"""),"Adjustment for unmeasured confounding through informative priors for the confounder-outcome relation.")</f>
        <v>Adjustment for unmeasured confounding through informative priors for the confounder-outcome relation.</v>
      </c>
      <c r="D148" s="31" t="str">
        <f>IFERROR(__xludf.DUMMYFUNCTION("""COMPUTED_VALUE"""),"Groenwold, Rolf H H; Shofty, Inbal; Miočević, Milica; van Smeden, Maarten; Klugkist, Irene")</f>
        <v>Groenwold, Rolf H H; Shofty, Inbal; Miočević, Milica; van Smeden, Maarten; Klugkist, Irene</v>
      </c>
      <c r="E148" s="32">
        <f>IFERROR(__xludf.DUMMYFUNCTION("""COMPUTED_VALUE"""),43456.0)</f>
        <v>43456</v>
      </c>
      <c r="F148" s="31">
        <f>IFERROR(__xludf.DUMMYFUNCTION("""COMPUTED_VALUE"""),2.0)</f>
        <v>2</v>
      </c>
    </row>
    <row r="149">
      <c r="C149" s="31" t="str">
        <f>IFERROR(__xludf.DUMMYFUNCTION("""COMPUTED_VALUE"""),"Sample size for binary logistic prediction models: Beyond events per variable criteria.")</f>
        <v>Sample size for binary logistic prediction models: Beyond events per variable criteria.</v>
      </c>
      <c r="D149" s="31" t="str">
        <f>IFERROR(__xludf.DUMMYFUNCTION("""COMPUTED_VALUE"""),"van Smeden, Maarten; Moons, Karel Gm; de Groot, Joris Ah; Collins, Gary S; Altman, Douglas G; Eijkemans, Marinus Jc; Reitsma, Johannes B")</f>
        <v>van Smeden, Maarten; Moons, Karel Gm; de Groot, Joris Ah; Collins, Gary S; Altman, Douglas G; Eijkemans, Marinus Jc; Reitsma, Johannes B</v>
      </c>
      <c r="E149" s="32">
        <f>IFERROR(__xludf.DUMMYFUNCTION("""COMPUTED_VALUE"""),43284.0)</f>
        <v>43284</v>
      </c>
      <c r="F149" s="31">
        <f>IFERROR(__xludf.DUMMYFUNCTION("""COMPUTED_VALUE"""),278.0)</f>
        <v>278</v>
      </c>
    </row>
    <row r="150">
      <c r="C150" s="31" t="str">
        <f>IFERROR(__xludf.DUMMYFUNCTION("""COMPUTED_VALUE"""),"Challenges in measuring interprofessional-interorganisational collaboration with a questionnaire.")</f>
        <v>Challenges in measuring interprofessional-interorganisational collaboration with a questionnaire.</v>
      </c>
      <c r="D150" s="31" t="str">
        <f>IFERROR(__xludf.DUMMYFUNCTION("""COMPUTED_VALUE"""),"Meijer, Loes J; de Groot, Esther; van Smeden, Maarten; Schellevis, François G; Damoiseaux, Roger Amj")</f>
        <v>Meijer, Loes J; de Groot, Esther; van Smeden, Maarten; Schellevis, François G; Damoiseaux, Roger Amj</v>
      </c>
      <c r="E150" s="32">
        <f>IFERROR(__xludf.DUMMYFUNCTION("""COMPUTED_VALUE"""),43211.0)</f>
        <v>43211</v>
      </c>
      <c r="F150" s="31">
        <f>IFERROR(__xludf.DUMMYFUNCTION("""COMPUTED_VALUE"""),6.0)</f>
        <v>6</v>
      </c>
    </row>
    <row r="151">
      <c r="C151" s="31" t="str">
        <f>IFERROR(__xludf.DUMMYFUNCTION("""COMPUTED_VALUE"""),"Measurement error is often neglected in medical literature: a systematic review.")</f>
        <v>Measurement error is often neglected in medical literature: a systematic review.</v>
      </c>
      <c r="D151" s="31" t="str">
        <f>IFERROR(__xludf.DUMMYFUNCTION("""COMPUTED_VALUE"""),"Brakenhoff, Timo B; Mitroiu, Marian; Keogh, Ruth H; Moons, Karel G M; Groenwold, Rolf H H; van Smeden, Maarten")</f>
        <v>Brakenhoff, Timo B; Mitroiu, Marian; Keogh, Ruth H; Moons, Karel G M; Groenwold, Rolf H H; van Smeden, Maarten</v>
      </c>
      <c r="E151" s="32">
        <f>IFERROR(__xludf.DUMMYFUNCTION("""COMPUTED_VALUE"""),43165.0)</f>
        <v>43165</v>
      </c>
      <c r="F151" s="31">
        <f>IFERROR(__xludf.DUMMYFUNCTION("""COMPUTED_VALUE"""),68.0)</f>
        <v>68</v>
      </c>
    </row>
    <row r="152">
      <c r="C152" s="31" t="str">
        <f>IFERROR(__xludf.DUMMYFUNCTION("""COMPUTED_VALUE"""),"Towards an appropriate framework to facilitate responsible inclusion of pregnant women in drug development programs.")</f>
        <v>Towards an appropriate framework to facilitate responsible inclusion of pregnant women in drug development programs.</v>
      </c>
      <c r="D152" s="31" t="str">
        <f>IFERROR(__xludf.DUMMYFUNCTION("""COMPUTED_VALUE"""),"Roes, Kit C B; van der Zande, Indira S E; van Smeden, Maarten; van der Graaf, Rieke")</f>
        <v>Roes, Kit C B; van der Zande, Indira S E; van Smeden, Maarten; van der Graaf, Rieke</v>
      </c>
      <c r="E152" s="32">
        <f>IFERROR(__xludf.DUMMYFUNCTION("""COMPUTED_VALUE"""),43151.0)</f>
        <v>43151</v>
      </c>
      <c r="F152" s="31">
        <f>IFERROR(__xludf.DUMMYFUNCTION("""COMPUTED_VALUE"""),8.0)</f>
        <v>8</v>
      </c>
    </row>
    <row r="153">
      <c r="C153" s="31" t="str">
        <f>IFERROR(__xludf.DUMMYFUNCTION("""COMPUTED_VALUE"""),"Random measurement error: Why worry? An example of cardiovascular risk factors.")</f>
        <v>Random measurement error: Why worry? An example of cardiovascular risk factors.</v>
      </c>
      <c r="D153" s="31" t="str">
        <f>IFERROR(__xludf.DUMMYFUNCTION("""COMPUTED_VALUE"""),"Brakenhoff, Timo B; van Smeden, Maarten; Visseren, Frank L J; Groenwold, Rolf H H")</f>
        <v>Brakenhoff, Timo B; van Smeden, Maarten; Visseren, Frank L J; Groenwold, Rolf H H</v>
      </c>
      <c r="E153" s="32">
        <f>IFERROR(__xludf.DUMMYFUNCTION("""COMPUTED_VALUE"""),43140.0)</f>
        <v>43140</v>
      </c>
      <c r="F153" s="31">
        <f>IFERROR(__xludf.DUMMYFUNCTION("""COMPUTED_VALUE"""),40.0)</f>
        <v>40</v>
      </c>
    </row>
    <row r="154">
      <c r="C154" s="31" t="str">
        <f>IFERROR(__xludf.DUMMYFUNCTION("""COMPUTED_VALUE"""),"Concerns about composite reference standards in diagnostic research.")</f>
        <v>Concerns about composite reference standards in diagnostic research.</v>
      </c>
      <c r="D154" s="31" t="str">
        <f>IFERROR(__xludf.DUMMYFUNCTION("""COMPUTED_VALUE"""),"Dendukuri, Nandini; Schiller, Ian; de Groot, Joris; Libman, Michael; Moons, Karel; Reitsma, Johannes; van Smeden, Maarten")</f>
        <v>Dendukuri, Nandini; Schiller, Ian; de Groot, Joris; Libman, Michael; Moons, Karel; Reitsma, Johannes; van Smeden, Maarten</v>
      </c>
      <c r="E154" s="32">
        <f>IFERROR(__xludf.DUMMYFUNCTION("""COMPUTED_VALUE"""),43118.0)</f>
        <v>43118</v>
      </c>
      <c r="F154" s="31">
        <f>IFERROR(__xludf.DUMMYFUNCTION("""COMPUTED_VALUE"""),23.0)</f>
        <v>23</v>
      </c>
    </row>
    <row r="155">
      <c r="C155" s="31" t="str">
        <f>IFERROR(__xludf.DUMMYFUNCTION("""COMPUTED_VALUE"""),"Event rate net reclassification index and the integrated discrimination improvement for studying incremental value of risk markers.")</f>
        <v>Event rate net reclassification index and the integrated discrimination improvement for studying incremental value of risk markers.</v>
      </c>
      <c r="D155" s="31" t="str">
        <f>IFERROR(__xludf.DUMMYFUNCTION("""COMPUTED_VALUE"""),"van Smeden, Maarten; Moons, Karel G M")</f>
        <v>van Smeden, Maarten; Moons, Karel G M</v>
      </c>
      <c r="E155" s="32">
        <f>IFERROR(__xludf.DUMMYFUNCTION("""COMPUTED_VALUE"""),43079.0)</f>
        <v>43079</v>
      </c>
      <c r="F155" s="31">
        <f>IFERROR(__xludf.DUMMYFUNCTION("""COMPUTED_VALUE"""),9.0)</f>
        <v>9</v>
      </c>
    </row>
    <row r="156">
      <c r="C156" s="31" t="str">
        <f>IFERROR(__xludf.DUMMYFUNCTION("""COMPUTED_VALUE"""),"Efficient Sampling in Unmatched Case-Control Studies When the Total Number of Cases and Controls Is Fixed.")</f>
        <v>Efficient Sampling in Unmatched Case-Control Studies When the Total Number of Cases and Controls Is Fixed.</v>
      </c>
      <c r="D156" s="31" t="str">
        <f>IFERROR(__xludf.DUMMYFUNCTION("""COMPUTED_VALUE"""),"Groenwold, Rolf H H; van Smeden, Maarten")</f>
        <v>Groenwold, Rolf H H; van Smeden, Maarten</v>
      </c>
      <c r="E156" s="32">
        <f>IFERROR(__xludf.DUMMYFUNCTION("""COMPUTED_VALUE"""),43040.0)</f>
        <v>43040</v>
      </c>
      <c r="F156" s="31">
        <f>IFERROR(__xludf.DUMMYFUNCTION("""COMPUTED_VALUE"""),7.0)</f>
        <v>7</v>
      </c>
    </row>
    <row r="157">
      <c r="C157" s="31" t="str">
        <f>IFERROR(__xludf.DUMMYFUNCTION("""COMPUTED_VALUE"""),"Series: Pragmatic trials and real world evidence: Paper 6. Outcome measures in the real world.")</f>
        <v>Series: Pragmatic trials and real world evidence: Paper 6. Outcome measures in the real world.</v>
      </c>
      <c r="D157" s="31"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E157" s="32">
        <f>IFERROR(__xludf.DUMMYFUNCTION("""COMPUTED_VALUE"""),42866.0)</f>
        <v>42866</v>
      </c>
      <c r="F157" s="31">
        <f>IFERROR(__xludf.DUMMYFUNCTION("""COMPUTED_VALUE"""),31.0)</f>
        <v>31</v>
      </c>
    </row>
    <row r="158">
      <c r="C158" s="31"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D158" s="31" t="str">
        <f>IFERROR(__xludf.DUMMYFUNCTION("""COMPUTED_VALUE"""),"Ockhuijsen, Henrietta D L; van Smeden, Maarten; van den Hoogen, Agnes; Boivin, Jacky")</f>
        <v>Ockhuijsen, Henrietta D L; van Smeden, Maarten; van den Hoogen, Agnes; Boivin, Jacky</v>
      </c>
      <c r="E158" s="32">
        <f>IFERROR(__xludf.DUMMYFUNCTION("""COMPUTED_VALUE"""),42865.0)</f>
        <v>42865</v>
      </c>
      <c r="F158" s="31">
        <f>IFERROR(__xludf.DUMMYFUNCTION("""COMPUTED_VALUE"""),16.0)</f>
        <v>16</v>
      </c>
    </row>
    <row r="159">
      <c r="C159" s="31" t="str">
        <f>IFERROR(__xludf.DUMMYFUNCTION("""COMPUTED_VALUE"""),"No rationale for 1 variable per 10 events criterion for binary logistic regression analysis.")</f>
        <v>No rationale for 1 variable per 10 events criterion for binary logistic regression analysis.</v>
      </c>
      <c r="D159" s="31" t="str">
        <f>IFERROR(__xludf.DUMMYFUNCTION("""COMPUTED_VALUE"""),"van Smeden, Maarten; de Groot, Joris A H; Moons, Karel G M; Collins, Gary S; Altman, Douglas G; Eijkemans, Marinus J C; Reitsma, Johannes B")</f>
        <v>van Smeden, Maarten; de Groot, Joris A H; Moons, Karel G M; Collins, Gary S; Altman, Douglas G; Eijkemans, Marinus J C; Reitsma, Johannes B</v>
      </c>
      <c r="E159" s="32">
        <f>IFERROR(__xludf.DUMMYFUNCTION("""COMPUTED_VALUE"""),42698.0)</f>
        <v>42698</v>
      </c>
      <c r="F159" s="31">
        <f>IFERROR(__xludf.DUMMYFUNCTION("""COMPUTED_VALUE"""),254.0)</f>
        <v>254</v>
      </c>
    </row>
    <row r="160">
      <c r="C160" s="31" t="str">
        <f>IFERROR(__xludf.DUMMYFUNCTION("""COMPUTED_VALUE"""),"Response to the commentary on ""A nomogram was developed to enhance the use of multinomial logistic regression modelling in diagnostic research"".")</f>
        <v>Response to the commentary on "A nomogram was developed to enhance the use of multinomial logistic regression modelling in diagnostic research".</v>
      </c>
      <c r="D160" s="31" t="str">
        <f>IFERROR(__xludf.DUMMYFUNCTION("""COMPUTED_VALUE"""),"Reitsma, Johannes B; van Smeden, Maarten; de Groot, Joris A H; Bertens, Loes C M; Moons, Karel G M")</f>
        <v>Reitsma, Johannes B; van Smeden, Maarten; de Groot, Joris A H; Bertens, Loes C M; Moons, Karel G M</v>
      </c>
      <c r="E160" s="32">
        <f>IFERROR(__xludf.DUMMYFUNCTION("""COMPUTED_VALUE"""),42459.0)</f>
        <v>42459</v>
      </c>
      <c r="F160" s="31">
        <f>IFERROR(__xludf.DUMMYFUNCTION("""COMPUTED_VALUE"""),1.0)</f>
        <v>1</v>
      </c>
    </row>
    <row r="161">
      <c r="C161" s="31" t="str">
        <f>IFERROR(__xludf.DUMMYFUNCTION("""COMPUTED_VALUE"""),"Problems in detecting misfit of latent class models in diagnostic research without a gold standard were shown.")</f>
        <v>Problems in detecting misfit of latent class models in diagnostic research without a gold standard were shown.</v>
      </c>
      <c r="D161" s="31" t="str">
        <f>IFERROR(__xludf.DUMMYFUNCTION("""COMPUTED_VALUE"""),"van Smeden, Maarten; Oberski, Daniel L; Reitsma, Johannes B; Vermunt, Jeroen K; Moons, Karel G M; de Groot, Joris A H")</f>
        <v>van Smeden, Maarten; Oberski, Daniel L; Reitsma, Johannes B; Vermunt, Jeroen K; Moons, Karel G M; de Groot, Joris A H</v>
      </c>
      <c r="E161" s="32">
        <f>IFERROR(__xludf.DUMMYFUNCTION("""COMPUTED_VALUE"""),42333.0)</f>
        <v>42333</v>
      </c>
      <c r="F161" s="31">
        <f>IFERROR(__xludf.DUMMYFUNCTION("""COMPUTED_VALUE"""),3.0)</f>
        <v>3</v>
      </c>
    </row>
    <row r="162">
      <c r="C162" s="31" t="str">
        <f>IFERROR(__xludf.DUMMYFUNCTION("""COMPUTED_VALUE"""),"Bias due to composite reference standards in diagnostic accuracy studies.")</f>
        <v>Bias due to composite reference standards in diagnostic accuracy studies.</v>
      </c>
      <c r="D162" s="31" t="str">
        <f>IFERROR(__xludf.DUMMYFUNCTION("""COMPUTED_VALUE"""),"Schiller, Ian; van Smeden, Maarten; Hadgu, Alula; Libman, Michael; Reitsma, Johannes B; Dendukuri, Nandini")</f>
        <v>Schiller, Ian; van Smeden, Maarten; Hadgu, Alula; Libman, Michael; Reitsma, Johannes B; Dendukuri, Nandini</v>
      </c>
      <c r="E162" s="32">
        <f>IFERROR(__xludf.DUMMYFUNCTION("""COMPUTED_VALUE"""),42318.0)</f>
        <v>42318</v>
      </c>
      <c r="F162" s="31">
        <f>IFERROR(__xludf.DUMMYFUNCTION("""COMPUTED_VALUE"""),40.0)</f>
        <v>40</v>
      </c>
    </row>
    <row r="163">
      <c r="C163" s="31" t="str">
        <f>IFERROR(__xludf.DUMMYFUNCTION("""COMPUTED_VALUE"""),"Value of composite reference standards in diagnostic research.")</f>
        <v>Value of composite reference standards in diagnostic research.</v>
      </c>
      <c r="D163" s="31" t="str">
        <f>IFERROR(__xludf.DUMMYFUNCTION("""COMPUTED_VALUE"""),"Naaktgeboren, Christiana A; Bertens, Loes C M; van Smeden, Maarten; de Groot, Joris A H; Moons, Karel G M; Reitsma, Johannes B")</f>
        <v>Naaktgeboren, Christiana A; Bertens, Loes C M; van Smeden, Maarten; de Groot, Joris A H; Moons, Karel G M; Reitsma, Johannes B</v>
      </c>
      <c r="E163" s="32">
        <f>IFERROR(__xludf.DUMMYFUNCTION("""COMPUTED_VALUE"""),41572.0)</f>
        <v>41572</v>
      </c>
      <c r="F163" s="31">
        <f>IFERROR(__xludf.DUMMYFUNCTION("""COMPUTED_VALUE"""),68.0)</f>
        <v>68</v>
      </c>
    </row>
    <row r="164">
      <c r="C164" s="31" t="str">
        <f>IFERROR(__xludf.DUMMYFUNCTION("""COMPUTED_VALUE"""),"Evaluating diagnostic accuracy in the face of multiple reference standards.")</f>
        <v>Evaluating diagnostic accuracy in the face of multiple reference standards.</v>
      </c>
      <c r="D164" s="31" t="str">
        <f>IFERROR(__xludf.DUMMYFUNCTION("""COMPUTED_VALUE"""),"Naaktgeboren, Christiana A; de Groot, Joris A H; van Smeden, Maarten; Moons, Karel G M; Reitsma, Johannes B")</f>
        <v>Naaktgeboren, Christiana A; de Groot, Joris A H; van Smeden, Maarten; Moons, Karel G M; Reitsma, Johannes B</v>
      </c>
      <c r="E164" s="32">
        <f>IFERROR(__xludf.DUMMYFUNCTION("""COMPUTED_VALUE"""),41492.0)</f>
        <v>41492</v>
      </c>
      <c r="F164" s="31">
        <f>IFERROR(__xludf.DUMMYFUNCTION("""COMPUTED_VALUE"""),29.0)</f>
        <v>29</v>
      </c>
    </row>
  </sheetData>
  <mergeCells count="3">
    <mergeCell ref="B14:G14"/>
    <mergeCell ref="B22:G22"/>
    <mergeCell ref="B30:G3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5.88"/>
    <col customWidth="1" min="9" max="9" width="33.63"/>
    <col customWidth="1" min="11" max="11" width="24.63"/>
    <col customWidth="1" min="14" max="20" width="42.88"/>
    <col customWidth="1" min="29" max="29" width="18.0"/>
  </cols>
  <sheetData>
    <row r="1">
      <c r="A1" s="33" t="s">
        <v>26013</v>
      </c>
      <c r="I1" s="34"/>
      <c r="J1" s="34"/>
      <c r="K1" s="34"/>
      <c r="L1" s="34"/>
      <c r="Q1" s="1"/>
      <c r="R1" s="1"/>
      <c r="S1" s="1"/>
      <c r="T1" s="1"/>
      <c r="U1" s="1"/>
      <c r="AA1" s="34"/>
      <c r="AB1" s="34"/>
      <c r="AC1" s="34" t="s">
        <v>26014</v>
      </c>
    </row>
    <row r="2">
      <c r="A2" s="33" t="s">
        <v>26015</v>
      </c>
      <c r="B2" s="35" t="s">
        <v>45</v>
      </c>
      <c r="C2" s="35" t="s">
        <v>16</v>
      </c>
      <c r="D2" s="35" t="s">
        <v>68</v>
      </c>
      <c r="E2" s="35" t="s">
        <v>28</v>
      </c>
      <c r="F2" s="35" t="s">
        <v>26016</v>
      </c>
      <c r="I2" s="34" t="s">
        <v>26017</v>
      </c>
      <c r="N2" s="34" t="s">
        <v>26018</v>
      </c>
      <c r="O2" s="1" t="s">
        <v>45</v>
      </c>
      <c r="P2" s="1" t="s">
        <v>16</v>
      </c>
      <c r="Q2" s="1" t="s">
        <v>68</v>
      </c>
      <c r="R2" s="1" t="s">
        <v>28</v>
      </c>
      <c r="S2" s="1" t="s">
        <v>26016</v>
      </c>
      <c r="T2" s="34" t="s">
        <v>26019</v>
      </c>
      <c r="X2" s="34" t="s">
        <v>26005</v>
      </c>
      <c r="AB2" s="34"/>
      <c r="AC2" s="34" t="s">
        <v>45</v>
      </c>
      <c r="AF2" s="34" t="s">
        <v>16</v>
      </c>
      <c r="AI2" s="34" t="s">
        <v>68</v>
      </c>
      <c r="AL2" s="34" t="s">
        <v>28</v>
      </c>
    </row>
    <row r="3">
      <c r="A3" s="35"/>
      <c r="B3" s="36"/>
      <c r="C3" s="36"/>
      <c r="D3" s="36"/>
      <c r="E3" s="36"/>
      <c r="F3" s="37"/>
      <c r="I3" s="31" t="str">
        <f>IFERROR(__xludf.DUMMYFUNCTION("UNIQUE(Data!F2:F9917)"),"bmc medicine")</f>
        <v>bmc medicine</v>
      </c>
      <c r="J3" s="38">
        <f>COUNTIF(Data!$F$2:$F9917, $I3)</f>
        <v>46</v>
      </c>
      <c r="K3" s="31" t="str">
        <f>IFERROR(__xludf.DUMMYFUNCTION("QUERY(I3:J9917, ""select I, J where J &gt; 30 order by J desc"", 0)"),"plos one")</f>
        <v>plos one</v>
      </c>
      <c r="L3" s="31">
        <f>IFERROR(__xludf.DUMMYFUNCTION("""COMPUTED_VALUE"""),212.0)</f>
        <v>212</v>
      </c>
      <c r="N3" s="31" t="str">
        <f t="shared" ref="N3:N20" si="1">K3</f>
        <v>plos one</v>
      </c>
      <c r="O3" s="30">
        <f t="array" ref="O3">SUM(--(ISNUMBER(SEARCH(O$2, Data!$K:$K)) * (Data!$F:$F = $N3)))
</f>
        <v>39</v>
      </c>
      <c r="P3" s="30">
        <f t="array" ref="P3">SUM(--(ISNUMBER(SEARCH(P$2, Data!$K:$K)) * (Data!$F:$F = $N3)))
</f>
        <v>130</v>
      </c>
      <c r="Q3" s="30">
        <f t="array" ref="Q3">SUM(--(ISNUMBER(SEARCH(Q$2, Data!$K:$K)) * (Data!$F:$F = $N3)))
</f>
        <v>82</v>
      </c>
      <c r="R3" s="30">
        <f t="array" ref="R3">SUM(--(ISNUMBER(SEARCH(R$2, Data!$K:$K)) * (Data!$F:$F = $N3)))
</f>
        <v>132</v>
      </c>
      <c r="S3" s="30">
        <f t="shared" ref="S3:S20" si="2">L3</f>
        <v>212</v>
      </c>
      <c r="T3" s="31" t="str">
        <f t="array" ref="T3:V9420">SORT({Data!A2:B9917,Data!D2:D9917}, 3, FALSE)</f>
        <v>Acute Respiratory Infections Fuel Cardiovascular Disease.</v>
      </c>
      <c r="U3" s="31" t="s">
        <v>25090</v>
      </c>
      <c r="V3" s="32">
        <v>45643.0</v>
      </c>
      <c r="X3" s="39" t="str">
        <f>IFERROR(__xludf.DUMMYFUNCTION("SORT(FILTER({Data!A2:C9917,Data!H2:H9917}, Data!C2:C9917 &gt; (YEAR(TODAY()) - 3)), 4, FALSE)
"),"Effect of Hemodiafiltration or Hemodialysis on Mortality in Kidney Failure.")</f>
        <v>Effect of Hemodiafiltration or Hemodialysis on Mortality in Kidney Failure.</v>
      </c>
      <c r="Y3" s="31" t="str">
        <f>IFERROR(__xludf.DUMMYFUNCTION("""COMPUTED_VALUE"""),"Blankestijn, Peter J; Vernooij, Robin W M; Hockham, Carinna; Strippoli, Giovanni F M; Canaud, Bernard; Hegbrant, Jörgen; Barth, Claudia; Covic, Adrian; Cromm, Krister; Cucui, Andrea; Davenport, Andrew; Rose, Matthias; Török, Marietta; Woodward, Mark; Bots"&amp;", Michiel L; ,")</f>
        <v>Blankestijn, Peter J; Vernooij, Robin W M; Hockham, Carinna; Strippoli, Giovanni F M; Canaud, Bernard; Hegbrant, Jörgen; Barth, Claudia; Covic, Adrian; Cromm, Krister; Cucui, Andrea; Davenport, Andrew; Rose, Matthias; Török, Marietta; Woodward, Mark; Bots, Michiel L; ,</v>
      </c>
      <c r="Z3" s="31">
        <f>IFERROR(__xludf.DUMMYFUNCTION("""COMPUTED_VALUE"""),2023.0)</f>
        <v>2023</v>
      </c>
      <c r="AA3" s="40">
        <f>IFERROR(__xludf.DUMMYFUNCTION("""COMPUTED_VALUE"""),57.0)</f>
        <v>57</v>
      </c>
      <c r="AB3" s="30"/>
      <c r="AC3" s="30" t="str">
        <f>IFERROR(__xludf.DUMMYFUNCTION("SORT(FILTER({Data!A2:B9917, Data!D2:D9917}, Data!K2:K9917 = AC$2), 3, FALSE)"),"Real-World Evidence BRIDGE: A Tool to Connect Protocol With Code Programming.")</f>
        <v>Real-World Evidence BRIDGE: A Tool to Connect Protocol With Code Programming.</v>
      </c>
      <c r="AD3" s="31" t="str">
        <f>IFERROR(__xludf.DUMMYFUNCTION("""COMPUTED_VALUE"""),"Royo, Albert Cid; Elbers Jhj, Roel; Weibel, Daniel; Hoxhaj, Vjola; Kurkcuoglu, Zeynep; Sturkenboom, Miriam C J; Vaz, Tiago A; Andaur Navarro, Constanza L")</f>
        <v>Royo, Albert Cid; Elbers Jhj, Roel; Weibel, Daniel; Hoxhaj, Vjola; Kurkcuoglu, Zeynep; Sturkenboom, Miriam C J; Vaz, Tiago A; Andaur Navarro, Constanza L</v>
      </c>
      <c r="AE3" s="32">
        <f>IFERROR(__xludf.DUMMYFUNCTION("""COMPUTED_VALUE"""),45627.0)</f>
        <v>45627</v>
      </c>
      <c r="AF3" s="39" t="str">
        <f>IFERROR(__xludf.DUMMYFUNCTION("SORT(FILTER({Data!A2:B9917, Data!D2:D9917}, Data!K2:K9917 = AF$2), 3, FALSE)"),"Examining causal relationships between educational attainment and type 2 diabetes using genetic analysis: findings from the EPIC-InterAct study through Mendelian randomisation.")</f>
        <v>Examining causal relationships between educational attainment and type 2 diabetes using genetic analysis: findings from the EPIC-InterAct study through Mendelian randomisation.</v>
      </c>
      <c r="AG3" s="31" t="str">
        <f>IFERROR(__xludf.DUMMYFUNCTION("""COMPUTED_VALUE"""),"Macciotta, Alessandra; Sacerdote, Carlotta; Giachino, Claudia; Di Girolamo, Chiara; Franco, Matteo; van der Schouw, Yvonne T; Zamora-Ros, Raul; Weiderpass, Elisabete; Domenighetti, Cloé; Elbaz, Alexis; Truong, Thérèse; Agnoli, Claudia; Bendinelli, Benedet"&amp;"ta; Panico, Salvatore; Vineis, Paolo; Christakoudi, Sofia; Schulze, Matthias B; Katzke, Verena; Bajracharya, Rashmita; Dahm, Christina C; Dalton, Susanne Oksbjerg; Colorado-Yohar, Sandra M; Moreno-Iribas, Conchi; Etxezarreta, Pilar Amiano; Sanchez, María "&amp;"José; Forouhi, Nita G; Wareham, Nicholas; Ricceri, Fulvio")</f>
        <v>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v>
      </c>
      <c r="AH3" s="32">
        <f>IFERROR(__xludf.DUMMYFUNCTION("""COMPUTED_VALUE"""),45636.0)</f>
        <v>45636</v>
      </c>
      <c r="AI3" s="39" t="str">
        <f>IFERROR(__xludf.DUMMYFUNCTION("SORT(FILTER({Data!A2:B9917, Data!D2:D9917}, Data!K2:K9917 = AI$2), 3, FALSE)"),"Corrigendum to ""Antihypertensive medication classes and risk of incident dementia in primary care patients: a longitudinal cohort study in the Netherlands"" [The Lancet Regional Health-Europe, Volume 42, July 2024, 100927].")</f>
        <v>Corrigendum to "Antihypertensive medication classes and risk of incident dementia in primary care patients: a longitudinal cohort study in the Netherlands" [The Lancet Regional Health-Europe, Volume 42, July 2024, 100927].</v>
      </c>
      <c r="AJ3" s="41"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AK3" s="42">
        <f>IFERROR(__xludf.DUMMYFUNCTION("""COMPUTED_VALUE"""),45612.0)</f>
        <v>45612</v>
      </c>
      <c r="AL3" s="39" t="str">
        <f>IFERROR(__xludf.DUMMYFUNCTION("SORT(FILTER({Data!A2:B9917, Data!D2:D9917}, Data!K2:K9917 = AL$2), 3, FALSE)"),"A unified framework for diagnostic test development and evaluation during outbreaks of emerging infections.")</f>
        <v>A unified framework for diagnostic test development and evaluation during outbreaks of emerging infections.</v>
      </c>
      <c r="AM3" s="31" t="str">
        <f>IFERROR(__xludf.DUMMYFUNCTION("""COMPUTED_VALUE"""),"Chaturvedi, Madhav; Köster, Denise; Bossuyt, Patrick M; Gerke, Oke; Jurke, Annette; Kretzschmar, Mirjam E; Lütgehetmann, Marc; Mikolajczyk, Rafael; Reitsma, Johannes B; Schneiderhan-Marra, Nicole; Siebert, Uwe; Stekly, Carina; Ehret, Christoph; Rübsamen, "&amp;"Nicole; Karch, André; Zapf, Antonia")</f>
        <v>Chaturvedi, Madhav; Köster, Denise; Bossuyt, Patrick M; Gerke, Oke; Jurke, Annette; Kretzschmar, Mirjam E; Lütgehetmann, Marc; Mikolajczyk, Rafael; Reitsma, Johannes B; Schneiderhan-Marra, Nicole; Siebert, Uwe; Stekly, Carina; Ehret, Christoph; Rübsamen, Nicole; Karch, André; Zapf, Antonia</v>
      </c>
      <c r="AN3" s="32">
        <f>IFERROR(__xludf.DUMMYFUNCTION("""COMPUTED_VALUE"""),45636.0)</f>
        <v>45636</v>
      </c>
    </row>
    <row r="4">
      <c r="A4" s="35"/>
      <c r="B4" s="36"/>
      <c r="C4" s="36"/>
      <c r="D4" s="36"/>
      <c r="E4" s="36"/>
      <c r="F4" s="37"/>
      <c r="I4" s="31" t="str">
        <f>IFERROR(__xludf.DUMMYFUNCTION("""COMPUTED_VALUE"""),"annals of oncology official journal of the european society for medical oncology")</f>
        <v>annals of oncology official journal of the european society for medical oncology</v>
      </c>
      <c r="J4" s="38">
        <f>COUNTIF(Data!$F$2:$F9917, $I4)</f>
        <v>12</v>
      </c>
      <c r="K4" s="31" t="str">
        <f>IFERROR(__xludf.DUMMYFUNCTION("""COMPUTED_VALUE"""),"the european physical journal c particles and fields")</f>
        <v>the european physical journal c particles and fields</v>
      </c>
      <c r="L4" s="31">
        <f>IFERROR(__xludf.DUMMYFUNCTION("""COMPUTED_VALUE"""),150.0)</f>
        <v>150</v>
      </c>
      <c r="N4" s="31" t="str">
        <f t="shared" si="1"/>
        <v>the european physical journal c particles and fields</v>
      </c>
      <c r="O4" s="30">
        <f t="array" ref="O4">SUM(--(ISNUMBER(SEARCH(O$2, Data!$K:$K)) * (Data!$F:$F = $N4)))
</f>
        <v>0</v>
      </c>
      <c r="P4" s="30">
        <f t="array" ref="P4">SUM(--(ISNUMBER(SEARCH(P$2, Data!$K:$K)) * (Data!$F:$F = $N4)))
</f>
        <v>150</v>
      </c>
      <c r="Q4" s="30">
        <f t="array" ref="Q4">SUM(--(ISNUMBER(SEARCH(Q$2, Data!$K:$K)) * (Data!$F:$F = $N4)))
</f>
        <v>0</v>
      </c>
      <c r="R4" s="30">
        <f t="array" ref="R4">SUM(--(ISNUMBER(SEARCH(R$2, Data!$K:$K)) * (Data!$F:$F = $N4)))
</f>
        <v>136</v>
      </c>
      <c r="S4" s="30">
        <f t="shared" si="2"/>
        <v>150</v>
      </c>
      <c r="T4" s="31" t="s">
        <v>24800</v>
      </c>
      <c r="U4" s="31" t="s">
        <v>24801</v>
      </c>
      <c r="V4" s="32">
        <v>45636.0</v>
      </c>
      <c r="X4" s="31" t="str">
        <f>IFERROR(__xludf.DUMMYFUNCTION("""COMPUTED_VALUE"""),"There is no such thing as a validated prediction model.")</f>
        <v>There is no such thing as a validated prediction model.</v>
      </c>
      <c r="Y4" s="31" t="str">
        <f>IFERROR(__xludf.DUMMYFUNCTION("""COMPUTED_VALUE"""),"Van Calster, Ben; Steyerberg, Ewout W; Wynants, Laure; van Smeden, Maarten")</f>
        <v>Van Calster, Ben; Steyerberg, Ewout W; Wynants, Laure; van Smeden, Maarten</v>
      </c>
      <c r="Z4" s="31">
        <f>IFERROR(__xludf.DUMMYFUNCTION("""COMPUTED_VALUE"""),2023.0)</f>
        <v>2023</v>
      </c>
      <c r="AA4" s="31">
        <f>IFERROR(__xludf.DUMMYFUNCTION("""COMPUTED_VALUE"""),48.0)</f>
        <v>48</v>
      </c>
      <c r="AC4" s="31" t="str">
        <f>IFERROR(__xludf.DUMMYFUNCTION("""COMPUTED_VALUE"""),"Keeping pace in the age of innovation: The perspective of Dutch pharmaceutical science students on the position of machine learning training in an undergraduate curriculum.")</f>
        <v>Keeping pace in the age of innovation: The perspective of Dutch pharmaceutical science students on the position of machine learning training in an undergraduate curriculum.</v>
      </c>
      <c r="AD4" s="31" t="str">
        <f>IFERROR(__xludf.DUMMYFUNCTION("""COMPUTED_VALUE"""),"Kidwai, S; Rojas-Velazquez, D; Lopez-Rincon, A; Kraneveld, A D; Oberski, D L; Meijerman, I")</f>
        <v>Kidwai, S; Rojas-Velazquez, D; Lopez-Rincon, A; Kraneveld, A D; Oberski, D L; Meijerman, I</v>
      </c>
      <c r="AE4" s="32">
        <f>IFERROR(__xludf.DUMMYFUNCTION("""COMPUTED_VALUE"""),45611.0)</f>
        <v>45611</v>
      </c>
      <c r="AF4" s="31" t="str">
        <f>IFERROR(__xludf.DUMMYFUNCTION("""COMPUTED_VALUE"""),"Green space visits among Turkish and South Asian Surinamese women with a high cardiometabolic risk living in disadvantaged neighborhoods in the Netherlands: motives, means and prerequisites.")</f>
        <v>Green space visits among Turkish and South Asian Surinamese women with a high cardiometabolic risk living in disadvantaged neighborhoods in the Netherlands: motives, means and prerequisites.</v>
      </c>
      <c r="AG4" s="31" t="str">
        <f>IFERROR(__xludf.DUMMYFUNCTION("""COMPUTED_VALUE"""),"van den Brekel, Lieke; Voogdt-Pruis, Helene R; Wispelweij, Lian; Jawalapershad, Laxmie; Narain, Soerinder; Klipstein-Grobusch, Kerstin; Grobbee, Diederick E; Lenters, Virissa; Mackenbach, Joreintje D; Vaartjes, Ilonca")</f>
        <v>van den Brekel, Lieke; Voogdt-Pruis, Helene R; Wispelweij, Lian; Jawalapershad, Laxmie; Narain, Soerinder; Klipstein-Grobusch, Kerstin; Grobbee, Diederick E; Lenters, Virissa; Mackenbach, Joreintje D; Vaartjes, Ilonca</v>
      </c>
      <c r="AH4" s="32">
        <f>IFERROR(__xludf.DUMMYFUNCTION("""COMPUTED_VALUE"""),45628.0)</f>
        <v>45628</v>
      </c>
      <c r="AI4" s="31" t="str">
        <f>IFERROR(__xludf.DUMMYFUNCTION("""COMPUTED_VALUE"""),"General practice utilisation by Australian cancer patients in the last year of life.")</f>
        <v>General practice utilisation by Australian cancer patients in the last year of life.</v>
      </c>
      <c r="AJ4" s="31" t="str">
        <f>IFERROR(__xludf.DUMMYFUNCTION("""COMPUTED_VALUE"""),"Grant, Matthew P; McCarthy, Damien; Kearney, Chris; Collins, Anna; Sundararajan, Vijaya; Rhee, Joel J; Philip, Jennifer A M; Emery, Jon D")</f>
        <v>Grant, Matthew P; McCarthy, Damien; Kearney, Chris; Collins, Anna; Sundararajan, Vijaya; Rhee, Joel J; Philip, Jennifer A M; Emery, Jon D</v>
      </c>
      <c r="AK4" s="32">
        <f>IFERROR(__xludf.DUMMYFUNCTION("""COMPUTED_VALUE"""),45608.0)</f>
        <v>45608</v>
      </c>
      <c r="AL4" s="31" t="str">
        <f>IFERROR(__xludf.DUMMYFUNCTION("""COMPUTED_VALUE"""),"Longitudinal assessment of immunoglobulin response and disease progression in critically ill patients with community acquired pneumonia.")</f>
        <v>Longitudinal assessment of immunoglobulin response and disease progression in critically ill patients with community acquired pneumonia.</v>
      </c>
      <c r="AM4" s="31" t="str">
        <f>IFERROR(__xludf.DUMMYFUNCTION("""COMPUTED_VALUE"""),"Rademaker, Emma; Vernooij, Lisette M; van der Poll, Tom; Bonten, Marc J M; Leavis, Helen; Cremer, Olaf L; Derde, Lennie P G")</f>
        <v>Rademaker, Emma; Vernooij, Lisette M; van der Poll, Tom; Bonten, Marc J M; Leavis, Helen; Cremer, Olaf L; Derde, Lennie P G</v>
      </c>
      <c r="AN4" s="32">
        <f>IFERROR(__xludf.DUMMYFUNCTION("""COMPUTED_VALUE"""),45631.0)</f>
        <v>45631</v>
      </c>
    </row>
    <row r="5">
      <c r="A5" s="35"/>
      <c r="B5" s="36"/>
      <c r="C5" s="36"/>
      <c r="D5" s="36"/>
      <c r="E5" s="36"/>
      <c r="F5" s="37"/>
      <c r="I5" s="31" t="str">
        <f>IFERROR(__xludf.DUMMYFUNCTION("""COMPUTED_VALUE"""),"american journal of epidemiology")</f>
        <v>american journal of epidemiology</v>
      </c>
      <c r="J5" s="38">
        <f>COUNTIF(Data!$F$2:$F9917, $I5)</f>
        <v>21</v>
      </c>
      <c r="K5" s="31" t="str">
        <f>IFERROR(__xludf.DUMMYFUNCTION("""COMPUTED_VALUE"""),"bmj open")</f>
        <v>bmj open</v>
      </c>
      <c r="L5" s="31">
        <f>IFERROR(__xludf.DUMMYFUNCTION("""COMPUTED_VALUE"""),147.0)</f>
        <v>147</v>
      </c>
      <c r="N5" s="31" t="str">
        <f t="shared" si="1"/>
        <v>bmj open</v>
      </c>
      <c r="O5" s="30">
        <f t="array" ref="O5">SUM(--(ISNUMBER(SEARCH(O$2, Data!$K:$K)) * (Data!$F:$F = $N5)))
</f>
        <v>27</v>
      </c>
      <c r="P5" s="30">
        <f t="array" ref="P5">SUM(--(ISNUMBER(SEARCH(P$2, Data!$K:$K)) * (Data!$F:$F = $N5)))
</f>
        <v>73</v>
      </c>
      <c r="Q5" s="30">
        <f t="array" ref="Q5">SUM(--(ISNUMBER(SEARCH(Q$2, Data!$K:$K)) * (Data!$F:$F = $N5)))
</f>
        <v>85</v>
      </c>
      <c r="R5" s="30">
        <f t="array" ref="R5">SUM(--(ISNUMBER(SEARCH(R$2, Data!$K:$K)) * (Data!$F:$F = $N5)))
</f>
        <v>100</v>
      </c>
      <c r="S5" s="30">
        <f t="shared" si="2"/>
        <v>147</v>
      </c>
      <c r="T5" s="31" t="s">
        <v>25076</v>
      </c>
      <c r="U5" s="31" t="s">
        <v>25077</v>
      </c>
      <c r="V5" s="32">
        <v>45636.0</v>
      </c>
      <c r="X5" s="31" t="str">
        <f>IFERROR(__xludf.DUMMYFUNCTION("""COMPUTED_VALUE"""),"Randomized Trial of BCG Vaccine to Protect against Covid-19 in Health Care Workers.")</f>
        <v>Randomized Trial of BCG Vaccine to Protect against Covid-19 in Health Care Workers.</v>
      </c>
      <c r="Y5" s="31" t="str">
        <f>IFERROR(__xludf.DUMMYFUNCTION("""COMPUTED_VALUE"""),"Pittet, Laure F; Messina, Nicole L; Orsini, Francesca; Moore, Cecilia L; Abruzzo, Veronica; Barry, Simone; Bonnici, Rhian; Bonten, Marc; Campbell, John; Croda, Julio; Dalcolmo, Margareth; Gardiner, Kaya; Gell, Grace; Germano, Susie; Gomes-Silva, Adriano; "&amp;"Goodall, Casey; Gwee, Amanda; Jamieson, Tenaya; Jardim, Bruno; Kollmann, Tobias R; Lacerda, Marcus V G; Lee, Katherine J; Lucas, Michaela; Lynn, David J; Manning, Laurens; Marshall, Helen S; McDonald, Ellie; Munns, Craig F; Nicholson, Suellen; O'Connell, "&amp;"Abby; de Oliveira, Roberto D; Perlen, Susan; Perrett, Kirsten P; Prat-Aymerich, Cristina; Richmond, Peter C; Rodriguez-Baño, Jesus; Dos Santos, Glauce; da Silva, Patricia V; Teo, Jia Wei; Villanueva, Paola; Warris, Adilia; Wood, Nicholas J; Davidson, Andr"&amp;"ew; Curtis, Nigel; ,")</f>
        <v>Pittet, Laure F; Messina, Nicole L; Orsini, Francesca; Moore, Cecilia L; Abruzzo, Veronica; Barry, Simone; Bonnici, Rhian; Bonten, Marc; Campbell, John; Croda, Julio; Dalcolmo, Margareth; Gardiner, Kaya; Gell, Grace; Germano, Susie; Gomes-Silva, Adriano; Goodall, Casey; Gwee, Amanda; Jamieson, Tenaya; Jardim, Bruno; Kollmann, Tobias R; Lacerda, Marcus V G; Lee, Katherine J; Lucas, Michaela; Lynn, David J; Manning, Laurens; Marshall, Helen S; McDonald, Ellie; Munns, Craig F; Nicholson, Suellen; O'Connell, Abby; de Oliveira, Roberto D; Perlen, Susan; Perrett, Kirsten P; Prat-Aymerich, Cristina; Richmond, Peter C; Rodriguez-Baño, Jesus; Dos Santos, Glauce; da Silva, Patricia V; Teo, Jia Wei; Villanueva, Paola; Warris, Adilia; Wood, Nicholas J; Davidson, Andrew; Curtis, Nigel; ,</v>
      </c>
      <c r="Z5" s="31">
        <f>IFERROR(__xludf.DUMMYFUNCTION("""COMPUTED_VALUE"""),2023.0)</f>
        <v>2023</v>
      </c>
      <c r="AA5" s="31">
        <f>IFERROR(__xludf.DUMMYFUNCTION("""COMPUTED_VALUE"""),42.0)</f>
        <v>42</v>
      </c>
      <c r="AC5" s="31"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AD5" s="31" t="str">
        <f>IFERROR(__xludf.DUMMYFUNCTION("""COMPUTED_VALUE"""),"Fox, Matthew P; Adrien, Nedghie; van Smeden, Maarten; Suarez, Elizabeth")</f>
        <v>Fox, Matthew P; Adrien, Nedghie; van Smeden, Maarten; Suarez, Elizabeth</v>
      </c>
      <c r="AE5" s="32">
        <f>IFERROR(__xludf.DUMMYFUNCTION("""COMPUTED_VALUE"""),45600.0)</f>
        <v>45600</v>
      </c>
      <c r="AF5" s="31" t="str">
        <f>IFERROR(__xludf.DUMMYFUNCTION("""COMPUTED_VALUE"""),"Perception and experience of HIV-induced stigma among people with HIV seeking healthcare in Ghana.")</f>
        <v>Perception and experience of HIV-induced stigma among people with HIV seeking healthcare in Ghana.</v>
      </c>
      <c r="AG5" s="31" t="str">
        <f>IFERROR(__xludf.DUMMYFUNCTION("""COMPUTED_VALUE"""),"Mohammed, Aliyu; Cheabu, Benjamin Spears Ngmekpele; Amoah-Larbi, Jerry; Osei, Francis Adjei; Benyah, Georgina; Asampong, Robert; Odoom, Samuel Frimpong; Owusu, Eugene Acheampong; Amanor, Ernest; Idan, Jacob Solomon; Opoku, Douglas Aninng; Boakye, Kingsley"&amp;"; Yeboah, Peter")</f>
        <v>Mohammed, Aliyu; Cheabu, Benjamin Spears Ngmekpele; Amoah-Larbi, Jerry; Osei, Francis Adjei; Benyah, Georgina; Asampong, Robert; Odoom, Samuel Frimpong; Owusu, Eugene Acheampong; Amanor, Ernest; Idan, Jacob Solomon; Opoku, Douglas Aninng; Boakye, Kingsley; Yeboah, Peter</v>
      </c>
      <c r="AH5" s="32">
        <f>IFERROR(__xludf.DUMMYFUNCTION("""COMPUTED_VALUE"""),45618.0)</f>
        <v>45618</v>
      </c>
      <c r="AI5" s="31" t="str">
        <f>IFERROR(__xludf.DUMMYFUNCTION("""COMPUTED_VALUE"""),"Knowledge, attitudes and practices around urinary tract infections of general practitioners in the Netherlands: a cross-sectional internet survey.")</f>
        <v>Knowledge, attitudes and practices around urinary tract infections of general practitioners in the Netherlands: a cross-sectional internet survey.</v>
      </c>
      <c r="AJ5" s="31" t="str">
        <f>IFERROR(__xludf.DUMMYFUNCTION("""COMPUTED_VALUE"""),"Cox, Stefan Martinus Leonardus; Giorgi, Wesley; Platteel, Tamara N; Cals, Jochen W L; de Bont, Eefje G P M")</f>
        <v>Cox, Stefan Martinus Leonardus; Giorgi, Wesley; Platteel, Tamara N; Cals, Jochen W L; de Bont, Eefje G P M</v>
      </c>
      <c r="AK5" s="32">
        <f>IFERROR(__xludf.DUMMYFUNCTION("""COMPUTED_VALUE"""),45591.0)</f>
        <v>45591</v>
      </c>
      <c r="AL5" s="31" t="str">
        <f>IFERROR(__xludf.DUMMYFUNCTION("""COMPUTED_VALUE"""),"Pembrolizumab Versus chemotherapy in microsatellite instability-high or mismatch repair-deficient metastatic colorectal cancer: 5-year follow-up from the randomized phase 3 KEYNOTE-177 study.")</f>
        <v>Pembrolizumab Versus chemotherapy in microsatellite instability-high or mismatch repair-deficient metastatic colorectal cancer: 5-year follow-up from the randomized phase 3 KEYNOTE-177 study.</v>
      </c>
      <c r="AM5" s="31" t="str">
        <f>IFERROR(__xludf.DUMMYFUNCTION("""COMPUTED_VALUE"""),"André, T; Shiu, K-K; Kim, T W; Jensen, B V; Jensen, L H; Punt, C J A; Smith, D; Garcia-Carbonero, R; Alcaide-Garcia, J; Gibbs, P; Fouchardiere, C de la; Rivera, F; Elez, E; Le, D T; Yoshino, T; Zuo, Y; Fogelman, D; Adelberg, D; Diaz, L A")</f>
        <v>André, T; Shiu, K-K; Kim, T W; Jensen, B V; Jensen, L H; Punt, C J A; Smith, D; Garcia-Carbonero, R; Alcaide-Garcia, J; Gibbs, P; Fouchardiere, C de la; Rivera, F; Elez, E; Le, D T; Yoshino, T; Zuo, Y; Fogelman, D; Adelberg, D; Diaz, L A</v>
      </c>
      <c r="AN5" s="32">
        <f>IFERROR(__xludf.DUMMYFUNCTION("""COMPUTED_VALUE"""),45628.0)</f>
        <v>45628</v>
      </c>
    </row>
    <row r="6">
      <c r="A6" s="35"/>
      <c r="B6" s="36"/>
      <c r="C6" s="36"/>
      <c r="D6" s="36"/>
      <c r="E6" s="36"/>
      <c r="F6" s="37"/>
      <c r="I6" s="31" t="str">
        <f>IFERROR(__xludf.DUMMYFUNCTION("""COMPUTED_VALUE"""),"neurology")</f>
        <v>neurology</v>
      </c>
      <c r="J6" s="38">
        <f>COUNTIF(Data!$F$2:$F9917, $I6)</f>
        <v>43</v>
      </c>
      <c r="K6" s="31" t="str">
        <f>IFERROR(__xludf.DUMMYFUNCTION("""COMPUTED_VALUE"""),"journal of clinical epidemiology")</f>
        <v>journal of clinical epidemiology</v>
      </c>
      <c r="L6" s="31">
        <f>IFERROR(__xludf.DUMMYFUNCTION("""COMPUTED_VALUE"""),130.0)</f>
        <v>130</v>
      </c>
      <c r="N6" s="31" t="str">
        <f t="shared" si="1"/>
        <v>journal of clinical epidemiology</v>
      </c>
      <c r="O6" s="30">
        <f t="array" ref="O6">SUM(--(ISNUMBER(SEARCH(O$2, Data!$K:$K)) * (Data!$F:$F = $N6)))
</f>
        <v>37</v>
      </c>
      <c r="P6" s="30">
        <f t="array" ref="P6">SUM(--(ISNUMBER(SEARCH(P$2, Data!$K:$K)) * (Data!$F:$F = $N6)))
</f>
        <v>60</v>
      </c>
      <c r="Q6" s="30">
        <f t="array" ref="Q6">SUM(--(ISNUMBER(SEARCH(Q$2, Data!$K:$K)) * (Data!$F:$F = $N6)))
</f>
        <v>44</v>
      </c>
      <c r="R6" s="30">
        <f t="array" ref="R6">SUM(--(ISNUMBER(SEARCH(R$2, Data!$K:$K)) * (Data!$F:$F = $N6)))
</f>
        <v>101</v>
      </c>
      <c r="S6" s="30">
        <f t="shared" si="2"/>
        <v>130</v>
      </c>
      <c r="T6" s="31" t="s">
        <v>25456</v>
      </c>
      <c r="U6" s="31" t="s">
        <v>25457</v>
      </c>
      <c r="V6" s="32">
        <v>45636.0</v>
      </c>
      <c r="X6" s="31" t="str">
        <f>IFERROR(__xludf.DUMMYFUNCTION("""COMPUTED_VALUE"""),"PRISMA AI reporting guidelines for systematic reviews and meta-analyses on AI in healthcare.")</f>
        <v>PRISMA AI reporting guidelines for systematic reviews and meta-analyses on AI in healthcare.</v>
      </c>
      <c r="Y6" s="31" t="str">
        <f>IFERROR(__xludf.DUMMYFUNCTION("""COMPUTED_VALUE"""),"Cacciamani, Giovanni E; Chu, Timothy N; Sanford, Daniel I; Abreu, Andre; Duddalwar, Vinay; Oberai, Assad; Kuo, C-C Jay; Liu, Xiaoxuan; Denniston, Alastair K; Vasey, Baptiste; McCulloch, Peter; Wolff, Robert F; Mallett, Sue; Mongan, John; Kahn, Charles E; "&amp;"Sounderajah, Viknesh; Darzi, Ara; Dahm, Philipp; Moons, Karel G M; Topol, Eric; Collins, Gary S; Moher, David; Gill, Inderbir S; Hung, Andrew J")</f>
        <v>Cacciamani, Giovanni E; Chu, Timothy N; Sanford, Daniel I; Abreu, Andre; Duddalwar, Vinay; Oberai, Assad; Kuo, C-C Jay; Liu, Xiaoxuan; Denniston, Alastair K; Vasey, Baptiste; McCulloch, Peter; Wolff, Robert F; Mallett, Sue; Mongan, John; Kahn, Charles E; Sounderajah, Viknesh; Darzi, Ara; Dahm, Philipp; Moons, Karel G M; Topol, Eric; Collins, Gary S; Moher, David; Gill, Inderbir S; Hung, Andrew J</v>
      </c>
      <c r="Z6" s="31">
        <f>IFERROR(__xludf.DUMMYFUNCTION("""COMPUTED_VALUE"""),2023.0)</f>
        <v>2023</v>
      </c>
      <c r="AA6" s="31">
        <f>IFERROR(__xludf.DUMMYFUNCTION("""COMPUTED_VALUE"""),26.0)</f>
        <v>26</v>
      </c>
      <c r="AC6" s="31" t="str">
        <f>IFERROR(__xludf.DUMMYFUNCTION("""COMPUTED_VALUE"""),"Effectiveness of Omega-3 Fatty Acids Versus Placebo in Subjects at Ultra-High Risk for Psychosis: The PURPOSE Randomized Clinical Trial.")</f>
        <v>Effectiveness of Omega-3 Fatty Acids Versus Placebo in Subjects at Ultra-High Risk for Psychosis: The PURPOSE Randomized Clinical Trial.</v>
      </c>
      <c r="AD6" s="31" t="str">
        <f>IFERROR(__xludf.DUMMYFUNCTION("""COMPUTED_VALUE"""),"Winter-van Rossum, Inge; Slot, Margot I E; van Hell, Hendrika H; Bossong, Matthijs G; Berger, Gregor; Aschauer, Harald; Maat, Arija; Walitza, Susanne; Lavan, Orly; Baeza, Inmaculada; Dolz, Montserrat; Monducci, Elena; Fiori Nastro, Paolo; Kroken, Rune And"&amp;"reas; Lawrie, Stephen M; Díaz-Caneja, Covadonga Martinez; Renner, Tobias; Schlögelhofer, Monika; Scharinger, Christian; Spalletta, Gianfranco; Banaj, Nerisa; Otero, Soraya; Schipper, Maria; Kwakkel, Dorieke Brink-; ,; Kahn, Rene S")</f>
        <v>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v>
      </c>
      <c r="AE6" s="32">
        <f>IFERROR(__xludf.DUMMYFUNCTION("""COMPUTED_VALUE"""),45590.0)</f>
        <v>45590</v>
      </c>
      <c r="AF6" s="31" t="str">
        <f>IFERROR(__xludf.DUMMYFUNCTION("""COMPUTED_VALUE"""),"Federated learning as a smart tool for research on infectious diseases.")</f>
        <v>Federated learning as a smart tool for research on infectious diseases.</v>
      </c>
      <c r="AG6" s="31" t="str">
        <f>IFERROR(__xludf.DUMMYFUNCTION("""COMPUTED_VALUE"""),"Zwiers, Laura C; Grobbee, Diederick E; Uijl, Alicia; Ong, David S Y")</f>
        <v>Zwiers, Laura C; Grobbee, Diederick E; Uijl, Alicia; Ong, David S Y</v>
      </c>
      <c r="AH6" s="32">
        <f>IFERROR(__xludf.DUMMYFUNCTION("""COMPUTED_VALUE"""),45617.0)</f>
        <v>45617</v>
      </c>
      <c r="AI6" s="31" t="str">
        <f>IFERROR(__xludf.DUMMYFUNCTION("""COMPUTED_VALUE"""),"Health care providers' perceptions of family participation in essential care in the intensive care unit: A qualitative study.")</f>
        <v>Health care providers' perceptions of family participation in essential care in the intensive care unit: A qualitative study.</v>
      </c>
      <c r="AJ6" s="31" t="str">
        <f>IFERROR(__xludf.DUMMYFUNCTION("""COMPUTED_VALUE"""),"Dijkstra, Boukje M; Schoonhoven, Lisette; Felten-Barentsz, Karin M; van der Valk, Margriet J M; van der Hoeven, Johannes G; Vloet, Lilian C M")</f>
        <v>Dijkstra, Boukje M; Schoonhoven, Lisette; Felten-Barentsz, Karin M; van der Valk, Margriet J M; van der Hoeven, Johannes G; Vloet, Lilian C M</v>
      </c>
      <c r="AK6" s="32">
        <f>IFERROR(__xludf.DUMMYFUNCTION("""COMPUTED_VALUE"""),45586.0)</f>
        <v>45586</v>
      </c>
      <c r="AL6" s="31" t="str">
        <f>IFERROR(__xludf.DUMMYFUNCTION("""COMPUTED_VALUE"""),"Reporting Guidelines for the Early-Phase Clinical Evaluation of Applications Using Extended Reality: RATE-XR Qualitative Study Guideline.")</f>
        <v>Reporting Guidelines for the Early-Phase Clinical Evaluation of Applications Using Extended Reality: RATE-XR Qualitative Study Guideline.</v>
      </c>
      <c r="AM6" s="31" t="str">
        <f>IFERROR(__xludf.DUMMYFUNCTION("""COMPUTED_VALUE"""),"Vlake, Johan H; Drop, Denzel L Q; Van Bommel, Jasper; Riva, Giuseppe; Wiederhold, Brenda K; Cipresso, Pietro; Rizzo, Albert S; Rothbaum, Barbara O; Botella, Cristina; Hooft, Lotty; Bienvenu, Oscar J; Jung, Christian; Geerts, Bart; Wils, Evert-Jan; Gommers"&amp;", Diederik; van Genderen, Michel E; ,")</f>
        <v>Vlake, Johan H; Drop, Denzel L Q; Van Bommel, Jasper; Riva, Giuseppe; Wiederhold, Brenda K; Cipresso, Pietro; Rizzo, Albert S; Rothbaum, Barbara O; Botella, Cristina; Hooft, Lotty; Bienvenu, Oscar J; Jung, Christian; Geerts, Bart; Wils, Evert-Jan; Gommers, Diederik; van Genderen, Michel E; ,</v>
      </c>
      <c r="AN6" s="32">
        <f>IFERROR(__xludf.DUMMYFUNCTION("""COMPUTED_VALUE"""),45625.0)</f>
        <v>45625</v>
      </c>
    </row>
    <row r="7">
      <c r="A7" s="35"/>
      <c r="B7" s="36"/>
      <c r="C7" s="36"/>
      <c r="D7" s="36"/>
      <c r="E7" s="36"/>
      <c r="F7" s="37"/>
      <c r="I7" s="31" t="str">
        <f>IFERROR(__xludf.DUMMYFUNCTION("""COMPUTED_VALUE"""),"environmental science technology")</f>
        <v>environmental science technology</v>
      </c>
      <c r="J7" s="38">
        <f>COUNTIF(Data!$F$2:$F9917, $I7)</f>
        <v>5</v>
      </c>
      <c r="K7" s="31" t="str">
        <f>IFERROR(__xludf.DUMMYFUNCTION("""COMPUTED_VALUE"""),"nederlands tijdschrift voor geneeskunde")</f>
        <v>nederlands tijdschrift voor geneeskunde</v>
      </c>
      <c r="L7" s="31">
        <f>IFERROR(__xludf.DUMMYFUNCTION("""COMPUTED_VALUE"""),110.0)</f>
        <v>110</v>
      </c>
      <c r="N7" s="31" t="str">
        <f t="shared" si="1"/>
        <v>nederlands tijdschrift voor geneeskunde</v>
      </c>
      <c r="O7" s="30">
        <f t="array" ref="O7">SUM(--(ISNUMBER(SEARCH(O$2, Data!$K:$K)) * (Data!$F:$F = $N7)))
</f>
        <v>4</v>
      </c>
      <c r="P7" s="30">
        <f t="array" ref="P7">SUM(--(ISNUMBER(SEARCH(P$2, Data!$K:$K)) * (Data!$F:$F = $N7)))
</f>
        <v>54</v>
      </c>
      <c r="Q7" s="30">
        <f t="array" ref="Q7">SUM(--(ISNUMBER(SEARCH(Q$2, Data!$K:$K)) * (Data!$F:$F = $N7)))
</f>
        <v>68</v>
      </c>
      <c r="R7" s="30">
        <f t="array" ref="R7">SUM(--(ISNUMBER(SEARCH(R$2, Data!$K:$K)) * (Data!$F:$F = $N7)))
</f>
        <v>48</v>
      </c>
      <c r="S7" s="30">
        <f t="shared" si="2"/>
        <v>110</v>
      </c>
      <c r="T7" s="31" t="s">
        <v>25794</v>
      </c>
      <c r="U7" s="31" t="s">
        <v>25795</v>
      </c>
      <c r="V7" s="32">
        <v>45636.0</v>
      </c>
      <c r="X7" s="31" t="str">
        <f>IFERROR(__xludf.DUMMYFUNCTION("""COMPUTED_VALUE"""),"Effectiveness of bivalent mRNA booster vaccination against SARS-CoV-2 Omicron infection, the Netherlands, September to December 2022.")</f>
        <v>Effectiveness of bivalent mRNA booster vaccination against SARS-CoV-2 Omicron infection, the Netherlands, September to December 2022.</v>
      </c>
      <c r="Y7" s="31" t="str">
        <f>IFERROR(__xludf.DUMMYFUNCTION("""COMPUTED_VALUE"""),"Huiberts, Anne J; de Gier, Brechje; Hoeve, Christina E; de Melker, Hester E; Hahné, Susan Jm; den Hartog, Gerco; van de Wijgert, Janneke Hhm; van den Hof, Susan; Knol, Mirjam J")</f>
        <v>Huiberts, Anne J; de Gier, Brechje; Hoeve, Christina E; de Melker, Hester E; Hahné, Susan Jm; den Hartog, Gerco; van de Wijgert, Janneke Hhm; van den Hof, Susan; Knol, Mirjam J</v>
      </c>
      <c r="Z7" s="31">
        <f>IFERROR(__xludf.DUMMYFUNCTION("""COMPUTED_VALUE"""),2023.0)</f>
        <v>2023</v>
      </c>
      <c r="AA7" s="31">
        <f>IFERROR(__xludf.DUMMYFUNCTION("""COMPUTED_VALUE"""),24.0)</f>
        <v>24</v>
      </c>
      <c r="AC7" s="31" t="str">
        <f>IFERROR(__xludf.DUMMYFUNCTION("""COMPUTED_VALUE"""),"PrimerX: A Bayesian Multistage Cohort Embedded Randomised Trial to Evaluate the Role of Deferred Local Therapy of the Primary Tumour in Combination with Immune Checkpoint Inhibitor-based First-line Therapy in Metastatic Renal Cell Carcinoma Patients.")</f>
        <v>PrimerX: A Bayesian Multistage Cohort Embedded Randomised Trial to Evaluate the Role of Deferred Local Therapy of the Primary Tumour in Combination with Immune Checkpoint Inhibitor-based First-line Therapy in Metastatic Renal Cell Carcinoma Patients.</v>
      </c>
      <c r="AD7" s="31" t="str">
        <f>IFERROR(__xludf.DUMMYFUNCTION("""COMPUTED_VALUE"""),"Figaroa, Orlane; Zondervan, Patricia; Kessels, Rob; Berkhof, Johannes; Aarts, Maureen; Hamberg, Paul; Los, Maartje; Piersma, Djura; Rikhof, Bart; Suelmann, Britt; Tascilar, Metin; van der Veldt, Astrid; Verhagen, Paul; Westgeest, Hans; Yildirim, Hilin; Be"&amp;"x, Axel; Bins, Adriaan")</f>
        <v>Figaroa, Orlane; Zondervan, Patricia; Kessels, Rob; Berkhof, Johannes; Aarts, Maureen; Hamberg, Paul; Los, Maartje; Piersma, Djura; Rikhof, Bart; Suelmann, Britt; Tascilar, Metin; van der Veldt, Astrid; Verhagen, Paul; Westgeest, Hans; Yildirim, Hilin; Bex, Axel; Bins, Adriaan</v>
      </c>
      <c r="AE7" s="32">
        <f>IFERROR(__xludf.DUMMYFUNCTION("""COMPUTED_VALUE"""),45579.0)</f>
        <v>45579</v>
      </c>
      <c r="AF7" s="31" t="str">
        <f>IFERROR(__xludf.DUMMYFUNCTION("""COMPUTED_VALUE"""),"The mediatory role of androgens on sex differences in glucose homeostasis and incidence of type 2 diabetes: the KORA study.")</f>
        <v>The mediatory role of androgens on sex differences in glucose homeostasis and incidence of type 2 diabetes: the KORA study.</v>
      </c>
      <c r="AG7" s="31" t="str">
        <f>IFERROR(__xludf.DUMMYFUNCTION("""COMPUTED_VALUE"""),"Raeisi-Dehkordi, Hamidreza; Thorand, Barbara; Beigrezaei, Sara; Peters, Annette; Rathman, Wolfgang; Adamski, Jerzy; Chatelan, Angeline; van der Schouw, Yvonne T; Franco, Oscar H; Muka, Taulant; Nano, Jana")</f>
        <v>Raeisi-Dehkordi, Hamidreza; Thorand, Barbara; Beigrezaei, Sara; Peters, Annette; Rathman, Wolfgang; Adamski, Jerzy; Chatelan, Angeline; van der Schouw, Yvonne T; Franco, Oscar H; Muka, Taulant; Nano, Jana</v>
      </c>
      <c r="AH7" s="32">
        <f>IFERROR(__xludf.DUMMYFUNCTION("""COMPUTED_VALUE"""),45611.0)</f>
        <v>45611</v>
      </c>
      <c r="AI7" s="31" t="str">
        <f>IFERROR(__xludf.DUMMYFUNCTION("""COMPUTED_VALUE"""),"Implementation of a tailored multifaceted antibiotic stewardship intervention to improve antibiotic prescribing for urinary tract infections in frail older adults (ImpresU) in four European countries: a process evaluation alongside a pragmatic cluster ran"&amp;"domized controlled trial.")</f>
        <v>Implementation of a tailored multifaceted antibiotic stewardship intervention to improve antibiotic prescribing for urinary tract infections in frail older adults (ImpresU) in four European countries: a process evaluation alongside a pragmatic cluster randomized controlled trial.</v>
      </c>
      <c r="AJ7" s="31" t="str">
        <f>IFERROR(__xludf.DUMMYFUNCTION("""COMPUTED_VALUE"""),"Hartman, Esther A R; Groen, Wim G; Heltveit-Olsen, Silje Rebekka; Lindbæk, Morten; Høye, Sigurd; Lithén, Sara Sofia; Sundvall, Pär-Daniel; Sundvall, Sofia; Snaebjörnsson Arnljots, Egill; Gunnarsson, Ronny; Kowalczyk, Anna; Godycki-Cwirko, Maciej; van de P"&amp;"ol, Alma C; Platteel, Tamara N; Monnier, Annelie A; Verheij, Theo J M; Hertogh, Cees M P M")</f>
        <v>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v>
      </c>
      <c r="AK7" s="32">
        <f>IFERROR(__xludf.DUMMYFUNCTION("""COMPUTED_VALUE"""),45583.0)</f>
        <v>45583</v>
      </c>
      <c r="AL7" s="31" t="str">
        <f>IFERROR(__xludf.DUMMYFUNCTION("""COMPUTED_VALUE"""),"Determinants of Citizens' Intention to Participate in Self-Led Contact Tracing: Cross-Sectional Online Questionnaire Study.")</f>
        <v>Determinants of Citizens' Intention to Participate in Self-Led Contact Tracing: Cross-Sectional Online Questionnaire Study.</v>
      </c>
      <c r="AM7" s="31" t="str">
        <f>IFERROR(__xludf.DUMMYFUNCTION("""COMPUTED_VALUE"""),"Helms, Yannick Bernd; van der Meer, Akke; Crutzen, Rik; Ferreira, José António; Kretzschmar, Mirjam E E; Timen, Aura; Hamdiui, Nora; Stein, Mart L")</f>
        <v>Helms, Yannick Bernd; van der Meer, Akke; Crutzen, Rik; Ferreira, José António; Kretzschmar, Mirjam E E; Timen, Aura; Hamdiui, Nora; Stein, Mart L</v>
      </c>
      <c r="AN7" s="32">
        <f>IFERROR(__xludf.DUMMYFUNCTION("""COMPUTED_VALUE"""),45595.0)</f>
        <v>45595</v>
      </c>
    </row>
    <row r="8">
      <c r="A8" s="35"/>
      <c r="B8" s="36"/>
      <c r="C8" s="36"/>
      <c r="D8" s="36"/>
      <c r="E8" s="36"/>
      <c r="F8" s="37"/>
      <c r="I8" s="31" t="str">
        <f>IFERROR(__xludf.DUMMYFUNCTION("""COMPUTED_VALUE"""),"journal of biomedical informatics")</f>
        <v>journal of biomedical informatics</v>
      </c>
      <c r="J8" s="38">
        <f>COUNTIF(Data!$F$2:$F9917, $I8)</f>
        <v>2</v>
      </c>
      <c r="K8" s="31" t="str">
        <f>IFERROR(__xludf.DUMMYFUNCTION("""COMPUTED_VALUE"""),"european journal of preventive cardiology")</f>
        <v>european journal of preventive cardiology</v>
      </c>
      <c r="L8" s="31">
        <f>IFERROR(__xludf.DUMMYFUNCTION("""COMPUTED_VALUE"""),84.0)</f>
        <v>84</v>
      </c>
      <c r="N8" s="31" t="str">
        <f t="shared" si="1"/>
        <v>european journal of preventive cardiology</v>
      </c>
      <c r="O8" s="30">
        <f t="array" ref="O8">SUM(--(ISNUMBER(SEARCH(O$2, Data!$K:$K)) * (Data!$F:$F = $N8)))
</f>
        <v>11</v>
      </c>
      <c r="P8" s="30">
        <f t="array" ref="P8">SUM(--(ISNUMBER(SEARCH(P$2, Data!$K:$K)) * (Data!$F:$F = $N8)))
</f>
        <v>71</v>
      </c>
      <c r="Q8" s="30">
        <f t="array" ref="Q8">SUM(--(ISNUMBER(SEARCH(Q$2, Data!$K:$K)) * (Data!$F:$F = $N8)))
</f>
        <v>31</v>
      </c>
      <c r="R8" s="30">
        <f t="array" ref="R8">SUM(--(ISNUMBER(SEARCH(R$2, Data!$K:$K)) * (Data!$F:$F = $N8)))
</f>
        <v>51</v>
      </c>
      <c r="S8" s="30">
        <f t="shared" si="2"/>
        <v>84</v>
      </c>
      <c r="T8" s="31" t="s">
        <v>24860</v>
      </c>
      <c r="U8" s="31" t="s">
        <v>24861</v>
      </c>
      <c r="V8" s="32">
        <v>45635.0</v>
      </c>
      <c r="X8" s="31" t="str">
        <f>IFERROR(__xludf.DUMMYFUNCTION("""COMPUTED_VALUE"""),"Transparent reporting of multivariable prediction models for individual prognosis or diagnosis: checklist for systematic reviews and meta-analyses (TRIPOD-SRMA).")</f>
        <v>Transparent reporting of multivariable prediction models for individual prognosis or diagnosis: checklist for systematic reviews and meta-analyses (TRIPOD-SRMA).</v>
      </c>
      <c r="Y8" s="31" t="str">
        <f>IFERROR(__xludf.DUMMYFUNCTION("""COMPUTED_VALUE"""),"Snell, Kym I E; Levis, Brooke; Damen, Johanna A A; Dhiman, Paula; Debray, Thomas P A; Hooft, Lotty; Reitsma, Johannes B; Moons, Karel G M; Collins, Gary S; Riley, Richard D")</f>
        <v>Snell, Kym I E; Levis, Brooke; Damen, Johanna A A; Dhiman, Paula; Debray, Thomas P A; Hooft, Lotty; Reitsma, Johannes B; Moons, Karel G M; Collins, Gary S; Riley, Richard D</v>
      </c>
      <c r="Z8" s="31">
        <f>IFERROR(__xludf.DUMMYFUNCTION("""COMPUTED_VALUE"""),2023.0)</f>
        <v>2023</v>
      </c>
      <c r="AA8" s="31">
        <f>IFERROR(__xludf.DUMMYFUNCTION("""COMPUTED_VALUE"""),19.0)</f>
        <v>19</v>
      </c>
      <c r="AC8" s="31" t="str">
        <f>IFERROR(__xludf.DUMMYFUNCTION("""COMPUTED_VALUE"""),"Effects and interaction of single nucleotide polymorphisms at the pharmacokinetic/pharmacodynamic site: insights from the Rotterdam study into metformin clinical response and dose titration.")</f>
        <v>Effects and interaction of single nucleotide polymorphisms at the pharmacokinetic/pharmacodynamic site: insights from the Rotterdam study into metformin clinical response and dose titration.</v>
      </c>
      <c r="AD8" s="31" t="str">
        <f>IFERROR(__xludf.DUMMYFUNCTION("""COMPUTED_VALUE"""),"Mohammadi Jouabadi, Soroush; Peymani, Payam; Nekouei Shahraki, Mitra; van Rooij, Jeroen G J; Broer, Linda; Roks, Anton J M; Stricker, Bruno H; Ahmadizar, Fariba")</f>
        <v>Mohammadi Jouabadi, Soroush; Peymani, Payam; Nekouei Shahraki, Mitra; van Rooij, Jeroen G J; Broer, Linda; Roks, Anton J M; Stricker, Bruno H; Ahmadizar, Fariba</v>
      </c>
      <c r="AE8" s="32">
        <f>IFERROR(__xludf.DUMMYFUNCTION("""COMPUTED_VALUE"""),45572.0)</f>
        <v>45572</v>
      </c>
      <c r="AF8" s="31" t="str">
        <f>IFERROR(__xludf.DUMMYFUNCTION("""COMPUTED_VALUE"""),"Are food and beverage purchases reflective of dietary intake? Validity of supermarket purchases as indicator of diet quality in the Supreme Nudge Trial.")</f>
        <v>Are food and beverage purchases reflective of dietary intake? Validity of supermarket purchases as indicator of diet quality in the Supreme Nudge Trial.</v>
      </c>
      <c r="AG8" s="31" t="str">
        <f>IFERROR(__xludf.DUMMYFUNCTION("""COMPUTED_VALUE"""),"Colizzi, Chiara; Stuber, Josine M; van der Schouw, Yvonne T; Beulens, Joline W J")</f>
        <v>Colizzi, Chiara; Stuber, Josine M; van der Schouw, Yvonne T; Beulens, Joline W J</v>
      </c>
      <c r="AH8" s="32">
        <f>IFERROR(__xludf.DUMMYFUNCTION("""COMPUTED_VALUE"""),45602.0)</f>
        <v>45602</v>
      </c>
      <c r="AI8" s="31" t="str">
        <f>IFERROR(__xludf.DUMMYFUNCTION("""COMPUTED_VALUE"""),"Serum and mucosal antibody-mediated protection and identification of asymptomatic respiratory syncytial virus infection in community-dwelling older adults in Europe.")</f>
        <v>Serum and mucosal antibody-mediated protection and identification of asymptomatic respiratory syncytial virus infection in community-dwelling older adults in Europe.</v>
      </c>
      <c r="AJ8" s="31" t="str">
        <f>IFERROR(__xludf.DUMMYFUNCTION("""COMPUTED_VALUE"""),"Öner, Deniz; Vernhes, Charlotte; Balla-Jhagjhoorsingh, Sunita; Moureau, Annick; Crabbe, Marjolein; Salaun, Bruno; Bastian, Arangassery Rosemary; Thys, Kim; De Smedt, Jonathan; Ooft, Salo N; Korsten, Koos; Adriaenssens, Niels; Coenen, Samuel; Butler, Chris"&amp;"topher C; Verheij, Theo J M; Drysdale, Simon B; Wildenbeest, Joanne G; Pollard, Andrew J; Openshaw, Peter J M; Bont, Louis; Aerssens, Jeroen")</f>
        <v>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v>
      </c>
      <c r="AK8" s="32">
        <f>IFERROR(__xludf.DUMMYFUNCTION("""COMPUTED_VALUE"""),45583.0)</f>
        <v>45583</v>
      </c>
      <c r="AL8" s="31" t="str">
        <f>IFERROR(__xludf.DUMMYFUNCTION("""COMPUTED_VALUE"""),"Haemodiafiltration versus haemodialysis for kidney failure: an individual patient data meta-analysis of randomised controlled trials.")</f>
        <v>Haemodiafiltration versus haemodialysis for kidney failure: an individual patient data meta-analysis of randomised controlled trials.</v>
      </c>
      <c r="AM8" s="31" t="str">
        <f>IFERROR(__xludf.DUMMYFUNCTION("""COMPUTED_VALUE"""),"Vernooij, Robin W M; Hockham, Carinna; Strippoli, Giovanni; Green, Suetonia; Hegbrant, Jörgen; Davenport, Andrew; Barth, Claudia; Canaud, Bernard; Woodward, Mark; Blankestijn, Peter J; Bots, Michiel L; ,; ,")</f>
        <v>Vernooij, Robin W M; Hockham, Carinna; Strippoli, Giovanni; Green, Suetonia; Hegbrant, Jörgen; Davenport, Andrew; Barth, Claudia; Canaud, Bernard; Woodward, Mark; Blankestijn, Peter J; Bots, Michiel L; ,; ,</v>
      </c>
      <c r="AN8" s="32">
        <f>IFERROR(__xludf.DUMMYFUNCTION("""COMPUTED_VALUE"""),45590.0)</f>
        <v>45590</v>
      </c>
    </row>
    <row r="9">
      <c r="A9" s="35"/>
      <c r="B9" s="36"/>
      <c r="C9" s="36"/>
      <c r="D9" s="36"/>
      <c r="E9" s="36"/>
      <c r="F9" s="37"/>
      <c r="I9" s="31" t="str">
        <f>IFERROR(__xludf.DUMMYFUNCTION("""COMPUTED_VALUE"""),"archives of public health archives belges de sante publique")</f>
        <v>archives of public health archives belges de sante publique</v>
      </c>
      <c r="J9" s="38">
        <f>COUNTIF(Data!$F$2:$F9917, $I9)</f>
        <v>1</v>
      </c>
      <c r="K9" s="31" t="str">
        <f>IFERROR(__xludf.DUMMYFUNCTION("""COMPUTED_VALUE"""),"physical review letters")</f>
        <v>physical review letters</v>
      </c>
      <c r="L9" s="31">
        <f>IFERROR(__xludf.DUMMYFUNCTION("""COMPUTED_VALUE"""),82.0)</f>
        <v>82</v>
      </c>
      <c r="N9" s="31" t="str">
        <f t="shared" si="1"/>
        <v>physical review letters</v>
      </c>
      <c r="O9" s="30">
        <f t="array" ref="O9">SUM(--(ISNUMBER(SEARCH(O$2, Data!$K:$K)) * (Data!$F:$F = $N9)))
</f>
        <v>0</v>
      </c>
      <c r="P9" s="30">
        <f t="array" ref="P9">SUM(--(ISNUMBER(SEARCH(P$2, Data!$K:$K)) * (Data!$F:$F = $N9)))
</f>
        <v>81</v>
      </c>
      <c r="Q9" s="30">
        <f t="array" ref="Q9">SUM(--(ISNUMBER(SEARCH(Q$2, Data!$K:$K)) * (Data!$F:$F = $N9)))
</f>
        <v>1</v>
      </c>
      <c r="R9" s="30">
        <f t="array" ref="R9">SUM(--(ISNUMBER(SEARCH(R$2, Data!$K:$K)) * (Data!$F:$F = $N9)))
</f>
        <v>82</v>
      </c>
      <c r="S9" s="30">
        <f t="shared" si="2"/>
        <v>82</v>
      </c>
      <c r="T9" s="31" t="s">
        <v>24835</v>
      </c>
      <c r="U9" s="31" t="s">
        <v>24836</v>
      </c>
      <c r="V9" s="32">
        <v>45631.0</v>
      </c>
      <c r="X9" s="31"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Y9" s="31"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Z9" s="31">
        <f>IFERROR(__xludf.DUMMYFUNCTION("""COMPUTED_VALUE"""),2023.0)</f>
        <v>2023</v>
      </c>
      <c r="AA9" s="31">
        <f>IFERROR(__xludf.DUMMYFUNCTION("""COMPUTED_VALUE"""),18.0)</f>
        <v>18</v>
      </c>
      <c r="AC9" s="31" t="str">
        <f>IFERROR(__xludf.DUMMYFUNCTION("""COMPUTED_VALUE"""),"Exploring Biomarkers in Nonalcoholic Fatty Liver Disease Among Individuals With Type 2 Diabetes Mellitus.")</f>
        <v>Exploring Biomarkers in Nonalcoholic Fatty Liver Disease Among Individuals With Type 2 Diabetes Mellitus.</v>
      </c>
      <c r="AD9" s="31" t="str">
        <f>IFERROR(__xludf.DUMMYFUNCTION("""COMPUTED_VALUE"""),"Ahmadizar, Fariba; Younossi, Zobair M")</f>
        <v>Ahmadizar, Fariba; Younossi, Zobair M</v>
      </c>
      <c r="AE9" s="32">
        <f>IFERROR(__xludf.DUMMYFUNCTION("""COMPUTED_VALUE"""),45566.0)</f>
        <v>45566</v>
      </c>
      <c r="AF9" s="31" t="str">
        <f>IFERROR(__xludf.DUMMYFUNCTION("""COMPUTED_VALUE"""),"Adolescents' dietary patterns, their drivers and association with double burden of malnutrition in adolescents: a cross-sectional study in Kenya's urban slums.")</f>
        <v>Adolescents' dietary patterns, their drivers and association with double burden of malnutrition in adolescents: a cross-sectional study in Kenya's urban slums.</v>
      </c>
      <c r="AG9" s="31" t="str">
        <f>IFERROR(__xludf.DUMMYFUNCTION("""COMPUTED_VALUE"""),"Wanjohi, Milkah N; Kimani-Murage, Elizabeth Wambui; Asiki, Gershim; Holdsworth, Michelle; Pradeilles, Rebecca; Langat, Nelson; Amugsi, Dickson A; Wilunda, Calistus; Klipstein-Grobusch, Kerstin")</f>
        <v>Wanjohi, Milkah N; Kimani-Murage, Elizabeth Wambui; Asiki, Gershim; Holdsworth, Michelle; Pradeilles, Rebecca; Langat, Nelson; Amugsi, Dickson A; Wilunda, Calistus; Klipstein-Grobusch, Kerstin</v>
      </c>
      <c r="AH9" s="32">
        <f>IFERROR(__xludf.DUMMYFUNCTION("""COMPUTED_VALUE"""),45602.0)</f>
        <v>45602</v>
      </c>
      <c r="AI9" s="31" t="str">
        <f>IFERROR(__xludf.DUMMYFUNCTION("""COMPUTED_VALUE"""),"Validation of 11 added items of the outpatient version of the Utrecht Symptom Diary in patients receiving chemotherapy or targeted therapy.")</f>
        <v>Validation of 11 added items of the outpatient version of the Utrecht Symptom Diary in patients receiving chemotherapy or targeted therapy.</v>
      </c>
      <c r="AJ9" s="31" t="str">
        <f>IFERROR(__xludf.DUMMYFUNCTION("""COMPUTED_VALUE"""),"Koldenhof, Josephine J; Akpobome, Bernice O; Zweers, Danielle; Klaasse, Stance; Teunissen, Saskia C C M; Witteveen, Petronella O; Suijkerbuijk, Karijn P M; de Graeff, Alexander; van der Baan, Frederieke H")</f>
        <v>Koldenhof, Josephine J; Akpobome, Bernice O; Zweers, Danielle; Klaasse, Stance; Teunissen, Saskia C C M; Witteveen, Petronella O; Suijkerbuijk, Karijn P M; de Graeff, Alexander; van der Baan, Frederieke H</v>
      </c>
      <c r="AK9" s="32">
        <f>IFERROR(__xludf.DUMMYFUNCTION("""COMPUTED_VALUE"""),45583.0)</f>
        <v>45583</v>
      </c>
      <c r="AL9" s="31" t="str">
        <f>IFERROR(__xludf.DUMMYFUNCTION("""COMPUTED_VALUE"""),"First-Trimester Prediction Models Based on Maternal Characteristics for Adverse Pregnancy Outcomes: A Systematic Review and Meta-Analysis.")</f>
        <v>First-Trimester Prediction Models Based on Maternal Characteristics for Adverse Pregnancy Outcomes: A Systematic Review and Meta-Analysis.</v>
      </c>
      <c r="AM9" s="31" t="str">
        <f>IFERROR(__xludf.DUMMYFUNCTION("""COMPUTED_VALUE"""),"van Eekhout, Jacintha C A; Becking, Ellis C; Scheffer, Peter G; Koutsoliakos, Ioannis; Bax, Caroline J; Henneman, Lidewij; Bekker, Mireille N; Schuit, Ewoud")</f>
        <v>van Eekhout, Jacintha C A; Becking, Ellis C; Scheffer, Peter G; Koutsoliakos, Ioannis; Bax, Caroline J; Henneman, Lidewij; Bekker, Mireille N; Schuit, Ewoud</v>
      </c>
      <c r="AN9" s="32">
        <f>IFERROR(__xludf.DUMMYFUNCTION("""COMPUTED_VALUE"""),45589.0)</f>
        <v>45589</v>
      </c>
    </row>
    <row r="10">
      <c r="A10" s="35"/>
      <c r="B10" s="36"/>
      <c r="C10" s="36"/>
      <c r="D10" s="36"/>
      <c r="E10" s="36"/>
      <c r="F10" s="37"/>
      <c r="I10" s="31" t="str">
        <f>IFERROR(__xludf.DUMMYFUNCTION("""COMPUTED_VALUE"""),"journal of medical genetics")</f>
        <v>journal of medical genetics</v>
      </c>
      <c r="J10" s="38">
        <f>COUNTIF(Data!$F$2:$F9917, $I10)</f>
        <v>1</v>
      </c>
      <c r="K10" s="31" t="str">
        <f>IFERROR(__xludf.DUMMYFUNCTION("""COMPUTED_VALUE"""),"bmj clinical research ed")</f>
        <v>bmj clinical research ed</v>
      </c>
      <c r="L10" s="31">
        <f>IFERROR(__xludf.DUMMYFUNCTION("""COMPUTED_VALUE"""),82.0)</f>
        <v>82</v>
      </c>
      <c r="N10" s="31" t="str">
        <f t="shared" si="1"/>
        <v>bmj clinical research ed</v>
      </c>
      <c r="O10" s="30">
        <f t="array" ref="O10">SUM(--(ISNUMBER(SEARCH(O$2, Data!$K:$K)) * (Data!$F:$F = $N10)))
</f>
        <v>20</v>
      </c>
      <c r="P10" s="30">
        <f t="array" ref="P10">SUM(--(ISNUMBER(SEARCH(P$2, Data!$K:$K)) * (Data!$F:$F = $N10)))
</f>
        <v>38</v>
      </c>
      <c r="Q10" s="30">
        <f t="array" ref="Q10">SUM(--(ISNUMBER(SEARCH(Q$2, Data!$K:$K)) * (Data!$F:$F = $N10)))
</f>
        <v>42</v>
      </c>
      <c r="R10" s="30">
        <f t="array" ref="R10">SUM(--(ISNUMBER(SEARCH(R$2, Data!$K:$K)) * (Data!$F:$F = $N10)))
</f>
        <v>59</v>
      </c>
      <c r="S10" s="30">
        <f t="shared" si="2"/>
        <v>82</v>
      </c>
      <c r="T10" s="31" t="s">
        <v>25730</v>
      </c>
      <c r="U10" s="31" t="s">
        <v>25731</v>
      </c>
      <c r="V10" s="32">
        <v>45631.0</v>
      </c>
      <c r="X10" s="31" t="str">
        <f>IFERROR(__xludf.DUMMYFUNCTION("""COMPUTED_VALUE"""),"Safety of Switching From a Vitamin K Antagonist to a Non-Vitamin K Antagonist Oral Anticoagulant in Frail Older Patients With Atrial Fibrillation: Results of the FRAIL-AF Randomized Controlled Trial.")</f>
        <v>Safety of Switching From a Vitamin K Antagonist to a Non-Vitamin K Antagonist Oral Anticoagulant in Frail Older Patients With Atrial Fibrillation: Results of the FRAIL-AF Randomized Controlled Trial.</v>
      </c>
      <c r="Y10" s="31" t="str">
        <f>IFERROR(__xludf.DUMMYFUNCTION("""COMPUTED_VALUE"""),"Joosten, Linda P T; van Doorn, Sander; van de Ven, Peter M; Köhlen, Bart T G; Nierman, Melchior C; Koek, Huiberdina L; Hemels, Martin E W; Huisman, Menno V; Kruip, Marieke; Faber, Laura M; Wiersma, Nynke M; Buding, Wim F; Fijnheer, Rob; Adriaansen, Henk J"&amp;"; Roes, Kit C; Hoes, Arno W; Rutten, Frans H; Geersing, Geert-Jan")</f>
        <v>Joosten, Linda P T; van Doorn, Sander; van de Ven, Peter M; Köhlen, Bart T G; Nierman, Melchior C; Koek, Huiberdina L; Hemels, Martin E W; Huisman, Menno V; Kruip, Marieke; Faber, Laura M; Wiersma, Nynke M; Buding, Wim F; Fijnheer, Rob; Adriaansen, Henk J; Roes, Kit C; Hoes, Arno W; Rutten, Frans H; Geersing, Geert-Jan</v>
      </c>
      <c r="Z10" s="31">
        <f>IFERROR(__xludf.DUMMYFUNCTION("""COMPUTED_VALUE"""),2023.0)</f>
        <v>2023</v>
      </c>
      <c r="AA10" s="31">
        <f>IFERROR(__xludf.DUMMYFUNCTION("""COMPUTED_VALUE"""),17.0)</f>
        <v>17</v>
      </c>
      <c r="AC10" s="31" t="str">
        <f>IFERROR(__xludf.DUMMYFUNCTION("""COMPUTED_VALUE"""),"Reliability of mandibular range of motion measurements in healthy children.")</f>
        <v>Reliability of mandibular range of motion measurements in healthy children.</v>
      </c>
      <c r="AD10" s="31" t="str">
        <f>IFERROR(__xludf.DUMMYFUNCTION("""COMPUTED_VALUE"""),"de Sonnaville, Willemijn F C; Steenks, Michel H; Verkouteren, Daan R C; Zuithoff, Nicolaas P A; Wulffraat, Nico M; Rosenberg, Antoine J W P; Speksnijder, Caroline M")</f>
        <v>de Sonnaville, Willemijn F C; Steenks, Michel H; Verkouteren, Daan R C; Zuithoff, Nicolaas P A; Wulffraat, Nico M; Rosenberg, Antoine J W P; Speksnijder, Caroline M</v>
      </c>
      <c r="AE10" s="32">
        <f>IFERROR(__xludf.DUMMYFUNCTION("""COMPUTED_VALUE"""),45460.0)</f>
        <v>45460</v>
      </c>
      <c r="AF10" s="31" t="str">
        <f>IFERROR(__xludf.DUMMYFUNCTION("""COMPUTED_VALUE"""),"Menopause age and type and dementia risk: a pooled analysis of 233 802 women.")</f>
        <v>Menopause age and type and dementia risk: a pooled analysis of 233 802 women.</v>
      </c>
      <c r="AG10" s="31" t="str">
        <f>IFERROR(__xludf.DUMMYFUNCTION("""COMPUTED_VALUE"""),"Dobson, Annette J; Xu, Zhiwei; Wilson, Louise F; Chung, Hsin-Fang; Sandin, Sven; Van der Schouw, Yvonne T; Demakakos, Panayotes; Weiderpass, Elisabete; Mishra, Gita D")</f>
        <v>Dobson, Annette J; Xu, Zhiwei; Wilson, Louise F; Chung, Hsin-Fang; Sandin, Sven; Van der Schouw, Yvonne T; Demakakos, Panayotes; Weiderpass, Elisabete; Mishra, Gita D</v>
      </c>
      <c r="AH10" s="32">
        <f>IFERROR(__xludf.DUMMYFUNCTION("""COMPUTED_VALUE"""),45597.0)</f>
        <v>45597</v>
      </c>
      <c r="AI10" s="31" t="str">
        <f>IFERROR(__xludf.DUMMYFUNCTION("""COMPUTED_VALUE"""),"How to meet coping strategies and preferences of children during invasive medical procedures: perspectives of healthcare professionals.")</f>
        <v>How to meet coping strategies and preferences of children during invasive medical procedures: perspectives of healthcare professionals.</v>
      </c>
      <c r="AJ10" s="31" t="str">
        <f>IFERROR(__xludf.DUMMYFUNCTION("""COMPUTED_VALUE"""),"Segers, Elisabeth W; van den Hoogen, Agnes; Schoonhoven, Lisette; van de Putte, Elise M; Ketelaar, Marjolijn")</f>
        <v>Segers, Elisabeth W; van den Hoogen, Agnes; Schoonhoven, Lisette; van de Putte, Elise M; Ketelaar, Marjolijn</v>
      </c>
      <c r="AK10" s="32">
        <f>IFERROR(__xludf.DUMMYFUNCTION("""COMPUTED_VALUE"""),45574.0)</f>
        <v>45574</v>
      </c>
      <c r="AL10" s="31" t="str">
        <f>IFERROR(__xludf.DUMMYFUNCTION("""COMPUTED_VALUE"""),"Laboratory-based molecular test alternatives to RT-PCR for the diagnosis of SARS-CoV-2 infection.")</f>
        <v>Laboratory-based molecular test alternatives to RT-PCR for the diagnosis of SARS-CoV-2 infection.</v>
      </c>
      <c r="AM10" s="31" t="str">
        <f>IFERROR(__xludf.DUMMYFUNCTION("""COMPUTED_VALUE"""),"Arevalo-Rodriguez, Ingrid; Mateos-Haro, Miriam; Dinnes, Jacqueline; Ciapponi, Agustín; Davenport, Clare; Buitrago-Garcia, Diana; Bennouna-Dalero, Tayeb; Roqué-Figuls, Marta; Van den Bruel, Ann; von Eije, Karin J; Emperador, Devy; Hooft, Lotty; Spijker, Re"&amp;"né; Leeflang, Mariska Mg; Takwoingi, Yemisi; Deeks, Jonathan J")</f>
        <v>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v>
      </c>
      <c r="AN10" s="32">
        <f>IFERROR(__xludf.DUMMYFUNCTION("""COMPUTED_VALUE"""),45579.0)</f>
        <v>45579</v>
      </c>
    </row>
    <row r="11">
      <c r="A11" s="35"/>
      <c r="B11" s="36"/>
      <c r="C11" s="36"/>
      <c r="D11" s="36"/>
      <c r="E11" s="36"/>
      <c r="F11" s="37"/>
      <c r="I11" s="31" t="str">
        <f>IFERROR(__xludf.DUMMYFUNCTION("""COMPUTED_VALUE"""),"european journal of preventive cardiology")</f>
        <v>european journal of preventive cardiology</v>
      </c>
      <c r="J11" s="38">
        <f>COUNTIF(Data!$F$2:$F9917, $I11)</f>
        <v>84</v>
      </c>
      <c r="K11" s="31" t="str">
        <f>IFERROR(__xludf.DUMMYFUNCTION("""COMPUTED_VALUE"""),"stroke")</f>
        <v>stroke</v>
      </c>
      <c r="L11" s="31">
        <f>IFERROR(__xludf.DUMMYFUNCTION("""COMPUTED_VALUE"""),77.0)</f>
        <v>77</v>
      </c>
      <c r="N11" s="31" t="str">
        <f t="shared" si="1"/>
        <v>stroke</v>
      </c>
      <c r="O11" s="30">
        <f t="array" ref="O11">SUM(--(ISNUMBER(SEARCH(O$2, Data!$K:$K)) * (Data!$F:$F = $N11)))
</f>
        <v>16</v>
      </c>
      <c r="P11" s="30">
        <f t="array" ref="P11">SUM(--(ISNUMBER(SEARCH(P$2, Data!$K:$K)) * (Data!$F:$F = $N11)))
</f>
        <v>30</v>
      </c>
      <c r="Q11" s="30">
        <f t="array" ref="Q11">SUM(--(ISNUMBER(SEARCH(Q$2, Data!$K:$K)) * (Data!$F:$F = $N11)))
</f>
        <v>20</v>
      </c>
      <c r="R11" s="30">
        <f t="array" ref="R11">SUM(--(ISNUMBER(SEARCH(R$2, Data!$K:$K)) * (Data!$F:$F = $N11)))
</f>
        <v>70</v>
      </c>
      <c r="S11" s="30">
        <f t="shared" si="2"/>
        <v>77</v>
      </c>
      <c r="T11" s="31" t="s">
        <v>25060</v>
      </c>
      <c r="U11" s="31" t="s">
        <v>25061</v>
      </c>
      <c r="V11" s="32">
        <v>45628.0</v>
      </c>
      <c r="X11" s="31" t="str">
        <f>IFERROR(__xludf.DUMMYFUNCTION("""COMPUTED_VALUE"""),"First-line systemic treatment strategies in patients with initially unresectable colorectal cancer liver metastases (CAIRO5): an open-label, multicentre, randomised, controlled, phase 3 study from the Dutch Colorectal Cancer Group.")</f>
        <v>First-line systemic treatment strategies in patients with initially unresectable colorectal cancer liver metastases (CAIRO5): an open-label, multicentre, randomised, controlled, phase 3 study from the Dutch Colorectal Cancer Group.</v>
      </c>
      <c r="Y11" s="31" t="str">
        <f>IFERROR(__xludf.DUMMYFUNCTION("""COMPUTED_VALUE"""),"Bond, Marinde J G; Bolhuis, Karen; Loosveld, Olaf J L; de Groot, Jan Willem B; Droogendijk, Helga; Helgason, Helgi H; Hendriks, Mathijs P; Klaase, Joost M; Kazemier, Geert; Liem, Mike S L; Rijken, Arjen M; Verhoef, Cornelis; de Wilt, Johannes H W; de Jong"&amp;", Koert P; Gerhards, Michael F; van Amerongen, Martinus J; Engelbrecht, Marc R W; van Lienden, Krijn P; Molenaar, I Quintus; de Valk, Bart; Haberkorn, Brigitte C M; Kerver, Emile D; Erdkamp, Frans; van Alphen, Robbert J; Mathijssen-van Stein, Daniëlle; Ko"&amp;"murcu, Aysun; Lopez-Yurda, Marta; Swijnenburg, Rutger-Jan; Punt, Cornelis J A; ,")</f>
        <v>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Molenaar, I Quintus; de Valk, Bart; Haberkorn, Brigitte C M; Kerver, Emile D; Erdkamp, Frans; van Alphen, Robbert J; Mathijssen-van Stein, Daniëlle; Komurcu, Aysun; Lopez-Yurda, Marta; Swijnenburg, Rutger-Jan; Punt, Cornelis J A; ,</v>
      </c>
      <c r="Z11" s="31">
        <f>IFERROR(__xludf.DUMMYFUNCTION("""COMPUTED_VALUE"""),2023.0)</f>
        <v>2023</v>
      </c>
      <c r="AA11" s="31">
        <f>IFERROR(__xludf.DUMMYFUNCTION("""COMPUTED_VALUE"""),16.0)</f>
        <v>16</v>
      </c>
      <c r="AC11" s="31" t="str">
        <f>IFERROR(__xludf.DUMMYFUNCTION("""COMPUTED_VALUE"""),"The effects of aerobic and resistant exercises on the lipid profile in healthy women: a systematic review and meta-analysis.")</f>
        <v>The effects of aerobic and resistant exercises on the lipid profile in healthy women: a systematic review and meta-analysis.</v>
      </c>
      <c r="AD11" s="31" t="str">
        <f>IFERROR(__xludf.DUMMYFUNCTION("""COMPUTED_VALUE"""),"Pourmontaseri, Hossein; Farjam, Mojtaba; Dehghan, Azizallah; Karimi, Aliasghar; Akbari, Maryam; Shahabi, Saeed; Nowrouzi-Sohrabi, Peyman; Estakhr, Mehrdad; Tabrizi, Reza; Ahmadizar, Fariba")</f>
        <v>Pourmontaseri, Hossein; Farjam, Mojtaba; Dehghan, Azizallah; Karimi, Aliasghar; Akbari, Maryam; Shahabi, Saeed; Nowrouzi-Sohrabi, Peyman; Estakhr, Mehrdad; Tabrizi, Reza; Ahmadizar, Fariba</v>
      </c>
      <c r="AE11" s="32">
        <f>IFERROR(__xludf.DUMMYFUNCTION("""COMPUTED_VALUE"""),45455.0)</f>
        <v>45455</v>
      </c>
      <c r="AF11" s="31" t="str">
        <f>IFERROR(__xludf.DUMMYFUNCTION("""COMPUTED_VALUE"""),"The Dutch practice of euthanasia and assisted suicide in patients suffering from psychiatric disorders: a qualitative case review study.")</f>
        <v>The Dutch practice of euthanasia and assisted suicide in patients suffering from psychiatric disorders: a qualitative case review study.</v>
      </c>
      <c r="AG11" s="31" t="str">
        <f>IFERROR(__xludf.DUMMYFUNCTION("""COMPUTED_VALUE"""),"Bosma, Fenne; Mink, Kelly Romana; van Delden, Johannes Jozef Marten; van der Heide, Agnes; van de Vathorst, Suzanne; van Thiel, Ghislaine Jose Madeleine Wilhelmien")</f>
        <v>Bosma, Fenne; Mink, Kelly Romana; van Delden, Johannes Jozef Marten; van der Heide, Agnes; van de Vathorst, Suzanne; van Thiel, Ghislaine Jose Madeleine Wilhelmien</v>
      </c>
      <c r="AH11" s="32">
        <f>IFERROR(__xludf.DUMMYFUNCTION("""COMPUTED_VALUE"""),45593.0)</f>
        <v>45593</v>
      </c>
      <c r="AI11" s="31" t="str">
        <f>IFERROR(__xludf.DUMMYFUNCTION("""COMPUTED_VALUE"""),"Interviewing people on sensitive topics: challenges and strategies.")</f>
        <v>Interviewing people on sensitive topics: challenges and strategies.</v>
      </c>
      <c r="AJ11" s="31" t="str">
        <f>IFERROR(__xludf.DUMMYFUNCTION("""COMPUTED_VALUE"""),"Westland, Heleen; Vervoort, Sigrid; Kars, Marijke; Jaarsma, Tiny")</f>
        <v>Westland, Heleen; Vervoort, Sigrid; Kars, Marijke; Jaarsma, Tiny</v>
      </c>
      <c r="AK11" s="32">
        <f>IFERROR(__xludf.DUMMYFUNCTION("""COMPUTED_VALUE"""),45554.0)</f>
        <v>45554</v>
      </c>
      <c r="AL11" s="31" t="str">
        <f>IFERROR(__xludf.DUMMYFUNCTION("""COMPUTED_VALUE"""),"Stereotactic body radiotherapy with a focal boost to the intraprostatic tumor for intermediate and high risk prostate cancer: 5-year efficacy and toxicity in the hypo-FLAME trial.")</f>
        <v>Stereotactic body radiotherapy with a focal boost to the intraprostatic tumor for intermediate and high risk prostate cancer: 5-year efficacy and toxicity in the hypo-FLAME trial.</v>
      </c>
      <c r="AM11" s="31" t="str">
        <f>IFERROR(__xludf.DUMMYFUNCTION("""COMPUTED_VALUE"""),"Draulans, Cédric; Haustermans, Karin; Pos, Floris J; van der Heide, Uulke A; De Cock, Lisa; van der Voort van Zyp, Jochem; De Boer, Hans; Smeenk, Robert J; Kunze-Busch, Martina; Monninkhof, Evelyn M; De Roover, Robin; Isebaert, Sofie; Kerkmeijer, Linda G "&amp;"W")</f>
        <v>Draulans, Cédric; Haustermans, Karin; Pos, Floris J; van der Heide, Uulke A; De Cock, Lisa; van der Voort van Zyp, Jochem; De Boer, Hans; Smeenk, Robert J; Kunze-Busch, Martina; Monninkhof, Evelyn M; De Roover, Robin; Isebaert, Sofie; Kerkmeijer, Linda G W</v>
      </c>
      <c r="AN11" s="32">
        <f>IFERROR(__xludf.DUMMYFUNCTION("""COMPUTED_VALUE"""),45567.0)</f>
        <v>45567</v>
      </c>
    </row>
    <row r="12">
      <c r="A12" s="35"/>
      <c r="B12" s="36"/>
      <c r="C12" s="36"/>
      <c r="D12" s="36"/>
      <c r="E12" s="36"/>
      <c r="F12" s="37"/>
      <c r="I12" s="31" t="str">
        <f>IFERROR(__xludf.DUMMYFUNCTION("""COMPUTED_VALUE"""),"european journal of clinical pharmacology")</f>
        <v>european journal of clinical pharmacology</v>
      </c>
      <c r="J12" s="38">
        <f>COUNTIF(Data!$F$2:$F9917, $I12)</f>
        <v>2</v>
      </c>
      <c r="K12" s="31" t="str">
        <f>IFERROR(__xludf.DUMMYFUNCTION("""COMPUTED_VALUE"""),"clinical microbiology and infection the official publication of the european society of clinical microbiology and infectious diseases")</f>
        <v>clinical microbiology and infection the official publication of the european society of clinical microbiology and infectious diseases</v>
      </c>
      <c r="L12" s="31">
        <f>IFERROR(__xludf.DUMMYFUNCTION("""COMPUTED_VALUE"""),51.0)</f>
        <v>51</v>
      </c>
      <c r="N12" s="31" t="str">
        <f t="shared" si="1"/>
        <v>clinical microbiology and infection the official publication of the european society of clinical microbiology and infectious diseases</v>
      </c>
      <c r="O12" s="30">
        <f t="array" ref="O12">SUM(--(ISNUMBER(SEARCH(O$2, Data!$K:$K)) * (Data!$F:$F = $N12)))
</f>
        <v>8</v>
      </c>
      <c r="P12" s="30">
        <f t="array" ref="P12">SUM(--(ISNUMBER(SEARCH(P$2, Data!$K:$K)) * (Data!$F:$F = $N12)))
</f>
        <v>29</v>
      </c>
      <c r="Q12" s="30">
        <f t="array" ref="Q12">SUM(--(ISNUMBER(SEARCH(Q$2, Data!$K:$K)) * (Data!$F:$F = $N12)))
</f>
        <v>17</v>
      </c>
      <c r="R12" s="30">
        <f t="array" ref="R12">SUM(--(ISNUMBER(SEARCH(R$2, Data!$K:$K)) * (Data!$F:$F = $N12)))
</f>
        <v>42</v>
      </c>
      <c r="S12" s="30">
        <f t="shared" si="2"/>
        <v>51</v>
      </c>
      <c r="T12" s="31" t="s">
        <v>25259</v>
      </c>
      <c r="U12" s="31" t="s">
        <v>25260</v>
      </c>
      <c r="V12" s="32">
        <v>45628.0</v>
      </c>
      <c r="X12" s="31" t="str">
        <f>IFERROR(__xludf.DUMMYFUNCTION("""COMPUTED_VALUE"""),"Minimum sample size for developing a multivariable prediction model using multinomial logistic regression.")</f>
        <v>Minimum sample size for developing a multivariable prediction model using multinomial logistic regression.</v>
      </c>
      <c r="Y12" s="31" t="str">
        <f>IFERROR(__xludf.DUMMYFUNCTION("""COMPUTED_VALUE"""),"Pate, Alexander; Riley, Richard D; Collins, Gary S; van Smeden, Maarten; Van Calster, Ben; Ensor, Joie; Martin, Glen P")</f>
        <v>Pate, Alexander; Riley, Richard D; Collins, Gary S; van Smeden, Maarten; Van Calster, Ben; Ensor, Joie; Martin, Glen P</v>
      </c>
      <c r="Z12" s="31">
        <f>IFERROR(__xludf.DUMMYFUNCTION("""COMPUTED_VALUE"""),2023.0)</f>
        <v>2023</v>
      </c>
      <c r="AA12" s="31">
        <f>IFERROR(__xludf.DUMMYFUNCTION("""COMPUTED_VALUE"""),16.0)</f>
        <v>16</v>
      </c>
      <c r="AC12" s="31"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AD12" s="31" t="str">
        <f>IFERROR(__xludf.DUMMYFUNCTION("""COMPUTED_VALUE"""),"Piccininni, Marco; Wechsung, Maximilian; Van Calster, Ben; Rohmann, Jessica L; Konigorski, Stefan; van Smeden, Maarten")</f>
        <v>Piccininni, Marco; Wechsung, Maximilian; Van Calster, Ben; Rohmann, Jessica L; Konigorski, Stefan; van Smeden, Maarten</v>
      </c>
      <c r="AE12" s="32">
        <f>IFERROR(__xludf.DUMMYFUNCTION("""COMPUTED_VALUE"""),45448.0)</f>
        <v>45448</v>
      </c>
      <c r="AF12" s="31" t="str">
        <f>IFERROR(__xludf.DUMMYFUNCTION("""COMPUTED_VALUE"""),"Advancing women's cardiovascular health: an international lens on the Joint British Cardiovascular Societies' consensus statement.")</f>
        <v>Advancing women's cardiovascular health: an international lens on the Joint British Cardiovascular Societies' consensus statement.</v>
      </c>
      <c r="AG12" s="31" t="str">
        <f>IFERROR(__xludf.DUMMYFUNCTION("""COMPUTED_VALUE"""),"Peters, Sanne A E; Van Spall, Harriette G C")</f>
        <v>Peters, Sanne A E; Van Spall, Harriette G C</v>
      </c>
      <c r="AH12" s="32">
        <f>IFERROR(__xludf.DUMMYFUNCTION("""COMPUTED_VALUE"""),45593.0)</f>
        <v>45593</v>
      </c>
      <c r="AI12" s="31" t="str">
        <f>IFERROR(__xludf.DUMMYFUNCTION("""COMPUTED_VALUE"""),"Parents' and healthcare professionals' experiences with the content of an individual care plan for pediatric palliative care: a mixed-method study.")</f>
        <v>Parents' and healthcare professionals' experiences with the content of an individual care plan for pediatric palliative care: a mixed-method study.</v>
      </c>
      <c r="AJ12" s="31" t="str">
        <f>IFERROR(__xludf.DUMMYFUNCTION("""COMPUTED_VALUE"""),"Joren, Chantal Y; Kars, Marijke C; Kremer, Leontien C M; Hofman, Suzanne C; Rippen-Wagner, Hester; Slingerland-Blom, Ria; van der Velden, Chantal; Schuiling-Otten, Meggi; Verhagen, A A Eduard; Aris-Meijer, Judith L")</f>
        <v>Joren, Chantal Y; Kars, Marijke C; Kremer, Leontien C M; Hofman, Suzanne C; Rippen-Wagner, Hester; Slingerland-Blom, Ria; van der Velden, Chantal; Schuiling-Otten, Meggi; Verhagen, A A Eduard; Aris-Meijer, Judith L</v>
      </c>
      <c r="AK12" s="32">
        <f>IFERROR(__xludf.DUMMYFUNCTION("""COMPUTED_VALUE"""),45553.0)</f>
        <v>45553</v>
      </c>
      <c r="AL12" s="31" t="str">
        <f>IFERROR(__xludf.DUMMYFUNCTION("""COMPUTED_VALUE"""),"Fetal Fraction of Cell-Free DNA in the Prediction of Adverse Pregnancy Outcomes: A Nationwide Retrospective Cohort Study.")</f>
        <v>Fetal Fraction of Cell-Free DNA in the Prediction of Adverse Pregnancy Outcomes: A Nationwide Retrospective Cohort Study.</v>
      </c>
      <c r="AM12" s="31" t="str">
        <f>IFERROR(__xludf.DUMMYFUNCTION("""COMPUTED_VALUE"""),"Becking, Ellis C; Bekker, Mireille N; Henrichs, Jens; Bax, Caroline J; Sistermans, Erik A; Henneman, Lidewij; Scheffer, Peter G; Schuit, Ewoud")</f>
        <v>Becking, Ellis C; Bekker, Mireille N; Henrichs, Jens; Bax, Caroline J; Sistermans, Erik A; Henneman, Lidewij; Scheffer, Peter G; Schuit, Ewoud</v>
      </c>
      <c r="AN12" s="32">
        <f>IFERROR(__xludf.DUMMYFUNCTION("""COMPUTED_VALUE"""),45567.0)</f>
        <v>45567</v>
      </c>
    </row>
    <row r="13">
      <c r="A13" s="35">
        <v>2010.0</v>
      </c>
      <c r="B13" s="36">
        <f t="array" ref="B13">SUM(--(ISNUMBER(SEARCH(B$2, Data!$K:$K)) * (Data!$C:$C = $A13)))
</f>
        <v>5</v>
      </c>
      <c r="C13" s="36">
        <f t="array" ref="C13">SUM(--(ISNUMBER(SEARCH(C$2, Data!$K:$K)) * (Data!$C:$C = $A13)))
</f>
        <v>59</v>
      </c>
      <c r="D13" s="36">
        <f t="array" ref="D13">SUM(--(ISNUMBER(SEARCH(D$2, Data!$K:$K)) * (Data!$C:$C = $A13)))
</f>
        <v>44</v>
      </c>
      <c r="E13" s="36">
        <f t="array" ref="E13">SUM(--(ISNUMBER(SEARCH(E$2, Data!$K:$K)) * (Data!$C:$C = $A13)))
</f>
        <v>59</v>
      </c>
      <c r="F13" s="37">
        <f>COUNTIF(Data!C12:C9917,A13)</f>
        <v>90</v>
      </c>
      <c r="I13" s="31" t="str">
        <f>IFERROR(__xludf.DUMMYFUNCTION("""COMPUTED_VALUE"""),"plos one")</f>
        <v>plos one</v>
      </c>
      <c r="J13" s="38">
        <f>COUNTIF(Data!$F$2:$F9917, $I13)</f>
        <v>212</v>
      </c>
      <c r="K13" s="31" t="str">
        <f>IFERROR(__xludf.DUMMYFUNCTION("""COMPUTED_VALUE"""),"maturitas")</f>
        <v>maturitas</v>
      </c>
      <c r="L13" s="31">
        <f>IFERROR(__xludf.DUMMYFUNCTION("""COMPUTED_VALUE"""),49.0)</f>
        <v>49</v>
      </c>
      <c r="N13" s="31" t="str">
        <f t="shared" si="1"/>
        <v>maturitas</v>
      </c>
      <c r="O13" s="30">
        <f t="array" ref="O13">SUM(--(ISNUMBER(SEARCH(O$2, Data!$K:$K)) * (Data!$F:$F = $N13)))
</f>
        <v>11</v>
      </c>
      <c r="P13" s="30">
        <f t="array" ref="P13">SUM(--(ISNUMBER(SEARCH(P$2, Data!$K:$K)) * (Data!$F:$F = $N13)))
</f>
        <v>46</v>
      </c>
      <c r="Q13" s="30">
        <f t="array" ref="Q13">SUM(--(ISNUMBER(SEARCH(Q$2, Data!$K:$K)) * (Data!$F:$F = $N13)))
</f>
        <v>11</v>
      </c>
      <c r="R13" s="30">
        <f t="array" ref="R13">SUM(--(ISNUMBER(SEARCH(R$2, Data!$K:$K)) * (Data!$F:$F = $N13)))
</f>
        <v>16</v>
      </c>
      <c r="S13" s="30">
        <f t="shared" si="2"/>
        <v>49</v>
      </c>
      <c r="T13" s="31" t="s">
        <v>25353</v>
      </c>
      <c r="U13" s="31" t="s">
        <v>25354</v>
      </c>
      <c r="V13" s="32">
        <v>45628.0</v>
      </c>
      <c r="X13" s="31" t="str">
        <f>IFERROR(__xludf.DUMMYFUNCTION("""COMPUTED_VALUE"""),"Artificial intelligence to enhance clinical value across the spectrum of cardiovascular healthcare.")</f>
        <v>Artificial intelligence to enhance clinical value across the spectrum of cardiovascular healthcare.</v>
      </c>
      <c r="Y13" s="31" t="str">
        <f>IFERROR(__xludf.DUMMYFUNCTION("""COMPUTED_VALUE"""),"Gill, Simrat K; Karwath, Andreas; Uh, Hae-Won; Cardoso, Victor Roth; Gu, Zhujie; Barsky, Andrey; Slater, Luke; Acharjee, Animesh; Duan, Jinming; Dall'Olio, Lorenzo; El Bouhaddani, Said; Chernbumroong, Saisakul; Stanbury, Mary; Haynes, Sandra; Asselbergs, "&amp;"Folkert W; Grobbee, Diederick E; Eijkemans, Marinus J C; Gkoutos, Georgios V; Kotecha, Dipak; ,")</f>
        <v>Gill, Simrat K; Karwath, Andreas; Uh, Hae-Won; Cardoso, Victor Roth; Gu, Zhujie; Barsky, Andrey; Slater, Luke; Acharjee, Animesh; Duan, Jinming; Dall'Olio, Lorenzo; El Bouhaddani, Said; Chernbumroong, Saisakul; Stanbury, Mary; Haynes, Sandra; Asselbergs, Folkert W; Grobbee, Diederick E; Eijkemans, Marinus J C; Gkoutos, Georgios V; Kotecha, Dipak; ,</v>
      </c>
      <c r="Z13" s="31">
        <f>IFERROR(__xludf.DUMMYFUNCTION("""COMPUTED_VALUE"""),2023.0)</f>
        <v>2023</v>
      </c>
      <c r="AA13" s="31">
        <f>IFERROR(__xludf.DUMMYFUNCTION("""COMPUTED_VALUE"""),15.0)</f>
        <v>15</v>
      </c>
      <c r="AC13" s="31" t="str">
        <f>IFERROR(__xludf.DUMMYFUNCTION("""COMPUTED_VALUE"""),"The NOS1AP gene rs10494366 common genetic variant does not modify the risk of sudden cardiac death in users of digoxin.")</f>
        <v>The NOS1AP gene rs10494366 common genetic variant does not modify the risk of sudden cardiac death in users of digoxin.</v>
      </c>
      <c r="AD13" s="31" t="str">
        <f>IFERROR(__xludf.DUMMYFUNCTION("""COMPUTED_VALUE"""),"Soroush, Negin; Aarnoudse, Albert-Jan; Kavousi, Maryam; Kors, Jan A; Ikram, M Arfan; Stricker, Bruno H; Ahmadizar, Fariba")</f>
        <v>Soroush, Negin; Aarnoudse, Albert-Jan; Kavousi, Maryam; Kors, Jan A; Ikram, M Arfan; Stricker, Bruno H; Ahmadizar, Fariba</v>
      </c>
      <c r="AE13" s="32">
        <f>IFERROR(__xludf.DUMMYFUNCTION("""COMPUTED_VALUE"""),45443.0)</f>
        <v>45443</v>
      </c>
      <c r="AF13" s="31" t="str">
        <f>IFERROR(__xludf.DUMMYFUNCTION("""COMPUTED_VALUE"""),"Hypertension and diabetes control: faith-based centres offer a promise for expanding screening services and linkage to care in Ghana.")</f>
        <v>Hypertension and diabetes control: faith-based centres offer a promise for expanding screening services and linkage to care in Ghana.</v>
      </c>
      <c r="AG13" s="31" t="str">
        <f>IFERROR(__xludf.DUMMYFUNCTION("""COMPUTED_VALUE"""),"Nonterah, Engelbert A; Chatio, Samuel T; Willis, Andy; Alale, Joseph A; Zakariah-Akoto, Sawudatu; Darko, Natalie; Curtis, Ffion; Kunutsor, Setor K; Jones, Ceri; Seidu, Samuel; Ansah, Patrick O")</f>
        <v>Nonterah, Engelbert A; Chatio, Samuel T; Willis, Andy; Alale, Joseph A; Zakariah-Akoto, Sawudatu; Darko, Natalie; Curtis, Ffion; Kunutsor, Setor K; Jones, Ceri; Seidu, Samuel; Ansah, Patrick O</v>
      </c>
      <c r="AH13" s="32">
        <f>IFERROR(__xludf.DUMMYFUNCTION("""COMPUTED_VALUE"""),45589.0)</f>
        <v>45589</v>
      </c>
      <c r="AI13" s="31" t="str">
        <f>IFERROR(__xludf.DUMMYFUNCTION("""COMPUTED_VALUE"""),"Mineralocorticoid receptor antagonists for every patient with heart failure.")</f>
        <v>Mineralocorticoid receptor antagonists for every patient with heart failure.</v>
      </c>
      <c r="AJ13" s="31" t="str">
        <f>IFERROR(__xludf.DUMMYFUNCTION("""COMPUTED_VALUE"""),"Rutten, Frans H; Groenewegen, Amy")</f>
        <v>Rutten, Frans H; Groenewegen, Amy</v>
      </c>
      <c r="AK13" s="32">
        <f>IFERROR(__xludf.DUMMYFUNCTION("""COMPUTED_VALUE"""),45536.0)</f>
        <v>45536</v>
      </c>
      <c r="AL13" s="31" t="str">
        <f>IFERROR(__xludf.DUMMYFUNCTION("""COMPUTED_VALUE"""),"Quality of life and functional outcome of rectal cancer patients: A prospective cohort study.")</f>
        <v>Quality of life and functional outcome of rectal cancer patients: A prospective cohort study.</v>
      </c>
      <c r="AM13" s="31" t="str">
        <f>IFERROR(__xludf.DUMMYFUNCTION("""COMPUTED_VALUE"""),"Pennings, Alexander J; Vink, Geraldine R; van Kuijk, Sander; Melenhorst, Jarno; Beets, Geerard L; May, Anne M; Breukink, Stephanie O")</f>
        <v>Pennings, Alexander J; Vink, Geraldine R; van Kuijk, Sander; Melenhorst, Jarno; Beets, Geerard L; May, Anne M; Breukink, Stephanie O</v>
      </c>
      <c r="AN13" s="32">
        <f>IFERROR(__xludf.DUMMYFUNCTION("""COMPUTED_VALUE"""),45567.0)</f>
        <v>45567</v>
      </c>
    </row>
    <row r="14">
      <c r="A14" s="35">
        <v>2011.0</v>
      </c>
      <c r="B14" s="36">
        <f t="array" ref="B14">SUM(--(ISNUMBER(SEARCH(B$2, Data!$K:$K)) * (Data!$C:$C = $A14)))
</f>
        <v>9</v>
      </c>
      <c r="C14" s="36">
        <f t="array" ref="C14">SUM(--(ISNUMBER(SEARCH(C$2, Data!$K:$K)) * (Data!$C:$C = $A14)))
</f>
        <v>60</v>
      </c>
      <c r="D14" s="36">
        <f t="array" ref="D14">SUM(--(ISNUMBER(SEARCH(D$2, Data!$K:$K)) * (Data!$C:$C = $A14)))
</f>
        <v>46</v>
      </c>
      <c r="E14" s="36">
        <f t="array" ref="E14">SUM(--(ISNUMBER(SEARCH(E$2, Data!$K:$K)) * (Data!$C:$C = $A14)))
</f>
        <v>63</v>
      </c>
      <c r="F14" s="37">
        <f>COUNTIF(Data!C13:C9917,A14)</f>
        <v>95</v>
      </c>
      <c r="I14" s="31" t="str">
        <f>IFERROR(__xludf.DUMMYFUNCTION("""COMPUTED_VALUE"""),"insights into imaging")</f>
        <v>insights into imaging</v>
      </c>
      <c r="J14" s="38">
        <f>COUNTIF(Data!$F$2:$F9917, $I14)</f>
        <v>3</v>
      </c>
      <c r="K14" s="31" t="str">
        <f>IFERROR(__xludf.DUMMYFUNCTION("""COMPUTED_VALUE"""),"international journal of cardiology")</f>
        <v>international journal of cardiology</v>
      </c>
      <c r="L14" s="31">
        <f>IFERROR(__xludf.DUMMYFUNCTION("""COMPUTED_VALUE"""),49.0)</f>
        <v>49</v>
      </c>
      <c r="N14" s="31" t="str">
        <f t="shared" si="1"/>
        <v>international journal of cardiology</v>
      </c>
      <c r="O14" s="30">
        <f t="array" ref="O14">SUM(--(ISNUMBER(SEARCH(O$2, Data!$K:$K)) * (Data!$F:$F = $N14)))
</f>
        <v>5</v>
      </c>
      <c r="P14" s="30">
        <f t="array" ref="P14">SUM(--(ISNUMBER(SEARCH(P$2, Data!$K:$K)) * (Data!$F:$F = $N14)))
</f>
        <v>33</v>
      </c>
      <c r="Q14" s="30">
        <f t="array" ref="Q14">SUM(--(ISNUMBER(SEARCH(Q$2, Data!$K:$K)) * (Data!$F:$F = $N14)))
</f>
        <v>25</v>
      </c>
      <c r="R14" s="30">
        <f t="array" ref="R14">SUM(--(ISNUMBER(SEARCH(R$2, Data!$K:$K)) * (Data!$F:$F = $N14)))
</f>
        <v>33</v>
      </c>
      <c r="S14" s="30">
        <f t="shared" si="2"/>
        <v>49</v>
      </c>
      <c r="T14" s="31" t="s">
        <v>25460</v>
      </c>
      <c r="U14" s="31" t="s">
        <v>25461</v>
      </c>
      <c r="V14" s="32">
        <v>45628.0</v>
      </c>
      <c r="X14" s="31" t="str">
        <f>IFERROR(__xludf.DUMMYFUNCTION("""COMPUTED_VALUE"""),"Concepts and definitions of healthy ageing: a systematic review and synthesis of theoretical models.")</f>
        <v>Concepts and definitions of healthy ageing: a systematic review and synthesis of theoretical models.</v>
      </c>
      <c r="Y14" s="31" t="str">
        <f>IFERROR(__xludf.DUMMYFUNCTION("""COMPUTED_VALUE"""),"Menassa, Marilyne; Stronks, Karien; Khatmi, Farnaz; Roa Díaz, Zayne Milena; Espinola, Octavio Pano; Gamba, Magda; Itodo, Oche Adam; Buttia, Chepkoech; Wehrli, Faina; Minder, Beatrice; Velarde, Minerva Rivas; Franco, Oscar H")</f>
        <v>Menassa, Marilyne; Stronks, Karien; Khatmi, Farnaz; Roa Díaz, Zayne Milena; Espinola, Octavio Pano; Gamba, Magda; Itodo, Oche Adam; Buttia, Chepkoech; Wehrli, Faina; Minder, Beatrice; Velarde, Minerva Rivas; Franco, Oscar H</v>
      </c>
      <c r="Z14" s="31">
        <f>IFERROR(__xludf.DUMMYFUNCTION("""COMPUTED_VALUE"""),2023.0)</f>
        <v>2023</v>
      </c>
      <c r="AA14" s="31">
        <f>IFERROR(__xludf.DUMMYFUNCTION("""COMPUTED_VALUE"""),15.0)</f>
        <v>15</v>
      </c>
      <c r="AC14" s="31" t="str">
        <f>IFERROR(__xludf.DUMMYFUNCTION("""COMPUTED_VALUE"""),"It's not all about residual confounding: a plea for QBA for epidemiologic researchers and educators.")</f>
        <v>It's not all about residual confounding: a plea for QBA for epidemiologic researchers and educators.</v>
      </c>
      <c r="AD14" s="31" t="str">
        <f>IFERROR(__xludf.DUMMYFUNCTION("""COMPUTED_VALUE"""),"Fox, Matthew P; Adrien, Nedghie; van Smeden, Maarten; Suarez, Elizabeth")</f>
        <v>Fox, Matthew P; Adrien, Nedghie; van Smeden, Maarten; Suarez, Elizabeth</v>
      </c>
      <c r="AE14" s="32">
        <f>IFERROR(__xludf.DUMMYFUNCTION("""COMPUTED_VALUE"""),45429.0)</f>
        <v>45429</v>
      </c>
      <c r="AF14" s="31" t="str">
        <f>IFERROR(__xludf.DUMMYFUNCTION("""COMPUTED_VALUE"""),"Health characteristics associated with persistence of SARS-CoV-2 antibody responses after repeated vaccinations in older persons over time: the Doetinchem cohort study.")</f>
        <v>Health characteristics associated with persistence of SARS-CoV-2 antibody responses after repeated vaccinations in older persons over time: the Doetinchem cohort study.</v>
      </c>
      <c r="AG14" s="31" t="str">
        <f>IFERROR(__xludf.DUMMYFUNCTION("""COMPUTED_VALUE"""),"Kuijpers, Yunus; Kaczorowska, Joanna; Picavet, H Susan J; de Zeeuw-Brouwer, Mary-Lène; Kuijer, Marjan; Slits, Irene; Gijsbers, Esther; Rutkens, Ryanne; de Rond, Lia; Verschuren, W M Monique; Buisman, Anne-Marie")</f>
        <v>Kuijpers, Yunus; Kaczorowska, Joanna; Picavet, H Susan J; de Zeeuw-Brouwer, Mary-Lène; Kuijer, Marjan; Slits, Irene; Gijsbers, Esther; Rutkens, Ryanne; de Rond, Lia; Verschuren, W M Monique; Buisman, Anne-Marie</v>
      </c>
      <c r="AH14" s="32">
        <f>IFERROR(__xludf.DUMMYFUNCTION("""COMPUTED_VALUE"""),45580.0)</f>
        <v>45580</v>
      </c>
      <c r="AI14" s="31" t="str">
        <f>IFERROR(__xludf.DUMMYFUNCTION("""COMPUTED_VALUE"""),"Integrating telemedicine in routine heart failure management: Experiences of healthcare professionals - A qualitative study.")</f>
        <v>Integrating telemedicine in routine heart failure management: Experiences of healthcare professionals - A qualitative study.</v>
      </c>
      <c r="AJ14" s="31" t="str">
        <f>IFERROR(__xludf.DUMMYFUNCTION("""COMPUTED_VALUE"""),"van Eijk, Jorna; Trappenburg, Jaap; Asselbergs, Folkert W; Jaarsma, Tiny")</f>
        <v>van Eijk, Jorna; Trappenburg, Jaap; Asselbergs, Folkert W; Jaarsma, Tiny</v>
      </c>
      <c r="AK14" s="32">
        <f>IFERROR(__xludf.DUMMYFUNCTION("""COMPUTED_VALUE"""),45532.0)</f>
        <v>45532</v>
      </c>
      <c r="AL14" s="31" t="str">
        <f>IFERROR(__xludf.DUMMYFUNCTION("""COMPUTED_VALUE"""),"Applying natural language processing to patient messages to identify depression concerns in cancer patients.")</f>
        <v>Applying natural language processing to patient messages to identify depression concerns in cancer patients.</v>
      </c>
      <c r="AM14" s="31" t="str">
        <f>IFERROR(__xludf.DUMMYFUNCTION("""COMPUTED_VALUE"""),"van Buchem, Marieke M; de Hond, Anne A H; Fanconi, Claudio; Shah, Vaibhavi; Schuessler, Max; Kant, Ilse M J; Steyerberg, Ewout W; Hernandez-Boussard, Tina")</f>
        <v>van Buchem, Marieke M; de Hond, Anne A H; Fanconi, Claudio; Shah, Vaibhavi; Schuessler, Max; Kant, Ilse M J; Steyerberg, Ewout W; Hernandez-Boussard, Tina</v>
      </c>
      <c r="AN14" s="32">
        <f>IFERROR(__xludf.DUMMYFUNCTION("""COMPUTED_VALUE"""),45566.0)</f>
        <v>45566</v>
      </c>
    </row>
    <row r="15">
      <c r="A15" s="35">
        <v>2012.0</v>
      </c>
      <c r="B15" s="36">
        <f t="array" ref="B15">SUM(--(ISNUMBER(SEARCH(B$2, Data!$K:$K)) * (Data!$C:$C = $A15)))
</f>
        <v>13</v>
      </c>
      <c r="C15" s="36">
        <f t="array" ref="C15">SUM(--(ISNUMBER(SEARCH(C$2, Data!$K:$K)) * (Data!$C:$C = $A15)))
</f>
        <v>79</v>
      </c>
      <c r="D15" s="36">
        <f t="array" ref="D15">SUM(--(ISNUMBER(SEARCH(D$2, Data!$K:$K)) * (Data!$C:$C = $A15)))
</f>
        <v>58</v>
      </c>
      <c r="E15" s="36">
        <f t="array" ref="E15">SUM(--(ISNUMBER(SEARCH(E$2, Data!$K:$K)) * (Data!$C:$C = $A15)))
</f>
        <v>91</v>
      </c>
      <c r="F15" s="37">
        <f>COUNTIF(Data!C14:C9917,A15)</f>
        <v>133</v>
      </c>
      <c r="I15" s="31" t="str">
        <f>IFERROR(__xludf.DUMMYFUNCTION("""COMPUTED_VALUE"""),"british journal of clinical pharmacology")</f>
        <v>british journal of clinical pharmacology</v>
      </c>
      <c r="J15" s="38">
        <f>COUNTIF(Data!$F$2:$F9917, $I15)</f>
        <v>12</v>
      </c>
      <c r="K15" s="31" t="str">
        <f>IFERROR(__xludf.DUMMYFUNCTION("""COMPUTED_VALUE"""),"family practice")</f>
        <v>family practice</v>
      </c>
      <c r="L15" s="31">
        <f>IFERROR(__xludf.DUMMYFUNCTION("""COMPUTED_VALUE"""),49.0)</f>
        <v>49</v>
      </c>
      <c r="N15" s="31" t="str">
        <f t="shared" si="1"/>
        <v>family practice</v>
      </c>
      <c r="O15" s="30">
        <f t="array" ref="O15">SUM(--(ISNUMBER(SEARCH(O$2, Data!$K:$K)) * (Data!$F:$F = $N15)))
</f>
        <v>5</v>
      </c>
      <c r="P15" s="30">
        <f t="array" ref="P15">SUM(--(ISNUMBER(SEARCH(P$2, Data!$K:$K)) * (Data!$F:$F = $N15)))
</f>
        <v>9</v>
      </c>
      <c r="Q15" s="30">
        <f t="array" ref="Q15">SUM(--(ISNUMBER(SEARCH(Q$2, Data!$K:$K)) * (Data!$F:$F = $N15)))
</f>
        <v>45</v>
      </c>
      <c r="R15" s="30">
        <f t="array" ref="R15">SUM(--(ISNUMBER(SEARCH(R$2, Data!$K:$K)) * (Data!$F:$F = $N15)))
</f>
        <v>25</v>
      </c>
      <c r="S15" s="30">
        <f t="shared" si="2"/>
        <v>49</v>
      </c>
      <c r="T15" s="31" t="s">
        <v>24830</v>
      </c>
      <c r="U15" s="31" t="s">
        <v>24831</v>
      </c>
      <c r="V15" s="32">
        <v>45627.0</v>
      </c>
      <c r="X15" s="31" t="str">
        <f>IFERROR(__xludf.DUMMYFUNCTION("""COMPUTED_VALUE"""),"Immunosuppression for immune-related adverse events during checkpoint inhibition: an intricate balance.")</f>
        <v>Immunosuppression for immune-related adverse events during checkpoint inhibition: an intricate balance.</v>
      </c>
      <c r="Y15" s="31" t="str">
        <f>IFERROR(__xludf.DUMMYFUNCTION("""COMPUTED_VALUE"""),"Verheijden, Rik J; van Eijs, Mick J M; May, Anne M; van Wijk, Femke; Suijkerbuijk, Karijn P M")</f>
        <v>Verheijden, Rik J; van Eijs, Mick J M; May, Anne M; van Wijk, Femke; Suijkerbuijk, Karijn P M</v>
      </c>
      <c r="Z15" s="31">
        <f>IFERROR(__xludf.DUMMYFUNCTION("""COMPUTED_VALUE"""),2023.0)</f>
        <v>2023</v>
      </c>
      <c r="AA15" s="31">
        <f>IFERROR(__xludf.DUMMYFUNCTION("""COMPUTED_VALUE"""),14.0)</f>
        <v>14</v>
      </c>
      <c r="AC15" s="31"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AD15" s="31" t="str">
        <f>IFERROR(__xludf.DUMMYFUNCTION("""COMPUTED_VALUE"""),"Fankhauser, Christian D; Wettstein, Marian S; Würnschimmel, Christoph; van Smeden, Maarten; Clarke, Noel W")</f>
        <v>Fankhauser, Christian D; Wettstein, Marian S; Würnschimmel, Christoph; van Smeden, Maarten; Clarke, Noel W</v>
      </c>
      <c r="AE15" s="32">
        <f>IFERROR(__xludf.DUMMYFUNCTION("""COMPUTED_VALUE"""),45427.0)</f>
        <v>45427</v>
      </c>
      <c r="AF15" s="31" t="str">
        <f>IFERROR(__xludf.DUMMYFUNCTION("""COMPUTED_VALUE"""),"Family is all that matters: Prospective associations between structure, function, and quality of social relations and self-rated health in the National Social Life, Health, and Aging Project (NSHAP).")</f>
        <v>Family is all that matters: Prospective associations between structure, function, and quality of social relations and self-rated health in the National Social Life, Health, and Aging Project (NSHAP).</v>
      </c>
      <c r="AG15" s="31" t="str">
        <f>IFERROR(__xludf.DUMMYFUNCTION("""COMPUTED_VALUE"""),"Abreu, T C; Mackenbach, J D; Beulens, J W J; Vaartjes, I; Kawachi, I")</f>
        <v>Abreu, T C; Mackenbach, J D; Beulens, J W J; Vaartjes, I; Kawachi, I</v>
      </c>
      <c r="AH15" s="32">
        <f>IFERROR(__xludf.DUMMYFUNCTION("""COMPUTED_VALUE"""),45575.0)</f>
        <v>45575</v>
      </c>
      <c r="AI15" s="31" t="str">
        <f>IFERROR(__xludf.DUMMYFUNCTION("""COMPUTED_VALUE"""),"Exploring the barriers, facilitators and needs to use patient outcomes in district nursing care: A multi-method qualitative study.")</f>
        <v>Exploring the barriers, facilitators and needs to use patient outcomes in district nursing care: A multi-method qualitative study.</v>
      </c>
      <c r="AJ15" s="31" t="str">
        <f>IFERROR(__xludf.DUMMYFUNCTION("""COMPUTED_VALUE"""),"Veldhuizen, Jessica Desirée; Van Wijngaarden, Frans; Mikkers, Misja Chiljon; Schuurmans, Marieke Joanne; Bleijenberg, Nienke")</f>
        <v>Veldhuizen, Jessica Desirée; Van Wijngaarden, Frans; Mikkers, Misja Chiljon; Schuurmans, Marieke Joanne; Bleijenberg, Nienke</v>
      </c>
      <c r="AK15" s="32">
        <f>IFERROR(__xludf.DUMMYFUNCTION("""COMPUTED_VALUE"""),45527.0)</f>
        <v>45527</v>
      </c>
      <c r="AL15" s="31" t="str">
        <f>IFERROR(__xludf.DUMMYFUNCTION("""COMPUTED_VALUE"""),"Clusters of parental socioeconomic status in early childhood and inherited risk for cerebrovascular disease until mid-life-Northern Finland Birth Cohort 1966.")</f>
        <v>Clusters of parental socioeconomic status in early childhood and inherited risk for cerebrovascular disease until mid-life-Northern Finland Birth Cohort 1966.</v>
      </c>
      <c r="AM15" s="31" t="str">
        <f>IFERROR(__xludf.DUMMYFUNCTION("""COMPUTED_VALUE"""),"Hyytiäinen, Veronika; Ala-Mursula, Leena; Oura, Petteri; Paananen, Markus; Karhunen, Ville; Rusanen, Harri; Geerlings, Mirjam I; Miettunen, Jouko; Rissanen, Ina")</f>
        <v>Hyytiäinen, Veronika; Ala-Mursula, Leena; Oura, Petteri; Paananen, Markus; Karhunen, Ville; Rusanen, Harri; Geerlings, Mirjam I; Miettunen, Jouko; Rissanen, Ina</v>
      </c>
      <c r="AN15" s="32">
        <f>IFERROR(__xludf.DUMMYFUNCTION("""COMPUTED_VALUE"""),45565.0)</f>
        <v>45565</v>
      </c>
    </row>
    <row r="16">
      <c r="A16" s="35">
        <v>2013.0</v>
      </c>
      <c r="B16" s="36">
        <f t="array" ref="B16">SUM(--(ISNUMBER(SEARCH(B$2, Data!$K:$K)) * (Data!$C:$C = $A16)))
</f>
        <v>22</v>
      </c>
      <c r="C16" s="36">
        <f t="array" ref="C16">SUM(--(ISNUMBER(SEARCH(C$2, Data!$K:$K)) * (Data!$C:$C = $A16)))
</f>
        <v>99</v>
      </c>
      <c r="D16" s="36">
        <f t="array" ref="D16">SUM(--(ISNUMBER(SEARCH(D$2, Data!$K:$K)) * (Data!$C:$C = $A16)))
</f>
        <v>77</v>
      </c>
      <c r="E16" s="36">
        <f t="array" ref="E16">SUM(--(ISNUMBER(SEARCH(E$2, Data!$K:$K)) * (Data!$C:$C = $A16)))
</f>
        <v>114</v>
      </c>
      <c r="F16" s="37">
        <f>COUNTIF(Data!C15:C9917,A16)</f>
        <v>164</v>
      </c>
      <c r="I16" s="31" t="str">
        <f>IFERROR(__xludf.DUMMYFUNCTION("""COMPUTED_VALUE"""),"scientific reports")</f>
        <v>scientific reports</v>
      </c>
      <c r="J16" s="38">
        <f>COUNTIF(Data!$F$2:$F9917, $I16)</f>
        <v>45</v>
      </c>
      <c r="K16" s="31" t="str">
        <f>IFERROR(__xludf.DUMMYFUNCTION("""COMPUTED_VALUE"""),"atherosclerosis")</f>
        <v>atherosclerosis</v>
      </c>
      <c r="L16" s="31">
        <f>IFERROR(__xludf.DUMMYFUNCTION("""COMPUTED_VALUE"""),47.0)</f>
        <v>47</v>
      </c>
      <c r="N16" s="31" t="str">
        <f t="shared" si="1"/>
        <v>atherosclerosis</v>
      </c>
      <c r="O16" s="30">
        <f t="array" ref="O16">SUM(--(ISNUMBER(SEARCH(O$2, Data!$K:$K)) * (Data!$F:$F = $N16)))
</f>
        <v>1</v>
      </c>
      <c r="P16" s="30">
        <f t="array" ref="P16">SUM(--(ISNUMBER(SEARCH(P$2, Data!$K:$K)) * (Data!$F:$F = $N16)))
</f>
        <v>44</v>
      </c>
      <c r="Q16" s="30">
        <f t="array" ref="Q16">SUM(--(ISNUMBER(SEARCH(Q$2, Data!$K:$K)) * (Data!$F:$F = $N16)))
</f>
        <v>33</v>
      </c>
      <c r="R16" s="30">
        <f t="array" ref="R16">SUM(--(ISNUMBER(SEARCH(R$2, Data!$K:$K)) * (Data!$F:$F = $N16)))
</f>
        <v>43</v>
      </c>
      <c r="S16" s="30">
        <f t="shared" si="2"/>
        <v>47</v>
      </c>
      <c r="T16" s="31" t="s">
        <v>24868</v>
      </c>
      <c r="U16" s="31" t="s">
        <v>24869</v>
      </c>
      <c r="V16" s="32">
        <v>45627.0</v>
      </c>
      <c r="X16" s="31" t="str">
        <f>IFERROR(__xludf.DUMMYFUNCTION("""COMPUTED_VALUE"""),"Diagnostic yield and safety of navigation bronchoscopy: A systematic review and meta-analysis.")</f>
        <v>Diagnostic yield and safety of navigation bronchoscopy: A systematic review and meta-analysis.</v>
      </c>
      <c r="Y16" s="31" t="str">
        <f>IFERROR(__xludf.DUMMYFUNCTION("""COMPUTED_VALUE"""),"Kops, Stephan E P; Heus, Pauline; Korevaar, Daniël A; Damen, Johanna A A; Idema, Demy L; Verhoeven, Roel L J; Annema, Jouke T; Hooft, Lotty; van der Heijden, Erik H F M")</f>
        <v>Kops, Stephan E P; Heus, Pauline; Korevaar, Daniël A; Damen, Johanna A A; Idema, Demy L; Verhoeven, Roel L J; Annema, Jouke T; Hooft, Lotty; van der Heijden, Erik H F M</v>
      </c>
      <c r="Z16" s="31">
        <f>IFERROR(__xludf.DUMMYFUNCTION("""COMPUTED_VALUE"""),2023.0)</f>
        <v>2023</v>
      </c>
      <c r="AA16" s="31">
        <f>IFERROR(__xludf.DUMMYFUNCTION("""COMPUTED_VALUE"""),14.0)</f>
        <v>14</v>
      </c>
      <c r="AC16" s="31" t="str">
        <f>IFERROR(__xludf.DUMMYFUNCTION("""COMPUTED_VALUE"""),"Integrative multi-omics analyses to identify the genetic and functional mechanisms underlying ovarian cancer risk regions.")</f>
        <v>Integrative multi-omics analyses to identify the genetic and functional mechanisms underlying ovarian cancer risk regions.</v>
      </c>
      <c r="AD16" s="31" t="str">
        <f>IFERROR(__xludf.DUMMYFUNCTION("""COMPUTED_VALUE"""),"Dareng, Eileen O; Coetzee, Simon G; Tyrer, Jonathan P; Peng, Pei-Chen; Rosenow, Will; Chen, Stephanie; Davis, Brian D; Dezem, Felipe Segato; Seo, Ji-Heui; Nameki, Robbin; Reyes, Alberto L; Aben, Katja K H; Anton-Culver, Hoda; Antonenkova, Natalia N; Arava"&amp;"ntinos, Gerasimos; Bandera, Elisa V; Beane Freeman, Laura E; Beckmann, Matthias W; Beeghly-Fadiel, Alicia; Benitez, Javier; Bernardini, Marcus Q; Bjorge, Line; Black, Amanda; Bogdanova, Natalia V; Bolton, Kelly L; Brenton, James D; Budzilowska, Agnieszka;"&amp;" Butzow, Ralf; Cai, Hui; Campbell, Ian; Cannioto, Rikki; Chang-Claude, Jenny; Chanock, Stephen J; Chen, Kexin; Chenevix-Trench, Georgia; ,; Chiew, Yoke-Eng; Cook, Linda S; DeFazio, Anna; Dennis, Joe; Doherty, Jennifer A; Dörk, Thilo; du Bois, Andreas; Dür"&amp;"st, Matthias; Eccles, Diana M; Ene, Gabrielle; Fasching, Peter A; Flanagan, James M; Fortner, Renée T; Fostira, Florentia; Gentry-Maharaj, Aleksandra; Giles, Graham G; Goodman, Marc T; Gronwald, Jacek; Haiman, Christopher A; Håkansson,")</f>
        <v>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v>
      </c>
      <c r="AE16" s="32">
        <f>IFERROR(__xludf.DUMMYFUNCTION("""COMPUTED_VALUE"""),45420.0)</f>
        <v>45420</v>
      </c>
      <c r="AF16" s="31" t="str">
        <f>IFERROR(__xludf.DUMMYFUNCTION("""COMPUTED_VALUE"""),"Time-varying exposure to food retailers and cardiovascular disease hospitalization and mortality in the netherlands: a nationwide prospective cohort study.")</f>
        <v>Time-varying exposure to food retailers and cardiovascular disease hospitalization and mortality in the netherlands: a nationwide prospective cohort study.</v>
      </c>
      <c r="AG16" s="31" t="str">
        <f>IFERROR(__xludf.DUMMYFUNCTION("""COMPUTED_VALUE"""),"Pinho, Maria Gabriela M; Koop, Yvonne; Mackenbach, Joreintje D; Lakerveld, Jeroen; Simões, Mariana; Vermeulen, Roel; Wagtendonk, Alfred J; Vaartjes, Ilonca; Beulens, Joline W J")</f>
        <v>Pinho, Maria Gabriela M; Koop, Yvonne; Mackenbach, Joreintje D; Lakerveld, Jeroen; Simões, Mariana; Vermeulen, Roel; Wagtendonk, Alfred J; Vaartjes, Ilonca; Beulens, Joline W J</v>
      </c>
      <c r="AH16" s="32">
        <f>IFERROR(__xludf.DUMMYFUNCTION("""COMPUTED_VALUE"""),45573.0)</f>
        <v>45573</v>
      </c>
      <c r="AI16" s="31" t="str">
        <f>IFERROR(__xludf.DUMMYFUNCTION("""COMPUTED_VALUE"""),"The Practical Application of the Individual Care Plan for Pediatric Palliative Care: A Mixed-Method Study.")</f>
        <v>The Practical Application of the Individual Care Plan for Pediatric Palliative Care: A Mixed-Method Study.</v>
      </c>
      <c r="AJ16" s="31" t="str">
        <f>IFERROR(__xludf.DUMMYFUNCTION("""COMPUTED_VALUE"""),"Joren, Chantal Y; Aris-Meijer, Judith L; Kremer, Leontien C M; Hofman, Suzanne C; Rippen-Wagner, Hester; Slingerland-Blom, Ria; van der Velden, Chantal; Schuiling-Otten, Meggi A; Project Team Icp,; Verhagen, A A Eduard; Kars, Marijke C")</f>
        <v>Joren, Chantal Y; Aris-Meijer, Judith L; Kremer, Leontien C M; Hofman, Suzanne C; Rippen-Wagner, Hester; Slingerland-Blom, Ria; van der Velden, Chantal; Schuiling-Otten, Meggi A; Project Team Icp,; Verhagen, A A Eduard; Kars, Marijke C</v>
      </c>
      <c r="AK16" s="32">
        <f>IFERROR(__xludf.DUMMYFUNCTION("""COMPUTED_VALUE"""),45515.0)</f>
        <v>45515</v>
      </c>
      <c r="AL16" s="31" t="str">
        <f>IFERROR(__xludf.DUMMYFUNCTION("""COMPUTED_VALUE"""),"Efficacy and safety in early-phase clinical trials for refractory colorectal cancer: A meta-analysis.")</f>
        <v>Efficacy and safety in early-phase clinical trials for refractory colorectal cancer: A meta-analysis.</v>
      </c>
      <c r="AM16" s="31" t="str">
        <f>IFERROR(__xludf.DUMMYFUNCTION("""COMPUTED_VALUE"""),"Smabers, Lidwien P; Huismans, Maarten A; van Nieuwenhuijzen, Niels; Minnema, Monique C; Kranenburg, Onno; Koopman, Miriam; Snippert, Hugo J G; May, Anne M; Roodhart, Jeanine M L")</f>
        <v>Smabers, Lidwien P; Huismans, Maarten A; van Nieuwenhuijzen, Niels; Minnema, Monique C; Kranenburg, Onno; Koopman, Miriam; Snippert, Hugo J G; May, Anne M; Roodhart, Jeanine M L</v>
      </c>
      <c r="AN16" s="32">
        <f>IFERROR(__xludf.DUMMYFUNCTION("""COMPUTED_VALUE"""),45565.0)</f>
        <v>45565</v>
      </c>
    </row>
    <row r="17">
      <c r="A17" s="35">
        <v>2014.0</v>
      </c>
      <c r="B17" s="36">
        <f t="array" ref="B17">SUM(--(ISNUMBER(SEARCH(B$2, Data!$K:$K)) * (Data!$C:$C = $A17)))
</f>
        <v>36</v>
      </c>
      <c r="C17" s="36">
        <f t="array" ref="C17">SUM(--(ISNUMBER(SEARCH(C$2, Data!$K:$K)) * (Data!$C:$C = $A17)))
</f>
        <v>184</v>
      </c>
      <c r="D17" s="36">
        <f t="array" ref="D17">SUM(--(ISNUMBER(SEARCH(D$2, Data!$K:$K)) * (Data!$C:$C = $A17)))
</f>
        <v>139</v>
      </c>
      <c r="E17" s="36">
        <f t="array" ref="E17">SUM(--(ISNUMBER(SEARCH(E$2, Data!$K:$K)) * (Data!$C:$C = $A17)))
</f>
        <v>212</v>
      </c>
      <c r="F17" s="37">
        <f>COUNTIF(Data!C16:C9917,A17)</f>
        <v>298</v>
      </c>
      <c r="I17" s="31" t="str">
        <f>IFERROR(__xludf.DUMMYFUNCTION("""COMPUTED_VALUE"""),"journal of advanced nursing")</f>
        <v>journal of advanced nursing</v>
      </c>
      <c r="J17" s="38">
        <f>COUNTIF(Data!$F$2:$F9917, $I17)</f>
        <v>10</v>
      </c>
      <c r="K17" s="31" t="str">
        <f>IFERROR(__xludf.DUMMYFUNCTION("""COMPUTED_VALUE"""),"bmc medicine")</f>
        <v>bmc medicine</v>
      </c>
      <c r="L17" s="31">
        <f>IFERROR(__xludf.DUMMYFUNCTION("""COMPUTED_VALUE"""),46.0)</f>
        <v>46</v>
      </c>
      <c r="N17" s="31" t="str">
        <f t="shared" si="1"/>
        <v>bmc medicine</v>
      </c>
      <c r="O17" s="30">
        <f t="array" ref="O17">SUM(--(ISNUMBER(SEARCH(O$2, Data!$K:$K)) * (Data!$F:$F = $N17)))
</f>
        <v>10</v>
      </c>
      <c r="P17" s="30">
        <f t="array" ref="P17">SUM(--(ISNUMBER(SEARCH(P$2, Data!$K:$K)) * (Data!$F:$F = $N17)))
</f>
        <v>23</v>
      </c>
      <c r="Q17" s="30">
        <f t="array" ref="Q17">SUM(--(ISNUMBER(SEARCH(Q$2, Data!$K:$K)) * (Data!$F:$F = $N17)))
</f>
        <v>15</v>
      </c>
      <c r="R17" s="30">
        <f t="array" ref="R17">SUM(--(ISNUMBER(SEARCH(R$2, Data!$K:$K)) * (Data!$F:$F = $N17)))
</f>
        <v>30</v>
      </c>
      <c r="S17" s="30">
        <f t="shared" si="2"/>
        <v>46</v>
      </c>
      <c r="T17" s="31" t="s">
        <v>25153</v>
      </c>
      <c r="U17" s="31" t="s">
        <v>25154</v>
      </c>
      <c r="V17" s="32">
        <v>45627.0</v>
      </c>
      <c r="X17" s="31" t="str">
        <f>IFERROR(__xludf.DUMMYFUNCTION("""COMPUTED_VALUE"""),"Metastatic Colorectal Cancer Treatment Response Evaluation by Ultra-Deep Sequencing of Cell-Free DNA and Matched White Blood Cells.")</f>
        <v>Metastatic Colorectal Cancer Treatment Response Evaluation by Ultra-Deep Sequencing of Cell-Free DNA and Matched White Blood Cells.</v>
      </c>
      <c r="Y17" s="31" t="str">
        <f>IFERROR(__xludf.DUMMYFUNCTION("""COMPUTED_VALUE"""),"van 't Erve, Iris; Medina, Jamie E; Leal, Alessandro; Papp, Eniko; Phallen, Jillian; Adleff, Vilmos; Chiao, Elaine Jiayuee; Arun, Adith S; Bolhuis, Karen; Simmons, John K; Karandikar, Aanavi; Valkenburg, Kenneth C; Sausen, Mark; Angiuoli, Samuel V; Scharp"&amp;"f, Robert B; Punt, Cornelis J A; Meijer, Gerrit A; Velculescu, Victor E; Fijneman, Remond J A")</f>
        <v>van 't Erve, Iris; Medina, Jamie E; Leal, Alessandro; Papp, Eniko; Phallen, Jillian; Adleff, Vilmos; Chiao, Elaine Jiayuee; Arun, Adith S; Bolhuis, Karen; Simmons, John K; Karandikar, Aanavi; Valkenburg, Kenneth C; Sausen, Mark; Angiuoli, Samuel V; Scharpf, Robert B; Punt, Cornelis J A; Meijer, Gerrit A; Velculescu, Victor E; Fijneman, Remond J A</v>
      </c>
      <c r="Z17" s="31">
        <f>IFERROR(__xludf.DUMMYFUNCTION("""COMPUTED_VALUE"""),2023.0)</f>
        <v>2023</v>
      </c>
      <c r="AA17" s="31">
        <f>IFERROR(__xludf.DUMMYFUNCTION("""COMPUTED_VALUE"""),14.0)</f>
        <v>14</v>
      </c>
      <c r="AC17" s="31" t="str">
        <f>IFERROR(__xludf.DUMMYFUNCTION("""COMPUTED_VALUE"""),"The reliability and validity of the juvenile idiopathic arthritis magnetic resonance scoring system for temporomandibular joints.")</f>
        <v>The reliability and validity of the juvenile idiopathic arthritis magnetic resonance scoring system for temporomandibular joints.</v>
      </c>
      <c r="AD17" s="31" t="str">
        <f>IFERROR(__xludf.DUMMYFUNCTION("""COMPUTED_VALUE"""),"de Sonnaville, Willemijn F C; Speksnijder, Caroline M; Zuithoff, Nicolaas P A; Ter Horst, Simone A J; Nap, Frank J; Wulffraat, Nico M; Steenks, Michel H; Rosenberg, Antoine J W P")</f>
        <v>de Sonnaville, Willemijn F C; Speksnijder, Caroline M; Zuithoff, Nicolaas P A; Ter Horst, Simone A J; Nap, Frank J; Wulffraat, Nico M; Steenks, Michel H; Rosenberg, Antoine J W P</v>
      </c>
      <c r="AE17" s="32">
        <f>IFERROR(__xludf.DUMMYFUNCTION("""COMPUTED_VALUE"""),45412.0)</f>
        <v>45412</v>
      </c>
      <c r="AF17" s="31" t="str">
        <f>IFERROR(__xludf.DUMMYFUNCTION("""COMPUTED_VALUE"""),"Combination blood pressure lowering therapy in patients with type 2 diabetes: messages from the ADVANCE trial.")</f>
        <v>Combination blood pressure lowering therapy in patients with type 2 diabetes: messages from the ADVANCE trial.</v>
      </c>
      <c r="AG17" s="31" t="str">
        <f>IFERROR(__xludf.DUMMYFUNCTION("""COMPUTED_VALUE"""),"Wang, Nelson; Chalmers, John; Harris, Katie; Poulter, Neil; Mancia, Giuseppe; Harrap, Stephen; Hamet, Pavel; Grobbee, Diederick E; Marre, Michel; Woodward, Mark")</f>
        <v>Wang, Nelson; Chalmers, John; Harris, Katie; Poulter, Neil; Mancia, Giuseppe; Harrap, Stephen; Hamet, Pavel; Grobbee, Diederick E; Marre, Michel; Woodward, Mark</v>
      </c>
      <c r="AH17" s="32">
        <f>IFERROR(__xludf.DUMMYFUNCTION("""COMPUTED_VALUE"""),45573.0)</f>
        <v>45573</v>
      </c>
      <c r="AI17" s="31" t="str">
        <f>IFERROR(__xludf.DUMMYFUNCTION("""COMPUTED_VALUE"""),"Experiences with a national team-based learning program for advance care planning in pediatric palliative care.")</f>
        <v>Experiences with a national team-based learning program for advance care planning in pediatric palliative care.</v>
      </c>
      <c r="AJ17" s="31" t="str">
        <f>IFERROR(__xludf.DUMMYFUNCTION("""COMPUTED_VALUE"""),"Engel, Marijanne; Fahner, Jurrianne C; Hennus, Marije P; ,; Kars, Marijke C")</f>
        <v>Engel, Marijanne; Fahner, Jurrianne C; Hennus, Marije P; ,; Kars, Marijke C</v>
      </c>
      <c r="AK17" s="32">
        <f>IFERROR(__xludf.DUMMYFUNCTION("""COMPUTED_VALUE"""),45507.0)</f>
        <v>45507</v>
      </c>
      <c r="AL17" s="31" t="str">
        <f>IFERROR(__xludf.DUMMYFUNCTION("""COMPUTED_VALUE"""),"Sex differences in cognitive functioning in patients with heart failure.")</f>
        <v>Sex differences in cognitive functioning in patients with heart failure.</v>
      </c>
      <c r="AM17" s="31" t="str">
        <f>IFERROR(__xludf.DUMMYFUNCTION("""COMPUTED_VALUE"""),"Kuipers, Sanne; Kappelle, L Jaap; Greving, Jacoba P; Amier, Raquel P; de Bresser, Jeroen; Bron, Esther E; Leeuwis, Anna E; Marcks, Nick; den Ruijter, Hester M; Biessels, Geert Jan; Exalto, Lieza G; ,")</f>
        <v>Kuipers, Sanne; Kappelle, L Jaap; Greving, Jacoba P; Amier, Raquel P; de Bresser, Jeroen; Bron, Esther E; Leeuwis, Anna E; Marcks, Nick; den Ruijter, Hester M; Biessels, Geert Jan; Exalto, Lieza G; ,</v>
      </c>
      <c r="AN17" s="32">
        <f>IFERROR(__xludf.DUMMYFUNCTION("""COMPUTED_VALUE"""),45562.0)</f>
        <v>45562</v>
      </c>
    </row>
    <row r="18">
      <c r="A18" s="35">
        <v>2015.0</v>
      </c>
      <c r="B18" s="36">
        <f t="array" ref="B18">SUM(--(ISNUMBER(SEARCH(B$2, Data!$K:$K)) * (Data!$C:$C = $A18)))
</f>
        <v>54</v>
      </c>
      <c r="C18" s="36">
        <f t="array" ref="C18">SUM(--(ISNUMBER(SEARCH(C$2, Data!$K:$K)) * (Data!$C:$C = $A18)))
</f>
        <v>253</v>
      </c>
      <c r="D18" s="36">
        <f t="array" ref="D18">SUM(--(ISNUMBER(SEARCH(D$2, Data!$K:$K)) * (Data!$C:$C = $A18)))
</f>
        <v>182</v>
      </c>
      <c r="E18" s="36">
        <f t="array" ref="E18">SUM(--(ISNUMBER(SEARCH(E$2, Data!$K:$K)) * (Data!$C:$C = $A18)))
</f>
        <v>312</v>
      </c>
      <c r="F18" s="37">
        <f>COUNTIF(Data!C17:C9917,A18)</f>
        <v>431</v>
      </c>
      <c r="I18" s="31" t="str">
        <f>IFERROR(__xludf.DUMMYFUNCTION("""COMPUTED_VALUE"""),"environmental pollution barking essex")</f>
        <v>environmental pollution barking essex</v>
      </c>
      <c r="J18" s="38">
        <f>COUNTIF(Data!$F$2:$F9917, $I18)</f>
        <v>4</v>
      </c>
      <c r="K18" s="31" t="str">
        <f>IFERROR(__xludf.DUMMYFUNCTION("""COMPUTED_VALUE"""),"scientific reports")</f>
        <v>scientific reports</v>
      </c>
      <c r="L18" s="31">
        <f>IFERROR(__xludf.DUMMYFUNCTION("""COMPUTED_VALUE"""),45.0)</f>
        <v>45</v>
      </c>
      <c r="N18" s="31" t="str">
        <f t="shared" si="1"/>
        <v>scientific reports</v>
      </c>
      <c r="O18" s="30">
        <f t="array" ref="O18">SUM(--(ISNUMBER(SEARCH(O$2, Data!$K:$K)) * (Data!$F:$F = $N18)))
</f>
        <v>8</v>
      </c>
      <c r="P18" s="30">
        <f t="array" ref="P18">SUM(--(ISNUMBER(SEARCH(P$2, Data!$K:$K)) * (Data!$F:$F = $N18)))
</f>
        <v>23</v>
      </c>
      <c r="Q18" s="30">
        <f t="array" ref="Q18">SUM(--(ISNUMBER(SEARCH(Q$2, Data!$K:$K)) * (Data!$F:$F = $N18)))
</f>
        <v>14</v>
      </c>
      <c r="R18" s="30">
        <f t="array" ref="R18">SUM(--(ISNUMBER(SEARCH(R$2, Data!$K:$K)) * (Data!$F:$F = $N18)))
</f>
        <v>26</v>
      </c>
      <c r="S18" s="30">
        <f t="shared" si="2"/>
        <v>45</v>
      </c>
      <c r="T18" s="31" t="s">
        <v>25267</v>
      </c>
      <c r="U18" s="31" t="s">
        <v>25268</v>
      </c>
      <c r="V18" s="32">
        <v>45627.0</v>
      </c>
      <c r="X18" s="31" t="str">
        <f>IFERROR(__xludf.DUMMYFUNCTION("""COMPUTED_VALUE"""),"EGFR-targeted fluorescence molecular imaging for intraoperative margin assessment in oral cancer patients: a phase II trial.")</f>
        <v>EGFR-targeted fluorescence molecular imaging for intraoperative margin assessment in oral cancer patients: a phase II trial.</v>
      </c>
      <c r="Y18" s="31" t="str">
        <f>IFERROR(__xludf.DUMMYFUNCTION("""COMPUTED_VALUE"""),"de Wit, Jaron G; Vonk, Jasper; Voskuil, Floris J; de Visscher, Sebastiaan A H J; Schepman, Kees-Pieter; Hooghiemstra, Wouter T R; Linssen, Matthijs D; Elias, Sjoerd G; Halmos, Gyorgy B; Plaat, Boudewijn E C; Doff, Jan J; Rosenthal, Eben L; Robinson, Domin"&amp;"ic; van der Vegt, Bert; Nagengast, Wouter B; van Dam, Gooitzen M; Witjes, Max J H")</f>
        <v>de Wit, Jaron G; Vonk, Jasper; Voskuil, Floris J; de Visscher, Sebastiaan A H J; Schepman, Kees-Pieter; Hooghiemstra, Wouter T R; Linssen, Matthijs D; Elias, Sjoerd G; Halmos, Gyorgy B; Plaat, Boudewijn E C; Doff, Jan J; Rosenthal, Eben L; Robinson, Dominic; van der Vegt, Bert; Nagengast, Wouter B; van Dam, Gooitzen M; Witjes, Max J H</v>
      </c>
      <c r="Z18" s="31">
        <f>IFERROR(__xludf.DUMMYFUNCTION("""COMPUTED_VALUE"""),2023.0)</f>
        <v>2023</v>
      </c>
      <c r="AA18" s="31">
        <f>IFERROR(__xludf.DUMMYFUNCTION("""COMPUTED_VALUE"""),13.0)</f>
        <v>13</v>
      </c>
      <c r="AC18" s="31" t="str">
        <f>IFERROR(__xludf.DUMMYFUNCTION("""COMPUTED_VALUE"""),"Statin therapy and cardiovascular protection in type 2 diabetes: The role of baseline LDL-Cholesterol levels. A systematic review and meta-analysis of observational studies.")</f>
        <v>Statin therapy and cardiovascular protection in type 2 diabetes: The role of baseline LDL-Cholesterol levels. A systematic review and meta-analysis of observational studies.</v>
      </c>
      <c r="AD18" s="31" t="str">
        <f>IFERROR(__xludf.DUMMYFUNCTION("""COMPUTED_VALUE"""),"Soroush, Negin; Nekouei Shahraki, Mitra; Mohammadi Jouabadi, Soroush; Amiri, Masoud; Aribas, Elif; Stricker, Bruno H; Ahmadizar, Fariba")</f>
        <v>Soroush, Negin; Nekouei Shahraki, Mitra; Mohammadi Jouabadi, Soroush; Amiri, Masoud; Aribas, Elif; Stricker, Bruno H; Ahmadizar, Fariba</v>
      </c>
      <c r="AE18" s="32">
        <f>IFERROR(__xludf.DUMMYFUNCTION("""COMPUTED_VALUE"""),45409.0)</f>
        <v>45409</v>
      </c>
      <c r="AF18" s="31" t="str">
        <f>IFERROR(__xludf.DUMMYFUNCTION("""COMPUTED_VALUE"""),"A multi-dimensional Sustainable Diet Index (SDI) for Ghanaian adults under transition: the RODAM Study.")</f>
        <v>A multi-dimensional Sustainable Diet Index (SDI) for Ghanaian adults under transition: the RODAM Study.</v>
      </c>
      <c r="AG18" s="31" t="str">
        <f>IFERROR(__xludf.DUMMYFUNCTION("""COMPUTED_VALUE"""),"Okekunle, Akinkunmi Paul; Nicolaou, Mary; De Allegri, Manuela; Meeks, Karlijn A C; Osei-Kwasi, Hibbah; Stockemer, Julia; de-Graft Aikins, Ama; Agbemafle, Isaac; Bahendeka, Silver; Boateng, Daniel; Klipstein-Grobusch, Kerstin; Beune, Erik; Agyemang, Charle"&amp;"s; Schulze, Matthias B; Danquah, Ina")</f>
        <v>Okekunle, Akinkunmi Paul; Nicolaou, Mary; De Allegri, Manuela; Meeks, Karlijn A C; Osei-Kwasi, Hibbah; Stockemer, Julia; de-Graft Aikins, Ama; Agbemafle, Isaac; Bahendeka, Silver; Boateng, Daniel; Klipstein-Grobusch, Kerstin; Beune, Erik; Agyemang, Charles; Schulze, Matthias B; Danquah, Ina</v>
      </c>
      <c r="AH18" s="32">
        <f>IFERROR(__xludf.DUMMYFUNCTION("""COMPUTED_VALUE"""),45566.0)</f>
        <v>45566</v>
      </c>
      <c r="AI18" s="31" t="str">
        <f>IFERROR(__xludf.DUMMYFUNCTION("""COMPUTED_VALUE"""),"What Happened?': Perceptions of Patients with Hypertension of Conflicting Results between Self-Reported Medication Adherence and Chemical Adherence Testing: A Qualitative Study.")</f>
        <v>What Happened?': Perceptions of Patients with Hypertension of Conflicting Results between Self-Reported Medication Adherence and Chemical Adherence Testing: A Qualitative Study.</v>
      </c>
      <c r="AJ18" s="31" t="str">
        <f>IFERROR(__xludf.DUMMYFUNCTION("""COMPUTED_VALUE"""),"Soldan, Sara; Flint, Corien; Jaarsma, Tiny; Westland, Heleen")</f>
        <v>Soldan, Sara; Flint, Corien; Jaarsma, Tiny; Westland, Heleen</v>
      </c>
      <c r="AK18" s="32">
        <f>IFERROR(__xludf.DUMMYFUNCTION("""COMPUTED_VALUE"""),45495.0)</f>
        <v>45495</v>
      </c>
      <c r="AL18" s="31" t="str">
        <f>IFERROR(__xludf.DUMMYFUNCTION("""COMPUTED_VALUE"""),"Prediction of Severe Baseline Asymptomatic Carotid Stenosis and Subsequent Risk of Stroke and Cardiovascular Disease.")</f>
        <v>Prediction of Severe Baseline Asymptomatic Carotid Stenosis and Subsequent Risk of Stroke and Cardiovascular Disease.</v>
      </c>
      <c r="AM18" s="31" t="str">
        <f>IFERROR(__xludf.DUMMYFUNCTION("""COMPUTED_VALUE"""),"Poorthuis, Michiel H F; Hageman, Steven H J; Fiolet, Aernoud T L; Kappelle, L Jaap; Bots, Michiel L; Steg, Ph Gabriel; Visseren, Frank L J; Bhatt, Deepak L; de Borst, Gert J")</f>
        <v>Poorthuis, Michiel H F; Hageman, Steven H J; Fiolet, Aernoud T L; Kappelle, L Jaap; Bots, Michiel L; Steg, Ph Gabriel; Visseren, Frank L J; Bhatt, Deepak L; de Borst, Gert J</v>
      </c>
      <c r="AN18" s="32">
        <f>IFERROR(__xludf.DUMMYFUNCTION("""COMPUTED_VALUE"""),45560.0)</f>
        <v>45560</v>
      </c>
    </row>
    <row r="19">
      <c r="A19" s="35">
        <v>2016.0</v>
      </c>
      <c r="B19" s="36">
        <f t="array" ref="B19">SUM(--(ISNUMBER(SEARCH(B$2, Data!$K:$K)) * (Data!$C:$C = $A19)))
</f>
        <v>51</v>
      </c>
      <c r="C19" s="36">
        <f t="array" ref="C19">SUM(--(ISNUMBER(SEARCH(C$2, Data!$K:$K)) * (Data!$C:$C = $A19)))
</f>
        <v>262</v>
      </c>
      <c r="D19" s="36">
        <f t="array" ref="D19">SUM(--(ISNUMBER(SEARCH(D$2, Data!$K:$K)) * (Data!$C:$C = $A19)))
</f>
        <v>192</v>
      </c>
      <c r="E19" s="36">
        <f t="array" ref="E19">SUM(--(ISNUMBER(SEARCH(E$2, Data!$K:$K)) * (Data!$C:$C = $A19)))
</f>
        <v>300</v>
      </c>
      <c r="F19" s="37">
        <f>COUNTIF(Data!C18:C9917,A19)</f>
        <v>426</v>
      </c>
      <c r="I19" s="31" t="str">
        <f>IFERROR(__xludf.DUMMYFUNCTION("""COMPUTED_VALUE"""),"intensive care medicine experimental")</f>
        <v>intensive care medicine experimental</v>
      </c>
      <c r="J19" s="38">
        <f>COUNTIF(Data!$F$2:$F9917, $I19)</f>
        <v>1</v>
      </c>
      <c r="K19" s="31" t="str">
        <f>IFERROR(__xludf.DUMMYFUNCTION("""COMPUTED_VALUE"""),"neurology")</f>
        <v>neurology</v>
      </c>
      <c r="L19" s="31">
        <f>IFERROR(__xludf.DUMMYFUNCTION("""COMPUTED_VALUE"""),43.0)</f>
        <v>43</v>
      </c>
      <c r="N19" s="31" t="str">
        <f t="shared" si="1"/>
        <v>neurology</v>
      </c>
      <c r="O19" s="30">
        <f t="array" ref="O19">SUM(--(ISNUMBER(SEARCH(O$2, Data!$K:$K)) * (Data!$F:$F = $N19)))
</f>
        <v>7</v>
      </c>
      <c r="P19" s="30">
        <f t="array" ref="P19">SUM(--(ISNUMBER(SEARCH(P$2, Data!$K:$K)) * (Data!$F:$F = $N19)))
</f>
        <v>22</v>
      </c>
      <c r="Q19" s="30">
        <f t="array" ref="Q19">SUM(--(ISNUMBER(SEARCH(Q$2, Data!$K:$K)) * (Data!$F:$F = $N19)))
</f>
        <v>14</v>
      </c>
      <c r="R19" s="30">
        <f t="array" ref="R19">SUM(--(ISNUMBER(SEARCH(R$2, Data!$K:$K)) * (Data!$F:$F = $N19)))
</f>
        <v>31</v>
      </c>
      <c r="S19" s="30">
        <f t="shared" si="2"/>
        <v>43</v>
      </c>
      <c r="T19" s="31" t="s">
        <v>25947</v>
      </c>
      <c r="U19" s="31" t="s">
        <v>25948</v>
      </c>
      <c r="V19" s="32">
        <v>45627.0</v>
      </c>
      <c r="X19" s="31" t="str">
        <f>IFERROR(__xludf.DUMMYFUNCTION("""COMPUTED_VALUE"""),"Definitions of Urinary Tract Infection in Current Research: A Systematic Review.")</f>
        <v>Definitions of Urinary Tract Infection in Current Research: A Systematic Review.</v>
      </c>
      <c r="Y19" s="31" t="str">
        <f>IFERROR(__xludf.DUMMYFUNCTION("""COMPUTED_VALUE"""),"Bilsen, Manu P; Jongeneel, Rosa M H; Schneeberger, Caroline; Platteel, Tamara N; van Nieuwkoop, Cees; Mody, Lona; Caterino, Jeffrey M; Geerlings, Suzanne E; Köves, Bela; Wagenlehner, Florian; Conroy, Simon P; Visser, Leo G; Lambregts, Merel M C")</f>
        <v>Bilsen, Manu P; Jongeneel, Rosa M H; Schneeberger, Caroline; Platteel, Tamara N; van Nieuwkoop, Cees; Mody, Lona; Caterino, Jeffrey M; Geerlings, Suzanne E; Köves, Bela; Wagenlehner, Florian; Conroy, Simon P; Visser, Leo G; Lambregts, Merel M C</v>
      </c>
      <c r="Z19" s="31">
        <f>IFERROR(__xludf.DUMMYFUNCTION("""COMPUTED_VALUE"""),2023.0)</f>
        <v>2023</v>
      </c>
      <c r="AA19" s="31">
        <f>IFERROR(__xludf.DUMMYFUNCTION("""COMPUTED_VALUE"""),13.0)</f>
        <v>13</v>
      </c>
      <c r="AC19" s="31" t="str">
        <f>IFERROR(__xludf.DUMMYFUNCTION("""COMPUTED_VALUE"""),"Machine learning-based models to predict the conversion of normal blood pressure to hypertension within 5-year follow-up.")</f>
        <v>Machine learning-based models to predict the conversion of normal blood pressure to hypertension within 5-year follow-up.</v>
      </c>
      <c r="AD19" s="31" t="str">
        <f>IFERROR(__xludf.DUMMYFUNCTION("""COMPUTED_VALUE"""),"Andishgar, Aref; Bazmi, Sina; Tabrizi, Reza; Rismani, Maziyar; Keshavarzian, Omid; Pezeshki, Babak; Ahmadizar, Fariba")</f>
        <v>Andishgar, Aref; Bazmi, Sina; Tabrizi, Reza; Rismani, Maziyar; Keshavarzian, Omid; Pezeshki, Babak; Ahmadizar, Fariba</v>
      </c>
      <c r="AE19" s="32">
        <f>IFERROR(__xludf.DUMMYFUNCTION("""COMPUTED_VALUE"""),45365.0)</f>
        <v>45365</v>
      </c>
      <c r="AF19" s="31" t="str">
        <f>IFERROR(__xludf.DUMMYFUNCTION("""COMPUTED_VALUE"""),"Coping Strategies of Patients With Advanced Lung or Colorectal Cancer Over Time: Insights From the International ACTION Study.")</f>
        <v>Coping Strategies of Patients With Advanced Lung or Colorectal Cancer Over Time: Insights From the International ACTION Study.</v>
      </c>
      <c r="AG19" s="31" t="str">
        <f>IFERROR(__xludf.DUMMYFUNCTION("""COMPUTED_VALUE"""),"Luu, K L; Mager, P; Nieboer, D; Witkamp, F E; Jabbarian, L J; Payne, S; Groenvold, M; Pollock, K; Miccinesi, G; Deliens, L; van Delden, J J M; van der Heide, A; Korfage, I J; Rietjens, J A C; ,")</f>
        <v>Luu, K L; Mager, P; Nieboer, D; Witkamp, F E; Jabbarian, L J; Payne, S; Groenvold, M; Pollock, K; Miccinesi, G; Deliens, L; van Delden, J J M; van der Heide, A; Korfage, I J; Rietjens, J A C; ,</v>
      </c>
      <c r="AH19" s="32">
        <f>IFERROR(__xludf.DUMMYFUNCTION("""COMPUTED_VALUE"""),45566.0)</f>
        <v>45566</v>
      </c>
      <c r="AI19" s="31" t="str">
        <f>IFERROR(__xludf.DUMMYFUNCTION("""COMPUTED_VALUE"""),"Response by van Doorn et al to Letters Regarding Article, ""Safety of Switching From a Vitamin K Antagonist to a Non-Vitamin K Antagonist Oral Anticoagulant in Frail Older Patients With Atrial Fibrillation: Results of the FRAIL-AF Randomized Controlled Tr"&amp;"ial"".")</f>
        <v>Response by van Doorn et al to Letters Regarding Article, "Safety of Switching From a Vitamin K Antagonist to a Non-Vitamin K Antagonist Oral Anticoagulant in Frail Older Patients With Atrial Fibrillation: Results of the FRAIL-AF Randomized Controlled Trial".</v>
      </c>
      <c r="AJ19" s="31" t="str">
        <f>IFERROR(__xludf.DUMMYFUNCTION("""COMPUTED_VALUE"""),"van Doorn, Sander; Rutten, Frans H; Geersing, Geert-Jan")</f>
        <v>van Doorn, Sander; Rutten, Frans H; Geersing, Geert-Jan</v>
      </c>
      <c r="AK19" s="32">
        <f>IFERROR(__xludf.DUMMYFUNCTION("""COMPUTED_VALUE"""),45481.0)</f>
        <v>45481</v>
      </c>
      <c r="AL19" s="31" t="str">
        <f>IFERROR(__xludf.DUMMYFUNCTION("""COMPUTED_VALUE"""),"Evaluating the Impact of Post-Esophagectomy Exercise on 2- and 5-Year Survival: Findings from the PERFECT Trial.")</f>
        <v>Evaluating the Impact of Post-Esophagectomy Exercise on 2- and 5-Year Survival: Findings from the PERFECT Trial.</v>
      </c>
      <c r="AM19" s="31" t="str">
        <f>IFERROR(__xludf.DUMMYFUNCTION("""COMPUTED_VALUE"""),"Binyam, David; van Vulpen, J K; van Hillegersberg, R; Ruurda, J P; Nieuwenhuijzen, G A P; Kouwenhoven, E A; van der Wall, E; Groenendijk, R P R; van der Peet, D L; Rosman, C; Wijnhoven, B P L; van Berge Henegouwen, M I; van Laarhoven, H W M; Siersema, P D"&amp;"; May, Anne M; Hiensch, A E")</f>
        <v>Binyam, David; van Vulpen, J K; van Hillegersberg, R; Ruurda, J P; Nieuwenhuijzen, G A P; Kouwenhoven, E A; van der Wall, E; Groenendijk, R P R; van der Peet, D L; Rosman, C; Wijnhoven, B P L; van Berge Henegouwen, M I; van Laarhoven, H W M; Siersema, P D; May, Anne M; Hiensch, A E</v>
      </c>
      <c r="AN19" s="32">
        <f>IFERROR(__xludf.DUMMYFUNCTION("""COMPUTED_VALUE"""),45553.0)</f>
        <v>45553</v>
      </c>
    </row>
    <row r="20">
      <c r="A20" s="35">
        <v>2017.0</v>
      </c>
      <c r="B20" s="36">
        <f t="array" ref="B20">SUM(--(ISNUMBER(SEARCH(B$2, Data!$K:$K)) * (Data!$C:$C = $A20)))
</f>
        <v>62</v>
      </c>
      <c r="C20" s="36">
        <f t="array" ref="C20">SUM(--(ISNUMBER(SEARCH(C$2, Data!$K:$K)) * (Data!$C:$C = $A20)))
</f>
        <v>241</v>
      </c>
      <c r="D20" s="36">
        <f t="array" ref="D20">SUM(--(ISNUMBER(SEARCH(D$2, Data!$K:$K)) * (Data!$C:$C = $A20)))
</f>
        <v>173</v>
      </c>
      <c r="E20" s="36">
        <f t="array" ref="E20">SUM(--(ISNUMBER(SEARCH(E$2, Data!$K:$K)) * (Data!$C:$C = $A20)))
</f>
        <v>287</v>
      </c>
      <c r="F20" s="37">
        <f>COUNTIF(Data!C19:C9917,A20)</f>
        <v>415</v>
      </c>
      <c r="I20" s="31" t="str">
        <f>IFERROR(__xludf.DUMMYFUNCTION("""COMPUTED_VALUE"""),"journal of medical internet research")</f>
        <v>journal of medical internet research</v>
      </c>
      <c r="J20" s="38">
        <f>COUNTIF(Data!$F$2:$F9917, $I20)</f>
        <v>11</v>
      </c>
      <c r="K20" s="31" t="str">
        <f>IFERROR(__xludf.DUMMYFUNCTION("""COMPUTED_VALUE"""),"clinical infectious diseases an official publication of the infectious diseases society of america")</f>
        <v>clinical infectious diseases an official publication of the infectious diseases society of america</v>
      </c>
      <c r="L20" s="31">
        <f>IFERROR(__xludf.DUMMYFUNCTION("""COMPUTED_VALUE"""),41.0)</f>
        <v>41</v>
      </c>
      <c r="N20" s="31" t="str">
        <f t="shared" si="1"/>
        <v>clinical infectious diseases an official publication of the infectious diseases society of america</v>
      </c>
      <c r="O20" s="30">
        <f t="array" ref="O20">SUM(--(ISNUMBER(SEARCH(O$2, Data!$K:$K)) * (Data!$F:$F = $N20)))
</f>
        <v>9</v>
      </c>
      <c r="P20" s="30">
        <f t="array" ref="P20">SUM(--(ISNUMBER(SEARCH(P$2, Data!$K:$K)) * (Data!$F:$F = $N20)))
</f>
        <v>24</v>
      </c>
      <c r="Q20" s="30">
        <f t="array" ref="Q20">SUM(--(ISNUMBER(SEARCH(Q$2, Data!$K:$K)) * (Data!$F:$F = $N20)))
</f>
        <v>4</v>
      </c>
      <c r="R20" s="30">
        <f t="array" ref="R20">SUM(--(ISNUMBER(SEARCH(R$2, Data!$K:$K)) * (Data!$F:$F = $N20)))
</f>
        <v>30</v>
      </c>
      <c r="S20" s="30">
        <f t="shared" si="2"/>
        <v>41</v>
      </c>
      <c r="T20" s="31" t="s">
        <v>25186</v>
      </c>
      <c r="U20" s="31" t="s">
        <v>25187</v>
      </c>
      <c r="V20" s="32">
        <v>45625.0</v>
      </c>
      <c r="X20" s="31" t="str">
        <f>IFERROR(__xludf.DUMMYFUNCTION("""COMPUTED_VALUE"""),"Transparent reporting of multivariable prediction models developed or validated using clustered data: TRIPOD-Cluster checklist.")</f>
        <v>Transparent reporting of multivariable prediction models developed or validated using clustered data: TRIPOD-Cluster checklist.</v>
      </c>
      <c r="Y20" s="31"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Z20" s="31">
        <f>IFERROR(__xludf.DUMMYFUNCTION("""COMPUTED_VALUE"""),2023.0)</f>
        <v>2023</v>
      </c>
      <c r="AA20" s="31">
        <f>IFERROR(__xludf.DUMMYFUNCTION("""COMPUTED_VALUE"""),13.0)</f>
        <v>13</v>
      </c>
      <c r="AC20" s="31" t="str">
        <f>IFERROR(__xludf.DUMMYFUNCTION("""COMPUTED_VALUE"""),"Machine-learning algorithms in screening for type 2 diabetes mellitus: Data from Fasa Adults Cohort Study.")</f>
        <v>Machine-learning algorithms in screening for type 2 diabetes mellitus: Data from Fasa Adults Cohort Study.</v>
      </c>
      <c r="AD20" s="31" t="str">
        <f>IFERROR(__xludf.DUMMYFUNCTION("""COMPUTED_VALUE"""),"Karmand, Hanieh; Andishgar, Aref; Tabrizi, Reza; Sadeghi, Alireza; Pezeshki, Babak; Ravankhah, Mahdi; Taherifard, Erfan; Ahmadizar, Fariba")</f>
        <v>Karmand, Hanieh; Andishgar, Aref; Tabrizi, Reza; Sadeghi, Alireza; Pezeshki, Babak; Ravankhah, Mahdi; Taherifard, Erfan; Ahmadizar, Fariba</v>
      </c>
      <c r="AE20" s="32">
        <f>IFERROR(__xludf.DUMMYFUNCTION("""COMPUTED_VALUE"""),45352.0)</f>
        <v>45352</v>
      </c>
      <c r="AF20" s="31" t="str">
        <f>IFERROR(__xludf.DUMMYFUNCTION("""COMPUTED_VALUE"""),"Antibiotic use by clinical presentation across all healthcare providers in rural Burkina Faso: a healthcare visit exit survey.")</f>
        <v>Antibiotic use by clinical presentation across all healthcare providers in rural Burkina Faso: a healthcare visit exit survey.</v>
      </c>
      <c r="AG20" s="31" t="str">
        <f>IFERROR(__xludf.DUMMYFUNCTION("""COMPUTED_VALUE"""),"Valia, Daniel; Ingelbeen, Brecht; Nassa, Guétawendé Job Wilfried; Kaboré, Bérenger; Kiemdé, François; Rouamba, Toussaint; Compaoré, Adélaïde; Kouanda, Juste Stéphane; Robert, Annie; Rodriguez-Villalobos, Hector; Van Der Sande, Marianne A B; Tinto, Halidou")</f>
        <v>Valia, Daniel; Ingelbeen, Brecht; Nassa, Guétawendé Job Wilfried; Kaboré, Bérenger; Kiemdé, François; Rouamba, Toussaint; Compaoré, Adélaïde; Kouanda, Juste Stéphane; Robert, Annie; Rodriguez-Villalobos, Hector; Van Der Sande, Marianne A B; Tinto, Halidou</v>
      </c>
      <c r="AH20" s="32">
        <f>IFERROR(__xludf.DUMMYFUNCTION("""COMPUTED_VALUE"""),45566.0)</f>
        <v>45566</v>
      </c>
      <c r="AI20" s="31" t="str">
        <f>IFERROR(__xludf.DUMMYFUNCTION("""COMPUTED_VALUE"""),"Using PURPOSE-T in clinical practice: A realist evaluation.")</f>
        <v>Using PURPOSE-T in clinical practice: A realist evaluation.</v>
      </c>
      <c r="AJ20" s="31" t="str">
        <f>IFERROR(__xludf.DUMMYFUNCTION("""COMPUTED_VALUE"""),"Coleman, Susanne; Greenhalgh, Joanne; Schoonhoven, Lisette; Twiddy, Maureen; Nixon, Jane")</f>
        <v>Coleman, Susanne; Greenhalgh, Joanne; Schoonhoven, Lisette; Twiddy, Maureen; Nixon, Jane</v>
      </c>
      <c r="AK20" s="32">
        <f>IFERROR(__xludf.DUMMYFUNCTION("""COMPUTED_VALUE"""),45478.0)</f>
        <v>45478</v>
      </c>
      <c r="AL20" s="31" t="str">
        <f>IFERROR(__xludf.DUMMYFUNCTION("""COMPUTED_VALUE"""),"Intra-prostatic recurrences after radiotherapy with focal boost: Location and dose mapping in the FLAME trial.")</f>
        <v>Intra-prostatic recurrences after radiotherapy with focal boost: Location and dose mapping in the FLAME trial.</v>
      </c>
      <c r="AM20" s="31" t="str">
        <f>IFERROR(__xludf.DUMMYFUNCTION("""COMPUTED_VALUE"""),"Menne Guricová, K; Pos, F J; Schoots, I G; Vogel, W V; Kerkmeijer, L G W; Monninkhof, E M; de Boer, J C J; van der Voort van Zyp, J R N; Kunze-Busch, M; Smeenk, R J; Draulans, C; Haustermans, K; van Houdt, P J; van der Heide, U A")</f>
        <v>Menne Guricová, K; Pos, F J; Schoots, I G; Vogel, W V; Kerkmeijer, L G W; Monninkhof, E M; de Boer, J C J; van der Voort van Zyp, J R N; Kunze-Busch, M; Smeenk, R J; Draulans, C; Haustermans, K; van Houdt, P J; van der Heide, U A</v>
      </c>
      <c r="AN20" s="32">
        <f>IFERROR(__xludf.DUMMYFUNCTION("""COMPUTED_VALUE"""),45548.0)</f>
        <v>45548</v>
      </c>
    </row>
    <row r="21">
      <c r="A21" s="35">
        <v>2018.0</v>
      </c>
      <c r="B21" s="36">
        <f t="array" ref="B21">SUM(--(ISNUMBER(SEARCH(B$2, Data!$K:$K)) * (Data!$C:$C = $A21)))
</f>
        <v>61</v>
      </c>
      <c r="C21" s="36">
        <f t="array" ref="C21">SUM(--(ISNUMBER(SEARCH(C$2, Data!$K:$K)) * (Data!$C:$C = $A21)))
</f>
        <v>256</v>
      </c>
      <c r="D21" s="36">
        <f t="array" ref="D21">SUM(--(ISNUMBER(SEARCH(D$2, Data!$K:$K)) * (Data!$C:$C = $A21)))
</f>
        <v>188</v>
      </c>
      <c r="E21" s="36">
        <f t="array" ref="E21">SUM(--(ISNUMBER(SEARCH(E$2, Data!$K:$K)) * (Data!$C:$C = $A21)))
</f>
        <v>296</v>
      </c>
      <c r="F21" s="37">
        <f>COUNTIF(Data!C20:C9917,A21)</f>
        <v>427</v>
      </c>
      <c r="I21" s="31" t="str">
        <f>IFERROR(__xludf.DUMMYFUNCTION("""COMPUTED_VALUE"""),"advances in health sciences education theory and practice")</f>
        <v>advances in health sciences education theory and practice</v>
      </c>
      <c r="J21" s="38">
        <f>COUNTIF(Data!$F$2:$F9917, $I21)</f>
        <v>2</v>
      </c>
      <c r="K21" s="31" t="str">
        <f>IFERROR(__xludf.DUMMYFUNCTION("""COMPUTED_VALUE"""),"european heart journal")</f>
        <v>european heart journal</v>
      </c>
      <c r="L21" s="31">
        <f>IFERROR(__xludf.DUMMYFUNCTION("""COMPUTED_VALUE"""),41.0)</f>
        <v>41</v>
      </c>
      <c r="T21" s="31" t="s">
        <v>25238</v>
      </c>
      <c r="U21" s="31" t="s">
        <v>25239</v>
      </c>
      <c r="V21" s="32">
        <v>45624.0</v>
      </c>
      <c r="X21" s="31" t="str">
        <f>IFERROR(__xludf.DUMMYFUNCTION("""COMPUTED_VALUE"""),"Metrics reloaded: recommendations for image analysis validation.")</f>
        <v>Metrics reloaded: recommendations for image analysis validation.</v>
      </c>
      <c r="Y21" s="31" t="str">
        <f>IFERROR(__xludf.DUMMYFUNCTION("""COMPUTED_VALUE"""),"Maier-Hein, Lena; Reinke, Annika; Godau, Patrick; Tizabi, Minu D; Buettner, Florian; Christodoulou, Evangelia; Glocker, Ben; Isensee, Fabian; Kleesiek, Jens; Kozubek, Michal; Reyes, Mauricio; Riegler, Michael A; Wiesenfarth, Manuel; Kavur, A Emre; Sudre, "&amp;"Carole H; Baumgartner, Michael; Eisenmann, Matthias; Heckmann-Nötzel, Doreen; Rädsch, Tim; Acion, Laura; Antonelli, Michela; Arbel, Tal; Bakas, Spyridon; Benis, Arriel; Blaschko, Matthew B; Cardoso, M Jorge; Cheplygina, Veronika; Cimini, Beth A; Collins, "&amp;"Gary S; Farahani, Keyvan; Ferrer, Luciana; Galdran, Adrian; van Ginneken, Bram; Haase, Robert; Hashimoto, Daniel A; Hoffman, Michael M; Huisman, Merel; Jannin, Pierre; Kahn, Charles E; Kainmueller, Dagmar; Kainz, Bernhard; Karargyris, Alexandros; Karthike"&amp;"salingam, Alan; Kofler, Florian; Kopp-Schneider, Annette; Kreshuk, Anna; Kurc, Tahsin; Landman, Bennett A; Litjens, Geert; Madani, Amin; Maier-Hein, Klaus; Martel, Anne L; Mattson, Peter; Meijering, Erik; Menze, Bjoern; Moons, Karel G ")</f>
        <v>Maier-Hein, Lena; Reinke, Annika; Godau, Patrick; Tizabi, Minu D; Buettner, Florian; Christodoulou, Evangelia; Glocker, Ben; Isensee, Fabian; Kleesiek, Jens; Kozubek, Michal; Reyes, Mauricio; Riegler, Michael A; Wiesenfarth, Manuel; Kavur, A Emre; Sudre, Carole H; Baumgartner, Michael; Eisenmann, Matthias; Heckmann-Nötzel, Doreen; Rädsch, Tim; Acion, Laura; Antonelli, Michela; Arbel, Tal; Bakas, Spyridon; Benis, Arriel; Blaschko, Matthew B; Cardoso, M Jorge; Cheplygina, Veronika; Cimini, Beth A; Collins, Gary S; Farahani, Keyvan; Ferrer, Luciana; Galdran, Adrian; van Ginneken, Bram; Haase, Robert; Hashimoto, Daniel A; Hoffman, Michael M; Huisman, Merel; Jannin, Pierre; Kahn, Charles E; Kainmueller, Dagmar; Kainz, Bernhard; Karargyris, Alexandros; Karthikesalingam, Alan; Kofler, Florian; Kopp-Schneider, Annette; Kreshuk, Anna; Kurc, Tahsin; Landman, Bennett A; Litjens, Geert; Madani, Amin; Maier-Hein, Klaus; Martel, Anne L; Mattson, Peter; Meijering, Erik; Menze, Bjoern; Moons, Karel G </v>
      </c>
      <c r="Z21" s="31">
        <f>IFERROR(__xludf.DUMMYFUNCTION("""COMPUTED_VALUE"""),2024.0)</f>
        <v>2024</v>
      </c>
      <c r="AA21" s="31">
        <f>IFERROR(__xludf.DUMMYFUNCTION("""COMPUTED_VALUE"""),12.0)</f>
        <v>12</v>
      </c>
      <c r="AC21" s="31" t="str">
        <f>IFERROR(__xludf.DUMMYFUNCTION("""COMPUTED_VALUE"""),"Lipocalin-2 expression identifies an intestinal regulatory neutrophil population during acute graft-versus-host disease.")</f>
        <v>Lipocalin-2 expression identifies an intestinal regulatory neutrophil population during acute graft-versus-host disease.</v>
      </c>
      <c r="AD21" s="31" t="str">
        <f>IFERROR(__xludf.DUMMYFUNCTION("""COMPUTED_VALUE"""),"Czech, Marie; Schneider, Sophia; Peltokangas, Nina; El Khawanky, Nadia; Ghimire, Sakhila; Andrieux, Geoffroy; Hülsdünker, Jan; Krausz, Máté; Proietti, Michele; Braun, Lukas M; Rückert, Tamina; Langenbach, Marlene; Schmidt, Dominik; Martin, Ina; Wenger, Va"&amp;"lentin; de Vega, Enrique; Haring, Eileen; Pourjam, Mohsen; Pfeifer, Dietmar; Schmitt-Graeff, Annette; Grimbacher, Bodo; Aumann, Konrad; Kircher, Brigitte; Tilg, Herbert; Raffatellu, Manuela; Thiele Orberg, Erik; Häcker, Georg; Duyster, Justus; Köhler, Nat"&amp;"alie; Holler, Ernst; Nachbaur, David; Boerries, Melanie; Gerner, Romana R; Grün, Dominic; Zeiser, Robert")</f>
        <v>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v>
      </c>
      <c r="AE21" s="32">
        <f>IFERROR(__xludf.DUMMYFUNCTION("""COMPUTED_VALUE"""),45343.0)</f>
        <v>45343</v>
      </c>
      <c r="AF21" s="31" t="str">
        <f>IFERROR(__xludf.DUMMYFUNCTION("""COMPUTED_VALUE"""),"Reconceptualizing and Defining Exposomics within Environmental Health: Expanding the Scope of Health Research.")</f>
        <v>Reconceptualizing and Defining Exposomics within Environmental Health: Expanding the Scope of Health Research.</v>
      </c>
      <c r="AG21" s="31" t="str">
        <f>IFERROR(__xludf.DUMMYFUNCTION("""COMPUTED_VALUE"""),"Safarlou, Caspar W; Jongsma, Karin R; Vermeulen, Roel")</f>
        <v>Safarlou, Caspar W; Jongsma, Karin R; Vermeulen, Roel</v>
      </c>
      <c r="AH21" s="32">
        <f>IFERROR(__xludf.DUMMYFUNCTION("""COMPUTED_VALUE"""),45562.0)</f>
        <v>45562</v>
      </c>
      <c r="AI21" s="31" t="str">
        <f>IFERROR(__xludf.DUMMYFUNCTION("""COMPUTED_VALUE"""),"Barriers and facilitators for the implementation of co-created nursing innovations in a Dutch university hospital.")</f>
        <v>Barriers and facilitators for the implementation of co-created nursing innovations in a Dutch university hospital.</v>
      </c>
      <c r="AJ21" s="31" t="str">
        <f>IFERROR(__xludf.DUMMYFUNCTION("""COMPUTED_VALUE"""),"van der Zanden, Myrthe; Helder, Onno; Westland, Heleen; Ista, Erwin")</f>
        <v>van der Zanden, Myrthe; Helder, Onno; Westland, Heleen; Ista, Erwin</v>
      </c>
      <c r="AK21" s="32">
        <f>IFERROR(__xludf.DUMMYFUNCTION("""COMPUTED_VALUE"""),45471.0)</f>
        <v>45471</v>
      </c>
      <c r="AL21" s="31" t="str">
        <f>IFERROR(__xludf.DUMMYFUNCTION("""COMPUTED_VALUE"""),"Frequent hemodialysis versus standard hemodialysis for people with kidney failure: Systematic review and meta-analysis of randomized controlled trials.")</f>
        <v>Frequent hemodialysis versus standard hemodialysis for people with kidney failure: Systematic review and meta-analysis of randomized controlled trials.</v>
      </c>
      <c r="AM21" s="31" t="str">
        <f>IFERROR(__xludf.DUMMYFUNCTION("""COMPUTED_VALUE"""),"Natale, Patrizia; Green, Suetonia C; Rose, Matthias; Bots, Michiel L; Blankestijn, Peter J; Vernooij, Robin W M; Gerittsen, Karin; Woodward, Mark; Hockham, Carinna; Cromm, Krister; Barth, Claudia; Davenport, Andrew; Hegbrant, Jörgen; Sarafidis, Pantelis; "&amp;"Das, Partha; Wanner, Christoph; Nissenson, Allan R; Sautenet, Benedicte; Török, Marietta; Strippoli, Giovanni")</f>
        <v>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v>
      </c>
      <c r="AN21" s="32">
        <f>IFERROR(__xludf.DUMMYFUNCTION("""COMPUTED_VALUE"""),45541.0)</f>
        <v>45541</v>
      </c>
    </row>
    <row r="22">
      <c r="A22" s="35">
        <v>2019.0</v>
      </c>
      <c r="B22" s="36">
        <f t="array" ref="B22">SUM(--(ISNUMBER(SEARCH(B$2, Data!$K:$K)) * (Data!$C:$C = $A22)))
</f>
        <v>63</v>
      </c>
      <c r="C22" s="36">
        <f t="array" ref="C22">SUM(--(ISNUMBER(SEARCH(C$2, Data!$K:$K)) * (Data!$C:$C = $A22)))
</f>
        <v>275</v>
      </c>
      <c r="D22" s="36">
        <f t="array" ref="D22">SUM(--(ISNUMBER(SEARCH(D$2, Data!$K:$K)) * (Data!$C:$C = $A22)))
</f>
        <v>198</v>
      </c>
      <c r="E22" s="36">
        <f t="array" ref="E22">SUM(--(ISNUMBER(SEARCH(E$2, Data!$K:$K)) * (Data!$C:$C = $A22)))
</f>
        <v>299</v>
      </c>
      <c r="F22" s="37">
        <f>COUNTIF(Data!C21:C9917,A22)</f>
        <v>466</v>
      </c>
      <c r="I22" s="31" t="str">
        <f>IFERROR(__xludf.DUMMYFUNCTION("""COMPUTED_VALUE"""),"european journal of clinical nutrition")</f>
        <v>european journal of clinical nutrition</v>
      </c>
      <c r="J22" s="38">
        <f>COUNTIF(Data!$F$2:$F9917, $I22)</f>
        <v>7</v>
      </c>
      <c r="K22" s="31" t="str">
        <f>IFERROR(__xludf.DUMMYFUNCTION("""COMPUTED_VALUE"""),"vaccine")</f>
        <v>vaccine</v>
      </c>
      <c r="L22" s="31">
        <f>IFERROR(__xludf.DUMMYFUNCTION("""COMPUTED_VALUE"""),40.0)</f>
        <v>40</v>
      </c>
      <c r="T22" s="31" t="s">
        <v>25438</v>
      </c>
      <c r="U22" s="31" t="s">
        <v>25439</v>
      </c>
      <c r="V22" s="32">
        <v>45624.0</v>
      </c>
      <c r="X22" s="31" t="str">
        <f>IFERROR(__xludf.DUMMYFUNCTION("""COMPUTED_VALUE"""),"Mixed strain pathogen populations accelerate the evolution of antibiotic resistance in patients.")</f>
        <v>Mixed strain pathogen populations accelerate the evolution of antibiotic resistance in patients.</v>
      </c>
      <c r="Y22" s="31" t="str">
        <f>IFERROR(__xludf.DUMMYFUNCTION("""COMPUTED_VALUE"""),"Diaz Caballero, Julio; Wheatley, Rachel M; Kapel, Natalia; López-Causapé, Carla; Van der Schalk, Thomas; Quinn, Angus; Shaw, Liam P; Ogunlana, Lois; Recanatini, Claudia; Xavier, Basil Britto; Timbermont, Leen; Kluytmans, Jan; Ruzin, Alexey; Esser, Mark; M"&amp;"alhotra-Kumar, Surbhi; Oliver, Antonio; MacLean, R Craig")</f>
        <v>Diaz Caballero, Julio; Wheatley, Rachel M; Kapel, Natalia; López-Causapé, Carla; Van der Schalk, Thomas; Quinn, Angus; Shaw, Liam P; Ogunlana, Lois; Recanatini, Claudia; Xavier, Basil Britto; Timbermont, Leen; Kluytmans, Jan; Ruzin, Alexey; Esser, Mark; Malhotra-Kumar, Surbhi; Oliver, Antonio; MacLean, R Craig</v>
      </c>
      <c r="Z22" s="31">
        <f>IFERROR(__xludf.DUMMYFUNCTION("""COMPUTED_VALUE"""),2023.0)</f>
        <v>2023</v>
      </c>
      <c r="AA22" s="31">
        <f>IFERROR(__xludf.DUMMYFUNCTION("""COMPUTED_VALUE"""),12.0)</f>
        <v>12</v>
      </c>
      <c r="AC22" s="31" t="str">
        <f>IFERROR(__xludf.DUMMYFUNCTION("""COMPUTED_VALUE"""),"Joint modeling of an outcome variable and integrated omics datasets using GLM-PO2PLS.")</f>
        <v>Joint modeling of an outcome variable and integrated omics datasets using GLM-PO2PLS.</v>
      </c>
      <c r="AD22" s="31" t="str">
        <f>IFERROR(__xludf.DUMMYFUNCTION("""COMPUTED_VALUE"""),"Gu, Zhujie; Uh, Hae-Won; Houwing-Duistermaat, Jeanine; El Bouhaddani, Said")</f>
        <v>Gu, Zhujie; Uh, Hae-Won; Houwing-Duistermaat, Jeanine; El Bouhaddani, Said</v>
      </c>
      <c r="AE22" s="32">
        <f>IFERROR(__xludf.DUMMYFUNCTION("""COMPUTED_VALUE"""),45343.0)</f>
        <v>45343</v>
      </c>
      <c r="AF22" s="31" t="str">
        <f>IFERROR(__xludf.DUMMYFUNCTION("""COMPUTED_VALUE"""),"Non-Sugar-Sweetened Beverages and Risk of Chronic Diseases: An Umbrella Review of Meta-analyses of Prospective Cohort Studies.")</f>
        <v>Non-Sugar-Sweetened Beverages and Risk of Chronic Diseases: An Umbrella Review of Meta-analyses of Prospective Cohort Studies.</v>
      </c>
      <c r="AG22" s="31" t="str">
        <f>IFERROR(__xludf.DUMMYFUNCTION("""COMPUTED_VALUE"""),"Beigrezaei, Sara; Raeisi-Dehkordi, Hamidreza; Hernández Vargas, Juliana Alexandra; Amiri, Mojgan; Artola Arita, Vicente; van der Schouw, Yvonne T; Salehi-Abargouei, Amin; Muka, Taulant; Chatelan, Angeline; Franco, Oscar H")</f>
        <v>Beigrezaei, Sara; Raeisi-Dehkordi, Hamidreza; Hernández Vargas, Juliana Alexandra; Amiri, Mojgan; Artola Arita, Vicente; van der Schouw, Yvonne T; Salehi-Abargouei, Amin; Muka, Taulant; Chatelan, Angeline; Franco, Oscar H</v>
      </c>
      <c r="AH22" s="32">
        <f>IFERROR(__xludf.DUMMYFUNCTION("""COMPUTED_VALUE"""),45561.0)</f>
        <v>45561</v>
      </c>
      <c r="AI22" s="31" t="str">
        <f>IFERROR(__xludf.DUMMYFUNCTION("""COMPUTED_VALUE"""),"Identifying plasma proteomic signatures from health to heart failure, across the ejection fraction spectrum.")</f>
        <v>Identifying plasma proteomic signatures from health to heart failure, across the ejection fraction spectrum.</v>
      </c>
      <c r="AJ22" s="31" t="str">
        <f>IFERROR(__xludf.DUMMYFUNCTION("""COMPUTED_VALUE"""),"Andrzejczyk, Karolina; Abou Kamar, Sabrina; van Ommen, Anne-Mar; Canto, Elisa Dal; Petersen, Teun B; Valstar, Gideon; Akkerhuis, K Martijn; Cramer, Maarten Jan; Umans, Victor; Rutten, Frans H; Teske, Arco; Boersma, Eric; Menken, Roxana; van Dalen, Bas M; "&amp;"Hofstra, Leonard; Verhaar, Marianne; Brugts, Jasper; Asselbergs, Folkert; den Ruijter, Hester; Kardys, Isabella")</f>
        <v>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v>
      </c>
      <c r="AK22" s="32">
        <f>IFERROR(__xludf.DUMMYFUNCTION("""COMPUTED_VALUE"""),45470.0)</f>
        <v>45470</v>
      </c>
      <c r="AL22" s="31" t="str">
        <f>IFERROR(__xludf.DUMMYFUNCTION("""COMPUTED_VALUE"""),"Estimating Additive Interaction in Two-Stage Individual Participant Data Meta-Analysis.")</f>
        <v>Estimating Additive Interaction in Two-Stage Individual Participant Data Meta-Analysis.</v>
      </c>
      <c r="AM22" s="31" t="str">
        <f>IFERROR(__xludf.DUMMYFUNCTION("""COMPUTED_VALUE"""),"Basten, Maartje; van Tuijl, Lonneke A; Pan, Kuan-Yu; Hoogendoorn, Adriaan W; Lamers, Femke; Ranchor, Adelita V; Dekker, Joost; Frank, Philipp; Galenkamp, Henrike; Knol, Mirjam J; Noisel, Nolwenn; Payette, Yves; Sund, Erik R; Zwinderman, Aeilko H; Portenge"&amp;"n, Lützen; Geerlings, Mirjam I")</f>
        <v>Basten, Maartje; van Tuijl, Lonneke A; Pan, Kuan-Yu; Hoogendoorn, Adriaan W; Lamers, Femke; Ranchor, Adelita V; Dekker, Joost; Frank, Philipp; Galenkamp, Henrike; Knol, Mirjam J; Noisel, Nolwenn; Payette, Yves; Sund, Erik R; Zwinderman, Aeilko H; Portengen, Lützen; Geerlings, Mirjam I</v>
      </c>
      <c r="AN22" s="32">
        <f>IFERROR(__xludf.DUMMYFUNCTION("""COMPUTED_VALUE"""),45535.0)</f>
        <v>45535</v>
      </c>
    </row>
    <row r="23">
      <c r="A23" s="35">
        <v>2020.0</v>
      </c>
      <c r="B23" s="36">
        <f t="array" ref="B23">SUM(--(ISNUMBER(SEARCH(B$2, Data!$K:$K)) * (Data!$C:$C = $A23)))
</f>
        <v>91</v>
      </c>
      <c r="C23" s="36">
        <f t="array" ref="C23">SUM(--(ISNUMBER(SEARCH(C$2, Data!$K:$K)) * (Data!$C:$C = $A23)))
</f>
        <v>319</v>
      </c>
      <c r="D23" s="36">
        <f t="array" ref="D23">SUM(--(ISNUMBER(SEARCH(D$2, Data!$K:$K)) * (Data!$C:$C = $A23)))
</f>
        <v>244</v>
      </c>
      <c r="E23" s="36">
        <f t="array" ref="E23">SUM(--(ISNUMBER(SEARCH(E$2, Data!$K:$K)) * (Data!$C:$C = $A23)))
</f>
        <v>327</v>
      </c>
      <c r="F23" s="37">
        <f>COUNTIF(Data!C22:C9917,A23)</f>
        <v>539</v>
      </c>
      <c r="I23" s="31" t="str">
        <f>IFERROR(__xludf.DUMMYFUNCTION("""COMPUTED_VALUE"""),"obesity surgery")</f>
        <v>obesity surgery</v>
      </c>
      <c r="J23" s="38">
        <f>COUNTIF(Data!$F$2:$F9917, $I23)</f>
        <v>1</v>
      </c>
      <c r="K23" s="31" t="str">
        <f>IFERROR(__xludf.DUMMYFUNCTION("""COMPUTED_VALUE"""),"diabetes care")</f>
        <v>diabetes care</v>
      </c>
      <c r="L23" s="31">
        <f>IFERROR(__xludf.DUMMYFUNCTION("""COMPUTED_VALUE"""),40.0)</f>
        <v>40</v>
      </c>
      <c r="T23" s="31" t="s">
        <v>25602</v>
      </c>
      <c r="U23" s="31" t="s">
        <v>25603</v>
      </c>
      <c r="V23" s="32">
        <v>45624.0</v>
      </c>
      <c r="X23" s="31" t="str">
        <f>IFERROR(__xludf.DUMMYFUNCTION("""COMPUTED_VALUE"""),"Patient-derived head and neck cancer organoids allow treatment stratification and serve as a tool for biomarker validation and identification.")</f>
        <v>Patient-derived head and neck cancer organoids allow treatment stratification and serve as a tool for biomarker validation and identification.</v>
      </c>
      <c r="Y23" s="31" t="str">
        <f>IFERROR(__xludf.DUMMYFUNCTION("""COMPUTED_VALUE"""),"Millen, Rosemary; De Kort, Willem W B; Koomen, Mandy; van Son, Gijs J F; Gobits, Roán; Penning de Vries, Bas; Begthel, Harry; Zandvliet, Maurice; Doornaert, Patricia; Raaijmakers, Cornelis P J; Geurts, Maarten H; Elias, Sjoerd G; van Es, Robert J J; de Br"&amp;"ee, Remco; Devriese, Lot A; Willems, Stefan M; Kranenburg, Onno; Driehuis, Else; Clevers, Hans")</f>
        <v>Millen, Rosemary; De Kort, Willem W B; Koomen, Mandy; van Son, Gijs J F; Gobits, Roán; Penning de Vries, Bas; Begthel, Harry; Zandvliet, Maurice; Doornaert, Patricia; Raaijmakers, Cornelis P J; Geurts, Maarten H; Elias, Sjoerd G; van Es, Robert J J; de Bree, Remco; Devriese, Lot A; Willems, Stefan M; Kranenburg, Onno; Driehuis, Else; Clevers, Hans</v>
      </c>
      <c r="Z23" s="31">
        <f>IFERROR(__xludf.DUMMYFUNCTION("""COMPUTED_VALUE"""),2023.0)</f>
        <v>2023</v>
      </c>
      <c r="AA23" s="31">
        <f>IFERROR(__xludf.DUMMYFUNCTION("""COMPUTED_VALUE"""),12.0)</f>
        <v>12</v>
      </c>
      <c r="AC23" s="31" t="str">
        <f>IFERROR(__xludf.DUMMYFUNCTION("""COMPUTED_VALUE"""),"COVID-19 and pregnancy: A European study on pre- and post-infection medication use.")</f>
        <v>COVID-19 and pregnancy: A European study on pre- and post-infection medication use.</v>
      </c>
      <c r="AD23" s="31" t="str">
        <f>IFERROR(__xludf.DUMMYFUNCTION("""COMPUTED_VALUE"""),"Hurley, Eimir; Geisler, Benjamin P; Lupattelli, Angela; Poblador-Plou, Beatriz; Lassalle, Régis; Jové, Jérémy; Bernard, Marie-Agnes; Sakr, Dunia; Sanfélix-Gimeno, Gabriel; Sánchez-Saez, Francisco; Rodríguez-Bernal, Clara L; Sabaté, Mònica; Ballarín, Elena"&amp;"; Aguilera, Cristina; Jordan, Sue; Thayer, Daniel; Farr, Ian; Ahmed, Saira; Bartolini, Claudia; Limoncella, Giorgio; Paoletti, Olga; Gini, Rosa; Maglanoc, Luigi A; Dudukina, Elena; Ehrenstein, Vera; Alsina, Ema; Vaz, Tiago A; Riera-Arnau, Judit; Sturkenbo"&amp;"om, Miriam C J M; Nordeng, Hedvig M E")</f>
        <v>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v>
      </c>
      <c r="AE23" s="32">
        <f>IFERROR(__xludf.DUMMYFUNCTION("""COMPUTED_VALUE"""),45334.0)</f>
        <v>45334</v>
      </c>
      <c r="AF23" s="31" t="str">
        <f>IFERROR(__xludf.DUMMYFUNCTION("""COMPUTED_VALUE"""),"Female participation, and sex-specific reporting practices, in polypill randomised controlled trials in the prevention of atherosclerotic cardiovascular disease: a secondary analysis of a systematic review.")</f>
        <v>Female participation, and sex-specific reporting practices, in polypill randomised controlled trials in the prevention of atherosclerotic cardiovascular disease: a secondary analysis of a systematic review.</v>
      </c>
      <c r="AG23" s="31" t="str">
        <f>IFERROR(__xludf.DUMMYFUNCTION("""COMPUTED_VALUE"""),"Peters, Sanne A E; Rodgers, Anthony; Patel, Anushka; Norton, Robyn; Huffman, Mark D; Agarwal, Anubha")</f>
        <v>Peters, Sanne A E; Rodgers, Anthony; Patel, Anushka; Norton, Robyn; Huffman, Mark D; Agarwal, Anubha</v>
      </c>
      <c r="AH23" s="32">
        <f>IFERROR(__xludf.DUMMYFUNCTION("""COMPUTED_VALUE"""),45555.0)</f>
        <v>45555</v>
      </c>
      <c r="AI23" s="31" t="str">
        <f>IFERROR(__xludf.DUMMYFUNCTION("""COMPUTED_VALUE"""),"Factors influencing deprescribing in primary care for those towards the end of life: A qualitative interview study with patients and healthcare practitioners.")</f>
        <v>Factors influencing deprescribing in primary care for those towards the end of life: A qualitative interview study with patients and healthcare practitioners.</v>
      </c>
      <c r="AJ23" s="31" t="str">
        <f>IFERROR(__xludf.DUMMYFUNCTION("""COMPUTED_VALUE"""),"van der Waal, Maike S; Teunissen, Saskia Ccm; Uyttewaal, Allegonda G; Verboeket-Crul, Cathelijne; Smits-Pelser, Hanneke; Geijteman, Eric Ct; Grant, Matthew P")</f>
        <v>van der Waal, Maike S; Teunissen, Saskia Ccm; Uyttewaal, Allegonda G; Verboeket-Crul, Cathelijne; Smits-Pelser, Hanneke; Geijteman, Eric Ct; Grant, Matthew P</v>
      </c>
      <c r="AK23" s="32">
        <f>IFERROR(__xludf.DUMMYFUNCTION("""COMPUTED_VALUE"""),45468.0)</f>
        <v>45468</v>
      </c>
      <c r="AL23" s="31" t="str">
        <f>IFERROR(__xludf.DUMMYFUNCTION("""COMPUTED_VALUE"""),"Impact of varying pre-exposure prophylaxis programs on HIV and Neisseria gonorrhoeae transmission among MSM in the Netherlands: a modelling study.")</f>
        <v>Impact of varying pre-exposure prophylaxis programs on HIV and Neisseria gonorrhoeae transmission among MSM in the Netherlands: a modelling study.</v>
      </c>
      <c r="AM23" s="31" t="str">
        <f>IFERROR(__xludf.DUMMYFUNCTION("""COMPUTED_VALUE"""),"Reitsema, Maarten; Wallinga, Jacco; van Sighem, Ard I; Bezemer, Daniela; van der Valk, Marc; van Aar, Fleur; Maria Heijne, Janneke Cornelia; Hoornenborg, Elske; Rozhnova, Ganna; van Benthem, Birgit; Xiridou, Maria")</f>
        <v>Reitsema, Maarten; Wallinga, Jacco; van Sighem, Ard I; Bezemer, Daniela; van der Valk, Marc; van Aar, Fleur; Maria Heijne, Janneke Cornelia; Hoornenborg, Elske; Rozhnova, Ganna; van Benthem, Birgit; Xiridou, Maria</v>
      </c>
      <c r="AN23" s="32">
        <f>IFERROR(__xludf.DUMMYFUNCTION("""COMPUTED_VALUE"""),45526.0)</f>
        <v>45526</v>
      </c>
    </row>
    <row r="24">
      <c r="A24" s="35">
        <v>2021.0</v>
      </c>
      <c r="B24" s="36">
        <f t="array" ref="B24">SUM(--(ISNUMBER(SEARCH(B$2, Data!$K:$K)) * (Data!$C:$C = $A24)))
</f>
        <v>102</v>
      </c>
      <c r="C24" s="36">
        <f t="array" ref="C24">SUM(--(ISNUMBER(SEARCH(C$2, Data!$K:$K)) * (Data!$C:$C = $A24)))
</f>
        <v>321</v>
      </c>
      <c r="D24" s="36">
        <f t="array" ref="D24">SUM(--(ISNUMBER(SEARCH(D$2, Data!$K:$K)) * (Data!$C:$C = $A24)))
</f>
        <v>222</v>
      </c>
      <c r="E24" s="36">
        <f t="array" ref="E24">SUM(--(ISNUMBER(SEARCH(E$2, Data!$K:$K)) * (Data!$C:$C = $A24)))
</f>
        <v>338</v>
      </c>
      <c r="F24" s="37">
        <f>COUNTIF(Data!C23:C9917,A24)</f>
        <v>585</v>
      </c>
      <c r="I24" s="31" t="str">
        <f>IFERROR(__xludf.DUMMYFUNCTION("""COMPUTED_VALUE"""),"environmental research")</f>
        <v>environmental research</v>
      </c>
      <c r="J24" s="38">
        <f>COUNTIF(Data!$F$2:$F9917, $I24)</f>
        <v>7</v>
      </c>
      <c r="K24" s="31" t="str">
        <f>IFERROR(__xludf.DUMMYFUNCTION("""COMPUTED_VALUE"""),"international journal of cancer")</f>
        <v>international journal of cancer</v>
      </c>
      <c r="L24" s="31">
        <f>IFERROR(__xludf.DUMMYFUNCTION("""COMPUTED_VALUE"""),39.0)</f>
        <v>39</v>
      </c>
      <c r="T24" s="31" t="s">
        <v>24893</v>
      </c>
      <c r="U24" s="31" t="s">
        <v>24894</v>
      </c>
      <c r="V24" s="32">
        <v>45622.0</v>
      </c>
      <c r="X24" s="31" t="str">
        <f>IFERROR(__xludf.DUMMYFUNCTION("""COMPUTED_VALUE"""),"BCG Vaccination of Health Care Workers Does Not Reduce SARS-CoV-2 Infections nor Infection Severity or Duration: a Randomized Placebo-Controlled Trial.")</f>
        <v>BCG Vaccination of Health Care Workers Does Not Reduce SARS-CoV-2 Infections nor Infection Severity or Duration: a Randomized Placebo-Controlled Trial.</v>
      </c>
      <c r="Y24" s="31" t="str">
        <f>IFERROR(__xludf.DUMMYFUNCTION("""COMPUTED_VALUE"""),"Claus, Juana; Ten Doesschate, Thijs; Gumbs, Cheyenne; van Werkhoven, Cornelis H; van der Vaart, Thomas W; Janssen, Axel B; Smits, Gaby; van Binnendijk, Rob; van der Klis, Fiona; van Baarle, Debbie; Paganelli, Fernanda L; Leavis, Helen; Verhagen, Lilly M; "&amp;"Joosten, Simone A; Bonten, Marc J M; Netea, Mihai G; van de Wijgert, Janneke H H M; ,")</f>
        <v>Claus, Juana; Ten Doesschate, Thijs; Gumbs, Cheyenne; van Werkhoven, Cornelis H; van der Vaart, Thomas W; Janssen, Axel B; Smits, Gaby; van Binnendijk, Rob; van der Klis, Fiona; van Baarle, Debbie; Paganelli, Fernanda L; Leavis, Helen; Verhagen, Lilly M; Joosten, Simone A; Bonten, Marc J M; Netea, Mihai G; van de Wijgert, Janneke H H M; ,</v>
      </c>
      <c r="Z24" s="31">
        <f>IFERROR(__xludf.DUMMYFUNCTION("""COMPUTED_VALUE"""),2023.0)</f>
        <v>2023</v>
      </c>
      <c r="AA24" s="31">
        <f>IFERROR(__xludf.DUMMYFUNCTION("""COMPUTED_VALUE"""),12.0)</f>
        <v>12</v>
      </c>
      <c r="AC24" s="31"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AD24" s="31"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AE24" s="32">
        <f>IFERROR(__xludf.DUMMYFUNCTION("""COMPUTED_VALUE"""),45313.0)</f>
        <v>45313</v>
      </c>
      <c r="AF24" s="31" t="str">
        <f>IFERROR(__xludf.DUMMYFUNCTION("""COMPUTED_VALUE"""),"Nigeria sodium study 2023 policy meeting on dietary sodium reduction in Nigeria.")</f>
        <v>Nigeria sodium study 2023 policy meeting on dietary sodium reduction in Nigeria.</v>
      </c>
      <c r="AG24" s="31" t="str">
        <f>IFERROR(__xludf.DUMMYFUNCTION("""COMPUTED_VALUE"""),"Ojo, Adedayo E; Alfa, Vanessa O; Huffman, Mark D; Ojji, Dike B")</f>
        <v>Ojo, Adedayo E; Alfa, Vanessa O; Huffman, Mark D; Ojji, Dike B</v>
      </c>
      <c r="AH24" s="32">
        <f>IFERROR(__xludf.DUMMYFUNCTION("""COMPUTED_VALUE"""),45553.0)</f>
        <v>45553</v>
      </c>
      <c r="AI24" s="31" t="str">
        <f>IFERROR(__xludf.DUMMYFUNCTION("""COMPUTED_VALUE"""),"Comparing the diagnostic considerations between general practitioners with a special interest in cardiovascular disease and those without in patients with symptoms suggestive of heart failure: a vignette study.")</f>
        <v>Comparing the diagnostic considerations between general practitioners with a special interest in cardiovascular disease and those without in patients with symptoms suggestive of heart failure: a vignette study.</v>
      </c>
      <c r="AJ24" s="31" t="str">
        <f>IFERROR(__xludf.DUMMYFUNCTION("""COMPUTED_VALUE"""),"Vermeer, Cornelia J C; Groenewegen, Amy; Hollander, Monika; Schuring, Janneke; Looijmans-van den Akker, Ingrid; Oostindjer, Andrew; van Duijn, Huug; Nederend, Ineke; Rutten, Frans H")</f>
        <v>Vermeer, Cornelia J C; Groenewegen, Amy; Hollander, Monika; Schuring, Janneke; Looijmans-van den Akker, Ingrid; Oostindjer, Andrew; van Duijn, Huug; Nederend, Ineke; Rutten, Frans H</v>
      </c>
      <c r="AK24" s="32">
        <f>IFERROR(__xludf.DUMMYFUNCTION("""COMPUTED_VALUE"""),45457.0)</f>
        <v>45457</v>
      </c>
      <c r="AL24" s="31" t="str">
        <f>IFERROR(__xludf.DUMMYFUNCTION("""COMPUTED_VALUE"""),"Prioritising nurses' and doctors' health at work: a scoping review of monitoring instruments.")</f>
        <v>Prioritising nurses' and doctors' health at work: a scoping review of monitoring instruments.</v>
      </c>
      <c r="AM24" s="31" t="str">
        <f>IFERROR(__xludf.DUMMYFUNCTION("""COMPUTED_VALUE"""),"Boskma, Amber; Braak, Kim; Demenaga, Kiki; Idema, Demy; Hooft, Lotty; Wietasch, Götz; Franx, Arie; van der Laan, Maarten J")</f>
        <v>Boskma, Amber; Braak, Kim; Demenaga, Kiki; Idema, Demy; Hooft, Lotty; Wietasch, Götz; Franx, Arie; van der Laan, Maarten J</v>
      </c>
      <c r="AN24" s="32">
        <f>IFERROR(__xludf.DUMMYFUNCTION("""COMPUTED_VALUE"""),45521.0)</f>
        <v>45521</v>
      </c>
    </row>
    <row r="25">
      <c r="A25" s="35">
        <v>2022.0</v>
      </c>
      <c r="B25" s="36">
        <f t="array" ref="B25">SUM(--(ISNUMBER(SEARCH(B$2, Data!$K:$K)) * (Data!$C:$C = $A25)))
</f>
        <v>116</v>
      </c>
      <c r="C25" s="36">
        <f t="array" ref="C25">SUM(--(ISNUMBER(SEARCH(C$2, Data!$K:$K)) * (Data!$C:$C = $A25)))
</f>
        <v>323</v>
      </c>
      <c r="D25" s="36">
        <f t="array" ref="D25">SUM(--(ISNUMBER(SEARCH(D$2, Data!$K:$K)) * (Data!$C:$C = $A25)))
</f>
        <v>215</v>
      </c>
      <c r="E25" s="36">
        <f t="array" ref="E25">SUM(--(ISNUMBER(SEARCH(E$2, Data!$K:$K)) * (Data!$C:$C = $A25)))
</f>
        <v>336</v>
      </c>
      <c r="F25" s="37">
        <f>COUNTIF(Data!C24:C9917,A25)</f>
        <v>549</v>
      </c>
      <c r="I25" s="31" t="str">
        <f>IFERROR(__xludf.DUMMYFUNCTION("""COMPUTED_VALUE"""),"european journal of vascular and endovascular surgery the official journal of the european society for vascular surgery")</f>
        <v>european journal of vascular and endovascular surgery the official journal of the european society for vascular surgery</v>
      </c>
      <c r="J25" s="38">
        <f>COUNTIF(Data!$F$2:$F9917, $I25)</f>
        <v>11</v>
      </c>
      <c r="K25" s="31" t="str">
        <f>IFERROR(__xludf.DUMMYFUNCTION("""COMPUTED_VALUE"""),"the cochrane database of systematic reviews")</f>
        <v>the cochrane database of systematic reviews</v>
      </c>
      <c r="L25" s="31">
        <f>IFERROR(__xludf.DUMMYFUNCTION("""COMPUTED_VALUE"""),39.0)</f>
        <v>39</v>
      </c>
      <c r="T25" s="31" t="s">
        <v>24961</v>
      </c>
      <c r="U25" s="31" t="s">
        <v>24962</v>
      </c>
      <c r="V25" s="32">
        <v>45619.0</v>
      </c>
      <c r="X25" s="31" t="str">
        <f>IFERROR(__xludf.DUMMYFUNCTION("""COMPUTED_VALUE"""),"Prognostic models in COVID-19 infection that predict severity: a systematic review.")</f>
        <v>Prognostic models in COVID-19 infection that predict severity: a systematic review.</v>
      </c>
      <c r="Y25" s="31" t="str">
        <f>IFERROR(__xludf.DUMMYFUNCTION("""COMPUTED_VALUE"""),"Buttia, Chepkoech; Llanaj, Erand; Raeisi-Dehkordi, Hamidreza; Kastrati, Lum; Amiri, Mojgan; Meçani, Renald; Taneri, Petek Eylul; Ochoa, Sergio Alejandro Gómez; Raguindin, Peter Francis; Wehrli, Faina; Khatami, Farnaz; Espínola, Octavio Pano; Rojas, Lyda Z"&amp;"; de Mortanges, Aurélie Pahud; Macharia-Nimietz, Eric Francis; Alijla, Fadi; Minder, Beatrice; Leichtle, Alexander B; Lüthi, Nora; Ehrhard, Simone; Que, Yok-Ai; Fernandes, Laurenz Kopp; Hautz, Wolf; Muka, Taulant")</f>
        <v>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v>
      </c>
      <c r="Z25" s="31">
        <f>IFERROR(__xludf.DUMMYFUNCTION("""COMPUTED_VALUE"""),2023.0)</f>
        <v>2023</v>
      </c>
      <c r="AA25" s="31">
        <f>IFERROR(__xludf.DUMMYFUNCTION("""COMPUTED_VALUE"""),12.0)</f>
        <v>12</v>
      </c>
      <c r="AC25" s="31" t="str">
        <f>IFERROR(__xludf.DUMMYFUNCTION("""COMPUTED_VALUE"""),"Methodology for biomarker discovery with reproducibility in microbiome data using machine learning.")</f>
        <v>Methodology for biomarker discovery with reproducibility in microbiome data using machine learning.</v>
      </c>
      <c r="AD25" s="31" t="str">
        <f>IFERROR(__xludf.DUMMYFUNCTION("""COMPUTED_VALUE"""),"Rojas-Velazquez, David; Kidwai, Sarah; Kraneveld, Aletta D; Tonda, Alberto; Oberski, Daniel; Garssen, Johan; Lopez-Rincon, Alejandro")</f>
        <v>Rojas-Velazquez, David; Kidwai, Sarah; Kraneveld, Aletta D; Tonda, Alberto; Oberski, Daniel; Garssen, Johan; Lopez-Rincon, Alejandro</v>
      </c>
      <c r="AE25" s="32">
        <f>IFERROR(__xludf.DUMMYFUNCTION("""COMPUTED_VALUE"""),45306.0)</f>
        <v>45306</v>
      </c>
      <c r="AF25" s="31" t="str">
        <f>IFERROR(__xludf.DUMMYFUNCTION("""COMPUTED_VALUE"""),"Use of Guideline-Recommended Heart Failure Drugs in High-, Middle-, and Low-Income Countries: A Systematic Review and Meta-Analysis.")</f>
        <v>Use of Guideline-Recommended Heart Failure Drugs in High-, Middle-, and Low-Income Countries: A Systematic Review and Meta-Analysis.</v>
      </c>
      <c r="AG25" s="31" t="str">
        <f>IFERROR(__xludf.DUMMYFUNCTION("""COMPUTED_VALUE"""),"Satheesh, Gautam; Dhurjati, Rupasvi; Alston, Laura; Tesfay, Fisaha; Pant, Rashmi; Bahiru, Ehete; Bambs, Claudia; Agarwal, Anubha; Peters, Sanne A E; Salam, Abdul; Johansson, Isabelle")</f>
        <v>Satheesh, Gautam; Dhurjati, Rupasvi; Alston, Laura; Tesfay, Fisaha; Pant, Rashmi; Bahiru, Ehete; Bambs, Claudia; Agarwal, Anubha; Peters, Sanne A E; Salam, Abdul; Johansson, Isabelle</v>
      </c>
      <c r="AH25" s="32">
        <f>IFERROR(__xludf.DUMMYFUNCTION("""COMPUTED_VALUE"""),45547.0)</f>
        <v>45547</v>
      </c>
      <c r="AI25" s="31" t="str">
        <f>IFERROR(__xludf.DUMMYFUNCTION("""COMPUTED_VALUE"""),"Optimizing support before and after Cardiac Resynchronization Therapy implantation in co-creation with patients with heart failure, informal caregivers and healthcare professionals.")</f>
        <v>Optimizing support before and after Cardiac Resynchronization Therapy implantation in co-creation with patients with heart failure, informal caregivers and healthcare professionals.</v>
      </c>
      <c r="AJ25" s="31" t="str">
        <f>IFERROR(__xludf.DUMMYFUNCTION("""COMPUTED_VALUE"""),"Westland, Heleen; van Rijn, Michelle; Meine, Mathias; Jaarsma, Tiny")</f>
        <v>Westland, Heleen; van Rijn, Michelle; Meine, Mathias; Jaarsma, Tiny</v>
      </c>
      <c r="AK25" s="32">
        <f>IFERROR(__xludf.DUMMYFUNCTION("""COMPUTED_VALUE"""),45457.0)</f>
        <v>45457</v>
      </c>
      <c r="AL25" s="31" t="str">
        <f>IFERROR(__xludf.DUMMYFUNCTION("""COMPUTED_VALUE"""),"Reply to: Comments on ""Psychosocial factors, health behaviors and risk of cancer incidence: Testing interaction and effect modification in an individual participant data meta-analysis"".")</f>
        <v>Reply to: Comments on "Psychosocial factors, health behaviors and risk of cancer incidence: Testing interaction and effect modification in an individual participant data meta-analysis".</v>
      </c>
      <c r="AM25" s="31" t="str">
        <f>IFERROR(__xludf.DUMMYFUNCTION("""COMPUTED_VALUE"""),"Basten, Maartje; van Tuijl, Lonneke A; Pan, Kuan-Yu; Geerlings, Mirjam I; Dekker, Joost")</f>
        <v>Basten, Maartje; van Tuijl, Lonneke A; Pan, Kuan-Yu; Geerlings, Mirjam I; Dekker, Joost</v>
      </c>
      <c r="AN25" s="32">
        <f>IFERROR(__xludf.DUMMYFUNCTION("""COMPUTED_VALUE"""),45518.0)</f>
        <v>45518</v>
      </c>
    </row>
    <row r="26">
      <c r="A26" s="35">
        <v>2023.0</v>
      </c>
      <c r="B26" s="36">
        <f t="array" ref="B26">SUM(--(ISNUMBER(SEARCH(B$2, Data!$K:$K)) * (Data!$C:$C = $A26)))
</f>
        <v>120</v>
      </c>
      <c r="C26" s="36">
        <f t="array" ref="C26">SUM(--(ISNUMBER(SEARCH(C$2, Data!$K:$K)) * (Data!$C:$C = $A26)))
</f>
        <v>309</v>
      </c>
      <c r="D26" s="36">
        <f t="array" ref="D26">SUM(--(ISNUMBER(SEARCH(D$2, Data!$K:$K)) * (Data!$C:$C = $A26)))
</f>
        <v>216</v>
      </c>
      <c r="E26" s="36">
        <f t="array" ref="E26">SUM(--(ISNUMBER(SEARCH(E$2, Data!$K:$K)) * (Data!$C:$C = $A26)))
</f>
        <v>292</v>
      </c>
      <c r="F26" s="37">
        <f>COUNTIF(Data!C25:C9917,A26)</f>
        <v>536</v>
      </c>
      <c r="I26" s="31" t="str">
        <f>IFERROR(__xludf.DUMMYFUNCTION("""COMPUTED_VALUE"""),"bmc medical ethics")</f>
        <v>bmc medical ethics</v>
      </c>
      <c r="J26" s="38">
        <f>COUNTIF(Data!$F$2:$F9917, $I26)</f>
        <v>17</v>
      </c>
      <c r="K26" s="31" t="str">
        <f>IFERROR(__xludf.DUMMYFUNCTION("""COMPUTED_VALUE"""),"diabetologia")</f>
        <v>diabetologia</v>
      </c>
      <c r="L26" s="31">
        <f>IFERROR(__xludf.DUMMYFUNCTION("""COMPUTED_VALUE"""),38.0)</f>
        <v>38</v>
      </c>
      <c r="T26" s="31" t="s">
        <v>25390</v>
      </c>
      <c r="U26" s="31" t="s">
        <v>25391</v>
      </c>
      <c r="V26" s="32">
        <v>45619.0</v>
      </c>
      <c r="X26" s="31" t="str">
        <f>IFERROR(__xludf.DUMMYFUNCTION("""COMPUTED_VALUE"""),"Circulating lipoprotein (a) and all-cause and cause-specific mortality: a systematic review and dose-response meta-analysis.")</f>
        <v>Circulating lipoprotein (a) and all-cause and cause-specific mortality: a systematic review and dose-response meta-analysis.</v>
      </c>
      <c r="Y26" s="31" t="str">
        <f>IFERROR(__xludf.DUMMYFUNCTION("""COMPUTED_VALUE"""),"Amiri, Mojgan; Raeisi-Dehkordi, Hamidreza; Verkaar, Auke J C F; Wu, Yahong; van Westing, Anniek C; Berk, Kirsten A; Bramer, Wichor M; Aune, Dagfinn; Voortman, Trudy")</f>
        <v>Amiri, Mojgan; Raeisi-Dehkordi, Hamidreza; Verkaar, Auke J C F; Wu, Yahong; van Westing, Anniek C; Berk, Kirsten A; Bramer, Wichor M; Aune, Dagfinn; Voortman, Trudy</v>
      </c>
      <c r="Z26" s="31">
        <f>IFERROR(__xludf.DUMMYFUNCTION("""COMPUTED_VALUE"""),2023.0)</f>
        <v>2023</v>
      </c>
      <c r="AA26" s="31">
        <f>IFERROR(__xludf.DUMMYFUNCTION("""COMPUTED_VALUE"""),12.0)</f>
        <v>12</v>
      </c>
      <c r="AC26" s="31" t="str">
        <f>IFERROR(__xludf.DUMMYFUNCTION("""COMPUTED_VALUE"""),"A robust microbiome signature for autism spectrum disorder across different studies using machine learning.")</f>
        <v>A robust microbiome signature for autism spectrum disorder across different studies using machine learning.</v>
      </c>
      <c r="AD26" s="31" t="str">
        <f>IFERROR(__xludf.DUMMYFUNCTION("""COMPUTED_VALUE"""),"Peralta-Marzal, Lucia N; Rojas-Velazquez, David; Rigters, Douwe; Prince, Naika; Garssen, Johan; Kraneveld, Aletta D; Perez-Pardo, Paula; Lopez-Rincon, Alejandro")</f>
        <v>Peralta-Marzal, Lucia N; Rojas-Velazquez, David; Rigters, Douwe; Prince, Naika; Garssen, Johan; Kraneveld, Aletta D; Perez-Pardo, Paula; Lopez-Rincon, Alejandro</v>
      </c>
      <c r="AE26" s="32">
        <f>IFERROR(__xludf.DUMMYFUNCTION("""COMPUTED_VALUE"""),45299.0)</f>
        <v>45299</v>
      </c>
      <c r="AF26" s="31" t="str">
        <f>IFERROR(__xludf.DUMMYFUNCTION("""COMPUTED_VALUE"""),"Patient satisfaction with quality of care at out-patient departments in selected health facilities in Kumasi, Ghana.")</f>
        <v>Patient satisfaction with quality of care at out-patient departments in selected health facilities in Kumasi, Ghana.</v>
      </c>
      <c r="AG26" s="31" t="str">
        <f>IFERROR(__xludf.DUMMYFUNCTION("""COMPUTED_VALUE"""),"Owusu, Abigail Anima; Boakye, Kingsley; Boateng, Daniel; Osei-Mensah, Christa; Agyei-Baffour, Peter")</f>
        <v>Owusu, Abigail Anima; Boakye, Kingsley; Boateng, Daniel; Osei-Mensah, Christa; Agyei-Baffour, Peter</v>
      </c>
      <c r="AH26" s="32">
        <f>IFERROR(__xludf.DUMMYFUNCTION("""COMPUTED_VALUE"""),45539.0)</f>
        <v>45539</v>
      </c>
      <c r="AI26" s="31" t="str">
        <f>IFERROR(__xludf.DUMMYFUNCTION("""COMPUTED_VALUE"""),"Characteristics and preventability of medication-related admissions for acute kidney injury and dehydration in elderly patients.")</f>
        <v>Characteristics and preventability of medication-related admissions for acute kidney injury and dehydration in elderly patients.</v>
      </c>
      <c r="AJ26" s="31" t="str">
        <f>IFERROR(__xludf.DUMMYFUNCTION("""COMPUTED_VALUE"""),"Coppes, Tristan; Hazen, Ankie C M; Zwart, Dorien L M; Koster, Ellen S; van Gelder, Teun; Bouvy, Marcel L")</f>
        <v>Coppes, Tristan; Hazen, Ankie C M; Zwart, Dorien L M; Koster, Ellen S; van Gelder, Teun; Bouvy, Marcel L</v>
      </c>
      <c r="AK26" s="32">
        <f>IFERROR(__xludf.DUMMYFUNCTION("""COMPUTED_VALUE"""),45446.0)</f>
        <v>45446</v>
      </c>
      <c r="AL26" s="31" t="str">
        <f>IFERROR(__xludf.DUMMYFUNCTION("""COMPUTED_VALUE"""),"Mortality Associated with Infectious Diseases in Dutch Nursing Homes.")</f>
        <v>Mortality Associated with Infectious Diseases in Dutch Nursing Homes.</v>
      </c>
      <c r="AM26" s="31" t="str">
        <f>IFERROR(__xludf.DUMMYFUNCTION("""COMPUTED_VALUE"""),"Manyam, Meghanadh; Biesheuvel, Mirthe; Haenen, Anja; van Werkhoven, C H Henri; van de Kassteele, Jan; van Gageldonk-Lafeber, Rianne; de Greeff, Sabine; van Asten, Liselotte; ,")</f>
        <v>Manyam, Meghanadh; Biesheuvel, Mirthe; Haenen, Anja; van Werkhoven, C H Henri; van de Kassteele, Jan; van Gageldonk-Lafeber, Rianne; de Greeff, Sabine; van Asten, Liselotte; ,</v>
      </c>
      <c r="AN26" s="32">
        <f>IFERROR(__xludf.DUMMYFUNCTION("""COMPUTED_VALUE"""),45516.0)</f>
        <v>45516</v>
      </c>
    </row>
    <row r="27">
      <c r="A27" s="35">
        <v>2024.0</v>
      </c>
      <c r="B27" s="36">
        <f t="array" ref="B27">SUM(--(ISNUMBER(SEARCH(B$2, Data!$K:$K)) * (Data!$C:$C = $A27)))
</f>
        <v>145</v>
      </c>
      <c r="C27" s="36">
        <f t="array" ref="C27">SUM(--(ISNUMBER(SEARCH(C$2, Data!$K:$K)) * (Data!$C:$C = $A27)))
</f>
        <v>340</v>
      </c>
      <c r="D27" s="36">
        <f t="array" ref="D27">SUM(--(ISNUMBER(SEARCH(D$2, Data!$K:$K)) * (Data!$C:$C = $A27)))
</f>
        <v>247</v>
      </c>
      <c r="E27" s="36">
        <f t="array" ref="E27">SUM(--(ISNUMBER(SEARCH(E$2, Data!$K:$K)) * (Data!$C:$C = $A27)))
</f>
        <v>337</v>
      </c>
      <c r="F27" s="37">
        <f>COUNTIF(Data!C26:C9917,A27)</f>
        <v>547</v>
      </c>
      <c r="I27" s="31" t="str">
        <f>IFERROR(__xludf.DUMMYFUNCTION("""COMPUTED_VALUE"""),"clinical oral investigations")</f>
        <v>clinical oral investigations</v>
      </c>
      <c r="J27" s="38">
        <f>COUNTIF(Data!$F$2:$F9917, $I27)</f>
        <v>6</v>
      </c>
      <c r="K27" s="31" t="str">
        <f>IFERROR(__xludf.DUMMYFUNCTION("""COMPUTED_VALUE"""),"cancer epidemiology biomarkers prevention a publication of the american association for cancer research cosponsored by the american society of preventive oncology")</f>
        <v>cancer epidemiology biomarkers prevention a publication of the american association for cancer research cosponsored by the american society of preventive oncology</v>
      </c>
      <c r="L27" s="31">
        <f>IFERROR(__xludf.DUMMYFUNCTION("""COMPUTED_VALUE"""),38.0)</f>
        <v>38</v>
      </c>
      <c r="T27" s="31" t="s">
        <v>25064</v>
      </c>
      <c r="U27" s="31" t="s">
        <v>25065</v>
      </c>
      <c r="V27" s="32">
        <v>45618.0</v>
      </c>
      <c r="X27" s="31" t="str">
        <f>IFERROR(__xludf.DUMMYFUNCTION("""COMPUTED_VALUE"""),"Lancet Commission on synergies between universal health coverage, health security, and health promotion.")</f>
        <v>Lancet Commission on synergies between universal health coverage, health security, and health promotion.</v>
      </c>
      <c r="Y27" s="31" t="str">
        <f>IFERROR(__xludf.DUMMYFUNCTION("""COMPUTED_VALUE"""),"Agyepong, Irene; Spicer, Neil; Ooms, Gorik; Jahn, Albrecht; Bärnighausen, Till; Beiersmann, Claudia; Brown Amoakoh, Hannah; Fink, Günter; Guo, Yan; Hennig, Lisa; Kifle Habtemariam, Mahlet; Kouyaté, Bocar A; Loewenson, Rene; Micah, Angela; Moon, Suerie; Mo"&amp;"shabela, Mosa; Myhre, Sonja Lynn; Ottersen, Trygve; Patcharanarumol, Walaiporn; Sarker, Malabika; Sen, Gita; Shiozaki, Yasuhisa; Songane, Francisco; Sridhar, Devi; Ssengooba, Freddie; Vega, Jeanette; Ventura, Deisy; Voss, Maike; Heymann, David")</f>
        <v>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v>
      </c>
      <c r="Z27" s="31">
        <f>IFERROR(__xludf.DUMMYFUNCTION("""COMPUTED_VALUE"""),2023.0)</f>
        <v>2023</v>
      </c>
      <c r="AA27" s="31">
        <f>IFERROR(__xludf.DUMMYFUNCTION("""COMPUTED_VALUE"""),11.0)</f>
        <v>11</v>
      </c>
      <c r="AC27" s="31" t="str">
        <f>IFERROR(__xludf.DUMMYFUNCTION("""COMPUTED_VALUE"""),"Skewness and Staging: Does the Floor Effect Induce Bias in Multilevel AR(1) Models?")</f>
        <v>Skewness and Staging: Does the Floor Effect Induce Bias in Multilevel AR(1) Models?</v>
      </c>
      <c r="AD27" s="31" t="str">
        <f>IFERROR(__xludf.DUMMYFUNCTION("""COMPUTED_VALUE"""),"Haqiqatkhah, MohammadHossein M; Ryan, Oisín; Hamaker, Ellen L")</f>
        <v>Haqiqatkhah, MohammadHossein M; Ryan, Oisín; Hamaker, Ellen L</v>
      </c>
      <c r="AE27" s="32">
        <f>IFERROR(__xludf.DUMMYFUNCTION("""COMPUTED_VALUE"""),45291.0)</f>
        <v>45291</v>
      </c>
      <c r="AF27" s="31" t="str">
        <f>IFERROR(__xludf.DUMMYFUNCTION("""COMPUTED_VALUE"""),"Agreement Between Mega-Trials and Smaller Trials: A Systematic Review and Meta-Research Analysis.")</f>
        <v>Agreement Between Mega-Trials and Smaller Trials: A Systematic Review and Meta-Research Analysis.</v>
      </c>
      <c r="AG27" s="31" t="str">
        <f>IFERROR(__xludf.DUMMYFUNCTION("""COMPUTED_VALUE"""),"Kastrati, Lum; Raeisi-Dehkordi, Hamidreza; Llanaj, Erand; Quezada-Pinedo, Hugo G; Khatami, Farnaz; Ahanchi, Noushin Sadat; Llane, Adea; Meçani, Renald; Muka, Taulant; Ioannidis, John P A")</f>
        <v>Kastrati, Lum; Raeisi-Dehkordi, Hamidreza; Llanaj, Erand; Quezada-Pinedo, Hugo G; Khatami, Farnaz; Ahanchi, Noushin Sadat; Llane, Adea; Meçani, Renald; Muka, Taulant; Ioannidis, John P A</v>
      </c>
      <c r="AH27" s="32">
        <f>IFERROR(__xludf.DUMMYFUNCTION("""COMPUTED_VALUE"""),45538.0)</f>
        <v>45538</v>
      </c>
      <c r="AI27" s="31" t="str">
        <f>IFERROR(__xludf.DUMMYFUNCTION("""COMPUTED_VALUE"""),"Working on differentiated nursing practices in hospitals: A learning history on enacting new nursing roles.")</f>
        <v>Working on differentiated nursing practices in hospitals: A learning history on enacting new nursing roles.</v>
      </c>
      <c r="AJ27" s="31" t="str">
        <f>IFERROR(__xludf.DUMMYFUNCTION("""COMPUTED_VALUE"""),"Martini, Dieke; Schalkwijk, Hugo; Schoonhoven, Lisette; Noordegraaf, Mirko; Lalleman, Pieterbas")</f>
        <v>Martini, Dieke; Schalkwijk, Hugo; Schoonhoven, Lisette; Noordegraaf, Mirko; Lalleman, Pieterbas</v>
      </c>
      <c r="AK27" s="32">
        <f>IFERROR(__xludf.DUMMYFUNCTION("""COMPUTED_VALUE"""),45441.0)</f>
        <v>45441</v>
      </c>
      <c r="AL27" s="31" t="str">
        <f>IFERROR(__xludf.DUMMYFUNCTION("""COMPUTED_VALUE"""),"The use of imputation in clinical decision support systems: a cardiovascular risk management pilot vignette study among clinicians.")</f>
        <v>The use of imputation in clinical decision support systems: a cardiovascular risk management pilot vignette study among clinicians.</v>
      </c>
      <c r="AM27" s="31" t="str">
        <f>IFERROR(__xludf.DUMMYFUNCTION("""COMPUTED_VALUE"""),"Haitjema, Saskia; Nijman, Steven W J; Verkouter, Inge; Jacobs, John J L; Asselbergs, Folkert W; Moons, Karel G M; Beekers, Ines; Debray, Thomas P A; Bots, Michiel L")</f>
        <v>Haitjema, Saskia; Nijman, Steven W J; Verkouter, Inge; Jacobs, John J L; Asselbergs, Folkert W; Moons, Karel G M; Beekers, Ines; Debray, Thomas P A; Bots, Michiel L</v>
      </c>
      <c r="AN27" s="32">
        <f>IFERROR(__xludf.DUMMYFUNCTION("""COMPUTED_VALUE"""),45514.0)</f>
        <v>45514</v>
      </c>
    </row>
    <row r="28">
      <c r="A28" s="43" t="s">
        <v>26016</v>
      </c>
      <c r="B28" s="44">
        <f t="shared" ref="B28:F28" si="3">SUM(B3:B27)</f>
        <v>950</v>
      </c>
      <c r="C28" s="44">
        <f t="shared" si="3"/>
        <v>3380</v>
      </c>
      <c r="D28" s="44">
        <f t="shared" si="3"/>
        <v>2441</v>
      </c>
      <c r="E28" s="44">
        <f t="shared" si="3"/>
        <v>3663</v>
      </c>
      <c r="F28" s="44">
        <f t="shared" si="3"/>
        <v>5701</v>
      </c>
      <c r="I28" s="31" t="str">
        <f>IFERROR(__xludf.DUMMYFUNCTION("""COMPUTED_VALUE"""),"health care analysis hca journal of health philosophy and policy")</f>
        <v>health care analysis hca journal of health philosophy and policy</v>
      </c>
      <c r="J28" s="38">
        <f>COUNTIF(Data!$F$2:$F9917, $I28)</f>
        <v>1</v>
      </c>
      <c r="K28" s="31" t="str">
        <f>IFERROR(__xludf.DUMMYFUNCTION("""COMPUTED_VALUE"""),"trials")</f>
        <v>trials</v>
      </c>
      <c r="L28" s="31">
        <f>IFERROR(__xludf.DUMMYFUNCTION("""COMPUTED_VALUE"""),36.0)</f>
        <v>36</v>
      </c>
      <c r="T28" s="31" t="s">
        <v>25415</v>
      </c>
      <c r="U28" s="31" t="s">
        <v>25416</v>
      </c>
      <c r="V28" s="32">
        <v>45618.0</v>
      </c>
      <c r="X28" s="31" t="str">
        <f>IFERROR(__xludf.DUMMYFUNCTION("""COMPUTED_VALUE"""),"Vaccine effectiveness of primary and booster COVID-19 vaccinations against SARS-CoV-2 infection in the Netherlands from July 12, 2021 to June 6, 2022: A prospective cohort study.")</f>
        <v>Vaccine effectiveness of primary and booster COVID-19 vaccinations against SARS-CoV-2 infection in the Netherlands from July 12, 2021 to June 6, 2022: A prospective cohort study.</v>
      </c>
      <c r="Y28" s="31" t="str">
        <f>IFERROR(__xludf.DUMMYFUNCTION("""COMPUTED_VALUE"""),"Huiberts, Anne J; de Gier, Brechje; Hoeve, Christina E; de Melker, Hester E; Hahné, Susan J M; den Hartog, Gerco; Grobbee, Diederick E; van de Wijgert, Janneke H H M; van den Hof, Susan; Knol, Mirjam J")</f>
        <v>Huiberts, Anne J; de Gier, Brechje; Hoeve, Christina E; de Melker, Hester E; Hahné, Susan J M; den Hartog, Gerco; Grobbee, Diederick E; van de Wijgert, Janneke H H M; van den Hof, Susan; Knol, Mirjam J</v>
      </c>
      <c r="Z28" s="31">
        <f>IFERROR(__xludf.DUMMYFUNCTION("""COMPUTED_VALUE"""),2023.0)</f>
        <v>2023</v>
      </c>
      <c r="AA28" s="31">
        <f>IFERROR(__xludf.DUMMYFUNCTION("""COMPUTED_VALUE"""),11.0)</f>
        <v>11</v>
      </c>
      <c r="AC28" s="31" t="str">
        <f>IFERROR(__xludf.DUMMYFUNCTION("""COMPUTED_VALUE"""),"Daily intranasal palivizumab to prevent respiratory syncytial virus infection in healthy preterm infants: a phase 1/2b randomized placebo-controlled trial.")</f>
        <v>Daily intranasal palivizumab to prevent respiratory syncytial virus infection in healthy preterm infants: a phase 1/2b randomized placebo-controlled trial.</v>
      </c>
      <c r="AD28" s="31" t="str">
        <f>IFERROR(__xludf.DUMMYFUNCTION("""COMPUTED_VALUE"""),"Mazur, Natalie I; Löwensteyn, Yvette N; Terstappen, Jonne; Leusen, Jeanette; Schobben, Fred; Cianci, Daniela; van de Ven, Peter M; Nierkens, Stefan; Bont, Louis J; ,")</f>
        <v>Mazur, Natalie I; Löwensteyn, Yvette N; Terstappen, Jonne; Leusen, Jeanette; Schobben, Fred; Cianci, Daniela; van de Ven, Peter M; Nierkens, Stefan; Bont, Louis J; ,</v>
      </c>
      <c r="AE28" s="32">
        <f>IFERROR(__xludf.DUMMYFUNCTION("""COMPUTED_VALUE"""),45255.0)</f>
        <v>45255</v>
      </c>
      <c r="AF28" s="31" t="str">
        <f>IFERROR(__xludf.DUMMYFUNCTION("""COMPUTED_VALUE"""),"Patient, parent and professional expert perspectives on personalized regenerative implants: a qualitative focus group study.")</f>
        <v>Patient, parent and professional expert perspectives on personalized regenerative implants: a qualitative focus group study.</v>
      </c>
      <c r="AG28" s="31" t="str">
        <f>IFERROR(__xludf.DUMMYFUNCTION("""COMPUTED_VALUE"""),"Daal, Manon van; de Kanter, Anne-Floor J; Custers, Roel Jh; Martínez-Sanz, Elena; Bredenoord, Annelien L; Graeff, Nienke de")</f>
        <v>Daal, Manon van; de Kanter, Anne-Floor J; Custers, Roel Jh; Martínez-Sanz, Elena; Bredenoord, Annelien L; Graeff, Nienke de</v>
      </c>
      <c r="AH28" s="32">
        <f>IFERROR(__xludf.DUMMYFUNCTION("""COMPUTED_VALUE"""),45537.0)</f>
        <v>45537</v>
      </c>
      <c r="AI28" s="31" t="str">
        <f>IFERROR(__xludf.DUMMYFUNCTION("""COMPUTED_VALUE"""),"Variation of resection margins in oral cancer in dependence of tumor stage and subsite - a retrospective cohort study.")</f>
        <v>Variation of resection margins in oral cancer in dependence of tumor stage and subsite - a retrospective cohort study.</v>
      </c>
      <c r="AJ28" s="31" t="str">
        <f>IFERROR(__xludf.DUMMYFUNCTION("""COMPUTED_VALUE"""),"Moratin, Julius; Horn, Dominik; Oehme, Marcel; Semmelmayer, Karl; Flechtenmacher, Christa; Ristow, Oliver; Held, Thomas; Engel, Michael; Hoffmann, Jürgen; Freudlsperger, Christian")</f>
        <v>Moratin, Julius; Horn, Dominik; Oehme, Marcel; Semmelmayer, Karl; Flechtenmacher, Christa; Ristow, Oliver; Held, Thomas; Engel, Michael; Hoffmann, Jürgen; Freudlsperger, Christian</v>
      </c>
      <c r="AK28" s="32">
        <f>IFERROR(__xludf.DUMMYFUNCTION("""COMPUTED_VALUE"""),45432.0)</f>
        <v>45432</v>
      </c>
      <c r="AL28" s="31" t="str">
        <f>IFERROR(__xludf.DUMMYFUNCTION("""COMPUTED_VALUE"""),"The effect of skeletal muscle mass on dose-limiting toxicities during (chemo)radiotherapy in patients with head and neck cancer: A systematic review and meta-analysis.")</f>
        <v>The effect of skeletal muscle mass on dose-limiting toxicities during (chemo)radiotherapy in patients with head and neck cancer: A systematic review and meta-analysis.</v>
      </c>
      <c r="AM28" s="31" t="str">
        <f>IFERROR(__xludf.DUMMYFUNCTION("""COMPUTED_VALUE"""),"Schaeffers, A W M A; Scholten, H A; van Beers, M A; Meussen, B W; Smid, E J; van Gils, C H; Devriese, L A; de Bree, R")</f>
        <v>Schaeffers, A W M A; Scholten, H A; van Beers, M A; Meussen, B W; Smid, E J; van Gils, C H; Devriese, L A; de Bree, R</v>
      </c>
      <c r="AN28" s="32">
        <f>IFERROR(__xludf.DUMMYFUNCTION("""COMPUTED_VALUE"""),45510.0)</f>
        <v>45510</v>
      </c>
    </row>
    <row r="29">
      <c r="A29" s="33" t="s">
        <v>26020</v>
      </c>
      <c r="I29" s="31" t="str">
        <f>IFERROR(__xludf.DUMMYFUNCTION("""COMPUTED_VALUE"""),"physical review letters")</f>
        <v>physical review letters</v>
      </c>
      <c r="J29" s="38">
        <f>COUNTIF(Data!$F$2:$F9917, $I29)</f>
        <v>82</v>
      </c>
      <c r="K29" s="31" t="str">
        <f>IFERROR(__xludf.DUMMYFUNCTION("""COMPUTED_VALUE"""),"circulation")</f>
        <v>circulation</v>
      </c>
      <c r="L29" s="31">
        <f>IFERROR(__xludf.DUMMYFUNCTION("""COMPUTED_VALUE"""),36.0)</f>
        <v>36</v>
      </c>
      <c r="T29" s="31" t="s">
        <v>25832</v>
      </c>
      <c r="U29" s="31" t="s">
        <v>25833</v>
      </c>
      <c r="V29" s="32">
        <v>45618.0</v>
      </c>
      <c r="X29" s="31" t="str">
        <f>IFERROR(__xludf.DUMMYFUNCTION("""COMPUTED_VALUE"""),"Bacillus Calmette-Guérin vaccine for prevention of COVID-19 and other respiratory tract infections in older adults with comorbidities: a randomized controlled trial.")</f>
        <v>Bacillus Calmette-Guérin vaccine for prevention of COVID-19 and other respiratory tract infections in older adults with comorbidities: a randomized controlled trial.</v>
      </c>
      <c r="Y29" s="31" t="str">
        <f>IFERROR(__xludf.DUMMYFUNCTION("""COMPUTED_VALUE"""),"Koekenbier, Eva L; Fohse, Konstantin; van de Maat, Josephine S; Oosterheert, Jan Jelrik; van Nieuwkoop, Cees; Hoogerwerf, Jacobien J; Grobusch, Martin P; van den Bosch, Maurice A A J; van de Wijgert, Janneke H H; Netea, Mihai G; Rosendaal, Frits R; Bonten"&amp;", Marc J M; Werkhoven, C H Henri van; ,")</f>
        <v>Koekenbier, Eva L; Fohse, Konstantin; van de Maat, Josephine S; Oosterheert, Jan Jelrik; van Nieuwkoop, Cees; Hoogerwerf, Jacobien J; Grobusch, Martin P; van den Bosch, Maurice A A J; van de Wijgert, Janneke H H; Netea, Mihai G; Rosendaal, Frits R; Bonten, Marc J M; Werkhoven, C H Henri van; ,</v>
      </c>
      <c r="Z29" s="31">
        <f>IFERROR(__xludf.DUMMYFUNCTION("""COMPUTED_VALUE"""),2023.0)</f>
        <v>2023</v>
      </c>
      <c r="AA29" s="31">
        <f>IFERROR(__xludf.DUMMYFUNCTION("""COMPUTED_VALUE"""),11.0)</f>
        <v>11</v>
      </c>
      <c r="AC29" s="31" t="str">
        <f>IFERROR(__xludf.DUMMYFUNCTION("""COMPUTED_VALUE"""),"Salivary concentrations of secretory leukocyte protease inhibitor and matrix metallopeptidase-9 following a single bout of exercise are associated with intensity and hydration status.")</f>
        <v>Salivary concentrations of secretory leukocyte protease inhibitor and matrix metallopeptidase-9 following a single bout of exercise are associated with intensity and hydration status.</v>
      </c>
      <c r="AD29" s="31" t="str">
        <f>IFERROR(__xludf.DUMMYFUNCTION("""COMPUTED_VALUE"""),"Knipping, Karen; Kartaram, Shirley W; Teunis, Marc; Zuithoff, Nicolaas P A; Buurman, Nicole; M'Rabet, Laura; van Norren, Klaske; Witkamp, Renger; Pieters, Raymond; Garssen, Johan")</f>
        <v>Knipping, Karen; Kartaram, Shirley W; Teunis, Marc; Zuithoff, Nicolaas P A; Buurman, Nicole; M'Rabet, Laura; van Norren, Klaske; Witkamp, Renger; Pieters, Raymond; Garssen, Johan</v>
      </c>
      <c r="AE29" s="32">
        <f>IFERROR(__xludf.DUMMYFUNCTION("""COMPUTED_VALUE"""),45252.0)</f>
        <v>45252</v>
      </c>
      <c r="AF29" s="31" t="str">
        <f>IFERROR(__xludf.DUMMYFUNCTION("""COMPUTED_VALUE"""),"Evaluation of risk prediction models to select lung cancer screening participants in Europe: a prospective cohort consortium analysis.")</f>
        <v>Evaluation of risk prediction models to select lung cancer screening participants in Europe: a prospective cohort consortium analysis.</v>
      </c>
      <c r="AG29" s="31" t="str">
        <f>IFERROR(__xludf.DUMMYFUNCTION("""COMPUTED_VALUE"""),"Feng, Xiaoshuang; Goodley, Patrick; Alcala, Karine; Guida, Florence; Kaaks, Rudolf; Vermeulen, Roel; Downward, George S; Bonet, Catalina; Colorado-Yohar, Sandra M; Albanes, Demetrius; Weinstein, Stephanie J; Goldberg, Marcel; Zins, Marie; Relton, Caroline"&amp;"; Langhammer, Arnulf; Skogholt, Anne Heidi; Johansson, Mattias; Robbins, Hilary A")</f>
        <v>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v>
      </c>
      <c r="AH29" s="32">
        <f>IFERROR(__xludf.DUMMYFUNCTION("""COMPUTED_VALUE"""),45536.0)</f>
        <v>45536</v>
      </c>
      <c r="AI29" s="31" t="str">
        <f>IFERROR(__xludf.DUMMYFUNCTION("""COMPUTED_VALUE"""),"Antihypertensive medication classes and risk of incident dementia in primary care patients: a longitudinal cohort study in the Netherlands.")</f>
        <v>Antihypertensive medication classes and risk of incident dementia in primary care patients: a longitudinal cohort study in the Netherlands.</v>
      </c>
      <c r="AJ29" s="31"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AK29" s="32">
        <f>IFERROR(__xludf.DUMMYFUNCTION("""COMPUTED_VALUE"""),45427.0)</f>
        <v>45427</v>
      </c>
      <c r="AL29" s="31" t="str">
        <f>IFERROR(__xludf.DUMMYFUNCTION("""COMPUTED_VALUE"""),"Eight-year follow-up of patient-reported outcomes in patients with breast cancer participating in exercise studies during chemotherapy.")</f>
        <v>Eight-year follow-up of patient-reported outcomes in patients with breast cancer participating in exercise studies during chemotherapy.</v>
      </c>
      <c r="AM29" s="31" t="str">
        <f>IFERROR(__xludf.DUMMYFUNCTION("""COMPUTED_VALUE"""),"Binyam, David; Naaktgeboren, Willeke R; Groen, Wim G; Aaronson, Neil K; Hiensch, Anouk E; van Harten, Wim H; Stuiver, Martijn M; May, Anne M")</f>
        <v>Binyam, David; Naaktgeboren, Willeke R; Groen, Wim G; Aaronson, Neil K; Hiensch, Anouk E; van Harten, Wim H; Stuiver, Martijn M; May, Anne M</v>
      </c>
      <c r="AN29" s="32">
        <f>IFERROR(__xludf.DUMMYFUNCTION("""COMPUTED_VALUE"""),45509.0)</f>
        <v>45509</v>
      </c>
    </row>
    <row r="30">
      <c r="A30" s="23" t="s">
        <v>26015</v>
      </c>
      <c r="B30" s="35" t="s">
        <v>45</v>
      </c>
      <c r="C30" s="35" t="s">
        <v>16</v>
      </c>
      <c r="D30" s="35" t="s">
        <v>68</v>
      </c>
      <c r="E30" s="35" t="s">
        <v>28</v>
      </c>
      <c r="F30" s="35" t="s">
        <v>26016</v>
      </c>
      <c r="I30" s="31" t="str">
        <f>IFERROR(__xludf.DUMMYFUNCTION("""COMPUTED_VALUE"""),"european journal of clinical investigation")</f>
        <v>european journal of clinical investigation</v>
      </c>
      <c r="J30" s="38">
        <f>COUNTIF(Data!$F$2:$F9917, $I30)</f>
        <v>8</v>
      </c>
      <c r="K30" s="31" t="str">
        <f>IFERROR(__xludf.DUMMYFUNCTION("""COMPUTED_VALUE"""),"european journal of heart failure")</f>
        <v>european journal of heart failure</v>
      </c>
      <c r="L30" s="31">
        <f>IFERROR(__xludf.DUMMYFUNCTION("""COMPUTED_VALUE"""),35.0)</f>
        <v>35</v>
      </c>
      <c r="T30" s="31" t="s">
        <v>24724</v>
      </c>
      <c r="U30" s="31" t="s">
        <v>24725</v>
      </c>
      <c r="V30" s="32">
        <v>45617.0</v>
      </c>
      <c r="X30" s="31" t="str">
        <f>IFERROR(__xludf.DUMMYFUNCTION("""COMPUTED_VALUE"""),"Detection of SARS-CoV-2 in Air and on Surfaces in Rooms of Infected Nursing Home Residents.")</f>
        <v>Detection of SARS-CoV-2 in Air and on Surfaces in Rooms of Infected Nursing Home Residents.</v>
      </c>
      <c r="Y30" s="31" t="str">
        <f>IFERROR(__xludf.DUMMYFUNCTION("""COMPUTED_VALUE"""),"Linde, Kimberly J; Wouters, Inge M; Kluytmans, Jan A J W; Kluytmans-van den Bergh, Marjolein F Q; Pas, Suzan D; GeurtsvanKessel, Corine H; Koopmans, Marion P G; Meier, Melanie; Meijer, Patrick; Raben, Ceder R; Spithoven, Jack; Tersteeg-Zijderveld, Monique"&amp;" H G; Heederik, Dick J J; Dohmen, Wietske; ,")</f>
        <v>Linde, Kimberly J; Wouters, Inge M; Kluytmans, Jan A J W; Kluytmans-van den Bergh, Marjolein F Q; Pas, Suzan D; GeurtsvanKessel, Corine H; Koopmans, Marion P G; Meier, Melanie; Meijer, Patrick; Raben, Ceder R; Spithoven, Jack; Tersteeg-Zijderveld, Monique H G; Heederik, Dick J J; Dohmen, Wietske; ,</v>
      </c>
      <c r="Z30" s="31">
        <f>IFERROR(__xludf.DUMMYFUNCTION("""COMPUTED_VALUE"""),2023.0)</f>
        <v>2023</v>
      </c>
      <c r="AA30" s="31">
        <f>IFERROR(__xludf.DUMMYFUNCTION("""COMPUTED_VALUE"""),11.0)</f>
        <v>11</v>
      </c>
      <c r="AC30" s="31"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AD30" s="31" t="str">
        <f>IFERROR(__xludf.DUMMYFUNCTION("""COMPUTED_VALUE"""),"Morris, Tim P; van Smeden, Maarten; Pham, Tra My")</f>
        <v>Morris, Tim P; van Smeden, Maarten; Pham, Tra My</v>
      </c>
      <c r="AE30" s="32">
        <f>IFERROR(__xludf.DUMMYFUNCTION("""COMPUTED_VALUE"""),45198.0)</f>
        <v>45198</v>
      </c>
      <c r="AF30" s="31" t="str">
        <f>IFERROR(__xludf.DUMMYFUNCTION("""COMPUTED_VALUE"""),"Differential effect of lead and cadmium on mitochondrial function and NLRP3 inflammasome activation in human trophoblast.")</f>
        <v>Differential effect of lead and cadmium on mitochondrial function and NLRP3 inflammasome activation in human trophoblast.</v>
      </c>
      <c r="AG30" s="31" t="str">
        <f>IFERROR(__xludf.DUMMYFUNCTION("""COMPUTED_VALUE"""),"Dai, Yifeng; Xu, Xijin; Huo, Xia; Schuitemaker, Joost H N; Faas, Marijke M")</f>
        <v>Dai, Yifeng; Xu, Xijin; Huo, Xia; Schuitemaker, Joost H N; Faas, Marijke M</v>
      </c>
      <c r="AH30" s="32">
        <f>IFERROR(__xludf.DUMMYFUNCTION("""COMPUTED_VALUE"""),45532.0)</f>
        <v>45532</v>
      </c>
      <c r="AI30" s="31" t="str">
        <f>IFERROR(__xludf.DUMMYFUNCTION("""COMPUTED_VALUE"""),"Development and validation of a risk prediction model for hospital admission in COVID-19 patients presenting to primary care.")</f>
        <v>Development and validation of a risk prediction model for hospital admission in COVID-19 patients presenting to primary care.</v>
      </c>
      <c r="AJ30" s="31" t="str">
        <f>IFERROR(__xludf.DUMMYFUNCTION("""COMPUTED_VALUE"""),"Wynants, Laure; Broers, Natascha Jh; Platteel, Tamara N; Venekamp, Roderick P; Barten, Dennis G; Leers, Mathie Pg; Verheij, Theo Jm; Stassen, Patricia M; Cals, Jochen Wl; de Bont, Eefje Gpm")</f>
        <v>Wynants, Laure; Broers, Natascha Jh; Platteel, Tamara N; Venekamp, Roderick P; Barten, Dennis G; Leers, Mathie Pg; Verheij, Theo Jm; Stassen, Patricia M; Cals, Jochen Wl; de Bont, Eefje Gpm</v>
      </c>
      <c r="AK30" s="32">
        <f>IFERROR(__xludf.DUMMYFUNCTION("""COMPUTED_VALUE"""),45411.0)</f>
        <v>45411</v>
      </c>
      <c r="AL30" s="31" t="str">
        <f>IFERROR(__xludf.DUMMYFUNCTION("""COMPUTED_VALUE"""),"Using a measurement type-independent metric to compare patterns of determinants between patient-reported versus performance-based physical function in hemodialysis patients.")</f>
        <v>Using a measurement type-independent metric to compare patterns of determinants between patient-reported versus performance-based physical function in hemodialysis patients.</v>
      </c>
      <c r="AM30" s="31" t="str">
        <f>IFERROR(__xludf.DUMMYFUNCTION("""COMPUTED_VALUE"""),"Liegl, Gregor; Fischer, Felix H; Canaud, Bernard; Woodward, Mark; Barth, Claudia; Davenport, Andrew; Török, Marietta; Strippoli, Giovanni F M; Hegbrant, Jörgen; Cromm, Krister; Bots, Michiel L; Blankestijn, Peter J; Fischer, Kathrin I; Rose, Matthias; ,")</f>
        <v>Liegl, Gregor; Fischer, Felix H; Canaud, Bernard; Woodward, Mark; Barth, Claudia; Davenport, Andrew; Török, Marietta; Strippoli, Giovanni F M; Hegbrant, Jörgen; Cromm, Krister; Bots, Michiel L; Blankestijn, Peter J; Fischer, Kathrin I; Rose, Matthias; ,</v>
      </c>
      <c r="AN30" s="32">
        <f>IFERROR(__xludf.DUMMYFUNCTION("""COMPUTED_VALUE"""),45509.0)</f>
        <v>45509</v>
      </c>
    </row>
    <row r="31">
      <c r="A31" s="35"/>
      <c r="B31" s="39"/>
      <c r="C31" s="39"/>
      <c r="D31" s="39"/>
      <c r="E31" s="39"/>
      <c r="F31" s="39"/>
      <c r="I31" s="31" t="str">
        <f>IFERROR(__xludf.DUMMYFUNCTION("""COMPUTED_VALUE"""),"journal of the endocrine society")</f>
        <v>journal of the endocrine society</v>
      </c>
      <c r="J31" s="38">
        <f>COUNTIF(Data!$F$2:$F9917, $I31)</f>
        <v>1</v>
      </c>
      <c r="K31" s="31" t="str">
        <f>IFERROR(__xludf.DUMMYFUNCTION("""COMPUTED_VALUE"""),"bmc public health")</f>
        <v>bmc public health</v>
      </c>
      <c r="L31" s="31">
        <f>IFERROR(__xludf.DUMMYFUNCTION("""COMPUTED_VALUE"""),34.0)</f>
        <v>34</v>
      </c>
      <c r="T31" s="31" t="s">
        <v>25555</v>
      </c>
      <c r="U31" s="31" t="s">
        <v>25556</v>
      </c>
      <c r="V31" s="32">
        <v>45617.0</v>
      </c>
      <c r="X31" s="31" t="str">
        <f>IFERROR(__xludf.DUMMYFUNCTION("""COMPUTED_VALUE"""),"Consumption of ultra-processed foods and risk of multimorbidity of cancer and cardiometabolic diseases: a multinational cohort study.")</f>
        <v>Consumption of ultra-processed foods and risk of multimorbidity of cancer and cardiometabolic diseases: a multinational cohort study.</v>
      </c>
      <c r="Y31" s="31" t="str">
        <f>IFERROR(__xludf.DUMMYFUNCTION("""COMPUTED_VALUE"""),"Cordova, Reynalda; Viallon, Vivian; Fontvieille, Emma; Peruchet-Noray, Laia; Jansana, Anna; Wagner, Karl-Heinz; Kyrø, Cecilie; Tjønneland, Anne; Katzke, Verena; Bajracharya, Rashmita; Schulze, Matthias B; Masala, Giovanna; Sieri, Sabina; Panico, Salvatore"&amp;"; Ricceri, Fulvio; Tumino, Rosario; Boer, Jolanda M A; Verschuren, W M Monique; van der Schouw, Yvonne T; Jakszyn, Paula; Redondo-Sánchez, Daniel; Amiano, Pilar; Huerta, José María; Guevara, Marcela; Borné, Yan; Sonestedt, Emily; Tsilidis, Konstantinos K;"&amp;" Millett, Christopher; Heath, Alicia K; Aglago, Elom K; Aune, Dagfinn; Gunter, Marc J; Ferrari, Pietro; Huybrechts, Inge; Freisling, Heinz")</f>
        <v>Cordova, Reynalda; Viallon, Vivian; Fontvieille, Emma; Peruchet-Noray, Laia; Jansana, Anna; Wagner, Karl-Heinz; Kyrø, Cecilie; Tjønneland, Anne; Katzke, Verena; Bajracharya, Rashmita; Schulze, Matthias B; Masala, Giovanna; Sieri, Sabina; Panico, Salvatore; Ricceri, Fulvio; Tumino, Rosario; Boer, Jolanda M A; Verschuren, W M Monique; van der Schouw, Yvonne T; Jakszyn, Paula; Redondo-Sánchez, Daniel; Amiano, Pilar; Huerta, José María; Guevara, Marcela; Borné, Yan; Sonestedt, Emily; Tsilidis, Konstantinos K; Millett, Christopher; Heath, Alicia K; Aglago, Elom K; Aune, Dagfinn; Gunter, Marc J; Ferrari, Pietro; Huybrechts, Inge; Freisling, Heinz</v>
      </c>
      <c r="Z31" s="31">
        <f>IFERROR(__xludf.DUMMYFUNCTION("""COMPUTED_VALUE"""),2023.0)</f>
        <v>2023</v>
      </c>
      <c r="AA31" s="31">
        <f>IFERROR(__xludf.DUMMYFUNCTION("""COMPUTED_VALUE"""),10.0)</f>
        <v>10</v>
      </c>
      <c r="AC31" s="31" t="str">
        <f>IFERROR(__xludf.DUMMYFUNCTION("""COMPUTED_VALUE"""),"An Innovative AI-based primer design tool for precise and accurate detection of SARS-CoV-2 variants of concern.")</f>
        <v>An Innovative AI-based primer design tool for precise and accurate detection of SARS-CoV-2 variants of concern.</v>
      </c>
      <c r="AD31" s="31" t="str">
        <f>IFERROR(__xludf.DUMMYFUNCTION("""COMPUTED_VALUE"""),"Perez-Romero, Carmina Angelica; Mendoza-Maldonado, Lucero; Tonda, Alberto; Coz, Etienne; Tabeling, Patrick; Vanhomwegen, Jessica; MacSharry, John; Szafran, Joanna; Bobadilla-Morales, Lucina; Corona-Rivera, Alfredo; Claassen, Eric; Garssen, Johan; Kranevel"&amp;"d, Aletta D; Lopez-Rincon, Alejandro")</f>
        <v>Perez-Romero, Carmina Angelica; Mendoza-Maldonado, Lucero; Tonda, Alberto; Coz, Etienne; Tabeling, Patrick; Vanhomwegen, Jessica; MacSharry, John; Szafran, Joanna; Bobadilla-Morales, Lucina; Corona-Rivera, Alfredo; Claassen, Eric; Garssen, Johan; Kraneveld, Aletta D; Lopez-Rincon, Alejandro</v>
      </c>
      <c r="AE31" s="32">
        <f>IFERROR(__xludf.DUMMYFUNCTION("""COMPUTED_VALUE"""),45191.0)</f>
        <v>45191</v>
      </c>
      <c r="AF31" s="31" t="str">
        <f>IFERROR(__xludf.DUMMYFUNCTION("""COMPUTED_VALUE"""),"Difficulty with mobility among the aged in Ghana: Evidence from Wave 2 of the World Health Organization's Study on Global Ageing and Adult Health.")</f>
        <v>Difficulty with mobility among the aged in Ghana: Evidence from Wave 2 of the World Health Organization's Study on Global Ageing and Adult Health.</v>
      </c>
      <c r="AG31" s="31" t="str">
        <f>IFERROR(__xludf.DUMMYFUNCTION("""COMPUTED_VALUE"""),"Boakye, Kingsley; Aidoo, Antoinette Ama; Aliyu, Mohammed; Boateng, Daniel; Nakua, Emmanuel Kweku")</f>
        <v>Boakye, Kingsley; Aidoo, Antoinette Ama; Aliyu, Mohammed; Boateng, Daniel; Nakua, Emmanuel Kweku</v>
      </c>
      <c r="AH31" s="32">
        <f>IFERROR(__xludf.DUMMYFUNCTION("""COMPUTED_VALUE"""),45531.0)</f>
        <v>45531</v>
      </c>
      <c r="AI31" s="31" t="str">
        <f>IFERROR(__xludf.DUMMYFUNCTION("""COMPUTED_VALUE"""),"Correction to: Second primary squamous cell carcinoma of the oral cavity - a retrospective cohort study of therapeutic procedures and oncological outcome.")</f>
        <v>Correction to: Second primary squamous cell carcinoma of the oral cavity - a retrospective cohort study of therapeutic procedures and oncological outcome.</v>
      </c>
      <c r="AJ31" s="31"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AK31" s="32">
        <f>IFERROR(__xludf.DUMMYFUNCTION("""COMPUTED_VALUE"""),45405.0)</f>
        <v>45405</v>
      </c>
      <c r="AL31" s="31" t="str">
        <f>IFERROR(__xludf.DUMMYFUNCTION("""COMPUTED_VALUE"""),"Author Correction: Clinical implementation of artificial-intelligence-assisted detection of breast cancer metastases in sentinel lymph nodes: the CONFIDENT-B single-center, non-randomized clinical trial.")</f>
        <v>Author Correction: Clinical implementation of artificial-intelligence-assisted detection of breast cancer metastases in sentinel lymph nodes: the CONFIDENT-B single-center, non-randomized clinical trial.</v>
      </c>
      <c r="AM31" s="31"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AN31" s="32">
        <f>IFERROR(__xludf.DUMMYFUNCTION("""COMPUTED_VALUE"""),45505.0)</f>
        <v>45505</v>
      </c>
    </row>
    <row r="32">
      <c r="A32" s="35"/>
      <c r="B32" s="39"/>
      <c r="C32" s="39"/>
      <c r="D32" s="39"/>
      <c r="E32" s="39"/>
      <c r="F32" s="39"/>
      <c r="I32" s="31" t="str">
        <f>IFERROR(__xludf.DUMMYFUNCTION("""COMPUTED_VALUE"""),"the lancet neurology")</f>
        <v>the lancet neurology</v>
      </c>
      <c r="J32" s="38">
        <f>COUNTIF(Data!$F$2:$F9917, $I32)</f>
        <v>15</v>
      </c>
      <c r="K32" s="31" t="str">
        <f>IFERROR(__xludf.DUMMYFUNCTION("""COMPUTED_VALUE"""),"heart british cardiac society")</f>
        <v>heart british cardiac society</v>
      </c>
      <c r="L32" s="31">
        <f>IFERROR(__xludf.DUMMYFUNCTION("""COMPUTED_VALUE"""),34.0)</f>
        <v>34</v>
      </c>
      <c r="T32" s="31" t="s">
        <v>25762</v>
      </c>
      <c r="U32" s="31" t="s">
        <v>25763</v>
      </c>
      <c r="V32" s="32">
        <v>45617.0</v>
      </c>
      <c r="X32" s="31" t="str">
        <f>IFERROR(__xludf.DUMMYFUNCTION("""COMPUTED_VALUE"""),"Effects of COVID-19 vaccination and previous infection on Omicron SARS-CoV-2 infection and relation with serology.")</f>
        <v>Effects of COVID-19 vaccination and previous infection on Omicron SARS-CoV-2 infection and relation with serology.</v>
      </c>
      <c r="Y32" s="31" t="str">
        <f>IFERROR(__xludf.DUMMYFUNCTION("""COMPUTED_VALUE"""),"de Gier, Brechje; Huiberts, Anne J; Hoeve, Christina E; den Hartog, Gerco; van Werkhoven, Henri; van Binnendijk, Rob; Hahné, Susan J M; de Melker, Hester E; van den Hof, Susan; Knol, Mirjam J")</f>
        <v>de Gier, Brechje; Huiberts, Anne J; Hoeve, Christina E; den Hartog, Gerco; van Werkhoven, Henri; van Binnendijk, Rob; Hahné, Susan J M; de Melker, Hester E; van den Hof, Susan; Knol, Mirjam J</v>
      </c>
      <c r="Z32" s="31">
        <f>IFERROR(__xludf.DUMMYFUNCTION("""COMPUTED_VALUE"""),2023.0)</f>
        <v>2023</v>
      </c>
      <c r="AA32" s="31">
        <f>IFERROR(__xludf.DUMMYFUNCTION("""COMPUTED_VALUE"""),10.0)</f>
        <v>10</v>
      </c>
      <c r="AC32" s="31" t="str">
        <f>IFERROR(__xludf.DUMMYFUNCTION("""COMPUTED_VALUE"""),"Inconsistency identification in network meta-analysis via stochastic search variable selection.")</f>
        <v>Inconsistency identification in network meta-analysis via stochastic search variable selection.</v>
      </c>
      <c r="AD32" s="31" t="str">
        <f>IFERROR(__xludf.DUMMYFUNCTION("""COMPUTED_VALUE"""),"Seitidis, Georgios; Nikolakopoulos, Stavros; Ntzoufras, Ioannis; Mavridis, Dimitris")</f>
        <v>Seitidis, Georgios; Nikolakopoulos, Stavros; Ntzoufras, Ioannis; Mavridis, Dimitris</v>
      </c>
      <c r="AE32" s="32">
        <f>IFERROR(__xludf.DUMMYFUNCTION("""COMPUTED_VALUE"""),45169.0)</f>
        <v>45169</v>
      </c>
      <c r="AF32" s="31" t="str">
        <f>IFERROR(__xludf.DUMMYFUNCTION("""COMPUTED_VALUE"""),"Europe needs to urgently implement an outward looking Global Health Strategy.")</f>
        <v>Europe needs to urgently implement an outward looking Global Health Strategy.</v>
      </c>
      <c r="AG32" s="31" t="str">
        <f>IFERROR(__xludf.DUMMYFUNCTION("""COMPUTED_VALUE"""),"Berner-Rodoreda, Astrid; Bassat, Quique; Rocamora, Alberto; Raviglione, Mario; Abecasis, Ana B; Klipstein-Grobusch, Kerstin; Skordis, Jolene; Anton, Nora; Bärnighausen, Till")</f>
        <v>Berner-Rodoreda, Astrid; Bassat, Quique; Rocamora, Alberto; Raviglione, Mario; Abecasis, Ana B; Klipstein-Grobusch, Kerstin; Skordis, Jolene; Anton, Nora; Bärnighausen, Till</v>
      </c>
      <c r="AH32" s="32">
        <f>IFERROR(__xludf.DUMMYFUNCTION("""COMPUTED_VALUE"""),45530.0)</f>
        <v>45530</v>
      </c>
      <c r="AI32" s="31" t="str">
        <f>IFERROR(__xludf.DUMMYFUNCTION("""COMPUTED_VALUE"""),"Wearable wireless continuous vital signs monitoring on the general ward.")</f>
        <v>Wearable wireless continuous vital signs monitoring on the general ward.</v>
      </c>
      <c r="AJ32" s="31" t="str">
        <f>IFERROR(__xludf.DUMMYFUNCTION("""COMPUTED_VALUE"""),"Leenen, Jobbe Pl; Schoonhoven, Lisette; Patijn, Gijs A")</f>
        <v>Leenen, Jobbe Pl; Schoonhoven, Lisette; Patijn, Gijs A</v>
      </c>
      <c r="AK32" s="32">
        <f>IFERROR(__xludf.DUMMYFUNCTION("""COMPUTED_VALUE"""),45387.0)</f>
        <v>45387</v>
      </c>
      <c r="AL32" s="31" t="str">
        <f>IFERROR(__xludf.DUMMYFUNCTION("""COMPUTED_VALUE"""),"The CONVINCE randomized trial found positive effects on quality of life for patients with chronic kidney disease treated with hemodiafiltration.")</f>
        <v>The CONVINCE randomized trial found positive effects on quality of life for patients with chronic kidney disease treated with hemodiafiltration.</v>
      </c>
      <c r="AM32" s="31" t="str">
        <f>IFERROR(__xludf.DUMMYFUNCTION("""COMPUTED_VALUE"""),"Rose, Matthias; Fischer, Felix H; Liegl, Gregor; Strippoli, Giovanni F M; Hockham, Carina; Vernooij, Robin W M; Barth, Claudia; Canaud, Bernard; Covic, Adrian; Cromm, Krister; Cucui, Andrea M; Davenport, Andrew; Fischer, Kathrin I; Hegbrant, Jörgen; Jaha,"&amp;" Hanna; Schappert, Anna; Török, Marietta; Woodward, Mark; Bots, Michiel L; Blankestijn, Peter J; ,")</f>
        <v>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v>
      </c>
      <c r="AN32" s="32">
        <f>IFERROR(__xludf.DUMMYFUNCTION("""COMPUTED_VALUE"""),45503.0)</f>
        <v>45503</v>
      </c>
    </row>
    <row r="33">
      <c r="A33" s="35"/>
      <c r="B33" s="39"/>
      <c r="C33" s="39"/>
      <c r="D33" s="39"/>
      <c r="E33" s="39"/>
      <c r="F33" s="39"/>
      <c r="I33" s="31" t="str">
        <f>IFERROR(__xludf.DUMMYFUNCTION("""COMPUTED_VALUE"""),"the lancet regional health europe")</f>
        <v>the lancet regional health europe</v>
      </c>
      <c r="J33" s="38">
        <f>COUNTIF(Data!$F$2:$F9917, $I33)</f>
        <v>8</v>
      </c>
      <c r="K33" s="31" t="str">
        <f>IFERROR(__xludf.DUMMYFUNCTION("""COMPUTED_VALUE"""),"european journal of epidemiology")</f>
        <v>european journal of epidemiology</v>
      </c>
      <c r="L33" s="31">
        <f>IFERROR(__xludf.DUMMYFUNCTION("""COMPUTED_VALUE"""),34.0)</f>
        <v>34</v>
      </c>
      <c r="T33" s="31" t="s">
        <v>25912</v>
      </c>
      <c r="U33" s="31" t="s">
        <v>25913</v>
      </c>
      <c r="V33" s="32">
        <v>45617.0</v>
      </c>
      <c r="X33" s="31" t="str">
        <f>IFERROR(__xludf.DUMMYFUNCTION("""COMPUTED_VALUE"""),"Effect of COVID-19 vaccination on mortality by COVID-19 and on mortality by other causes, the Netherlands, January 2021-January 2022.")</f>
        <v>Effect of COVID-19 vaccination on mortality by COVID-19 and on mortality by other causes, the Netherlands, January 2021-January 2022.</v>
      </c>
      <c r="Y33" s="31" t="str">
        <f>IFERROR(__xludf.DUMMYFUNCTION("""COMPUTED_VALUE"""),"de Gier, Brechje; van Asten, Liselotte; Boere, Tjarda M; van Roon, Annika; van Roekel, Caren; Pijpers, Joyce; van Werkhoven, C H Henri; van den Ende, Caroline; Hahné, Susan J M; de Melker, Hester E; Knol, Mirjam J; van den Hof, Susan")</f>
        <v>de Gier, Brechje; van Asten, Liselotte; Boere, Tjarda M; van Roon, Annika; van Roekel, Caren; Pijpers, Joyce; van Werkhoven, C H Henri; van den Ende, Caroline; Hahné, Susan J M; de Melker, Hester E; Knol, Mirjam J; van den Hof, Susan</v>
      </c>
      <c r="Z33" s="31">
        <f>IFERROR(__xludf.DUMMYFUNCTION("""COMPUTED_VALUE"""),2023.0)</f>
        <v>2023</v>
      </c>
      <c r="AA33" s="31">
        <f>IFERROR(__xludf.DUMMYFUNCTION("""COMPUTED_VALUE"""),10.0)</f>
        <v>10</v>
      </c>
      <c r="AC33" s="31" t="str">
        <f>IFERROR(__xludf.DUMMYFUNCTION("""COMPUTED_VALUE"""),"Safety and pharmacodynamic efficacy of eculizumab in aneurysmal subarachnoid hemorrhage (CLASH): A phase 2a randomized clinical trial.")</f>
        <v>Safety and pharmacodynamic efficacy of eculizumab in aneurysmal subarachnoid hemorrhage (CLASH): A phase 2a randomized clinical trial.</v>
      </c>
      <c r="AD33" s="31" t="str">
        <f>IFERROR(__xludf.DUMMYFUNCTION("""COMPUTED_VALUE"""),"Koopman, Inez; Tack, Reinier Wp; Wunderink, Herman F; Bruns, Anke Hw; van der Schaaf, Irene C; Cianci, Daniela; Gelderman, Kyra A; van de Ridder, Inge M; Hol, Elly M; Rinkel, Gabriel Je; Vergouwen, Mervyn DI")</f>
        <v>Koopman, Inez; Tack, Reinier Wp; Wunderink, Herman F; Bruns, Anke Hw; van der Schaaf, Irene C; Cianci, Daniela; Gelderman, Kyra A; van de Ridder, Inge M; Hol, Elly M; Rinkel, Gabriel Je; Vergouwen, Mervyn DI</v>
      </c>
      <c r="AE33" s="32">
        <f>IFERROR(__xludf.DUMMYFUNCTION("""COMPUTED_VALUE"""),45160.0)</f>
        <v>45160</v>
      </c>
      <c r="AF33" s="31" t="str">
        <f>IFERROR(__xludf.DUMMYFUNCTION("""COMPUTED_VALUE"""),"Mild and moderate COVID-19 during Alpha, Delta and Omicron pandemic waves in urban Maputo, Mozambique, December 2020-March 2022: A population-based surveillance study.")</f>
        <v>Mild and moderate COVID-19 during Alpha, Delta and Omicron pandemic waves in urban Maputo, Mozambique, December 2020-March 2022: A population-based surveillance study.</v>
      </c>
      <c r="AG33" s="31" t="str">
        <f>IFERROR(__xludf.DUMMYFUNCTION("""COMPUTED_VALUE"""),"Ingelbeen, Brecht; Cumbane, Victória; Mandlate, Ferão; Barbé, Barbara; Nhachungue, Sheila Mercedes; Cavele, Nilzio; Manhica, Cremildo; Cubai, Catildo; Nguenha, Neusa Maimuna Carlos; Lacroix, Audrey; Mariën, Joachim; de Weggheleire, Anja; van Kleef, Esther"&amp;"; Selhorst, Philippe; van der Sande, Marianne A B; Peeters, Martine; Widdowson, Marc-Alain; Ismael, Nalia; Macicame, Ivalda")</f>
        <v>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v>
      </c>
      <c r="AH33" s="32">
        <f>IFERROR(__xludf.DUMMYFUNCTION("""COMPUTED_VALUE"""),45509.0)</f>
        <v>45509</v>
      </c>
      <c r="AI33" s="31" t="str">
        <f>IFERROR(__xludf.DUMMYFUNCTION("""COMPUTED_VALUE"""),"Evaluating the introduction of positive health on the amount of received home care among older patients: A pre-post study.")</f>
        <v>Evaluating the introduction of positive health on the amount of received home care among older patients: A pre-post study.</v>
      </c>
      <c r="AJ33" s="31" t="str">
        <f>IFERROR(__xludf.DUMMYFUNCTION("""COMPUTED_VALUE"""),"Klein Holte, Yvanka N; Bleijenberg, Nienke")</f>
        <v>Klein Holte, Yvanka N; Bleijenberg, Nienke</v>
      </c>
      <c r="AK33" s="32">
        <f>IFERROR(__xludf.DUMMYFUNCTION("""COMPUTED_VALUE"""),45381.0)</f>
        <v>45381</v>
      </c>
      <c r="AL33" s="31" t="str">
        <f>IFERROR(__xludf.DUMMYFUNCTION("""COMPUTED_VALUE"""),"Supervised, structured and individualized exercise in metastatic breast cancer: a randomized controlled trial.")</f>
        <v>Supervised, structured and individualized exercise in metastatic breast cancer: a randomized controlled trial.</v>
      </c>
      <c r="AM33" s="31" t="str">
        <f>IFERROR(__xludf.DUMMYFUNCTION("""COMPUTED_VALUE"""),"Hiensch, Anouk E; Depenbusch, Johanna; Schmidt, Martina E; Monninkhof, Evelyn M; Pelaez, Mireia; Clauss, Dorothea; Gunasekara, Nadira; Zimmer, Philipp; Belloso, Jon; Trevaskis, Mark; Rundqvist, Helene; Wiskemann, Joachim; Müller, Jana; Sweegers, Maike G; "&amp;"Fremd, Carlo; Altena, Renske; Gorecki, Maciej; Bijlsma, Rhodé; van Leeuwen-Snoeks, Lobke; Ten Bokkel Huinink, Daan; Sonke, Gabe; Lahuerta, Ainhara; Mann, G Bruce; Francis, Prudence A; Richardson, Gary; Malter, Wolfram; van der Wall, Elsken; Aaronson, Neil"&amp;" K; Senkus, Elzbieta; Urruticoechea, Ander; Zopf, Eva M; Bloch, Wilhelm; Stuiver, Martijn M; Wengstrom, Yvonne; Steindorf, Karen; May, Anne M")</f>
        <v>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v>
      </c>
      <c r="AN33" s="32">
        <f>IFERROR(__xludf.DUMMYFUNCTION("""COMPUTED_VALUE"""),45498.0)</f>
        <v>45498</v>
      </c>
    </row>
    <row r="34">
      <c r="A34" s="35"/>
      <c r="B34" s="39"/>
      <c r="C34" s="39"/>
      <c r="D34" s="39"/>
      <c r="E34" s="39"/>
      <c r="F34" s="39"/>
      <c r="I34" s="31" t="str">
        <f>IFERROR(__xludf.DUMMYFUNCTION("""COMPUTED_VALUE"""),"european urology")</f>
        <v>european urology</v>
      </c>
      <c r="J34" s="38">
        <f>COUNTIF(Data!$F$2:$F9917, $I34)</f>
        <v>5</v>
      </c>
      <c r="K34" s="31" t="str">
        <f>IFERROR(__xludf.DUMMYFUNCTION("""COMPUTED_VALUE"""),"the journal of antimicrobial chemotherapy")</f>
        <v>the journal of antimicrobial chemotherapy</v>
      </c>
      <c r="L34" s="31">
        <f>IFERROR(__xludf.DUMMYFUNCTION("""COMPUTED_VALUE"""),33.0)</f>
        <v>33</v>
      </c>
      <c r="T34" s="31" t="s">
        <v>25096</v>
      </c>
      <c r="U34" s="31" t="s">
        <v>25097</v>
      </c>
      <c r="V34" s="32">
        <v>45616.0</v>
      </c>
      <c r="X34" s="31" t="str">
        <f>IFERROR(__xludf.DUMMYFUNCTION("""COMPUTED_VALUE"""),"Identification of biomarkers for glycaemic deterioration in type 2 diabetes.")</f>
        <v>Identification of biomarkers for glycaemic deterioration in type 2 diabetes.</v>
      </c>
      <c r="Y34" s="31" t="str">
        <f>IFERROR(__xludf.DUMMYFUNCTION("""COMPUTED_VALUE"""),"Slieker, Roderick C; Donnelly, Louise A; Akalestou, Elina; Lopez-Noriega, Livia; Melhem, Rana; Güneş, Ayşim; Abou Azar, Frederic; Efanov, Alexander; Georgiadou, Eleni; Muniangi-Muhitu, Hermine; Sheikh, Mahsa; Giordano, Giuseppe N; Åkerlund, Mikael; Ahlqvi"&amp;"st, Emma; Ali, Ashfaq; Banasik, Karina; Brunak, Søren; Barovic, Marko; Bouland, Gerard A; Burdet, Frédéric; Canouil, Mickaël; Dragan, Iulian; Elders, Petra J M; Fernandez, Celine; Festa, Andreas; Fitipaldi, Hugo; Froguel, Phillippe; Gudmundsdottir, Valbor"&amp;"g; Gudnason, Vilmundur; Gerl, Mathias J; van der Heijden, Amber A; Jennings, Lori L; Hansen, Michael K; Kim, Min; Leclerc, Isabelle; Klose, Christian; Kuznetsov, Dmitry; Mansour Aly, Dina; Mehl, Florence; Marek, Diana; Melander, Olle; Niknejad, Anne; Otto"&amp;"sson, Filip; Pavo, Imre; Duffin, Kevin; Syed, Samreen K; Shaw, Janice L; Cabrera, Over; Pullen, Timothy J; Simons, Kai; Solimena, Michele; Suvitaival, Tommi; Wretlind, Asger; Rossing, Peter; Lyssenko, Valeriya; Legido Quigley, Cristina")</f>
        <v>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v>
      </c>
      <c r="Z34" s="31">
        <f>IFERROR(__xludf.DUMMYFUNCTION("""COMPUTED_VALUE"""),2023.0)</f>
        <v>2023</v>
      </c>
      <c r="AA34" s="31">
        <f>IFERROR(__xludf.DUMMYFUNCTION("""COMPUTED_VALUE"""),10.0)</f>
        <v>10</v>
      </c>
      <c r="AC34" s="31" t="str">
        <f>IFERROR(__xludf.DUMMYFUNCTION("""COMPUTED_VALUE"""),"Multi-part strategy for testing differential taxa abundance in sequencing data: A simulation study with an application to a microbiome study.")</f>
        <v>Multi-part strategy for testing differential taxa abundance in sequencing data: A simulation study with an application to a microbiome study.</v>
      </c>
      <c r="AD34" s="31" t="str">
        <f>IFERROR(__xludf.DUMMYFUNCTION("""COMPUTED_VALUE"""),"Cianci, Daniela; Tims, Sebastian; Roeselers, Guus; El Galta, Rachid; Swinkels, Sophie")</f>
        <v>Cianci, Daniela; Tims, Sebastian; Roeselers, Guus; El Galta, Rachid; Swinkels, Sophie</v>
      </c>
      <c r="AE34" s="32">
        <f>IFERROR(__xludf.DUMMYFUNCTION("""COMPUTED_VALUE"""),45158.0)</f>
        <v>45158</v>
      </c>
      <c r="AF34" s="31" t="str">
        <f>IFERROR(__xludf.DUMMYFUNCTION("""COMPUTED_VALUE"""),"Physiological Response to the COVID-19 Vaccine: Insights From a Prospective, Randomized, Single-Blinded, Crossover Trial.")</f>
        <v>Physiological Response to the COVID-19 Vaccine: Insights From a Prospective, Randomized, Single-Blinded, Crossover Trial.</v>
      </c>
      <c r="AG34" s="31" t="str">
        <f>IFERROR(__xludf.DUMMYFUNCTION("""COMPUTED_VALUE"""),"Markovic, Andjela; Kovacevic, Vladimir; Brakenhoff, Timo B; Veen, Duco; Klaver, Paul; Mitratza, Marianna; Downward, George S; Grobbee, Diederick E; Cronin, Maureen; Goodale, Brianna M; ,")</f>
        <v>Markovic, Andjela; Kovacevic, Vladimir; Brakenhoff, Timo B; Veen, Duco; Klaver, Paul; Mitratza, Marianna; Downward, George S; Grobbee, Diederick E; Cronin, Maureen; Goodale, Brianna M; ,</v>
      </c>
      <c r="AH34" s="32">
        <f>IFERROR(__xludf.DUMMYFUNCTION("""COMPUTED_VALUE"""),45504.0)</f>
        <v>45504</v>
      </c>
      <c r="AI34" s="31" t="str">
        <f>IFERROR(__xludf.DUMMYFUNCTION("""COMPUTED_VALUE"""),"Rheumatoid arthritis patients' perspective on the use of prediction models in clinical decision-making.")</f>
        <v>Rheumatoid arthritis patients' perspective on the use of prediction models in clinical decision-making.</v>
      </c>
      <c r="AJ34" s="31" t="str">
        <f>IFERROR(__xludf.DUMMYFUNCTION("""COMPUTED_VALUE"""),"Messelink, Marianne A; Fadaei, Sina; Verhoef, Lise M; Welsing, Paco; Nijhof, Nienke C; Westland, Heleen")</f>
        <v>Messelink, Marianne A; Fadaei, Sina; Verhoef, Lise M; Welsing, Paco; Nijhof, Nienke C; Westland, Heleen</v>
      </c>
      <c r="AK34" s="32">
        <f>IFERROR(__xludf.DUMMYFUNCTION("""COMPUTED_VALUE"""),45379.0)</f>
        <v>45379</v>
      </c>
      <c r="AL34" s="31" t="str">
        <f>IFERROR(__xludf.DUMMYFUNCTION("""COMPUTED_VALUE"""),"Survival and patient-reported outcomes of real-world high-risk stage II and stage III colon cancer patients after reduction of adjuvant CAPOX duration from 6 to 3 months.")</f>
        <v>Survival and patient-reported outcomes of real-world high-risk stage II and stage III colon cancer patients after reduction of adjuvant CAPOX duration from 6 to 3 months.</v>
      </c>
      <c r="AM34" s="31" t="str">
        <f>IFERROR(__xludf.DUMMYFUNCTION("""COMPUTED_VALUE"""),"Franken, Ingrid A; van der Baan, Frederieke H; Vink, Geraldine R; May, Anne M; van Grevenstein, Wilhelmina M U; Koopman, Miriam; Roodhart, Jeanine M L")</f>
        <v>Franken, Ingrid A; van der Baan, Frederieke H; Vink, Geraldine R; May, Anne M; van Grevenstein, Wilhelmina M U; Koopman, Miriam; Roodhart, Jeanine M L</v>
      </c>
      <c r="AN34" s="32">
        <f>IFERROR(__xludf.DUMMYFUNCTION("""COMPUTED_VALUE"""),45483.0)</f>
        <v>45483</v>
      </c>
    </row>
    <row r="35">
      <c r="A35" s="35"/>
      <c r="B35" s="39"/>
      <c r="C35" s="39"/>
      <c r="D35" s="39"/>
      <c r="E35" s="39"/>
      <c r="F35" s="39"/>
      <c r="I35" s="31" t="str">
        <f>IFERROR(__xludf.DUMMYFUNCTION("""COMPUTED_VALUE"""),"journal of cystic fibrosis official journal of the european cystic fibrosis society")</f>
        <v>journal of cystic fibrosis official journal of the european cystic fibrosis society</v>
      </c>
      <c r="J35" s="38">
        <f>COUNTIF(Data!$F$2:$F9917, $I35)</f>
        <v>5</v>
      </c>
      <c r="T35" s="31" t="s">
        <v>25915</v>
      </c>
      <c r="U35" s="31" t="s">
        <v>25916</v>
      </c>
      <c r="V35" s="32">
        <v>45616.0</v>
      </c>
      <c r="X35" s="31" t="str">
        <f>IFERROR(__xludf.DUMMYFUNCTION("""COMPUTED_VALUE"""),"Adherence to the EAT-Lancet Healthy Reference Diet in Relation to Risk of Cardiovascular Events and Environmental Impact: Results From the EPIC-NL Cohort.")</f>
        <v>Adherence to the EAT-Lancet Healthy Reference Diet in Relation to Risk of Cardiovascular Events and Environmental Impact: Results From the EPIC-NL Cohort.</v>
      </c>
      <c r="Y35" s="31" t="str">
        <f>IFERROR(__xludf.DUMMYFUNCTION("""COMPUTED_VALUE"""),"Colizzi, Chiara; Harbers, Marjolein C; Vellinga, Reina E; Verschuren, W M Monique; Boer, Jolanda M A; Biesbroek, Sander; Temme, Elisabeth H M; van der Schouw, Yvonne T")</f>
        <v>Colizzi, Chiara; Harbers, Marjolein C; Vellinga, Reina E; Verschuren, W M Monique; Boer, Jolanda M A; Biesbroek, Sander; Temme, Elisabeth H M; van der Schouw, Yvonne T</v>
      </c>
      <c r="Z35" s="31">
        <f>IFERROR(__xludf.DUMMYFUNCTION("""COMPUTED_VALUE"""),2023.0)</f>
        <v>2023</v>
      </c>
      <c r="AA35" s="31">
        <f>IFERROR(__xludf.DUMMYFUNCTION("""COMPUTED_VALUE"""),10.0)</f>
        <v>10</v>
      </c>
      <c r="AC35" s="31" t="str">
        <f>IFERROR(__xludf.DUMMYFUNCTION("""COMPUTED_VALUE"""),"Variations across Europe in hospitalization and management of pregnant women with SARS-CoV-2 during the initial phase of the pandemic: Multi-national population-based cohort study using the International Network of Obstetric Survey Systems (INOSS).")</f>
        <v>Variations across Europe in hospitalization and management of pregnant women with SARS-CoV-2 during the initial phase of the pandemic: Multi-national population-based cohort study using the International Network of Obstetric Survey Systems (INOSS).</v>
      </c>
      <c r="AD35" s="31" t="str">
        <f>IFERROR(__xludf.DUMMYFUNCTION("""COMPUTED_VALUE"""),"de Bruin, Odette; Engjom, Hilde; Vousden, Nicola; Ramakrishnan, Rema; Aabakke, Anna J M; Äyräs, Outi; Donati, Serena; Jónasdóttir, Eva; Knight, Marian; Overtoom, Evelien M; Salvatore, Michele A; Sturkenboom, Miriam C J M; Svanvik, Teresia; Varpula, Reetta"&amp;"; Vercoutere, An; Bloemenkamp, Kitty W M; ,")</f>
        <v>de Bruin, Odette; Engjom, Hilde; Vousden, Nicola; Ramakrishnan, Rema; Aabakke, Anna J M; Äyräs, Outi; Donati, Serena; Jónasdóttir, Eva; Knight, Marian; Overtoom, Evelien M; Salvatore, Michele A; Sturkenboom, Miriam C J M; Svanvik, Teresia; Varpula, Reetta; Vercoutere, An; Bloemenkamp, Kitty W M; ,</v>
      </c>
      <c r="AE35" s="32">
        <f>IFERROR(__xludf.DUMMYFUNCTION("""COMPUTED_VALUE"""),45156.0)</f>
        <v>45156</v>
      </c>
      <c r="AF35" s="31" t="str">
        <f>IFERROR(__xludf.DUMMYFUNCTION("""COMPUTED_VALUE"""),"Temporal Trends in Air Pollution Exposure across Socioeconomic Groups in The Netherlands.")</f>
        <v>Temporal Trends in Air Pollution Exposure across Socioeconomic Groups in The Netherlands.</v>
      </c>
      <c r="AG35" s="31" t="str">
        <f>IFERROR(__xludf.DUMMYFUNCTION("""COMPUTED_VALUE"""),"Hlubek, Niklas; Koop, Yvonne; Wagtendonk, Alfred; Vaartjes, Ilonca")</f>
        <v>Hlubek, Niklas; Koop, Yvonne; Wagtendonk, Alfred; Vaartjes, Ilonca</v>
      </c>
      <c r="AH35" s="32">
        <f>IFERROR(__xludf.DUMMYFUNCTION("""COMPUTED_VALUE"""),45499.0)</f>
        <v>45499</v>
      </c>
      <c r="AI35" s="31" t="str">
        <f>IFERROR(__xludf.DUMMYFUNCTION("""COMPUTED_VALUE"""),"Second primary squamous cell carcinoma of the oral cavity - a retrospective cohort study of therapeutic procedures and oncological outcome.")</f>
        <v>Second primary squamous cell carcinoma of the oral cavity - a retrospective cohort study of therapeutic procedures and oncological outcome.</v>
      </c>
      <c r="AJ35" s="31"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AK35" s="32">
        <f>IFERROR(__xludf.DUMMYFUNCTION("""COMPUTED_VALUE"""),45377.0)</f>
        <v>45377</v>
      </c>
      <c r="AL35" s="31" t="str">
        <f>IFERROR(__xludf.DUMMYFUNCTION("""COMPUTED_VALUE"""),"Clinical Validation of Multiparametric Ultrasound for Detecting Clinically Significant Prostate Cancer Using Computer-Aided Diagnosis: A Direct Comparison with the Magnetic Resonance Imaging Pathway.")</f>
        <v>Clinical Validation of Multiparametric Ultrasound for Detecting Clinically Significant Prostate Cancer Using Computer-Aided Diagnosis: A Direct Comparison with the Magnetic Resonance Imaging Pathway.</v>
      </c>
      <c r="AM35" s="31" t="str">
        <f>IFERROR(__xludf.DUMMYFUNCTION("""COMPUTED_VALUE"""),"van den Kroonenberg, Daniel L; Jager, Auke; Garrido-Utrilla, Anna; Reitsma, Johannes B; Postema, Arnoud W; Beerlage, Harrie P; Oddens, Jorg R")</f>
        <v>van den Kroonenberg, Daniel L; Jager, Auke; Garrido-Utrilla, Anna; Reitsma, Johannes B; Postema, Arnoud W; Beerlage, Harrie P; Oddens, Jorg R</v>
      </c>
      <c r="AN35" s="32">
        <f>IFERROR(__xludf.DUMMYFUNCTION("""COMPUTED_VALUE"""),45474.0)</f>
        <v>45474</v>
      </c>
    </row>
    <row r="36">
      <c r="A36" s="35"/>
      <c r="B36" s="39"/>
      <c r="C36" s="39"/>
      <c r="D36" s="39"/>
      <c r="E36" s="39"/>
      <c r="F36" s="39"/>
      <c r="I36" s="31" t="str">
        <f>IFERROR(__xludf.DUMMYFUNCTION("""COMPUTED_VALUE"""),"eclinicalmedicine")</f>
        <v>eclinicalmedicine</v>
      </c>
      <c r="J36" s="38">
        <f>COUNTIF(Data!$F$2:$F9917, $I36)</f>
        <v>10</v>
      </c>
      <c r="T36" s="31" t="s">
        <v>25366</v>
      </c>
      <c r="U36" s="31" t="s">
        <v>182</v>
      </c>
      <c r="V36" s="32">
        <v>45612.0</v>
      </c>
      <c r="X36" s="31" t="str">
        <f>IFERROR(__xludf.DUMMYFUNCTION("""COMPUTED_VALUE"""),"Leisure-time and occupational physical activity and health outcomes in cardiovascular disease.")</f>
        <v>Leisure-time and occupational physical activity and health outcomes in cardiovascular disease.</v>
      </c>
      <c r="Y36" s="31" t="str">
        <f>IFERROR(__xludf.DUMMYFUNCTION("""COMPUTED_VALUE"""),"Bonekamp, Nadia E; Visseren, Frank L J; Ruigrok, Ynte; Cramer, Maarten J M; de Borst, Gert Jan; May, Anne M; Koopal, Charlotte; ,; ,")</f>
        <v>Bonekamp, Nadia E; Visseren, Frank L J; Ruigrok, Ynte; Cramer, Maarten J M; de Borst, Gert Jan; May, Anne M; Koopal, Charlotte; ,; ,</v>
      </c>
      <c r="Z36" s="31">
        <f>IFERROR(__xludf.DUMMYFUNCTION("""COMPUTED_VALUE"""),2023.0)</f>
        <v>2023</v>
      </c>
      <c r="AA36" s="31">
        <f>IFERROR(__xludf.DUMMYFUNCTION("""COMPUTED_VALUE"""),10.0)</f>
        <v>10</v>
      </c>
      <c r="AC36" s="31" t="str">
        <f>IFERROR(__xludf.DUMMYFUNCTION("""COMPUTED_VALUE"""),"Gene-environment interactions and the effect on obesity risk in low and middle-income countries: a scoping review.")</f>
        <v>Gene-environment interactions and the effect on obesity risk in low and middle-income countries: a scoping review.</v>
      </c>
      <c r="AD36" s="31" t="str">
        <f>IFERROR(__xludf.DUMMYFUNCTION("""COMPUTED_VALUE"""),"Pledger, Sophia L; Ahmadizar, Fariba")</f>
        <v>Pledger, Sophia L; Ahmadizar, Fariba</v>
      </c>
      <c r="AE36" s="32">
        <f>IFERROR(__xludf.DUMMYFUNCTION("""COMPUTED_VALUE"""),45156.0)</f>
        <v>45156</v>
      </c>
      <c r="AF36" s="31" t="str">
        <f>IFERROR(__xludf.DUMMYFUNCTION("""COMPUTED_VALUE"""),"Global inequities in adverse pregnancy outcomes: what can we do?")</f>
        <v>Global inequities in adverse pregnancy outcomes: what can we do?</v>
      </c>
      <c r="AG36" s="31" t="str">
        <f>IFERROR(__xludf.DUMMYFUNCTION("""COMPUTED_VALUE"""),"Roberts, James M; Abimbola, Seye; Bale, Tracy L; Barros, Aluisio; Bhutta, Zulfiqar A; Browne, Joyce L; Celi, Ann C; Dube, Polite; Graves, Cornelia R; Hollestelle, Marieke J; Hopkins, Scarlett; Khashan, Ali; Koi-Larbi, Koiwah; Lackritz, Eve; Myatt, Leslie;"&amp;" Redman, Christopher W G; Tunçalp, Özge; Vermund, Sten H; Gravett, Michael G")</f>
        <v>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v>
      </c>
      <c r="AH36" s="32">
        <f>IFERROR(__xludf.DUMMYFUNCTION("""COMPUTED_VALUE"""),45499.0)</f>
        <v>45499</v>
      </c>
      <c r="AI36" s="31" t="str">
        <f>IFERROR(__xludf.DUMMYFUNCTION("""COMPUTED_VALUE"""),"Five pathways into one profession: Fifty years of debate on differentiated nursing practice.")</f>
        <v>Five pathways into one profession: Fifty years of debate on differentiated nursing practice.</v>
      </c>
      <c r="AJ36" s="31" t="str">
        <f>IFERROR(__xludf.DUMMYFUNCTION("""COMPUTED_VALUE"""),"Schalkwijk, Hugo; Felder, Martijn; Lalleman, Pieterbas; Parry, Manon S; Schoonhoven, Lisette; Wallenburg, Iris")</f>
        <v>Schalkwijk, Hugo; Felder, Martijn; Lalleman, Pieterbas; Parry, Manon S; Schoonhoven, Lisette; Wallenburg, Iris</v>
      </c>
      <c r="AK36" s="32">
        <f>IFERROR(__xludf.DUMMYFUNCTION("""COMPUTED_VALUE"""),45363.0)</f>
        <v>45363</v>
      </c>
      <c r="AL36" s="31" t="str">
        <f>IFERROR(__xludf.DUMMYFUNCTION("""COMPUTED_VALUE"""),"Age-specific SARS-CoV-2 transmission differed from human rhinovirus in households during the early COVID-19 pandemic.")</f>
        <v>Age-specific SARS-CoV-2 transmission differed from human rhinovirus in households during the early COVID-19 pandemic.</v>
      </c>
      <c r="AM36" s="31" t="str">
        <f>IFERROR(__xludf.DUMMYFUNCTION("""COMPUTED_VALUE"""),"Boom, Trisja T; de Hoog, Marieke L A; Westerhof, Ilse; Jaddoe, Vincent; Heuvelman, Valerie D; Fourie, Elandri; Sluiter-Post, Judith G C; Badoux, Paul; Euser, Sjoerd; Herpers, Bjorn; Sanders, Elisabeth A M; Eggink, Dirk; Reusken, Chantal; Bont, Louis J; Wi"&amp;"ldenbeest, Joanne G; van Houten, Marlies A; Duijts, Liesbeth; Bruijning-Verhagen, Patricia C J L")</f>
        <v>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v>
      </c>
      <c r="AN36" s="32">
        <f>IFERROR(__xludf.DUMMYFUNCTION("""COMPUTED_VALUE"""),45472.0)</f>
        <v>45472</v>
      </c>
    </row>
    <row r="37">
      <c r="A37" s="35"/>
      <c r="B37" s="39"/>
      <c r="C37" s="39"/>
      <c r="D37" s="39"/>
      <c r="E37" s="39"/>
      <c r="F37" s="39"/>
      <c r="I37" s="31" t="str">
        <f>IFERROR(__xludf.DUMMYFUNCTION("""COMPUTED_VALUE"""),"journal of clinical epidemiology")</f>
        <v>journal of clinical epidemiology</v>
      </c>
      <c r="J37" s="38">
        <f>COUNTIF(Data!$F$2:$F9917, $I37)</f>
        <v>130</v>
      </c>
      <c r="T37" s="31" t="s">
        <v>25158</v>
      </c>
      <c r="U37" s="31" t="s">
        <v>25159</v>
      </c>
      <c r="V37" s="32">
        <v>45611.0</v>
      </c>
      <c r="X37" s="31" t="str">
        <f>IFERROR(__xludf.DUMMYFUNCTION("""COMPUTED_VALUE"""),"Evaluation of clinical prediction models (part 1): from development to external validation.")</f>
        <v>Evaluation of clinical prediction models (part 1): from development to external validation.</v>
      </c>
      <c r="Y37" s="31"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Z37" s="31">
        <f>IFERROR(__xludf.DUMMYFUNCTION("""COMPUTED_VALUE"""),2024.0)</f>
        <v>2024</v>
      </c>
      <c r="AA37" s="31">
        <f>IFERROR(__xludf.DUMMYFUNCTION("""COMPUTED_VALUE"""),9.0)</f>
        <v>9</v>
      </c>
      <c r="AC37" s="31"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AD37" s="31" t="str">
        <f>IFERROR(__xludf.DUMMYFUNCTION("""COMPUTED_VALUE"""),"Ma, Jie; Dhiman, Paula; Qi, Cathy; Bullock, Garrett; van Smeden, Maarten; Riley, Richard D; Collins, Gary S")</f>
        <v>Ma, Jie; Dhiman, Paula; Qi, Cathy; Bullock, Garrett; van Smeden, Maarten; Riley, Richard D; Collins, Gary S</v>
      </c>
      <c r="AE37" s="32">
        <f>IFERROR(__xludf.DUMMYFUNCTION("""COMPUTED_VALUE"""),45140.0)</f>
        <v>45140</v>
      </c>
      <c r="AF37" s="31" t="str">
        <f>IFERROR(__xludf.DUMMYFUNCTION("""COMPUTED_VALUE"""),"A qualitative exploration of the reasons and influencing factors for pregnancy termination among young women in Soweto, South Africa: a Socio-ecological perspective.")</f>
        <v>A qualitative exploration of the reasons and influencing factors for pregnancy termination among young women in Soweto, South Africa: a Socio-ecological perspective.</v>
      </c>
      <c r="AG37" s="31" t="str">
        <f>IFERROR(__xludf.DUMMYFUNCTION("""COMPUTED_VALUE"""),"Mabetha, Khuthala; Soepnel, Larske M; SSewanyana, Derrick; Draper, Catherine E; Lye, Stephen; Norris, Shane A")</f>
        <v>Mabetha, Khuthala; Soepnel, Larske M; SSewanyana, Derrick; Draper, Catherine E; Lye, Stephen; Norris, Shane A</v>
      </c>
      <c r="AH37" s="32">
        <f>IFERROR(__xludf.DUMMYFUNCTION("""COMPUTED_VALUE"""),45496.0)</f>
        <v>45496</v>
      </c>
      <c r="AI37" s="31" t="str">
        <f>IFERROR(__xludf.DUMMYFUNCTION("""COMPUTED_VALUE"""),"Antithrombotic Therapy for VTE Disease: Compendium and Review of CHEST Guidelines 2012-2021.")</f>
        <v>Antithrombotic Therapy for VTE Disease: Compendium and Review of CHEST Guidelines 2012-2021.</v>
      </c>
      <c r="AJ37" s="31" t="str">
        <f>IFERROR(__xludf.DUMMYFUNCTION("""COMPUTED_VALUE"""),"Stevens, Scott M; Woller, Scott C; Baumann Kreuziger, Lisa; Doerschug, Kevin; Geersing, Geert-Jan; Klok, Frederikus A; King, Christopher S; Murin, Susan; Vintch, Janine R E; Wells, Philip S; Wasan, Suman; Moores, Lisa K")</f>
        <v>Stevens, Scott M; Woller, Scott C; Baumann Kreuziger, Lisa; Doerschug, Kevin; Geersing, Geert-Jan; Klok, Frederikus A; King, Christopher S; Murin, Susan; Vintch, Janine R E; Wells, Philip S; Wasan, Suman; Moores, Lisa K</v>
      </c>
      <c r="AK37" s="32">
        <f>IFERROR(__xludf.DUMMYFUNCTION("""COMPUTED_VALUE"""),45357.0)</f>
        <v>45357</v>
      </c>
      <c r="AL37" s="31" t="str">
        <f>IFERROR(__xludf.DUMMYFUNCTION("""COMPUTED_VALUE"""),"Clinical implementation of artificial-intelligence-assisted detection of breast cancer metastases in sentinel lymph nodes: the CONFIDENT-B single-center, non-randomized clinical trial.")</f>
        <v>Clinical implementation of artificial-intelligence-assisted detection of breast cancer metastases in sentinel lymph nodes: the CONFIDENT-B single-center, non-randomized clinical trial.</v>
      </c>
      <c r="AM37" s="31"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AN37" s="32">
        <f>IFERROR(__xludf.DUMMYFUNCTION("""COMPUTED_VALUE"""),45470.0)</f>
        <v>45470</v>
      </c>
    </row>
    <row r="38">
      <c r="A38" s="35"/>
      <c r="B38" s="39"/>
      <c r="C38" s="39"/>
      <c r="D38" s="39"/>
      <c r="E38" s="39"/>
      <c r="F38" s="39"/>
      <c r="I38" s="31" t="str">
        <f>IFERROR(__xludf.DUMMYFUNCTION("""COMPUTED_VALUE"""),"npj digital medicine")</f>
        <v>npj digital medicine</v>
      </c>
      <c r="J38" s="38">
        <f>COUNTIF(Data!$F$2:$F9917, $I38)</f>
        <v>4</v>
      </c>
      <c r="T38" s="31" t="s">
        <v>25472</v>
      </c>
      <c r="U38" s="31" t="s">
        <v>25473</v>
      </c>
      <c r="V38" s="32">
        <v>45611.0</v>
      </c>
      <c r="X38" s="31" t="str">
        <f>IFERROR(__xludf.DUMMYFUNCTION("""COMPUTED_VALUE"""),"Observation of an Excess of Dicharmonium Events in the Four-Muon Final State with the ATLAS Detector.")</f>
        <v>Observation of an Excess of Dicharmonium Events in the Four-Muon Final State with the ATLAS Detector.</v>
      </c>
      <c r="Y38" s="31"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Alviggi, M G; Aly, M; Amaral Coutinho, Y; Ambler, A; Amelung, C; Am")</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v>
      </c>
      <c r="Z38" s="31">
        <f>IFERROR(__xludf.DUMMYFUNCTION("""COMPUTED_VALUE"""),2023.0)</f>
        <v>2023</v>
      </c>
      <c r="AA38" s="31">
        <f>IFERROR(__xludf.DUMMYFUNCTION("""COMPUTED_VALUE"""),9.0)</f>
        <v>9</v>
      </c>
      <c r="AC38" s="31" t="str">
        <f>IFERROR(__xludf.DUMMYFUNCTION("""COMPUTED_VALUE"""),"Bi-Directional Interactions between Glucose-Lowering Medications and Gut Microbiome in Patients with Type 2 Diabetes Mellitus: A Systematic Review.")</f>
        <v>Bi-Directional Interactions between Glucose-Lowering Medications and Gut Microbiome in Patients with Type 2 Diabetes Mellitus: A Systematic Review.</v>
      </c>
      <c r="AD38" s="31" t="str">
        <f>IFERROR(__xludf.DUMMYFUNCTION("""COMPUTED_VALUE"""),"Li, Ruolin; Shokri, Fereshteh; Rincon, Alejandro Lopez; Rivadeneira, Fernando; Medina-Gomez, Carolina; Ahmadizar, Fariba")</f>
        <v>Li, Ruolin; Shokri, Fereshteh; Rincon, Alejandro Lopez; Rivadeneira, Fernando; Medina-Gomez, Carolina; Ahmadizar, Fariba</v>
      </c>
      <c r="AE38" s="32">
        <f>IFERROR(__xludf.DUMMYFUNCTION("""COMPUTED_VALUE"""),45139.0)</f>
        <v>45139</v>
      </c>
      <c r="AF38" s="31" t="str">
        <f>IFERROR(__xludf.DUMMYFUNCTION("""COMPUTED_VALUE"""),"A Global Perspective on Cardiovascular Risk Factors by Educational Level in CHD Patients: SURF CHD II.")</f>
        <v>A Global Perspective on Cardiovascular Risk Factors by Educational Level in CHD Patients: SURF CHD II.</v>
      </c>
      <c r="AG38" s="31" t="str">
        <f>IFERROR(__xludf.DUMMYFUNCTION("""COMPUTED_VALUE"""),"Marzà-Florensa, Anna; Vaartjes, Ilonca; Graham, Ian; Klipstein-Grobusch, Kerstin; Grobbee, Diederick E; ,")</f>
        <v>Marzà-Florensa, Anna; Vaartjes, Ilonca; Graham, Ian; Klipstein-Grobusch, Kerstin; Grobbee, Diederick E; ,</v>
      </c>
      <c r="AH38" s="32">
        <f>IFERROR(__xludf.DUMMYFUNCTION("""COMPUTED_VALUE"""),45489.0)</f>
        <v>45489</v>
      </c>
      <c r="AI38" s="31" t="str">
        <f>IFERROR(__xludf.DUMMYFUNCTION("""COMPUTED_VALUE"""),"Substantial Burden of Nonmedically Attended RSV Infection in Healthy-Term Infants: An International Prospective Birth Cohort Study.")</f>
        <v>Substantial Burden of Nonmedically Attended RSV Infection in Healthy-Term Infants: An International Prospective Birth Cohort Study.</v>
      </c>
      <c r="AJ38" s="31" t="str">
        <f>IFERROR(__xludf.DUMMYFUNCTION("""COMPUTED_VALUE"""),"Hak, Sarah F; Venekamp, Roderick P; Billard, Marie-Noëlle; van Houten, Marlies A; Pollard, Andrew J; Heikkinen, Terho; Cunningham, Steve; Millar, Margaret; Martinón-Torres, Federico; Dacosta-Urbieta, Ana; Bont, Louis J; Wildenbeest, Joanne G; ,")</f>
        <v>Hak, Sarah F; Venekamp, Roderick P; Billard, Marie-Noëlle; van Houten, Marlies A; Pollard, Andrew J; Heikkinen, Terho; Cunningham, Steve; Millar, Margaret; Martinón-Torres, Federico; Dacosta-Urbieta, Ana; Bont, Louis J; Wildenbeest, Joanne G; ,</v>
      </c>
      <c r="AK38" s="32">
        <f>IFERROR(__xludf.DUMMYFUNCTION("""COMPUTED_VALUE"""),45352.0)</f>
        <v>45352</v>
      </c>
      <c r="AL38" s="31" t="str">
        <f>IFERROR(__xludf.DUMMYFUNCTION("""COMPUTED_VALUE"""),"Corticosteroids and other immunosuppressants for immune-related adverse events and checkpoint inhibitor effectiveness in melanoma.")</f>
        <v>Corticosteroids and other immunosuppressants for immune-related adverse events and checkpoint inhibitor effectiveness in melanoma.</v>
      </c>
      <c r="AM38" s="31" t="str">
        <f>IFERROR(__xludf.DUMMYFUNCTION("""COMPUTED_VALUE"""),"Verheijden, Rik J; Burgers, Femke H; Janssen, Josephine C; Putker, Anouk E; Veenstra, Sophie P G R; Hospers, Geke A P; Aarts, Maureen J B; Hehenkamp, Karel W; Doornebosch, Veerle L E; Verhaert, Marthe; van den Berkmortel, Franchette W P J; Chatzidionysiou"&amp;", Katerina; Llobell, Arturo; Barros, Milton; Maria, Alexandre T J; Takeji, Akari; García Morillo, José-Salvador; Lidar, Merav; van Eijs, Mick J M; Blank, Christian U; Aspeslagh, Sandrine; Piersma, Djura; Kapiteijn, Ellen; Labots, Mariette; Boers-Sonderen,"&amp;" Marye J; van der Veldt, Astrid A M; Haanen, John B A G; May, Anne M; Suijkerbuijk, Karijn P M")</f>
        <v>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v>
      </c>
      <c r="AN38" s="32">
        <f>IFERROR(__xludf.DUMMYFUNCTION("""COMPUTED_VALUE"""),45458.0)</f>
        <v>45458</v>
      </c>
    </row>
    <row r="39">
      <c r="A39" s="35"/>
      <c r="B39" s="39"/>
      <c r="C39" s="39"/>
      <c r="D39" s="39"/>
      <c r="E39" s="39"/>
      <c r="F39" s="39"/>
      <c r="I39" s="31" t="str">
        <f>IFERROR(__xludf.DUMMYFUNCTION("""COMPUTED_VALUE"""),"bmc public health")</f>
        <v>bmc public health</v>
      </c>
      <c r="J39" s="38">
        <f>COUNTIF(Data!$F$2:$F9917, $I39)</f>
        <v>34</v>
      </c>
      <c r="T39" s="31" t="s">
        <v>25881</v>
      </c>
      <c r="U39" s="31" t="s">
        <v>25882</v>
      </c>
      <c r="V39" s="32">
        <v>45611.0</v>
      </c>
      <c r="X39" s="31" t="str">
        <f>IFERROR(__xludf.DUMMYFUNCTION("""COMPUTED_VALUE"""),"Epigenetic and Metabolomic Biomarkers for Biological Age: A Comparative Analysis of Mortality and Frailty Risk.")</f>
        <v>Epigenetic and Metabolomic Biomarkers for Biological Age: A Comparative Analysis of Mortality and Frailty Risk.</v>
      </c>
      <c r="Y39" s="31" t="str">
        <f>IFERROR(__xludf.DUMMYFUNCTION("""COMPUTED_VALUE"""),"Kuiper, Lieke M; Polinder-Bos, Harmke A; Bizzarri, Daniele; Vojinovic, Dina; Vallerga, Costanza L; Beekman, Marian; Dollé, E T; Ghanbari, Mohsen; Voortman, Trudy; Reinders, Marcel J T; Verschuren, W M Monique; Slagboom, P Eline; van den Akker, Erik B; van"&amp;" Meurs, Joyce B J")</f>
        <v>Kuiper, Lieke M; Polinder-Bos, Harmke A; Bizzarri, Daniele; Vojinovic, Dina; Vallerga, Costanza L; Beekman, Marian; Dollé, E T; Ghanbari, Mohsen; Voortman, Trudy; Reinders, Marcel J T; Verschuren, W M Monique; Slagboom, P Eline; van den Akker, Erik B; van Meurs, Joyce B J</v>
      </c>
      <c r="Z39" s="31">
        <f>IFERROR(__xludf.DUMMYFUNCTION("""COMPUTED_VALUE"""),2023.0)</f>
        <v>2023</v>
      </c>
      <c r="AA39" s="31">
        <f>IFERROR(__xludf.DUMMYFUNCTION("""COMPUTED_VALUE"""),9.0)</f>
        <v>9</v>
      </c>
      <c r="AC39" s="31" t="str">
        <f>IFERROR(__xludf.DUMMYFUNCTION("""COMPUTED_VALUE"""),"The healthy beverage index is not associated with insulin resistance, prediabetes and type 2 diabetes risk in the Rotterdam Study.")</f>
        <v>The healthy beverage index is not associated with insulin resistance, prediabetes and type 2 diabetes risk in the Rotterdam Study.</v>
      </c>
      <c r="AD39" s="31" t="str">
        <f>IFERROR(__xludf.DUMMYFUNCTION("""COMPUTED_VALUE"""),"Jacobo Cejudo, Maria G; Ochoa-Rosales, Carolina; Ahmadizar, Fariba; Kavousi, Maryam; Geleijnse, Johanna M; Voortman, Trudy")</f>
        <v>Jacobo Cejudo, Maria G; Ochoa-Rosales, Carolina; Ahmadizar, Fariba; Kavousi, Maryam; Geleijnse, Johanna M; Voortman, Trudy</v>
      </c>
      <c r="AE39" s="32">
        <f>IFERROR(__xludf.DUMMYFUNCTION("""COMPUTED_VALUE"""),45132.0)</f>
        <v>45132</v>
      </c>
      <c r="AF39" s="31" t="str">
        <f>IFERROR(__xludf.DUMMYFUNCTION("""COMPUTED_VALUE"""),"Consumer wearable devices for evaluation of heart rate control using digoxin versus beta-blockers: the RATE-AF randomized trial.")</f>
        <v>Consumer wearable devices for evaluation of heart rate control using digoxin versus beta-blockers: the RATE-AF randomized trial.</v>
      </c>
      <c r="AG39" s="31" t="str">
        <f>IFERROR(__xludf.DUMMYFUNCTION("""COMPUTED_VALUE"""),"Gill, Simrat K; Barsky, Andrey; Guan, Xin; Bunting, Karina V; Karwath, Andreas; Tica, Otilia; Stanbury, Mary; Haynes, Sandra; Folarin, Amos; Dobson, Richard; Kurps, Julia; Asselbergs, Folkert W; Grobbee, Diederick E; Camm, A John; Eijkemans, Marinus J C; "&amp;"Gkoutos, Georgios V; Kotecha, Dipak; ,; ,; ,")</f>
        <v>Gill, Simrat K; Barsky, Andrey; Guan, Xin; Bunting, Karina V; Karwath, Andreas; Tica, Otilia; Stanbury, Mary; Haynes, Sandra; Folarin, Amos; Dobson, Richard; Kurps, Julia; Asselbergs, Folkert W; Grobbee, Diederick E; Camm, A John; Eijkemans, Marinus J C; Gkoutos, Georgios V; Kotecha, Dipak; ,; ,; ,</v>
      </c>
      <c r="AH39" s="32">
        <f>IFERROR(__xludf.DUMMYFUNCTION("""COMPUTED_VALUE"""),45488.0)</f>
        <v>45488</v>
      </c>
      <c r="AI39" s="31" t="str">
        <f>IFERROR(__xludf.DUMMYFUNCTION("""COMPUTED_VALUE"""),"Pulmonary embolism.")</f>
        <v>Pulmonary embolism.</v>
      </c>
      <c r="AJ39" s="31" t="str">
        <f>IFERROR(__xludf.DUMMYFUNCTION("""COMPUTED_VALUE"""),"Maughan, Brandon C; Jarman, Angela F; Redmond, Alexa; Geersing, Geert-Jan; Kline, Jeffrey A")</f>
        <v>Maughan, Brandon C; Jarman, Angela F; Redmond, Alexa; Geersing, Geert-Jan; Kline, Jeffrey A</v>
      </c>
      <c r="AK39" s="32">
        <f>IFERROR(__xludf.DUMMYFUNCTION("""COMPUTED_VALUE"""),45330.0)</f>
        <v>45330</v>
      </c>
      <c r="AL39" s="31" t="str">
        <f>IFERROR(__xludf.DUMMYFUNCTION("""COMPUTED_VALUE"""),"First-line palliative systemic therapy alternated with oxaliplatin-based pressurized intraperitoneal aerosol chemotherapy for unresectable colorectal peritoneal metastases: A single-arm phase II trial (CRC-PIPAC-II).")</f>
        <v>First-line palliative systemic therapy alternated with oxaliplatin-based pressurized intraperitoneal aerosol chemotherapy for unresectable colorectal peritoneal metastases: A single-arm phase II trial (CRC-PIPAC-II).</v>
      </c>
      <c r="AM39" s="31" t="str">
        <f>IFERROR(__xludf.DUMMYFUNCTION("""COMPUTED_VALUE"""),"Rauwerdink, Paulien; van de Vlasakker, Vincent C J; Wassenaar, Emma C E; Rovers, Koen P; Los, Maartje; Herbschleb, Karin H; Creemers, Geert-Jan M; Thijs, Annemarie M J; Raicu, Mihaela G; Huysentruyt, Clément J R; van der Hoeven, Erik J R J; Nederend, Joos"&amp;"t; Peeters, Rifka Y M; Deenen, Maarten J; Elias, Sjoerd G; Fijneman, Remond J A; Constantinides, Alexander; Kranenburg, Onno; Burger, Pim W A; Nienhuijs, Simon W; Wiezer, René J; Lurvink, Robin J; de Hingh, Ignace H J T; Boerma, Djamila")</f>
        <v>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v>
      </c>
      <c r="AN39" s="32">
        <f>IFERROR(__xludf.DUMMYFUNCTION("""COMPUTED_VALUE"""),45456.0)</f>
        <v>45456</v>
      </c>
    </row>
    <row r="40">
      <c r="A40" s="35"/>
      <c r="B40" s="39"/>
      <c r="C40" s="39"/>
      <c r="D40" s="39"/>
      <c r="E40" s="39"/>
      <c r="F40" s="39"/>
      <c r="I40" s="31" t="str">
        <f>IFERROR(__xludf.DUMMYFUNCTION("""COMPUTED_VALUE"""),"global health action")</f>
        <v>global health action</v>
      </c>
      <c r="J40" s="38">
        <f>COUNTIF(Data!$F$2:$F9917, $I40)</f>
        <v>8</v>
      </c>
      <c r="T40" s="31" t="s">
        <v>24804</v>
      </c>
      <c r="U40" s="31" t="s">
        <v>24805</v>
      </c>
      <c r="V40" s="32">
        <v>45610.0</v>
      </c>
      <c r="X40" s="31" t="str">
        <f>IFERROR(__xludf.DUMMYFUNCTION("""COMPUTED_VALUE"""),"Machine Learning and Statistics in Clinical Research Articles-Moving Past the False Dichotomy.")</f>
        <v>Machine Learning and Statistics in Clinical Research Articles-Moving Past the False Dichotomy.</v>
      </c>
      <c r="Y40" s="31" t="str">
        <f>IFERROR(__xludf.DUMMYFUNCTION("""COMPUTED_VALUE"""),"Finlayson, Samuel G; Beam, Andrew L; van Smeden, Maarten")</f>
        <v>Finlayson, Samuel G; Beam, Andrew L; van Smeden, Maarten</v>
      </c>
      <c r="Z40" s="31">
        <f>IFERROR(__xludf.DUMMYFUNCTION("""COMPUTED_VALUE"""),2023.0)</f>
        <v>2023</v>
      </c>
      <c r="AA40" s="31">
        <f>IFERROR(__xludf.DUMMYFUNCTION("""COMPUTED_VALUE"""),9.0)</f>
        <v>9</v>
      </c>
      <c r="AC40" s="31" t="str">
        <f>IFERROR(__xludf.DUMMYFUNCTION("""COMPUTED_VALUE"""),"Exploring Metabolomic Patterns in Type 2 Diabetes Mellitus and Response to Glucose-Lowering Medications-Review.")</f>
        <v>Exploring Metabolomic Patterns in Type 2 Diabetes Mellitus and Response to Glucose-Lowering Medications-Review.</v>
      </c>
      <c r="AD40" s="31" t="str">
        <f>IFERROR(__xludf.DUMMYFUNCTION("""COMPUTED_VALUE"""),"Shahisavandi, Mina; Wang, Kan; Ghanbari, Mohsen; Ahmadizar, Fariba")</f>
        <v>Shahisavandi, Mina; Wang, Kan; Ghanbari, Mohsen; Ahmadizar, Fariba</v>
      </c>
      <c r="AE40" s="32">
        <f>IFERROR(__xludf.DUMMYFUNCTION("""COMPUTED_VALUE"""),45125.0)</f>
        <v>45125</v>
      </c>
      <c r="AF40" s="31" t="str">
        <f>IFERROR(__xludf.DUMMYFUNCTION("""COMPUTED_VALUE"""),"Planetary Health Diet Compared to Dutch Dietary Guidelines: Nutritional Content and Adequacy.")</f>
        <v>Planetary Health Diet Compared to Dutch Dietary Guidelines: Nutritional Content and Adequacy.</v>
      </c>
      <c r="AG40" s="31" t="str">
        <f>IFERROR(__xludf.DUMMYFUNCTION("""COMPUTED_VALUE"""),"Uriza-Pinzón, Julieth Pilar; Verstraete, Femke Fleur; Franco, Oscar H; Artola Arita, Vicente; Nicolaou, Mary; Van der Schouw, Yvonne T")</f>
        <v>Uriza-Pinzón, Julieth Pilar; Verstraete, Femke Fleur; Franco, Oscar H; Artola Arita, Vicente; Nicolaou, Mary; Van der Schouw, Yvonne T</v>
      </c>
      <c r="AH40" s="32">
        <f>IFERROR(__xludf.DUMMYFUNCTION("""COMPUTED_VALUE"""),45484.0)</f>
        <v>45484</v>
      </c>
      <c r="AI40" s="31" t="str">
        <f>IFERROR(__xludf.DUMMYFUNCTION("""COMPUTED_VALUE"""),"Identification and development of implementation strategies: the important role of codesign.")</f>
        <v>Identification and development of implementation strategies: the important role of codesign.</v>
      </c>
      <c r="AJ40" s="31" t="str">
        <f>IFERROR(__xludf.DUMMYFUNCTION("""COMPUTED_VALUE"""),"van der Laag, Patricia J; Dorhout, Berber G; Heeren, Aaron A; Veenhof, Cindy; Barten, Di-Janne J A; Schoonhoven, Lisette")</f>
        <v>van der Laag, Patricia J; Dorhout, Berber G; Heeren, Aaron A; Veenhof, Cindy; Barten, Di-Janne J A; Schoonhoven, Lisette</v>
      </c>
      <c r="AK40" s="32">
        <f>IFERROR(__xludf.DUMMYFUNCTION("""COMPUTED_VALUE"""),45329.0)</f>
        <v>45329</v>
      </c>
      <c r="AL40" s="31" t="str">
        <f>IFERROR(__xludf.DUMMYFUNCTION("""COMPUTED_VALUE"""),"Addressing current limitations of household transmission studies by collecting contact data.")</f>
        <v>Addressing current limitations of household transmission studies by collecting contact data.</v>
      </c>
      <c r="AM40" s="31" t="str">
        <f>IFERROR(__xludf.DUMMYFUNCTION("""COMPUTED_VALUE"""),"Layan, Maylis; Hens, Niel; de Hoog, Marieke L A; Bruijning-Verhagen, Patricia C J L; Cowling, Benjamin J; Cauchemez, Simon")</f>
        <v>Layan, Maylis; Hens, Niel; de Hoog, Marieke L A; Bruijning-Verhagen, Patricia C J L; Cowling, Benjamin J; Cauchemez, Simon</v>
      </c>
      <c r="AN40" s="32">
        <f>IFERROR(__xludf.DUMMYFUNCTION("""COMPUTED_VALUE"""),45449.0)</f>
        <v>45449</v>
      </c>
    </row>
    <row r="41">
      <c r="A41" s="35">
        <v>2010.0</v>
      </c>
      <c r="B41" s="39">
        <f>IFERROR(__xludf.DUMMYFUNCTION("IFERROR(SUM(FILTER(Data!$H$2:$H9917, REGEXMATCH(Data!$K$2:$K9917, B$30), Data!$C$2:$C9917 = $A41)), 0)
"),384.0)</f>
        <v>384</v>
      </c>
      <c r="C41" s="39">
        <f>IFERROR(__xludf.DUMMYFUNCTION("IFERROR(SUM(FILTER(Data!$H$2:$H9917, REGEXMATCH(Data!$K$2:$K9917, C$30), Data!$C$2:$C9917 = $A41)), 0)
"),3826.0)</f>
        <v>3826</v>
      </c>
      <c r="D41" s="39">
        <f>IFERROR(__xludf.DUMMYFUNCTION("IFERROR(SUM(FILTER(Data!$H$2:$H9917, REGEXMATCH(Data!$K$2:$K9917, D$30), Data!$C$2:$C9917 = $A41)), 0)
"),1394.0)</f>
        <v>1394</v>
      </c>
      <c r="E41" s="39">
        <f>IFERROR(__xludf.DUMMYFUNCTION("IFERROR(SUM(FILTER(Data!$H$2:$H9917, REGEXMATCH(Data!$K$2:$K9917, E$30), Data!$C$2:$C9917 = $A41)), 0)
"),2480.0)</f>
        <v>2480</v>
      </c>
      <c r="F41" s="39">
        <f>SUMIFS(Data!$H$2:$H9917, Data!$C$2:$C9917, $A41)</f>
        <v>5129</v>
      </c>
      <c r="I41" s="31" t="str">
        <f>IFERROR(__xludf.DUMMYFUNCTION("""COMPUTED_VALUE"""),"bmc nephrology")</f>
        <v>bmc nephrology</v>
      </c>
      <c r="J41" s="38">
        <f>COUNTIF(Data!$F$2:$F9917, $I41)</f>
        <v>9</v>
      </c>
      <c r="T41" s="31" t="s">
        <v>24807</v>
      </c>
      <c r="U41" s="31" t="s">
        <v>24805</v>
      </c>
      <c r="V41" s="32">
        <v>45610.0</v>
      </c>
      <c r="X41" s="31" t="str">
        <f>IFERROR(__xludf.DUMMYFUNCTION("""COMPUTED_VALUE"""),"Systematic review finds ""spin"" practices and poor reporting standards in studies on machine learning-based prediction models.")</f>
        <v>Systematic review finds "spin" practices and poor reporting standards in studies on machine learning-based prediction models.</v>
      </c>
      <c r="Y41" s="31" t="str">
        <f>IFERROR(__xludf.DUMMYFUNCTION("""COMPUTED_VALUE"""),"Andaur Navarro, Constanza L; Damen, Johanna A A; Takada, Toshihiko; Nijman, Steven W J; Dhiman, Paula; Ma, Jie; Collins, Gary S; Bajpai, Ram; Riley, Richard D; Moons, Karel G M; Hooft, Lotty")</f>
        <v>Andaur Navarro, Constanza L; Damen, Johanna A A; Takada, Toshihiko; Nijman, Steven W J; Dhiman, Paula; Ma, Jie; Collins, Gary S; Bajpai, Ram; Riley, Richard D; Moons, Karel G M; Hooft, Lotty</v>
      </c>
      <c r="Z41" s="31">
        <f>IFERROR(__xludf.DUMMYFUNCTION("""COMPUTED_VALUE"""),2023.0)</f>
        <v>2023</v>
      </c>
      <c r="AA41" s="31">
        <f>IFERROR(__xludf.DUMMYFUNCTION("""COMPUTED_VALUE"""),9.0)</f>
        <v>9</v>
      </c>
      <c r="AC41" s="31" t="str">
        <f>IFERROR(__xludf.DUMMYFUNCTION("""COMPUTED_VALUE"""),"Personalised electronic health programme for recovery after major abdominal surgery: a multicentre, single-blind, randomised, placebo-controlled trial.")</f>
        <v>Personalised electronic health programme for recovery after major abdominal surgery: a multicentre, single-blind, randomised, placebo-controlled trial.</v>
      </c>
      <c r="AD41" s="31" t="str">
        <f>IFERROR(__xludf.DUMMYFUNCTION("""COMPUTED_VALUE"""),"den Bakker, Chantal M; Schaafsma, Frederieke G; Consten, Esther C J; Schraffordt Koops, Steven E; van der Meij, Eva; van de Ven, Peter M; Bonjer, Hendrik J; Huirne, Judith A F; Anema, Johannes R")</f>
        <v>den Bakker, Chantal M; Schaafsma, Frederieke G; Consten, Esther C J; Schraffordt Koops, Steven E; van der Meij, Eva; van de Ven, Peter M; Bonjer, Hendrik J; Huirne, Judith A F; Anema, Johannes R</v>
      </c>
      <c r="AE41" s="32">
        <f>IFERROR(__xludf.DUMMYFUNCTION("""COMPUTED_VALUE"""),45112.0)</f>
        <v>45112</v>
      </c>
      <c r="AF41" s="31" t="str">
        <f>IFERROR(__xludf.DUMMYFUNCTION("""COMPUTED_VALUE"""),"Clinical algorithms for the monitoring and management of spontaneous, uncomplicated labour and childbirth.")</f>
        <v>Clinical algorithms for the monitoring and management of spontaneous, uncomplicated labour and childbirth.</v>
      </c>
      <c r="AG41" s="31" t="str">
        <f>IFERROR(__xludf.DUMMYFUNCTION("""COMPUTED_VALUE"""),"Pasquale, Julia; Gialdini, Celina; Chamillard, Mónica; Diaz, Virginia; Rijken, Marcus J; Browne, Joyce L; Seto, Mimi Tin Yan; Cheung, Ka Wang; Bonet, Mercedes; ,")</f>
        <v>Pasquale, Julia; Gialdini, Celina; Chamillard, Mónica; Diaz, Virginia; Rijken, Marcus J; Browne, Joyce L; Seto, Mimi Tin Yan; Cheung, Ka Wang; Bonet, Mercedes; ,</v>
      </c>
      <c r="AH41" s="32">
        <f>IFERROR(__xludf.DUMMYFUNCTION("""COMPUTED_VALUE"""),45483.0)</f>
        <v>45483</v>
      </c>
      <c r="AI41" s="31" t="str">
        <f>IFERROR(__xludf.DUMMYFUNCTION("""COMPUTED_VALUE"""),"Shared decision-making in pediatric palliative care in the Netherlands.")</f>
        <v>Shared decision-making in pediatric palliative care in the Netherlands.</v>
      </c>
      <c r="AJ41" s="31" t="str">
        <f>IFERROR(__xludf.DUMMYFUNCTION("""COMPUTED_VALUE"""),"Em, Michiels; Cy, Joren; Mc, Kars; Jl, Aris; Aae, Verhagen")</f>
        <v>Em, Michiels; Cy, Joren; Mc, Kars; Jl, Aris; Aae, Verhagen</v>
      </c>
      <c r="AK41" s="32">
        <f>IFERROR(__xludf.DUMMYFUNCTION("""COMPUTED_VALUE"""),45294.0)</f>
        <v>45294</v>
      </c>
      <c r="AL41" s="31" t="str">
        <f>IFERROR(__xludf.DUMMYFUNCTION("""COMPUTED_VALUE"""),"Accelerated Bacille Calmette-Guérin reactions: More than meets the eye.")</f>
        <v>Accelerated Bacille Calmette-Guérin reactions: More than meets the eye.</v>
      </c>
      <c r="AM41" s="31" t="str">
        <f>IFERROR(__xludf.DUMMYFUNCTION("""COMPUTED_VALUE"""),"Villanueva, Paola; Crawford, Nigel W; Croda, Mariana Garcia; Croda, Julio; Dalcolmo, Margareth; Jardim, Bruno Araújo; Jardim, Tyane de Almeida Pinto; Marshall, Helen; Prat-Aymerich, Cristina; Sawka, Alice; Sharma, Ketaki; Troeman, Darren; Warris, Adilia; "&amp;"Wood, Nicholas; Messina, Nicole L; Pittet, Laure F; Curtis, Nigel")</f>
        <v>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v>
      </c>
      <c r="AN41" s="32">
        <f>IFERROR(__xludf.DUMMYFUNCTION("""COMPUTED_VALUE"""),45449.0)</f>
        <v>45449</v>
      </c>
    </row>
    <row r="42">
      <c r="A42" s="35">
        <v>2011.0</v>
      </c>
      <c r="B42" s="39">
        <f>IFERROR(__xludf.DUMMYFUNCTION("IFERROR(SUM(FILTER(Data!$H$2:$H9917, REGEXMATCH(Data!$K$2:$K9917, B$30), Data!$C$2:$C9917 = $A42)), 0)
"),367.0)</f>
        <v>367</v>
      </c>
      <c r="C42" s="39">
        <f>IFERROR(__xludf.DUMMYFUNCTION("IFERROR(SUM(FILTER(Data!$H$2:$H9917, REGEXMATCH(Data!$K$2:$K9917, C$30), Data!$C$2:$C9917 = $A42)), 0)
"),3064.0)</f>
        <v>3064</v>
      </c>
      <c r="D42" s="39">
        <f>IFERROR(__xludf.DUMMYFUNCTION("IFERROR(SUM(FILTER(Data!$H$2:$H9917, REGEXMATCH(Data!$K$2:$K9917, D$30), Data!$C$2:$C9917 = $A42)), 0)
"),1707.0)</f>
        <v>1707</v>
      </c>
      <c r="E42" s="39">
        <f>IFERROR(__xludf.DUMMYFUNCTION("IFERROR(SUM(FILTER(Data!$H$2:$H9917, REGEXMATCH(Data!$K$2:$K9917, E$30), Data!$C$2:$C9917 = $A42)), 0)
"),3365.0)</f>
        <v>3365</v>
      </c>
      <c r="F42" s="39">
        <f>SUMIFS(Data!$H$2:$H9917, Data!$C$2:$C9917, $A42)</f>
        <v>4971</v>
      </c>
      <c r="I42" s="31" t="str">
        <f>IFERROR(__xludf.DUMMYFUNCTION("""COMPUTED_VALUE"""),"american journal of human genetics")</f>
        <v>american journal of human genetics</v>
      </c>
      <c r="J42" s="38">
        <f>COUNTIF(Data!$F$2:$F9917, $I42)</f>
        <v>7</v>
      </c>
      <c r="T42" s="31" t="s">
        <v>25320</v>
      </c>
      <c r="U42" s="31" t="s">
        <v>25321</v>
      </c>
      <c r="V42" s="32">
        <v>45610.0</v>
      </c>
      <c r="X42" s="31" t="str">
        <f>IFERROR(__xludf.DUMMYFUNCTION("""COMPUTED_VALUE"""),"Home telemonitoring versus hospital care in complicated pregnancies in the Netherlands: a randomised, controlled non-inferiority trial (HoTeL).")</f>
        <v>Home telemonitoring versus hospital care in complicated pregnancies in the Netherlands: a randomised, controlled non-inferiority trial (HoTeL).</v>
      </c>
      <c r="Y42" s="31" t="str">
        <f>IFERROR(__xludf.DUMMYFUNCTION("""COMPUTED_VALUE"""),"Bekker, Mireille N; Koster, Maria P H; Keusters, Willem R; Ganzevoort, Wessel; de Haan-Jebbink, Jiska M; Deurloo, Koen L; Seeber, Laura; van der Ham, David P; Zuithoff, Nicolaas P A; Frederix, Geert W J; van den Heuvel, Josephus F M; Franx, Arie")</f>
        <v>Bekker, Mireille N; Koster, Maria P H; Keusters, Willem R; Ganzevoort, Wessel; de Haan-Jebbink, Jiska M; Deurloo, Koen L; Seeber, Laura; van der Ham, David P; Zuithoff, Nicolaas P A; Frederix, Geert W J; van den Heuvel, Josephus F M; Franx, Arie</v>
      </c>
      <c r="Z42" s="31">
        <f>IFERROR(__xludf.DUMMYFUNCTION("""COMPUTED_VALUE"""),2023.0)</f>
        <v>2023</v>
      </c>
      <c r="AA42" s="31">
        <f>IFERROR(__xludf.DUMMYFUNCTION("""COMPUTED_VALUE"""),9.0)</f>
        <v>9</v>
      </c>
      <c r="AC42" s="31" t="str">
        <f>IFERROR(__xludf.DUMMYFUNCTION("""COMPUTED_VALUE"""),"Clinically Established Temporomandibular Involvement in Adults With Juvenile Idiopathic Arthritis.")</f>
        <v>Clinically Established Temporomandibular Involvement in Adults With Juvenile Idiopathic Arthritis.</v>
      </c>
      <c r="AD42" s="31" t="str">
        <f>IFERROR(__xludf.DUMMYFUNCTION("""COMPUTED_VALUE"""),"de Sonnaville, Willemijn F C; Speksnijder, Caroline M; Zuithoff, Nicolaas P A; Heijstek, Marloes W; Wulffraat, Nico M; Steenks, Michel H; Rosenberg, Antoine J W P")</f>
        <v>de Sonnaville, Willemijn F C; Speksnijder, Caroline M; Zuithoff, Nicolaas P A; Heijstek, Marloes W; Wulffraat, Nico M; Steenks, Michel H; Rosenberg, Antoine J W P</v>
      </c>
      <c r="AE42" s="32">
        <f>IFERROR(__xludf.DUMMYFUNCTION("""COMPUTED_VALUE"""),45108.0)</f>
        <v>45108</v>
      </c>
      <c r="AF42" s="31" t="str">
        <f>IFERROR(__xludf.DUMMYFUNCTION("""COMPUTED_VALUE"""),"Eligibility of Asian and European registry patients for phase III trials in heart failure with reduced ejection fraction.")</f>
        <v>Eligibility of Asian and European registry patients for phase III trials in heart failure with reduced ejection fraction.</v>
      </c>
      <c r="AG42" s="31" t="str">
        <f>IFERROR(__xludf.DUMMYFUNCTION("""COMPUTED_VALUE"""),"Lim, Yvonne Mei Fong; Asselbergs, Folkert W; Bagheri, Ayoub; Denaxas, Spiros; Tay, Wan Ting; Voors, Adriaan; Lam, Carolyn Su Ping; Koudstaal, Stefan; Grobbee, Diederick E; Vaartjes, Ilonca")</f>
        <v>Lim, Yvonne Mei Fong; Asselbergs, Folkert W; Bagheri, Ayoub; Denaxas, Spiros; Tay, Wan Ting; Voors, Adriaan; Lam, Carolyn Su Ping; Koudstaal, Stefan; Grobbee, Diederick E; Vaartjes, Ilonca</v>
      </c>
      <c r="AH42" s="32">
        <f>IFERROR(__xludf.DUMMYFUNCTION("""COMPUTED_VALUE"""),45483.0)</f>
        <v>45483</v>
      </c>
      <c r="AI42" s="31" t="str">
        <f>IFERROR(__xludf.DUMMYFUNCTION("""COMPUTED_VALUE"""),"Impact of wearable wireless continuous vital sign monitoring in abdominal surgical patients: before-after study.")</f>
        <v>Impact of wearable wireless continuous vital sign monitoring in abdominal surgical patients: before-after study.</v>
      </c>
      <c r="AJ42" s="31" t="str">
        <f>IFERROR(__xludf.DUMMYFUNCTION("""COMPUTED_VALUE"""),"Leenen, Jobbe P L; Ardesch, Vera; Kalkman, Cor J; Schoonhoven, Lisette; Patijn, Gijs A")</f>
        <v>Leenen, Jobbe P L; Ardesch, Vera; Kalkman, Cor J; Schoonhoven, Lisette; Patijn, Gijs A</v>
      </c>
      <c r="AK42" s="32">
        <f>IFERROR(__xludf.DUMMYFUNCTION("""COMPUTED_VALUE"""),45294.0)</f>
        <v>45294</v>
      </c>
      <c r="AL42" s="31" t="str">
        <f>IFERROR(__xludf.DUMMYFUNCTION("""COMPUTED_VALUE"""),"The epidemiology of drug-related hospital admissions in paediatrics - a systematic review.")</f>
        <v>The epidemiology of drug-related hospital admissions in paediatrics - a systematic review.</v>
      </c>
      <c r="AM42" s="31" t="str">
        <f>IFERROR(__xludf.DUMMYFUNCTION("""COMPUTED_VALUE"""),"Eberl, Sonja; Heus, Pauline; Toni, Irmgard; Bachmat, Igor; Neubert, Antje")</f>
        <v>Eberl, Sonja; Heus, Pauline; Toni, Irmgard; Bachmat, Igor; Neubert, Antje</v>
      </c>
      <c r="AN42" s="32">
        <f>IFERROR(__xludf.DUMMYFUNCTION("""COMPUTED_VALUE"""),45447.0)</f>
        <v>45447</v>
      </c>
    </row>
    <row r="43">
      <c r="A43" s="35">
        <v>2012.0</v>
      </c>
      <c r="B43" s="39">
        <f>IFERROR(__xludf.DUMMYFUNCTION("IFERROR(SUM(FILTER(Data!$H$2:$H9917, REGEXMATCH(Data!$K$2:$K9917, B$30), Data!$C$2:$C9917 = $A43)), 0)
"),1203.0)</f>
        <v>1203</v>
      </c>
      <c r="C43" s="39">
        <f>IFERROR(__xludf.DUMMYFUNCTION("IFERROR(SUM(FILTER(Data!$H$2:$H9917, REGEXMATCH(Data!$K$2:$K9917, C$30), Data!$C$2:$C9917 = $A43)), 0)
"),4408.0)</f>
        <v>4408</v>
      </c>
      <c r="D43" s="39">
        <f>IFERROR(__xludf.DUMMYFUNCTION("IFERROR(SUM(FILTER(Data!$H$2:$H9917, REGEXMATCH(Data!$K$2:$K9917, D$30), Data!$C$2:$C9917 = $A43)), 0)
"),2989.0)</f>
        <v>2989</v>
      </c>
      <c r="E43" s="39">
        <f>IFERROR(__xludf.DUMMYFUNCTION("IFERROR(SUM(FILTER(Data!$H$2:$H9917, REGEXMATCH(Data!$K$2:$K9917, E$30), Data!$C$2:$C9917 = $A43)), 0)
"),5962.0)</f>
        <v>5962</v>
      </c>
      <c r="F43" s="39">
        <f>SUMIFS(Data!$H$2:$H9917, Data!$C$2:$C9917, $A43)</f>
        <v>7592</v>
      </c>
      <c r="I43" s="31" t="str">
        <f>IFERROR(__xludf.DUMMYFUNCTION("""COMPUTED_VALUE"""),"journal of virological methods")</f>
        <v>journal of virological methods</v>
      </c>
      <c r="J43" s="38">
        <f>COUNTIF(Data!$F$2:$F9917, $I43)</f>
        <v>2</v>
      </c>
      <c r="T43" s="31" t="s">
        <v>24906</v>
      </c>
      <c r="U43" s="31" t="s">
        <v>24907</v>
      </c>
      <c r="V43" s="32">
        <v>45608.0</v>
      </c>
      <c r="X43" s="31" t="str">
        <f>IFERROR(__xludf.DUMMYFUNCTION("""COMPUTED_VALUE"""),"Altered blood gene expression in the obesity-related type 2 diabetes cluster may be causally involved in lipid metabolism: a Mendelian randomisation study.")</f>
        <v>Altered blood gene expression in the obesity-related type 2 diabetes cluster may be causally involved in lipid metabolism: a Mendelian randomisation study.</v>
      </c>
      <c r="Y43" s="31" t="str">
        <f>IFERROR(__xludf.DUMMYFUNCTION("""COMPUTED_VALUE"""),"de Klerk, Juliette A; Beulens, Joline W J; Mei, Hailiang; Bijkerk, Roel; van Zonneveld, Anton Jan; Koivula, Robert W; Elders, Petra J M; 't Hart, Leen M; Slieker, Roderick C")</f>
        <v>de Klerk, Juliette A; Beulens, Joline W J; Mei, Hailiang; Bijkerk, Roel; van Zonneveld, Anton Jan; Koivula, Robert W; Elders, Petra J M; 't Hart, Leen M; Slieker, Roderick C</v>
      </c>
      <c r="Z43" s="31">
        <f>IFERROR(__xludf.DUMMYFUNCTION("""COMPUTED_VALUE"""),2023.0)</f>
        <v>2023</v>
      </c>
      <c r="AA43" s="31">
        <f>IFERROR(__xludf.DUMMYFUNCTION("""COMPUTED_VALUE"""),9.0)</f>
        <v>9</v>
      </c>
      <c r="AC43" s="31" t="str">
        <f>IFERROR(__xludf.DUMMYFUNCTION("""COMPUTED_VALUE"""),"A Bayesian-adaptive decision-theoretic approach can reduce the sample sizes for multiarm exercise oncology trials.")</f>
        <v>A Bayesian-adaptive decision-theoretic approach can reduce the sample sizes for multiarm exercise oncology trials.</v>
      </c>
      <c r="AD43" s="31" t="str">
        <f>IFERROR(__xludf.DUMMYFUNCTION("""COMPUTED_VALUE"""),"Buffart, Laurien M; Bassi, Andrea; Stuiver, Martijn M; Aaronson, Neil K; Sonke, Gabe S; Berkhof, Johannes; van de Ven, Peter M")</f>
        <v>Buffart, Laurien M; Bassi, Andrea; Stuiver, Martijn M; Aaronson, Neil K; Sonke, Gabe S; Berkhof, Johannes; van de Ven, Peter M</v>
      </c>
      <c r="AE43" s="32">
        <f>IFERROR(__xludf.DUMMYFUNCTION("""COMPUTED_VALUE"""),45072.0)</f>
        <v>45072</v>
      </c>
      <c r="AF43" s="31" t="str">
        <f>IFERROR(__xludf.DUMMYFUNCTION("""COMPUTED_VALUE"""),"The general external exposome and the development or progression of chronic kidney disease: A systematic review and meta-analyses.")</f>
        <v>The general external exposome and the development or progression of chronic kidney disease: A systematic review and meta-analyses.</v>
      </c>
      <c r="AG43" s="31" t="str">
        <f>IFERROR(__xludf.DUMMYFUNCTION("""COMPUTED_VALUE"""),"Liang, Kate H; Colombijn, Julia M T; Verhaar, Marianne C; Ghannoum, Marc; Timmermans, Erik J; Vernooij, Robin W M")</f>
        <v>Liang, Kate H; Colombijn, Julia M T; Verhaar, Marianne C; Ghannoum, Marc; Timmermans, Erik J; Vernooij, Robin W M</v>
      </c>
      <c r="AH43" s="32">
        <f>IFERROR(__xludf.DUMMYFUNCTION("""COMPUTED_VALUE"""),45477.0)</f>
        <v>45477</v>
      </c>
      <c r="AI43" s="31" t="str">
        <f>IFERROR(__xludf.DUMMYFUNCTION("""COMPUTED_VALUE"""),"Novel Textbook Outcomes following emergency laparotomy: Delphi exercise.")</f>
        <v>Novel Textbook Outcomes following emergency laparotomy: Delphi exercise.</v>
      </c>
      <c r="AJ43" s="31" t="str">
        <f>IFERROR(__xludf.DUMMYFUNCTION("""COMPUTED_VALUE"""),"Leenen, Jobbe P L; Ardesch, Vera; Kalkman, Cor J; Schoonhoven, Lisette; Patijn, Gijs A")</f>
        <v>Leenen, Jobbe P L; Ardesch, Vera; Kalkman, Cor J; Schoonhoven, Lisette; Patijn, Gijs A</v>
      </c>
      <c r="AK43" s="32">
        <f>IFERROR(__xludf.DUMMYFUNCTION("""COMPUTED_VALUE"""),45294.0)</f>
        <v>45294</v>
      </c>
      <c r="AL43" s="31" t="str">
        <f>IFERROR(__xludf.DUMMYFUNCTION("""COMPUTED_VALUE"""),"Expansion of pneumococcal serotype 23F and 14 lineages with genotypic changes in capsule polysaccharide locus and virulence gene profiles post introduction of pneumococcal conjugate vaccine in Blantyre, Malawi.")</f>
        <v>Expansion of pneumococcal serotype 23F and 14 lineages with genotypic changes in capsule polysaccharide locus and virulence gene profiles post introduction of pneumococcal conjugate vaccine in Blantyre, Malawi.</v>
      </c>
      <c r="AM43" s="31" t="str">
        <f>IFERROR(__xludf.DUMMYFUNCTION("""COMPUTED_VALUE"""),"Cave, Rory; Kalizang'oma, Akuzike; Chaguza, Chrispin; Mwalukomo, Thandie S; Kamng'ona, Arox; Brown, Comfort; Msefula, Jacquline; Bonomali, Farouck; Nyirenda, Roseline; Swarthout, Todd D; Kwambana-Adams, Brenda; French, Neil; Heyderman, Robert S")</f>
        <v>Cave, Rory; Kalizang'oma, Akuzike; Chaguza, Chrispin; Mwalukomo, Thandie S; Kamng'ona, Arox; Brown, Comfort; Msefula, Jacquline; Bonomali, Farouck; Nyirenda, Roseline; Swarthout, Todd D; Kwambana-Adams, Brenda; French, Neil; Heyderman, Robert S</v>
      </c>
      <c r="AN43" s="32">
        <f>IFERROR(__xludf.DUMMYFUNCTION("""COMPUTED_VALUE"""),45444.0)</f>
        <v>45444</v>
      </c>
    </row>
    <row r="44">
      <c r="A44" s="35">
        <v>2013.0</v>
      </c>
      <c r="B44" s="39">
        <f>IFERROR(__xludf.DUMMYFUNCTION("IFERROR(SUM(FILTER(Data!$H$2:$H9917, REGEXMATCH(Data!$K$2:$K9917, B$30), Data!$C$2:$C9917 = $A44)), 0)
"),1044.0)</f>
        <v>1044</v>
      </c>
      <c r="C44" s="39">
        <f>IFERROR(__xludf.DUMMYFUNCTION("IFERROR(SUM(FILTER(Data!$H$2:$H9917, REGEXMATCH(Data!$K$2:$K9917, C$30), Data!$C$2:$C9917 = $A44)), 0)
"),4166.0)</f>
        <v>4166</v>
      </c>
      <c r="D44" s="39">
        <f>IFERROR(__xludf.DUMMYFUNCTION("IFERROR(SUM(FILTER(Data!$H$2:$H9917, REGEXMATCH(Data!$K$2:$K9917, D$30), Data!$C$2:$C9917 = $A44)), 0)
"),3362.0)</f>
        <v>3362</v>
      </c>
      <c r="E44" s="39">
        <f>IFERROR(__xludf.DUMMYFUNCTION("IFERROR(SUM(FILTER(Data!$H$2:$H9917, REGEXMATCH(Data!$K$2:$K9917, E$30), Data!$C$2:$C9917 = $A44)), 0)
"),5930.0)</f>
        <v>5930</v>
      </c>
      <c r="F44" s="39">
        <f>SUMIFS(Data!$H$2:$H9917, Data!$C$2:$C9917, $A44)</f>
        <v>7870</v>
      </c>
      <c r="I44" s="31" t="str">
        <f>IFERROR(__xludf.DUMMYFUNCTION("""COMPUTED_VALUE"""),"international journal of cancer")</f>
        <v>international journal of cancer</v>
      </c>
      <c r="J44" s="38">
        <f>COUNTIF(Data!$F$2:$F9917, $I44)</f>
        <v>39</v>
      </c>
      <c r="T44" s="31" t="s">
        <v>25345</v>
      </c>
      <c r="U44" s="31" t="s">
        <v>25346</v>
      </c>
      <c r="V44" s="32">
        <v>45608.0</v>
      </c>
      <c r="X44" s="31" t="str">
        <f>IFERROR(__xludf.DUMMYFUNCTION("""COMPUTED_VALUE"""),"Effect of a multifaceted antibiotic stewardship intervention to improve antibiotic prescribing for suspected urinary tract infections in frail older adults (ImpresU): pragmatic cluster randomised controlled trial in four European countries.")</f>
        <v>Effect of a multifaceted antibiotic stewardship intervention to improve antibiotic prescribing for suspected urinary tract infections in frail older adults (ImpresU): pragmatic cluster randomised controlled trial in four European countries.</v>
      </c>
      <c r="Y44" s="31" t="str">
        <f>IFERROR(__xludf.DUMMYFUNCTION("""COMPUTED_VALUE"""),"Hartman, Esther A R; van de Pol, Alma C; Heltveit-Olsen, Silje Rebekka; Lindbæk, Morten; Høye, Sigurd; Lithén, Sara Sofia; Sundvall, Pär-Daniel; Sundvall, Sofia; Arnljots, Egill Snaebjörnsson; Gunnarsson, Ronny; Kowalczyk, Anna; Godycki-Cwirko, Maciek; Pl"&amp;"atteel, Tamara N; Groen, Wim G; Monnier, Annelie A; Zuithoff, Nicolaas P; Verheij, Theo J M; Hertogh, Cees M P M")</f>
        <v>Hartman, Esther A R; van de Pol, Alma C; Heltveit-Olsen, Silje Rebekka; Lindbæk, Morten; Høye, Sigurd; Lithén, Sara Sofia; Sundvall, Pär-Daniel; Sundvall, Sofia; Arnljots, Egill Snaebjörnsson; Gunnarsson, Ronny; Kowalczyk, Anna; Godycki-Cwirko, Maciek; Platteel, Tamara N; Groen, Wim G; Monnier, Annelie A; Zuithoff, Nicolaas P; Verheij, Theo J M; Hertogh, Cees M P M</v>
      </c>
      <c r="Z44" s="31">
        <f>IFERROR(__xludf.DUMMYFUNCTION("""COMPUTED_VALUE"""),2023.0)</f>
        <v>2023</v>
      </c>
      <c r="AA44" s="31">
        <f>IFERROR(__xludf.DUMMYFUNCTION("""COMPUTED_VALUE"""),9.0)</f>
        <v>9</v>
      </c>
      <c r="AC44" s="31" t="str">
        <f>IFERROR(__xludf.DUMMYFUNCTION("""COMPUTED_VALUE"""),"Guidelines for Reporting Observational Research in Urology: The Importance of Clear Reference to Causality.")</f>
        <v>Guidelines for Reporting Observational Research in Urology: The Importance of Clear Reference to Causality.</v>
      </c>
      <c r="AD44" s="31" t="str">
        <f>IFERROR(__xludf.DUMMYFUNCTION("""COMPUTED_VALUE"""),"Vickers, Andrew J; Assel, Melissa; Dunn, Rodney L; Zabor, Emily C; Kattan, Michael W; van Smeden, Maarten; Dahly, Darren")</f>
        <v>Vickers, Andrew J; Assel, Melissa; Dunn, Rodney L; Zabor, Emily C; Kattan, Michael W; van Smeden, Maarten; Dahly, Darren</v>
      </c>
      <c r="AE44" s="32">
        <f>IFERROR(__xludf.DUMMYFUNCTION("""COMPUTED_VALUE"""),45066.0)</f>
        <v>45066</v>
      </c>
      <c r="AF44" s="31" t="str">
        <f>IFERROR(__xludf.DUMMYFUNCTION("""COMPUTED_VALUE"""),"Sex hormone-binding globulin may explain sex differences for glucose homeostasis and incidence of type 2 diabetes: the KORA study.")</f>
        <v>Sex hormone-binding globulin may explain sex differences for glucose homeostasis and incidence of type 2 diabetes: the KORA study.</v>
      </c>
      <c r="AG44" s="31" t="str">
        <f>IFERROR(__xludf.DUMMYFUNCTION("""COMPUTED_VALUE"""),"Raeisi-Dehkordi, Hamidreza; Amiri, Mojgan; Rathmann, Wolfgang; Zeller, Tanja; Adamski, Jerzy; Bano, Arjola; van der Schouw, Yvonne T; Thorand, Barbara; Muka, Taulant; Nano, Jana")</f>
        <v>Raeisi-Dehkordi, Hamidreza; Amiri, Mojgan; Rathmann, Wolfgang; Zeller, Tanja; Adamski, Jerzy; Bano, Arjola; van der Schouw, Yvonne T; Thorand, Barbara; Muka, Taulant; Nano, Jana</v>
      </c>
      <c r="AH44" s="32">
        <f>IFERROR(__xludf.DUMMYFUNCTION("""COMPUTED_VALUE"""),45475.0)</f>
        <v>45475</v>
      </c>
      <c r="AI44" s="31" t="str">
        <f>IFERROR(__xludf.DUMMYFUNCTION("""COMPUTED_VALUE"""),"Topical and oral steroids for otitis media with effusion (OME) in children.")</f>
        <v>Topical and oral steroids for otitis media with effusion (OME) in children.</v>
      </c>
      <c r="AJ44" s="31" t="str">
        <f>IFERROR(__xludf.DUMMYFUNCTION("""COMPUTED_VALUE"""),"Mulvaney, Caroline A; Galbraith, Kevin; Webster, Katie E; Rana, Mridul; Connolly, Rachel; Tudor-Green, Ben; Marom, Tal; Daniel, Mat; Venekamp, Roderick P; Schilder, Anne Gm; MacKeith, Samuel")</f>
        <v>Mulvaney, Caroline A; Galbraith, Kevin; Webster, Katie E; Rana, Mridul; Connolly, Rachel; Tudor-Green, Ben; Marom, Tal; Daniel, Mat; Venekamp, Roderick P; Schilder, Anne Gm; MacKeith, Samuel</v>
      </c>
      <c r="AK44" s="32">
        <f>IFERROR(__xludf.DUMMYFUNCTION("""COMPUTED_VALUE"""),45273.0)</f>
        <v>45273</v>
      </c>
      <c r="AL44" s="31" t="str">
        <f>IFERROR(__xludf.DUMMYFUNCTION("""COMPUTED_VALUE"""),"Prediction of aneurysmal subarachnoid hemorrhage in comparison with other stroke types using routine care data.")</f>
        <v>Prediction of aneurysmal subarachnoid hemorrhage in comparison with other stroke types using routine care data.</v>
      </c>
      <c r="AM44" s="31" t="str">
        <f>IFERROR(__xludf.DUMMYFUNCTION("""COMPUTED_VALUE"""),"Kanning, Jos P; van Os, Hendrikus J A; Rakers, Margot; Wermer, Marieke J H; Geerlings, Mirjam I; Ruigrok, Ynte M")</f>
        <v>Kanning, Jos P; van Os, Hendrikus J A; Rakers, Margot; Wermer, Marieke J H; Geerlings, Mirjam I; Ruigrok, Ynte M</v>
      </c>
      <c r="AN44" s="32">
        <f>IFERROR(__xludf.DUMMYFUNCTION("""COMPUTED_VALUE"""),45443.0)</f>
        <v>45443</v>
      </c>
    </row>
    <row r="45">
      <c r="A45" s="35">
        <v>2014.0</v>
      </c>
      <c r="B45" s="39">
        <f>IFERROR(__xludf.DUMMYFUNCTION("IFERROR(SUM(FILTER(Data!$H$2:$H9917, REGEXMATCH(Data!$K$2:$K9917, B$30), Data!$C$2:$C9917 = $A45)), 0)
"),2546.0)</f>
        <v>2546</v>
      </c>
      <c r="C45" s="39">
        <f>IFERROR(__xludf.DUMMYFUNCTION("IFERROR(SUM(FILTER(Data!$H$2:$H9917, REGEXMATCH(Data!$K$2:$K9917, C$30), Data!$C$2:$C9917 = $A45)), 0)
"),10244.0)</f>
        <v>10244</v>
      </c>
      <c r="D45" s="39">
        <f>IFERROR(__xludf.DUMMYFUNCTION("IFERROR(SUM(FILTER(Data!$H$2:$H9917, REGEXMATCH(Data!$K$2:$K9917, D$30), Data!$C$2:$C9917 = $A45)), 0)
"),6524.0)</f>
        <v>6524</v>
      </c>
      <c r="E45" s="39">
        <f>IFERROR(__xludf.DUMMYFUNCTION("IFERROR(SUM(FILTER(Data!$H$2:$H9917, REGEXMATCH(Data!$K$2:$K9917, E$30), Data!$C$2:$C9917 = $A45)), 0)
"),11962.0)</f>
        <v>11962</v>
      </c>
      <c r="F45" s="39">
        <f>SUMIFS(Data!$H$2:$H9917, Data!$C$2:$C9917, $A45)</f>
        <v>16423</v>
      </c>
      <c r="I45" s="31" t="str">
        <f>IFERROR(__xludf.DUMMYFUNCTION("""COMPUTED_VALUE"""),"the cochrane database of systematic reviews")</f>
        <v>the cochrane database of systematic reviews</v>
      </c>
      <c r="J45" s="38">
        <f>COUNTIF(Data!$F$2:$F9917, $I45)</f>
        <v>39</v>
      </c>
      <c r="T45" s="31" t="s">
        <v>25510</v>
      </c>
      <c r="U45" s="31" t="s">
        <v>25511</v>
      </c>
      <c r="V45" s="32">
        <v>45608.0</v>
      </c>
      <c r="X45" s="31" t="str">
        <f>IFERROR(__xludf.DUMMYFUNCTION("""COMPUTED_VALUE"""),"Associations of relative fat mass, a new index of adiposity, with type-2 diabetes in the general population.")</f>
        <v>Associations of relative fat mass, a new index of adiposity, with type-2 diabetes in the general population.</v>
      </c>
      <c r="Y45" s="31" t="str">
        <f>IFERROR(__xludf.DUMMYFUNCTION("""COMPUTED_VALUE"""),"Suthahar, Navin; Wang, Kan; Zwartkruis, Victor W; Bakker, Stephan J L; Inzucchi, Silvio E; Meems, Laura M G; Eijgenraam, Tim R; Ahmadizar, Fariba; Sijbrands, Eric G; Gansevoort, Ron T; Kieneker, Lyanne M; van Veldhuisen, Dirk J; Kavousi, Maryam; de Boer, "&amp;"Rudolf A")</f>
        <v>Suthahar, Navin; Wang, Kan; Zwartkruis, Victor W; Bakker, Stephan J L; Inzucchi, Silvio E; Meems, Laura M G; Eijgenraam, Tim R; Ahmadizar, Fariba; Sijbrands, Eric G; Gansevoort, Ron T; Kieneker, Lyanne M; van Veldhuisen, Dirk J; Kavousi, Maryam; de Boer, Rudolf A</v>
      </c>
      <c r="Z45" s="31">
        <f>IFERROR(__xludf.DUMMYFUNCTION("""COMPUTED_VALUE"""),2023.0)</f>
        <v>2023</v>
      </c>
      <c r="AA45" s="31">
        <f>IFERROR(__xludf.DUMMYFUNCTION("""COMPUTED_VALUE"""),9.0)</f>
        <v>9</v>
      </c>
      <c r="AC45" s="31"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AD45" s="31" t="str">
        <f>IFERROR(__xludf.DUMMYFUNCTION("""COMPUTED_VALUE"""),"Lohmann, Anna; Groenwold, Rolf H H; van Smeden, Maarten")</f>
        <v>Lohmann, Anna; Groenwold, Rolf H H; van Smeden, Maarten</v>
      </c>
      <c r="AE45" s="32">
        <f>IFERROR(__xludf.DUMMYFUNCTION("""COMPUTED_VALUE"""),45064.0)</f>
        <v>45064</v>
      </c>
      <c r="AF45" s="31" t="str">
        <f>IFERROR(__xludf.DUMMYFUNCTION("""COMPUTED_VALUE"""),"Longitudinal associations of air pollution and green space with cardiometabolic risk factor clustering among children in the Netherlands.")</f>
        <v>Longitudinal associations of air pollution and green space with cardiometabolic risk factor clustering among children in the Netherlands.</v>
      </c>
      <c r="AG45" s="31" t="str">
        <f>IFERROR(__xludf.DUMMYFUNCTION("""COMPUTED_VALUE"""),"Liu, Mingwei; Vaartjes, Ilonca; Hoek, Gerard; Jaddoe, Vincent W V; Santos, Susana; Schreuder, Anton; Vrijkotte, Tanja G M; Grobbee, Diederick E; Timmermans, Erik J")</f>
        <v>Liu, Mingwei; Vaartjes, Ilonca; Hoek, Gerard; Jaddoe, Vincent W V; Santos, Susana; Schreuder, Anton; Vrijkotte, Tanja G M; Grobbee, Diederick E; Timmermans, Erik J</v>
      </c>
      <c r="AH45" s="32">
        <f>IFERROR(__xludf.DUMMYFUNCTION("""COMPUTED_VALUE"""),45470.0)</f>
        <v>45470</v>
      </c>
      <c r="AI45" s="31" t="str">
        <f>IFERROR(__xludf.DUMMYFUNCTION("""COMPUTED_VALUE"""),"Outpatient respiratory syncytial virus infections and novel preventive interventions.")</f>
        <v>Outpatient respiratory syncytial virus infections and novel preventive interventions.</v>
      </c>
      <c r="AJ45" s="31" t="str">
        <f>IFERROR(__xludf.DUMMYFUNCTION("""COMPUTED_VALUE"""),"Hak, Sarah F; Venekamp, Roderick P; Wildenbeest, Joanne G; Bont, Louis J")</f>
        <v>Hak, Sarah F; Venekamp, Roderick P; Wildenbeest, Joanne G; Bont, Louis J</v>
      </c>
      <c r="AK45" s="32">
        <f>IFERROR(__xludf.DUMMYFUNCTION("""COMPUTED_VALUE"""),45272.0)</f>
        <v>45272</v>
      </c>
      <c r="AL45" s="31" t="str">
        <f>IFERROR(__xludf.DUMMYFUNCTION("""COMPUTED_VALUE"""),"Diagnostic accuracy of supplemental three-dimensional breast ultrasound in the work-up of BI-RADS 0 screening recalls.")</f>
        <v>Diagnostic accuracy of supplemental three-dimensional breast ultrasound in the work-up of BI-RADS 0 screening recalls.</v>
      </c>
      <c r="AM45" s="31" t="str">
        <f>IFERROR(__xludf.DUMMYFUNCTION("""COMPUTED_VALUE"""),"den Dekker, Bianca M; Broeders, Mireille J M; Meeuwis, Carla; Setz-Pels, Wikke; Venmans, Alexander; van Gils, Carla H; Pijnappel, Ruud M")</f>
        <v>den Dekker, Bianca M; Broeders, Mireille J M; Meeuwis, Carla; Setz-Pels, Wikke; Venmans, Alexander; van Gils, Carla H; Pijnappel, Ruud M</v>
      </c>
      <c r="AN45" s="32">
        <f>IFERROR(__xludf.DUMMYFUNCTION("""COMPUTED_VALUE"""),45443.0)</f>
        <v>45443</v>
      </c>
    </row>
    <row r="46">
      <c r="A46" s="35">
        <v>2015.0</v>
      </c>
      <c r="B46" s="39">
        <f>IFERROR(__xludf.DUMMYFUNCTION("IFERROR(SUM(FILTER(Data!$H$2:$H9917, REGEXMATCH(Data!$K$2:$K9917, B$30), Data!$C$2:$C9917 = $A46)), 0)
"),6200.0)</f>
        <v>6200</v>
      </c>
      <c r="C46" s="39">
        <f>IFERROR(__xludf.DUMMYFUNCTION("IFERROR(SUM(FILTER(Data!$H$2:$H9917, REGEXMATCH(Data!$K$2:$K9917, C$30), Data!$C$2:$C9917 = $A46)), 0)
"),12965.0)</f>
        <v>12965</v>
      </c>
      <c r="D46" s="39">
        <f>IFERROR(__xludf.DUMMYFUNCTION("IFERROR(SUM(FILTER(Data!$H$2:$H9917, REGEXMATCH(Data!$K$2:$K9917, D$30), Data!$C$2:$C9917 = $A46)), 0)
"),7673.0)</f>
        <v>7673</v>
      </c>
      <c r="E46" s="39">
        <f>IFERROR(__xludf.DUMMYFUNCTION("IFERROR(SUM(FILTER(Data!$H$2:$H9917, REGEXMATCH(Data!$K$2:$K9917, E$30), Data!$C$2:$C9917 = $A46)), 0)
"),23141.0)</f>
        <v>23141</v>
      </c>
      <c r="F46" s="39">
        <f>SUMIFS(Data!$H$2:$H9917, Data!$C$2:$C9917, $A46)</f>
        <v>28124</v>
      </c>
      <c r="I46" s="31" t="str">
        <f>IFERROR(__xludf.DUMMYFUNCTION("""COMPUTED_VALUE"""),"bmj open")</f>
        <v>bmj open</v>
      </c>
      <c r="J46" s="38">
        <f>COUNTIF(Data!$F$2:$F9917, $I46)</f>
        <v>147</v>
      </c>
      <c r="T46" s="31" t="s">
        <v>25666</v>
      </c>
      <c r="U46" s="31" t="s">
        <v>25667</v>
      </c>
      <c r="V46" s="32">
        <v>45608.0</v>
      </c>
      <c r="X46" s="31" t="str">
        <f>IFERROR(__xludf.DUMMYFUNCTION("""COMPUTED_VALUE"""),"Positive Impact of [18F]FDG-PET/CT on Mortality in Patients With Staphylococcus aureus Bacteremia Explained by Immortal Time Bias.")</f>
        <v>Positive Impact of [18F]FDG-PET/CT on Mortality in Patients With Staphylococcus aureus Bacteremia Explained by Immortal Time Bias.</v>
      </c>
      <c r="Y46" s="31" t="str">
        <f>IFERROR(__xludf.DUMMYFUNCTION("""COMPUTED_VALUE"""),"van der Vaart, Thomas W; Prins, Jan M; van Werkhoven, Cornelis H; Ten Doesschate, Thijs; Soetekouw, Robin; van Twillert, Gitte; Veenstra, Jan; Herpers, Bjorn L; Rozemeijer, Wouter; Jansen, Rogier R; Bonten, Marc J M; van der Meer, Jan T M")</f>
        <v>van der Vaart, Thomas W; Prins, Jan M; van Werkhoven, Cornelis H; Ten Doesschate, Thijs; Soetekouw, Robin; van Twillert, Gitte; Veenstra, Jan; Herpers, Bjorn L; Rozemeijer, Wouter; Jansen, Rogier R; Bonten, Marc J M; van der Meer, Jan T M</v>
      </c>
      <c r="Z46" s="31">
        <f>IFERROR(__xludf.DUMMYFUNCTION("""COMPUTED_VALUE"""),2023.0)</f>
        <v>2023</v>
      </c>
      <c r="AA46" s="31">
        <f>IFERROR(__xludf.DUMMYFUNCTION("""COMPUTED_VALUE"""),8.0)</f>
        <v>8</v>
      </c>
      <c r="AC46" s="31" t="str">
        <f>IFERROR(__xludf.DUMMYFUNCTION("""COMPUTED_VALUE"""),"Machine Learning and Statistics in Clinical Research Articles-Moving Past the False Dichotomy.")</f>
        <v>Machine Learning and Statistics in Clinical Research Articles-Moving Past the False Dichotomy.</v>
      </c>
      <c r="AD46" s="31" t="str">
        <f>IFERROR(__xludf.DUMMYFUNCTION("""COMPUTED_VALUE"""),"Finlayson, Samuel G; Beam, Andrew L; van Smeden, Maarten")</f>
        <v>Finlayson, Samuel G; Beam, Andrew L; van Smeden, Maarten</v>
      </c>
      <c r="AE46" s="32">
        <f>IFERROR(__xludf.DUMMYFUNCTION("""COMPUTED_VALUE"""),45047.0)</f>
        <v>45047</v>
      </c>
      <c r="AF46" s="31" t="str">
        <f>IFERROR(__xludf.DUMMYFUNCTION("""COMPUTED_VALUE"""),"The ethical significance of user-control in AI-driven speech-BCIs: a narrative review.")</f>
        <v>The ethical significance of user-control in AI-driven speech-BCIs: a narrative review.</v>
      </c>
      <c r="AG46" s="31" t="str">
        <f>IFERROR(__xludf.DUMMYFUNCTION("""COMPUTED_VALUE"""),"van Stuijvenberg, O C; Samlal, D P S; Vansteensel, M J; Broekman, M L D; Jongsma, K R")</f>
        <v>van Stuijvenberg, O C; Samlal, D P S; Vansteensel, M J; Broekman, M L D; Jongsma, K R</v>
      </c>
      <c r="AH46" s="32">
        <f>IFERROR(__xludf.DUMMYFUNCTION("""COMPUTED_VALUE"""),45470.0)</f>
        <v>45470</v>
      </c>
      <c r="AI46" s="31" t="str">
        <f>IFERROR(__xludf.DUMMYFUNCTION("""COMPUTED_VALUE"""),"Clinical supervision under pressure: a qualitative study amongst health care professionals working on the ICU during COVID-19.")</f>
        <v>Clinical supervision under pressure: a qualitative study amongst health care professionals working on the ICU during COVID-19.</v>
      </c>
      <c r="AJ46" s="31" t="str">
        <f>IFERROR(__xludf.DUMMYFUNCTION("""COMPUTED_VALUE"""),"van Dam, Marjel; van Hamersvelt, Hanneke; Schoonhoven, Lisette; Hoff, Reinier G; Ten Cate, Olle; Hennus, Marije P")</f>
        <v>van Dam, Marjel; van Hamersvelt, Hanneke; Schoonhoven, Lisette; Hoff, Reinier G; Ten Cate, Olle; Hennus, Marije P</v>
      </c>
      <c r="AK46" s="32">
        <f>IFERROR(__xludf.DUMMYFUNCTION("""COMPUTED_VALUE"""),45261.0)</f>
        <v>45261</v>
      </c>
      <c r="AL46" s="31" t="str">
        <f>IFERROR(__xludf.DUMMYFUNCTION("""COMPUTED_VALUE"""),"AmiA and AliA peptide ligands, found in Klebsiella pneumoniae, are imported into pneumococci and alter the transcriptome.")</f>
        <v>AmiA and AliA peptide ligands, found in Klebsiella pneumoniae, are imported into pneumococci and alter the transcriptome.</v>
      </c>
      <c r="AM46" s="31" t="str">
        <f>IFERROR(__xludf.DUMMYFUNCTION("""COMPUTED_VALUE"""),"Lux, Janine; Sánchez García, Lucía; Chaparro Fernández, Patricia; Laloli, Laura; Licheri, Manon F; Gallay, Clement; Hermans, Peter W M; Croucher, Nicholas J; Veening, Jan-Willem; Dijkman, Ronald; Straume, Daniel; Hathaway, Lucy J")</f>
        <v>Lux, Janine; Sánchez García, Lucía; Chaparro Fernández, Patricia; Laloli, Laura; Licheri, Manon F; Gallay, Clement; Hermans, Peter W M; Croucher, Nicholas J; Veening, Jan-Willem; Dijkman, Ronald; Straume, Daniel; Hathaway, Lucy J</v>
      </c>
      <c r="AN46" s="32">
        <f>IFERROR(__xludf.DUMMYFUNCTION("""COMPUTED_VALUE"""),45442.0)</f>
        <v>45442</v>
      </c>
    </row>
    <row r="47">
      <c r="A47" s="35">
        <v>2016.0</v>
      </c>
      <c r="B47" s="39">
        <f>IFERROR(__xludf.DUMMYFUNCTION("IFERROR(SUM(FILTER(Data!$H$2:$H9917, REGEXMATCH(Data!$K$2:$K9917, B$30), Data!$C$2:$C9917 = $A47)), 0)
"),3954.0)</f>
        <v>3954</v>
      </c>
      <c r="C47" s="39">
        <f>IFERROR(__xludf.DUMMYFUNCTION("IFERROR(SUM(FILTER(Data!$H$2:$H9917, REGEXMATCH(Data!$K$2:$K9917, C$30), Data!$C$2:$C9917 = $A47)), 0)
"),12399.0)</f>
        <v>12399</v>
      </c>
      <c r="D47" s="39">
        <f>IFERROR(__xludf.DUMMYFUNCTION("IFERROR(SUM(FILTER(Data!$H$2:$H9917, REGEXMATCH(Data!$K$2:$K9917, D$30), Data!$C$2:$C9917 = $A47)), 0)
"),7213.0)</f>
        <v>7213</v>
      </c>
      <c r="E47" s="39">
        <f>IFERROR(__xludf.DUMMYFUNCTION("IFERROR(SUM(FILTER(Data!$H$2:$H9917, REGEXMATCH(Data!$K$2:$K9917, E$30), Data!$C$2:$C9917 = $A47)), 0)
"),15177.0)</f>
        <v>15177</v>
      </c>
      <c r="F47" s="39">
        <f>SUMIFS(Data!$H$2:$H9917, Data!$C$2:$C9917, $A47)</f>
        <v>20866</v>
      </c>
      <c r="I47" s="31" t="str">
        <f>IFERROR(__xludf.DUMMYFUNCTION("""COMPUTED_VALUE"""),"pharmacoepidemiology and drug safety")</f>
        <v>pharmacoepidemiology and drug safety</v>
      </c>
      <c r="J47" s="38">
        <f>COUNTIF(Data!$F$2:$F9917, $I47)</f>
        <v>29</v>
      </c>
      <c r="T47" s="31" t="s">
        <v>24965</v>
      </c>
      <c r="U47" s="31" t="s">
        <v>24966</v>
      </c>
      <c r="V47" s="32">
        <v>45606.0</v>
      </c>
      <c r="X47" s="31" t="str">
        <f>IFERROR(__xludf.DUMMYFUNCTION("""COMPUTED_VALUE"""),"Identifying risk factors for COPD and adult-onset asthma: an umbrella review.")</f>
        <v>Identifying risk factors for COPD and adult-onset asthma: an umbrella review.</v>
      </c>
      <c r="Y47" s="31" t="str">
        <f>IFERROR(__xludf.DUMMYFUNCTION("""COMPUTED_VALUE"""),"Holtjer, Judith C S; Bloemsma, Lizan D; Beijers, Rosanne J H C G; Cornelissen, Merel E B; Hilvering, Bart; Houweling, Laura; Vermeulen, Roel C H; Downward, George S; Maitland-Van der Zee, Anke-Hilse; ,")</f>
        <v>Holtjer, Judith C S; Bloemsma, Lizan D; Beijers, Rosanne J H C G; Cornelissen, Merel E B; Hilvering, Bart; Houweling, Laura; Vermeulen, Roel C H; Downward, George S; Maitland-Van der Zee, Anke-Hilse; ,</v>
      </c>
      <c r="Z47" s="31">
        <f>IFERROR(__xludf.DUMMYFUNCTION("""COMPUTED_VALUE"""),2023.0)</f>
        <v>2023</v>
      </c>
      <c r="AA47" s="31">
        <f>IFERROR(__xludf.DUMMYFUNCTION("""COMPUTED_VALUE"""),8.0)</f>
        <v>8</v>
      </c>
      <c r="AC47" s="31"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AD47" s="31" t="str">
        <f>IFERROR(__xludf.DUMMYFUNCTION("""COMPUTED_VALUE"""),"Sisk, Rose; Sperrin, Matthew; Peek, Niels; van Smeden, Maarten; Martin, Glen Philip")</f>
        <v>Sisk, Rose; Sperrin, Matthew; Peek, Niels; van Smeden, Maarten; Martin, Glen Philip</v>
      </c>
      <c r="AE47" s="32">
        <f>IFERROR(__xludf.DUMMYFUNCTION("""COMPUTED_VALUE"""),45043.0)</f>
        <v>45043</v>
      </c>
      <c r="AF47" s="31" t="str">
        <f>IFERROR(__xludf.DUMMYFUNCTION("""COMPUTED_VALUE"""),"Hypertension knowledge, attitudes and perceptions among adults in the Navrongo Health and Demographic Surveillance Site: a mixed methods analysis.")</f>
        <v>Hypertension knowledge, attitudes and perceptions among adults in the Navrongo Health and Demographic Surveillance Site: a mixed methods analysis.</v>
      </c>
      <c r="AG47" s="31" t="str">
        <f>IFERROR(__xludf.DUMMYFUNCTION("""COMPUTED_VALUE"""),"Singh, Ahaana; Agongo, Godfred; Chatio, Samuel T; Logonia, Bernard; Debpuur, Cornelius Y; Ansah, Patrick O; Oduro, Abraham R; Klipstein-Grobusch, Kerstin; Nonterah, Engelbert A")</f>
        <v>Singh, Ahaana; Agongo, Godfred; Chatio, Samuel T; Logonia, Bernard; Debpuur, Cornelius Y; Ansah, Patrick O; Oduro, Abraham R; Klipstein-Grobusch, Kerstin; Nonterah, Engelbert A</v>
      </c>
      <c r="AH47" s="32">
        <f>IFERROR(__xludf.DUMMYFUNCTION("""COMPUTED_VALUE"""),45469.0)</f>
        <v>45469</v>
      </c>
      <c r="AI47" s="31" t="str">
        <f>IFERROR(__xludf.DUMMYFUNCTION("""COMPUTED_VALUE"""),"Antibiotics for acute otitis media in children.")</f>
        <v>Antibiotics for acute otitis media in children.</v>
      </c>
      <c r="AJ47" s="31" t="str">
        <f>IFERROR(__xludf.DUMMYFUNCTION("""COMPUTED_VALUE"""),"Venekamp, Roderick P; Sanders, Sharon L; Glasziou, Paul P; Rovers, Maroeska M")</f>
        <v>Venekamp, Roderick P; Sanders, Sharon L; Glasziou, Paul P; Rovers, Maroeska M</v>
      </c>
      <c r="AK47" s="32">
        <f>IFERROR(__xludf.DUMMYFUNCTION("""COMPUTED_VALUE"""),45245.0)</f>
        <v>45245</v>
      </c>
      <c r="AL47" s="31" t="str">
        <f>IFERROR(__xludf.DUMMYFUNCTION("""COMPUTED_VALUE"""),"Examining pancreatic stone protein response in ICU-acquired bloodstream infections: a matched event analysis.")</f>
        <v>Examining pancreatic stone protein response in ICU-acquired bloodstream infections: a matched event analysis.</v>
      </c>
      <c r="AM47" s="31" t="str">
        <f>IFERROR(__xludf.DUMMYFUNCTION("""COMPUTED_VALUE"""),"Verlaan, Diede; Derde, Lennie P G; van der Poll, Tom; Bonten, Marc J M; Cremer, Olaf L")</f>
        <v>Verlaan, Diede; Derde, Lennie P G; van der Poll, Tom; Bonten, Marc J M; Cremer, Olaf L</v>
      </c>
      <c r="AN47" s="32">
        <f>IFERROR(__xludf.DUMMYFUNCTION("""COMPUTED_VALUE"""),45440.0)</f>
        <v>45440</v>
      </c>
    </row>
    <row r="48">
      <c r="A48" s="35">
        <v>2017.0</v>
      </c>
      <c r="B48" s="39">
        <f>IFERROR(__xludf.DUMMYFUNCTION("IFERROR(SUM(FILTER(Data!$H$2:$H9917, REGEXMATCH(Data!$K$2:$K9917, B$30), Data!$C$2:$C9917 = $A48)), 0)
"),2828.0)</f>
        <v>2828</v>
      </c>
      <c r="C48" s="39">
        <f>IFERROR(__xludf.DUMMYFUNCTION("IFERROR(SUM(FILTER(Data!$H$2:$H9917, REGEXMATCH(Data!$K$2:$K9917, C$30), Data!$C$2:$C9917 = $A48)), 0)
"),9030.0)</f>
        <v>9030</v>
      </c>
      <c r="D48" s="39">
        <f>IFERROR(__xludf.DUMMYFUNCTION("IFERROR(SUM(FILTER(Data!$H$2:$H9917, REGEXMATCH(Data!$K$2:$K9917, D$30), Data!$C$2:$C9917 = $A48)), 0)
"),4895.0)</f>
        <v>4895</v>
      </c>
      <c r="E48" s="39">
        <f>IFERROR(__xludf.DUMMYFUNCTION("IFERROR(SUM(FILTER(Data!$H$2:$H9917, REGEXMATCH(Data!$K$2:$K9917, E$30), Data!$C$2:$C9917 = $A48)), 0)
"),10314.0)</f>
        <v>10314</v>
      </c>
      <c r="F48" s="39">
        <f>SUMIFS(Data!$H$2:$H9917, Data!$C$2:$C9917, $A48)</f>
        <v>14619</v>
      </c>
      <c r="I48" s="31" t="str">
        <f>IFERROR(__xludf.DUMMYFUNCTION("""COMPUTED_VALUE"""),"diabetes research and clinical practice")</f>
        <v>diabetes research and clinical practice</v>
      </c>
      <c r="J48" s="38">
        <f>COUNTIF(Data!$F$2:$F9917, $I48)</f>
        <v>13</v>
      </c>
      <c r="T48" s="31" t="s">
        <v>25485</v>
      </c>
      <c r="U48" s="31" t="s">
        <v>25486</v>
      </c>
      <c r="V48" s="32">
        <v>45604.0</v>
      </c>
      <c r="X48" s="31" t="str">
        <f>IFERROR(__xludf.DUMMYFUNCTION("""COMPUTED_VALUE"""),"Effectiveness of Upadacitinib in Patients with Atopic Dermatitis including those with Inadequate Response to Dupilumab and/or Baricitinib: Results from the BioDay Registry.")</f>
        <v>Effectiveness of Upadacitinib in Patients with Atopic Dermatitis including those with Inadequate Response to Dupilumab and/or Baricitinib: Results from the BioDay Registry.</v>
      </c>
      <c r="Y48" s="31" t="str">
        <f>IFERROR(__xludf.DUMMYFUNCTION("""COMPUTED_VALUE"""),"Boesjes, Celeste M; Van der Gang, Liana F; Zuithoff, Nicolaas P A; Bakker, Daphne S; Spekhorst, Lotte S; Haeck, Inge; Kamsteeg, Marijke; De Graaf, Marlies; De Bruin-Weller, Marjolein S")</f>
        <v>Boesjes, Celeste M; Van der Gang, Liana F; Zuithoff, Nicolaas P A; Bakker, Daphne S; Spekhorst, Lotte S; Haeck, Inge; Kamsteeg, Marijke; De Graaf, Marlies; De Bruin-Weller, Marjolein S</v>
      </c>
      <c r="Z48" s="31">
        <f>IFERROR(__xludf.DUMMYFUNCTION("""COMPUTED_VALUE"""),2023.0)</f>
        <v>2023</v>
      </c>
      <c r="AA48" s="31">
        <f>IFERROR(__xludf.DUMMYFUNCTION("""COMPUTED_VALUE"""),8.0)</f>
        <v>8</v>
      </c>
      <c r="AC48" s="31" t="str">
        <f>IFERROR(__xludf.DUMMYFUNCTION("""COMPUTED_VALUE"""),"Safety of COVID-19 Vaccines Among the Paediatric Population: Analysis of the European Surveillance Systems and Pivotal Clinical Trials.")</f>
        <v>Safety of COVID-19 Vaccines Among the Paediatric Population: Analysis of the European Surveillance Systems and Pivotal Clinical Trials.</v>
      </c>
      <c r="AD48" s="31" t="str">
        <f>IFERROR(__xludf.DUMMYFUNCTION("""COMPUTED_VALUE"""),"Ahmadizar, Fariba; Luxi, Nicoletta; Raethke, Monika; Schmikli, Sandor; Riefolo, Fabio; Saraswati, Putri Widi; Bucsa, Camelia; Osman, Alhadi; Liddiard, Megan; Maques, Francisco Batel; Petrelli, Giuliana; Sonderlichová, Simona; Thurin, Nicolas H; Villalobos"&amp;", Felipe; Trifirò, Gianluca; Sturkenboom, Miriam; ,")</f>
        <v>Ahmadizar, Fariba; Luxi, Nicoletta; Raethke, Monika; Schmikli, Sandor; Riefolo, Fabio; Saraswati, Putri Widi; Bucsa, Camelia; Osman, Alhadi; Liddiard, Megan; Maques, Francisco Batel; Petrelli, Giuliana; Sonderlichová, Simona; Thurin, Nicolas H; Villalobos, Felipe; Trifirò, Gianluca; Sturkenboom, Miriam; ,</v>
      </c>
      <c r="AE48" s="32">
        <f>IFERROR(__xludf.DUMMYFUNCTION("""COMPUTED_VALUE"""),45043.0)</f>
        <v>45043</v>
      </c>
      <c r="AF48" s="31" t="str">
        <f>IFERROR(__xludf.DUMMYFUNCTION("""COMPUTED_VALUE"""),"Balancing ethical norms and duties for the introduction of new medicines through conditional marketing authorization: a research agenda.")</f>
        <v>Balancing ethical norms and duties for the introduction of new medicines through conditional marketing authorization: a research agenda.</v>
      </c>
      <c r="AG48" s="31" t="str">
        <f>IFERROR(__xludf.DUMMYFUNCTION("""COMPUTED_VALUE"""),"Maksimova, Mariia V; van Thiel, Ghislaine J M W; Tromp, Yke; Lechner, Rosan; van Delden, Johannes J M; Bloem, Lourens T")</f>
        <v>Maksimova, Mariia V; van Thiel, Ghislaine J M W; Tromp, Yke; Lechner, Rosan; van Delden, Johannes J M; Bloem, Lourens T</v>
      </c>
      <c r="AH48" s="32">
        <f>IFERROR(__xludf.DUMMYFUNCTION("""COMPUTED_VALUE"""),45467.0)</f>
        <v>45467</v>
      </c>
      <c r="AI48" s="31" t="str">
        <f>IFERROR(__xludf.DUMMYFUNCTION("""COMPUTED_VALUE"""),"Ventilation tubes (grommets) for otitis media with effusion (OME) in children.")</f>
        <v>Ventilation tubes (grommets) for otitis media with effusion (OME) in children.</v>
      </c>
      <c r="AJ48" s="31" t="str">
        <f>IFERROR(__xludf.DUMMYFUNCTION("""COMPUTED_VALUE"""),"MacKeith, Samuel; Mulvaney, Caroline A; Galbraith, Kevin; Webster, Katie E; Connolly, Rachel; Paing, Aye; Marom, Tal; Daniel, Mat; Venekamp, Roderick P; Rovers, Maroeska M; Schilder, Anne Gm")</f>
        <v>MacKeith, Samuel; Mulvaney, Caroline A; Galbraith, Kevin; Webster, Katie E; Connolly, Rachel; Paing, Aye; Marom, Tal; Daniel, Mat; Venekamp, Roderick P; Rovers, Maroeska M; Schilder, Anne Gm</v>
      </c>
      <c r="AK48" s="32">
        <f>IFERROR(__xludf.DUMMYFUNCTION("""COMPUTED_VALUE"""),45245.0)</f>
        <v>45245</v>
      </c>
      <c r="AL48" s="31" t="str">
        <f>IFERROR(__xludf.DUMMYFUNCTION("""COMPUTED_VALUE"""),"Data harmonization and federated learning for multi-cohort dementia research using the OMOP common data model: A Netherlands consortium of dementia cohorts case study.")</f>
        <v>Data harmonization and federated learning for multi-cohort dementia research using the OMOP common data model: A Netherlands consortium of dementia cohorts case study.</v>
      </c>
      <c r="AM48" s="31" t="str">
        <f>IFERROR(__xludf.DUMMYFUNCTION("""COMPUTED_VALUE"""),"Mateus, Pedro; Moonen, Justine; Beran, Magdalena; Jaarsma, Eva; van der Landen, Sophie M; Heuvelink, Joost; Birhanu, Mahlet; Harms, Alexander G J; Bron, Esther; Wolters, Frank J; Cats, Davy; Mei, Hailiang; Oomens, Julie; Jansen, Willemijn; Schram, Miranda"&amp;" T; Dekker, Andre; Bermejo, Inigo")</f>
        <v>Mateus, Pedro; Moonen, Justine; Beran, Magdalena; Jaarsma, Eva; van der Landen, Sophie M; Heuvelink, Joost; Birhanu, Mahlet; Harms, Alexander G J; Bron, Esther; Wolters, Frank J; Cats, Davy; Mei, Hailiang; Oomens, Julie; Jansen, Willemijn; Schram, Miranda T; Dekker, Andre; Bermejo, Inigo</v>
      </c>
      <c r="AN48" s="32">
        <f>IFERROR(__xludf.DUMMYFUNCTION("""COMPUTED_VALUE"""),45438.0)</f>
        <v>45438</v>
      </c>
    </row>
    <row r="49">
      <c r="A49" s="35">
        <v>2018.0</v>
      </c>
      <c r="B49" s="39">
        <f>IFERROR(__xludf.DUMMYFUNCTION("IFERROR(SUM(FILTER(Data!$H$2:$H9917, REGEXMATCH(Data!$K$2:$K9917, B$30), Data!$C$2:$C9917 = $A49)), 0)
"),2443.0)</f>
        <v>2443</v>
      </c>
      <c r="C49" s="39">
        <f>IFERROR(__xludf.DUMMYFUNCTION("IFERROR(SUM(FILTER(Data!$H$2:$H9917, REGEXMATCH(Data!$K$2:$K9917, C$30), Data!$C$2:$C9917 = $A49)), 0)
"),9829.0)</f>
        <v>9829</v>
      </c>
      <c r="D49" s="39">
        <f>IFERROR(__xludf.DUMMYFUNCTION("IFERROR(SUM(FILTER(Data!$H$2:$H9917, REGEXMATCH(Data!$K$2:$K9917, D$30), Data!$C$2:$C9917 = $A49)), 0)
"),7564.0)</f>
        <v>7564</v>
      </c>
      <c r="E49" s="39">
        <f>IFERROR(__xludf.DUMMYFUNCTION("IFERROR(SUM(FILTER(Data!$H$2:$H9917, REGEXMATCH(Data!$K$2:$K9917, E$30), Data!$C$2:$C9917 = $A49)), 0)
"),13027.0)</f>
        <v>13027</v>
      </c>
      <c r="F49" s="39">
        <f>SUMIFS(Data!$H$2:$H9917, Data!$C$2:$C9917, $A49)</f>
        <v>16653</v>
      </c>
      <c r="I49" s="31" t="str">
        <f>IFERROR(__xludf.DUMMYFUNCTION("""COMPUTED_VALUE"""),"psychological medicine")</f>
        <v>psychological medicine</v>
      </c>
      <c r="J49" s="38">
        <f>COUNTIF(Data!$F$2:$F9917, $I49)</f>
        <v>8</v>
      </c>
      <c r="T49" s="31" t="s">
        <v>25959</v>
      </c>
      <c r="U49" s="31" t="s">
        <v>25960</v>
      </c>
      <c r="V49" s="32">
        <v>45604.0</v>
      </c>
      <c r="X49" s="31" t="str">
        <f>IFERROR(__xludf.DUMMYFUNCTION("""COMPUTED_VALUE"""),"Health and nutrition claims for infant formula: international cross sectional survey.")</f>
        <v>Health and nutrition claims for infant formula: international cross sectional survey.</v>
      </c>
      <c r="Y49" s="31" t="str">
        <f>IFERROR(__xludf.DUMMYFUNCTION("""COMPUTED_VALUE"""),"Cheung, Ka Yan; Petrou, Loukia; Helfer, Bartosz; Porubayeva, Erika; Dolgikh, Elena; Ali, Sana; Ali, Insaf; Archibald-Durham, Lindsay; Brockway, Meredith Merilee; Bugaeva, Polina; Chooniedass, Rishma; Comberiati, Pasquale; Cortés-Macías, Erika; D'Elios, So"&amp;"fia; Feketea, Gavriela; Hsu, Peter; Kana, Musa Abubakar; Kriulina, Tatiana; Kunii, Yuzuka; Madaki, Comfort; Omer, Rihab; Peroni, Diego; Prokofiev, Jana; Simpson, Melanie Rae; Shimojo, Naoki; Siziba, Linda P; Genuneit, Jon; Thakor, Sohini; Waris, Marium; Y"&amp;"uan, Quan; Zaman, Sadia; Young, Bridget E; Bugos, Brighid; Greenhawt, Matthew; Levin, Michael E; Zheng, Jonathan; Boyle, Robert J; Munblit, Daniel")</f>
        <v>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v>
      </c>
      <c r="Z49" s="31">
        <f>IFERROR(__xludf.DUMMYFUNCTION("""COMPUTED_VALUE"""),2023.0)</f>
        <v>2023</v>
      </c>
      <c r="AA49" s="31">
        <f>IFERROR(__xludf.DUMMYFUNCTION("""COMPUTED_VALUE"""),8.0)</f>
        <v>8</v>
      </c>
      <c r="AC49" s="31" t="str">
        <f>IFERROR(__xludf.DUMMYFUNCTION("""COMPUTED_VALUE"""),"Associations of baseline glycemic status and its transitions with cognitive and physical functioning decline.")</f>
        <v>Associations of baseline glycemic status and its transitions with cognitive and physical functioning decline.</v>
      </c>
      <c r="AD49" s="31" t="str">
        <f>IFERROR(__xludf.DUMMYFUNCTION("""COMPUTED_VALUE"""),"Wang, Kan; Gao, Hui; Sijbrands, Eric J G; Kavousi, Maryam; Ahmadizar, Fariba")</f>
        <v>Wang, Kan; Gao, Hui; Sijbrands, Eric J G; Kavousi, Maryam; Ahmadizar, Fariba</v>
      </c>
      <c r="AE49" s="32">
        <f>IFERROR(__xludf.DUMMYFUNCTION("""COMPUTED_VALUE"""),45012.0)</f>
        <v>45012</v>
      </c>
      <c r="AF49" s="31" t="str">
        <f>IFERROR(__xludf.DUMMYFUNCTION("""COMPUTED_VALUE"""),"Association of infertility and recurrent pregnancy loss with the risk of dementia.")</f>
        <v>Association of infertility and recurrent pregnancy loss with the risk of dementia.</v>
      </c>
      <c r="AG49" s="31" t="str">
        <f>IFERROR(__xludf.DUMMYFUNCTION("""COMPUTED_VALUE"""),"Liang, Chen; Dobson, Annette J; Chung, Hsin-Fang; van der Schouw, Yvonne T; Sandin, Sven; Weiderpass, Elisabete; Mishra, Gita D")</f>
        <v>Liang, Chen; Dobson, Annette J; Chung, Hsin-Fang; van der Schouw, Yvonne T; Sandin, Sven; Weiderpass, Elisabete; Mishra, Gita D</v>
      </c>
      <c r="AH49" s="32">
        <f>IFERROR(__xludf.DUMMYFUNCTION("""COMPUTED_VALUE"""),45461.0)</f>
        <v>45461</v>
      </c>
      <c r="AI49" s="31" t="str">
        <f>IFERROR(__xludf.DUMMYFUNCTION("""COMPUTED_VALUE"""),"ISOM 2023 Research Panel 5: Interventions- Vaccines and prevention, medical and surgical treatment, and impact of COVID-19 pandemic.")</f>
        <v>ISOM 2023 Research Panel 5: Interventions- Vaccines and prevention, medical and surgical treatment, and impact of COVID-19 pandemic.</v>
      </c>
      <c r="AJ49" s="31" t="str">
        <f>IFERROR(__xludf.DUMMYFUNCTION("""COMPUTED_VALUE"""),"Pelton, Stephen I; Hullegie, Saskia; Leach, Amanda J; Marchisio, Paola; Marom, Tal; Sabharwal, Vishakha; Shaikh, Nader; Tähtinen, Paula A; Venekamp, Roderick P")</f>
        <v>Pelton, Stephen I; Hullegie, Saskia; Leach, Amanda J; Marchisio, Paola; Marom, Tal; Sabharwal, Vishakha; Shaikh, Nader; Tähtinen, Paula A; Venekamp, Roderick P</v>
      </c>
      <c r="AK49" s="32">
        <f>IFERROR(__xludf.DUMMYFUNCTION("""COMPUTED_VALUE"""),45243.0)</f>
        <v>45243</v>
      </c>
      <c r="AL49" s="31" t="str">
        <f>IFERROR(__xludf.DUMMYFUNCTION("""COMPUTED_VALUE"""),"Factors influencing presentation delay among cancer patients: a cross-sectional study in Malaysia.")</f>
        <v>Factors influencing presentation delay among cancer patients: a cross-sectional study in Malaysia.</v>
      </c>
      <c r="AM49" s="31" t="str">
        <f>IFERROR(__xludf.DUMMYFUNCTION("""COMPUTED_VALUE"""),"Gyeltshen, Tshewang; Teh, Hoon Shien; Loo, Ching Ee; Hing, Nicholas Yee Liang; Lim, Wei Yin; Subramaniam, Shridevi; Wong, Wen Jun; Wong, Zoie Shui-Yee; Hwong, Wen Yea")</f>
        <v>Gyeltshen, Tshewang; Teh, Hoon Shien; Loo, Ching Ee; Hing, Nicholas Yee Liang; Lim, Wei Yin; Subramaniam, Shridevi; Wong, Wen Jun; Wong, Zoie Shui-Yee; Hwong, Wen Yea</v>
      </c>
      <c r="AN49" s="32">
        <f>IFERROR(__xludf.DUMMYFUNCTION("""COMPUTED_VALUE"""),45420.0)</f>
        <v>45420</v>
      </c>
    </row>
    <row r="50">
      <c r="A50" s="35">
        <v>2019.0</v>
      </c>
      <c r="B50" s="39">
        <f>IFERROR(__xludf.DUMMYFUNCTION("IFERROR(SUM(FILTER(Data!$H$2:$H9917, REGEXMATCH(Data!$K$2:$K9917, B$30), Data!$C$2:$C9917 = $A50)), 0)
"),2960.0)</f>
        <v>2960</v>
      </c>
      <c r="C50" s="39">
        <f>IFERROR(__xludf.DUMMYFUNCTION("IFERROR(SUM(FILTER(Data!$H$2:$H9917, REGEXMATCH(Data!$K$2:$K9917, C$30), Data!$C$2:$C9917 = $A50)), 0)
"),6787.0)</f>
        <v>6787</v>
      </c>
      <c r="D50" s="39">
        <f>IFERROR(__xludf.DUMMYFUNCTION("IFERROR(SUM(FILTER(Data!$H$2:$H9917, REGEXMATCH(Data!$K$2:$K9917, D$30), Data!$C$2:$C9917 = $A50)), 0)
"),3759.0)</f>
        <v>3759</v>
      </c>
      <c r="E50" s="39">
        <f>IFERROR(__xludf.DUMMYFUNCTION("IFERROR(SUM(FILTER(Data!$H$2:$H9917, REGEXMATCH(Data!$K$2:$K9917, E$30), Data!$C$2:$C9917 = $A50)), 0)
"),11946.0)</f>
        <v>11946</v>
      </c>
      <c r="F50" s="39">
        <f>SUMIFS(Data!$H$2:$H9917, Data!$C$2:$C9917, $A50)</f>
        <v>15675</v>
      </c>
      <c r="I50" s="31" t="str">
        <f>IFERROR(__xludf.DUMMYFUNCTION("""COMPUTED_VALUE"""),"the european journal of general practice")</f>
        <v>the european journal of general practice</v>
      </c>
      <c r="J50" s="38">
        <f>COUNTIF(Data!$F$2:$F9917, $I50)</f>
        <v>17</v>
      </c>
      <c r="T50" s="31" t="s">
        <v>24796</v>
      </c>
      <c r="U50" s="31" t="s">
        <v>24797</v>
      </c>
      <c r="V50" s="32">
        <v>45602.0</v>
      </c>
      <c r="X50" s="31" t="str">
        <f>IFERROR(__xludf.DUMMYFUNCTION("""COMPUTED_VALUE"""),"Transparent reporting of multivariable prediction models developed or validated using clustered data (TRIPOD-Cluster): explanation and elaboration.")</f>
        <v>Transparent reporting of multivariable prediction models developed or validated using clustered data (TRIPOD-Cluster): explanation and elaboration.</v>
      </c>
      <c r="Y50" s="31"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Z50" s="31">
        <f>IFERROR(__xludf.DUMMYFUNCTION("""COMPUTED_VALUE"""),2023.0)</f>
        <v>2023</v>
      </c>
      <c r="AA50" s="31">
        <f>IFERROR(__xludf.DUMMYFUNCTION("""COMPUTED_VALUE"""),8.0)</f>
        <v>8</v>
      </c>
      <c r="AC50" s="31" t="str">
        <f>IFERROR(__xludf.DUMMYFUNCTION("""COMPUTED_VALUE"""),"Association between objective neurocognitive functioning and neurocognitive complaints in recurrent high-grade glioma: Longitudinal evidence of cognitive awareness from EORTC brain tumour trials.")</f>
        <v>Association between objective neurocognitive functioning and neurocognitive complaints in recurrent high-grade glioma: Longitudinal evidence of cognitive awareness from EORTC brain tumour trials.</v>
      </c>
      <c r="AD50" s="31" t="str">
        <f>IFERROR(__xludf.DUMMYFUNCTION("""COMPUTED_VALUE"""),"Caramanna, Ivan; Reijneveld, Jaap C; van de Ven, Peter M; van den Bent, Martin; Idbaih, Ahmed; Wick, Wolfgang; Taphoorn, Martin J B; Dirven, Linda; Bottomley, Andrew; Klein, Martin; ,")</f>
        <v>Caramanna, Ivan; Reijneveld, Jaap C; van de Ven, Peter M; van den Bent, Martin; Idbaih, Ahmed; Wick, Wolfgang; Taphoorn, Martin J B; Dirven, Linda; Bottomley, Andrew; Klein, Martin; ,</v>
      </c>
      <c r="AE50" s="32">
        <f>IFERROR(__xludf.DUMMYFUNCTION("""COMPUTED_VALUE"""),44993.0)</f>
        <v>44993</v>
      </c>
      <c r="AF50" s="31" t="str">
        <f>IFERROR(__xludf.DUMMYFUNCTION("""COMPUTED_VALUE"""),"Associations of gestational exposure to air pollution with maternal vitamin D levels: a meta-analysis.")</f>
        <v>Associations of gestational exposure to air pollution with maternal vitamin D levels: a meta-analysis.</v>
      </c>
      <c r="AG50" s="31" t="str">
        <f>IFERROR(__xludf.DUMMYFUNCTION("""COMPUTED_VALUE"""),"Binter, Anne-Claire; Ghassabian, Akhgar; Zou, Runyu; El Marroun, Hanan; Lertxundi, Aitana; Switkowski, Karen M; Estarlich, Marisa; Rodríguez-Dehli, Ana Cristina; Esplugues, Ana; Vrijkotte, Tanja; Sunyer, Jordi; Santa-Marina, Loreto; Fernández-Somoano, Ana"&amp;"; Polanska, Kinga; McEachan, Rosemary R C; Oken, Emily; Tiemeier, Henning; Guxens, Mònica")</f>
        <v>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v>
      </c>
      <c r="AH50" s="32">
        <f>IFERROR(__xludf.DUMMYFUNCTION("""COMPUTED_VALUE"""),45456.0)</f>
        <v>45456</v>
      </c>
      <c r="AI50" s="31" t="str">
        <f>IFERROR(__xludf.DUMMYFUNCTION("""COMPUTED_VALUE"""),"Effect of a Standardized Family Participation Program in the ICU: A Multicenter Stepped-Wedge Cluster Randomized Controlled Trial.")</f>
        <v>Effect of a Standardized Family Participation Program in the ICU: A Multicenter Stepped-Wedge Cluster Randomized Controlled Trial.</v>
      </c>
      <c r="AJ50" s="31" t="str">
        <f>IFERROR(__xludf.DUMMYFUNCTION("""COMPUTED_VALUE"""),"Dijkstra, Boukje M; Rood, Paul J T; Teerenstra, Steven; Rutten, Anne M F; Leerentveld, Crista; Burgers-Bonthuis, Dominique C; Festen-Spanjer, Barbara; Klarenbeek, Toine; Van Den Boogaard, Mark; Ewalds, Esther; Schoonhoven, Lisette; Van Der Hoeven, Johanne"&amp;"s G; Vloet, Lilian C M; ,")</f>
        <v>Dijkstra, Boukje M; Rood, Paul J T; Teerenstra, Steven; Rutten, Anne M F; Leerentveld, Crista; Burgers-Bonthuis, Dominique C; Festen-Spanjer, Barbara; Klarenbeek, Toine; Van Den Boogaard, Mark; Ewalds, Esther; Schoonhoven, Lisette; Van Der Hoeven, Johannes G; Vloet, Lilian C M; ,</v>
      </c>
      <c r="AK50" s="32">
        <f>IFERROR(__xludf.DUMMYFUNCTION("""COMPUTED_VALUE"""),45237.0)</f>
        <v>45237</v>
      </c>
      <c r="AL50" s="31" t="str">
        <f>IFERROR(__xludf.DUMMYFUNCTION("""COMPUTED_VALUE"""),"Novel point-of-care cytokine biomarker lateral flow test for the screening for sexually transmitted infections and bacterial vaginosis: study protocol of a multicentre multidisciplinary prospective observational clinical study to evaluate the performance "&amp;"and feasibility of the Genital InFlammation Test (GIFT).")</f>
        <v>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v>
      </c>
      <c r="AM50" s="31" t="str">
        <f>IFERROR(__xludf.DUMMYFUNCTION("""COMPUTED_VALUE"""),"Ramboarina, Stephanie; Crucitti, Tania; Gill, Katherine; Bekker, Linda Gail; Harding-Esch, Emma Michele; van de Wijgert, Janneke H H M; Huynh, Bich-Tram; Fortas, Camille; Harimanana, Aina; Mayouya Gamana, Théodora; Randremanana, Rindra Vatosoa; Mangahasim"&amp;"bola, Reziky; Dziva Chikwari, Chido; Kranzer, Katharina; Mackworth-Young, Constance R S; Bernays, Sarah; Thomas, Nicola; Anderson, David; Tanko, Fatime Ramla; Manhanzva, Monalisa; Lurie, Micaela; Khumalo, Fezile; Sinanovic, Edina; Honda, Ayako; Pidwell, T"&amp;"anya; Francis, Suzanna C; Masson, Lindi; Passmore, Jo-Anne; ,")</f>
        <v>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v>
      </c>
      <c r="AN50" s="32">
        <f>IFERROR(__xludf.DUMMYFUNCTION("""COMPUTED_VALUE"""),45413.0)</f>
        <v>45413</v>
      </c>
    </row>
    <row r="51">
      <c r="A51" s="35">
        <v>2020.0</v>
      </c>
      <c r="B51" s="39">
        <f>IFERROR(__xludf.DUMMYFUNCTION("IFERROR(SUM(FILTER(Data!$H$2:$H9917, REGEXMATCH(Data!$K$2:$K9917, B$30), Data!$C$2:$C9917 = $A51)), 0)
"),6106.0)</f>
        <v>6106</v>
      </c>
      <c r="C51" s="39">
        <f>IFERROR(__xludf.DUMMYFUNCTION("IFERROR(SUM(FILTER(Data!$H$2:$H9917, REGEXMATCH(Data!$K$2:$K9917, C$30), Data!$C$2:$C9917 = $A51)), 0)
"),9997.0)</f>
        <v>9997</v>
      </c>
      <c r="D51" s="39">
        <f>IFERROR(__xludf.DUMMYFUNCTION("IFERROR(SUM(FILTER(Data!$H$2:$H9917, REGEXMATCH(Data!$K$2:$K9917, D$30), Data!$C$2:$C9917 = $A51)), 0)
"),8703.0)</f>
        <v>8703</v>
      </c>
      <c r="E51" s="39">
        <f>IFERROR(__xludf.DUMMYFUNCTION("IFERROR(SUM(FILTER(Data!$H$2:$H9917, REGEXMATCH(Data!$K$2:$K9917, E$30), Data!$C$2:$C9917 = $A51)), 0)
"),11709.0)</f>
        <v>11709</v>
      </c>
      <c r="F51" s="39">
        <f>SUMIFS(Data!$H$2:$H9917, Data!$C$2:$C9917, $A51)</f>
        <v>16941</v>
      </c>
      <c r="I51" s="31" t="str">
        <f>IFERROR(__xludf.DUMMYFUNCTION("""COMPUTED_VALUE"""),"health affairs scholar")</f>
        <v>health affairs scholar</v>
      </c>
      <c r="J51" s="38">
        <f>COUNTIF(Data!$F$2:$F9917, $I51)</f>
        <v>1</v>
      </c>
      <c r="T51" s="31" t="s">
        <v>25606</v>
      </c>
      <c r="U51" s="31" t="s">
        <v>25607</v>
      </c>
      <c r="V51" s="32">
        <v>45602.0</v>
      </c>
      <c r="X51" s="31" t="str">
        <f>IFERROR(__xludf.DUMMYFUNCTION("""COMPUTED_VALUE"""),"Decentralised, patient-centric, site-less, virtual, and digital clinical trials? From confusion to consensus.")</f>
        <v>Decentralised, patient-centric, site-less, virtual, and digital clinical trials? From confusion to consensus.</v>
      </c>
      <c r="Y51" s="31" t="str">
        <f>IFERROR(__xludf.DUMMYFUNCTION("""COMPUTED_VALUE"""),"Santa-Ana-Tellez, Yared; Lagerwaard, Bart; de Jong, Amos J; Gardarsdottir, Helga; Grobbee, Diederick E; Hawkins, Kimberly; Heath, Megan; Zuidgeest, Mira G P; ,")</f>
        <v>Santa-Ana-Tellez, Yared; Lagerwaard, Bart; de Jong, Amos J; Gardarsdottir, Helga; Grobbee, Diederick E; Hawkins, Kimberly; Heath, Megan; Zuidgeest, Mira G P; ,</v>
      </c>
      <c r="Z51" s="31">
        <f>IFERROR(__xludf.DUMMYFUNCTION("""COMPUTED_VALUE"""),2023.0)</f>
        <v>2023</v>
      </c>
      <c r="AA51" s="31">
        <f>IFERROR(__xludf.DUMMYFUNCTION("""COMPUTED_VALUE"""),8.0)</f>
        <v>8</v>
      </c>
      <c r="AC51" s="31" t="str">
        <f>IFERROR(__xludf.DUMMYFUNCTION("""COMPUTED_VALUE"""),"There is no such thing as a validated prediction model.")</f>
        <v>There is no such thing as a validated prediction model.</v>
      </c>
      <c r="AD51" s="31" t="str">
        <f>IFERROR(__xludf.DUMMYFUNCTION("""COMPUTED_VALUE"""),"Van Calster, Ben; Steyerberg, Ewout W; Wynants, Laure; van Smeden, Maarten")</f>
        <v>Van Calster, Ben; Steyerberg, Ewout W; Wynants, Laure; van Smeden, Maarten</v>
      </c>
      <c r="AE51" s="32">
        <f>IFERROR(__xludf.DUMMYFUNCTION("""COMPUTED_VALUE"""),44981.0)</f>
        <v>44981</v>
      </c>
      <c r="AF51" s="31" t="str">
        <f>IFERROR(__xludf.DUMMYFUNCTION("""COMPUTED_VALUE"""),"Advancing hypertensive disorders of pregnancy management: insights from the 5th preeclampsia scientific symposium in Ghana.")</f>
        <v>Advancing hypertensive disorders of pregnancy management: insights from the 5th preeclampsia scientific symposium in Ghana.</v>
      </c>
      <c r="AG51" s="31" t="str">
        <f>IFERROR(__xludf.DUMMYFUNCTION("""COMPUTED_VALUE"""),"Koi-Larbi, Koiwah; Obiri, Dorotheah; Browne, Joyce L; Fondjo, Linda Ahenkorah; Katsande, Samantha; Garti, Isabella; ,")</f>
        <v>Koi-Larbi, Koiwah; Obiri, Dorotheah; Browne, Joyce L; Fondjo, Linda Ahenkorah; Katsande, Samantha; Garti, Isabella; ,</v>
      </c>
      <c r="AH51" s="32">
        <f>IFERROR(__xludf.DUMMYFUNCTION("""COMPUTED_VALUE"""),45456.0)</f>
        <v>45456</v>
      </c>
      <c r="AI51" s="31" t="str">
        <f>IFERROR(__xludf.DUMMYFUNCTION("""COMPUTED_VALUE"""),"Adenoidectomy for otitis media with effusion (OME) in children.")</f>
        <v>Adenoidectomy for otitis media with effusion (OME) in children.</v>
      </c>
      <c r="AJ51" s="31" t="str">
        <f>IFERROR(__xludf.DUMMYFUNCTION("""COMPUTED_VALUE"""),"MacKeith, Samuel; Mulvaney, Caroline A; Galbraith, Kevin; Webster, Katie E; Paing, Aye; Connolly, Rachel; Marom, Tal; Daniel, Mat; Venekamp, Roderick P; Schilder, Anne Gm")</f>
        <v>MacKeith, Samuel; Mulvaney, Caroline A; Galbraith, Kevin; Webster, Katie E; Paing, Aye; Connolly, Rachel; Marom, Tal; Daniel, Mat; Venekamp, Roderick P; Schilder, Anne Gm</v>
      </c>
      <c r="AK51" s="32">
        <f>IFERROR(__xludf.DUMMYFUNCTION("""COMPUTED_VALUE"""),45222.0)</f>
        <v>45222</v>
      </c>
      <c r="AL51" s="31" t="str">
        <f>IFERROR(__xludf.DUMMYFUNCTION("""COMPUTED_VALUE"""),"Paving the path for implementation of clinical genomic sequencing globally: Are we ready?")</f>
        <v>Paving the path for implementation of clinical genomic sequencing globally: Are we ready?</v>
      </c>
      <c r="AM51" s="31" t="str">
        <f>IFERROR(__xludf.DUMMYFUNCTION("""COMPUTED_VALUE"""),"Marshall, Deborah A; Hua, Nicolle; Buchanan, James; Christensen, Kurt D; Frederix, Geert W J; Goranitis, Ilias; Ijzerman, Maarten; Jansen, Jeroen P; Lavelle, Tara A; Regier, Dean A; Smith, Hadley S; Ungar, Wendy J; Weymann, Deirdre; Wordsworth, Sarah; Phi"&amp;"llips, Kathryn A")</f>
        <v>Marshall, Deborah A; Hua, Nicolle; Buchanan, James; Christensen, Kurt D; Frederix, Geert W J; Goranitis, Ilias; Ijzerman, Maarten; Jansen, Jeroen P; Lavelle, Tara A; Regier, Dean A; Smith, Hadley S; Ungar, Wendy J; Weymann, Deirdre; Wordsworth, Sarah; Phillips, Kathryn A</v>
      </c>
      <c r="AN51" s="32">
        <f>IFERROR(__xludf.DUMMYFUNCTION("""COMPUTED_VALUE"""),45411.0)</f>
        <v>45411</v>
      </c>
    </row>
    <row r="52">
      <c r="A52" s="35">
        <v>2021.0</v>
      </c>
      <c r="B52" s="39">
        <f>IFERROR(__xludf.DUMMYFUNCTION("IFERROR(SUM(FILTER(Data!$H$2:$H9917, REGEXMATCH(Data!$K$2:$K9917, B$30), Data!$C$2:$C9917 = $A52)), 0)
"),2542.0)</f>
        <v>2542</v>
      </c>
      <c r="C52" s="39">
        <f>IFERROR(__xludf.DUMMYFUNCTION("IFERROR(SUM(FILTER(Data!$H$2:$H9917, REGEXMATCH(Data!$K$2:$K9917, C$30), Data!$C$2:$C9917 = $A52)), 0)
"),7606.0)</f>
        <v>7606</v>
      </c>
      <c r="D52" s="39">
        <f>IFERROR(__xludf.DUMMYFUNCTION("IFERROR(SUM(FILTER(Data!$H$2:$H9917, REGEXMATCH(Data!$K$2:$K9917, D$30), Data!$C$2:$C9917 = $A52)), 0)
"),4191.0)</f>
        <v>4191</v>
      </c>
      <c r="E52" s="39">
        <f>IFERROR(__xludf.DUMMYFUNCTION("IFERROR(SUM(FILTER(Data!$H$2:$H9917, REGEXMATCH(Data!$K$2:$K9917, E$30), Data!$C$2:$C9917 = $A52)), 0)
"),8325.0)</f>
        <v>8325</v>
      </c>
      <c r="F52" s="39">
        <f>SUMIFS(Data!$H$2:$H9917, Data!$C$2:$C9917, $A52)</f>
        <v>12501</v>
      </c>
      <c r="I52" s="31" t="str">
        <f>IFERROR(__xludf.DUMMYFUNCTION("""COMPUTED_VALUE"""),"vaccine")</f>
        <v>vaccine</v>
      </c>
      <c r="J52" s="38">
        <f>COUNTIF(Data!$F$2:$F9917, $I52)</f>
        <v>40</v>
      </c>
      <c r="T52" s="31" t="s">
        <v>25670</v>
      </c>
      <c r="U52" s="31" t="s">
        <v>25671</v>
      </c>
      <c r="V52" s="32">
        <v>45602.0</v>
      </c>
      <c r="X52" s="31" t="str">
        <f>IFERROR(__xludf.DUMMYFUNCTION("""COMPUTED_VALUE"""),"Breast Cancer Incidence in Relation to Long-Term Low-Level Exposure to Air Pollution in the ELAPSE Pooled Cohort.")</f>
        <v>Breast Cancer Incidence in Relation to Long-Term Low-Level Exposure to Air Pollution in the ELAPSE Pooled Cohort.</v>
      </c>
      <c r="Y52" s="31" t="str">
        <f>IFERROR(__xludf.DUMMYFUNCTION("""COMPUTED_VALUE"""),"Hvidtfeldt, Ulla Arthur; Chen, Jie; Rodopoulou, Sophia; Strak, Maciej; de Hoogh, Kees; Andersen, Zorana J; Bellander, Tom; Brandt, Jørgen; Fecht, Daniela; Forastiere, Francesco; Gulliver, John; Hertel, Ole; Hoffmann, Barbara H; Katsouyanni, Klea; Ketzel, "&amp;"Matthias; Brynedal, Boel; Leander, Karin; Ljungman, Petter L S; Magnusson, Patrik K E; Nagel, Gabriele; Pershagen, Göran; Rizzuto, Debora; Boutron-Ruault, Marie-Christine; Samoli, Evangelia; So, Rina; Stafoggia, Massimo; Tjønneland, Anne; Vermeulen, Roel;"&amp;" Verschuren, W M Monique; Weinmayr, Gudrun; Wolf, Kathrin; Zhang, Jiawei; Zitt, Emanuel; Brunekreef, Bert; Hoek, Gerard; Raaschou-Nielsen, Ole")</f>
        <v>Hvidtfeldt, Ulla Arthur; Chen, Jie; Rodopoulou, Sophia; Strak, Maciej; de Hoogh, Kees; Andersen, Zorana J; Bellander, Tom; Brandt, Jørgen; Fecht, Daniela; Forastiere, Francesco; Gulliver, John; Hertel, Ole; Hoffmann, Barbara H; Katsouyanni, Klea; Ketzel, Matthias; Brynedal, Boel; Leander, Karin; Ljungman, Petter L S; Magnusson, Patrik K E; Nagel, Gabriele; Pershagen, Göran; Rizzuto, Debora; Boutron-Ruault, Marie-Christine; Samoli, Evangelia; So, Rina; Stafoggia, Massimo; Tjønneland, Anne; Vermeulen, Roel; Verschuren, W M Monique; Weinmayr, Gudrun; Wolf, Kathrin; Zhang, Jiawei; Zitt, Emanuel; Brunekreef, Bert; Hoek, Gerard; Raaschou-Nielsen, Ole</v>
      </c>
      <c r="Z52" s="31">
        <f>IFERROR(__xludf.DUMMYFUNCTION("""COMPUTED_VALUE"""),2023.0)</f>
        <v>2023</v>
      </c>
      <c r="AA52" s="31">
        <f>IFERROR(__xludf.DUMMYFUNCTION("""COMPUTED_VALUE"""),8.0)</f>
        <v>8</v>
      </c>
      <c r="AC52" s="31" t="str">
        <f>IFERROR(__xludf.DUMMYFUNCTION("""COMPUTED_VALUE"""),"In Silico Screening of Drugs That Target Different Forms of E Protein for Potential Treatment of COVID-19.")</f>
        <v>In Silico Screening of Drugs That Target Different Forms of E Protein for Potential Treatment of COVID-19.</v>
      </c>
      <c r="AD52" s="31" t="str">
        <f>IFERROR(__xludf.DUMMYFUNCTION("""COMPUTED_VALUE"""),"Ramírez Salinas, Gema Lizbeth; López Rincón, Alejandro; García Machorro, Jazmín; Correa Basurto, José; Martínez Archundia, Marlet")</f>
        <v>Ramírez Salinas, Gema Lizbeth; López Rincón, Alejandro; García Machorro, Jazmín; Correa Basurto, José; Martínez Archundia, Marlet</v>
      </c>
      <c r="AE52" s="32">
        <f>IFERROR(__xludf.DUMMYFUNCTION("""COMPUTED_VALUE"""),44971.0)</f>
        <v>44971</v>
      </c>
      <c r="AF52" s="31" t="str">
        <f>IFERROR(__xludf.DUMMYFUNCTION("""COMPUTED_VALUE"""),"Higher global diet quality score is inversely associated with odds of metabolic syndrome among Iranian adults.")</f>
        <v>Higher global diet quality score is inversely associated with odds of metabolic syndrome among Iranian adults.</v>
      </c>
      <c r="AG52" s="31" t="str">
        <f>IFERROR(__xludf.DUMMYFUNCTION("""COMPUTED_VALUE"""),"Beigrezaei, Sara; Darabi, Zahra; Nadjarzadeh, Azadeh; Mirzaei, Masoud; Khayyatzadeh, Sayyed Saeid")</f>
        <v>Beigrezaei, Sara; Darabi, Zahra; Nadjarzadeh, Azadeh; Mirzaei, Masoud; Khayyatzadeh, Sayyed Saeid</v>
      </c>
      <c r="AH52" s="32">
        <f>IFERROR(__xludf.DUMMYFUNCTION("""COMPUTED_VALUE"""),45455.0)</f>
        <v>45455</v>
      </c>
      <c r="AI52" s="31" t="str">
        <f>IFERROR(__xludf.DUMMYFUNCTION("""COMPUTED_VALUE"""),"Antibiotics for otitis media with effusion (OME) in children.")</f>
        <v>Antibiotics for otitis media with effusion (OME) in children.</v>
      </c>
      <c r="AJ52" s="31" t="str">
        <f>IFERROR(__xludf.DUMMYFUNCTION("""COMPUTED_VALUE"""),"Mulvaney, Caroline A; Galbraith, Kevin; Webster, Katie E; Rana, Mridul; Connolly, Rachel; Marom, Tal; Daniel, Mat; Venekamp, Roderick P; Schilder, Anne Gm; MacKeith, Samuel")</f>
        <v>Mulvaney, Caroline A; Galbraith, Kevin; Webster, Katie E; Rana, Mridul; Connolly, Rachel; Marom, Tal; Daniel, Mat; Venekamp, Roderick P; Schilder, Anne Gm; MacKeith, Samuel</v>
      </c>
      <c r="AK52" s="32">
        <f>IFERROR(__xludf.DUMMYFUNCTION("""COMPUTED_VALUE"""),45222.0)</f>
        <v>45222</v>
      </c>
      <c r="AL52" s="31" t="str">
        <f>IFERROR(__xludf.DUMMYFUNCTION("""COMPUTED_VALUE"""),"Non-specific effects of the inactivated influenza vaccine. A test-negative study: The inactivated influenza vaccine and SARS-CoV-2 infections.")</f>
        <v>Non-specific effects of the inactivated influenza vaccine. A test-negative study: The inactivated influenza vaccine and SARS-CoV-2 infections.</v>
      </c>
      <c r="AM52" s="31" t="str">
        <f>IFERROR(__xludf.DUMMYFUNCTION("""COMPUTED_VALUE"""),"Sellies, Anne Jasmijn; Knol, Mirjam J; de Melker, Hester E; Bruijning-Verhagen, Patricia C J L; de Boer, Annemarijn R")</f>
        <v>Sellies, Anne Jasmijn; Knol, Mirjam J; de Melker, Hester E; Bruijning-Verhagen, Patricia C J L; de Boer, Annemarijn R</v>
      </c>
      <c r="AN52" s="32">
        <f>IFERROR(__xludf.DUMMYFUNCTION("""COMPUTED_VALUE"""),45405.0)</f>
        <v>45405</v>
      </c>
    </row>
    <row r="53">
      <c r="A53" s="35">
        <v>2022.0</v>
      </c>
      <c r="B53" s="39">
        <f>IFERROR(__xludf.DUMMYFUNCTION("IFERROR(SUM(FILTER(Data!$H$2:$H9917, REGEXMATCH(Data!$K$2:$K9917, B$30), Data!$C$2:$C9917 = $A53)), 0)
"),2661.0)</f>
        <v>2661</v>
      </c>
      <c r="C53" s="39">
        <f>IFERROR(__xludf.DUMMYFUNCTION("IFERROR(SUM(FILTER(Data!$H$2:$H9917, REGEXMATCH(Data!$K$2:$K9917, C$30), Data!$C$2:$C9917 = $A53)), 0)
"),4384.0)</f>
        <v>4384</v>
      </c>
      <c r="D53" s="39">
        <f>IFERROR(__xludf.DUMMYFUNCTION("IFERROR(SUM(FILTER(Data!$H$2:$H9917, REGEXMATCH(Data!$K$2:$K9917, D$30), Data!$C$2:$C9917 = $A53)), 0)
"),1818.0)</f>
        <v>1818</v>
      </c>
      <c r="E53" s="39">
        <f>IFERROR(__xludf.DUMMYFUNCTION("IFERROR(SUM(FILTER(Data!$H$2:$H9917, REGEXMATCH(Data!$K$2:$K9917, E$30), Data!$C$2:$C9917 = $A53)), 0)
"),4519.0)</f>
        <v>4519</v>
      </c>
      <c r="F53" s="39">
        <f>SUMIFS(Data!$H$2:$H9917, Data!$C$2:$C9917, $A53)</f>
        <v>6356</v>
      </c>
      <c r="I53" s="31" t="str">
        <f>IFERROR(__xludf.DUMMYFUNCTION("""COMPUTED_VALUE"""),"bmc medical informatics and decision making")</f>
        <v>bmc medical informatics and decision making</v>
      </c>
      <c r="J53" s="38">
        <f>COUNTIF(Data!$F$2:$F9917, $I53)</f>
        <v>6</v>
      </c>
      <c r="T53" s="31" t="s">
        <v>24919</v>
      </c>
      <c r="U53" s="31" t="s">
        <v>24920</v>
      </c>
      <c r="V53" s="32">
        <v>45601.0</v>
      </c>
      <c r="X53" s="31" t="str">
        <f>IFERROR(__xludf.DUMMYFUNCTION("""COMPUTED_VALUE"""),"Early COVID-19 vaccine effectiveness of XBB.1.5 vaccine against hospitalisation and admission to intensive care, the Netherlands, 9 October to 5 December 2023.")</f>
        <v>Early COVID-19 vaccine effectiveness of XBB.1.5 vaccine against hospitalisation and admission to intensive care, the Netherlands, 9 October to 5 December 2023.</v>
      </c>
      <c r="Y53" s="31" t="str">
        <f>IFERROR(__xludf.DUMMYFUNCTION("""COMPUTED_VALUE"""),"van Werkhoven, C Henri; Valk, Anne-Wil; Smagge, Bente; de Melker, Hester E; Knol, Mirjam J; Hahné, Susan Jm; van den Hof, Susan; de Gier, Brechje")</f>
        <v>van Werkhoven, C Henri; Valk, Anne-Wil; Smagge, Bente; de Melker, Hester E; Knol, Mirjam J; Hahné, Susan Jm; van den Hof, Susan; de Gier, Brechje</v>
      </c>
      <c r="Z53" s="31">
        <f>IFERROR(__xludf.DUMMYFUNCTION("""COMPUTED_VALUE"""),2024.0)</f>
        <v>2024</v>
      </c>
      <c r="AA53" s="31">
        <f>IFERROR(__xludf.DUMMYFUNCTION("""COMPUTED_VALUE"""),7.0)</f>
        <v>7</v>
      </c>
      <c r="AC53" s="31" t="str">
        <f>IFERROR(__xludf.DUMMYFUNCTION("""COMPUTED_VALUE"""),"Classifying asthma control using salivary and fecal bacterial microbiome in children with moderate-to-severe asthma.")</f>
        <v>Classifying asthma control using salivary and fecal bacterial microbiome in children with moderate-to-severe asthma.</v>
      </c>
      <c r="AD53" s="31" t="str">
        <f>IFERROR(__xludf.DUMMYFUNCTION("""COMPUTED_VALUE"""),"Blankestijn, Jelle M; Lopez-Rincon, Alejandro; Neerincx, Anne H; Vijverberg, Susanne J H; Hashimoto, Simone; Gorenjak, Mario; Sardón Prado, Olaia; Corcuera-Elosegui, Paula; Korta-Murua, Javier; Pino-Yanes, Maria; Potočnik, Uroš; Bang, Corinna; Franke, And"&amp;"re; Wolff, Christine; Brandstetter, Susanne; Toncheva, Antoaneta A; Kheiroddin, Parastoo; Harner, Susanne; Kabesch, Michael; Kraneveld, Aletta D; Abdel-Aziz, Mahmoud I; Maitland-van der Zee, Anke H; ,")</f>
        <v>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v>
      </c>
      <c r="AE53" s="32">
        <f>IFERROR(__xludf.DUMMYFUNCTION("""COMPUTED_VALUE"""),44958.0)</f>
        <v>44958</v>
      </c>
      <c r="AF53" s="31" t="str">
        <f>IFERROR(__xludf.DUMMYFUNCTION("""COMPUTED_VALUE"""),"Community-Based Strategies to Improve Health-Related Outcomes in People Living With Hypertension in Low- and Middle-Income Countries: A Systematic Review and Meta-Analysis.")</f>
        <v>Community-Based Strategies to Improve Health-Related Outcomes in People Living With Hypertension in Low- and Middle-Income Countries: A Systematic Review and Meta-Analysis.</v>
      </c>
      <c r="AG53" s="31" t="str">
        <f>IFERROR(__xludf.DUMMYFUNCTION("""COMPUTED_VALUE"""),"Nyame, Solomon; Boateng, Daniel; Heeres, Pauline; Gyamfi, Joyce; Gafane-Matemane, Lebo F; Amoah, John; Iwelunmor, Juliet; Ogedegbe, Gbenga; Grobbee, Diederick; Asante, Kwaku Poku; Klipstein-Grobusch, Kerstin")</f>
        <v>Nyame, Solomon; Boateng, Daniel; Heeres, Pauline; Gyamfi, Joyce; Gafane-Matemane, Lebo F; Amoah, John; Iwelunmor, Juliet; Ogedegbe, Gbenga; Grobbee, Diederick; Asante, Kwaku Poku; Klipstein-Grobusch, Kerstin</v>
      </c>
      <c r="AH53" s="32">
        <f>IFERROR(__xludf.DUMMYFUNCTION("""COMPUTED_VALUE"""),45455.0)</f>
        <v>45455</v>
      </c>
      <c r="AI53" s="31" t="str">
        <f>IFERROR(__xludf.DUMMYFUNCTION("""COMPUTED_VALUE"""),"Immunoglobulin treatment for hospitalised infants and young children with respiratory syncytial virus infection.")</f>
        <v>Immunoglobulin treatment for hospitalised infants and young children with respiratory syncytial virus infection.</v>
      </c>
      <c r="AJ53" s="31" t="str">
        <f>IFERROR(__xludf.DUMMYFUNCTION("""COMPUTED_VALUE"""),"Sanders, Sharon L; Agwan, Sushil; Hassan, Mohamed; Bont, Louis J; Venekamp, Roderick P")</f>
        <v>Sanders, Sharon L; Agwan, Sushil; Hassan, Mohamed; Bont, Louis J; Venekamp, Roderick P</v>
      </c>
      <c r="AK53" s="32">
        <f>IFERROR(__xludf.DUMMYFUNCTION("""COMPUTED_VALUE"""),45222.0)</f>
        <v>45222</v>
      </c>
      <c r="AL53" s="31" t="str">
        <f>IFERROR(__xludf.DUMMYFUNCTION("""COMPUTED_VALUE"""),"High adherence to intermittent and continuous use of a contraceptive vaginal ring among women in a randomized controlled trial in Kigali, Rwanda.")</f>
        <v>High adherence to intermittent and continuous use of a contraceptive vaginal ring among women in a randomized controlled trial in Kigali, Rwanda.</v>
      </c>
      <c r="AM53" s="31" t="str">
        <f>IFERROR(__xludf.DUMMYFUNCTION("""COMPUTED_VALUE"""),"Kestelyn, Evelyne; Van Nuil, Jennifer Ilo; Umulisa, Marie Michelle; Umutoni, Grace; Uwingabire, Alice; De Baetselier, Irith; Uwineza, Mireille; Agaba, Stephen; Crucitti, Tania; Delvaux, Thérèse; van de Wijgert, Janneke H H M")</f>
        <v>Kestelyn, Evelyne; Van Nuil, Jennifer Ilo; Umulisa, Marie Michelle; Umutoni, Grace; Uwingabire, Alice; De Baetselier, Irith; Uwineza, Mireille; Agaba, Stephen; Crucitti, Tania; Delvaux, Thérèse; van de Wijgert, Janneke H H M</v>
      </c>
      <c r="AN53" s="32">
        <f>IFERROR(__xludf.DUMMYFUNCTION("""COMPUTED_VALUE"""),45393.0)</f>
        <v>45393</v>
      </c>
    </row>
    <row r="54">
      <c r="A54" s="35">
        <v>2023.0</v>
      </c>
      <c r="B54" s="39">
        <f>IFERROR(__xludf.DUMMYFUNCTION("IFERROR(SUM(FILTER(Data!$H$2:$H9917, REGEXMATCH(Data!$K$2:$K9917, B$30), Data!$C$2:$C9917 = $A54)), 0)
"),435.0)</f>
        <v>435</v>
      </c>
      <c r="C54" s="39">
        <f>IFERROR(__xludf.DUMMYFUNCTION("IFERROR(SUM(FILTER(Data!$H$2:$H9917, REGEXMATCH(Data!$K$2:$K9917, C$30), Data!$C$2:$C9917 = $A54)), 0)
"),834.0)</f>
        <v>834</v>
      </c>
      <c r="D54" s="39">
        <f>IFERROR(__xludf.DUMMYFUNCTION("IFERROR(SUM(FILTER(Data!$H$2:$H9917, REGEXMATCH(Data!$K$2:$K9917, D$30), Data!$C$2:$C9917 = $A54)), 0)
"),539.0)</f>
        <v>539</v>
      </c>
      <c r="E54" s="39">
        <f>IFERROR(__xludf.DUMMYFUNCTION("IFERROR(SUM(FILTER(Data!$H$2:$H9917, REGEXMATCH(Data!$K$2:$K9917, E$30), Data!$C$2:$C9917 = $A54)), 0)
"),887.0)</f>
        <v>887</v>
      </c>
      <c r="F54" s="39">
        <f>SUMIFS(Data!$H$2:$H9917, Data!$C$2:$C9917, $A54)</f>
        <v>1479</v>
      </c>
      <c r="I54" s="31" t="str">
        <f>IFERROR(__xludf.DUMMYFUNCTION("""COMPUTED_VALUE"""),"kidney")</f>
        <v>kidney</v>
      </c>
      <c r="J54" s="38">
        <f>COUNTIF(Data!$F$2:$F9917, $I54)</f>
        <v>2</v>
      </c>
      <c r="T54" s="31" t="s">
        <v>25580</v>
      </c>
      <c r="U54" s="31" t="s">
        <v>25581</v>
      </c>
      <c r="V54" s="32">
        <v>45601.0</v>
      </c>
      <c r="X54" s="31" t="str">
        <f>IFERROR(__xludf.DUMMYFUNCTION("""COMPUTED_VALUE"""),"Intravenous Vitamin C for Patients Hospitalized With COVID-19: Two Harmonized Randomized Clinical Trials.")</f>
        <v>Intravenous Vitamin C for Patients Hospitalized With COVID-19: Two Harmonized Randomized Clinical Trials.</v>
      </c>
      <c r="Y54" s="31" t="str">
        <f>IFERROR(__xludf.DUMMYFUNCTION("""COMPUTED_VALUE"""),",; Adhikari, Neill K J; Hashmi, Madiha; Tirupakuzhi Vijayaraghavan, Bharath Kumar; Haniffa, Rashan; Beane, Abi; Webb, Steve A; Angus, Derek C; Gordon, Anthony C; Cook, Deborah J; Guyatt, Gordon H; Berry, Lindsay R; Lorenzi, Elizabeth; Mouncey, Paul R; Au,"&amp;" Carly; Pinto, Ruxandra; Ménard, Julie; Sprague, Sheila; Masse, Marie-Hélène; Huang, David T; Heyland, Daren K; Nichol, Alistair D; McArthur, Colin J; de Man, Angelique; Al-Beidh, Farah; Annane, Djillali; Anstey, Matthew; Arabi, Yaseen M; Battista, Marie-"&amp;"Claude; Berry, Scott; Bhimani, Zahra; Bonten, Marc J M; Bradbury, Charlotte A; Brant, Emily B; Brunkhorst, Frank M; Burrell, Aidan; Buxton, Meredith; Cecconi, Maurizio; Cheng, Allen C; Cohen, Dian; Cove, Matthew E; Day, Andrew G; Derde, Lennie P G; Detry,"&amp;" Michelle A; Estcourt, Lise J; Fagbodun, Elizabeth O; Fitzgerald, Mark; Goossens, Herman; Green, Cameron; Higgins, Alisa M; Hills, Thomas E; Ichihara, Nao; Jayakumar, Devachandran; Kanji, Salmaan; Khoso, Muhammad Nasir; Lawler, Patrick")</f>
        <v>,; Adhikari, Neill K J; Hashmi, Madiha; Tirupakuzhi Vijayaraghavan, Bharath Kumar; Haniffa, Rashan; Beane, Abi; Webb, Steve A; Angus, Derek C; Gordon, Anthony C; Cook, Deborah J; Guyatt, Gordon H; Berry, Lindsay R; Lorenzi, Elizabeth; Mouncey, Paul R; Au, Carly; Pinto, Ruxandra; Ménard, Julie; Sprague, Sheila; Masse, Marie-Hélène; Huang, David T; Heyland, Daren K; Nichol, Alistair D; McArthur, Colin J; de Man, Angelique; Al-Beidh, Farah; Annane, Djillali; Anstey, Matthew; Arabi, Yaseen M; Battista, Marie-Claude; Berry, Scott; Bhimani, Zahra; Bonten, Marc J M; Bradbury, Charlotte A; Brant, Emily B; Brunkhorst, Frank M; Burrell, Aidan; Buxton, Meredith; Cecconi, Maurizio; Cheng, Allen C; Cohen, Dian; Cove, Matthew E; Day, Andrew G; Derde, Lennie P G; Detry, Michelle A; Estcourt, Lise J; Fagbodun, Elizabeth O; Fitzgerald, Mark; Goossens, Herman; Green, Cameron; Higgins, Alisa M; Hills, Thomas E; Ichihara, Nao; Jayakumar, Devachandran; Kanji, Salmaan; Khoso, Muhammad Nasir; Lawler, Patrick</v>
      </c>
      <c r="Z54" s="31">
        <f>IFERROR(__xludf.DUMMYFUNCTION("""COMPUTED_VALUE"""),2023.0)</f>
        <v>2023</v>
      </c>
      <c r="AA54" s="31">
        <f>IFERROR(__xludf.DUMMYFUNCTION("""COMPUTED_VALUE"""),7.0)</f>
        <v>7</v>
      </c>
      <c r="AC54" s="31" t="str">
        <f>IFERROR(__xludf.DUMMYFUNCTION("""COMPUTED_VALUE"""),"Reliability and measurement error of anterior maximum voluntary bite force in children with juvenile idiopathic arthritis and healthy children.")</f>
        <v>Reliability and measurement error of anterior maximum voluntary bite force in children with juvenile idiopathic arthritis and healthy children.</v>
      </c>
      <c r="AD54" s="31" t="str">
        <f>IFERROR(__xludf.DUMMYFUNCTION("""COMPUTED_VALUE"""),"de Sonnaville, Willemijn F C; Steenks, Michel H; Zuithoff, Nicolaas P A; Wulffraat, Nico M; Rosenberg, Antoine J W P; Speksnijder, Caroline M")</f>
        <v>de Sonnaville, Willemijn F C; Steenks, Michel H; Zuithoff, Nicolaas P A; Wulffraat, Nico M; Rosenberg, Antoine J W P; Speksnijder, Caroline M</v>
      </c>
      <c r="AE54" s="32">
        <f>IFERROR(__xludf.DUMMYFUNCTION("""COMPUTED_VALUE"""),44946.0)</f>
        <v>44946</v>
      </c>
      <c r="AF54" s="31" t="str">
        <f>IFERROR(__xludf.DUMMYFUNCTION("""COMPUTED_VALUE"""),"Ethical implications of defining longstanding anorexia nervosa.")</f>
        <v>Ethical implications of defining longstanding anorexia nervosa.</v>
      </c>
      <c r="AG54" s="31" t="str">
        <f>IFERROR(__xludf.DUMMYFUNCTION("""COMPUTED_VALUE"""),"Voswinkel, Marthe M; Hanegraaff, Simone M; Mares, Suzanne H W; Wezenberg, Elke; van Delden, Johannes J M; van Elburg, Annemarie A")</f>
        <v>Voswinkel, Marthe M; Hanegraaff, Simone M; Mares, Suzanne H W; Wezenberg, Elke; van Delden, Johannes J M; van Elburg, Annemarie A</v>
      </c>
      <c r="AH54" s="32">
        <f>IFERROR(__xludf.DUMMYFUNCTION("""COMPUTED_VALUE"""),45454.0)</f>
        <v>45454</v>
      </c>
      <c r="AI54" s="31" t="str">
        <f>IFERROR(__xludf.DUMMYFUNCTION("""COMPUTED_VALUE"""),"Barriers and facilitators for implementation of a combined lifestyle intervention in community-dwelling older adults: a scoping review.")</f>
        <v>Barriers and facilitators for implementation of a combined lifestyle intervention in community-dwelling older adults: a scoping review.</v>
      </c>
      <c r="AJ54" s="31" t="str">
        <f>IFERROR(__xludf.DUMMYFUNCTION("""COMPUTED_VALUE"""),"van der Laag, Patricia J; Dorhout, Berber G; Heeren, Aaron A; Veenhof, Cindy; Barten, Di-Janne J A; Schoonhoven, Lisette")</f>
        <v>van der Laag, Patricia J; Dorhout, Berber G; Heeren, Aaron A; Veenhof, Cindy; Barten, Di-Janne J A; Schoonhoven, Lisette</v>
      </c>
      <c r="AK54" s="32">
        <f>IFERROR(__xludf.DUMMYFUNCTION("""COMPUTED_VALUE"""),45210.0)</f>
        <v>45210</v>
      </c>
      <c r="AL54" s="31" t="str">
        <f>IFERROR(__xludf.DUMMYFUNCTION("""COMPUTED_VALUE"""),"Introducing re-weighted range voting in clinical practice guideline prioritization: Development and testing of the re-weighted priority-setting (REPS) tool.")</f>
        <v>Introducing re-weighted range voting in clinical practice guideline prioritization: Development and testing of the re-weighted priority-setting (REPS) tool.</v>
      </c>
      <c r="AM54" s="31" t="str">
        <f>IFERROR(__xludf.DUMMYFUNCTION("""COMPUTED_VALUE"""),"Oerbekke, Michiel S; Gaasterland, Charlotte M W; van der Laan, Maarten J; Hooft, Lotty")</f>
        <v>Oerbekke, Michiel S; Gaasterland, Charlotte M W; van der Laan, Maarten J; Hooft, Lotty</v>
      </c>
      <c r="AN54" s="32">
        <f>IFERROR(__xludf.DUMMYFUNCTION("""COMPUTED_VALUE"""),45387.0)</f>
        <v>45387</v>
      </c>
    </row>
    <row r="55">
      <c r="A55" s="35">
        <v>2024.0</v>
      </c>
      <c r="B55" s="39">
        <f>IFERROR(__xludf.DUMMYFUNCTION("IFERROR(SUM(FILTER(Data!$H$2:$H9917, REGEXMATCH(Data!$K$2:$K9917, B$30), Data!$C$2:$C9917 = $A55)), 0)
"),49.0)</f>
        <v>49</v>
      </c>
      <c r="C55" s="39">
        <f>IFERROR(__xludf.DUMMYFUNCTION("IFERROR(SUM(FILTER(Data!$H$2:$H9917, REGEXMATCH(Data!$K$2:$K9917, C$30), Data!$C$2:$C9917 = $A55)), 0)
"),113.0)</f>
        <v>113</v>
      </c>
      <c r="D55" s="39">
        <f>IFERROR(__xludf.DUMMYFUNCTION("IFERROR(SUM(FILTER(Data!$H$2:$H9917, REGEXMATCH(Data!$K$2:$K9917, D$30), Data!$C$2:$C9917 = $A55)), 0)
"),58.0)</f>
        <v>58</v>
      </c>
      <c r="E55" s="39">
        <f>IFERROR(__xludf.DUMMYFUNCTION("IFERROR(SUM(FILTER(Data!$H$2:$H9917, REGEXMATCH(Data!$K$2:$K9917, E$30), Data!$C$2:$C9917 = $A55)), 0)
"),127.0)</f>
        <v>127</v>
      </c>
      <c r="F55" s="39">
        <f>SUMIFS(Data!$H$2:$H9917, Data!$C$2:$C9917, $A55)</f>
        <v>179</v>
      </c>
      <c r="I55" s="31" t="str">
        <f>IFERROR(__xludf.DUMMYFUNCTION("""COMPUTED_VALUE"""),"endoscopy")</f>
        <v>endoscopy</v>
      </c>
      <c r="J55" s="38">
        <f>COUNTIF(Data!$F$2:$F9917, $I55)</f>
        <v>6</v>
      </c>
      <c r="T55" s="31" t="s">
        <v>25443</v>
      </c>
      <c r="U55" s="31" t="s">
        <v>25444</v>
      </c>
      <c r="V55" s="32">
        <v>45600.0</v>
      </c>
      <c r="X55" s="31" t="str">
        <f>IFERROR(__xludf.DUMMYFUNCTION("""COMPUTED_VALUE"""),"Observation of the γγ→ττ Process in Pb+Pb Collisions and Constraints on the τ-Lepton Anomalous Magnetic Moment with the ATLAS Detector.")</f>
        <v>Observation of the γγ→ττ Process in Pb+Pb Collisions and Constraints on the τ-Lepton Anomalous Magnetic Moment with the ATLAS Detector.</v>
      </c>
      <c r="Y55" s="31"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55" s="31">
        <f>IFERROR(__xludf.DUMMYFUNCTION("""COMPUTED_VALUE"""),2023.0)</f>
        <v>2023</v>
      </c>
      <c r="AA55" s="31">
        <f>IFERROR(__xludf.DUMMYFUNCTION("""COMPUTED_VALUE"""),7.0)</f>
        <v>7</v>
      </c>
      <c r="AC55" s="31" t="str">
        <f>IFERROR(__xludf.DUMMYFUNCTION("""COMPUTED_VALUE"""),"Minimum sample size for developing a multivariable prediction model using multinomial logistic regression.")</f>
        <v>Minimum sample size for developing a multivariable prediction model using multinomial logistic regression.</v>
      </c>
      <c r="AD55" s="31" t="str">
        <f>IFERROR(__xludf.DUMMYFUNCTION("""COMPUTED_VALUE"""),"Pate, Alexander; Riley, Richard D; Collins, Gary S; van Smeden, Maarten; Van Calster, Ben; Ensor, Joie; Martin, Glen P")</f>
        <v>Pate, Alexander; Riley, Richard D; Collins, Gary S; van Smeden, Maarten; Van Calster, Ben; Ensor, Joie; Martin, Glen P</v>
      </c>
      <c r="AE55" s="32">
        <f>IFERROR(__xludf.DUMMYFUNCTION("""COMPUTED_VALUE"""),44945.0)</f>
        <v>44945</v>
      </c>
      <c r="AF55" s="31" t="str">
        <f>IFERROR(__xludf.DUMMYFUNCTION("""COMPUTED_VALUE"""),"Are Dutch adults equally susceptible to nudging and pricing strategies? Secondary analyses of the Supreme Nudge parallel cluster-randomised controlled supermarket trial.")</f>
        <v>Are Dutch adults equally susceptible to nudging and pricing strategies? Secondary analyses of the Supreme Nudge parallel cluster-randomised controlled supermarket trial.</v>
      </c>
      <c r="AG55" s="31" t="str">
        <f>IFERROR(__xludf.DUMMYFUNCTION("""COMPUTED_VALUE"""),"Stuber, Josine M; Beulens, Joline W J; van Lierop, Juul J E; Schuurman, Esmee; Lakerveld, Jeroen; Mackenbach, Joreintje D; ,")</f>
        <v>Stuber, Josine M; Beulens, Joline W J; van Lierop, Juul J E; Schuurman, Esmee; Lakerveld, Jeroen; Mackenbach, Joreintje D; ,</v>
      </c>
      <c r="AH55" s="32">
        <f>IFERROR(__xludf.DUMMYFUNCTION("""COMPUTED_VALUE"""),45453.0)</f>
        <v>45453</v>
      </c>
      <c r="AI55" s="31" t="str">
        <f>IFERROR(__xludf.DUMMYFUNCTION("""COMPUTED_VALUE"""),"The association of resilience with self-care and quality of life in people with chronic obstructive pulmonary disease: A cross-sectional study.")</f>
        <v>The association of resilience with self-care and quality of life in people with chronic obstructive pulmonary disease: A cross-sectional study.</v>
      </c>
      <c r="AJ55" s="31" t="str">
        <f>IFERROR(__xludf.DUMMYFUNCTION("""COMPUTED_VALUE"""),"Pouw, Tamara; de Man-van Ginkel, Janneke; Hardeman, Johannes A; Mager, Johannes-Jurgen; Trapman, Lian; Jaarsma, Tiny; Weldam, Saskia")</f>
        <v>Pouw, Tamara; de Man-van Ginkel, Janneke; Hardeman, Johannes A; Mager, Johannes-Jurgen; Trapman, Lian; Jaarsma, Tiny; Weldam, Saskia</v>
      </c>
      <c r="AK55" s="32">
        <f>IFERROR(__xludf.DUMMYFUNCTION("""COMPUTED_VALUE"""),45209.0)</f>
        <v>45209</v>
      </c>
      <c r="AL55" s="31" t="str">
        <f>IFERROR(__xludf.DUMMYFUNCTION("""COMPUTED_VALUE"""),"Polyploidisation pleiotropically buffers ageing in hepatocytes.")</f>
        <v>Polyploidisation pleiotropically buffers ageing in hepatocytes.</v>
      </c>
      <c r="AM55" s="31" t="str">
        <f>IFERROR(__xludf.DUMMYFUNCTION("""COMPUTED_VALUE"""),"Yin, Kelvin; Büttner, Maren; Deligiannis, Ioannis K; Strzelecki, Mateusz; Zhang, Liwei; Talavera-López, Carlos; Theis, Fabian; Odom, Duncan T; Martinez-Jimenez, Celia P")</f>
        <v>Yin, Kelvin; Büttner, Maren; Deligiannis, Ioannis K; Strzelecki, Mateusz; Zhang, Liwei; Talavera-López, Carlos; Theis, Fabian; Odom, Duncan T; Martinez-Jimenez, Celia P</v>
      </c>
      <c r="AN55" s="32">
        <f>IFERROR(__xludf.DUMMYFUNCTION("""COMPUTED_VALUE"""),45387.0)</f>
        <v>45387</v>
      </c>
    </row>
    <row r="56">
      <c r="A56" s="43" t="s">
        <v>26016</v>
      </c>
      <c r="B56" s="45">
        <f t="shared" ref="B56:F56" si="4">sum(B31:B55)</f>
        <v>35722</v>
      </c>
      <c r="C56" s="45">
        <f t="shared" si="4"/>
        <v>99652</v>
      </c>
      <c r="D56" s="45">
        <f t="shared" si="4"/>
        <v>62389</v>
      </c>
      <c r="E56" s="45">
        <f t="shared" si="4"/>
        <v>128871</v>
      </c>
      <c r="F56" s="45">
        <f t="shared" si="4"/>
        <v>175378</v>
      </c>
      <c r="I56" s="31" t="str">
        <f>IFERROR(__xludf.DUMMYFUNCTION("""COMPUTED_VALUE"""),"environment international")</f>
        <v>environment international</v>
      </c>
      <c r="J56" s="38">
        <f>COUNTIF(Data!$F$2:$F9917, $I56)</f>
        <v>16</v>
      </c>
      <c r="T56" s="31" t="s">
        <v>25979</v>
      </c>
      <c r="U56" s="31" t="s">
        <v>167</v>
      </c>
      <c r="V56" s="32">
        <v>45600.0</v>
      </c>
      <c r="X56" s="31" t="str">
        <f>IFERROR(__xludf.DUMMYFUNCTION("""COMPUTED_VALUE"""),"Search for Heavy Neutral Leptons in Decays of W Bosons Using a Dilepton Displaced Vertex in sqrt[s]=13  TeV pp Collisions with the ATLAS Detector.")</f>
        <v>Search for Heavy Neutral Leptons in Decays of W Bosons Using a Dilepton Displaced Vertex in sqrt[s]=13  TeV pp Collisions with the ATLAS Detector.</v>
      </c>
      <c r="Y56" s="31" t="str">
        <f>IFERROR(__xludf.DUMMYFUNCTION("""COMPUTED_VALUE"""),"Aad, G; Abbott, B; Abbott, D C; Abed Abud, A; Abeling, K; Abhayasinghe, D K; Abidi, S H; Aboulhorma, A; Abramowicz, H; Abreu, H; Abulaiti, Y; Abusleme Hoffman, A C; Acharya, B S; Achkar, B; Adam, L; Adam Bourdarios, C; Adamczyk, L; Adamek, L; Addepalli, S"&amp;" V; Adelman, J; Adiguzel, A; Adorni, S; Adye, T; Affolder, A A; Afik, Y; Agaras, M N; Agarwala, J; Aggarwal, A; Agheorghiesei, C; Aguilar-Saavedra, J A; Ahmad, A; Ahmadov, F; Ahmed, W S; Ai, X; Aielli, G; Aizenberg, I; Akbiyik, M; Åkesson, T P A; Akimov, "&amp;"A V; Al Khoury, K; Alberghi, G L; Albert, J; Albicocco, P; Alconada Verzini, M J; Alderweireldt, S; Aleksa, M; Aleksandrov, I N; Alexa, C; Alexopoulos, T; Alfonsi, A; Alfonsi, F; Alhroob, M; Ali, B; Ali, S; Aliev, M; Alimonti, G; Allaire, C; Allbrooke, B "&amp;"M M; Allport, P P; Aloisio, A; Alonso, F; Alpigiani, C; Alunno Camelia, E; Alvarez Estevez, M; Alviggi, M G; Amaral Coutinho, Y; Ambler, A; Ambroz, L; Amelung, C; Amidei, D; Amor Dos Santos, S P; Amoroso, S; Amos, K R; Amrouche, C S; A")</f>
        <v>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Amrouche, C S; A</v>
      </c>
      <c r="Z56" s="31">
        <f>IFERROR(__xludf.DUMMYFUNCTION("""COMPUTED_VALUE"""),2023.0)</f>
        <v>2023</v>
      </c>
      <c r="AA56" s="31">
        <f>IFERROR(__xludf.DUMMYFUNCTION("""COMPUTED_VALUE"""),7.0)</f>
        <v>7</v>
      </c>
      <c r="AC56" s="31" t="str">
        <f>IFERROR(__xludf.DUMMYFUNCTION("""COMPUTED_VALUE"""),"Graphical tools for visualizing the results of network meta-analysis of multicomponent interventions.")</f>
        <v>Graphical tools for visualizing the results of network meta-analysis of multicomponent interventions.</v>
      </c>
      <c r="AD56" s="31" t="str">
        <f>IFERROR(__xludf.DUMMYFUNCTION("""COMPUTED_VALUE"""),"Seitidis, Georgios; Tsokani, Sofia; Christogiannis, Christos; Kontouli, Katerina-Maria; Fyraridis, Alexandros; Nikolakopoulos, Stavros; Veroniki, Areti Angeliki; Mavridis, Dimitris")</f>
        <v>Seitidis, Georgios; Tsokani, Sofia; Christogiannis, Christos; Kontouli, Katerina-Maria; Fyraridis, Alexandros; Nikolakopoulos, Stavros; Veroniki, Areti Angeliki; Mavridis, Dimitris</v>
      </c>
      <c r="AE56" s="32">
        <f>IFERROR(__xludf.DUMMYFUNCTION("""COMPUTED_VALUE"""),44930.0)</f>
        <v>44930</v>
      </c>
      <c r="AF56" s="31" t="str">
        <f>IFERROR(__xludf.DUMMYFUNCTION("""COMPUTED_VALUE"""),"A value hierarchy for inclusive design of heart valve implants in regenerative medicine.")</f>
        <v>A value hierarchy for inclusive design of heart valve implants in regenerative medicine.</v>
      </c>
      <c r="AG56" s="31" t="str">
        <f>IFERROR(__xludf.DUMMYFUNCTION("""COMPUTED_VALUE"""),"De Kanter, Anne Johanna; Daal, Manon Van; Gunn, Callum J; Bredenoord, Annelien L; Graeff, Nienke De; Jongsma, Karin R")</f>
        <v>De Kanter, Anne Johanna; Daal, Manon Van; Gunn, Callum J; Bredenoord, Annelien L; Graeff, Nienke De; Jongsma, Karin R</v>
      </c>
      <c r="AH56" s="32">
        <f>IFERROR(__xludf.DUMMYFUNCTION("""COMPUTED_VALUE"""),45453.0)</f>
        <v>45453</v>
      </c>
      <c r="AI56" s="31" t="str">
        <f>IFERROR(__xludf.DUMMYFUNCTION("""COMPUTED_VALUE"""),"How to support children to develop and express their coping preferences around minor invasive medical procedures: children's and parents' perspectives.")</f>
        <v>How to support children to develop and express their coping preferences around minor invasive medical procedures: children's and parents' perspectives.</v>
      </c>
      <c r="AJ56" s="31" t="str">
        <f>IFERROR(__xludf.DUMMYFUNCTION("""COMPUTED_VALUE"""),"Segers, Elisabeth W; Ketelaar, Marjolijn; de Man, Marjorie A C P; Schoonhoven, Lisette; van de Putte, Elise M; van den Hoogen, Agnes")</f>
        <v>Segers, Elisabeth W; Ketelaar, Marjolijn; de Man, Marjorie A C P; Schoonhoven, Lisette; van de Putte, Elise M; van den Hoogen, Agnes</v>
      </c>
      <c r="AK56" s="32">
        <f>IFERROR(__xludf.DUMMYFUNCTION("""COMPUTED_VALUE"""),45202.0)</f>
        <v>45202</v>
      </c>
      <c r="AL56" s="31" t="str">
        <f>IFERROR(__xludf.DUMMYFUNCTION("""COMPUTED_VALUE"""),"Gut barrier dysfunction and the risk of ICU-acquired bacteremia- a case-control study.")</f>
        <v>Gut barrier dysfunction and the risk of ICU-acquired bacteremia- a case-control study.</v>
      </c>
      <c r="AM56" s="31" t="str">
        <f>IFERROR(__xludf.DUMMYFUNCTION("""COMPUTED_VALUE"""),"Varkila, Meri R J; Verboom, Diana M; Derde, Lennie P G; van der Poll, Tom; Bonten, Marc J M; Cremer, Olaf L; ,")</f>
        <v>Varkila, Meri R J; Verboom, Diana M; Derde, Lennie P G; van der Poll, Tom; Bonten, Marc J M; Cremer, Olaf L; ,</v>
      </c>
      <c r="AN56" s="32">
        <f>IFERROR(__xludf.DUMMYFUNCTION("""COMPUTED_VALUE"""),45378.0)</f>
        <v>45378</v>
      </c>
    </row>
    <row r="57">
      <c r="A57" s="32"/>
      <c r="I57" s="31" t="str">
        <f>IFERROR(__xludf.DUMMYFUNCTION("""COMPUTED_VALUE"""),"diabetes care")</f>
        <v>diabetes care</v>
      </c>
      <c r="J57" s="38">
        <f>COUNTIF(Data!$F$2:$F9917, $I57)</f>
        <v>40</v>
      </c>
      <c r="T57" s="31" t="s">
        <v>25377</v>
      </c>
      <c r="U57" s="31" t="s">
        <v>25378</v>
      </c>
      <c r="V57" s="32">
        <v>45599.0</v>
      </c>
      <c r="X57" s="31" t="str">
        <f>IFERROR(__xludf.DUMMYFUNCTION("""COMPUTED_VALUE"""),"Bi-Directional Interactions between Glucose-Lowering Medications and Gut Microbiome in Patients with Type 2 Diabetes Mellitus: A Systematic Review.")</f>
        <v>Bi-Directional Interactions between Glucose-Lowering Medications and Gut Microbiome in Patients with Type 2 Diabetes Mellitus: A Systematic Review.</v>
      </c>
      <c r="Y57" s="31" t="str">
        <f>IFERROR(__xludf.DUMMYFUNCTION("""COMPUTED_VALUE"""),"Li, Ruolin; Shokri, Fereshteh; Rincon, Alejandro Lopez; Rivadeneira, Fernando; Medina-Gomez, Carolina; Ahmadizar, Fariba")</f>
        <v>Li, Ruolin; Shokri, Fereshteh; Rincon, Alejandro Lopez; Rivadeneira, Fernando; Medina-Gomez, Carolina; Ahmadizar, Fariba</v>
      </c>
      <c r="Z57" s="31">
        <f>IFERROR(__xludf.DUMMYFUNCTION("""COMPUTED_VALUE"""),2023.0)</f>
        <v>2023</v>
      </c>
      <c r="AA57" s="31">
        <f>IFERROR(__xludf.DUMMYFUNCTION("""COMPUTED_VALUE"""),7.0)</f>
        <v>7</v>
      </c>
      <c r="AC57" s="31" t="str">
        <f>IFERROR(__xludf.DUMMYFUNCTION("""COMPUTED_VALUE"""),"Single-Nucleotide Variants and Epimutations Induce Proteasome Inhibitor Resistance in Multiple Myeloma.")</f>
        <v>Single-Nucleotide Variants and Epimutations Induce Proteasome Inhibitor Resistance in Multiple Myeloma.</v>
      </c>
      <c r="AD57" s="31" t="str">
        <f>IFERROR(__xludf.DUMMYFUNCTION("""COMPUTED_VALUE"""),"Haertle, Larissa; Barrio, Santiago; Munawar, Umair; Han, Seungbin; Zhou, Xiang; Simicek, Michal; Vogt, Cornelia; Truger, Marietta; Fernandez, Rafael Alonso; Steinhardt, Maximilian; Weingart, Julia; Snaurova, Renata; Nerreter, Silvia; Teufel, Eva; Garitano"&amp;"-Trojaola, Andoni; Da Viá, Matteo; Ruiz-Heredia, Yanira; Rosenwald, Andreas; Bolli, Niccolò; Hajek, Roman; Raab, Peter; Raab, Marc S; Weinhold, Niels; Haferlach, Claudia; Haaf, Thomas; Martinez-Lopez, Joaquin; Einsele, Hermann; Rasche, Leo; Kortüm, K Mart"&amp;"in")</f>
        <v>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v>
      </c>
      <c r="AE57" s="32">
        <f>IFERROR(__xludf.DUMMYFUNCTION("""COMPUTED_VALUE"""),44930.0)</f>
        <v>44930</v>
      </c>
      <c r="AF57" s="31" t="str">
        <f>IFERROR(__xludf.DUMMYFUNCTION("""COMPUTED_VALUE"""),"Long-term exposure to particulate matter and all-cause and cause-specific mortality in an analysis of multiple Asian cohorts.")</f>
        <v>Long-term exposure to particulate matter and all-cause and cause-specific mortality in an analysis of multiple Asian cohorts.</v>
      </c>
      <c r="AG57" s="31" t="str">
        <f>IFERROR(__xludf.DUMMYFUNCTION("""COMPUTED_VALUE"""),"Downward, G S; Hystad, P; Tasmin, S; Abe, S K; Saito, E; Rahman, M S; Islam, M R; Gupta, P C; Sawada, N; Malekzadeh, R; You, S L; Ahsan, H; Park, S K; Pednekar, M S; Tsugane, S; Etemadi, A; Chen, C J; Shin, A; Chen, Y; Boffetta, P; Chia, K S; Matsuo, K; Q"&amp;"iao, Y L; Rothman, N; Zheng, W; Inoue, M; Kang, D; Lan, Q; Vermeulen, R C H")</f>
        <v>Downward, G S; Hystad, P; Tasmin, S; Abe, S K; Saito, E; Rahman, M S; Islam, M R; Gupta, P C; Sawada, N; Malekzadeh, R; You, S L; Ahsan, H; Park, S K; Pednekar, M S; Tsugane, S; Etemadi, A; Chen, C J; Shin, A; Chen, Y; Boffetta, P; Chia, K S; Matsuo, K; Qiao, Y L; Rothman, N; Zheng, W; Inoue, M; Kang, D; Lan, Q; Vermeulen, R C H</v>
      </c>
      <c r="AH57" s="32">
        <f>IFERROR(__xludf.DUMMYFUNCTION("""COMPUTED_VALUE"""),45451.0)</f>
        <v>45451</v>
      </c>
      <c r="AI57" s="31" t="str">
        <f>IFERROR(__xludf.DUMMYFUNCTION("""COMPUTED_VALUE"""),"Effective communication in palliative care from the perspectives of patients and relatives: A systematic review.")</f>
        <v>Effective communication in palliative care from the perspectives of patients and relatives: A systematic review.</v>
      </c>
      <c r="AJ57" s="31" t="str">
        <f>IFERROR(__xludf.DUMMYFUNCTION("""COMPUTED_VALUE"""),"Engel, Marijanne; Kars, Marijke C; Teunissen, Saskia C C M; van der Heide, Agnes")</f>
        <v>Engel, Marijanne; Kars, Marijke C; Teunissen, Saskia C C M; van der Heide, Agnes</v>
      </c>
      <c r="AK57" s="32">
        <f>IFERROR(__xludf.DUMMYFUNCTION("""COMPUTED_VALUE"""),45200.0)</f>
        <v>45200</v>
      </c>
      <c r="AL57" s="31" t="str">
        <f>IFERROR(__xludf.DUMMYFUNCTION("""COMPUTED_VALUE"""),"Clonal Expansion of a Streptococcus pneumoniae Serotype 3 Capsule Variant Sequence Type 700 With Enhanced Vaccine Escape Potential After 13-Valent Pneumococcal Conjugate Vaccine Introduction.")</f>
        <v>Clonal Expansion of a Streptococcus pneumoniae Serotype 3 Capsule Variant Sequence Type 700 With Enhanced Vaccine Escape Potential After 13-Valent Pneumococcal Conjugate Vaccine Introduction.</v>
      </c>
      <c r="AM57" s="31" t="str">
        <f>IFERROR(__xludf.DUMMYFUNCTION("""COMPUTED_VALUE"""),"Kalizang'oma, Akuzike; Swarthout, Todd D; Mwalukomo, Thandie S; Kamng'ona, Arox; Brown, Comfort; Msefula, Jacquline; Demetriou, Hayley; Chan, Jia Mun; Roalfe, Lucy; Obolski, Uri; Lourenço, Jose; Goldblatt, David; Chaguza, Chrispin; French, Neil; Heyderman"&amp;", Robert S")</f>
        <v>Kalizang'oma, Akuzike; Swarthout, Todd D; Mwalukomo, Thandie S; Kamng'ona, Arox; Brown, Comfort; Msefula, Jacquline; Demetriou, Hayley; Chan, Jia Mun; Roalfe, Lucy; Obolski, Uri; Lourenço, Jose; Goldblatt, David; Chaguza, Chrispin; French, Neil; Heyderman, Robert S</v>
      </c>
      <c r="AN57" s="32">
        <f>IFERROR(__xludf.DUMMYFUNCTION("""COMPUTED_VALUE"""),45377.0)</f>
        <v>45377</v>
      </c>
    </row>
    <row r="58">
      <c r="A58" s="32"/>
      <c r="I58" s="31" t="str">
        <f>IFERROR(__xludf.DUMMYFUNCTION("""COMPUTED_VALUE"""),"bmc health services research")</f>
        <v>bmc health services research</v>
      </c>
      <c r="J58" s="38">
        <f>COUNTIF(Data!$F$2:$F9917, $I58)</f>
        <v>26</v>
      </c>
      <c r="T58" s="31" t="s">
        <v>25100</v>
      </c>
      <c r="U58" s="31" t="s">
        <v>25101</v>
      </c>
      <c r="V58" s="32">
        <v>45597.0</v>
      </c>
      <c r="X58" s="31" t="str">
        <f>IFERROR(__xludf.DUMMYFUNCTION("""COMPUTED_VALUE"""),"Evolutionary implications of SARS-CoV-2 vaccination for the future design of vaccination strategies.")</f>
        <v>Evolutionary implications of SARS-CoV-2 vaccination for the future design of vaccination strategies.</v>
      </c>
      <c r="Y58" s="31" t="str">
        <f>IFERROR(__xludf.DUMMYFUNCTION("""COMPUTED_VALUE"""),"Rouzine, Igor M; Rozhnova, Ganna")</f>
        <v>Rouzine, Igor M; Rozhnova, Ganna</v>
      </c>
      <c r="Z58" s="31">
        <f>IFERROR(__xludf.DUMMYFUNCTION("""COMPUTED_VALUE"""),2023.0)</f>
        <v>2023</v>
      </c>
      <c r="AA58" s="31">
        <f>IFERROR(__xludf.DUMMYFUNCTION("""COMPUTED_VALUE"""),7.0)</f>
        <v>7</v>
      </c>
      <c r="AC58" s="31" t="str">
        <f>IFERROR(__xludf.DUMMYFUNCTION("""COMPUTED_VALUE"""),"Trajectories of Cognition and Daily Functioning Before and After Incident Diabetes.")</f>
        <v>Trajectories of Cognition and Daily Functioning Before and After Incident Diabetes.</v>
      </c>
      <c r="AD58" s="31" t="str">
        <f>IFERROR(__xludf.DUMMYFUNCTION("""COMPUTED_VALUE"""),"Ji, Xiaoli; Gao, Hui; Sun, Daoyuan; Zhuang, Jianlin; Fang, Yuan; Wang, Kan; Ahmadizar, Fariba")</f>
        <v>Ji, Xiaoli; Gao, Hui; Sun, Daoyuan; Zhuang, Jianlin; Fang, Yuan; Wang, Kan; Ahmadizar, Fariba</v>
      </c>
      <c r="AE58" s="32">
        <f>IFERROR(__xludf.DUMMYFUNCTION("""COMPUTED_VALUE"""),44927.0)</f>
        <v>44927</v>
      </c>
      <c r="AF58" s="31" t="str">
        <f>IFERROR(__xludf.DUMMYFUNCTION("""COMPUTED_VALUE"""),"The Burden of Cardiovascular Disease Attributable to Hypertension in Nigeria: A &lt;i&gt;Modelling Study Using Summary-Level Data&lt;/i&gt;.")</f>
        <v>The Burden of Cardiovascular Disease Attributable to Hypertension in Nigeria: A &lt;i&gt;Modelling Study Using Summary-Level Data&lt;/i&gt;.</v>
      </c>
      <c r="AG58" s="31" t="str">
        <f>IFERROR(__xludf.DUMMYFUNCTION("""COMPUTED_VALUE"""),"Ojo, Adedayo E; Ojji, Dike B; Grobbee, Diederick E; Huffman, Mark D; Peters, Sanne A E")</f>
        <v>Ojo, Adedayo E; Ojji, Dike B; Grobbee, Diederick E; Huffman, Mark D; Peters, Sanne A E</v>
      </c>
      <c r="AH58" s="32">
        <f>IFERROR(__xludf.DUMMYFUNCTION("""COMPUTED_VALUE"""),45449.0)</f>
        <v>45449</v>
      </c>
      <c r="AI58" s="31" t="str">
        <f>IFERROR(__xludf.DUMMYFUNCTION("""COMPUTED_VALUE"""),"Autoinflation for otitis media with effusion (OME) in children.")</f>
        <v>Autoinflation for otitis media with effusion (OME) in children.</v>
      </c>
      <c r="AJ58" s="31" t="str">
        <f>IFERROR(__xludf.DUMMYFUNCTION("""COMPUTED_VALUE"""),"Webster, Katie E; Mulvaney, Caroline A; Galbraith, Kevin; Rana, Mridul; Marom, Tal; Daniel, Mat; Venekamp, Roderick P; Schilder, Anne Gm; MacKeith, Samuel")</f>
        <v>Webster, Katie E; Mulvaney, Caroline A; Galbraith, Kevin; Rana, Mridul; Marom, Tal; Daniel, Mat; Venekamp, Roderick P; Schilder, Anne Gm; MacKeith, Samuel</v>
      </c>
      <c r="AK58" s="32">
        <f>IFERROR(__xludf.DUMMYFUNCTION("""COMPUTED_VALUE"""),45195.0)</f>
        <v>45195</v>
      </c>
      <c r="AL58" s="31" t="str">
        <f>IFERROR(__xludf.DUMMYFUNCTION("""COMPUTED_VALUE"""),"Representation of Patients With Chronic Kidney Disease in Clinical Trials of Cardiovascular Disease Medications: A Systematic Review.")</f>
        <v>Representation of Patients With Chronic Kidney Disease in Clinical Trials of Cardiovascular Disease Medications: A Systematic Review.</v>
      </c>
      <c r="AM58" s="31" t="str">
        <f>IFERROR(__xludf.DUMMYFUNCTION("""COMPUTED_VALUE"""),"Colombijn, Julia M T; Idema, Demy L; van Beem, Sanne; Blokland, Anna Marthe; van der Braak, Kim; Handoko, M Louis; In 't Veld, Linde F Huis; Kaul, Tabea; Kolagasigil-Akdemir, Nurda; Kusters, Mike P T; Meijvis, Sabine C A; Oosting, Ilse J; Spijker, Rene; B"&amp;"ots, Michiel L; Hooft, Lotty; Verhaar, Marianne C; Vernooij, Robin W M")</f>
        <v>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v>
      </c>
      <c r="AN58" s="32">
        <f>IFERROR(__xludf.DUMMYFUNCTION("""COMPUTED_VALUE"""),45355.0)</f>
        <v>45355</v>
      </c>
    </row>
    <row r="59">
      <c r="A59" s="32"/>
      <c r="I59" s="31" t="str">
        <f>IFERROR(__xludf.DUMMYFUNCTION("""COMPUTED_VALUE"""),"southern african journal of hiv medicine")</f>
        <v>southern african journal of hiv medicine</v>
      </c>
      <c r="J59" s="38">
        <f>COUNTIF(Data!$F$2:$F9917, $I59)</f>
        <v>8</v>
      </c>
      <c r="T59" s="31" t="s">
        <v>25224</v>
      </c>
      <c r="U59" s="31" t="s">
        <v>25225</v>
      </c>
      <c r="V59" s="32">
        <v>45597.0</v>
      </c>
      <c r="X59" s="31"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Y59" s="31" t="str">
        <f>IFERROR(__xludf.DUMMYFUNCTION("""COMPUTED_VALUE"""),"Sisk, Rose; Sperrin, Matthew; Peek, Niels; van Smeden, Maarten; Martin, Glen Philip")</f>
        <v>Sisk, Rose; Sperrin, Matthew; Peek, Niels; van Smeden, Maarten; Martin, Glen Philip</v>
      </c>
      <c r="Z59" s="31">
        <f>IFERROR(__xludf.DUMMYFUNCTION("""COMPUTED_VALUE"""),2023.0)</f>
        <v>2023</v>
      </c>
      <c r="AA59" s="31">
        <f>IFERROR(__xludf.DUMMYFUNCTION("""COMPUTED_VALUE"""),7.0)</f>
        <v>7</v>
      </c>
      <c r="AC59" s="31"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AD59" s="31"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AE59" s="32">
        <f>IFERROR(__xludf.DUMMYFUNCTION("""COMPUTED_VALUE"""),44922.0)</f>
        <v>44922</v>
      </c>
      <c r="AF59" s="31" t="str">
        <f>IFERROR(__xludf.DUMMYFUNCTION("""COMPUTED_VALUE"""),"Validity of Mobility-Based Exposure Assessment of Air Pollution: A Comparative Analysis with Home-Based Exposure Assessment.")</f>
        <v>Validity of Mobility-Based Exposure Assessment of Air Pollution: A Comparative Analysis with Home-Based Exposure Assessment.</v>
      </c>
      <c r="AG59" s="31" t="str">
        <f>IFERROR(__xludf.DUMMYFUNCTION("""COMPUTED_VALUE"""),"Wei, Lai; Donaire-Gonzalez, David; Helbich, Marco; van Nunen, Erik; Hoek, Gerard; Vermeulen, Roel C H")</f>
        <v>Wei, Lai; Donaire-Gonzalez, David; Helbich, Marco; van Nunen, Erik; Hoek, Gerard; Vermeulen, Roel C H</v>
      </c>
      <c r="AH59" s="32">
        <f>IFERROR(__xludf.DUMMYFUNCTION("""COMPUTED_VALUE"""),45448.0)</f>
        <v>45448</v>
      </c>
      <c r="AI59" s="31" t="str">
        <f>IFERROR(__xludf.DUMMYFUNCTION("""COMPUTED_VALUE"""),"[Treatment of traumatic rib fractures].")</f>
        <v>[Treatment of traumatic rib fractures].</v>
      </c>
      <c r="AJ59" s="31" t="str">
        <f>IFERROR(__xludf.DUMMYFUNCTION("""COMPUTED_VALUE"""),"Hoepelman, Ruben J; Kik, Charlotte C; Beeres, Frank J P; Zwart, Dorien L M; Groenwold, Rolf H H; Houwert, Roderick M")</f>
        <v>Hoepelman, Ruben J; Kik, Charlotte C; Beeres, Frank J P; Zwart, Dorien L M; Groenwold, Rolf H H; Houwert, Roderick M</v>
      </c>
      <c r="AK59" s="32">
        <f>IFERROR(__xludf.DUMMYFUNCTION("""COMPUTED_VALUE"""),45190.0)</f>
        <v>45190</v>
      </c>
      <c r="AL59" s="31" t="str">
        <f>IFERROR(__xludf.DUMMYFUNCTION("""COMPUTED_VALUE"""),"Evaluation of Less Invasive Sampling Tools for the Diagnosis of Cutaneous Leishmaniasis.")</f>
        <v>Evaluation of Less Invasive Sampling Tools for the Diagnosis of Cutaneous Leishmaniasis.</v>
      </c>
      <c r="AM59" s="31" t="str">
        <f>IFERROR(__xludf.DUMMYFUNCTION("""COMPUTED_VALUE"""),"van Henten, Saskia; Kassa, Mekibib; Fikre, Helina; Melkamu, Roma; Mekonnen, Tigist; Dessie, Dilargachew; Mulaw, Tadele; Bogale, Tadfe; Engidaw, Asinakew; Yeshanew, Arega; Cnops, Lieselotte; Vogt, Florian; Moons, Karel G M; van Griensven, Johan; Pareyn, My"&amp;"rthe")</f>
        <v>van Henten, Saskia; Kassa, Mekibib; Fikre, Helina; Melkamu, Roma; Mekonnen, Tigist; Dessie, Dilargachew; Mulaw, Tadele; Bogale, Tadfe; Engidaw, Asinakew; Yeshanew, Arega; Cnops, Lieselotte; Vogt, Florian; Moons, Karel G M; van Griensven, Johan; Pareyn, Myrthe</v>
      </c>
      <c r="AN59" s="32">
        <f>IFERROR(__xludf.DUMMYFUNCTION("""COMPUTED_VALUE"""),45350.0)</f>
        <v>45350</v>
      </c>
    </row>
    <row r="60">
      <c r="A60" s="32"/>
      <c r="I60" s="31" t="str">
        <f>IFERROR(__xludf.DUMMYFUNCTION("""COMPUTED_VALUE"""),"health policy and planning")</f>
        <v>health policy and planning</v>
      </c>
      <c r="J60" s="38">
        <f>COUNTIF(Data!$F$2:$F9917, $I60)</f>
        <v>3</v>
      </c>
      <c r="T60" s="31" t="s">
        <v>25571</v>
      </c>
      <c r="U60" s="31" t="s">
        <v>25572</v>
      </c>
      <c r="V60" s="32">
        <v>45597.0</v>
      </c>
      <c r="X60" s="31" t="str">
        <f>IFERROR(__xludf.DUMMYFUNCTION("""COMPUTED_VALUE"""),"The circadian clock remains intact, but with dampened hormonal output in heart failure.")</f>
        <v>The circadian clock remains intact, but with dampened hormonal output in heart failure.</v>
      </c>
      <c r="Y60" s="31" t="str">
        <f>IFERROR(__xludf.DUMMYFUNCTION("""COMPUTED_VALUE"""),"Crnko, Sandra; Printezi, Markella I; Zwetsloot, Peter-Paul M; Leiteris, Laurynas; Lumley, Andrew I; Zhang, Lu; Ernens, Isabelle; Jansen, Tijn P J; Homsma, Lilian; Feyen, Dries; van Faassen, Martijn; du Pré, Bastiaan C; Gaillard, Carlo A J M; Kemperman, Ha"&amp;"ns; Oerlemans, Marish I F J; Doevendans, Pieter A F M; May, Anne M; Zuithoff, Nicolaas P A; Sluijter, Joost P G; Devaux, Yvan; van Laake, Linda W")</f>
        <v>Crnko, Sandra; Printezi, Markella I; Zwetsloot, Peter-Paul M; Leiteris, Laurynas; Lumley, Andrew I; Zhang, Lu; Ernens, Isabelle; Jansen, Tijn P J; Homsma, Lilian; Feyen, Dries; van Faassen, Martijn; du Pré, Bastiaan C; Gaillard, Carlo A J M; Kemperman, Hans; Oerlemans, Marish I F J; Doevendans, Pieter A F M; May, Anne M; Zuithoff, Nicolaas P A; Sluijter, Joost P G; Devaux, Yvan; van Laake, Linda W</v>
      </c>
      <c r="Z60" s="31">
        <f>IFERROR(__xludf.DUMMYFUNCTION("""COMPUTED_VALUE"""),2023.0)</f>
        <v>2023</v>
      </c>
      <c r="AA60" s="31">
        <f>IFERROR(__xludf.DUMMYFUNCTION("""COMPUTED_VALUE"""),7.0)</f>
        <v>7</v>
      </c>
      <c r="AC60" s="31" t="str">
        <f>IFERROR(__xludf.DUMMYFUNCTION("""COMPUTED_VALUE"""),"COVID-19-related medicine utilization study in pregnancy: The COVI-PREG cohort.")</f>
        <v>COVID-19-related medicine utilization study in pregnancy: The COVI-PREG cohort.</v>
      </c>
      <c r="AD60" s="31" t="str">
        <f>IFERROR(__xludf.DUMMYFUNCTION("""COMPUTED_VALUE"""),"Favre, Guillaume; Gerbier, Eva; Maisonneuve, Emeline; Pomar, Léo; Winterfeld, Ursula; Lepigeon, Karine; Bloemenkamp, Kitty W M; de Bruin, Odette; Hurley, Eimir; Nordeng, Hedvig; Siiskonen, Satu J; Sturkenboom, Miriam C J M; Baud, David; Panchaud, Alice; ,")</f>
        <v>Favre, Guillaume; Gerbier, Eva; Maisonneuve, Emeline; Pomar, Léo; Winterfeld, Ursula; Lepigeon, Karine; Bloemenkamp, Kitty W M; de Bruin, Odette; Hurley, Eimir; Nordeng, Hedvig; Siiskonen, Satu J; Sturkenboom, Miriam C J M; Baud, David; Panchaud, Alice; ,</v>
      </c>
      <c r="AE60" s="32">
        <f>IFERROR(__xludf.DUMMYFUNCTION("""COMPUTED_VALUE"""),44911.0)</f>
        <v>44911</v>
      </c>
      <c r="AF60" s="31" t="str">
        <f>IFERROR(__xludf.DUMMYFUNCTION("""COMPUTED_VALUE"""),"Hemoglobin and Its Relationship with Fatigue in Long-COVID Patients Three to Six Months after SARS-CoV-2 Infection.")</f>
        <v>Hemoglobin and Its Relationship with Fatigue in Long-COVID Patients Three to Six Months after SARS-CoV-2 Infection.</v>
      </c>
      <c r="AG60" s="31" t="str">
        <f>IFERROR(__xludf.DUMMYFUNCTION("""COMPUTED_VALUE"""),"Bazdar, Somayeh; Bloemsma, Lizan D; Baalbaki, Nadia; Blankestijn, Jelle M; Cornelissen, Merel E B; Beijers, Rosanne J H C G; Sondermeijer, Brigitte M; van Wijck, Yolanda; Downward, George S; Maitland-van der Zee, Anke H; ,")</f>
        <v>Bazdar, Somayeh; Bloemsma, Lizan D; Baalbaki, Nadia; Blankestijn, Jelle M; Cornelissen, Merel E B; Beijers, Rosanne J H C G; Sondermeijer, Brigitte M; van Wijck, Yolanda; Downward, George S; Maitland-van der Zee, Anke H; ,</v>
      </c>
      <c r="AH60" s="32">
        <f>IFERROR(__xludf.DUMMYFUNCTION("""COMPUTED_VALUE"""),45444.0)</f>
        <v>45444</v>
      </c>
      <c r="AI60" s="31" t="str">
        <f>IFERROR(__xludf.DUMMYFUNCTION("""COMPUTED_VALUE"""),"Developing a personalized remote patient monitoring algorithm: a proof-of-concept in heart failure.")</f>
        <v>Developing a personalized remote patient monitoring algorithm: a proof-of-concept in heart failure.</v>
      </c>
      <c r="AJ60" s="31" t="str">
        <f>IFERROR(__xludf.DUMMYFUNCTION("""COMPUTED_VALUE"""),"Moazeni, Mehran; Numan, Lieke; Brons, Maaike; Houtgraaf, Jaco; Rutten, Frans H; Oberski, Daniel L; van Laake, Linda W; Asselbergs, Folkert W; Aarts, Emmeke")</f>
        <v>Moazeni, Mehran; Numan, Lieke; Brons, Maaike; Houtgraaf, Jaco; Rutten, Frans H; Oberski, Daniel L; van Laake, Linda W; Asselbergs, Folkert W; Aarts, Emmeke</v>
      </c>
      <c r="AK60" s="32">
        <f>IFERROR(__xludf.DUMMYFUNCTION("""COMPUTED_VALUE"""),45161.0)</f>
        <v>45161</v>
      </c>
      <c r="AL60" s="31" t="str">
        <f>IFERROR(__xludf.DUMMYFUNCTION("""COMPUTED_VALUE"""),"Both clinical trial register and electronic bibliographic database searches were needed to identify randomized clinical trials for systematic reviews: an evaluation study.")</f>
        <v>Both clinical trial register and electronic bibliographic database searches were needed to identify randomized clinical trials for systematic reviews: an evaluation study.</v>
      </c>
      <c r="AM60" s="31" t="str">
        <f>IFERROR(__xludf.DUMMYFUNCTION("""COMPUTED_VALUE"""),"Kaul, Tabea; Colombijn, Julia M T; Vernooij, Robin W M; Spijker, Rene; Idema, Demy L; Huis In 't Veld, Linde F; Damen, Johanna A A; Hooft, Lotty")</f>
        <v>Kaul, Tabea; Colombijn, Julia M T; Vernooij, Robin W M; Spijker, Rene; Idema, Demy L; Huis In 't Veld, Linde F; Damen, Johanna A A; Hooft, Lotty</v>
      </c>
      <c r="AN60" s="32">
        <f>IFERROR(__xludf.DUMMYFUNCTION("""COMPUTED_VALUE"""),45346.0)</f>
        <v>45346</v>
      </c>
    </row>
    <row r="61">
      <c r="A61" s="32"/>
      <c r="I61" s="31" t="str">
        <f>IFERROR(__xludf.DUMMYFUNCTION("""COMPUTED_VALUE"""),"bmc medical research methodology")</f>
        <v>bmc medical research methodology</v>
      </c>
      <c r="J61" s="38">
        <f>COUNTIF(Data!$F$2:$F9917, $I61)</f>
        <v>27</v>
      </c>
      <c r="T61" s="31" t="s">
        <v>25798</v>
      </c>
      <c r="U61" s="31" t="s">
        <v>25799</v>
      </c>
      <c r="V61" s="32">
        <v>45597.0</v>
      </c>
      <c r="X61" s="31" t="str">
        <f>IFERROR(__xludf.DUMMYFUNCTION("""COMPUTED_VALUE"""),"Prediction Models for Bronchopulmonary Dysplasia in Preterm Infants: A Systematic Review and Meta-Analysis.")</f>
        <v>Prediction Models for Bronchopulmonary Dysplasia in Preterm Infants: A Systematic Review and Meta-Analysis.</v>
      </c>
      <c r="Y61" s="31" t="str">
        <f>IFERROR(__xludf.DUMMYFUNCTION("""COMPUTED_VALUE"""),"Romijn, Michelle; Dhiman, Paula; Finken, Martijn J J; van Kaam, Anton H; Katz, Trixie A; Rotteveel, Joost; Schuit, Ewoud; Collins, Gary S; Onland, Wes; Torchin, Heloise")</f>
        <v>Romijn, Michelle; Dhiman, Paula; Finken, Martijn J J; van Kaam, Anton H; Katz, Trixie A; Rotteveel, Joost; Schuit, Ewoud; Collins, Gary S; Onland, Wes; Torchin, Heloise</v>
      </c>
      <c r="Z61" s="31">
        <f>IFERROR(__xludf.DUMMYFUNCTION("""COMPUTED_VALUE"""),2023.0)</f>
        <v>2023</v>
      </c>
      <c r="AA61" s="31">
        <f>IFERROR(__xludf.DUMMYFUNCTION("""COMPUTED_VALUE"""),7.0)</f>
        <v>7</v>
      </c>
      <c r="AC61" s="31" t="str">
        <f>IFERROR(__xludf.DUMMYFUNCTION("""COMPUTED_VALUE"""),"Coronary calcification measures predict mortality in symptomatic women and men.")</f>
        <v>Coronary calcification measures predict mortality in symptomatic women and men.</v>
      </c>
      <c r="AD61" s="31" t="str">
        <f>IFERROR(__xludf.DUMMYFUNCTION("""COMPUTED_VALUE"""),"Siegersma, Klaske R; Groepenhoff, Floor; Eikendal, Anouk L M; Op den Brouw, Willemijn J; Leiner, Tim; Appelman, Yolande; Tulevski, Igor I; Somsen, G Aernout; Onland-Moret, N Charlotte; Hofstra, Leonard; den Ruijter, Hester M")</f>
        <v>Siegersma, Klaske R; Groepenhoff, Floor; Eikendal, Anouk L M; Op den Brouw, Willemijn J; Leiner, Tim; Appelman, Yolande; Tulevski, Igor I; Somsen, G Aernout; Onland-Moret, N Charlotte; Hofstra, Leonard; den Ruijter, Hester M</v>
      </c>
      <c r="AE61" s="32">
        <f>IFERROR(__xludf.DUMMYFUNCTION("""COMPUTED_VALUE"""),44896.0)</f>
        <v>44896</v>
      </c>
      <c r="AF61" s="31" t="str">
        <f>IFERROR(__xludf.DUMMYFUNCTION("""COMPUTED_VALUE"""),"Impact of green space exposure on blood pressure in Guangzhou, China: Mediation by air pollution, mental health, physical activity, and weight status.")</f>
        <v>Impact of green space exposure on blood pressure in Guangzhou, China: Mediation by air pollution, mental health, physical activity, and weight status.</v>
      </c>
      <c r="AG61" s="31" t="str">
        <f>IFERROR(__xludf.DUMMYFUNCTION("""COMPUTED_VALUE"""),"Liu, Mingwei; Timmermans, Erik J; Zou, Dan; Grobbee, Diederick E; Zhou, Suhong; Vaartjes, Ilonca")</f>
        <v>Liu, Mingwei; Timmermans, Erik J; Zou, Dan; Grobbee, Diederick E; Zhou, Suhong; Vaartjes, Ilonca</v>
      </c>
      <c r="AH61" s="32">
        <f>IFERROR(__xludf.DUMMYFUNCTION("""COMPUTED_VALUE"""),45441.0)</f>
        <v>45441</v>
      </c>
      <c r="AI61" s="31" t="str">
        <f>IFERROR(__xludf.DUMMYFUNCTION("""COMPUTED_VALUE"""),"Exploring patients' and relatives' needs and perceptions regarding family participation in essential care in the intensive care unit: A qualitative study.")</f>
        <v>Exploring patients' and relatives' needs and perceptions regarding family participation in essential care in the intensive care unit: A qualitative study.</v>
      </c>
      <c r="AJ61" s="31" t="str">
        <f>IFERROR(__xludf.DUMMYFUNCTION("""COMPUTED_VALUE"""),"Dijkstra, Boukje M; Felten-Barentsz, Karin M; van der Valk, Margriet J M; van der Hoeven, Johannes G; Schoonhoven, Lisette; Vloet, Lilian C M")</f>
        <v>Dijkstra, Boukje M; Felten-Barentsz, Karin M; van der Valk, Margriet J M; van der Hoeven, Johannes G; Schoonhoven, Lisette; Vloet, Lilian C M</v>
      </c>
      <c r="AK61" s="32">
        <f>IFERROR(__xludf.DUMMYFUNCTION("""COMPUTED_VALUE"""),45156.0)</f>
        <v>45156</v>
      </c>
      <c r="AL61" s="31" t="str">
        <f>IFERROR(__xludf.DUMMYFUNCTION("""COMPUTED_VALUE"""),"Real-World Evidence to Inform Regulatory Decision Making: A Scoping Review.")</f>
        <v>Real-World Evidence to Inform Regulatory Decision Making: A Scoping Review.</v>
      </c>
      <c r="AM61" s="31"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AN61" s="32">
        <f>IFERROR(__xludf.DUMMYFUNCTION("""COMPUTED_VALUE"""),45345.0)</f>
        <v>45345</v>
      </c>
    </row>
    <row r="62">
      <c r="A62" s="32"/>
      <c r="I62" s="31" t="str">
        <f>IFERROR(__xludf.DUMMYFUNCTION("""COMPUTED_VALUE"""),"european radiology")</f>
        <v>european radiology</v>
      </c>
      <c r="J62" s="38">
        <f>COUNTIF(Data!$F$2:$F9917, $I62)</f>
        <v>8</v>
      </c>
      <c r="T62" s="31" t="s">
        <v>25885</v>
      </c>
      <c r="U62" s="31" t="s">
        <v>25886</v>
      </c>
      <c r="V62" s="32">
        <v>45597.0</v>
      </c>
      <c r="X62" s="31" t="str">
        <f>IFERROR(__xludf.DUMMYFUNCTION("""COMPUTED_VALUE"""),"Rapid exome sequencing as a first-tier test in neonates with suspected genetic disorder: results of a prospective multicenter clinical utility study in the Netherlands.")</f>
        <v>Rapid exome sequencing as a first-tier test in neonates with suspected genetic disorder: results of a prospective multicenter clinical utility study in the Netherlands.</v>
      </c>
      <c r="Y62" s="31" t="str">
        <f>IFERROR(__xludf.DUMMYFUNCTION("""COMPUTED_VALUE"""),"Olde Keizer, Richelle A C M; Marouane, Abderrahim; Kerstjens-Frederikse, Wilhelmina S; Deden, A Chantal; Lichtenbelt, Klaske D; Jonckers, Tinneke; Vervoorn, Marieke; Vreeburg, Maaike; Henneman, Lidewij; de Vries, Linda S; Sinke, Richard J; Pfundt, Rolph; "&amp;"Stevens, Servi J C; Andriessen, Peter; van Lingen, Richard A; Nelen, Marcel; Scheffer, Hans; Stemkens, Daphne; Oosterwijk, Cor; van Amstel, Hans Kristian Ploos; de Boode, Willem P; van Zelst-Stams, Wendy A G; Frederix, Geert W J; Vissers, Lisenka E L M; ,")</f>
        <v>Olde Keizer, Richelle A C M; Marouane, Abderrahim; Kerstjens-Frederikse, Wilhelmina S; Deden, A Chantal; Lichtenbelt, Klaske D; Jonckers, Tinneke; Vervoorn, Marieke; Vreeburg, Maaike; Henneman, Lidewij; de Vries, Linda S; Sinke, Richard J; Pfundt, Rolph; Stevens, Servi J C; Andriessen, Peter; van Lingen, Richard A; Nelen, Marcel; Scheffer, Hans; Stemkens, Daphne; Oosterwijk, Cor; van Amstel, Hans Kristian Ploos; de Boode, Willem P; van Zelst-Stams, Wendy A G; Frederix, Geert W J; Vissers, Lisenka E L M; ,</v>
      </c>
      <c r="Z62" s="31">
        <f>IFERROR(__xludf.DUMMYFUNCTION("""COMPUTED_VALUE"""),2023.0)</f>
        <v>2023</v>
      </c>
      <c r="AA62" s="31">
        <f>IFERROR(__xludf.DUMMYFUNCTION("""COMPUTED_VALUE"""),7.0)</f>
        <v>7</v>
      </c>
      <c r="AC62" s="31" t="str">
        <f>IFERROR(__xludf.DUMMYFUNCTION("""COMPUTED_VALUE"""),"Editorial: Rising stars in drugs outcomes research and policies: 2021.")</f>
        <v>Editorial: Rising stars in drugs outcomes research and policies: 2021.</v>
      </c>
      <c r="AD62" s="31" t="str">
        <f>IFERROR(__xludf.DUMMYFUNCTION("""COMPUTED_VALUE"""),"Lins, Robert L; Ahmadizar, Fariba; Khan, Tanveer")</f>
        <v>Lins, Robert L; Ahmadizar, Fariba; Khan, Tanveer</v>
      </c>
      <c r="AE62" s="32">
        <f>IFERROR(__xludf.DUMMYFUNCTION("""COMPUTED_VALUE"""),44890.0)</f>
        <v>44890</v>
      </c>
      <c r="AF62" s="31" t="str">
        <f>IFERROR(__xludf.DUMMYFUNCTION("""COMPUTED_VALUE"""),"The Ethics of Decentralized Clinical Trials and Informed Consent: Taking Technologies' Soft Impacts into Account.")</f>
        <v>The Ethics of Decentralized Clinical Trials and Informed Consent: Taking Technologies' Soft Impacts into Account.</v>
      </c>
      <c r="AG62" s="31" t="str">
        <f>IFERROR(__xludf.DUMMYFUNCTION("""COMPUTED_VALUE"""),"van Rijssel, Tessa I; van Thiel, Ghislaine J M W; van Delden, Johannes J M; ,")</f>
        <v>van Rijssel, Tessa I; van Thiel, Ghislaine J M W; van Delden, Johannes J M; ,</v>
      </c>
      <c r="AH62" s="32">
        <f>IFERROR(__xludf.DUMMYFUNCTION("""COMPUTED_VALUE"""),45431.0)</f>
        <v>45431</v>
      </c>
      <c r="AI62" s="31" t="str">
        <f>IFERROR(__xludf.DUMMYFUNCTION("""COMPUTED_VALUE"""),"Paracetamol (acetaminophen) or non-steroidal anti-inflammatory drugs, alone or combined, for pain relief in acute otitis media in children.")</f>
        <v>Paracetamol (acetaminophen) or non-steroidal anti-inflammatory drugs, alone or combined, for pain relief in acute otitis media in children.</v>
      </c>
      <c r="AJ62" s="31" t="str">
        <f>IFERROR(__xludf.DUMMYFUNCTION("""COMPUTED_VALUE"""),"de Sévaux, Joline L H; Damoiseaux, Roger Amj; van de Pol, Alma C; Lutje, Vittoria; Hay, Alastair D; Little, Paul; Schilder, Anne Gm; Venekamp, Roderick P")</f>
        <v>de Sévaux, Joline L H; Damoiseaux, Roger Amj; van de Pol, Alma C; Lutje, Vittoria; Hay, Alastair D; Little, Paul; Schilder, Anne Gm; Venekamp, Roderick P</v>
      </c>
      <c r="AK62" s="32">
        <f>IFERROR(__xludf.DUMMYFUNCTION("""COMPUTED_VALUE"""),45156.0)</f>
        <v>45156</v>
      </c>
      <c r="AL62" s="31" t="str">
        <f>IFERROR(__xludf.DUMMYFUNCTION("""COMPUTED_VALUE"""),"Response to letter to the editor regarding ""External validation of a lung cancer-based prediction model for two-year mortality in esophageal cancer patient cohorts"" by M. Berbée et al.")</f>
        <v>Response to letter to the editor regarding "External validation of a lung cancer-based prediction model for two-year mortality in esophageal cancer patient cohorts" by M. Berbée et al.</v>
      </c>
      <c r="AM62" s="31" t="str">
        <f>IFERROR(__xludf.DUMMYFUNCTION("""COMPUTED_VALUE"""),"Berbée, M; Muijs, C T; Schuit, E")</f>
        <v>Berbée, M; Muijs, C T; Schuit, E</v>
      </c>
      <c r="AN62" s="32">
        <f>IFERROR(__xludf.DUMMYFUNCTION("""COMPUTED_VALUE"""),45340.0)</f>
        <v>45340</v>
      </c>
    </row>
    <row r="63">
      <c r="A63" s="32"/>
      <c r="I63" s="31" t="str">
        <f>IFERROR(__xludf.DUMMYFUNCTION("""COMPUTED_VALUE"""),"the pediatric infectious disease journal")</f>
        <v>the pediatric infectious disease journal</v>
      </c>
      <c r="J63" s="38">
        <f>COUNTIF(Data!$F$2:$F9917, $I63)</f>
        <v>14</v>
      </c>
      <c r="T63" s="31" t="s">
        <v>25324</v>
      </c>
      <c r="U63" s="31" t="s">
        <v>25325</v>
      </c>
      <c r="V63" s="32">
        <v>45596.0</v>
      </c>
      <c r="X63" s="31" t="str">
        <f>IFERROR(__xludf.DUMMYFUNCTION("""COMPUTED_VALUE"""),"The enhancer landscape predetermines the skeletal regeneration capacity of stromal cells.")</f>
        <v>The enhancer landscape predetermines the skeletal regeneration capacity of stromal cells.</v>
      </c>
      <c r="Y63" s="31" t="str">
        <f>IFERROR(__xludf.DUMMYFUNCTION("""COMPUTED_VALUE"""),"Hochmann, Sarah; Ou, Kristy; Poupardin, Rodolphe; Mittermeir, Michaela; Textor, Martin; Ali, Salaheddine; Wolf, Martin; Ellinghaus, Agnes; Jacobi, Dorit; Elmiger, Juri A J; Donsante, Samantha; Riminucci, Mara; Schäfer, Richard; Kornak, Uwe; Klein, Oliver;"&amp;" Schallmoser, Katharina; Schmidt-Bleek, Katharina; Duda, Georg N; Polansky, Julia K; Geissler, Sven; Strunk, Dirk")</f>
        <v>Hochmann, Sarah; Ou, Kristy; Poupardin, Rodolphe; Mittermeir, Michaela; Textor, Martin; Ali, Salaheddine; Wolf, Martin; Ellinghaus, Agnes; Jacobi, Dorit; Elmiger, Juri A J; Donsante, Samantha; Riminucci, Mara; Schäfer, Richard; Kornak, Uwe; Klein, Oliver; Schallmoser, Katharina; Schmidt-Bleek, Katharina; Duda, Georg N; Polansky, Julia K; Geissler, Sven; Strunk, Dirk</v>
      </c>
      <c r="Z63" s="31">
        <f>IFERROR(__xludf.DUMMYFUNCTION("""COMPUTED_VALUE"""),2023.0)</f>
        <v>2023</v>
      </c>
      <c r="AA63" s="31">
        <f>IFERROR(__xludf.DUMMYFUNCTION("""COMPUTED_VALUE"""),7.0)</f>
        <v>7</v>
      </c>
      <c r="AC63" s="31" t="str">
        <f>IFERROR(__xludf.DUMMYFUNCTION("""COMPUTED_VALUE"""),"Nosocomial RSV-related In-hospital Mortality in Children &lt;5 Years: A Global Case Series.")</f>
        <v>Nosocomial RSV-related In-hospital Mortality in Children &lt;5 Years: A Global Case Series.</v>
      </c>
      <c r="AD63" s="31" t="str">
        <f>IFERROR(__xludf.DUMMYFUNCTION("""COMPUTED_VALUE"""),"Löwensteyn, Yvette N; Willemsen, Joukje E; Mazur, Natalie I; Scheltema, Nienke M; van Haastregt, Nynke C J; Buuren, Amber A A Ten; van Roessel, Ichelle; Scheepmaker, Dunja; Nair, Harish; van de Ven, Peter M; Bont, Louis J; ,")</f>
        <v>Löwensteyn, Yvette N; Willemsen, Joukje E; Mazur, Natalie I; Scheltema, Nienke M; van Haastregt, Nynke C J; Buuren, Amber A A Ten; van Roessel, Ichelle; Scheepmaker, Dunja; Nair, Harish; van de Ven, Peter M; Bont, Louis J; ,</v>
      </c>
      <c r="AE63" s="32">
        <f>IFERROR(__xludf.DUMMYFUNCTION("""COMPUTED_VALUE"""),44873.0)</f>
        <v>44873</v>
      </c>
      <c r="AF63" s="31" t="str">
        <f>IFERROR(__xludf.DUMMYFUNCTION("""COMPUTED_VALUE"""),"Global variations in funding and use of hemodialysis accesses: an international report using the ISN Global Kidney Health Atlas.")</f>
        <v>Global variations in funding and use of hemodialysis accesses: an international report using the ISN Global Kidney Health Atlas.</v>
      </c>
      <c r="AG63" s="31" t="str">
        <f>IFERROR(__xludf.DUMMYFUNCTION("""COMPUTED_VALUE"""),"Ghimire, Anukul; Shah, Samveg; Chauhan, Utkarsh; Ibrahim, Kwaifa Salihu; Jindal, Kailash; Kazancioglu, Rumeyza; Luyckx, Valerie A; MacRae, Jennifer M; Olanrewaju, Timothy O; Quinn, Robert R; Ravani, Pietro; Shah, Nikhil; Thompson, Stephanie; Tungsanga, So"&amp;"mkanya; Vachharanjani, Tushar; Arruebo, Silvia; Caskey, Fergus J; Damster, Sandrine; Donner, Jo-Ann; Jha, Vivekanand; Levin, Adeera; Malik, Charu; Nangaku, Masaomi; Saad, Syed; Tonelli, Marcello; Ye, Feng; Okpechi, Ikechi G; Bello, Aminu K; Johnson, David"&amp;" W")</f>
        <v>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v>
      </c>
      <c r="AH63" s="32">
        <f>IFERROR(__xludf.DUMMYFUNCTION("""COMPUTED_VALUE"""),45420.0)</f>
        <v>45420</v>
      </c>
      <c r="AI63" s="31" t="str">
        <f>IFERROR(__xludf.DUMMYFUNCTION("""COMPUTED_VALUE"""),"Recruitment and retention challenges and strategies in randomized controlled trials of psychosocial interventions for children with cancer and their parents: a collective case study.")</f>
        <v>Recruitment and retention challenges and strategies in randomized controlled trials of psychosocial interventions for children with cancer and their parents: a collective case study.</v>
      </c>
      <c r="AJ63" s="31" t="str">
        <f>IFERROR(__xludf.DUMMYFUNCTION("""COMPUTED_VALUE"""),"van Driessche, Anne; Beernaert, Kim; Deliens, Luc; Kars, Marijke C; Lyon, Maureen E; Barrera, Maru; Dussel, Veronica; Bidstrup, Pernille; Rosenberg, Abby R; Akard, Terrah F; Cohen, Joachim; De Vleminck, Aline")</f>
        <v>van Driessche, Anne; Beernaert, Kim; Deliens, Luc; Kars, Marijke C; Lyon, Maureen E; Barrera, Maru; Dussel, Veronica; Bidstrup, Pernille; Rosenberg, Abby R; Akard, Terrah F; Cohen, Joachim; De Vleminck, Aline</v>
      </c>
      <c r="AK63" s="32">
        <f>IFERROR(__xludf.DUMMYFUNCTION("""COMPUTED_VALUE"""),45148.0)</f>
        <v>45148</v>
      </c>
      <c r="AL63" s="31" t="str">
        <f>IFERROR(__xludf.DUMMYFUNCTION("""COMPUTED_VALUE"""),"Determinants of Dutch public health professionals' intention to use digital contact tracing support tools: A cross-sectional online questionnaire study.")</f>
        <v>Determinants of Dutch public health professionals' intention to use digital contact tracing support tools: A cross-sectional online questionnaire study.</v>
      </c>
      <c r="AM63" s="31" t="str">
        <f>IFERROR(__xludf.DUMMYFUNCTION("""COMPUTED_VALUE"""),"Helms, Yannick B; Stein, Mart L; Hamdiui, Nora; van der Meer, Akke; Ferreira, José A; Crutzen, Rik; Timen, Aura; Kretzschmar, Mirjam E E")</f>
        <v>Helms, Yannick B; Stein, Mart L; Hamdiui, Nora; van der Meer, Akke; Ferreira, José A; Crutzen, Rik; Timen, Aura; Kretzschmar, Mirjam E E</v>
      </c>
      <c r="AN63" s="32">
        <f>IFERROR(__xludf.DUMMYFUNCTION("""COMPUTED_VALUE"""),45336.0)</f>
        <v>45336</v>
      </c>
    </row>
    <row r="64">
      <c r="A64" s="32"/>
      <c r="I64" s="31" t="str">
        <f>IFERROR(__xludf.DUMMYFUNCTION("""COMPUTED_VALUE"""),"arteriosclerosis thrombosis and vascular biology")</f>
        <v>arteriosclerosis thrombosis and vascular biology</v>
      </c>
      <c r="J64" s="38">
        <f>COUNTIF(Data!$F$2:$F9917, $I64)</f>
        <v>9</v>
      </c>
      <c r="T64" s="31" t="s">
        <v>25774</v>
      </c>
      <c r="U64" s="31" t="s">
        <v>25775</v>
      </c>
      <c r="V64" s="32">
        <v>45596.0</v>
      </c>
      <c r="X64" s="31" t="str">
        <f>IFERROR(__xludf.DUMMYFUNCTION("""COMPUTED_VALUE"""),"Overinterpretation of findings in machine learning prediction model studies in oncology: a systematic review.")</f>
        <v>Overinterpretation of findings in machine learning prediction model studies in oncology: a systematic review.</v>
      </c>
      <c r="Y64" s="31" t="str">
        <f>IFERROR(__xludf.DUMMYFUNCTION("""COMPUTED_VALUE"""),"Dhiman, Paula; Ma, Jie; Andaur Navarro, Constanza L; Speich, Benjamin; Bullock, Garrett; Damen, Johanna A A; Hooft, Lotty; Kirtley, Shona; Riley, Richard D; Van Calster, Ben; Moons, Karel G M; Collins, Gary S")</f>
        <v>Dhiman, Paula; Ma, Jie; Andaur Navarro, Constanza L; Speich, Benjamin; Bullock, Garrett; Damen, Johanna A A; Hooft, Lotty; Kirtley, Shona; Riley, Richard D; Van Calster, Ben; Moons, Karel G M; Collins, Gary S</v>
      </c>
      <c r="Z64" s="31">
        <f>IFERROR(__xludf.DUMMYFUNCTION("""COMPUTED_VALUE"""),2023.0)</f>
        <v>2023</v>
      </c>
      <c r="AA64" s="31">
        <f>IFERROR(__xludf.DUMMYFUNCTION("""COMPUTED_VALUE"""),7.0)</f>
        <v>7</v>
      </c>
      <c r="AC64" s="31"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AD64" s="31" t="str">
        <f>IFERROR(__xludf.DUMMYFUNCTION("""COMPUTED_VALUE"""),"van den Goorbergh, Ruben; van Smeden, Maarten; Timmerman, Dirk; Van Calster, Ben")</f>
        <v>van den Goorbergh, Ruben; van Smeden, Maarten; Timmerman, Dirk; Van Calster, Ben</v>
      </c>
      <c r="AE64" s="32">
        <f>IFERROR(__xludf.DUMMYFUNCTION("""COMPUTED_VALUE"""),44789.0)</f>
        <v>44789</v>
      </c>
      <c r="AF64" s="31" t="str">
        <f>IFERROR(__xludf.DUMMYFUNCTION("""COMPUTED_VALUE"""),"Early life ambient air pollution, household fuel use, and under-5 mortality in Ghana.")</f>
        <v>Early life ambient air pollution, household fuel use, and under-5 mortality in Ghana.</v>
      </c>
      <c r="AG64" s="31" t="str">
        <f>IFERROR(__xludf.DUMMYFUNCTION("""COMPUTED_VALUE"""),"Moro, Ali; Nonterah, Engelbert A; Klipstein-Grobusch, Kerstin; Oladokun, Samuel; Welaga, Paul; Ansah, Patrick O; Hystad, Perry; Vermeulen, Roel; Oduro, Abraham R; Downward, George")</f>
        <v>Moro, Ali; Nonterah, Engelbert A; Klipstein-Grobusch, Kerstin; Oladokun, Samuel; Welaga, Paul; Ansah, Patrick O; Hystad, Perry; Vermeulen, Roel; Oduro, Abraham R; Downward, George</v>
      </c>
      <c r="AH64" s="32">
        <f>IFERROR(__xludf.DUMMYFUNCTION("""COMPUTED_VALUE"""),45406.0)</f>
        <v>45406</v>
      </c>
      <c r="AI64" s="31" t="str">
        <f>IFERROR(__xludf.DUMMYFUNCTION("""COMPUTED_VALUE"""),"What matters most: Exploring the everyday lives of people with dementia.")</f>
        <v>What matters most: Exploring the everyday lives of people with dementia.</v>
      </c>
      <c r="AJ64" s="31" t="str">
        <f>IFERROR(__xludf.DUMMYFUNCTION("""COMPUTED_VALUE"""),"Huizenga, Jacoba; Scheffelaar, Aukelien; Bleijenberg, Nienke; Wilken, Jean Pierre; Keady, John; Van Regenmortel, Tine")</f>
        <v>Huizenga, Jacoba; Scheffelaar, Aukelien; Bleijenberg, Nienke; Wilken, Jean Pierre; Keady, John; Van Regenmortel, Tine</v>
      </c>
      <c r="AK64" s="32">
        <f>IFERROR(__xludf.DUMMYFUNCTION("""COMPUTED_VALUE"""),45139.0)</f>
        <v>45139</v>
      </c>
      <c r="AL64" s="31" t="str">
        <f>IFERROR(__xludf.DUMMYFUNCTION("""COMPUTED_VALUE"""),"Designing tailored maintenance strategies for systematic reviews and clinical practice guidelines using the Portfolio Maintenance by Test-Treatment (POMBYTT) framework.")</f>
        <v>Designing tailored maintenance strategies for systematic reviews and clinical practice guidelines using the Portfolio Maintenance by Test-Treatment (POMBYTT) framework.</v>
      </c>
      <c r="AM64" s="31" t="str">
        <f>IFERROR(__xludf.DUMMYFUNCTION("""COMPUTED_VALUE"""),"Oerbekke, Michiel S; Elbers, Roy G; van der Laan, Maarten J; Hooft, Lotty")</f>
        <v>Oerbekke, Michiel S; Elbers, Roy G; van der Laan, Maarten J; Hooft, Lotty</v>
      </c>
      <c r="AN64" s="32">
        <f>IFERROR(__xludf.DUMMYFUNCTION("""COMPUTED_VALUE"""),45324.0)</f>
        <v>45324</v>
      </c>
    </row>
    <row r="65">
      <c r="A65" s="32"/>
      <c r="I65" s="31" t="str">
        <f>IFERROR(__xludf.DUMMYFUNCTION("""COMPUTED_VALUE"""),"international archives of occupational and environmental health")</f>
        <v>international archives of occupational and environmental health</v>
      </c>
      <c r="J65" s="38">
        <f>COUNTIF(Data!$F$2:$F9917, $I65)</f>
        <v>1</v>
      </c>
      <c r="T65" s="31" t="s">
        <v>25206</v>
      </c>
      <c r="U65" s="31" t="s">
        <v>25207</v>
      </c>
      <c r="V65" s="32">
        <v>45595.0</v>
      </c>
      <c r="X65" s="31" t="str">
        <f>IFERROR(__xludf.DUMMYFUNCTION("""COMPUTED_VALUE"""),"Sex differences in dementia risk and risk factors: Individual-participant data analysis using 21 cohorts across six continents from the COSMIC consortium.")</f>
        <v>Sex differences in dementia risk and risk factors: Individual-participant data analysis using 21 cohorts across six continents from the COSMIC consortium.</v>
      </c>
      <c r="Y65" s="31" t="str">
        <f>IFERROR(__xludf.DUMMYFUNCTION("""COMPUTED_VALUE"""),"Gong, Jessica; Harris, Katie; Lipnicki, Darren M; Castro-Costa, Erico; Lima-Costa, Maria Fernanda; Diniz, Breno S; Xiao, Shifu; Lipton, Richard B; Katz, Mindy J; Wang, Cuiling; Preux, Pierre-Marie; Guerchet, Maëlenn; Gbessemehlan, Antoine; Ritchie, Karen;"&amp;" Ancelin, Marie-Laure; Skoog, Ingmar; Najar, Jenna; Sterner, Therese Rydberg; Scarmeas, Nikolaos; Yannakoulia, Mary; Kosmidis, Mary H; Guaita, Antonio; Rolandi, Elena; Davin, Annalisa; Gureje, Oye; Trompet, Stella; Gussekloo, Jacobijn; Riedel-Heller, Stef"&amp;"fi; Pabst, Alexander; Röhr, Susanne; Shahar, Suzana; Singh, Devinder Kaur Ajit; Rivan, Nurul Fatin Malek; Boxtel, Martin van; Köhler, Sebastian; Ganguli, Mary; Chang, Chung-Chou; Jacobsen, Erin; Haan, Mary; Ding, Ding; Zhao, Qianhua; Xiao, Zhenxu; Narazak"&amp;"i, Kenji; Chen, Tao; Chen, Sanmei; Ng, Tze Pin; Gwee, Xinyi; Numbers, Katya; Mather, Karen A; Scazufca, Marcia; Lobo, Antonio; De-la-Cámara, Concepción; Lobo, Elena; Sachdev, Perminder S; Brodaty, Henry; Hackett, Maree L; Peters, Sanne")</f>
        <v>Gong, Jessica; Harris, Katie; Lipnicki, Darren M; Castro-Costa, Erico; Lima-Costa, Maria Fernanda; Diniz, Breno S; Xiao, Shifu; Lipton, Richard B; Katz, Mindy J; Wang, Cuiling; Preux, Pierre-Marie; Guerchet, Maëlenn; Gbessemehlan, Antoine; Ritchie, Karen; Ancelin, Marie-Laure; Skoog, Ingmar; Najar, Jenna; Sterner, Therese Rydberg; Scarmeas, Nikolaos; Yannakoulia, Mary; Kosmidis, Mary H; Guaita, Antonio; Rolandi, Elena; Davin, Annalisa; Gureje, Oye; Trompet, Stella; Gussekloo, Jacobijn; Riedel-Heller, Steffi; Pabst, Alexander; Röhr, Susanne; Shahar, Suzana; Singh, Devinder Kaur Ajit; Rivan, Nurul Fatin Malek; Boxtel, Martin van; Köhler, Sebastian; Ganguli, Mary; Chang, Chung-Chou; Jacobsen, Erin; Haan, Mary; Ding, Ding; Zhao, Qianhua; Xiao, Zhenxu; Narazaki, Kenji; Chen, Tao; Chen, Sanmei; Ng, Tze Pin; Gwee, Xinyi; Numbers, Katya; Mather, Karen A; Scazufca, Marcia; Lobo, Antonio; De-la-Cámara, Concepción; Lobo, Elena; Sachdev, Perminder S; Brodaty, Henry; Hackett, Maree L; Peters, Sanne</v>
      </c>
      <c r="Z65" s="31">
        <f>IFERROR(__xludf.DUMMYFUNCTION("""COMPUTED_VALUE"""),2023.0)</f>
        <v>2023</v>
      </c>
      <c r="AA65" s="31">
        <f>IFERROR(__xludf.DUMMYFUNCTION("""COMPUTED_VALUE"""),7.0)</f>
        <v>7</v>
      </c>
      <c r="AC65" s="31" t="str">
        <f>IFERROR(__xludf.DUMMYFUNCTION("""COMPUTED_VALUE"""),"A Very Short List of Common Pitfalls in Research Design, Data Analysis, and Reporting.")</f>
        <v>A Very Short List of Common Pitfalls in Research Design, Data Analysis, and Reporting.</v>
      </c>
      <c r="AD65" s="31" t="str">
        <f>IFERROR(__xludf.DUMMYFUNCTION("""COMPUTED_VALUE"""),"van Smeden, Maarten")</f>
        <v>van Smeden, Maarten</v>
      </c>
      <c r="AE65" s="32">
        <f>IFERROR(__xludf.DUMMYFUNCTION("""COMPUTED_VALUE"""),44783.0)</f>
        <v>44783</v>
      </c>
      <c r="AF65" s="31" t="str">
        <f>IFERROR(__xludf.DUMMYFUNCTION("""COMPUTED_VALUE"""),"Trends in body mass index in the pre-dolutegravir period in South Africa.")</f>
        <v>Trends in body mass index in the pre-dolutegravir period in South Africa.</v>
      </c>
      <c r="AG65" s="31" t="str">
        <f>IFERROR(__xludf.DUMMYFUNCTION("""COMPUTED_VALUE"""),"van Ginkel, Florian; Barth, Roos E; Tempelman, Hugo; Klipstein-Grobusch, Kerstin; Grobbee, Diederick E; Scheuermaier, Karine; Venter, Francois W D; Vos-Seda, Alinda G")</f>
        <v>van Ginkel, Florian; Barth, Roos E; Tempelman, Hugo; Klipstein-Grobusch, Kerstin; Grobbee, Diederick E; Scheuermaier, Karine; Venter, Francois W D; Vos-Seda, Alinda G</v>
      </c>
      <c r="AH65" s="32">
        <f>IFERROR(__xludf.DUMMYFUNCTION("""COMPUTED_VALUE"""),45405.0)</f>
        <v>45405</v>
      </c>
      <c r="AI65" s="31" t="str">
        <f>IFERROR(__xludf.DUMMYFUNCTION("""COMPUTED_VALUE"""),"Leadership moments: Understanding nurse clinician-scientists' leadership as embedded sociohistorical practices.")</f>
        <v>Leadership moments: Understanding nurse clinician-scientists' leadership as embedded sociohistorical practices.</v>
      </c>
      <c r="AJ65" s="31" t="str">
        <f>IFERROR(__xludf.DUMMYFUNCTION("""COMPUTED_VALUE"""),"Martini, Dieke; Noordegraaf, Mirko; Schoonhoven, Lisette; Lalleman, Pieterbas; ,")</f>
        <v>Martini, Dieke; Noordegraaf, Mirko; Schoonhoven, Lisette; Lalleman, Pieterbas; ,</v>
      </c>
      <c r="AK65" s="32">
        <f>IFERROR(__xludf.DUMMYFUNCTION("""COMPUTED_VALUE"""),45114.0)</f>
        <v>45114</v>
      </c>
      <c r="AL65" s="31" t="str">
        <f>IFERROR(__xludf.DUMMYFUNCTION("""COMPUTED_VALUE"""),"Age-specific transmission dynamics of SARS-CoV-2 during the first 2 years of the pandemic.")</f>
        <v>Age-specific transmission dynamics of SARS-CoV-2 during the first 2 years of the pandemic.</v>
      </c>
      <c r="AM65" s="31" t="str">
        <f>IFERROR(__xludf.DUMMYFUNCTION("""COMPUTED_VALUE"""),"Boldea, Otilia; Alipoor, Amir; Pei, Sen; Shaman, Jeffrey; Rozhnova, Ganna")</f>
        <v>Boldea, Otilia; Alipoor, Amir; Pei, Sen; Shaman, Jeffrey; Rozhnova, Ganna</v>
      </c>
      <c r="AN65" s="32">
        <f>IFERROR(__xludf.DUMMYFUNCTION("""COMPUTED_VALUE"""),45322.0)</f>
        <v>45322</v>
      </c>
    </row>
    <row r="66">
      <c r="A66" s="32"/>
      <c r="I66" s="31" t="str">
        <f>IFERROR(__xludf.DUMMYFUNCTION("""COMPUTED_VALUE"""),"bmj clinical research ed")</f>
        <v>bmj clinical research ed</v>
      </c>
      <c r="J66" s="38">
        <f>COUNTIF(Data!$F$2:$F9917, $I66)</f>
        <v>82</v>
      </c>
      <c r="T66" s="31" t="s">
        <v>25858</v>
      </c>
      <c r="U66" s="31" t="s">
        <v>25859</v>
      </c>
      <c r="V66" s="32">
        <v>45595.0</v>
      </c>
      <c r="X66" s="31" t="str">
        <f>IFERROR(__xludf.DUMMYFUNCTION("""COMPUTED_VALUE"""),"[89Zr]Zr-DFO-girentuximab and [18F]FDG PET/CT to Predict Watchful Waiting Duration in Patients with Metastatic Clear-cell Renal Cell Carcinoma.")</f>
        <v>[89Zr]Zr-DFO-girentuximab and [18F]FDG PET/CT to Predict Watchful Waiting Duration in Patients with Metastatic Clear-cell Renal Cell Carcinoma.</v>
      </c>
      <c r="Y66" s="31" t="str">
        <f>IFERROR(__xludf.DUMMYFUNCTION("""COMPUTED_VALUE"""),"Verhoeff, Sarah R; Oosting, Sjoukje F; Elias, Sjoerd G; van Es, Suzanne C; Gerritse, Sophie L; Angus, Lindsay; Heskamp, Sandra; Desar, Ingrid M E; Menke-van der Houven van Oordt, C Willemien; van der Veldt, Astrid A M; Arens, Anne I J; Brouwers, Adrienne "&amp;"H; Eisses, Bertha; Mulders, Peter F A; Hoekstra, Otto S; Zwezerijnen, Gerben J C; van der Graaf, Winette T A; Aarntzen, Erik H J G; Oyen, Wim J G; van Herpen, Carla M L")</f>
        <v>Verhoeff, Sarah R; Oosting, Sjoukje F; Elias, Sjoerd G; van Es, Suzanne C; Gerritse, Sophie L; Angus, Lindsay; Heskamp, Sandra; Desar, Ingrid M E; Menke-van der Houven van Oordt, C Willemien; van der Veldt, Astrid A M; Arens, Anne I J; Brouwers, Adrienne H; Eisses, Bertha; Mulders, Peter F A; Hoekstra, Otto S; Zwezerijnen, Gerben J C; van der Graaf, Winette T A; Aarntzen, Erik H J G; Oyen, Wim J G; van Herpen, Carla M L</v>
      </c>
      <c r="Z66" s="31">
        <f>IFERROR(__xludf.DUMMYFUNCTION("""COMPUTED_VALUE"""),2023.0)</f>
        <v>2023</v>
      </c>
      <c r="AA66" s="31">
        <f>IFERROR(__xludf.DUMMYFUNCTION("""COMPUTED_VALUE"""),7.0)</f>
        <v>7</v>
      </c>
      <c r="AC66" s="31"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AD66" s="31"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AE66" s="32">
        <f>IFERROR(__xludf.DUMMYFUNCTION("""COMPUTED_VALUE"""),44775.0)</f>
        <v>44775</v>
      </c>
      <c r="AF66" s="31" t="str">
        <f>IFERROR(__xludf.DUMMYFUNCTION("""COMPUTED_VALUE"""),"Perinatal exposure to traffic related air pollutants and the risk of infection in the first six months of life: a cohort study from a low-middle income country.")</f>
        <v>Perinatal exposure to traffic related air pollutants and the risk of infection in the first six months of life: a cohort study from a low-middle income country.</v>
      </c>
      <c r="AG66" s="31" t="str">
        <f>IFERROR(__xludf.DUMMYFUNCTION("""COMPUTED_VALUE"""),"Soesanti, Frida; Hoek, Gerard; Brunekreef, Bert; Meliefste, Kees; Chen, Jie; Idris, Nikmah S; Putri, Nina D; Uiterwaal, Cuno S P M; Grobbee, Diederick E; Klipstein-Grobusch, Kerstin")</f>
        <v>Soesanti, Frida; Hoek, Gerard; Brunekreef, Bert; Meliefste, Kees; Chen, Jie; Idris, Nikmah S; Putri, Nina D; Uiterwaal, Cuno S P M; Grobbee, Diederick E; Klipstein-Grobusch, Kerstin</v>
      </c>
      <c r="AH66" s="32">
        <f>IFERROR(__xludf.DUMMYFUNCTION("""COMPUTED_VALUE"""),45399.0)</f>
        <v>45399</v>
      </c>
      <c r="AI66" s="31" t="str">
        <f>IFERROR(__xludf.DUMMYFUNCTION("""COMPUTED_VALUE"""),"Understanding rebel nurse leadership-as-practice: Challenging and changing the status quo in hospitals.")</f>
        <v>Understanding rebel nurse leadership-as-practice: Challenging and changing the status quo in hospitals.</v>
      </c>
      <c r="AJ66" s="31" t="str">
        <f>IFERROR(__xludf.DUMMYFUNCTION("""COMPUTED_VALUE"""),"de Kok, Eline; Schoonhoven, Lisette; Lalleman, Pieterbas; Weggelaar, Anne M")</f>
        <v>de Kok, Eline; Schoonhoven, Lisette; Lalleman, Pieterbas; Weggelaar, Anne M</v>
      </c>
      <c r="AK66" s="32">
        <f>IFERROR(__xludf.DUMMYFUNCTION("""COMPUTED_VALUE"""),45112.0)</f>
        <v>45112</v>
      </c>
      <c r="AL66" s="31" t="str">
        <f>IFERROR(__xludf.DUMMYFUNCTION("""COMPUTED_VALUE"""),"Effects of physical exercise during adjuvant chemotherapy for breast cancer on long-term tested and perceived cognition: results of a pragmatic follow-up study.")</f>
        <v>Effects of physical exercise during adjuvant chemotherapy for breast cancer on long-term tested and perceived cognition: results of a pragmatic follow-up study.</v>
      </c>
      <c r="AM66" s="31" t="str">
        <f>IFERROR(__xludf.DUMMYFUNCTION("""COMPUTED_VALUE"""),"Naaktgeboren, Willeke R; Koevoets, Emmie W; Stuiver, Martijn M; van Harten, Wim H; Aaronson, Neil K; van der Wall, Elsken; Velthuis, Miranda; Sonke, Gabe; Schagen, Sanne B; Groen, Wim G; May, Anne M")</f>
        <v>Naaktgeboren, Willeke R; Koevoets, Emmie W; Stuiver, Martijn M; van Harten, Wim H; Aaronson, Neil K; van der Wall, Elsken; Velthuis, Miranda; Sonke, Gabe; Schagen, Sanne B; Groen, Wim G; May, Anne M</v>
      </c>
      <c r="AN66" s="32">
        <f>IFERROR(__xludf.DUMMYFUNCTION("""COMPUTED_VALUE"""),45320.0)</f>
        <v>45320</v>
      </c>
    </row>
    <row r="67">
      <c r="A67" s="32"/>
      <c r="I67" s="31" t="str">
        <f>IFERROR(__xludf.DUMMYFUNCTION("""COMPUTED_VALUE"""),"diabetologia")</f>
        <v>diabetologia</v>
      </c>
      <c r="J67" s="38">
        <f>COUNTIF(Data!$F$2:$F9917, $I67)</f>
        <v>38</v>
      </c>
      <c r="T67" s="31" t="s">
        <v>25014</v>
      </c>
      <c r="U67" s="31" t="s">
        <v>25015</v>
      </c>
      <c r="V67" s="32">
        <v>45594.0</v>
      </c>
      <c r="X67" s="31" t="str">
        <f>IFERROR(__xludf.DUMMYFUNCTION("""COMPUTED_VALUE"""),"A Systematic Review of Chest Imaging Findings in Long COVID Patients.")</f>
        <v>A Systematic Review of Chest Imaging Findings in Long COVID Patients.</v>
      </c>
      <c r="Y67" s="31" t="str">
        <f>IFERROR(__xludf.DUMMYFUNCTION("""COMPUTED_VALUE"""),"Bazdar, Somayeh; Kwee, Anastasia K A L; Houweling, Laura; de Wit-van Wijck, Yolanda; Mohamed Hoesein, Firdaus A A; Downward, George S; Nossent, Esther J; Maitland-van der Zee, Anke H; ,")</f>
        <v>Bazdar, Somayeh; Kwee, Anastasia K A L; Houweling, Laura; de Wit-van Wijck, Yolanda; Mohamed Hoesein, Firdaus A A; Downward, George S; Nossent, Esther J; Maitland-van der Zee, Anke H; ,</v>
      </c>
      <c r="Z67" s="31">
        <f>IFERROR(__xludf.DUMMYFUNCTION("""COMPUTED_VALUE"""),2023.0)</f>
        <v>2023</v>
      </c>
      <c r="AA67" s="31">
        <f>IFERROR(__xludf.DUMMYFUNCTION("""COMPUTED_VALUE"""),7.0)</f>
        <v>7</v>
      </c>
      <c r="AC67" s="31" t="str">
        <f>IFERROR(__xludf.DUMMYFUNCTION("""COMPUTED_VALUE"""),"International changes in respiratory syncytial virus (RSV) epidemiology during the COVID-19 pandemic: Association with school closures.")</f>
        <v>International changes in respiratory syncytial virus (RSV) epidemiology during the COVID-19 pandemic: Association with school closures.</v>
      </c>
      <c r="AD67" s="31" t="str">
        <f>IFERROR(__xludf.DUMMYFUNCTION("""COMPUTED_VALUE"""),"Billard, Marie-Noëlle; van de Ven, Peter M; Baraldi, Bianca; Kragten-Tabatabaie, Leyla; Bont, Louis J; Wildenbeest, Joanne G")</f>
        <v>Billard, Marie-Noëlle; van de Ven, Peter M; Baraldi, Bianca; Kragten-Tabatabaie, Leyla; Bont, Louis J; Wildenbeest, Joanne G</v>
      </c>
      <c r="AE67" s="32">
        <f>IFERROR(__xludf.DUMMYFUNCTION("""COMPUTED_VALUE"""),44734.0)</f>
        <v>44734</v>
      </c>
      <c r="AF67" s="31" t="str">
        <f>IFERROR(__xludf.DUMMYFUNCTION("""COMPUTED_VALUE"""),"Health effects of holistic housing renovation in a disadvantaged neighbourhood in the Netherlands: a qualitative exploration among residents and professionals.")</f>
        <v>Health effects of holistic housing renovation in a disadvantaged neighbourhood in the Netherlands: a qualitative exploration among residents and professionals.</v>
      </c>
      <c r="AG67" s="31" t="str">
        <f>IFERROR(__xludf.DUMMYFUNCTION("""COMPUTED_VALUE"""),"Koops-Van Hoffen, H E; Vendrig-De Punder, Y M R; Van Lenthe, F J; Borlée, F; Jambroes, M; Kamphuis, C B M")</f>
        <v>Koops-Van Hoffen, H E; Vendrig-De Punder, Y M R; Van Lenthe, F J; Borlée, F; Jambroes, M; Kamphuis, C B M</v>
      </c>
      <c r="AH67" s="32">
        <f>IFERROR(__xludf.DUMMYFUNCTION("""COMPUTED_VALUE"""),45398.0)</f>
        <v>45398</v>
      </c>
      <c r="AI67" s="31" t="str">
        <f>IFERROR(__xludf.DUMMYFUNCTION("""COMPUTED_VALUE"""),"Covariate-specific ROC curve analysis can accommodate differences between covariate subgroups in the evaluation of diagnostic accuracy.")</f>
        <v>Covariate-specific ROC curve analysis can accommodate differences between covariate subgroups in the evaluation of diagnostic accuracy.</v>
      </c>
      <c r="AJ67" s="31" t="str">
        <f>IFERROR(__xludf.DUMMYFUNCTION("""COMPUTED_VALUE"""),"Lee, Jenny; van Es, Nick; Takada, Toshihiko; Klok, Frederikus A; Geersing, Geert-Jan; Blume, Jeffrey; Bossuyt, Patrick M; ,")</f>
        <v>Lee, Jenny; van Es, Nick; Takada, Toshihiko; Klok, Frederikus A; Geersing, Geert-Jan; Blume, Jeffrey; Bossuyt, Patrick M; ,</v>
      </c>
      <c r="AK67" s="32">
        <f>IFERROR(__xludf.DUMMYFUNCTION("""COMPUTED_VALUE"""),45085.0)</f>
        <v>45085</v>
      </c>
      <c r="AL67" s="31" t="str">
        <f>IFERROR(__xludf.DUMMYFUNCTION("""COMPUTED_VALUE"""),"Estimation of introduction and transmission rates of SARS-CoV-2 in a prospective household study.")</f>
        <v>Estimation of introduction and transmission rates of SARS-CoV-2 in a prospective household study.</v>
      </c>
      <c r="AM67" s="31" t="str">
        <f>IFERROR(__xludf.DUMMYFUNCTION("""COMPUTED_VALUE"""),"van Boven, Michiel; van Dorp, Christiaan H; Westerhof, Ilse; Jaddoe, Vincent; Heuvelman, Valerie; Duijts, Liesbeth; Fourie, Elandri; Sluiter-Post, Judith; van Houten, Marlies A; Badoux, Paul; Euser, Sjoerd; Herpers, Bjorn; Eggink, Dirk; de Hoog, Marieke; "&amp;"Boom, Trisja; Wildenbeest, Joanne; Bont, Louis; Rozhnova, Ganna; Bonten, Marc J; Kretzschmar, Mirjam E; Bruijning-Verhagen, Patricia")</f>
        <v>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v>
      </c>
      <c r="AN67" s="32">
        <f>IFERROR(__xludf.DUMMYFUNCTION("""COMPUTED_VALUE"""),45320.0)</f>
        <v>45320</v>
      </c>
    </row>
    <row r="68">
      <c r="A68" s="32"/>
      <c r="I68" s="31" t="str">
        <f>IFERROR(__xludf.DUMMYFUNCTION("""COMPUTED_VALUE"""),"pharmacoeconomics")</f>
        <v>pharmacoeconomics</v>
      </c>
      <c r="J68" s="38">
        <f>COUNTIF(Data!$F$2:$F9917, $I68)</f>
        <v>4</v>
      </c>
      <c r="T68" s="31" t="s">
        <v>25147</v>
      </c>
      <c r="U68" s="31" t="s">
        <v>651</v>
      </c>
      <c r="V68" s="32">
        <v>45594.0</v>
      </c>
      <c r="X68" s="31" t="str">
        <f>IFERROR(__xludf.DUMMYFUNCTION("""COMPUTED_VALUE"""),"Trajectories of Cognition and Daily Functioning Before and After Incident Diabetes.")</f>
        <v>Trajectories of Cognition and Daily Functioning Before and After Incident Diabetes.</v>
      </c>
      <c r="Y68" s="31" t="str">
        <f>IFERROR(__xludf.DUMMYFUNCTION("""COMPUTED_VALUE"""),"Ji, Xiaoli; Gao, Hui; Sun, Daoyuan; Zhuang, Jianlin; Fang, Yuan; Wang, Kan; Ahmadizar, Fariba")</f>
        <v>Ji, Xiaoli; Gao, Hui; Sun, Daoyuan; Zhuang, Jianlin; Fang, Yuan; Wang, Kan; Ahmadizar, Fariba</v>
      </c>
      <c r="Z68" s="31">
        <f>IFERROR(__xludf.DUMMYFUNCTION("""COMPUTED_VALUE"""),2023.0)</f>
        <v>2023</v>
      </c>
      <c r="AA68" s="31">
        <f>IFERROR(__xludf.DUMMYFUNCTION("""COMPUTED_VALUE"""),7.0)</f>
        <v>7</v>
      </c>
      <c r="AC68" s="31" t="str">
        <f>IFERROR(__xludf.DUMMYFUNCTION("""COMPUTED_VALUE"""),"Utilization of Pharmacokinetic/Pharmacodynamic Modeling in Pharmacoepidemiological Studies: A Systematic Review on Antiarrhythmic and Glucose-Lowering Medicines.")</f>
        <v>Utilization of Pharmacokinetic/Pharmacodynamic Modeling in Pharmacoepidemiological Studies: A Systematic Review on Antiarrhythmic and Glucose-Lowering Medicines.</v>
      </c>
      <c r="AD68" s="31" t="str">
        <f>IFERROR(__xludf.DUMMYFUNCTION("""COMPUTED_VALUE"""),"Mohammadi Jouabadi, Soroush; Nekouei Shahraki, Mitra; Peymani, Payam; Stricker, Bruno H; Ahmadizar, Fariba")</f>
        <v>Mohammadi Jouabadi, Soroush; Nekouei Shahraki, Mitra; Peymani, Payam; Stricker, Bruno H; Ahmadizar, Fariba</v>
      </c>
      <c r="AE68" s="32">
        <f>IFERROR(__xludf.DUMMYFUNCTION("""COMPUTED_VALUE"""),44732.0)</f>
        <v>44732</v>
      </c>
      <c r="AF68" s="31" t="str">
        <f>IFERROR(__xludf.DUMMYFUNCTION("""COMPUTED_VALUE"""),"Noncommunicable Disease Conditions and HIV in Rural and Urban South Africa: 2005-2015.")</f>
        <v>Noncommunicable Disease Conditions and HIV in Rural and Urban South Africa: 2005-2015.</v>
      </c>
      <c r="AG68" s="31" t="str">
        <f>IFERROR(__xludf.DUMMYFUNCTION("""COMPUTED_VALUE"""),"Lammertyn, Leandi; Klipstein-Grobusch, Kerstin; Kruger, Herculina S; Kruger, Iolanthe M; Fourie, Carla M T")</f>
        <v>Lammertyn, Leandi; Klipstein-Grobusch, Kerstin; Kruger, Herculina S; Kruger, Iolanthe M; Fourie, Carla M T</v>
      </c>
      <c r="AH68" s="32">
        <f>IFERROR(__xludf.DUMMYFUNCTION("""COMPUTED_VALUE"""),45392.0)</f>
        <v>45392</v>
      </c>
      <c r="AI68" s="31" t="str">
        <f>IFERROR(__xludf.DUMMYFUNCTION("""COMPUTED_VALUE"""),"[Diagnosis and therapeutic options in atrial fibrillation].")</f>
        <v>[Diagnosis and therapeutic options in atrial fibrillation].</v>
      </c>
      <c r="AJ68" s="31" t="str">
        <f>IFERROR(__xludf.DUMMYFUNCTION("""COMPUTED_VALUE"""),"Tieleman, Robert G; Geersing, Geert-Jan")</f>
        <v>Tieleman, Robert G; Geersing, Geert-Jan</v>
      </c>
      <c r="AK68" s="32">
        <f>IFERROR(__xludf.DUMMYFUNCTION("""COMPUTED_VALUE"""),45084.0)</f>
        <v>45084</v>
      </c>
      <c r="AL68" s="31" t="str">
        <f>IFERROR(__xludf.DUMMYFUNCTION("""COMPUTED_VALUE"""),"Trends in cataract surgery and healthcare system response during the COVID-19 lockdown in Malaysia: Lessons to be learned.")</f>
        <v>Trends in cataract surgery and healthcare system response during the COVID-19 lockdown in Malaysia: Lessons to be learned.</v>
      </c>
      <c r="AM68" s="31" t="str">
        <f>IFERROR(__xludf.DUMMYFUNCTION("""COMPUTED_VALUE"""),"Lim, Amanda Wei-Yin; Leong, Chin Tho; Salowi, Mohamad Aziz; Lim, Yvonne Mei Fong; Wong, Wen Jun; Hwong, Wen Yea")</f>
        <v>Lim, Amanda Wei-Yin; Leong, Chin Tho; Salowi, Mohamad Aziz; Lim, Yvonne Mei Fong; Wong, Wen Jun; Hwong, Wen Yea</v>
      </c>
      <c r="AN68" s="32">
        <f>IFERROR(__xludf.DUMMYFUNCTION("""COMPUTED_VALUE"""),45318.0)</f>
        <v>45318</v>
      </c>
    </row>
    <row r="69">
      <c r="A69" s="32"/>
      <c r="I69" s="31" t="str">
        <f>IFERROR(__xludf.DUMMYFUNCTION("""COMPUTED_VALUE"""),"frontiers in global womens health")</f>
        <v>frontiers in global womens health</v>
      </c>
      <c r="J69" s="38">
        <f>COUNTIF(Data!$F$2:$F9917, $I69)</f>
        <v>6</v>
      </c>
      <c r="T69" s="31" t="s">
        <v>25648</v>
      </c>
      <c r="U69" s="31" t="s">
        <v>25649</v>
      </c>
      <c r="V69" s="32">
        <v>45593.0</v>
      </c>
      <c r="X69" s="31" t="str">
        <f>IFERROR(__xludf.DUMMYFUNCTION("""COMPUTED_VALUE"""),"Associations between the neighbourhood food environment and cardiovascular disease: a systematic review.")</f>
        <v>Associations between the neighbourhood food environment and cardiovascular disease: a systematic review.</v>
      </c>
      <c r="Y69" s="31" t="str">
        <f>IFERROR(__xludf.DUMMYFUNCTION("""COMPUTED_VALUE"""),"Meijer, Paul; Numans, Hidser; Lakerveld, Jeroen")</f>
        <v>Meijer, Paul; Numans, Hidser; Lakerveld, Jeroen</v>
      </c>
      <c r="Z69" s="31">
        <f>IFERROR(__xludf.DUMMYFUNCTION("""COMPUTED_VALUE"""),2023.0)</f>
        <v>2023</v>
      </c>
      <c r="AA69" s="31">
        <f>IFERROR(__xludf.DUMMYFUNCTION("""COMPUTED_VALUE"""),6.0)</f>
        <v>6</v>
      </c>
      <c r="AC69" s="31" t="str">
        <f>IFERROR(__xludf.DUMMYFUNCTION("""COMPUTED_VALUE"""),"&lt;i&gt;Candida auris&lt;/i&gt;: outbreak fungal pathogen in COVID-19 pandemic: a systematic review and meta-analysis.")</f>
        <v>&lt;i&gt;Candida auris&lt;/i&gt;: outbreak fungal pathogen in COVID-19 pandemic: a systematic review and meta-analysis.</v>
      </c>
      <c r="AD69" s="31" t="str">
        <f>IFERROR(__xludf.DUMMYFUNCTION("""COMPUTED_VALUE"""),"Bagheri Lankarani, Kamran; Akbari, Maryam; Tabrizi, Reza; Vali, Mohebat; Sekhavati, Eghbal; Heydari, Seyed Taghi; Khodadadi, Hossein; Ahmadizar, Fariba")</f>
        <v>Bagheri Lankarani, Kamran; Akbari, Maryam; Tabrizi, Reza; Vali, Mohebat; Sekhavati, Eghbal; Heydari, Seyed Taghi; Khodadadi, Hossein; Ahmadizar, Fariba</v>
      </c>
      <c r="AE69" s="32">
        <f>IFERROR(__xludf.DUMMYFUNCTION("""COMPUTED_VALUE"""),44713.0)</f>
        <v>44713</v>
      </c>
      <c r="AF69" s="31" t="str">
        <f>IFERROR(__xludf.DUMMYFUNCTION("""COMPUTED_VALUE"""),"Capacity for the management of kidney failure in the International Society of Nephrology Western Europe region: report from the 2023 ISN Global Kidney Health Atlas (ISN-GKHA).")</f>
        <v>Capacity for the management of kidney failure in the International Society of Nephrology Western Europe region: report from the 2023 ISN Global Kidney Health Atlas (ISN-GKHA).</v>
      </c>
      <c r="AG69" s="31" t="str">
        <f>IFERROR(__xludf.DUMMYFUNCTION("""COMPUTED_VALUE"""),"Pippias, Maria; Alfano, Gaetano; Kelly, Dearbhla M; Soler, Maria Jose; De Chiara, Letizia; Olanrewaju, Timothy O; Arruebo, Silvia; Bello, Aminu K; Caskey, Fergus J; Damster, Sandrine; Donner, Jo-Ann; Jha, Vivekanand; Johnson, David W; Levin, Adeera; Malik"&amp;", Charu; Nangaku, Masaomi; Okpechi, Ikechi G; Tonelli, Marcello; Ye, Feng; Coppo, Rosanna; Lightstone, Liz; ,")</f>
        <v>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v>
      </c>
      <c r="AH69" s="32">
        <f>IFERROR(__xludf.DUMMYFUNCTION("""COMPUTED_VALUE"""),45390.0)</f>
        <v>45390</v>
      </c>
      <c r="AI69" s="31" t="str">
        <f>IFERROR(__xludf.DUMMYFUNCTION("""COMPUTED_VALUE"""),"Anticoagulants in frail elderly patients with atrial fibrillation: a delicate balance.")</f>
        <v>Anticoagulants in frail elderly patients with atrial fibrillation: a delicate balance.</v>
      </c>
      <c r="AJ69" s="31" t="str">
        <f>IFERROR(__xludf.DUMMYFUNCTION("""COMPUTED_VALUE"""),"Trinks-Roerdink, Emmy M; Geersing, Geert-Jan")</f>
        <v>Trinks-Roerdink, Emmy M; Geersing, Geert-Jan</v>
      </c>
      <c r="AK69" s="32">
        <f>IFERROR(__xludf.DUMMYFUNCTION("""COMPUTED_VALUE"""),45077.0)</f>
        <v>45077</v>
      </c>
      <c r="AL69" s="31" t="str">
        <f>IFERROR(__xludf.DUMMYFUNCTION("""COMPUTED_VALUE"""),"Modest performance of text mining to extract health outcomes may be almost sufficient for high-quality prognostic model development.")</f>
        <v>Modest performance of text mining to extract health outcomes may be almost sufficient for high-quality prognostic model development.</v>
      </c>
      <c r="AM69" s="31" t="str">
        <f>IFERROR(__xludf.DUMMYFUNCTION("""COMPUTED_VALUE"""),"Grotenhuis, Zwierd; Mosteiro, Pablo J; Leeuwenberg, Artuur M")</f>
        <v>Grotenhuis, Zwierd; Mosteiro, Pablo J; Leeuwenberg, Artuur M</v>
      </c>
      <c r="AN69" s="32">
        <f>IFERROR(__xludf.DUMMYFUNCTION("""COMPUTED_VALUE"""),45314.0)</f>
        <v>45314</v>
      </c>
    </row>
    <row r="70">
      <c r="A70" s="32"/>
      <c r="I70" s="31" t="str">
        <f>IFERROR(__xludf.DUMMYFUNCTION("""COMPUTED_VALUE"""),"american heart journal")</f>
        <v>american heart journal</v>
      </c>
      <c r="J70" s="38">
        <f>COUNTIF(Data!$F$2:$F9917, $I70)</f>
        <v>16</v>
      </c>
      <c r="T70" s="31" t="s">
        <v>25686</v>
      </c>
      <c r="U70" s="31" t="s">
        <v>25687</v>
      </c>
      <c r="V70" s="32">
        <v>45593.0</v>
      </c>
      <c r="X70" s="31" t="str">
        <f>IFERROR(__xludf.DUMMYFUNCTION("""COMPUTED_VALUE"""),"Postoperative Staphylococcus aureus Infections in Patients With and Without Preoperative Colonization.")</f>
        <v>Postoperative Staphylococcus aureus Infections in Patients With and Without Preoperative Colonization.</v>
      </c>
      <c r="Y70" s="31" t="str">
        <f>IFERROR(__xludf.DUMMYFUNCTION("""COMPUTED_VALUE"""),"Troeman, Darren P R; Hazard, Derek; Timbermont, Leen; Malhotra-Kumar, Surbhi; van Werkhoven, Cornelis H; Wolkewitz, Martin; Ruzin, Alexey; Goossens, Herman; Bonten, Marc J M; Harbarth, Stephan; Sifakis, Frangiscos; Kluytmans, Jan A J W; ,; Vlaeminck, Jell"&amp;"e; Vilken, Tuba; Xavier, Basil Britto; Lammens, Christine; van Esschoten, Marjolein; Paling, Fleur P; Recanatini, Claudia; Coenjaerts, Frank; Sellman, Bret; Tkaczyk, Christine; Weber, Susanne; Ekkelenkamp, Miquel Bart; van der Laan, Lijckle; Vierhout, Bas"&amp;"tiaan P; Couvé-Deacon, Elodie; David, Miruna; Chadwick, David; Llewelyn, Martin J; Ustianowski, Andrew; Bateman, Antony; Mawer, Damian; Carevic, Biljana; Konstantinovic, Sonja; Djordjevic, Zorana; Del Toro-López, María Dolores; Gallego, Juan Pablo Horcaja"&amp;"da; Escudero, Dolores; Rojo, Miquel Pujol; Torre-Cisneros, Julian; Castelli, Francesco; Nardi, Giuseppe; Barbadoro, Pamela; Altmets, Mait; Mitt, Piret; Todor, Adrian; Bubenek-Turconi, Serban-Ion; Corneci, Dan; Sandesc, Dorel; Gheorghit")</f>
        <v>Troeman, Darren P R; Hazard, Derek; Timbermont, Leen; Malhotra-Kumar, Surbhi; van Werkhoven, Cornelis H; Wolkewitz, Martin; Ruzin, Alexey; Goossens, Herman; Bonten, Marc J M; Harbarth, Stephan; Sifakis, Frangiscos; Kluytmans, Jan A J W; ,; Vlaeminck, Jelle; Vilken, Tuba; Xavier, Basil Britto; Lammens, Christine; van Esschoten, Marjolein; Paling, Fleur P; Recanatini, Claudia; Coenjaerts, Frank; Sellman, Bret; Tkaczyk, Christine; Weber, Susanne; Ekkelenkamp, Miquel Bart; van der Laan, Lijckle; Vierhout, Bastiaan P; Couvé-Deacon, Elodie; David, Miruna; Chadwick, David; Llewelyn, Martin J; Ustianowski, Andrew; Bateman, Antony; Mawer, Damian; Carevic, Biljana; Konstantinovic, Sonja; Djordjevic, Zorana; Del Toro-López, María Dolores; Gallego, Juan Pablo Horcajada; Escudero, Dolores; Rojo, Miquel Pujol; Torre-Cisneros, Julian; Castelli, Francesco; Nardi, Giuseppe; Barbadoro, Pamela; Altmets, Mait; Mitt, Piret; Todor, Adrian; Bubenek-Turconi, Serban-Ion; Corneci, Dan; Sandesc, Dorel; Gheorghit</v>
      </c>
      <c r="Z70" s="31">
        <f>IFERROR(__xludf.DUMMYFUNCTION("""COMPUTED_VALUE"""),2023.0)</f>
        <v>2023</v>
      </c>
      <c r="AA70" s="31">
        <f>IFERROR(__xludf.DUMMYFUNCTION("""COMPUTED_VALUE"""),6.0)</f>
        <v>6</v>
      </c>
      <c r="AC70" s="31" t="str">
        <f>IFERROR(__xludf.DUMMYFUNCTION("""COMPUTED_VALUE"""),"Editorial: Pharmacoepidemiology in Diabetes Mellitus and its Complications: Focus on Response to Medications.")</f>
        <v>Editorial: Pharmacoepidemiology in Diabetes Mellitus and its Complications: Focus on Response to Medications.</v>
      </c>
      <c r="AD70" s="31" t="str">
        <f>IFERROR(__xludf.DUMMYFUNCTION("""COMPUTED_VALUE"""),"Mohammadi Jouabadi, Soroush; Ahluwalia, Tarunveer Singh; Muka, Taulant; Ahmadizar, Fariba")</f>
        <v>Mohammadi Jouabadi, Soroush; Ahluwalia, Tarunveer Singh; Muka, Taulant; Ahmadizar, Fariba</v>
      </c>
      <c r="AE70" s="32">
        <f>IFERROR(__xludf.DUMMYFUNCTION("""COMPUTED_VALUE"""),44705.0)</f>
        <v>44705</v>
      </c>
      <c r="AF70" s="31" t="str">
        <f>IFERROR(__xludf.DUMMYFUNCTION("""COMPUTED_VALUE"""),"Mobile Technology Use in Clinical Research Examining Challenges and Implications for Health Promotion in South Africa: Mixed Methods Study.")</f>
        <v>Mobile Technology Use in Clinical Research Examining Challenges and Implications for Health Promotion in South Africa: Mixed Methods Study.</v>
      </c>
      <c r="AG70" s="31" t="str">
        <f>IFERROR(__xludf.DUMMYFUNCTION("""COMPUTED_VALUE"""),"Mabetha, Khuthala; Soepnel, Larske M; Mabena, Gugulethu; Motlhatlhedi, Molebogeng; Nyati, Lukhanyo; Norris, Shane A; Draper, Catherine E")</f>
        <v>Mabetha, Khuthala; Soepnel, Larske M; Mabena, Gugulethu; Motlhatlhedi, Molebogeng; Nyati, Lukhanyo; Norris, Shane A; Draper, Catherine E</v>
      </c>
      <c r="AH70" s="32">
        <f>IFERROR(__xludf.DUMMYFUNCTION("""COMPUTED_VALUE"""),45390.0)</f>
        <v>45390</v>
      </c>
      <c r="AI70" s="31" t="str">
        <f>IFERROR(__xludf.DUMMYFUNCTION("""COMPUTED_VALUE"""),"Process Evaluation of a Wireless Wearable Continuous Vital Signs Monitoring Intervention in 2 General Hospital Wards: Mixed Methods Study.")</f>
        <v>Process Evaluation of a Wireless Wearable Continuous Vital Signs Monitoring Intervention in 2 General Hospital Wards: Mixed Methods Study.</v>
      </c>
      <c r="AJ70" s="31" t="str">
        <f>IFERROR(__xludf.DUMMYFUNCTION("""COMPUTED_VALUE"""),"Leenen, Jobbe P L; Rasing, Henriëtte J M; Kalkman, Cor J; Schoonhoven, Lisette; Patijn, Gijsbert A")</f>
        <v>Leenen, Jobbe P L; Rasing, Henriëtte J M; Kalkman, Cor J; Schoonhoven, Lisette; Patijn, Gijsbert A</v>
      </c>
      <c r="AK70" s="32">
        <f>IFERROR(__xludf.DUMMYFUNCTION("""COMPUTED_VALUE"""),45050.0)</f>
        <v>45050</v>
      </c>
      <c r="AL70" s="31" t="str">
        <f>IFERROR(__xludf.DUMMYFUNCTION("""COMPUTED_VALUE"""),"Association of amyloid-beta with depression or depressive symptoms in older adults without dementia: a systematic review and meta-analysis.")</f>
        <v>Association of amyloid-beta with depression or depressive symptoms in older adults without dementia: a systematic review and meta-analysis.</v>
      </c>
      <c r="AM70" s="31" t="str">
        <f>IFERROR(__xludf.DUMMYFUNCTION("""COMPUTED_VALUE"""),"Twait, Emma L; Wu, Jen-Hao; Kamarioti, Maria; Basten, Maartje; van der Flier, Wiesje M; Gerritsen, Lotte; Geerlings, Mirjam I")</f>
        <v>Twait, Emma L; Wu, Jen-Hao; Kamarioti, Maria; Basten, Maartje; van der Flier, Wiesje M; Gerritsen, Lotte; Geerlings, Mirjam I</v>
      </c>
      <c r="AN70" s="32">
        <f>IFERROR(__xludf.DUMMYFUNCTION("""COMPUTED_VALUE"""),45306.0)</f>
        <v>45306</v>
      </c>
    </row>
    <row r="71">
      <c r="A71" s="32"/>
      <c r="I71" s="31" t="str">
        <f>IFERROR(__xludf.DUMMYFUNCTION("""COMPUTED_VALUE"""),"clinical infectious diseases an official publication of the infectious diseases society of america")</f>
        <v>clinical infectious diseases an official publication of the infectious diseases society of america</v>
      </c>
      <c r="J71" s="38">
        <f>COUNTIF(Data!$F$2:$F9917, $I71)</f>
        <v>41</v>
      </c>
      <c r="T71" s="31" t="s">
        <v>25278</v>
      </c>
      <c r="U71" s="31" t="s">
        <v>25279</v>
      </c>
      <c r="V71" s="32">
        <v>45591.0</v>
      </c>
      <c r="X71" s="31" t="str">
        <f>IFERROR(__xludf.DUMMYFUNCTION("""COMPUTED_VALUE"""),"A global survey of health care workers' awareness of non-alcoholic fatty liver disease: The AwareNASH survey.")</f>
        <v>A global survey of health care workers' awareness of non-alcoholic fatty liver disease: The AwareNASH survey.</v>
      </c>
      <c r="Y71" s="31" t="str">
        <f>IFERROR(__xludf.DUMMYFUNCTION("""COMPUTED_VALUE"""),"Driessen, Stan; de Jong, Vivian D; van Son, Koen C; Klompenhouwer, Tatiana; Colardelle, Yann; Alings, Marco; Moreno, Cristophe; Anker, Stefan D; Castro Cabezas, Manuel; Holleboom, Adriaan G; Grobbee, Diederick E; Tushuizen, Maarten E")</f>
        <v>Driessen, Stan; de Jong, Vivian D; van Son, Koen C; Klompenhouwer, Tatiana; Colardelle, Yann; Alings, Marco; Moreno, Cristophe; Anker, Stefan D; Castro Cabezas, Manuel; Holleboom, Adriaan G; Grobbee, Diederick E; Tushuizen, Maarten E</v>
      </c>
      <c r="Z71" s="31">
        <f>IFERROR(__xludf.DUMMYFUNCTION("""COMPUTED_VALUE"""),2023.0)</f>
        <v>2023</v>
      </c>
      <c r="AA71" s="31">
        <f>IFERROR(__xludf.DUMMYFUNCTION("""COMPUTED_VALUE"""),6.0)</f>
        <v>6</v>
      </c>
      <c r="AC71" s="31"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AD71" s="31"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AE71" s="32">
        <f>IFERROR(__xludf.DUMMYFUNCTION("""COMPUTED_VALUE"""),44690.0)</f>
        <v>44690</v>
      </c>
      <c r="AF71" s="31" t="str">
        <f>IFERROR(__xludf.DUMMYFUNCTION("""COMPUTED_VALUE"""),"Malaria risk mapping among children under five in Togo.")</f>
        <v>Malaria risk mapping among children under five in Togo.</v>
      </c>
      <c r="AG71" s="31" t="str">
        <f>IFERROR(__xludf.DUMMYFUNCTION("""COMPUTED_VALUE"""),"Kombate, Gountante; Kone, Issouf; Douti, Bili; Soubeiga, Kamba André-Marie; Grobbee, Diederick E; van der Sande, Marianne A B")</f>
        <v>Kombate, Gountante; Kone, Issouf; Douti, Bili; Soubeiga, Kamba André-Marie; Grobbee, Diederick E; van der Sande, Marianne A B</v>
      </c>
      <c r="AH71" s="32">
        <f>IFERROR(__xludf.DUMMYFUNCTION("""COMPUTED_VALUE"""),45390.0)</f>
        <v>45390</v>
      </c>
      <c r="AI71" s="31" t="str">
        <f>IFERROR(__xludf.DUMMYFUNCTION("""COMPUTED_VALUE"""),"Point prevalence audit surveys of respiratory tract infection consultations and antibiotic prescribing in primary care before and during the COVID-19 pandemic in Ireland.")</f>
        <v>Point prevalence audit surveys of respiratory tract infection consultations and antibiotic prescribing in primary care before and during the COVID-19 pandemic in Ireland.</v>
      </c>
      <c r="AJ71" s="31" t="str">
        <f>IFERROR(__xludf.DUMMYFUNCTION("""COMPUTED_VALUE"""),"Shah, M; Fleming, A; Barbosa, T M; van der Velden, A W; Parveen, S; Vellinga, A")</f>
        <v>Shah, M; Fleming, A; Barbosa, T M; van der Velden, A W; Parveen, S; Vellinga, A</v>
      </c>
      <c r="AK71" s="32">
        <f>IFERROR(__xludf.DUMMYFUNCTION("""COMPUTED_VALUE"""),45049.0)</f>
        <v>45049</v>
      </c>
      <c r="AL71" s="31" t="str">
        <f>IFERROR(__xludf.DUMMYFUNCTION("""COMPUTED_VALUE"""),"Prophylactic pectoralis major flap to compensate for increased risk of pharyngocutaneous fistula in laryngectomy patients with low skeletal muscle mass (PECTORALIS): study protocol for a randomized controlled trial.")</f>
        <v>Prophylactic pectoralis major flap to compensate for increased risk of pharyngocutaneous fistula in laryngectomy patients with low skeletal muscle mass (PECTORALIS): study protocol for a randomized controlled trial.</v>
      </c>
      <c r="AM71" s="31" t="str">
        <f>IFERROR(__xludf.DUMMYFUNCTION("""COMPUTED_VALUE"""),"van Beers, Maartje A; Speksnijder, Caroline M; van Gils, Carla H; Frederix, Geert W J; Dankbaar, Jan Willem; de Bree, Remco")</f>
        <v>van Beers, Maartje A; Speksnijder, Caroline M; van Gils, Carla H; Frederix, Geert W J; Dankbaar, Jan Willem; de Bree, Remco</v>
      </c>
      <c r="AN71" s="32">
        <f>IFERROR(__xludf.DUMMYFUNCTION("""COMPUTED_VALUE"""),45306.0)</f>
        <v>45306</v>
      </c>
    </row>
    <row r="72">
      <c r="A72" s="32"/>
      <c r="I72" s="31" t="str">
        <f>IFERROR(__xludf.DUMMYFUNCTION("""COMPUTED_VALUE"""),"ethnicity disease")</f>
        <v>ethnicity disease</v>
      </c>
      <c r="J72" s="38">
        <f>COUNTIF(Data!$F$2:$F9917, $I72)</f>
        <v>1</v>
      </c>
      <c r="T72" s="31" t="s">
        <v>25111</v>
      </c>
      <c r="U72" s="31" t="s">
        <v>25112</v>
      </c>
      <c r="V72" s="32">
        <v>45590.0</v>
      </c>
      <c r="X72" s="31" t="str">
        <f>IFERROR(__xludf.DUMMYFUNCTION("""COMPUTED_VALUE"""),"Prognostic value of Lynch syndrome, BRAF&lt;sup&gt;V600E&lt;/sup&gt; , and RAS mutational status in dMMR/MSI-H metastatic colorectal cancer in a pooled analysis of Dutch and French cohorts.")</f>
        <v>Prognostic value of Lynch syndrome, BRAF&lt;sup&gt;V600E&lt;/sup&gt; , and RAS mutational status in dMMR/MSI-H metastatic colorectal cancer in a pooled analysis of Dutch and French cohorts.</v>
      </c>
      <c r="Y72" s="31" t="str">
        <f>IFERROR(__xludf.DUMMYFUNCTION("""COMPUTED_VALUE"""),"Zwart, Koen; van der Baan, Frederieke H; Cohen, Romain; Aparicio, Thomas; de la Fouchardiére, Christelle; Lecomte, Thierry; Punt, Cornelis J A; Sefrioui, David; Verheijden, Rik J; Vink, Geraldine R; Wensink, G Emerens; Zaanan, Aziz; Koopman, Miriam; Touge"&amp;"ron, David; Roodhart, Jeanine M L")</f>
        <v>Zwart, Koen; van der Baan, Frederieke H; Cohen, Romain; Aparicio, Thomas; de la Fouchardiére, Christelle; Lecomte, Thierry; Punt, Cornelis J A; Sefrioui, David; Verheijden, Rik J; Vink, Geraldine R; Wensink, G Emerens; Zaanan, Aziz; Koopman, Miriam; Tougeron, David; Roodhart, Jeanine M L</v>
      </c>
      <c r="Z72" s="31">
        <f>IFERROR(__xludf.DUMMYFUNCTION("""COMPUTED_VALUE"""),2023.0)</f>
        <v>2023</v>
      </c>
      <c r="AA72" s="31">
        <f>IFERROR(__xludf.DUMMYFUNCTION("""COMPUTED_VALUE"""),6.0)</f>
        <v>6</v>
      </c>
      <c r="AC72" s="31" t="str">
        <f>IFERROR(__xludf.DUMMYFUNCTION("""COMPUTED_VALUE"""),"Measures of (injury and illness) occurrence: a primer on epidemiological concepts and terminology for authors.")</f>
        <v>Measures of (injury and illness) occurrence: a primer on epidemiological concepts and terminology for authors.</v>
      </c>
      <c r="AD72" s="31" t="str">
        <f>IFERROR(__xludf.DUMMYFUNCTION("""COMPUTED_VALUE"""),"Impellizzeri, Franco M; McCall, Alan; Meyer, Tim; van Smeden, Maarten")</f>
        <v>Impellizzeri, Franco M; McCall, Alan; Meyer, Tim; van Smeden, Maarten</v>
      </c>
      <c r="AE72" s="32">
        <f>IFERROR(__xludf.DUMMYFUNCTION("""COMPUTED_VALUE"""),44682.0)</f>
        <v>44682</v>
      </c>
      <c r="AF72" s="31" t="str">
        <f>IFERROR(__xludf.DUMMYFUNCTION("""COMPUTED_VALUE"""),"Developer perspectives on the ethics of AI-driven neural implants: a qualitative study.")</f>
        <v>Developer perspectives on the ethics of AI-driven neural implants: a qualitative study.</v>
      </c>
      <c r="AG72" s="31" t="str">
        <f>IFERROR(__xludf.DUMMYFUNCTION("""COMPUTED_VALUE"""),"van Stuijvenberg, Odile C; Broekman, Marike L D; Wolff, Samantha E C; Bredenoord, Annelien L; Jongsma, Karin R")</f>
        <v>van Stuijvenberg, Odile C; Broekman, Marike L D; Wolff, Samantha E C; Bredenoord, Annelien L; Jongsma, Karin R</v>
      </c>
      <c r="AH72" s="32">
        <f>IFERROR(__xludf.DUMMYFUNCTION("""COMPUTED_VALUE"""),45385.0)</f>
        <v>45385</v>
      </c>
      <c r="AI72" s="31" t="str">
        <f>IFERROR(__xludf.DUMMYFUNCTION("""COMPUTED_VALUE"""),"Family participation in essential care activities in adult intensive care units: An integrative review of interventions and outcomes.")</f>
        <v>Family participation in essential care activities in adult intensive care units: An integrative review of interventions and outcomes.</v>
      </c>
      <c r="AJ72" s="31" t="str">
        <f>IFERROR(__xludf.DUMMYFUNCTION("""COMPUTED_VALUE"""),"Dijkstra, Boukje M; Felten-Barentsz, Karin M; van der Valk, Margriet J M; Pelgrim, Thomas; van der Hoeven, Johannes G; Schoonhoven, Lisette; Ebben, Remco H A; Vloet, Lilian C M")</f>
        <v>Dijkstra, Boukje M; Felten-Barentsz, Karin M; van der Valk, Margriet J M; Pelgrim, Thomas; van der Hoeven, Johannes G; Schoonhoven, Lisette; Ebben, Remco H A; Vloet, Lilian C M</v>
      </c>
      <c r="AK72" s="32">
        <f>IFERROR(__xludf.DUMMYFUNCTION("""COMPUTED_VALUE"""),45032.0)</f>
        <v>45032</v>
      </c>
      <c r="AL72" s="31" t="str">
        <f>IFERROR(__xludf.DUMMYFUNCTION("""COMPUTED_VALUE"""),"Availability of evidence and comparative effectiveness for surgical versus drug interventions: an overview of systematic reviews and meta-analyses.")</f>
        <v>Availability of evidence and comparative effectiveness for surgical versus drug interventions: an overview of systematic reviews and meta-analyses.</v>
      </c>
      <c r="AM72" s="31" t="str">
        <f>IFERROR(__xludf.DUMMYFUNCTION("""COMPUTED_VALUE"""),"Zavalis, Emmanuel A; Rameau, Anaïs; Saraswathula, Anirudh; Vist, Joachim; Schuit, Ewoud; Ioannidis, John P")</f>
        <v>Zavalis, Emmanuel A; Rameau, Anaïs; Saraswathula, Anirudh; Vist, Joachim; Schuit, Ewoud; Ioannidis, John P</v>
      </c>
      <c r="AN72" s="32">
        <f>IFERROR(__xludf.DUMMYFUNCTION("""COMPUTED_VALUE"""),45300.0)</f>
        <v>45300</v>
      </c>
    </row>
    <row r="73">
      <c r="A73" s="32"/>
      <c r="I73" s="31" t="str">
        <f>IFERROR(__xludf.DUMMYFUNCTION("""COMPUTED_VALUE"""),"kidney international supplements")</f>
        <v>kidney international supplements</v>
      </c>
      <c r="J73" s="38">
        <f>COUNTIF(Data!$F$2:$F9917, $I73)</f>
        <v>2</v>
      </c>
      <c r="T73" s="31" t="s">
        <v>25981</v>
      </c>
      <c r="U73" s="31" t="s">
        <v>25982</v>
      </c>
      <c r="V73" s="32">
        <v>45590.0</v>
      </c>
      <c r="X73" s="31" t="str">
        <f>IFERROR(__xludf.DUMMYFUNCTION("""COMPUTED_VALUE"""),"Impact of physical activity on healthcare costs: a systematic review.")</f>
        <v>Impact of physical activity on healthcare costs: a systematic review.</v>
      </c>
      <c r="Y73" s="31" t="str">
        <f>IFERROR(__xludf.DUMMYFUNCTION("""COMPUTED_VALUE"""),"Duijvestijn, Marjolein; de Wit, G Ardine; van Gils, Paul F; Wendel-Vos, G C Wanda")</f>
        <v>Duijvestijn, Marjolein; de Wit, G Ardine; van Gils, Paul F; Wendel-Vos, G C Wanda</v>
      </c>
      <c r="Z73" s="31">
        <f>IFERROR(__xludf.DUMMYFUNCTION("""COMPUTED_VALUE"""),2023.0)</f>
        <v>2023</v>
      </c>
      <c r="AA73" s="31">
        <f>IFERROR(__xludf.DUMMYFUNCTION("""COMPUTED_VALUE"""),6.0)</f>
        <v>6</v>
      </c>
      <c r="AC73" s="31" t="str">
        <f>IFERROR(__xludf.DUMMYFUNCTION("""COMPUTED_VALUE"""),"Growth curves for mandibular range of motion and maximum voluntary bite force in healthy children.")</f>
        <v>Growth curves for mandibular range of motion and maximum voluntary bite force in healthy children.</v>
      </c>
      <c r="AD73" s="31" t="str">
        <f>IFERROR(__xludf.DUMMYFUNCTION("""COMPUTED_VALUE"""),"Verkouteren, Daan R C; de Sonnaville, Willemijn F C; Zuithoff, Nicolaas P A; Wulffraat, Nico M; Steenks, Michel H; Rosenberg, Antoine J W P")</f>
        <v>Verkouteren, Daan R C; de Sonnaville, Willemijn F C; Zuithoff, Nicolaas P A; Wulffraat, Nico M; Steenks, Michel H; Rosenberg, Antoine J W P</v>
      </c>
      <c r="AE73" s="32">
        <f>IFERROR(__xludf.DUMMYFUNCTION("""COMPUTED_VALUE"""),44679.0)</f>
        <v>44679</v>
      </c>
      <c r="AF73" s="31" t="str">
        <f>IFERROR(__xludf.DUMMYFUNCTION("""COMPUTED_VALUE"""),"Embodiment and regenerative implants: a proposal for entanglement.")</f>
        <v>Embodiment and regenerative implants: a proposal for entanglement.</v>
      </c>
      <c r="AG73" s="31" t="str">
        <f>IFERROR(__xludf.DUMMYFUNCTION("""COMPUTED_VALUE"""),"van Daal, Manon; de Kanter, Anne-Floor J; Jongsma, Karin R; Bredenoord, Annelien L; de Graeff, Nienke")</f>
        <v>van Daal, Manon; de Kanter, Anne-Floor J; Jongsma, Karin R; Bredenoord, Annelien L; de Graeff, Nienke</v>
      </c>
      <c r="AH73" s="32">
        <f>IFERROR(__xludf.DUMMYFUNCTION("""COMPUTED_VALUE"""),45367.0)</f>
        <v>45367</v>
      </c>
      <c r="AI73" s="31" t="str">
        <f>IFERROR(__xludf.DUMMYFUNCTION("""COMPUTED_VALUE"""),"Use of preventive medication and supplements in general practice in patients in their last year of life: a Retrospective cohort study.")</f>
        <v>Use of preventive medication and supplements in general practice in patients in their last year of life: a Retrospective cohort study.</v>
      </c>
      <c r="AJ73" s="31" t="str">
        <f>IFERROR(__xludf.DUMMYFUNCTION("""COMPUTED_VALUE"""),"Antonisse, Anne; van der Baan, Frederieke H; Grant, Matthew; Uyttewaal, Gon; Verboeket, Cathelijne; Smits-Pelser, Hanneke; Teunissen, Saskia C C M; Geijteman, Eric C T")</f>
        <v>Antonisse, Anne; van der Baan, Frederieke H; Grant, Matthew; Uyttewaal, Gon; Verboeket, Cathelijne; Smits-Pelser, Hanneke; Teunissen, Saskia C C M; Geijteman, Eric C T</v>
      </c>
      <c r="AK73" s="32">
        <f>IFERROR(__xludf.DUMMYFUNCTION("""COMPUTED_VALUE"""),45031.0)</f>
        <v>45031</v>
      </c>
      <c r="AL73" s="31" t="str">
        <f>IFERROR(__xludf.DUMMYFUNCTION("""COMPUTED_VALUE"""),"Identifying factors in the provision of intravenous stroke thrombolysis in Malaysia: a multiple case study from the healthcare providers' perspective.")</f>
        <v>Identifying factors in the provision of intravenous stroke thrombolysis in Malaysia: a multiple case study from the healthcare providers' perspective.</v>
      </c>
      <c r="AM73" s="31" t="str">
        <f>IFERROR(__xludf.DUMMYFUNCTION("""COMPUTED_VALUE"""),"Hwong, Wen Yea; Ng, Sock Wen; Tong, Seng Fah; Ab Rahman, Norazida; Law, Wan Chung; Wong, Sing Keat; Puvanarajah, Santhi Datuk; Mohd Norzi, Aisyah; Lian, Fiona Suling; Sivasampu, Sheamini")</f>
        <v>Hwong, Wen Yea; Ng, Sock Wen; Tong, Seng Fah; Ab Rahman, Norazida; Law, Wan Chung; Wong, Sing Keat; Puvanarajah, Santhi Datuk; Mohd Norzi, Aisyah; Lian, Fiona Suling; Sivasampu, Sheamini</v>
      </c>
      <c r="AN73" s="32">
        <f>IFERROR(__xludf.DUMMYFUNCTION("""COMPUTED_VALUE"""),45296.0)</f>
        <v>45296</v>
      </c>
    </row>
    <row r="74">
      <c r="A74" s="32"/>
      <c r="I74" s="31" t="str">
        <f>IFERROR(__xludf.DUMMYFUNCTION("""COMPUTED_VALUE"""),"jmir formative research")</f>
        <v>jmir formative research</v>
      </c>
      <c r="J74" s="38">
        <f>COUNTIF(Data!$F$2:$F9917, $I74)</f>
        <v>6</v>
      </c>
      <c r="T74" s="31" t="s">
        <v>25006</v>
      </c>
      <c r="U74" s="31" t="s">
        <v>25007</v>
      </c>
      <c r="V74" s="32">
        <v>45589.0</v>
      </c>
      <c r="X74" s="31" t="str">
        <f>IFERROR(__xludf.DUMMYFUNCTION("""COMPUTED_VALUE"""),"Longitudinal association of electrocardiogram abnormalities with major adverse cardiac events in people with Type 2 diabetes: the Hoorn Diabetes Care System cohort.")</f>
        <v>Longitudinal association of electrocardiogram abnormalities with major adverse cardiac events in people with Type 2 diabetes: the Hoorn Diabetes Care System cohort.</v>
      </c>
      <c r="Y74" s="31" t="str">
        <f>IFERROR(__xludf.DUMMYFUNCTION("""COMPUTED_VALUE"""),"Harms, Peter P; Elders, Petra P J M; Rutters, Femke; Lissenberg-Witte, Birgit I; Tan, Hanno L; Beulens, Joline W J; Nijpels, Giel; van der Heijden, Amber A; ,")</f>
        <v>Harms, Peter P; Elders, Petra P J M; Rutters, Femke; Lissenberg-Witte, Birgit I; Tan, Hanno L; Beulens, Joline W J; Nijpels, Giel; van der Heijden, Amber A; ,</v>
      </c>
      <c r="Z74" s="31">
        <f>IFERROR(__xludf.DUMMYFUNCTION("""COMPUTED_VALUE"""),2023.0)</f>
        <v>2023</v>
      </c>
      <c r="AA74" s="31">
        <f>IFERROR(__xludf.DUMMYFUNCTION("""COMPUTED_VALUE"""),6.0)</f>
        <v>6</v>
      </c>
      <c r="AC74" s="31" t="str">
        <f>IFERROR(__xludf.DUMMYFUNCTION("""COMPUTED_VALUE"""),"A Landscape Analysis of Post-Marketing Studies Registered in the EU PAS Register and ClinicalTrials.gov Focusing on Pregnancy Outcomes or Breastfeeding Effects: A Contribution from the ConcePTION Project.")</f>
        <v>A Landscape Analysis of Post-Marketing Studies Registered in the EU PAS Register and ClinicalTrials.gov Focusing on Pregnancy Outcomes or Breastfeeding Effects: A Contribution from the ConcePTION Project.</v>
      </c>
      <c r="AD74" s="31" t="str">
        <f>IFERROR(__xludf.DUMMYFUNCTION("""COMPUTED_VALUE"""),"Roque Pereira, Leonardo; Durán, Carlos E; Layton, Deborah; Poulentzas, Georgios; Lalagkas, Panagiotis-Nikolaos; Kontogiorgis, Christos; Sturkenboom, Miriam")</f>
        <v>Roque Pereira, Leonardo; Durán, Carlos E; Layton, Deborah; Poulentzas, Georgios; Lalagkas, Panagiotis-Nikolaos; Kontogiorgis, Christos; Sturkenboom, Miriam</v>
      </c>
      <c r="AE74" s="32">
        <f>IFERROR(__xludf.DUMMYFUNCTION("""COMPUTED_VALUE"""),44651.0)</f>
        <v>44651</v>
      </c>
      <c r="AF74" s="31" t="str">
        <f>IFERROR(__xludf.DUMMYFUNCTION("""COMPUTED_VALUE"""),"A qualitative analysis of community health worker perspectives on the implementation of the preconception and pregnancy phases of the Bukhali randomised controlled trial.")</f>
        <v>A qualitative analysis of community health worker perspectives on the implementation of the preconception and pregnancy phases of the Bukhali randomised controlled trial.</v>
      </c>
      <c r="AG74" s="31" t="str">
        <f>IFERROR(__xludf.DUMMYFUNCTION("""COMPUTED_VALUE"""),"Soepnel, Larske M; Norris, Shane A; Mabetha, Khuthala; Motlhatlhedi, Molebogeng; Nkosi, Nokuthula; Lye, Stephen; Draper, Catherine E")</f>
        <v>Soepnel, Larske M; Norris, Shane A; Mabetha, Khuthala; Motlhatlhedi, Molebogeng; Nkosi, Nokuthula; Lye, Stephen; Draper, Catherine E</v>
      </c>
      <c r="AH74" s="32">
        <f>IFERROR(__xludf.DUMMYFUNCTION("""COMPUTED_VALUE"""),45365.0)</f>
        <v>45365</v>
      </c>
      <c r="AI74" s="31" t="str">
        <f>IFERROR(__xludf.DUMMYFUNCTION("""COMPUTED_VALUE"""),"Interventions for improving psychosocial well-being after stroke: A systematic review.")</f>
        <v>Interventions for improving psychosocial well-being after stroke: A systematic review.</v>
      </c>
      <c r="AJ74" s="31" t="str">
        <f>IFERROR(__xludf.DUMMYFUNCTION("""COMPUTED_VALUE"""),"van Nimwegen, Dagmar; Hjelle, Ellen Gabrielsen; Bragstad, Line Kildal; Kirkevold, Marit; Sveen, Unni; Hafsteinsdóttir, Thóra; Schoonhoven, Lisette; Visser-Meily, Johanna; de Man-van Ginkel, Janneke M")</f>
        <v>van Nimwegen, Dagmar; Hjelle, Ellen Gabrielsen; Bragstad, Line Kildal; Kirkevold, Marit; Sveen, Unni; Hafsteinsdóttir, Thóra; Schoonhoven, Lisette; Visser-Meily, Johanna; de Man-van Ginkel, Janneke M</v>
      </c>
      <c r="AK74" s="32">
        <f>IFERROR(__xludf.DUMMYFUNCTION("""COMPUTED_VALUE"""),45013.0)</f>
        <v>45013</v>
      </c>
      <c r="AL74" s="31" t="str">
        <f>IFERROR(__xludf.DUMMYFUNCTION("""COMPUTED_VALUE"""),"Impact of fatigue in surgeons on performance and patient outcome: systematic review.")</f>
        <v>Impact of fatigue in surgeons on performance and patient outcome: systematic review.</v>
      </c>
      <c r="AM74" s="31" t="str">
        <f>IFERROR(__xludf.DUMMYFUNCTION("""COMPUTED_VALUE"""),"Reijmerink, Iris M; van der Laan, Maarten J; Wietasch, J K Götz; Hooft, Lotty; Cnossen, Fokie")</f>
        <v>Reijmerink, Iris M; van der Laan, Maarten J; Wietasch, J K Götz; Hooft, Lotty; Cnossen, Fokie</v>
      </c>
      <c r="AN74" s="32">
        <f>IFERROR(__xludf.DUMMYFUNCTION("""COMPUTED_VALUE"""),45294.0)</f>
        <v>45294</v>
      </c>
    </row>
    <row r="75">
      <c r="A75" s="32"/>
      <c r="I75" s="31" t="str">
        <f>IFERROR(__xludf.DUMMYFUNCTION("""COMPUTED_VALUE"""),"the american journal of hospice palliative care")</f>
        <v>the american journal of hospice palliative care</v>
      </c>
      <c r="J75" s="38">
        <f>COUNTIF(Data!$F$2:$F9917, $I75)</f>
        <v>8</v>
      </c>
      <c r="T75" s="31" t="s">
        <v>25547</v>
      </c>
      <c r="U75" s="31" t="s">
        <v>25548</v>
      </c>
      <c r="V75" s="32">
        <v>45589.0</v>
      </c>
      <c r="X75" s="31" t="str">
        <f>IFERROR(__xludf.DUMMYFUNCTION("""COMPUTED_VALUE"""),"PERSPECTIVEs on supervised exercise programs in people with metastatic breast cancer- a qualitative study in four European countries.")</f>
        <v>PERSPECTIVEs on supervised exercise programs in people with metastatic breast cancer- a qualitative study in four European countries.</v>
      </c>
      <c r="Y75" s="31" t="str">
        <f>IFERROR(__xludf.DUMMYFUNCTION("""COMPUTED_VALUE"""),"Depenbusch, Johanna; Sweegers, Maike G; Aaronson, Neil K; Wengström, Yvonne; Backman, Malin; Arraras, Juan I; Schranz, Melanie; Büchler, Britta; Lachowicz, Milena; May, Anne M; Steindorf, Karen; Stuiver, Martijn M")</f>
        <v>Depenbusch, Johanna; Sweegers, Maike G; Aaronson, Neil K; Wengström, Yvonne; Backman, Malin; Arraras, Juan I; Schranz, Melanie; Büchler, Britta; Lachowicz, Milena; May, Anne M; Steindorf, Karen; Stuiver, Martijn M</v>
      </c>
      <c r="Z75" s="31">
        <f>IFERROR(__xludf.DUMMYFUNCTION("""COMPUTED_VALUE"""),2023.0)</f>
        <v>2023</v>
      </c>
      <c r="AA75" s="31">
        <f>IFERROR(__xludf.DUMMYFUNCTION("""COMPUTED_VALUE"""),6.0)</f>
        <v>6</v>
      </c>
      <c r="AC75" s="31" t="str">
        <f>IFERROR(__xludf.DUMMYFUNCTION("""COMPUTED_VALUE"""),"Methodological aspects of a randomized within-patient concurrent controlled design for clinical trials in spine surgery.")</f>
        <v>Methodological aspects of a randomized within-patient concurrent controlled design for clinical trials in spine surgery.</v>
      </c>
      <c r="AD75" s="31" t="str">
        <f>IFERROR(__xludf.DUMMYFUNCTION("""COMPUTED_VALUE"""),"Lehr, A Mechteld; Jacobs, Wilco Ch; Stellato, Rebecca K; Castelein, René M; Cumhur Oner, F; Kruyt, Moyo C")</f>
        <v>Lehr, A Mechteld; Jacobs, Wilco Ch; Stellato, Rebecca K; Castelein, René M; Cumhur Oner, F; Kruyt, Moyo C</v>
      </c>
      <c r="AE75" s="32">
        <f>IFERROR(__xludf.DUMMYFUNCTION("""COMPUTED_VALUE"""),44637.0)</f>
        <v>44637</v>
      </c>
      <c r="AF75" s="31" t="str">
        <f>IFERROR(__xludf.DUMMYFUNCTION("""COMPUTED_VALUE"""),"Dietary intake of plant- and animal-derived protein and incident cardiovascular diseases: the pan-European EPIC-CVD case-cohort study.")</f>
        <v>Dietary intake of plant- and animal-derived protein and incident cardiovascular diseases: the pan-European EPIC-CVD case-cohort study.</v>
      </c>
      <c r="AG75" s="31" t="str">
        <f>IFERROR(__xludf.DUMMYFUNCTION("""COMPUTED_VALUE"""),"Zheng, Ju-Sheng; Steur, Marinka; Imamura, Fumiaki; Freisling, Heinz; Johnson, Laura; van der Schouw, Yvonne T; Tong, Tammy Yn; Weiderpass, Elisabete; Bajracharya, Rashmita; Crous-Bou, Marta; Dahm, Christina C; Heath, Alicia K; Ibsen, Daniel B; Jannasch, F"&amp;"ranziska; Katzke, Verena; Masala, Giovanna; Moreno-Iribas, Conchi; Sacerdote, Carlotta; Schulze, Matthias B; Sieri, Sabina; Wareham, Nicholas J; Danesh, John; Butterworth, Adam S; Forouhi, Nita G")</f>
        <v>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v>
      </c>
      <c r="AH75" s="32">
        <f>IFERROR(__xludf.DUMMYFUNCTION("""COMPUTED_VALUE"""),45362.0)</f>
        <v>45362</v>
      </c>
      <c r="AI75" s="31" t="str">
        <f>IFERROR(__xludf.DUMMYFUNCTION("""COMPUTED_VALUE"""),"Patient perceptions and understanding of pressure ulcer risk in the community: Empirical Research Qualitative.")</f>
        <v>Patient perceptions and understanding of pressure ulcer risk in the community: Empirical Research Qualitative.</v>
      </c>
      <c r="AJ75" s="31" t="str">
        <f>IFERROR(__xludf.DUMMYFUNCTION("""COMPUTED_VALUE"""),"Ledger, Lisa Jayne; Worsley, Peter R; Hope, Jo; Schoonhoven, Lisette")</f>
        <v>Ledger, Lisa Jayne; Worsley, Peter R; Hope, Jo; Schoonhoven, Lisette</v>
      </c>
      <c r="AK75" s="32">
        <f>IFERROR(__xludf.DUMMYFUNCTION("""COMPUTED_VALUE"""),44999.0)</f>
        <v>44999</v>
      </c>
      <c r="AL75" s="31" t="str">
        <f>IFERROR(__xludf.DUMMYFUNCTION("""COMPUTED_VALUE"""),"Associations between HbA1c Reduction and Change in Depressive Symptoms following Glucose-lowering Treatment in Adults: A Systematic Review of Intervention Studies.")</f>
        <v>Associations between HbA1c Reduction and Change in Depressive Symptoms following Glucose-lowering Treatment in Adults: A Systematic Review of Intervention Studies.</v>
      </c>
      <c r="AM75" s="31" t="str">
        <f>IFERROR(__xludf.DUMMYFUNCTION("""COMPUTED_VALUE"""),"Schmitt, Andreas; Beran, Magdalena; Geraets, Anouk; Iversen, Marjolein M; Nefs, Giesje; Nouwen, Arie; Pouwer, Frans; Huber, Jörg W; Schram, Miranda T")</f>
        <v>Schmitt, Andreas; Beran, Magdalena; Geraets, Anouk; Iversen, Marjolein M; Nefs, Giesje; Nouwen, Arie; Pouwer, Frans; Huber, Jörg W; Schram, Miranda T</v>
      </c>
      <c r="AN75" s="32">
        <f>IFERROR(__xludf.DUMMYFUNCTION("""COMPUTED_VALUE"""),45292.0)</f>
        <v>45292</v>
      </c>
    </row>
    <row r="76">
      <c r="A76" s="32"/>
      <c r="I76" s="31" t="str">
        <f>IFERROR(__xludf.DUMMYFUNCTION("""COMPUTED_VALUE"""),"journal of the national cancer institute")</f>
        <v>journal of the national cancer institute</v>
      </c>
      <c r="J76" s="38">
        <f>COUNTIF(Data!$F$2:$F9917, $I76)</f>
        <v>10</v>
      </c>
      <c r="T76" s="31" t="s">
        <v>25920</v>
      </c>
      <c r="U76" s="31" t="s">
        <v>25913</v>
      </c>
      <c r="V76" s="32">
        <v>45589.0</v>
      </c>
      <c r="X76" s="31" t="str">
        <f>IFERROR(__xludf.DUMMYFUNCTION("""COMPUTED_VALUE"""),"The ethics of ethics conferences: Is Qatar a desirable location for a bioethics conference?")</f>
        <v>The ethics of ethics conferences: Is Qatar a desirable location for a bioethics conference?</v>
      </c>
      <c r="Y76" s="31" t="str">
        <f>IFERROR(__xludf.DUMMYFUNCTION("""COMPUTED_VALUE"""),"van der Graaf, Rieke; Jongsma, Karin; van de Vathorst, Suzanne; de Vries, Martine; Bolt, Ineke")</f>
        <v>van der Graaf, Rieke; Jongsma, Karin; van de Vathorst, Suzanne; de Vries, Martine; Bolt, Ineke</v>
      </c>
      <c r="Z76" s="31">
        <f>IFERROR(__xludf.DUMMYFUNCTION("""COMPUTED_VALUE"""),2023.0)</f>
        <v>2023</v>
      </c>
      <c r="AA76" s="31">
        <f>IFERROR(__xludf.DUMMYFUNCTION("""COMPUTED_VALUE"""),6.0)</f>
        <v>6</v>
      </c>
      <c r="AC76" s="31" t="str">
        <f>IFERROR(__xludf.DUMMYFUNCTION("""COMPUTED_VALUE"""),"Clinical outcomes of second relapsed and refractory first relapsed paediatric AML: A retrospective study within the NOPHO-DB SHIP consortium.")</f>
        <v>Clinical outcomes of second relapsed and refractory first relapsed paediatric AML: A retrospective study within the NOPHO-DB SHIP consortium.</v>
      </c>
      <c r="AD76" s="31" t="str">
        <f>IFERROR(__xludf.DUMMYFUNCTION("""COMPUTED_VALUE"""),"White, Tara; Kaspers, Gertjan; Abrahamsson, Jonas; Arad-Cohen, Nira; Cianci, Daniela; Fernandez, Jose; Ha, Shau-Yin; Hasle, Henrik; De Moerloose, Barbara; Zwaan, C Michel; Goemans, Bianca F")</f>
        <v>White, Tara; Kaspers, Gertjan; Abrahamsson, Jonas; Arad-Cohen, Nira; Cianci, Daniela; Fernandez, Jose; Ha, Shau-Yin; Hasle, Henrik; De Moerloose, Barbara; Zwaan, C Michel; Goemans, Bianca F</v>
      </c>
      <c r="AE76" s="32">
        <f>IFERROR(__xludf.DUMMYFUNCTION("""COMPUTED_VALUE"""),44596.0)</f>
        <v>44596</v>
      </c>
      <c r="AF76" s="31" t="str">
        <f>IFERROR(__xludf.DUMMYFUNCTION("""COMPUTED_VALUE"""),"Lifetime and 10-year cardiovascular risk prediction in individuals with type 1 diabetes: The LIFE-T1D model.")</f>
        <v>Lifetime and 10-year cardiovascular risk prediction in individuals with type 1 diabetes: The LIFE-T1D model.</v>
      </c>
      <c r="AG76" s="31" t="str">
        <f>IFERROR(__xludf.DUMMYFUNCTION("""COMPUTED_VALUE"""),"Helmink, Marga A G; Hageman, Steven H J; Eliasson, Björn; Sattar, Naveed; Visseren, Frank L J; Dorresteijn, Jannick A N; Harris, Katie; Peters, Sanne A E; Woodward, Mark; Szentkúti, Péter; Højlund, Kurt; Henriksen, Jan Erik; Sørensen, Henrik Toft; Serné, "&amp;"Erik H; van Sloten, Thomas T; Thomsen, Reimar W; Westerink, Jan")</f>
        <v>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v>
      </c>
      <c r="AH76" s="32">
        <f>IFERROR(__xludf.DUMMYFUNCTION("""COMPUTED_VALUE"""),45359.0)</f>
        <v>45359</v>
      </c>
      <c r="AI76" s="31" t="str">
        <f>IFERROR(__xludf.DUMMYFUNCTION("""COMPUTED_VALUE"""),"Factors That Influence the Use of eHealth in Home Care: Scoping Review and Cross-sectional Survey.")</f>
        <v>Factors That Influence the Use of eHealth in Home Care: Scoping Review and Cross-sectional Survey.</v>
      </c>
      <c r="AJ76" s="31" t="str">
        <f>IFERROR(__xludf.DUMMYFUNCTION("""COMPUTED_VALUE"""),"Mathijssen, Elke; de Lange, Wendela; Bleijenberg, Nienke; van Houwelingen, Thijs; Jaarsma, Tiny; Trappenburg, Jaap; Westland, Heleen")</f>
        <v>Mathijssen, Elke; de Lange, Wendela; Bleijenberg, Nienke; van Houwelingen, Thijs; Jaarsma, Tiny; Trappenburg, Jaap; Westland, Heleen</v>
      </c>
      <c r="AK76" s="32">
        <f>IFERROR(__xludf.DUMMYFUNCTION("""COMPUTED_VALUE"""),44994.0)</f>
        <v>44994</v>
      </c>
      <c r="AL76" s="31" t="str">
        <f>IFERROR(__xludf.DUMMYFUNCTION("""COMPUTED_VALUE"""),"Early COVID-19 vaccine effectiveness of XBB.1.5 vaccine against hospitalisation and admission to intensive care, the Netherlands, 9 October to 5 December 2023.")</f>
        <v>Early COVID-19 vaccine effectiveness of XBB.1.5 vaccine against hospitalisation and admission to intensive care, the Netherlands, 9 October to 5 December 2023.</v>
      </c>
      <c r="AM76" s="31" t="str">
        <f>IFERROR(__xludf.DUMMYFUNCTION("""COMPUTED_VALUE"""),"van Werkhoven, C Henri; Valk, Anne-Wil; Smagge, Bente; de Melker, Hester E; Knol, Mirjam J; Hahné, Susan Jm; van den Hof, Susan; de Gier, Brechje")</f>
        <v>van Werkhoven, C Henri; Valk, Anne-Wil; Smagge, Bente; de Melker, Hester E; Knol, Mirjam J; Hahné, Susan Jm; van den Hof, Susan; de Gier, Brechje</v>
      </c>
      <c r="AN76" s="32">
        <f>IFERROR(__xludf.DUMMYFUNCTION("""COMPUTED_VALUE"""),45292.0)</f>
        <v>45292</v>
      </c>
    </row>
    <row r="77">
      <c r="A77" s="32"/>
      <c r="I77" s="31" t="str">
        <f>IFERROR(__xludf.DUMMYFUNCTION("""COMPUTED_VALUE"""),"heart british cardiac society")</f>
        <v>heart british cardiac society</v>
      </c>
      <c r="J77" s="38">
        <f>COUNTIF(Data!$F$2:$F9917, $I77)</f>
        <v>34</v>
      </c>
      <c r="T77" s="31" t="s">
        <v>25068</v>
      </c>
      <c r="U77" s="31" t="s">
        <v>25069</v>
      </c>
      <c r="V77" s="32">
        <v>45586.0</v>
      </c>
      <c r="X77" s="31" t="str">
        <f>IFERROR(__xludf.DUMMYFUNCTION("""COMPUTED_VALUE"""),"Consortium for the Study of Pregnancy Treatments (Co-OPT): An international birth cohort to study the effects of antenatal corticosteroids.")</f>
        <v>Consortium for the Study of Pregnancy Treatments (Co-OPT): An international birth cohort to study the effects of antenatal corticosteroids.</v>
      </c>
      <c r="Y77" s="31" t="str">
        <f>IFERROR(__xludf.DUMMYFUNCTION("""COMPUTED_VALUE"""),"Frier, Emily M; Lin, Chun; Reynolds, Rebecca M; Allegaert, Karel; Been, Jasper V; Fraser, Abigail; Gissler, Mika; Einarsdóttir, Kristjana; Florian, Lani; Jacobsson, Bo; Vogel, Joshua P; Zoega, Helga; Bhattacharya, Sohinee; Krispin, Eyal; Henning Pedersen,"&amp;" Lars; Roberts, Devender; Kuhle, Stefan; Fahey, John; Mol, Ben W; Burgner, David; Schuit, Ewoud; Sheikh, Aziz; Wood, Rachael; Gyamfi-Bannerman, Cynthia; Miller, Jessica E; Duhig, Kate; Lahti-Pulkkinen, Marius; Hadar, Eran; Wright, John; Murray, Sarah R; S"&amp;"tock, Sarah J")</f>
        <v>Frier, Emily M; Lin, Chun; Reynolds, Rebecca M; Allegaert, Karel; Been, Jasper V; Fraser, Abigail; Gissler, Mika; Einarsdóttir, Kristjana; Florian, Lani; Jacobsson, Bo; Vogel, Joshua P; Zoega, Helga; Bhattacharya, Sohinee; Krispin, Eyal; Henning Pedersen, Lars; Roberts, Devender; Kuhle, Stefan; Fahey, John; Mol, Ben W; Burgner, David; Schuit, Ewoud; Sheikh, Aziz; Wood, Rachael; Gyamfi-Bannerman, Cynthia; Miller, Jessica E; Duhig, Kate; Lahti-Pulkkinen, Marius; Hadar, Eran; Wright, John; Murray, Sarah R; Stock, Sarah J</v>
      </c>
      <c r="Z77" s="31">
        <f>IFERROR(__xludf.DUMMYFUNCTION("""COMPUTED_VALUE"""),2023.0)</f>
        <v>2023</v>
      </c>
      <c r="AA77" s="31">
        <f>IFERROR(__xludf.DUMMYFUNCTION("""COMPUTED_VALUE"""),6.0)</f>
        <v>6</v>
      </c>
      <c r="AC77" s="31"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AD77" s="31"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AE77" s="32">
        <f>IFERROR(__xludf.DUMMYFUNCTION("""COMPUTED_VALUE"""),44596.0)</f>
        <v>44596</v>
      </c>
      <c r="AF77" s="31" t="str">
        <f>IFERROR(__xludf.DUMMYFUNCTION("""COMPUTED_VALUE"""),"Nature-versus-nurture considered harmful: Actionability as an alternative tool for understanding the exposome from an ethical perspective.")</f>
        <v>Nature-versus-nurture considered harmful: Actionability as an alternative tool for understanding the exposome from an ethical perspective.</v>
      </c>
      <c r="AG77" s="31" t="str">
        <f>IFERROR(__xludf.DUMMYFUNCTION("""COMPUTED_VALUE"""),"Safarlou, Caspar W; Bredenoord, Annelien L; Vermeulen, Roel; Jongsma, Karin R")</f>
        <v>Safarlou, Caspar W; Bredenoord, Annelien L; Vermeulen, Roel; Jongsma, Karin R</v>
      </c>
      <c r="AH77" s="32">
        <f>IFERROR(__xludf.DUMMYFUNCTION("""COMPUTED_VALUE"""),45356.0)</f>
        <v>45356</v>
      </c>
      <c r="AI77" s="31" t="str">
        <f>IFERROR(__xludf.DUMMYFUNCTION("""COMPUTED_VALUE"""),"ICSH guidance for INR and D-dimer testing using point of care testing in primary care.")</f>
        <v>ICSH guidance for INR and D-dimer testing using point of care testing in primary care.</v>
      </c>
      <c r="AJ77" s="31" t="str">
        <f>IFERROR(__xludf.DUMMYFUNCTION("""COMPUTED_VALUE"""),"Fitzmaurice, David A; Geersing, Geert-Jan; Armoiry, Xavier; Machin, Sam; Kitchen, Steve; Mackie, Ian")</f>
        <v>Fitzmaurice, David A; Geersing, Geert-Jan; Armoiry, Xavier; Machin, Sam; Kitchen, Steve; Mackie, Ian</v>
      </c>
      <c r="AK77" s="32">
        <f>IFERROR(__xludf.DUMMYFUNCTION("""COMPUTED_VALUE"""),44992.0)</f>
        <v>44992</v>
      </c>
      <c r="AL77" s="31" t="str">
        <f>IFERROR(__xludf.DUMMYFUNCTION("""COMPUTED_VALUE"""),"Development and Evaluation of an NTM-IGRA to Guide Pediatric Lymphadenitis Diagnosis.")</f>
        <v>Development and Evaluation of an NTM-IGRA to Guide Pediatric Lymphadenitis Diagnosis.</v>
      </c>
      <c r="AM77" s="31" t="str">
        <f>IFERROR(__xludf.DUMMYFUNCTION("""COMPUTED_VALUE"""),"Villar-Hernández, Raquel; Latorre, Irene; Noguera-Julian, Antoni; Martínez-Planas, Aina; Minguell, Laura; Vallmanya, Teresa; Méndez, María; Soriano-Arandes, Antoni; Baquero-Artigao, Fernando; Rodríguez-Molino, Paula; Guillén-Martín, Sara; Toro-Rueda, Carl"&amp;"os; De Souza-Galvão, M Luiza; Jiménez-Fuentes, M Ángeles; Stojanovic, Zoran; Sabriá, Josefina; Santos, José Ramón; Puig, Jordi; Domínguez-Álvarez, Marisol; Millet, Joan-Pau; Altet, Neus; Galea, Yolanda; Muriel-Moreno, Beatriz; García-García, Esther; Bach-"&amp;"Griera, Marc; Prat-Aymerich, Cristina; Julián, Esther; Torrelles, Jordi B; Rodrigo, Carlos; Domínguez, José")</f>
        <v>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v>
      </c>
      <c r="AN77" s="32">
        <f>IFERROR(__xludf.DUMMYFUNCTION("""COMPUTED_VALUE"""),45278.0)</f>
        <v>45278</v>
      </c>
    </row>
    <row r="78">
      <c r="A78" s="32"/>
      <c r="I78" s="31" t="str">
        <f>IFERROR(__xludf.DUMMYFUNCTION("""COMPUTED_VALUE"""),"journal of hepatology")</f>
        <v>journal of hepatology</v>
      </c>
      <c r="J78" s="38">
        <f>COUNTIF(Data!$F$2:$F9917, $I78)</f>
        <v>2</v>
      </c>
      <c r="T78" s="31" t="s">
        <v>25419</v>
      </c>
      <c r="U78" s="31" t="s">
        <v>25420</v>
      </c>
      <c r="V78" s="32">
        <v>45586.0</v>
      </c>
      <c r="X78" s="31" t="str">
        <f>IFERROR(__xludf.DUMMYFUNCTION("""COMPUTED_VALUE"""),"Cost-effectiveness of Laparoscopic vs Open Gastrectomy for Gastric Cancer: An Economic Evaluation Alongside a Randomized Clinical Trial.")</f>
        <v>Cost-effectiveness of Laparoscopic vs Open Gastrectomy for Gastric Cancer: An Economic Evaluation Alongside a Randomized Clinical Trial.</v>
      </c>
      <c r="Y78" s="31" t="str">
        <f>IFERROR(__xludf.DUMMYFUNCTION("""COMPUTED_VALUE"""),"van der Veen, Arjen; van der Meulen, Miriam P; Seesing, Maarten F J; Brenkman, Hylke J F; Haverkamp, Leonie; Luyer, Misha D P; Nieuwenhuijzen, Grard A P; Stoot, Jan H M B; Tegels, Juul J W; Wijnhoven, Bas P L; Lagarde, Sjoerd M; de Steur, Wobbe O; Hartgri"&amp;"nk, Henk H; Kouwenhoven, Ewout A; Wassenaar, Eelco B; Draaisma, Werner A; Gisbertz, Suzanne S; van der Peet, Donald L; van Laarhoven, Hanneke W M; Frederix, Geert W J; Ruurda, Jelle P; van Hillegersberg, Richard; ,")</f>
        <v>van der Veen, Arjen; van der Meulen, Miriam P; Seesing, Maarten F J; Brenkman, Hylke J F; Haverkamp, Leonie; Luyer, Misha D P; Nieuwenhuijzen, Grard A P; Stoot, Jan H M B; Tegels, Juul J W; Wijnhoven, Bas P L; Lagarde, Sjoerd M; de Steur, Wobbe O; Hartgrink, Henk H; Kouwenhoven, Ewout A; Wassenaar, Eelco B; Draaisma, Werner A; Gisbertz, Suzanne S; van der Peet, Donald L; van Laarhoven, Hanneke W M; Frederix, Geert W J; Ruurda, Jelle P; van Hillegersberg, Richard; ,</v>
      </c>
      <c r="Z78" s="31">
        <f>IFERROR(__xludf.DUMMYFUNCTION("""COMPUTED_VALUE"""),2023.0)</f>
        <v>2023</v>
      </c>
      <c r="AA78" s="31">
        <f>IFERROR(__xludf.DUMMYFUNCTION("""COMPUTED_VALUE"""),6.0)</f>
        <v>6</v>
      </c>
      <c r="AC78" s="31" t="str">
        <f>IFERROR(__xludf.DUMMYFUNCTION("""COMPUTED_VALUE"""),"The year in cardiovascular medicine 2021: digital health and innovation.")</f>
        <v>The year in cardiovascular medicine 2021: digital health and innovation.</v>
      </c>
      <c r="AD78" s="31" t="str">
        <f>IFERROR(__xludf.DUMMYFUNCTION("""COMPUTED_VALUE"""),"Vardas, Panos E; Asselbergs, Folkert W; van Smeden, Maarten; Friedman, Paul")</f>
        <v>Vardas, Panos E; Asselbergs, Folkert W; van Smeden, Maarten; Friedman, Paul</v>
      </c>
      <c r="AE78" s="32">
        <f>IFERROR(__xludf.DUMMYFUNCTION("""COMPUTED_VALUE"""),44592.0)</f>
        <v>44592</v>
      </c>
      <c r="AF78" s="31" t="str">
        <f>IFERROR(__xludf.DUMMYFUNCTION("""COMPUTED_VALUE"""),"The role of a community health worker-delivered preconception and pregnancy intervention in achieving a more positive pregnancy experience: the Bukhali trial in Soweto, South Africa.")</f>
        <v>The role of a community health worker-delivered preconception and pregnancy intervention in achieving a more positive pregnancy experience: the Bukhali trial in Soweto, South Africa.</v>
      </c>
      <c r="AG78" s="31" t="str">
        <f>IFERROR(__xludf.DUMMYFUNCTION("""COMPUTED_VALUE"""),"Soepnel, Larske M; Mabetha, Khuthala; Norris, Shane A; Motlhatlhedi, Molebogeng; Nkosi, Nokuthula; Klingberg, Sonja; Lye, Stephen; Draper, Catherine E")</f>
        <v>Soepnel, Larske M; Mabetha, Khuthala; Norris, Shane A; Motlhatlhedi, Molebogeng; Nkosi, Nokuthula; Klingberg, Sonja; Lye, Stephen; Draper, Catherine E</v>
      </c>
      <c r="AH78" s="32">
        <f>IFERROR(__xludf.DUMMYFUNCTION("""COMPUTED_VALUE"""),45356.0)</f>
        <v>45356</v>
      </c>
      <c r="AI78" s="31" t="str">
        <f>IFERROR(__xludf.DUMMYFUNCTION("""COMPUTED_VALUE"""),"A grounded theory study on the dynamics of parental grief during the children's end of life.")</f>
        <v>A grounded theory study on the dynamics of parental grief during the children's end of life.</v>
      </c>
      <c r="AJ78" s="31" t="str">
        <f>IFERROR(__xludf.DUMMYFUNCTION("""COMPUTED_VALUE"""),"Kochen, Eline M; Grootenhuis, Martha A; Teunissen, Saskia C C M; Boelen, Paul A; Tataranno, Maria-Luisa; Fahner, Jurrianne C; de Jonge, Roos R; Houben, Michiel L; Kars, Marijke C; ,")</f>
        <v>Kochen, Eline M; Grootenhuis, Martha A; Teunissen, Saskia C C M; Boelen, Paul A; Tataranno, Maria-Luisa; Fahner, Jurrianne C; de Jonge, Roos R; Houben, Michiel L; Kars, Marijke C; ,</v>
      </c>
      <c r="AK78" s="32">
        <f>IFERROR(__xludf.DUMMYFUNCTION("""COMPUTED_VALUE"""),44986.0)</f>
        <v>44986</v>
      </c>
      <c r="AL78" s="31" t="str">
        <f>IFERROR(__xludf.DUMMYFUNCTION("""COMPUTED_VALUE"""),"Perspectives on systematic review protocol registration: a survey amongst stakeholders in the clinical research publication process.")</f>
        <v>Perspectives on systematic review protocol registration: a survey amongst stakeholders in the clinical research publication process.</v>
      </c>
      <c r="AM78" s="31" t="str">
        <f>IFERROR(__xludf.DUMMYFUNCTION("""COMPUTED_VALUE"""),"van der Braak, Kim; Heus, Pauline; Orelio, Claudia; Netterström-Wedin, Fredh; Robinson, Karen A; Lund, Hans; Hooft, Lotty")</f>
        <v>van der Braak, Kim; Heus, Pauline; Orelio, Claudia; Netterström-Wedin, Fredh; Robinson, Karen A; Lund, Hans; Hooft, Lotty</v>
      </c>
      <c r="AN78" s="32">
        <f>IFERROR(__xludf.DUMMYFUNCTION("""COMPUTED_VALUE"""),45274.0)</f>
        <v>45274</v>
      </c>
    </row>
    <row r="79">
      <c r="A79" s="32"/>
      <c r="I79" s="31" t="str">
        <f>IFERROR(__xludf.DUMMYFUNCTION("""COMPUTED_VALUE"""),"bjgp open")</f>
        <v>bjgp open</v>
      </c>
      <c r="J79" s="38">
        <f>COUNTIF(Data!$F$2:$F9917, $I79)</f>
        <v>19</v>
      </c>
      <c r="T79" s="31" t="s">
        <v>24897</v>
      </c>
      <c r="U79" s="31" t="s">
        <v>24898</v>
      </c>
      <c r="V79" s="32">
        <v>45585.0</v>
      </c>
      <c r="X79" s="31" t="str">
        <f>IFERROR(__xludf.DUMMYFUNCTION("""COMPUTED_VALUE"""),"Single-Nucleotide Variants and Epimutations Induce Proteasome Inhibitor Resistance in Multiple Myeloma.")</f>
        <v>Single-Nucleotide Variants and Epimutations Induce Proteasome Inhibitor Resistance in Multiple Myeloma.</v>
      </c>
      <c r="Y79" s="31" t="str">
        <f>IFERROR(__xludf.DUMMYFUNCTION("""COMPUTED_VALUE"""),"Haertle, Larissa; Barrio, Santiago; Munawar, Umair; Han, Seungbin; Zhou, Xiang; Simicek, Michal; Vogt, Cornelia; Truger, Marietta; Fernandez, Rafael Alonso; Steinhardt, Maximilian; Weingart, Julia; Snaurova, Renata; Nerreter, Silvia; Teufel, Eva; Garitano"&amp;"-Trojaola, Andoni; Da Viá, Matteo; Ruiz-Heredia, Yanira; Rosenwald, Andreas; Bolli, Niccolò; Hajek, Roman; Raab, Peter; Raab, Marc S; Weinhold, Niels; Haferlach, Claudia; Haaf, Thomas; Martinez-Lopez, Joaquin; Einsele, Hermann; Rasche, Leo; Kortüm, K Mart"&amp;"in")</f>
        <v>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v>
      </c>
      <c r="Z79" s="31">
        <f>IFERROR(__xludf.DUMMYFUNCTION("""COMPUTED_VALUE"""),2023.0)</f>
        <v>2023</v>
      </c>
      <c r="AA79" s="31">
        <f>IFERROR(__xludf.DUMMYFUNCTION("""COMPUTED_VALUE"""),6.0)</f>
        <v>6</v>
      </c>
      <c r="AC79" s="31" t="str">
        <f>IFERROR(__xludf.DUMMYFUNCTION("""COMPUTED_VALUE"""),"Artificial Intelligence and Statistics: Just the Old Wine in New Wineskins?")</f>
        <v>Artificial Intelligence and Statistics: Just the Old Wine in New Wineskins?</v>
      </c>
      <c r="AD79" s="31" t="str">
        <f>IFERROR(__xludf.DUMMYFUNCTION("""COMPUTED_VALUE"""),"Faes, Livia; Sim, Dawn A; van Smeden, Maarten; Held, Ulrike; Bossuyt, Patrick M; Bachmann, Lucas M")</f>
        <v>Faes, Livia; Sim, Dawn A; van Smeden, Maarten; Held, Ulrike; Bossuyt, Patrick M; Bachmann, Lucas M</v>
      </c>
      <c r="AE79" s="32">
        <f>IFERROR(__xludf.DUMMYFUNCTION("""COMPUTED_VALUE"""),44587.0)</f>
        <v>44587</v>
      </c>
      <c r="AF79" s="31" t="str">
        <f>IFERROR(__xludf.DUMMYFUNCTION("""COMPUTED_VALUE"""),"Epidemiology and risk factors for hyperkalaemia in heart failure.")</f>
        <v>Epidemiology and risk factors for hyperkalaemia in heart failure.</v>
      </c>
      <c r="AG79" s="31" t="str">
        <f>IFERROR(__xludf.DUMMYFUNCTION("""COMPUTED_VALUE"""),"Grobbee, Diederick E; Filippatos, Gerasimos; Desai, Nihar R; Coats, Andrew J S; Pinto, Fausto; Rosano, Giuseppe M C; Cleland, John G F; Kammerer, Jennifer; de Arellano, Antonio Ramirez")</f>
        <v>Grobbee, Diederick E; Filippatos, Gerasimos; Desai, Nihar R; Coats, Andrew J S; Pinto, Fausto; Rosano, Giuseppe M C; Cleland, John G F; Kammerer, Jennifer; de Arellano, Antonio Ramirez</v>
      </c>
      <c r="AH79" s="32">
        <f>IFERROR(__xludf.DUMMYFUNCTION("""COMPUTED_VALUE"""),45355.0)</f>
        <v>45355</v>
      </c>
      <c r="AI79" s="31" t="str">
        <f>IFERROR(__xludf.DUMMYFUNCTION("""COMPUTED_VALUE"""),"[Not Available].")</f>
        <v>[Not Available].</v>
      </c>
      <c r="AJ79" s="31" t="str">
        <f>IFERROR(__xludf.DUMMYFUNCTION("""COMPUTED_VALUE"""),"van Maanen, Rosanne; Rutten, Frans; Blom, Jeanet; Langers, Pieter; Cals, Jochen; Nierman, Melchior; Geersing, G J")</f>
        <v>van Maanen, Rosanne; Rutten, Frans; Blom, Jeanet; Langers, Pieter; Cals, Jochen; Nierman, Melchior; Geersing, G J</v>
      </c>
      <c r="AK79" s="32">
        <f>IFERROR(__xludf.DUMMYFUNCTION("""COMPUTED_VALUE"""),44982.0)</f>
        <v>44982</v>
      </c>
      <c r="AL79" s="31" t="str">
        <f>IFERROR(__xludf.DUMMYFUNCTION("""COMPUTED_VALUE"""),"Lymphocyte and neutrophil count combined with intestinal bacteria abundance predict the severity of COVID-19.")</f>
        <v>Lymphocyte and neutrophil count combined with intestinal bacteria abundance predict the severity of COVID-19.</v>
      </c>
      <c r="AM79" s="31" t="str">
        <f>IFERROR(__xludf.DUMMYFUNCTION("""COMPUTED_VALUE"""),"Chen, Liuying; Yin, Zhongwei; Zhou, Dan; Li, Xin; Yu, Cheng; Luo, Chang; Jin, Yu; Zhang, Lei; Song, Jun; Rasche, Leo; Einsele, Hermann; Tu, Lei; Zhou, Xiang; Bai, Tao; Hou, Xiaohua")</f>
        <v>Chen, Liuying; Yin, Zhongwei; Zhou, Dan; Li, Xin; Yu, Cheng; Luo, Chang; Jin, Yu; Zhang, Lei; Song, Jun; Rasche, Leo; Einsele, Hermann; Tu, Lei; Zhou, Xiang; Bai, Tao; Hou, Xiaohua</v>
      </c>
      <c r="AN79" s="32">
        <f>IFERROR(__xludf.DUMMYFUNCTION("""COMPUTED_VALUE"""),45273.0)</f>
        <v>45273</v>
      </c>
    </row>
    <row r="80">
      <c r="A80" s="32"/>
      <c r="I80" s="31" t="str">
        <f>IFERROR(__xludf.DUMMYFUNCTION("""COMPUTED_VALUE"""),"current opinion in critical care")</f>
        <v>current opinion in critical care</v>
      </c>
      <c r="J80" s="38">
        <f>COUNTIF(Data!$F$2:$F9917, $I80)</f>
        <v>2</v>
      </c>
      <c r="T80" s="31" t="s">
        <v>25734</v>
      </c>
      <c r="U80" s="31" t="s">
        <v>25735</v>
      </c>
      <c r="V80" s="32">
        <v>45584.0</v>
      </c>
      <c r="X80" s="31" t="str">
        <f>IFERROR(__xludf.DUMMYFUNCTION("""COMPUTED_VALUE"""),"The ethics of gene therapy for hemophilia: a narrative review.")</f>
        <v>The ethics of gene therapy for hemophilia: a narrative review.</v>
      </c>
      <c r="Y80" s="31" t="str">
        <f>IFERROR(__xludf.DUMMYFUNCTION("""COMPUTED_VALUE"""),"Baas, Lieke; van der Graaf, Rieke; van Hoorn, Evelien S; Bredenoord, Annelien L; Meijer, Karina; ,")</f>
        <v>Baas, Lieke; van der Graaf, Rieke; van Hoorn, Evelien S; Bredenoord, Annelien L; Meijer, Karina; ,</v>
      </c>
      <c r="Z80" s="31">
        <f>IFERROR(__xludf.DUMMYFUNCTION("""COMPUTED_VALUE"""),2023.0)</f>
        <v>2023</v>
      </c>
      <c r="AA80" s="31">
        <f>IFERROR(__xludf.DUMMYFUNCTION("""COMPUTED_VALUE"""),6.0)</f>
        <v>6</v>
      </c>
      <c r="AC80" s="31"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AD80" s="31"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AE80" s="32">
        <f>IFERROR(__xludf.DUMMYFUNCTION("""COMPUTED_VALUE"""),44546.0)</f>
        <v>44546</v>
      </c>
      <c r="AF80" s="31" t="str">
        <f>IFERROR(__xludf.DUMMYFUNCTION("""COMPUTED_VALUE"""),"Finding the balance between person-centred and treatment-centred discussions in advance care planning-a qualitative analysis of conversations within the MUTUAL (Multidisciplinary Timely Undertaken Advance Care Planning conversations) intervention using a "&amp;"narrative analysis.")</f>
        <v>Finding the balance between person-centred and treatment-centred discussions in advance care planning-a qualitative analysis of conversations within the MUTUAL (Multidisciplinary Timely Undertaken Advance Care Planning conversations) intervention using a narrative analysis.</v>
      </c>
      <c r="AG80" s="31" t="str">
        <f>IFERROR(__xludf.DUMMYFUNCTION("""COMPUTED_VALUE"""),"van Lummel, Eline V T J; Ietswaard, Larissa; Rigter, Marloes; Tjan, Dave H T; van Delden, Johannes J M; Milota, Megan")</f>
        <v>van Lummel, Eline V T J; Ietswaard, Larissa; Rigter, Marloes; Tjan, Dave H T; van Delden, Johannes J M; Milota, Megan</v>
      </c>
      <c r="AH80" s="32">
        <f>IFERROR(__xludf.DUMMYFUNCTION("""COMPUTED_VALUE"""),45352.0)</f>
        <v>45352</v>
      </c>
      <c r="AI80" s="31" t="str">
        <f>IFERROR(__xludf.DUMMYFUNCTION("""COMPUTED_VALUE"""),"Evaluation of SGLT-2 inhibitor treatment in type 2 diabetes patients with very high cardiovascular risk.")</f>
        <v>Evaluation of SGLT-2 inhibitor treatment in type 2 diabetes patients with very high cardiovascular risk.</v>
      </c>
      <c r="AJ80" s="31" t="str">
        <f>IFERROR(__xludf.DUMMYFUNCTION("""COMPUTED_VALUE"""),"Hart, Huberta E; Kievits, Olivier; Rutten, Frans H; Hollander, Monika H")</f>
        <v>Hart, Huberta E; Kievits, Olivier; Rutten, Frans H; Hollander, Monika H</v>
      </c>
      <c r="AK80" s="32">
        <f>IFERROR(__xludf.DUMMYFUNCTION("""COMPUTED_VALUE"""),44968.0)</f>
        <v>44968</v>
      </c>
      <c r="AL80" s="31" t="str">
        <f>IFERROR(__xludf.DUMMYFUNCTION("""COMPUTED_VALUE"""),"Fetal fraction of cell-free DNA in noninvasive prenatal testing and adverse pregnancy outcomes: a nationwide retrospective cohort study of 56,110 pregnant women.")</f>
        <v>Fetal fraction of cell-free DNA in noninvasive prenatal testing and adverse pregnancy outcomes: a nationwide retrospective cohort study of 56,110 pregnant women.</v>
      </c>
      <c r="AM80" s="31" t="str">
        <f>IFERROR(__xludf.DUMMYFUNCTION("""COMPUTED_VALUE"""),"Becking, Ellis C; Scheffer, Peter G; Henrichs, Jens; Bax, Caroline J; Crombag, Neeltje M T H; Weiss, Marjan M; Macville, Merryn V E; Van Opstal, Diane; Boon, Elles M J; Sistermans, Erik A; Henneman, Lidewij; Schuit, Ewoud; Bekker, Mireille N")</f>
        <v>Becking, Ellis C; Scheffer, Peter G; Henrichs, Jens; Bax, Caroline J; Crombag, Neeltje M T H; Weiss, Marjan M; Macville, Merryn V E; Van Opstal, Diane; Boon, Elles M J; Sistermans, Erik A; Henneman, Lidewij; Schuit, Ewoud; Bekker, Mireille N</v>
      </c>
      <c r="AN80" s="32">
        <f>IFERROR(__xludf.DUMMYFUNCTION("""COMPUTED_VALUE"""),45272.0)</f>
        <v>45272</v>
      </c>
    </row>
    <row r="81">
      <c r="A81" s="32"/>
      <c r="I81" s="31" t="str">
        <f>IFERROR(__xludf.DUMMYFUNCTION("""COMPUTED_VALUE"""),"heliyon")</f>
        <v>heliyon</v>
      </c>
      <c r="J81" s="38">
        <f>COUNTIF(Data!$F$2:$F9917, $I81)</f>
        <v>5</v>
      </c>
      <c r="T81" s="31" t="s">
        <v>24754</v>
      </c>
      <c r="U81" s="31" t="s">
        <v>156</v>
      </c>
      <c r="V81" s="32">
        <v>45583.0</v>
      </c>
      <c r="X81" s="31" t="str">
        <f>IFERROR(__xludf.DUMMYFUNCTION("""COMPUTED_VALUE"""),"Understanding metric-related pitfalls in image analysis validation.")</f>
        <v>Understanding metric-related pitfalls in image analysis validation.</v>
      </c>
      <c r="Y81" s="31" t="str">
        <f>IFERROR(__xludf.DUMMYFUNCTION("""COMPUTED_VALUE"""),"Reinke, Annika; Tizabi, Minu D; Baumgartner, Michael; Eisenmann, Matthias; Heckmann-Nötzel, Doreen; Kavur, A Emre; Rädsch, Tim; Sudre, Carole H; Acion, Laura; Antonelli, Michela; Arbel, Tal; Bakas, Spyridon; Benis, Arriel; Buettner, Florian; Cardoso, M Jo"&amp;"rge; Cheplygina, Veronika; Chen, Jianxu; Christodoulou, Evangelia; Cimini, Beth A; Farahani, Keyvan; Ferrer, Luciana; Galdran, Adrian; van Ginneken, Bram; Glocker, Ben; Godau, Patrick; Hashimoto, Daniel A; Hoffman, Michael M; Huisman, Merel; Isensee, Fabi"&amp;"an; Jannin, Pierre; Kahn, Charles E; Kainmueller, Dagmar; Kainz, Bernhard; Karargyris, Alexandros; Kleesiek, Jens; Kofler, Florian; Kooi, Thijs; Kopp-Schneider, Annette; Kozubek, Michal; Kreshuk, Anna; Kurc, Tahsin; Landman, Bennett A; Litjens, Geert; Mad"&amp;"ani, Amin; Maier-Hein, Klaus; Martel, Anne L; Meijering, Erik; Menze, Bjoern; Moons, Karel G M; Müller, Henning; Nichyporuk, Brennan; Nickel, Felix; Petersen, Jens; Rafelski, Susanne M; Rajpoot, Nasir; Reyes, Mauricio; Riegler, Michael")</f>
        <v>Reinke, Annika; Tizabi, Minu D; Baumgartner, Michael; Eisenmann, Matthias; Heckmann-Nötzel, Doreen; Kavur, A Emre; Rädsch, Tim; Sudre, Carole H; Acion, Laura; Antonelli, Michela; Arbel, Tal; Bakas, Spyridon; Benis, Arriel; Buettner, Florian; Cardoso, M Jorge; Cheplygina, Veronika; Chen, Jianxu; Christodoulou, Evangelia; Cimini, Beth A; Farahani, Keyvan; Ferrer, Luciana; Galdran, Adrian; van Ginneken, Bram; Glocker, Ben; Godau, Patrick; Hashimoto, Daniel A; Hoffman, Michael M; Huisman, Merel; Isensee, Fabian; Jannin, Pierre; Kahn, Charles E; Kainmueller, Dagmar; Kainz, Bernhard; Karargyris, Alexandros; Kleesiek, Jens; Kofler, Florian; Kooi, Thijs; Kopp-Schneider, Annette; Kozubek, Michal; Kreshuk, Anna; Kurc, Tahsin; Landman, Bennett A; Litjens, Geert; Madani, Amin; Maier-Hein, Klaus; Martel, Anne L; Meijering, Erik; Menze, Bjoern; Moons, Karel G M; Müller, Henning; Nichyporuk, Brennan; Nickel, Felix; Petersen, Jens; Rafelski, Susanne M; Rajpoot, Nasir; Reyes, Mauricio; Riegler, Michael</v>
      </c>
      <c r="Z81" s="31">
        <f>IFERROR(__xludf.DUMMYFUNCTION("""COMPUTED_VALUE"""),2024.0)</f>
        <v>2024</v>
      </c>
      <c r="AA81" s="31">
        <f>IFERROR(__xludf.DUMMYFUNCTION("""COMPUTED_VALUE"""),5.0)</f>
        <v>5</v>
      </c>
      <c r="AC81" s="31"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AD81" s="31" t="str">
        <f>IFERROR(__xludf.DUMMYFUNCTION("""COMPUTED_VALUE"""),"Edlinger, Michael; van Smeden, Maarten; Alber, Hannes F; Wanitschek, Maria; Van Calster, Ben")</f>
        <v>Edlinger, Michael; van Smeden, Maarten; Alber, Hannes F; Wanitschek, Maria; Van Calster, Ben</v>
      </c>
      <c r="AE81" s="32">
        <f>IFERROR(__xludf.DUMMYFUNCTION("""COMPUTED_VALUE"""),44542.0)</f>
        <v>44542</v>
      </c>
      <c r="AF81" s="31" t="str">
        <f>IFERROR(__xludf.DUMMYFUNCTION("""COMPUTED_VALUE"""),"Geospatial and multilevel clustering of zero-dose children in Kikwit, Democratic Republic of the Congo in 2022.")</f>
        <v>Geospatial and multilevel clustering of zero-dose children in Kikwit, Democratic Republic of the Congo in 2022.</v>
      </c>
      <c r="AG81" s="31" t="str">
        <f>IFERROR(__xludf.DUMMYFUNCTION("""COMPUTED_VALUE"""),"Mutwadi, Armand Malembe; Madinga, Joule Ntwan; Vanlerberghe, Veerle; Mbala, Placide K; van der Sande, Marianne A B")</f>
        <v>Mutwadi, Armand Malembe; Madinga, Joule Ntwan; Vanlerberghe, Veerle; Mbala, Placide K; van der Sande, Marianne A B</v>
      </c>
      <c r="AH81" s="32">
        <f>IFERROR(__xludf.DUMMYFUNCTION("""COMPUTED_VALUE"""),45351.0)</f>
        <v>45351</v>
      </c>
      <c r="AI81" s="31" t="str">
        <f>IFERROR(__xludf.DUMMYFUNCTION("""COMPUTED_VALUE"""),"Patterns in the Use of Heart Failure Telemonitoring: Post Hoc Analysis of the e-Vita Heart Failure Trial.")</f>
        <v>Patterns in the Use of Heart Failure Telemonitoring: Post Hoc Analysis of the e-Vita Heart Failure Trial.</v>
      </c>
      <c r="AJ81" s="31" t="str">
        <f>IFERROR(__xludf.DUMMYFUNCTION("""COMPUTED_VALUE"""),"Brons, Maaike; Ten Klooster, Iris; van Gemert-Pijnen, Lisette; Jaarsma, Tiny; Asselbergs, Folkert W; Oerlemans, Marish I F J; Koudstaal, Stefan; Rutten, Frans H")</f>
        <v>Brons, Maaike; Ten Klooster, Iris; van Gemert-Pijnen, Lisette; Jaarsma, Tiny; Asselbergs, Folkert W; Oerlemans, Marish I F J; Koudstaal, Stefan; Rutten, Frans H</v>
      </c>
      <c r="AK81" s="32">
        <f>IFERROR(__xludf.DUMMYFUNCTION("""COMPUTED_VALUE"""),44957.0)</f>
        <v>44957</v>
      </c>
      <c r="AL81" s="31" t="str">
        <f>IFERROR(__xludf.DUMMYFUNCTION("""COMPUTED_VALUE"""),"International Pooled Analysis of Leisure-Time Physical Activity and Premenopausal Breast Cancer in Women From 19 Cohorts.")</f>
        <v>International Pooled Analysis of Leisure-Time Physical Activity and Premenopausal Breast Cancer in Women From 19 Cohorts.</v>
      </c>
      <c r="AM81" s="31" t="str">
        <f>IFERROR(__xludf.DUMMYFUNCTION("""COMPUTED_VALUE"""),"Timmins, Iain R; Jones, Michael E; O'Brien, Katie M; Adami, Hans-Olov; Aune, Dagfinn; Baglietto, Laura; Bertrand, Kimberly A; Brantley, Kristen D; Chen, Yu; Clague DeHart, Jessica; Clendenen, Tess V; Dossus, Laure; Eliassen, A Heather; Fletcher, Olivia; F"&amp;"ournier, Agnès; Håkansson, Niclas; Hankinson, Susan E; Houlston, Richard S; Joshu, Corinne E; Kirsh, Victoria A; Kitahara, Cari M; Koh, Woon-Puay; Linet, Martha S; Park, Hannah Lui; Lynch, Brigid M; May, Anne M; Mellemkjær, Lene; Milne, Roger L; Palmer, J"&amp;"ulie R; Ricceri, Fulvio; Rohan, Thomas E; Ruddy, Kathryn J; Sánchez, Maria-Jose; Shu, Xiao-Ou; Smith-Byrne, Karl; Steindorf, Karen; Sund, Malin; Vachon, Celine M; Vatten, Lars J; Visvanathan, Kala; Weiderpass, Elisabete; Willett, Walter C; Wolk, Alicja; Y"&amp;"uan, Jian-Min; Zheng, Wei; Nichols, Hazel B; Sandler, Dale P; Swerdlow, Anthony J; Schoemaker, Minouk J")</f>
        <v>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v>
      </c>
      <c r="AN81" s="32">
        <f>IFERROR(__xludf.DUMMYFUNCTION("""COMPUTED_VALUE"""),45271.0)</f>
        <v>45271</v>
      </c>
    </row>
    <row r="82">
      <c r="A82" s="32"/>
      <c r="I82" s="31" t="str">
        <f>IFERROR(__xludf.DUMMYFUNCTION("""COMPUTED_VALUE"""),"the journal of antimicrobial chemotherapy")</f>
        <v>the journal of antimicrobial chemotherapy</v>
      </c>
      <c r="J82" s="38">
        <f>COUNTIF(Data!$F$2:$F9917, $I82)</f>
        <v>33</v>
      </c>
      <c r="T82" s="31" t="s">
        <v>24757</v>
      </c>
      <c r="U82" s="31" t="s">
        <v>24758</v>
      </c>
      <c r="V82" s="32">
        <v>45583.0</v>
      </c>
      <c r="X82" s="31" t="str">
        <f>IFERROR(__xludf.DUMMYFUNCTION("""COMPUTED_VALUE"""),"Topical and oral steroids for otitis media with effusion (OME) in children.")</f>
        <v>Topical and oral steroids for otitis media with effusion (OME) in children.</v>
      </c>
      <c r="Y82" s="31" t="str">
        <f>IFERROR(__xludf.DUMMYFUNCTION("""COMPUTED_VALUE"""),"Mulvaney, Caroline A; Galbraith, Kevin; Webster, Katie E; Rana, Mridul; Connolly, Rachel; Tudor-Green, Ben; Marom, Tal; Daniel, Mat; Venekamp, Roderick P; Schilder, Anne Gm; MacKeith, Samuel")</f>
        <v>Mulvaney, Caroline A; Galbraith, Kevin; Webster, Katie E; Rana, Mridul; Connolly, Rachel; Tudor-Green, Ben; Marom, Tal; Daniel, Mat; Venekamp, Roderick P; Schilder, Anne Gm; MacKeith, Samuel</v>
      </c>
      <c r="Z82" s="31">
        <f>IFERROR(__xludf.DUMMYFUNCTION("""COMPUTED_VALUE"""),2023.0)</f>
        <v>2023</v>
      </c>
      <c r="AA82" s="31">
        <f>IFERROR(__xludf.DUMMYFUNCTION("""COMPUTED_VALUE"""),5.0)</f>
        <v>5</v>
      </c>
      <c r="AC82" s="31" t="str">
        <f>IFERROR(__xludf.DUMMYFUNCTION("""COMPUTED_VALUE"""),"QCOVID in Scotland: time to recalibrate our expectations?")</f>
        <v>QCOVID in Scotland: time to recalibrate our expectations?</v>
      </c>
      <c r="AD82" s="31" t="str">
        <f>IFERROR(__xludf.DUMMYFUNCTION("""COMPUTED_VALUE"""),"Gupta, Rishi K; van Smeden, Maarten")</f>
        <v>Gupta, Rishi K; van Smeden, Maarten</v>
      </c>
      <c r="AE82" s="32">
        <f>IFERROR(__xludf.DUMMYFUNCTION("""COMPUTED_VALUE"""),44515.0)</f>
        <v>44515</v>
      </c>
      <c r="AF82" s="31" t="str">
        <f>IFERROR(__xludf.DUMMYFUNCTION("""COMPUTED_VALUE"""),"Two cosmoses, one universe: a narrative review exploring the gut microbiome's role in the effect of urban risk factors on vascular ageing.")</f>
        <v>Two cosmoses, one universe: a narrative review exploring the gut microbiome's role in the effect of urban risk factors on vascular ageing.</v>
      </c>
      <c r="AG82" s="31" t="str">
        <f>IFERROR(__xludf.DUMMYFUNCTION("""COMPUTED_VALUE"""),"Bridge, Lara Anne; Hernández Vargas, Juliana Alexandra; Trujillo-Cáceres, Silvia Juliana; Beigrezaei, Sara; Chatelan, Angeline; Salehi-Abargouei, Amin; Muka, Taulant; Uriza-Pinzón, Julieth Pilar; Raeisi-Dehkordi, Hamidreza; Franco, Oscar H; Grompone, Gian"&amp;"franco; Artola Arita, Vicente")</f>
        <v>Bridge, Lara Anne; Hernández Vargas, Juliana Alexandra; Trujillo-Cáceres, Silvia Juliana; Beigrezaei, Sara; Chatelan, Angeline; Salehi-Abargouei, Amin; Muka, Taulant; Uriza-Pinzón, Julieth Pilar; Raeisi-Dehkordi, Hamidreza; Franco, Oscar H; Grompone, Gianfranco; Artola Arita, Vicente</v>
      </c>
      <c r="AH82" s="32">
        <f>IFERROR(__xludf.DUMMYFUNCTION("""COMPUTED_VALUE"""),45350.0)</f>
        <v>45350</v>
      </c>
      <c r="AI82" s="31" t="str">
        <f>IFERROR(__xludf.DUMMYFUNCTION("""COMPUTED_VALUE"""),"Initial symptoms and three months follow-up after acute COVID-19 in outpatients: An international prospective cohort study.")</f>
        <v>Initial symptoms and three months follow-up after acute COVID-19 in outpatients: An international prospective cohort study.</v>
      </c>
      <c r="AJ82" s="31" t="str">
        <f>IFERROR(__xludf.DUMMYFUNCTION("""COMPUTED_VALUE"""),"Hedin, Katarina; van der Velden, Alike W; Hansen, Malene Plejdrup; Moberg, Anna B; Balan, Anca; Bruno, Pascale; Coenen, Samuel; Johansen, Eskild; Kowalczyk, Anna; Kurotschka, Peter Konstantin; van der Linde, Sanne R; Malania, Lile; Rohde, Jörn; Verbakel, "&amp;"Jan; Vornhagen, Heike; Vellinga, Akke")</f>
        <v>Hedin, Katarina; van der Velden, Alike W; Hansen, Malene Plejdrup; Moberg, Anna B; Balan, Anca; Bruno, Pascale; Coenen, Samuel; Johansen, Eskild; Kowalczyk, Anna; Kurotschka, Peter Konstantin; van der Linde, Sanne R; Malania, Lile; Rohde, Jörn; Verbakel, Jan; Vornhagen, Heike; Vellinga, Akke</v>
      </c>
      <c r="AK82" s="32">
        <f>IFERROR(__xludf.DUMMYFUNCTION("""COMPUTED_VALUE"""),44945.0)</f>
        <v>44945</v>
      </c>
      <c r="AL82" s="31" t="str">
        <f>IFERROR(__xludf.DUMMYFUNCTION("""COMPUTED_VALUE"""),"Predicting the next pandemic: VACCELERATE ranking of the WorldHealth Organization's Blueprint forAction toPreventEpidemics.")</f>
        <v>Predicting the next pandemic: VACCELERATE ranking of the WorldHealth Organization's Blueprint forAction toPreventEpidemics.</v>
      </c>
      <c r="AM82" s="31" t="str">
        <f>IFERROR(__xludf.DUMMYFUNCTION("""COMPUTED_VALUE"""),"Salmanton-García, Jon; Wipfler, Pauline; Leckler, Janina; Nauclér, Pontus; Mallon, Patrick W; Bruijning-Verhagen, Patricia C J L; Schmitt, Heinz-Joseph; Bethe, Ullrich; Olesen, Ole F; Stewart, Fiona A; Albus, Kerstin; Cornely, Oliver A; ,")</f>
        <v>Salmanton-García, Jon; Wipfler, Pauline; Leckler, Janina; Nauclér, Pontus; Mallon, Patrick W; Bruijning-Verhagen, Patricia C J L; Schmitt, Heinz-Joseph; Bethe, Ullrich; Olesen, Ole F; Stewart, Fiona A; Albus, Kerstin; Cornely, Oliver A; ,</v>
      </c>
      <c r="AN82" s="32">
        <f>IFERROR(__xludf.DUMMYFUNCTION("""COMPUTED_VALUE"""),45266.0)</f>
        <v>45266</v>
      </c>
    </row>
    <row r="83">
      <c r="A83" s="32"/>
      <c r="I83" s="31" t="str">
        <f>IFERROR(__xludf.DUMMYFUNCTION("""COMPUTED_VALUE"""),"jama oncology")</f>
        <v>jama oncology</v>
      </c>
      <c r="J83" s="38">
        <f>COUNTIF(Data!$F$2:$F9917, $I83)</f>
        <v>6</v>
      </c>
      <c r="T83" s="31" t="s">
        <v>25282</v>
      </c>
      <c r="U83" s="31" t="s">
        <v>25283</v>
      </c>
      <c r="V83" s="32">
        <v>45583.0</v>
      </c>
      <c r="X83" s="31" t="str">
        <f>IFERROR(__xludf.DUMMYFUNCTION("""COMPUTED_VALUE"""),"Five critical quality criteria for artificial intelligence-based prediction models.")</f>
        <v>Five critical quality criteria for artificial intelligence-based prediction models.</v>
      </c>
      <c r="Y83" s="31" t="str">
        <f>IFERROR(__xludf.DUMMYFUNCTION("""COMPUTED_VALUE"""),"van Royen, Florien S; Asselbergs, Folkert W; Alfonso, Fernando; Vardas, Panos; van Smeden, Maarten")</f>
        <v>van Royen, Florien S; Asselbergs, Folkert W; Alfonso, Fernando; Vardas, Panos; van Smeden, Maarten</v>
      </c>
      <c r="Z83" s="31">
        <f>IFERROR(__xludf.DUMMYFUNCTION("""COMPUTED_VALUE"""),2023.0)</f>
        <v>2023</v>
      </c>
      <c r="AA83" s="31">
        <f>IFERROR(__xludf.DUMMYFUNCTION("""COMPUTED_VALUE"""),5.0)</f>
        <v>5</v>
      </c>
      <c r="AC83" s="31" t="str">
        <f>IFERROR(__xludf.DUMMYFUNCTION("""COMPUTED_VALUE"""),"Cereblon enhancer methylation and IMiD resistance in multiple myeloma.")</f>
        <v>Cereblon enhancer methylation and IMiD resistance in multiple myeloma.</v>
      </c>
      <c r="AD83" s="31" t="str">
        <f>IFERROR(__xludf.DUMMYFUNCTION("""COMPUTED_VALUE"""),"Haertle, Larissa; Barrio, Santiago; Munawar, Umair; Han, Seungbin; Zhou, Xiang; Vogt, Cornelia; Fernández, Rafael Alonso; Bittrich, Max; Ruiz-Heredia, Yanira; Da Viá, Matteo; Zovko, Josip; Garitano-Trojaola, Andoni; Bolli, Niccolò; Ruckdeschel, Anna; Stüh"&amp;"mer, Thorsten; Chatterjee, Manik; Kull, Miriam; Krönke, Jan; Agirre, Xabier; Martin-Subero, Jose I; Raab, Peter; Einsele, Hermann; Rasche, Leo; Martinez-Lopez, Joaquin; Haaf, Thomas; Kortüm, K Martin")</f>
        <v>Haertle, Larissa; Barrio, Santiago; Munawar, Umair; Han, Seungbin; Zhou, Xiang; Vogt, Cornelia; Fernández, Rafael Alonso; Bittrich, Max; Ruiz-Heredia, Yanira; Da Viá, Matteo; Zovko, Josip; Garitano-Trojaola, Andoni; Bolli, Niccolò; Ruckdeschel, Anna; Stühmer, Thorsten; Chatterjee, Manik; Kull, Miriam; Krönke, Jan; Agirre, Xabier; Martin-Subero, Jose I; Raab, Peter; Einsele, Hermann; Rasche, Leo; Martinez-Lopez, Joaquin; Haaf, Thomas; Kortüm, K Martin</v>
      </c>
      <c r="AE83" s="32">
        <f>IFERROR(__xludf.DUMMYFUNCTION("""COMPUTED_VALUE"""),44504.0)</f>
        <v>44504</v>
      </c>
      <c r="AF83" s="31" t="str">
        <f>IFERROR(__xludf.DUMMYFUNCTION("""COMPUTED_VALUE"""),"A systematic review of the association between modifiable lifestyle factors and circulating anti-Müllerian hormone.")</f>
        <v>A systematic review of the association between modifiable lifestyle factors and circulating anti-Müllerian hormone.</v>
      </c>
      <c r="AG83" s="31" t="str">
        <f>IFERROR(__xludf.DUMMYFUNCTION("""COMPUTED_VALUE"""),"Werner, Lotte; van der Schouw, Yvonne T; de Kat, Annelien C")</f>
        <v>Werner, Lotte; van der Schouw, Yvonne T; de Kat, Annelien C</v>
      </c>
      <c r="AH83" s="32">
        <f>IFERROR(__xludf.DUMMYFUNCTION("""COMPUTED_VALUE"""),45346.0)</f>
        <v>45346</v>
      </c>
      <c r="AI83" s="31" t="str">
        <f>IFERROR(__xludf.DUMMYFUNCTION("""COMPUTED_VALUE"""),"Improvement and implementation of a national individual care plan in paediatric palliative care: a study protocol.")</f>
        <v>Improvement and implementation of a national individual care plan in paediatric palliative care: a study protocol.</v>
      </c>
      <c r="AJ83" s="31" t="str">
        <f>IFERROR(__xludf.DUMMYFUNCTION("""COMPUTED_VALUE"""),"Joren, Chantal Y; Kars, Marijke C; Kremer, Leontien C M; Rippen, Hester; Verhagen, A A Eduard; Aris-Meijer, Judith L")</f>
        <v>Joren, Chantal Y; Kars, Marijke C; Kremer, Leontien C M; Rippen, Hester; Verhagen, A A Eduard; Aris-Meijer, Judith L</v>
      </c>
      <c r="AK83" s="32">
        <f>IFERROR(__xludf.DUMMYFUNCTION("""COMPUTED_VALUE"""),44927.0)</f>
        <v>44927</v>
      </c>
      <c r="AL83" s="31" t="str">
        <f>IFERROR(__xludf.DUMMYFUNCTION("""COMPUTED_VALUE"""),"Validation of spot urine in estimating 24-h urinary sodium, potassium and sodium-to-potassium ratio during three different sodium diets in healthy adults.")</f>
        <v>Validation of spot urine in estimating 24-h urinary sodium, potassium and sodium-to-potassium ratio during three different sodium diets in healthy adults.</v>
      </c>
      <c r="AM83" s="31" t="str">
        <f>IFERROR(__xludf.DUMMYFUNCTION("""COMPUTED_VALUE"""),"Groenland, Eline H; Vendeville, Jean-Paul A C; Bots, Michiel L; Visseren, Frank L J; Musson, Ruben E A; Spiering, Wilko")</f>
        <v>Groenland, Eline H; Vendeville, Jean-Paul A C; Bots, Michiel L; Visseren, Frank L J; Musson, Ruben E A; Spiering, Wilko</v>
      </c>
      <c r="AN83" s="32">
        <f>IFERROR(__xludf.DUMMYFUNCTION("""COMPUTED_VALUE"""),45261.0)</f>
        <v>45261</v>
      </c>
    </row>
    <row r="84">
      <c r="A84" s="32"/>
      <c r="I84" s="31" t="str">
        <f>IFERROR(__xludf.DUMMYFUNCTION("""COMPUTED_VALUE"""),"jama surgery")</f>
        <v>jama surgery</v>
      </c>
      <c r="J84" s="38">
        <f>COUNTIF(Data!$F$2:$F9917, $I84)</f>
        <v>6</v>
      </c>
      <c r="T84" s="31" t="s">
        <v>25406</v>
      </c>
      <c r="U84" s="31" t="s">
        <v>25407</v>
      </c>
      <c r="V84" s="32">
        <v>45583.0</v>
      </c>
      <c r="X84" s="31" t="str">
        <f>IFERROR(__xludf.DUMMYFUNCTION("""COMPUTED_VALUE"""),"The metabolic, virulence and antimicrobial resistance profiles of colonising Streptococcus pneumoniae shift after PCV13 introduction in urban Malawi.")</f>
        <v>The metabolic, virulence and antimicrobial resistance profiles of colonising Streptococcus pneumoniae shift after PCV13 introduction in urban Malawi.</v>
      </c>
      <c r="Y84" s="31" t="str">
        <f>IFERROR(__xludf.DUMMYFUNCTION("""COMPUTED_VALUE"""),"Obolski, Uri; Swarthout, Todd D; Kalizang'oma, Akuzike; Mwalukomo, Thandie S; Chan, Jia Mun; Weight, Caroline M; Brown, Comfort; Cave, Rory; Cornick, Jen; Kamng'ona, Arox Wadson; Msefula, Jacquline; Ercoli, Giuseppe; Brown, Jeremy S; Lourenço, José; Maide"&amp;"n, Martin C; French, Neil; Gupta, Sunetra; Heyderman, Robert S")</f>
        <v>Obolski, Uri; Swarthout, Todd D; Kalizang'oma, Akuzike; Mwalukomo, Thandie S; Chan, Jia Mun; Weight, Caroline M; Brown, Comfort; Cave, Rory; Cornick, Jen; Kamng'ona, Arox Wadson; Msefula, Jacquline; Ercoli, Giuseppe; Brown, Jeremy S; Lourenço, José; Maiden, Martin C; French, Neil; Gupta, Sunetra; Heyderman, Robert S</v>
      </c>
      <c r="Z84" s="31">
        <f>IFERROR(__xludf.DUMMYFUNCTION("""COMPUTED_VALUE"""),2023.0)</f>
        <v>2023</v>
      </c>
      <c r="AA84" s="31">
        <f>IFERROR(__xludf.DUMMYFUNCTION("""COMPUTED_VALUE"""),5.0)</f>
        <v>5</v>
      </c>
      <c r="AC84" s="31" t="str">
        <f>IFERROR(__xludf.DUMMYFUNCTION("""COMPUTED_VALUE"""),"Why clinical context and relevant protocols matter: author's reply.")</f>
        <v>Why clinical context and relevant protocols matter: author's reply.</v>
      </c>
      <c r="AD84" s="31" t="str">
        <f>IFERROR(__xludf.DUMMYFUNCTION("""COMPUTED_VALUE"""),"Impellizzeri, Franco M; McCall, Alan; van Smeden, Maarten")</f>
        <v>Impellizzeri, Franco M; McCall, Alan; van Smeden, Maarten</v>
      </c>
      <c r="AE84" s="32">
        <f>IFERROR(__xludf.DUMMYFUNCTION("""COMPUTED_VALUE"""),44501.0)</f>
        <v>44501</v>
      </c>
      <c r="AF84" s="31" t="str">
        <f>IFERROR(__xludf.DUMMYFUNCTION("""COMPUTED_VALUE"""),"Is the association between social jetlag and BMI mediated by lifestyle? A cross-sectional survey study in the Dutch general population.")</f>
        <v>Is the association between social jetlag and BMI mediated by lifestyle? A cross-sectional survey study in the Dutch general population.</v>
      </c>
      <c r="AG84" s="31" t="str">
        <f>IFERROR(__xludf.DUMMYFUNCTION("""COMPUTED_VALUE"""),"Bouman, Emma J; Mackenbach, Joreintje D; Twisk, Jos W R; Raimondo, Laura; Beulens, Joline W J; Elders, Petra J M; Rutters, Femke")</f>
        <v>Bouman, Emma J; Mackenbach, Joreintje D; Twisk, Jos W R; Raimondo, Laura; Beulens, Joline W J; Elders, Petra J M; Rutters, Femke</v>
      </c>
      <c r="AH84" s="32">
        <f>IFERROR(__xludf.DUMMYFUNCTION("""COMPUTED_VALUE"""),45341.0)</f>
        <v>45341</v>
      </c>
      <c r="AI84" s="31" t="str">
        <f>IFERROR(__xludf.DUMMYFUNCTION("""COMPUTED_VALUE"""),"Loss of soluble guanylyl cyclase in platelets contributes to atherosclerotic plaque formation and vascular inflammation.")</f>
        <v>Loss of soluble guanylyl cyclase in platelets contributes to atherosclerotic plaque formation and vascular inflammation.</v>
      </c>
      <c r="AJ84" s="31" t="str">
        <f>IFERROR(__xludf.DUMMYFUNCTION("""COMPUTED_VALUE"""),"Mauersberger, Carina; Sager, Hendrik B; Wobst, Jana; Dang, Tan An; Lambrecht, Laura; Koplev, Simon; Stroth, Marlène; Bettaga, Noomen; Schlossmann, Jens; Wunder, Frank; Friebe, Andreas; Björkegren, Johan L M; Dietz, Lisa; Maas, Sanne L; van der Vorst, Emie"&amp;"l P C; Sandner, Peter; Soehnlein, Oliver; Schunkert, Heribert; Kessler, Thorsten")</f>
        <v>Mauersberger, Carina; Sager, Hendrik B; Wobst, Jana; Dang, Tan An; Lambrecht, Laura; Koplev, Simon; Stroth, Marlène; Bettaga, Noomen; Schlossmann, Jens; Wunder, Frank; Friebe, Andreas; Björkegren, Johan L M; Dietz, Lisa; Maas, Sanne L; van der Vorst, Emiel P C; Sandner, Peter; Soehnlein, Oliver; Schunkert, Heribert; Kessler, Thorsten</v>
      </c>
      <c r="AK84" s="32">
        <f>IFERROR(__xludf.DUMMYFUNCTION("""COMPUTED_VALUE"""),44907.0)</f>
        <v>44907</v>
      </c>
      <c r="AL84" s="31" t="str">
        <f>IFERROR(__xludf.DUMMYFUNCTION("""COMPUTED_VALUE"""),"Low dose cisplatin weekly versus high dose cisplatin every three weeks in primary chemoradiotherapy in head and neck cancer patients with low skeletal muscle mass: The CISLOW-study protocol.")</f>
        <v>Low dose cisplatin weekly versus high dose cisplatin every three weeks in primary chemoradiotherapy in head and neck cancer patients with low skeletal muscle mass: The CISLOW-study protocol.</v>
      </c>
      <c r="AM84" s="31" t="str">
        <f>IFERROR(__xludf.DUMMYFUNCTION("""COMPUTED_VALUE"""),"Schaeffers, Anouk W M A; Devriese, Lot A; van Gils, Carla H; Dankbaar, Jan Willem; Voortman, Jens; de Boer, Jan Paul; Slingerland, Marije; Hendriks, Mathijs P; Smid, Ernst J; Frederix, Geert W J; de Bree, Remco")</f>
        <v>Schaeffers, Anouk W M A; Devriese, Lot A; van Gils, Carla H; Dankbaar, Jan Willem; Voortman, Jens; de Boer, Jan Paul; Slingerland, Marije; Hendriks, Mathijs P; Smid, Ernst J; Frederix, Geert W J; de Bree, Remco</v>
      </c>
      <c r="AN84" s="32">
        <f>IFERROR(__xludf.DUMMYFUNCTION("""COMPUTED_VALUE"""),45257.0)</f>
        <v>45257</v>
      </c>
    </row>
    <row r="85">
      <c r="A85" s="32"/>
      <c r="I85" s="31" t="str">
        <f>IFERROR(__xludf.DUMMYFUNCTION("""COMPUTED_VALUE"""),"geriatric nursing new york ny")</f>
        <v>geriatric nursing new york ny</v>
      </c>
      <c r="J85" s="38">
        <f>COUNTIF(Data!$F$2:$F9917, $I85)</f>
        <v>2</v>
      </c>
      <c r="T85" s="31" t="s">
        <v>25410</v>
      </c>
      <c r="U85" s="31" t="s">
        <v>25411</v>
      </c>
      <c r="V85" s="32">
        <v>45583.0</v>
      </c>
      <c r="X85" s="31" t="str">
        <f>IFERROR(__xludf.DUMMYFUNCTION("""COMPUTED_VALUE"""),"The relevance of competing risk adjustment in cardiovascular risk prediction models for clinical practice.")</f>
        <v>The relevance of competing risk adjustment in cardiovascular risk prediction models for clinical practice.</v>
      </c>
      <c r="Y85" s="31"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Z85" s="31">
        <f>IFERROR(__xludf.DUMMYFUNCTION("""COMPUTED_VALUE"""),2023.0)</f>
        <v>2023</v>
      </c>
      <c r="AA85" s="31">
        <f>IFERROR(__xludf.DUMMYFUNCTION("""COMPUTED_VALUE"""),5.0)</f>
        <v>5</v>
      </c>
      <c r="AC85" s="31" t="str">
        <f>IFERROR(__xludf.DUMMYFUNCTION("""COMPUTED_VALUE"""),"Medical Specialists' Perspectives on the Influence of Electronic Medical Record Use on the Quality of Hospital Care: Semistructured Interview Study.")</f>
        <v>Medical Specialists' Perspectives on the Influence of Electronic Medical Record Use on the Quality of Hospital Care: Semistructured Interview Study.</v>
      </c>
      <c r="AD85" s="31" t="str">
        <f>IFERROR(__xludf.DUMMYFUNCTION("""COMPUTED_VALUE"""),"van Poelgeest, Rube; Schrijvers, Augustinus; Boonstra, Albert; Roes, Kit")</f>
        <v>van Poelgeest, Rube; Schrijvers, Augustinus; Boonstra, Albert; Roes, Kit</v>
      </c>
      <c r="AE85" s="32">
        <f>IFERROR(__xludf.DUMMYFUNCTION("""COMPUTED_VALUE"""),44496.0)</f>
        <v>44496</v>
      </c>
      <c r="AF85" s="31" t="str">
        <f>IFERROR(__xludf.DUMMYFUNCTION("""COMPUTED_VALUE"""),"Hope, but never expect? Comparing parents' pre- and post-disclosure attitudes toward return of results from diagnostic exome sequencing for their child.")</f>
        <v>Hope, but never expect? Comparing parents' pre- and post-disclosure attitudes toward return of results from diagnostic exome sequencing for their child.</v>
      </c>
      <c r="AG85" s="31" t="str">
        <f>IFERROR(__xludf.DUMMYFUNCTION("""COMPUTED_VALUE"""),"Cornelis, Candice; Tibben, Aad; Brilstra, Eva; Bolt, Ineke; van Summeren, Marieke; Knoers, Nine; Bredenoord, Annelien L")</f>
        <v>Cornelis, Candice; Tibben, Aad; Brilstra, Eva; Bolt, Ineke; van Summeren, Marieke; Knoers, Nine; Bredenoord, Annelien L</v>
      </c>
      <c r="AH85" s="32">
        <f>IFERROR(__xludf.DUMMYFUNCTION("""COMPUTED_VALUE"""),45339.0)</f>
        <v>45339</v>
      </c>
      <c r="AI85" s="31" t="str">
        <f>IFERROR(__xludf.DUMMYFUNCTION("""COMPUTED_VALUE"""),"Long-term cardiovascular health status and physical functioning of nonhospitalized patients with COVID-19 compared with non-COVID-19 controls.")</f>
        <v>Long-term cardiovascular health status and physical functioning of nonhospitalized patients with COVID-19 compared with non-COVID-19 controls.</v>
      </c>
      <c r="AJ85" s="31" t="str">
        <f>IFERROR(__xludf.DUMMYFUNCTION("""COMPUTED_VALUE"""),"van der Sluijs, Koen M; Bakker, Esmée A; Schuijt, Tim J; Joseph, Jayaraj; Kavousi, Maryam; Geersing, Geert-Jan; Rutten, Frans H; Hartman, Yvonne A W; Thijssen, Dick H J; Eijsvogels, Thijs M H")</f>
        <v>van der Sluijs, Koen M; Bakker, Esmée A; Schuijt, Tim J; Joseph, Jayaraj; Kavousi, Maryam; Geersing, Geert-Jan; Rutten, Frans H; Hartman, Yvonne A W; Thijssen, Dick H J; Eijsvogels, Thijs M H</v>
      </c>
      <c r="AK85" s="32">
        <f>IFERROR(__xludf.DUMMYFUNCTION("""COMPUTED_VALUE"""),44897.0)</f>
        <v>44897</v>
      </c>
      <c r="AL85" s="31" t="str">
        <f>IFERROR(__xludf.DUMMYFUNCTION("""COMPUTED_VALUE"""),"Body mass index and cancer risk among adults with and without cardiometabolic diseases: evidence from the EPIC and UK Biobank prospective cohort studies.")</f>
        <v>Body mass index and cancer risk among adults with and without cardiometabolic diseases: evidence from the EPIC and UK Biobank prospective cohort studies.</v>
      </c>
      <c r="AM85" s="31" t="str">
        <f>IFERROR(__xludf.DUMMYFUNCTION("""COMPUTED_VALUE"""),"Fontvieille, Emma; Viallon, Vivian; Recalde, Martina; Cordova, Reynalda; Jansana, Anna; Peruchet-Noray, Laia; Lennon, Hannah; Heath, Alicia K; Aune, Dagfinn; Christakoudi, Sofia; Katzke, Verena; Kaaks, Rudolf; Inan-Eroglu, Elif; Schulze, Matthias B; Melle"&amp;"mkjær, Lene; Tjønneland, Anne; Overvad, Kim; Farràs, Marta; Petrova, Dafina; Amiano, Pilar; Chirlaque, María-Dolores; Moreno-Iribas, Conchi; Tin Tin, Sandar; Masala, Giovanna; Sieri, Sabina; Ricceri, Fulvio; Panico, Salvatore; May, Anne M; Monninkhof, Eve"&amp;"lyn M; Weiderpass, Elisabete; Gunter, Marc J; Ferrari, Pietro; Freisling, Heinz")</f>
        <v>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v>
      </c>
      <c r="AN85" s="32">
        <f>IFERROR(__xludf.DUMMYFUNCTION("""COMPUTED_VALUE"""),45253.0)</f>
        <v>45253</v>
      </c>
    </row>
    <row r="86">
      <c r="A86" s="32"/>
      <c r="I86" s="31" t="str">
        <f>IFERROR(__xludf.DUMMYFUNCTION("""COMPUTED_VALUE"""),"journal of cachexia sarcopenia and muscle")</f>
        <v>journal of cachexia sarcopenia and muscle</v>
      </c>
      <c r="J86" s="38">
        <f>COUNTIF(Data!$F$2:$F9917, $I86)</f>
        <v>4</v>
      </c>
      <c r="T86" s="31" t="s">
        <v>25316</v>
      </c>
      <c r="U86" s="31" t="s">
        <v>25317</v>
      </c>
      <c r="V86" s="32">
        <v>45581.0</v>
      </c>
      <c r="X86" s="31" t="str">
        <f>IFERROR(__xludf.DUMMYFUNCTION("""COMPUTED_VALUE"""),"Observation of Single-Top-Quark Production in Association with a Photon Using the ATLAS Detector.")</f>
        <v>Observation of Single-Top-Quark Production in Association with a Photon Using the ATLAS Detector.</v>
      </c>
      <c r="Y86" s="31"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86" s="31">
        <f>IFERROR(__xludf.DUMMYFUNCTION("""COMPUTED_VALUE"""),2023.0)</f>
        <v>2023</v>
      </c>
      <c r="AA86" s="31">
        <f>IFERROR(__xludf.DUMMYFUNCTION("""COMPUTED_VALUE"""),5.0)</f>
        <v>5</v>
      </c>
      <c r="AC86" s="31"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AD86" s="31" t="str">
        <f>IFERROR(__xludf.DUMMYFUNCTION("""COMPUTED_VALUE"""),"Morris, Tim P; van Smeden, Maarten")</f>
        <v>Morris, Tim P; van Smeden, Maarten</v>
      </c>
      <c r="AE86" s="32">
        <f>IFERROR(__xludf.DUMMYFUNCTION("""COMPUTED_VALUE"""),44461.0)</f>
        <v>44461</v>
      </c>
      <c r="AF86" s="31" t="str">
        <f>IFERROR(__xludf.DUMMYFUNCTION("""COMPUTED_VALUE"""),"Nutri-Score 2023 update.")</f>
        <v>Nutri-Score 2023 update.</v>
      </c>
      <c r="AG86" s="31" t="str">
        <f>IFERROR(__xludf.DUMMYFUNCTION("""COMPUTED_VALUE"""),"Merz, Benedikt; Temme, Elisabeth; Alexiou, Hélène; Beulens, Joline Wilhelma Johanna; Buyken, Anette Elisabeth; Bohn, Torsten; Ducrot, Pauline; Falquet, Marie-Noëlle; Solano, Marta García; Haidar, Hanna; Infanger, Esther; Kühnelt, Charlotte; Rodríguez-Arta"&amp;"lejo, Fernando; Sarda, Barthélémy; Steenbergen, Elly; Vandevijvere, Stefanie; Julia, Chantal")</f>
        <v>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v>
      </c>
      <c r="AH86" s="32">
        <f>IFERROR(__xludf.DUMMYFUNCTION("""COMPUTED_VALUE"""),45336.0)</f>
        <v>45336</v>
      </c>
      <c r="AI86" s="31" t="str">
        <f>IFERROR(__xludf.DUMMYFUNCTION("""COMPUTED_VALUE"""),"A systematic review and meta-analysis of diagnostic delay in pulmonary embolism.")</f>
        <v>A systematic review and meta-analysis of diagnostic delay in pulmonary embolism.</v>
      </c>
      <c r="AJ86" s="31" t="str">
        <f>IFERROR(__xludf.DUMMYFUNCTION("""COMPUTED_VALUE"""),"van Maanen, R; Trinks-Roerdink, E M; Rutten, F H; Geersing, G J")</f>
        <v>van Maanen, R; Trinks-Roerdink, E M; Rutten, F H; Geersing, G J</v>
      </c>
      <c r="AK86" s="32">
        <f>IFERROR(__xludf.DUMMYFUNCTION("""COMPUTED_VALUE"""),44896.0)</f>
        <v>44896</v>
      </c>
      <c r="AL86" s="31" t="str">
        <f>IFERROR(__xludf.DUMMYFUNCTION("""COMPUTED_VALUE"""),"Perspectives of patients with metastatic breast cancer on physical exercise programs: results from a survey in five European countries.")</f>
        <v>Perspectives of patients with metastatic breast cancer on physical exercise programs: results from a survey in five European countries.</v>
      </c>
      <c r="AM86" s="31" t="str">
        <f>IFERROR(__xludf.DUMMYFUNCTION("""COMPUTED_VALUE"""),"Sweegers, Maike G; Depenbusch, Johanna; Kampshoff, Caroline S; Aaronson, Neil K; Hiensch, Anouk; Wengström, Yvonne; Backman, Malin; Gunasekara, Nadira; Clauss, Dorothea; Pelaez, Mireia; Lachowicz, Milena; May, Anne M; Steindorf, Karen; Stuiver, Martijn M;"&amp;" ,")</f>
        <v>Sweegers, Maike G; Depenbusch, Johanna; Kampshoff, Caroline S; Aaronson, Neil K; Hiensch, Anouk; Wengström, Yvonne; Backman, Malin; Gunasekara, Nadira; Clauss, Dorothea; Pelaez, Mireia; Lachowicz, Milena; May, Anne M; Steindorf, Karen; Stuiver, Martijn M; ,</v>
      </c>
      <c r="AN86" s="32">
        <f>IFERROR(__xludf.DUMMYFUNCTION("""COMPUTED_VALUE"""),45243.0)</f>
        <v>45243</v>
      </c>
    </row>
    <row r="87">
      <c r="A87" s="32"/>
      <c r="I87" s="31" t="str">
        <f>IFERROR(__xludf.DUMMYFUNCTION("""COMPUTED_VALUE"""),"rheumatology oxford england")</f>
        <v>rheumatology oxford england</v>
      </c>
      <c r="J87" s="38">
        <f>COUNTIF(Data!$F$2:$F9917, $I87)</f>
        <v>3</v>
      </c>
      <c r="T87" s="31" t="s">
        <v>25675</v>
      </c>
      <c r="U87" s="31" t="s">
        <v>25676</v>
      </c>
      <c r="V87" s="32">
        <v>45581.0</v>
      </c>
      <c r="X87" s="31" t="str">
        <f>IFERROR(__xludf.DUMMYFUNCTION("""COMPUTED_VALUE"""),"Autoinflation for otitis media with effusion (OME) in children.")</f>
        <v>Autoinflation for otitis media with effusion (OME) in children.</v>
      </c>
      <c r="Y87" s="31" t="str">
        <f>IFERROR(__xludf.DUMMYFUNCTION("""COMPUTED_VALUE"""),"Webster, Katie E; Mulvaney, Caroline A; Galbraith, Kevin; Rana, Mridul; Marom, Tal; Daniel, Mat; Venekamp, Roderick P; Schilder, Anne Gm; MacKeith, Samuel")</f>
        <v>Webster, Katie E; Mulvaney, Caroline A; Galbraith, Kevin; Rana, Mridul; Marom, Tal; Daniel, Mat; Venekamp, Roderick P; Schilder, Anne Gm; MacKeith, Samuel</v>
      </c>
      <c r="Z87" s="31">
        <f>IFERROR(__xludf.DUMMYFUNCTION("""COMPUTED_VALUE"""),2023.0)</f>
        <v>2023</v>
      </c>
      <c r="AA87" s="31">
        <f>IFERROR(__xludf.DUMMYFUNCTION("""COMPUTED_VALUE"""),5.0)</f>
        <v>5</v>
      </c>
      <c r="AC87" s="31"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AD87" s="31" t="str">
        <f>IFERROR(__xludf.DUMMYFUNCTION("""COMPUTED_VALUE"""),"Impellizzeri, Franco M; McCall, Alan; van Smeden, Maarten")</f>
        <v>Impellizzeri, Franco M; McCall, Alan; van Smeden, Maarten</v>
      </c>
      <c r="AE87" s="32">
        <f>IFERROR(__xludf.DUMMYFUNCTION("""COMPUTED_VALUE"""),44450.0)</f>
        <v>44450</v>
      </c>
      <c r="AF87" s="31" t="str">
        <f>IFERROR(__xludf.DUMMYFUNCTION("""COMPUTED_VALUE"""),"Substituting Low-Calorie Sweetened Beverages for Sugar-Sweetened Beverages to Prevent Obesity and Cardiometabolic Diseases: Still a Good Idea?")</f>
        <v>Substituting Low-Calorie Sweetened Beverages for Sugar-Sweetened Beverages to Prevent Obesity and Cardiometabolic Diseases: Still a Good Idea?</v>
      </c>
      <c r="AG87" s="31" t="str">
        <f>IFERROR(__xludf.DUMMYFUNCTION("""COMPUTED_VALUE"""),"Chatelan, Angeline; Raeisi-Dehkordi, Hamidreza; Salehi-Abargouei, Amin")</f>
        <v>Chatelan, Angeline; Raeisi-Dehkordi, Hamidreza; Salehi-Abargouei, Amin</v>
      </c>
      <c r="AH87" s="32">
        <f>IFERROR(__xludf.DUMMYFUNCTION("""COMPUTED_VALUE"""),45335.0)</f>
        <v>45335</v>
      </c>
      <c r="AI87" s="31" t="str">
        <f>IFERROR(__xludf.DUMMYFUNCTION("""COMPUTED_VALUE"""),"[New therapeutic options in heart failure: the importance of the left ventricular ejection fraction].")</f>
        <v>[New therapeutic options in heart failure: the importance of the left ventricular ejection fraction].</v>
      </c>
      <c r="AJ87" s="31" t="str">
        <f>IFERROR(__xludf.DUMMYFUNCTION("""COMPUTED_VALUE"""),"Nielsen Gerlach, Claire L; Rutten, Frans H; Mosterd, Arend")</f>
        <v>Nielsen Gerlach, Claire L; Rutten, Frans H; Mosterd, Arend</v>
      </c>
      <c r="AK87" s="32">
        <f>IFERROR(__xludf.DUMMYFUNCTION("""COMPUTED_VALUE"""),44887.0)</f>
        <v>44887</v>
      </c>
      <c r="AL87" s="31" t="str">
        <f>IFERROR(__xludf.DUMMYFUNCTION("""COMPUTED_VALUE"""),"External validation of a lung cancer-based prediction model for two-year mortality in esophageal cancer patient cohorts.")</f>
        <v>External validation of a lung cancer-based prediction model for two-year mortality in esophageal cancer patient cohorts.</v>
      </c>
      <c r="AM87" s="31" t="str">
        <f>IFERROR(__xludf.DUMMYFUNCTION("""COMPUTED_VALUE"""),"Berbée, M; Muijs, C T; Voncken, F E M; Wee, L; Sosef, M; van Etten, B; van Sandick, J W; Warmerdam, F A R M; de Haan, J J; Oldehinkel, E; van Dieren, J M; Boersma, L; Langendijk, J A; van der Schaaf, A; Reitsma, J B; Schuit, E")</f>
        <v>Berbée, M; Muijs, C T; Voncken, F E M; Wee, L; Sosef, M; van Etten, B; van Sandick, J W; Warmerdam, F A R M; de Haan, J J; Oldehinkel, E; van Dieren, J M; Boersma, L; Langendijk, J A; van der Schaaf, A; Reitsma, J B; Schuit, E</v>
      </c>
      <c r="AN87" s="32">
        <f>IFERROR(__xludf.DUMMYFUNCTION("""COMPUTED_VALUE"""),45239.0)</f>
        <v>45239</v>
      </c>
    </row>
    <row r="88">
      <c r="A88" s="32"/>
      <c r="I88" s="31" t="str">
        <f>IFERROR(__xludf.DUMMYFUNCTION("""COMPUTED_VALUE"""),"esc heart failure")</f>
        <v>esc heart failure</v>
      </c>
      <c r="J88" s="38">
        <f>COUNTIF(Data!$F$2:$F9917, $I88)</f>
        <v>12</v>
      </c>
      <c r="T88" s="31" t="s">
        <v>25889</v>
      </c>
      <c r="U88" s="31" t="s">
        <v>25890</v>
      </c>
      <c r="V88" s="32">
        <v>45581.0</v>
      </c>
      <c r="X88" s="31" t="str">
        <f>IFERROR(__xludf.DUMMYFUNCTION("""COMPUTED_VALUE"""),"Successful tapering of dupilumab in patients with atopic dermatitis with low disease activity: a large pragmatic daily practice study from the BioDay registry.")</f>
        <v>Successful tapering of dupilumab in patients with atopic dermatitis with low disease activity: a large pragmatic daily practice study from the BioDay registry.</v>
      </c>
      <c r="Y88" s="31" t="str">
        <f>IFERROR(__xludf.DUMMYFUNCTION("""COMPUTED_VALUE"""),"Spekhorst, Lotte S; Boesjes, Celeste M; Loman, Laura; Zuithoff, Nicolaas P A; Bakker, Daphne S; Kamphuis, Esmé; Kamsteeg, Marijke; Haeck, Inge M; Oosting, Albert J; van Lumig, Paula P M; van Lynden-van Nes, Anneke M T; Tupker, Ron A; Flinterman, Annebeth;"&amp;" Garritsen, Floor M; Touwslager, Wouter R H; de Bruin-Weller, Marjolein S; Schuttelaar, Marie-Louise A; de Graaf, Marlies")</f>
        <v>Spekhorst, Lotte S; Boesjes, Celeste M; Loman, Laura; Zuithoff, Nicolaas P A; Bakker, Daphne S; Kamphuis, Esmé; Kamsteeg, Marijke; Haeck, Inge M; Oosting, Albert J; van Lumig, Paula P M; van Lynden-van Nes, Anneke M T; Tupker, Ron A; Flinterman, Annebeth; Garritsen, Floor M; Touwslager, Wouter R H; de Bruin-Weller, Marjolein S; Schuttelaar, Marie-Louise A; de Graaf, Marlies</v>
      </c>
      <c r="Z88" s="31">
        <f>IFERROR(__xludf.DUMMYFUNCTION("""COMPUTED_VALUE"""),2023.0)</f>
        <v>2023</v>
      </c>
      <c r="AA88" s="31">
        <f>IFERROR(__xludf.DUMMYFUNCTION("""COMPUTED_VALUE"""),5.0)</f>
        <v>5</v>
      </c>
      <c r="AC88" s="31" t="str">
        <f>IFERROR(__xludf.DUMMYFUNCTION("""COMPUTED_VALUE"""),"Flaws in the Development and Validation of a Coronavirus Disease 2019 Prediction Model.")</f>
        <v>Flaws in the Development and Validation of a Coronavirus Disease 2019 Prediction Model.</v>
      </c>
      <c r="AD88" s="31" t="str">
        <f>IFERROR(__xludf.DUMMYFUNCTION("""COMPUTED_VALUE"""),"Collins, Gary S; Riley, Richard D; van Smeden, Maarten")</f>
        <v>Collins, Gary S; Riley, Richard D; van Smeden, Maarten</v>
      </c>
      <c r="AE88" s="32">
        <f>IFERROR(__xludf.DUMMYFUNCTION("""COMPUTED_VALUE"""),44410.0)</f>
        <v>44410</v>
      </c>
      <c r="AF88" s="31" t="str">
        <f>IFERROR(__xludf.DUMMYFUNCTION("""COMPUTED_VALUE"""),"Epidemiology of heart failure in diabetes: a disease in disguise.")</f>
        <v>Epidemiology of heart failure in diabetes: a disease in disguise.</v>
      </c>
      <c r="AG88" s="31" t="str">
        <f>IFERROR(__xludf.DUMMYFUNCTION("""COMPUTED_VALUE"""),"Hoek, Anna G; Dal Canto, Elisa; Wenker, Eva; Bindraban, Navin; Handoko, M Louis; Elders, Petra J M; Beulens, Joline W J")</f>
        <v>Hoek, Anna G; Dal Canto, Elisa; Wenker, Eva; Bindraban, Navin; Handoko, M Louis; Elders, Petra J M; Beulens, Joline W J</v>
      </c>
      <c r="AH88" s="32">
        <f>IFERROR(__xludf.DUMMYFUNCTION("""COMPUTED_VALUE"""),45331.0)</f>
        <v>45331</v>
      </c>
      <c r="AI88" s="31" t="str">
        <f>IFERROR(__xludf.DUMMYFUNCTION("""COMPUTED_VALUE"""),"Development of a microlearning intervention regarding nursing nutritional care for older adults: A multi-methods study.")</f>
        <v>Development of a microlearning intervention regarding nursing nutritional care for older adults: A multi-methods study.</v>
      </c>
      <c r="AJ88" s="31" t="str">
        <f>IFERROR(__xludf.DUMMYFUNCTION("""COMPUTED_VALUE"""),"Ten Cate, Debbie; Dikken, Jeroen; Ettema, Roelof G A; Schoonhoven, Lisette; Schuurmans, Marieke J")</f>
        <v>Ten Cate, Debbie; Dikken, Jeroen; Ettema, Roelof G A; Schoonhoven, Lisette; Schuurmans, Marieke J</v>
      </c>
      <c r="AK88" s="32">
        <f>IFERROR(__xludf.DUMMYFUNCTION("""COMPUTED_VALUE"""),44873.0)</f>
        <v>44873</v>
      </c>
      <c r="AL88" s="31" t="str">
        <f>IFERROR(__xludf.DUMMYFUNCTION("""COMPUTED_VALUE"""),"Antioxidants for adults with chronic kidney disease.")</f>
        <v>Antioxidants for adults with chronic kidney disease.</v>
      </c>
      <c r="AM88" s="31" t="str">
        <f>IFERROR(__xludf.DUMMYFUNCTION("""COMPUTED_VALUE"""),"Colombijn, Julia Mt; Hooft, Lotty; Jun, Min; Webster, Angela C; Bots, Michiel L; Verhaar, Marianne C; Vernooij, Robin Wm")</f>
        <v>Colombijn, Julia Mt; Hooft, Lotty; Jun, Min; Webster, Angela C; Bots, Michiel L; Verhaar, Marianne C; Vernooij, Robin Wm</v>
      </c>
      <c r="AN88" s="32">
        <f>IFERROR(__xludf.DUMMYFUNCTION("""COMPUTED_VALUE"""),45232.0)</f>
        <v>45232</v>
      </c>
    </row>
    <row r="89">
      <c r="A89" s="32"/>
      <c r="I89" s="31" t="str">
        <f>IFERROR(__xludf.DUMMYFUNCTION("""COMPUTED_VALUE"""),"annals of intensive care")</f>
        <v>annals of intensive care</v>
      </c>
      <c r="J89" s="38">
        <f>COUNTIF(Data!$F$2:$F9917, $I89)</f>
        <v>1</v>
      </c>
      <c r="T89" s="31" t="s">
        <v>24910</v>
      </c>
      <c r="U89" s="31" t="s">
        <v>24911</v>
      </c>
      <c r="V89" s="32">
        <v>45580.0</v>
      </c>
      <c r="X89" s="31" t="str">
        <f>IFERROR(__xludf.DUMMYFUNCTION("""COMPUTED_VALUE"""),"Diagnostic management of acute pulmonary embolism: a prediction model based on a patient data meta-analysis.")</f>
        <v>Diagnostic management of acute pulmonary embolism: a prediction model based on a patient data meta-analysis.</v>
      </c>
      <c r="Y89" s="31"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Z89" s="31">
        <f>IFERROR(__xludf.DUMMYFUNCTION("""COMPUTED_VALUE"""),2023.0)</f>
        <v>2023</v>
      </c>
      <c r="AA89" s="31">
        <f>IFERROR(__xludf.DUMMYFUNCTION("""COMPUTED_VALUE"""),5.0)</f>
        <v>5</v>
      </c>
      <c r="AC89" s="31" t="str">
        <f>IFERROR(__xludf.DUMMYFUNCTION("""COMPUTED_VALUE"""),"Prediction models: stepwise development and simultaneous validation is a step back.")</f>
        <v>Prediction models: stepwise development and simultaneous validation is a step back.</v>
      </c>
      <c r="AD89" s="31" t="str">
        <f>IFERROR(__xludf.DUMMYFUNCTION("""COMPUTED_VALUE"""),"Heinze, Georg; van Smeden, Maarten; Wynants, Laure; Steyerberg, Ewout; van Calster, Ben")</f>
        <v>Heinze, Georg; van Smeden, Maarten; Wynants, Laure; Steyerberg, Ewout; van Calster, Ben</v>
      </c>
      <c r="AE89" s="32">
        <f>IFERROR(__xludf.DUMMYFUNCTION("""COMPUTED_VALUE"""),44409.0)</f>
        <v>44409</v>
      </c>
      <c r="AF89" s="31" t="str">
        <f>IFERROR(__xludf.DUMMYFUNCTION("""COMPUTED_VALUE"""),"Empowering Tomorrow's Cancer Specialists: Evaluating the Co-creation and Impact of Malawi's First Surgical Oncology Summerschool.")</f>
        <v>Empowering Tomorrow's Cancer Specialists: Evaluating the Co-creation and Impact of Malawi's First Surgical Oncology Summerschool.</v>
      </c>
      <c r="AG89" s="31" t="str">
        <f>IFERROR(__xludf.DUMMYFUNCTION("""COMPUTED_VALUE"""),"van Egmond, Remco; van Kesteren, Jurre; Kaomba, Lucy; Philipo, Godfrey Sama; Borgstein, Eric; Rinkes, Inne Borel; Rijken, Marcus; Kruijff, Schelto; Stortelder, Eva")</f>
        <v>van Egmond, Remco; van Kesteren, Jurre; Kaomba, Lucy; Philipo, Godfrey Sama; Borgstein, Eric; Rinkes, Inne Borel; Rijken, Marcus; Kruijff, Schelto; Stortelder, Eva</v>
      </c>
      <c r="AH89" s="32">
        <f>IFERROR(__xludf.DUMMYFUNCTION("""COMPUTED_VALUE"""),45331.0)</f>
        <v>45331</v>
      </c>
      <c r="AI89" s="31" t="str">
        <f>IFERROR(__xludf.DUMMYFUNCTION("""COMPUTED_VALUE"""),"Methenamine hippurate to prevent recurrent urinary tract infections in older women: protocol for a randomised, placebo-controlled trial (ImpresU).")</f>
        <v>Methenamine hippurate to prevent recurrent urinary tract infections in older women: protocol for a randomised, placebo-controlled trial (ImpresU).</v>
      </c>
      <c r="AJ89" s="31" t="str">
        <f>IFERROR(__xludf.DUMMYFUNCTION("""COMPUTED_VALUE"""),"Heltveit-Olsen, Silje Rebekka; Sundvall, Pär-Daniel; Gunnarsson, Ronny; Snaebjörnsson Arnljots, Egill; Kowalczyk, Anna; Godycki-Cwirko, Maciek; Platteel, Tamara N; Koning, Hilde A M; Groen, Wim G; Åhrén, Christina; Grude, Nils; Verheij, Theo J M; Hertogh,"&amp;" Cees M P M; Lindbaek, Morten; Hoye, Sigurd")</f>
        <v>Heltveit-Olsen, Silje Rebekka; Sundvall, Pär-Daniel; Gunnarsson, Ronny; Snaebjörnsson Arnljots, Egill; Kowalczyk, Anna; Godycki-Cwirko, Maciek; Platteel, Tamara N; Koning, Hilde A M; Groen, Wim G; Åhrén, Christina; Grude, Nils; Verheij, Theo J M; Hertogh, Cees M P M; Lindbaek, Morten; Hoye, Sigurd</v>
      </c>
      <c r="AK89" s="32">
        <f>IFERROR(__xludf.DUMMYFUNCTION("""COMPUTED_VALUE"""),44866.0)</f>
        <v>44866</v>
      </c>
      <c r="AL89" s="31" t="str">
        <f>IFERROR(__xludf.DUMMYFUNCTION("""COMPUTED_VALUE"""),"Nosocomial SARS-CoV-2 Infections and Mortality During Unique COVID-19 Epidemic Waves.")</f>
        <v>Nosocomial SARS-CoV-2 Infections and Mortality During Unique COVID-19 Epidemic Waves.</v>
      </c>
      <c r="AM89" s="31" t="str">
        <f>IFERROR(__xludf.DUMMYFUNCTION("""COMPUTED_VALUE"""),"Dave, Nishi; Sjöholm, Daniel; Hedberg, Pontus; Ternhag, Anders; Granath, Fredrik; Verberk, Janneke D M; Johansson, Anders F; van der Werff, Suzanne D; Nauclér, Pontus")</f>
        <v>Dave, Nishi; Sjöholm, Daniel; Hedberg, Pontus; Ternhag, Anders; Granath, Fredrik; Verberk, Janneke D M; Johansson, Anders F; van der Werff, Suzanne D; Nauclér, Pontus</v>
      </c>
      <c r="AN89" s="32">
        <f>IFERROR(__xludf.DUMMYFUNCTION("""COMPUTED_VALUE"""),45231.0)</f>
        <v>45231</v>
      </c>
    </row>
    <row r="90">
      <c r="A90" s="32"/>
      <c r="I90" s="31" t="str">
        <f>IFERROR(__xludf.DUMMYFUNCTION("""COMPUTED_VALUE"""),"bmc primary care")</f>
        <v>bmc primary care</v>
      </c>
      <c r="J90" s="38">
        <f>COUNTIF(Data!$F$2:$F9917, $I90)</f>
        <v>11</v>
      </c>
      <c r="T90" s="31" t="s">
        <v>25778</v>
      </c>
      <c r="U90" s="31" t="s">
        <v>25779</v>
      </c>
      <c r="V90" s="32">
        <v>45580.0</v>
      </c>
      <c r="X90" s="31" t="str">
        <f>IFERROR(__xludf.DUMMYFUNCTION("""COMPUTED_VALUE"""),"Temporal Trends and Determinants of Stroke Risk in Patients With Medically Treated Asymptomatic Carotid Stenosis.")</f>
        <v>Temporal Trends and Determinants of Stroke Risk in Patients With Medically Treated Asymptomatic Carotid Stenosis.</v>
      </c>
      <c r="Y90" s="31" t="str">
        <f>IFERROR(__xludf.DUMMYFUNCTION("""COMPUTED_VALUE"""),"Poorthuis, Michiel H F; Solomon, Yoel; Herings, Reinier A R; Visseren, Frank L J; Kappelle, L Jaap; Bots, Michiel L; Rissanen, Ina; de Borst, Gert J")</f>
        <v>Poorthuis, Michiel H F; Solomon, Yoel; Herings, Reinier A R; Visseren, Frank L J; Kappelle, L Jaap; Bots, Michiel L; Rissanen, Ina; de Borst, Gert J</v>
      </c>
      <c r="Z90" s="31">
        <f>IFERROR(__xludf.DUMMYFUNCTION("""COMPUTED_VALUE"""),2023.0)</f>
        <v>2023</v>
      </c>
      <c r="AA90" s="31">
        <f>IFERROR(__xludf.DUMMYFUNCTION("""COMPUTED_VALUE"""),5.0)</f>
        <v>5</v>
      </c>
      <c r="AC90" s="31" t="str">
        <f>IFERROR(__xludf.DUMMYFUNCTION("""COMPUTED_VALUE"""),"Mandibular range of motion in children with juvenile idiopathic arthritis with and without clinically established temporomandibular joint involvement and in healthy children; a cross-sectional study.")</f>
        <v>Mandibular range of motion in children with juvenile idiopathic arthritis with and without clinically established temporomandibular joint involvement and in healthy children; a cross-sectional study.</v>
      </c>
      <c r="AD90" s="31" t="str">
        <f>IFERROR(__xludf.DUMMYFUNCTION("""COMPUTED_VALUE"""),"de Sonnaville, Willemijn F C; Speksnijder, Caroline M; Zuithoff, Nicolaas P A; Verkouteren, Daan R C; Wulffraat, Nico W; Steenks, Michel H; Rosenberg, Antoine J W P")</f>
        <v>de Sonnaville, Willemijn F C; Speksnijder, Caroline M; Zuithoff, Nicolaas P A; Verkouteren, Daan R C; Wulffraat, Nico W; Steenks, Michel H; Rosenberg, Antoine J W P</v>
      </c>
      <c r="AE90" s="32">
        <f>IFERROR(__xludf.DUMMYFUNCTION("""COMPUTED_VALUE"""),44380.0)</f>
        <v>44380</v>
      </c>
      <c r="AF90" s="31" t="str">
        <f>IFERROR(__xludf.DUMMYFUNCTION("""COMPUTED_VALUE"""),"Global positioning system-based food environment exposures, diet-related, and cardiometabolic health outcomes: a systematic review and research agenda.")</f>
        <v>Global positioning system-based food environment exposures, diet-related, and cardiometabolic health outcomes: a systematic review and research agenda.</v>
      </c>
      <c r="AG90" s="31" t="str">
        <f>IFERROR(__xludf.DUMMYFUNCTION("""COMPUTED_VALUE"""),"Siddiqui, Noreen Z; Wei, Lai; Mackenbach, Joreintje D; Pinho, Maria G M; Helbich, Marco; Schoonmade, Linda J; Beulens, Joline W J")</f>
        <v>Siddiqui, Noreen Z; Wei, Lai; Mackenbach, Joreintje D; Pinho, Maria G M; Helbich, Marco; Schoonmade, Linda J; Beulens, Joline W J</v>
      </c>
      <c r="AH90" s="32">
        <f>IFERROR(__xludf.DUMMYFUNCTION("""COMPUTED_VALUE"""),45328.0)</f>
        <v>45328</v>
      </c>
      <c r="AI90" s="31" t="str">
        <f>IFERROR(__xludf.DUMMYFUNCTION("""COMPUTED_VALUE"""),"A meta-analysis on the role older adults with cancer favour in treatment decision making.")</f>
        <v>A meta-analysis on the role older adults with cancer favour in treatment decision making.</v>
      </c>
      <c r="AJ90" s="31" t="str">
        <f>IFERROR(__xludf.DUMMYFUNCTION("""COMPUTED_VALUE"""),"van der Waal, Maike S; Seghers, Nelleke; Welsing, Paco M J; van Huis, Lieke H; Emmelot-Vonk, Marielle H; Hamaker, Marije E")</f>
        <v>van der Waal, Maike S; Seghers, Nelleke; Welsing, Paco M J; van Huis, Lieke H; Emmelot-Vonk, Marielle H; Hamaker, Marije E</v>
      </c>
      <c r="AK90" s="32">
        <f>IFERROR(__xludf.DUMMYFUNCTION("""COMPUTED_VALUE"""),44846.0)</f>
        <v>44846</v>
      </c>
      <c r="AL90" s="31" t="str">
        <f>IFERROR(__xludf.DUMMYFUNCTION("""COMPUTED_VALUE"""),"Impact of the COVID-19 pandemic on breast cancer incidence and tumor stage in the Netherlands and Norway: A population-based study.")</f>
        <v>Impact of the COVID-19 pandemic on breast cancer incidence and tumor stage in the Netherlands and Norway: A population-based study.</v>
      </c>
      <c r="AM90" s="31" t="str">
        <f>IFERROR(__xludf.DUMMYFUNCTION("""COMPUTED_VALUE"""),"Eijkelboom, Anouk H; de Munck, Linda; Larsen, Marthe; Bijlsma, Maarten J; Tjan-Heijnen, Vivianne C G; van Gils, Carla H; Broeders, Mireille J M; Nygård, Jan F; Lobbes, Marc B I; Helsper, Charles W; Pijnappel, Ruud M; Strobbe, Luc J A; Wesseling, Jelle; Ho"&amp;"fvind, Solveig; Siesling, Sabine; ,")</f>
        <v>Eijkelboom, Anouk H; de Munck, Linda; Larsen, Marthe; Bijlsma, Maarten J; Tjan-Heijnen, Vivianne C G; van Gils, Carla H; Broeders, Mireille J M; Nygård, Jan F; Lobbes, Marc B I; Helsper, Charles W; Pijnappel, Ruud M; Strobbe, Luc J A; Wesseling, Jelle; Hofvind, Solveig; Siesling, Sabine; ,</v>
      </c>
      <c r="AN90" s="32">
        <f>IFERROR(__xludf.DUMMYFUNCTION("""COMPUTED_VALUE"""),45226.0)</f>
        <v>45226</v>
      </c>
    </row>
    <row r="91">
      <c r="A91" s="32"/>
      <c r="I91" s="31" t="str">
        <f>IFERROR(__xludf.DUMMYFUNCTION("""COMPUTED_VALUE"""),"the journal of infectious diseases")</f>
        <v>the journal of infectious diseases</v>
      </c>
      <c r="J91" s="38">
        <f>COUNTIF(Data!$F$2:$F9917, $I91)</f>
        <v>11</v>
      </c>
      <c r="T91" s="31" t="s">
        <v>25190</v>
      </c>
      <c r="U91" s="31" t="s">
        <v>25191</v>
      </c>
      <c r="V91" s="32">
        <v>45579.0</v>
      </c>
      <c r="X91" s="31" t="str">
        <f>IFERROR(__xludf.DUMMYFUNCTION("""COMPUTED_VALUE"""),"Perspectives of older women in the Netherlands: identifying motivators and barriers for healthy lifestyles and determinants of healthy aging.")</f>
        <v>Perspectives of older women in the Netherlands: identifying motivators and barriers for healthy lifestyles and determinants of healthy aging.</v>
      </c>
      <c r="Y91" s="31" t="str">
        <f>IFERROR(__xludf.DUMMYFUNCTION("""COMPUTED_VALUE"""),"Sialino, L D; Wijnhoven, H A H; van Oostrom, S H; Picavet, H S J; Verschuren, W M M; Visser, M; Vader, S; Schaap, L A")</f>
        <v>Sialino, L D; Wijnhoven, H A H; van Oostrom, S H; Picavet, H S J; Verschuren, W M M; Visser, M; Vader, S; Schaap, L A</v>
      </c>
      <c r="Z91" s="31">
        <f>IFERROR(__xludf.DUMMYFUNCTION("""COMPUTED_VALUE"""),2023.0)</f>
        <v>2023</v>
      </c>
      <c r="AA91" s="31">
        <f>IFERROR(__xludf.DUMMYFUNCTION("""COMPUTED_VALUE"""),5.0)</f>
        <v>5</v>
      </c>
      <c r="AC91" s="31" t="str">
        <f>IFERROR(__xludf.DUMMYFUNCTION("""COMPUTED_VALUE"""),"Unraveling the genetic complexities of combined retinal dystrophy and hearing impairment.")</f>
        <v>Unraveling the genetic complexities of combined retinal dystrophy and hearing impairment.</v>
      </c>
      <c r="AD91" s="31" t="str">
        <f>IFERROR(__xludf.DUMMYFUNCTION("""COMPUTED_VALUE"""),"Bahena, Paulina; Daftarian, Narsis; Maroofian, Reza; Linares, Paola; Villalobos, Daniel; Mirrahimi, Mehraban; Rad, Aboulfazl; Doll, Julia; Hofrichter, Michaela A H; Koparir, Asuman; Röder, Tabea; Han, Seungbin; Sabbaghi, Hamideh; Ahmadieh, Hamid; Behboudi"&amp;", Hassan; Villanueva-Mendoza, Cristina; Cortés-Gonzalez, Vianney; Zamora-Ortiz, Rocio; Kohl, Susanne; Kuehlewein, Laura; Darvish, Hossein; Alehabib, Elham; Arenas-Sordo, Maria de la Luz; Suri, Fatemeh; Vona, Barbara; Haaf, Thomas")</f>
        <v>Bahena, Paulina; Daftarian, Narsis; Maroofian, Reza; Linares, Paola; Villalobos, Daniel; Mirrahimi, Mehraban; Rad, Aboulfazl; Doll, Julia; Hofrichter, Michaela A H; Koparir, Asuman; Röder, Tabea; Han, Seungbin; Sabbaghi, Hamideh; Ahmadieh, Hamid; Behboudi, Hassan; Villanueva-Mendoza, Cristina; Cortés-Gonzalez, Vianney; Zamora-Ortiz, Rocio; Kohl, Susanne; Kuehlewein, Laura; Darvish, Hossein; Alehabib, Elham; Arenas-Sordo, Maria de la Luz; Suri, Fatemeh; Vona, Barbara; Haaf, Thomas</v>
      </c>
      <c r="AE91" s="32">
        <f>IFERROR(__xludf.DUMMYFUNCTION("""COMPUTED_VALUE"""),44367.0)</f>
        <v>44367</v>
      </c>
      <c r="AF91" s="31" t="str">
        <f>IFERROR(__xludf.DUMMYFUNCTION("""COMPUTED_VALUE"""),"Maternal history of Alzheimer's disease predisposes to altered serum cholesterol levels in adult offspring.")</f>
        <v>Maternal history of Alzheimer's disease predisposes to altered serum cholesterol levels in adult offspring.</v>
      </c>
      <c r="AG91" s="31" t="str">
        <f>IFERROR(__xludf.DUMMYFUNCTION("""COMPUTED_VALUE"""),"Liang, Yuehui; Deng, Ming-Gang; Jian, Qinghong; Liu, Mingwei; Fang, Kui; Chen, Shuai")</f>
        <v>Liang, Yuehui; Deng, Ming-Gang; Jian, Qinghong; Liu, Mingwei; Fang, Kui; Chen, Shuai</v>
      </c>
      <c r="AH91" s="32">
        <f>IFERROR(__xludf.DUMMYFUNCTION("""COMPUTED_VALUE"""),45327.0)</f>
        <v>45327</v>
      </c>
      <c r="AI91" s="31" t="str">
        <f>IFERROR(__xludf.DUMMYFUNCTION("""COMPUTED_VALUE"""),"Cost-effectiveness and return-on-investment of C-reactive protein point-of-care testing in comparison with usual care to reduce antibiotic prescribing for lower respiratory tract infections in nursing homes: a cluster randomised trial.")</f>
        <v>Cost-effectiveness and return-on-investment of C-reactive protein point-of-care testing in comparison with usual care to reduce antibiotic prescribing for lower respiratory tract infections in nursing homes: a cluster randomised trial.</v>
      </c>
      <c r="AJ91" s="31" t="str">
        <f>IFERROR(__xludf.DUMMYFUNCTION("""COMPUTED_VALUE"""),"Boere, Tjarda M; El Alili, Mohamed; van Buul, Laura W; Hopstaken, Rogier M; Verheij, Theo J M; Hertogh, Cees M P M; van Tulder, Maurits W; Bosmans, Judith E")</f>
        <v>Boere, Tjarda M; El Alili, Mohamed; van Buul, Laura W; Hopstaken, Rogier M; Verheij, Theo J M; Hertogh, Cees M P M; van Tulder, Maurits W; Bosmans, Judith E</v>
      </c>
      <c r="AK91" s="32">
        <f>IFERROR(__xludf.DUMMYFUNCTION("""COMPUTED_VALUE"""),44819.0)</f>
        <v>44819</v>
      </c>
      <c r="AL91" s="31" t="str">
        <f>IFERROR(__xludf.DUMMYFUNCTION("""COMPUTED_VALUE"""),"The augmented value of using clinical notes in semi-automated surveillance of deep surgical site infections after colorectal surgery.")</f>
        <v>The augmented value of using clinical notes in semi-automated surveillance of deep surgical site infections after colorectal surgery.</v>
      </c>
      <c r="AM91" s="31" t="str">
        <f>IFERROR(__xludf.DUMMYFUNCTION("""COMPUTED_VALUE"""),"Verberk, Janneke D M; van der Werff, Suzanne D; Weegar, Rebecka; Henriksson, Aron; Richir, Milan C; Buchli, Christian; van Mourik, Maaike S M; Nauclér, Pontus")</f>
        <v>Verberk, Janneke D M; van der Werff, Suzanne D; Weegar, Rebecka; Henriksson, Aron; Richir, Milan C; Buchli, Christian; van Mourik, Maaike S M; Nauclér, Pontus</v>
      </c>
      <c r="AN91" s="32">
        <f>IFERROR(__xludf.DUMMYFUNCTION("""COMPUTED_VALUE"""),45225.0)</f>
        <v>45225</v>
      </c>
    </row>
    <row r="92">
      <c r="A92" s="32"/>
      <c r="I92" s="31" t="str">
        <f>IFERROR(__xludf.DUMMYFUNCTION("""COMPUTED_VALUE"""),"journal for immunotherapy of cancer")</f>
        <v>journal for immunotherapy of cancer</v>
      </c>
      <c r="J92" s="38">
        <f>COUNTIF(Data!$F$2:$F9917, $I92)</f>
        <v>2</v>
      </c>
      <c r="T92" s="31" t="s">
        <v>25328</v>
      </c>
      <c r="U92" s="31" t="s">
        <v>25329</v>
      </c>
      <c r="V92" s="32">
        <v>45579.0</v>
      </c>
      <c r="X92" s="31" t="str">
        <f>IFERROR(__xludf.DUMMYFUNCTION("""COMPUTED_VALUE"""),"Long-term Survival in Breast Cancer Patients Is Associated with Contralateral Parenchymal Enhancement at MRI: Outcomes of the SELECT Study.")</f>
        <v>Long-term Survival in Breast Cancer Patients Is Associated with Contralateral Parenchymal Enhancement at MRI: Outcomes of the SELECT Study.</v>
      </c>
      <c r="Y92" s="31" t="str">
        <f>IFERROR(__xludf.DUMMYFUNCTION("""COMPUTED_VALUE"""),"Ragusi, Max A A; van der Velden, Bas H M; Meeuwis, Carla; Tetteroo, Eric; Coerkamp, Emile G; van Nijnatten, Thiemo J A; Jansen, Frits H; Wolters-van der Ben, Elian J M; Jongen, Lisa; van Raamt, Fleur; Dorrius, Monique D; Verloop, Janneke; Viergever, Max A"&amp;"; Pijnappel, Ruud M; Elias, Sjoerd G; Gilhuijs, Kenneth G A")</f>
        <v>Ragusi, Max A A; van der Velden, Bas H M; Meeuwis, Carla; Tetteroo, Eric; Coerkamp, Emile G; van Nijnatten, Thiemo J A; Jansen, Frits H; Wolters-van der Ben, Elian J M; Jongen, Lisa; van Raamt, Fleur; Dorrius, Monique D; Verloop, Janneke; Viergever, Max A; Pijnappel, Ruud M; Elias, Sjoerd G; Gilhuijs, Kenneth G A</v>
      </c>
      <c r="Z92" s="31">
        <f>IFERROR(__xludf.DUMMYFUNCTION("""COMPUTED_VALUE"""),2023.0)</f>
        <v>2023</v>
      </c>
      <c r="AA92" s="31">
        <f>IFERROR(__xludf.DUMMYFUNCTION("""COMPUTED_VALUE"""),5.0)</f>
        <v>5</v>
      </c>
      <c r="AC92" s="31" t="str">
        <f>IFERROR(__xludf.DUMMYFUNCTION("""COMPUTED_VALUE"""),"Mecor: An R package for measurement error correction in linear regression models with a continuous outcome.")</f>
        <v>Mecor: An R package for measurement error correction in linear regression models with a continuous outcome.</v>
      </c>
      <c r="AD92" s="31" t="str">
        <f>IFERROR(__xludf.DUMMYFUNCTION("""COMPUTED_VALUE"""),"Nab, Linda; van Smeden, Maarten; Keogh, Ruth H; Groenwold, Rolf H H")</f>
        <v>Nab, Linda; van Smeden, Maarten; Keogh, Ruth H; Groenwold, Rolf H H</v>
      </c>
      <c r="AE92" s="32">
        <f>IFERROR(__xludf.DUMMYFUNCTION("""COMPUTED_VALUE"""),44364.0)</f>
        <v>44364</v>
      </c>
      <c r="AF92" s="31" t="str">
        <f>IFERROR(__xludf.DUMMYFUNCTION("""COMPUTED_VALUE"""),"Corrigendum: Diabetes-Tuberculosis Care in Eswatini: A Qualitative Study of Opportunities and Recommendations for Effective Services Integration.")</f>
        <v>Corrigendum: Diabetes-Tuberculosis Care in Eswatini: A Qualitative Study of Opportunities and Recommendations for Effective Services Integration.</v>
      </c>
      <c r="AG92" s="31"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AH92" s="32">
        <f>IFERROR(__xludf.DUMMYFUNCTION("""COMPUTED_VALUE"""),45315.0)</f>
        <v>45315</v>
      </c>
      <c r="AI92" s="31" t="str">
        <f>IFERROR(__xludf.DUMMYFUNCTION("""COMPUTED_VALUE"""),"Exploring nurse-sensitive patient outcomes in Dutch district nursing care: A survey study.")</f>
        <v>Exploring nurse-sensitive patient outcomes in Dutch district nursing care: A survey study.</v>
      </c>
      <c r="AJ92" s="31" t="str">
        <f>IFERROR(__xludf.DUMMYFUNCTION("""COMPUTED_VALUE"""),"Veldhuizen, Jessica D; Schuurmans, Marieke J; Mikkers, Misja C; Bleijenberg, Nienke")</f>
        <v>Veldhuizen, Jessica D; Schuurmans, Marieke J; Mikkers, Misja C; Bleijenberg, Nienke</v>
      </c>
      <c r="AK92" s="32">
        <f>IFERROR(__xludf.DUMMYFUNCTION("""COMPUTED_VALUE"""),44815.0)</f>
        <v>44815</v>
      </c>
      <c r="AL92" s="31" t="str">
        <f>IFERROR(__xludf.DUMMYFUNCTION("""COMPUTED_VALUE"""),"Myopia progression in children during home confinement in the COVID-19 pandemic: A systematic review and meta-analysis.")</f>
        <v>Myopia progression in children during home confinement in the COVID-19 pandemic: A systematic review and meta-analysis.</v>
      </c>
      <c r="AM92" s="31" t="str">
        <f>IFERROR(__xludf.DUMMYFUNCTION("""COMPUTED_VALUE"""),"Laan, Daisy; Tan, Emily T C; Huis In Het Veld, Paulien I; Jellema, Hinke Marijke; Jenniskens, Kevin")</f>
        <v>Laan, Daisy; Tan, Emily T C; Huis In Het Veld, Paulien I; Jellema, Hinke Marijke; Jenniskens, Kevin</v>
      </c>
      <c r="AN92" s="32">
        <f>IFERROR(__xludf.DUMMYFUNCTION("""COMPUTED_VALUE"""),45222.0)</f>
        <v>45222</v>
      </c>
    </row>
    <row r="93">
      <c r="A93" s="32"/>
      <c r="I93" s="31" t="str">
        <f>IFERROR(__xludf.DUMMYFUNCTION("""COMPUTED_VALUE"""),"annals of surgical oncology")</f>
        <v>annals of surgical oncology</v>
      </c>
      <c r="J93" s="38">
        <f>COUNTIF(Data!$F$2:$F9917, $I93)</f>
        <v>9</v>
      </c>
      <c r="T93" s="31" t="s">
        <v>25514</v>
      </c>
      <c r="U93" s="31" t="s">
        <v>25515</v>
      </c>
      <c r="V93" s="32">
        <v>45579.0</v>
      </c>
      <c r="X93" s="31" t="str">
        <f>IFERROR(__xludf.DUMMYFUNCTION("""COMPUTED_VALUE"""),"In vivo and ex vivo inflammatory responses of the esophageal mucosa to food challenge in adults with eosinophilic esophagitis.")</f>
        <v>In vivo and ex vivo inflammatory responses of the esophageal mucosa to food challenge in adults with eosinophilic esophagitis.</v>
      </c>
      <c r="Y93" s="31" t="str">
        <f>IFERROR(__xludf.DUMMYFUNCTION("""COMPUTED_VALUE"""),"Haasnoot, Maria L; Kleuskens, Mirelle T A; Lopez-Rincon, Alejandro; Diks, Mara A P; Terreehorst, Ingrid; Akkerdaas, Jaap H; van Ree, Ronald; van Ampting, Marleen T J; Garssen, Johan; Redegeld, Frank A; van Esch, Betty C A M; Bredenoord, Albert J")</f>
        <v>Haasnoot, Maria L; Kleuskens, Mirelle T A; Lopez-Rincon, Alejandro; Diks, Mara A P; Terreehorst, Ingrid; Akkerdaas, Jaap H; van Ree, Ronald; van Ampting, Marleen T J; Garssen, Johan; Redegeld, Frank A; van Esch, Betty C A M; Bredenoord, Albert J</v>
      </c>
      <c r="Z93" s="31">
        <f>IFERROR(__xludf.DUMMYFUNCTION("""COMPUTED_VALUE"""),2023.0)</f>
        <v>2023</v>
      </c>
      <c r="AA93" s="31">
        <f>IFERROR(__xludf.DUMMYFUNCTION("""COMPUTED_VALUE"""),5.0)</f>
        <v>5</v>
      </c>
      <c r="AC93" s="31" t="str">
        <f>IFERROR(__xludf.DUMMYFUNCTION("""COMPUTED_VALUE"""),"Methodology over metrics: current scientific standards are a disservice to patients and society.")</f>
        <v>Methodology over metrics: current scientific standards are a disservice to patients and society.</v>
      </c>
      <c r="AD93" s="31" t="str">
        <f>IFERROR(__xludf.DUMMYFUNCTION("""COMPUTED_VALUE"""),"Van Calster, Ben; Wynants, Laure; Riley, Richard D; van Smeden, Maarten; Collins, Gary S")</f>
        <v>Van Calster, Ben; Wynants, Laure; Riley, Richard D; van Smeden, Maarten; Collins, Gary S</v>
      </c>
      <c r="AE93" s="32">
        <f>IFERROR(__xludf.DUMMYFUNCTION("""COMPUTED_VALUE"""),44346.0)</f>
        <v>44346</v>
      </c>
      <c r="AF93" s="31" t="str">
        <f>IFERROR(__xludf.DUMMYFUNCTION("""COMPUTED_VALUE"""),"Impact of age on the predictive value of NT-proBNP in patients with diabetes mellitus stabilised after an acute coronary syndrome.")</f>
        <v>Impact of age on the predictive value of NT-proBNP in patients with diabetes mellitus stabilised after an acute coronary syndrome.</v>
      </c>
      <c r="AG93" s="31" t="str">
        <f>IFERROR(__xludf.DUMMYFUNCTION("""COMPUTED_VALUE"""),"Savonitto, Stefano; Morici, Nuccia; Pancani, Silvia; Nozza, Anna; Cosentino, Francesco; Perrone Filardi, Pasquale; Cavallini, Claudio; Angeli, Fabio; Stähli, Barbara E; Heerspink, Hiddo J L; Mannini, Andrea; Schwartz, Gregory G; Lincoff, A Michael; Tardif"&amp;", Jean-Claude; Grobbee, Diederick E")</f>
        <v>Savonitto, Stefano; Morici, Nuccia; Pancani, Silvia; Nozza, Anna; Cosentino, Francesco; Perrone Filardi, Pasquale; Cavallini, Claudio; Angeli, Fabio; Stähli, Barbara E; Heerspink, Hiddo J L; Mannini, Andrea; Schwartz, Gregory G; Lincoff, A Michael; Tardif, Jean-Claude; Grobbee, Diederick E</v>
      </c>
      <c r="AH93" s="32">
        <f>IFERROR(__xludf.DUMMYFUNCTION("""COMPUTED_VALUE"""),45315.0)</f>
        <v>45315</v>
      </c>
      <c r="AI93" s="31" t="str">
        <f>IFERROR(__xludf.DUMMYFUNCTION("""COMPUTED_VALUE"""),"Beyond transformational leadership in nursing: A qualitative study on rebel nurse leadership-as-practice.")</f>
        <v>Beyond transformational leadership in nursing: A qualitative study on rebel nurse leadership-as-practice.</v>
      </c>
      <c r="AJ93" s="31" t="str">
        <f>IFERROR(__xludf.DUMMYFUNCTION("""COMPUTED_VALUE"""),"Kok, Eline de; Weggelaar, Anne M; Reede, Corijna; Schoonhoven, Lisette; Lalleman, Pieterbas")</f>
        <v>Kok, Eline de; Weggelaar, Anne M; Reede, Corijna; Schoonhoven, Lisette; Lalleman, Pieterbas</v>
      </c>
      <c r="AK93" s="32">
        <f>IFERROR(__xludf.DUMMYFUNCTION("""COMPUTED_VALUE"""),44813.0)</f>
        <v>44813</v>
      </c>
      <c r="AL93" s="31" t="str">
        <f>IFERROR(__xludf.DUMMYFUNCTION("""COMPUTED_VALUE"""),"Increased endorsement of TRIPOD and other reporting guidelines by high impact factor journals: survey of instructions to authors.")</f>
        <v>Increased endorsement of TRIPOD and other reporting guidelines by high impact factor journals: survey of instructions to authors.</v>
      </c>
      <c r="AM93" s="31" t="str">
        <f>IFERROR(__xludf.DUMMYFUNCTION("""COMPUTED_VALUE"""),"Heus, Pauline; Idema, Demy L; Kruithof, Emma; Damen, Johanna A A G; Verhoef-Jurgens, Maud S; Reitsma, Johannes B; Moons, Karel G M; Hooft, Lotty")</f>
        <v>Heus, Pauline; Idema, Demy L; Kruithof, Emma; Damen, Johanna A A G; Verhoef-Jurgens, Maud S; Reitsma, Johannes B; Moons, Karel G M; Hooft, Lotty</v>
      </c>
      <c r="AN93" s="32">
        <f>IFERROR(__xludf.DUMMYFUNCTION("""COMPUTED_VALUE"""),45215.0)</f>
        <v>45215</v>
      </c>
    </row>
    <row r="94">
      <c r="A94" s="32"/>
      <c r="I94" s="31" t="str">
        <f>IFERROR(__xludf.DUMMYFUNCTION("""COMPUTED_VALUE"""),"european journal of radiology")</f>
        <v>european journal of radiology</v>
      </c>
      <c r="J94" s="38">
        <f>COUNTIF(Data!$F$2:$F9917, $I94)</f>
        <v>3</v>
      </c>
      <c r="T94" s="31" t="s">
        <v>25738</v>
      </c>
      <c r="U94" s="31" t="s">
        <v>25739</v>
      </c>
      <c r="V94" s="32">
        <v>45579.0</v>
      </c>
      <c r="X94" s="31" t="str">
        <f>IFERROR(__xludf.DUMMYFUNCTION("""COMPUTED_VALUE"""),"Factors That Influence the Use of eHealth in Home Care: Scoping Review and Cross-sectional Survey.")</f>
        <v>Factors That Influence the Use of eHealth in Home Care: Scoping Review and Cross-sectional Survey.</v>
      </c>
      <c r="Y94" s="31" t="str">
        <f>IFERROR(__xludf.DUMMYFUNCTION("""COMPUTED_VALUE"""),"Mathijssen, Elke; de Lange, Wendela; Bleijenberg, Nienke; van Houwelingen, Thijs; Jaarsma, Tiny; Trappenburg, Jaap; Westland, Heleen")</f>
        <v>Mathijssen, Elke; de Lange, Wendela; Bleijenberg, Nienke; van Houwelingen, Thijs; Jaarsma, Tiny; Trappenburg, Jaap; Westland, Heleen</v>
      </c>
      <c r="Z94" s="31">
        <f>IFERROR(__xludf.DUMMYFUNCTION("""COMPUTED_VALUE"""),2023.0)</f>
        <v>2023</v>
      </c>
      <c r="AA94" s="31">
        <f>IFERROR(__xludf.DUMMYFUNCTION("""COMPUTED_VALUE"""),5.0)</f>
        <v>5</v>
      </c>
      <c r="AC94" s="31" t="str">
        <f>IFERROR(__xludf.DUMMYFUNCTION("""COMPUTED_VALUE"""),"Minimum sample size for external validation of a clinical prediction model with a binary outcome.")</f>
        <v>Minimum sample size for external validation of a clinical prediction model with a binary outcome.</v>
      </c>
      <c r="AD94" s="31" t="str">
        <f>IFERROR(__xludf.DUMMYFUNCTION("""COMPUTED_VALUE"""),"Riley, Richard D; Debray, Thomas P A; Collins, Gary S; Archer, Lucinda; Ensor, Joie; van Smeden, Maarten; Snell, Kym I E")</f>
        <v>Riley, Richard D; Debray, Thomas P A; Collins, Gary S; Archer, Lucinda; Ensor, Joie; van Smeden, Maarten; Snell, Kym I E</v>
      </c>
      <c r="AE94" s="32">
        <f>IFERROR(__xludf.DUMMYFUNCTION("""COMPUTED_VALUE"""),44340.0)</f>
        <v>44340</v>
      </c>
      <c r="AF94" s="31" t="str">
        <f>IFERROR(__xludf.DUMMYFUNCTION("""COMPUTED_VALUE"""),"Prevalence and determinants of self-reported low-fat-, low-salt-, and vegetarian diets in patients with cardiovascular disease between 1996 and 2019.")</f>
        <v>Prevalence and determinants of self-reported low-fat-, low-salt-, and vegetarian diets in patients with cardiovascular disease between 1996 and 2019.</v>
      </c>
      <c r="AG94" s="31" t="str">
        <f>IFERROR(__xludf.DUMMYFUNCTION("""COMPUTED_VALUE"""),"Hoes, L L F; Geleijnse, J M; Bonekamp, N E; Dorresteijn, J A N; van der Meer, M G; van der Schouw, Yvonne T; Visseren, Frank L J; Koopal, Charlotte; ,")</f>
        <v>Hoes, L L F; Geleijnse, J M; Bonekamp, N E; Dorresteijn, J A N; van der Meer, M G; van der Schouw, Yvonne T; Visseren, Frank L J; Koopal, Charlotte; ,</v>
      </c>
      <c r="AH94" s="32">
        <f>IFERROR(__xludf.DUMMYFUNCTION("""COMPUTED_VALUE"""),45305.0)</f>
        <v>45305</v>
      </c>
      <c r="AI94" s="31" t="str">
        <f>IFERROR(__xludf.DUMMYFUNCTION("""COMPUTED_VALUE"""),"Perspectives of Immigrants and Native Dutch on Antibiotic Use: A Qualitative Study.")</f>
        <v>Perspectives of Immigrants and Native Dutch on Antibiotic Use: A Qualitative Study.</v>
      </c>
      <c r="AJ94" s="31" t="str">
        <f>IFERROR(__xludf.DUMMYFUNCTION("""COMPUTED_VALUE"""),"Lescure, Dominique L A; van der Velden, Alike W; Huijser van Reenen, Natascha; Richardus, Jan Hendrik; Voeten, Helene A C M")</f>
        <v>Lescure, Dominique L A; van der Velden, Alike W; Huijser van Reenen, Natascha; Richardus, Jan Hendrik; Voeten, Helene A C M</v>
      </c>
      <c r="AK94" s="32">
        <f>IFERROR(__xludf.DUMMYFUNCTION("""COMPUTED_VALUE"""),44804.0)</f>
        <v>44804</v>
      </c>
      <c r="AL94" s="31" t="str">
        <f>IFERROR(__xludf.DUMMYFUNCTION("""COMPUTED_VALUE"""),"Effects of exercise during chemotherapy for breast cancer on long-term cardiovascular toxicity.")</f>
        <v>Effects of exercise during chemotherapy for breast cancer on long-term cardiovascular toxicity.</v>
      </c>
      <c r="AM94" s="31" t="str">
        <f>IFERROR(__xludf.DUMMYFUNCTION("""COMPUTED_VALUE"""),"Naaktgeboren, Willeke R; Stuiver, Martijn M; van Harten, Wim H; Aaronson, Neil K; Scott, Jessica M; Sonke, Gabe; van der Wall, Elsken; Velthuis, Miranda; Leiner, Tim; Teske, Arco J; May, Anne M; Groen, Wim G")</f>
        <v>Naaktgeboren, Willeke R; Stuiver, Martijn M; van Harten, Wim H; Aaronson, Neil K; Scott, Jessica M; Sonke, Gabe; van der Wall, Elsken; Velthuis, Miranda; Leiner, Tim; Teske, Arco J; May, Anne M; Groen, Wim G</v>
      </c>
      <c r="AN94" s="32">
        <f>IFERROR(__xludf.DUMMYFUNCTION("""COMPUTED_VALUE"""),45200.0)</f>
        <v>45200</v>
      </c>
    </row>
    <row r="95">
      <c r="A95" s="32"/>
      <c r="I95" s="31" t="str">
        <f>IFERROR(__xludf.DUMMYFUNCTION("""COMPUTED_VALUE"""),"european journal of public health")</f>
        <v>european journal of public health</v>
      </c>
      <c r="J95" s="38">
        <f>COUNTIF(Data!$F$2:$F9917, $I95)</f>
        <v>18</v>
      </c>
      <c r="T95" s="31" t="s">
        <v>25877</v>
      </c>
      <c r="U95" s="31" t="s">
        <v>25878</v>
      </c>
      <c r="V95" s="32">
        <v>45579.0</v>
      </c>
      <c r="X95" s="31" t="str">
        <f>IFERROR(__xludf.DUMMYFUNCTION("""COMPUTED_VALUE"""),"EffectiveNess of a multimodal preHAbilitation program in patieNts with bladder canCEr undergoing radical cystectomy: protocol of the ENHANCE multicentre randomised controlled trial.")</f>
        <v>EffectiveNess of a multimodal preHAbilitation program in patieNts with bladder canCEr undergoing radical cystectomy: protocol of the ENHANCE multicentre randomised controlled trial.</v>
      </c>
      <c r="Y95" s="31" t="str">
        <f>IFERROR(__xludf.DUMMYFUNCTION("""COMPUTED_VALUE"""),"Akdemir, Emine; Sweegers, Maike G; Vrieling, Alina; Rundqvist, Helene; Meijer, Richard P; Leliveld-Kors, Annemarie M; van der Heijden, Antoine G; Rutten, Vera C; Koldewijn, Evert L; Bos, Siebe D; Wijburg, Carl J; Marcelissen, Tom A T; Bongers, Bart C; Ret"&amp;"èl, Valesca P; van Harten, Wim H; May, Anne M; Groen, Wim G; Stuiver, Martijn M")</f>
        <v>Akdemir, Emine; Sweegers, Maike G; Vrieling, Alina; Rundqvist, Helene; Meijer, Richard P; Leliveld-Kors, Annemarie M; van der Heijden, Antoine G; Rutten, Vera C; Koldewijn, Evert L; Bos, Siebe D; Wijburg, Carl J; Marcelissen, Tom A T; Bongers, Bart C; Retèl, Valesca P; van Harten, Wim H; May, Anne M; Groen, Wim G; Stuiver, Martijn M</v>
      </c>
      <c r="Z95" s="31">
        <f>IFERROR(__xludf.DUMMYFUNCTION("""COMPUTED_VALUE"""),2023.0)</f>
        <v>2023</v>
      </c>
      <c r="AA95" s="31">
        <f>IFERROR(__xludf.DUMMYFUNCTION("""COMPUTED_VALUE"""),5.0)</f>
        <v>5</v>
      </c>
      <c r="AC95" s="31" t="str">
        <f>IFERROR(__xludf.DUMMYFUNCTION("""COMPUTED_VALUE"""),"Maximum bite force in children with juvenile idiopathic arthritis with and without clinical established temporomandibular joint involvement and in healthy children: a cross-sectional study.")</f>
        <v>Maximum bite force in children with juvenile idiopathic arthritis with and without clinical established temporomandibular joint involvement and in healthy children: a cross-sectional study.</v>
      </c>
      <c r="AD95" s="31" t="str">
        <f>IFERROR(__xludf.DUMMYFUNCTION("""COMPUTED_VALUE"""),"de Sonnaville, Willemijn F C; Speksnijder, Caroline M; Zuithoff, Nicolaas P A; Verkouteren, Daan R C; Wulffraat, Nico W; Steenks, Michel H; Rosenberg, Antoine J W P")</f>
        <v>de Sonnaville, Willemijn F C; Speksnijder, Caroline M; Zuithoff, Nicolaas P A; Verkouteren, Daan R C; Wulffraat, Nico W; Steenks, Michel H; Rosenberg, Antoine J W P</v>
      </c>
      <c r="AE95" s="32">
        <f>IFERROR(__xludf.DUMMYFUNCTION("""COMPUTED_VALUE"""),44320.0)</f>
        <v>44320</v>
      </c>
      <c r="AF95" s="31" t="str">
        <f>IFERROR(__xludf.DUMMYFUNCTION("""COMPUTED_VALUE"""),"No Evidence for an Association of HIV and Antiviral Treatment With Changes in Framingham Cardiovascular Risk Score in the Ndlovu Cohort Study.")</f>
        <v>No Evidence for an Association of HIV and Antiviral Treatment With Changes in Framingham Cardiovascular Risk Score in the Ndlovu Cohort Study.</v>
      </c>
      <c r="AG95" s="31" t="str">
        <f>IFERROR(__xludf.DUMMYFUNCTION("""COMPUTED_VALUE"""),"Verstraeten, Rita; Vos-Seda, Alinda G; Boateng, Daniel; Scheuermaier, Karine; Tempelman, Hugo; Barth, Roos E; Devillé, Walter; Coutinho, Roel A; Venter, Francois; Grobbee, Diederick E; Klipstein-Grobusch, Kerstin")</f>
        <v>Verstraeten, Rita; Vos-Seda, Alinda G; Boateng, Daniel; Scheuermaier, Karine; Tempelman, Hugo; Barth, Roos E; Devillé, Walter; Coutinho, Roel A; Venter, Francois; Grobbee, Diederick E; Klipstein-Grobusch, Kerstin</v>
      </c>
      <c r="AH95" s="32">
        <f>IFERROR(__xludf.DUMMYFUNCTION("""COMPUTED_VALUE"""),45303.0)</f>
        <v>45303</v>
      </c>
      <c r="AI95" s="31" t="str">
        <f>IFERROR(__xludf.DUMMYFUNCTION("""COMPUTED_VALUE"""),"Everyday Experiences of People Living with Mild Cognitive Impairment or Dementia: A Scoping Review.")</f>
        <v>Everyday Experiences of People Living with Mild Cognitive Impairment or Dementia: A Scoping Review.</v>
      </c>
      <c r="AJ95" s="31" t="str">
        <f>IFERROR(__xludf.DUMMYFUNCTION("""COMPUTED_VALUE"""),"Huizenga, Jacoba; Scheffelaar, Aukelien; Fruijtier, Agnetha; Wilken, Jean Pierre; Bleijenberg, Nienke; Van Regenmortel, Tine")</f>
        <v>Huizenga, Jacoba; Scheffelaar, Aukelien; Fruijtier, Agnetha; Wilken, Jean Pierre; Bleijenberg, Nienke; Van Regenmortel, Tine</v>
      </c>
      <c r="AK95" s="32">
        <f>IFERROR(__xludf.DUMMYFUNCTION("""COMPUTED_VALUE"""),44803.0)</f>
        <v>44803</v>
      </c>
      <c r="AL95" s="31" t="str">
        <f>IFERROR(__xludf.DUMMYFUNCTION("""COMPUTED_VALUE"""),"Regularized parametric survival modeling to improve risk prediction models.")</f>
        <v>Regularized parametric survival modeling to improve risk prediction models.</v>
      </c>
      <c r="AM95" s="31" t="str">
        <f>IFERROR(__xludf.DUMMYFUNCTION("""COMPUTED_VALUE"""),"Hoogland, J; Debray, T P A; Crowther, M J; Riley, R D; IntHout, J; Reitsma, J B; Zwinderman, A H")</f>
        <v>Hoogland, J; Debray, T P A; Crowther, M J; Riley, R D; IntHout, J; Reitsma, J B; Zwinderman, A H</v>
      </c>
      <c r="AN95" s="32">
        <f>IFERROR(__xludf.DUMMYFUNCTION("""COMPUTED_VALUE"""),45198.0)</f>
        <v>45198</v>
      </c>
    </row>
    <row r="96">
      <c r="A96" s="32"/>
      <c r="I96" s="31" t="str">
        <f>IFERROR(__xludf.DUMMYFUNCTION("""COMPUTED_VALUE"""),"medical teacher")</f>
        <v>medical teacher</v>
      </c>
      <c r="J96" s="38">
        <f>COUNTIF(Data!$F$2:$F9917, $I96)</f>
        <v>6</v>
      </c>
      <c r="T96" s="31" t="s">
        <v>24839</v>
      </c>
      <c r="U96" s="31" t="s">
        <v>24840</v>
      </c>
      <c r="V96" s="32">
        <v>45575.0</v>
      </c>
      <c r="X96" s="31" t="str">
        <f>IFERROR(__xludf.DUMMYFUNCTION("""COMPUTED_VALUE"""),"Social jet lag and (changes in) glycemic and metabolic control in people with type 2 diabetes.")</f>
        <v>Social jet lag and (changes in) glycemic and metabolic control in people with type 2 diabetes.</v>
      </c>
      <c r="Y96" s="31" t="str">
        <f>IFERROR(__xludf.DUMMYFUNCTION("""COMPUTED_VALUE"""),"Bouman, Emma J; Beulens, Joline W J; den Braver, Nicolette R; Blom, Marieke T; Remmelzwaal, Sharon; Elders, Petra J M; Rutters, Femke")</f>
        <v>Bouman, Emma J; Beulens, Joline W J; den Braver, Nicolette R; Blom, Marieke T; Remmelzwaal, Sharon; Elders, Petra J M; Rutters, Femke</v>
      </c>
      <c r="Z96" s="31">
        <f>IFERROR(__xludf.DUMMYFUNCTION("""COMPUTED_VALUE"""),2023.0)</f>
        <v>2023</v>
      </c>
      <c r="AA96" s="31">
        <f>IFERROR(__xludf.DUMMYFUNCTION("""COMPUTED_VALUE"""),5.0)</f>
        <v>5</v>
      </c>
      <c r="AC96" s="31" t="str">
        <f>IFERROR(__xludf.DUMMYFUNCTION("""COMPUTED_VALUE"""),"Combined assessment of early and late-phase outcomes in orphan drug development.")</f>
        <v>Combined assessment of early and late-phase outcomes in orphan drug development.</v>
      </c>
      <c r="AD96" s="31" t="str">
        <f>IFERROR(__xludf.DUMMYFUNCTION("""COMPUTED_VALUE"""),"Pateras, Konstantinos; Nikolakopoulos, Stavros; Roes, Kit C B")</f>
        <v>Pateras, Konstantinos; Nikolakopoulos, Stavros; Roes, Kit C B</v>
      </c>
      <c r="AE96" s="32">
        <f>IFERROR(__xludf.DUMMYFUNCTION("""COMPUTED_VALUE"""),44290.0)</f>
        <v>44290</v>
      </c>
      <c r="AF96" s="31" t="str">
        <f>IFERROR(__xludf.DUMMYFUNCTION("""COMPUTED_VALUE"""),"Refining the role of reproductive factors on heart health.")</f>
        <v>Refining the role of reproductive factors on heart health.</v>
      </c>
      <c r="AG96" s="31" t="str">
        <f>IFERROR(__xludf.DUMMYFUNCTION("""COMPUTED_VALUE"""),"Peters, Sanne A E")</f>
        <v>Peters, Sanne A E</v>
      </c>
      <c r="AH96" s="32">
        <f>IFERROR(__xludf.DUMMYFUNCTION("""COMPUTED_VALUE"""),45301.0)</f>
        <v>45301</v>
      </c>
      <c r="AI96" s="31" t="str">
        <f>IFERROR(__xludf.DUMMYFUNCTION("""COMPUTED_VALUE"""),"[Acute ear discharge, a reason for consultation].")</f>
        <v>[Acute ear discharge, a reason for consultation].</v>
      </c>
      <c r="AJ96" s="31" t="str">
        <f>IFERROR(__xludf.DUMMYFUNCTION("""COMPUTED_VALUE"""),"Hullegie, Saskia; Schilder, Anne G M; Damoiseaux, Roger A M J; Venekamp, Roderick P")</f>
        <v>Hullegie, Saskia; Schilder, Anne G M; Damoiseaux, Roger A M J; Venekamp, Roderick P</v>
      </c>
      <c r="AK96" s="32">
        <f>IFERROR(__xludf.DUMMYFUNCTION("""COMPUTED_VALUE"""),44803.0)</f>
        <v>44803</v>
      </c>
      <c r="AL96" s="31" t="str">
        <f>IFERROR(__xludf.DUMMYFUNCTION("""COMPUTED_VALUE"""),"Neuropsychiatric sequelae following extracorporeal membrane oxygenation in the intensive care unit.")</f>
        <v>Neuropsychiatric sequelae following extracorporeal membrane oxygenation in the intensive care unit.</v>
      </c>
      <c r="AM96" s="31" t="str">
        <f>IFERROR(__xludf.DUMMYFUNCTION("""COMPUTED_VALUE"""),"Pladet, Lara C A; Luijken, Kim; Donker, Dirk W; Cremer, Olaf L; Meuwese, Christiaan L")</f>
        <v>Pladet, Lara C A; Luijken, Kim; Donker, Dirk W; Cremer, Olaf L; Meuwese, Christiaan L</v>
      </c>
      <c r="AN96" s="32">
        <f>IFERROR(__xludf.DUMMYFUNCTION("""COMPUTED_VALUE"""),45195.0)</f>
        <v>45195</v>
      </c>
    </row>
    <row r="97">
      <c r="A97" s="32"/>
      <c r="I97" s="31" t="str">
        <f>IFERROR(__xludf.DUMMYFUNCTION("""COMPUTED_VALUE"""),"cost effectiveness and resource allocation ce")</f>
        <v>cost effectiveness and resource allocation ce</v>
      </c>
      <c r="J97" s="38">
        <f>COUNTIF(Data!$F$2:$F9917, $I97)</f>
        <v>3</v>
      </c>
      <c r="T97" s="31" t="s">
        <v>25107</v>
      </c>
      <c r="U97" s="31" t="s">
        <v>25108</v>
      </c>
      <c r="V97" s="32">
        <v>45575.0</v>
      </c>
      <c r="X97" s="31" t="str">
        <f>IFERROR(__xludf.DUMMYFUNCTION("""COMPUTED_VALUE"""),"Sex differences in body composition in people with prediabetes and type 2 diabetes as compared with people with normal glucose metabolism: the Maastricht Study.")</f>
        <v>Sex differences in body composition in people with prediabetes and type 2 diabetes as compared with people with normal glucose metabolism: the Maastricht Study.</v>
      </c>
      <c r="Y97" s="31" t="str">
        <f>IFERROR(__xludf.DUMMYFUNCTION("""COMPUTED_VALUE"""),"de Ritter, Rianneke; Sep, Simone J S; van Greevenbroek, Marleen M J; Kusters, Yvo H A M; Vos, Rimke C; Bots, Michiel L; Kooi, M Eline; Dagnelie, Pieter C; Eussen, Simone J P M; Schram, Miranda T; Koster, Annemarie; Brouwers, Martijn C G; van der Sangen, N"&amp;"iels M R; Peters, Sanne A E; van der Kallen, Carla J H; Stehouwer, Coen D A")</f>
        <v>de Ritter, Rianneke; Sep, Simone J S; van Greevenbroek, Marleen M J; Kusters, Yvo H A M; Vos, Rimke C; Bots, Michiel L; Kooi, M Eline; Dagnelie, Pieter C; Eussen, Simone J P M; Schram, Miranda T; Koster, Annemarie; Brouwers, Martijn C G; van der Sangen, Niels M R; Peters, Sanne A E; van der Kallen, Carla J H; Stehouwer, Coen D A</v>
      </c>
      <c r="Z97" s="31">
        <f>IFERROR(__xludf.DUMMYFUNCTION("""COMPUTED_VALUE"""),2023.0)</f>
        <v>2023</v>
      </c>
      <c r="AA97" s="31">
        <f>IFERROR(__xludf.DUMMYFUNCTION("""COMPUTED_VALUE"""),5.0)</f>
        <v>5</v>
      </c>
      <c r="AC97" s="31" t="str">
        <f>IFERROR(__xludf.DUMMYFUNCTION("""COMPUTED_VALUE"""),"Adaptive sample size determination for the development of clinical prediction models.")</f>
        <v>Adaptive sample size determination for the development of clinical prediction models.</v>
      </c>
      <c r="AD97" s="31"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AE97" s="32">
        <f>IFERROR(__xludf.DUMMYFUNCTION("""COMPUTED_VALUE"""),44277.0)</f>
        <v>44277</v>
      </c>
      <c r="AF97" s="31" t="str">
        <f>IFERROR(__xludf.DUMMYFUNCTION("""COMPUTED_VALUE"""),"Correction: COVID-19 Vaccine-Induced Myocarditis and Pericarditis: Towards Identification of Risk Factors.")</f>
        <v>Correction: COVID-19 Vaccine-Induced Myocarditis and Pericarditis: Towards Identification of Risk Factors.</v>
      </c>
      <c r="AG97" s="31" t="str">
        <f>IFERROR(__xludf.DUMMYFUNCTION("""COMPUTED_VALUE"""),"Zwiers, Laura C; Ong, David S Y; Grobbee, Diederick E")</f>
        <v>Zwiers, Laura C; Ong, David S Y; Grobbee, Diederick E</v>
      </c>
      <c r="AH97" s="32">
        <f>IFERROR(__xludf.DUMMYFUNCTION("""COMPUTED_VALUE"""),45299.0)</f>
        <v>45299</v>
      </c>
      <c r="AI97" s="31" t="str">
        <f>IFERROR(__xludf.DUMMYFUNCTION("""COMPUTED_VALUE"""),"Contact With Young Children Increases the Risk of Respiratory Infection in Older Adults in Europe-the RESCEU Study.")</f>
        <v>Contact With Young Children Increases the Risk of Respiratory Infection in Older Adults in Europe-the RESCEU Study.</v>
      </c>
      <c r="AJ97" s="31" t="str">
        <f>IFERROR(__xludf.DUMMYFUNCTION("""COMPUTED_VALUE"""),"Korsten, Koos; Adriaenssens, Niels; Coenen, Samuel; Butler, Chris C; Pirçon, Jean Yves; Verheij, Theo J M; Bont, Louis J; Wildenbeest, Joanne G; ,")</f>
        <v>Korsten, Koos; Adriaenssens, Niels; Coenen, Samuel; Butler, Chris C; Pirçon, Jean Yves; Verheij, Theo J M; Bont, Louis J; Wildenbeest, Joanne G; ,</v>
      </c>
      <c r="AK97" s="32">
        <f>IFERROR(__xludf.DUMMYFUNCTION("""COMPUTED_VALUE"""),44785.0)</f>
        <v>44785</v>
      </c>
      <c r="AL97" s="31" t="str">
        <f>IFERROR(__xludf.DUMMYFUNCTION("""COMPUTED_VALUE"""),"Comparing supervised and semi-supervised machine learning approaches in NTCP modeling to predict complications in head and neck cancer patients.")</f>
        <v>Comparing supervised and semi-supervised machine learning approaches in NTCP modeling to predict complications in head and neck cancer patients.</v>
      </c>
      <c r="AM97" s="31" t="str">
        <f>IFERROR(__xludf.DUMMYFUNCTION("""COMPUTED_VALUE"""),"Spiero, I; Schuit, E; Wijers, O B; Hoebers, F J P; Langendijk, J A; Leeuwenberg, A M")</f>
        <v>Spiero, I; Schuit, E; Wijers, O B; Hoebers, F J P; Langendijk, J A; Leeuwenberg, A M</v>
      </c>
      <c r="AN97" s="32">
        <f>IFERROR(__xludf.DUMMYFUNCTION("""COMPUTED_VALUE"""),45190.0)</f>
        <v>45190</v>
      </c>
    </row>
    <row r="98">
      <c r="A98" s="32"/>
      <c r="I98" s="31" t="str">
        <f>IFERROR(__xludf.DUMMYFUNCTION("""COMPUTED_VALUE"""),"twin research and human genetics the official journal of the international society for twin studies")</f>
        <v>twin research and human genetics the official journal of the international society for twin studies</v>
      </c>
      <c r="J98" s="38">
        <f>COUNTIF(Data!$F$2:$F9917, $I98)</f>
        <v>1</v>
      </c>
      <c r="T98" s="31" t="s">
        <v>25373</v>
      </c>
      <c r="U98" s="31" t="s">
        <v>25374</v>
      </c>
      <c r="V98" s="32">
        <v>45575.0</v>
      </c>
      <c r="X98" s="31" t="str">
        <f>IFERROR(__xludf.DUMMYFUNCTION("""COMPUTED_VALUE"""),"Applicability of European Society of Cardiology guidelines according to gross national income.")</f>
        <v>Applicability of European Society of Cardiology guidelines according to gross national income.</v>
      </c>
      <c r="Y98" s="31" t="str">
        <f>IFERROR(__xludf.DUMMYFUNCTION("""COMPUTED_VALUE"""),"van Dijk, Wouter B; Schuit, Ewoud; van der Graaf, Rieke; Groenwold, Rolf H H; Laurijssen, Sara; Casadei, Barbara; Roffi, Marco; Abimbola, Seye; de Vries, Martine C; Grobbee, Diederick E")</f>
        <v>van Dijk, Wouter B; Schuit, Ewoud; van der Graaf, Rieke; Groenwold, Rolf H H; Laurijssen, Sara; Casadei, Barbara; Roffi, Marco; Abimbola, Seye; de Vries, Martine C; Grobbee, Diederick E</v>
      </c>
      <c r="Z98" s="31">
        <f>IFERROR(__xludf.DUMMYFUNCTION("""COMPUTED_VALUE"""),2023.0)</f>
        <v>2023</v>
      </c>
      <c r="AA98" s="31">
        <f>IFERROR(__xludf.DUMMYFUNCTION("""COMPUTED_VALUE"""),5.0)</f>
        <v>5</v>
      </c>
      <c r="AC98" s="31" t="str">
        <f>IFERROR(__xludf.DUMMYFUNCTION("""COMPUTED_VALUE"""),"Statistical integration of two omics datasets using GO2PLS.")</f>
        <v>Statistical integration of two omics datasets using GO2PLS.</v>
      </c>
      <c r="AD98" s="31" t="str">
        <f>IFERROR(__xludf.DUMMYFUNCTION("""COMPUTED_VALUE"""),"Gu, Zhujie; El Bouhaddani, Said; Pei, Jiayi; Houwing-Duistermaat, Jeanine; Uh, Hae-Won")</f>
        <v>Gu, Zhujie; El Bouhaddani, Said; Pei, Jiayi; Houwing-Duistermaat, Jeanine; Uh, Hae-Won</v>
      </c>
      <c r="AE98" s="32">
        <f>IFERROR(__xludf.DUMMYFUNCTION("""COMPUTED_VALUE"""),44273.0)</f>
        <v>44273</v>
      </c>
      <c r="AF98" s="31" t="str">
        <f>IFERROR(__xludf.DUMMYFUNCTION("""COMPUTED_VALUE"""),"Smoking threats beyond being a smoker: a burden on children and adolescents' healthy living.")</f>
        <v>Smoking threats beyond being a smoker: a burden on children and adolescents' healthy living.</v>
      </c>
      <c r="AG98" s="31" t="str">
        <f>IFERROR(__xludf.DUMMYFUNCTION("""COMPUTED_VALUE"""),"Artola Arita, Vicente; Trujillo-Cáceres, Silvia Juliana; Menassa, Marilyne")</f>
        <v>Artola Arita, Vicente; Trujillo-Cáceres, Silvia Juliana; Menassa, Marilyne</v>
      </c>
      <c r="AH98" s="32">
        <f>IFERROR(__xludf.DUMMYFUNCTION("""COMPUTED_VALUE"""),45296.0)</f>
        <v>45296</v>
      </c>
      <c r="AI98" s="31" t="str">
        <f>IFERROR(__xludf.DUMMYFUNCTION("""COMPUTED_VALUE"""),"Performance Assessment of a Rapid Molecular Respiratory Syncytial Virus Point-of-Care Test: A Prospective Community Study in Older Adults.")</f>
        <v>Performance Assessment of a Rapid Molecular Respiratory Syncytial Virus Point-of-Care Test: A Prospective Community Study in Older Adults.</v>
      </c>
      <c r="AJ98" s="31" t="str">
        <f>IFERROR(__xludf.DUMMYFUNCTION("""COMPUTED_VALUE"""),"Zuurbier, Roy P; Korsten, Koos; Verheij, Theo J M; Butler, Chris; Adriaenssens, Niels; Coenen, Samuel; Gruselle, Olivier; Vantomme, Valerie; van Houten, Marlies A; Bont, Louis J; Wildenbeest, Joanne G; ,")</f>
        <v>Zuurbier, Roy P; Korsten, Koos; Verheij, Theo J M; Butler, Chris; Adriaenssens, Niels; Coenen, Samuel; Gruselle, Olivier; Vantomme, Valerie; van Houten, Marlies A; Bont, Louis J; Wildenbeest, Joanne G; ,</v>
      </c>
      <c r="AK98" s="32">
        <f>IFERROR(__xludf.DUMMYFUNCTION("""COMPUTED_VALUE"""),44785.0)</f>
        <v>44785</v>
      </c>
      <c r="AL98" s="31" t="str">
        <f>IFERROR(__xludf.DUMMYFUNCTION("""COMPUTED_VALUE"""),"Risk Modeling for Individualization of the FLAME Focal Boost Approach in External Beam Radiation Therapy for Patients With Localized Prostate Cancer.")</f>
        <v>Risk Modeling for Individualization of the FLAME Focal Boost Approach in External Beam Radiation Therapy for Patients With Localized Prostate Cancer.</v>
      </c>
      <c r="AM98" s="31" t="str">
        <f>IFERROR(__xludf.DUMMYFUNCTION("""COMPUTED_VALUE"""),"Menne Guricová, Karolína; Groen, Veerle; Pos, Floris; Monninkhof, Evelyn; Elias, Sjoerd G; Haustermans, Karin; Smeenk, Robert J; van der Voort van Zyp, Jochem; Draulans, Cédric; Isebaert, Sofie; van Houdt, Petra J; Kerkmeijer, Linda G W; van der Heide, Uu"&amp;"lke A")</f>
        <v>Menne Guricová, Karolína; Groen, Veerle; Pos, Floris; Monninkhof, Evelyn; Elias, Sjoerd G; Haustermans, Karin; Smeenk, Robert J; van der Voort van Zyp, Jochem; Draulans, Cédric; Isebaert, Sofie; van Houdt, Petra J; Kerkmeijer, Linda G W; van der Heide, Uulke A</v>
      </c>
      <c r="AN98" s="32">
        <f>IFERROR(__xludf.DUMMYFUNCTION("""COMPUTED_VALUE"""),45187.0)</f>
        <v>45187</v>
      </c>
    </row>
    <row r="99">
      <c r="A99" s="32"/>
      <c r="I99" s="31" t="str">
        <f>IFERROR(__xludf.DUMMYFUNCTION("""COMPUTED_VALUE"""),"journal of neurology")</f>
        <v>journal of neurology</v>
      </c>
      <c r="J99" s="38">
        <f>COUNTIF(Data!$F$2:$F9917, $I99)</f>
        <v>6</v>
      </c>
      <c r="T99" s="31" t="s">
        <v>25598</v>
      </c>
      <c r="U99" s="31" t="s">
        <v>25599</v>
      </c>
      <c r="V99" s="32">
        <v>45575.0</v>
      </c>
      <c r="X99" s="31" t="str">
        <f>IFERROR(__xludf.DUMMYFUNCTION("""COMPUTED_VALUE"""),"Antibiotic treatment of bacterial vaginosis to prevent preterm delivery: Systematic review and individual participant data meta-analysis.")</f>
        <v>Antibiotic treatment of bacterial vaginosis to prevent preterm delivery: Systematic review and individual participant data meta-analysis.</v>
      </c>
      <c r="Y99" s="31" t="str">
        <f>IFERROR(__xludf.DUMMYFUNCTION("""COMPUTED_VALUE"""),"Klebanoff, Mark A; Schuit, Ewoud; Lamont, Ronald F; Larsson, Per-Göran; Odendaal, Hein J; Ugwumadu, Austin; Kiss, Herbert; Petricevic, Ljubomir; Andrews, William W; Hoffman, Matthew K; Shennan, Andrew; Seed, Paul T; Goldenberg, Robert L; Emel, Lynda M; Bh"&amp;"andaru, Vinay; Weiner, Steven; Larsen, Michael D")</f>
        <v>Klebanoff, Mark A; Schuit, Ewoud; Lamont, Ronald F; Larsson, Per-Göran; Odendaal, Hein J; Ugwumadu, Austin; Kiss, Herbert; Petricevic, Ljubomir; Andrews, William W; Hoffman, Matthew K; Shennan, Andrew; Seed, Paul T; Goldenberg, Robert L; Emel, Lynda M; Bhandaru, Vinay; Weiner, Steven; Larsen, Michael D</v>
      </c>
      <c r="Z99" s="31">
        <f>IFERROR(__xludf.DUMMYFUNCTION("""COMPUTED_VALUE"""),2023.0)</f>
        <v>2023</v>
      </c>
      <c r="AA99" s="31">
        <f>IFERROR(__xludf.DUMMYFUNCTION("""COMPUTED_VALUE"""),5.0)</f>
        <v>5</v>
      </c>
      <c r="AC99" s="31" t="str">
        <f>IFERROR(__xludf.DUMMYFUNCTION("""COMPUTED_VALUE"""),"New York Heart Association class is strongly associated with mortality beyond heart failure in symptomatic women.")</f>
        <v>New York Heart Association class is strongly associated with mortality beyond heart failure in symptomatic women.</v>
      </c>
      <c r="AD99" s="31" t="str">
        <f>IFERROR(__xludf.DUMMYFUNCTION("""COMPUTED_VALUE"""),"Siegersma, Klaske R; Groepenhoff, Floor; Onland-Moret, N Charlotte; Tulevski, Igor I; Hofstra, Leonard; Somsen, G Aernout; Den Ruijter, Hester M")</f>
        <v>Siegersma, Klaske R; Groepenhoff, Floor; Onland-Moret, N Charlotte; Tulevski, Igor I; Hofstra, Leonard; Somsen, G Aernout; Den Ruijter, Hester M</v>
      </c>
      <c r="AE99" s="32">
        <f>IFERROR(__xludf.DUMMYFUNCTION("""COMPUTED_VALUE"""),44270.0)</f>
        <v>44270</v>
      </c>
      <c r="AF99" s="31" t="str">
        <f>IFERROR(__xludf.DUMMYFUNCTION("""COMPUTED_VALUE"""),"Ethnic and socioeconomic inequalities in air pollution exposure: a cross-sectional analysis of nationwide individual-level data from the Netherlands.")</f>
        <v>Ethnic and socioeconomic inequalities in air pollution exposure: a cross-sectional analysis of nationwide individual-level data from the Netherlands.</v>
      </c>
      <c r="AG99" s="31" t="str">
        <f>IFERROR(__xludf.DUMMYFUNCTION("""COMPUTED_VALUE"""),"van den Brekel, Lieke; Lenters, Virissa; Mackenbach, Joreintje D; Hoek, Gerard; Wagtendonk, Alfred; Lakerveld, Jeroen; Grobbee, Diederick E; Vaartjes, Ilonca")</f>
        <v>van den Brekel, Lieke; Lenters, Virissa; Mackenbach, Joreintje D; Hoek, Gerard; Wagtendonk, Alfred; Lakerveld, Jeroen; Grobbee, Diederick E; Vaartjes, Ilonca</v>
      </c>
      <c r="AH99" s="32">
        <f>IFERROR(__xludf.DUMMYFUNCTION("""COMPUTED_VALUE"""),45292.0)</f>
        <v>45292</v>
      </c>
      <c r="AI99" s="31" t="str">
        <f>IFERROR(__xludf.DUMMYFUNCTION("""COMPUTED_VALUE"""),"World Health Organization Influenza-Like Illness Underestimates the Burden of Respiratory Syncytial Virus Infection in Community-Dwelling Older Adults.")</f>
        <v>World Health Organization Influenza-Like Illness Underestimates the Burden of Respiratory Syncytial Virus Infection in Community-Dwelling Older Adults.</v>
      </c>
      <c r="AJ99" s="31" t="str">
        <f>IFERROR(__xludf.DUMMYFUNCTION("""COMPUTED_VALUE"""),"Korsten, Koos; Adriaenssens, Niels; Coenen, Samuel; Butler, Chris C; Verheij, Theo J M; Bont, Louis J; Wildenbeest, Joanne G; ,")</f>
        <v>Korsten, Koos; Adriaenssens, Niels; Coenen, Samuel; Butler, Chris C; Verheij, Theo J M; Bont, Louis J; Wildenbeest, Joanne G; ,</v>
      </c>
      <c r="AK99" s="32">
        <f>IFERROR(__xludf.DUMMYFUNCTION("""COMPUTED_VALUE"""),44785.0)</f>
        <v>44785</v>
      </c>
      <c r="AL99" s="31" t="str">
        <f>IFERROR(__xludf.DUMMYFUNCTION("""COMPUTED_VALUE"""),"Citizen involvement in COVID-19 contact tracing with digital tools: a qualitative study to explore citizens' perspectives and needs.")</f>
        <v>Citizen involvement in COVID-19 contact tracing with digital tools: a qualitative study to explore citizens' perspectives and needs.</v>
      </c>
      <c r="AM99" s="31" t="str">
        <f>IFERROR(__xludf.DUMMYFUNCTION("""COMPUTED_VALUE"""),"van der Meer, A; Helms, Y B; Baron, R; Crutzen, R; Timen, A; Kretzschmar, M E E; Stein, M L; Hamdiui, N")</f>
        <v>van der Meer, A; Helms, Y B; Baron, R; Crutzen, R; Timen, A; Kretzschmar, M E E; Stein, M L; Hamdiui, N</v>
      </c>
      <c r="AN99" s="32">
        <f>IFERROR(__xludf.DUMMYFUNCTION("""COMPUTED_VALUE"""),45185.0)</f>
        <v>45185</v>
      </c>
    </row>
    <row r="100">
      <c r="A100" s="32"/>
      <c r="I100" s="31" t="str">
        <f>IFERROR(__xludf.DUMMYFUNCTION("""COMPUTED_VALUE"""),"medicine health care and philosophy")</f>
        <v>medicine health care and philosophy</v>
      </c>
      <c r="J100" s="38">
        <f>COUNTIF(Data!$F$2:$F9917, $I100)</f>
        <v>4</v>
      </c>
      <c r="T100" s="31" t="s">
        <v>25263</v>
      </c>
      <c r="U100" s="31" t="s">
        <v>25264</v>
      </c>
      <c r="V100" s="32">
        <v>45574.0</v>
      </c>
      <c r="X100" s="31" t="str">
        <f>IFERROR(__xludf.DUMMYFUNCTION("""COMPUTED_VALUE"""),"Graphical tools for visualizing the results of network meta-analysis of multicomponent interventions.")</f>
        <v>Graphical tools for visualizing the results of network meta-analysis of multicomponent interventions.</v>
      </c>
      <c r="Y100" s="31" t="str">
        <f>IFERROR(__xludf.DUMMYFUNCTION("""COMPUTED_VALUE"""),"Seitidis, Georgios; Tsokani, Sofia; Christogiannis, Christos; Kontouli, Katerina-Maria; Fyraridis, Alexandros; Nikolakopoulos, Stavros; Veroniki, Areti Angeliki; Mavridis, Dimitris")</f>
        <v>Seitidis, Georgios; Tsokani, Sofia; Christogiannis, Christos; Kontouli, Katerina-Maria; Fyraridis, Alexandros; Nikolakopoulos, Stavros; Veroniki, Areti Angeliki; Mavridis, Dimitris</v>
      </c>
      <c r="Z100" s="31">
        <f>IFERROR(__xludf.DUMMYFUNCTION("""COMPUTED_VALUE"""),2023.0)</f>
        <v>2023</v>
      </c>
      <c r="AA100" s="31">
        <f>IFERROR(__xludf.DUMMYFUNCTION("""COMPUTED_VALUE"""),5.0)</f>
        <v>5</v>
      </c>
      <c r="AC100" s="31" t="str">
        <f>IFERROR(__xludf.DUMMYFUNCTION("""COMPUTED_VALUE"""),"Association between Oncostatin M Expression and Inflammatory Phenotype in Experimental Arthritis Models and Osteoarthritis Patients.")</f>
        <v>Association between Oncostatin M Expression and Inflammatory Phenotype in Experimental Arthritis Models and Osteoarthritis Patients.</v>
      </c>
      <c r="AD100" s="31" t="str">
        <f>IFERROR(__xludf.DUMMYFUNCTION("""COMPUTED_VALUE"""),"Garcia, Joao Pedro; Utomo, Lizette; Rudnik-Jansen, Imke; Du, Jie; Zuithoff, Nicolaas P A; Krouwels, Anita; van Osch, Gerjo J V M; Creemers, Laura B")</f>
        <v>Garcia, Joao Pedro; Utomo, Lizette; Rudnik-Jansen, Imke; Du, Jie; Zuithoff, Nicolaas P A; Krouwels, Anita; van Osch, Gerjo J V M; Creemers, Laura B</v>
      </c>
      <c r="AE100" s="32">
        <f>IFERROR(__xludf.DUMMYFUNCTION("""COMPUTED_VALUE"""),44254.0)</f>
        <v>44254</v>
      </c>
      <c r="AF100" s="31" t="str">
        <f>IFERROR(__xludf.DUMMYFUNCTION("""COMPUTED_VALUE"""),"Metabolic dysfunction-associated steatotic liver disease and the heart.")</f>
        <v>Metabolic dysfunction-associated steatotic liver disease and the heart.</v>
      </c>
      <c r="AG100" s="31" t="str">
        <f>IFERROR(__xludf.DUMMYFUNCTION("""COMPUTED_VALUE"""),"Driessen, Stan; Francque, Sven M; Anker, Stefan D; Castro Cabezas, Manuel; Grobbee, Diederick E; Tushuizen, Maarten E; Holleboom, Adriaan G")</f>
        <v>Driessen, Stan; Francque, Sven M; Anker, Stefan D; Castro Cabezas, Manuel; Grobbee, Diederick E; Tushuizen, Maarten E; Holleboom, Adriaan G</v>
      </c>
      <c r="AH100" s="32">
        <f>IFERROR(__xludf.DUMMYFUNCTION("""COMPUTED_VALUE"""),45285.0)</f>
        <v>45285</v>
      </c>
      <c r="AI100" s="31" t="str">
        <f>IFERROR(__xludf.DUMMYFUNCTION("""COMPUTED_VALUE"""),"Development of an advance directive 'communication tool' relevant for patients with advanced cancer in six European countries: Experiences from the ACTION trial.")</f>
        <v>Development of an advance directive 'communication tool' relevant for patients with advanced cancer in six European countries: Experiences from the ACTION trial.</v>
      </c>
      <c r="AJ100" s="31" t="str">
        <f>IFERROR(__xludf.DUMMYFUNCTION("""COMPUTED_VALUE"""),"Arnfeldt, Caroline Moeller; Groenvold, Mogens; Johnsen, Anna Thit; Červ, Branka; Deliens, Luc; Dunleavy, Lesley; van der Heide, Agnes; Kars, Marijke C; Lunder, Urška; Miccinesi, Guido; Pollock, Kristian; Rietjens, Judith A C; Seymour, Jane; ,")</f>
        <v>Arnfeldt, Caroline Moeller; Groenvold, Mogens; Johnsen, Anna Thit; Červ, Branka; Deliens, Luc; Dunleavy, Lesley; van der Heide, Agnes; Kars, Marijke C; Lunder, Urška; Miccinesi, Guido; Pollock, Kristian; Rietjens, Judith A C; Seymour, Jane; ,</v>
      </c>
      <c r="AK100" s="32">
        <f>IFERROR(__xludf.DUMMYFUNCTION("""COMPUTED_VALUE"""),44770.0)</f>
        <v>44770</v>
      </c>
      <c r="AL100" s="31" t="str">
        <f>IFERROR(__xludf.DUMMYFUNCTION("""COMPUTED_VALUE"""),"Separable mixing: The general formulation and a particular example focusing on mask efficiency.")</f>
        <v>Separable mixing: The general formulation and a particular example focusing on mask efficiency.</v>
      </c>
      <c r="AM100" s="31" t="str">
        <f>IFERROR(__xludf.DUMMYFUNCTION("""COMPUTED_VALUE"""),"Bootsma, M C J; Chan, K M D; Diekmann, O; Inaba, H")</f>
        <v>Bootsma, M C J; Chan, K M D; Diekmann, O; Inaba, H</v>
      </c>
      <c r="AN100" s="32">
        <f>IFERROR(__xludf.DUMMYFUNCTION("""COMPUTED_VALUE"""),45184.0)</f>
        <v>45184</v>
      </c>
    </row>
    <row r="101">
      <c r="A101" s="32"/>
      <c r="I101" s="31" t="str">
        <f>IFERROR(__xludf.DUMMYFUNCTION("""COMPUTED_VALUE"""),"plos global public health")</f>
        <v>plos global public health</v>
      </c>
      <c r="J101" s="38">
        <f>COUNTIF(Data!$F$2:$F9917, $I101)</f>
        <v>12</v>
      </c>
      <c r="T101" s="31" t="s">
        <v>25423</v>
      </c>
      <c r="U101" s="31" t="s">
        <v>25424</v>
      </c>
      <c r="V101" s="32">
        <v>45574.0</v>
      </c>
      <c r="X101" s="31" t="str">
        <f>IFERROR(__xludf.DUMMYFUNCTION("""COMPUTED_VALUE"""),"Reporting the early stage clinical evaluation of virtual-reality-based intervention trials: RATE-VR.")</f>
        <v>Reporting the early stage clinical evaluation of virtual-reality-based intervention trials: RATE-VR.</v>
      </c>
      <c r="Y101" s="31" t="str">
        <f>IFERROR(__xludf.DUMMYFUNCTION("""COMPUTED_VALUE"""),"Vlake, Johan H; van Bommel, Jasper; Riva, Giuseppe; Wiederhold, Brenda K; Cipresso, Pietro; Rizzo, Albert Skip; Botella, Cristina; Hooft, Lotty; Bienvenu, O Joseph; Geerts, Bart; Wils, Evert-Jan; Gommers, Diederik; van Genderen, Michel E")</f>
        <v>Vlake, Johan H; van Bommel, Jasper; Riva, Giuseppe; Wiederhold, Brenda K; Cipresso, Pietro; Rizzo, Albert Skip; Botella, Cristina; Hooft, Lotty; Bienvenu, O Joseph; Geerts, Bart; Wils, Evert-Jan; Gommers, Diederik; van Genderen, Michel E</v>
      </c>
      <c r="Z101" s="31">
        <f>IFERROR(__xludf.DUMMYFUNCTION("""COMPUTED_VALUE"""),2023.0)</f>
        <v>2023</v>
      </c>
      <c r="AA101" s="31">
        <f>IFERROR(__xludf.DUMMYFUNCTION("""COMPUTED_VALUE"""),5.0)</f>
        <v>5</v>
      </c>
      <c r="AC101" s="31" t="str">
        <f>IFERROR(__xludf.DUMMYFUNCTION("""COMPUTED_VALUE"""),"Exploring the relation between modelled and perceived workload of nurses and related job demands, job resources and personal resources; a longitudinal study.")</f>
        <v>Exploring the relation between modelled and perceived workload of nurses and related job demands, job resources and personal resources; a longitudinal study.</v>
      </c>
      <c r="AD101" s="31" t="str">
        <f>IFERROR(__xludf.DUMMYFUNCTION("""COMPUTED_VALUE"""),"van den Oetelaar, Wilhelmina F J M; Roelen, Corné A M; Grolman, Wilko; Stellato, Rebecca K; van Rhenen, Willem")</f>
        <v>van den Oetelaar, Wilhelmina F J M; Roelen, Corné A M; Grolman, Wilko; Stellato, Rebecca K; van Rhenen, Willem</v>
      </c>
      <c r="AE101" s="32">
        <f>IFERROR(__xludf.DUMMYFUNCTION("""COMPUTED_VALUE"""),44253.0)</f>
        <v>44253</v>
      </c>
      <c r="AF101" s="31" t="str">
        <f>IFERROR(__xludf.DUMMYFUNCTION("""COMPUTED_VALUE"""),"Risk factors for cardiovascular disease: the known unknown.")</f>
        <v>Risk factors for cardiovascular disease: the known unknown.</v>
      </c>
      <c r="AG101" s="31" t="str">
        <f>IFERROR(__xludf.DUMMYFUNCTION("""COMPUTED_VALUE"""),"Artola Arita, Vicente; Beigrezaei, Sara; Franco, Oscar H")</f>
        <v>Artola Arita, Vicente; Beigrezaei, Sara; Franco, Oscar H</v>
      </c>
      <c r="AH101" s="32">
        <f>IFERROR(__xludf.DUMMYFUNCTION("""COMPUTED_VALUE"""),45274.0)</f>
        <v>45274</v>
      </c>
      <c r="AI101" s="31" t="str">
        <f>IFERROR(__xludf.DUMMYFUNCTION("""COMPUTED_VALUE"""),"The effectiveness of self-care interventions in chronic illness: A meta-analysis of randomized controlled trials.")</f>
        <v>The effectiveness of self-care interventions in chronic illness: A meta-analysis of randomized controlled trials.</v>
      </c>
      <c r="AJ101" s="31" t="str">
        <f>IFERROR(__xludf.DUMMYFUNCTION("""COMPUTED_VALUE"""),"Lee, Christopher S; Westland, Heleen; Faulkner, Kenneth M; Iovino, Paolo; Thompson, Jessica Harman; Sexton, Jessica; Farry, Elizabeth; Jaarsma, Tiny; Riegel, Barbara")</f>
        <v>Lee, Christopher S; Westland, Heleen; Faulkner, Kenneth M; Iovino, Paolo; Thompson, Jessica Harman; Sexton, Jessica; Farry, Elizabeth; Jaarsma, Tiny; Riegel, Barbara</v>
      </c>
      <c r="AK101" s="32">
        <f>IFERROR(__xludf.DUMMYFUNCTION("""COMPUTED_VALUE"""),44747.0)</f>
        <v>44747</v>
      </c>
      <c r="AL101" s="31" t="str">
        <f>IFERROR(__xludf.DUMMYFUNCTION("""COMPUTED_VALUE"""),"External validation of semi-automated surveillance algorithms for deep surgical site infections after colorectal surgery in an independent country.")</f>
        <v>External validation of semi-automated surveillance algorithms for deep surgical site infections after colorectal surgery in an independent country.</v>
      </c>
      <c r="AM101" s="31" t="str">
        <f>IFERROR(__xludf.DUMMYFUNCTION("""COMPUTED_VALUE"""),"van der Werff, Suzanne D; Verberk, Janneke D M; Buchli, Christian; van Mourik, Maaike S M; Nauclér, Pontus")</f>
        <v>van der Werff, Suzanne D; Verberk, Janneke D M; Buchli, Christian; van Mourik, Maaike S M; Nauclér, Pontus</v>
      </c>
      <c r="AN101" s="32">
        <f>IFERROR(__xludf.DUMMYFUNCTION("""COMPUTED_VALUE"""),45177.0)</f>
        <v>45177</v>
      </c>
    </row>
    <row r="102">
      <c r="A102" s="32"/>
      <c r="I102" s="31" t="str">
        <f>IFERROR(__xludf.DUMMYFUNCTION("""COMPUTED_VALUE"""),"maturitas")</f>
        <v>maturitas</v>
      </c>
      <c r="J102" s="38">
        <f>COUNTIF(Data!$F$2:$F9917, $I102)</f>
        <v>49</v>
      </c>
      <c r="T102" s="31" t="s">
        <v>25386</v>
      </c>
      <c r="U102" s="31" t="s">
        <v>25387</v>
      </c>
      <c r="V102" s="32">
        <v>45573.0</v>
      </c>
      <c r="X102" s="31" t="str">
        <f>IFERROR(__xludf.DUMMYFUNCTION("""COMPUTED_VALUE"""),"Development of a neighborhood obesogenic built environment characteristics index for the Netherlands.")</f>
        <v>Development of a neighborhood obesogenic built environment characteristics index for the Netherlands.</v>
      </c>
      <c r="Y102" s="31" t="str">
        <f>IFERROR(__xludf.DUMMYFUNCTION("""COMPUTED_VALUE"""),"Lam, Thao Minh; Wagtendonk, Alfred J; den Braver, Nicolette R; Karssenberg, Derek; Vaartjes, Ilonca; Timmermans, Erik J; Beulens, Joline W J; Lakerveld, Jeroen")</f>
        <v>Lam, Thao Minh; Wagtendonk, Alfred J; den Braver, Nicolette R; Karssenberg, Derek; Vaartjes, Ilonca; Timmermans, Erik J; Beulens, Joline W J; Lakerveld, Jeroen</v>
      </c>
      <c r="Z102" s="31">
        <f>IFERROR(__xludf.DUMMYFUNCTION("""COMPUTED_VALUE"""),2023.0)</f>
        <v>2023</v>
      </c>
      <c r="AA102" s="31">
        <f>IFERROR(__xludf.DUMMYFUNCTION("""COMPUTED_VALUE"""),5.0)</f>
        <v>5</v>
      </c>
      <c r="AC102" s="31" t="str">
        <f>IFERROR(__xludf.DUMMYFUNCTION("""COMPUTED_VALUE"""),"Challenges Associated with the Safety Signal Detection Process for Medical Devices.")</f>
        <v>Challenges Associated with the Safety Signal Detection Process for Medical Devices.</v>
      </c>
      <c r="AD102" s="31" t="str">
        <f>IFERROR(__xludf.DUMMYFUNCTION("""COMPUTED_VALUE"""),"Pane, Josep; Verhamme, Katia M C; Villegas, Dorian; Gamez, Laura; Rebollo, Irene; Sturkenboom, Miriam C J M")</f>
        <v>Pane, Josep; Verhamme, Katia M C; Villegas, Dorian; Gamez, Laura; Rebollo, Irene; Sturkenboom, Miriam C J M</v>
      </c>
      <c r="AE102" s="32">
        <f>IFERROR(__xludf.DUMMYFUNCTION("""COMPUTED_VALUE"""),44251.0)</f>
        <v>44251</v>
      </c>
      <c r="AF102" s="31" t="str">
        <f>IFERROR(__xludf.DUMMYFUNCTION("""COMPUTED_VALUE"""),"What works in engaging communities? Prioritising nutrition interventions in Burkina Faso, Ghana and South Africa.")</f>
        <v>What works in engaging communities? Prioritising nutrition interventions in Burkina Faso, Ghana and South Africa.</v>
      </c>
      <c r="AG102" s="31" t="str">
        <f>IFERROR(__xludf.DUMMYFUNCTION("""COMPUTED_VALUE"""),"Watson, Daniella; Barker, Mary; Boua, P Romuald; Chatio, Samuel; Compaoré, Adelaide; Danis, Marion; Dalaba, Maxwell; Erzse, Agnes; Hardy-Johnson, Polly; Kehoe, Sarah H; Hofman, Karen J; Lawrence, Wendy T; Nonterah, Engelbert A; Sorgho, Hermann; Rwafa-Pone"&amp;"la, Teurai; Ward, Kate A; Tugendhaft, Aviva; ,")</f>
        <v>Watson, Daniella; Barker, Mary; Boua, P Romuald; Chatio, Samuel; Compaoré, Adelaide; Danis, Marion; Dalaba, Maxwell; Erzse, Agnes; Hardy-Johnson, Polly; Kehoe, Sarah H; Hofman, Karen J; Lawrence, Wendy T; Nonterah, Engelbert A; Sorgho, Hermann; Rwafa-Ponela, Teurai; Ward, Kate A; Tugendhaft, Aviva; ,</v>
      </c>
      <c r="AH102" s="32">
        <f>IFERROR(__xludf.DUMMYFUNCTION("""COMPUTED_VALUE"""),45273.0)</f>
        <v>45273</v>
      </c>
      <c r="AI102" s="31" t="str">
        <f>IFERROR(__xludf.DUMMYFUNCTION("""COMPUTED_VALUE"""),"The Opportunity of Point-of-Care Diagnostics in General Practice: Modelling the Effects on Antimicrobial Resistance.")</f>
        <v>The Opportunity of Point-of-Care Diagnostics in General Practice: Modelling the Effects on Antimicrobial Resistance.</v>
      </c>
      <c r="AJ102" s="31" t="str">
        <f>IFERROR(__xludf.DUMMYFUNCTION("""COMPUTED_VALUE"""),"van der Pol, Simon; Jansen, Danielle E M C; van der Velden, Alike W; Butler, Christopher C; Verheij, Theo J M; Friedrich, Alex W; Postma, Maarten J; van Asselt, Antoinette D I")</f>
        <v>van der Pol, Simon; Jansen, Danielle E M C; van der Velden, Alike W; Butler, Christopher C; Verheij, Theo J M; Friedrich, Alex W; Postma, Maarten J; van Asselt, Antoinette D I</v>
      </c>
      <c r="AK102" s="32">
        <f>IFERROR(__xludf.DUMMYFUNCTION("""COMPUTED_VALUE"""),44741.0)</f>
        <v>44741</v>
      </c>
      <c r="AL102" s="31" t="str">
        <f>IFERROR(__xludf.DUMMYFUNCTION("""COMPUTED_VALUE"""),"Assessing the Well-Being at Work of Nurses and Doctors in Hospitals: Protocol for a Scoping Review of Monitoring Instruments.")</f>
        <v>Assessing the Well-Being at Work of Nurses and Doctors in Hospitals: Protocol for a Scoping Review of Monitoring Instruments.</v>
      </c>
      <c r="AM102" s="31" t="str">
        <f>IFERROR(__xludf.DUMMYFUNCTION("""COMPUTED_VALUE"""),"Boskma, Amber; van der Braak, Kim; Ansari, Neda; Hooft, Lotty; Wietasch, Götz; Franx, Arie; van der Laan, Maarten")</f>
        <v>Boskma, Amber; van der Braak, Kim; Ansari, Neda; Hooft, Lotty; Wietasch, Götz; Franx, Arie; van der Laan, Maarten</v>
      </c>
      <c r="AN102" s="32">
        <f>IFERROR(__xludf.DUMMYFUNCTION("""COMPUTED_VALUE"""),45163.0)</f>
        <v>45163</v>
      </c>
    </row>
    <row r="103">
      <c r="A103" s="32"/>
      <c r="I103" s="31" t="str">
        <f>IFERROR(__xludf.DUMMYFUNCTION("""COMPUTED_VALUE"""),"clinical orthopaedics and related research")</f>
        <v>clinical orthopaedics and related research</v>
      </c>
      <c r="J103" s="38">
        <f>COUNTIF(Data!$F$2:$F9917, $I103)</f>
        <v>1</v>
      </c>
      <c r="T103" s="31" t="s">
        <v>25527</v>
      </c>
      <c r="U103" s="31" t="s">
        <v>25528</v>
      </c>
      <c r="V103" s="32">
        <v>45573.0</v>
      </c>
      <c r="X103" s="31" t="str">
        <f>IFERROR(__xludf.DUMMYFUNCTION("""COMPUTED_VALUE"""),"Evaluating implementation of the FIGO Nutrition Checklist for preconception and pregnancy within the Bukhali trial in Soweto, South Africa.")</f>
        <v>Evaluating implementation of the FIGO Nutrition Checklist for preconception and pregnancy within the Bukhali trial in Soweto, South Africa.</v>
      </c>
      <c r="Y103" s="31" t="str">
        <f>IFERROR(__xludf.DUMMYFUNCTION("""COMPUTED_VALUE"""),"Soepnel, Larske M; Draper, Catherine E; Mabetha, Khuthala; Mogashoa, Lethabo; Mabena, Gugulethu; McAuliffe, Fionnuala M; Killeen, Sarah Louise; Jacob, Chandni Maria; Hanson, Mark A; Norris, Shane A")</f>
        <v>Soepnel, Larske M; Draper, Catherine E; Mabetha, Khuthala; Mogashoa, Lethabo; Mabena, Gugulethu; McAuliffe, Fionnuala M; Killeen, Sarah Louise; Jacob, Chandni Maria; Hanson, Mark A; Norris, Shane A</v>
      </c>
      <c r="Z103" s="31">
        <f>IFERROR(__xludf.DUMMYFUNCTION("""COMPUTED_VALUE"""),2023.0)</f>
        <v>2023</v>
      </c>
      <c r="AA103" s="31">
        <f>IFERROR(__xludf.DUMMYFUNCTION("""COMPUTED_VALUE"""),5.0)</f>
        <v>5</v>
      </c>
      <c r="AC103" s="31" t="str">
        <f>IFERROR(__xludf.DUMMYFUNCTION("""COMPUTED_VALUE"""),"Endovascular treatment for basilar artery occlusion: A systematic review and meta-analysis.")</f>
        <v>Endovascular treatment for basilar artery occlusion: A systematic review and meta-analysis.</v>
      </c>
      <c r="AD103" s="31" t="str">
        <f>IFERROR(__xludf.DUMMYFUNCTION("""COMPUTED_VALUE"""),"Katsanos, Aristeidis H; Safouris, Apostolos; Nikolakopoulos, Stavros; Mavridis, Dimitris; Goyal, Nitin; Psychogios, Marios N; Magoufis, Georgios; Krogias, Christos; Catanese, Luciana; Van Adel, Brian; Raphaeli, Guy; Sarraj, Amrou; Themistocleous, Marios; "&amp;"Kararizou, Evangelia; Turc, Guillaume; Arthur, Adam; Alexandrov, Andrei V; Tsivgoulis, Georgios")</f>
        <v>Katsanos, Aristeidis H; Safouris, Apostolos; Nikolakopoulos, Stavros; Mavridis, Dimitris; Goyal, Nitin; Psychogios, Marios N; Magoufis, Georgios; Krogias, Christos; Catanese, Luciana; Van Adel, Brian; Raphaeli, Guy; Sarraj, Amrou; Themistocleous, Marios; Kararizou, Evangelia; Turc, Guillaume; Arthur, Adam; Alexandrov, Andrei V; Tsivgoulis, Georgios</v>
      </c>
      <c r="AE103" s="32">
        <f>IFERROR(__xludf.DUMMYFUNCTION("""COMPUTED_VALUE"""),44239.0)</f>
        <v>44239</v>
      </c>
      <c r="AF103" s="31" t="str">
        <f>IFERROR(__xludf.DUMMYFUNCTION("""COMPUTED_VALUE"""),"Towards Better Culturally Tailored Cardiometabolic Prevention Among the South-Asian Surinamese in the Netherlands.")</f>
        <v>Towards Better Culturally Tailored Cardiometabolic Prevention Among the South-Asian Surinamese in the Netherlands.</v>
      </c>
      <c r="AG103" s="31" t="str">
        <f>IFERROR(__xludf.DUMMYFUNCTION("""COMPUTED_VALUE"""),"Voogdt-Pruis, Helene R; van den Brekel, Lieke; Wispelweij, Lian; Jawalapershad, Laxmie; Narain, Soerin; Vaartjes, Ilonca C H; Grobbee, Diederick E; Klipstein-Grobusch, Kerstin")</f>
        <v>Voogdt-Pruis, Helene R; van den Brekel, Lieke; Wispelweij, Lian; Jawalapershad, Laxmie; Narain, Soerin; Vaartjes, Ilonca C H; Grobbee, Diederick E; Klipstein-Grobusch, Kerstin</v>
      </c>
      <c r="AH103" s="32">
        <f>IFERROR(__xludf.DUMMYFUNCTION("""COMPUTED_VALUE"""),45258.0)</f>
        <v>45258</v>
      </c>
      <c r="AI103" s="31" t="str">
        <f>IFERROR(__xludf.DUMMYFUNCTION("""COMPUTED_VALUE"""),"Nursing leadership to facilitate patient participation in fundamental care: An ethnographic qualitative study.")</f>
        <v>Nursing leadership to facilitate patient participation in fundamental care: An ethnographic qualitative study.</v>
      </c>
      <c r="AJ103" s="31" t="str">
        <f>IFERROR(__xludf.DUMMYFUNCTION("""COMPUTED_VALUE"""),"Bahlman-van Ooijen, Wilmieke; van Belle, Elise; Bank, Arnold; de Man-Van Ginkel, Janneke; Huisman-de Waal, Getty; Heinen, Maud")</f>
        <v>Bahlman-van Ooijen, Wilmieke; van Belle, Elise; Bank, Arnold; de Man-Van Ginkel, Janneke; Huisman-de Waal, Getty; Heinen, Maud</v>
      </c>
      <c r="AK103" s="32">
        <f>IFERROR(__xludf.DUMMYFUNCTION("""COMPUTED_VALUE"""),44736.0)</f>
        <v>44736</v>
      </c>
      <c r="AL103" s="31" t="str">
        <f>IFERROR(__xludf.DUMMYFUNCTION("""COMPUTED_VALUE"""),"High-Target Hemodiafiltration Convective Dose Achieved in Most Patients in a 6-Month Intermediary Analysis of the CONVINCE Randomized Controlled Trial.")</f>
        <v>High-Target Hemodiafiltration Convective Dose Achieved in Most Patients in a 6-Month Intermediary Analysis of the CONVINCE Randomized Controlled Trial.</v>
      </c>
      <c r="AM103" s="31" t="str">
        <f>IFERROR(__xludf.DUMMYFUNCTION("""COMPUTED_VALUE"""),"Vernooij, Robin W M; Hockham, C; Barth, C; Canaud, B; Cromm, K; Davenport, A; Hegbrant, J; Rose, M; Strippoli, G F M; Török, M; Woodward, M; Bots, M L; Blankestijn, P J")</f>
        <v>Vernooij, Robin W M; Hockham, C; Barth, C; Canaud, B; Cromm, K; Davenport, A; Hegbrant, J; Rose, M; Strippoli, G F M; Török, M; Woodward, M; Bots, M L; Blankestijn, P J</v>
      </c>
      <c r="AN103" s="32">
        <f>IFERROR(__xludf.DUMMYFUNCTION("""COMPUTED_VALUE"""),45157.0)</f>
        <v>45157</v>
      </c>
    </row>
    <row r="104">
      <c r="A104" s="32"/>
      <c r="I104" s="31" t="str">
        <f>IFERROR(__xludf.DUMMYFUNCTION("""COMPUTED_VALUE"""),"nursing inquiry")</f>
        <v>nursing inquiry</v>
      </c>
      <c r="J104" s="38">
        <f>COUNTIF(Data!$F$2:$F9917, $I104)</f>
        <v>4</v>
      </c>
      <c r="T104" s="31" t="s">
        <v>25585</v>
      </c>
      <c r="U104" s="31" t="s">
        <v>25586</v>
      </c>
      <c r="V104" s="32">
        <v>45573.0</v>
      </c>
      <c r="X104" s="31" t="str">
        <f>IFERROR(__xludf.DUMMYFUNCTION("""COMPUTED_VALUE"""),"Post-diagnosis adiposity and colorectal cancer prognosis: A Global Cancer Update Programme (CUP Global) systematic literature review and meta-analysis.")</f>
        <v>Post-diagnosis adiposity and colorectal cancer prognosis: A Global Cancer Update Programme (CUP Global) systematic literature review and meta-analysis.</v>
      </c>
      <c r="Y104" s="31" t="str">
        <f>IFERROR(__xludf.DUMMYFUNCTION("""COMPUTED_VALUE"""),"Becerra-Tomás, Nerea; Markozannes, Georgios; Cariolou, Margarita; Balducci, Katia; Vieira, Rita; Kiss, Sonia; Aune, Dagfinn; Greenwood, Darren C; Dossus, Laure; Copson, Ellen; Renehan, Andrew G; Bours, Martijn; Demark-Wahnefried, Wendy; Hudson, Melissa M;"&amp;" May, Anne M; Odedina, Folakemi T; Skinner, Roderick; Steindorf, Karen; Tjønneland, Anne; Velikova, Galina; Baskin, Monica L; Chowdhury, Rajiv; Hill, Lynette; Lewis, Sarah J; Seidell, Jaap; Weijenberg, Matty P; Krebs, John; Cross, Amanda J; Tsilidis, Kons"&amp;"tantinos K; Chan, Doris S M")</f>
        <v>Becerra-Tomás, Nerea; Markozannes, Georgios; Cariolou, Margarita; Balducci, Katia; Vieira, Rita; Kiss, Sonia; Aune, Dagfinn; Greenwood, Darren C; Dossus, Laure;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v>
      </c>
      <c r="Z104" s="31">
        <f>IFERROR(__xludf.DUMMYFUNCTION("""COMPUTED_VALUE"""),2024.0)</f>
        <v>2024</v>
      </c>
      <c r="AA104" s="31">
        <f>IFERROR(__xludf.DUMMYFUNCTION("""COMPUTED_VALUE"""),4.0)</f>
        <v>4</v>
      </c>
      <c r="AC104" s="31" t="str">
        <f>IFERROR(__xludf.DUMMYFUNCTION("""COMPUTED_VALUE"""),"Cerebrospinal fluid leakage after cranial surgery in the pediatric population-a systematic review and meta-analysis.")</f>
        <v>Cerebrospinal fluid leakage after cranial surgery in the pediatric population-a systematic review and meta-analysis.</v>
      </c>
      <c r="AD104" s="31" t="str">
        <f>IFERROR(__xludf.DUMMYFUNCTION("""COMPUTED_VALUE"""),"Slot, Emma M H; van Baarsen, Kirsten M; Hoving, Eelco W; Zuithoff, Nicolaas P A; van Doormaal, Tristan P C")</f>
        <v>Slot, Emma M H; van Baarsen, Kirsten M; Hoving, Eelco W; Zuithoff, Nicolaas P A; van Doormaal, Tristan P C</v>
      </c>
      <c r="AE104" s="32">
        <f>IFERROR(__xludf.DUMMYFUNCTION("""COMPUTED_VALUE"""),44231.0)</f>
        <v>44231</v>
      </c>
      <c r="AF104" s="31" t="str">
        <f>IFERROR(__xludf.DUMMYFUNCTION("""COMPUTED_VALUE"""),"Associations between dimensions of the social environment and cardiometabolic risk factors: Systematic review and meta-analysis.")</f>
        <v>Associations between dimensions of the social environment and cardiometabolic risk factors: Systematic review and meta-analysis.</v>
      </c>
      <c r="AG104" s="31" t="str">
        <f>IFERROR(__xludf.DUMMYFUNCTION("""COMPUTED_VALUE"""),"Abreu, Taymara C; Mackenbach, Joreintje D; Heuvelman, Fleur; Schoonmade, Linda J; Beulens, Joline W J")</f>
        <v>Abreu, Taymara C; Mackenbach, Joreintje D; Heuvelman, Fleur; Schoonmade, Linda J; Beulens, Joline W J</v>
      </c>
      <c r="AH104" s="32">
        <f>IFERROR(__xludf.DUMMYFUNCTION("""COMPUTED_VALUE"""),45255.0)</f>
        <v>45255</v>
      </c>
      <c r="AI104" s="31" t="str">
        <f>IFERROR(__xludf.DUMMYFUNCTION("""COMPUTED_VALUE"""),"The Impact of BRCA1- and BRCA2 Mutations on Ovarian Reserve Status.")</f>
        <v>The Impact of BRCA1- and BRCA2 Mutations on Ovarian Reserve Status.</v>
      </c>
      <c r="AJ104" s="31" t="str">
        <f>IFERROR(__xludf.DUMMYFUNCTION("""COMPUTED_VALUE"""),"C E, Drechsel Katja; C, van Tilborg Theodora; J C, Eijkemans Marinus; G W M, Lentjes Eef; Irene, Homminga; Mariette, Goddijn; J T, van Golde Ron; Willem, Verpoest; D, Lichtenbelt Klaske; J M, Broekmans Frank; M E, Bos Anna")</f>
        <v>C E, Drechsel Katja; C, van Tilborg Theodora; J C, Eijkemans Marinus; G W M, Lentjes Eef; Irene, Homminga; Mariette, Goddijn; J T, van Golde Ron; Willem, Verpoest; D, Lichtenbelt Klaske; J M, Broekmans Frank; M E, Bos Anna</v>
      </c>
      <c r="AK104" s="32">
        <f>IFERROR(__xludf.DUMMYFUNCTION("""COMPUTED_VALUE"""),44727.0)</f>
        <v>44727</v>
      </c>
      <c r="AL104" s="31" t="str">
        <f>IFERROR(__xludf.DUMMYFUNCTION("""COMPUTED_VALUE"""),"Missing values and inconclusive results in diagnostic studies - A scoping review of methods.")</f>
        <v>Missing values and inconclusive results in diagnostic studies - A scoping review of methods.</v>
      </c>
      <c r="AM104" s="31" t="str">
        <f>IFERROR(__xludf.DUMMYFUNCTION("""COMPUTED_VALUE"""),"Stahlmann, Katharina; Reitsma, Johannes B; Zapf, Antonia")</f>
        <v>Stahlmann, Katharina; Reitsma, Johannes B; Zapf, Antonia</v>
      </c>
      <c r="AN104" s="32">
        <f>IFERROR(__xludf.DUMMYFUNCTION("""COMPUTED_VALUE"""),45147.0)</f>
        <v>45147</v>
      </c>
    </row>
    <row r="105">
      <c r="A105" s="32"/>
      <c r="I105" s="31" t="str">
        <f>IFERROR(__xludf.DUMMYFUNCTION("""COMPUTED_VALUE"""),"the american journal of geriatric psychiatry official journal of the american association for geriatric psychiatry")</f>
        <v>the american journal of geriatric psychiatry official journal of the american association for geriatric psychiatry</v>
      </c>
      <c r="J105" s="38">
        <f>COUNTIF(Data!$F$2:$F9917, $I105)</f>
        <v>3</v>
      </c>
      <c r="T105" s="31" t="s">
        <v>25746</v>
      </c>
      <c r="U105" s="31" t="s">
        <v>25747</v>
      </c>
      <c r="V105" s="32">
        <v>45573.0</v>
      </c>
      <c r="X105" s="31" t="str">
        <f>IFERROR(__xludf.DUMMYFUNCTION("""COMPUTED_VALUE"""),"Post-diagnosis physical activity and sedentary behaviour and colorectal cancer prognosis: A Global Cancer Update Programme (CUP Global) systematic literature review and meta-analysis.")</f>
        <v>Post-diagnosis physical activity and sedentary behaviour and colorectal cancer prognosis: A Global Cancer Update Programme (CUP Global) systematic literature review and meta-analysis.</v>
      </c>
      <c r="Y105" s="31" t="str">
        <f>IFERROR(__xludf.DUMMYFUNCTION("""COMPUTED_VALUE"""),"Markozannes, Georgios; Becerra-Tomás, Nerea; Cariolou, Margarita; Balducci, Katia; Vieira, Rita; Kiss, Sonia; Aune, Dagfinn; Greenwood, Darren C; Gunter, Marc J; Copson, Ellen; Renehan, Andrew G; Bours, Martijn; Demark-Wahnefried, Wendy; Hudson, Melissa M"&amp;"; May, Anne M; Odedina, Folakemi T; Skinner, Roderick; Steindorf, Karen; Tjønneland, Anne; Velikova, Galina; Baskin, Monica L; Chowdhury, Rajiv; Hill, Lynette; Lewis, Sarah J; Seidell, Jaap; Weijenberg, Matty P; Krebs, John; Cross, Amanda J; Tsilidis, Kon"&amp;"stantinos K; Chan, Doris S M")</f>
        <v>Markozannes, Georgios; Becerra-Tomás, Nerea; Cariolou, Margarita; Balducci, Katia; Vieira, Rita; Kiss, Sonia; Aune, Dagfinn; Greenwood, Darren C; Gunter, Marc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v>
      </c>
      <c r="Z105" s="31">
        <f>IFERROR(__xludf.DUMMYFUNCTION("""COMPUTED_VALUE"""),2024.0)</f>
        <v>2024</v>
      </c>
      <c r="AA105" s="31">
        <f>IFERROR(__xludf.DUMMYFUNCTION("""COMPUTED_VALUE"""),4.0)</f>
        <v>4</v>
      </c>
      <c r="AC105" s="31" t="str">
        <f>IFERROR(__xludf.DUMMYFUNCTION("""COMPUTED_VALUE"""),"Incidence Rates of Autoimmune Diseases in European Healthcare Databases: A Contribution of the ADVANCE Project.")</f>
        <v>Incidence Rates of Autoimmune Diseases in European Healthcare Databases: A Contribution of the ADVANCE Project.</v>
      </c>
      <c r="AD105" s="31" t="str">
        <f>IFERROR(__xludf.DUMMYFUNCTION("""COMPUTED_VALUE"""),"Willame, Corinne; Dodd, Caitlin; van der Aa, Lieke; Picelli, Gino; Emborg, Hanne-Dorthe; Kahlert, Johnny; Gini, Rosa; Huerta, Consuelo; Martín-Merino, Elisa; McGee, Chris; de Lusignan, Simon; Roberto, Giuseppe; Villa, Marco; Weibel, Daniel; Titievsky, Lin"&amp;"a; Sturkenboom, Miriam C J M")</f>
        <v>Willame, Corinne; Dodd, Caitlin; van der Aa, Lieke; Picelli, Gino; Emborg, Hanne-Dorthe; Kahlert, Johnny; Gini, Rosa; Huerta, Consuelo; Martín-Merino, Elisa; McGee, Chris; de Lusignan, Simon; Roberto, Giuseppe; Villa, Marco; Weibel, Daniel; Titievsky, Lina; Sturkenboom, Miriam C J M</v>
      </c>
      <c r="AE105" s="32">
        <f>IFERROR(__xludf.DUMMYFUNCTION("""COMPUTED_VALUE"""),44215.0)</f>
        <v>44215</v>
      </c>
      <c r="AF105" s="31" t="str">
        <f>IFERROR(__xludf.DUMMYFUNCTION("""COMPUTED_VALUE"""),"Validation of prevalent diabetes risk scores based on non-invasively measured predictors in Ghanaian migrant and non-migrant populations - The RODAM study.")</f>
        <v>Validation of prevalent diabetes risk scores based on non-invasively measured predictors in Ghanaian migrant and non-migrant populations - The RODAM study.</v>
      </c>
      <c r="AG105" s="31" t="str">
        <f>IFERROR(__xludf.DUMMYFUNCTION("""COMPUTED_VALUE"""),"Osei-Yeboah, James; Kengne, Andre-Pascal; Owusu-Dabo, Ellis; Schulze, Matthias B; Meeks, Karlijn A C; Klipstein-Grobusch, Kerstin; Smeeth, Liam; Bahendeka, Silver; Beune, Erik; Moll van Charante, Eric P; Agyemang, Charles")</f>
        <v>Osei-Yeboah, James; Kengne, Andre-Pascal; Owusu-Dabo, Ellis; Schulze, Matthias B; Meeks, Karlijn A C; Klipstein-Grobusch, Kerstin; Smeeth, Liam; Bahendeka, Silver; Beune, Erik; Moll van Charante, Eric P; Agyemang, Charles</v>
      </c>
      <c r="AH105" s="32">
        <f>IFERROR(__xludf.DUMMYFUNCTION("""COMPUTED_VALUE"""),45253.0)</f>
        <v>45253</v>
      </c>
      <c r="AI105" s="31" t="str">
        <f>IFERROR(__xludf.DUMMYFUNCTION("""COMPUTED_VALUE"""),"Self-care management of bothersome symptoms as recommended by clinicians for patients with a chronic condition: A Delphi study.")</f>
        <v>Self-care management of bothersome symptoms as recommended by clinicians for patients with a chronic condition: A Delphi study.</v>
      </c>
      <c r="AJ105" s="31" t="str">
        <f>IFERROR(__xludf.DUMMYFUNCTION("""COMPUTED_VALUE"""),"Westland, Heleen; Page, Shayleigh Dickson; van Rijn, Michelle; Aryal, Subhash; Freedland, Kenneth E; Lee, Christopher; Strömberg, Anna; Vellone, Ercole; Wiebe, Douglas J; Jaarsma, Tiny; Riegel, Barbara")</f>
        <v>Westland, Heleen; Page, Shayleigh Dickson; van Rijn, Michelle; Aryal, Subhash; Freedland, Kenneth E; Lee, Christopher; Strömberg, Anna; Vellone, Ercole; Wiebe, Douglas J; Jaarsma, Tiny; Riegel, Barbara</v>
      </c>
      <c r="AK105" s="32">
        <f>IFERROR(__xludf.DUMMYFUNCTION("""COMPUTED_VALUE"""),44725.0)</f>
        <v>44725</v>
      </c>
      <c r="AL105" s="31" t="str">
        <f>IFERROR(__xludf.DUMMYFUNCTION("""COMPUTED_VALUE"""),"Safety of BCG vaccination and revaccination in healthcare workers.")</f>
        <v>Safety of BCG vaccination and revaccination in healthcare workers.</v>
      </c>
      <c r="AM105" s="31" t="str">
        <f>IFERROR(__xludf.DUMMYFUNCTION("""COMPUTED_VALUE"""),"Villanueva, Paola; Crawford, Nigel W; Garcia Croda, Mariana; Collopy, Simone; Araújo Jardim, Bruno; de Almeida Pinto Jardim, Tyane; Marshall, Helen; Prat-Aymerich, Cristina; Sawka, Alice; Sharma, Ketaki; Troeman, Darren; Wadia, Ushma; Warris, Adilia; Wood"&amp;", Nicholas; Messina, Nicole L; Curtis, Nigel; Pittet, Laure F")</f>
        <v>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v>
      </c>
      <c r="AN105" s="32">
        <f>IFERROR(__xludf.DUMMYFUNCTION("""COMPUTED_VALUE"""),45139.0)</f>
        <v>45139</v>
      </c>
    </row>
    <row r="106">
      <c r="A106" s="32"/>
      <c r="I106" s="31" t="str">
        <f>IFERROR(__xludf.DUMMYFUNCTION("""COMPUTED_VALUE"""),"the american journal of clinical nutrition")</f>
        <v>the american journal of clinical nutrition</v>
      </c>
      <c r="J106" s="38">
        <f>COUNTIF(Data!$F$2:$F9917, $I106)</f>
        <v>29</v>
      </c>
      <c r="T106" s="31" t="s">
        <v>25519</v>
      </c>
      <c r="U106" s="31" t="s">
        <v>25520</v>
      </c>
      <c r="V106" s="32">
        <v>45572.0</v>
      </c>
      <c r="X106" s="31" t="str">
        <f>IFERROR(__xludf.DUMMYFUNCTION("""COMPUTED_VALUE"""),"Post-diagnosis dietary factors, supplement use and colorectal cancer prognosis: A Global Cancer Update Programme (CUP Global) systematic literature review and meta-analysis.")</f>
        <v>Post-diagnosis dietary factors, supplement use and colorectal cancer prognosis: A Global Cancer Update Programme (CUP Global) systematic literature review and meta-analysis.</v>
      </c>
      <c r="Y106" s="31" t="str">
        <f>IFERROR(__xludf.DUMMYFUNCTION("""COMPUTED_VALUE"""),"Chan, Doris S M; Cariolou, Margarita; Markozannes, Georgios; Balducci, Katia; Vieira, Rita; Kiss, Sonia; Becerra-Tomás, Nerea; Aune, Dagfinn; Greenwood, Darren C; González-Gil, Esther M; Copson, Ellen; Renehan, Andrew G; Bours, Martijn; Demark-Wahnefried,"&amp;" Wendy; Hudson, Melissa M; May, Anne M; Odedina, Folakemi T; Skinner, Roderick; Steindorf, Karen; Tjønneland, Anne; Velikova, Galina; Baskin, Monica L; Chowdhury, Rajiv; Hill, Lynette; Lewis, Sarah J; Seidell, Jaap; Weijenberg, Matty P; Krebs, John; Cross"&amp;", Amanda J; Tsilidis, Konstantinos K")</f>
        <v>Chan, Doris S M; Cariolou, Margarita; Markozannes, Georgios; Balducci, Katia; Vieira, Rita; Kiss, Sonia; Becerra-Tomás, Nerea; Aune, Dagfinn; Greenwood, Darren C; González-Gil, Esther M;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v>
      </c>
      <c r="Z106" s="31">
        <f>IFERROR(__xludf.DUMMYFUNCTION("""COMPUTED_VALUE"""),2024.0)</f>
        <v>2024</v>
      </c>
      <c r="AA106" s="31">
        <f>IFERROR(__xludf.DUMMYFUNCTION("""COMPUTED_VALUE"""),4.0)</f>
        <v>4</v>
      </c>
      <c r="AC106" s="31" t="str">
        <f>IFERROR(__xludf.DUMMYFUNCTION("""COMPUTED_VALUE"""),"The prognostic value of the hamstring outcome score to predict the risk of hamstring injuries.")</f>
        <v>The prognostic value of the hamstring outcome score to predict the risk of hamstring injuries.</v>
      </c>
      <c r="AD106" s="31" t="str">
        <f>IFERROR(__xludf.DUMMYFUNCTION("""COMPUTED_VALUE"""),"van de Hoef, P A; Brink, M S; van der Horst, N; van Smeden, M; Backx, F J G")</f>
        <v>van de Hoef, P A; Brink, M S; van der Horst, N; van Smeden, M; Backx, F J G</v>
      </c>
      <c r="AE106" s="32">
        <f>IFERROR(__xludf.DUMMYFUNCTION("""COMPUTED_VALUE"""),44212.0)</f>
        <v>44212</v>
      </c>
      <c r="AF106" s="31" t="str">
        <f>IFERROR(__xludf.DUMMYFUNCTION("""COMPUTED_VALUE"""),"Exploring infant and young child-feeding practices among mothers of well-nourished children in northern Ghana: An INPreP substudy.")</f>
        <v>Exploring infant and young child-feeding practices among mothers of well-nourished children in northern Ghana: An INPreP substudy.</v>
      </c>
      <c r="AG106" s="31" t="str">
        <f>IFERROR(__xludf.DUMMYFUNCTION("""COMPUTED_VALUE"""),"Dambayi, Edith; Nakua, Emmanuel; Aborigo, Raymond A; Chatio, Samuel T; Dalaba, Maxwell A; Sekwo, Enos; Adoctor, James K; Ofosu, Winfred; Oduro, Abraham R; Nonterah, Engelbert A; ,")</f>
        <v>Dambayi, Edith; Nakua, Emmanuel; Aborigo, Raymond A; Chatio, Samuel T; Dalaba, Maxwell A; Sekwo, Enos; Adoctor, James K; Ofosu, Winfred; Oduro, Abraham R; Nonterah, Engelbert A; ,</v>
      </c>
      <c r="AH106" s="32">
        <f>IFERROR(__xludf.DUMMYFUNCTION("""COMPUTED_VALUE"""),45250.0)</f>
        <v>45250</v>
      </c>
      <c r="AI106" s="31" t="str">
        <f>IFERROR(__xludf.DUMMYFUNCTION("""COMPUTED_VALUE"""),"Age-Appropriate Advance Care Planning in Children Diagnosed with a Life-Limiting Condition: A Systematic Review.")</f>
        <v>Age-Appropriate Advance Care Planning in Children Diagnosed with a Life-Limiting Condition: A Systematic Review.</v>
      </c>
      <c r="AJ106" s="31" t="str">
        <f>IFERROR(__xludf.DUMMYFUNCTION("""COMPUTED_VALUE"""),"Brunetta, Julie; Fahner, Jurrianne; Legemaat, Monique; van den Bergh, Esther; Krommenhoek, Koen; Prinsze, Kyra; Kars, Marijke; Michiels, Erna")</f>
        <v>Brunetta, Julie; Fahner, Jurrianne; Legemaat, Monique; van den Bergh, Esther; Krommenhoek, Koen; Prinsze, Kyra; Kars, Marijke; Michiels, Erna</v>
      </c>
      <c r="AK106" s="32">
        <f>IFERROR(__xludf.DUMMYFUNCTION("""COMPUTED_VALUE"""),44715.0)</f>
        <v>44715</v>
      </c>
      <c r="AL106" s="31" t="str">
        <f>IFERROR(__xludf.DUMMYFUNCTION("""COMPUTED_VALUE"""),"Are monoclonals the way forward to prevent or to treat ventilator-associated pneumonia in the intensive care unit?")</f>
        <v>Are monoclonals the way forward to prevent or to treat ventilator-associated pneumonia in the intensive care unit?</v>
      </c>
      <c r="AM106" s="31" t="str">
        <f>IFERROR(__xludf.DUMMYFUNCTION("""COMPUTED_VALUE"""),"Hernandez Padilla, Ana Catalina; Meyer, Sylvain; Van Werkhoven, C H; de Kraker, Marlieke Ea; François, Bruno")</f>
        <v>Hernandez Padilla, Ana Catalina; Meyer, Sylvain; Van Werkhoven, C H; de Kraker, Marlieke Ea; François, Bruno</v>
      </c>
      <c r="AN106" s="32">
        <f>IFERROR(__xludf.DUMMYFUNCTION("""COMPUTED_VALUE"""),45136.0)</f>
        <v>45136</v>
      </c>
    </row>
    <row r="107">
      <c r="A107" s="32"/>
      <c r="I107" s="31" t="str">
        <f>IFERROR(__xludf.DUMMYFUNCTION("""COMPUTED_VALUE"""),"the journal of infection")</f>
        <v>the journal of infection</v>
      </c>
      <c r="J107" s="38">
        <f>COUNTIF(Data!$F$2:$F9917, $I107)</f>
        <v>12</v>
      </c>
      <c r="T107" s="31" t="s">
        <v>25923</v>
      </c>
      <c r="U107" s="31" t="s">
        <v>25924</v>
      </c>
      <c r="V107" s="32">
        <v>45572.0</v>
      </c>
      <c r="X107" s="31" t="str">
        <f>IFERROR(__xludf.DUMMYFUNCTION("""COMPUTED_VALUE"""),"Post-diagnosis adiposity, physical activity, sedentary behaviour, dietary factors, supplement use and colorectal cancer prognosis: Global Cancer Update Programme (CUP Global) summary of evidence grading.")</f>
        <v>Post-diagnosis adiposity, physical activity, sedentary behaviour, dietary factors, supplement use and colorectal cancer prognosis: Global Cancer Update Programme (CUP Global) summary of evidence grading.</v>
      </c>
      <c r="Y107" s="31" t="str">
        <f>IFERROR(__xludf.DUMMYFUNCTION("""COMPUTED_VALUE"""),"Tsilidis, Konstantinos K; Markozannes, Georgios; Becerra-Tomás, Nerea; Cariolou, Margarita; Balducci, Katia; Vieira, Rita; Kiss, Sonia; Aune, Dagfinn; Greenwood, Darren C; Dossus, Laure; González-Gil, Esther M; Gunter, Marc J; Allen, Kate; Brockton, Nigel"&amp;" T; Croker, Helen; Gordon-Dseagu, Vanessa L; Mitrou, Panagiota; Musuwo, Nicole; Wiseman, Martin J; Copson, Ellen; Renehan, Andrew G; Bours, Martijn; Demark-Wahnefried, Wendy; Hudson, Melissa M; May, Anne M; Odedina, Folakemi T; Skinner, Roderick; Steindor"&amp;"f, Karen; Tjønneland, Anne; Velikova, Galina; Baskin, Monica L; Chowdhury, Rajiv; Hill, Lynette; Lewis, Sarah J; Seidell, Jaap; Weijenberg, Matty P; Krebs, John; Cross, Amanda J; Chan, Doris S M")</f>
        <v>Tsilidis, Konstantinos K; Markozannes, Georgios; Becerra-Tomás, Nerea; Cariolou, Margarita; Balducci, Katia; Vieira, Rita; Kiss, Sonia; Aune, Dagfinn; Greenwood, Darren C; Dossus, Laure; González-Gil, Esther M; Gunter, Marc J; Allen, Kate; Brockton, Nigel T; Croker, Helen; Gordon-Dseagu, Vanessa L; Mitrou, Panagiota; Musuwo, Nicole; Wiseman, Martin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Chan, Doris S M</v>
      </c>
      <c r="Z107" s="31">
        <f>IFERROR(__xludf.DUMMYFUNCTION("""COMPUTED_VALUE"""),2024.0)</f>
        <v>2024</v>
      </c>
      <c r="AA107" s="31">
        <f>IFERROR(__xludf.DUMMYFUNCTION("""COMPUTED_VALUE"""),4.0)</f>
        <v>4</v>
      </c>
      <c r="AC107" s="31"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AD107" s="31"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AE107" s="32">
        <f>IFERROR(__xludf.DUMMYFUNCTION("""COMPUTED_VALUE"""),44207.0)</f>
        <v>44207</v>
      </c>
      <c r="AF107" s="31" t="str">
        <f>IFERROR(__xludf.DUMMYFUNCTION("""COMPUTED_VALUE"""),"Uncertain futures and unsolicited findings in pediatric genomic sequencing: guidelines for return of results in cases of developmental delay.")</f>
        <v>Uncertain futures and unsolicited findings in pediatric genomic sequencing: guidelines for return of results in cases of developmental delay.</v>
      </c>
      <c r="AG107" s="31" t="str">
        <f>IFERROR(__xludf.DUMMYFUNCTION("""COMPUTED_VALUE"""),"Cornelis, Candice; Dondorp, Wybo; Bolt, Ineke; de Wert, Guido; van Summeren, Marieke; Brilstra, Eva; Knoers, Nine; Bredenoord, Annelien L")</f>
        <v>Cornelis, Candice; Dondorp, Wybo; Bolt, Ineke; de Wert, Guido; van Summeren, Marieke; Brilstra, Eva; Knoers, Nine; Bredenoord, Annelien L</v>
      </c>
      <c r="AH107" s="32">
        <f>IFERROR(__xludf.DUMMYFUNCTION("""COMPUTED_VALUE"""),45241.0)</f>
        <v>45241</v>
      </c>
      <c r="AI107" s="31" t="str">
        <f>IFERROR(__xludf.DUMMYFUNCTION("""COMPUTED_VALUE"""),"Decisions on antibiotic prescribing for suspected urinary tract infections in frail older adults: a qualitative study in four European countries.")</f>
        <v>Decisions on antibiotic prescribing for suspected urinary tract infections in frail older adults: a qualitative study in four European countries.</v>
      </c>
      <c r="AJ107" s="31" t="str">
        <f>IFERROR(__xludf.DUMMYFUNCTION("""COMPUTED_VALUE"""),"Hartman, Esther A R; Groen, Wim G; Heltveit-Olsen, Silje Rebekka; Lindbæk, Morten; Høye, Sigurd; Sundvall, Pär-Daniel; Skoglund, Ingmarie; Snaebjörnsson Arnljots, Egill; Gunnarsson, Ronny; Kowalczyk, Anna; Godycki-Cwirko, Maciek; Kosiek, Katarzyna; Platte"&amp;"el, Tamara N; van de Pol, Alma C; Verheij, Theo J M; Monnier, Annelie A; Hertogh, Cees M P M")</f>
        <v>Hartman, Esther A R; Groen, Wim G; Heltveit-Olsen, Silje Rebekka; Lindbæk, Morten; Høye, Sigurd; Sundvall, Pär-Daniel; Skoglund, Ingmarie; Snaebjörnsson Arnljots, Egill; Gunnarsson, Ronny; Kowalczyk, Anna; Godycki-Cwirko, Maciek; Kosiek, Katarzyna; Platteel, Tamara N; van de Pol, Alma C; Verheij, Theo J M; Monnier, Annelie A; Hertogh, Cees M P M</v>
      </c>
      <c r="AK107" s="32">
        <f>IFERROR(__xludf.DUMMYFUNCTION("""COMPUTED_VALUE"""),44713.0)</f>
        <v>44713</v>
      </c>
      <c r="AL107" s="31" t="str">
        <f>IFERROR(__xludf.DUMMYFUNCTION("""COMPUTED_VALUE"""),"""From Nares to Wound: Exploring the mechanisms for Staphylococcal surgical site infections, implications for infection prevention"".")</f>
        <v>"From Nares to Wound: Exploring the mechanisms for Staphylococcal surgical site infections, implications for infection prevention".</v>
      </c>
      <c r="AM107" s="31" t="str">
        <f>IFERROR(__xludf.DUMMYFUNCTION("""COMPUTED_VALUE"""),"Troeman, Darren P R; Kluytmans, Jan A J W")</f>
        <v>Troeman, Darren P R; Kluytmans, Jan A J W</v>
      </c>
      <c r="AN107" s="32">
        <f>IFERROR(__xludf.DUMMYFUNCTION("""COMPUTED_VALUE"""),45133.0)</f>
        <v>45133</v>
      </c>
    </row>
    <row r="108">
      <c r="A108" s="32"/>
      <c r="I108" s="31" t="str">
        <f>IFERROR(__xludf.DUMMYFUNCTION("""COMPUTED_VALUE"""),"diabetes obesity metabolism")</f>
        <v>diabetes obesity metabolism</v>
      </c>
      <c r="J108" s="38">
        <f>COUNTIF(Data!$F$2:$F9917, $I108)</f>
        <v>15</v>
      </c>
      <c r="T108" s="31" t="s">
        <v>24923</v>
      </c>
      <c r="U108" s="31" t="s">
        <v>24924</v>
      </c>
      <c r="V108" s="32">
        <v>45570.0</v>
      </c>
      <c r="X108" s="31"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Y108" s="31"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Z108" s="31">
        <f>IFERROR(__xludf.DUMMYFUNCTION("""COMPUTED_VALUE"""),2024.0)</f>
        <v>2024</v>
      </c>
      <c r="AA108" s="31">
        <f>IFERROR(__xludf.DUMMYFUNCTION("""COMPUTED_VALUE"""),4.0)</f>
        <v>4</v>
      </c>
      <c r="AC108" s="31" t="str">
        <f>IFERROR(__xludf.DUMMYFUNCTION("""COMPUTED_VALUE"""),"A short, 8-week course of imiquimod 5% cream versus podophyllotoxin in the treatment of anogenital warts: A retrospective comparative cohort study.")</f>
        <v>A short, 8-week course of imiquimod 5% cream versus podophyllotoxin in the treatment of anogenital warts: A retrospective comparative cohort study.</v>
      </c>
      <c r="AD108" s="31" t="str">
        <f>IFERROR(__xludf.DUMMYFUNCTION("""COMPUTED_VALUE"""),"Nicolaidou, Electra; Kanelleas, Antonios; Nikolakopoulos, S; Bezrodnii, G; Nearchou, E; Gerodimou, M; Papadopoulou-Skordou, E; Paparizos, V; Rigopoulos, D")</f>
        <v>Nicolaidou, Electra; Kanelleas, Antonios; Nikolakopoulos, S; Bezrodnii, G; Nearchou, E; Gerodimou, M; Papadopoulou-Skordou, E; Paparizos, V; Rigopoulos, D</v>
      </c>
      <c r="AE108" s="32">
        <f>IFERROR(__xludf.DUMMYFUNCTION("""COMPUTED_VALUE"""),44197.0)</f>
        <v>44197</v>
      </c>
      <c r="AF108" s="31" t="str">
        <f>IFERROR(__xludf.DUMMYFUNCTION("""COMPUTED_VALUE"""),"Ethnic Differences in the Association Between Age at Natural Menopause and Risk of Type 2 Diabetes Among Postmenopausal Women: A Pooled Analysis of Individual Data From 13 Cohort Studies.")</f>
        <v>Ethnic Differences in the Association Between Age at Natural Menopause and Risk of Type 2 Diabetes Among Postmenopausal Women: A Pooled Analysis of Individual Data From 13 Cohort Studies.</v>
      </c>
      <c r="AG108" s="31" t="str">
        <f>IFERROR(__xludf.DUMMYFUNCTION("""COMPUTED_VALUE"""),"Chung, Hsin-Fang; Dobson, Annette J; Hayashi, Kunihiko; Hardy, Rebecca; Kuh, Diana; Anderson, Debra J; van der Schouw, Yvonne T; Greenwood, Darren C; Cade, Janet E; Demakakos, Panayotes; Brunner, Eric J; Eastwood, Sophie V; Sandin, Sven; Weiderpass, Elisa"&amp;"bete; Mishra, Gita D")</f>
        <v>Chung, Hsin-Fang; Dobson, Annette J; Hayashi, Kunihiko; Hardy, Rebecca; Kuh, Diana; Anderson, Debra J; van der Schouw, Yvonne T; Greenwood, Darren C; Cade, Janet E; Demakakos, Panayotes; Brunner, Eric J; Eastwood, Sophie V; Sandin, Sven; Weiderpass, Elisabete; Mishra, Gita D</v>
      </c>
      <c r="AH108" s="32">
        <f>IFERROR(__xludf.DUMMYFUNCTION("""COMPUTED_VALUE"""),45231.0)</f>
        <v>45231</v>
      </c>
      <c r="AI108" s="31" t="str">
        <f>IFERROR(__xludf.DUMMYFUNCTION("""COMPUTED_VALUE"""),"Surgical nurses' responses to worry: A qualitative focus-group study in the Netherlands.")</f>
        <v>Surgical nurses' responses to worry: A qualitative focus-group study in the Netherlands.</v>
      </c>
      <c r="AJ108" s="31" t="str">
        <f>IFERROR(__xludf.DUMMYFUNCTION("""COMPUTED_VALUE"""),"Peerboom, F B A L; Hafsteinsdóttir, T B; Weldam, S W; Schoonhoven, L")</f>
        <v>Peerboom, F B A L; Hafsteinsdóttir, T B; Weldam, S W; Schoonhoven, L</v>
      </c>
      <c r="AK108" s="32">
        <f>IFERROR(__xludf.DUMMYFUNCTION("""COMPUTED_VALUE"""),44656.0)</f>
        <v>44656</v>
      </c>
      <c r="AL108" s="31" t="str">
        <f>IFERROR(__xludf.DUMMYFUNCTION("""COMPUTED_VALUE"""),"What Drives Task Performance in Animal Fluency in Individuals Without Dementia? The SMART-MR Study.")</f>
        <v>What Drives Task Performance in Animal Fluency in Individuals Without Dementia? The SMART-MR Study.</v>
      </c>
      <c r="AM108" s="31" t="str">
        <f>IFERROR(__xludf.DUMMYFUNCTION("""COMPUTED_VALUE"""),"Rofes, Adrià; Beran, Magdalena; Jonkers, Roel; Geerlings, Mirjam I; Vonk, Jet M J")</f>
        <v>Rofes, Adrià; Beran, Magdalena; Jonkers, Roel; Geerlings, Mirjam I; Vonk, Jet M J</v>
      </c>
      <c r="AN108" s="32">
        <f>IFERROR(__xludf.DUMMYFUNCTION("""COMPUTED_VALUE"""),45133.0)</f>
        <v>45133</v>
      </c>
    </row>
    <row r="109">
      <c r="A109" s="32"/>
      <c r="I109" s="31" t="str">
        <f>IFERROR(__xludf.DUMMYFUNCTION("""COMPUTED_VALUE"""),"chest")</f>
        <v>chest</v>
      </c>
      <c r="J109" s="38">
        <f>COUNTIF(Data!$F$2:$F9917, $I109)</f>
        <v>10</v>
      </c>
      <c r="T109" s="31" t="s">
        <v>24761</v>
      </c>
      <c r="U109" s="31" t="s">
        <v>156</v>
      </c>
      <c r="V109" s="32">
        <v>45569.0</v>
      </c>
      <c r="X109" s="31" t="str">
        <f>IFERROR(__xludf.DUMMYFUNCTION("""COMPUTED_VALUE"""),"Ventilation tubes (grommets) for otitis media with effusion (OME) in children.")</f>
        <v>Ventilation tubes (grommets) for otitis media with effusion (OME) in children.</v>
      </c>
      <c r="Y109" s="31" t="str">
        <f>IFERROR(__xludf.DUMMYFUNCTION("""COMPUTED_VALUE"""),"MacKeith, Samuel; Mulvaney, Caroline A; Galbraith, Kevin; Webster, Katie E; Connolly, Rachel; Paing, Aye; Marom, Tal; Daniel, Mat; Venekamp, Roderick P; Rovers, Maroeska M; Schilder, Anne Gm")</f>
        <v>MacKeith, Samuel; Mulvaney, Caroline A; Galbraith, Kevin; Webster, Katie E; Connolly, Rachel; Paing, Aye; Marom, Tal; Daniel, Mat; Venekamp, Roderick P; Rovers, Maroeska M; Schilder, Anne Gm</v>
      </c>
      <c r="Z109" s="31">
        <f>IFERROR(__xludf.DUMMYFUNCTION("""COMPUTED_VALUE"""),2023.0)</f>
        <v>2023</v>
      </c>
      <c r="AA109" s="31">
        <f>IFERROR(__xludf.DUMMYFUNCTION("""COMPUTED_VALUE"""),4.0)</f>
        <v>4</v>
      </c>
      <c r="AC109" s="31" t="str">
        <f>IFERROR(__xludf.DUMMYFUNCTION("""COMPUTED_VALUE"""),"Comment on Williamson et al. (OpenSAFELY): The Table 2 Fallacy in a Study of COVID-19 Mortality Risk Factors.")</f>
        <v>Comment on Williamson et al. (OpenSAFELY): The Table 2 Fallacy in a Study of COVID-19 Mortality Risk Factors.</v>
      </c>
      <c r="AD109" s="31" t="str">
        <f>IFERROR(__xludf.DUMMYFUNCTION("""COMPUTED_VALUE"""),"Westreich, Daniel; Edwards, Jessie K; van Smeden, Maarten")</f>
        <v>Westreich, Daniel; Edwards, Jessie K; van Smeden, Maarten</v>
      </c>
      <c r="AE109" s="32">
        <f>IFERROR(__xludf.DUMMYFUNCTION("""COMPUTED_VALUE"""),44197.0)</f>
        <v>44197</v>
      </c>
      <c r="AF109" s="31" t="str">
        <f>IFERROR(__xludf.DUMMYFUNCTION("""COMPUTED_VALUE"""),"Reducing the gap of chronic kidney disease in low- and middle-income countries: what is missing?")</f>
        <v>Reducing the gap of chronic kidney disease in low- and middle-income countries: what is missing?</v>
      </c>
      <c r="AG109" s="31" t="str">
        <f>IFERROR(__xludf.DUMMYFUNCTION("""COMPUTED_VALUE"""),"López, Darío Sebastián; Hernández Vargas, Juliana Alexandra; Urina-Jassir, Manuel; Urina-Triana, Miguel; Franco, Oscar H")</f>
        <v>López, Darío Sebastián; Hernández Vargas, Juliana Alexandra; Urina-Jassir, Manuel; Urina-Triana, Miguel; Franco, Oscar H</v>
      </c>
      <c r="AH109" s="32">
        <f>IFERROR(__xludf.DUMMYFUNCTION("""COMPUTED_VALUE"""),45230.0)</f>
        <v>45230</v>
      </c>
      <c r="AI109" s="31" t="str">
        <f>IFERROR(__xludf.DUMMYFUNCTION("""COMPUTED_VALUE"""),"Family participation in essential care activities: Needs, perceptions, preferences, and capacities of intensive care unit patients, relatives, and healthcare providers-An integrative review.")</f>
        <v>Family participation in essential care activities: Needs, perceptions, preferences, and capacities of intensive care unit patients, relatives, and healthcare providers-An integrative review.</v>
      </c>
      <c r="AJ109" s="31" t="str">
        <f>IFERROR(__xludf.DUMMYFUNCTION("""COMPUTED_VALUE"""),"Dijkstra, Boukje M; Felten-Barentsz, Karin M; van der Valk, Margriet J M; Pelgrim, Thomas; van der Hoeven, Hans G; Schoonhoven, Lisette; Ebben, Remco H A; Vloet, Lilian C M")</f>
        <v>Dijkstra, Boukje M; Felten-Barentsz, Karin M; van der Valk, Margriet J M; Pelgrim, Thomas; van der Hoeven, Hans G; Schoonhoven, Lisette; Ebben, Remco H A; Vloet, Lilian C M</v>
      </c>
      <c r="AK109" s="32">
        <f>IFERROR(__xludf.DUMMYFUNCTION("""COMPUTED_VALUE"""),44652.0)</f>
        <v>44652</v>
      </c>
      <c r="AL109" s="31" t="str">
        <f>IFERROR(__xludf.DUMMYFUNCTION("""COMPUTED_VALUE"""),"Toward Transplantation of Liver Organoids: From Biology and Ethics to Cost-effective Therapy.")</f>
        <v>Toward Transplantation of Liver Organoids: From Biology and Ethics to Cost-effective Therapy.</v>
      </c>
      <c r="AM109" s="31" t="str">
        <f>IFERROR(__xludf.DUMMYFUNCTION("""COMPUTED_VALUE"""),"Ten Dam, Marjolein J M; Frederix, Geert W J; Ten Ham, Renske M T; van der Laan, Luc J W; Schneeberger, Kerstin")</f>
        <v>Ten Dam, Marjolein J M; Frederix, Geert W J; Ten Ham, Renske M T; van der Laan, Luc J W; Schneeberger, Kerstin</v>
      </c>
      <c r="AN109" s="32">
        <f>IFERROR(__xludf.DUMMYFUNCTION("""COMPUTED_VALUE"""),45127.0)</f>
        <v>45127</v>
      </c>
    </row>
    <row r="110">
      <c r="A110" s="32"/>
      <c r="I110" s="31" t="str">
        <f>IFERROR(__xludf.DUMMYFUNCTION("""COMPUTED_VALUE"""),"the lancet infectious diseases")</f>
        <v>the lancet infectious diseases</v>
      </c>
      <c r="J110" s="38">
        <f>COUNTIF(Data!$F$2:$F9917, $I110)</f>
        <v>21</v>
      </c>
      <c r="T110" s="31" t="s">
        <v>25394</v>
      </c>
      <c r="U110" s="31" t="s">
        <v>25395</v>
      </c>
      <c r="V110" s="32">
        <v>45569.0</v>
      </c>
      <c r="X110" s="31" t="str">
        <f>IFERROR(__xludf.DUMMYFUNCTION("""COMPUTED_VALUE"""),"The built environment and cardiovascular disease: an umbrella review and meta-meta-analysis.")</f>
        <v>The built environment and cardiovascular disease: an umbrella review and meta-meta-analysis.</v>
      </c>
      <c r="Y110" s="31" t="str">
        <f>IFERROR(__xludf.DUMMYFUNCTION("""COMPUTED_VALUE"""),"Liu, Mingwei; Meijer, Paul; Lam, Thao Minh; Timmermans, Erik J; Grobbee, Diederick E; Beulens, Joline W J; Vaartjes, Ilonca; Lakerveld, Jeroen")</f>
        <v>Liu, Mingwei; Meijer, Paul; Lam, Thao Minh; Timmermans, Erik J; Grobbee, Diederick E; Beulens, Joline W J; Vaartjes, Ilonca; Lakerveld, Jeroen</v>
      </c>
      <c r="Z110" s="31">
        <f>IFERROR(__xludf.DUMMYFUNCTION("""COMPUTED_VALUE"""),2023.0)</f>
        <v>2023</v>
      </c>
      <c r="AA110" s="31">
        <f>IFERROR(__xludf.DUMMYFUNCTION("""COMPUTED_VALUE"""),4.0)</f>
        <v>4</v>
      </c>
      <c r="AC110" s="31" t="str">
        <f>IFERROR(__xludf.DUMMYFUNCTION("""COMPUTED_VALUE"""),"Estimation of the effect of surrogate multi-omic biomarkers.")</f>
        <v>Estimation of the effect of surrogate multi-omic biomarkers.</v>
      </c>
      <c r="AD110" s="31" t="str">
        <f>IFERROR(__xludf.DUMMYFUNCTION("""COMPUTED_VALUE"""),"Fuady, Angga M; El Bouhaddani, Said; Uh, Hae-Won; Houwing-Duistermaat, Jeanine")</f>
        <v>Fuady, Angga M; El Bouhaddani, Said; Uh, Hae-Won; Houwing-Duistermaat, Jeanine</v>
      </c>
      <c r="AE110" s="32">
        <f>IFERROR(__xludf.DUMMYFUNCTION("""COMPUTED_VALUE"""),44197.0)</f>
        <v>44197</v>
      </c>
      <c r="AF110" s="31" t="str">
        <f>IFERROR(__xludf.DUMMYFUNCTION("""COMPUTED_VALUE"""),"Patterns and drivers of atmospheric inorganic nitrogen deposition in Northeast Asia.")</f>
        <v>Patterns and drivers of atmospheric inorganic nitrogen deposition in Northeast Asia.</v>
      </c>
      <c r="AG110" s="31" t="str">
        <f>IFERROR(__xludf.DUMMYFUNCTION("""COMPUTED_VALUE"""),"Mgelwa, Abubakari Said; Zhu, Feifei; Huang, Dan; Song, Linlin; Wang, Yingying; Gurmesa, Geshere Abdisa; Wang, Ang; Liu, Miao; Huang, Shaonan; Qiu, Qingyan; Sase, Hiroyuki; Zhu, Weixing; Fang, Yunting")</f>
        <v>Mgelwa, Abubakari Said; Zhu, Feifei; Huang, Dan; Song, Linlin; Wang, Yingying; Gurmesa, Geshere Abdisa; Wang, Ang; Liu, Miao; Huang, Shaonan; Qiu, Qingyan; Sase, Hiroyuki; Zhu, Weixing; Fang, Yunting</v>
      </c>
      <c r="AH110" s="32">
        <f>IFERROR(__xludf.DUMMYFUNCTION("""COMPUTED_VALUE"""),45230.0)</f>
        <v>45230</v>
      </c>
      <c r="AI110" s="31" t="str">
        <f>IFERROR(__xludf.DUMMYFUNCTION("""COMPUTED_VALUE"""),"Development of the My Positive Health dialogue tool for children: a qualitative study on children's views of health.")</f>
        <v>Development of the My Positive Health dialogue tool for children: a qualitative study on children's views of health.</v>
      </c>
      <c r="AJ110" s="31" t="str">
        <f>IFERROR(__xludf.DUMMYFUNCTION("""COMPUTED_VALUE"""),"de Jong-Witjes, Stacey; Kars, Marijke C; van Vliet, Marja; Huber, Machteld; van der Laan, Sabine E I; Gelens, Eva N; Berkelbach van der Sprenkel, Emma E; Nijhof, Sanne L; de Jonge, Maretha V; Rippen, Hester; van de Putte, Elise M")</f>
        <v>de Jong-Witjes, Stacey; Kars, Marijke C; van Vliet, Marja; Huber, Machteld; van der Laan, Sabine E I; Gelens, Eva N; Berkelbach van der Sprenkel, Emma E; Nijhof, Sanne L; de Jonge, Maretha V; Rippen, Hester; van de Putte, Elise M</v>
      </c>
      <c r="AK110" s="32">
        <f>IFERROR(__xludf.DUMMYFUNCTION("""COMPUTED_VALUE"""),44652.0)</f>
        <v>44652</v>
      </c>
      <c r="AL110" s="31" t="str">
        <f>IFERROR(__xludf.DUMMYFUNCTION("""COMPUTED_VALUE"""),"Mixed strain pathogen populations accelerate the evolution of antibiotic resistance in patients.")</f>
        <v>Mixed strain pathogen populations accelerate the evolution of antibiotic resistance in patients.</v>
      </c>
      <c r="AM110" s="31" t="str">
        <f>IFERROR(__xludf.DUMMYFUNCTION("""COMPUTED_VALUE"""),"Diaz Caballero, Julio; Wheatley, Rachel M; Kapel, Natalia; López-Causapé, Carla; Van der Schalk, Thomas; Quinn, Angus; Shaw, Liam P; Ogunlana, Lois; Recanatini, Claudia; Xavier, Basil Britto; Timbermont, Leen; Kluytmans, Jan; Ruzin, Alexey; Esser, Mark; M"&amp;"alhotra-Kumar, Surbhi; Oliver, Antonio; MacLean, R Craig")</f>
        <v>Diaz Caballero, Julio; Wheatley, Rachel M; Kapel, Natalia; López-Causapé, Carla; Van der Schalk, Thomas; Quinn, Angus; Shaw, Liam P; Ogunlana, Lois; Recanatini, Claudia; Xavier, Basil Britto; Timbermont, Leen; Kluytmans, Jan; Ruzin, Alexey; Esser, Mark; Malhotra-Kumar, Surbhi; Oliver, Antonio; MacLean, R Craig</v>
      </c>
      <c r="AN110" s="32">
        <f>IFERROR(__xludf.DUMMYFUNCTION("""COMPUTED_VALUE"""),45119.0)</f>
        <v>45119</v>
      </c>
    </row>
    <row r="111">
      <c r="A111" s="32"/>
      <c r="I111" s="31" t="str">
        <f>IFERROR(__xludf.DUMMYFUNCTION("""COMPUTED_VALUE"""),"bioethics")</f>
        <v>bioethics</v>
      </c>
      <c r="J111" s="38">
        <f>COUNTIF(Data!$F$2:$F9917, $I111)</f>
        <v>5</v>
      </c>
      <c r="T111" s="31" t="s">
        <v>25802</v>
      </c>
      <c r="U111" s="31" t="s">
        <v>25803</v>
      </c>
      <c r="V111" s="32">
        <v>45569.0</v>
      </c>
      <c r="X111" s="31" t="str">
        <f>IFERROR(__xludf.DUMMYFUNCTION("""COMPUTED_VALUE"""),"Improving 10-year cardiovascular risk prediction in apparently healthy people: flexible addition of risk modifiers on top of SCORE2.")</f>
        <v>Improving 10-year cardiovascular risk prediction in apparently healthy people: flexible addition of risk modifiers on top of SCORE2.</v>
      </c>
      <c r="Y111" s="31" t="str">
        <f>IFERROR(__xludf.DUMMYFUNCTION("""COMPUTED_VALUE"""),"Hageman, Steven H J; Petitjaen, Carmen; Pennells, Lisa; Kaptoge, Stephen; Pajouheshnia, Romin; Tillmann, Taavi; Blaha, Michael J; McClelland, Robyn L; Matsushita, Kunihiro; Nambi, Vijay; Klungel, Olaf H; Souverein, Patrick C; van der Schouw, Yvonne T; Ver"&amp;"schuren, W M Monique; Lehmann, Nils; Erbel, Raimund; Jöckel, Karl-Heinz; Di Angelantonio, Emanuele; Visseren, Frank L J; Dorresteijn, Jannick A N")</f>
        <v>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v>
      </c>
      <c r="Z111" s="31">
        <f>IFERROR(__xludf.DUMMYFUNCTION("""COMPUTED_VALUE"""),2023.0)</f>
        <v>2023</v>
      </c>
      <c r="AA111" s="31">
        <f>IFERROR(__xludf.DUMMYFUNCTION("""COMPUTED_VALUE"""),4.0)</f>
        <v>4</v>
      </c>
      <c r="AC111" s="31" t="str">
        <f>IFERROR(__xludf.DUMMYFUNCTION("""COMPUTED_VALUE"""),"Investigating the impact of Down syndrome on methylation and glycomics with two-stage PO2PLS.")</f>
        <v>Investigating the impact of Down syndrome on methylation and glycomics with two-stage PO2PLS.</v>
      </c>
      <c r="AD111" s="31" t="str">
        <f>IFERROR(__xludf.DUMMYFUNCTION("""COMPUTED_VALUE"""),"Gu, Zhujie; El Bouhaddani, Said; Houwing-Duistermaat, Jeanine; Uh, Hae-Won")</f>
        <v>Gu, Zhujie; El Bouhaddani, Said; Houwing-Duistermaat, Jeanine; Uh, Hae-Won</v>
      </c>
      <c r="AE111" s="32">
        <f>IFERROR(__xludf.DUMMYFUNCTION("""COMPUTED_VALUE"""),44197.0)</f>
        <v>44197</v>
      </c>
      <c r="AF111" s="31" t="str">
        <f>IFERROR(__xludf.DUMMYFUNCTION("""COMPUTED_VALUE"""),"Sharing Medical Big Data While Preserving Patient Confidentiality in Innovative Medicines Initiative: A Summary and Case Report from BigData@Heart.")</f>
        <v>Sharing Medical Big Data While Preserving Patient Confidentiality in Innovative Medicines Initiative: A Summary and Case Report from BigData@Heart.</v>
      </c>
      <c r="AG111" s="31" t="str">
        <f>IFERROR(__xludf.DUMMYFUNCTION("""COMPUTED_VALUE"""),"Schröder, Megan; Muller, Sam H A; Vradi, Eleni; Mielke, Johanna; Lim, Yvonne M F; Couvelard, Fabrice; Mostert, Menno; Koudstaal, Stefan; Eijkemans, Marinus J C; Gerlinger, Christoph")</f>
        <v>Schröder, Megan; Muller, Sam H A; Vradi, Eleni; Mielke, Johanna; Lim, Yvonne M F; Couvelard, Fabrice; Mostert, Menno; Koudstaal, Stefan; Eijkemans, Marinus J C; Gerlinger, Christoph</v>
      </c>
      <c r="AH111" s="32">
        <f>IFERROR(__xludf.DUMMYFUNCTION("""COMPUTED_VALUE"""),45226.0)</f>
        <v>45226</v>
      </c>
      <c r="AI111" s="31" t="str">
        <f>IFERROR(__xludf.DUMMYFUNCTION("""COMPUTED_VALUE"""),"Key Factors Relevant for Healthcare Decisions of Patients with Type 1 and Type 2 Diabetes in Secondary Care According to Healthcare Professionals.")</f>
        <v>Key Factors Relevant for Healthcare Decisions of Patients with Type 1 and Type 2 Diabetes in Secondary Care According to Healthcare Professionals.</v>
      </c>
      <c r="AJ111" s="31" t="str">
        <f>IFERROR(__xludf.DUMMYFUNCTION("""COMPUTED_VALUE"""),"Ruissen, Merel M; Sont, Jacob K; van Vugt, Heidi A; Kunneman, Marleen; Rutten, Guy E H M; de Koning, Eelco J P")</f>
        <v>Ruissen, Merel M; Sont, Jacob K; van Vugt, Heidi A; Kunneman, Marleen; Rutten, Guy E H M; de Koning, Eelco J P</v>
      </c>
      <c r="AK111" s="32">
        <f>IFERROR(__xludf.DUMMYFUNCTION("""COMPUTED_VALUE"""),44648.0)</f>
        <v>44648</v>
      </c>
      <c r="AL111" s="31" t="str">
        <f>IFERROR(__xludf.DUMMYFUNCTION("""COMPUTED_VALUE"""),"Effects of exercise after oesophagectomy on body composition and adequacy of energy and protein intake: PERFECT multicentre randomized controlled trial.")</f>
        <v>Effects of exercise after oesophagectomy on body composition and adequacy of energy and protein intake: PERFECT multicentre randomized controlled trial.</v>
      </c>
      <c r="AM111" s="31" t="str">
        <f>IFERROR(__xludf.DUMMYFUNCTION("""COMPUTED_VALUE"""),"Hiensch, Anouk; Steenhagen, Elles; van Vulpen, Jonna K; Ruurda, Jelle P; Nieuwenhuijzen, Grard A P; Kouwenhoven, Ewout A; Groenendijk, Richard P R; van der Peet, Donald L; Rosman, Camiel; Wijnhoven, Bas P L; van Berge Henegouwen, Mark I; van Laarhoven, Ha"&amp;"nneke W M; van Hillegersberg, Richard; Siersema, Peter D; May, Anne M")</f>
        <v>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v>
      </c>
      <c r="AN111" s="32">
        <f>IFERROR(__xludf.DUMMYFUNCTION("""COMPUTED_VALUE"""),45117.0)</f>
        <v>45117</v>
      </c>
    </row>
    <row r="112">
      <c r="A112" s="32"/>
      <c r="I112" s="31" t="str">
        <f>IFERROR(__xludf.DUMMYFUNCTION("""COMPUTED_VALUE"""),"bmc womens health")</f>
        <v>bmc womens health</v>
      </c>
      <c r="J112" s="38">
        <f>COUNTIF(Data!$F$2:$F9917, $I112)</f>
        <v>3</v>
      </c>
      <c r="T112" s="31" t="s">
        <v>24936</v>
      </c>
      <c r="U112" s="31" t="s">
        <v>24937</v>
      </c>
      <c r="V112" s="32">
        <v>45567.0</v>
      </c>
      <c r="X112" s="31" t="str">
        <f>IFERROR(__xludf.DUMMYFUNCTION("""COMPUTED_VALUE"""),"Per- and polyfluoroalkyl substances (PFAS) exposure and thyroid cancer risk.")</f>
        <v>Per- and polyfluoroalkyl substances (PFAS) exposure and thyroid cancer risk.</v>
      </c>
      <c r="Y112" s="31" t="str">
        <f>IFERROR(__xludf.DUMMYFUNCTION("""COMPUTED_VALUE"""),"van Gerwen, Maaike; Colicino, Elena; Guan, Haibin; Dolios, Georgia; Nadkarni, Girish N; Vermeulen, Roel C H; Wolff, Mary S; Arora, Manish; Genden, Eric M; Petrick, Lauren M")</f>
        <v>van Gerwen, Maaike; Colicino, Elena; Guan, Haibin; Dolios, Georgia; Nadkarni, Girish N; Vermeulen, Roel C H; Wolff, Mary S; Arora, Manish; Genden, Eric M; Petrick, Lauren M</v>
      </c>
      <c r="Z112" s="31">
        <f>IFERROR(__xludf.DUMMYFUNCTION("""COMPUTED_VALUE"""),2023.0)</f>
        <v>2023</v>
      </c>
      <c r="AA112" s="31">
        <f>IFERROR(__xludf.DUMMYFUNCTION("""COMPUTED_VALUE"""),4.0)</f>
        <v>4</v>
      </c>
      <c r="AC112" s="31" t="str">
        <f>IFERROR(__xludf.DUMMYFUNCTION("""COMPUTED_VALUE"""),"Introduction or Discontinuation of Additional Risk Minimisation Measures During the Life Cycle of Medicines in Europe.")</f>
        <v>Introduction or Discontinuation of Additional Risk Minimisation Measures During the Life Cycle of Medicines in Europe.</v>
      </c>
      <c r="AD112" s="31" t="str">
        <f>IFERROR(__xludf.DUMMYFUNCTION("""COMPUTED_VALUE"""),"Francisca, Reynold D C; Baba, Emna; Hoeve, Christina E; Zomerdijk, Inge M; Sturkenboom, Miriam C J M; Straus, Sabine M J M")</f>
        <v>Francisca, Reynold D C; Baba, Emna; Hoeve, Christina E; Zomerdijk, Inge M; Sturkenboom, Miriam C J M; Straus, Sabine M J M</v>
      </c>
      <c r="AE112" s="32">
        <f>IFERROR(__xludf.DUMMYFUNCTION("""COMPUTED_VALUE"""),44197.0)</f>
        <v>44197</v>
      </c>
      <c r="AF112" s="31" t="str">
        <f>IFERROR(__xludf.DUMMYFUNCTION("""COMPUTED_VALUE"""),"Continuous deep sedation at the end of life: a qualitative interview-study among health care providers on an evolving practice.")</f>
        <v>Continuous deep sedation at the end of life: a qualitative interview-study among health care providers on an evolving practice.</v>
      </c>
      <c r="AG112" s="31" t="str">
        <f>IFERROR(__xludf.DUMMYFUNCTION("""COMPUTED_VALUE"""),"Heijltjes, Madelon T; van Thiel, Ghislaine Jmw; Rietjens, Judith Ac; van der Heide, Agnes; Hendriksen, Geeske; van Delden, Johannes Jm")</f>
        <v>Heijltjes, Madelon T; van Thiel, Ghislaine Jmw; Rietjens, Judith Ac; van der Heide, Agnes; Hendriksen, Geeske; van Delden, Johannes Jm</v>
      </c>
      <c r="AH112" s="32">
        <f>IFERROR(__xludf.DUMMYFUNCTION("""COMPUTED_VALUE"""),45225.0)</f>
        <v>45225</v>
      </c>
      <c r="AI112" s="31" t="str">
        <f>IFERROR(__xludf.DUMMYFUNCTION("""COMPUTED_VALUE"""),"Nurses' experiences with continuous vital sign monitoring on the general surgical ward: a qualitative study based on the Behaviour Change Wheel.")</f>
        <v>Nurses' experiences with continuous vital sign monitoring on the general surgical ward: a qualitative study based on the Behaviour Change Wheel.</v>
      </c>
      <c r="AJ112" s="31" t="str">
        <f>IFERROR(__xludf.DUMMYFUNCTION("""COMPUTED_VALUE"""),"Leenen, J P L; Dijkman, E M; van Hout, A; Kalkman, C J; Schoonhoven, L; Patijn, G A")</f>
        <v>Leenen, J P L; Dijkman, E M; van Hout, A; Kalkman, C J; Schoonhoven, L; Patijn, G A</v>
      </c>
      <c r="AK112" s="32">
        <f>IFERROR(__xludf.DUMMYFUNCTION("""COMPUTED_VALUE"""),44634.0)</f>
        <v>44634</v>
      </c>
      <c r="AL112" s="31" t="str">
        <f>IFERROR(__xludf.DUMMYFUNCTION("""COMPUTED_VALUE"""),"Long term sequelae after SARS-CoV-2 infection in children: a household study.")</f>
        <v>Long term sequelae after SARS-CoV-2 infection in children: a household study.</v>
      </c>
      <c r="AM112" s="31" t="str">
        <f>IFERROR(__xludf.DUMMYFUNCTION("""COMPUTED_VALUE"""),"Sluiter-Post, Judith G C; Fourie, Elandri; Wildenbeest, Joanne G; van Lelyveld, Steven F L; Bruijning-Verhagen, Patricia C J L; van Houten, Marianne A")</f>
        <v>Sluiter-Post, Judith G C; Fourie, Elandri; Wildenbeest, Joanne G; van Lelyveld, Steven F L; Bruijning-Verhagen, Patricia C J L; van Houten, Marianne A</v>
      </c>
      <c r="AN112" s="32">
        <f>IFERROR(__xludf.DUMMYFUNCTION("""COMPUTED_VALUE"""),45105.0)</f>
        <v>45105</v>
      </c>
    </row>
    <row r="113">
      <c r="A113" s="32"/>
      <c r="I113" s="31" t="str">
        <f>IFERROR(__xludf.DUMMYFUNCTION("""COMPUTED_VALUE"""),"jama network open")</f>
        <v>jama network open</v>
      </c>
      <c r="J113" s="38">
        <f>COUNTIF(Data!$F$2:$F9917, $I113)</f>
        <v>16</v>
      </c>
      <c r="T113" s="31" t="s">
        <v>25010</v>
      </c>
      <c r="U113" s="31" t="s">
        <v>25011</v>
      </c>
      <c r="V113" s="32">
        <v>45567.0</v>
      </c>
      <c r="X113" s="31" t="str">
        <f>IFERROR(__xludf.DUMMYFUNCTION("""COMPUTED_VALUE"""),"Adenoidectomy for otitis media with effusion (OME) in children.")</f>
        <v>Adenoidectomy for otitis media with effusion (OME) in children.</v>
      </c>
      <c r="Y113" s="31" t="str">
        <f>IFERROR(__xludf.DUMMYFUNCTION("""COMPUTED_VALUE"""),"MacKeith, Samuel; Mulvaney, Caroline A; Galbraith, Kevin; Webster, Katie E; Paing, Aye; Connolly, Rachel; Marom, Tal; Daniel, Mat; Venekamp, Roderick P; Schilder, Anne Gm")</f>
        <v>MacKeith, Samuel; Mulvaney, Caroline A; Galbraith, Kevin; Webster, Katie E; Paing, Aye; Connolly, Rachel; Marom, Tal; Daniel, Mat; Venekamp, Roderick P; Schilder, Anne Gm</v>
      </c>
      <c r="Z113" s="31">
        <f>IFERROR(__xludf.DUMMYFUNCTION("""COMPUTED_VALUE"""),2023.0)</f>
        <v>2023</v>
      </c>
      <c r="AA113" s="31">
        <f>IFERROR(__xludf.DUMMYFUNCTION("""COMPUTED_VALUE"""),4.0)</f>
        <v>4</v>
      </c>
      <c r="AC113" s="31" t="str">
        <f>IFERROR(__xludf.DUMMYFUNCTION("""COMPUTED_VALUE"""),"Bayesian evidence synthesis in case of multi-cohort datasets: An illustration by multi-informant differences in self-control.")</f>
        <v>Bayesian evidence synthesis in case of multi-cohort datasets: An illustration by multi-informant differences in self-control.</v>
      </c>
      <c r="AD113" s="31" t="str">
        <f>IFERROR(__xludf.DUMMYFUNCTION("""COMPUTED_VALUE"""),"Kevenaar, Sofieke T; Zondervan-Zwijnenburg, Maria A J; Blok, Elisabet; Schmengler, Heiko; Fakkel, M Ties; de Zeeuw, Eveline L; van Bergen, Elsje; Onland-Moret, N Charlotte; Peeters, Margot; Hillegers, Manon H J; Boomsma, Dorret I; Oldehinkel, Albertine J")</f>
        <v>Kevenaar, Sofieke T; Zondervan-Zwijnenburg, Maria A J; Blok, Elisabet; Schmengler, Heiko; Fakkel, M Ties; de Zeeuw, Eveline L; van Bergen, Elsje; Onland-Moret, N Charlotte; Peeters, Margot; Hillegers, Manon H J; Boomsma, Dorret I; Oldehinkel, Albertine J</v>
      </c>
      <c r="AE113" s="32">
        <f>IFERROR(__xludf.DUMMYFUNCTION("""COMPUTED_VALUE"""),44191.0)</f>
        <v>44191</v>
      </c>
      <c r="AF113" s="31" t="str">
        <f>IFERROR(__xludf.DUMMYFUNCTION("""COMPUTED_VALUE"""),"Improving 10-year cardiovascular risk prediction in apparently healthy people: flexible addition of risk modifiers on top of SCORE2.")</f>
        <v>Improving 10-year cardiovascular risk prediction in apparently healthy people: flexible addition of risk modifiers on top of SCORE2.</v>
      </c>
      <c r="AG113" s="31" t="str">
        <f>IFERROR(__xludf.DUMMYFUNCTION("""COMPUTED_VALUE"""),"Hageman, Steven H J; Petitjaen, Carmen; Pennells, Lisa; Kaptoge, Stephen; Pajouheshnia, Romin; Tillmann, Taavi; Blaha, Michael J; McClelland, Robyn L; Matsushita, Kunihiro; Nambi, Vijay; Klungel, Olaf H; Souverein, Patrick C; van der Schouw, Yvonne T; Ver"&amp;"schuren, W M Monique; Lehmann, Nils; Erbel, Raimund; Jöckel, Karl-Heinz; Di Angelantonio, Emanuele; Visseren, Frank L J; Dorresteijn, Jannick A N")</f>
        <v>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v>
      </c>
      <c r="AH113" s="32">
        <f>IFERROR(__xludf.DUMMYFUNCTION("""COMPUTED_VALUE"""),45225.0)</f>
        <v>45225</v>
      </c>
      <c r="AI113" s="31" t="str">
        <f>IFERROR(__xludf.DUMMYFUNCTION("""COMPUTED_VALUE"""),"Operational definition of self-care interventions for adults with chronic illness.")</f>
        <v>Operational definition of self-care interventions for adults with chronic illness.</v>
      </c>
      <c r="AJ113" s="31" t="str">
        <f>IFERROR(__xludf.DUMMYFUNCTION("""COMPUTED_VALUE"""),"Riegel, Barbara; Westland, Heleen; Freedland, Kenneth E; Lee, Christopher S; Stromberg, Anna; Vellone, Ercole; Jaarsma, Tiny")</f>
        <v>Riegel, Barbara; Westland, Heleen; Freedland, Kenneth E; Lee, Christopher S; Stromberg, Anna; Vellone, Ercole; Jaarsma, Tiny</v>
      </c>
      <c r="AK113" s="32">
        <f>IFERROR(__xludf.DUMMYFUNCTION("""COMPUTED_VALUE"""),44628.0)</f>
        <v>44628</v>
      </c>
      <c r="AL113" s="31" t="str">
        <f>IFERROR(__xludf.DUMMYFUNCTION("""COMPUTED_VALUE"""),"Lower haemoglobin concentrations are associated with impaired cognition in patients with carotid artery occlusion.")</f>
        <v>Lower haemoglobin concentrations are associated with impaired cognition in patients with carotid artery occlusion.</v>
      </c>
      <c r="AM113" s="31" t="str">
        <f>IFERROR(__xludf.DUMMYFUNCTION("""COMPUTED_VALUE"""),"Kuipers, Sanne; Willemse, Sean W; Greving, Jacoba P; Bron, Esther E; van Oostenbrugge, Robert J; van Osch, Matthias J P; Biessels, Geert Jan; Kappelle, L Jaap; ,")</f>
        <v>Kuipers, Sanne; Willemse, Sean W; Greving, Jacoba P; Bron, Esther E; van Oostenbrugge, Robert J; van Osch, Matthias J P; Biessels, Geert Jan; Kappelle, L Jaap; ,</v>
      </c>
      <c r="AN113" s="32">
        <f>IFERROR(__xludf.DUMMYFUNCTION("""COMPUTED_VALUE"""),45101.0)</f>
        <v>45101</v>
      </c>
    </row>
    <row r="114">
      <c r="A114" s="32"/>
      <c r="I114" s="31" t="str">
        <f>IFERROR(__xludf.DUMMYFUNCTION("""COMPUTED_VALUE"""),"journal of clinical nursing")</f>
        <v>journal of clinical nursing</v>
      </c>
      <c r="J114" s="38">
        <f>COUNTIF(Data!$F$2:$F9917, $I114)</f>
        <v>14</v>
      </c>
      <c r="T114" s="31" t="s">
        <v>25165</v>
      </c>
      <c r="U114" s="31" t="s">
        <v>25166</v>
      </c>
      <c r="V114" s="32">
        <v>45567.0</v>
      </c>
      <c r="X114" s="31" t="str">
        <f>IFERROR(__xludf.DUMMYFUNCTION("""COMPUTED_VALUE"""),"Antibiotics for otitis media with effusion (OME) in children.")</f>
        <v>Antibiotics for otitis media with effusion (OME) in children.</v>
      </c>
      <c r="Y114" s="31" t="str">
        <f>IFERROR(__xludf.DUMMYFUNCTION("""COMPUTED_VALUE"""),"Mulvaney, Caroline A; Galbraith, Kevin; Webster, Katie E; Rana, Mridul; Connolly, Rachel; Marom, Tal; Daniel, Mat; Venekamp, Roderick P; Schilder, Anne Gm; MacKeith, Samuel")</f>
        <v>Mulvaney, Caroline A; Galbraith, Kevin; Webster, Katie E; Rana, Mridul; Connolly, Rachel; Marom, Tal; Daniel, Mat; Venekamp, Roderick P; Schilder, Anne Gm; MacKeith, Samuel</v>
      </c>
      <c r="Z114" s="31">
        <f>IFERROR(__xludf.DUMMYFUNCTION("""COMPUTED_VALUE"""),2023.0)</f>
        <v>2023</v>
      </c>
      <c r="AA114" s="31">
        <f>IFERROR(__xludf.DUMMYFUNCTION("""COMPUTED_VALUE"""),4.0)</f>
        <v>4</v>
      </c>
      <c r="AC114" s="31" t="str">
        <f>IFERROR(__xludf.DUMMYFUNCTION("""COMPUTED_VALUE"""),"Statistical method for modeling sequencing data from different technologies in longitudinal studies with application to Huntington disease.")</f>
        <v>Statistical method for modeling sequencing data from different technologies in longitudinal studies with application to Huntington disease.</v>
      </c>
      <c r="AD114" s="31" t="str">
        <f>IFERROR(__xludf.DUMMYFUNCTION("""COMPUTED_VALUE"""),"Fuady, Angga M; van Roon-Mom, Willeke M C; Kiełbasa, Szymon M; Uh, Hae-Won; Houwing-Duistermaat, Jeanine J")</f>
        <v>Fuady, Angga M; van Roon-Mom, Willeke M C; Kiełbasa, Szymon M; Uh, Hae-Won; Houwing-Duistermaat, Jeanine J</v>
      </c>
      <c r="AE114" s="32">
        <f>IFERROR(__xludf.DUMMYFUNCTION("""COMPUTED_VALUE"""),44187.0)</f>
        <v>44187</v>
      </c>
      <c r="AF114" s="31" t="str">
        <f>IFERROR(__xludf.DUMMYFUNCTION("""COMPUTED_VALUE"""),"Is our destiny written in our genes? A sentence or an opportunity to prevent cardiovascular diseases?")</f>
        <v>Is our destiny written in our genes? A sentence or an opportunity to prevent cardiovascular diseases?</v>
      </c>
      <c r="AG114" s="31" t="str">
        <f>IFERROR(__xludf.DUMMYFUNCTION("""COMPUTED_VALUE"""),"Artola Arita, Vicente; Hernández Vargas, Juliana Alexandra; Franco, Oscar H")</f>
        <v>Artola Arita, Vicente; Hernández Vargas, Juliana Alexandra; Franco, Oscar H</v>
      </c>
      <c r="AH114" s="32">
        <f>IFERROR(__xludf.DUMMYFUNCTION("""COMPUTED_VALUE"""),45225.0)</f>
        <v>45225</v>
      </c>
      <c r="AI114" s="31" t="str">
        <f>IFERROR(__xludf.DUMMYFUNCTION("""COMPUTED_VALUE"""),"Primary care diagnostic and treatment pathways in Dutch women with urinary incontinence.")</f>
        <v>Primary care diagnostic and treatment pathways in Dutch women with urinary incontinence.</v>
      </c>
      <c r="AJ114" s="31" t="str">
        <f>IFERROR(__xludf.DUMMYFUNCTION("""COMPUTED_VALUE"""),"Schreuder, Miranda C; van Merode, Nadine A M; Oldenhof, Antal P; Groenhof, Feikje; Kortekaas, Marlous F; Maagdenberg, Hedy; van der Wouden, Johannes C; van der Worp, Henk; Blanker, Marco H")</f>
        <v>Schreuder, Miranda C; van Merode, Nadine A M; Oldenhof, Antal P; Groenhof, Feikje; Kortekaas, Marlous F; Maagdenberg, Hedy; van der Wouden, Johannes C; van der Worp, Henk; Blanker, Marco H</v>
      </c>
      <c r="AK114" s="32">
        <f>IFERROR(__xludf.DUMMYFUNCTION("""COMPUTED_VALUE"""),44610.0)</f>
        <v>44610</v>
      </c>
      <c r="AL114" s="31" t="str">
        <f>IFERROR(__xludf.DUMMYFUNCTION("""COMPUTED_VALUE"""),"A body shape index (ABSI) is associated inversely with post-menopausal progesterone-receptor-negative breast cancer risk in a large European cohort.")</f>
        <v>A body shape index (ABSI) is associated inversely with post-menopausal progesterone-receptor-negative breast cancer risk in a large European cohort.</v>
      </c>
      <c r="AM114" s="31" t="str">
        <f>IFERROR(__xludf.DUMMYFUNCTION("""COMPUTED_VALUE"""),"Christakoudi, Sofia; Tsilidis, Konstantinos K; Dossus, Laure; Rinaldi, Sabina; Weiderpass, Elisabete; Antoniussen, Christian S; Dahm, Christina C; Tjønneland, Anne; Mellemkjær, Lene; Katzke, Verena; Kaaks, Rudolf; Schulze, Matthias B; Masala, Giovanna; Gr"&amp;"ioni, Sara; Panico, Salvatore; Tumino, Rosario; Sacerdote, Carlotta; May, Anne M; Monninkhof, Evelyn M; Quirós, J Ramón; Bonet, Catalina; Sánchez, Maria-Jose; Amiano, Pilar; Chirlaque, María-Dolores; Guevara, Marcela; Rosendahl, Ann H; Stocks, Tanja; Pere"&amp;"z-Cornago, Aurora; Tin Tin, Sandar; Heath, Alicia K; Aglago, Elom K; Peruchet-Noray, Laia; Freisling, Heinz; Riboli, Elio")</f>
        <v>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v>
      </c>
      <c r="AN114" s="32">
        <f>IFERROR(__xludf.DUMMYFUNCTION("""COMPUTED_VALUE"""),45096.0)</f>
        <v>45096</v>
      </c>
    </row>
    <row r="115">
      <c r="A115" s="32"/>
      <c r="I115" s="31" t="str">
        <f>IFERROR(__xludf.DUMMYFUNCTION("""COMPUTED_VALUE"""),"endocrinology diabetes metabolism")</f>
        <v>endocrinology diabetes metabolism</v>
      </c>
      <c r="J115" s="38">
        <f>COUNTIF(Data!$F$2:$F9917, $I115)</f>
        <v>1</v>
      </c>
      <c r="T115" s="31" t="s">
        <v>25194</v>
      </c>
      <c r="U115" s="31" t="s">
        <v>25195</v>
      </c>
      <c r="V115" s="32">
        <v>45567.0</v>
      </c>
      <c r="X115" s="31" t="str">
        <f>IFERROR(__xludf.DUMMYFUNCTION("""COMPUTED_VALUE"""),"Symptomatic benefits of testosterone treatment in patient subgroups: a systematic review, individual participant data meta-analysis, and aggregate data meta-analysis.")</f>
        <v>Symptomatic benefits of testosterone treatment in patient subgroups: a systematic review, individual participant data meta-analysis, and aggregate data meta-analysis.</v>
      </c>
      <c r="Y115" s="31" t="str">
        <f>IFERROR(__xludf.DUMMYFUNCTION("""COMPUTED_VALUE"""),"Hudson, Jemma; Cruickshank, Moira; Quinton, Richard; Aucott, Lorna; Wu, Frederick; Grossmann, Mathis; Bhasin, Shalender; Snyder, Peter J; Ellenberg, Susan S; Travison, Thomas G; Brock, Gerald B; Gianatti, Emily J; van der Schouw, Yvonne T; Emmelot-Vonk, M"&amp;"arielle H; Giltay, Erik J; Hackett, Geoff; Ramachandran, Sudarshan; Svartberg, Johan; Hildreth, Kerry L; Antonic, Kristina Groti; Tenover, Joyce Lisa; Tan, Hui Meng; Ho Chee Kong, Christopher; Tan, Wei Shen; Marks, Leonard S; Ross, Richard J; Schwartz, Ro"&amp;"bert S; Manson, Paul; Roberts, Stephen A; Skovsager Andersen, Marianne; Velling Magnussen, Line; Aceves-Martins, Magaly; Gillies, Katie; Hernández, Rodolfo; Oliver, Nick; Dhillo, Waljit S; Bhattacharya, Siladitya; Brazzelli, Miriam; Jayasena, Channa N")</f>
        <v>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v>
      </c>
      <c r="Z115" s="31">
        <f>IFERROR(__xludf.DUMMYFUNCTION("""COMPUTED_VALUE"""),2023.0)</f>
        <v>2023</v>
      </c>
      <c r="AA115" s="31">
        <f>IFERROR(__xludf.DUMMYFUNCTION("""COMPUTED_VALUE"""),4.0)</f>
        <v>4</v>
      </c>
      <c r="AC115" s="31" t="str">
        <f>IFERROR(__xludf.DUMMYFUNCTION("""COMPUTED_VALUE"""),"Vaccines safety and maternal knowledge for enhanced maternal immunization acceptability in rural Uganda: A qualitative study approach.")</f>
        <v>Vaccines safety and maternal knowledge for enhanced maternal immunization acceptability in rural Uganda: A qualitative study approach.</v>
      </c>
      <c r="AD115" s="31" t="str">
        <f>IFERROR(__xludf.DUMMYFUNCTION("""COMPUTED_VALUE"""),"Kajungu, Dan; Muhoozi, Michael; Stark, James; Weibel, Daniel; Sturkenboom, Miriam C J M")</f>
        <v>Kajungu, Dan; Muhoozi, Michael; Stark, James; Weibel, Daniel; Sturkenboom, Miriam C J M</v>
      </c>
      <c r="AE115" s="32">
        <f>IFERROR(__xludf.DUMMYFUNCTION("""COMPUTED_VALUE"""),44175.0)</f>
        <v>44175</v>
      </c>
      <c r="AF115" s="31" t="str">
        <f>IFERROR(__xludf.DUMMYFUNCTION("""COMPUTED_VALUE"""),"Potential determinants of antibody responses after vaccination against SARS-CoV-2 in older persons: the Doetinchem Cohort Study.")</f>
        <v>Potential determinants of antibody responses after vaccination against SARS-CoV-2 in older persons: the Doetinchem Cohort Study.</v>
      </c>
      <c r="AG115" s="31" t="str">
        <f>IFERROR(__xludf.DUMMYFUNCTION("""COMPUTED_VALUE"""),"Kuijpers, Yunus; Picavet, H Susan J; de Rond, Lia; de Zeeuw-Brouwer, Mary-Lène; Rutkens, Ryanne; Gijsbers, Esther; Slits, Irene; Engelfriet, Peter; Buisman, Anne-Marie; Verschuren, W M Monique")</f>
        <v>Kuijpers, Yunus; Picavet, H Susan J; de Rond, Lia; de Zeeuw-Brouwer, Mary-Lène; Rutkens, Ryanne; Gijsbers, Esther; Slits, Irene; Engelfriet, Peter; Buisman, Anne-Marie; Verschuren, W M Monique</v>
      </c>
      <c r="AH115" s="32">
        <f>IFERROR(__xludf.DUMMYFUNCTION("""COMPUTED_VALUE"""),45224.0)</f>
        <v>45224</v>
      </c>
      <c r="AI115" s="31" t="str">
        <f>IFERROR(__xludf.DUMMYFUNCTION("""COMPUTED_VALUE"""),"Insight into the content of and experiences with follow-up conversations with bereaved parents in paediatrics: A systematic review.")</f>
        <v>Insight into the content of and experiences with follow-up conversations with bereaved parents in paediatrics: A systematic review.</v>
      </c>
      <c r="AJ115" s="31" t="str">
        <f>IFERROR(__xludf.DUMMYFUNCTION("""COMPUTED_VALUE"""),"van Kempen, Merel M; Kochen, Eline M; Kars, Marijke C")</f>
        <v>van Kempen, Merel M; Kochen, Eline M; Kars, Marijke C</v>
      </c>
      <c r="AK115" s="32">
        <f>IFERROR(__xludf.DUMMYFUNCTION("""COMPUTED_VALUE"""),44599.0)</f>
        <v>44599</v>
      </c>
      <c r="AL115" s="31" t="str">
        <f>IFERROR(__xludf.DUMMYFUNCTION("""COMPUTED_VALUE"""),"Evolutionary implications of SARS-CoV-2 vaccination for the future design of vaccination strategies.")</f>
        <v>Evolutionary implications of SARS-CoV-2 vaccination for the future design of vaccination strategies.</v>
      </c>
      <c r="AM115" s="31" t="str">
        <f>IFERROR(__xludf.DUMMYFUNCTION("""COMPUTED_VALUE"""),"Rouzine, Igor M; Rozhnova, Ganna")</f>
        <v>Rouzine, Igor M; Rozhnova, Ganna</v>
      </c>
      <c r="AN115" s="32">
        <f>IFERROR(__xludf.DUMMYFUNCTION("""COMPUTED_VALUE"""),45096.0)</f>
        <v>45096</v>
      </c>
    </row>
    <row r="116">
      <c r="A116" s="32"/>
      <c r="I116" s="31" t="str">
        <f>IFERROR(__xludf.DUMMYFUNCTION("""COMPUTED_VALUE"""),"euro surveillance bulletin europeen sur les maladies transmissibles european communicable disease bulletin")</f>
        <v>euro surveillance bulletin europeen sur les maladies transmissibles european communicable disease bulletin</v>
      </c>
      <c r="J116" s="38">
        <f>COUNTIF(Data!$F$2:$F9917, $I116)</f>
        <v>4</v>
      </c>
      <c r="T116" s="31" t="s">
        <v>24864</v>
      </c>
      <c r="U116" s="31" t="s">
        <v>24865</v>
      </c>
      <c r="V116" s="32">
        <v>45566.0</v>
      </c>
      <c r="X116" s="31" t="str">
        <f>IFERROR(__xludf.DUMMYFUNCTION("""COMPUTED_VALUE"""),"A roadmap for sex- and gender-disaggregated health research.")</f>
        <v>A roadmap for sex- and gender-disaggregated health research.</v>
      </c>
      <c r="Y116" s="31" t="str">
        <f>IFERROR(__xludf.DUMMYFUNCTION("""COMPUTED_VALUE"""),"Peters, Sanne A E; Woodward, Mark")</f>
        <v>Peters, Sanne A E; Woodward, Mark</v>
      </c>
      <c r="Z116" s="31">
        <f>IFERROR(__xludf.DUMMYFUNCTION("""COMPUTED_VALUE"""),2023.0)</f>
        <v>2023</v>
      </c>
      <c r="AA116" s="31">
        <f>IFERROR(__xludf.DUMMYFUNCTION("""COMPUTED_VALUE"""),4.0)</f>
        <v>4</v>
      </c>
      <c r="AC116" s="31"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AD116" s="31"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AE116" s="32">
        <f>IFERROR(__xludf.DUMMYFUNCTION("""COMPUTED_VALUE"""),44166.0)</f>
        <v>44166</v>
      </c>
      <c r="AF116" s="31" t="str">
        <f>IFERROR(__xludf.DUMMYFUNCTION("""COMPUTED_VALUE"""),"Per- and polyfluoroalkyl substances (PFAS) exposure and thyroid cancer risk.")</f>
        <v>Per- and polyfluoroalkyl substances (PFAS) exposure and thyroid cancer risk.</v>
      </c>
      <c r="AG116" s="31" t="str">
        <f>IFERROR(__xludf.DUMMYFUNCTION("""COMPUTED_VALUE"""),"van Gerwen, Maaike; Colicino, Elena; Guan, Haibin; Dolios, Georgia; Nadkarni, Girish N; Vermeulen, Roel C H; Wolff, Mary S; Arora, Manish; Genden, Eric M; Petrick, Lauren M")</f>
        <v>van Gerwen, Maaike; Colicino, Elena; Guan, Haibin; Dolios, Georgia; Nadkarni, Girish N; Vermeulen, Roel C H; Wolff, Mary S; Arora, Manish; Genden, Eric M; Petrick, Lauren M</v>
      </c>
      <c r="AH116" s="32">
        <f>IFERROR(__xludf.DUMMYFUNCTION("""COMPUTED_VALUE"""),45223.0)</f>
        <v>45223</v>
      </c>
      <c r="AI116" s="31" t="str">
        <f>IFERROR(__xludf.DUMMYFUNCTION("""COMPUTED_VALUE"""),"I'll put up with things for a long time before I need to call anybody': Face work, the Total Institution and the perpetuation of care inequalities.")</f>
        <v>I'll put up with things for a long time before I need to call anybody': Face work, the Total Institution and the perpetuation of care inequalities.</v>
      </c>
      <c r="AJ116" s="31" t="str">
        <f>IFERROR(__xludf.DUMMYFUNCTION("""COMPUTED_VALUE"""),"Hope, Jo; Schoonhoven, Lisette; Griffiths, Peter; Gould, Lisa; Bridges, Jackie")</f>
        <v>Hope, Jo; Schoonhoven, Lisette; Griffiths, Peter; Gould, Lisa; Bridges, Jackie</v>
      </c>
      <c r="AK116" s="32">
        <f>IFERROR(__xludf.DUMMYFUNCTION("""COMPUTED_VALUE"""),44586.0)</f>
        <v>44586</v>
      </c>
      <c r="AL116" s="31" t="str">
        <f>IFERROR(__xludf.DUMMYFUNCTION("""COMPUTED_VALUE"""),"Effect of Hemodiafiltration or Hemodialysis on Mortality in Kidney Failure.")</f>
        <v>Effect of Hemodiafiltration or Hemodialysis on Mortality in Kidney Failure.</v>
      </c>
      <c r="AM116" s="31" t="str">
        <f>IFERROR(__xludf.DUMMYFUNCTION("""COMPUTED_VALUE"""),"Blankestijn, Peter J; Vernooij, Robin W M; Hockham, Carinna; Strippoli, Giovanni F M; Canaud, Bernard; Hegbrant, Jörgen; Barth, Claudia; Covic, Adrian; Cromm, Krister; Cucui, Andrea; Davenport, Andrew; Rose, Matthias; Török, Marietta; Woodward, Mark; Bots"&amp;", Michiel L; ,")</f>
        <v>Blankestijn, Peter J; Vernooij, Robin W M; Hockham, Carinna; Strippoli, Giovanni F M; Canaud, Bernard; Hegbrant, Jörgen; Barth, Claudia; Covic, Adrian; Cromm, Krister; Cucui, Andrea; Davenport, Andrew; Rose, Matthias; Török, Marietta; Woodward, Mark; Bots, Michiel L; ,</v>
      </c>
      <c r="AN116" s="32">
        <f>IFERROR(__xludf.DUMMYFUNCTION("""COMPUTED_VALUE"""),45093.0)</f>
        <v>45093</v>
      </c>
    </row>
    <row r="117">
      <c r="A117" s="32"/>
      <c r="I117" s="31" t="str">
        <f>IFERROR(__xludf.DUMMYFUNCTION("""COMPUTED_VALUE"""),"age and ageing")</f>
        <v>age and ageing</v>
      </c>
      <c r="J117" s="38">
        <f>COUNTIF(Data!$F$2:$F9917, $I117)</f>
        <v>10</v>
      </c>
      <c r="T117" s="31" t="s">
        <v>25026</v>
      </c>
      <c r="U117" s="31" t="s">
        <v>25027</v>
      </c>
      <c r="V117" s="32">
        <v>45566.0</v>
      </c>
      <c r="X117" s="31" t="str">
        <f>IFERROR(__xludf.DUMMYFUNCTION("""COMPUTED_VALUE"""),"Microvascular endothelial dysfunction in skin is associated with higher risk of heart failure with preserved ejection fraction in women with type 2 diabetes: the Hoorn Diabetes Care System Cohort.")</f>
        <v>Microvascular endothelial dysfunction in skin is associated with higher risk of heart failure with preserved ejection fraction in women with type 2 diabetes: the Hoorn Diabetes Care System Cohort.</v>
      </c>
      <c r="Y117" s="31" t="str">
        <f>IFERROR(__xludf.DUMMYFUNCTION("""COMPUTED_VALUE"""),"Canto, Elisa Dal; van Deursen, L; Hoek, A G; Elders, P J M; den Ruijter, H M; van der Velden, J; van Empel, V; Serné, E H; Eringa, E C; Beulens, J W J")</f>
        <v>Canto, Elisa Dal; van Deursen, L; Hoek, A G; Elders, P J M; den Ruijter, H M; van der Velden, J; van Empel, V; Serné, E H; Eringa, E C; Beulens, J W J</v>
      </c>
      <c r="Z117" s="31">
        <f>IFERROR(__xludf.DUMMYFUNCTION("""COMPUTED_VALUE"""),2023.0)</f>
        <v>2023</v>
      </c>
      <c r="AA117" s="31">
        <f>IFERROR(__xludf.DUMMYFUNCTION("""COMPUTED_VALUE"""),4.0)</f>
        <v>4</v>
      </c>
      <c r="AC117" s="31" t="str">
        <f>IFERROR(__xludf.DUMMYFUNCTION("""COMPUTED_VALUE"""),"How to ensure we can track and trace global use of COVID-19 vaccines?")</f>
        <v>How to ensure we can track and trace global use of COVID-19 vaccines?</v>
      </c>
      <c r="AD117" s="31" t="str">
        <f>IFERROR(__xludf.DUMMYFUNCTION("""COMPUTED_VALUE"""),"Vander Stichele, Robert H; Hay, Christian; Fladvad, Malin; Sturkenboom, Miriam C J M; Chen, Robert T")</f>
        <v>Vander Stichele, Robert H; Hay, Christian; Fladvad, Malin; Sturkenboom, Miriam C J M; Chen, Robert T</v>
      </c>
      <c r="AE117" s="32">
        <f>IFERROR(__xludf.DUMMYFUNCTION("""COMPUTED_VALUE"""),44159.0)</f>
        <v>44159</v>
      </c>
      <c r="AF117" s="31" t="str">
        <f>IFERROR(__xludf.DUMMYFUNCTION("""COMPUTED_VALUE"""),"Cardiovascular disease prevention: Community Based Asset Mapping within religious networks in a rural Sub-Saharan African neighbourhood.")</f>
        <v>Cardiovascular disease prevention: Community Based Asset Mapping within religious networks in a rural Sub-Saharan African neighbourhood.</v>
      </c>
      <c r="AG117" s="31" t="str">
        <f>IFERROR(__xludf.DUMMYFUNCTION("""COMPUTED_VALUE"""),"Willis, Andrew; Chatio, Samuel; Darko, Natalie; Nonterah, Engelbert A; Zakariah-Akoto, Sawudatu; Alale, Joseph; Jones, Ceri R; Curtis, Ffion; Kunutsor, Setor; Ansah, Patrick O; Seidu, Sam")</f>
        <v>Willis, Andrew; Chatio, Samuel; Darko, Natalie; Nonterah, Engelbert A; Zakariah-Akoto, Sawudatu; Alale, Joseph; Jones, Ceri R; Curtis, Ffion; Kunutsor, Setor; Ansah, Patrick O; Seidu, Sam</v>
      </c>
      <c r="AH117" s="32">
        <f>IFERROR(__xludf.DUMMYFUNCTION("""COMPUTED_VALUE"""),45219.0)</f>
        <v>45219</v>
      </c>
      <c r="AI117" s="31" t="str">
        <f>IFERROR(__xludf.DUMMYFUNCTION("""COMPUTED_VALUE"""),"The Impact of COVID-19 from the Perspectives of Dutch District Nurses: A Mixed-Methods Study.")</f>
        <v>The Impact of COVID-19 from the Perspectives of Dutch District Nurses: A Mixed-Methods Study.</v>
      </c>
      <c r="AJ117" s="31" t="str">
        <f>IFERROR(__xludf.DUMMYFUNCTION("""COMPUTED_VALUE"""),"Veldhuizen, Jessica D; Zwakhalen, Sandra; Buurman, Bianca M; Bleijenberg, Nienke")</f>
        <v>Veldhuizen, Jessica D; Zwakhalen, Sandra; Buurman, Bianca M; Bleijenberg, Nienke</v>
      </c>
      <c r="AK117" s="32">
        <f>IFERROR(__xludf.DUMMYFUNCTION("""COMPUTED_VALUE"""),44546.0)</f>
        <v>44546</v>
      </c>
      <c r="AL117" s="31" t="str">
        <f>IFERROR(__xludf.DUMMYFUNCTION("""COMPUTED_VALUE"""),"Temporal Trends and Determinants of Stroke Risk in Patients With Medically Treated Asymptomatic Carotid Stenosis.")</f>
        <v>Temporal Trends and Determinants of Stroke Risk in Patients With Medically Treated Asymptomatic Carotid Stenosis.</v>
      </c>
      <c r="AM117" s="31" t="str">
        <f>IFERROR(__xludf.DUMMYFUNCTION("""COMPUTED_VALUE"""),"Poorthuis, Michiel H F; Solomon, Yoel; Herings, Reinier A R; Visseren, Frank L J; Kappelle, L Jaap; Bots, Michiel L; Rissanen, Ina; de Borst, Gert J")</f>
        <v>Poorthuis, Michiel H F; Solomon, Yoel; Herings, Reinier A R; Visseren, Frank L J; Kappelle, L Jaap; Bots, Michiel L; Rissanen, Ina; de Borst, Gert J</v>
      </c>
      <c r="AN117" s="32">
        <f>IFERROR(__xludf.DUMMYFUNCTION("""COMPUTED_VALUE"""),45090.0)</f>
        <v>45090</v>
      </c>
    </row>
    <row r="118">
      <c r="A118" s="32"/>
      <c r="I118" s="31" t="str">
        <f>IFERROR(__xludf.DUMMYFUNCTION("""COMPUTED_VALUE"""),"clinical gastroenterology and hepatology the official clinical practice journal of the american gastroenterological association")</f>
        <v>clinical gastroenterology and hepatology the official clinical practice journal of the american gastroenterological association</v>
      </c>
      <c r="J118" s="38">
        <f>COUNTIF(Data!$F$2:$F9917, $I118)</f>
        <v>3</v>
      </c>
      <c r="T118" s="31" t="s">
        <v>25490</v>
      </c>
      <c r="U118" s="31" t="s">
        <v>25491</v>
      </c>
      <c r="V118" s="32">
        <v>45566.0</v>
      </c>
      <c r="X118" s="31" t="str">
        <f>IFERROR(__xludf.DUMMYFUNCTION("""COMPUTED_VALUE"""),"Depression, anxiety, and the risk of cancer: An individual participant data meta-analysis.")</f>
        <v>Depression, anxiety, and the risk of cancer: An individual participant data meta-analysis.</v>
      </c>
      <c r="Y118" s="31" t="str">
        <f>IFERROR(__xludf.DUMMYFUNCTION("""COMPUTED_VALUE"""),"van Tuijl, Lonneke A; Basten, Maartje; Pan, Kuan-Yu; Vermeulen, Roel; Portengen, Lützen; de Graeff, Alexander; Dekker, Joost; Geerlings, Mirjam I; Hoogendoorn, Adriaan; Lamers, Femke; Voogd, Adri C; Abell, Jessica; Awadalla, Philip; Beekman, Aartjan T F; "&amp;"Bjerkeset, Ottar; Boyd, Andy; Cui, Yunsong; Frank, Philipp; Galenkamp, Henrike; Garssen, Bert; Hellingman, Sean; Huisman, Martijn; Huss, Anke; de Jong, Trynke R; Keats, Melanie R; Kok, Almar A L; Krokstad, Steinar; van Leeuwen, Flora E; Luik, Annemarie I;"&amp;" Noisel, Nolwenn; Onland-Moret, N Charlotte; Payette, Yves; Penninx, Brenda W J H; Rissanen, Ina; Roest, Annelieke M; Ruiter, Rikje; Schoevers, Robert A; Soave, David; Spaan, Mandy; Steptoe, Andrew; Stronks, Karien; Sund, Erik R; Sweeney, Ellen; Twait, Em"&amp;"ma L; Teyhan, Alison; Verschuren, W M Monique; van der Willik, Kimberly D; Rosmalen, Judith G M; Ranchor, Adelita V")</f>
        <v>van Tuijl, Lonneke A; Basten, Maartje; Pan, Kuan-Yu; Vermeulen, Roel; Portengen, Lützen; de Graeff, Alexander; Dekker, Joost; Geerlings, Mirjam I; Hoogendoorn, Adriaan; Lamers, Femke; Voogd, Adri C; Abell, Jessica; Awadalla, Philip; Beekman, Aartjan T F; Bjerkeset, Ottar; Boyd, Andy; Cui, Yunsong; Frank, Philipp; Galenkamp, Henrike; Garssen, Bert; Hellingman, Sean; Huisman, Martijn; Huss, Anke; de Jong, Trynke R; Keats, Melanie R; Kok, Almar A L; Krokstad, Steinar; van Leeuwen, Flora E; Luik, Annemarie I; Noisel, Nolwenn; Onland-Moret, N Charlotte; Payette, Yves; Penninx, Brenda W J H; Rissanen, Ina; Roest, Annelieke M; Ruiter, Rikje; Schoevers, Robert A; Soave, David; Spaan, Mandy; Steptoe, Andrew; Stronks, Karien; Sund, Erik R; Sweeney, Ellen; Twait, Emma L; Teyhan, Alison; Verschuren, W M Monique; van der Willik, Kimberly D; Rosmalen, Judith G M; Ranchor, Adelita V</v>
      </c>
      <c r="Z118" s="31">
        <f>IFERROR(__xludf.DUMMYFUNCTION("""COMPUTED_VALUE"""),2023.0)</f>
        <v>2023</v>
      </c>
      <c r="AA118" s="31">
        <f>IFERROR(__xludf.DUMMYFUNCTION("""COMPUTED_VALUE"""),4.0)</f>
        <v>4</v>
      </c>
      <c r="AC118" s="31" t="str">
        <f>IFERROR(__xludf.DUMMYFUNCTION("""COMPUTED_VALUE"""),"Urinary Melatonin in Relation to Breast Cancer Risk: Nested Case-Control Analysis in the DOM Study and Meta-analysis of Prospective Studies.")</f>
        <v>Urinary Melatonin in Relation to Breast Cancer Risk: Nested Case-Control Analysis in the DOM Study and Meta-analysis of Prospective Studies.</v>
      </c>
      <c r="AD118" s="31" t="str">
        <f>IFERROR(__xludf.DUMMYFUNCTION("""COMPUTED_VALUE"""),"Wong, Angel T Y; Fensom, Georgina K; Key, Timothy J; Onland-Moret, N Charlotte; Tong, Tammy Y N; Travis, Ruth C")</f>
        <v>Wong, Angel T Y; Fensom, Georgina K; Key, Timothy J; Onland-Moret, N Charlotte; Tong, Tammy Y N; Travis, Ruth C</v>
      </c>
      <c r="AE118" s="32">
        <f>IFERROR(__xludf.DUMMYFUNCTION("""COMPUTED_VALUE"""),44138.0)</f>
        <v>44138</v>
      </c>
      <c r="AF118" s="31" t="str">
        <f>IFERROR(__xludf.DUMMYFUNCTION("""COMPUTED_VALUE"""),"Sex differences in risk factors for incident peripheral artery disease hospitalisation or death: Cohort study of UK Biobank participants.")</f>
        <v>Sex differences in risk factors for incident peripheral artery disease hospitalisation or death: Cohort study of UK Biobank participants.</v>
      </c>
      <c r="AG118" s="31" t="str">
        <f>IFERROR(__xludf.DUMMYFUNCTION("""COMPUTED_VALUE"""),"Xu, Ying; Harris, Katie; Pouncey, Anna Louise; Carcel, Cheryl; Low, Gary; Peters, Sanne A E; Woodward, Mark")</f>
        <v>Xu, Ying; Harris, Katie; Pouncey, Anna Louise; Carcel, Cheryl; Low, Gary; Peters, Sanne A E; Woodward, Mark</v>
      </c>
      <c r="AH118" s="32">
        <f>IFERROR(__xludf.DUMMYFUNCTION("""COMPUTED_VALUE"""),45217.0)</f>
        <v>45217</v>
      </c>
      <c r="AI118" s="31" t="str">
        <f>IFERROR(__xludf.DUMMYFUNCTION("""COMPUTED_VALUE"""),"Common Infections and Antibiotic Prescribing during the First Year of the COVID-19 Pandemic: A Primary Care-Based Observational Cohort Study.")</f>
        <v>Common Infections and Antibiotic Prescribing during the First Year of the COVID-19 Pandemic: A Primary Care-Based Observational Cohort Study.</v>
      </c>
      <c r="AJ118" s="31" t="str">
        <f>IFERROR(__xludf.DUMMYFUNCTION("""COMPUTED_VALUE"""),"Boeijen, Josi A; van der Velden, Alike W; Hullegie, Saskia; Platteel, Tamara N; Zwart, Dorien L M; Damoiseaux, Roger A M J; Venekamp, Roderick P; van de Pol, Alma C")</f>
        <v>Boeijen, Josi A; van der Velden, Alike W; Hullegie, Saskia; Platteel, Tamara N; Zwart, Dorien L M; Damoiseaux, Roger A M J; Venekamp, Roderick P; van de Pol, Alma C</v>
      </c>
      <c r="AK118" s="32">
        <f>IFERROR(__xludf.DUMMYFUNCTION("""COMPUTED_VALUE"""),44543.0)</f>
        <v>44543</v>
      </c>
      <c r="AL118" s="31" t="str">
        <f>IFERROR(__xludf.DUMMYFUNCTION("""COMPUTED_VALUE"""),"Effect of COVID-19 vaccination on mortality by COVID-19 and on mortality by other causes, the Netherlands, January 2021-January 2022.")</f>
        <v>Effect of COVID-19 vaccination on mortality by COVID-19 and on mortality by other causes, the Netherlands, January 2021-January 2022.</v>
      </c>
      <c r="AM118" s="31" t="str">
        <f>IFERROR(__xludf.DUMMYFUNCTION("""COMPUTED_VALUE"""),"de Gier, Brechje; van Asten, Liselotte; Boere, Tjarda M; van Roon, Annika; van Roekel, Caren; Pijpers, Joyce; van Werkhoven, C H Henri; van den Ende, Caroline; Hahné, Susan J M; de Melker, Hester E; Knol, Mirjam J; van den Hof, Susan")</f>
        <v>de Gier, Brechje; van Asten, Liselotte; Boere, Tjarda M; van Roon, Annika; van Roekel, Caren; Pijpers, Joyce; van Werkhoven, C H Henri; van den Ende, Caroline; Hahné, Susan J M; de Melker, Hester E; Knol, Mirjam J; van den Hof, Susan</v>
      </c>
      <c r="AN118" s="32">
        <f>IFERROR(__xludf.DUMMYFUNCTION("""COMPUTED_VALUE"""),45085.0)</f>
        <v>45085</v>
      </c>
    </row>
    <row r="119">
      <c r="A119" s="32"/>
      <c r="I119" s="31" t="str">
        <f>IFERROR(__xludf.DUMMYFUNCTION("""COMPUTED_VALUE"""),"open forum infectious diseases")</f>
        <v>open forum infectious diseases</v>
      </c>
      <c r="J119" s="38">
        <f>COUNTIF(Data!$F$2:$F9917, $I119)</f>
        <v>5</v>
      </c>
      <c r="T119" s="31" t="s">
        <v>25722</v>
      </c>
      <c r="U119" s="31" t="s">
        <v>25723</v>
      </c>
      <c r="V119" s="32">
        <v>45566.0</v>
      </c>
      <c r="X119" s="31"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Y119" s="31" t="str">
        <f>IFERROR(__xludf.DUMMYFUNCTION("""COMPUTED_VALUE"""),"Ma, Jie; Dhiman, Paula; Qi, Cathy; Bullock, Garrett; van Smeden, Maarten; Riley, Richard D; Collins, Gary S")</f>
        <v>Ma, Jie; Dhiman, Paula; Qi, Cathy; Bullock, Garrett; van Smeden, Maarten; Riley, Richard D; Collins, Gary S</v>
      </c>
      <c r="Z119" s="31">
        <f>IFERROR(__xludf.DUMMYFUNCTION("""COMPUTED_VALUE"""),2023.0)</f>
        <v>2023</v>
      </c>
      <c r="AA119" s="31">
        <f>IFERROR(__xludf.DUMMYFUNCTION("""COMPUTED_VALUE"""),4.0)</f>
        <v>4</v>
      </c>
      <c r="AC119" s="31" t="str">
        <f>IFERROR(__xludf.DUMMYFUNCTION("""COMPUTED_VALUE"""),"Increasing Fusion Rate Between 1 and 2 Years After Instrumented Posterolateral Spinal Fusion and the Role of Bone Grafting.")</f>
        <v>Increasing Fusion Rate Between 1 and 2 Years After Instrumented Posterolateral Spinal Fusion and the Role of Bone Grafting.</v>
      </c>
      <c r="AD119" s="31" t="str">
        <f>IFERROR(__xludf.DUMMYFUNCTION("""COMPUTED_VALUE"""),"Lehr, A Mechteld; Oner, F Cumhur; Delawi, Diyar; Stellato, Rebecca K; Hoebink, Eric A; Kempen, Diederik H R; van Susante, Job L C; Castelein, René M; Kruyt, Moyo C; ,")</f>
        <v>Lehr, A Mechteld; Oner, F Cumhur; Delawi, Diyar; Stellato, Rebecca K; Hoebink, Eric A; Kempen, Diederik H R; van Susante, Job L C; Castelein, René M; Kruyt, Moyo C; ,</v>
      </c>
      <c r="AE119" s="32">
        <f>IFERROR(__xludf.DUMMYFUNCTION("""COMPUTED_VALUE"""),44119.0)</f>
        <v>44119</v>
      </c>
      <c r="AF119" s="31" t="str">
        <f>IFERROR(__xludf.DUMMYFUNCTION("""COMPUTED_VALUE"""),"The effect of the urban exposome on COVID-19 health outcomes: A systematic review and meta-analysis.")</f>
        <v>The effect of the urban exposome on COVID-19 health outcomes: A systematic review and meta-analysis.</v>
      </c>
      <c r="AG119" s="31" t="str">
        <f>IFERROR(__xludf.DUMMYFUNCTION("""COMPUTED_VALUE"""),"Houweling, Laura; Maitland-Van der Zee, Anke-Hilse; Holtjer, Judith C S; Bazdar, Somayeh; Vermeulen, Roel C H; Downward, George S; Bloemsma, Lizan D")</f>
        <v>Houweling, Laura; Maitland-Van der Zee, Anke-Hilse; Holtjer, Judith C S; Bazdar, Somayeh; Vermeulen, Roel C H; Downward, George S; Bloemsma, Lizan D</v>
      </c>
      <c r="AH119" s="32">
        <f>IFERROR(__xludf.DUMMYFUNCTION("""COMPUTED_VALUE"""),45216.0)</f>
        <v>45216</v>
      </c>
      <c r="AI119" s="31" t="str">
        <f>IFERROR(__xludf.DUMMYFUNCTION("""COMPUTED_VALUE"""),"Reporting of pressure ulcers and medical device related pressure ulcers in policy and practice: A narrative literature review.")</f>
        <v>Reporting of pressure ulcers and medical device related pressure ulcers in policy and practice: A narrative literature review.</v>
      </c>
      <c r="AJ119" s="31" t="str">
        <f>IFERROR(__xludf.DUMMYFUNCTION("""COMPUTED_VALUE"""),"Crunden, Ewa A; Schoonhoven, Lisette; Coleman, Susanne B; Worsley, Peter R")</f>
        <v>Crunden, Ewa A; Schoonhoven, Lisette; Coleman, Susanne B; Worsley, Peter R</v>
      </c>
      <c r="AK119" s="32">
        <f>IFERROR(__xludf.DUMMYFUNCTION("""COMPUTED_VALUE"""),44541.0)</f>
        <v>44541</v>
      </c>
      <c r="AL119" s="31" t="str">
        <f>IFERROR(__xludf.DUMMYFUNCTION("""COMPUTED_VALUE"""),"Association between low fetal fraction in cell-free DNA screening and fetal chromosomal aberrations: A systematic review and meta-analysis.")</f>
        <v>Association between low fetal fraction in cell-free DNA screening and fetal chromosomal aberrations: A systematic review and meta-analysis.</v>
      </c>
      <c r="AM119" s="31" t="str">
        <f>IFERROR(__xludf.DUMMYFUNCTION("""COMPUTED_VALUE"""),"Becking, Ellis C; Schuit, Ewoud; van Baar de Knegt, Sophie M E; Sistermans, Erik A; Henneman, Lidewij; Bekker, Mireille N; Scheffer, Peter G")</f>
        <v>Becking, Ellis C; Schuit, Ewoud; van Baar de Knegt, Sophie M E; Sistermans, Erik A; Henneman, Lidewij; Bekker, Mireille N; Scheffer, Peter G</v>
      </c>
      <c r="AN119" s="32">
        <f>IFERROR(__xludf.DUMMYFUNCTION("""COMPUTED_VALUE"""),45063.0)</f>
        <v>45063</v>
      </c>
    </row>
    <row r="120">
      <c r="A120" s="32"/>
      <c r="I120" s="31" t="str">
        <f>IFERROR(__xludf.DUMMYFUNCTION("""COMPUTED_VALUE"""),"journal of experimental clinical cancer research cr")</f>
        <v>journal of experimental clinical cancer research cr</v>
      </c>
      <c r="J120" s="38">
        <f>COUNTIF(Data!$F$2:$F9917, $I120)</f>
        <v>1</v>
      </c>
      <c r="T120" s="31" t="s">
        <v>25836</v>
      </c>
      <c r="U120" s="31" t="s">
        <v>25837</v>
      </c>
      <c r="V120" s="32">
        <v>45566.0</v>
      </c>
      <c r="X120" s="31" t="str">
        <f>IFERROR(__xludf.DUMMYFUNCTION("""COMPUTED_VALUE"""),"The healthy beverage index is not associated with insulin resistance, prediabetes and type 2 diabetes risk in the Rotterdam Study.")</f>
        <v>The healthy beverage index is not associated with insulin resistance, prediabetes and type 2 diabetes risk in the Rotterdam Study.</v>
      </c>
      <c r="Y120" s="31" t="str">
        <f>IFERROR(__xludf.DUMMYFUNCTION("""COMPUTED_VALUE"""),"Jacobo Cejudo, Maria G; Ochoa-Rosales, Carolina; Ahmadizar, Fariba; Kavousi, Maryam; Geleijnse, Johanna M; Voortman, Trudy")</f>
        <v>Jacobo Cejudo, Maria G; Ochoa-Rosales, Carolina; Ahmadizar, Fariba; Kavousi, Maryam; Geleijnse, Johanna M; Voortman, Trudy</v>
      </c>
      <c r="Z120" s="31">
        <f>IFERROR(__xludf.DUMMYFUNCTION("""COMPUTED_VALUE"""),2023.0)</f>
        <v>2023</v>
      </c>
      <c r="AA120" s="31">
        <f>IFERROR(__xludf.DUMMYFUNCTION("""COMPUTED_VALUE"""),4.0)</f>
        <v>4</v>
      </c>
      <c r="AC120" s="31"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AD120" s="31"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AE120" s="32">
        <f>IFERROR(__xludf.DUMMYFUNCTION("""COMPUTED_VALUE"""),44089.0)</f>
        <v>44089</v>
      </c>
      <c r="AF120" s="31" t="str">
        <f>IFERROR(__xludf.DUMMYFUNCTION("""COMPUTED_VALUE"""),"Personalized 3D printed scaffolds: The ethical aspects.")</f>
        <v>Personalized 3D printed scaffolds: The ethical aspects.</v>
      </c>
      <c r="AG120" s="31" t="str">
        <f>IFERROR(__xludf.DUMMYFUNCTION("""COMPUTED_VALUE"""),"van Daal, Manon; de Kanter, Anne-Floor J; Bredenoord, Annelien L; de Graeff, Nienke")</f>
        <v>van Daal, Manon; de Kanter, Anne-Floor J; Bredenoord, Annelien L; de Graeff, Nienke</v>
      </c>
      <c r="AH120" s="32">
        <f>IFERROR(__xludf.DUMMYFUNCTION("""COMPUTED_VALUE"""),45214.0)</f>
        <v>45214</v>
      </c>
      <c r="AI120" s="31" t="str">
        <f>IFERROR(__xludf.DUMMYFUNCTION("""COMPUTED_VALUE"""),"Does C-reactive protein predict time to recovery and benefit from oseltamivir treatment in primary care patients with influenza-like illness? A randomized controlled trial secondary analysis.")</f>
        <v>Does C-reactive protein predict time to recovery and benefit from oseltamivir treatment in primary care patients with influenza-like illness? A randomized controlled trial secondary analysis.</v>
      </c>
      <c r="AJ120" s="31" t="str">
        <f>IFERROR(__xludf.DUMMYFUNCTION("""COMPUTED_VALUE"""),"Harbin, Nicolay Jonassen; Rystedt, Karin; Lindbaek, Morten; Radzeviciene, Ruta; Westin, Johan; Gunnarsson, Ronny; Butler, Christopher C; van der Velden, Alike W; Verheij, Theo J; Sundvall, Pär-Daniel")</f>
        <v>Harbin, Nicolay Jonassen; Rystedt, Karin; Lindbaek, Morten; Radzeviciene, Ruta; Westin, Johan; Gunnarsson, Ronny; Butler, Christopher C; van der Velden, Alike W; Verheij, Theo J; Sundvall, Pär-Daniel</v>
      </c>
      <c r="AK120" s="32">
        <f>IFERROR(__xludf.DUMMYFUNCTION("""COMPUTED_VALUE"""),44531.0)</f>
        <v>44531</v>
      </c>
      <c r="AL120" s="31" t="str">
        <f>IFERROR(__xludf.DUMMYFUNCTION("""COMPUTED_VALUE"""),"Cross-sectional health centre and community-based evaluation of the impact of pneumococcal and malaria vaccination on antibiotic prescription and usage, febrile illness and antimicrobial resistance in young children in Malawi: the IVAR study protocol.")</f>
        <v>Cross-sectional health centre and community-based evaluation of the impact of pneumococcal and malaria vaccination on antibiotic prescription and usage, febrile illness and antimicrobial resistance in young children in Malawi: the IVAR study protocol.</v>
      </c>
      <c r="AM120" s="31" t="str">
        <f>IFERROR(__xludf.DUMMYFUNCTION("""COMPUTED_VALUE"""),"Singleton, David; Ibarz-Pavon, Ana; Swarthout, Todd D; Bonomali, Farouck; Cornick, Jennifer; Kalizang'oma, Akuzike; Ntiza, Noah; Brown, Comfort; Chipatala, Raphael; Nyangulu, Wongani; Chirombo, James; Kawalazira, Gift; Chibowa, Henry; Mwansambo, Charles; "&amp;"Maleta, Kenneth Mphatso; French, Neil; Heyderman, Robert S")</f>
        <v>Singleton, David; Ibarz-Pavon, Ana; Swarthout, Todd D; Bonomali, Farouck; Cornick, Jennifer; Kalizang'oma, Akuzike; Ntiza, Noah; Brown, Comfort; Chipatala, Raphael; Nyangulu, Wongani; Chirombo, James; Kawalazira, Gift; Chibowa, Henry; Mwansambo, Charles; Maleta, Kenneth Mphatso; French, Neil; Heyderman, Robert S</v>
      </c>
      <c r="AN120" s="32">
        <f>IFERROR(__xludf.DUMMYFUNCTION("""COMPUTED_VALUE"""),45058.0)</f>
        <v>45058</v>
      </c>
    </row>
    <row r="121">
      <c r="A121" s="32"/>
      <c r="I121" s="31" t="str">
        <f>IFERROR(__xludf.DUMMYFUNCTION("""COMPUTED_VALUE"""),"vaccines")</f>
        <v>vaccines</v>
      </c>
      <c r="J121" s="38">
        <f>COUNTIF(Data!$F$2:$F9917, $I121)</f>
        <v>7</v>
      </c>
      <c r="T121" s="31" t="s">
        <v>25868</v>
      </c>
      <c r="U121" s="31" t="s">
        <v>25869</v>
      </c>
      <c r="V121" s="32">
        <v>45566.0</v>
      </c>
      <c r="X121" s="31" t="str">
        <f>IFERROR(__xludf.DUMMYFUNCTION("""COMPUTED_VALUE"""),"NOS inhibition reverses TLR2-induced chondrocyte dysfunction and attenuates age-related osteoarthritis.")</f>
        <v>NOS inhibition reverses TLR2-induced chondrocyte dysfunction and attenuates age-related osteoarthritis.</v>
      </c>
      <c r="Y121" s="31" t="str">
        <f>IFERROR(__xludf.DUMMYFUNCTION("""COMPUTED_VALUE"""),"Shen, Ping; Serve, Sebastian; Wu, Peihua; Liu, Xiaohui; Dai, Yujie; Durán-Hernández, Nayar; Nguyen, Dan Thi Mai; Fuchs, Michael; Maleitzke, Tazio; Reisener, Marie-Jacqueline; Dzamukova, Maria; Nussbaumer, Katrin; Brunner, Tobias M; Li, Yonghai; Holecska, "&amp;"Vivien; Heinz, Gitta A; Heinrich, Frederik; Durek, Pawel; Katsoula, Georgia; Gwinner, Clemens; Jung, Tobias; Zeggini, Eleftheria; Winkler, Tobias; Mashreghi, Mir-Farzin; Pumberger, Matthias; Perka, Carsten; Löhning, Max")</f>
        <v>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v>
      </c>
      <c r="Z121" s="31">
        <f>IFERROR(__xludf.DUMMYFUNCTION("""COMPUTED_VALUE"""),2023.0)</f>
        <v>2023</v>
      </c>
      <c r="AA121" s="31">
        <f>IFERROR(__xludf.DUMMYFUNCTION("""COMPUTED_VALUE"""),4.0)</f>
        <v>4</v>
      </c>
      <c r="AC121" s="31" t="str">
        <f>IFERROR(__xludf.DUMMYFUNCTION("""COMPUTED_VALUE"""),"COVID-19 prediction models should adhere to methodological and reporting standards.")</f>
        <v>COVID-19 prediction models should adhere to methodological and reporting standards.</v>
      </c>
      <c r="AD121" s="31" t="str">
        <f>IFERROR(__xludf.DUMMYFUNCTION("""COMPUTED_VALUE"""),"Collins, Gary S; van Smeden, Maarten; Riley, Richard D")</f>
        <v>Collins, Gary S; van Smeden, Maarten; Riley, Richard D</v>
      </c>
      <c r="AE121" s="32">
        <f>IFERROR(__xludf.DUMMYFUNCTION("""COMPUTED_VALUE"""),44084.0)</f>
        <v>44084</v>
      </c>
      <c r="AF121" s="31" t="str">
        <f>IFERROR(__xludf.DUMMYFUNCTION("""COMPUTED_VALUE"""),"Experiences and perceptions of continuous deep sedation: An interview study among Dutch patients and relatives.")</f>
        <v>Experiences and perceptions of continuous deep sedation: An interview study among Dutch patients and relatives.</v>
      </c>
      <c r="AG121" s="31" t="str">
        <f>IFERROR(__xludf.DUMMYFUNCTION("""COMPUTED_VALUE"""),"Jonker, Louise Annemoon; Heijltjes, Madelon T; Rietjens, Judith A C; van der Heide, Agnes; Hendriksen, Geeske; van Delden, Johannes J M; van Thiel, Ghislaine J M W")</f>
        <v>Jonker, Louise Annemoon; Heijltjes, Madelon T; Rietjens, Judith A C; van der Heide, Agnes; Hendriksen, Geeske; van Delden, Johannes J M; van Thiel, Ghislaine J M W</v>
      </c>
      <c r="AH121" s="32">
        <f>IFERROR(__xludf.DUMMYFUNCTION("""COMPUTED_VALUE"""),45210.0)</f>
        <v>45210</v>
      </c>
      <c r="AI121" s="31" t="str">
        <f>IFERROR(__xludf.DUMMYFUNCTION("""COMPUTED_VALUE"""),"Long-Term Risk of Major Bleeding after Discontinuing Anticoagulation for Unprovoked Venous Thromboembolism: A Systematic Review and Meta-analysis.")</f>
        <v>Long-Term Risk of Major Bleeding after Discontinuing Anticoagulation for Unprovoked Venous Thromboembolism: A Systematic Review and Meta-analysis.</v>
      </c>
      <c r="AJ121" s="31" t="str">
        <f>IFERROR(__xludf.DUMMYFUNCTION("""COMPUTED_VALUE"""),"Khan, Faizan; Rahman, Alvi; Tritschler, Tobias; Carrier, Marc; Kearon, Clive; Weitz, Jeffrey I; Schulman, Sam; Couturaud, Francis; Becattini, Cecilia; Agnelli, Giancarlo; Brighton, Timothy A; Lensing, Anthonie W A; Pinede, Laurent; Parpia, Sameer; Geersin"&amp;"g, Geert-Jan; Takada, Toshihiko; Bradbury, Charlotte A; Andreozzi, Giuseppe M; Palareti, Gualtiero; Prandoni, Paolo; Buller, Harry R; Mallick, Ranjeeta; Hutton, Brian; Thavorn, Kednapa; Le Gal, Gregoire; Rodger, Marc A; Fergusson, Dean A")</f>
        <v>Khan, Faizan; Rahman, Alvi; Tritschler, Tobias; Carrier, Marc; Kearon, Clive; Weitz, Jeffrey I; Schulman, Sam; Couturaud, Francis; Becattini, Cecilia; Agnelli, Giancarlo; Brighton, Timothy A; Lensing, Anthonie W A; Pinede, Laurent; Parpia, Sameer; Geersing, Geert-Jan; Takada, Toshihiko; Bradbury, Charlotte A; Andreozzi, Giuseppe M; Palareti, Gualtiero; Prandoni, Paolo; Buller, Harry R; Mallick, Ranjeeta; Hutton, Brian; Thavorn, Kednapa; Le Gal, Gregoire; Rodger, Marc A; Fergusson, Dean A</v>
      </c>
      <c r="AK121" s="32">
        <f>IFERROR(__xludf.DUMMYFUNCTION("""COMPUTED_VALUE"""),44509.0)</f>
        <v>44509</v>
      </c>
      <c r="AL121" s="31" t="str">
        <f>IFERROR(__xludf.DUMMYFUNCTION("""COMPUTED_VALUE"""),"Early Detection of Brain Metastases in a Supervised Exercise Program for Patients with Advanced Breast Cancer: A Case Report.")</f>
        <v>Early Detection of Brain Metastases in a Supervised Exercise Program for Patients with Advanced Breast Cancer: A Case Report.</v>
      </c>
      <c r="AM121" s="31" t="str">
        <f>IFERROR(__xludf.DUMMYFUNCTION("""COMPUTED_VALUE"""),"Pelaez, Mireia; Stuiver, Martijn M; Broekman, Marike; Schmitz, Kathryn H; Zopf, Eva M; Clauss, Dorothea; Wengström, Yvonne; Rosenberger, Friederike; Steindorf, Karen; Urruticoechea, Ander; May, Anne M")</f>
        <v>Pelaez, Mireia; Stuiver, Martijn M; Broekman, Marike; Schmitz, Kathryn H; Zopf, Eva M; Clauss, Dorothea; Wengström, Yvonne; Rosenberger, Friederike; Steindorf, Karen; Urruticoechea, Ander; May, Anne M</v>
      </c>
      <c r="AN121" s="32">
        <f>IFERROR(__xludf.DUMMYFUNCTION("""COMPUTED_VALUE"""),45058.0)</f>
        <v>45058</v>
      </c>
    </row>
    <row r="122">
      <c r="A122" s="32"/>
      <c r="I122" s="31" t="str">
        <f>IFERROR(__xludf.DUMMYFUNCTION("""COMPUTED_VALUE"""),"human reproduction update")</f>
        <v>human reproduction update</v>
      </c>
      <c r="J122" s="38">
        <f>COUNTIF(Data!$F$2:$F9917, $I122)</f>
        <v>3</v>
      </c>
      <c r="T122" s="31" t="s">
        <v>25893</v>
      </c>
      <c r="U122" s="31" t="s">
        <v>25894</v>
      </c>
      <c r="V122" s="32">
        <v>45566.0</v>
      </c>
      <c r="X122" s="31" t="str">
        <f>IFERROR(__xludf.DUMMYFUNCTION("""COMPUTED_VALUE"""),"Personalised electronic health programme for recovery after major abdominal surgery: a multicentre, single-blind, randomised, placebo-controlled trial.")</f>
        <v>Personalised electronic health programme for recovery after major abdominal surgery: a multicentre, single-blind, randomised, placebo-controlled trial.</v>
      </c>
      <c r="Y122" s="31" t="str">
        <f>IFERROR(__xludf.DUMMYFUNCTION("""COMPUTED_VALUE"""),"den Bakker, Chantal M; Schaafsma, Frederieke G; Consten, Esther C J; Schraffordt Koops, Steven E; van der Meij, Eva; van de Ven, Peter M; Bonjer, Hendrik J; Huirne, Judith A F; Anema, Johannes R")</f>
        <v>den Bakker, Chantal M; Schaafsma, Frederieke G; Consten, Esther C J; Schraffordt Koops, Steven E; van der Meij, Eva; van de Ven, Peter M; Bonjer, Hendrik J; Huirne, Judith A F; Anema, Johannes R</v>
      </c>
      <c r="Z122" s="31">
        <f>IFERROR(__xludf.DUMMYFUNCTION("""COMPUTED_VALUE"""),2023.0)</f>
        <v>2023</v>
      </c>
      <c r="AA122" s="31">
        <f>IFERROR(__xludf.DUMMYFUNCTION("""COMPUTED_VALUE"""),4.0)</f>
        <v>4</v>
      </c>
      <c r="AC122" s="31" t="str">
        <f>IFERROR(__xludf.DUMMYFUNCTION("""COMPUTED_VALUE"""),"Prior distributions for variance parameters in a sparse-event meta-analysis of a few small trials.")</f>
        <v>Prior distributions for variance parameters in a sparse-event meta-analysis of a few small trials.</v>
      </c>
      <c r="AD122" s="31" t="str">
        <f>IFERROR(__xludf.DUMMYFUNCTION("""COMPUTED_VALUE"""),"Pateras, Konstantinos; Nikolakopoulos, Stavros; Roes, Kit C B")</f>
        <v>Pateras, Konstantinos; Nikolakopoulos, Stavros; Roes, Kit C B</v>
      </c>
      <c r="AE122" s="32">
        <f>IFERROR(__xludf.DUMMYFUNCTION("""COMPUTED_VALUE"""),44049.0)</f>
        <v>44049</v>
      </c>
      <c r="AF122" s="31" t="str">
        <f>IFERROR(__xludf.DUMMYFUNCTION("""COMPUTED_VALUE"""),"Author Correction: Enhancer hijacking at the ARHGAP36 locus is associated with connective tissue to bone transformation.")</f>
        <v>Author Correction: Enhancer hijacking at the ARHGAP36 locus is associated with connective tissue to bone transformation.</v>
      </c>
      <c r="AG122" s="31"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AH122" s="32">
        <f>IFERROR(__xludf.DUMMYFUNCTION("""COMPUTED_VALUE"""),45208.0)</f>
        <v>45208</v>
      </c>
      <c r="AI122" s="31" t="str">
        <f>IFERROR(__xludf.DUMMYFUNCTION("""COMPUTED_VALUE"""),"A Strong Decline in the Incidence of Childhood Otitis Media During the COVID-19 Pandemic in the Netherlands.")</f>
        <v>A Strong Decline in the Incidence of Childhood Otitis Media During the COVID-19 Pandemic in the Netherlands.</v>
      </c>
      <c r="AJ122" s="31" t="str">
        <f>IFERROR(__xludf.DUMMYFUNCTION("""COMPUTED_VALUE"""),"Hullegie, Saskia; Schilder, Anne G M; Marchisio, Paola; de Sévaux, Joline L H; van der Velden, Alike W; van de Pol, Alma C; Boeijen, Josi A; Platteel, Tamara N; Torretta, Sara; Damoiseaux, Roger A M J; Venekamp, Roderick P")</f>
        <v>Hullegie, Saskia; Schilder, Anne G M; Marchisio, Paola; de Sévaux, Joline L H; van der Velden, Alike W; van de Pol, Alma C; Boeijen, Josi A; Platteel, Tamara N; Torretta, Sara; Damoiseaux, Roger A M J; Venekamp, Roderick P</v>
      </c>
      <c r="AK122" s="32">
        <f>IFERROR(__xludf.DUMMYFUNCTION("""COMPUTED_VALUE"""),44501.0)</f>
        <v>44501</v>
      </c>
      <c r="AL122" s="31" t="str">
        <f>IFERROR(__xludf.DUMMYFUNCTION("""COMPUTED_VALUE"""),"Immunosuppression for immune-related adverse events during checkpoint inhibition: an intricate balance.")</f>
        <v>Immunosuppression for immune-related adverse events during checkpoint inhibition: an intricate balance.</v>
      </c>
      <c r="AM122" s="31" t="str">
        <f>IFERROR(__xludf.DUMMYFUNCTION("""COMPUTED_VALUE"""),"Verheijden, Rik J; van Eijs, Mick J M; May, Anne M; van Wijk, Femke; Suijkerbuijk, Karijn P M")</f>
        <v>Verheijden, Rik J; van Eijs, Mick J M; May, Anne M; van Wijk, Femke; Suijkerbuijk, Karijn P M</v>
      </c>
      <c r="AN122" s="32">
        <f>IFERROR(__xludf.DUMMYFUNCTION("""COMPUTED_VALUE"""),45058.0)</f>
        <v>45058</v>
      </c>
    </row>
    <row r="123">
      <c r="A123" s="32"/>
      <c r="I123" s="31" t="str">
        <f>IFERROR(__xludf.DUMMYFUNCTION("""COMPUTED_VALUE"""),"clinical pharmacology and therapeutics")</f>
        <v>clinical pharmacology and therapeutics</v>
      </c>
      <c r="J123" s="38">
        <f>COUNTIF(Data!$F$2:$F9917, $I123)</f>
        <v>10</v>
      </c>
      <c r="T123" s="31" t="s">
        <v>25927</v>
      </c>
      <c r="U123" s="31" t="s">
        <v>25928</v>
      </c>
      <c r="V123" s="32">
        <v>45566.0</v>
      </c>
      <c r="X123" s="31" t="str">
        <f>IFERROR(__xludf.DUMMYFUNCTION("""COMPUTED_VALUE"""),"Sex differences in the generalizability of randomized clinical trials in heart failure with reduced ejection fraction.")</f>
        <v>Sex differences in the generalizability of randomized clinical trials in heart failure with reduced ejection fraction.</v>
      </c>
      <c r="Y123" s="31" t="str">
        <f>IFERROR(__xludf.DUMMYFUNCTION("""COMPUTED_VALUE"""),"Schroeder, Megan; Lim, Yvonne Mei Fong; Savarese, Gianluigi; Suzart-Woischnik, Kiliana; Baudier, Claire; Dyszynski, Tomasz; Vaartjes, Ilonca; Eijkemans, Marinus J C; Uijl, Alicia; Herrera, Ronald; Vradi, Eleni; Brugts, Jasper J; Brunner-La Rocca, Hans-Pet"&amp;"er; Blanc-Guillemaud, Vanessa; Waechter, Sandra; Couvelard, Fabrice; Tyl, Benoit; Fatoba, Samuel; Hoes, Arno W; Lund, Lars H; Gerlinger, Christoph; Asselbergs, Folkert W; Grobbee, Diederick E; Cronin, Maureen; Koudstaal, Stefan")</f>
        <v>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v>
      </c>
      <c r="Z123" s="31">
        <f>IFERROR(__xludf.DUMMYFUNCTION("""COMPUTED_VALUE"""),2023.0)</f>
        <v>2023</v>
      </c>
      <c r="AA123" s="31">
        <f>IFERROR(__xludf.DUMMYFUNCTION("""COMPUTED_VALUE"""),4.0)</f>
        <v>4</v>
      </c>
      <c r="AC123" s="31" t="str">
        <f>IFERROR(__xludf.DUMMYFUNCTION("""COMPUTED_VALUE"""),"Bumetanide for Core Symptoms of Autism Spectrum Disorder (BAMBI): A Single Center, Double-Blinded, Participant-Randomized, Placebo-Controlled, Phase-2 Superiority Trial.")</f>
        <v>Bumetanide for Core Symptoms of Autism Spectrum Disorder (BAMBI): A Single Center, Double-Blinded, Participant-Randomized, Placebo-Controlled, Phase-2 Superiority Trial.</v>
      </c>
      <c r="AD123" s="31" t="str">
        <f>IFERROR(__xludf.DUMMYFUNCTION("""COMPUTED_VALUE"""),"Sprengers, Jan J; van Andel, Dorinde M; Zuithoff, Nicolaas P A; Keijzer-Veen, Mandy G; Schulp, Annelien J A; Scheepers, Floortje E; Lilien, Marc R; Oranje, Bob; Bruining, Hilgo")</f>
        <v>Sprengers, Jan J; van Andel, Dorinde M; Zuithoff, Nicolaas P A; Keijzer-Veen, Mandy G; Schulp, Annelien J A; Scheepers, Floortje E; Lilien, Marc R; Oranje, Bob; Bruining, Hilgo</v>
      </c>
      <c r="AE123" s="32">
        <f>IFERROR(__xludf.DUMMYFUNCTION("""COMPUTED_VALUE"""),44039.0)</f>
        <v>44039</v>
      </c>
      <c r="AF123" s="31" t="str">
        <f>IFERROR(__xludf.DUMMYFUNCTION("""COMPUTED_VALUE"""),"Individual mental health patterns and the role of lifestyle among ageing adults over 20 years - the Doetinchem Cohort Study.")</f>
        <v>Individual mental health patterns and the role of lifestyle among ageing adults over 20 years - the Doetinchem Cohort Study.</v>
      </c>
      <c r="AG123" s="31" t="str">
        <f>IFERROR(__xludf.DUMMYFUNCTION("""COMPUTED_VALUE"""),"Menassa, M; Wesenhagen, Kej; Stronks, K; Franco, O H; Verschuren, Wmm; Picavet, Hsj")</f>
        <v>Menassa, M; Wesenhagen, Kej; Stronks, K; Franco, O H; Verschuren, Wmm; Picavet, Hsj</v>
      </c>
      <c r="AH123" s="32">
        <f>IFERROR(__xludf.DUMMYFUNCTION("""COMPUTED_VALUE"""),45205.0)</f>
        <v>45205</v>
      </c>
      <c r="AI123" s="31" t="str">
        <f>IFERROR(__xludf.DUMMYFUNCTION("""COMPUTED_VALUE"""),"Take control by letting go? Sustainable employability of nurses in Intensive Care Units.")</f>
        <v>Take control by letting go? Sustainable employability of nurses in Intensive Care Units.</v>
      </c>
      <c r="AJ123" s="31" t="str">
        <f>IFERROR(__xludf.DUMMYFUNCTION("""COMPUTED_VALUE"""),"Stalpers, Dewi; Tilburgs, Bram; van Mol, Margo")</f>
        <v>Stalpers, Dewi; Tilburgs, Bram; van Mol, Margo</v>
      </c>
      <c r="AK123" s="32">
        <f>IFERROR(__xludf.DUMMYFUNCTION("""COMPUTED_VALUE"""),44483.0)</f>
        <v>44483</v>
      </c>
      <c r="AL123" s="31" t="str">
        <f>IFERROR(__xludf.DUMMYFUNCTION("""COMPUTED_VALUE"""),"The cross-sectional association between amyloid burden and white matter hyperintensities in older adults without cognitive impairment: A systematic review and meta-analysis.")</f>
        <v>The cross-sectional association between amyloid burden and white matter hyperintensities in older adults without cognitive impairment: A systematic review and meta-analysis.</v>
      </c>
      <c r="AM123" s="31" t="str">
        <f>IFERROR(__xludf.DUMMYFUNCTION("""COMPUTED_VALUE"""),"Twait, Emma L; Min, Britt; Beran, Magdalena; Vonk, Jet M J; Geerlings, Mirjam I")</f>
        <v>Twait, Emma L; Min, Britt; Beran, Magdalena; Vonk, Jet M J; Geerlings, Mirjam I</v>
      </c>
      <c r="AN123" s="32">
        <f>IFERROR(__xludf.DUMMYFUNCTION("""COMPUTED_VALUE"""),45057.0)</f>
        <v>45057</v>
      </c>
    </row>
    <row r="124">
      <c r="A124" s="32"/>
      <c r="I124" s="31" t="str">
        <f>IFERROR(__xludf.DUMMYFUNCTION("""COMPUTED_VALUE"""),"science translational medicine")</f>
        <v>science translational medicine</v>
      </c>
      <c r="J124" s="38">
        <f>COUNTIF(Data!$F$2:$F9917, $I124)</f>
        <v>3</v>
      </c>
      <c r="T124" s="31" t="s">
        <v>25045</v>
      </c>
      <c r="U124" s="31" t="s">
        <v>25046</v>
      </c>
      <c r="V124" s="32">
        <v>45565.0</v>
      </c>
      <c r="X124" s="31" t="str">
        <f>IFERROR(__xludf.DUMMYFUNCTION("""COMPUTED_VALUE"""),"Associations between dietary inflammatory scores and biomarkers of inflammation in the European Prospective Investigation into Cancer and Nutrition (EPIC) cohort.")</f>
        <v>Associations between dietary inflammatory scores and biomarkers of inflammation in the European Prospective Investigation into Cancer and Nutrition (EPIC) cohort.</v>
      </c>
      <c r="Y124" s="31" t="str">
        <f>IFERROR(__xludf.DUMMYFUNCTION("""COMPUTED_VALUE"""),"Lécuyer, Lucie; Laouali, Nasser; Viallon, Vivian; Artaud, Fanny; Hébert, James R; Shivappa, Nitin; Agudo, Antonio; Tjønneland, Anne; Mellemkjær, Lene; Kaaks, Rudolf; Katzke, Verena A; Schulze, Matthias B; Frenoy, Pauline; Mancini, Francesca Romana; De Mag"&amp;"istris, Maria Santucci; Macciotta, Alessandra; Masala, Giovanna; Agnoli, Claudia; Tumino, Rosario; Boer, Jolanda M A; Verschuren, W M Monique; Enget Jensen, Torill M; Olsen, Karina Standahl; Skeie, Guri; Chirlaque, María-Dolores; Petrova, Dafina; Castro-E"&amp;"spin, Carlota; Quirós, J Ramón; Guevara, Marcela; Amiano, Pilar; Borné, Yan; Sandström, Maria; Nilsson, Lena Maria; Heath, Alicia K; Mayen, Ana-Lucia; Huybrechts, Inge; Weiderpass, Elisabete; Boutron-Ruault, Marie-Christine; Dossus, Laure; Rinaldi, Sabina"&amp;"; Truong, Thérèse")</f>
        <v>Lécuyer, Lucie; Laouali, Nasser; Viallon, Vivian; Artaud, Fanny; Hébert, James R; Shivappa, Nitin; Agudo, Antonio; Tjønneland, Anne; Mellemkjær, Lene; Kaaks, Rudolf; Katzke, Verena A; Schulze, Matthias B; Frenoy, Pauline; Mancini, Francesca Romana; De Magistris, Maria Santucci; Macciotta, Alessandra; Masala, Giovanna; Agnoli, Claudia; Tumino, Rosario; Boer, Jolanda M A; Verschuren, W M Monique; Enget Jensen, Torill M; Olsen, Karina Standahl; Skeie, Guri; Chirlaque, María-Dolores; Petrova, Dafina; Castro-Espin, Carlota; Quirós, J Ramón; Guevara, Marcela; Amiano, Pilar; Borné, Yan; Sandström, Maria; Nilsson, Lena Maria; Heath, Alicia K; Mayen, Ana-Lucia; Huybrechts, Inge; Weiderpass, Elisabete; Boutron-Ruault, Marie-Christine; Dossus, Laure; Rinaldi, Sabina; Truong, Thérèse</v>
      </c>
      <c r="Z124" s="31">
        <f>IFERROR(__xludf.DUMMYFUNCTION("""COMPUTED_VALUE"""),2023.0)</f>
        <v>2023</v>
      </c>
      <c r="AA124" s="31">
        <f>IFERROR(__xludf.DUMMYFUNCTION("""COMPUTED_VALUE"""),4.0)</f>
        <v>4</v>
      </c>
      <c r="AC124" s="31" t="str">
        <f>IFERROR(__xludf.DUMMYFUNCTION("""COMPUTED_VALUE"""),"Five-Year Outcome of Laparoscopic Fundoplication in Pediatric GERD Patients: a Multicenter, Prospective Cohort Study.")</f>
        <v>Five-Year Outcome of Laparoscopic Fundoplication in Pediatric GERD Patients: a Multicenter, Prospective Cohort Study.</v>
      </c>
      <c r="AD124" s="31" t="str">
        <f>IFERROR(__xludf.DUMMYFUNCTION("""COMPUTED_VALUE"""),"Stellato, Rebecca K; Colmer, Nadia; Tytgat, Stefaan H A; van der Zee, David C; van de Peppel-Mauritz, Femke A; Lindeboom, Maud Y A")</f>
        <v>Stellato, Rebecca K; Colmer, Nadia; Tytgat, Stefaan H A; van der Zee, David C; van de Peppel-Mauritz, Femke A; Lindeboom, Maud Y A</v>
      </c>
      <c r="AE124" s="32">
        <f>IFERROR(__xludf.DUMMYFUNCTION("""COMPUTED_VALUE"""),44034.0)</f>
        <v>44034</v>
      </c>
      <c r="AF124" s="31" t="str">
        <f>IFERROR(__xludf.DUMMYFUNCTION("""COMPUTED_VALUE"""),"Symptomatic benefits of testosterone treatment in patient subgroups: a systematic review, individual participant data meta-analysis, and aggregate data meta-analysis.")</f>
        <v>Symptomatic benefits of testosterone treatment in patient subgroups: a systematic review, individual participant data meta-analysis, and aggregate data meta-analysis.</v>
      </c>
      <c r="AG124" s="31" t="str">
        <f>IFERROR(__xludf.DUMMYFUNCTION("""COMPUTED_VALUE"""),"Hudson, Jemma; Cruickshank, Moira; Quinton, Richard; Aucott, Lorna; Wu, Frederick; Grossmann, Mathis; Bhasin, Shalender; Snyder, Peter J; Ellenberg, Susan S; Travison, Thomas G; Brock, Gerald B; Gianatti, Emily J; van der Schouw, Yvonne T; Emmelot-Vonk, M"&amp;"arielle H; Giltay, Erik J; Hackett, Geoff; Ramachandran, Sudarshan; Svartberg, Johan; Hildreth, Kerry L; Antonic, Kristina Groti; Tenover, Joyce Lisa; Tan, Hui Meng; Ho Chee Kong, Christopher; Tan, Wei Shen; Marks, Leonard S; Ross, Richard J; Schwartz, Ro"&amp;"bert S; Manson, Paul; Roberts, Stephen A; Skovsager Andersen, Marianne; Velling Magnussen, Line; Aceves-Martins, Magaly; Gillies, Katie; Hernández, Rodolfo; Oliver, Nick; Dhillo, Waljit S; Bhattacharya, Siladitya; Brazzelli, Miriam; Jayasena, Channa N")</f>
        <v>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v>
      </c>
      <c r="AH124" s="32">
        <f>IFERROR(__xludf.DUMMYFUNCTION("""COMPUTED_VALUE"""),45200.0)</f>
        <v>45200</v>
      </c>
      <c r="AI124" s="31" t="str">
        <f>IFERROR(__xludf.DUMMYFUNCTION("""COMPUTED_VALUE"""),"Implementation and Use of Point-of-Care C-Reactive Protein Testing in Nursing Homes.")</f>
        <v>Implementation and Use of Point-of-Care C-Reactive Protein Testing in Nursing Homes.</v>
      </c>
      <c r="AJ124" s="31" t="str">
        <f>IFERROR(__xludf.DUMMYFUNCTION("""COMPUTED_VALUE"""),"Boere, Tjarda M; Hopstaken, Rogier M; van Tulder, Maurits W; Schellevis, Franҫois G; Verheij, Theo J M; Hertogh, Cees M P M; van Buul, Laura W")</f>
        <v>Boere, Tjarda M; Hopstaken, Rogier M; van Tulder, Maurits W; Schellevis, Franҫois G; Verheij, Theo J M; Hertogh, Cees M P M; van Buul, Laura W</v>
      </c>
      <c r="AK124" s="32">
        <f>IFERROR(__xludf.DUMMYFUNCTION("""COMPUTED_VALUE"""),44476.0)</f>
        <v>44476</v>
      </c>
      <c r="AL124" s="31" t="str">
        <f>IFERROR(__xludf.DUMMYFUNCTION("""COMPUTED_VALUE"""),"Perceived facilitators and barriers by esophageal cancer survivors participating in a post-treatment exercise program.")</f>
        <v>Perceived facilitators and barriers by esophageal cancer survivors participating in a post-treatment exercise program.</v>
      </c>
      <c r="AM124" s="31" t="str">
        <f>IFERROR(__xludf.DUMMYFUNCTION("""COMPUTED_VALUE"""),"van Vulpen, Jonna K; Witlox, Lenja; Methorst-de Haan, Alida C; Hiensch, Anouk E; van Hillegersberg, Richard; Ruurda, Jelle P; Nieuwenhuijzen, Grard A P; Kouwenhoven, Ewout A; Siersema, Peter D; May, Anne M")</f>
        <v>van Vulpen, Jonna K; Witlox, Lenja; Methorst-de Haan, Alida C; Hiensch, Anouk E; van Hillegersberg, Richard; Ruurda, Jelle P; Nieuwenhuijzen, Grard A P; Kouwenhoven, Ewout A; Siersema, Peter D; May, Anne M</v>
      </c>
      <c r="AN124" s="32">
        <f>IFERROR(__xludf.DUMMYFUNCTION("""COMPUTED_VALUE"""),45052.0)</f>
        <v>45052</v>
      </c>
    </row>
    <row r="125">
      <c r="A125" s="32"/>
      <c r="I125" s="31" t="str">
        <f>IFERROR(__xludf.DUMMYFUNCTION("""COMPUTED_VALUE"""),"preventive medicine")</f>
        <v>preventive medicine</v>
      </c>
      <c r="J125" s="38">
        <f>COUNTIF(Data!$F$2:$F9917, $I125)</f>
        <v>10</v>
      </c>
      <c r="T125" s="31" t="s">
        <v>25161</v>
      </c>
      <c r="U125" s="31" t="s">
        <v>25162</v>
      </c>
      <c r="V125" s="32">
        <v>45565.0</v>
      </c>
      <c r="X125" s="31" t="str">
        <f>IFERROR(__xludf.DUMMYFUNCTION("""COMPUTED_VALUE"""),"Co-cultures of colon cancer cells and cancer-associated fibroblasts recapitulate the aggressive features of mesenchymal-like colon cancer.")</f>
        <v>Co-cultures of colon cancer cells and cancer-associated fibroblasts recapitulate the aggressive features of mesenchymal-like colon cancer.</v>
      </c>
      <c r="Y125" s="31" t="str">
        <f>IFERROR(__xludf.DUMMYFUNCTION("""COMPUTED_VALUE"""),"Strating, Esther; Verhagen, Mathijs P; Wensink, Emerens; Dünnebach, Ester; Wijler, Liza; Aranguren, Itziar; De la Cruz, Alberto Sanchez; Peters, Niek A; Hageman, Joris H; van der Net, Mirjam M C; van Schelven, Susanne; Laoukili, Jamila; Fodde, Riccardo; R"&amp;"oodhart, Jeanine; Nierkens, Stefan; Snippert, Hugo; Gloerich, Martijn; Rinkes, Inne Borel; Elias, Sjoerd G; Kranenburg, Onno")</f>
        <v>Strating, Esther; Verhagen, Mathijs P; Wensink, Emerens; Dünnebach, Ester; Wijler, Liza; Aranguren, Itziar; De la Cruz, Alberto Sanchez; Peters, Niek A; Hageman, Joris H; van der Net, Mirjam M C; van Schelven, Susanne; Laoukili, Jamila; Fodde, Riccardo; Roodhart, Jeanine; Nierkens, Stefan; Snippert, Hugo; Gloerich, Martijn; Rinkes, Inne Borel; Elias, Sjoerd G; Kranenburg, Onno</v>
      </c>
      <c r="Z125" s="31">
        <f>IFERROR(__xludf.DUMMYFUNCTION("""COMPUTED_VALUE"""),2023.0)</f>
        <v>2023</v>
      </c>
      <c r="AA125" s="31">
        <f>IFERROR(__xludf.DUMMYFUNCTION("""COMPUTED_VALUE"""),4.0)</f>
        <v>4</v>
      </c>
      <c r="AC125" s="31" t="str">
        <f>IFERROR(__xludf.DUMMYFUNCTION("""COMPUTED_VALUE"""),"Efficacy of a Standalone Microporous Ceramic Versus Autograft in Instrumented Posterolateral Spinal Fusion: A Multicenter, Randomized, Intrapatient Controlled, Noninferiority Trial.")</f>
        <v>Efficacy of a Standalone Microporous Ceramic Versus Autograft in Instrumented Posterolateral Spinal Fusion: A Multicenter, Randomized, Intrapatient Controlled, Noninferiority Trial.</v>
      </c>
      <c r="AD125" s="31" t="str">
        <f>IFERROR(__xludf.DUMMYFUNCTION("""COMPUTED_VALUE"""),"Lehr, A Mechteld; Oner, F Cumhur; Delawi, Diyar; Stellato, Rebecca K; Hoebink, Eric A; Kempen, Diederik H R; van Susante, Job L C; Castelein, René M; Kruyt, Moyo C; ,")</f>
        <v>Lehr, A Mechteld; Oner, F Cumhur; Delawi, Diyar; Stellato, Rebecca K; Hoebink, Eric A; Kempen, Diederik H R; van Susante, Job L C; Castelein, René M; Kruyt, Moyo C; ,</v>
      </c>
      <c r="AE125" s="32">
        <f>IFERROR(__xludf.DUMMYFUNCTION("""COMPUTED_VALUE"""),44027.0)</f>
        <v>44027</v>
      </c>
      <c r="AF125" s="31" t="str">
        <f>IFERROR(__xludf.DUMMYFUNCTION("""COMPUTED_VALUE"""),"Prevalence, patterns, and determinants of multimorbidity among childhood and adult cancer survivors: A systematic review.")</f>
        <v>Prevalence, patterns, and determinants of multimorbidity among childhood and adult cancer survivors: A systematic review.</v>
      </c>
      <c r="AG125" s="31" t="str">
        <f>IFERROR(__xludf.DUMMYFUNCTION("""COMPUTED_VALUE"""),"Asogwa, Ogechukwu A; Quansah, Dan Yedu; Boakye, Daniel; Ezewuiro, Obiageli Ntukogu; Boateng, Daniel")</f>
        <v>Asogwa, Ogechukwu A; Quansah, Dan Yedu; Boakye, Daniel; Ezewuiro, Obiageli Ntukogu; Boateng, Daniel</v>
      </c>
      <c r="AH125" s="32">
        <f>IFERROR(__xludf.DUMMYFUNCTION("""COMPUTED_VALUE"""),45198.0)</f>
        <v>45198</v>
      </c>
      <c r="AI125" s="31" t="str">
        <f>IFERROR(__xludf.DUMMYFUNCTION("""COMPUTED_VALUE"""),"Impact of Adding Oseltamivir to Usual Care on Quality-Adjusted Life-Years During Influenza-Like Illness.")</f>
        <v>Impact of Adding Oseltamivir to Usual Care on Quality-Adjusted Life-Years During Influenza-Like Illness.</v>
      </c>
      <c r="AJ125" s="31" t="str">
        <f>IFERROR(__xludf.DUMMYFUNCTION("""COMPUTED_VALUE"""),"Bruyndonckx, Robin; Bilcke, Joke; van der Velden, Alike W; Li, Xiao; Hens, Niel; Coenen, Samuel; Butler, Christopher C; Beutels, Philippe")</f>
        <v>Bruyndonckx, Robin; Bilcke, Joke; van der Velden, Alike W; Li, Xiao; Hens, Niel; Coenen, Samuel; Butler, Christopher C; Beutels, Philippe</v>
      </c>
      <c r="AK125" s="32">
        <f>IFERROR(__xludf.DUMMYFUNCTION("""COMPUTED_VALUE"""),44470.0)</f>
        <v>44470</v>
      </c>
      <c r="AL125" s="31" t="str">
        <f>IFERROR(__xludf.DUMMYFUNCTION("""COMPUTED_VALUE"""),"Prediction of Radiation-Induced Parotid Gland-Related Xerostomia in Patients With Head and Neck Cancer: Regeneration-Weighted Dose.")</f>
        <v>Prediction of Radiation-Induced Parotid Gland-Related Xerostomia in Patients With Head and Neck Cancer: Regeneration-Weighted Dose.</v>
      </c>
      <c r="AM125" s="31" t="str">
        <f>IFERROR(__xludf.DUMMYFUNCTION("""COMPUTED_VALUE"""),"van Rijn-Dekker, Maria I; van Luijk, Peter; Schuit, Ewoud; van der Schaaf, Arjen; Langendijk, Johannes A; Steenbakkers, Roel J H M")</f>
        <v>van Rijn-Dekker, Maria I; van Luijk, Peter; Schuit, Ewoud; van der Schaaf, Arjen; Langendijk, Johannes A; Steenbakkers, Roel J H M</v>
      </c>
      <c r="AN125" s="32">
        <f>IFERROR(__xludf.DUMMYFUNCTION("""COMPUTED_VALUE"""),45052.0)</f>
        <v>45052</v>
      </c>
    </row>
    <row r="126">
      <c r="A126" s="32"/>
      <c r="I126" s="31" t="str">
        <f>IFERROR(__xludf.DUMMYFUNCTION("""COMPUTED_VALUE"""),"radiotherapy and oncology journal of the european society for therapeutic radiology and oncology")</f>
        <v>radiotherapy and oncology journal of the european society for therapeutic radiology and oncology</v>
      </c>
      <c r="J126" s="38">
        <f>COUNTIF(Data!$F$2:$F9917, $I126)</f>
        <v>20</v>
      </c>
      <c r="T126" s="31" t="s">
        <v>25211</v>
      </c>
      <c r="U126" s="31" t="s">
        <v>25212</v>
      </c>
      <c r="V126" s="32">
        <v>45565.0</v>
      </c>
      <c r="X126" s="31" t="str">
        <f>IFERROR(__xludf.DUMMYFUNCTION("""COMPUTED_VALUE"""),"Social and physical neighbourhood characteristics and 10-year incidence of depression and anxiety in older adults: Results from the Longitudinal Aging Study Amsterdam.")</f>
        <v>Social and physical neighbourhood characteristics and 10-year incidence of depression and anxiety in older adults: Results from the Longitudinal Aging Study Amsterdam.</v>
      </c>
      <c r="Y126" s="31" t="str">
        <f>IFERROR(__xludf.DUMMYFUNCTION("""COMPUTED_VALUE"""),"Motoc, Irina; Hoogendijk, Emiel O; Timmermans, Erik J; Deeg, Dorly; Penninx, Brenda W J H; Huisman, Martijn")</f>
        <v>Motoc, Irina; Hoogendijk, Emiel O; Timmermans, Erik J; Deeg, Dorly; Penninx, Brenda W J H; Huisman, Martijn</v>
      </c>
      <c r="Z126" s="31">
        <f>IFERROR(__xludf.DUMMYFUNCTION("""COMPUTED_VALUE"""),2023.0)</f>
        <v>2023</v>
      </c>
      <c r="AA126" s="31">
        <f>IFERROR(__xludf.DUMMYFUNCTION("""COMPUTED_VALUE"""),4.0)</f>
        <v>4</v>
      </c>
      <c r="AC126" s="31" t="str">
        <f>IFERROR(__xludf.DUMMYFUNCTION("""COMPUTED_VALUE"""),"The course of cerebrospinal fluid parameters ≤ 20 days after aneurysmal subarachnoid hemorrhage.")</f>
        <v>The course of cerebrospinal fluid parameters ≤ 20 days after aneurysmal subarachnoid hemorrhage.</v>
      </c>
      <c r="AD126" s="31" t="str">
        <f>IFERROR(__xludf.DUMMYFUNCTION("""COMPUTED_VALUE"""),"Koopman, Inez; Zuithoff, Nicolaas P A; Rinkel, Gabriel J E; Vergouwen, Mervyn D I")</f>
        <v>Koopman, Inez; Zuithoff, Nicolaas P A; Rinkel, Gabriel J E; Vergouwen, Mervyn D I</v>
      </c>
      <c r="AE126" s="32">
        <f>IFERROR(__xludf.DUMMYFUNCTION("""COMPUTED_VALUE"""),43970.0)</f>
        <v>43970</v>
      </c>
      <c r="AF126" s="31" t="str">
        <f>IFERROR(__xludf.DUMMYFUNCTION("""COMPUTED_VALUE"""),"Tuberculosis and immigration: the challenges in the Latin American and Colombian context.")</f>
        <v>Tuberculosis and immigration: the challenges in the Latin American and Colombian context.</v>
      </c>
      <c r="AG126" s="31" t="str">
        <f>IFERROR(__xludf.DUMMYFUNCTION("""COMPUTED_VALUE"""),"López, Darío Sebastián; Valderrama Vergara, José Fernando; Fernández-Niño, Julián Alfredo; Trujillo-Cáceres, Silvia Juliana")</f>
        <v>López, Darío Sebastián; Valderrama Vergara, José Fernando; Fernández-Niño, Julián Alfredo; Trujillo-Cáceres, Silvia Juliana</v>
      </c>
      <c r="AH126" s="32">
        <f>IFERROR(__xludf.DUMMYFUNCTION("""COMPUTED_VALUE"""),45191.0)</f>
        <v>45191</v>
      </c>
      <c r="AI126" s="31" t="str">
        <f>IFERROR(__xludf.DUMMYFUNCTION("""COMPUTED_VALUE"""),"Use of sepsis-related diagnostic criteria in primary care: a survey among general practitioners.")</f>
        <v>Use of sepsis-related diagnostic criteria in primary care: a survey among general practitioners.</v>
      </c>
      <c r="AJ126" s="31" t="str">
        <f>IFERROR(__xludf.DUMMYFUNCTION("""COMPUTED_VALUE"""),"Mulders, Merijn C F; Loots, Feike J; van Nieuwenhoven, Joey; Ter Maaten, Jan C; Bouma, Hjalmar R")</f>
        <v>Mulders, Merijn C F; Loots, Feike J; van Nieuwenhoven, Joey; Ter Maaten, Jan C; Bouma, Hjalmar R</v>
      </c>
      <c r="AK126" s="32">
        <f>IFERROR(__xludf.DUMMYFUNCTION("""COMPUTED_VALUE"""),44464.0)</f>
        <v>44464</v>
      </c>
      <c r="AL126" s="31" t="str">
        <f>IFERROR(__xludf.DUMMYFUNCTION("""COMPUTED_VALUE"""),"Transparent reporting of multivariable prediction models for individual prognosis or diagnosis: checklist for systematic reviews and meta-analyses (TRIPOD-SRMA).")</f>
        <v>Transparent reporting of multivariable prediction models for individual prognosis or diagnosis: checklist for systematic reviews and meta-analyses (TRIPOD-SRMA).</v>
      </c>
      <c r="AM126" s="31" t="str">
        <f>IFERROR(__xludf.DUMMYFUNCTION("""COMPUTED_VALUE"""),"Snell, Kym I E; Levis, Brooke; Damen, Johanna A A; Dhiman, Paula; Debray, Thomas P A; Hooft, Lotty; Reitsma, Johannes B; Moons, Karel G M; Collins, Gary S; Riley, Richard D")</f>
        <v>Snell, Kym I E; Levis, Brooke; Damen, Johanna A A; Dhiman, Paula; Debray, Thomas P A; Hooft, Lotty; Reitsma, Johannes B; Moons, Karel G M; Collins, Gary S; Riley, Richard D</v>
      </c>
      <c r="AN126" s="32">
        <f>IFERROR(__xludf.DUMMYFUNCTION("""COMPUTED_VALUE"""),45049.0)</f>
        <v>45049</v>
      </c>
    </row>
    <row r="127">
      <c r="A127" s="32"/>
      <c r="I127" s="31" t="str">
        <f>IFERROR(__xludf.DUMMYFUNCTION("""COMPUTED_VALUE"""),"current treatment options in oncology")</f>
        <v>current treatment options in oncology</v>
      </c>
      <c r="J127" s="38">
        <f>COUNTIF(Data!$F$2:$F9917, $I127)</f>
        <v>1</v>
      </c>
      <c r="T127" s="31" t="s">
        <v>25559</v>
      </c>
      <c r="U127" s="31" t="s">
        <v>25560</v>
      </c>
      <c r="V127" s="32">
        <v>45565.0</v>
      </c>
      <c r="X127" s="31" t="str">
        <f>IFERROR(__xludf.DUMMYFUNCTION("""COMPUTED_VALUE"""),"Process Evaluation of a Wireless Wearable Continuous Vital Signs Monitoring Intervention in 2 General Hospital Wards: Mixed Methods Study.")</f>
        <v>Process Evaluation of a Wireless Wearable Continuous Vital Signs Monitoring Intervention in 2 General Hospital Wards: Mixed Methods Study.</v>
      </c>
      <c r="Y127" s="31" t="str">
        <f>IFERROR(__xludf.DUMMYFUNCTION("""COMPUTED_VALUE"""),"Leenen, Jobbe P L; Rasing, Henriëtte J M; Kalkman, Cor J; Schoonhoven, Lisette; Patijn, Gijsbert A")</f>
        <v>Leenen, Jobbe P L; Rasing, Henriëtte J M; Kalkman, Cor J; Schoonhoven, Lisette; Patijn, Gijsbert A</v>
      </c>
      <c r="Z127" s="31">
        <f>IFERROR(__xludf.DUMMYFUNCTION("""COMPUTED_VALUE"""),2023.0)</f>
        <v>2023</v>
      </c>
      <c r="AA127" s="31">
        <f>IFERROR(__xludf.DUMMYFUNCTION("""COMPUTED_VALUE"""),4.0)</f>
        <v>4</v>
      </c>
      <c r="AC127" s="31" t="str">
        <f>IFERROR(__xludf.DUMMYFUNCTION("""COMPUTED_VALUE"""),"Serologic markers of Chlamydia trachomatis and other sexually transmitted infections and subsequent ovarian cancer risk: Results from the EPIC cohort.")</f>
        <v>Serologic markers of Chlamydia trachomatis and other sexually transmitted infections and subsequent ovarian cancer risk: Results from the EPIC cohort.</v>
      </c>
      <c r="AD127" s="31" t="str">
        <f>IFERROR(__xludf.DUMMYFUNCTION("""COMPUTED_VALUE"""),"Idahl, Annika; Le Cornet, Charlotte; González Maldonado, Sandra; Waterboer, Tim; Bender, Noemi; Tjønneland, Anne; Hansen, Louise; Boutron-Ruault, Marie-Christine; Fournier, Agnès; Kvaskoff, Marina; Boeing, Heiner; Trichopoulou, Antonia; Valanou, Elisavet;"&amp;" Peppa, Eleni; Palli, Domenico; Agnoli, Claudia; Mattiello, Amalia; Tumino, Rosario; Sacerdote, Carlotta; Onland-Moret, N Charlotte; Gram, Inger T; Weiderpass, Elisabete; Quirós, Jose R; Duell, Eric J; Sánchez, Maria-Jose; Chirlaque, Maria-Dolores; Barric"&amp;"arte, Aurelio; Gil, Leire; Brändstedt, Jenny; Riesbeck, Kristian; Lundin, Eva; Khaw, Kay-Tee; Perez-Cornago, Aurora; Gunter, Marc J; Dossus, Laure; Kaaks, Rudolf; Fortner, Renée T")</f>
        <v>Idahl, Annika; Le Cornet, Charlotte; González Maldonado, Sandra; Waterboer, Tim; Bender, Noemi; Tjønneland, Anne; Hansen, Louise; Boutron-Ruault, Marie-Christine; Fournier, Agnès; Kvaskoff, Marina; Boeing, Heiner; Trichopoulou, Antonia; Valanou, Elisavet; Peppa, Eleni; Palli, Domenico; Agnoli, Claudia; Mattiello, Amalia; Tumino, Rosario; Sacerdote, Carlotta; Onland-Moret, N Charlotte; Gram, Inger T; Weiderpass, Elisabete; Quirós, Jose R; Duell, Eric J; Sánchez, Maria-Jose; Chirlaque, Maria-Dolores; Barricarte, Aurelio; Gil, Leire; Brändstedt, Jenny; Riesbeck, Kristian; Lundin, Eva; Khaw, Kay-Tee; Perez-Cornago, Aurora; Gunter, Marc J; Dossus, Laure; Kaaks, Rudolf; Fortner, Renée T</v>
      </c>
      <c r="AE127" s="32">
        <f>IFERROR(__xludf.DUMMYFUNCTION("""COMPUTED_VALUE"""),43945.0)</f>
        <v>43945</v>
      </c>
      <c r="AF127" s="31" t="str">
        <f>IFERROR(__xludf.DUMMYFUNCTION("""COMPUTED_VALUE"""),"Sex hormones and the risk of myocardial infarction in women and men: a prospective cohort study in the UK Biobank.")</f>
        <v>Sex hormones and the risk of myocardial infarction in women and men: a prospective cohort study in the UK Biobank.</v>
      </c>
      <c r="AG127" s="31" t="str">
        <f>IFERROR(__xludf.DUMMYFUNCTION("""COMPUTED_VALUE"""),"Harris, Katie; Peters, Sanne A E; Woodward, Mark")</f>
        <v>Harris, Katie; Peters, Sanne A E; Woodward, Mark</v>
      </c>
      <c r="AH127" s="32">
        <f>IFERROR(__xludf.DUMMYFUNCTION("""COMPUTED_VALUE"""),45189.0)</f>
        <v>45189</v>
      </c>
      <c r="AI127" s="31" t="str">
        <f>IFERROR(__xludf.DUMMYFUNCTION("""COMPUTED_VALUE"""),"Effect of C reactive protein point-of-care testing on antibiotic prescribing for lower respiratory tract infections in nursing home residents: cluster randomised controlled trial.")</f>
        <v>Effect of C reactive protein point-of-care testing on antibiotic prescribing for lower respiratory tract infections in nursing home residents: cluster randomised controlled trial.</v>
      </c>
      <c r="AJ127" s="31" t="str">
        <f>IFERROR(__xludf.DUMMYFUNCTION("""COMPUTED_VALUE"""),"Boere, Tjarda M; van Buul, Laura W; Hopstaken, Rogier M; van Tulder, Maurits W; Twisk, Jos W M R; Verheij, Theo J M; Hertogh, Cees M P M")</f>
        <v>Boere, Tjarda M; van Buul, Laura W; Hopstaken, Rogier M; van Tulder, Maurits W; Twisk, Jos W M R; Verheij, Theo J M; Hertogh, Cees M P M</v>
      </c>
      <c r="AK127" s="32">
        <f>IFERROR(__xludf.DUMMYFUNCTION("""COMPUTED_VALUE"""),44460.0)</f>
        <v>44460</v>
      </c>
      <c r="AL127" s="31" t="str">
        <f>IFERROR(__xludf.DUMMYFUNCTION("""COMPUTED_VALUE"""),"Erratum: Factors influencing scar formation following Bacille Calmette-Guérin (BCG) vaccination.")</f>
        <v>Erratum: Factors influencing scar formation following Bacille Calmette-Guérin (BCG) vaccination.</v>
      </c>
      <c r="AM127" s="31"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AN127" s="32">
        <f>IFERROR(__xludf.DUMMYFUNCTION("""COMPUTED_VALUE"""),45042.0)</f>
        <v>45042</v>
      </c>
    </row>
    <row r="128">
      <c r="A128" s="32"/>
      <c r="I128" s="31" t="str">
        <f>IFERROR(__xludf.DUMMYFUNCTION("""COMPUTED_VALUE"""),"molecular genetics genomic medicine")</f>
        <v>molecular genetics genomic medicine</v>
      </c>
      <c r="J128" s="38">
        <f>COUNTIF(Data!$F$2:$F9917, $I128)</f>
        <v>1</v>
      </c>
      <c r="T128" s="31" t="s">
        <v>24852</v>
      </c>
      <c r="U128" s="31" t="s">
        <v>24853</v>
      </c>
      <c r="V128" s="32">
        <v>45562.0</v>
      </c>
      <c r="X128" s="31" t="str">
        <f>IFERROR(__xludf.DUMMYFUNCTION("""COMPUTED_VALUE"""),"Safety of COVID-19 Vaccines Among the Paediatric Population: Analysis of the European Surveillance Systems and Pivotal Clinical Trials.")</f>
        <v>Safety of COVID-19 Vaccines Among the Paediatric Population: Analysis of the European Surveillance Systems and Pivotal Clinical Trials.</v>
      </c>
      <c r="Y128" s="31" t="str">
        <f>IFERROR(__xludf.DUMMYFUNCTION("""COMPUTED_VALUE"""),"Ahmadizar, Fariba; Luxi, Nicoletta; Raethke, Monika; Schmikli, Sandor; Riefolo, Fabio; Saraswati, Putri Widi; Bucsa, Camelia; Osman, Alhadi; Liddiard, Megan; Maques, Francisco Batel; Petrelli, Giuliana; Sonderlichová, Simona; Thurin, Nicolas H; Villalobos"&amp;", Felipe; Trifirò, Gianluca; Sturkenboom, Miriam; ,")</f>
        <v>Ahmadizar, Fariba; Luxi, Nicoletta; Raethke, Monika; Schmikli, Sandor; Riefolo, Fabio; Saraswati, Putri Widi; Bucsa, Camelia; Osman, Alhadi; Liddiard, Megan; Maques, Francisco Batel; Petrelli, Giuliana; Sonderlichová, Simona; Thurin, Nicolas H; Villalobos, Felipe; Trifirò, Gianluca; Sturkenboom, Miriam; ,</v>
      </c>
      <c r="Z128" s="31">
        <f>IFERROR(__xludf.DUMMYFUNCTION("""COMPUTED_VALUE"""),2023.0)</f>
        <v>2023</v>
      </c>
      <c r="AA128" s="31">
        <f>IFERROR(__xludf.DUMMYFUNCTION("""COMPUTED_VALUE"""),4.0)</f>
        <v>4</v>
      </c>
      <c r="AC128" s="31" t="str">
        <f>IFERROR(__xludf.DUMMYFUNCTION("""COMPUTED_VALUE"""),"Effects of exergaming on exercise capacity in patients with heart failure: results of an international multicentre randomized controlled trial.")</f>
        <v>Effects of exergaming on exercise capacity in patients with heart failure: results of an international multicentre randomized controlled trial.</v>
      </c>
      <c r="AD128" s="31" t="str">
        <f>IFERROR(__xludf.DUMMYFUNCTION("""COMPUTED_VALUE"""),"Jaarsma, Tiny; Klompstra, Leonie; Ben Gal, Tuvia; Ben Avraham, Binyamin; Boyne, Josiane; Bäck, Maria; Chialà, Oronzo; Dickstein, Kenneth; Evangelista, Lorraine; Hagenow, Andreas; Hoes, Arno W; Hägglund, Eva; Piepoli, Massimo F; Vellone, Ercole; Zuithoff, "&amp;"Nicolaas P A; Mårtensson, Jan; Strömberg, Anna")</f>
        <v>Jaarsma, Tiny; Klompstra, Leonie; Ben Gal, Tuvia; Ben Avraham, Binyamin; Boyne, Josiane; Bäck, Maria; Chialà, Oronzo; Dickstein, Kenneth; Evangelista, Lorraine; Hagenow, Andreas; Hoes, Arno W; Hägglund, Eva; Piepoli, Massimo F; Vellone, Ercole; Zuithoff, Nicolaas P A; Mårtensson, Jan; Strömberg, Anna</v>
      </c>
      <c r="AE128" s="32">
        <f>IFERROR(__xludf.DUMMYFUNCTION("""COMPUTED_VALUE"""),43903.0)</f>
        <v>43903</v>
      </c>
      <c r="AF128" s="31" t="str">
        <f>IFERROR(__xludf.DUMMYFUNCTION("""COMPUTED_VALUE"""),"A roadmap for sex- and gender-disaggregated health research.")</f>
        <v>A roadmap for sex- and gender-disaggregated health research.</v>
      </c>
      <c r="AG128" s="31" t="str">
        <f>IFERROR(__xludf.DUMMYFUNCTION("""COMPUTED_VALUE"""),"Peters, Sanne A E; Woodward, Mark")</f>
        <v>Peters, Sanne A E; Woodward, Mark</v>
      </c>
      <c r="AH128" s="32">
        <f>IFERROR(__xludf.DUMMYFUNCTION("""COMPUTED_VALUE"""),45182.0)</f>
        <v>45182</v>
      </c>
      <c r="AI128" s="31" t="str">
        <f>IFERROR(__xludf.DUMMYFUNCTION("""COMPUTED_VALUE"""),"[Meaningful interventions for peripheral arterial disease: Stopping primary referral to the vascular surgeon and angioplasty].")</f>
        <v>[Meaningful interventions for peripheral arterial disease: Stopping primary referral to the vascular surgeon and angioplasty].</v>
      </c>
      <c r="AJ128" s="31" t="str">
        <f>IFERROR(__xludf.DUMMYFUNCTION("""COMPUTED_VALUE"""),"Van Houten, Marijn M L; Rubens, Max; Bartelink, Marie-Louise E L; Teijink, Joep A W")</f>
        <v>Van Houten, Marijn M L; Rubens, Max; Bartelink, Marie-Louise E L; Teijink, Joep A W</v>
      </c>
      <c r="AK128" s="32">
        <f>IFERROR(__xludf.DUMMYFUNCTION("""COMPUTED_VALUE"""),44455.0)</f>
        <v>44455</v>
      </c>
      <c r="AL128" s="31" t="str">
        <f>IFERROR(__xludf.DUMMYFUNCTION("""COMPUTED_VALUE"""),"Physical performance tasks were linked to the PROMIS physical function metric in patients undergoing hemodialysis.")</f>
        <v>Physical performance tasks were linked to the PROMIS physical function metric in patients undergoing hemodialysis.</v>
      </c>
      <c r="AM128" s="31" t="str">
        <f>IFERROR(__xludf.DUMMYFUNCTION("""COMPUTED_VALUE"""),"Liegl, Gregor; Fischer, Felix H; Woodward, Mark; Török, Marietta; Strippoli, Giovanni F M; Hegbrant, Jörgen; Davenport, Andrew; Cromm, Krister; Canaud, Bernard; Bots, Michiel L; Blankestijn, Peter J; Barth, Claudia; Fischer, Kathrin I; Rose, Matthias")</f>
        <v>Liegl, Gregor; Fischer, Felix H; Woodward, Mark; Török, Marietta; Strippoli, Giovanni F M; Hegbrant, Jörgen; Davenport, Andrew; Cromm, Krister; Canaud, Bernard; Bots, Michiel L; Blankestijn, Peter J; Barth, Claudia; Fischer, Kathrin I; Rose, Matthias</v>
      </c>
      <c r="AN128" s="32">
        <f>IFERROR(__xludf.DUMMYFUNCTION("""COMPUTED_VALUE"""),45041.0)</f>
        <v>45041</v>
      </c>
    </row>
    <row r="129">
      <c r="A129" s="32"/>
      <c r="I129" s="31" t="str">
        <f>IFERROR(__xludf.DUMMYFUNCTION("""COMPUTED_VALUE"""),"life basel switzerland")</f>
        <v>life basel switzerland</v>
      </c>
      <c r="J129" s="38">
        <f>COUNTIF(Data!$F$2:$F9917, $I129)</f>
        <v>1</v>
      </c>
      <c r="T129" s="31" t="s">
        <v>25657</v>
      </c>
      <c r="U129" s="31" t="s">
        <v>25658</v>
      </c>
      <c r="V129" s="32">
        <v>45562.0</v>
      </c>
      <c r="X129" s="31" t="str">
        <f>IFERROR(__xludf.DUMMYFUNCTION("""COMPUTED_VALUE"""),"A nutritional biomarker score of the Mediterranean diet and incident type 2 diabetes: Integrated analysis of data from the MedLey randomised controlled trial and the EPIC-InterAct case-cohort study.")</f>
        <v>A nutritional biomarker score of the Mediterranean diet and incident type 2 diabetes: Integrated analysis of data from the MedLey randomised controlled trial and the EPIC-InterAct case-cohort study.</v>
      </c>
      <c r="Y129" s="31" t="str">
        <f>IFERROR(__xludf.DUMMYFUNCTION("""COMPUTED_VALUE"""),"Sobiecki, Jakub G; Imamura, Fumiaki; Davis, Courtney R; Sharp, Stephen J; Koulman, Albert; Hodgson, Jonathan M; Guevara, Marcela; Schulze, Matthias B; Zheng, Ju-Sheng; Agnoli, Claudia; Bonet, Catalina; Colorado-Yohar, Sandra M; Fagherazzi, Guy; Franks, Pa"&amp;"ul W; Gundersen, Thomas E; Jannasch, Franziska; Kaaks, Rudolf; Katzke, Verena; Molina-Montes, Esther; Nilsson, Peter M; Palli, Domenico; Panico, Salvatore; Papier, Keren; Rolandsson, Olov; Sacerdote, Carlotta; Tjønneland, Anne; Tong, Tammy Y N; van der Sc"&amp;"houw, Yvonne T; Danesh, John; Butterworth, Adam S; Riboli, Elio; Murphy, Karen J; Wareham, Nicholas J; Forouhi, Nita G")</f>
        <v>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v>
      </c>
      <c r="Z129" s="31">
        <f>IFERROR(__xludf.DUMMYFUNCTION("""COMPUTED_VALUE"""),2023.0)</f>
        <v>2023</v>
      </c>
      <c r="AA129" s="31">
        <f>IFERROR(__xludf.DUMMYFUNCTION("""COMPUTED_VALUE"""),4.0)</f>
        <v>4</v>
      </c>
      <c r="AC129" s="31" t="str">
        <f>IFERROR(__xludf.DUMMYFUNCTION("""COMPUTED_VALUE"""),"Fatal outcomes following immunization errors as reported to the EudraVigilance: A case series.")</f>
        <v>Fatal outcomes following immunization errors as reported to the EudraVigilance: A case series.</v>
      </c>
      <c r="AD129" s="31" t="str">
        <f>IFERROR(__xludf.DUMMYFUNCTION("""COMPUTED_VALUE"""),"Hoeve, Christina E; Gadroen, Kartini; Kwa, Marcel S G; van Haren, Anja; Sturkenboom, Miriam C J M; Straus, Sabine M J M")</f>
        <v>Hoeve, Christina E; Gadroen, Kartini; Kwa, Marcel S G; van Haren, Anja; Sturkenboom, Miriam C J M; Straus, Sabine M J M</v>
      </c>
      <c r="AE129" s="32">
        <f>IFERROR(__xludf.DUMMYFUNCTION("""COMPUTED_VALUE"""),43895.0)</f>
        <v>43895</v>
      </c>
      <c r="AF129" s="31" t="str">
        <f>IFERROR(__xludf.DUMMYFUNCTION("""COMPUTED_VALUE"""),"Longitudinal association of premature atrial contractions with atrial fibrillation and brain ischemia in people with type 2 diabetes: The Hoorn Diabetes Care System cohort.")</f>
        <v>Longitudinal association of premature atrial contractions with atrial fibrillation and brain ischemia in people with type 2 diabetes: The Hoorn Diabetes Care System cohort.</v>
      </c>
      <c r="AG129" s="31" t="str">
        <f>IFERROR(__xludf.DUMMYFUNCTION("""COMPUTED_VALUE"""),"Harms, Peter P; Himmelreich, Jelle C L; Blom, Marieke T; Beulens, Joline W J; Nijpels, Giel; Elders, Petra; Lucassen, Wim A M")</f>
        <v>Harms, Peter P; Himmelreich, Jelle C L; Blom, Marieke T; Beulens, Joline W J; Nijpels, Giel; Elders, Petra; Lucassen, Wim A M</v>
      </c>
      <c r="AH129" s="32">
        <f>IFERROR(__xludf.DUMMYFUNCTION("""COMPUTED_VALUE"""),45175.0)</f>
        <v>45175</v>
      </c>
      <c r="AI129" s="31" t="str">
        <f>IFERROR(__xludf.DUMMYFUNCTION("""COMPUTED_VALUE"""),"Predictors of district nursing care utilisation for community-living people in the Netherlands: an exploratory study using claims data.")</f>
        <v>Predictors of district nursing care utilisation for community-living people in the Netherlands: an exploratory study using claims data.</v>
      </c>
      <c r="AJ129" s="31" t="str">
        <f>IFERROR(__xludf.DUMMYFUNCTION("""COMPUTED_VALUE"""),"Veldhuizen, Jessica Desirée; Mikkers, Misja Chiljon; Schuurmans, Marieke J; Bleijenberg, Nienke")</f>
        <v>Veldhuizen, Jessica Desirée; Mikkers, Misja Chiljon; Schuurmans, Marieke J; Bleijenberg, Nienke</v>
      </c>
      <c r="AK129" s="32">
        <f>IFERROR(__xludf.DUMMYFUNCTION("""COMPUTED_VALUE"""),44445.0)</f>
        <v>44445</v>
      </c>
      <c r="AL129" s="31" t="str">
        <f>IFERROR(__xludf.DUMMYFUNCTION("""COMPUTED_VALUE"""),"Diagnostic yield and safety of navigation bronchoscopy: A systematic review and meta-analysis.")</f>
        <v>Diagnostic yield and safety of navigation bronchoscopy: A systematic review and meta-analysis.</v>
      </c>
      <c r="AM129" s="31" t="str">
        <f>IFERROR(__xludf.DUMMYFUNCTION("""COMPUTED_VALUE"""),"Kops, Stephan E P; Heus, Pauline; Korevaar, Daniël A; Damen, Johanna A A; Idema, Demy L; Verhoeven, Roel L J; Annema, Jouke T; Hooft, Lotty; van der Heijden, Erik H F M")</f>
        <v>Kops, Stephan E P; Heus, Pauline; Korevaar, Daniël A; Damen, Johanna A A; Idema, Demy L; Verhoeven, Roel L J; Annema, Jouke T; Hooft, Lotty; van der Heijden, Erik H F M</v>
      </c>
      <c r="AN129" s="32">
        <f>IFERROR(__xludf.DUMMYFUNCTION("""COMPUTED_VALUE"""),45035.0)</f>
        <v>45035</v>
      </c>
    </row>
    <row r="130">
      <c r="A130" s="32"/>
      <c r="I130" s="31" t="str">
        <f>IFERROR(__xludf.DUMMYFUNCTION("""COMPUTED_VALUE"""),"frontiers in radiology")</f>
        <v>frontiers in radiology</v>
      </c>
      <c r="J130" s="38">
        <f>COUNTIF(Data!$F$2:$F9917, $I130)</f>
        <v>1</v>
      </c>
      <c r="T130" s="31" t="s">
        <v>25018</v>
      </c>
      <c r="U130" s="31" t="s">
        <v>25019</v>
      </c>
      <c r="V130" s="32">
        <v>45561.0</v>
      </c>
      <c r="X130" s="31" t="str">
        <f>IFERROR(__xludf.DUMMYFUNCTION("""COMPUTED_VALUE"""),"The association between body fatness and mortality among breast cancer survivors: results from a prospective cohort study.")</f>
        <v>The association between body fatness and mortality among breast cancer survivors: results from a prospective cohort study.</v>
      </c>
      <c r="Y130" s="31" t="str">
        <f>IFERROR(__xludf.DUMMYFUNCTION("""COMPUTED_VALUE"""),"Bonet, Catalina; Crous-Bou, Marta; Tsilidis, Konstantinos K; Gunter, Marc J; Kaaks, Rudolf; Schulze, Matthias B; Fortner, Renée T; Antoniussen, Christian S; Dahm, Christina C; Mellemkjær, Lene; Tjønneland, Anne; Amiano, Pilar; Ardanaz, Eva; Colorado-Yohar"&amp;", Sandra M; Rodriguez-Barranco, Miguel; Tin Tin, Sandar; Agnoli, Claudia; Masala, Giovanna; Panico, Salvatore; Sacerdote, Carlotta; May, Anne M; Borch, Kristin Benjaminsen; Rylander, Charlotta; Skeie, Guri; Christakoudi, Sofia; Aune, Dagfinn; Weiderpass, "&amp;"Elisabete; Dossus, Laure; Riboli, Elio; Agudo, Antonio")</f>
        <v>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v>
      </c>
      <c r="Z130" s="31">
        <f>IFERROR(__xludf.DUMMYFUNCTION("""COMPUTED_VALUE"""),2023.0)</f>
        <v>2023</v>
      </c>
      <c r="AA130" s="31">
        <f>IFERROR(__xludf.DUMMYFUNCTION("""COMPUTED_VALUE"""),4.0)</f>
        <v>4</v>
      </c>
      <c r="AC130" s="31" t="str">
        <f>IFERROR(__xludf.DUMMYFUNCTION("""COMPUTED_VALUE"""),"Descriptive analysis of postmarket surveillance data for hip implants.")</f>
        <v>Descriptive analysis of postmarket surveillance data for hip implants.</v>
      </c>
      <c r="AD130" s="31" t="str">
        <f>IFERROR(__xludf.DUMMYFUNCTION("""COMPUTED_VALUE"""),"Pane, Josep; Verhamme, Katia M C; Rebollo, Irene; Sturkenboom, Miriam C J M")</f>
        <v>Pane, Josep; Verhamme, Katia M C; Rebollo, Irene; Sturkenboom, Miriam C J M</v>
      </c>
      <c r="AE130" s="32">
        <f>IFERROR(__xludf.DUMMYFUNCTION("""COMPUTED_VALUE"""),43893.0)</f>
        <v>43893</v>
      </c>
      <c r="AF130" s="31" t="str">
        <f>IFERROR(__xludf.DUMMYFUNCTION("""COMPUTED_VALUE"""),"How Smart are Smart Materials? A Conceptual and Ethical Analysis of Smart Lifelike Materials for the Design of Regenerative Valve Implants.")</f>
        <v>How Smart are Smart Materials? A Conceptual and Ethical Analysis of Smart Lifelike Materials for the Design of Regenerative Valve Implants.</v>
      </c>
      <c r="AG130" s="31" t="str">
        <f>IFERROR(__xludf.DUMMYFUNCTION("""COMPUTED_VALUE"""),"de Kanter, Anne-Floor J; Jongsma, Karin R; Bouten, Carlijn V C; Bredenoord, Annelien L")</f>
        <v>de Kanter, Anne-Floor J; Jongsma, Karin R; Bouten, Carlijn V C; Bredenoord, Annelien L</v>
      </c>
      <c r="AH130" s="32">
        <f>IFERROR(__xludf.DUMMYFUNCTION("""COMPUTED_VALUE"""),45174.0)</f>
        <v>45174</v>
      </c>
      <c r="AI130" s="31" t="str">
        <f>IFERROR(__xludf.DUMMYFUNCTION("""COMPUTED_VALUE"""),"Home Care Patients' Experiences with Home Care Nurses' Support in Medication Adherence.")</f>
        <v>Home Care Patients' Experiences with Home Care Nurses' Support in Medication Adherence.</v>
      </c>
      <c r="AJ130" s="31" t="str">
        <f>IFERROR(__xludf.DUMMYFUNCTION("""COMPUTED_VALUE"""),"Dijkstra, Nienke E; Vervloet, Marcia; Sino, Carolien G M; Heerdink, Eibert R; Nelissen-Vrancken, Marjorie; Bleijenberg, Nienke; de Bruin, Marijn; Schoonhoven, Lisette")</f>
        <v>Dijkstra, Nienke E; Vervloet, Marcia; Sino, Carolien G M; Heerdink, Eibert R; Nelissen-Vrancken, Marjorie; Bleijenberg, Nienke; de Bruin, Marijn; Schoonhoven, Lisette</v>
      </c>
      <c r="AK130" s="32">
        <f>IFERROR(__xludf.DUMMYFUNCTION("""COMPUTED_VALUE"""),44440.0)</f>
        <v>44440</v>
      </c>
      <c r="AL130" s="31" t="str">
        <f>IFERROR(__xludf.DUMMYFUNCTION("""COMPUTED_VALUE"""),"PERSPECTIVEs on supervised exercise programs in people with metastatic breast cancer- a qualitative study in four European countries.")</f>
        <v>PERSPECTIVEs on supervised exercise programs in people with metastatic breast cancer- a qualitative study in four European countries.</v>
      </c>
      <c r="AM130" s="31" t="str">
        <f>IFERROR(__xludf.DUMMYFUNCTION("""COMPUTED_VALUE"""),"Depenbusch, Johanna; Sweegers, Maike G; Aaronson, Neil K; Wengström, Yvonne; Backman, Malin; Arraras, Juan I; Schranz, Melanie; Büchler, Britta; Lachowicz, Milena; May, Anne M; Steindorf, Karen; Stuiver, Martijn M")</f>
        <v>Depenbusch, Johanna; Sweegers, Maike G; Aaronson, Neil K; Wengström, Yvonne; Backman, Malin; Arraras, Juan I; Schranz, Melanie; Büchler, Britta; Lachowicz, Milena; May, Anne M; Steindorf, Karen; Stuiver, Martijn M</v>
      </c>
      <c r="AN130" s="32">
        <f>IFERROR(__xludf.DUMMYFUNCTION("""COMPUTED_VALUE"""),45035.0)</f>
        <v>45035</v>
      </c>
    </row>
    <row r="131">
      <c r="A131" s="32"/>
      <c r="I131" s="31" t="str">
        <f>IFERROR(__xludf.DUMMYFUNCTION("""COMPUTED_VALUE"""),"diagnostics basel switzerland")</f>
        <v>diagnostics basel switzerland</v>
      </c>
      <c r="J131" s="38">
        <f>COUNTIF(Data!$F$2:$F9917, $I131)</f>
        <v>2</v>
      </c>
      <c r="T131" s="31" t="s">
        <v>25072</v>
      </c>
      <c r="U131" s="31" t="s">
        <v>25073</v>
      </c>
      <c r="V131" s="32">
        <v>45561.0</v>
      </c>
      <c r="X131" s="31" t="str">
        <f>IFERROR(__xludf.DUMMYFUNCTION("""COMPUTED_VALUE"""),"Vulvovaginal yeast infections during pregnancy and perinatal outcomes: systematic review and meta-analysis.")</f>
        <v>Vulvovaginal yeast infections during pregnancy and perinatal outcomes: systematic review and meta-analysis.</v>
      </c>
      <c r="Y131" s="31" t="str">
        <f>IFERROR(__xludf.DUMMYFUNCTION("""COMPUTED_VALUE"""),"Gigi, Ranjana M S; Buitrago-Garcia, Diana; Taghavi, Katayoun; Dunaiski, Cara-Mia; van de Wijgert, Janneke H H M; Peters, Remco P H; Low, Nicola")</f>
        <v>Gigi, Ranjana M S; Buitrago-Garcia, Diana; Taghavi, Katayoun; Dunaiski, Cara-Mia; van de Wijgert, Janneke H H M; Peters, Remco P H; Low, Nicola</v>
      </c>
      <c r="Z131" s="31">
        <f>IFERROR(__xludf.DUMMYFUNCTION("""COMPUTED_VALUE"""),2023.0)</f>
        <v>2023</v>
      </c>
      <c r="AA131" s="31">
        <f>IFERROR(__xludf.DUMMYFUNCTION("""COMPUTED_VALUE"""),4.0)</f>
        <v>4</v>
      </c>
      <c r="AC131" s="31" t="str">
        <f>IFERROR(__xludf.DUMMYFUNCTION("""COMPUTED_VALUE"""),"Gastro-esophageal Reflux After Laparoscopic Gastrostomy Placement in Children.")</f>
        <v>Gastro-esophageal Reflux After Laparoscopic Gastrostomy Placement in Children.</v>
      </c>
      <c r="AD131" s="31"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31" s="32">
        <f>IFERROR(__xludf.DUMMYFUNCTION("""COMPUTED_VALUE"""),43862.0)</f>
        <v>43862</v>
      </c>
      <c r="AF131" s="31" t="str">
        <f>IFERROR(__xludf.DUMMYFUNCTION("""COMPUTED_VALUE"""),"Interaction of dietary patterns with rs28362491 on severity of coronary artery stenosis in patients undergoing coronary angiography.")</f>
        <v>Interaction of dietary patterns with rs28362491 on severity of coronary artery stenosis in patients undergoing coronary angiography.</v>
      </c>
      <c r="AG131" s="31" t="str">
        <f>IFERROR(__xludf.DUMMYFUNCTION("""COMPUTED_VALUE"""),"Darabi, Zahra; Seyed Hosseini, Seyed Mostafa; Sarebanhassanabadi, Mohammadtaghi; Jambarsang, Sara; Vahidi Mehrjardi, Mohammad Yahya; Hosseinzadeh, Mahdieh; Beigrezaei, Sara; Vasmehjani, Azam Ahmadi; Taftian, Marzieh; Arabi, Vahid; Motallaei, Maryam; Yazdi"&amp;", Faezeh Golvardi; Salehi-Abargouei, Amin; Nadjarzadeh, Azadeh")</f>
        <v>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v>
      </c>
      <c r="AH131" s="32">
        <f>IFERROR(__xludf.DUMMYFUNCTION("""COMPUTED_VALUE"""),45174.0)</f>
        <v>45174</v>
      </c>
      <c r="AI131" s="31" t="str">
        <f>IFERROR(__xludf.DUMMYFUNCTION("""COMPUTED_VALUE"""),"Challenges in Preloss Care to Parents Facing Their Child's End-of-Life: A Qualitative Study From the Clinicians Perspective.")</f>
        <v>Challenges in Preloss Care to Parents Facing Their Child's End-of-Life: A Qualitative Study From the Clinicians Perspective.</v>
      </c>
      <c r="AJ131" s="31" t="str">
        <f>IFERROR(__xludf.DUMMYFUNCTION("""COMPUTED_VALUE"""),"Kochen, Eline M; Teunissen, Saskia C C M; Boelen, Paul A; Jenken, Floor; de Jonge, Roos R; Grootenhuis, Martha A; Kars, Marijke C; ,")</f>
        <v>Kochen, Eline M; Teunissen, Saskia C C M; Boelen, Paul A; Jenken, Floor; de Jonge, Roos R; Grootenhuis, Martha A; Kars, Marijke C; ,</v>
      </c>
      <c r="AK131" s="32">
        <f>IFERROR(__xludf.DUMMYFUNCTION("""COMPUTED_VALUE"""),44435.0)</f>
        <v>44435</v>
      </c>
      <c r="AL131" s="31" t="str">
        <f>IFERROR(__xludf.DUMMYFUNCTION("""COMPUTED_VALUE"""),"Prediction Models for Bronchopulmonary Dysplasia in Preterm Infants: A Systematic Review and Meta-Analysis.")</f>
        <v>Prediction Models for Bronchopulmonary Dysplasia in Preterm Infants: A Systematic Review and Meta-Analysis.</v>
      </c>
      <c r="AM131" s="31" t="str">
        <f>IFERROR(__xludf.DUMMYFUNCTION("""COMPUTED_VALUE"""),"Romijn, Michelle; Dhiman, Paula; Finken, Martijn J J; van Kaam, Anton H; Katz, Trixie A; Rotteveel, Joost; Schuit, Ewoud; Collins, Gary S; Onland, Wes; Torchin, Heloise")</f>
        <v>Romijn, Michelle; Dhiman, Paula; Finken, Martijn J J; van Kaam, Anton H; Katz, Trixie A; Rotteveel, Joost; Schuit, Ewoud; Collins, Gary S; Onland, Wes; Torchin, Heloise</v>
      </c>
      <c r="AN131" s="32">
        <f>IFERROR(__xludf.DUMMYFUNCTION("""COMPUTED_VALUE"""),45029.0)</f>
        <v>45029</v>
      </c>
    </row>
    <row r="132">
      <c r="A132" s="32"/>
      <c r="I132" s="31" t="str">
        <f>IFERROR(__xludf.DUMMYFUNCTION("""COMPUTED_VALUE"""),"plos digital health")</f>
        <v>plos digital health</v>
      </c>
      <c r="J132" s="38">
        <f>COUNTIF(Data!$F$2:$F9917, $I132)</f>
        <v>3</v>
      </c>
      <c r="T132" s="31" t="s">
        <v>25476</v>
      </c>
      <c r="U132" s="31" t="s">
        <v>25477</v>
      </c>
      <c r="V132" s="32">
        <v>45561.0</v>
      </c>
      <c r="X132" s="31" t="str">
        <f>IFERROR(__xludf.DUMMYFUNCTION("""COMPUTED_VALUE"""),"Identifying the prevalence and correlates of multimorbidity in middle-aged men and women: a cross-sectional population-based study in four African countries.")</f>
        <v>Identifying the prevalence and correlates of multimorbidity in middle-aged men and women: a cross-sectional population-based study in four African countries.</v>
      </c>
      <c r="Y132" s="31" t="str">
        <f>IFERROR(__xludf.DUMMYFUNCTION("""COMPUTED_VALUE"""),"Micklesfield, Lisa K; Munthali, Richard; Agongo, Godfred; Asiki, Gershim; Boua, Palwende; Choma, Solomon Sr; Crowther, Nigel J; Fabian, June; Gómez-Olivé, Francesc Xavier; Kabudula, Chodziwadziwa; Maimela, Eric; Mohamed, Shukri F; Nonterah, Engelbert A; R"&amp;"aal, Frederick J; Sorgho, Hermann; Tluway, Furahini D; Wade, Alisha N; Norris, Shane A; Ramsay, Michele; ,")</f>
        <v>Micklesfield, Lisa K; Munthali, Richard; Agongo, Godfred; Asiki, Gershim; Boua, Palwende; Choma, Solomon Sr; Crowther, Nigel J; Fabian, June; Gómez-Olivé, Francesc Xavier; Kabudula, Chodziwadziwa; Maimela, Eric; Mohamed, Shukri F; Nonterah, Engelbert A; Raal, Frederick J; Sorgho, Hermann; Tluway, Furahini D; Wade, Alisha N; Norris, Shane A; Ramsay, Michele; ,</v>
      </c>
      <c r="Z132" s="31">
        <f>IFERROR(__xludf.DUMMYFUNCTION("""COMPUTED_VALUE"""),2023.0)</f>
        <v>2023</v>
      </c>
      <c r="AA132" s="31">
        <f>IFERROR(__xludf.DUMMYFUNCTION("""COMPUTED_VALUE"""),4.0)</f>
        <v>4</v>
      </c>
      <c r="AC132" s="31" t="str">
        <f>IFERROR(__xludf.DUMMYFUNCTION("""COMPUTED_VALUE"""),"Big Data in the Assessment of Pediatric Medication Safety.")</f>
        <v>Big Data in the Assessment of Pediatric Medication Safety.</v>
      </c>
      <c r="AD132" s="31" t="str">
        <f>IFERROR(__xludf.DUMMYFUNCTION("""COMPUTED_VALUE"""),"McMahon, Ann W; Cooper, William O; Brown, Jeffrey S; Carleton, Bruce; Doshi-Velez, Finale; Kohane, Isaac; Goldman, Jennifer L; Hoffman, Mark A; Kamaleswaran, Rishikesan; Sakiyama, Michiyo; Sekine, Shohko; Sturkenboom, Miriam C J M; Turner, Mark A; Califf,"&amp;" Robert M")</f>
        <v>McMahon, Ann W; Cooper, William O; Brown, Jeffrey S; Carleton, Bruce; Doshi-Velez, Finale; Kohane, Isaac; Goldman, Jennifer L; Hoffman, Mark A; Kamaleswaran, Rishikesan; Sakiyama, Michiyo; Sekine, Shohko; Sturkenboom, Miriam C J M; Turner, Mark A; Califf, Robert M</v>
      </c>
      <c r="AE132" s="32">
        <f>IFERROR(__xludf.DUMMYFUNCTION("""COMPUTED_VALUE"""),43844.0)</f>
        <v>43844</v>
      </c>
      <c r="AF132" s="31" t="str">
        <f>IFERROR(__xludf.DUMMYFUNCTION("""COMPUTED_VALUE"""),"Multimorbidity in Heart Failure: Leveraging Cluster Analysis to Guide Tailored Treatment Strategies.")</f>
        <v>Multimorbidity in Heart Failure: Leveraging Cluster Analysis to Guide Tailored Treatment Strategies.</v>
      </c>
      <c r="AG132" s="31" t="str">
        <f>IFERROR(__xludf.DUMMYFUNCTION("""COMPUTED_VALUE"""),"van de Veerdonk, Mariëlle C; Savarese, Gianluigi; Handoko, M Louis; Beulens, Joline W J; Asselbergs, Folkert; Uijl, Alicia")</f>
        <v>van de Veerdonk, Mariëlle C; Savarese, Gianluigi; Handoko, M Louis; Beulens, Joline W J; Asselbergs, Folkert; Uijl, Alicia</v>
      </c>
      <c r="AH132" s="32">
        <f>IFERROR(__xludf.DUMMYFUNCTION("""COMPUTED_VALUE"""),45171.0)</f>
        <v>45171</v>
      </c>
      <c r="AI132" s="31" t="str">
        <f>IFERROR(__xludf.DUMMYFUNCTION("""COMPUTED_VALUE"""),"How Do Care Transitions Work?: Unraveling the Working Mechanisms of Care Transition Interventions.")</f>
        <v>How Do Care Transitions Work?: Unraveling the Working Mechanisms of Care Transition Interventions.</v>
      </c>
      <c r="AJ132" s="31" t="str">
        <f>IFERROR(__xludf.DUMMYFUNCTION("""COMPUTED_VALUE"""),"Zwart, Dorien L M; Schnipper, Jeffrey L; Vermond, Debbie; Bates, David W")</f>
        <v>Zwart, Dorien L M; Schnipper, Jeffrey L; Vermond, Debbie; Bates, David W</v>
      </c>
      <c r="AK132" s="32">
        <f>IFERROR(__xludf.DUMMYFUNCTION("""COMPUTED_VALUE"""),44409.0)</f>
        <v>44409</v>
      </c>
      <c r="AL132" s="31" t="str">
        <f>IFERROR(__xludf.DUMMYFUNCTION("""COMPUTED_VALUE"""),"Leisure-time and occupational physical activity and health outcomes in cardiovascular disease.")</f>
        <v>Leisure-time and occupational physical activity and health outcomes in cardiovascular disease.</v>
      </c>
      <c r="AM132" s="31" t="str">
        <f>IFERROR(__xludf.DUMMYFUNCTION("""COMPUTED_VALUE"""),"Bonekamp, Nadia E; Visseren, Frank L J; Ruigrok, Ynte; Cramer, Maarten J M; de Borst, Gert Jan; May, Anne M; Koopal, Charlotte; ,; ,")</f>
        <v>Bonekamp, Nadia E; Visseren, Frank L J; Ruigrok, Ynte; Cramer, Maarten J M; de Borst, Gert Jan; May, Anne M; Koopal, Charlotte; ,; ,</v>
      </c>
      <c r="AN132" s="32">
        <f>IFERROR(__xludf.DUMMYFUNCTION("""COMPUTED_VALUE"""),45028.0)</f>
        <v>45028</v>
      </c>
    </row>
    <row r="133">
      <c r="A133" s="32"/>
      <c r="I133" s="31" t="str">
        <f>IFERROR(__xludf.DUMMYFUNCTION("""COMPUTED_VALUE"""),"journal of the american heart association")</f>
        <v>journal of the american heart association</v>
      </c>
      <c r="J133" s="38">
        <f>COUNTIF(Data!$F$2:$F9917, $I133)</f>
        <v>28</v>
      </c>
      <c r="T133" s="31" t="s">
        <v>25115</v>
      </c>
      <c r="U133" s="31" t="s">
        <v>25116</v>
      </c>
      <c r="V133" s="32">
        <v>45560.0</v>
      </c>
      <c r="X133" s="31" t="str">
        <f>IFERROR(__xludf.DUMMYFUNCTION("""COMPUTED_VALUE"""),"Gender equality related to gender differences in life expectancy across the globe gender equality and life expectancy.")</f>
        <v>Gender equality related to gender differences in life expectancy across the globe gender equality and life expectancy.</v>
      </c>
      <c r="Y133" s="31" t="str">
        <f>IFERROR(__xludf.DUMMYFUNCTION("""COMPUTED_VALUE"""),"Pinho-Gomes, Ana-Catarina; Peters, Sanne A E; Woodward, Mark")</f>
        <v>Pinho-Gomes, Ana-Catarina; Peters, Sanne A E; Woodward, Mark</v>
      </c>
      <c r="Z133" s="31">
        <f>IFERROR(__xludf.DUMMYFUNCTION("""COMPUTED_VALUE"""),2023.0)</f>
        <v>2023</v>
      </c>
      <c r="AA133" s="31">
        <f>IFERROR(__xludf.DUMMYFUNCTION("""COMPUTED_VALUE"""),4.0)</f>
        <v>4</v>
      </c>
      <c r="AC133" s="31" t="str">
        <f>IFERROR(__xludf.DUMMYFUNCTION("""COMPUTED_VALUE"""),"Description of the Risk Management of Medication Errors for Centrally Authorised Products in the European Union.")</f>
        <v>Description of the Risk Management of Medication Errors for Centrally Authorised Products in the European Union.</v>
      </c>
      <c r="AD133" s="31" t="str">
        <f>IFERROR(__xludf.DUMMYFUNCTION("""COMPUTED_VALUE"""),"Hoeve, Christina E; Francisca, Reynold D C; Zomerdijk, Inge; Sturkenboom, Miriam C J M; Straus, Sabine M J M")</f>
        <v>Hoeve, Christina E; Francisca, Reynold D C; Zomerdijk, Inge; Sturkenboom, Miriam C J M; Straus, Sabine M J M</v>
      </c>
      <c r="AE133" s="32">
        <f>IFERROR(__xludf.DUMMYFUNCTION("""COMPUTED_VALUE"""),43831.0)</f>
        <v>43831</v>
      </c>
      <c r="AF133" s="31" t="str">
        <f>IFERROR(__xludf.DUMMYFUNCTION("""COMPUTED_VALUE"""),"Does Heterogeneity Exist in Treatment Associations With Renin-Angiotensin-System Inhibitors or Beta-blockers According to Phenotype Clusters in Heart Failure with Preserved Ejection Fraction?")</f>
        <v>Does Heterogeneity Exist in Treatment Associations With Renin-Angiotensin-System Inhibitors or Beta-blockers According to Phenotype Clusters in Heart Failure with Preserved Ejection Fraction?</v>
      </c>
      <c r="AG133" s="31" t="str">
        <f>IFERROR(__xludf.DUMMYFUNCTION("""COMPUTED_VALUE"""),"Uijl, Alicia; Koudstaal, Stefan; Stolfo, Davide; Dahlström, Ulf; Vaartjes, Ilonca; Grobbee, Rick E; Asselbergs, Folkert W; Lund, Lars H; Savarese, Gianluigi")</f>
        <v>Uijl, Alicia; Koudstaal, Stefan; Stolfo, Davide; Dahlström, Ulf; Vaartjes, Ilonca; Grobbee, Rick E; Asselbergs, Folkert W; Lund, Lars H; Savarese, Gianluigi</v>
      </c>
      <c r="AH133" s="32">
        <f>IFERROR(__xludf.DUMMYFUNCTION("""COMPUTED_VALUE"""),45163.0)</f>
        <v>45163</v>
      </c>
      <c r="AI133" s="31" t="str">
        <f>IFERROR(__xludf.DUMMYFUNCTION("""COMPUTED_VALUE"""),"Incidence and management of acute otitis media in adults: a primary care-based cohort study.")</f>
        <v>Incidence and management of acute otitis media in adults: a primary care-based cohort study.</v>
      </c>
      <c r="AJ133" s="31" t="str">
        <f>IFERROR(__xludf.DUMMYFUNCTION("""COMPUTED_VALUE"""),"Rijk, Merijn H; Hullegie, Saskia; Schilder, Anne G M; Kortekaas, Marlous F; Damoiseaux, Roger A M J; Verheij, Theo J M; Venekamp, Roderick P")</f>
        <v>Rijk, Merijn H; Hullegie, Saskia; Schilder, Anne G M; Kortekaas, Marlous F; Damoiseaux, Roger A M J; Verheij, Theo J M; Venekamp, Roderick P</v>
      </c>
      <c r="AK133" s="32">
        <f>IFERROR(__xludf.DUMMYFUNCTION("""COMPUTED_VALUE"""),44405.0)</f>
        <v>44405</v>
      </c>
      <c r="AL133" s="31" t="str">
        <f>IFERROR(__xludf.DUMMYFUNCTION("""COMPUTED_VALUE"""),"Gut microbiome alterations in patients with COVID-19-related coagulopathy.")</f>
        <v>Gut microbiome alterations in patients with COVID-19-related coagulopathy.</v>
      </c>
      <c r="AM133" s="31" t="str">
        <f>IFERROR(__xludf.DUMMYFUNCTION("""COMPUTED_VALUE"""),"Chen, Youli; Li, Xin; Yu, Cheng; Wang, Erchuan; Luo, Chang; Jin, Yu; Zhang, Lei; Ma, Yanling; Jin, Yan; Yang, Ling; Sun, Binlian; Qiao, Jialu; Zhou, Xiang; Rasche, Leo; Einsele, Hermann; Song, Jun; Bai, Tao; Hou, Xiaohua")</f>
        <v>Chen, Youli; Li, Xin; Yu, Cheng; Wang, Erchuan; Luo, Chang; Jin, Yu; Zhang, Lei; Ma, Yanling; Jin, Yan; Yang, Ling; Sun, Binlian; Qiao, Jialu; Zhou, Xiang; Rasche, Leo; Einsele, Hermann; Song, Jun; Bai, Tao; Hou, Xiaohua</v>
      </c>
      <c r="AN133" s="32">
        <f>IFERROR(__xludf.DUMMYFUNCTION("""COMPUTED_VALUE"""),45027.0)</f>
        <v>45027</v>
      </c>
    </row>
    <row r="134">
      <c r="A134" s="32"/>
      <c r="I134" s="31" t="str">
        <f>IFERROR(__xludf.DUMMYFUNCTION("""COMPUTED_VALUE"""),"lancet london england")</f>
        <v>lancet london england</v>
      </c>
      <c r="J134" s="38">
        <f>COUNTIF(Data!$F$2:$F9917, $I134)</f>
        <v>23</v>
      </c>
      <c r="T134" s="31" t="s">
        <v>24809</v>
      </c>
      <c r="U134" s="31" t="s">
        <v>24805</v>
      </c>
      <c r="V134" s="32">
        <v>45559.0</v>
      </c>
      <c r="X134" s="31" t="str">
        <f>IFERROR(__xludf.DUMMYFUNCTION("""COMPUTED_VALUE"""),"The endometrial microbiota of women with or without a live birth within 12 months after a first failed IVF/ICSI cycle.")</f>
        <v>The endometrial microbiota of women with or without a live birth within 12 months after a first failed IVF/ICSI cycle.</v>
      </c>
      <c r="Y134" s="31" t="str">
        <f>IFERROR(__xludf.DUMMYFUNCTION("""COMPUTED_VALUE"""),"Bui, Bich Ngoc; van Hoogenhuijze, Nienke; Viveen, Marco; Mol, Femke; Teklenburg, Gijs; de Bruin, Jan-Peter; Besselink, Dagmar; Brentjens, Linda Stevens; Mackens, Shari; Rogers, Malbert R C; Steba, Gaby S; Broekmans, Frank; Paganelli, Fernanda L; van de Wi"&amp;"jgert, Janneke H H M")</f>
        <v>Bui, Bich Ngoc; van Hoogenhuijze, Nienke; Viveen, Marco; Mol, Femke; Teklenburg, Gijs; de Bruin, Jan-Peter; Besselink, Dagmar; Brentjens, Linda Stevens; Mackens, Shari; Rogers, Malbert R C; Steba, Gaby S; Broekmans, Frank; Paganelli, Fernanda L; van de Wijgert, Janneke H H M</v>
      </c>
      <c r="Z134" s="31">
        <f>IFERROR(__xludf.DUMMYFUNCTION("""COMPUTED_VALUE"""),2023.0)</f>
        <v>2023</v>
      </c>
      <c r="AA134" s="31">
        <f>IFERROR(__xludf.DUMMYFUNCTION("""COMPUTED_VALUE"""),4.0)</f>
        <v>4</v>
      </c>
      <c r="AC134" s="31" t="str">
        <f>IFERROR(__xludf.DUMMYFUNCTION("""COMPUTED_VALUE"""),"Circulating Levels of Insulin-like Growth Factor 1 and Insulin-like Growth Factor Binding Protein 3 Associate With Risk of Colorectal Cancer Based on Serologic and Mendelian Randomization Analyses.")</f>
        <v>Circulating Levels of Insulin-like Growth Factor 1 and Insulin-like Growth Factor Binding Protein 3 Associate With Risk of Colorectal Cancer Based on Serologic and Mendelian Randomization Analyses.</v>
      </c>
      <c r="AD134" s="31" t="str">
        <f>IFERROR(__xludf.DUMMYFUNCTION("""COMPUTED_VALUE"""),"Murphy, Neil; Carreras-Torres, Robert; Song, Mingyang; Chan, Andrew T; Martin, Richard M; Papadimitriou, Nikos; Dimou, Niki; Tsilidis, Konstantinos K; Banbury, Barbara; Bradbury, Kathryn E; Besevic, Jelena; Rinaldi, Sabina; Riboli, Elio; Cross, Amanda J; "&amp;"Travis, Ruth C; Agnoli, Claudia; Albanes, Demetrius; Berndt, Sonja I; Bézieau, Stéphane; Bishop, D Timothy; Brenner, Hermann; Buchanan, Daniel D; Onland-Moret, N Charlotte; Burnett-Hartman, Andrea; Campbell, Peter T; Casey, Graham; Castellví-Bel, Sergi; C"&amp;"hang-Claude, Jenny; Chirlaque, María-Dolores; de la Chapelle, Albert; English, Dallas; Figueiredo, Jane C; Gallinger, Steven J; Giles, Graham G; Gruber, Stephen B; Gsur, Andrea; Hampe, Jochen; Hampel, Heather; Harrison, Tabitha A; Hoffmeister, Michael; Hs"&amp;"u, Li; Huang, Wen-Yi; Huyghe, Jeroen R; Jenkins, Mark A; Keku, Temitope O; Kühn, Tilman; Kweon, Sun-Seog; Le Marchand, Loic; Li, Christopher I; Li, Li; Lindblom, Annika; Martín, Vicente; Milne, Roger L; Moreno, Victor; Newcomb, Polly A")</f>
        <v>Murphy, Neil; Carreras-Torres, Robert; Song, Mingyang; Chan, Andrew T; Martin, Richard M; Papadimitriou, Nikos; Dimou, Niki; Tsilidis, Konstantinos K; Banbury, Barbara; Bradbury, Kathryn E; Besevic, Jelena; Rinaldi, Sabina; Riboli, Elio; Cross, Amanda J; Travis, Ruth C; Agnoli, Claudia; Albanes, Demetrius; Berndt, Sonja I; Bézieau, Stéphane; Bishop, D Timothy; Brenner, Hermann; Buchanan, Daniel D; Onland-Moret, N Charlotte; Burnett-Hartman, Andrea; Campbell, Peter T; Casey, Graham; Castellví-Bel, Sergi; Chang-Claude, Jenny; Chirlaque, María-Dolores; de la Chapelle, Albert; English, Dallas; Figueiredo, Jane C; Gallinger, Steven J; Giles, Graham G; Gruber, Stephen B; Gsur, Andrea; Hampe, Jochen; Hampel, Heather; Harrison, Tabitha A; Hoffmeister, Michael; Hsu, Li; Huang, Wen-Yi; Huyghe, Jeroen R; Jenkins, Mark A; Keku, Temitope O; Kühn, Tilman; Kweon, Sun-Seog; Le Marchand, Loic; Li, Christopher I; Li, Li; Lindblom, Annika; Martín, Vicente; Milne, Roger L; Moreno, Victor; Newcomb, Polly A</v>
      </c>
      <c r="AE134" s="32">
        <f>IFERROR(__xludf.DUMMYFUNCTION("""COMPUTED_VALUE"""),43826.0)</f>
        <v>43826</v>
      </c>
      <c r="AF134" s="31" t="str">
        <f>IFERROR(__xludf.DUMMYFUNCTION("""COMPUTED_VALUE"""),"Associations between prenatal maternal stress, maternal inflammation during pregnancy, and children's internalizing and externalizing symptoms throughout childhood.")</f>
        <v>Associations between prenatal maternal stress, maternal inflammation during pregnancy, and children's internalizing and externalizing symptoms throughout childhood.</v>
      </c>
      <c r="AG134" s="31" t="str">
        <f>IFERROR(__xludf.DUMMYFUNCTION("""COMPUTED_VALUE"""),"Clayborne, Zahra M; Zou, Runyu; Gilman, Stephen E; Khandaker, Golam M; Fell, Deshayne B; Colman, Ian; El Marroun, Hanan")</f>
        <v>Clayborne, Zahra M; Zou, Runyu; Gilman, Stephen E; Khandaker, Golam M; Fell, Deshayne B; Colman, Ian; El Marroun, Hanan</v>
      </c>
      <c r="AH134" s="32">
        <f>IFERROR(__xludf.DUMMYFUNCTION("""COMPUTED_VALUE"""),45158.0)</f>
        <v>45158</v>
      </c>
      <c r="AI134" s="31" t="str">
        <f>IFERROR(__xludf.DUMMYFUNCTION("""COMPUTED_VALUE"""),"Direct and Indirect Costs of Influenza-Like Illness Treated with and Without Oseltamivir in 15 European Countries: A Descriptive Analysis Alongside the Randomised Controlled ALIC&lt;sup&gt;4&lt;/sup&gt;E Trial.")</f>
        <v>Direct and Indirect Costs of Influenza-Like Illness Treated with and Without Oseltamivir in 15 European Countries: A Descriptive Analysis Alongside the Randomised Controlled ALIC&lt;sup&gt;4&lt;/sup&gt;E Trial.</v>
      </c>
      <c r="AJ134" s="31" t="str">
        <f>IFERROR(__xludf.DUMMYFUNCTION("""COMPUTED_VALUE"""),"Li, Xiao; Bilcke, Joke; van der Velden, Alike W; Bongard, Emily; Bruyndonckx, Robin; Sundvall, Pär-Daniel; Harbin, Nicolay J; Coenen, Samuel; Francis, Nick; Bruno, Pascale; Garcia-Sangenis, Ana; Glinz, Dominik; Kosiek, Katarzyna; Mikó-Pauer, Réka; Radzevi"&amp;"ciene Jurgute, Ruta; Seifert, Bohumil; Tsakountakis, Nikolaos; Aabenhus, Rune; Butler, Christopher C; Beutels, Philippe")</f>
        <v>Li, Xiao; Bilcke, Joke; van der Velden, Alike W; Bongard, Emily; Bruyndonckx, Robin; Sundvall, Pär-Daniel; Harbin, Nicolay J; Coenen, Samuel; Francis, Nick; Bruno, Pascale; Garcia-Sangenis, Ana; Glinz, Dominik; Kosiek, Katarzyna; Mikó-Pauer, Réka; Radzeviciene Jurgute, Ruta; Seifert, Bohumil; Tsakountakis, Nikolaos; Aabenhus, Rune; Butler, Christopher C; Beutels, Philippe</v>
      </c>
      <c r="AK134" s="32">
        <f>IFERROR(__xludf.DUMMYFUNCTION("""COMPUTED_VALUE"""),44399.0)</f>
        <v>44399</v>
      </c>
      <c r="AL134" s="31" t="str">
        <f>IFERROR(__xludf.DUMMYFUNCTION("""COMPUTED_VALUE"""),"Factors influencing scar formation following Bacille Calmette-Guérin (BCG) vaccination.")</f>
        <v>Factors influencing scar formation following Bacille Calmette-Guérin (BCG) vaccination.</v>
      </c>
      <c r="AM134" s="31"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AN134" s="32">
        <f>IFERROR(__xludf.DUMMYFUNCTION("""COMPUTED_VALUE"""),45022.0)</f>
        <v>45022</v>
      </c>
    </row>
    <row r="135">
      <c r="A135" s="32"/>
      <c r="I135" s="31" t="str">
        <f>IFERROR(__xludf.DUMMYFUNCTION("""COMPUTED_VALUE"""),"nature food")</f>
        <v>nature food</v>
      </c>
      <c r="J135" s="38">
        <f>COUNTIF(Data!$F$2:$F9917, $I135)</f>
        <v>1</v>
      </c>
      <c r="T135" s="31" t="s">
        <v>24811</v>
      </c>
      <c r="U135" s="31" t="s">
        <v>24805</v>
      </c>
      <c r="V135" s="32">
        <v>45559.0</v>
      </c>
      <c r="X135" s="31" t="str">
        <f>IFERROR(__xludf.DUMMYFUNCTION("""COMPUTED_VALUE"""),"Risk Prediction of New Intracranial Aneurysms at Follow-Up Screening in People With a Positive Family History.")</f>
        <v>Risk Prediction of New Intracranial Aneurysms at Follow-Up Screening in People With a Positive Family History.</v>
      </c>
      <c r="Y135" s="31" t="str">
        <f>IFERROR(__xludf.DUMMYFUNCTION("""COMPUTED_VALUE"""),"Zuurbier, Charlotte C M; Bourcier, Romain; Constant Dit Beaufils, Pacôme; Redon, Richard; Desal, Hubert; ,; Bor, Anne S E; Rinkel, Gabriel J E; Greving, Jacoba P; Ruigrok, Ynte M")</f>
        <v>Zuurbier, Charlotte C M; Bourcier, Romain; Constant Dit Beaufils, Pacôme; Redon, Richard; Desal, Hubert; ,; Bor, Anne S E; Rinkel, Gabriel J E; Greving, Jacoba P; Ruigrok, Ynte M</v>
      </c>
      <c r="Z135" s="31">
        <f>IFERROR(__xludf.DUMMYFUNCTION("""COMPUTED_VALUE"""),2023.0)</f>
        <v>2023</v>
      </c>
      <c r="AA135" s="31">
        <f>IFERROR(__xludf.DUMMYFUNCTION("""COMPUTED_VALUE"""),4.0)</f>
        <v>4</v>
      </c>
      <c r="AC135" s="31" t="str">
        <f>IFERROR(__xludf.DUMMYFUNCTION("""COMPUTED_VALUE"""),"The Effect of Gut Microbiome Composition on Human Immune Responses: An Exploration of Interference by Helminth Infections.")</f>
        <v>The Effect of Gut Microbiome Composition on Human Immune Responses: An Exploration of Interference by Helminth Infections.</v>
      </c>
      <c r="AD135" s="31" t="str">
        <f>IFERROR(__xludf.DUMMYFUNCTION("""COMPUTED_VALUE"""),"Martin, Ivonne; Kaisar, Maria M M; Wiria, Aprilianto E; Hamid, Firdaus; Djuardi, Yenny; Sartono, Erliyani; Rosa, Bruce A; Mitreva, Makedonka; Supali, Taniawati; Houwing-Duistermaat, Jeanine J; Yazdanbakhsh, Maria; Wammes, Linda J")</f>
        <v>Martin, Ivonne; Kaisar, Maria M M; Wiria, Aprilianto E; Hamid, Firdaus; Djuardi, Yenny; Sartono, Erliyani; Rosa, Bruce A; Mitreva, Makedonka; Supali, Taniawati; Houwing-Duistermaat, Jeanine J; Yazdanbakhsh, Maria; Wammes, Linda J</v>
      </c>
      <c r="AE135" s="32">
        <f>IFERROR(__xludf.DUMMYFUNCTION("""COMPUTED_VALUE"""),43775.0)</f>
        <v>43775</v>
      </c>
      <c r="AF135" s="31" t="str">
        <f>IFERROR(__xludf.DUMMYFUNCTION("""COMPUTED_VALUE"""),"Dynamic consent, communication and return of results in large-scale health data reuse: Survey of public preferences.")</f>
        <v>Dynamic consent, communication and return of results in large-scale health data reuse: Survey of public preferences.</v>
      </c>
      <c r="AG135" s="31" t="str">
        <f>IFERROR(__xludf.DUMMYFUNCTION("""COMPUTED_VALUE"""),"Muller, Sam Ha; van Thiel, Ghislaine Jmw; Mostert, Menno; van Delden, Johannes Jm")</f>
        <v>Muller, Sam Ha; van Thiel, Ghislaine Jmw; Mostert, Menno; van Delden, Johannes Jm</v>
      </c>
      <c r="AH135" s="32">
        <f>IFERROR(__xludf.DUMMYFUNCTION("""COMPUTED_VALUE"""),45154.0)</f>
        <v>45154</v>
      </c>
      <c r="AI135" s="31" t="str">
        <f>IFERROR(__xludf.DUMMYFUNCTION("""COMPUTED_VALUE"""),"Exploring key elements of approaches that support childrens' preferences during painful and stressful medical procedures: A scoping review.")</f>
        <v>Exploring key elements of approaches that support childrens' preferences during painful and stressful medical procedures: A scoping review.</v>
      </c>
      <c r="AJ135" s="31" t="str">
        <f>IFERROR(__xludf.DUMMYFUNCTION("""COMPUTED_VALUE"""),"Segers, Elisabeth W; Ketelaar, Marjolijn; Taddio, Anna; de Man, Marjorie A C P; Schoonhoven, Lisette; van de Putte, Elise M; van den Hoogen, Agnes")</f>
        <v>Segers, Elisabeth W; Ketelaar, Marjolijn; Taddio, Anna; de Man, Marjorie A C P; Schoonhoven, Lisette; van de Putte, Elise M; van den Hoogen, Agnes</v>
      </c>
      <c r="AK135" s="32">
        <f>IFERROR(__xludf.DUMMYFUNCTION("""COMPUTED_VALUE"""),44389.0)</f>
        <v>44389</v>
      </c>
      <c r="AL135" s="31" t="str">
        <f>IFERROR(__xludf.DUMMYFUNCTION("""COMPUTED_VALUE"""),"Fluoropyrimidine-induced hand-foot syndrome and cardiotoxicity: recommendations for the use of the oral fluoropyrimidine S-1 in metastatic colorectal cancer.")</f>
        <v>Fluoropyrimidine-induced hand-foot syndrome and cardiotoxicity: recommendations for the use of the oral fluoropyrimidine S-1 in metastatic colorectal cancer.</v>
      </c>
      <c r="AM135" s="31" t="str">
        <f>IFERROR(__xludf.DUMMYFUNCTION("""COMPUTED_VALUE"""),"Punt, C J A; Heinemann, V; Maughan, T; Cremolini, C; Van Cutsem, E; McDermott, R; Bodoky, G; André, T; Osterlund, P; Teske, A J; Pfeiffer, P")</f>
        <v>Punt, C J A; Heinemann, V; Maughan, T; Cremolini, C; Van Cutsem, E; McDermott, R; Bodoky, G; André, T; Osterlund, P; Teske, A J; Pfeiffer, P</v>
      </c>
      <c r="AN135" s="32">
        <f>IFERROR(__xludf.DUMMYFUNCTION("""COMPUTED_VALUE"""),45019.0)</f>
        <v>45019</v>
      </c>
    </row>
    <row r="136">
      <c r="A136" s="32"/>
      <c r="I136" s="31" t="str">
        <f>IFERROR(__xludf.DUMMYFUNCTION("""COMPUTED_VALUE"""),"molecular genetics and metabolism")</f>
        <v>molecular genetics and metabolism</v>
      </c>
      <c r="J136" s="38">
        <f>COUNTIF(Data!$F$2:$F9917, $I136)</f>
        <v>1</v>
      </c>
      <c r="T136" s="31" t="s">
        <v>25563</v>
      </c>
      <c r="U136" s="31" t="s">
        <v>25564</v>
      </c>
      <c r="V136" s="32">
        <v>45558.0</v>
      </c>
      <c r="X136" s="31" t="str">
        <f>IFERROR(__xludf.DUMMYFUNCTION("""COMPUTED_VALUE"""),"Change in glycaemic control with structured diabetes self-management education in urban low-resource settings: multicentre randomised trial of effectiveness.")</f>
        <v>Change in glycaemic control with structured diabetes self-management education in urban low-resource settings: multicentre randomised trial of effectiveness.</v>
      </c>
      <c r="Y136" s="31" t="str">
        <f>IFERROR(__xludf.DUMMYFUNCTION("""COMPUTED_VALUE"""),"Lamptey, Roberta; Amoakoh-Coleman, Mary; Barker, Mary Moffett; Iddi, Samuel; Hadjiconstantinou, Michelle; Davies, Melanie; Darko, Daniel; Agyepong, Irene; Acheampong, Franklyn; Commey, Mary; Yawson, Alfred; Grobbee, Diederick E; Adjei, George Obeng; Klips"&amp;"tein-Grobusch, Kerstin")</f>
        <v>Lamptey, Roberta; Amoakoh-Coleman, Mary; Barker, Mary Moffett; Iddi, Samuel; Hadjiconstantinou, Michelle; Davies, Melanie; Darko, Daniel; Agyepong, Irene; Acheampong, Franklyn; Commey, Mary; Yawson, Alfred; Grobbee, Diederick E; Adjei, George Obeng; Klipstein-Grobusch, Kerstin</v>
      </c>
      <c r="Z136" s="31">
        <f>IFERROR(__xludf.DUMMYFUNCTION("""COMPUTED_VALUE"""),2023.0)</f>
        <v>2023</v>
      </c>
      <c r="AA136" s="31">
        <f>IFERROR(__xludf.DUMMYFUNCTION("""COMPUTED_VALUE"""),4.0)</f>
        <v>4</v>
      </c>
      <c r="AC136" s="31" t="str">
        <f>IFERROR(__xludf.DUMMYFUNCTION("""COMPUTED_VALUE"""),"Health-related quality of life in children after laparoscopic gastrostomy placement.")</f>
        <v>Health-related quality of life in children after laparoscopic gastrostomy placement.</v>
      </c>
      <c r="AD136" s="31"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36" s="32">
        <f>IFERROR(__xludf.DUMMYFUNCTION("""COMPUTED_VALUE"""),43693.0)</f>
        <v>43693</v>
      </c>
      <c r="AF136" s="31" t="str">
        <f>IFERROR(__xludf.DUMMYFUNCTION("""COMPUTED_VALUE"""),"Impact of antenatal care on severe maternal and neonatal outcomes in pregnancies complicated by preeclampsia and eclampsia in Ghana.")</f>
        <v>Impact of antenatal care on severe maternal and neonatal outcomes in pregnancies complicated by preeclampsia and eclampsia in Ghana.</v>
      </c>
      <c r="AG136" s="31" t="str">
        <f>IFERROR(__xludf.DUMMYFUNCTION("""COMPUTED_VALUE"""),"Beyuo, Titus K; Lawrence, Emma R; Oppong, Samuel A; Kobernik, Emily K; Amoakoh-Coleman, Mary; Grobbee, Diederick E; Browne, Joyce L; Bloemenkamp, K W M")</f>
        <v>Beyuo, Titus K; Lawrence, Emma R; Oppong, Samuel A; Kobernik, Emily K; Amoakoh-Coleman, Mary; Grobbee, Diederick E; Browne, Joyce L; Bloemenkamp, K W M</v>
      </c>
      <c r="AH136" s="32">
        <f>IFERROR(__xludf.DUMMYFUNCTION("""COMPUTED_VALUE"""),45152.0)</f>
        <v>45152</v>
      </c>
      <c r="AI136" s="31" t="str">
        <f>IFERROR(__xludf.DUMMYFUNCTION("""COMPUTED_VALUE"""),"A scoping review of rebel nurse leadership: Descriptions, competences and stimulating/hindering factors.")</f>
        <v>A scoping review of rebel nurse leadership: Descriptions, competences and stimulating/hindering factors.</v>
      </c>
      <c r="AJ136" s="31" t="str">
        <f>IFERROR(__xludf.DUMMYFUNCTION("""COMPUTED_VALUE"""),"de Kok, Eline; Weggelaar-Jansen, Anne Marie; Schoonhoven, Lisette; Lalleman, Pieterbas")</f>
        <v>de Kok, Eline; Weggelaar-Jansen, Anne Marie; Schoonhoven, Lisette; Lalleman, Pieterbas</v>
      </c>
      <c r="AK136" s="32">
        <f>IFERROR(__xludf.DUMMYFUNCTION("""COMPUTED_VALUE"""),44322.0)</f>
        <v>44322</v>
      </c>
      <c r="AL136" s="31" t="str">
        <f>IFERROR(__xludf.DUMMYFUNCTION("""COMPUTED_VALUE"""),"The association between body fatness and mortality among breast cancer survivors: results from a prospective cohort study.")</f>
        <v>The association between body fatness and mortality among breast cancer survivors: results from a prospective cohort study.</v>
      </c>
      <c r="AM136" s="31" t="str">
        <f>IFERROR(__xludf.DUMMYFUNCTION("""COMPUTED_VALUE"""),"Bonet, Catalina; Crous-Bou, Marta; Tsilidis, Konstantinos K; Gunter, Marc J; Kaaks, Rudolf; Schulze, Matthias B; Fortner, Renée T; Antoniussen, Christian S; Dahm, Christina C; Mellemkjær, Lene; Tjønneland, Anne; Amiano, Pilar; Ardanaz, Eva; Colorado-Yohar"&amp;", Sandra M; Rodriguez-Barranco, Miguel; Tin Tin, Sandar; Agnoli, Claudia; Masala, Giovanna; Panico, Salvatore; Sacerdote, Carlotta; May, Anne M; Borch, Kristin Benjaminsen; Rylander, Charlotta; Skeie, Guri; Christakoudi, Sofia; Aune, Dagfinn; Weiderpass, "&amp;"Elisabete; Dossus, Laure; Riboli, Elio; Agudo, Antonio")</f>
        <v>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v>
      </c>
      <c r="AN136" s="32">
        <f>IFERROR(__xludf.DUMMYFUNCTION("""COMPUTED_VALUE"""),45014.0)</f>
        <v>45014</v>
      </c>
    </row>
    <row r="137">
      <c r="A137" s="32"/>
      <c r="I137" s="31" t="str">
        <f>IFERROR(__xludf.DUMMYFUNCTION("""COMPUTED_VALUE"""),"current developments in nutrition")</f>
        <v>current developments in nutrition</v>
      </c>
      <c r="J137" s="38">
        <f>COUNTIF(Data!$F$2:$F9917, $I137)</f>
        <v>2</v>
      </c>
      <c r="T137" s="31" t="s">
        <v>24872</v>
      </c>
      <c r="U137" s="31" t="s">
        <v>24873</v>
      </c>
      <c r="V137" s="32">
        <v>45556.0</v>
      </c>
      <c r="X137" s="31" t="str">
        <f>IFERROR(__xludf.DUMMYFUNCTION("""COMPUTED_VALUE"""),"The impact of the covid-19 pandemic on diabetes care: the perspective of healthcare providers across Europe.")</f>
        <v>The impact of the covid-19 pandemic on diabetes care: the perspective of healthcare providers across Europe.</v>
      </c>
      <c r="Y137" s="31" t="str">
        <f>IFERROR(__xludf.DUMMYFUNCTION("""COMPUTED_VALUE"""),"Van Grondelle, S E; Van Bruggen, S; Rauh, S P; Van der Zwan, M; Cebrian, A; Seidu, S; Rutten, G E H M; Vos, H M M; Numans, M E; Vos, R C")</f>
        <v>Van Grondelle, S E; Van Bruggen, S; Rauh, S P; Van der Zwan, M; Cebrian, A; Seidu, S; Rutten, G E H M; Vos, H M M; Numans, M E; Vos, R C</v>
      </c>
      <c r="Z137" s="31">
        <f>IFERROR(__xludf.DUMMYFUNCTION("""COMPUTED_VALUE"""),2023.0)</f>
        <v>2023</v>
      </c>
      <c r="AA137" s="31">
        <f>IFERROR(__xludf.DUMMYFUNCTION("""COMPUTED_VALUE"""),4.0)</f>
        <v>4</v>
      </c>
      <c r="AC137" s="31" t="str">
        <f>IFERROR(__xludf.DUMMYFUNCTION("""COMPUTED_VALUE"""),"Phenotypic factors associated with amisulpride-induced weight gain in first-episode psychosis patients (from the OPTiMiSE cohort).")</f>
        <v>Phenotypic factors associated with amisulpride-induced weight gain in first-episode psychosis patients (from the OPTiMiSE cohort).</v>
      </c>
      <c r="AD137" s="31" t="str">
        <f>IFERROR(__xludf.DUMMYFUNCTION("""COMPUTED_VALUE"""),"Pandit, R; Cianci, D; Ter Hark, S E; Winter-van Rossum, I; Ebdrup, B H; Broberg, B V; Garcia-Portilla, M P; Bobes, J; Vinkers, C H; Kahn, R S; Guloksuz, S; Huitema, A D R; Luykx, J J")</f>
        <v>Pandit, R; Cianci, D; Ter Hark, S E; Winter-van Rossum, I; Ebdrup, B H; Broberg, B V; Garcia-Portilla, M P; Bobes, J; Vinkers, C H; Kahn, R S; Guloksuz, S; Huitema, A D R; Luykx, J J</v>
      </c>
      <c r="AE137" s="32">
        <f>IFERROR(__xludf.DUMMYFUNCTION("""COMPUTED_VALUE"""),43665.0)</f>
        <v>43665</v>
      </c>
      <c r="AF137" s="31" t="str">
        <f>IFERROR(__xludf.DUMMYFUNCTION("""COMPUTED_VALUE"""),"Self-efficacy of advanced cancer patients for participation in treatment-related decision-making in six European countries: the ACTION study.")</f>
        <v>Self-efficacy of advanced cancer patients for participation in treatment-related decision-making in six European countries: the ACTION study.</v>
      </c>
      <c r="AG137" s="31" t="str">
        <f>IFERROR(__xludf.DUMMYFUNCTION("""COMPUTED_VALUE"""),"Yildiz, Berivan; Korfage, Ida J; Deliens, Luc; Preston, Nancy J; Miccinesi, Guido; Kodba-Ceh, Hana; Pollock, Kristian; Johnsen, Anna Thit; van Delden, Johannes J M; Rietjens, Judith A C; van der Heide, Agnes")</f>
        <v>Yildiz, Berivan; Korfage, Ida J; Deliens, Luc; Preston, Nancy J; Miccinesi, Guido; Kodba-Ceh, Hana; Pollock, Kristian; Johnsen, Anna Thit; van Delden, Johannes J M; Rietjens, Judith A C; van der Heide, Agnes</v>
      </c>
      <c r="AH137" s="32">
        <f>IFERROR(__xludf.DUMMYFUNCTION("""COMPUTED_VALUE"""),45146.0)</f>
        <v>45146</v>
      </c>
      <c r="AI137" s="31" t="str">
        <f>IFERROR(__xludf.DUMMYFUNCTION("""COMPUTED_VALUE"""),"[Urinary tract infections in general practice; diagnostics and treatment can be improved].")</f>
        <v>[Urinary tract infections in general practice; diagnostics and treatment can be improved].</v>
      </c>
      <c r="AJ137" s="31" t="str">
        <f>IFERROR(__xludf.DUMMYFUNCTION("""COMPUTED_VALUE"""),"Platteel, Tamara N; Knottnerus, Bart J")</f>
        <v>Platteel, Tamara N; Knottnerus, Bart J</v>
      </c>
      <c r="AK137" s="32">
        <f>IFERROR(__xludf.DUMMYFUNCTION("""COMPUTED_VALUE"""),44322.0)</f>
        <v>44322</v>
      </c>
      <c r="AL137" s="31" t="str">
        <f>IFERROR(__xludf.DUMMYFUNCTION("""COMPUTED_VALUE"""),"Reply to: ""Estrogen could also play a key role in the development of pediatric melanoma"".")</f>
        <v>Reply to: "Estrogen could also play a key role in the development of pediatric melanoma".</v>
      </c>
      <c r="AM137" s="31" t="str">
        <f>IFERROR(__xludf.DUMMYFUNCTION("""COMPUTED_VALUE"""),"El Sharouni, Mary-Ann; Lo, Serigne N; Scolyer, Richard A; van Gils, Carla H; Thompson, John F")</f>
        <v>El Sharouni, Mary-Ann; Lo, Serigne N; Scolyer, Richard A; van Gils, Carla H; Thompson, John F</v>
      </c>
      <c r="AN137" s="32">
        <f>IFERROR(__xludf.DUMMYFUNCTION("""COMPUTED_VALUE"""),45003.0)</f>
        <v>45003</v>
      </c>
    </row>
    <row r="138">
      <c r="A138" s="32"/>
      <c r="I138" s="31" t="str">
        <f>IFERROR(__xludf.DUMMYFUNCTION("""COMPUTED_VALUE"""),"nature methods")</f>
        <v>nature methods</v>
      </c>
      <c r="J138" s="38">
        <f>COUNTIF(Data!$F$2:$F9917, $I138)</f>
        <v>2</v>
      </c>
      <c r="T138" s="31" t="s">
        <v>25242</v>
      </c>
      <c r="U138" s="31" t="s">
        <v>25243</v>
      </c>
      <c r="V138" s="32">
        <v>45555.0</v>
      </c>
      <c r="X138" s="31" t="str">
        <f>IFERROR(__xludf.DUMMYFUNCTION("""COMPUTED_VALUE"""),"Omega-3 fatty acids in heart disease-why accurately measured levels matter.")</f>
        <v>Omega-3 fatty acids in heart disease-why accurately measured levels matter.</v>
      </c>
      <c r="Y138" s="31" t="str">
        <f>IFERROR(__xludf.DUMMYFUNCTION("""COMPUTED_VALUE"""),"von Schacky, C; Kuipers, R S; Pijl, H; Muskiet, F A J; Grobbee, D E")</f>
        <v>von Schacky, C; Kuipers, R S; Pijl, H; Muskiet, F A J; Grobbee, D E</v>
      </c>
      <c r="Z138" s="31">
        <f>IFERROR(__xludf.DUMMYFUNCTION("""COMPUTED_VALUE"""),2023.0)</f>
        <v>2023</v>
      </c>
      <c r="AA138" s="31">
        <f>IFERROR(__xludf.DUMMYFUNCTION("""COMPUTED_VALUE"""),4.0)</f>
        <v>4</v>
      </c>
      <c r="AC138" s="31" t="str">
        <f>IFERROR(__xludf.DUMMYFUNCTION("""COMPUTED_VALUE"""),"Effects of shared medical appointments compared to individual appointments in children with atopic dermatitis: A pragmatic randomized controlled trial.")</f>
        <v>Effects of shared medical appointments compared to individual appointments in children with atopic dermatitis: A pragmatic randomized controlled trial.</v>
      </c>
      <c r="AD138" s="31" t="str">
        <f>IFERROR(__xludf.DUMMYFUNCTION("""COMPUTED_VALUE"""),"Zijlstra, Wieneke T; van Os-Medendorp, Harmieke; Fieten, Karin B; Sinnema, Gerben; Bruijnzeel-Koomen, Carla A F M; Zuithoff, Nicolaas P A; L'Hoir, Monique P; Pasmans, Suzanne G M A")</f>
        <v>Zijlstra, Wieneke T; van Os-Medendorp, Harmieke; Fieten, Karin B; Sinnema, Gerben; Bruijnzeel-Koomen, Carla A F M; Zuithoff, Nicolaas P A; L'Hoir, Monique P; Pasmans, Suzanne G M A</v>
      </c>
      <c r="AE138" s="32">
        <f>IFERROR(__xludf.DUMMYFUNCTION("""COMPUTED_VALUE"""),43663.0)</f>
        <v>43663</v>
      </c>
      <c r="AF138" s="31" t="str">
        <f>IFERROR(__xludf.DUMMYFUNCTION("""COMPUTED_VALUE"""),"Should we all die asleep? The problem of the normalization of palliative sedation.")</f>
        <v>Should we all die asleep? The problem of the normalization of palliative sedation.</v>
      </c>
      <c r="AG138" s="31" t="str">
        <f>IFERROR(__xludf.DUMMYFUNCTION("""COMPUTED_VALUE"""),"van Delden, Johannes J M; Heijltjes, Madelon T; Harwood, Rowan H")</f>
        <v>van Delden, Johannes J M; Heijltjes, Madelon T; Harwood, Rowan H</v>
      </c>
      <c r="AH138" s="32">
        <f>IFERROR(__xludf.DUMMYFUNCTION("""COMPUTED_VALUE"""),45139.0)</f>
        <v>45139</v>
      </c>
      <c r="AI138" s="31" t="str">
        <f>IFERROR(__xludf.DUMMYFUNCTION("""COMPUTED_VALUE"""),"Bacterial agents in vulvovaginitis and vaginal discharge: a 10-year retrospective study in the Netherlands.")</f>
        <v>Bacterial agents in vulvovaginitis and vaginal discharge: a 10-year retrospective study in the Netherlands.</v>
      </c>
      <c r="AJ138" s="31" t="str">
        <f>IFERROR(__xludf.DUMMYFUNCTION("""COMPUTED_VALUE"""),"Bruins, Marjan J; Dos Santos, Claudy Oliveira; Damoiseaux, Roger A M J; Ruijs, Gijs J H M")</f>
        <v>Bruins, Marjan J; Dos Santos, Claudy Oliveira; Damoiseaux, Roger A M J; Ruijs, Gijs J H M</v>
      </c>
      <c r="AK138" s="32">
        <f>IFERROR(__xludf.DUMMYFUNCTION("""COMPUTED_VALUE"""),44319.0)</f>
        <v>44319</v>
      </c>
      <c r="AL138" s="31" t="str">
        <f>IFERROR(__xludf.DUMMYFUNCTION("""COMPUTED_VALUE"""),"Different clinical features in Malawian outpatients presenting with COVID-19 prior to and during Omicron variant dominance: A prospective observational study.")</f>
        <v>Different clinical features in Malawian outpatients presenting with COVID-19 prior to and during Omicron variant dominance: A prospective observational study.</v>
      </c>
      <c r="AM138" s="31" t="str">
        <f>IFERROR(__xludf.DUMMYFUNCTION("""COMPUTED_VALUE"""),"Chibwana, Marah G; Thole, Herbert W; Anscombe, Cat; Ashton, Philip M; Green, Edward; Barnes, Kayla G; Cornick, Jen; Turner, Ann; Witte, Desiree; Nthala, Sharon; Thom, Chikondi; Kanyandula, Felistas; Ainani, Anna; Mtike, Natasha; Tambala, Hope; N'goma, Ver"&amp;"onica; Mwafulirwa, Dorah; Asima, Erick; Morton, Ben; Gmeiner, Markus; Gundah, Zaziwe; Kawalazira, Gift; French, Neil; Feasey, Nicholas; Heyderman, Robert S; Swarthout, Todd D; Jambo, Kondwani C")</f>
        <v>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v>
      </c>
      <c r="AN138" s="32">
        <f>IFERROR(__xludf.DUMMYFUNCTION("""COMPUTED_VALUE"""),44993.0)</f>
        <v>44993</v>
      </c>
    </row>
    <row r="139">
      <c r="A139" s="32"/>
      <c r="I139" s="31" t="str">
        <f>IFERROR(__xludf.DUMMYFUNCTION("""COMPUTED_VALUE"""),"cardiooncology london england")</f>
        <v>cardiooncology london england</v>
      </c>
      <c r="J139" s="38">
        <f>COUNTIF(Data!$F$2:$F9917, $I139)</f>
        <v>1</v>
      </c>
      <c r="T139" s="31" t="s">
        <v>25689</v>
      </c>
      <c r="U139" s="31" t="s">
        <v>25690</v>
      </c>
      <c r="V139" s="32">
        <v>45555.0</v>
      </c>
      <c r="X139" s="31" t="str">
        <f>IFERROR(__xludf.DUMMYFUNCTION("""COMPUTED_VALUE"""),"Initial symptoms and three months follow-up after acute COVID-19 in outpatients: An international prospective cohort study.")</f>
        <v>Initial symptoms and three months follow-up after acute COVID-19 in outpatients: An international prospective cohort study.</v>
      </c>
      <c r="Y139" s="31" t="str">
        <f>IFERROR(__xludf.DUMMYFUNCTION("""COMPUTED_VALUE"""),"Hedin, Katarina; van der Velden, Alike W; Hansen, Malene Plejdrup; Moberg, Anna B; Balan, Anca; Bruno, Pascale; Coenen, Samuel; Johansen, Eskild; Kowalczyk, Anna; Kurotschka, Peter Konstantin; van der Linde, Sanne R; Malania, Lile; Rohde, Jörn; Verbakel, "&amp;"Jan; Vornhagen, Heike; Vellinga, Akke")</f>
        <v>Hedin, Katarina; van der Velden, Alike W; Hansen, Malene Plejdrup; Moberg, Anna B; Balan, Anca; Bruno, Pascale; Coenen, Samuel; Johansen, Eskild; Kowalczyk, Anna; Kurotschka, Peter Konstantin; van der Linde, Sanne R; Malania, Lile; Rohde, Jörn; Verbakel, Jan; Vornhagen, Heike; Vellinga, Akke</v>
      </c>
      <c r="Z139" s="31">
        <f>IFERROR(__xludf.DUMMYFUNCTION("""COMPUTED_VALUE"""),2023.0)</f>
        <v>2023</v>
      </c>
      <c r="AA139" s="31">
        <f>IFERROR(__xludf.DUMMYFUNCTION("""COMPUTED_VALUE"""),4.0)</f>
        <v>4</v>
      </c>
      <c r="AC139" s="31" t="str">
        <f>IFERROR(__xludf.DUMMYFUNCTION("""COMPUTED_VALUE"""),"The Effect of Gastrostomy Placement on Health-Related Quality of Life in Children.")</f>
        <v>The Effect of Gastrostomy Placement on Health-Related Quality of Life in Children.</v>
      </c>
      <c r="AD139" s="31"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39" s="32">
        <f>IFERROR(__xludf.DUMMYFUNCTION("""COMPUTED_VALUE"""),43644.0)</f>
        <v>43644</v>
      </c>
      <c r="AF139" s="31" t="str">
        <f>IFERROR(__xludf.DUMMYFUNCTION("""COMPUTED_VALUE"""),"COVID-19 Vaccine-Induced Myocarditis and Pericarditis: Towards Identification of Risk Factors.")</f>
        <v>COVID-19 Vaccine-Induced Myocarditis and Pericarditis: Towards Identification of Risk Factors.</v>
      </c>
      <c r="AG139" s="31" t="str">
        <f>IFERROR(__xludf.DUMMYFUNCTION("""COMPUTED_VALUE"""),"Zwiers, Laura C; Ong, David S Y; Grobbee, Diederick E")</f>
        <v>Zwiers, Laura C; Ong, David S Y; Grobbee, Diederick E</v>
      </c>
      <c r="AH139" s="32">
        <f>IFERROR(__xludf.DUMMYFUNCTION("""COMPUTED_VALUE"""),45138.0)</f>
        <v>45138</v>
      </c>
      <c r="AI139" s="31" t="str">
        <f>IFERROR(__xludf.DUMMYFUNCTION("""COMPUTED_VALUE"""),"Nurses' perceptions of their role with respect to promoting physical activity in adult patients: a systematic review.")</f>
        <v>Nurses' perceptions of their role with respect to promoting physical activity in adult patients: a systematic review.</v>
      </c>
      <c r="AJ139" s="31" t="str">
        <f>IFERROR(__xludf.DUMMYFUNCTION("""COMPUTED_VALUE"""),"van Hell-Cromwijk, Marlies; Metzelthin, Silke F; Schoonhoven, Lisette; Verstraten, Carolien; Kroeze, Willemieke; de Man van Ginkel, Janneke M")</f>
        <v>van Hell-Cromwijk, Marlies; Metzelthin, Silke F; Schoonhoven, Lisette; Verstraten, Carolien; Kroeze, Willemieke; de Man van Ginkel, Janneke M</v>
      </c>
      <c r="AK139" s="32">
        <f>IFERROR(__xludf.DUMMYFUNCTION("""COMPUTED_VALUE"""),44311.0)</f>
        <v>44311</v>
      </c>
      <c r="AL139" s="31" t="str">
        <f>IFERROR(__xludf.DUMMYFUNCTION("""COMPUTED_VALUE"""),"Optimal age targeting for pneumococcal vaccination in older adults; a modelling study.")</f>
        <v>Optimal age targeting for pneumococcal vaccination in older adults; a modelling study.</v>
      </c>
      <c r="AM139" s="31" t="str">
        <f>IFERROR(__xludf.DUMMYFUNCTION("""COMPUTED_VALUE"""),"Thindwa, Deus; Clifford, Samuel; Kleynhans, Jackie; von Gottberg, Anne; Walaza, Sibongile; Meiring, Susan; Swarthout, Todd D; Miller, Elizabeth; McIntyre, Peter; Andrews, Nick; Amin-Chowdhury, Zahin; Fry, Norman; Jambo, Kondwani C; French, Neil; Almeida, "&amp;"Samanta Cristine Grassi; Ladhani, Shamez N; Heyderman, Robert S; Cohen, Cheryl; de Cunto Brandileone, Maria Cristina; Flasche, Stefan")</f>
        <v>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v>
      </c>
      <c r="AN139" s="32">
        <f>IFERROR(__xludf.DUMMYFUNCTION("""COMPUTED_VALUE"""),44973.0)</f>
        <v>44973</v>
      </c>
    </row>
    <row r="140">
      <c r="A140" s="32"/>
      <c r="I140" s="31" t="str">
        <f>IFERROR(__xludf.DUMMYFUNCTION("""COMPUTED_VALUE"""),"journal of cancer education the official journal of the american association for cancer education")</f>
        <v>journal of cancer education the official journal of the american association for cancer education</v>
      </c>
      <c r="J140" s="38">
        <f>COUNTIF(Data!$F$2:$F9917, $I140)</f>
        <v>1</v>
      </c>
      <c r="T140" s="31" t="s">
        <v>25299</v>
      </c>
      <c r="U140" s="31" t="s">
        <v>25300</v>
      </c>
      <c r="V140" s="32">
        <v>45554.0</v>
      </c>
      <c r="X140" s="31" t="str">
        <f>IFERROR(__xludf.DUMMYFUNCTION("""COMPUTED_VALUE"""),"Maternal hypertensive mother's knowledge, attitudes and misconceptions on hypertension in pregnancy: A multi-center qualitative study in Ghana.")</f>
        <v>Maternal hypertensive mother's knowledge, attitudes and misconceptions on hypertension in pregnancy: A multi-center qualitative study in Ghana.</v>
      </c>
      <c r="Y140" s="31" t="str">
        <f>IFERROR(__xludf.DUMMYFUNCTION("""COMPUTED_VALUE"""),"Tamma, Evelyn; Adu-Bonsaffoh, Kwame; Nwameme, Adanna; Dako-Gyeke, Phyllis; Srofenyoh, Emmanuel; Browne, Joyce")</f>
        <v>Tamma, Evelyn; Adu-Bonsaffoh, Kwame; Nwameme, Adanna; Dako-Gyeke, Phyllis; Srofenyoh, Emmanuel; Browne, Joyce</v>
      </c>
      <c r="Z140" s="31">
        <f>IFERROR(__xludf.DUMMYFUNCTION("""COMPUTED_VALUE"""),2023.0)</f>
        <v>2023</v>
      </c>
      <c r="AA140" s="31">
        <f>IFERROR(__xludf.DUMMYFUNCTION("""COMPUTED_VALUE"""),4.0)</f>
        <v>4</v>
      </c>
      <c r="AC140" s="31" t="str">
        <f>IFERROR(__xludf.DUMMYFUNCTION("""COMPUTED_VALUE"""),"Change in IQ in schizophrenia patients and their siblings: a controlled longitudinal study.")</f>
        <v>Change in IQ in schizophrenia patients and their siblings: a controlled longitudinal study.</v>
      </c>
      <c r="AD140" s="31" t="str">
        <f>IFERROR(__xludf.DUMMYFUNCTION("""COMPUTED_VALUE"""),"Van Haren, N E M; Van Dam, D S; Stellato, R K; ,")</f>
        <v>Van Haren, N E M; Van Dam, D S; Stellato, R K; ,</v>
      </c>
      <c r="AE140" s="32">
        <f>IFERROR(__xludf.DUMMYFUNCTION("""COMPUTED_VALUE"""),43489.0)</f>
        <v>43489</v>
      </c>
      <c r="AF140" s="31" t="str">
        <f>IFERROR(__xludf.DUMMYFUNCTION("""COMPUTED_VALUE"""),"Risk factors in cardiovascular patients: Challenges and opportunities to improve secondary prevention.")</f>
        <v>Risk factors in cardiovascular patients: Challenges and opportunities to improve secondary prevention.</v>
      </c>
      <c r="AG140" s="31" t="str">
        <f>IFERROR(__xludf.DUMMYFUNCTION("""COMPUTED_VALUE"""),"Gabulova, Rahima; Marzà-Florensa, Anna; Rahimov, Uzeyir; Isayeva, Mahluga; Alasgarli, Shahana; Musayeva, Afag; Gahramanova, Sona; Ibrahimov, Firdovsi; Aliyev, Farid; Imanov, Galib; Rasulova, Rahmana; Vaartjes, Ilonca; Klipstein-Grobusch, Kerstin; Graham, "&amp;"Ian; Grobbee, Diederick E")</f>
        <v>Gabulova, Rahima; Marzà-Florensa, Anna; Rahimov, Uzeyir; Isayeva, Mahluga; Alasgarli, Shahana; Musayeva, Afag; Gahramanova, Sona; Ibrahimov, Firdovsi; Aliyev, Farid; Imanov, Galib; Rasulova, Rahmana; Vaartjes, Ilonca; Klipstein-Grobusch, Kerstin; Graham, Ian; Grobbee, Diederick E</v>
      </c>
      <c r="AH140" s="32">
        <f>IFERROR(__xludf.DUMMYFUNCTION("""COMPUTED_VALUE"""),45133.0)</f>
        <v>45133</v>
      </c>
      <c r="AI140" s="31" t="str">
        <f>IFERROR(__xludf.DUMMYFUNCTION("""COMPUTED_VALUE"""),"Older Adults' and Their Informal Caregivers' Experiences and Needs regarding Nutritional Care Provided in the Periods before, during and after Hospitalization: A Qualitative Study.")</f>
        <v>Older Adults' and Their Informal Caregivers' Experiences and Needs regarding Nutritional Care Provided in the Periods before, during and after Hospitalization: A Qualitative Study.</v>
      </c>
      <c r="AJ140" s="31" t="str">
        <f>IFERROR(__xludf.DUMMYFUNCTION("""COMPUTED_VALUE"""),"Ten Cate, Debbie; Mellema, Mattanja; Ettema, Roelof G A; Schuurmans, Marieke J; Schoonhoven, Lisette")</f>
        <v>Ten Cate, Debbie; Mellema, Mattanja; Ettema, Roelof G A; Schuurmans, Marieke J; Schoonhoven, Lisette</v>
      </c>
      <c r="AK140" s="32">
        <f>IFERROR(__xludf.DUMMYFUNCTION("""COMPUTED_VALUE"""),44295.0)</f>
        <v>44295</v>
      </c>
      <c r="AL140" s="31" t="str">
        <f>IFERROR(__xludf.DUMMYFUNCTION("""COMPUTED_VALUE"""),"Development and validation of risk calculators for people with ""thin"" melanomas on their skin to predict the likelihood that their cancer will return: a plain language summary of publication.")</f>
        <v>Development and validation of risk calculators for people with "thin" melanomas on their skin to predict the likelihood that their cancer will return: a plain language summary of publication.</v>
      </c>
      <c r="AM140" s="31" t="str">
        <f>IFERROR(__xludf.DUMMYFUNCTION("""COMPUTED_VALUE"""),"Sharouni, Mary-Ann El; Lo, Serigne N; Varey, Alexander Hr; Elias, Sjoerd G; Witkamp, Arjen J; Sigurdsson, Vigfús; Suijkerbuijk, Karijn Pm; van Diest, Paul J; van Gils, Carla H; Blokx, Willeke Am; Scolyer, Richard A; Thompson, John F")</f>
        <v>Sharouni, Mary-Ann El; Lo, Serigne N; Varey, Alexander Hr; Elias, Sjoerd G; Witkamp, Arjen J; Sigurdsson, Vigfús; Suijkerbuijk, Karijn Pm; van Diest, Paul J; van Gils, Carla H; Blokx, Willeke Am; Scolyer, Richard A; Thompson, John F</v>
      </c>
      <c r="AN140" s="32">
        <f>IFERROR(__xludf.DUMMYFUNCTION("""COMPUTED_VALUE"""),44967.0)</f>
        <v>44967</v>
      </c>
    </row>
    <row r="141">
      <c r="A141" s="32"/>
      <c r="I141" s="31" t="str">
        <f>IFERROR(__xludf.DUMMYFUNCTION("""COMPUTED_VALUE"""),"cancers")</f>
        <v>cancers</v>
      </c>
      <c r="J141" s="38">
        <f>COUNTIF(Data!$F$2:$F9917, $I141)</f>
        <v>10</v>
      </c>
      <c r="T141" s="31" t="s">
        <v>24716</v>
      </c>
      <c r="U141" s="31" t="s">
        <v>24717</v>
      </c>
      <c r="V141" s="32">
        <v>45553.0</v>
      </c>
      <c r="X141" s="31" t="str">
        <f>IFERROR(__xludf.DUMMYFUNCTION("""COMPUTED_VALUE"""),"The positive effect of dupilumab on comorbid asthma in patients with atopic dermatitis.")</f>
        <v>The positive effect of dupilumab on comorbid asthma in patients with atopic dermatitis.</v>
      </c>
      <c r="Y141" s="31" t="str">
        <f>IFERROR(__xludf.DUMMYFUNCTION("""COMPUTED_VALUE"""),"Spekhorst, Lotte S; de Graaf, Marlies; van der Rijst, Lisa P; Zuithoff, Nicolaas P A; Schweizer, René C; Kamsteeg, Marijke; Haeck, Inge; van Lynden-van Nes, Anneke M T; van Lumig, Paula; Romeijn, Geertruida L E; Schuttelaar, Marie-Louise; de Bruin-Weller,"&amp;" Marjolein S")</f>
        <v>Spekhorst, Lotte S; de Graaf, Marlies; van der Rijst, Lisa P; Zuithoff, Nicolaas P A; Schweizer, René C; Kamsteeg, Marijke; Haeck, Inge; van Lynden-van Nes, Anneke M T; van Lumig, Paula; Romeijn, Geertruida L E; Schuttelaar, Marie-Louise; de Bruin-Weller, Marjolein S</v>
      </c>
      <c r="Z141" s="31">
        <f>IFERROR(__xludf.DUMMYFUNCTION("""COMPUTED_VALUE"""),2023.0)</f>
        <v>2023</v>
      </c>
      <c r="AA141" s="31">
        <f>IFERROR(__xludf.DUMMYFUNCTION("""COMPUTED_VALUE"""),4.0)</f>
        <v>4</v>
      </c>
      <c r="AC141" s="31" t="str">
        <f>IFERROR(__xludf.DUMMYFUNCTION("""COMPUTED_VALUE"""),"Adjustment for unmeasured confounding through informative priors for the confounder-outcome relation.")</f>
        <v>Adjustment for unmeasured confounding through informative priors for the confounder-outcome relation.</v>
      </c>
      <c r="AD141" s="31" t="str">
        <f>IFERROR(__xludf.DUMMYFUNCTION("""COMPUTED_VALUE"""),"Groenwold, Rolf H H; Shofty, Inbal; Miočević, Milica; van Smeden, Maarten; Klugkist, Irene")</f>
        <v>Groenwold, Rolf H H; Shofty, Inbal; Miočević, Milica; van Smeden, Maarten; Klugkist, Irene</v>
      </c>
      <c r="AE141" s="32">
        <f>IFERROR(__xludf.DUMMYFUNCTION("""COMPUTED_VALUE"""),43456.0)</f>
        <v>43456</v>
      </c>
      <c r="AF141" s="31" t="str">
        <f>IFERROR(__xludf.DUMMYFUNCTION("""COMPUTED_VALUE"""),"Association of perceived and objective neighborhood walkability with accelerometer-measured physical activity and sedentary time in the Maastricht Study.")</f>
        <v>Association of perceived and objective neighborhood walkability with accelerometer-measured physical activity and sedentary time in the Maastricht Study.</v>
      </c>
      <c r="AG141" s="31" t="str">
        <f>IFERROR(__xludf.DUMMYFUNCTION("""COMPUTED_VALUE"""),"Chan, Jeffrey Alexander; Bosma, Hans; Drosinou, Connie; Timmermans, Erik J; Savelberg, Hans; Schaper, Nicolaas; Schram, Miranda T; Stehouwer, Coen D A; Lakerveld, Jeroen; Koster, Annemarie")</f>
        <v>Chan, Jeffrey Alexander; Bosma, Hans; Drosinou, Connie; Timmermans, Erik J; Savelberg, Hans; Schaper, Nicolaas; Schram, Miranda T; Stehouwer, Coen D A; Lakerveld, Jeroen; Koster, Annemarie</v>
      </c>
      <c r="AH141" s="32">
        <f>IFERROR(__xludf.DUMMYFUNCTION("""COMPUTED_VALUE"""),45131.0)</f>
        <v>45131</v>
      </c>
      <c r="AI141" s="31" t="str">
        <f>IFERROR(__xludf.DUMMYFUNCTION("""COMPUTED_VALUE"""),"Hospital and home care nurses' experiences and perceptions regarding nutritional care for older adults to prevent and treat malnutrition: A cross-sectional study.")</f>
        <v>Hospital and home care nurses' experiences and perceptions regarding nutritional care for older adults to prevent and treat malnutrition: A cross-sectional study.</v>
      </c>
      <c r="AJ141" s="31" t="str">
        <f>IFERROR(__xludf.DUMMYFUNCTION("""COMPUTED_VALUE"""),"Ten Cate, Debbie; Schoonhoven, Lisette; Huisman-de Waal, Getty; Schuurmans, Marieke J; Ettema, Roelof G A")</f>
        <v>Ten Cate, Debbie; Schoonhoven, Lisette; Huisman-de Waal, Getty; Schuurmans, Marieke J; Ettema, Roelof G A</v>
      </c>
      <c r="AK141" s="32">
        <f>IFERROR(__xludf.DUMMYFUNCTION("""COMPUTED_VALUE"""),44293.0)</f>
        <v>44293</v>
      </c>
      <c r="AL141" s="31" t="str">
        <f>IFERROR(__xludf.DUMMYFUNCTION("""COMPUTED_VALUE"""),"Discriminatory Ability and Clinical Utility of the AJCC7 and AJCC8 Staging Systems for Breast Cancer in a Middle-Income Setting.")</f>
        <v>Discriminatory Ability and Clinical Utility of the AJCC7 and AJCC8 Staging Systems for Breast Cancer in a Middle-Income Setting.</v>
      </c>
      <c r="AM141" s="31" t="str">
        <f>IFERROR(__xludf.DUMMYFUNCTION("""COMPUTED_VALUE"""),"Song, Chin-Vern; van Gils, Carla H; Yip, Cheng-Har; Soerjomataram, Isabelle; Taib, Nur Aishah Mohd; See, Mee-Hoong; Lim, Alexander; Abdul Satar, Nur Fadhlina; Bhoo-Pathy, Nirmala")</f>
        <v>Song, Chin-Vern; van Gils, Carla H; Yip, Cheng-Har; Soerjomataram, Isabelle; Taib, Nur Aishah Mohd; See, Mee-Hoong; Lim, Alexander; Abdul Satar, Nur Fadhlina; Bhoo-Pathy, Nirmala</v>
      </c>
      <c r="AN141" s="32">
        <f>IFERROR(__xludf.DUMMYFUNCTION("""COMPUTED_VALUE"""),44967.0)</f>
        <v>44967</v>
      </c>
    </row>
    <row r="142">
      <c r="A142" s="32"/>
      <c r="I142" s="31" t="str">
        <f>IFERROR(__xludf.DUMMYFUNCTION("""COMPUTED_VALUE"""),"jmir pediatrics and parenting")</f>
        <v>jmir pediatrics and parenting</v>
      </c>
      <c r="J142" s="38">
        <f>COUNTIF(Data!$F$2:$F9917, $I142)</f>
        <v>1</v>
      </c>
      <c r="T142" s="31" t="s">
        <v>25198</v>
      </c>
      <c r="U142" s="31" t="s">
        <v>25199</v>
      </c>
      <c r="V142" s="32">
        <v>45553.0</v>
      </c>
      <c r="X142" s="31" t="str">
        <f>IFERROR(__xludf.DUMMYFUNCTION("""COMPUTED_VALUE"""),"Novel Textbook Outcomes following emergency laparotomy: Delphi exercise.")</f>
        <v>Novel Textbook Outcomes following emergency laparotomy: Delphi exercise.</v>
      </c>
      <c r="Y142" s="31" t="str">
        <f>IFERROR(__xludf.DUMMYFUNCTION("""COMPUTED_VALUE"""),"Leenen, Jobbe P L; Ardesch, Vera; Kalkman, Cor J; Schoonhoven, Lisette; Patijn, Gijs A")</f>
        <v>Leenen, Jobbe P L; Ardesch, Vera; Kalkman, Cor J; Schoonhoven, Lisette; Patijn, Gijs A</v>
      </c>
      <c r="Z142" s="31">
        <f>IFERROR(__xludf.DUMMYFUNCTION("""COMPUTED_VALUE"""),2024.0)</f>
        <v>2024</v>
      </c>
      <c r="AA142" s="31">
        <f>IFERROR(__xludf.DUMMYFUNCTION("""COMPUTED_VALUE"""),4.0)</f>
        <v>4</v>
      </c>
      <c r="AC142" s="31" t="str">
        <f>IFERROR(__xludf.DUMMYFUNCTION("""COMPUTED_VALUE"""),"Optimizing the Design and Analysis of Clinical Trials for Antibacterials Against Multidrug-resistant Organisms: A White Paper From COMBACTE's STAT-Net.")</f>
        <v>Optimizing the Design and Analysis of Clinical Trials for Antibacterials Against Multidrug-resistant Organisms: A White Paper From COMBACTE's STAT-Net.</v>
      </c>
      <c r="AD142" s="31" t="str">
        <f>IFERROR(__xludf.DUMMYFUNCTION("""COMPUTED_VALUE"""),"de Kraker, Marlieke E A; Sommer, Harriet; de Velde, Femke; Gravestock, Isaac; Weiss, Emmanuel; McAleenan, Alexandra; Nikolakopoulos, Stavros; Amit, Ohad; Ashton, Teri; Beyersmann, Jan; Held, Leonhard; Lovering, Andrew M; MacGowan, Alasdair P; Mouton, Joha"&amp;"n W; Timsit, Jean-François; Wilson, David; Wolkewitz, Martin; Bettiol, Esther; Dane, Aaron; Harbarth, Stephan; ,")</f>
        <v>de Kraker, Marlieke E A; Sommer, Harriet; de Velde, Femke; Gravestock, Isaac; Weiss, Emmanuel; McAleenan, Alexandra; Nikolakopoulos, Stavros; Amit, Ohad; Ashton, Teri; Beyersmann, Jan; Held, Leonhard; Lovering, Andrew M; MacGowan, Alasdair P; Mouton, Johan W; Timsit, Jean-François; Wilson, David; Wolkewitz, Martin; Bettiol, Esther; Dane, Aaron; Harbarth, Stephan; ,</v>
      </c>
      <c r="AE142" s="32">
        <f>IFERROR(__xludf.DUMMYFUNCTION("""COMPUTED_VALUE"""),43432.0)</f>
        <v>43432</v>
      </c>
      <c r="AF142" s="31" t="str">
        <f>IFERROR(__xludf.DUMMYFUNCTION("""COMPUTED_VALUE"""),"Discovering Distinct Phenotypical Clusters in Heart Failure Across the Ejection Fraction Spectrum: a Systematic Review.")</f>
        <v>Discovering Distinct Phenotypical Clusters in Heart Failure Across the Ejection Fraction Spectrum: a Systematic Review.</v>
      </c>
      <c r="AG142" s="31" t="str">
        <f>IFERROR(__xludf.DUMMYFUNCTION("""COMPUTED_VALUE"""),"Meijs, Claartje; Handoko, M Louis; Savarese, Gianluigi; Vernooij, Robin W M; Vaartjes, Ilonca; Banerjee, Amitava; Koudstaal, Stefan; Brugts, Jasper J; Asselbergs, Folkert W; Uijl, Alicia")</f>
        <v>Meijs, Claartje; Handoko, M Louis; Savarese, Gianluigi; Vernooij, Robin W M; Vaartjes, Ilonca; Banerjee, Amitava; Koudstaal, Stefan; Brugts, Jasper J; Asselbergs, Folkert W; Uijl, Alicia</v>
      </c>
      <c r="AH142" s="32">
        <f>IFERROR(__xludf.DUMMYFUNCTION("""COMPUTED_VALUE"""),45128.0)</f>
        <v>45128</v>
      </c>
      <c r="AI142" s="31" t="str">
        <f>IFERROR(__xludf.DUMMYFUNCTION("""COMPUTED_VALUE"""),"Questions and answers on workup diagnosis and risk stratification: a companion document of the 2020 ESC Guidelines for the management of acute coronary syndromes in patients presenting without persistent ST-segment elevation.")</f>
        <v>Questions and answers on workup diagnosis and risk stratification: a companion document of the 2020 ESC Guidelines for the management of acute coronary syndromes in patients presenting without persistent ST-segment elevation.</v>
      </c>
      <c r="AJ142" s="31" t="str">
        <f>IFERROR(__xludf.DUMMYFUNCTION("""COMPUTED_VALUE"""),"Barthélémy, Olivier; Jobs, Alexander; Meliga, Emanuele; Mueller, Christian; Rutten, Frans H; Siontis, George C M; Thiele, Holger; Collet, Jean-Philippe; ,")</f>
        <v>Barthélémy, Olivier; Jobs, Alexander; Meliga, Emanuele; Mueller, Christian; Rutten, Frans H; Siontis, George C M; Thiele, Holger; Collet, Jean-Philippe; ,</v>
      </c>
      <c r="AK142" s="32">
        <f>IFERROR(__xludf.DUMMYFUNCTION("""COMPUTED_VALUE"""),44293.0)</f>
        <v>44293</v>
      </c>
      <c r="AL142" s="31" t="str">
        <f>IFERROR(__xludf.DUMMYFUNCTION("""COMPUTED_VALUE"""),"Perioperative Systemic Therapy Versus Cytoreductive Surgery and HIPEC Alone for Resectable Colorectal Peritoneal Metastases: Patient-Reported Outcomes of a Randomized Phase II Trial.")</f>
        <v>Perioperative Systemic Therapy Versus Cytoreductive Surgery and HIPEC Alone for Resectable Colorectal Peritoneal Metastases: Patient-Reported Outcomes of a Randomized Phase II Trial.</v>
      </c>
      <c r="AM142" s="31" t="str">
        <f>IFERROR(__xludf.DUMMYFUNCTION("""COMPUTED_VALUE"""),"Bakkers, C; Rovers, K P; Rijken, A; Simkens, G A A M; Bonhof, C S; Nienhuijs, S W; Burger, J W A; Creemers, G J M; Brandt-Kerkhof, A R M; Tuynman, J B; Aalbers, A G J; Wiezer, M J; de Reuver, P R; van Grevenstein, W M U; Hemmer, P H J; Punt, C J A; Tanis,"&amp;" P J; Mols, F; de Hingh, I H J T; ,")</f>
        <v>Bakkers, C; Rovers, K P; Rijken, A; Simkens, G A A M; Bonhof, C S; Nienhuijs, S W; Burger, J W A; Creemers, G J M; Brandt-Kerkhof, A R M; Tuynman, J B; Aalbers, A G J; Wiezer, M J; de Reuver, P R; van Grevenstein, W M U; Hemmer, P H J; Punt, C J A; Tanis, P J; Mols, F; de Hingh, I H J T; ,</v>
      </c>
      <c r="AN142" s="32">
        <f>IFERROR(__xludf.DUMMYFUNCTION("""COMPUTED_VALUE"""),44965.0)</f>
        <v>44965</v>
      </c>
    </row>
    <row r="143">
      <c r="A143" s="32"/>
      <c r="I143" s="31" t="str">
        <f>IFERROR(__xludf.DUMMYFUNCTION("""COMPUTED_VALUE"""),"frontiers in health services")</f>
        <v>frontiers in health services</v>
      </c>
      <c r="J143" s="38">
        <f>COUNTIF(Data!$F$2:$F9917, $I143)</f>
        <v>1</v>
      </c>
      <c r="T143" s="31" t="s">
        <v>25398</v>
      </c>
      <c r="U143" s="31" t="s">
        <v>25399</v>
      </c>
      <c r="V143" s="32">
        <v>45553.0</v>
      </c>
      <c r="X143" s="31" t="str">
        <f>IFERROR(__xludf.DUMMYFUNCTION("""COMPUTED_VALUE"""),"Food consumption by degree of food processing and risk of type 2 diabetes mellitus: a prospective cohort analysis of the European Prospective Investigation into Cancer and Nutrition (EPIC).")</f>
        <v>Food consumption by degree of food processing and risk of type 2 diabetes mellitus: a prospective cohort analysis of the European Prospective Investigation into Cancer and Nutrition (EPIC).</v>
      </c>
      <c r="Y143" s="31" t="str">
        <f>IFERROR(__xludf.DUMMYFUNCTION("""COMPUTED_VALUE"""),"Dicken, Samuel J; Dahm, Christina C; Ibsen, Daniel B; Olsen, Anja; Tjønneland, Anne; Louati-Hajji, Mariem; Cadeau, Claire; Marques, Chloé; Schulze, Matthias B; Jannasch, Franziska; Baldassari, Ivan; Manfredi, Luca; Santucci de Magistris, Maria; Sánchez, M"&amp;"aria-Jose; Castro-Espin, Carlota; Palacios, Daniel Rodríguez; Amiano, Pilar; Guevara, Marcela; van der Schouw, Yvonne T; Boer, Jolanda M A; Verschuren, W M Monique; Sharp, Stephen J; Forouhi, Nita G; Wareham, Nicholas J; Vamos, Eszter P; Chang, Kiara; Vin"&amp;"eis, Paolo; Heath, Alicia K; Gunter, Marc J; Nicolas, Geneviève; Weiderpass, Elisabete; Huybrechts, Inge; Batterham, Rachel L")</f>
        <v>Dicken, Samuel J; Dahm, Christina C; Ibsen, Daniel B; Olsen, Anja; Tjønneland, Anne; Louati-Hajji, Mariem; Cadeau, Claire; Marques, Chloé; Schulze, Matthias B; Jannasch, Franziska; Baldassari, Ivan; Manfredi, Luca; Santucci de Magistris, Maria; Sánchez, Maria-Jose; Castro-Espin, Carlota; Palacios, Daniel Rodríguez; Amiano, Pilar; Guevara, Marcela; van der Schouw, Yvonne T; Boer, Jolanda M A; Verschuren, W M Monique; Sharp, Stephen J; Forouhi, Nita G; Wareham, Nicholas J; Vamos, Eszter P; Chang, Kiara; Vineis, Paolo; Heath, Alicia K; Gunter, Marc J; Nicolas, Geneviève; Weiderpass, Elisabete; Huybrechts, Inge; Batterham, Rachel L</v>
      </c>
      <c r="Z143" s="31">
        <f>IFERROR(__xludf.DUMMYFUNCTION("""COMPUTED_VALUE"""),2024.0)</f>
        <v>2024</v>
      </c>
      <c r="AA143" s="31">
        <f>IFERROR(__xludf.DUMMYFUNCTION("""COMPUTED_VALUE"""),4.0)</f>
        <v>4</v>
      </c>
      <c r="AC143" s="31" t="str">
        <f>IFERROR(__xludf.DUMMYFUNCTION("""COMPUTED_VALUE"""),"Risk of acute myocardial infarction during use of individual NSAIDs: A nested case-control study from the SOS project.")</f>
        <v>Risk of acute myocardial infarction during use of individual NSAIDs: A nested case-control study from the SOS project.</v>
      </c>
      <c r="AD143" s="31" t="str">
        <f>IFERROR(__xludf.DUMMYFUNCTION("""COMPUTED_VALUE"""),"Masclee, Gwen M C; Straatman, Huub; Arfè, Andrea; Castellsague, Jordi; Garbe, Edeltraut; Herings, Ron; Kollhorst, Bianca; Lucchi, Silvia; Perez-Gutthann, Susana; Romio, Silvana; Schade, René; Schink, Tania; Schuemie, Martijn J; Scotti, Lorenza; Varas-Lore"&amp;"nzo, Cristina; Valkhoff, Vera E; Villa, Marco; Sturkenboom, Miriam C J M")</f>
        <v>Masclee, Gwen M C; Straatman, Huub; Arfè, Andrea; Castellsague, Jordi; Garbe, Edeltraut; Herings, Ron; Kollhorst, Bianca; Lucchi, Silvia; Perez-Gutthann, Susana; Romio, Silvana; Schade, René; Schink, Tania; Schuemie, Martijn J; Scotti, Lorenza; Varas-Lorenzo, Cristina; Valkhoff, Vera E; Villa, Marco; Sturkenboom, Miriam C J M</v>
      </c>
      <c r="AE143" s="32">
        <f>IFERROR(__xludf.DUMMYFUNCTION("""COMPUTED_VALUE"""),43405.0)</f>
        <v>43405</v>
      </c>
      <c r="AF143" s="31" t="str">
        <f>IFERROR(__xludf.DUMMYFUNCTION("""COMPUTED_VALUE"""),"A systematic review of the intercontinental movement of unregulated African meat imports into and through European border checkpoints.")</f>
        <v>A systematic review of the intercontinental movement of unregulated African meat imports into and through European border checkpoints.</v>
      </c>
      <c r="AG143" s="31" t="str">
        <f>IFERROR(__xludf.DUMMYFUNCTION("""COMPUTED_VALUE"""),"Morrison-Lanjouw, S; Spijker, R; Mughini-Gras, L; Coutinho, R A; Chaber, A L; Leeflang, M")</f>
        <v>Morrison-Lanjouw, S; Spijker, R; Mughini-Gras, L; Coutinho, R A; Chaber, A L; Leeflang, M</v>
      </c>
      <c r="AH143" s="32">
        <f>IFERROR(__xludf.DUMMYFUNCTION("""COMPUTED_VALUE"""),45127.0)</f>
        <v>45127</v>
      </c>
      <c r="AI143" s="31" t="str">
        <f>IFERROR(__xludf.DUMMYFUNCTION("""COMPUTED_VALUE"""),"Specialized 16SrX phytoplasmas induce diverse morphological and physiological changes in their respective fruit crops.")</f>
        <v>Specialized 16SrX phytoplasmas induce diverse morphological and physiological changes in their respective fruit crops.</v>
      </c>
      <c r="AJ143" s="31" t="str">
        <f>IFERROR(__xludf.DUMMYFUNCTION("""COMPUTED_VALUE"""),"Gallinger, Jannicke; Zikeli, Kerstin; Zimmermann, Matthias R; Görg, Louisa M; Mithöfer, Axel; Reichelt, Michael; Seemüller, Erich; Gross, Jürgen; Furch, Alexandra C U")</f>
        <v>Gallinger, Jannicke; Zikeli, Kerstin; Zimmermann, Matthias R; Görg, Louisa M; Mithöfer, Axel; Reichelt, Michael; Seemüller, Erich; Gross, Jürgen; Furch, Alexandra C U</v>
      </c>
      <c r="AK143" s="32">
        <f>IFERROR(__xludf.DUMMYFUNCTION("""COMPUTED_VALUE"""),44280.0)</f>
        <v>44280</v>
      </c>
      <c r="AL143" s="31" t="str">
        <f>IFERROR(__xludf.DUMMYFUNCTION("""COMPUTED_VALUE"""),"Transparent reporting of multivariable prediction models developed or validated using clustered data (TRIPOD-Cluster): explanation and elaboration.")</f>
        <v>Transparent reporting of multivariable prediction models developed or validated using clustered data (TRIPOD-Cluster): explanation and elaboration.</v>
      </c>
      <c r="AM143" s="31"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AN143" s="32">
        <f>IFERROR(__xludf.DUMMYFUNCTION("""COMPUTED_VALUE"""),44964.0)</f>
        <v>44964</v>
      </c>
    </row>
    <row r="144">
      <c r="A144" s="32"/>
      <c r="I144" s="31" t="str">
        <f>IFERROR(__xludf.DUMMYFUNCTION("""COMPUTED_VALUE"""),"international journal of health geographics")</f>
        <v>international journal of health geographics</v>
      </c>
      <c r="J144" s="38">
        <f>COUNTIF(Data!$F$2:$F9917, $I144)</f>
        <v>3</v>
      </c>
      <c r="T144" s="31" t="s">
        <v>25840</v>
      </c>
      <c r="U144" s="31" t="s">
        <v>25841</v>
      </c>
      <c r="V144" s="32">
        <v>45553.0</v>
      </c>
      <c r="X144" s="31" t="str">
        <f>IFERROR(__xludf.DUMMYFUNCTION("""COMPUTED_VALUE"""),"Antithrombotic Therapy for VTE Disease: Compendium and Review of CHEST Guidelines 2012-2021.")</f>
        <v>Antithrombotic Therapy for VTE Disease: Compendium and Review of CHEST Guidelines 2012-2021.</v>
      </c>
      <c r="Y144" s="31" t="str">
        <f>IFERROR(__xludf.DUMMYFUNCTION("""COMPUTED_VALUE"""),"Stevens, Scott M; Woller, Scott C; Baumann Kreuziger, Lisa; Doerschug, Kevin; Geersing, Geert-Jan; Klok, Frederikus A; King, Christopher S; Murin, Susan; Vintch, Janine R E; Wells, Philip S; Wasan, Suman; Moores, Lisa K")</f>
        <v>Stevens, Scott M; Woller, Scott C; Baumann Kreuziger, Lisa; Doerschug, Kevin; Geersing, Geert-Jan; Klok, Frederikus A; King, Christopher S; Murin, Susan; Vintch, Janine R E; Wells, Philip S; Wasan, Suman; Moores, Lisa K</v>
      </c>
      <c r="Z144" s="31">
        <f>IFERROR(__xludf.DUMMYFUNCTION("""COMPUTED_VALUE"""),2024.0)</f>
        <v>2024</v>
      </c>
      <c r="AA144" s="31">
        <f>IFERROR(__xludf.DUMMYFUNCTION("""COMPUTED_VALUE"""),3.0)</f>
        <v>3</v>
      </c>
      <c r="AC144" s="31" t="str">
        <f>IFERROR(__xludf.DUMMYFUNCTION("""COMPUTED_VALUE"""),"Comparing drug effectiveness in children: A systematic review.")</f>
        <v>Comparing drug effectiveness in children: A systematic review.</v>
      </c>
      <c r="AD144" s="31" t="str">
        <f>IFERROR(__xludf.DUMMYFUNCTION("""COMPUTED_VALUE"""),"Dukanovic, Julijana; Osokogu, Osemeke U; Patel, Krupa; Ferrajolo, Carmen; Sturkenboom, Miriam C J M; ,")</f>
        <v>Dukanovic, Julijana; Osokogu, Osemeke U; Patel, Krupa; Ferrajolo, Carmen; Sturkenboom, Miriam C J M; ,</v>
      </c>
      <c r="AE144" s="32">
        <f>IFERROR(__xludf.DUMMYFUNCTION("""COMPUTED_VALUE"""),43404.0)</f>
        <v>43404</v>
      </c>
      <c r="AF144" s="31" t="str">
        <f>IFERROR(__xludf.DUMMYFUNCTION("""COMPUTED_VALUE"""),"Diabetes self-management education interventions and self-management in low-resource settings; a mixed methods study.")</f>
        <v>Diabetes self-management education interventions and self-management in low-resource settings; a mixed methods study.</v>
      </c>
      <c r="AG144" s="31" t="str">
        <f>IFERROR(__xludf.DUMMYFUNCTION("""COMPUTED_VALUE"""),"Lamptey, Roberta; Amoakoh-Coleman, Mary; Djobalar, Babbel; Grobbee, Diederick E; Adjei, George Obeng; Klipstein-Grobusch, Kerstin")</f>
        <v>Lamptey, Roberta; Amoakoh-Coleman, Mary; Djobalar, Babbel; Grobbee, Diederick E; Adjei, George Obeng; Klipstein-Grobusch, Kerstin</v>
      </c>
      <c r="AH144" s="32">
        <f>IFERROR(__xludf.DUMMYFUNCTION("""COMPUTED_VALUE"""),45121.0)</f>
        <v>45121</v>
      </c>
      <c r="AI144" s="31" t="str">
        <f>IFERROR(__xludf.DUMMYFUNCTION("""COMPUTED_VALUE"""),"Fidelity of primary care nurses' delivery of a behavioural change intervention enhancing physical activity in patients at risk of cardiovascular disease: an observational study.")</f>
        <v>Fidelity of primary care nurses' delivery of a behavioural change intervention enhancing physical activity in patients at risk of cardiovascular disease: an observational study.</v>
      </c>
      <c r="AJ144" s="31" t="str">
        <f>IFERROR(__xludf.DUMMYFUNCTION("""COMPUTED_VALUE"""),"Westland, Heleen; Trappenburg, Jaap C A; Schuurmans, Marieke J; Zonneveld, Michelle H; Schröder, Carin D")</f>
        <v>Westland, Heleen; Trappenburg, Jaap C A; Schuurmans, Marieke J; Zonneveld, Michelle H; Schröder, Carin D</v>
      </c>
      <c r="AK144" s="32">
        <f>IFERROR(__xludf.DUMMYFUNCTION("""COMPUTED_VALUE"""),44278.0)</f>
        <v>44278</v>
      </c>
      <c r="AL144" s="31" t="str">
        <f>IFERROR(__xludf.DUMMYFUNCTION("""COMPUTED_VALUE"""),"Transparent reporting of multivariable prediction models developed or validated using clustered data: TRIPOD-Cluster checklist.")</f>
        <v>Transparent reporting of multivariable prediction models developed or validated using clustered data: TRIPOD-Cluster checklist.</v>
      </c>
      <c r="AM144" s="31"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AN144" s="32">
        <f>IFERROR(__xludf.DUMMYFUNCTION("""COMPUTED_VALUE"""),44964.0)</f>
        <v>44964</v>
      </c>
    </row>
    <row r="145">
      <c r="A145" s="32"/>
      <c r="I145" s="31" t="str">
        <f>IFERROR(__xludf.DUMMYFUNCTION("""COMPUTED_VALUE"""),"journal of neurochemistry")</f>
        <v>journal of neurochemistry</v>
      </c>
      <c r="J145" s="38">
        <f>COUNTIF(Data!$F$2:$F9917, $I145)</f>
        <v>1</v>
      </c>
      <c r="T145" s="31" t="s">
        <v>24744</v>
      </c>
      <c r="U145" s="31" t="s">
        <v>24745</v>
      </c>
      <c r="V145" s="32">
        <v>45552.0</v>
      </c>
      <c r="X145" s="31" t="str">
        <f>IFERROR(__xludf.DUMMYFUNCTION("""COMPUTED_VALUE"""),"Metabolic dysfunction-associated steatotic liver disease and the heart.")</f>
        <v>Metabolic dysfunction-associated steatotic liver disease and the heart.</v>
      </c>
      <c r="Y145" s="31" t="str">
        <f>IFERROR(__xludf.DUMMYFUNCTION("""COMPUTED_VALUE"""),"Driessen, Stan; Francque, Sven M; Anker, Stefan D; Castro Cabezas, Manuel; Grobbee, Diederick E; Tushuizen, Maarten E; Holleboom, Adriaan G")</f>
        <v>Driessen, Stan; Francque, Sven M; Anker, Stefan D; Castro Cabezas, Manuel; Grobbee, Diederick E; Tushuizen, Maarten E; Holleboom, Adriaan G</v>
      </c>
      <c r="Z145" s="31">
        <f>IFERROR(__xludf.DUMMYFUNCTION("""COMPUTED_VALUE"""),2023.0)</f>
        <v>2023</v>
      </c>
      <c r="AA145" s="31">
        <f>IFERROR(__xludf.DUMMYFUNCTION("""COMPUTED_VALUE"""),3.0)</f>
        <v>3</v>
      </c>
      <c r="AC145" s="31" t="str">
        <f>IFERROR(__xludf.DUMMYFUNCTION("""COMPUTED_VALUE"""),"Integrating omics datasets with the OmicsPLS package.")</f>
        <v>Integrating omics datasets with the OmicsPLS package.</v>
      </c>
      <c r="AD145" s="31" t="str">
        <f>IFERROR(__xludf.DUMMYFUNCTION("""COMPUTED_VALUE"""),"Bouhaddani, Said El; Uh, Hae-Won; Jongbloed, Geurt; Hayward, Caroline; Klarić, Lucija; Kiełbasa, Szymon M; Houwing-Duistermaat, Jeanine")</f>
        <v>Bouhaddani, Said El; Uh, Hae-Won; Jongbloed, Geurt; Hayward, Caroline; Klarić, Lucija; Kiełbasa, Szymon M; Houwing-Duistermaat, Jeanine</v>
      </c>
      <c r="AE145" s="32">
        <f>IFERROR(__xludf.DUMMYFUNCTION("""COMPUTED_VALUE"""),43384.0)</f>
        <v>43384</v>
      </c>
      <c r="AF145" s="31" t="str">
        <f>IFERROR(__xludf.DUMMYFUNCTION("""COMPUTED_VALUE"""),"The quality of OpenStreetMap food-related point-of-interest data for use in epidemiological research.")</f>
        <v>The quality of OpenStreetMap food-related point-of-interest data for use in epidemiological research.</v>
      </c>
      <c r="AG145" s="31" t="str">
        <f>IFERROR(__xludf.DUMMYFUNCTION("""COMPUTED_VALUE"""),"Pinho, Maria Gabriela M; Flueckiger, Benjamin; Valentin, Antonia; Kasdagli, Maria-Iosifina; Kyriakou, Kalliopi; Lakerveld, Jeroen; Mackenbach, Joreintje D; Beulens, Joline W J; de Hoogh, Kees")</f>
        <v>Pinho, Maria Gabriela M; Flueckiger, Benjamin; Valentin, Antonia; Kasdagli, Maria-Iosifina; Kyriakou, Kalliopi; Lakerveld, Jeroen; Mackenbach, Joreintje D; Beulens, Joline W J; de Hoogh, Kees</v>
      </c>
      <c r="AH145" s="32">
        <f>IFERROR(__xludf.DUMMYFUNCTION("""COMPUTED_VALUE"""),45121.0)</f>
        <v>45121</v>
      </c>
      <c r="AI145" s="31" t="str">
        <f>IFERROR(__xludf.DUMMYFUNCTION("""COMPUTED_VALUE"""),"Glucocorticoid use and risk of first and recurrent venous thromboembolism: self-controlled case-series and cohort study.")</f>
        <v>Glucocorticoid use and risk of first and recurrent venous thromboembolism: self-controlled case-series and cohort study.</v>
      </c>
      <c r="AJ145" s="31" t="str">
        <f>IFERROR(__xludf.DUMMYFUNCTION("""COMPUTED_VALUE"""),"Orsi, Fernanda A; Lijfering, Willem M; Geersing, Geert-Jan; Rosendaal, Frits R; Dekkers, Olaf M; le Cessie, Saskia; Cannegieter, Suzanne C")</f>
        <v>Orsi, Fernanda A; Lijfering, Willem M; Geersing, Geert-Jan; Rosendaal, Frits R; Dekkers, Olaf M; le Cessie, Saskia; Cannegieter, Suzanne C</v>
      </c>
      <c r="AK145" s="32">
        <f>IFERROR(__xludf.DUMMYFUNCTION("""COMPUTED_VALUE"""),44276.0)</f>
        <v>44276</v>
      </c>
      <c r="AL145" s="31" t="str">
        <f>IFERROR(__xludf.DUMMYFUNCTION("""COMPUTED_VALUE"""),"Availability of evidence and comparative effectiveness for surgical versus drug interventions: an overview of systematic reviews.")</f>
        <v>Availability of evidence and comparative effectiveness for surgical versus drug interventions: an overview of systematic reviews.</v>
      </c>
      <c r="AM145" s="31" t="str">
        <f>IFERROR(__xludf.DUMMYFUNCTION("""COMPUTED_VALUE"""),"Zavalis, Emmanuel A; Rameau, Anaïs; Saraswathula, Anirudh; Vist, Joachim; Schuit, Ewoud; Ioannidis, John P A")</f>
        <v>Zavalis, Emmanuel A; Rameau, Anaïs; Saraswathula, Anirudh; Vist, Joachim; Schuit, Ewoud; Ioannidis, John P A</v>
      </c>
      <c r="AN145" s="32">
        <f>IFERROR(__xludf.DUMMYFUNCTION("""COMPUTED_VALUE"""),44958.0)</f>
        <v>44958</v>
      </c>
    </row>
    <row r="146">
      <c r="A146" s="32"/>
      <c r="I146" s="31" t="str">
        <f>IFERROR(__xludf.DUMMYFUNCTION("""COMPUTED_VALUE"""),"current oncology toronto ont")</f>
        <v>current oncology toronto ont</v>
      </c>
      <c r="J146" s="38">
        <f>COUNTIF(Data!$F$2:$F9917, $I146)</f>
        <v>1</v>
      </c>
      <c r="T146" s="31" t="s">
        <v>25986</v>
      </c>
      <c r="U146" s="31" t="s">
        <v>25987</v>
      </c>
      <c r="V146" s="32">
        <v>45552.0</v>
      </c>
      <c r="X146" s="31" t="str">
        <f>IFERROR(__xludf.DUMMYFUNCTION("""COMPUTED_VALUE"""),"Omega-3 Blood Levels and Stroke Risk: A Pooled and Harmonized Analysis of 183 291 Participants From 29 Prospective Studies.")</f>
        <v>Omega-3 Blood Levels and Stroke Risk: A Pooled and Harmonized Analysis of 183 291 Participants From 29 Prospective Studies.</v>
      </c>
      <c r="Y146" s="31" t="str">
        <f>IFERROR(__xludf.DUMMYFUNCTION("""COMPUTED_VALUE"""),"O'Keefe, James H; Tintle, Nathan L; Harris, William S; O'Keefe, Evan L; Sala-Vila, Aleix; Attia, John; Garg, G Manohar; Hure, Alexis; Bork, Christian Sørensen; Schmidt, Erik Berg; Venø, Stine Krogh; Chien, Kuo-Liong; Chen, Yun-Yu Amelia; Egert, Sarah; Fel"&amp;"dreich, Tobias Rudholm; Ärnlöv, Johan; Lind, Lars; Forouhi, Nita G; Geleijnse, Johanna M; Pertiwi, Kamalita; Imamura, Fumiaki; de Mello Laaksonen, Vanessa; Uusitupa, W Matti; Tuomilehto, Jaakko; Laakso, Markku; Lankinen, Maria Anneli; Laurin, Danielle; Ca"&amp;"rmichael, Pierre-Hugues; Lindsay, Joan; Leander, Karin; Laguzzi, Federica; Swenson, Brenton R; Longstreth, William T; Manson, JoAnn E; Mora, Samia; Cook, Nancy R; Marklund, Matti; Melo van Lent, Debora; Murphy, Rachel; Gudnason, Vilmundur; Ninomiya, Toshi"&amp;"hara; Hirakawa, Yoichiro; Qian, Frank; Sun, Qi; Hu, Frank; Ardisson Korat, Andres V; Risérus, Ulf; Lázaro, Iolanda; Samieri, Cecilia; Le Goff, Mélanie; Helmer, Catherine; Steur, Marinka; Voortman, Trudy; Ikram, M Kamran; Tanaka, Toshik")</f>
        <v>O'Keefe, James H; Tintle, Nathan L; Harris, William S; O'Keefe, Evan L; Sala-Vila, Aleix; Attia, John; Garg, G Manohar; Hure, Alexis; Bork, Christian Sørensen; Schmidt, Erik Berg; Venø, Stine Krogh; Chien, Kuo-Liong; Chen, Yun-Yu Amelia; Egert, Sarah; Feldreich, Tobias Rudholm; Ärnlöv, Johan; Lind, Lars; Forouhi, Nita G; Geleijnse, Johanna M; Pertiwi, Kamalita; Imamura, Fumiaki; de Mello Laaksonen, Vanessa; Uusitupa, W Matti; Tuomilehto, Jaakko; Laakso, Markku; Lankinen, Maria Anneli; Laurin, Danielle; Carmichael, Pierre-Hugues; Lindsay, Joan; Leander, Karin; Laguzzi, Federica; Swenson, Brenton R; Longstreth, William T; Manson, JoAnn E; Mora, Samia; Cook, Nancy R; Marklund, Matti; Melo van Lent, Debora; Murphy, Rachel; Gudnason, Vilmundur; Ninomiya, Toshihara; Hirakawa, Yoichiro; Qian, Frank; Sun, Qi; Hu, Frank; Ardisson Korat, Andres V; Risérus, Ulf; Lázaro, Iolanda; Samieri, Cecilia; Le Goff, Mélanie; Helmer, Catherine; Steur, Marinka; Voortman, Trudy; Ikram, M Kamran; Tanaka, Toshik</v>
      </c>
      <c r="Z146" s="31">
        <f>IFERROR(__xludf.DUMMYFUNCTION("""COMPUTED_VALUE"""),2023.0)</f>
        <v>2023</v>
      </c>
      <c r="AA146" s="31">
        <f>IFERROR(__xludf.DUMMYFUNCTION("""COMPUTED_VALUE"""),3.0)</f>
        <v>3</v>
      </c>
      <c r="AC146" s="31" t="str">
        <f>IFERROR(__xludf.DUMMYFUNCTION("""COMPUTED_VALUE"""),"How variation in predictor measurement affects the discriminative ability and transportability of a prediction model.")</f>
        <v>How variation in predictor measurement affects the discriminative ability and transportability of a prediction model.</v>
      </c>
      <c r="AD146" s="31" t="str">
        <f>IFERROR(__xludf.DUMMYFUNCTION("""COMPUTED_VALUE"""),"Pajouheshnia, R; van Smeden, M; Peelen, L M; Groenwold, R H H")</f>
        <v>Pajouheshnia, R; van Smeden, M; Peelen, L M; Groenwold, R H H</v>
      </c>
      <c r="AE146" s="32">
        <f>IFERROR(__xludf.DUMMYFUNCTION("""COMPUTED_VALUE"""),43357.0)</f>
        <v>43357</v>
      </c>
      <c r="AF146" s="31" t="str">
        <f>IFERROR(__xludf.DUMMYFUNCTION("""COMPUTED_VALUE"""),"NOS inhibition reverses TLR2-induced chondrocyte dysfunction and attenuates age-related osteoarthritis.")</f>
        <v>NOS inhibition reverses TLR2-induced chondrocyte dysfunction and attenuates age-related osteoarthritis.</v>
      </c>
      <c r="AG146" s="31" t="str">
        <f>IFERROR(__xludf.DUMMYFUNCTION("""COMPUTED_VALUE"""),"Shen, Ping; Serve, Sebastian; Wu, Peihua; Liu, Xiaohui; Dai, Yujie; Durán-Hernández, Nayar; Nguyen, Dan Thi Mai; Fuchs, Michael; Maleitzke, Tazio; Reisener, Marie-Jacqueline; Dzamukova, Maria; Nussbaumer, Katrin; Brunner, Tobias M; Li, Yonghai; Holecska, "&amp;"Vivien; Heinz, Gitta A; Heinrich, Frederik; Durek, Pawel; Katsoula, Georgia; Gwinner, Clemens; Jung, Tobias; Zeggini, Eleftheria; Winkler, Tobias; Mashreghi, Mir-Farzin; Pumberger, Matthias; Perka, Carsten; Löhning, Max")</f>
        <v>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v>
      </c>
      <c r="AH146" s="32">
        <f>IFERROR(__xludf.DUMMYFUNCTION("""COMPUTED_VALUE"""),45117.0)</f>
        <v>45117</v>
      </c>
      <c r="AI146" s="31" t="str">
        <f>IFERROR(__xludf.DUMMYFUNCTION("""COMPUTED_VALUE"""),"Diagnosing serious infections in older adults presenting to ambulatory care: a systematic review.")</f>
        <v>Diagnosing serious infections in older adults presenting to ambulatory care: a systematic review.</v>
      </c>
      <c r="AJ146" s="31" t="str">
        <f>IFERROR(__xludf.DUMMYFUNCTION("""COMPUTED_VALUE"""),"Struyf, Thomas; Boon, Hanne A; van de Pol, Alma C; Tournoy, Jos; Schuermans, Alexander; Verheij, Theo J M; Verbakel, Jan Y; Van den Bruel, Ann")</f>
        <v>Struyf, Thomas; Boon, Hanne A; van de Pol, Alma C; Tournoy, Jos; Schuermans, Alexander; Verheij, Theo J M; Verbakel, Jan Y; Van den Bruel, Ann</v>
      </c>
      <c r="AK146" s="32">
        <f>IFERROR(__xludf.DUMMYFUNCTION("""COMPUTED_VALUE"""),44253.0)</f>
        <v>44253</v>
      </c>
      <c r="AL146" s="31" t="str">
        <f>IFERROR(__xludf.DUMMYFUNCTION("""COMPUTED_VALUE"""),"Comparison between de novo and metachronous metastatic breast cancer: the presence of a primary tumour is not the only difference-a Dutch population-based study from 2008 to 2018.")</f>
        <v>Comparison between de novo and metachronous metastatic breast cancer: the presence of a primary tumour is not the only difference-a Dutch population-based study from 2008 to 2018.</v>
      </c>
      <c r="AM146" s="31" t="str">
        <f>IFERROR(__xludf.DUMMYFUNCTION("""COMPUTED_VALUE"""),"de Maar, Josanne S; Luyendijk, Marianne; Suelmann, Britt B M; van der Kruijssen, Dave E W; Elias, Sjoerd G; Siesling, Sabine; van der Wall, Elsken")</f>
        <v>de Maar, Josanne S; Luyendijk, Marianne; Suelmann, Britt B M; van der Kruijssen, Dave E W; Elias, Sjoerd G; Siesling, Sabine; van der Wall, Elsken</v>
      </c>
      <c r="AN146" s="32">
        <f>IFERROR(__xludf.DUMMYFUNCTION("""COMPUTED_VALUE"""),44943.0)</f>
        <v>44943</v>
      </c>
    </row>
    <row r="147">
      <c r="A147" s="32"/>
      <c r="I147" s="31" t="str">
        <f>IFERROR(__xludf.DUMMYFUNCTION("""COMPUTED_VALUE"""),"contemporary clinical trials communications")</f>
        <v>contemporary clinical trials communications</v>
      </c>
      <c r="J147" s="38">
        <f>COUNTIF(Data!$F$2:$F9917, $I147)</f>
        <v>5</v>
      </c>
      <c r="T147" s="31" t="s">
        <v>25022</v>
      </c>
      <c r="U147" s="31" t="s">
        <v>25023</v>
      </c>
      <c r="V147" s="32">
        <v>45551.0</v>
      </c>
      <c r="X147" s="31" t="str">
        <f>IFERROR(__xludf.DUMMYFUNCTION("""COMPUTED_VALUE"""),"Antibiotics for acute otitis media in children.")</f>
        <v>Antibiotics for acute otitis media in children.</v>
      </c>
      <c r="Y147" s="31" t="str">
        <f>IFERROR(__xludf.DUMMYFUNCTION("""COMPUTED_VALUE"""),"Venekamp, Roderick P; Sanders, Sharon L; Glasziou, Paul P; Rovers, Maroeska M")</f>
        <v>Venekamp, Roderick P; Sanders, Sharon L; Glasziou, Paul P; Rovers, Maroeska M</v>
      </c>
      <c r="Z147" s="31">
        <f>IFERROR(__xludf.DUMMYFUNCTION("""COMPUTED_VALUE"""),2023.0)</f>
        <v>2023</v>
      </c>
      <c r="AA147" s="31">
        <f>IFERROR(__xludf.DUMMYFUNCTION("""COMPUTED_VALUE"""),3.0)</f>
        <v>3</v>
      </c>
      <c r="AC147" s="31" t="str">
        <f>IFERROR(__xludf.DUMMYFUNCTION("""COMPUTED_VALUE"""),"Measuring the impact of the 2012 European pharmacovigilance legislation on additional risk minimization measures.")</f>
        <v>Measuring the impact of the 2012 European pharmacovigilance legislation on additional risk minimization measures.</v>
      </c>
      <c r="AD147" s="31" t="str">
        <f>IFERROR(__xludf.DUMMYFUNCTION("""COMPUTED_VALUE"""),"Francisca, Reynold D C; Zomerdijk, Inge M; Sturkenboom, Miriam C J M; Straus, Sabine M J M")</f>
        <v>Francisca, Reynold D C; Zomerdijk, Inge M; Sturkenboom, Miriam C J M; Straus, Sabine M J M</v>
      </c>
      <c r="AE147" s="32">
        <f>IFERROR(__xludf.DUMMYFUNCTION("""COMPUTED_VALUE"""),43334.0)</f>
        <v>43334</v>
      </c>
      <c r="AF147" s="31" t="str">
        <f>IFERROR(__xludf.DUMMYFUNCTION("""COMPUTED_VALUE"""),"Compliance with the DASH diet and risk of all-cause and cardiovascular mortality in patients with myocardial infarction.")</f>
        <v>Compliance with the DASH diet and risk of all-cause and cardiovascular mortality in patients with myocardial infarction.</v>
      </c>
      <c r="AG147" s="31" t="str">
        <f>IFERROR(__xludf.DUMMYFUNCTION("""COMPUTED_VALUE"""),"Bonekamp, Nadia E; Cruijsen, Esther; Visseren, Frank Lj; van der Schouw, Yvonne T; Geleijnse, Johanna M; Koopal, Charlotte")</f>
        <v>Bonekamp, Nadia E; Cruijsen, Esther; Visseren, Frank Lj; van der Schouw, Yvonne T; Geleijnse, Johanna M; Koopal, Charlotte</v>
      </c>
      <c r="AH147" s="32">
        <f>IFERROR(__xludf.DUMMYFUNCTION("""COMPUTED_VALUE"""),45112.0)</f>
        <v>45112</v>
      </c>
      <c r="AI147" s="31" t="str">
        <f>IFERROR(__xludf.DUMMYFUNCTION("""COMPUTED_VALUE"""),"Impact of the COVID-19 Pandemic on Antibiotic Prescribing for Common Infections in The Netherlands: A Primary Care-Based Observational Cohort Study.")</f>
        <v>Impact of the COVID-19 Pandemic on Antibiotic Prescribing for Common Infections in The Netherlands: A Primary Care-Based Observational Cohort Study.</v>
      </c>
      <c r="AJ147" s="31" t="str">
        <f>IFERROR(__xludf.DUMMYFUNCTION("""COMPUTED_VALUE"""),"van de Pol, Alma C; Boeijen, Josi A; Venekamp, Roderick P; Platteel, Tamara; Damoiseaux, Roger A M J; Kortekaas, Marlous F; van der Velden, Alike W")</f>
        <v>van de Pol, Alma C; Boeijen, Josi A; Venekamp, Roderick P; Platteel, Tamara; Damoiseaux, Roger A M J; Kortekaas, Marlous F; van der Velden, Alike W</v>
      </c>
      <c r="AK147" s="32">
        <f>IFERROR(__xludf.DUMMYFUNCTION("""COMPUTED_VALUE"""),44245.0)</f>
        <v>44245</v>
      </c>
      <c r="AL147" s="31" t="str">
        <f>IFERROR(__xludf.DUMMYFUNCTION("""COMPUTED_VALUE"""),"Longitudinal decline in semantic &lt;i&gt;versus&lt;/i&gt; letter fluency, but not their ratio, marks incident Alzheimer's disease in Latinx Spanish-speaking older individuals.")</f>
        <v>Longitudinal decline in semantic &lt;i&gt;versus&lt;/i&gt; letter fluency, but not their ratio, marks incident Alzheimer's disease in Latinx Spanish-speaking older individuals.</v>
      </c>
      <c r="AM147" s="31" t="str">
        <f>IFERROR(__xludf.DUMMYFUNCTION("""COMPUTED_VALUE"""),"Fernández, Kayri K; Kociolek, Anton J; Lao, Patrick J; Stern, Yaakov; Manly, Jennifer J; Vonk, Jet M J")</f>
        <v>Fernández, Kayri K; Kociolek, Anton J; Lao, Patrick J; Stern, Yaakov; Manly, Jennifer J; Vonk, Jet M J</v>
      </c>
      <c r="AN147" s="32">
        <f>IFERROR(__xludf.DUMMYFUNCTION("""COMPUTED_VALUE"""),44939.0)</f>
        <v>44939</v>
      </c>
    </row>
    <row r="148">
      <c r="A148" s="32"/>
      <c r="I148" s="31" t="str">
        <f>IFERROR(__xludf.DUMMYFUNCTION("""COMPUTED_VALUE"""),"scandinavian journal of medicine science in sports")</f>
        <v>scandinavian journal of medicine science in sports</v>
      </c>
      <c r="J148" s="38">
        <f>COUNTIF(Data!$F$2:$F9917, $I148)</f>
        <v>3</v>
      </c>
      <c r="T148" s="31" t="s">
        <v>25770</v>
      </c>
      <c r="U148" s="31" t="s">
        <v>25771</v>
      </c>
      <c r="V148" s="32">
        <v>45551.0</v>
      </c>
      <c r="X148" s="31" t="str">
        <f>IFERROR(__xludf.DUMMYFUNCTION("""COMPUTED_VALUE"""),"Correction: ""The 5th edition of The World Health Organization Classification of Haematolymphoid Tumours: Lymphoid Neoplasms"" Leukemia. 2022 Jul;36(7):1720-1748.")</f>
        <v>Correction: "The 5th edition of The World Health Organization Classification of Haematolymphoid Tumours: Lymphoid Neoplasms" Leukemia. 2022 Jul;36(7):1720-1748.</v>
      </c>
      <c r="Y148" s="31" t="str">
        <f>IFERROR(__xludf.DUMMYFUNCTION("""COMPUTED_VALUE"""),"Alaggio, Rita; Amador, Catalina; Anagnostopoulos, Ioannis; Attygalle, Ayoma D; de Oliveira Araujo, Iguaracyra Barreto; Berti, Emilio; Bhagat, Govind; Borges, Anita Maria; Boyer, Daniel; Calaminici, Mariarita; Chadburn, Amy; Chan, John K C; Cheuk, Wah; Chn"&amp;"g, Wee-Joo; Choi, John K; Chuang, Shih-Sung; Coupland, Sarah E; Czader, Magdalena; Dave, Sandeep S; de Jong, Daphne; Di Napoli, Arianna; Du, Ming-Qing; Elenitoba-Johnson, Kojo S; Ferry, Judith; Geyer, Julia; Gratzinger, Dita; Guitart, Joan; Gujral, Sumeet"&amp;"; Harris, Marian; Harrison, Christine J; Hartmann, Sylvia; Hochhaus, Andreas; Jansen, Patty M; Karube, Kennosuke; Kempf, Werner; Khoury, Joseph; Kimura, Hiroshi; Klapper, Wolfram; Kovach, Alexandra E; Kumar, Shaji; Lazar, Alexander J; Lazzi, Stefano; Leon"&amp;"cini, Lorenzo; Leung, Nelson; Leventaki, Vasiliki; Li, Xiao-Qiu; Lim, Megan S; Liu, Wei-Ping; Louissaint, Abner; Marcogliese, Andrea; Medeiros, L Jeffrey; Michal, Michael; Miranda, Roberto N; Mitteldorf, Christina; Montes-Moreno, Santi")</f>
        <v>Alaggio, Rita; Amador, Catalina; Anagnostopoulos, Ioannis; Attygalle, Ayoma D; de Oliveira Araujo, Iguaracyra Barreto; Berti, Emilio; Bhagat, Govind; Borges, Anita Maria; Boyer, Daniel; Calaminici, Mariarita; Chadburn, Amy; Chan, John K C; Cheuk, Wah; Chng, Wee-Joo; Choi, John K; Chuang, Shih-Sung; Coupland, Sarah E; Czader, Magdalena; Dave, Sandeep S; de Jong, Daphne; Di Napoli, Arianna;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v>
      </c>
      <c r="Z148" s="31">
        <f>IFERROR(__xludf.DUMMYFUNCTION("""COMPUTED_VALUE"""),2023.0)</f>
        <v>2023</v>
      </c>
      <c r="AA148" s="31">
        <f>IFERROR(__xludf.DUMMYFUNCTION("""COMPUTED_VALUE"""),3.0)</f>
        <v>3</v>
      </c>
      <c r="AC148" s="31" t="str">
        <f>IFERROR(__xludf.DUMMYFUNCTION("""COMPUTED_VALUE"""),"Bayesian sample size re-estimation using power priors.")</f>
        <v>Bayesian sample size re-estimation using power priors.</v>
      </c>
      <c r="AD148" s="31" t="str">
        <f>IFERROR(__xludf.DUMMYFUNCTION("""COMPUTED_VALUE"""),"Brakenhoff, T B; Roes, Kcb; Nikolakopoulos, S")</f>
        <v>Brakenhoff, T B; Roes, Kcb; Nikolakopoulos, S</v>
      </c>
      <c r="AE148" s="32">
        <f>IFERROR(__xludf.DUMMYFUNCTION("""COMPUTED_VALUE"""),43222.0)</f>
        <v>43222</v>
      </c>
      <c r="AF148" s="31" t="str">
        <f>IFERROR(__xludf.DUMMYFUNCTION("""COMPUTED_VALUE"""),"Subgroups of adult-onset diabetes: a data-driven cluster analysis in a Ghanaian population.")</f>
        <v>Subgroups of adult-onset diabetes: a data-driven cluster analysis in a Ghanaian population.</v>
      </c>
      <c r="AG148" s="31" t="str">
        <f>IFERROR(__xludf.DUMMYFUNCTION("""COMPUTED_VALUE"""),"Danquah, Ina; Mank, Isabel; Hampe, Christiane S; Meeks, Karlijn A C; Agyemang, Charles; Owusu-Dabo, Ellis; Smeeth, Liam; Klipstein-Grobusch, Kerstin; Bahendeka, Silver; Spranger, Joachim; Mockenhaupt, Frank P; Schulze, Matthias B; Rolandsson, Olov")</f>
        <v>Danquah, Ina; Mank, Isabel; Hampe, Christiane S; Meeks, Karlijn A C; Agyemang, Charles; Owusu-Dabo, Ellis; Smeeth, Liam; Klipstein-Grobusch, Kerstin; Bahendeka, Silver; Spranger, Joachim; Mockenhaupt, Frank P; Schulze, Matthias B; Rolandsson, Olov</v>
      </c>
      <c r="AH148" s="32">
        <f>IFERROR(__xludf.DUMMYFUNCTION("""COMPUTED_VALUE"""),45111.0)</f>
        <v>45111</v>
      </c>
      <c r="AI148" s="31" t="str">
        <f>IFERROR(__xludf.DUMMYFUNCTION("""COMPUTED_VALUE"""),"Parents' perspectives on nusinersen treatment for children with spinal muscular atrophy.")</f>
        <v>Parents' perspectives on nusinersen treatment for children with spinal muscular atrophy.</v>
      </c>
      <c r="AJ148" s="31" t="str">
        <f>IFERROR(__xludf.DUMMYFUNCTION("""COMPUTED_VALUE"""),"van Kruijsbergen, Mette; Schröder, Carin D; Ketelaar, Marjolijn; van der Pol, W Ludo; Cuppen, Inge; van der Geest, Annette; Asselman, Fay-Lynn; Fischer, Maarten J; Visser-Meily, Johanna M A; Kars, Marijke C")</f>
        <v>van Kruijsbergen, Mette; Schröder, Carin D; Ketelaar, Marjolijn; van der Pol, W Ludo; Cuppen, Inge; van der Geest, Annette; Asselman, Fay-Lynn; Fischer, Maarten J; Visser-Meily, Johanna M A; Kars, Marijke C</v>
      </c>
      <c r="AK148" s="32">
        <f>IFERROR(__xludf.DUMMYFUNCTION("""COMPUTED_VALUE"""),44233.0)</f>
        <v>44233</v>
      </c>
      <c r="AL148" s="31" t="str">
        <f>IFERROR(__xludf.DUMMYFUNCTION("""COMPUTED_VALUE"""),"Mediating Role of Lifestyle Behaviors in the Association between Education and Cancer: Results from the European Prospective Investigation into Cancer and Nutrition.")</f>
        <v>Mediating Role of Lifestyle Behaviors in the Association between Education and Cancer: Results from the European Prospective Investigation into Cancer and Nutrition.</v>
      </c>
      <c r="AM148" s="31" t="str">
        <f>IFERROR(__xludf.DUMMYFUNCTION("""COMPUTED_VALUE"""),"Macciotta, Alessandra; Catalano, Alberto; Giraudo, Maria Teresa; Weiderpass, Elisabete; Ferrari, Pietro; Freisling, Heinz; Colorado-Yohar, Sandra M; Santiuste, Carmen; Amiano, Pilar; Heath, Alicia K; Ward, Heather A; Christakoudi, Sofia; Vineis, Paolo; Si"&amp;"ngh, Deependra; Vaccarella, Salvatore; Schulze, Matthias B; Hiensch, Anouk E; Monninkhof, Evelyn M; Katzke, Verena; Kaaks, Rudolf; Tumino, Rosario; Lazzarato, Fulvio; Milani, Lorenzo; Agudo, Antonio; Dahm, Christina C; Baglietto, Laura; Perduca, Vittorio;"&amp;" Severi, Gianluca; Grioni, Sara; Panico, Salvatore; Ardanaz, Eva; Borch, Kristin B; Benebo, Faith O; Braaten, Tonje; Sánchez, Maria-Jose; Giachino, Claudia; Sacerdote, Carlotta; Ricceri, Fulvio")</f>
        <v>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v>
      </c>
      <c r="AN148" s="32">
        <f>IFERROR(__xludf.DUMMYFUNCTION("""COMPUTED_VALUE"""),44935.0)</f>
        <v>44935</v>
      </c>
    </row>
    <row r="149">
      <c r="A149" s="32"/>
      <c r="I149" s="31" t="str">
        <f>IFERROR(__xludf.DUMMYFUNCTION("""COMPUTED_VALUE"""),"health expectations an international journal of public participation in health care and health policy")</f>
        <v>health expectations an international journal of public participation in health care and health policy</v>
      </c>
      <c r="J149" s="38">
        <f>COUNTIF(Data!$F$2:$F9917, $I149)</f>
        <v>5</v>
      </c>
      <c r="T149" s="31" t="s">
        <v>25825</v>
      </c>
      <c r="U149" s="31" t="s">
        <v>202</v>
      </c>
      <c r="V149" s="32">
        <v>45551.0</v>
      </c>
      <c r="X149" s="31" t="str">
        <f>IFERROR(__xludf.DUMMYFUNCTION("""COMPUTED_VALUE"""),"High-Target Hemodiafiltration Convective Dose Achieved in Most Patients in a 6-Month Intermediary Analysis of the CONVINCE Randomized Controlled Trial.")</f>
        <v>High-Target Hemodiafiltration Convective Dose Achieved in Most Patients in a 6-Month Intermediary Analysis of the CONVINCE Randomized Controlled Trial.</v>
      </c>
      <c r="Y149" s="31" t="str">
        <f>IFERROR(__xludf.DUMMYFUNCTION("""COMPUTED_VALUE"""),"Vernooij, Robin W M; Hockham, C; Barth, C; Canaud, B; Cromm, K; Davenport, A; Hegbrant, J; Rose, M; Strippoli, G F M; Török, M; Woodward, M; Bots, M L; Blankestijn, P J")</f>
        <v>Vernooij, Robin W M; Hockham, C; Barth, C; Canaud, B; Cromm, K; Davenport, A; Hegbrant, J; Rose, M; Strippoli, G F M; Török, M; Woodward, M; Bots, M L; Blankestijn, P J</v>
      </c>
      <c r="Z149" s="31">
        <f>IFERROR(__xludf.DUMMYFUNCTION("""COMPUTED_VALUE"""),2023.0)</f>
        <v>2023</v>
      </c>
      <c r="AA149" s="31">
        <f>IFERROR(__xludf.DUMMYFUNCTION("""COMPUTED_VALUE"""),3.0)</f>
        <v>3</v>
      </c>
      <c r="AC149" s="31" t="str">
        <f>IFERROR(__xludf.DUMMYFUNCTION("""COMPUTED_VALUE"""),"Impact of different assumptions on estimates of childhood diseases obtained from health care data: A retrospective cohort study.")</f>
        <v>Impact of different assumptions on estimates of childhood diseases obtained from health care data: A retrospective cohort study.</v>
      </c>
      <c r="AD149" s="31" t="str">
        <f>IFERROR(__xludf.DUMMYFUNCTION("""COMPUTED_VALUE"""),"Osokogu, Osemeke U; Pacurariu, Alexandra; Mosseveld, Mees; Rijnbeek, Peter; Weibel, Daniel; Verhamme, Katia; Sturkenboom, Miriam C J M")</f>
        <v>Osokogu, Osemeke U; Pacurariu, Alexandra; Mosseveld, Mees; Rijnbeek, Peter; Weibel, Daniel; Verhamme, Katia; Sturkenboom, Miriam C J M</v>
      </c>
      <c r="AE149" s="32">
        <f>IFERROR(__xludf.DUMMYFUNCTION("""COMPUTED_VALUE"""),43214.0)</f>
        <v>43214</v>
      </c>
      <c r="AF149" s="31" t="str">
        <f>IFERROR(__xludf.DUMMYFUNCTION("""COMPUTED_VALUE"""),"Effect of bariatric surgery on NAFLD/NASH: a single-centre observational prospective cohort study.")</f>
        <v>Effect of bariatric surgery on NAFLD/NASH: a single-centre observational prospective cohort study.</v>
      </c>
      <c r="AG149" s="31" t="str">
        <f>IFERROR(__xludf.DUMMYFUNCTION("""COMPUTED_VALUE"""),"Theel, Willy B; Boxma-de Klerk, Bianca M; Dirksmeier-Harinck, Femme; van Rossum, Elisabeth Fc; Kanhai, Danny A; Apers, Jan A; van Dalen, Bas M; De Knegt, Robert J; Neecke, Bojou; van der Zwan, Ellen M; Grobbee, Diederick E; Hankemeier, Thomas; Wiebolt, Ja"&amp;"nneke; Castro Cabezas, Manuel")</f>
        <v>Theel, Willy B; Boxma-de Klerk, Bianca M; Dirksmeier-Harinck, Femme; van Rossum, Elisabeth Fc; Kanhai, Danny A; Apers, Jan A; van Dalen, Bas M; De Knegt, Robert J; Neecke, Bojou; van der Zwan, Ellen M; Grobbee, Diederick E; Hankemeier, Thomas; Wiebolt, Janneke; Castro Cabezas, Manuel</v>
      </c>
      <c r="AH149" s="32">
        <f>IFERROR(__xludf.DUMMYFUNCTION("""COMPUTED_VALUE"""),45110.0)</f>
        <v>45110</v>
      </c>
      <c r="AI149" s="31" t="str">
        <f>IFERROR(__xludf.DUMMYFUNCTION("""COMPUTED_VALUE"""),"International comparison of pressure ulcer measures in long-term care facilities: Assessing the methodological robustness of 4 approaches to point prevalence measurement.")</f>
        <v>International comparison of pressure ulcer measures in long-term care facilities: Assessing the methodological robustness of 4 approaches to point prevalence measurement.</v>
      </c>
      <c r="AJ149" s="31" t="str">
        <f>IFERROR(__xludf.DUMMYFUNCTION("""COMPUTED_VALUE"""),"Poldrugovac, Mircha; Padget, Michael; Schoonhoven, Lisette; Thompson, Nicola D; Klazinga, Niek S; Kringos, Dionne S")</f>
        <v>Poldrugovac, Mircha; Padget, Michael; Schoonhoven, Lisette; Thompson, Nicola D; Klazinga, Niek S; Kringos, Dionne S</v>
      </c>
      <c r="AK149" s="32">
        <f>IFERROR(__xludf.DUMMYFUNCTION("""COMPUTED_VALUE"""),44220.0)</f>
        <v>44220</v>
      </c>
      <c r="AL149" s="31" t="str">
        <f>IFERROR(__xludf.DUMMYFUNCTION("""COMPUTED_VALUE"""),"Reporting the early stage clinical evaluation of virtual-reality-based intervention trials: RATE-VR.")</f>
        <v>Reporting the early stage clinical evaluation of virtual-reality-based intervention trials: RATE-VR.</v>
      </c>
      <c r="AM149" s="31" t="str">
        <f>IFERROR(__xludf.DUMMYFUNCTION("""COMPUTED_VALUE"""),"Vlake, Johan H; van Bommel, Jasper; Riva, Giuseppe; Wiederhold, Brenda K; Cipresso, Pietro; Rizzo, Albert Skip; Botella, Cristina; Hooft, Lotty; Bienvenu, O Joseph; Geerts, Bart; Wils, Evert-Jan; Gommers, Diederik; van Genderen, Michel E")</f>
        <v>Vlake, Johan H; van Bommel, Jasper; Riva, Giuseppe; Wiederhold, Brenda K; Cipresso, Pietro; Rizzo, Albert Skip; Botella, Cristina; Hooft, Lotty; Bienvenu, O Joseph; Geerts, Bart; Wils, Evert-Jan; Gommers, Diederik; van Genderen, Michel E</v>
      </c>
      <c r="AN149" s="32">
        <f>IFERROR(__xludf.DUMMYFUNCTION("""COMPUTED_VALUE"""),44927.0)</f>
        <v>44927</v>
      </c>
    </row>
    <row r="150">
      <c r="A150" s="32"/>
      <c r="I150" s="31" t="str">
        <f>IFERROR(__xludf.DUMMYFUNCTION("""COMPUTED_VALUE"""),"the journals of gerontology series a biological sciences and medical sciences")</f>
        <v>the journals of gerontology series a biological sciences and medical sciences</v>
      </c>
      <c r="J150" s="38">
        <f>COUNTIF(Data!$F$2:$F9917, $I150)</f>
        <v>7</v>
      </c>
      <c r="T150" s="31" t="s">
        <v>25701</v>
      </c>
      <c r="U150" s="31" t="s">
        <v>25702</v>
      </c>
      <c r="V150" s="32">
        <v>45549.0</v>
      </c>
      <c r="X150" s="31" t="str">
        <f>IFERROR(__xludf.DUMMYFUNCTION("""COMPUTED_VALUE"""),"Assessing Quantitative Parenchymal Features at Baseline Dynamic Contrast-enhanced MRI and Cancer Occurrence in Women with Extremely Dense Breasts.")</f>
        <v>Assessing Quantitative Parenchymal Features at Baseline Dynamic Contrast-enhanced MRI and Cancer Occurrence in Women with Extremely Dense Breasts.</v>
      </c>
      <c r="Y150" s="31" t="str">
        <f>IFERROR(__xludf.DUMMYFUNCTION("""COMPUTED_VALUE"""),"Wang, Hui; van der Velden, Bas H M; Verburg, Erik; Bakker, Marije F; Pijnappel, Ruud M; Veldhuis, Wouter B; van Gils, Carla H; Gilhuijs, Kenneth G A")</f>
        <v>Wang, Hui; van der Velden, Bas H M; Verburg, Erik; Bakker, Marije F; Pijnappel, Ruud M; Veldhuis, Wouter B; van Gils, Carla H; Gilhuijs, Kenneth G A</v>
      </c>
      <c r="Z150" s="31">
        <f>IFERROR(__xludf.DUMMYFUNCTION("""COMPUTED_VALUE"""),2023.0)</f>
        <v>2023</v>
      </c>
      <c r="AA150" s="31">
        <f>IFERROR(__xludf.DUMMYFUNCTION("""COMPUTED_VALUE"""),3.0)</f>
        <v>3</v>
      </c>
      <c r="AC150" s="31" t="str">
        <f>IFERROR(__xludf.DUMMYFUNCTION("""COMPUTED_VALUE"""),"Mapping nurses' activities in surgical hospital wards: A time study.")</f>
        <v>Mapping nurses' activities in surgical hospital wards: A time study.</v>
      </c>
      <c r="AD150" s="31" t="str">
        <f>IFERROR(__xludf.DUMMYFUNCTION("""COMPUTED_VALUE"""),"van den Oetelaar, W F J M; van Stel, H F; van Rhenen, W; Stellato, R K; Grolman, W")</f>
        <v>van den Oetelaar, W F J M; van Stel, H F; van Rhenen, W; Stellato, R K; Grolman, W</v>
      </c>
      <c r="AE150" s="32">
        <f>IFERROR(__xludf.DUMMYFUNCTION("""COMPUTED_VALUE"""),43214.0)</f>
        <v>43214</v>
      </c>
      <c r="AF150" s="31" t="str">
        <f>IFERROR(__xludf.DUMMYFUNCTION("""COMPUTED_VALUE"""),"The use of environmental scenarios to project future health effects: a scoping review.")</f>
        <v>The use of environmental scenarios to project future health effects: a scoping review.</v>
      </c>
      <c r="AG150" s="31" t="str">
        <f>IFERROR(__xludf.DUMMYFUNCTION("""COMPUTED_VALUE"""),"Weber, Eartha; Downward, George S; Ebi, Kristie L; Lucas, Paul L; van Vuuren, Detlef")</f>
        <v>Weber, Eartha; Downward, George S; Ebi, Kristie L; Lucas, Paul L; van Vuuren, Detlef</v>
      </c>
      <c r="AH150" s="32">
        <f>IFERROR(__xludf.DUMMYFUNCTION("""COMPUTED_VALUE"""),45108.0)</f>
        <v>45108</v>
      </c>
      <c r="AI150" s="31" t="str">
        <f>IFERROR(__xludf.DUMMYFUNCTION("""COMPUTED_VALUE"""),"The quality and clinical applicability of recommendations in pressure injury guidelines: A systematic review of clinical practice guidelines.")</f>
        <v>The quality and clinical applicability of recommendations in pressure injury guidelines: A systematic review of clinical practice guidelines.</v>
      </c>
      <c r="AJ150" s="31" t="str">
        <f>IFERROR(__xludf.DUMMYFUNCTION("""COMPUTED_VALUE"""),"Gillespie, Brigid M; Latimer, Sharon; Walker, Rachel M; McInnes, Elizabeth; Moore, Zena; Eskes, Anne M; Li, Zhaoyu; Schoonhoven, Lisette; Boorman, Rhonda J; Chaboyer, Wendy")</f>
        <v>Gillespie, Brigid M; Latimer, Sharon; Walker, Rachel M; McInnes, Elizabeth; Moore, Zena; Eskes, Anne M; Li, Zhaoyu; Schoonhoven, Lisette; Boorman, Rhonda J; Chaboyer, Wendy</v>
      </c>
      <c r="AK150" s="32">
        <f>IFERROR(__xludf.DUMMYFUNCTION("""COMPUTED_VALUE"""),44188.0)</f>
        <v>44188</v>
      </c>
      <c r="AL150" s="31" t="str">
        <f>IFERROR(__xludf.DUMMYFUNCTION("""COMPUTED_VALUE"""),"Psychosocial factors and hippocampal subfields: The Medea-7T study.")</f>
        <v>Psychosocial factors and hippocampal subfields: The Medea-7T study.</v>
      </c>
      <c r="AM150" s="31" t="str">
        <f>IFERROR(__xludf.DUMMYFUNCTION("""COMPUTED_VALUE"""),"Twait, Emma L; Blom, Kim; Koek, Huiberdina L; Zwartbol, Maarten H T; Ghaznawi, Rashid; Hendrikse, Jeroen; Gerritsen, Lotte; Geerlings, Mirjam I; ,")</f>
        <v>Twait, Emma L; Blom, Kim; Koek, Huiberdina L; Zwartbol, Maarten H T; Ghaznawi, Rashid; Hendrikse, Jeroen; Gerritsen, Lotte; Geerlings, Mirjam I; ,</v>
      </c>
      <c r="AN150" s="32">
        <f>IFERROR(__xludf.DUMMYFUNCTION("""COMPUTED_VALUE"""),44925.0)</f>
        <v>44925</v>
      </c>
    </row>
    <row r="151">
      <c r="A151" s="32"/>
      <c r="I151" s="31" t="str">
        <f>IFERROR(__xludf.DUMMYFUNCTION("""COMPUTED_VALUE"""),"international journal of cardiology heart vasculature")</f>
        <v>international journal of cardiology heart vasculature</v>
      </c>
      <c r="J151" s="38">
        <f>COUNTIF(Data!$F$2:$F9917, $I151)</f>
        <v>6</v>
      </c>
      <c r="T151" s="31" t="s">
        <v>24940</v>
      </c>
      <c r="U151" s="31" t="s">
        <v>24941</v>
      </c>
      <c r="V151" s="32">
        <v>45548.0</v>
      </c>
      <c r="X151" s="31" t="str">
        <f>IFERROR(__xludf.DUMMYFUNCTION("""COMPUTED_VALUE"""),"Safety of BCG vaccination and revaccination in healthcare workers.")</f>
        <v>Safety of BCG vaccination and revaccination in healthcare workers.</v>
      </c>
      <c r="Y151" s="31" t="str">
        <f>IFERROR(__xludf.DUMMYFUNCTION("""COMPUTED_VALUE"""),"Villanueva, Paola; Crawford, Nigel W; Garcia Croda, Mariana; Collopy, Simone; Araújo Jardim, Bruno; de Almeida Pinto Jardim, Tyane; Marshall, Helen; Prat-Aymerich, Cristina; Sawka, Alice; Sharma, Ketaki; Troeman, Darren; Wadia, Ushma; Warris, Adilia; Wood"&amp;", Nicholas; Messina, Nicole L; Curtis, Nigel; Pittet, Laure F")</f>
        <v>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v>
      </c>
      <c r="Z151" s="31">
        <f>IFERROR(__xludf.DUMMYFUNCTION("""COMPUTED_VALUE"""),2023.0)</f>
        <v>2023</v>
      </c>
      <c r="AA151" s="31">
        <f>IFERROR(__xludf.DUMMYFUNCTION("""COMPUTED_VALUE"""),3.0)</f>
        <v>3</v>
      </c>
      <c r="AC151" s="31" t="str">
        <f>IFERROR(__xludf.DUMMYFUNCTION("""COMPUTED_VALUE"""),"Interplay between genetic predisposition, macronutrient intake and type 2 diabetes incidence: analysis within EPIC-InterAct across eight European countries.")</f>
        <v>Interplay between genetic predisposition, macronutrient intake and type 2 diabetes incidence: analysis within EPIC-InterAct across eight European countries.</v>
      </c>
      <c r="AD151" s="31" t="str">
        <f>IFERROR(__xludf.DUMMYFUNCTION("""COMPUTED_VALUE"""),"Li, Sherly X; Imamura, Fumiaki; Schulze, Matthias B; Zheng, Jusheng; Ye, Zheng; Agudo, Antonio; Ardanaz, Eva; Aune, Dagfinn; Boeing, Heiner; Dorronsoro, Miren; Dow, Courtney; Fagherazzi, Guy; Grioni, Sara; Gunter, Marc J; Huerta, José María; Ibsen, Daniel"&amp;" B; Jakobsen, Marianne Uhre; Kaaks, Rudolf; Key, Timothy J; Khaw, Kay-Tee; Kyrø, Cecilie; Mancini, Francesca Romana; Molina-Portillo, Elena; Murphy, Neil; Nilsson, Peter M; Onland-Moret, N Charlotte; Palli, Domenico; Panico, Salvatore; Poveda, Alaitz; Qui"&amp;"rós, J Ramón; Ricceri, Fulvio; Sluijs, Ivonne; Spijkerman, Annemieke M W; Tjonneland, Anne; Tumino, Rosario; Winkvist, Anna; Langenberg, Claudia; Sharp, Stephen J; Riboli, Elio; Scott, Robert A; Forouhi, Nita G; Wareham, Nicholas J")</f>
        <v>Li, Sherly X; Imamura, Fumiaki; Schulze, Matthias B; Zheng, Jusheng; Ye, Zheng; Agudo, Antonio; Ardanaz, Eva; Aune, Dagfinn; Boeing, Heiner; Dorronsoro, Miren; Dow, Courtney; Fagherazzi, Guy; Grioni, Sara; Gunter, Marc J; Huerta, José María; Ibsen, Daniel B; Jakobsen, Marianne Uhre; Kaaks, Rudolf; Key, Timothy J; Khaw, Kay-Tee; Kyrø, Cecilie; Mancini, Francesca Romana; Molina-Portillo, Elena; Murphy, Neil; Nilsson, Peter M; Onland-Moret, N Charlotte; Palli, Domenico; Panico, Salvatore; Poveda, Alaitz; Quirós, J Ramón; Ricceri, Fulvio; Sluijs, Ivonne; Spijkerman, Annemieke M W; Tjonneland, Anne; Tumino, Rosario; Winkvist, Anna; Langenberg, Claudia; Sharp, Stephen J; Riboli, Elio; Scott, Robert A; Forouhi, Nita G; Wareham, Nicholas J</v>
      </c>
      <c r="AE151" s="32">
        <f>IFERROR(__xludf.DUMMYFUNCTION("""COMPUTED_VALUE"""),43176.0)</f>
        <v>43176</v>
      </c>
      <c r="AF151" s="31" t="str">
        <f>IFERROR(__xludf.DUMMYFUNCTION("""COMPUTED_VALUE"""),"Tuberculosis services during the COVID-19 pandemic: A qualitative study on the impact of COVID-19 and practices for continued services delivery in Eswatini.")</f>
        <v>Tuberculosis services during the COVID-19 pandemic: A qualitative study on the impact of COVID-19 and practices for continued services delivery in Eswatini.</v>
      </c>
      <c r="AG151" s="31" t="str">
        <f>IFERROR(__xludf.DUMMYFUNCTION("""COMPUTED_VALUE"""),"Williams, Victor; Vos-Seda, Alinda G; Calnan, Marianne; Mdluli-Dlamini, Lindiwe; Haumba, Samson; Grobbee, Diederick E; Klipstein-Grobusch, Kerstin; Otwombe, Kennedy")</f>
        <v>Williams, Victor; Vos-Seda, Alinda G; Calnan, Marianne; Mdluli-Dlamini, Lindiwe; Haumba, Samson; Grobbee, Diederick E; Klipstein-Grobusch, Kerstin; Otwombe, Kennedy</v>
      </c>
      <c r="AH151" s="32">
        <f>IFERROR(__xludf.DUMMYFUNCTION("""COMPUTED_VALUE"""),45108.0)</f>
        <v>45108</v>
      </c>
      <c r="AI151" s="31" t="str">
        <f>IFERROR(__xludf.DUMMYFUNCTION("""COMPUTED_VALUE"""),"Status of Theory Use in Self-Care Research.")</f>
        <v>Status of Theory Use in Self-Care Research.</v>
      </c>
      <c r="AJ151" s="31" t="str">
        <f>IFERROR(__xludf.DUMMYFUNCTION("""COMPUTED_VALUE"""),"Jaarsma, Tiny; Westland, Heleen; Vellone, Ercole; Freedland, Kenneth E; Schröder, Carin; Trappenburg, Jaap C A; Strömberg, Anna; Riegel, Barbara")</f>
        <v>Jaarsma, Tiny; Westland, Heleen; Vellone, Ercole; Freedland, Kenneth E; Schröder, Carin; Trappenburg, Jaap C A; Strömberg, Anna; Riegel, Barbara</v>
      </c>
      <c r="AK151" s="32">
        <f>IFERROR(__xludf.DUMMYFUNCTION("""COMPUTED_VALUE"""),44182.0)</f>
        <v>44182</v>
      </c>
      <c r="AL151" s="31" t="str">
        <f>IFERROR(__xludf.DUMMYFUNCTION("""COMPUTED_VALUE"""),"The impact of variant and vaccination on SARS-CoV-2 symptomatology; three prospective household cohorts.")</f>
        <v>The impact of variant and vaccination on SARS-CoV-2 symptomatology; three prospective household cohorts.</v>
      </c>
      <c r="AM151" s="31" t="str">
        <f>IFERROR(__xludf.DUMMYFUNCTION("""COMPUTED_VALUE"""),"Westerhof, Ilse; de Hoog, Marieke; Ieven, Margareta; Lammens, Christine; van Beek, Janko; Rozhnova, Ganna; Eggink, Dirk; Euser, Sjoerd; Wildenbeest, Joanne; Duijts, Liesbeth; van Houten, Marlies; Goossens, Herman; Giaquinto, Carlo; Bruijning-Verhagen, Pat"&amp;"ricia")</f>
        <v>Westerhof, Ilse; de Hoog, Marieke; Ieven, Margareta; Lammens, Christine; van Beek, Janko; Rozhnova, Ganna; Eggink, Dirk; Euser, Sjoerd; Wildenbeest, Joanne; Duijts, Liesbeth; van Houten, Marlies; Goossens, Herman; Giaquinto, Carlo; Bruijning-Verhagen, Patricia</v>
      </c>
      <c r="AN151" s="32">
        <f>IFERROR(__xludf.DUMMYFUNCTION("""COMPUTED_VALUE"""),44918.0)</f>
        <v>44918</v>
      </c>
    </row>
    <row r="152">
      <c r="A152" s="32"/>
      <c r="I152" s="31" t="str">
        <f>IFERROR(__xludf.DUMMYFUNCTION("""COMPUTED_VALUE"""),"pnas nexus")</f>
        <v>pnas nexus</v>
      </c>
      <c r="J152" s="38">
        <f>COUNTIF(Data!$F$2:$F9917, $I152)</f>
        <v>1</v>
      </c>
      <c r="T152" s="31" t="s">
        <v>25589</v>
      </c>
      <c r="U152" s="31" t="s">
        <v>25590</v>
      </c>
      <c r="V152" s="32">
        <v>45548.0</v>
      </c>
      <c r="X152" s="31" t="str">
        <f>IFERROR(__xludf.DUMMYFUNCTION("""COMPUTED_VALUE"""),"Discrete choice experiment versus swing-weighting: A head-to-head comparison of diabetic patient preferences for glucose-monitoring devices.")</f>
        <v>Discrete choice experiment versus swing-weighting: A head-to-head comparison of diabetic patient preferences for glucose-monitoring devices.</v>
      </c>
      <c r="Y152" s="31" t="str">
        <f>IFERROR(__xludf.DUMMYFUNCTION("""COMPUTED_VALUE"""),"Whichello, Chiara; Smith, Ian; Veldwijk, Jorien; de Wit, G Ardine; Rutten-van Molken, Maureen P M H; de Bekker-Grob, Esther W")</f>
        <v>Whichello, Chiara; Smith, Ian; Veldwijk, Jorien; de Wit, G Ardine; Rutten-van Molken, Maureen P M H; de Bekker-Grob, Esther W</v>
      </c>
      <c r="Z152" s="31">
        <f>IFERROR(__xludf.DUMMYFUNCTION("""COMPUTED_VALUE"""),2023.0)</f>
        <v>2023</v>
      </c>
      <c r="AA152" s="31">
        <f>IFERROR(__xludf.DUMMYFUNCTION("""COMPUTED_VALUE"""),3.0)</f>
        <v>3</v>
      </c>
      <c r="AC152" s="31" t="str">
        <f>IFERROR(__xludf.DUMMYFUNCTION("""COMPUTED_VALUE"""),"Tumor-associated autoantibodies as early detection markers for ovarian cancer? A prospective evaluation.")</f>
        <v>Tumor-associated autoantibodies as early detection markers for ovarian cancer? A prospective evaluation.</v>
      </c>
      <c r="AD152" s="31" t="str">
        <f>IFERROR(__xludf.DUMMYFUNCTION("""COMPUTED_VALUE"""),"Kaaks, Rudolf; Fortner, Renée Turzanski; Hüsing, Anika; Barrdahl, Myrto; Hopper, Marika; Johnson, Theron; Tjønneland, Anne; Hansen, Louise; Overvad, Kim; Fournier, Agnès; Boutron-Ruault, Marie-Christine; Kvaskoff, Marina; Dossus, Laure; Johansson, Mattias"&amp;"; Boeing, Heiner; Trichopoulou, Antonia; Benetou, Vassiliki; La Vecchia, Carlo; Sieri, Sabina; Mattiello, Amalia; Palli, Domenico; Tumino, Rosario; Matullo, Giuseppe; Onland-Moret, N Charlotte; Gram, Inger T; Weiderpass, Elisabete; Sánchez, Maria-Jose; Na"&amp;"varro Sanchez, Carmen; Duell, Eric J; Ardanaz, Eva; Larranaga, Nerea; Lundin, Eva; Idahl, Annika; Jirström, Karin; Nodin, Björn; Travis, Ruth C; Riboli, Elio; Merritt, Melissa; Aune, Dagfinn; Terry, Kathryn; Cramer, Daniel W; Anderson, Karen S")</f>
        <v>Kaaks, Rudolf; Fortner, Renée Turzanski; Hüsing, Anika; Barrdahl, Myrto; Hopper, Marika; Johnson, Theron; Tjønneland, Anne; Hansen, Louise; Overvad, Kim; Fournier, Agnès; Boutron-Ruault, Marie-Christine; Kvaskoff, Marina; Dossus, Laure; Johansson, Mattias; Boeing, Heiner; Trichopoulou, Antonia; Benetou, Vassiliki; La Vecchia, Carlo; Sieri, Sabina; Mattiello, Amalia; Palli, Domenico; Tumino, Rosario; Matullo, Giuseppe; Onland-Moret, N Charlotte; Gram, Inger T; Weiderpass, Elisabete; Sánchez, Maria-Jose; Navarro Sanchez, Carmen; Duell, Eric J; Ardanaz, Eva; Larranaga, Nerea; Lundin, Eva; Idahl, Annika; Jirström, Karin; Nodin, Björn; Travis, Ruth C; Riboli, Elio; Merritt, Melissa; Aune, Dagfinn; Terry, Kathryn; Cramer, Daniel W; Anderson, Karen S</v>
      </c>
      <c r="AE152" s="32">
        <f>IFERROR(__xludf.DUMMYFUNCTION("""COMPUTED_VALUE"""),43167.0)</f>
        <v>43167</v>
      </c>
      <c r="AF152" s="31" t="str">
        <f>IFERROR(__xludf.DUMMYFUNCTION("""COMPUTED_VALUE"""),"Prolongation of the QTc interval is associated with an increased risk of cardiovascular diseases: The Hoorn study.")</f>
        <v>Prolongation of the QTc interval is associated with an increased risk of cardiovascular diseases: The Hoorn study.</v>
      </c>
      <c r="AG152" s="31" t="str">
        <f>IFERROR(__xludf.DUMMYFUNCTION("""COMPUTED_VALUE"""),"Welten, Sabrina J G C; van der Heijden, Amber A; Remmelzwaal, Sharon; Blom, Marieke T; Nijpels, Giel; Rutters, Femke; Beulens, Joline W J; Elders, Petra J M; ,")</f>
        <v>Welten, Sabrina J G C; van der Heijden, Amber A; Remmelzwaal, Sharon; Blom, Marieke T; Nijpels, Giel; Rutters, Femke; Beulens, Joline W J; Elders, Petra J M; ,</v>
      </c>
      <c r="AH152" s="32">
        <f>IFERROR(__xludf.DUMMYFUNCTION("""COMPUTED_VALUE"""),45090.0)</f>
        <v>45090</v>
      </c>
      <c r="AI152" s="31" t="str">
        <f>IFERROR(__xludf.DUMMYFUNCTION("""COMPUTED_VALUE"""),"Needs, barriers and facilitators of older adults towards eHealth in general practice: a qualitative study.")</f>
        <v>Needs, barriers and facilitators of older adults towards eHealth in general practice: a qualitative study.</v>
      </c>
      <c r="AJ152" s="31" t="str">
        <f>IFERROR(__xludf.DUMMYFUNCTION("""COMPUTED_VALUE"""),"Vergouw, Johannes William; Smits-Pelser, Hanneke; Kars, Marijke C; van Houwelingen, Thijs; van Os-Medendorp, Harmieke; Kort, Helianthe; Bleijenberg, Nienke")</f>
        <v>Vergouw, Johannes William; Smits-Pelser, Hanneke; Kars, Marijke C; van Houwelingen, Thijs; van Os-Medendorp, Harmieke; Kort, Helianthe; Bleijenberg, Nienke</v>
      </c>
      <c r="AK152" s="32">
        <f>IFERROR(__xludf.DUMMYFUNCTION("""COMPUTED_VALUE"""),44167.0)</f>
        <v>44167</v>
      </c>
      <c r="AL152" s="31" t="str">
        <f>IFERROR(__xludf.DUMMYFUNCTION("""COMPUTED_VALUE"""),"The relation between prediction model performance measures and patient selection outcomes for proton therapy in head and neck cancer.")</f>
        <v>The relation between prediction model performance measures and patient selection outcomes for proton therapy in head and neck cancer.</v>
      </c>
      <c r="AM152" s="31" t="str">
        <f>IFERROR(__xludf.DUMMYFUNCTION("""COMPUTED_VALUE"""),"Leeuwenberg, Artuur M; Reitsma, Johannes B; Van den Bosch, Lisa G L J; Hoogland, Jeroen; van der Schaaf, Arjen; Hoebers, Frank J P; Wijers, Oda B; Langendijk, Johannes A; Moons, Karel G M; Schuit, Ewoud")</f>
        <v>Leeuwenberg, Artuur M; Reitsma, Johannes B; Van den Bosch, Lisa G L J; Hoogland, Jeroen; van der Schaaf, Arjen; Hoebers, Frank J P; Wijers, Oda B; Langendijk, Johannes A; Moons, Karel G M; Schuit, Ewoud</v>
      </c>
      <c r="AN152" s="32">
        <f>IFERROR(__xludf.DUMMYFUNCTION("""COMPUTED_VALUE"""),44917.0)</f>
        <v>44917</v>
      </c>
    </row>
    <row r="153">
      <c r="A153" s="32"/>
      <c r="I153" s="31" t="str">
        <f>IFERROR(__xludf.DUMMYFUNCTION("""COMPUTED_VALUE"""),"journal of medical screening")</f>
        <v>journal of medical screening</v>
      </c>
      <c r="J153" s="38">
        <f>COUNTIF(Data!$F$2:$F9917, $I153)</f>
        <v>1</v>
      </c>
      <c r="T153" s="31" t="s">
        <v>25693</v>
      </c>
      <c r="U153" s="31" t="s">
        <v>25694</v>
      </c>
      <c r="V153" s="32">
        <v>45547.0</v>
      </c>
      <c r="X153" s="31" t="str">
        <f>IFERROR(__xludf.DUMMYFUNCTION("""COMPUTED_VALUE"""),"Toward Transplantation of Liver Organoids: From Biology and Ethics to Cost-effective Therapy.")</f>
        <v>Toward Transplantation of Liver Organoids: From Biology and Ethics to Cost-effective Therapy.</v>
      </c>
      <c r="Y153" s="31" t="str">
        <f>IFERROR(__xludf.DUMMYFUNCTION("""COMPUTED_VALUE"""),"Ten Dam, Marjolein J M; Frederix, Geert W J; Ten Ham, Renske M T; van der Laan, Luc J W; Schneeberger, Kerstin")</f>
        <v>Ten Dam, Marjolein J M; Frederix, Geert W J; Ten Ham, Renske M T; van der Laan, Luc J W; Schneeberger, Kerstin</v>
      </c>
      <c r="Z153" s="31">
        <f>IFERROR(__xludf.DUMMYFUNCTION("""COMPUTED_VALUE"""),2023.0)</f>
        <v>2023</v>
      </c>
      <c r="AA153" s="31">
        <f>IFERROR(__xludf.DUMMYFUNCTION("""COMPUTED_VALUE"""),3.0)</f>
        <v>3</v>
      </c>
      <c r="AC153" s="31" t="str">
        <f>IFERROR(__xludf.DUMMYFUNCTION("""COMPUTED_VALUE"""),"Random measurement error: Why worry? An example of cardiovascular risk factors.")</f>
        <v>Random measurement error: Why worry? An example of cardiovascular risk factors.</v>
      </c>
      <c r="AD153" s="31" t="str">
        <f>IFERROR(__xludf.DUMMYFUNCTION("""COMPUTED_VALUE"""),"Brakenhoff, Timo B; van Smeden, Maarten; Visseren, Frank L J; Groenwold, Rolf H H")</f>
        <v>Brakenhoff, Timo B; van Smeden, Maarten; Visseren, Frank L J; Groenwold, Rolf H H</v>
      </c>
      <c r="AE153" s="32">
        <f>IFERROR(__xludf.DUMMYFUNCTION("""COMPUTED_VALUE"""),43140.0)</f>
        <v>43140</v>
      </c>
      <c r="AF153" s="31" t="str">
        <f>IFERROR(__xludf.DUMMYFUNCTION("""COMPUTED_VALUE"""),"Interaction between plasma phospholipid odd-chain fatty acids and GAD65 autoantibodies on the incidence of adult-onset diabetes: the EPIC-InterAct case-cohort study.")</f>
        <v>Interaction between plasma phospholipid odd-chain fatty acids and GAD65 autoantibodies on the incidence of adult-onset diabetes: the EPIC-InterAct case-cohort study.</v>
      </c>
      <c r="AG153" s="31" t="str">
        <f>IFERROR(__xludf.DUMMYFUNCTION("""COMPUTED_VALUE"""),"Lampousi, Anna-Maria; Carlsson, Sofia; Löfvenborg, Josefin E; Cabrera-Castro, Natalia; Chirlaque, María-Dolores; Fagherazzi, Guy; Franks, Paul W; Hampe, Christiane S; Jakszyn, Paula; Koulman, Albert; Kyrø, Cecilie; Moreno-Iribas, Conchi; Nilsson, Peter M;"&amp;" Panico, Salvatore; Papier, Keren; van der Schouw, Yvonne T; Schulze, Matthias B; Weiderpass, Elisabete; Zamora-Ros, Raul; Forouhi, Nita G; Sharp, Stephen J; Rolandsson, Olov; Wareham, Nicholas J")</f>
        <v>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v>
      </c>
      <c r="AH153" s="32">
        <f>IFERROR(__xludf.DUMMYFUNCTION("""COMPUTED_VALUE"""),45087.0)</f>
        <v>45087</v>
      </c>
      <c r="AI153" s="31" t="str">
        <f>IFERROR(__xludf.DUMMYFUNCTION("""COMPUTED_VALUE"""),"Person-centered diabetes care and patient activation in people with type 2 diabetes.")</f>
        <v>Person-centered diabetes care and patient activation in people with type 2 diabetes.</v>
      </c>
      <c r="AJ153" s="31" t="str">
        <f>IFERROR(__xludf.DUMMYFUNCTION("""COMPUTED_VALUE"""),"Rutten, Guy E H M; Van Vugt, Heidi; de Koning, Eelco")</f>
        <v>Rutten, Guy E H M; Van Vugt, Heidi; de Koning, Eelco</v>
      </c>
      <c r="AK153" s="32">
        <f>IFERROR(__xludf.DUMMYFUNCTION("""COMPUTED_VALUE"""),44166.0)</f>
        <v>44166</v>
      </c>
      <c r="AL153" s="31" t="str">
        <f>IFERROR(__xludf.DUMMYFUNCTION("""COMPUTED_VALUE"""),"Exercise and Nutritional Interventions in Patients with Advanced Gastroesophageal Cancer: A Systematic Review.")</f>
        <v>Exercise and Nutritional Interventions in Patients with Advanced Gastroesophageal Cancer: A Systematic Review.</v>
      </c>
      <c r="AM153" s="31" t="str">
        <f>IFERROR(__xludf.DUMMYFUNCTION("""COMPUTED_VALUE"""),"Besseling, Joost; van Velzen, Merel; Wierdsma, Nicolette; Alonso-Duin, Kelly Silverio; Weijs, Peter; May, Anne M; van Laarhoven, Hanneke")</f>
        <v>Besseling, Joost; van Velzen, Merel; Wierdsma, Nicolette; Alonso-Duin, Kelly Silverio; Weijs, Peter; May, Anne M; van Laarhoven, Hanneke</v>
      </c>
      <c r="AN153" s="32">
        <f>IFERROR(__xludf.DUMMYFUNCTION("""COMPUTED_VALUE"""),44908.0)</f>
        <v>44908</v>
      </c>
    </row>
    <row r="154">
      <c r="A154" s="32"/>
      <c r="I154" s="31" t="str">
        <f>IFERROR(__xludf.DUMMYFUNCTION("""COMPUTED_VALUE"""),"neurourology and urodynamics")</f>
        <v>neurourology and urodynamics</v>
      </c>
      <c r="J154" s="38">
        <f>COUNTIF(Data!$F$2:$F9917, $I154)</f>
        <v>2</v>
      </c>
      <c r="T154" s="31" t="s">
        <v>25742</v>
      </c>
      <c r="U154" s="31" t="s">
        <v>25743</v>
      </c>
      <c r="V154" s="32">
        <v>45547.0</v>
      </c>
      <c r="X154" s="31" t="str">
        <f>IFERROR(__xludf.DUMMYFUNCTION("""COMPUTED_VALUE"""),"Health economic evaluation of nation-wide screening programmes for atrial fibrillation in the Netherlands.")</f>
        <v>Health economic evaluation of nation-wide screening programmes for atrial fibrillation in the Netherlands.</v>
      </c>
      <c r="Y154" s="31" t="str">
        <f>IFERROR(__xludf.DUMMYFUNCTION("""COMPUTED_VALUE"""),"van Hulst, Marinus; Tieleman, Robert G; Zwart, Lennaert A R; Pomp, Marc; Jacobs, Maartje S; Meeder, Joan G; van Ofwegen-Hanekamp, Clara E E; Hollander, Monika; Smits, Paul; Hemels, Martin E W")</f>
        <v>van Hulst, Marinus; Tieleman, Robert G; Zwart, Lennaert A R; Pomp, Marc; Jacobs, Maartje S; Meeder, Joan G; van Ofwegen-Hanekamp, Clara E E; Hollander, Monika; Smits, Paul; Hemels, Martin E W</v>
      </c>
      <c r="Z154" s="31">
        <f>IFERROR(__xludf.DUMMYFUNCTION("""COMPUTED_VALUE"""),2023.0)</f>
        <v>2023</v>
      </c>
      <c r="AA154" s="31">
        <f>IFERROR(__xludf.DUMMYFUNCTION("""COMPUTED_VALUE"""),3.0)</f>
        <v>3</v>
      </c>
      <c r="AC154" s="31" t="str">
        <f>IFERROR(__xludf.DUMMYFUNCTION("""COMPUTED_VALUE"""),"Interval estimation of the overall treatment effect in a meta-analysis of a few small studies with zero events.")</f>
        <v>Interval estimation of the overall treatment effect in a meta-analysis of a few small studies with zero events.</v>
      </c>
      <c r="AD154" s="31" t="str">
        <f>IFERROR(__xludf.DUMMYFUNCTION("""COMPUTED_VALUE"""),"Pateras, Konstantinos; Nikolakopoulos, Stavros; Mavridis, Dimitris; Roes, Kit C B")</f>
        <v>Pateras, Konstantinos; Nikolakopoulos, Stavros; Mavridis, Dimitris; Roes, Kit C B</v>
      </c>
      <c r="AE154" s="32">
        <f>IFERROR(__xludf.DUMMYFUNCTION("""COMPUTED_VALUE"""),43109.0)</f>
        <v>43109</v>
      </c>
      <c r="AF154" s="31" t="str">
        <f>IFERROR(__xludf.DUMMYFUNCTION("""COMPUTED_VALUE"""),"Exploring the shared decision making process of caesarean sections at a teaching hospital in Ghana: a mixed methods study.")</f>
        <v>Exploring the shared decision making process of caesarean sections at a teaching hospital in Ghana: a mixed methods study.</v>
      </c>
      <c r="AG154" s="31" t="str">
        <f>IFERROR(__xludf.DUMMYFUNCTION("""COMPUTED_VALUE"""),"Asah-Opoku, Kwaku; Onisarotu, Aisha N; Nuamah, Mercy A; Syurina, Elena; Bloemenkamp, Kitty; Browne, Joyce L; Rijken, Marcus J")</f>
        <v>Asah-Opoku, Kwaku; Onisarotu, Aisha N; Nuamah, Mercy A; Syurina, Elena; Bloemenkamp, Kitty; Browne, Joyce L; Rijken, Marcus J</v>
      </c>
      <c r="AH154" s="32">
        <f>IFERROR(__xludf.DUMMYFUNCTION("""COMPUTED_VALUE"""),45085.0)</f>
        <v>45085</v>
      </c>
      <c r="AI154" s="31" t="str">
        <f>IFERROR(__xludf.DUMMYFUNCTION("""COMPUTED_VALUE"""),"Pneumococcal conjugate vaccines for preventing acute otitis media in children.")</f>
        <v>Pneumococcal conjugate vaccines for preventing acute otitis media in children.</v>
      </c>
      <c r="AJ154" s="31" t="str">
        <f>IFERROR(__xludf.DUMMYFUNCTION("""COMPUTED_VALUE"""),"de Sévaux, Joline Lh; Venekamp, Roderick P; Lutje, Vittoria; Hak, Eelko; Schilder, Anne Gm; Sanders, Elisabeth Am; Damoiseaux, Roger Amj")</f>
        <v>de Sévaux, Joline Lh; Venekamp, Roderick P; Lutje, Vittoria; Hak, Eelko; Schilder, Anne Gm; Sanders, Elisabeth Am; Damoiseaux, Roger Amj</v>
      </c>
      <c r="AK154" s="32">
        <f>IFERROR(__xludf.DUMMYFUNCTION("""COMPUTED_VALUE"""),44159.0)</f>
        <v>44159</v>
      </c>
      <c r="AL154" s="31" t="str">
        <f>IFERROR(__xludf.DUMMYFUNCTION("""COMPUTED_VALUE"""),"Melanomas in children and adolescents: Clinicopathologic features and survival outcomes.")</f>
        <v>Melanomas in children and adolescents: Clinicopathologic features and survival outcomes.</v>
      </c>
      <c r="AM154" s="31" t="str">
        <f>IFERROR(__xludf.DUMMYFUNCTION("""COMPUTED_VALUE"""),"El Sharouni, Mary-Ann; Rawson, Robert V; Potter, Alison J; Paver, Elizabeth C; Wilmott, James S; Witkamp, Arjen J; Sigurdsson, Vigfús; van Diest, Paul J; Scolyer, Richard A; Thompson, John F; Lo, Serigne N; van Gils, Carla H")</f>
        <v>El Sharouni, Mary-Ann; Rawson, Robert V; Potter, Alison J; Paver, Elizabeth C; Wilmott, James S; Witkamp, Arjen J; Sigurdsson, Vigfús; van Diest, Paul J; Scolyer, Richard A; Thompson, John F; Lo, Serigne N; van Gils, Carla H</v>
      </c>
      <c r="AN154" s="32">
        <f>IFERROR(__xludf.DUMMYFUNCTION("""COMPUTED_VALUE"""),44904.0)</f>
        <v>44904</v>
      </c>
    </row>
    <row r="155">
      <c r="A155" s="32"/>
      <c r="I155" s="31" t="str">
        <f>IFERROR(__xludf.DUMMYFUNCTION("""COMPUTED_VALUE"""),"breast cancer research and treatment")</f>
        <v>breast cancer research and treatment</v>
      </c>
      <c r="J155" s="38">
        <f>COUNTIF(Data!$F$2:$F9917, $I155)</f>
        <v>24</v>
      </c>
      <c r="T155" s="31" t="s">
        <v>24813</v>
      </c>
      <c r="U155" s="31" t="s">
        <v>24814</v>
      </c>
      <c r="V155" s="32">
        <v>45545.0</v>
      </c>
      <c r="X155" s="31" t="str">
        <f>IFERROR(__xludf.DUMMYFUNCTION("""COMPUTED_VALUE"""),"Towards Response ADAptive Radiotherapy for organ preservation for intermediate-risk rectal cancer (preRADAR): protocol of a phase I dose-escalation trial.")</f>
        <v>Towards Response ADAptive Radiotherapy for organ preservation for intermediate-risk rectal cancer (preRADAR): protocol of a phase I dose-escalation trial.</v>
      </c>
      <c r="Y155" s="31" t="str">
        <f>IFERROR(__xludf.DUMMYFUNCTION("""COMPUTED_VALUE"""),"Verweij, Maaike E; Tanaka, Max D; Kensen, Chavelli M; van der Heide, Uulke A; Marijnen, Corrie A M; Janssen, Tomas; Vijlbrief, Tineke; van Grevenstein, Wilhelmina M U; Moons, Leon M G; Koopman, Miriam; Lacle, Miangela M; Braat, Manon N G J A; Chalabi, Myr"&amp;"iam; Maas, Monique; Huibregtse, Inge L; Snaebjornsson, Petur; Grotenhuis, Brechtje A; Fijneman, Remond; Consten, Esther; Pronk, Apollo; Smits, Anke B; Heikens, Joost T; Eijkelenkamp, Hidde; Elias, Sjoerd G; Verkooijen, Helena M; Schoenmakers, Maartje M C;"&amp;" Meijer, Gert J; Intven, Martijn; Peters, Femke P")</f>
        <v>Verweij, Maaike E; Tanaka, Max D; Kensen, Chavelli M; van der Heide, Uulke A; Marijnen, Corrie A M; Janssen, Tomas; Vijlbrief, Tineke; van Grevenstein, Wilhelmina M U; Moons, Leon M G; Koopman, Miriam; Lacle, Miangela M; Braat, Manon N G J A; Chalabi, Myriam; Maas, Monique; Huibregtse, Inge L; Snaebjornsson, Petur; Grotenhuis, Brechtje A; Fijneman, Remond; Consten, Esther; Pronk, Apollo; Smits, Anke B; Heikens, Joost T; Eijkelenkamp, Hidde; Elias, Sjoerd G; Verkooijen, Helena M; Schoenmakers, Maartje M C; Meijer, Gert J; Intven, Martijn; Peters, Femke P</v>
      </c>
      <c r="Z155" s="31">
        <f>IFERROR(__xludf.DUMMYFUNCTION("""COMPUTED_VALUE"""),2023.0)</f>
        <v>2023</v>
      </c>
      <c r="AA155" s="31">
        <f>IFERROR(__xludf.DUMMYFUNCTION("""COMPUTED_VALUE"""),3.0)</f>
        <v>3</v>
      </c>
      <c r="AC155" s="31" t="str">
        <f>IFERROR(__xludf.DUMMYFUNCTION("""COMPUTED_VALUE"""),"Data-generating models of dichotomous outcomes: Heterogeneity in simulation studies for a random-effects meta-analysis.")</f>
        <v>Data-generating models of dichotomous outcomes: Heterogeneity in simulation studies for a random-effects meta-analysis.</v>
      </c>
      <c r="AD155" s="31" t="str">
        <f>IFERROR(__xludf.DUMMYFUNCTION("""COMPUTED_VALUE"""),"Pateras, Konstantinos; Nikolakopoulos, Stavros; Roes, Kit")</f>
        <v>Pateras, Konstantinos; Nikolakopoulos, Stavros; Roes, Kit</v>
      </c>
      <c r="AE155" s="32">
        <f>IFERROR(__xludf.DUMMYFUNCTION("""COMPUTED_VALUE"""),43080.0)</f>
        <v>43080</v>
      </c>
      <c r="AF155" s="31" t="str">
        <f>IFERROR(__xludf.DUMMYFUNCTION("""COMPUTED_VALUE"""),"Colistin plus meropenem versus colistin alone for invasive infections caused by carbapenem-resistant Acinetobacter baumannii: a rapid systematic review of randomized controlled trials using Bayesian meta-analysis.")</f>
        <v>Colistin plus meropenem versus colistin alone for invasive infections caused by carbapenem-resistant Acinetobacter baumannii: a rapid systematic review of randomized controlled trials using Bayesian meta-analysis.</v>
      </c>
      <c r="AG155" s="31" t="str">
        <f>IFERROR(__xludf.DUMMYFUNCTION("""COMPUTED_VALUE"""),"Maraolo, Alberto E; Ong, David S Y")</f>
        <v>Maraolo, Alberto E; Ong, David S Y</v>
      </c>
      <c r="AH155" s="32">
        <f>IFERROR(__xludf.DUMMYFUNCTION("""COMPUTED_VALUE"""),45080.0)</f>
        <v>45080</v>
      </c>
      <c r="AI155" s="31" t="str">
        <f>IFERROR(__xludf.DUMMYFUNCTION("""COMPUTED_VALUE"""),"Early-Stage Feasibility of a Mobile Health Intervention (Copilot) to Enhance Exacerbation-Related Self-Management in Patients With Chronic Obstructive Pulmonary Disease: Multimethods Approach.")</f>
        <v>Early-Stage Feasibility of a Mobile Health Intervention (Copilot) to Enhance Exacerbation-Related Self-Management in Patients With Chronic Obstructive Pulmonary Disease: Multimethods Approach.</v>
      </c>
      <c r="AJ155" s="31" t="str">
        <f>IFERROR(__xludf.DUMMYFUNCTION("""COMPUTED_VALUE"""),"Korpershoek, Yvonne Jg; Holtrop, Tjitske; Vervoort, Sigrid Cjm; Schoonhoven, Lisette; Schuurmans, Marieke J; Trappenburg, Jaap Ca")</f>
        <v>Korpershoek, Yvonne Jg; Holtrop, Tjitske; Vervoort, Sigrid Cjm; Schoonhoven, Lisette; Schuurmans, Marieke J; Trappenburg, Jaap Ca</v>
      </c>
      <c r="AK155" s="32">
        <f>IFERROR(__xludf.DUMMYFUNCTION("""COMPUTED_VALUE"""),44154.0)</f>
        <v>44154</v>
      </c>
      <c r="AL155" s="31" t="str">
        <f>IFERROR(__xludf.DUMMYFUNCTION("""COMPUTED_VALUE"""),"Duration of Referral-to-Death and its Associated Factors Among Cancer and Noncancer Patients: Retrospective Cohort Study of a Community Palliative Care Setting in Malaysia.")</f>
        <v>Duration of Referral-to-Death and its Associated Factors Among Cancer and Noncancer Patients: Retrospective Cohort Study of a Community Palliative Care Setting in Malaysia.</v>
      </c>
      <c r="AM155" s="31" t="str">
        <f>IFERROR(__xludf.DUMMYFUNCTION("""COMPUTED_VALUE"""),"Yip, Yan Yee; Hwong, Wen Yea; McCarthy, Sylvia Ann; Hassan Chin, Aidah Abdul; Woon, Yuan Liang")</f>
        <v>Yip, Yan Yee; Hwong, Wen Yea; McCarthy, Sylvia Ann; Hassan Chin, Aidah Abdul; Woon, Yuan Liang</v>
      </c>
      <c r="AN155" s="32">
        <f>IFERROR(__xludf.DUMMYFUNCTION("""COMPUTED_VALUE"""),44899.0)</f>
        <v>44899</v>
      </c>
    </row>
    <row r="156">
      <c r="A156" s="32"/>
      <c r="I156" s="31" t="str">
        <f>IFERROR(__xludf.DUMMYFUNCTION("""COMPUTED_VALUE"""),"plos computational biology")</f>
        <v>plos computational biology</v>
      </c>
      <c r="J156" s="38">
        <f>COUNTIF(Data!$F$2:$F9917, $I156)</f>
        <v>5</v>
      </c>
      <c r="T156" s="31" t="s">
        <v>25468</v>
      </c>
      <c r="U156" s="31" t="s">
        <v>25469</v>
      </c>
      <c r="V156" s="32">
        <v>45545.0</v>
      </c>
      <c r="X156" s="31" t="str">
        <f>IFERROR(__xludf.DUMMYFUNCTION("""COMPUTED_VALUE"""),"Cost-Effectiveness of SGLT2 Inhibitors in a Real-World Population: A MICADO Model-Based Analysis Using Routine Data from a GP Registry.")</f>
        <v>Cost-Effectiveness of SGLT2 Inhibitors in a Real-World Population: A MICADO Model-Based Analysis Using Routine Data from a GP Registry.</v>
      </c>
      <c r="Y156" s="31" t="str">
        <f>IFERROR(__xludf.DUMMYFUNCTION("""COMPUTED_VALUE"""),"Li, Xinyu; Hoogenveen, Rudolf; El Alili, Mohamed; Knies, Saskia; Wang, Junfeng; Beulens, Joline W J; Elders, Petra J M; Nijpels, Giel; van Giessen, Anoukh; Feenstra, Talitha L")</f>
        <v>Li, Xinyu; Hoogenveen, Rudolf; El Alili, Mohamed; Knies, Saskia; Wang, Junfeng; Beulens, Joline W J; Elders, Petra J M; Nijpels, Giel; van Giessen, Anoukh; Feenstra, Talitha L</v>
      </c>
      <c r="Z156" s="31">
        <f>IFERROR(__xludf.DUMMYFUNCTION("""COMPUTED_VALUE"""),2023.0)</f>
        <v>2023</v>
      </c>
      <c r="AA156" s="31">
        <f>IFERROR(__xludf.DUMMYFUNCTION("""COMPUTED_VALUE"""),3.0)</f>
        <v>3</v>
      </c>
      <c r="AC156" s="31" t="str">
        <f>IFERROR(__xludf.DUMMYFUNCTION("""COMPUTED_VALUE"""),"Dynamic borrowing through empirical power priors that control type I error.")</f>
        <v>Dynamic borrowing through empirical power priors that control type I error.</v>
      </c>
      <c r="AD156" s="31" t="str">
        <f>IFERROR(__xludf.DUMMYFUNCTION("""COMPUTED_VALUE"""),"Nikolakopoulos, Stavros; van der Tweel, Ingeborg; Roes, Kit C B")</f>
        <v>Nikolakopoulos, Stavros; van der Tweel, Ingeborg; Roes, Kit C B</v>
      </c>
      <c r="AE156" s="32">
        <f>IFERROR(__xludf.DUMMYFUNCTION("""COMPUTED_VALUE"""),43080.0)</f>
        <v>43080</v>
      </c>
      <c r="AF156" s="31" t="str">
        <f>IFERROR(__xludf.DUMMYFUNCTION("""COMPUTED_VALUE"""),"Longitudinal association of electrocardiogram abnormalities with major adverse cardiac events in people with Type 2 diabetes: the Hoorn Diabetes Care System cohort.")</f>
        <v>Longitudinal association of electrocardiogram abnormalities with major adverse cardiac events in people with Type 2 diabetes: the Hoorn Diabetes Care System cohort.</v>
      </c>
      <c r="AG156" s="31" t="str">
        <f>IFERROR(__xludf.DUMMYFUNCTION("""COMPUTED_VALUE"""),"Harms, Peter P; Elders, Petra P J M; Rutters, Femke; Lissenberg-Witte, Birgit I; Tan, Hanno L; Beulens, Joline W J; Nijpels, Giel; van der Heijden, Amber A; ,")</f>
        <v>Harms, Peter P; Elders, Petra P J M; Rutters, Femke; Lissenberg-Witte, Birgit I; Tan, Hanno L; Beulens, Joline W J; Nijpels, Giel; van der Heijden, Amber A; ,</v>
      </c>
      <c r="AH156" s="32">
        <f>IFERROR(__xludf.DUMMYFUNCTION("""COMPUTED_VALUE"""),45078.0)</f>
        <v>45078</v>
      </c>
      <c r="AI156" s="31" t="str">
        <f>IFERROR(__xludf.DUMMYFUNCTION("""COMPUTED_VALUE"""),"Acute otitis media in children.")</f>
        <v>Acute otitis media in children.</v>
      </c>
      <c r="AJ156" s="31" t="str">
        <f>IFERROR(__xludf.DUMMYFUNCTION("""COMPUTED_VALUE"""),"Venekamp, Roderick P; Schilder, Anne G M; van den Heuvel, Maaike; Hay, Alastair D")</f>
        <v>Venekamp, Roderick P; Schilder, Anne G M; van den Heuvel, Maaike; Hay, Alastair D</v>
      </c>
      <c r="AK156" s="32">
        <f>IFERROR(__xludf.DUMMYFUNCTION("""COMPUTED_VALUE"""),44153.0)</f>
        <v>44153</v>
      </c>
      <c r="AL156" s="31" t="str">
        <f>IFERROR(__xludf.DUMMYFUNCTION("""COMPUTED_VALUE"""),"Indicators of questionable research practices were identified in 163,129 randomized controlled trials.")</f>
        <v>Indicators of questionable research practices were identified in 163,129 randomized controlled trials.</v>
      </c>
      <c r="AM156" s="31" t="str">
        <f>IFERROR(__xludf.DUMMYFUNCTION("""COMPUTED_VALUE"""),"Damen, Johanna A; Heus, Pauline; Lamberink, Herm J; Tijdink, Joeri K; Bouter, Lex; Glasziou, Paul; Moher, David; Otte, Willem M; Vinkers, Christiaan H; Hooft, Lotty")</f>
        <v>Damen, Johanna A; Heus, Pauline; Lamberink, Herm J; Tijdink, Joeri K; Bouter, Lex; Glasziou, Paul; Moher, David; Otte, Willem M; Vinkers, Christiaan H; Hooft, Lotty</v>
      </c>
      <c r="AN156" s="32">
        <f>IFERROR(__xludf.DUMMYFUNCTION("""COMPUTED_VALUE"""),44897.0)</f>
        <v>44897</v>
      </c>
    </row>
    <row r="157">
      <c r="A157" s="32"/>
      <c r="I157" s="31" t="str">
        <f>IFERROR(__xludf.DUMMYFUNCTION("""COMPUTED_VALUE"""),"nederlands tijdschrift voor geneeskunde")</f>
        <v>nederlands tijdschrift voor geneeskunde</v>
      </c>
      <c r="J157" s="38">
        <f>COUNTIF(Data!$F$2:$F9917, $I157)</f>
        <v>110</v>
      </c>
      <c r="T157" s="31" t="s">
        <v>25766</v>
      </c>
      <c r="U157" s="31" t="s">
        <v>25767</v>
      </c>
      <c r="V157" s="32">
        <v>45545.0</v>
      </c>
      <c r="X157" s="31" t="str">
        <f>IFERROR(__xludf.DUMMYFUNCTION("""COMPUTED_VALUE"""),"Impact of 2018 EU Risk Minimisation Measures and Revised Pregnancy Prevention Programme on Utilisation and Prescribing Trends of Medicinal Products Containing Valproate: An Interrupted Time Series Study.")</f>
        <v>Impact of 2018 EU Risk Minimisation Measures and Revised Pregnancy Prevention Programme on Utilisation and Prescribing Trends of Medicinal Products Containing Valproate: An Interrupted Time Series Study.</v>
      </c>
      <c r="Y157" s="31" t="str">
        <f>IFERROR(__xludf.DUMMYFUNCTION("""COMPUTED_VALUE"""),"Abtahi, Shahab; Pajouheshnia, Romin; Durán, Carlos E; Riera-Arnau, Judit; Gamba, Magdalena; Alsina, Ema; Hoxhaj, Vjola; Andersen, Morten; Bartolini, Claudia; Kristiansen, Sarah Brøgger; Brown, Jeremy; Hallgreen, Christine Erikstrup; Garcia-Poza, Patricia;"&amp;" Gardarsdottir, Helga; Gini, Rosa; Girardi, Anna; Holthuis, Emily; Huerta, Consuelo; Ibánez, Luisa; Limoncella, Giorgio; Martín-Pérez, Mar; Paoletti, Olga; Roberto, Giuseppe; Souverein, Patrick; Swart, Karin M A; Wing, Kevin; Sturkenboom, Miriam; Klungel,"&amp;" Olaf")</f>
        <v>Abtahi, Shahab; Pajouheshnia, Romin; Durán, Carlos E; Riera-Arnau, Judit; Gamba, Magdalena; Alsina, Ema; Hoxhaj, Vjola; Andersen, Morten; Bartolini, Claudia; Kristiansen, Sarah Brøgger; Brown, Jeremy; Hallgreen, Christine Erikstrup; Garcia-Poza, Patricia; Gardarsdottir, Helga; Gini, Rosa; Girardi, Anna; Holthuis, Emily; Huerta, Consuelo; Ibánez, Luisa; Limoncella, Giorgio; Martín-Pérez, Mar; Paoletti, Olga; Roberto, Giuseppe; Souverein, Patrick; Swart, Karin M A; Wing, Kevin; Sturkenboom, Miriam; Klungel, Olaf</v>
      </c>
      <c r="Z157" s="31">
        <f>IFERROR(__xludf.DUMMYFUNCTION("""COMPUTED_VALUE"""),2023.0)</f>
        <v>2023</v>
      </c>
      <c r="AA157" s="31">
        <f>IFERROR(__xludf.DUMMYFUNCTION("""COMPUTED_VALUE"""),3.0)</f>
        <v>3</v>
      </c>
      <c r="AC157" s="31" t="str">
        <f>IFERROR(__xludf.DUMMYFUNCTION("""COMPUTED_VALUE"""),"Ovarian cancer early detection by circulating CA125 in the context of anti-CA125 autoantibody levels: Results from the EPIC cohort.")</f>
        <v>Ovarian cancer early detection by circulating CA125 in the context of anti-CA125 autoantibody levels: Results from the EPIC cohort.</v>
      </c>
      <c r="AD157" s="31" t="str">
        <f>IFERROR(__xludf.DUMMYFUNCTION("""COMPUTED_VALUE"""),"Fortner, Renée T; Schock, Helena; Le Cornet, Charlotte; Hüsing, Anika; Vitonis, Allison F; Johnson, Theron S; Fichorova, Raina N; Fashemi, Titilayo; Yamamoto, Hidemi S; Tjønneland, Anne; Hansen, Louise; Overvad, Kim; Boutron-Ruault, Marie-Christine; Kvask"&amp;"off, Marina; Severi, Gianluca; Boeing, Heiner; Trichopoulou, Antonia; Papatesta, Eleni-Maria; La Vecchia, Carlo; Palli, Domenico; Sieri, Sabina; Tumino, Rosario; Sacerdote, Carlotta; Mattiello, Amalia; Onland-Moret, N Charlotte; Peeters, Petra H; Bueno-de"&amp;"-Mesquita, H B As; Weiderpass, Elisabete; Quirós, J Ramón; Duell, Eric J; Sánchez, Maria-Jose; Navarro, Carmen; Ardanaz, Eva; Larrañaga, Nerea; Nodin, Björn; Jirström, Karin; Idahl, Annika; Lundin, Eva; Khaw, Kay-Tee; Travis, Ruth C; Gunter, Marc; Johanss"&amp;"on, Mattias; Dossus, Laure; Merritt, Melissa A; Riboli, Elio; Terry, Kathryn L; Cramer, Daniel W; Kaaks, Rudolf")</f>
        <v>Fortner, Renée T; Schock, Helena; Le Cornet, Charlotte; Hüsing, Anika; Vitonis, Allison F; Johnson, Theron S; Fichorova, Raina N; Fashemi, Titilayo; Yamamoto, Hidemi S; Tjønneland, Anne; Hansen, Louise; Overvad, Kim; Boutron-Ruault, Marie-Christine; Kvaskoff, Marina; Severi, Gianluca; Boeing, Heiner; Trichopoulou, Antonia; Papatesta, Eleni-Maria; La Vecchia, Carlo; Palli, Domenico; Sieri, Sabina; Tumino, Rosario; Sacerdote, Carlotta; Mattiello, Amalia; Onland-Moret, N Charlotte; Peeters, Petra H; Bueno-de-Mesquita, H B As; Weiderpass, Elisabete; Quirós, J Ramón; Duell, Eric J; Sánchez, Maria-Jose; Navarro, Carmen; Ardanaz, Eva; Larrañaga, Nerea; Nodin, Björn; Jirström, Karin; Idahl, Annika; Lundin, Eva; Khaw, Kay-Tee; Travis, Ruth C; Gunter, Marc; Johansson, Mattias; Dossus, Laure; Merritt, Melissa A; Riboli, Elio; Terry, Kathryn L; Cramer, Daniel W; Kaaks, Rudolf</v>
      </c>
      <c r="AE157" s="32">
        <f>IFERROR(__xludf.DUMMYFUNCTION("""COMPUTED_VALUE"""),43080.0)</f>
        <v>43080</v>
      </c>
      <c r="AF157" s="31" t="str">
        <f>IFERROR(__xludf.DUMMYFUNCTION("""COMPUTED_VALUE"""),"[Inequal distribution of cause and effects of climate crisis: a global matter of equity and justice].")</f>
        <v>[Inequal distribution of cause and effects of climate crisis: a global matter of equity and justice].</v>
      </c>
      <c r="AG157" s="31" t="str">
        <f>IFERROR(__xludf.DUMMYFUNCTION("""COMPUTED_VALUE"""),"Browne, Joyce L; Baidjoe, Amrish; Bousema, Teun")</f>
        <v>Browne, Joyce L; Baidjoe, Amrish; Bousema, Teun</v>
      </c>
      <c r="AH157" s="32">
        <f>IFERROR(__xludf.DUMMYFUNCTION("""COMPUTED_VALUE"""),45077.0)</f>
        <v>45077</v>
      </c>
      <c r="AI157" s="31" t="str">
        <f>IFERROR(__xludf.DUMMYFUNCTION("""COMPUTED_VALUE"""),"Educational intervention to increase nurses' knowledge, self-efficacy and usage of telehealth: A multi-setting pretest-posttest study.")</f>
        <v>Educational intervention to increase nurses' knowledge, self-efficacy and usage of telehealth: A multi-setting pretest-posttest study.</v>
      </c>
      <c r="AJ157" s="31" t="str">
        <f>IFERROR(__xludf.DUMMYFUNCTION("""COMPUTED_VALUE"""),"van Houwelingen, Thijs; Ettema, Roelof G A; Bleijenberg, Nienke; van Os-Medendorp, Harmieke; Kort, Helianthe S M; Ten Cate, Olle")</f>
        <v>van Houwelingen, Thijs; Ettema, Roelof G A; Bleijenberg, Nienke; van Os-Medendorp, Harmieke; Kort, Helianthe S M; Ten Cate, Olle</v>
      </c>
      <c r="AK157" s="32">
        <f>IFERROR(__xludf.DUMMYFUNCTION("""COMPUTED_VALUE"""),44153.0)</f>
        <v>44153</v>
      </c>
      <c r="AL157" s="31" t="str">
        <f>IFERROR(__xludf.DUMMYFUNCTION("""COMPUTED_VALUE"""),"Clinical characteristics do not reliably identify non-adherence in patients with uncontrolled hypertension.")</f>
        <v>Clinical characteristics do not reliably identify non-adherence in patients with uncontrolled hypertension.</v>
      </c>
      <c r="AM157" s="31" t="str">
        <f>IFERROR(__xludf.DUMMYFUNCTION("""COMPUTED_VALUE"""),"Groenland, Eline H; Dasgupta, Indranil; Visseren, Frank L J; van der Elst, Kim C M; Lorde, Nathan; Lawson, Alexander J; Bots, Michiel L; Spiering, Wilko")</f>
        <v>Groenland, Eline H; Dasgupta, Indranil; Visseren, Frank L J; van der Elst, Kim C M; Lorde, Nathan; Lawson, Alexander J; Bots, Michiel L; Spiering, Wilko</v>
      </c>
      <c r="AN157" s="32">
        <f>IFERROR(__xludf.DUMMYFUNCTION("""COMPUTED_VALUE"""),44896.0)</f>
        <v>44896</v>
      </c>
    </row>
    <row r="158">
      <c r="A158" s="32"/>
      <c r="I158" s="31" t="str">
        <f>IFERROR(__xludf.DUMMYFUNCTION("""COMPUTED_VALUE"""),"public health in practice oxford england")</f>
        <v>public health in practice oxford england</v>
      </c>
      <c r="J158" s="38">
        <f>COUNTIF(Data!$F$2:$F9917, $I158)</f>
        <v>3</v>
      </c>
      <c r="T158" s="31" t="s">
        <v>25119</v>
      </c>
      <c r="U158" s="31" t="s">
        <v>25120</v>
      </c>
      <c r="V158" s="32">
        <v>45543.0</v>
      </c>
      <c r="X158" s="31" t="str">
        <f>IFERROR(__xludf.DUMMYFUNCTION("""COMPUTED_VALUE"""),"Effectiveness of FeNO-guided treatment in adult asthma patients: A systematic review and meta-analysis.")</f>
        <v>Effectiveness of FeNO-guided treatment in adult asthma patients: A systematic review and meta-analysis.</v>
      </c>
      <c r="Y158" s="31" t="str">
        <f>IFERROR(__xludf.DUMMYFUNCTION("""COMPUTED_VALUE"""),"Korevaar, Daniël A; Damen, Johanna A; Heus, Pauline; Moen, Maaike J; Spijker, René; van Veen, Ilonka H; Weersink, Els J; van Kemenade, Geert-Jan; van Hal, Peter Th W; Hooft, Lotty")</f>
        <v>Korevaar, Daniël A; Damen, Johanna A; Heus, Pauline; Moen, Maaike J; Spijker, René; van Veen, Ilonka H; Weersink, Els J; van Kemenade, Geert-Jan; van Hal, Peter Th W; Hooft, Lotty</v>
      </c>
      <c r="Z158" s="31">
        <f>IFERROR(__xludf.DUMMYFUNCTION("""COMPUTED_VALUE"""),2023.0)</f>
        <v>2023</v>
      </c>
      <c r="AA158" s="31">
        <f>IFERROR(__xludf.DUMMYFUNCTION("""COMPUTED_VALUE"""),3.0)</f>
        <v>3</v>
      </c>
      <c r="AC158" s="31" t="str">
        <f>IFERROR(__xludf.DUMMYFUNCTION("""COMPUTED_VALUE"""),"Efficient Sampling in Unmatched Case-Control Studies When the Total Number of Cases and Controls Is Fixed.")</f>
        <v>Efficient Sampling in Unmatched Case-Control Studies When the Total Number of Cases and Controls Is Fixed.</v>
      </c>
      <c r="AD158" s="31" t="str">
        <f>IFERROR(__xludf.DUMMYFUNCTION("""COMPUTED_VALUE"""),"Groenwold, Rolf H H; van Smeden, Maarten")</f>
        <v>Groenwold, Rolf H H; van Smeden, Maarten</v>
      </c>
      <c r="AE158" s="32">
        <f>IFERROR(__xludf.DUMMYFUNCTION("""COMPUTED_VALUE"""),43040.0)</f>
        <v>43040</v>
      </c>
      <c r="AF158" s="31" t="str">
        <f>IFERROR(__xludf.DUMMYFUNCTION("""COMPUTED_VALUE"""),"Quality Improvement with Outcome Data in Integrated Obstetric Care Networks: Evaluating Collaboration and Learning Across Organizational Boundaries with an Action Research Approach.")</f>
        <v>Quality Improvement with Outcome Data in Integrated Obstetric Care Networks: Evaluating Collaboration and Learning Across Organizational Boundaries with an Action Research Approach.</v>
      </c>
      <c r="AG158" s="31" t="str">
        <f>IFERROR(__xludf.DUMMYFUNCTION("""COMPUTED_VALUE"""),"Depla, Anne Louise; Kersten, Anna W; Ruiter, Marije Lamain-de; Jambroes, Marielle; Franx, Arie; Evers, Inge M; Pluut, Bettine; Bekker, Mireille N")</f>
        <v>Depla, Anne Louise; Kersten, Anna W; Ruiter, Marije Lamain-de; Jambroes, Marielle; Franx, Arie; Evers, Inge M; Pluut, Bettine; Bekker, Mireille N</v>
      </c>
      <c r="AH158" s="32">
        <f>IFERROR(__xludf.DUMMYFUNCTION("""COMPUTED_VALUE"""),45072.0)</f>
        <v>45072</v>
      </c>
      <c r="AI158" s="31" t="str">
        <f>IFERROR(__xludf.DUMMYFUNCTION("""COMPUTED_VALUE"""),"Is C-reactive protein associated with influenza A or B in primary care patients with influenza-like illness? A cross-sectional study.")</f>
        <v>Is C-reactive protein associated with influenza A or B in primary care patients with influenza-like illness? A cross-sectional study.</v>
      </c>
      <c r="AJ158" s="31" t="str">
        <f>IFERROR(__xludf.DUMMYFUNCTION("""COMPUTED_VALUE"""),"Rystedt, Karin; Harbin, Nicolay Jonassen; Lindbaek, Morten; Radzeviciene, Ruta; Gunnarsson, Ronny; Eggertsen, Robert; C Butler, Christopher; van der Velden, Alike W; J Verheij, Theo; Sundvall, Pär-Daniel")</f>
        <v>Rystedt, Karin; Harbin, Nicolay Jonassen; Lindbaek, Morten; Radzeviciene, Ruta; Gunnarsson, Ronny; Eggertsen, Robert; C Butler, Christopher; van der Velden, Alike W; J Verheij, Theo; Sundvall, Pär-Daniel</v>
      </c>
      <c r="AK158" s="32">
        <f>IFERROR(__xludf.DUMMYFUNCTION("""COMPUTED_VALUE"""),44146.0)</f>
        <v>44146</v>
      </c>
      <c r="AL158" s="31" t="str">
        <f>IFERROR(__xludf.DUMMYFUNCTION("""COMPUTED_VALUE"""),"Number of measurement days needed for obtaining a reliable estimate of home blood pressure and hypertension status.")</f>
        <v>Number of measurement days needed for obtaining a reliable estimate of home blood pressure and hypertension status.</v>
      </c>
      <c r="AM158" s="31" t="str">
        <f>IFERROR(__xludf.DUMMYFUNCTION("""COMPUTED_VALUE"""),"Groenland, Eline H; Bots, Michiel L; Visseren, Frank L J; McManus, Richard J; Spiering, Wilko")</f>
        <v>Groenland, Eline H; Bots, Michiel L; Visseren, Frank L J; McManus, Richard J; Spiering, Wilko</v>
      </c>
      <c r="AN158" s="32">
        <f>IFERROR(__xludf.DUMMYFUNCTION("""COMPUTED_VALUE"""),44896.0)</f>
        <v>44896</v>
      </c>
    </row>
    <row r="159">
      <c r="A159" s="32"/>
      <c r="I159" s="31" t="str">
        <f>IFERROR(__xludf.DUMMYFUNCTION("""COMPUTED_VALUE"""),"international journal of public health")</f>
        <v>international journal of public health</v>
      </c>
      <c r="J159" s="38">
        <f>COUNTIF(Data!$F$2:$F9917, $I159)</f>
        <v>4</v>
      </c>
      <c r="T159" s="31" t="s">
        <v>25229</v>
      </c>
      <c r="U159" s="31" t="s">
        <v>25230</v>
      </c>
      <c r="V159" s="32">
        <v>45542.0</v>
      </c>
      <c r="X159" s="31" t="str">
        <f>IFERROR(__xludf.DUMMYFUNCTION("""COMPUTED_VALUE"""),"Author Correction: The power of genetic diversity in genome-wide association studies of lipids.")</f>
        <v>Author Correction: The power of genetic diversity in genome-wide association studies of lipids.</v>
      </c>
      <c r="Y159" s="31" t="str">
        <f>IFERROR(__xludf.DUMMYFUNCTION("""COMPUTED_VALUE"""),"Graham, Sarah E; Clarke, Shoa L; Wu, Kuan-Han H; Kanoni, Stavroula; Zajac, Greg J M; Ramdas, Shweta; Surakka, Ida; Ntalla, Ioanna; Vedantam, Sailaja; Winkler, Thomas W; Locke, Adam E; Marouli, Eirini; Hwang, Mi Yeong; Han, Sohee; Narita, Akira; Choudhury,"&amp;" Ananyo; Bentley, Amy R; Ekoru, Kenneth; Verma, Anurag; Trivedi, Bhavi; Martin, Hilary C; Hunt, Karen A; Hui, Qin; Klarin, Derek; Zhu, Xiang; Thorleifsson, Gudmar; Helgadottir, Anna; Gudbjartsson, Daniel F; Holm, Hilma; Olafsson, Isleifur; Akiyama, Masato"&amp;"; Sakaue, Saori; Terao, Chikashi; Kanai, Masahiro; Zhou, Wei; Brumpton, Ben M; Rasheed, Humaira; Ruotsalainen, Sanni E; Havulinna, Aki S; Veturi, Yogasudha; Feng, QiPing; Rosenthal, Elisabeth A; Lingren, Todd; Pacheco, Jennifer Allen; Pendergrass, Sarah A"&amp;"; Haessler, Jeffrey; Giulianini, Franco; Bradford, Yuki; Miller, Jason E; Campbell, Archie; Lin, Kuang; Millwood, Iona Y; Hindy, George; Rasheed, Asif; Faul, Jessica D; Zhao, Wei; Weir, David R; Turman, Constance; Huang, Hongyan; Graff")</f>
        <v>Graham, Sarah E; Clarke, Shoa L; Wu, Kuan-Han H; Kanoni, Stavroula; Zajac, Greg J M; Ramdas, Shweta; Surakka, Ida; Ntalla, Ioanna; Vedantam, Sailaja; Winkler, Thomas W; Locke, Adam E; Marouli, Eirini; Hwang, Mi Yeong; Han, Sohee; Narita, Akira; Choudhury, Ananyo; Bentley, Amy R; Ekoru, Kenneth; Verma, Anurag; Trivedi, Bhavi; Martin, Hilary C; Hunt, Karen A; Hui, Qin; Klarin, Derek; Zhu, Xiang; Thorleifsson, Gudmar; Helgadottir, Anna; Gudbjartsson, Daniel F; Holm, Hilma; Olafsson, Isleifur; Akiyama, Masato; Sakaue, Saori; Terao, Chikashi; Kanai, Masahiro; Zhou, Wei; Brumpton, Ben M; Rasheed, Humaira; Ruotsalainen, Sanni E; Havulinna, Aki S; Veturi, Yogasudha; Feng, QiPing; Rosenthal, Elisabeth A; Lingren, Todd; Pacheco, Jennifer Allen; Pendergrass, Sarah A; Haessler, Jeffrey; Giulianini, Franco; Bradford, Yuki; Miller, Jason E; Campbell, Archie; Lin, Kuang; Millwood, Iona Y; Hindy, George; Rasheed, Asif; Faul, Jessica D; Zhao, Wei; Weir, David R; Turman, Constance; Huang, Hongyan; Graff</v>
      </c>
      <c r="Z159" s="31">
        <f>IFERROR(__xludf.DUMMYFUNCTION("""COMPUTED_VALUE"""),2023.0)</f>
        <v>2023</v>
      </c>
      <c r="AA159" s="31">
        <f>IFERROR(__xludf.DUMMYFUNCTION("""COMPUTED_VALUE"""),3.0)</f>
        <v>3</v>
      </c>
      <c r="AC159" s="31" t="str">
        <f>IFERROR(__xludf.DUMMYFUNCTION("""COMPUTED_VALUE"""),"Treatment of electrical status epilepticus in sleep: Clinical and EEG characteristics and response to 147 treatments in 47 patients.")</f>
        <v>Treatment of electrical status epilepticus in sleep: Clinical and EEG characteristics and response to 147 treatments in 47 patients.</v>
      </c>
      <c r="AD159" s="31" t="str">
        <f>IFERROR(__xludf.DUMMYFUNCTION("""COMPUTED_VALUE"""),"van den Munckhof, Bart; Alderweireld, Christian; Davelaar, Susanne; van Teeseling, Heleen C; Nikolakopoulos, Stavros; Braun, Kees P J; Jansen, Floor E")</f>
        <v>van den Munckhof, Bart; Alderweireld, Christian; Davelaar, Susanne; van Teeseling, Heleen C; Nikolakopoulos, Stavros; Braun, Kees P J; Jansen, Floor E</v>
      </c>
      <c r="AE159" s="32">
        <f>IFERROR(__xludf.DUMMYFUNCTION("""COMPUTED_VALUE"""),43034.0)</f>
        <v>43034</v>
      </c>
      <c r="AF159" s="31" t="str">
        <f>IFERROR(__xludf.DUMMYFUNCTION("""COMPUTED_VALUE"""),"Lancet Commission on synergies between universal health coverage, health security, and health promotion.")</f>
        <v>Lancet Commission on synergies between universal health coverage, health security, and health promotion.</v>
      </c>
      <c r="AG159" s="31" t="str">
        <f>IFERROR(__xludf.DUMMYFUNCTION("""COMPUTED_VALUE"""),"Agyepong, Irene; Spicer, Neil; Ooms, Gorik; Jahn, Albrecht; Bärnighausen, Till; Beiersmann, Claudia; Brown Amoakoh, Hannah; Fink, Günter; Guo, Yan; Hennig, Lisa; Kifle Habtemariam, Mahlet; Kouyaté, Bocar A; Loewenson, Rene; Micah, Angela; Moon, Suerie; Mo"&amp;"shabela, Mosa; Myhre, Sonja Lynn; Ottersen, Trygve; Patcharanarumol, Walaiporn; Sarker, Malabika; Sen, Gita; Shiozaki, Yasuhisa; Songane, Francisco; Sridhar, Devi; Ssengooba, Freddie; Vega, Jeanette; Ventura, Deisy; Voss, Maike; Heymann, David")</f>
        <v>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v>
      </c>
      <c r="AH159" s="32">
        <f>IFERROR(__xludf.DUMMYFUNCTION("""COMPUTED_VALUE"""),45067.0)</f>
        <v>45067</v>
      </c>
      <c r="AI159" s="31" t="str">
        <f>IFERROR(__xludf.DUMMYFUNCTION("""COMPUTED_VALUE"""),"Health Care Professionals' Experiences With Preloss Care in Pediatrics: Goals, Strategies, Obstacles, and Facilitators.")</f>
        <v>Health Care Professionals' Experiences With Preloss Care in Pediatrics: Goals, Strategies, Obstacles, and Facilitators.</v>
      </c>
      <c r="AJ159" s="31" t="str">
        <f>IFERROR(__xludf.DUMMYFUNCTION("""COMPUTED_VALUE"""),"Kochen, Eline M; Boelen, Paul A; Teunissen, Saskia C C M; Jenken, Floor; de Jonge, Roos R; Grootenhuis, Martha A; Kars, Marijke C; ,")</f>
        <v>Kochen, Eline M; Boelen, Paul A; Teunissen, Saskia C C M; Jenken, Floor; de Jonge, Roos R; Grootenhuis, Martha A; Kars, Marijke C; ,</v>
      </c>
      <c r="AK159" s="32">
        <f>IFERROR(__xludf.DUMMYFUNCTION("""COMPUTED_VALUE"""),44145.0)</f>
        <v>44145</v>
      </c>
      <c r="AL159" s="31" t="str">
        <f>IFERROR(__xludf.DUMMYFUNCTION("""COMPUTED_VALUE"""),"Association of Subjective Cognitive Decline With Progression to Dementia in a Cognitively Unimpaired Multiracial Community Sample.")</f>
        <v>Association of Subjective Cognitive Decline With Progression to Dementia in a Cognitively Unimpaired Multiracial Community Sample.</v>
      </c>
      <c r="AM159" s="31" t="str">
        <f>IFERROR(__xludf.DUMMYFUNCTION("""COMPUTED_VALUE"""),"Chapman, Silvia; Rentería, Miguel Arce; Dworkin, Jordan D; Garriga, Stella M; Barker, Megan S; Avila-Rieger, Justina; Gonzalez, Christopher; Joyce, Jillian L; Vonk, Jet M J; Soto, Elizabeth; Manly, Jennifer J; Brickman, Adam M; Mayeux, Richard P; Cosentin"&amp;"o, Stephanie A")</f>
        <v>Chapman, Silvia; Rentería, Miguel Arce; Dworkin, Jordan D; Garriga, Stella M; Barker, Megan S; Avila-Rieger, Justina; Gonzalez, Christopher; Joyce, Jillian L; Vonk, Jet M J; Soto, Elizabeth; Manly, Jennifer J; Brickman, Adam M; Mayeux, Richard P; Cosentino, Stephanie A</v>
      </c>
      <c r="AN159" s="32">
        <f>IFERROR(__xludf.DUMMYFUNCTION("""COMPUTED_VALUE"""),44895.0)</f>
        <v>44895</v>
      </c>
    </row>
    <row r="160">
      <c r="A160" s="32"/>
      <c r="I160" s="31" t="str">
        <f>IFERROR(__xludf.DUMMYFUNCTION("""COMPUTED_VALUE"""),"computers in biology and medicine")</f>
        <v>computers in biology and medicine</v>
      </c>
      <c r="J160" s="38">
        <f>COUNTIF(Data!$F$2:$F9917, $I160)</f>
        <v>1</v>
      </c>
      <c r="T160" s="31" t="s">
        <v>25932</v>
      </c>
      <c r="U160" s="31" t="s">
        <v>25933</v>
      </c>
      <c r="V160" s="32">
        <v>45542.0</v>
      </c>
      <c r="X160" s="31" t="str">
        <f>IFERROR(__xludf.DUMMYFUNCTION("""COMPUTED_VALUE"""),"Association between low fetal fraction in cell-free DNA screening and fetal chromosomal aberrations: A systematic review and meta-analysis.")</f>
        <v>Association between low fetal fraction in cell-free DNA screening and fetal chromosomal aberrations: A systematic review and meta-analysis.</v>
      </c>
      <c r="Y160" s="31" t="str">
        <f>IFERROR(__xludf.DUMMYFUNCTION("""COMPUTED_VALUE"""),"Becking, Ellis C; Schuit, Ewoud; van Baar de Knegt, Sophie M E; Sistermans, Erik A; Henneman, Lidewij; Bekker, Mireille N; Scheffer, Peter G")</f>
        <v>Becking, Ellis C; Schuit, Ewoud; van Baar de Knegt, Sophie M E; Sistermans, Erik A; Henneman, Lidewij; Bekker, Mireille N; Scheffer, Peter G</v>
      </c>
      <c r="Z160" s="31">
        <f>IFERROR(__xludf.DUMMYFUNCTION("""COMPUTED_VALUE"""),2023.0)</f>
        <v>2023</v>
      </c>
      <c r="AA160" s="31">
        <f>IFERROR(__xludf.DUMMYFUNCTION("""COMPUTED_VALUE"""),3.0)</f>
        <v>3</v>
      </c>
      <c r="AC160" s="31" t="str">
        <f>IFERROR(__xludf.DUMMYFUNCTION("""COMPUTED_VALUE"""),"Anti-Müllerian hormone and risk of ovarian cancer in nine cohorts.")</f>
        <v>Anti-Müllerian hormone and risk of ovarian cancer in nine cohorts.</v>
      </c>
      <c r="AD160" s="31" t="str">
        <f>IFERROR(__xludf.DUMMYFUNCTION("""COMPUTED_VALUE"""),"Jung, Seungyoun; Allen, Naomi; Arslan, Alan A; Baglietto, Laura; Barricarte, Aurelio; Brinton, Louise A; Egleston, Brian L; Falk, Roni T; Fortner, Renée T; Helzlsouer, Kathy J; Gao, Yutang; Idahl, Annika; Kaaks, Rudolph; Krogh, Vittorio; Merritt, Melissa "&amp;"A; Lundin, Eva; Onland-Moret, N Charlotte; Rinaldi, Sabina; Schock, Helena; Shu, Xiao-Ou; Sluss, Patrick M; Staats, Paul N; Sacerdote, Carlotta; Travis, Ruth C; Tjønneland, Anne; Trichopoulou, Antonia; Tworoger, Shelley S; Visvanathan, Kala; Weiderpass, E"&amp;"lisabete; Zeleniuch-Jacquotte, Anne; Dorgan, Joanne F")</f>
        <v>Jung, Seungyoun; Allen, Naomi; Arslan, Alan A; Baglietto, Laura; Barricarte, Aurelio; Brinton, Louise A; Egleston, Brian L; Falk, Roni T; Fortner, Renée T; Helzlsouer, Kathy J; Gao, Yutang; Idahl, Annika; Kaaks, Rudolph; Krogh, Vittorio; Merritt, Melissa A; Lundin, Eva; Onland-Moret, N Charlotte; Rinaldi, Sabina; Schock, Helena; Shu, Xiao-Ou; Sluss, Patrick M; Staats, Paul N; Sacerdote, Carlotta; Travis, Ruth C; Tjønneland, Anne; Trichopoulou, Antonia; Tworoger, Shelley S; Visvanathan, Kala; Weiderpass, Elisabete; Zeleniuch-Jacquotte, Anne; Dorgan, Joanne F</v>
      </c>
      <c r="AE160" s="32">
        <f>IFERROR(__xludf.DUMMYFUNCTION("""COMPUTED_VALUE"""),43012.0)</f>
        <v>43012</v>
      </c>
      <c r="AF160" s="31" t="str">
        <f>IFERROR(__xludf.DUMMYFUNCTION("""COMPUTED_VALUE"""),"Perspective; recommendations for improved patient participation in decision-making for geriatric patients in acute surgical settings.")</f>
        <v>Perspective; recommendations for improved patient participation in decision-making for geriatric patients in acute surgical settings.</v>
      </c>
      <c r="AG160" s="31" t="str">
        <f>IFERROR(__xludf.DUMMYFUNCTION("""COMPUTED_VALUE"""),"Schuijt, H J; Smeeing, D P J; Verberne, W R; Groenwold, R H H; van Delden, J J M; Leenen, L P H; van der Velde, D")</f>
        <v>Schuijt, H J; Smeeing, D P J; Verberne, W R; Groenwold, R H H; van Delden, J J M; Leenen, L P H; van der Velde, D</v>
      </c>
      <c r="AH160" s="32">
        <f>IFERROR(__xludf.DUMMYFUNCTION("""COMPUTED_VALUE"""),45065.0)</f>
        <v>45065</v>
      </c>
      <c r="AI160" s="31" t="str">
        <f>IFERROR(__xludf.DUMMYFUNCTION("""COMPUTED_VALUE"""),"Squamous cell carcinoma of the mandible - Patterns of metastasis and disease recurrence in dependence of localization and therapy.")</f>
        <v>Squamous cell carcinoma of the mandible - Patterns of metastasis and disease recurrence in dependence of localization and therapy.</v>
      </c>
      <c r="AJ160" s="31" t="str">
        <f>IFERROR(__xludf.DUMMYFUNCTION("""COMPUTED_VALUE"""),"Moratin, Julius; Horn, Dominik; Metzger, Karl; Ristow, Oliver; Flechtenmacher, Christa; Engel, Michael; Hoffmann, Jürgen; Freier, Kolja; Freudlsperger, Christian")</f>
        <v>Moratin, Julius; Horn, Dominik; Metzger, Karl; Ristow, Oliver; Flechtenmacher, Christa; Engel, Michael; Hoffmann, Jürgen; Freier, Kolja; Freudlsperger, Christian</v>
      </c>
      <c r="AK160" s="32">
        <f>IFERROR(__xludf.DUMMYFUNCTION("""COMPUTED_VALUE"""),44136.0)</f>
        <v>44136</v>
      </c>
      <c r="AL160" s="31" t="str">
        <f>IFERROR(__xludf.DUMMYFUNCTION("""COMPUTED_VALUE"""),"Stroke thrombolysis in a middle-income country: A case study exploring the determinants of its implementation.")</f>
        <v>Stroke thrombolysis in a middle-income country: A case study exploring the determinants of its implementation.</v>
      </c>
      <c r="AM160" s="31" t="str">
        <f>IFERROR(__xludf.DUMMYFUNCTION("""COMPUTED_VALUE"""),"Hwong, Wen Yea; Ng, Sock Wen; Tong, Seng Fah; Ab Rahman, Norazida; Law, Wan Chung; Kaman, Zurainah; Wong, Sing Keat; Puvanarajah, Santhi Datuk; Sivasampu, Sheamini")</f>
        <v>Hwong, Wen Yea; Ng, Sock Wen; Tong, Seng Fah; Ab Rahman, Norazida; Law, Wan Chung; Kaman, Zurainah; Wong, Sing Keat; Puvanarajah, Santhi Datuk; Sivasampu, Sheamini</v>
      </c>
      <c r="AN160" s="32">
        <f>IFERROR(__xludf.DUMMYFUNCTION("""COMPUTED_VALUE"""),44889.0)</f>
        <v>44889</v>
      </c>
    </row>
    <row r="161">
      <c r="A161" s="32"/>
      <c r="I161" s="31" t="str">
        <f>IFERROR(__xludf.DUMMYFUNCTION("""COMPUTED_VALUE"""),"frontiers in medicine")</f>
        <v>frontiers in medicine</v>
      </c>
      <c r="J161" s="38">
        <f>COUNTIF(Data!$F$2:$F9917, $I161)</f>
        <v>6</v>
      </c>
      <c r="T161" s="31" t="s">
        <v>24764</v>
      </c>
      <c r="U161" s="31" t="s">
        <v>24765</v>
      </c>
      <c r="V161" s="32">
        <v>45541.0</v>
      </c>
      <c r="X161" s="31" t="str">
        <f>IFERROR(__xludf.DUMMYFUNCTION("""COMPUTED_VALUE"""),"Identifying distinct clinical clusters in heart failure with mildly reduced ejection fraction.")</f>
        <v>Identifying distinct clinical clusters in heart failure with mildly reduced ejection fraction.</v>
      </c>
      <c r="Y161" s="31" t="str">
        <f>IFERROR(__xludf.DUMMYFUNCTION("""COMPUTED_VALUE"""),"Meijs, Claartje; Brugts, Jasper J; Lund, Lars H; Linssen, Gerard C M; Rocca, Hans-Peter Brunner-La; Dahlström, Ulf; Vaartjes, Ilonca; Koudstaal, Stefan; Asselbergs, Folkert W; Savarese, Gianluigi; Uijl, Alicia")</f>
        <v>Meijs, Claartje; Brugts, Jasper J; Lund, Lars H; Linssen, Gerard C M; Rocca, Hans-Peter Brunner-La; Dahlström, Ulf; Vaartjes, Ilonca; Koudstaal, Stefan; Asselbergs, Folkert W; Savarese, Gianluigi; Uijl, Alicia</v>
      </c>
      <c r="Z161" s="31">
        <f>IFERROR(__xludf.DUMMYFUNCTION("""COMPUTED_VALUE"""),2023.0)</f>
        <v>2023</v>
      </c>
      <c r="AA161" s="31">
        <f>IFERROR(__xludf.DUMMYFUNCTION("""COMPUTED_VALUE"""),3.0)</f>
        <v>3</v>
      </c>
      <c r="AC161" s="31" t="str">
        <f>IFERROR(__xludf.DUMMYFUNCTION("""COMPUTED_VALUE"""),"Anti-Mullerian hormone and endometrial cancer: a multi-cohort study.")</f>
        <v>Anti-Mullerian hormone and endometrial cancer: a multi-cohort study.</v>
      </c>
      <c r="AD161" s="31" t="str">
        <f>IFERROR(__xludf.DUMMYFUNCTION("""COMPUTED_VALUE"""),"Fortner, Renée T; Schock, Helena; Jung, Seungyoun; Allen, Naomi E; Arslan, Alan A; Brinton, Louise A; Egleston, Brian L; Falk, Roni T; Gunter, Marc J; Helzlsouer, Kathy J; Idahl, Annika; Johnson, Theron S; Kaaks, Rudolf; Krogh, Vittorio; Lundin, Eva; Merr"&amp;"itt, Melissa A; Navarro, Carmen; Onland-Moret, N Charlotte; Palli, Domenico; Shu, Xiao-Ou; Sluss, Patrick M; Staats, Paul N; Trichopoulou, Antonia; Weiderpass, Elisabete; Zeleniuch-Jacquotte, Anne; Zheng, Wei; Dorgan, Joanne F")</f>
        <v>Fortner, Renée T; Schock, Helena; Jung, Seungyoun; Allen, Naomi E; Arslan, Alan A; Brinton, Louise A; Egleston, Brian L; Falk, Roni T; Gunter, Marc J; Helzlsouer, Kathy J; Idahl, Annika; Johnson, Theron S; Kaaks, Rudolf; Krogh, Vittorio; Lundin, Eva; Merritt, Melissa A; Navarro, Carmen; Onland-Moret, N Charlotte; Palli, Domenico; Shu, Xiao-Ou; Sluss, Patrick M; Staats, Paul N; Trichopoulou, Antonia; Weiderpass, Elisabete; Zeleniuch-Jacquotte, Anne; Zheng, Wei; Dorgan, Joanne F</v>
      </c>
      <c r="AE161" s="32">
        <f>IFERROR(__xludf.DUMMYFUNCTION("""COMPUTED_VALUE"""),42983.0)</f>
        <v>42983</v>
      </c>
      <c r="AF161" s="31" t="str">
        <f>IFERROR(__xludf.DUMMYFUNCTION("""COMPUTED_VALUE"""),"Sex differences in the generalizability of randomized clinical trials in heart failure with reduced ejection fraction.")</f>
        <v>Sex differences in the generalizability of randomized clinical trials in heart failure with reduced ejection fraction.</v>
      </c>
      <c r="AG161" s="31" t="str">
        <f>IFERROR(__xludf.DUMMYFUNCTION("""COMPUTED_VALUE"""),"Schroeder, Megan; Lim, Yvonne Mei Fong; Savarese, Gianluigi; Suzart-Woischnik, Kiliana; Baudier, Claire; Dyszynski, Tomasz; Vaartjes, Ilonca; Eijkemans, Marinus J C; Uijl, Alicia; Herrera, Ronald; Vradi, Eleni; Brugts, Jasper J; Brunner-La Rocca, Hans-Pet"&amp;"er; Blanc-Guillemaud, Vanessa; Waechter, Sandra; Couvelard, Fabrice; Tyl, Benoit; Fatoba, Samuel; Hoes, Arno W; Lund, Lars H; Gerlinger, Christoph; Asselbergs, Folkert W; Grobbee, Diederick E; Cronin, Maureen; Koudstaal, Stefan")</f>
        <v>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v>
      </c>
      <c r="AH161" s="32">
        <f>IFERROR(__xludf.DUMMYFUNCTION("""COMPUTED_VALUE"""),45064.0)</f>
        <v>45064</v>
      </c>
      <c r="AI161" s="31" t="str">
        <f>IFERROR(__xludf.DUMMYFUNCTION("""COMPUTED_VALUE"""),"Self-care of heart failure patients: practical management recommendations from the Heart Failure Association of the European Society of Cardiology.")</f>
        <v>Self-care of heart failure patients: practical management recommendations from the Heart Failure Association of the European Society of Cardiology.</v>
      </c>
      <c r="AJ161" s="31" t="str">
        <f>IFERROR(__xludf.DUMMYFUNCTION("""COMPUTED_VALUE"""),"Jaarsma, Tiny; Hill, Loreena; Bayes-Genis, Antoni; La Rocca, Hans-Peter Brunner; Castiello, Teresa; Čelutkienė, Jelena; Marques-Sule, Elena; Plymen, Carla M; Piper, Susan E; Riegel, Barbara; Rutten, Frans H; Ben Gal, Tuvia; Bauersachs, Johann; Coats, Andr"&amp;"ew J S; Chioncel, Ovidiu; Lopatin, Yuri; Lund, Lars H; Lainscak, Mitja; Moura, Brenda; Mullens, Wilfried; Piepoli, Massimo F; Rosano, Giuseppe; Seferovic, Petar; Strömberg, Anna")</f>
        <v>Jaarsma, Tiny; Hill, Loreena; Bayes-Genis, Antoni; La Rocca, Hans-Peter Brunner; Castiello, Teresa; Čelutkienė, Jelena; Marques-Sule, Elena; Plymen, Carla M; Piper, Susan E; Riegel, Barbara; Rutten, Frans H; Ben Gal, Tuvia; Bauersachs, Johann; Coats, Andrew J S; Chioncel, Ovidiu; Lopatin, Yuri; Lund, Lars H; Lainscak, Mitja; Moura, Brenda; Mullens, Wilfried; Piepoli, Massimo F; Rosano, Giuseppe; Seferovic, Petar; Strömberg, Anna</v>
      </c>
      <c r="AK161" s="32">
        <f>IFERROR(__xludf.DUMMYFUNCTION("""COMPUTED_VALUE"""),44124.0)</f>
        <v>44124</v>
      </c>
      <c r="AL161" s="31" t="str">
        <f>IFERROR(__xludf.DUMMYFUNCTION("""COMPUTED_VALUE"""),"Gut to lung translocation and antibiotic mediated selection shape the dynamics of Pseudomonas aeruginosa in an ICU patient.")</f>
        <v>Gut to lung translocation and antibiotic mediated selection shape the dynamics of Pseudomonas aeruginosa in an ICU patient.</v>
      </c>
      <c r="AM161" s="31" t="str">
        <f>IFERROR(__xludf.DUMMYFUNCTION("""COMPUTED_VALUE"""),"Wheatley, Rachel M; Caballero, Julio Diaz; van der Schalk, Thomas E; De Winter, Fien H R; Shaw, Liam P; Kapel, Natalia; Recanatini, Claudia; Timbermont, Leen; Kluytmans, Jan; Esser, Mark; Lacoma, Alicia; Prat-Aymerich, Cristina; Oliver, Antonio; Kumar-Sin"&amp;"gh, Samir; Malhotra-Kumar, Surbhi; Craig MacLean, R")</f>
        <v>Wheatley, Rachel M; Caballero, Julio Diaz; van der Schalk, Thomas E; De Winter, Fien H R; Shaw, Liam P; Kapel, Natalia; Recanatini, Claudia; Timbermont, Leen; Kluytmans, Jan; Esser, Mark; Lacoma, Alicia; Prat-Aymerich, Cristina; Oliver, Antonio; Kumar-Singh, Samir; Malhotra-Kumar, Surbhi; Craig MacLean, R</v>
      </c>
      <c r="AN161" s="32">
        <f>IFERROR(__xludf.DUMMYFUNCTION("""COMPUTED_VALUE"""),44887.0)</f>
        <v>44887</v>
      </c>
    </row>
    <row r="162">
      <c r="A162" s="32"/>
      <c r="I162" s="31" t="str">
        <f>IFERROR(__xludf.DUMMYFUNCTION("""COMPUTED_VALUE"""),"npj breast cancer")</f>
        <v>npj breast cancer</v>
      </c>
      <c r="J162" s="38">
        <f>COUNTIF(Data!$F$2:$F9917, $I162)</f>
        <v>2</v>
      </c>
      <c r="T162" s="31" t="s">
        <v>24768</v>
      </c>
      <c r="U162" s="31" t="s">
        <v>24769</v>
      </c>
      <c r="V162" s="32">
        <v>45541.0</v>
      </c>
      <c r="X162" s="31" t="str">
        <f>IFERROR(__xludf.DUMMYFUNCTION("""COMPUTED_VALUE"""),"Assessing heterogeneity of electronic health-care databases: A case study of background incidence rates of venous thromboembolism.")</f>
        <v>Assessing heterogeneity of electronic health-care databases: A case study of background incidence rates of venous thromboembolism.</v>
      </c>
      <c r="Y162" s="31" t="str">
        <f>IFERROR(__xludf.DUMMYFUNCTION("""COMPUTED_VALUE"""),"Russek, Martin; Quinten, Chantal; de Jong, Valentijn M T; Cohet, Catherine; Kurz, Xavier")</f>
        <v>Russek, Martin; Quinten, Chantal; de Jong, Valentijn M T; Cohet, Catherine; Kurz, Xavier</v>
      </c>
      <c r="Z162" s="31">
        <f>IFERROR(__xludf.DUMMYFUNCTION("""COMPUTED_VALUE"""),2023.0)</f>
        <v>2023</v>
      </c>
      <c r="AA162" s="31">
        <f>IFERROR(__xludf.DUMMYFUNCTION("""COMPUTED_VALUE"""),3.0)</f>
        <v>3</v>
      </c>
      <c r="AC162" s="31" t="str">
        <f>IFERROR(__xludf.DUMMYFUNCTION("""COMPUTED_VALUE"""),"The Effect of Gastrostomy Placement on Gastric Function in Children: a Prospective Cohort Study.")</f>
        <v>The Effect of Gastrostomy Placement on Gastric Function in Children: a Prospective Cohort Study.</v>
      </c>
      <c r="AD162" s="31" t="str">
        <f>IFERROR(__xludf.DUMMYFUNCTION("""COMPUTED_VALUE"""),"Franken, Josephine; Mauritz, Femke A; Stellato, Rebecca K; Van der Zee, David C; Van Herwaarden-Lindeboom, Maud Y A")</f>
        <v>Franken, Josephine; Mauritz, Femke A; Stellato, Rebecca K; Van der Zee, David C; Van Herwaarden-Lindeboom, Maud Y A</v>
      </c>
      <c r="AE162" s="32">
        <f>IFERROR(__xludf.DUMMYFUNCTION("""COMPUTED_VALUE"""),42917.0)</f>
        <v>42917</v>
      </c>
      <c r="AF162" s="31" t="str">
        <f>IFERROR(__xludf.DUMMYFUNCTION("""COMPUTED_VALUE"""),"Identifying distinct clinical clusters in heart failure with mildly reduced ejection fraction.")</f>
        <v>Identifying distinct clinical clusters in heart failure with mildly reduced ejection fraction.</v>
      </c>
      <c r="AG162" s="31" t="str">
        <f>IFERROR(__xludf.DUMMYFUNCTION("""COMPUTED_VALUE"""),"Meijs, Claartje; Brugts, Jasper J; Lund, Lars H; Linssen, Gerard C M; Rocca, Hans-Peter Brunner-La; Dahlström, Ulf; Vaartjes, Ilonca; Koudstaal, Stefan; Asselbergs, Folkert W; Savarese, Gianluigi; Uijl, Alicia")</f>
        <v>Meijs, Claartje; Brugts, Jasper J; Lund, Lars H; Linssen, Gerard C M; Rocca, Hans-Peter Brunner-La; Dahlström, Ulf; Vaartjes, Ilonca; Koudstaal, Stefan; Asselbergs, Folkert W; Savarese, Gianluigi; Uijl, Alicia</v>
      </c>
      <c r="AH162" s="32">
        <f>IFERROR(__xludf.DUMMYFUNCTION("""COMPUTED_VALUE"""),45062.0)</f>
        <v>45062</v>
      </c>
      <c r="AI162" s="31" t="str">
        <f>IFERROR(__xludf.DUMMYFUNCTION("""COMPUTED_VALUE"""),"Who is that nurse?: Transferring knowledge requires clarity about professional titles.")</f>
        <v>Who is that nurse?: Transferring knowledge requires clarity about professional titles.</v>
      </c>
      <c r="AJ162" s="31" t="str">
        <f>IFERROR(__xludf.DUMMYFUNCTION("""COMPUTED_VALUE"""),"Lovink, Marleen H; Persoon, Anke; Finnema, Evelyn; Francke, Anneke L; Schoonhoven, Lissette; Holle, Daniela; Palm, Prof Rebecca; Backhaus, Ramona")</f>
        <v>Lovink, Marleen H; Persoon, Anke; Finnema, Evelyn; Francke, Anneke L; Schoonhoven, Lissette; Holle, Daniela; Palm, Prof Rebecca; Backhaus, Ramona</v>
      </c>
      <c r="AK162" s="32">
        <f>IFERROR(__xludf.DUMMYFUNCTION("""COMPUTED_VALUE"""),44124.0)</f>
        <v>44124</v>
      </c>
      <c r="AL162" s="31" t="str">
        <f>IFERROR(__xludf.DUMMYFUNCTION("""COMPUTED_VALUE"""),"Dutch public health professionals' perspectives and needs regarding citizen involvement in COVID-19 contact tracing through digital support tools: an exploratory qualitative study.")</f>
        <v>Dutch public health professionals' perspectives and needs regarding citizen involvement in COVID-19 contact tracing through digital support tools: an exploratory qualitative study.</v>
      </c>
      <c r="AM162" s="31" t="str">
        <f>IFERROR(__xludf.DUMMYFUNCTION("""COMPUTED_VALUE"""),"Helms, Y B; Stein, M L; Hamdiui, N; van der Meer, A; Baron, R; Eilers, R; Crutzen, R; Kretzschmar, M E E; Timen, A")</f>
        <v>Helms, Y B; Stein, M L; Hamdiui, N; van der Meer, A; Baron, R; Eilers, R; Crutzen, R; Kretzschmar, M E E; Timen, A</v>
      </c>
      <c r="AN162" s="32">
        <f>IFERROR(__xludf.DUMMYFUNCTION("""COMPUTED_VALUE"""),44884.0)</f>
        <v>44884</v>
      </c>
    </row>
    <row r="163">
      <c r="A163" s="32"/>
      <c r="I163" s="31" t="str">
        <f>IFERROR(__xludf.DUMMYFUNCTION("""COMPUTED_VALUE"""),"microorganisms")</f>
        <v>microorganisms</v>
      </c>
      <c r="J163" s="38">
        <f>COUNTIF(Data!$F$2:$F9917, $I163)</f>
        <v>1</v>
      </c>
      <c r="T163" s="31" t="s">
        <v>24944</v>
      </c>
      <c r="U163" s="31" t="s">
        <v>24945</v>
      </c>
      <c r="V163" s="32">
        <v>45541.0</v>
      </c>
      <c r="X163" s="31" t="str">
        <f>IFERROR(__xludf.DUMMYFUNCTION("""COMPUTED_VALUE"""),"Comparative effectiveness of β-lactams for empirical treatment of methicillin-susceptible Staphylococcus aureus bacteraemia: a prospective cohort study.")</f>
        <v>Comparative effectiveness of β-lactams for empirical treatment of methicillin-susceptible Staphylococcus aureus bacteraemia: a prospective cohort study.</v>
      </c>
      <c r="Y163" s="31" t="str">
        <f>IFERROR(__xludf.DUMMYFUNCTION("""COMPUTED_VALUE"""),"Buis, D T P; van der Vaart, T W; Prins, J M; van der Meer, J T M; Bonten, M J M; Sieswerda, E; van Werkhoven, C H; Sigaloff, K C E; Herpers, B L; Jansen, R R; Rozemeijer, W; Soetekouw, R; van Twillert, G; Veenstra, J")</f>
        <v>Buis, D T P; van der Vaart, T W; Prins, J M; van der Meer, J T M; Bonten, M J M; Sieswerda, E; van Werkhoven, C H; Sigaloff, K C E; Herpers, B L; Jansen, R R; Rozemeijer, W; Soetekouw, R; van Twillert, G; Veenstra, J</v>
      </c>
      <c r="Z163" s="31">
        <f>IFERROR(__xludf.DUMMYFUNCTION("""COMPUTED_VALUE"""),2023.0)</f>
        <v>2023</v>
      </c>
      <c r="AA163" s="31">
        <f>IFERROR(__xludf.DUMMYFUNCTION("""COMPUTED_VALUE"""),3.0)</f>
        <v>3</v>
      </c>
      <c r="AC163" s="31" t="str">
        <f>IFERROR(__xludf.DUMMYFUNCTION("""COMPUTED_VALUE"""),"Series: Pragmatic trials and real world evidence: Paper 6. Outcome measures in the real world.")</f>
        <v>Series: Pragmatic trials and real world evidence: Paper 6. Outcome measures in the real world.</v>
      </c>
      <c r="AD163" s="31"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AE163" s="32">
        <f>IFERROR(__xludf.DUMMYFUNCTION("""COMPUTED_VALUE"""),42866.0)</f>
        <v>42866</v>
      </c>
      <c r="AF163" s="31" t="str">
        <f>IFERROR(__xludf.DUMMYFUNCTION("""COMPUTED_VALUE"""),"Social and physical neighbourhood characteristics and 10-year incidence of depression and anxiety in older adults: Results from the Longitudinal Aging Study Amsterdam.")</f>
        <v>Social and physical neighbourhood characteristics and 10-year incidence of depression and anxiety in older adults: Results from the Longitudinal Aging Study Amsterdam.</v>
      </c>
      <c r="AG163" s="31" t="str">
        <f>IFERROR(__xludf.DUMMYFUNCTION("""COMPUTED_VALUE"""),"Motoc, Irina; Hoogendijk, Emiel O; Timmermans, Erik J; Deeg, Dorly; Penninx, Brenda W J H; Huisman, Martijn")</f>
        <v>Motoc, Irina; Hoogendijk, Emiel O; Timmermans, Erik J; Deeg, Dorly; Penninx, Brenda W J H; Huisman, Martijn</v>
      </c>
      <c r="AH163" s="32">
        <f>IFERROR(__xludf.DUMMYFUNCTION("""COMPUTED_VALUE"""),45058.0)</f>
        <v>45058</v>
      </c>
      <c r="AI163" s="31" t="str">
        <f>IFERROR(__xludf.DUMMYFUNCTION("""COMPUTED_VALUE"""),"Integration of a palliative approach into heart failure care: a European Society of Cardiology Heart Failure Association position paper.")</f>
        <v>Integration of a palliative approach into heart failure care: a European Society of Cardiology Heart Failure Association position paper.</v>
      </c>
      <c r="AJ163" s="31" t="str">
        <f>IFERROR(__xludf.DUMMYFUNCTION("""COMPUTED_VALUE"""),"Hill, Loreena; Prager Geller, Tal; Baruah, Resham; Beattie, James M; Boyne, Josiane; de Stoutz, Noemi; Di Stolfo, Giuseppe; Lambrinou, Ekaterini; Skibelund, Anne K; Uchmanowicz, Izabella; Rutten, Frans H; Čelutkienė, Jelena; Piepoli, Massimo Francesco; Ja"&amp;"nkowska, Ewa A; Chioncel, Ovidiu; Ben Gal, Tuvia; Seferovic, Petar M; Ruschitzka, Frank; Coats, Andrew J S; Strömberg, Anna; Jaarsma, Tiny")</f>
        <v>Hill, Loreena; Prager Geller, Tal; Baruah, Resham; Beattie, James M; Boyne, Josiane; de Stoutz, Noemi; Di Stolfo, Giuseppe; Lambrinou, Ekaterini; Skibelund, Anne K; Uchmanowicz, Izabella; Rutten, Frans H; Čelutkienė, Jelena; Piepoli, Massimo Francesco; Jankowska, Ewa A; Chioncel, Ovidiu; Ben Gal, Tuvia; Seferovic, Petar M; Ruschitzka, Frank; Coats, Andrew J S; Strömberg, Anna; Jaarsma, Tiny</v>
      </c>
      <c r="AK163" s="32">
        <f>IFERROR(__xludf.DUMMYFUNCTION("""COMPUTED_VALUE"""),44108.0)</f>
        <v>44108</v>
      </c>
      <c r="AL163" s="31" t="str">
        <f>IFERROR(__xludf.DUMMYFUNCTION("""COMPUTED_VALUE"""),"Late-life depression, allostatic load, and risk of dementia: The AGES-Reykjavik study.")</f>
        <v>Late-life depression, allostatic load, and risk of dementia: The AGES-Reykjavik study.</v>
      </c>
      <c r="AM163" s="31" t="str">
        <f>IFERROR(__xludf.DUMMYFUNCTION("""COMPUTED_VALUE"""),"Twait, Emma L; Basten, Maartje; Gerritsen, Lotte; Gudnason, Vilmundur; Launer, Lenore J; Geerlings, Mirjam I")</f>
        <v>Twait, Emma L; Basten, Maartje; Gerritsen, Lotte; Gudnason, Vilmundur; Launer, Lenore J; Geerlings, Mirjam I</v>
      </c>
      <c r="AN163" s="32">
        <f>IFERROR(__xludf.DUMMYFUNCTION("""COMPUTED_VALUE"""),44882.0)</f>
        <v>44882</v>
      </c>
    </row>
    <row r="164">
      <c r="A164" s="32"/>
      <c r="I164" s="31" t="str">
        <f>IFERROR(__xludf.DUMMYFUNCTION("""COMPUTED_VALUE"""),"global heart")</f>
        <v>global heart</v>
      </c>
      <c r="J164" s="38">
        <f>COUNTIF(Data!$F$2:$F9917, $I164)</f>
        <v>29</v>
      </c>
      <c r="T164" s="31" t="s">
        <v>25123</v>
      </c>
      <c r="U164" s="31" t="s">
        <v>25124</v>
      </c>
      <c r="V164" s="32">
        <v>45541.0</v>
      </c>
      <c r="X164" s="31" t="str">
        <f>IFERROR(__xludf.DUMMYFUNCTION("""COMPUTED_VALUE"""),"Assessing West Nile virus (WNV) and Usutu virus (USUV) exposure in bird ringers in the Netherlands: a high-risk group for WNV and USUV infection?")</f>
        <v>Assessing West Nile virus (WNV) and Usutu virus (USUV) exposure in bird ringers in the Netherlands: a high-risk group for WNV and USUV infection?</v>
      </c>
      <c r="Y164" s="31" t="str">
        <f>IFERROR(__xludf.DUMMYFUNCTION("""COMPUTED_VALUE"""),"de Bellegarde de Saint Lary, Chiara; Kasbergen, Louella M R; Bruijning-Verhagen, Patricia C J L; van der Jeugd, Henk; Chandler, Felicity; Hogema, Boris M; Zaaijer, Hans L; van der Klis, Fiona R M; Barzon, Luisa; de Bruin, Erwin; Ten Bosch, Quirine; Koopma"&amp;"ns, Marion P G; Sikkema, Reina S; Visser, Leo G")</f>
        <v>de Bellegarde de Saint Lary, Chiara; Kasbergen, Louella M R; Bruijning-Verhagen, Patricia C J L; van der Jeugd, Henk; Chandler, Felicity; Hogema, Boris M; Zaaijer, Hans L; van der Klis, Fiona R M; Barzon, Luisa; de Bruin, Erwin; Ten Bosch, Quirine; Koopmans, Marion P G; Sikkema, Reina S; Visser, Leo G</v>
      </c>
      <c r="Z164" s="31">
        <f>IFERROR(__xludf.DUMMYFUNCTION("""COMPUTED_VALUE"""),2023.0)</f>
        <v>2023</v>
      </c>
      <c r="AA164" s="31">
        <f>IFERROR(__xludf.DUMMYFUNCTION("""COMPUTED_VALUE"""),3.0)</f>
        <v>3</v>
      </c>
      <c r="AC164" s="31"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AD164" s="31" t="str">
        <f>IFERROR(__xludf.DUMMYFUNCTION("""COMPUTED_VALUE"""),"Ockhuijsen, Henrietta D L; van Smeden, Maarten; van den Hoogen, Agnes; Boivin, Jacky")</f>
        <v>Ockhuijsen, Henrietta D L; van Smeden, Maarten; van den Hoogen, Agnes; Boivin, Jacky</v>
      </c>
      <c r="AE164" s="32">
        <f>IFERROR(__xludf.DUMMYFUNCTION("""COMPUTED_VALUE"""),42865.0)</f>
        <v>42865</v>
      </c>
      <c r="AF164" s="31" t="str">
        <f>IFERROR(__xludf.DUMMYFUNCTION("""COMPUTED_VALUE"""),"Identification of biomarkers for glycaemic deterioration in type 2 diabetes.")</f>
        <v>Identification of biomarkers for glycaemic deterioration in type 2 diabetes.</v>
      </c>
      <c r="AG164" s="31" t="str">
        <f>IFERROR(__xludf.DUMMYFUNCTION("""COMPUTED_VALUE"""),"Slieker, Roderick C; Donnelly, Louise A; Akalestou, Elina; Lopez-Noriega, Livia; Melhem, Rana; Güneş, Ayşim; Abou Azar, Frederic; Efanov, Alexander; Georgiadou, Eleni; Muniangi-Muhitu, Hermine; Sheikh, Mahsa; Giordano, Giuseppe N; Åkerlund, Mikael; Ahlqvi"&amp;"st, Emma; Ali, Ashfaq; Banasik, Karina; Brunak, Søren; Barovic, Marko; Bouland, Gerard A; Burdet, Frédéric; Canouil, Mickaël; Dragan, Iulian; Elders, Petra J M; Fernandez, Celine; Festa, Andreas; Fitipaldi, Hugo; Froguel, Phillippe; Gudmundsdottir, Valbor"&amp;"g; Gudnason, Vilmundur; Gerl, Mathias J; van der Heijden, Amber A; Jennings, Lori L; Hansen, Michael K; Kim, Min; Leclerc, Isabelle; Klose, Christian; Kuznetsov, Dmitry; Mansour Aly, Dina; Mehl, Florence; Marek, Diana; Melander, Olle; Niknejad, Anne; Otto"&amp;"sson, Filip; Pavo, Imre; Duffin, Kevin; Syed, Samreen K; Shaw, Janice L; Cabrera, Over; Pullen, Timothy J; Simons, Kai; Solimena, Michele; Suvitaival, Tommi; Wretlind, Asger; Rossing, Peter; Lyssenko, Valeriya; Legido Quigley, Cristina")</f>
        <v>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v>
      </c>
      <c r="AH164" s="32">
        <f>IFERROR(__xludf.DUMMYFUNCTION("""COMPUTED_VALUE"""),45049.0)</f>
        <v>45049</v>
      </c>
      <c r="AI164" s="31" t="str">
        <f>IFERROR(__xludf.DUMMYFUNCTION("""COMPUTED_VALUE"""),"Structural Antibiotic Surveillance and Stewardship via Indication-Linked Quality Indicators: Pilot in Dutch Primary Care.")</f>
        <v>Structural Antibiotic Surveillance and Stewardship via Indication-Linked Quality Indicators: Pilot in Dutch Primary Care.</v>
      </c>
      <c r="AJ164" s="31" t="str">
        <f>IFERROR(__xludf.DUMMYFUNCTION("""COMPUTED_VALUE"""),"van der Velden, Alike W; van Triest, Mieke I; Schoffelen, Annelot F; Verheij, Theo J M")</f>
        <v>van der Velden, Alike W; van Triest, Mieke I; Schoffelen, Annelot F; Verheij, Theo J M</v>
      </c>
      <c r="AK164" s="32">
        <f>IFERROR(__xludf.DUMMYFUNCTION("""COMPUTED_VALUE"""),44107.0)</f>
        <v>44107</v>
      </c>
      <c r="AL164" s="31" t="str">
        <f>IFERROR(__xludf.DUMMYFUNCTION("""COMPUTED_VALUE"""),"Evidence for pharmacological interventions to reduce cardiovascular risk for patients with chronic kidney disease: a study protocol of an evidence map.")</f>
        <v>Evidence for pharmacological interventions to reduce cardiovascular risk for patients with chronic kidney disease: a study protocol of an evidence map.</v>
      </c>
      <c r="AM164" s="31" t="str">
        <f>IFERROR(__xludf.DUMMYFUNCTION("""COMPUTED_VALUE"""),"Colombijn, Julia M T; Idema, Demy L; van der Braak, Kim; Spijker, Rene; Meijvis, Sabine C A; Bots, Michiel L; Hooft, Lotty; Verhaar, Marianne C; Vernooij, Robin W M")</f>
        <v>Colombijn, Julia M T; Idema, Demy L; van der Braak, Kim; Spijker, Rene; Meijvis, Sabine C A; Bots, Michiel L; Hooft, Lotty; Verhaar, Marianne C; Vernooij, Robin W M</v>
      </c>
      <c r="AN164" s="32">
        <f>IFERROR(__xludf.DUMMYFUNCTION("""COMPUTED_VALUE"""),44877.0)</f>
        <v>44877</v>
      </c>
    </row>
    <row r="165">
      <c r="A165" s="32"/>
      <c r="I165" s="31" t="str">
        <f>IFERROR(__xludf.DUMMYFUNCTION("""COMPUTED_VALUE"""),"royal society open science")</f>
        <v>royal society open science</v>
      </c>
      <c r="J165" s="38">
        <f>COUNTIF(Data!$F$2:$F9917, $I165)</f>
        <v>1</v>
      </c>
      <c r="T165" s="31" t="s">
        <v>25822</v>
      </c>
      <c r="U165" s="31" t="s">
        <v>25823</v>
      </c>
      <c r="V165" s="32">
        <v>45541.0</v>
      </c>
      <c r="X165" s="31" t="str">
        <f>IFERROR(__xludf.DUMMYFUNCTION("""COMPUTED_VALUE"""),"Sex-specific Mendelian randomisation to assess the causality of sex differences in the effects of risk factors and treatment: spotlight on hypertension.")</f>
        <v>Sex-specific Mendelian randomisation to assess the causality of sex differences in the effects of risk factors and treatment: spotlight on hypertension.</v>
      </c>
      <c r="Y165" s="31" t="str">
        <f>IFERROR(__xludf.DUMMYFUNCTION("""COMPUTED_VALUE"""),"de Ruiter, Sophie C; Schmidt, A Floriaan; Grobbee, Diederick E; den Ruijter, Hester M; Peters, Sanne A E")</f>
        <v>de Ruiter, Sophie C; Schmidt, A Floriaan; Grobbee, Diederick E; den Ruijter, Hester M; Peters, Sanne A E</v>
      </c>
      <c r="Z165" s="31">
        <f>IFERROR(__xludf.DUMMYFUNCTION("""COMPUTED_VALUE"""),2023.0)</f>
        <v>2023</v>
      </c>
      <c r="AA165" s="31">
        <f>IFERROR(__xludf.DUMMYFUNCTION("""COMPUTED_VALUE"""),3.0)</f>
        <v>3</v>
      </c>
      <c r="AC165" s="31" t="str">
        <f>IFERROR(__xludf.DUMMYFUNCTION("""COMPUTED_VALUE"""),"Appropriate endpoints for evaluation of new antibiotic therapies for severe infections: a perspective from COMBACTE's STAT-Net.")</f>
        <v>Appropriate endpoints for evaluation of new antibiotic therapies for severe infections: a perspective from COMBACTE's STAT-Net.</v>
      </c>
      <c r="AD165" s="31" t="str">
        <f>IFERROR(__xludf.DUMMYFUNCTION("""COMPUTED_VALUE"""),"Timsit, Jean-François; de Kraker, Marlieke E A; Sommer, Harriet; Weiss, Emmanuel; Bettiol, Esther; Wolkewitz, Martin; Nikolakopoulos, Stavros; Wilson, David; Harbarth, Stephan; ,")</f>
        <v>Timsit, Jean-François; de Kraker, Marlieke E A; Sommer, Harriet; Weiss, Emmanuel; Bettiol, Esther; Wolkewitz, Martin; Nikolakopoulos, Stavros; Wilson, David; Harbarth, Stephan; ,</v>
      </c>
      <c r="AE165" s="32">
        <f>IFERROR(__xludf.DUMMYFUNCTION("""COMPUTED_VALUE"""),42857.0)</f>
        <v>42857</v>
      </c>
      <c r="AF165" s="31" t="str">
        <f>IFERROR(__xludf.DUMMYFUNCTION("""COMPUTED_VALUE"""),"Identifying risk factors for COPD and adult-onset asthma: an umbrella review.")</f>
        <v>Identifying risk factors for COPD and adult-onset asthma: an umbrella review.</v>
      </c>
      <c r="AG165" s="31" t="str">
        <f>IFERROR(__xludf.DUMMYFUNCTION("""COMPUTED_VALUE"""),"Holtjer, Judith C S; Bloemsma, Lizan D; Beijers, Rosanne J H C G; Cornelissen, Merel E B; Hilvering, Bart; Houweling, Laura; Vermeulen, Roel C H; Downward, George S; Maitland-Van der Zee, Anke-Hilse; ,")</f>
        <v>Holtjer, Judith C S; Bloemsma, Lizan D; Beijers, Rosanne J H C G; Cornelissen, Merel E B; Hilvering, Bart; Houweling, Laura; Vermeulen, Roel C H; Downward, George S; Maitland-Van der Zee, Anke-Hilse; ,</v>
      </c>
      <c r="AH165" s="32">
        <f>IFERROR(__xludf.DUMMYFUNCTION("""COMPUTED_VALUE"""),45049.0)</f>
        <v>45049</v>
      </c>
      <c r="AI165" s="31" t="str">
        <f>IFERROR(__xludf.DUMMYFUNCTION("""COMPUTED_VALUE"""),"[Effectiveness of vaccination against influenza in children: is it time for another policy?].")</f>
        <v>[Effectiveness of vaccination against influenza in children: is it time for another policy?].</v>
      </c>
      <c r="AJ165" s="31" t="str">
        <f>IFERROR(__xludf.DUMMYFUNCTION("""COMPUTED_VALUE"""),"Wildenbeest, Joanne G; Verheij, Theo J M")</f>
        <v>Wildenbeest, Joanne G; Verheij, Theo J M</v>
      </c>
      <c r="AK165" s="32">
        <f>IFERROR(__xludf.DUMMYFUNCTION("""COMPUTED_VALUE"""),44098.0)</f>
        <v>44098</v>
      </c>
      <c r="AL165" s="31" t="str">
        <f>IFERROR(__xludf.DUMMYFUNCTION("""COMPUTED_VALUE"""),"Challenges and Changes of the Breast Cancer Screening Paradigm.")</f>
        <v>Challenges and Changes of the Breast Cancer Screening Paradigm.</v>
      </c>
      <c r="AM165" s="31" t="str">
        <f>IFERROR(__xludf.DUMMYFUNCTION("""COMPUTED_VALUE"""),"Cömert, Didem; van Gils, Carla H; Veldhuis, Wouter B; Mann, Ritse M")</f>
        <v>Cömert, Didem; van Gils, Carla H; Veldhuis, Wouter B; Mann, Ritse M</v>
      </c>
      <c r="AN165" s="32">
        <f>IFERROR(__xludf.DUMMYFUNCTION("""COMPUTED_VALUE"""),44874.0)</f>
        <v>44874</v>
      </c>
    </row>
    <row r="166">
      <c r="A166" s="32"/>
      <c r="I166" s="31" t="str">
        <f>IFERROR(__xludf.DUMMYFUNCTION("""COMPUTED_VALUE"""),"bmc bioinformatics")</f>
        <v>bmc bioinformatics</v>
      </c>
      <c r="J166" s="38">
        <f>COUNTIF(Data!$F$2:$F9917, $I166)</f>
        <v>3</v>
      </c>
      <c r="T166" s="31" t="s">
        <v>25827</v>
      </c>
      <c r="U166" s="31" t="s">
        <v>25828</v>
      </c>
      <c r="V166" s="32">
        <v>45540.0</v>
      </c>
      <c r="X166" s="31" t="str">
        <f>IFERROR(__xludf.DUMMYFUNCTION("""COMPUTED_VALUE"""),"Fluoropyrimidine-induced hand-foot syndrome and cardiotoxicity: recommendations for the use of the oral fluoropyrimidine S-1 in metastatic colorectal cancer.")</f>
        <v>Fluoropyrimidine-induced hand-foot syndrome and cardiotoxicity: recommendations for the use of the oral fluoropyrimidine S-1 in metastatic colorectal cancer.</v>
      </c>
      <c r="Y166" s="31" t="str">
        <f>IFERROR(__xludf.DUMMYFUNCTION("""COMPUTED_VALUE"""),"Punt, C J A; Heinemann, V; Maughan, T; Cremolini, C; Van Cutsem, E; McDermott, R; Bodoky, G; André, T; Osterlund, P; Teske, A J; Pfeiffer, P")</f>
        <v>Punt, C J A; Heinemann, V; Maughan, T; Cremolini, C; Van Cutsem, E; McDermott, R; Bodoky, G; André, T; Osterlund, P; Teske, A J; Pfeiffer, P</v>
      </c>
      <c r="Z166" s="31">
        <f>IFERROR(__xludf.DUMMYFUNCTION("""COMPUTED_VALUE"""),2023.0)</f>
        <v>2023</v>
      </c>
      <c r="AA166" s="31">
        <f>IFERROR(__xludf.DUMMYFUNCTION("""COMPUTED_VALUE"""),3.0)</f>
        <v>3</v>
      </c>
      <c r="AC166" s="31" t="str">
        <f>IFERROR(__xludf.DUMMYFUNCTION("""COMPUTED_VALUE"""),"Androgens Are Differentially Associated with Ovarian Cancer Subtypes in the Ovarian Cancer Cohort Consortium.")</f>
        <v>Androgens Are Differentially Associated with Ovarian Cancer Subtypes in the Ovarian Cancer Cohort Consortium.</v>
      </c>
      <c r="AD166" s="31" t="str">
        <f>IFERROR(__xludf.DUMMYFUNCTION("""COMPUTED_VALUE"""),"Ose, Jennifer; Poole, Elizabeth M; Schock, Helena; Lehtinen, Matti; Arslan, Alan A; Zeleniuch-Jacquotte, Anne; Visvanathan, Kala; Helzlsouer, Kathy; Buring, Julie E; Lee, I-Min; Tjønneland, Anne; Dossus, Laure; Trichopoulou, Antonia; Masala, Giovanna; Onl"&amp;"and-Moret, N Charlotte; Weiderpass, Elisabete; Duell, Eric J; Idahl, Annika; Travis, Ruth C; Rinaldi, Sabina; Merritt, Melissa A; Trabert, Britton; Wentzensen, Nicolas; Tworoger, Shelley S; Kaaks, Rudolf; Fortner, Renée T")</f>
        <v>Ose, Jennifer; Poole, Elizabeth M; Schock, Helena; Lehtinen, Matti; Arslan, Alan A; Zeleniuch-Jacquotte, Anne; Visvanathan, Kala; Helzlsouer, Kathy; Buring, Julie E; Lee, I-Min; Tjønneland, Anne; Dossus, Laure; Trichopoulou, Antonia; Masala, Giovanna; Onland-Moret, N Charlotte; Weiderpass, Elisabete; Duell, Eric J; Idahl, Annika; Travis, Ruth C; Rinaldi, Sabina; Merritt, Melissa A; Trabert, Britton; Wentzensen, Nicolas; Tworoger, Shelley S; Kaaks, Rudolf; Fortner, Renée T</v>
      </c>
      <c r="AE166" s="32">
        <f>IFERROR(__xludf.DUMMYFUNCTION("""COMPUTED_VALUE"""),42830.0)</f>
        <v>42830</v>
      </c>
      <c r="AF166" s="31" t="str">
        <f>IFERROR(__xludf.DUMMYFUNCTION("""COMPUTED_VALUE"""),"Ambient Air Pollution and All-Cause and Cause-Specific Mortality in an Analysis of Asian Cohorts.")</f>
        <v>Ambient Air Pollution and All-Cause and Cause-Specific Mortality in an Analysis of Asian Cohorts.</v>
      </c>
      <c r="AG166" s="31" t="str">
        <f>IFERROR(__xludf.DUMMYFUNCTION("""COMPUTED_VALUE"""),"Downward, G S; Vermeulen, R; ,")</f>
        <v>Downward, G S; Vermeulen, R; ,</v>
      </c>
      <c r="AH166" s="32">
        <f>IFERROR(__xludf.DUMMYFUNCTION("""COMPUTED_VALUE"""),45047.0)</f>
        <v>45047</v>
      </c>
      <c r="AI166" s="31" t="str">
        <f>IFERROR(__xludf.DUMMYFUNCTION("""COMPUTED_VALUE"""),"Medication self-management: Considerations and decisions by older people living at home.")</f>
        <v>Medication self-management: Considerations and decisions by older people living at home.</v>
      </c>
      <c r="AJ166" s="31" t="str">
        <f>IFERROR(__xludf.DUMMYFUNCTION("""COMPUTED_VALUE"""),"Dijkstra, Nienke E; Sino, Carolien G M; Schuurmans, Marieke J; Schoonhoven, Lisette; Heerdink, Eibert R")</f>
        <v>Dijkstra, Nienke E; Sino, Carolien G M; Schuurmans, Marieke J; Schoonhoven, Lisette; Heerdink, Eibert R</v>
      </c>
      <c r="AK166" s="32">
        <f>IFERROR(__xludf.DUMMYFUNCTION("""COMPUTED_VALUE"""),44090.0)</f>
        <v>44090</v>
      </c>
      <c r="AL166" s="31" t="str">
        <f>IFERROR(__xludf.DUMMYFUNCTION("""COMPUTED_VALUE"""),"Dedicated teams to optimize quality and safety of surgery: A systematic review.")</f>
        <v>Dedicated teams to optimize quality and safety of surgery: A systematic review.</v>
      </c>
      <c r="AM166" s="31" t="str">
        <f>IFERROR(__xludf.DUMMYFUNCTION("""COMPUTED_VALUE"""),"Lentz, C M; De Lind Van Wijngaarden, R A F; Willeboordse, F; Hooft, L; van der Laan, M J")</f>
        <v>Lentz, C M; De Lind Van Wijngaarden, R A F; Willeboordse, F; Hooft, L; van der Laan, M J</v>
      </c>
      <c r="AN166" s="32">
        <f>IFERROR(__xludf.DUMMYFUNCTION("""COMPUTED_VALUE"""),44861.0)</f>
        <v>44861</v>
      </c>
    </row>
    <row r="167">
      <c r="A167" s="32"/>
      <c r="I167" s="31" t="str">
        <f>IFERROR(__xludf.DUMMYFUNCTION("""COMPUTED_VALUE"""),"translational psychiatry")</f>
        <v>translational psychiatry</v>
      </c>
      <c r="J167" s="38">
        <f>COUNTIF(Data!$F$2:$F9917, $I167)</f>
        <v>2</v>
      </c>
      <c r="T167" s="31" t="s">
        <v>25080</v>
      </c>
      <c r="U167" s="31" t="s">
        <v>25081</v>
      </c>
      <c r="V167" s="32">
        <v>45539.0</v>
      </c>
      <c r="X167" s="31" t="str">
        <f>IFERROR(__xludf.DUMMYFUNCTION("""COMPUTED_VALUE"""),"Barriers and facilitators for healthcare professionals to the implementation of Multidisciplinary Timely Undertaken Advance Care Planning conversations at the outpatient clinic (the MUTUAL intervention): a sequential exploratory mixed-methods study.")</f>
        <v>Barriers and facilitators for healthcare professionals to the implementation of Multidisciplinary Timely Undertaken Advance Care Planning conversations at the outpatient clinic (the MUTUAL intervention): a sequential exploratory mixed-methods study.</v>
      </c>
      <c r="Y167" s="31" t="str">
        <f>IFERROR(__xludf.DUMMYFUNCTION("""COMPUTED_VALUE"""),"van Lummel, Eline V T J; Meijer, Yoeki; Tjan, Dave H T; van Delden, Johannes J M")</f>
        <v>van Lummel, Eline V T J; Meijer, Yoeki; Tjan, Dave H T; van Delden, Johannes J M</v>
      </c>
      <c r="Z167" s="31">
        <f>IFERROR(__xludf.DUMMYFUNCTION("""COMPUTED_VALUE"""),2023.0)</f>
        <v>2023</v>
      </c>
      <c r="AA167" s="31">
        <f>IFERROR(__xludf.DUMMYFUNCTION("""COMPUTED_VALUE"""),3.0)</f>
        <v>3</v>
      </c>
      <c r="AC167" s="31" t="str">
        <f>IFERROR(__xludf.DUMMYFUNCTION("""COMPUTED_VALUE"""),"Correlates of circulating ovarian cancer early detection markers and their contribution to discrimination of early detection models: results from the EPIC cohort.")</f>
        <v>Correlates of circulating ovarian cancer early detection markers and their contribution to discrimination of early detection models: results from the EPIC cohort.</v>
      </c>
      <c r="AD167" s="31" t="str">
        <f>IFERROR(__xludf.DUMMYFUNCTION("""COMPUTED_VALUE"""),"Fortner, Renée T; Vitonis, Allison F; Schock, Helena; Hüsing, Anika; Johnson, Theron; Fichorova, Raina N; Fashemi, Titilayo; Yamamoto, Hidemi S; Tjønneland, Anne; Hansen, Louise; Overvad, Kim; Boutron-Ruault, Marie-Christine; Kvaskoff, Marina; Severi, Gia"&amp;"nluca; Boeing, Heiner; Trichopoulou, Antonia; Benetou, Vassiliki; La Vecchia, Carlo; Palli, Domenico; Sieri, Sabina; Tumino, Rosario; Matullo, Giuseppe; Mattiello, Amalia; Onland-Moret, N Charlotte; Peeters, Petra H; Weiderpass, Elisabete; Gram, Inger Tor"&amp;"hild; Jareid, Mie; Quirós, J Ramón; Duell, Eric J; Sánchez, Maria-Jose; Chirlaque, María Dolores; Ardanaz, Eva; Larrañaga, Nerea; Nodin, Björn; Brändstedt, Jenny; Idahl, Annika; Khaw, Kay-Tee; Allen, Naomi; Gunter, Marc; Johansson, Mattias; Dossus, Laure;"&amp;" Merritt, Melissa A; Riboli, Elio; Cramer, Daniel W; Kaaks, Rudolf; Terry, Kathryn L")</f>
        <v>Fortner, Renée T; Vitonis, Allison F; Schock, Helena; Hüsing, Anika; Johnson, Theron; Fichorova, Raina N; Fashemi, Titilayo; Yamamoto, Hidemi S; Tjønneland, Anne; Hansen, Louise; Overvad, Kim; Boutron-Ruault, Marie-Christine; Kvaskoff, Marina; Severi, Gianluca; Boeing, Heiner; Trichopoulou, Antonia; Benetou, Vassiliki; La Vecchia, Carlo; Palli, Domenico; Sieri, Sabina; Tumino, Rosario; Matullo, Giuseppe; Mattiello, Amalia; Onland-Moret, N Charlotte; Peeters, Petra H; Weiderpass, Elisabete; Gram, Inger Torhild; Jareid, Mie; Quirós, J Ramón; Duell, Eric J; Sánchez, Maria-Jose; Chirlaque, María Dolores; Ardanaz, Eva; Larrañaga, Nerea; Nodin, Björn; Brändstedt, Jenny; Idahl, Annika; Khaw, Kay-Tee; Allen, Naomi; Gunter, Marc; Johansson, Mattias; Dossus, Laure; Merritt, Melissa A; Riboli, Elio; Cramer, Daniel W; Kaaks, Rudolf; Terry, Kathryn L</v>
      </c>
      <c r="AE167" s="32">
        <f>IFERROR(__xludf.DUMMYFUNCTION("""COMPUTED_VALUE"""),42814.0)</f>
        <v>42814</v>
      </c>
      <c r="AF167" s="31" t="str">
        <f>IFERROR(__xludf.DUMMYFUNCTION("""COMPUTED_VALUE"""),"A nutritional biomarker score of the Mediterranean diet and incident type 2 diabetes: Integrated analysis of data from the MedLey randomised controlled trial and the EPIC-InterAct case-cohort study.")</f>
        <v>A nutritional biomarker score of the Mediterranean diet and incident type 2 diabetes: Integrated analysis of data from the MedLey randomised controlled trial and the EPIC-InterAct case-cohort study.</v>
      </c>
      <c r="AG167" s="31" t="str">
        <f>IFERROR(__xludf.DUMMYFUNCTION("""COMPUTED_VALUE"""),"Sobiecki, Jakub G; Imamura, Fumiaki; Davis, Courtney R; Sharp, Stephen J; Koulman, Albert; Hodgson, Jonathan M; Guevara, Marcela; Schulze, Matthias B; Zheng, Ju-Sheng; Agnoli, Claudia; Bonet, Catalina; Colorado-Yohar, Sandra M; Fagherazzi, Guy; Franks, Pa"&amp;"ul W; Gundersen, Thomas E; Jannasch, Franziska; Kaaks, Rudolf; Katzke, Verena; Molina-Montes, Esther; Nilsson, Peter M; Palli, Domenico; Panico, Salvatore; Papier, Keren; Rolandsson, Olov; Sacerdote, Carlotta; Tjønneland, Anne; Tong, Tammy Y N; van der Sc"&amp;"houw, Yvonne T; Danesh, John; Butterworth, Adam S; Riboli, Elio; Murphy, Karen J; Wareham, Nicholas J; Forouhi, Nita G")</f>
        <v>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v>
      </c>
      <c r="AH167" s="32">
        <f>IFERROR(__xludf.DUMMYFUNCTION("""COMPUTED_VALUE"""),45043.0)</f>
        <v>45043</v>
      </c>
      <c r="AI167" s="31" t="str">
        <f>IFERROR(__xludf.DUMMYFUNCTION("""COMPUTED_VALUE"""),"Patients with Sore Throat: A Survey of Self-Management and Healthcare-Seeking Behavior in 13 Countries Worldwide.")</f>
        <v>Patients with Sore Throat: A Survey of Self-Management and Healthcare-Seeking Behavior in 13 Countries Worldwide.</v>
      </c>
      <c r="AJ167" s="31" t="str">
        <f>IFERROR(__xludf.DUMMYFUNCTION("""COMPUTED_VALUE"""),"van der Velden, Alike W; Sessa, Aurelio; Altiner, Attila; Pignatari, Antonio Carlos Campos; Shephard, Adrian")</f>
        <v>van der Velden, Alike W; Sessa, Aurelio; Altiner, Attila; Pignatari, Antonio Carlos Campos; Shephard, Adrian</v>
      </c>
      <c r="AK167" s="32">
        <f>IFERROR(__xludf.DUMMYFUNCTION("""COMPUTED_VALUE"""),44084.0)</f>
        <v>44084</v>
      </c>
      <c r="AL167" s="31" t="str">
        <f>IFERROR(__xludf.DUMMYFUNCTION("""COMPUTED_VALUE"""),"Lifestyle Factors and Development and Natural Course of Gastroenteropancreatic Neuroendocrine Tumors: A Review of the Literature.")</f>
        <v>Lifestyle Factors and Development and Natural Course of Gastroenteropancreatic Neuroendocrine Tumors: A Review of the Literature.</v>
      </c>
      <c r="AM167" s="31" t="str">
        <f>IFERROR(__xludf.DUMMYFUNCTION("""COMPUTED_VALUE"""),"Bogaards, Marit; May, Anne M; Hassan, Faduma A; Valk, Gerlof D; van Leeuwaarde, Rachel S")</f>
        <v>Bogaards, Marit; May, Anne M; Hassan, Faduma A; Valk, Gerlof D; van Leeuwaarde, Rachel S</v>
      </c>
      <c r="AN167" s="32">
        <f>IFERROR(__xludf.DUMMYFUNCTION("""COMPUTED_VALUE"""),44860.0)</f>
        <v>44860</v>
      </c>
    </row>
    <row r="168">
      <c r="A168" s="32"/>
      <c r="I168" s="31" t="str">
        <f>IFERROR(__xludf.DUMMYFUNCTION("""COMPUTED_VALUE"""),"bmc cancer")</f>
        <v>bmc cancer</v>
      </c>
      <c r="J168" s="38">
        <f>COUNTIF(Data!$F$2:$F9917, $I168)</f>
        <v>20</v>
      </c>
      <c r="T168" s="31" t="s">
        <v>25250</v>
      </c>
      <c r="U168" s="31" t="s">
        <v>25251</v>
      </c>
      <c r="V168" s="32">
        <v>45539.0</v>
      </c>
      <c r="X168" s="31" t="str">
        <f>IFERROR(__xludf.DUMMYFUNCTION("""COMPUTED_VALUE"""),"Understanding the mechanisms linking holistic housing renovations to health and well-being of adults in disadvantaged neighbourhoods: A realist review.")</f>
        <v>Understanding the mechanisms linking holistic housing renovations to health and well-being of adults in disadvantaged neighbourhoods: A realist review.</v>
      </c>
      <c r="Y168" s="31" t="str">
        <f>IFERROR(__xludf.DUMMYFUNCTION("""COMPUTED_VALUE"""),"Koops-Van Hoffen, H E; Lenthe van, F J; Poelman, M P; Droomers, M; Borlée, F; Vendrig-De Punder, Y M R; Jambroes, M; Kamphuis, C B M")</f>
        <v>Koops-Van Hoffen, H E; Lenthe van, F J; Poelman, M P; Droomers, M; Borlée, F; Vendrig-De Punder, Y M R; Jambroes, M; Kamphuis, C B M</v>
      </c>
      <c r="Z168" s="31">
        <f>IFERROR(__xludf.DUMMYFUNCTION("""COMPUTED_VALUE"""),2023.0)</f>
        <v>2023</v>
      </c>
      <c r="AA168" s="31">
        <f>IFERROR(__xludf.DUMMYFUNCTION("""COMPUTED_VALUE"""),3.0)</f>
        <v>3</v>
      </c>
      <c r="AC168" s="31" t="str">
        <f>IFERROR(__xludf.DUMMYFUNCTION("""COMPUTED_VALUE"""),"Pre-diagnosis insulin-like growth factor-I and risk of epithelial invasive ovarian cancer by histological subtypes: A collaborative re-analysis from the Ovarian Cancer Cohort Consortium.")</f>
        <v>Pre-diagnosis insulin-like growth factor-I and risk of epithelial invasive ovarian cancer by histological subtypes: A collaborative re-analysis from the Ovarian Cancer Cohort Consortium.</v>
      </c>
      <c r="AD168" s="31" t="str">
        <f>IFERROR(__xludf.DUMMYFUNCTION("""COMPUTED_VALUE"""),"Ose, Jennifer; Schock, Helena; Poole, Elizabeth M; Lehtinen, Matti; Visvanathan, Kala; Helzlsouer, Kathy; Buring, Julie E; Lee, I-Min; Tjønneland, Anne; Boutron-Ruault, Marie-Christine; Trichopoulou, Antonia; Mattiello, Amalia; Onland-Moret, N Charlotte; "&amp;"Weiderpass, Elisabete; Sánchez, María-José; Idahl, Annika; Travis, Ruth C; Rinaldi, Sabina; Merritt, Melissa A; Wentzensen, Nicolas; Tworoger, Shelley S; Kaaks, Rudolf; Fortner, Renée T")</f>
        <v>Ose, Jennifer; Schock, Helena; Poole, Elizabeth M; Lehtinen, Matti; Visvanathan, Kala; Helzlsouer, Kathy; Buring, Julie E; Lee, I-Min; Tjønneland, Anne; Boutron-Ruault, Marie-Christine; Trichopoulou, Antonia; Mattiello, Amalia; Onland-Moret, N Charlotte; Weiderpass, Elisabete; Sánchez, María-José; Idahl, Annika; Travis, Ruth C; Rinaldi, Sabina; Merritt, Melissa A; Wentzensen, Nicolas; Tworoger, Shelley S; Kaaks, Rudolf; Fortner, Renée T</v>
      </c>
      <c r="AE168" s="32">
        <f>IFERROR(__xludf.DUMMYFUNCTION("""COMPUTED_VALUE"""),42782.0)</f>
        <v>42782</v>
      </c>
      <c r="AF168" s="31" t="str">
        <f>IFERROR(__xludf.DUMMYFUNCTION("""COMPUTED_VALUE"""),"Prevention and Screening for Cardiometabolic Disease Following Hypertensive Disorders in Pregnancy in Low-Resource Settings: A Systematic Review and Delphi Study.")</f>
        <v>Prevention and Screening for Cardiometabolic Disease Following Hypertensive Disorders in Pregnancy in Low-Resource Settings: A Systematic Review and Delphi Study.</v>
      </c>
      <c r="AG168" s="31" t="str">
        <f>IFERROR(__xludf.DUMMYFUNCTION("""COMPUTED_VALUE"""),"Ishaku, Salisu Mohammed; Adu-Bonsaffoh, Kwame; Housseine, Natasha; Lamptey, Roberta; Franx, Arie; Grobbee, Diederick; Warren, Charlotte E; Browne, Joyce L")</f>
        <v>Ishaku, Salisu Mohammed; Adu-Bonsaffoh, Kwame; Housseine, Natasha; Lamptey, Roberta; Franx, Arie; Grobbee, Diederick; Warren, Charlotte E; Browne, Joyce L</v>
      </c>
      <c r="AH168" s="32">
        <f>IFERROR(__xludf.DUMMYFUNCTION("""COMPUTED_VALUE"""),45041.0)</f>
        <v>45041</v>
      </c>
      <c r="AI168" s="31" t="str">
        <f>IFERROR(__xludf.DUMMYFUNCTION("""COMPUTED_VALUE"""),"Optimizing patients' functional status during daily nursing care interventions: A systematic review.")</f>
        <v>Optimizing patients' functional status during daily nursing care interventions: A systematic review.</v>
      </c>
      <c r="AJ168" s="31" t="str">
        <f>IFERROR(__xludf.DUMMYFUNCTION("""COMPUTED_VALUE"""),"Verstraten, Carolien C J M M; Metzelthin, Silke F; Schoonhoven, Lisette; Schuurmans, Marieke J; de Man-van Ginkel, Janneke M")</f>
        <v>Verstraten, Carolien C J M M; Metzelthin, Silke F; Schoonhoven, Lisette; Schuurmans, Marieke J; de Man-van Ginkel, Janneke M</v>
      </c>
      <c r="AK168" s="32">
        <f>IFERROR(__xludf.DUMMYFUNCTION("""COMPUTED_VALUE"""),44066.0)</f>
        <v>44066</v>
      </c>
      <c r="AL168" s="31" t="str">
        <f>IFERROR(__xludf.DUMMYFUNCTION("""COMPUTED_VALUE"""),"Quality of Life Outcomes Over Time in Patients With Unruptured Intracranial Aneurysms With and Without Preventive Occlusion: A Prospective Cohort Study.")</f>
        <v>Quality of Life Outcomes Over Time in Patients With Unruptured Intracranial Aneurysms With and Without Preventive Occlusion: A Prospective Cohort Study.</v>
      </c>
      <c r="AM168" s="31" t="str">
        <f>IFERROR(__xludf.DUMMYFUNCTION("""COMPUTED_VALUE"""),"Algra, Annemijn M; Greving, Jacoba P; Wermer, Marieke J H; van Walderveen, Marianne A A; van der Schaaf, Irene C; van der Zwan, Albert; Visser-Meily, Johanna M A; Rinkel, Gabriël J E; Vergouwen, Mervyn D I")</f>
        <v>Algra, Annemijn M; Greving, Jacoba P; Wermer, Marieke J H; van Walderveen, Marianne A A; van der Schaaf, Irene C; van der Zwan, Albert; Visser-Meily, Johanna M A; Rinkel, Gabriël J E; Vergouwen, Mervyn D I</v>
      </c>
      <c r="AN168" s="32">
        <f>IFERROR(__xludf.DUMMYFUNCTION("""COMPUTED_VALUE"""),44851.0)</f>
        <v>44851</v>
      </c>
    </row>
    <row r="169">
      <c r="A169" s="32"/>
      <c r="I169" s="31" t="str">
        <f>IFERROR(__xludf.DUMMYFUNCTION("""COMPUTED_VALUE"""),"netherlands heart journal monthly journal of the netherlands society of cardiology and the netherlands heart foundation")</f>
        <v>netherlands heart journal monthly journal of the netherlands society of cardiology and the netherlands heart foundation</v>
      </c>
      <c r="J169" s="38">
        <f>COUNTIF(Data!$F$2:$F9917, $I169)</f>
        <v>15</v>
      </c>
      <c r="T169" s="31" t="s">
        <v>25494</v>
      </c>
      <c r="U169" s="31" t="s">
        <v>25495</v>
      </c>
      <c r="V169" s="32">
        <v>45539.0</v>
      </c>
      <c r="X169" s="31" t="str">
        <f>IFERROR(__xludf.DUMMYFUNCTION("""COMPUTED_VALUE"""),"Disease-Specific Quality Indicators for Outpatient Antibiotic Prescribing for Respiratory Infections (ESAC Quality Indicators) Applied to Point Prevalence Audit Surveys in General Practices in 13 European Countries.")</f>
        <v>Disease-Specific Quality Indicators for Outpatient Antibiotic Prescribing for Respiratory Infections (ESAC Quality Indicators) Applied to Point Prevalence Audit Surveys in General Practices in 13 European Countries.</v>
      </c>
      <c r="Y169" s="31" t="str">
        <f>IFERROR(__xludf.DUMMYFUNCTION("""COMPUTED_VALUE"""),"Vellinga, Akke; Luke-Currier, Addiena; Garzón-Orjuela, Nathaly; Aabenhus, Rune; Anastasaki, Marilena; Balan, Anca; Böhmer, Femke; Lang, Valerija Bralić; Chlabicz, Slawomir; Coenen, Samuel; García-Sangenís, Ana; Kowalczyk, Anna; Malania, Lile; Tomacinschii"&amp;", Angela; van der Linde, Sanne R; Bongard, Emily; Butler, Christopher C; Goossens, Herman; van der Velden, Alike W")</f>
        <v>Vellinga, Akke; Luke-Currier, Addiena; Garzón-Orjuela, Nathaly; Aabenhus, Rune; Anastasaki, Marilena; Balan, Anca; Böhmer, Femke; Lang, Valerija Bralić; Chlabicz, Slawomir; Coenen, Samuel; García-Sangenís, Ana; Kowalczyk, Anna; Malania, Lile; Tomacinschii, Angela; van der Linde, Sanne R; Bongard, Emily; Butler, Christopher C; Goossens, Herman; van der Velden, Alike W</v>
      </c>
      <c r="Z169" s="31">
        <f>IFERROR(__xludf.DUMMYFUNCTION("""COMPUTED_VALUE"""),2023.0)</f>
        <v>2023</v>
      </c>
      <c r="AA169" s="31">
        <f>IFERROR(__xludf.DUMMYFUNCTION("""COMPUTED_VALUE"""),3.0)</f>
        <v>3</v>
      </c>
      <c r="AC169" s="31" t="str">
        <f>IFERROR(__xludf.DUMMYFUNCTION("""COMPUTED_VALUE"""),"Long-term effects of aided phytostabilisation on microbial communities of metal-contaminated mine soil.")</f>
        <v>Long-term effects of aided phytostabilisation on microbial communities of metal-contaminated mine soil.</v>
      </c>
      <c r="AD169" s="31" t="str">
        <f>IFERROR(__xludf.DUMMYFUNCTION("""COMPUTED_VALUE"""),"Garaiyurrebaso, Olatz; Garbisu, Carlos; Blanco, Fernando; Lanzén, Anders; Martín, Iker; Epelde, Lur; Becerril, José M; Jechalke, Sven; Smalla, Kornelia; Grohmann, Elisabeth; Alkorta, Itziar")</f>
        <v>Garaiyurrebaso, Olatz; Garbisu, Carlos; Blanco, Fernando; Lanzén, Anders; Martín, Iker; Epelde, Lur; Becerril, José M; Jechalke, Sven; Smalla, Kornelia; Grohmann, Elisabeth; Alkorta, Itziar</v>
      </c>
      <c r="AE169" s="32">
        <f>IFERROR(__xludf.DUMMYFUNCTION("""COMPUTED_VALUE"""),42726.0)</f>
        <v>42726</v>
      </c>
      <c r="AF169" s="31" t="str">
        <f>IFERROR(__xludf.DUMMYFUNCTION("""COMPUTED_VALUE"""),"[Eight misconceptions about AI in healthcare].")</f>
        <v>[Eight misconceptions about AI in healthcare].</v>
      </c>
      <c r="AG169" s="31" t="str">
        <f>IFERROR(__xludf.DUMMYFUNCTION("""COMPUTED_VALUE"""),"Jongsma, Karin R; van Solinge, Wouter W; Haitjema, Saskia")</f>
        <v>Jongsma, Karin R; van Solinge, Wouter W; Haitjema, Saskia</v>
      </c>
      <c r="AH169" s="32">
        <f>IFERROR(__xludf.DUMMYFUNCTION("""COMPUTED_VALUE"""),45029.0)</f>
        <v>45029</v>
      </c>
      <c r="AI169" s="31" t="str">
        <f>IFERROR(__xludf.DUMMYFUNCTION("""COMPUTED_VALUE"""),"Neck involvement and disease recurrence in adenoid cystic carcinoma of the minor salivary glands: the role of surgery in primary and progressive disease.")</f>
        <v>Neck involvement and disease recurrence in adenoid cystic carcinoma of the minor salivary glands: the role of surgery in primary and progressive disease.</v>
      </c>
      <c r="AJ169" s="31" t="str">
        <f>IFERROR(__xludf.DUMMYFUNCTION("""COMPUTED_VALUE"""),"Moratin, J; Ledermann, A; Schulz, A D; Metzger, K; Ristow, O; Hofele, C; Engel, M; Hoffmann, J; Freier, K; Lang, K; Adeberg, S; Horn, D; Freudlsperger, C")</f>
        <v>Moratin, J; Ledermann, A; Schulz, A D; Metzger, K; Ristow, O; Hofele, C; Engel, M; Hoffmann, J; Freier, K; Lang, K; Adeberg, S; Horn, D; Freudlsperger, C</v>
      </c>
      <c r="AK169" s="32">
        <f>IFERROR(__xludf.DUMMYFUNCTION("""COMPUTED_VALUE"""),44066.0)</f>
        <v>44066</v>
      </c>
      <c r="AL169" s="31" t="str">
        <f>IFERROR(__xludf.DUMMYFUNCTION("""COMPUTED_VALUE"""),"Low-grade carotid artery stenosis is associated with progression of brain atrophy and cognitive decline. The SMART-MR study.")</f>
        <v>Low-grade carotid artery stenosis is associated with progression of brain atrophy and cognitive decline. The SMART-MR study.</v>
      </c>
      <c r="AM169" s="31" t="str">
        <f>IFERROR(__xludf.DUMMYFUNCTION("""COMPUTED_VALUE"""),"Ghaznawi, Rashid; Vonk, Jet Mj; Zwartbol, Maarten Ht; Bresser, Jeroen de; Rissanen, Ina; Hendrikse, Jeroen; Geerlings, Mirjam I; ,")</f>
        <v>Ghaznawi, Rashid; Vonk, Jet Mj; Zwartbol, Maarten Ht; Bresser, Jeroen de; Rissanen, Ina; Hendrikse, Jeroen; Geerlings, Mirjam I; ,</v>
      </c>
      <c r="AN169" s="32">
        <f>IFERROR(__xludf.DUMMYFUNCTION("""COMPUTED_VALUE"""),44850.0)</f>
        <v>44850</v>
      </c>
    </row>
    <row r="170">
      <c r="A170" s="32"/>
      <c r="I170" s="31" t="str">
        <f>IFERROR(__xludf.DUMMYFUNCTION("""COMPUTED_VALUE"""),"nutrition metabolism and cardiovascular diseases nmcd")</f>
        <v>nutrition metabolism and cardiovascular diseases nmcd</v>
      </c>
      <c r="J170" s="38">
        <f>COUNTIF(Data!$F$2:$F9917, $I170)</f>
        <v>15</v>
      </c>
      <c r="T170" s="31" t="s">
        <v>24932</v>
      </c>
      <c r="U170" s="31" t="s">
        <v>24933</v>
      </c>
      <c r="V170" s="32">
        <v>45538.0</v>
      </c>
      <c r="X170" s="31" t="str">
        <f>IFERROR(__xludf.DUMMYFUNCTION("""COMPUTED_VALUE"""),"The effect of exposure to traffic related air pollutants in pregnancy on birth anthropometry: a cohort study in a heavily polluted low-middle income country.")</f>
        <v>The effect of exposure to traffic related air pollutants in pregnancy on birth anthropometry: a cohort study in a heavily polluted low-middle income country.</v>
      </c>
      <c r="Y170" s="31" t="str">
        <f>IFERROR(__xludf.DUMMYFUNCTION("""COMPUTED_VALUE"""),"Soesanti, Frida; Uiterwaal, Cuno S P M; Meliefste, Kees; Chen, Jie; Brunekreef, Bert; Idris, Nikmah S; Grobbee, Diederick E; Klipstein-Grobusch, Kerstin; Hoek, Gerard")</f>
        <v>Soesanti, Frida; Uiterwaal, Cuno S P M; Meliefste, Kees; Chen, Jie; Brunekreef, Bert; Idris, Nikmah S; Grobbee, Diederick E; Klipstein-Grobusch, Kerstin; Hoek, Gerard</v>
      </c>
      <c r="Z170" s="31">
        <f>IFERROR(__xludf.DUMMYFUNCTION("""COMPUTED_VALUE"""),2023.0)</f>
        <v>2023</v>
      </c>
      <c r="AA170" s="31">
        <f>IFERROR(__xludf.DUMMYFUNCTION("""COMPUTED_VALUE"""),3.0)</f>
        <v>3</v>
      </c>
      <c r="AC170" s="31" t="str">
        <f>IFERROR(__xludf.DUMMYFUNCTION("""COMPUTED_VALUE"""),"Magnetic Resonance Imaging and Cerebral Ischemia After Aneurysmal Subarachnoid Hemorrhage: A Systematic Review and Meta-Analysis.")</f>
        <v>Magnetic Resonance Imaging and Cerebral Ischemia After Aneurysmal Subarachnoid Hemorrhage: A Systematic Review and Meta-Analysis.</v>
      </c>
      <c r="AD170" s="31" t="str">
        <f>IFERROR(__xludf.DUMMYFUNCTION("""COMPUTED_VALUE"""),"van der Kleij, Lisa A; De Vis, Jill B; Olivot, Jean-Marc; Calviere, Lionel; Cognard, Christophe; Zuithoff, Nicolaas P A; Rinkel, Gabriel J E; Hendrikse, Jeroen; Vergouwen, Mervyn D I")</f>
        <v>van der Kleij, Lisa A; De Vis, Jill B; Olivot, Jean-Marc; Calviere, Lionel; Cognard, Christophe; Zuithoff, Nicolaas P A; Rinkel, Gabriel J E; Hendrikse, Jeroen; Vergouwen, Mervyn D I</v>
      </c>
      <c r="AE170" s="32">
        <f>IFERROR(__xludf.DUMMYFUNCTION("""COMPUTED_VALUE"""),42710.0)</f>
        <v>42710</v>
      </c>
      <c r="AF170" s="31" t="str">
        <f>IFERROR(__xludf.DUMMYFUNCTION("""COMPUTED_VALUE"""),"The ethical aspects of exposome research: a systematic review.")</f>
        <v>The ethical aspects of exposome research: a systematic review.</v>
      </c>
      <c r="AG170" s="31" t="str">
        <f>IFERROR(__xludf.DUMMYFUNCTION("""COMPUTED_VALUE"""),"Safarlou, Caspar W; Jongsma, Karin R; Vermeulen, Roel; Bredenoord, Annelien L")</f>
        <v>Safarlou, Caspar W; Jongsma, Karin R; Vermeulen, Roel; Bredenoord, Annelien L</v>
      </c>
      <c r="AH170" s="32">
        <f>IFERROR(__xludf.DUMMYFUNCTION("""COMPUTED_VALUE"""),45028.0)</f>
        <v>45028</v>
      </c>
      <c r="AI170" s="31" t="str">
        <f>IFERROR(__xludf.DUMMYFUNCTION("""COMPUTED_VALUE"""),"Sex-specific microRNAs in women with diabetes and left ventricular diastolic dysfunction or HFpEF associate with microvascular injury.")</f>
        <v>Sex-specific microRNAs in women with diabetes and left ventricular diastolic dysfunction or HFpEF associate with microvascular injury.</v>
      </c>
      <c r="AJ170" s="31" t="str">
        <f>IFERROR(__xludf.DUMMYFUNCTION("""COMPUTED_VALUE"""),"Florijn, Barend W; Valstar, Gideon B; Duijs, Jacques M G J; Menken, Roxana; Cramer, Maarten J; Teske, Arco J; Ghossein-Doha, Chahinda; Rutten, Frans H; Spaanderman, Marc E A; den Ruijter, Hester M; Bijkerk, Roel; van Zonneveld, Anton Jan")</f>
        <v>Florijn, Barend W; Valstar, Gideon B; Duijs, Jacques M G J; Menken, Roxana; Cramer, Maarten J; Teske, Arco J; Ghossein-Doha, Chahinda; Rutten, Frans H; Spaanderman, Marc E A; den Ruijter, Hester M; Bijkerk, Roel; van Zonneveld, Anton Jan</v>
      </c>
      <c r="AK170" s="32">
        <f>IFERROR(__xludf.DUMMYFUNCTION("""COMPUTED_VALUE"""),44061.0)</f>
        <v>44061</v>
      </c>
      <c r="AL170" s="31" t="str">
        <f>IFERROR(__xludf.DUMMYFUNCTION("""COMPUTED_VALUE"""),"The cost-effectiveness of a uniform versus age-based threshold for one-off screening for prevention of cardiovascular disease.")</f>
        <v>The cost-effectiveness of a uniform versus age-based threshold for one-off screening for prevention of cardiovascular disease.</v>
      </c>
      <c r="AM170" s="31" t="str">
        <f>IFERROR(__xludf.DUMMYFUNCTION("""COMPUTED_VALUE"""),"Špacírová, Zuzana; Kaptoge, Stephen; García-Mochón, Leticia; Rodríguez Barranco, Miguel; Sánchez Pérez, María José; Bondonno, Nicola P; Tjønneland, Anne; Weiderpass, Elisabete; Grioni, Sara; Espín, Jaime; Sacerdote, Carlotta; Schiborn, Catarina; Masala, G"&amp;"iovanna; Colorado-Yohar, Sandra M; Kim, Lois; Moons, Karel G M; Engström, Gunnar; Schulze, Matthias B; Bresson, Léa; Moreno-Iribas, Concepción; Epstein, David")</f>
        <v>Špacírová, Zuzana; Kaptoge, Stephen; García-Mochón, Leticia; Rodríguez Barranco, Miguel; Sánchez Pérez, María José; Bondonno, Nicola P; Tjønneland, Anne; Weiderpass, Elisabete; Grioni, Sara; Espín, Jaime; Sacerdote, Carlotta; Schiborn, Catarina; Masala, Giovanna; Colorado-Yohar, Sandra M; Kim, Lois; Moons, Karel G M; Engström, Gunnar; Schulze, Matthias B; Bresson, Léa; Moreno-Iribas, Concepción; Epstein, David</v>
      </c>
      <c r="AN170" s="32">
        <f>IFERROR(__xludf.DUMMYFUNCTION("""COMPUTED_VALUE"""),44848.0)</f>
        <v>44848</v>
      </c>
    </row>
    <row r="171">
      <c r="A171" s="32"/>
      <c r="I171" s="31" t="str">
        <f>IFERROR(__xludf.DUMMYFUNCTION("""COMPUTED_VALUE"""),"palliative care and social practice")</f>
        <v>palliative care and social practice</v>
      </c>
      <c r="J171" s="38">
        <f>COUNTIF(Data!$F$2:$F9917, $I171)</f>
        <v>6</v>
      </c>
      <c r="T171" s="31" t="s">
        <v>25382</v>
      </c>
      <c r="U171" s="31" t="s">
        <v>25383</v>
      </c>
      <c r="V171" s="32">
        <v>45538.0</v>
      </c>
      <c r="X171" s="31" t="str">
        <f>IFERROR(__xludf.DUMMYFUNCTION("""COMPUTED_VALUE"""),"Plasma viscosity, immunoglobulins and risk of cardiovascular disease and mortality: new data and meta-analyses.")</f>
        <v>Plasma viscosity, immunoglobulins and risk of cardiovascular disease and mortality: new data and meta-analyses.</v>
      </c>
      <c r="Y171" s="31" t="str">
        <f>IFERROR(__xludf.DUMMYFUNCTION("""COMPUTED_VALUE"""),"Lowe, Gordon D O; Harris, Katie; Koenig, Wolfgang; Ben-Shlomo, Yoav; Thorand, Barbara; Peters, Annette; Meisinger, Christa; Imhof, Armin; Tunstall-Pedoe, Hugh; Peters, Sanne A E; Woodward, Mark")</f>
        <v>Lowe, Gordon D O; Harris, Katie; Koenig, Wolfgang; Ben-Shlomo, Yoav; Thorand, Barbara; Peters, Annette; Meisinger, Christa; Imhof, Armin; Tunstall-Pedoe, Hugh; Peters, Sanne A E; Woodward, Mark</v>
      </c>
      <c r="Z171" s="31">
        <f>IFERROR(__xludf.DUMMYFUNCTION("""COMPUTED_VALUE"""),2023.0)</f>
        <v>2023</v>
      </c>
      <c r="AA171" s="31">
        <f>IFERROR(__xludf.DUMMYFUNCTION("""COMPUTED_VALUE"""),3.0)</f>
        <v>3</v>
      </c>
      <c r="AC171" s="31" t="str">
        <f>IFERROR(__xludf.DUMMYFUNCTION("""COMPUTED_VALUE"""),"Laparoscopic antireflux surgery increases health-related quality of life in children with GERD.")</f>
        <v>Laparoscopic antireflux surgery increases health-related quality of life in children with GERD.</v>
      </c>
      <c r="AD171" s="31" t="str">
        <f>IFERROR(__xludf.DUMMYFUNCTION("""COMPUTED_VALUE"""),"Mauritz, Femke A; Stellato, Rebecca K; van Heurn, L W Ernst; Siersema, Peter D; Sloots, Cornelius E J; Houwen, Roderick H J; van der Zee, David C; van Herwaarden-Lindeboom, Maud Y A")</f>
        <v>Mauritz, Femke A; Stellato, Rebecca K; van Heurn, L W Ernst; Siersema, Peter D; Sloots, Cornelius E J; Houwen, Roderick H J; van der Zee, David C; van Herwaarden-Lindeboom, Maud Y A</v>
      </c>
      <c r="AE171" s="32">
        <f>IFERROR(__xludf.DUMMYFUNCTION("""COMPUTED_VALUE"""),42692.0)</f>
        <v>42692</v>
      </c>
      <c r="AF171" s="31" t="str">
        <f>IFERROR(__xludf.DUMMYFUNCTION("""COMPUTED_VALUE"""),"Enhancer hijacking at the ARHGAP36 locus is associated with connective tissue to bone transformation.")</f>
        <v>Enhancer hijacking at the ARHGAP36 locus is associated with connective tissue to bone transformation.</v>
      </c>
      <c r="AG171" s="31"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AH171" s="32">
        <f>IFERROR(__xludf.DUMMYFUNCTION("""COMPUTED_VALUE"""),45027.0)</f>
        <v>45027</v>
      </c>
      <c r="AI171" s="31" t="str">
        <f>IFERROR(__xludf.DUMMYFUNCTION("""COMPUTED_VALUE"""),"Characteristics of self-care interventions for patients with a chronic condition: A scoping review.")</f>
        <v>Characteristics of self-care interventions for patients with a chronic condition: A scoping review.</v>
      </c>
      <c r="AJ171" s="31" t="str">
        <f>IFERROR(__xludf.DUMMYFUNCTION("""COMPUTED_VALUE"""),"Riegel, Barbara; Westland, Heleen; Iovino, Paolo; Barelds, Ingrid; Bruins Slot, Joyce; Stawnychy, Michael A; Osokpo, Onome; Tarbi, Elise; Trappenburg, Jaap C A; Vellone, Ercole; Strömberg, Anna; Jaarsma, Tiny")</f>
        <v>Riegel, Barbara; Westland, Heleen; Iovino, Paolo; Barelds, Ingrid; Bruins Slot, Joyce; Stawnychy, Michael A; Osokpo, Onome; Tarbi, Elise; Trappenburg, Jaap C A; Vellone, Ercole; Strömberg, Anna; Jaarsma, Tiny</v>
      </c>
      <c r="AK171" s="32">
        <f>IFERROR(__xludf.DUMMYFUNCTION("""COMPUTED_VALUE"""),44027.0)</f>
        <v>44027</v>
      </c>
      <c r="AL171" s="31" t="str">
        <f>IFERROR(__xludf.DUMMYFUNCTION("""COMPUTED_VALUE"""),"Changes in Lifestyle and Risk of Colorectal Cancer in the European Prospective Investigation Into Cancer and Nutrition.")</f>
        <v>Changes in Lifestyle and Risk of Colorectal Cancer in the European Prospective Investigation Into Cancer and Nutrition.</v>
      </c>
      <c r="AM171" s="31" t="str">
        <f>IFERROR(__xludf.DUMMYFUNCTION("""COMPUTED_VALUE"""),"Botteri, Edoardo; Peveri, Giulia; Berstad, Paula; Bagnardi, Vincenzo; Chen, Sairah L F; Sandanger, Torkjel M; Hoff, Geir; Dahm, Christina C; Antoniussen, Christian S; Tjønneland, Anne; Eriksen, Anne Kirstine; Skeie, Guri; Perez-Cornago, Aurora; Huerta, Jo"&amp;"sé María; Jakszyn, Paula; Harlid, Sophia; Sundström, Björn; Barricarte, Aurelio; Monninkhof, Evelyn M; Derksen, Jeroen W G; Schulze, Matthias B; Bueno-de-Mesquita, Bas; Sánchez, Maria-Jose; Cross, Amanda J; Tsilidis, Konstantinos K; De Magistris, Maria Sa"&amp;"ntucci; Kaaks, Rudolf; Katzke, Verena; Rothwell, Joseph A; Laouali, Nasser; Severi, Gianluca; Amiano, Pilar; Contiero, Paolo; Sacerdote, Carlotta; Goldberg, Marcel; Touvier, Mathilde; Freisling, Heinz; Viallon, Vivian; Weiderpass, Elisabete; Riboli, Elio;"&amp;" Gunter, Marc J; Jenab, Mazda; Ferrari, Pietro")</f>
        <v>Botteri, Edoardo; Peveri, Giulia; Berstad, Paula; Bagnardi, Vincenzo; Chen, Sairah L F; Sandanger, Torkjel M; Hoff, Geir; Dahm, Christina C; Antoniussen, Christian S; Tjønneland, Anne; Eriksen, Anne Kirstine; Skeie, Guri; Perez-Cornago, Aurora; Huerta, José María; Jakszyn, Paula; Harlid, Sophia; Sundström, Björn; Barricarte, Aurelio; Monninkhof, Evelyn M; Derksen, Jeroen W G; Schulze, Matthias B; Bueno-de-Mesquita, Bas; Sánchez, Maria-Jose; Cross, Amanda J; Tsilidis, Konstantinos K; De Magistris, Maria Santucci; Kaaks, Rudolf; Katzke, Verena; Rothwell, Joseph A; Laouali, Nasser; Severi, Gianluca; Amiano, Pilar; Contiero, Paolo; Sacerdote, Carlotta; Goldberg, Marcel; Touvier, Mathilde; Freisling, Heinz; Viallon, Vivian; Weiderpass, Elisabete; Riboli, Elio; Gunter, Marc J; Jenab, Mazda; Ferrari, Pietro</v>
      </c>
      <c r="AN171" s="32">
        <f>IFERROR(__xludf.DUMMYFUNCTION("""COMPUTED_VALUE"""),44846.0)</f>
        <v>44846</v>
      </c>
    </row>
    <row r="172">
      <c r="A172" s="32"/>
      <c r="I172" s="31" t="str">
        <f>IFERROR(__xludf.DUMMYFUNCTION("""COMPUTED_VALUE"""),"statistics in medicine")</f>
        <v>statistics in medicine</v>
      </c>
      <c r="J172" s="38">
        <f>COUNTIF(Data!$F$2:$F9917, $I172)</f>
        <v>24</v>
      </c>
      <c r="T172" s="31" t="s">
        <v>25844</v>
      </c>
      <c r="U172" s="31" t="s">
        <v>25845</v>
      </c>
      <c r="V172" s="32">
        <v>45538.0</v>
      </c>
      <c r="X172" s="31" t="str">
        <f>IFERROR(__xludf.DUMMYFUNCTION("""COMPUTED_VALUE"""),"Predicting early extrahepatic recurrence after local treatment of colorectal liver metastases.")</f>
        <v>Predicting early extrahepatic recurrence after local treatment of colorectal liver metastases.</v>
      </c>
      <c r="Y172" s="31" t="str">
        <f>IFERROR(__xludf.DUMMYFUNCTION("""COMPUTED_VALUE"""),"Wensink, G E; Bolhuis, Karen; Elferink, Marloes A G; Fijneman, Remond J A; Kranenburg, Onno; Borel Rinkes, Inne H M; Koopman, Miriam; Swijnenburg, Rutger-Jan; Vink, Geraldine R; Hagendoorn, Jeroen; Punt, Cornelis J A; Roodhart, Jeanine M L; Elias, Sjoerd "&amp;"G")</f>
        <v>Wensink, G E; Bolhuis, Karen; Elferink, Marloes A G; Fijneman, Remond J A; Kranenburg, Onno; Borel Rinkes, Inne H M; Koopman, Miriam; Swijnenburg, Rutger-Jan; Vink, Geraldine R; Hagendoorn, Jeroen; Punt, Cornelis J A; Roodhart, Jeanine M L; Elias, Sjoerd G</v>
      </c>
      <c r="Z172" s="31">
        <f>IFERROR(__xludf.DUMMYFUNCTION("""COMPUTED_VALUE"""),2023.0)</f>
        <v>2023</v>
      </c>
      <c r="AA172" s="31">
        <f>IFERROR(__xludf.DUMMYFUNCTION("""COMPUTED_VALUE"""),3.0)</f>
        <v>3</v>
      </c>
      <c r="AC172" s="31" t="str">
        <f>IFERROR(__xludf.DUMMYFUNCTION("""COMPUTED_VALUE"""),"Sequential designs with small samples: Evaluation and recommendations for normal responses.")</f>
        <v>Sequential designs with small samples: Evaluation and recommendations for normal responses.</v>
      </c>
      <c r="AD172" s="31" t="str">
        <f>IFERROR(__xludf.DUMMYFUNCTION("""COMPUTED_VALUE"""),"Nikolakopoulos, Stavros; Roes, Kit Cb; van der Tweel, Ingeborg")</f>
        <v>Nikolakopoulos, Stavros; Roes, Kit Cb; van der Tweel, Ingeborg</v>
      </c>
      <c r="AE172" s="32">
        <f>IFERROR(__xludf.DUMMYFUNCTION("""COMPUTED_VALUE"""),42545.0)</f>
        <v>42545</v>
      </c>
      <c r="AF172" s="31" t="str">
        <f>IFERROR(__xludf.DUMMYFUNCTION("""COMPUTED_VALUE"""),"Defining and Measuring Resilience in Children with a Chronic Disease: a Scoping Review.")</f>
        <v>Defining and Measuring Resilience in Children with a Chronic Disease: a Scoping Review.</v>
      </c>
      <c r="AG172" s="31" t="str">
        <f>IFERROR(__xludf.DUMMYFUNCTION("""COMPUTED_VALUE"""),"van der Laan, Sabine E I; Berkelbach van der Sprenkel, Emma E; Lenters, Virissa C; Finkenauer, Catrin; van der Ent, Cornelis K; Nijhof, Sanne L")</f>
        <v>van der Laan, Sabine E I; Berkelbach van der Sprenkel, Emma E; Lenters, Virissa C; Finkenauer, Catrin; van der Ent, Cornelis K; Nijhof, Sanne L</v>
      </c>
      <c r="AH172" s="32">
        <f>IFERROR(__xludf.DUMMYFUNCTION("""COMPUTED_VALUE"""),45026.0)</f>
        <v>45026</v>
      </c>
      <c r="AI172" s="31" t="str">
        <f>IFERROR(__xludf.DUMMYFUNCTION("""COMPUTED_VALUE"""),"Development of osteomyelitis following dental abscesses-influence of therapy and comorbidities.")</f>
        <v>Development of osteomyelitis following dental abscesses-influence of therapy and comorbidities.</v>
      </c>
      <c r="AJ172" s="31" t="str">
        <f>IFERROR(__xludf.DUMMYFUNCTION("""COMPUTED_VALUE"""),"Moratin, Julius; Freudlsperger, Christian; Metzger, Karl; Braß, Caroline; Berger, Moritz; Engel, Michael; Hoffmann, Jürgen; Ristow, Oliver")</f>
        <v>Moratin, Julius; Freudlsperger, Christian; Metzger, Karl; Braß, Caroline; Berger, Moritz; Engel, Michael; Hoffmann, Jürgen; Ristow, Oliver</v>
      </c>
      <c r="AK172" s="32">
        <f>IFERROR(__xludf.DUMMYFUNCTION("""COMPUTED_VALUE"""),44019.0)</f>
        <v>44019</v>
      </c>
      <c r="AL172" s="31" t="str">
        <f>IFERROR(__xludf.DUMMYFUNCTION("""COMPUTED_VALUE"""),"Longitudinal Household Assessment of Respiratory Illness in Children and Parents During the COVID-19 Pandemic.")</f>
        <v>Longitudinal Household Assessment of Respiratory Illness in Children and Parents During the COVID-19 Pandemic.</v>
      </c>
      <c r="AM172" s="31" t="str">
        <f>IFERROR(__xludf.DUMMYFUNCTION("""COMPUTED_VALUE"""),"de Hoog, Marieke L A; Sluiter-Post, Judith G C; Westerhof, Ilse; Fourie, Elandri; Heuvelman, Valerie D; Boom, Trisja T; Euser, Sjoerd M; Badoux, Paul; Reusken, Chantal; Bont, Louis J; Sanders, Elisabeth A M; Jaddoe, Vincent W V; Herpers, Bjorn L; Eggink, "&amp;"Dirk; Wildenbeest, Joanne G; Duijts, Liesbeth; van Houten, Marlies A; Bruijning-Verhagen, Patricia C J L")</f>
        <v>de Hoog, Marieke L A; Sluiter-Post, Judith G C; Westerhof, Ilse; Fourie, Elandri; Heuvelman, Valerie D; Boom, Trisja T; Euser, Sjoerd M; Badoux, Paul; Reusken, Chantal; Bont, Louis J; Sanders, Elisabeth A M; Jaddoe, Vincent W V; Herpers, Bjorn L; Eggink, Dirk; Wildenbeest, Joanne G; Duijts, Liesbeth; van Houten, Marlies A; Bruijning-Verhagen, Patricia C J L</v>
      </c>
      <c r="AN172" s="32">
        <f>IFERROR(__xludf.DUMMYFUNCTION("""COMPUTED_VALUE"""),44837.0)</f>
        <v>44837</v>
      </c>
    </row>
    <row r="173">
      <c r="A173" s="32"/>
      <c r="I173" s="31" t="str">
        <f>IFERROR(__xludf.DUMMYFUNCTION("""COMPUTED_VALUE"""),"medical decision making an international journal of the society for medical decision making")</f>
        <v>medical decision making an international journal of the society for medical decision making</v>
      </c>
      <c r="J173" s="38">
        <f>COUNTIF(Data!$F$2:$F9917, $I173)</f>
        <v>5</v>
      </c>
      <c r="T173" s="31" t="s">
        <v>25718</v>
      </c>
      <c r="U173" s="31" t="s">
        <v>25719</v>
      </c>
      <c r="V173" s="32">
        <v>45537.0</v>
      </c>
      <c r="X173" s="31" t="str">
        <f>IFERROR(__xludf.DUMMYFUNCTION("""COMPUTED_VALUE"""),"In Silico Screening of Drugs That Target Different Forms of E Protein for Potential Treatment of COVID-19.")</f>
        <v>In Silico Screening of Drugs That Target Different Forms of E Protein for Potential Treatment of COVID-19.</v>
      </c>
      <c r="Y173" s="31" t="str">
        <f>IFERROR(__xludf.DUMMYFUNCTION("""COMPUTED_VALUE"""),"Ramírez Salinas, Gema Lizbeth; López Rincón, Alejandro; García Machorro, Jazmín; Correa Basurto, José; Martínez Archundia, Marlet")</f>
        <v>Ramírez Salinas, Gema Lizbeth; López Rincón, Alejandro; García Machorro, Jazmín; Correa Basurto, José; Martínez Archundia, Marlet</v>
      </c>
      <c r="Z173" s="31">
        <f>IFERROR(__xludf.DUMMYFUNCTION("""COMPUTED_VALUE"""),2023.0)</f>
        <v>2023</v>
      </c>
      <c r="AA173" s="31">
        <f>IFERROR(__xludf.DUMMYFUNCTION("""COMPUTED_VALUE"""),3.0)</f>
        <v>3</v>
      </c>
      <c r="AC173" s="31" t="str">
        <f>IFERROR(__xludf.DUMMYFUNCTION("""COMPUTED_VALUE"""),"Impaired bone healing in multitrauma patients is associated with altered leukocyte kinetics after major trauma.")</f>
        <v>Impaired bone healing in multitrauma patients is associated with altered leukocyte kinetics after major trauma.</v>
      </c>
      <c r="AD173" s="31" t="str">
        <f>IFERROR(__xludf.DUMMYFUNCTION("""COMPUTED_VALUE"""),"Bastian, Okan W; Kuijer, Anne; Koenderman, Leo; Stellato, Rebecca K; van Solinge, Wouter W; Leenen, Luke Ph; Blokhuis, Taco J")</f>
        <v>Bastian, Okan W; Kuijer, Anne; Koenderman, Leo; Stellato, Rebecca K; van Solinge, Wouter W; Leenen, Luke Ph; Blokhuis, Taco J</v>
      </c>
      <c r="AE173" s="32">
        <f>IFERROR(__xludf.DUMMYFUNCTION("""COMPUTED_VALUE"""),42508.0)</f>
        <v>42508</v>
      </c>
      <c r="AF173" s="31" t="str">
        <f>IFERROR(__xludf.DUMMYFUNCTION("""COMPUTED_VALUE"""),"Sex-specific Mendelian randomisation to assess the causality of sex differences in the effects of risk factors and treatment: spotlight on hypertension.")</f>
        <v>Sex-specific Mendelian randomisation to assess the causality of sex differences in the effects of risk factors and treatment: spotlight on hypertension.</v>
      </c>
      <c r="AG173" s="31" t="str">
        <f>IFERROR(__xludf.DUMMYFUNCTION("""COMPUTED_VALUE"""),"de Ruiter, Sophie C; Schmidt, A Floriaan; Grobbee, Diederick E; den Ruijter, Hester M; Peters, Sanne A E")</f>
        <v>de Ruiter, Sophie C; Schmidt, A Floriaan; Grobbee, Diederick E; den Ruijter, Hester M; Peters, Sanne A E</v>
      </c>
      <c r="AH173" s="32">
        <f>IFERROR(__xludf.DUMMYFUNCTION("""COMPUTED_VALUE"""),45023.0)</f>
        <v>45023</v>
      </c>
      <c r="AI173" s="31" t="str">
        <f>IFERROR(__xludf.DUMMYFUNCTION("""COMPUTED_VALUE"""),"User-Centered Design of a Mobile Health Intervention to Enhance Exacerbation-Related Self-Management in Patients With Chronic Obstructive Pulmonary Disease (Copilot): Mixed Methods Study.")</f>
        <v>User-Centered Design of a Mobile Health Intervention to Enhance Exacerbation-Related Self-Management in Patients With Chronic Obstructive Pulmonary Disease (Copilot): Mixed Methods Study.</v>
      </c>
      <c r="AJ173" s="31" t="str">
        <f>IFERROR(__xludf.DUMMYFUNCTION("""COMPUTED_VALUE"""),"Korpershoek, Yvonne J G; Hermsen, Sander; Schoonhoven, Lisette; Schuurmans, Marieke J; Trappenburg, Jaap C A")</f>
        <v>Korpershoek, Yvonne J G; Hermsen, Sander; Schoonhoven, Lisette; Schuurmans, Marieke J; Trappenburg, Jaap C A</v>
      </c>
      <c r="AK173" s="32">
        <f>IFERROR(__xludf.DUMMYFUNCTION("""COMPUTED_VALUE"""),43997.0)</f>
        <v>43997</v>
      </c>
      <c r="AL173" s="31" t="str">
        <f>IFERROR(__xludf.DUMMYFUNCTION("""COMPUTED_VALUE"""),"Surgical Menopause and Bilateral Oophorectomy: Effect of Estrogen-Progesterone and Testosterone Replacement Therapy on Psychological Well-being and Sexual Functioning; A Systematic Literature Review.")</f>
        <v>Surgical Menopause and Bilateral Oophorectomy: Effect of Estrogen-Progesterone and Testosterone Replacement Therapy on Psychological Well-being and Sexual Functioning; A Systematic Literature Review.</v>
      </c>
      <c r="AM173" s="31" t="str">
        <f>IFERROR(__xludf.DUMMYFUNCTION("""COMPUTED_VALUE"""),"Stuursma, Annechien; Lanjouw, Lieke; Idema, Demy L; de Bock, Geertruida H; Mourits, Marian J E")</f>
        <v>Stuursma, Annechien; Lanjouw, Lieke; Idema, Demy L; de Bock, Geertruida H; Mourits, Marian J E</v>
      </c>
      <c r="AN173" s="32">
        <f>IFERROR(__xludf.DUMMYFUNCTION("""COMPUTED_VALUE"""),44830.0)</f>
        <v>44830</v>
      </c>
    </row>
    <row r="174">
      <c r="A174" s="32"/>
      <c r="I174" s="31" t="str">
        <f>IFERROR(__xludf.DUMMYFUNCTION("""COMPUTED_VALUE"""),"the british journal of surgery")</f>
        <v>the british journal of surgery</v>
      </c>
      <c r="J174" s="38">
        <f>COUNTIF(Data!$F$2:$F9917, $I174)</f>
        <v>14</v>
      </c>
      <c r="T174" s="31" t="s">
        <v>25247</v>
      </c>
      <c r="U174" s="31" t="s">
        <v>25248</v>
      </c>
      <c r="V174" s="32">
        <v>45536.0</v>
      </c>
      <c r="X174" s="31" t="str">
        <f>IFERROR(__xludf.DUMMYFUNCTION("""COMPUTED_VALUE"""),"Sex differences in cardiovascular complications and mortality in hospital patients with covid-19: registry based observational study.")</f>
        <v>Sex differences in cardiovascular complications and mortality in hospital patients with covid-19: registry based observational study.</v>
      </c>
      <c r="Y174" s="31" t="str">
        <f>IFERROR(__xludf.DUMMYFUNCTION("""COMPUTED_VALUE"""),"Hockham, Carinna; Linschoten, Marijke; Asselbergs, Folkert W; Ghossein, Chahinda; Woodward, Mark; Peters, Sanne A E; ,")</f>
        <v>Hockham, Carinna; Linschoten, Marijke; Asselbergs, Folkert W; Ghossein, Chahinda; Woodward, Mark; Peters, Sanne A E; ,</v>
      </c>
      <c r="Z174" s="31">
        <f>IFERROR(__xludf.DUMMYFUNCTION("""COMPUTED_VALUE"""),2023.0)</f>
        <v>2023</v>
      </c>
      <c r="AA174" s="31">
        <f>IFERROR(__xludf.DUMMYFUNCTION("""COMPUTED_VALUE"""),3.0)</f>
        <v>3</v>
      </c>
      <c r="AC174" s="31" t="str">
        <f>IFERROR(__xludf.DUMMYFUNCTION("""COMPUTED_VALUE"""),"A Prospective Evaluation of Early Detection Biomarkers for Ovarian Cancer in the European EPIC Cohort.")</f>
        <v>A Prospective Evaluation of Early Detection Biomarkers for Ovarian Cancer in the European EPIC Cohort.</v>
      </c>
      <c r="AD174" s="31" t="str">
        <f>IFERROR(__xludf.DUMMYFUNCTION("""COMPUTED_VALUE"""),"Terry, Kathryn L; Schock, Helena; Fortner, Renée T; Hüsing, Anika; Fichorova, Raina N; Yamamoto, Hidemi S; Vitonis, Allison F; Johnson, Theron; Overvad, Kim; Tjønneland, Anne; Boutron-Ruault, Marie-Christine; Mesrine, Sylvie; Severi, Gianluca; Dossus, Lau"&amp;"re; Rinaldi, Sabina; Boeing, Heiner; Benetou, Vassiliki; Lagiou, Pagona; Trichopoulou, Antonia; Krogh, Vittorio; Kuhn, Elisabetta; Panico, Salvatore; Bueno-de-Mesquita, H Bas; Onland-Moret, N Charlotte; Peeters, Petra H; Gram, Inger Torhild; Weiderpass, E"&amp;"lisabete; Duell, Eric J; Sanchez, Maria-Jose; Ardanaz, Eva; Etxezarreta, Nerea; Navarro, Carmen; Idahl, Annika; Lundin, Eva; Jirström, Karin; Manjer, Jonas; Wareham, Nicholas J; Khaw, Kay-Tee; Byrne, Karl Smith; Travis, Ruth C; Gunter, Marc J; Merritt, Me"&amp;"lissa A; Riboli, Elio; Cramer, Daniel W; Kaaks, Rudolf")</f>
        <v>Terry, Kathryn L; Schock, Helena; Fortner, Renée T; Hüsing, Anika; Fichorova, Raina N; Yamamoto, Hidemi S; Vitonis, Allison F; Johnson, Theron; Overvad, Kim; Tjønneland, Anne; Boutron-Ruault, Marie-Christine; Mesrine, Sylvie; Severi, Gianluca; Dossus, Laure; Rinaldi, Sabina; Boeing, Heiner; Benetou, Vassiliki; Lagiou, Pagona; Trichopoulou, Antonia; Krogh, Vittorio; Kuhn, Elisabetta; Panico, Salvatore; Bueno-de-Mesquita, H Bas; Onland-Moret, N Charlotte; Peeters, Petra H; Gram, Inger Torhild; Weiderpass, Elisabete; Duell, Eric J; Sanchez, Maria-Jose; Ardanaz, Eva; Etxezarreta, Nerea; Navarro, Carmen; Idahl, Annika; Lundin, Eva; Jirström, Karin; Manjer, Jonas; Wareham, Nicholas J; Khaw, Kay-Tee; Byrne, Karl Smith; Travis, Ruth C; Gunter, Marc J; Merritt, Melissa A; Riboli, Elio; Cramer, Daniel W; Kaaks, Rudolf</v>
      </c>
      <c r="AE174" s="32">
        <f>IFERROR(__xludf.DUMMYFUNCTION("""COMPUTED_VALUE"""),42468.0)</f>
        <v>42468</v>
      </c>
      <c r="AF174" s="31" t="str">
        <f>IFERROR(__xludf.DUMMYFUNCTION("""COMPUTED_VALUE"""),"Masculine gender affects sex differences in the prevalence of chronic health problems &lt;i&gt;- The Doetinchem Cohort Study&lt;/i&gt;.")</f>
        <v>Masculine gender affects sex differences in the prevalence of chronic health problems &lt;i&gt;- The Doetinchem Cohort Study&lt;/i&gt;.</v>
      </c>
      <c r="AG174" s="31" t="str">
        <f>IFERROR(__xludf.DUMMYFUNCTION("""COMPUTED_VALUE"""),"Vader, Sarah S; Lewis, Shirley M; Verdonk, Petra; Verschuren, W M Monique; Picavet, H Susan J")</f>
        <v>Vader, Sarah S; Lewis, Shirley M; Verdonk, Petra; Verschuren, W M Monique; Picavet, H Susan J</v>
      </c>
      <c r="AH174" s="32">
        <f>IFERROR(__xludf.DUMMYFUNCTION("""COMPUTED_VALUE"""),45022.0)</f>
        <v>45022</v>
      </c>
      <c r="AI174" s="31" t="str">
        <f>IFERROR(__xludf.DUMMYFUNCTION("""COMPUTED_VALUE"""),"Epidemiology of heart failure.")</f>
        <v>Epidemiology of heart failure.</v>
      </c>
      <c r="AJ174" s="31" t="str">
        <f>IFERROR(__xludf.DUMMYFUNCTION("""COMPUTED_VALUE"""),"Groenewegen, Amy; Rutten, Frans H; Mosterd, Arend; Hoes, Arno W")</f>
        <v>Groenewegen, Amy; Rutten, Frans H; Mosterd, Arend; Hoes, Arno W</v>
      </c>
      <c r="AK174" s="32">
        <f>IFERROR(__xludf.DUMMYFUNCTION("""COMPUTED_VALUE"""),43983.0)</f>
        <v>43983</v>
      </c>
      <c r="AL174" s="31" t="str">
        <f>IFERROR(__xludf.DUMMYFUNCTION("""COMPUTED_VALUE"""),"Improving prediction of response to neoadjuvant treatment in patients with breast cancer by combining liquid biopsies with multiparametric MRI: protocol of the LIMA study - a multicentre prospective observational cohort study.")</f>
        <v>Improving prediction of response to neoadjuvant treatment in patients with breast cancer by combining liquid biopsies with multiparametric MRI: protocol of the LIMA study - a multicentre prospective observational cohort study.</v>
      </c>
      <c r="AM174" s="31" t="str">
        <f>IFERROR(__xludf.DUMMYFUNCTION("""COMPUTED_VALUE"""),"Janssen, Liselore M; Suelmann, Britt B M; Elias, Sjoerd G; Janse, Markus H A; van Diest, Paul J; van der Wall, Elsken; Gilhuijs, Kenneth G A")</f>
        <v>Janssen, Liselore M; Suelmann, Britt B M; Elias, Sjoerd G; Janse, Markus H A; van Diest, Paul J; van der Wall, Elsken; Gilhuijs, Kenneth G A</v>
      </c>
      <c r="AN174" s="32">
        <f>IFERROR(__xludf.DUMMYFUNCTION("""COMPUTED_VALUE"""),44824.0)</f>
        <v>44824</v>
      </c>
    </row>
    <row r="175">
      <c r="A175" s="32"/>
      <c r="I175" s="31" t="str">
        <f>IFERROR(__xludf.DUMMYFUNCTION("""COMPUTED_VALUE"""),"current problems in pediatric and adolescent health care")</f>
        <v>current problems in pediatric and adolescent health care</v>
      </c>
      <c r="J175" s="38">
        <f>COUNTIF(Data!$F$2:$F9917, $I175)</f>
        <v>1</v>
      </c>
      <c r="T175" s="31" t="s">
        <v>25614</v>
      </c>
      <c r="U175" s="31" t="s">
        <v>25615</v>
      </c>
      <c r="V175" s="32">
        <v>45536.0</v>
      </c>
      <c r="X175" s="31" t="str">
        <f>IFERROR(__xludf.DUMMYFUNCTION("""COMPUTED_VALUE"""),"Assessment of Cardiovascular Risk in Women: Progress so Far and Progress to Come.")</f>
        <v>Assessment of Cardiovascular Risk in Women: Progress so Far and Progress to Come.</v>
      </c>
      <c r="Y175" s="31" t="str">
        <f>IFERROR(__xludf.DUMMYFUNCTION("""COMPUTED_VALUE"""),"Tschiderer, Lena; Seekircher, Lisa; Willeit, Peter; Peters, Sanne A E")</f>
        <v>Tschiderer, Lena; Seekircher, Lisa; Willeit, Peter; Peters, Sanne A E</v>
      </c>
      <c r="Z175" s="31">
        <f>IFERROR(__xludf.DUMMYFUNCTION("""COMPUTED_VALUE"""),2023.0)</f>
        <v>2023</v>
      </c>
      <c r="AA175" s="31">
        <f>IFERROR(__xludf.DUMMYFUNCTION("""COMPUTED_VALUE"""),3.0)</f>
        <v>3</v>
      </c>
      <c r="AC175" s="31" t="str">
        <f>IFERROR(__xludf.DUMMYFUNCTION("""COMPUTED_VALUE"""),"Acrylamide and Glycidamide Hemoglobin Adducts and Epithelial Ovarian Cancer: A Nested Case-Control Study in Nonsmoking Postmenopausal Women from the EPIC Cohort.")</f>
        <v>Acrylamide and Glycidamide Hemoglobin Adducts and Epithelial Ovarian Cancer: A Nested Case-Control Study in Nonsmoking Postmenopausal Women from the EPIC Cohort.</v>
      </c>
      <c r="AD175" s="31" t="str">
        <f>IFERROR(__xludf.DUMMYFUNCTION("""COMPUTED_VALUE"""),"Obón-Santacana, Mireia; Lujan-Barroso, Leila; Travis, Ruth C; Freisling, Heinz; Ferrari, Pietro; Severi, Gianluca; Baglietto, Laura; Boutron-Ruault, Marie-Christine; Fortner, Renée T; Ose, Jennifer; Boeing, Heiner; Menéndez, Virginia; Sánchez-Cantalejo, E"&amp;"milio; Chamosa, Saioa; Castaño, José María Huerta; Ardanaz, Eva; Khaw, Kay-Tee; Wareham, Nick; Merritt, Melissa A; Gunter, Marc J; Trichopoulou, Antonia; Papatesta, Eleni-Maria; Klinaki, Eleni; Saieva, Calogero; Tagliabue, Giovanna; Tumino, Rosario; Sacer"&amp;"dote, Carlotta; Mattiello, Amalia; Bueno-de-Mesquita, H B; Peeters, Petra H; Onland-Moret, N Charlotte; Idahl, Annika; Lundin, Eva; Weiderpass, Elisabete; Vesper, Hubert W; Riboli, Elio; Duell, Eric J")</f>
        <v>Obón-Santacana, Mireia; Lujan-Barroso, Leila; Travis, Ruth C; Freisling, Heinz; Ferrari, Pietro; Severi, Gianluca; Baglietto, Laura; Boutron-Ruault, Marie-Christine; Fortner, Renée T; Ose, Jennifer; Boeing, Heiner; Menéndez, Virginia; Sánchez-Cantalejo, Emilio; Chamosa, Saioa; Castaño, José María Huerta; Ardanaz, Eva; Khaw, Kay-Tee; Wareham, Nick; Merritt, Melissa A; Gunter, Marc J; Trichopoulou, Antonia; Papatesta, Eleni-Maria; Klinaki, Eleni; Saieva, Calogero; Tagliabue, Giovanna; Tumino, Rosario; Sacerdote, Carlotta; Mattiello, Amalia; Bueno-de-Mesquita, H B; Peeters, Petra H; Onland-Moret, N Charlotte; Idahl, Annika; Lundin, Eva; Weiderpass, Elisabete; Vesper, Hubert W; Riboli, Elio; Duell, Eric J</v>
      </c>
      <c r="AE175" s="32">
        <f>IFERROR(__xludf.DUMMYFUNCTION("""COMPUTED_VALUE"""),42331.0)</f>
        <v>42331</v>
      </c>
      <c r="AF175" s="31" t="str">
        <f>IFERROR(__xludf.DUMMYFUNCTION("""COMPUTED_VALUE"""),"A Cross-Sectional Study of the Associations between Biomarkers of Vitamin D, Iron Status, and Hemoglobin in South African Women of Reproductive Age: the Healthy Life Trajectories Initiative, South Africa.")</f>
        <v>A Cross-Sectional Study of the Associations between Biomarkers of Vitamin D, Iron Status, and Hemoglobin in South African Women of Reproductive Age: the Healthy Life Trajectories Initiative, South Africa.</v>
      </c>
      <c r="AG175" s="31" t="str">
        <f>IFERROR(__xludf.DUMMYFUNCTION("""COMPUTED_VALUE"""),"Soepnel, Larske M; Mabetha, Khuthala; Draper, Catherine E; Silubonde, Takana Mary; Smuts, Cornelius M; Pettifor, John M; Norris, Shane A")</f>
        <v>Soepnel, Larske M; Mabetha, Khuthala; Draper, Catherine E; Silubonde, Takana Mary; Smuts, Cornelius M; Pettifor, John M; Norris, Shane A</v>
      </c>
      <c r="AH175" s="32">
        <f>IFERROR(__xludf.DUMMYFUNCTION("""COMPUTED_VALUE"""),45015.0)</f>
        <v>45015</v>
      </c>
      <c r="AI175" s="31" t="str">
        <f>IFERROR(__xludf.DUMMYFUNCTION("""COMPUTED_VALUE"""),"Opportunistic screening versus usual care for diagnosing atrial fibrillation in general practice: a cluster randomised controlled trial.")</f>
        <v>Opportunistic screening versus usual care for diagnosing atrial fibrillation in general practice: a cluster randomised controlled trial.</v>
      </c>
      <c r="AJ175" s="31" t="str">
        <f>IFERROR(__xludf.DUMMYFUNCTION("""COMPUTED_VALUE"""),"Kaasenbrood, Femke; Hollander, Monika; de Bruijn, Steven Hm; Dolmans, Carlijn Pe; Tieleman, Robert G; Hoes, Arno W; Rutten, Frans H")</f>
        <v>Kaasenbrood, Femke; Hollander, Monika; de Bruijn, Steven Hm; Dolmans, Carlijn Pe; Tieleman, Robert G; Hoes, Arno W; Rutten, Frans H</v>
      </c>
      <c r="AK175" s="32">
        <f>IFERROR(__xludf.DUMMYFUNCTION("""COMPUTED_VALUE"""),43979.0)</f>
        <v>43979</v>
      </c>
      <c r="AL175" s="31" t="str">
        <f>IFERROR(__xludf.DUMMYFUNCTION("""COMPUTED_VALUE"""),"MRI to assess response after neoadjuvant chemotherapy in breast cancer subtypes: a systematic review and meta-analysis.")</f>
        <v>MRI to assess response after neoadjuvant chemotherapy in breast cancer subtypes: a systematic review and meta-analysis.</v>
      </c>
      <c r="AM175" s="31" t="str">
        <f>IFERROR(__xludf.DUMMYFUNCTION("""COMPUTED_VALUE"""),"Janssen, L M; den Dekker, B M; Gilhuijs, K G A; van Diest, P J; van der Wall, E; Elias, S G")</f>
        <v>Janssen, L M; den Dekker, B M; Gilhuijs, K G A; van Diest, P J; van der Wall, E; Elias, S G</v>
      </c>
      <c r="AN175" s="32">
        <f>IFERROR(__xludf.DUMMYFUNCTION("""COMPUTED_VALUE"""),44823.0)</f>
        <v>44823</v>
      </c>
    </row>
    <row r="176">
      <c r="A176" s="32"/>
      <c r="I176" s="31" t="str">
        <f>IFERROR(__xludf.DUMMYFUNCTION("""COMPUTED_VALUE"""),"bjs open")</f>
        <v>bjs open</v>
      </c>
      <c r="J176" s="38">
        <f>COUNTIF(Data!$F$2:$F9917, $I176)</f>
        <v>3</v>
      </c>
      <c r="T176" s="31" t="s">
        <v>25963</v>
      </c>
      <c r="U176" s="31" t="s">
        <v>25964</v>
      </c>
      <c r="V176" s="32">
        <v>45536.0</v>
      </c>
      <c r="X176" s="31" t="str">
        <f>IFERROR(__xludf.DUMMYFUNCTION("""COMPUTED_VALUE"""),"Predictive Value of &lt;i&gt;SLCO1B1&lt;/i&gt; c.521T&gt;C Polymorphism on Observed Changes in the Treatment of 1136 Statin-Users.")</f>
        <v>Predictive Value of &lt;i&gt;SLCO1B1&lt;/i&gt; c.521T&gt;C Polymorphism on Observed Changes in the Treatment of 1136 Statin-Users.</v>
      </c>
      <c r="Y176" s="31" t="str">
        <f>IFERROR(__xludf.DUMMYFUNCTION("""COMPUTED_VALUE"""),"Jansen, Marleen E; Rigter, Tessel; Fleur, Thom M C; Souverein, Patrick C; Verschuren, W M Monique; Vijverberg, Susanne J; Swen, Jesse J; Rodenburg, Wendy; Cornel, Martina C")</f>
        <v>Jansen, Marleen E; Rigter, Tessel; Fleur, Thom M C; Souverein, Patrick C; Verschuren, W M Monique; Vijverberg, Susanne J; Swen, Jesse J; Rodenburg, Wendy; Cornel, Martina C</v>
      </c>
      <c r="Z176" s="31">
        <f>IFERROR(__xludf.DUMMYFUNCTION("""COMPUTED_VALUE"""),2023.0)</f>
        <v>2023</v>
      </c>
      <c r="AA176" s="31">
        <f>IFERROR(__xludf.DUMMYFUNCTION("""COMPUTED_VALUE"""),3.0)</f>
        <v>3</v>
      </c>
      <c r="AC176" s="31" t="str">
        <f>IFERROR(__xludf.DUMMYFUNCTION("""COMPUTED_VALUE"""),"Reproductive factors and epithelial ovarian cancer survival in the EPIC cohort study.")</f>
        <v>Reproductive factors and epithelial ovarian cancer survival in the EPIC cohort study.</v>
      </c>
      <c r="AD176" s="31" t="str">
        <f>IFERROR(__xludf.DUMMYFUNCTION("""COMPUTED_VALUE"""),"Bešević, Jelena; Gunter, Marc J; Fortner, Renée T; Tsilidis, Konstantinos K; Weiderpass, Elisabete; Onland-Moret, N Charlotte; Dossus, Laure; Tjønneland, Anne; Hansen, Louise; Overvad, Kim; Mesrine, Sylvie; Baglietto, Laura; Clavel-Chapelon, Françoise; Ka"&amp;"aks, Rudolf; Aleksandrova, Krasimira; Boeing, Heiner; Trichopoulou, Antonia; Lagiou, Pagona; Bamia, Christina; Masala, Giovanna; Agnoli, Claudia; Tumino, Rosario; Ricceri, Fulvio; Panico, Salvatore; Bueno-de-Mesquita, H Bas; Peeters, Petra H; Jareid, Mie;"&amp;" Quirós, J Ramón; Duell, Eric J; Sánchez, María-José; Larrañaga, Nerea; Chirlaque, María-Dolores; Barricarte, Aurelio; Dias, Joana A; Sonestedt, Emily; Idahl, Annika; Lundin, Eva; Wareham, Nicholas J; Khaw, Kay-Tee; Travis, Ruth C; Rinaldi, Sabina; Romieu"&amp;", Isabelle; Riboli, Elio; Merritt, Melissa A")</f>
        <v>Bešević, Jelena; Gunter, Marc J; Fortner, Renée T; Tsilidis, Konstantinos K; Weiderpass, Elisabete; Onland-Moret, N Charlotte; Dossus, Laure; Tjønneland, Anne; Hansen, Louise; Overvad, Kim; Mesrine, Sylvie; Baglietto, Laura; Clavel-Chapelon, Françoise; Kaaks, Rudolf; Aleksandrova, Krasimira; Boeing, Heiner; Trichopoulou, Antonia; Lagiou, Pagona; Bamia, Christina; Masala, Giovanna; Agnoli, Claudia; Tumino, Rosario; Ricceri, Fulvio; Panico, Salvatore; Bueno-de-Mesquita, H Bas; Peeters, Petra H; Jareid, Mie; Quirós, J Ramón; Duell, Eric J; Sánchez, María-José; Larrañaga, Nerea; Chirlaque, María-Dolores; Barricarte, Aurelio; Dias, Joana A; Sonestedt, Emily; Idahl, Annika; Lundin, Eva; Wareham, Nicholas J; Khaw, Kay-Tee; Travis, Ruth C; Rinaldi, Sabina; Romieu, Isabelle; Riboli, Elio; Merritt, Melissa A</v>
      </c>
      <c r="AE176" s="32">
        <f>IFERROR(__xludf.DUMMYFUNCTION("""COMPUTED_VALUE"""),42318.0)</f>
        <v>42318</v>
      </c>
      <c r="AF176" s="31" t="str">
        <f>IFERROR(__xludf.DUMMYFUNCTION("""COMPUTED_VALUE"""),"Diabetes-Tuberculosis Care in Eswatini: A Qualitative Study of Opportunities and Recommendations for Effective Services Integration.")</f>
        <v>Diabetes-Tuberculosis Care in Eswatini: A Qualitative Study of Opportunities and Recommendations for Effective Services Integration.</v>
      </c>
      <c r="AG176" s="31"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AH176" s="32">
        <f>IFERROR(__xludf.DUMMYFUNCTION("""COMPUTED_VALUE"""),45015.0)</f>
        <v>45015</v>
      </c>
      <c r="AI176" s="31" t="str">
        <f>IFERROR(__xludf.DUMMYFUNCTION("""COMPUTED_VALUE"""),"The Leadership Mentoring in Nursing Research Program for Postdoctoral Nurses: A Development Paper.")</f>
        <v>The Leadership Mentoring in Nursing Research Program for Postdoctoral Nurses: A Development Paper.</v>
      </c>
      <c r="AJ176" s="31" t="str">
        <f>IFERROR(__xludf.DUMMYFUNCTION("""COMPUTED_VALUE"""),"Hafsteinsdóttir, Thóra B; Schoonhoven, Lisette; Hamers, Jan; Schuurmans, Marieke J")</f>
        <v>Hafsteinsdóttir, Thóra B; Schoonhoven, Lisette; Hamers, Jan; Schuurmans, Marieke J</v>
      </c>
      <c r="AK176" s="32">
        <f>IFERROR(__xludf.DUMMYFUNCTION("""COMPUTED_VALUE"""),43977.0)</f>
        <v>43977</v>
      </c>
      <c r="AL176" s="31" t="str">
        <f>IFERROR(__xludf.DUMMYFUNCTION("""COMPUTED_VALUE"""),"Advances in diagnostic tools for respiratory tract infections: from tuberculosis to COVID-19 - changing paradigms?")</f>
        <v>Advances in diagnostic tools for respiratory tract infections: from tuberculosis to COVID-19 - changing paradigms?</v>
      </c>
      <c r="AM176" s="31" t="str">
        <f>IFERROR(__xludf.DUMMYFUNCTION("""COMPUTED_VALUE"""),"Stojanovic, Zoran; Gonçalves-Carvalho, Filipe; Marín, Alicia; Abad Capa, Jorge; Domínguez, Jose; Latorre, Irene; Lacoma, Alicia; Prat-Aymerich, Cristina")</f>
        <v>Stojanovic, Zoran; Gonçalves-Carvalho, Filipe; Marín, Alicia; Abad Capa, Jorge; Domínguez, Jose; Latorre, Irene; Lacoma, Alicia; Prat-Aymerich, Cristina</v>
      </c>
      <c r="AN176" s="32">
        <f>IFERROR(__xludf.DUMMYFUNCTION("""COMPUTED_VALUE"""),44816.0)</f>
        <v>44816</v>
      </c>
    </row>
    <row r="177">
      <c r="A177" s="32"/>
      <c r="I177" s="31" t="str">
        <f>IFERROR(__xludf.DUMMYFUNCTION("""COMPUTED_VALUE"""),"current diabetes reviews")</f>
        <v>current diabetes reviews</v>
      </c>
      <c r="J177" s="38">
        <f>COUNTIF(Data!$F$2:$F9917, $I177)</f>
        <v>1</v>
      </c>
      <c r="T177" s="31" t="s">
        <v>25041</v>
      </c>
      <c r="U177" s="31" t="s">
        <v>25042</v>
      </c>
      <c r="V177" s="32">
        <v>45535.0</v>
      </c>
      <c r="X177" s="31" t="str">
        <f>IFERROR(__xludf.DUMMYFUNCTION("""COMPUTED_VALUE"""),"Classifying asthma control using salivary and fecal bacterial microbiome in children with moderate-to-severe asthma.")</f>
        <v>Classifying asthma control using salivary and fecal bacterial microbiome in children with moderate-to-severe asthma.</v>
      </c>
      <c r="Y177" s="31" t="str">
        <f>IFERROR(__xludf.DUMMYFUNCTION("""COMPUTED_VALUE"""),"Blankestijn, Jelle M; Lopez-Rincon, Alejandro; Neerincx, Anne H; Vijverberg, Susanne J H; Hashimoto, Simone; Gorenjak, Mario; Sardón Prado, Olaia; Corcuera-Elosegui, Paula; Korta-Murua, Javier; Pino-Yanes, Maria; Potočnik, Uroš; Bang, Corinna; Franke, And"&amp;"re; Wolff, Christine; Brandstetter, Susanne; Toncheva, Antoaneta A; Kheiroddin, Parastoo; Harner, Susanne; Kabesch, Michael; Kraneveld, Aletta D; Abdel-Aziz, Mahmoud I; Maitland-van der Zee, Anke H; ,")</f>
        <v>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v>
      </c>
      <c r="Z177" s="31">
        <f>IFERROR(__xludf.DUMMYFUNCTION("""COMPUTED_VALUE"""),2023.0)</f>
        <v>2023</v>
      </c>
      <c r="AA177" s="31">
        <f>IFERROR(__xludf.DUMMYFUNCTION("""COMPUTED_VALUE"""),3.0)</f>
        <v>3</v>
      </c>
      <c r="AC177" s="31" t="str">
        <f>IFERROR(__xludf.DUMMYFUNCTION("""COMPUTED_VALUE"""),"Acrylamide and glycidamide hemoglobin adduct levels and endometrial cancer risk: A nested case-control study in nonsmoking postmenopausal women from the EPIC cohort.")</f>
        <v>Acrylamide and glycidamide hemoglobin adduct levels and endometrial cancer risk: A nested case-control study in nonsmoking postmenopausal women from the EPIC cohort.</v>
      </c>
      <c r="AD177" s="31" t="str">
        <f>IFERROR(__xludf.DUMMYFUNCTION("""COMPUTED_VALUE"""),"Obón-Santacana, Mireia; Freisling, Heinz; Peeters, Petra H; Lujan-Barroso, Leila; Ferrari, Pietro; Boutron-Ruault, Marie-Christine; Mesrine, Sylvie; Baglietto, Laura; Turzanski-Fortner, Renee; Katzke, Verena A; Boeing, Heiner; Quirós, J Ramón; Molina-Port"&amp;"illo, Elena; Larrañaga, Nerea; Chirlaque, María-Dolores; Barricarte, Aurelio; Khaw, Kay-Tee; Wareham, Nick; Travis, Ruth C; Merritt, Melissa A; Gunter, Marc J; Trichopoulou, Antonia; Lagiou, Pagona; Naska, Androniki; Palli, Domenico; Sieri, Sabina; Tumino"&amp;", Rosario; Fiano, Valentina; Galassom, Rocco; Bueno-de-Mesquita, H B As; Onland-Moret, N Charlotte; Idahl, Annika; Lundin, Eva; Weiderpass, Elisabete; Vesper, Hubert; Riboli, Elio; Duell, Eric J")</f>
        <v>Obón-Santacana, Mireia; Freisling, Heinz; Peeters, Petra H; Lujan-Barroso, Leila; Ferrari, Pietro; Boutron-Ruault, Marie-Christine; Mesrine, Sylvie; Baglietto, Laura; Turzanski-Fortner, Renee; Katzke, Verena A; Boeing, Heiner; Quirós, J Ramón; Molina-Portillo, Elena; Larrañaga, Nerea; Chirlaque, María-Dolores; Barricarte, Aurelio; Khaw, Kay-Tee; Wareham, Nick; Travis, Ruth C; Merritt, Melissa A; Gunter, Marc J; Trichopoulou, Antonia; Lagiou, Pagona; Naska, Androniki; Palli, Domenico; Sieri, Sabina; Tumino, Rosario; Fiano, Valentina; Galassom, Rocco; Bueno-de-Mesquita, H B As; Onland-Moret, N Charlotte; Idahl, Annika; Lundin, Eva; Weiderpass, Elisabete; Vesper, Hubert; Riboli, Elio; Duell, Eric J</v>
      </c>
      <c r="AE177" s="32">
        <f>IFERROR(__xludf.DUMMYFUNCTION("""COMPUTED_VALUE"""),42278.0)</f>
        <v>42278</v>
      </c>
      <c r="AF177" s="31" t="str">
        <f>IFERROR(__xludf.DUMMYFUNCTION("""COMPUTED_VALUE"""),"Introducing e-health technology to routine cataract care: patient perspectives on web-based eye test for postoperative telemonitoring.")</f>
        <v>Introducing e-health technology to routine cataract care: patient perspectives on web-based eye test for postoperative telemonitoring.</v>
      </c>
      <c r="AG177" s="31" t="str">
        <f>IFERROR(__xludf.DUMMYFUNCTION("""COMPUTED_VALUE"""),"Claessens, Janneau L J; Maats, Emma P E; Iacob, Maria E; Wisse, Robert P L; Jongsma, Karin R")</f>
        <v>Claessens, Janneau L J; Maats, Emma P E; Iacob, Maria E; Wisse, Robert P L; Jongsma, Karin R</v>
      </c>
      <c r="AH177" s="32">
        <f>IFERROR(__xludf.DUMMYFUNCTION("""COMPUTED_VALUE"""),45014.0)</f>
        <v>45014</v>
      </c>
      <c r="AI177" s="31" t="str">
        <f>IFERROR(__xludf.DUMMYFUNCTION("""COMPUTED_VALUE"""),"Looking for the optimal treatment of uncomplicated urinary tract infections.")</f>
        <v>Looking for the optimal treatment of uncomplicated urinary tract infections.</v>
      </c>
      <c r="AJ177" s="31" t="str">
        <f>IFERROR(__xludf.DUMMYFUNCTION("""COMPUTED_VALUE"""),"Verheij, Theo J M; Platteel, Tamara N")</f>
        <v>Verheij, Theo J M; Platteel, Tamara N</v>
      </c>
      <c r="AK177" s="32">
        <f>IFERROR(__xludf.DUMMYFUNCTION("""COMPUTED_VALUE"""),43972.0)</f>
        <v>43972</v>
      </c>
      <c r="AL177" s="31" t="str">
        <f>IFERROR(__xludf.DUMMYFUNCTION("""COMPUTED_VALUE"""),"The course of pain and dysphagia after radiofrequency ablation for Barrett's esophagus-related neoplasia.")</f>
        <v>The course of pain and dysphagia after radiofrequency ablation for Barrett's esophagus-related neoplasia.</v>
      </c>
      <c r="AM177" s="31" t="str">
        <f>IFERROR(__xludf.DUMMYFUNCTION("""COMPUTED_VALUE"""),"Overwater, Anouk; Elias, Sjoerd G; Schoon, Erik J; Bergman, Jacques J G H M; Pouw, Roos E; Weusten, Bas L A M")</f>
        <v>Overwater, Anouk; Elias, Sjoerd G; Schoon, Erik J; Bergman, Jacques J G H M; Pouw, Roos E; Weusten, Bas L A M</v>
      </c>
      <c r="AN177" s="32">
        <f>IFERROR(__xludf.DUMMYFUNCTION("""COMPUTED_VALUE"""),44811.0)</f>
        <v>44811</v>
      </c>
    </row>
    <row r="178">
      <c r="A178" s="32"/>
      <c r="I178" s="31" t="str">
        <f>IFERROR(__xludf.DUMMYFUNCTION("""COMPUTED_VALUE"""),"hla")</f>
        <v>hla</v>
      </c>
      <c r="J178" s="38">
        <f>COUNTIF(Data!$F$2:$F9917, $I178)</f>
        <v>2</v>
      </c>
      <c r="T178" s="31" t="s">
        <v>24901</v>
      </c>
      <c r="U178" s="31" t="s">
        <v>24902</v>
      </c>
      <c r="V178" s="32">
        <v>45533.0</v>
      </c>
      <c r="X178" s="31" t="str">
        <f>IFERROR(__xludf.DUMMYFUNCTION("""COMPUTED_VALUE"""),"The role of tumour biological factors in technical anatomical resectability assessment of colorectal liver metastases following induction systemic treatment: An analysis of the Dutch CAIRO5 trial.")</f>
        <v>The role of tumour biological factors in technical anatomical resectability assessment of colorectal liver metastases following induction systemic treatment: An analysis of the Dutch CAIRO5 trial.</v>
      </c>
      <c r="Y178" s="31" t="str">
        <f>IFERROR(__xludf.DUMMYFUNCTION("""COMPUTED_VALUE"""),"Bolhuis, Karen; Bond, Marinde J G; Van Amerongen, Martin J; Komurcu, Aysun; Chapelle, Thiery; Dejong, Cornelis H C; Engelbrecht, Marc R W; Gerhards, Michael F; Grünhagen, Dirk J; van Gulik, Thomas M; Hermans, John J; De Jong, Koert P; Kazemier, Geert; Kla"&amp;"ase, Joost M; Kok, Niels F M; Leclercq, Wouter K G; Liem, Mike S L; van Lienden, Krijn P; Molenaar, I Quintus; Neumann, Ulf P; Patijn, Gijs A; Rijken, Arjen M; Ruers, Theo M; Verhoef, Cornelis; de Wilt, Johannes H W; May, Anne M; Punt, Cornelis J A; Swijn"&amp;"enburg, Rutger-Jan; ,")</f>
        <v>Bolhuis, Karen; Bond, Marinde J G; Van Amerongen, Martin J; Komurcu, Aysun; Chapelle, Thiery; Dejong, Cornelis H C; Engelbrecht, Marc R W; Gerhards, Michael F; Grünhagen, Dirk J; van Gulik, Thomas M; Hermans, John J; De Jong, Koert P; Kazemier, Geert; Klaase, Joost M; Kok, Niels F M; Leclercq, Wouter K G; Liem, Mike S L; van Lienden, Krijn P; Molenaar, I Quintus; Neumann, Ulf P; Patijn, Gijs A; Rijken, Arjen M; Ruers, Theo M; Verhoef, Cornelis; de Wilt, Johannes H W; May, Anne M; Punt, Cornelis J A; Swijnenburg, Rutger-Jan; ,</v>
      </c>
      <c r="Z178" s="31">
        <f>IFERROR(__xludf.DUMMYFUNCTION("""COMPUTED_VALUE"""),2023.0)</f>
        <v>2023</v>
      </c>
      <c r="AA178" s="31">
        <f>IFERROR(__xludf.DUMMYFUNCTION("""COMPUTED_VALUE"""),3.0)</f>
        <v>3</v>
      </c>
      <c r="AC178" s="31" t="str">
        <f>IFERROR(__xludf.DUMMYFUNCTION("""COMPUTED_VALUE"""),"Reliability of Serum Metabolites over a Two-Year Period: A Targeted Metabolomic Approach in Fasting and Non-Fasting Samples from EPIC.")</f>
        <v>Reliability of Serum Metabolites over a Two-Year Period: A Targeted Metabolomic Approach in Fasting and Non-Fasting Samples from EPIC.</v>
      </c>
      <c r="AD178" s="31" t="str">
        <f>IFERROR(__xludf.DUMMYFUNCTION("""COMPUTED_VALUE"""),"Carayol, Marion; Licaj, Idlir; Achaintre, David; Sacerdote, Carlotta; Vineis, Paolo; Key, Timothy J; Onland Moret, N Charlotte; Scalbert, Augustin; Rinaldi, Sabina; Ferrari, Pietro")</f>
        <v>Carayol, Marion; Licaj, Idlir; Achaintre, David; Sacerdote, Carlotta; Vineis, Paolo; Key, Timothy J; Onland Moret, N Charlotte; Scalbert, Augustin; Rinaldi, Sabina; Ferrari, Pietro</v>
      </c>
      <c r="AE178" s="32">
        <f>IFERROR(__xludf.DUMMYFUNCTION("""COMPUTED_VALUE"""),42230.0)</f>
        <v>42230</v>
      </c>
      <c r="AF178" s="31" t="str">
        <f>IFERROR(__xludf.DUMMYFUNCTION("""COMPUTED_VALUE"""),"Maternal perception of fetal movements: Views, knowledge and practices of women and health providers in a low-resource setting.")</f>
        <v>Maternal perception of fetal movements: Views, knowledge and practices of women and health providers in a low-resource setting.</v>
      </c>
      <c r="AG178" s="31" t="str">
        <f>IFERROR(__xludf.DUMMYFUNCTION("""COMPUTED_VALUE"""),"Weller, Katinka; Housseine, Natasha; Khamis, Rashid S; Meguid, Tarek; Hofmeyr, G Justus; Browne, Joyce L; Rijken, Marcus J")</f>
        <v>Weller, Katinka; Housseine, Natasha; Khamis, Rashid S; Meguid, Tarek; Hofmeyr, G Justus; Browne, Joyce L; Rijken, Marcus J</v>
      </c>
      <c r="AH178" s="32">
        <f>IFERROR(__xludf.DUMMYFUNCTION("""COMPUTED_VALUE"""),45014.0)</f>
        <v>45014</v>
      </c>
      <c r="AI178" s="31" t="str">
        <f>IFERROR(__xludf.DUMMYFUNCTION("""COMPUTED_VALUE"""),"Why Medical Residents Do (and Don't) Speak Up About Organizational Barriers and Opportunities to Improve the Quality of Care.")</f>
        <v>Why Medical Residents Do (and Don't) Speak Up About Organizational Barriers and Opportunities to Improve the Quality of Care.</v>
      </c>
      <c r="AJ178" s="31" t="str">
        <f>IFERROR(__xludf.DUMMYFUNCTION("""COMPUTED_VALUE"""),"Voogt, Judith J; Kars, Marijke C; van Rensen, Elizabeth L J; Schneider, Margriet M E; Noordegraaf, Mirko; van der Schaaf, Marieke F")</f>
        <v>Voogt, Judith J; Kars, Marijke C; van Rensen, Elizabeth L J; Schneider, Margriet M E; Noordegraaf, Mirko; van der Schaaf, Marieke F</v>
      </c>
      <c r="AK178" s="32">
        <f>IFERROR(__xludf.DUMMYFUNCTION("""COMPUTED_VALUE"""),43922.0)</f>
        <v>43922</v>
      </c>
      <c r="AL178" s="31" t="str">
        <f>IFERROR(__xludf.DUMMYFUNCTION("""COMPUTED_VALUE"""),"The score after 10 years of registration of systematic review protocols.")</f>
        <v>The score after 10 years of registration of systematic review protocols.</v>
      </c>
      <c r="AM178" s="31" t="str">
        <f>IFERROR(__xludf.DUMMYFUNCTION("""COMPUTED_VALUE"""),"van der Braak, Kim; Ghannad, Mona; Orelio, Claudia; Heus, Pauline; Damen, Johanna A A; Spijker, René; Robinson, Karen; Lund, Hans; Hooft, Lotty")</f>
        <v>van der Braak, Kim; Ghannad, Mona; Orelio, Claudia; Heus, Pauline; Damen, Johanna A A; Spijker, René; Robinson, Karen; Lund, Hans; Hooft, Lotty</v>
      </c>
      <c r="AN178" s="32">
        <f>IFERROR(__xludf.DUMMYFUNCTION("""COMPUTED_VALUE"""),44809.0)</f>
        <v>44809</v>
      </c>
    </row>
    <row r="179">
      <c r="A179" s="32"/>
      <c r="I179" s="31" t="str">
        <f>IFERROR(__xludf.DUMMYFUNCTION("""COMPUTED_VALUE"""),"the lancet planetary health")</f>
        <v>the lancet planetary health</v>
      </c>
      <c r="J179" s="38">
        <f>COUNTIF(Data!$F$2:$F9917, $I179)</f>
        <v>6</v>
      </c>
      <c r="T179" s="31" t="s">
        <v>25127</v>
      </c>
      <c r="U179" s="31" t="s">
        <v>25128</v>
      </c>
      <c r="V179" s="32">
        <v>45532.0</v>
      </c>
      <c r="X179" s="31" t="str">
        <f>IFERROR(__xludf.DUMMYFUNCTION("""COMPUTED_VALUE"""),"The Impact of Video-Based Educational Materials with Voiceovers on Preferences for Glucose Monitoring Technology in Patients with Diabetes: A Randomised Study.")</f>
        <v>The Impact of Video-Based Educational Materials with Voiceovers on Preferences for Glucose Monitoring Technology in Patients with Diabetes: A Randomised Study.</v>
      </c>
      <c r="Y179" s="31" t="str">
        <f>IFERROR(__xludf.DUMMYFUNCTION("""COMPUTED_VALUE"""),"Smith, Ian P; Whichello, Chiara L; de Bekker-Grob, Esther W; Mölken, Maureen P M H Rutten-van; Veldwijk, Jorien; de Wit, G Ardine")</f>
        <v>Smith, Ian P; Whichello, Chiara L; de Bekker-Grob, Esther W; Mölken, Maureen P M H Rutten-van; Veldwijk, Jorien; de Wit, G Ardine</v>
      </c>
      <c r="Z179" s="31">
        <f>IFERROR(__xludf.DUMMYFUNCTION("""COMPUTED_VALUE"""),2023.0)</f>
        <v>2023</v>
      </c>
      <c r="AA179" s="31">
        <f>IFERROR(__xludf.DUMMYFUNCTION("""COMPUTED_VALUE"""),3.0)</f>
        <v>3</v>
      </c>
      <c r="AC179" s="31" t="str">
        <f>IFERROR(__xludf.DUMMYFUNCTION("""COMPUTED_VALUE"""),"The Association between eHealth Capabilities and the Quality and Safety of Health Care in the Netherlands: Comparison of HIMSS Analytics EMRAM data with Elsevier's 'The Best Hospitals' data.")</f>
        <v>The Association between eHealth Capabilities and the Quality and Safety of Health Care in the Netherlands: Comparison of HIMSS Analytics EMRAM data with Elsevier's 'The Best Hospitals' data.</v>
      </c>
      <c r="AD179" s="31" t="str">
        <f>IFERROR(__xludf.DUMMYFUNCTION("""COMPUTED_VALUE"""),"van Poelgeest, Rube; Heida, Jan-Peter; Pettit, Lorren; de Leeuw, Rob J; Schrijvers, Guus")</f>
        <v>van Poelgeest, Rube; Heida, Jan-Peter; Pettit, Lorren; de Leeuw, Rob J; Schrijvers, Guus</v>
      </c>
      <c r="AE179" s="32">
        <f>IFERROR(__xludf.DUMMYFUNCTION("""COMPUTED_VALUE"""),42221.0)</f>
        <v>42221</v>
      </c>
      <c r="AF179" s="31" t="str">
        <f>IFERROR(__xludf.DUMMYFUNCTION("""COMPUTED_VALUE"""),"Provision and experience of care among women with hypertension in pregnancy: a multi-center qualitative study in Ghana.")</f>
        <v>Provision and experience of care among women with hypertension in pregnancy: a multi-center qualitative study in Ghana.</v>
      </c>
      <c r="AG179" s="31" t="str">
        <f>IFERROR(__xludf.DUMMYFUNCTION("""COMPUTED_VALUE"""),"Adu-Bonsaffoh, Kwame; Tamma, Evelyn; Nwameme, Adanna; Dako-Gyeke, Phyllis; Srofenyoh, Emmanuel; Ansah, Evelyn K; Grobbee, Diederick E; Franx, Arie; Browne, Joyce L")</f>
        <v>Adu-Bonsaffoh, Kwame; Tamma, Evelyn; Nwameme, Adanna; Dako-Gyeke, Phyllis; Srofenyoh, Emmanuel; Ansah, Evelyn K; Grobbee, Diederick E; Franx, Arie; Browne, Joyce L</v>
      </c>
      <c r="AH179" s="32">
        <f>IFERROR(__xludf.DUMMYFUNCTION("""COMPUTED_VALUE"""),45010.0)</f>
        <v>45010</v>
      </c>
      <c r="AI179" s="31" t="str">
        <f>IFERROR(__xludf.DUMMYFUNCTION("""COMPUTED_VALUE"""),"Daikenchuto for reducing postoperative ileus in patients undergoing elective abdominal surgery.")</f>
        <v>Daikenchuto for reducing postoperative ileus in patients undergoing elective abdominal surgery.</v>
      </c>
      <c r="AJ179" s="31" t="str">
        <f>IFERROR(__xludf.DUMMYFUNCTION("""COMPUTED_VALUE"""),"Hoshino, Nobuaki; Takada, Toshihiko; Hida, Koya; Hasegawa, Suguru; Furukawa, Toshi A; Sakai, Yoshiharu")</f>
        <v>Hoshino, Nobuaki; Takada, Toshihiko; Hida, Koya; Hasegawa, Suguru; Furukawa, Toshi A; Sakai, Yoshiharu</v>
      </c>
      <c r="AK179" s="32">
        <f>IFERROR(__xludf.DUMMYFUNCTION("""COMPUTED_VALUE"""),43915.0)</f>
        <v>43915</v>
      </c>
      <c r="AL179" s="31" t="str">
        <f>IFERROR(__xludf.DUMMYFUNCTION("""COMPUTED_VALUE"""),"Socioeconomic Status, Biological Aging, and Memory in a Diverse National Sample of Older US Men and Women.")</f>
        <v>Socioeconomic Status, Biological Aging, and Memory in a Diverse National Sample of Older US Men and Women.</v>
      </c>
      <c r="AM179" s="31" t="str">
        <f>IFERROR(__xludf.DUMMYFUNCTION("""COMPUTED_VALUE"""),"Avila-Rieger, Justina; Turney, Indira C; Vonk, Jet M J; Esie, Precious; Seblova, Dominika; Weir, Vanessa R; Belsky, Daniel W; Manly, Jennifer J")</f>
        <v>Avila-Rieger, Justina; Turney, Indira C; Vonk, Jet M J; Esie, Precious; Seblova, Dominika; Weir, Vanessa R; Belsky, Daniel W; Manly, Jennifer J</v>
      </c>
      <c r="AN179" s="32">
        <f>IFERROR(__xludf.DUMMYFUNCTION("""COMPUTED_VALUE"""),44802.0)</f>
        <v>44802</v>
      </c>
    </row>
    <row r="180">
      <c r="A180" s="32"/>
      <c r="I180" s="31" t="str">
        <f>IFERROR(__xludf.DUMMYFUNCTION("""COMPUTED_VALUE"""),"the lancet healthy longevity")</f>
        <v>the lancet healthy longevity</v>
      </c>
      <c r="J180" s="38">
        <f>COUNTIF(Data!$F$2:$F9917, $I180)</f>
        <v>4</v>
      </c>
      <c r="T180" s="31" t="s">
        <v>25452</v>
      </c>
      <c r="U180" s="31" t="s">
        <v>25453</v>
      </c>
      <c r="V180" s="32">
        <v>45532.0</v>
      </c>
      <c r="X180" s="31" t="str">
        <f>IFERROR(__xludf.DUMMYFUNCTION("""COMPUTED_VALUE"""),"Feasibility of a standardized family participation programme in the intensive care unit: A pilot survey study.")</f>
        <v>Feasibility of a standardized family participation programme in the intensive care unit: A pilot survey study.</v>
      </c>
      <c r="Y180" s="31" t="str">
        <f>IFERROR(__xludf.DUMMYFUNCTION("""COMPUTED_VALUE"""),"Dijkstra, Boukje; Uit Het Broek, Lucia; van der Hoeven, Johannes; Schoonhoven, Lisette; Bosch, Frank; Van der Steen, Marijke; Rood, Paul; Vloet, Lilian")</f>
        <v>Dijkstra, Boukje; Uit Het Broek, Lucia; van der Hoeven, Johannes; Schoonhoven, Lisette; Bosch, Frank; Van der Steen, Marijke; Rood, Paul; Vloet, Lilian</v>
      </c>
      <c r="Z180" s="31">
        <f>IFERROR(__xludf.DUMMYFUNCTION("""COMPUTED_VALUE"""),2023.0)</f>
        <v>2023</v>
      </c>
      <c r="AA180" s="31">
        <f>IFERROR(__xludf.DUMMYFUNCTION("""COMPUTED_VALUE"""),3.0)</f>
        <v>3</v>
      </c>
      <c r="AC180" s="31" t="str">
        <f>IFERROR(__xludf.DUMMYFUNCTION("""COMPUTED_VALUE"""),"No Added Value of Novel Biomarkers in the Diagnostic Assessment of Patients Suspected of Acute Coronary Syndrome.")</f>
        <v>No Added Value of Novel Biomarkers in the Diagnostic Assessment of Patients Suspected of Acute Coronary Syndrome.</v>
      </c>
      <c r="AD180" s="31" t="str">
        <f>IFERROR(__xludf.DUMMYFUNCTION("""COMPUTED_VALUE"""),"Poldervaart, Judith M; Röttger, Emma; Dekker, Marieke S; Zuithoff, Nicolaas P A; Verheggen, Peter W H M; de Vrey, Evelyn A; Wildbergh, Thierry X; van 't Hof, Arnoud W J; Mosterd, Arend; Hoes, Arno W")</f>
        <v>Poldervaart, Judith M; Röttger, Emma; Dekker, Marieke S; Zuithoff, Nicolaas P A; Verheggen, Peter W H M; de Vrey, Evelyn A; Wildbergh, Thierry X; van 't Hof, Arnoud W J; Mosterd, Arend; Hoes, Arno W</v>
      </c>
      <c r="AE180" s="32">
        <f>IFERROR(__xludf.DUMMYFUNCTION("""COMPUTED_VALUE"""),42200.0)</f>
        <v>42200</v>
      </c>
      <c r="AF180" s="31" t="str">
        <f>IFERROR(__xludf.DUMMYFUNCTION("""COMPUTED_VALUE"""),"Understanding the mechanisms linking holistic housing renovations to health and well-being of adults in disadvantaged neighbourhoods: A realist review.")</f>
        <v>Understanding the mechanisms linking holistic housing renovations to health and well-being of adults in disadvantaged neighbourhoods: A realist review.</v>
      </c>
      <c r="AG180" s="31" t="str">
        <f>IFERROR(__xludf.DUMMYFUNCTION("""COMPUTED_VALUE"""),"Koops-Van Hoffen, H E; Lenthe van, F J; Poelman, M P; Droomers, M; Borlée, F; Vendrig-De Punder, Y M R; Jambroes, M; Kamphuis, C B M")</f>
        <v>Koops-Van Hoffen, H E; Lenthe van, F J; Poelman, M P; Droomers, M; Borlée, F; Vendrig-De Punder, Y M R; Jambroes, M; Kamphuis, C B M</v>
      </c>
      <c r="AH180" s="32">
        <f>IFERROR(__xludf.DUMMYFUNCTION("""COMPUTED_VALUE"""),45000.0)</f>
        <v>45000</v>
      </c>
      <c r="AI180" s="31" t="str">
        <f>IFERROR(__xludf.DUMMYFUNCTION("""COMPUTED_VALUE"""),"Comprehensive Outpatient Management of Low-Risk Pulmonary Embolism: Can Primary Care Do This? A Narrative Review.")</f>
        <v>Comprehensive Outpatient Management of Low-Risk Pulmonary Embolism: Can Primary Care Do This? A Narrative Review.</v>
      </c>
      <c r="AJ180" s="31" t="str">
        <f>IFERROR(__xludf.DUMMYFUNCTION("""COMPUTED_VALUE"""),"Vinson, David R; Aujesky, Drahomir; Geersing, Geert-Jan; Roy, Pierre-Marie")</f>
        <v>Vinson, David R; Aujesky, Drahomir; Geersing, Geert-Jan; Roy, Pierre-Marie</v>
      </c>
      <c r="AK180" s="32">
        <f>IFERROR(__xludf.DUMMYFUNCTION("""COMPUTED_VALUE"""),43903.0)</f>
        <v>43903</v>
      </c>
      <c r="AL180" s="31" t="str">
        <f>IFERROR(__xludf.DUMMYFUNCTION("""COMPUTED_VALUE"""),"SARS-CoV-2 in Malaysia: A surge of reinfection during the predominantly Omicron period.")</f>
        <v>SARS-CoV-2 in Malaysia: A surge of reinfection during the predominantly Omicron period.</v>
      </c>
      <c r="AM180" s="31" t="str">
        <f>IFERROR(__xludf.DUMMYFUNCTION("""COMPUTED_VALUE"""),"Yang, Su Lan; Teh, Hoon Shien; Suah, Jing Lian; Husin, Masliyana; Hwong, Wen Yea")</f>
        <v>Yang, Su Lan; Teh, Hoon Shien; Suah, Jing Lian; Husin, Masliyana; Hwong, Wen Yea</v>
      </c>
      <c r="AN180" s="32">
        <f>IFERROR(__xludf.DUMMYFUNCTION("""COMPUTED_VALUE"""),44800.0)</f>
        <v>44800</v>
      </c>
    </row>
    <row r="181">
      <c r="A181" s="32"/>
      <c r="I181" s="31" t="str">
        <f>IFERROR(__xludf.DUMMYFUNCTION("""COMPUTED_VALUE"""),"multivariate behavioral research")</f>
        <v>multivariate behavioral research</v>
      </c>
      <c r="J181" s="38">
        <f>COUNTIF(Data!$F$2:$F9917, $I181)</f>
        <v>1</v>
      </c>
      <c r="T181" s="31" t="s">
        <v>25848</v>
      </c>
      <c r="U181" s="31" t="s">
        <v>25849</v>
      </c>
      <c r="V181" s="32">
        <v>45532.0</v>
      </c>
      <c r="X181" s="31" t="str">
        <f>IFERROR(__xludf.DUMMYFUNCTION("""COMPUTED_VALUE"""),"Implementation of an evidence-based management algorithm for patients with chronic pancreatitis (COMBO trial): study protocol for a stepped-wedge cluster-randomized controlled trial.")</f>
        <v>Implementation of an evidence-based management algorithm for patients with chronic pancreatitis (COMBO trial): study protocol for a stepped-wedge cluster-randomized controlled trial.</v>
      </c>
      <c r="Y181" s="31" t="str">
        <f>IFERROR(__xludf.DUMMYFUNCTION("""COMPUTED_VALUE"""),"de Rijk, Florence E M; van Veldhuisen, Charlotte L; Besselink, Marc G; van Hooft, Jeanin E; van Santvoort, Hjalmar C; van Geenen, Erwin J M; van Werkhoven, Cornelis H; de Jonge, Pieter Jan F; Bruno, Marco J; Verdonk, Robert C; ,")</f>
        <v>de Rijk, Florence E M; van Veldhuisen, Charlotte L; Besselink, Marc G; van Hooft, Jeanin E; van Santvoort, Hjalmar C; van Geenen, Erwin J M; van Werkhoven, Cornelis H; de Jonge, Pieter Jan F; Bruno, Marco J; Verdonk, Robert C; ,</v>
      </c>
      <c r="Z181" s="31">
        <f>IFERROR(__xludf.DUMMYFUNCTION("""COMPUTED_VALUE"""),2023.0)</f>
        <v>2023</v>
      </c>
      <c r="AA181" s="31">
        <f>IFERROR(__xludf.DUMMYFUNCTION("""COMPUTED_VALUE"""),3.0)</f>
        <v>3</v>
      </c>
      <c r="AC181" s="31" t="str">
        <f>IFERROR(__xludf.DUMMYFUNCTION("""COMPUTED_VALUE"""),"An epidemiological model for prediction of endometrial cancer risk in Europe.")</f>
        <v>An epidemiological model for prediction of endometrial cancer risk in Europe.</v>
      </c>
      <c r="AD181" s="31" t="str">
        <f>IFERROR(__xludf.DUMMYFUNCTION("""COMPUTED_VALUE"""),"Hüsing, Anika; Dossus, Laure; Ferrari, Pietro; Tjønneland, Anne; Hansen, Louise; Fagherazzi, Guy; Baglietto, Laura; Schock, Helena; Chang-Claude, Jenny; Boeing, Heiner; Steffen, Annika; Trichopoulou, Antonia; Bamia, Christina; Katsoulis, Michalis; Krogh, "&amp;"Vittorio; Palli, Domenico; Panico, Salvatore; Onland-Moret, N Charlotte; Peeters, Petra H; Bueno-de-Mesquita, H Bas; Weiderpass, Elisabete; Gram, Inger T; Ardanaz, Eva; Obón-Santacana, Mireia; Navarro, Carmen; Sánchez-Cantalejo, Emilio; Etxezarreta, Nerea"&amp;"; Allen, Naomi E; Khaw, Kay Tee; Wareham, Nick; Rinaldi, Sabina; Romieu, Isabelle; Merritt, Melissa A; Gunter, Marc; Riboli, Elio; Kaaks, Rudolf")</f>
        <v>Hüsing, Anika; Dossus, Laure; Ferrari, Pietro; Tjønneland, Anne; Hansen, Louise; Fagherazzi, Guy; Baglietto, Laura; Schock, Helena; Chang-Claude, Jenny; Boeing, Heiner; Steffen, Annika; Trichopoulou, Antonia; Bamia, Christina; Katsoulis, Michalis; Krogh, Vittorio; Palli, Domenico; Panico, Salvatore; Onland-Moret, N Charlotte; Peeters, Petra H; Bueno-de-Mesquita, H Bas; Weiderpass, Elisabete; Gram, Inger T; Ardanaz, Eva; Obón-Santacana, Mireia; Navarro, Carmen; Sánchez-Cantalejo, Emilio; Etxezarreta, Nerea; Allen, Naomi E; Khaw, Kay Tee; Wareham, Nick; Rinaldi, Sabina; Romieu, Isabelle; Merritt, Melissa A; Gunter, Marc; Riboli, Elio; Kaaks, Rudolf</v>
      </c>
      <c r="AE181" s="32">
        <f>IFERROR(__xludf.DUMMYFUNCTION("""COMPUTED_VALUE"""),42137.0)</f>
        <v>42137</v>
      </c>
      <c r="AF181" s="31" t="str">
        <f>IFERROR(__xludf.DUMMYFUNCTION("""COMPUTED_VALUE"""),"Gender equality related to gender differences in life expectancy across the globe gender equality and life expectancy.")</f>
        <v>Gender equality related to gender differences in life expectancy across the globe gender equality and life expectancy.</v>
      </c>
      <c r="AG181" s="31" t="str">
        <f>IFERROR(__xludf.DUMMYFUNCTION("""COMPUTED_VALUE"""),"Pinho-Gomes, Ana-Catarina; Peters, Sanne A E; Woodward, Mark")</f>
        <v>Pinho-Gomes, Ana-Catarina; Peters, Sanne A E; Woodward, Mark</v>
      </c>
      <c r="AH181" s="32">
        <f>IFERROR(__xludf.DUMMYFUNCTION("""COMPUTED_VALUE"""),44991.0)</f>
        <v>44991</v>
      </c>
      <c r="AI181" s="31" t="str">
        <f>IFERROR(__xludf.DUMMYFUNCTION("""COMPUTED_VALUE"""),"When a child dies: a systematic review of well-defined parent-focused bereavement interventions and their alignment with grief- and loss theories.")</f>
        <v>When a child dies: a systematic review of well-defined parent-focused bereavement interventions and their alignment with grief- and loss theories.</v>
      </c>
      <c r="AJ181" s="31" t="str">
        <f>IFERROR(__xludf.DUMMYFUNCTION("""COMPUTED_VALUE"""),"Kochen, Eline M; Jenken, Floor; Boelen, Paul A; Deben, Laura M A; Fahner, Jurrianne C; van den Hoogen, Agnes; Teunissen, Saskia C C M; Geleijns, Karin; Kars, Marijke C")</f>
        <v>Kochen, Eline M; Jenken, Floor; Boelen, Paul A; Deben, Laura M A; Fahner, Jurrianne C; van den Hoogen, Agnes; Teunissen, Saskia C C M; Geleijns, Karin; Kars, Marijke C</v>
      </c>
      <c r="AK181" s="32">
        <f>IFERROR(__xludf.DUMMYFUNCTION("""COMPUTED_VALUE"""),43902.0)</f>
        <v>43902</v>
      </c>
      <c r="AL181" s="31" t="str">
        <f>IFERROR(__xludf.DUMMYFUNCTION("""COMPUTED_VALUE"""),"Rosuvastatin Slows Progression of Carotid Intima-Media Thickness: The METEOR-China Randomized Controlled Study.")</f>
        <v>Rosuvastatin Slows Progression of Carotid Intima-Media Thickness: The METEOR-China Randomized Controlled Study.</v>
      </c>
      <c r="AM181" s="31" t="str">
        <f>IFERROR(__xludf.DUMMYFUNCTION("""COMPUTED_VALUE"""),"Zheng, Huaguang; Li, Hongwei; Wang, Yilong; Li, Zhanquan; Hu, Bo; Li, Xiaogang; Fu, Lu; Hu, Hongtao; Nie, Zhiyu; Zhao, Bilian; Wei, Di; Karlson, Björn W; Bots, Michiel L; Meng, XiangWen; Chen, Yundai; Wang, Yongjun; ,")</f>
        <v>Zheng, Huaguang; Li, Hongwei; Wang, Yilong; Li, Zhanquan; Hu, Bo; Li, Xiaogang; Fu, Lu; Hu, Hongtao; Nie, Zhiyu; Zhao, Bilian; Wei, Di; Karlson, Björn W; Bots, Michiel L; Meng, XiangWen; Chen, Yundai; Wang, Yongjun; ,</v>
      </c>
      <c r="AN181" s="32">
        <f>IFERROR(__xludf.DUMMYFUNCTION("""COMPUTED_VALUE"""),44799.0)</f>
        <v>44799</v>
      </c>
    </row>
    <row r="182">
      <c r="A182" s="32"/>
      <c r="I182" s="31" t="str">
        <f>IFERROR(__xludf.DUMMYFUNCTION("""COMPUTED_VALUE"""),"hepatology baltimore md")</f>
        <v>hepatology baltimore md</v>
      </c>
      <c r="J182" s="38">
        <f>COUNTIF(Data!$F$2:$F9917, $I182)</f>
        <v>1</v>
      </c>
      <c r="T182" s="31" t="s">
        <v>25498</v>
      </c>
      <c r="U182" s="31" t="s">
        <v>25499</v>
      </c>
      <c r="V182" s="32">
        <v>45531.0</v>
      </c>
      <c r="X182" s="31" t="str">
        <f>IFERROR(__xludf.DUMMYFUNCTION("""COMPUTED_VALUE"""),"Improvement and implementation of a national individual care plan in paediatric palliative care: a study protocol.")</f>
        <v>Improvement and implementation of a national individual care plan in paediatric palliative care: a study protocol.</v>
      </c>
      <c r="Y182" s="31" t="str">
        <f>IFERROR(__xludf.DUMMYFUNCTION("""COMPUTED_VALUE"""),"Joren, Chantal Y; Kars, Marijke C; Kremer, Leontien C M; Rippen, Hester; Verhagen, A A Eduard; Aris-Meijer, Judith L")</f>
        <v>Joren, Chantal Y; Kars, Marijke C; Kremer, Leontien C M; Rippen, Hester; Verhagen, A A Eduard; Aris-Meijer, Judith L</v>
      </c>
      <c r="Z182" s="31">
        <f>IFERROR(__xludf.DUMMYFUNCTION("""COMPUTED_VALUE"""),2023.0)</f>
        <v>2023</v>
      </c>
      <c r="AA182" s="31">
        <f>IFERROR(__xludf.DUMMYFUNCTION("""COMPUTED_VALUE"""),3.0)</f>
        <v>3</v>
      </c>
      <c r="AC182" s="31" t="str">
        <f>IFERROR(__xludf.DUMMYFUNCTION("""COMPUTED_VALUE"""),"Inflammatory Markers and Risk of Epithelial Ovarian Cancer by Tumor Subtypes: The EPIC Cohort.")</f>
        <v>Inflammatory Markers and Risk of Epithelial Ovarian Cancer by Tumor Subtypes: The EPIC Cohort.</v>
      </c>
      <c r="AD182" s="31" t="str">
        <f>IFERROR(__xludf.DUMMYFUNCTION("""COMPUTED_VALUE"""),"Ose, Jennifer; Schock, Helena; Tjønneland, Anne; Hansen, Louise; Overvad, Kim; Dossus, Laure; Clavel-Chapelon, Françoise; Baglietto, Laura; Boeing, Heiner; Trichopolou, Antonia; Benetou, Vassiliki; Lagiou, Pagona; Masala, Giovanna; Tagliabue, Giovanna; Tu"&amp;"mino, Rosario; Sacerdote, Carlotta; Mattiello, Amalia; Bueno-de-Mesquita, H B As; Peeters, Petra H M; Onland-Moret, N Charlotte; Weiderpass, Elisabete; Gram, Inger T; Sánchez, Soledad; Obon-Santacana, Mireia; Sànchez-Pérez, Maria-José; Larrañaga, Nerea; C"&amp;"astaño, José María Huerta; Ardanaz, Eva; Brändstedt, Jenny; Lundin, Eva; Idahl, Annika; Travis, Ruth C; Khaw, Kay-Tee; Rinaldi, Sabina; Romieu, Isabelle; Merritt, Melissa A; Gunter, Marc J; Riboli, Elio; Kaaks, Rudolf; Fortner, Renée T")</f>
        <v>Ose, Jennifer; Schock, Helena; Tjønneland, Anne; Hansen, Louise; Overvad, Kim; Dossus, Laure; Clavel-Chapelon, Françoise; Baglietto, Laura; Boeing, Heiner; Trichopolou, Antonia; Benetou, Vassiliki; Lagiou, Pagona; Masala, Giovanna; Tagliabue, Giovanna; Tumino, Rosario; Sacerdote, Carlotta; Mattiello, Amalia; Bueno-de-Mesquita, H B As; Peeters, Petra H M; Onland-Moret, N Charlotte; Weiderpass, Elisabete; Gram, Inger T; Sánchez, Soledad; Obon-Santacana, Mireia; Sànchez-Pérez, Maria-José; Larrañaga, Nerea; Castaño, José María Huerta; Ardanaz, Eva; Brändstedt, Jenny; Lundin, Eva; Idahl, Annika; Travis, Ruth C; Khaw, Kay-Tee; Rinaldi, Sabina; Romieu, Isabelle; Merritt, Melissa A; Gunter, Marc J; Riboli, Elio; Kaaks, Rudolf; Fortner, Renée T</v>
      </c>
      <c r="AE182" s="32">
        <f>IFERROR(__xludf.DUMMYFUNCTION("""COMPUTED_VALUE"""),42102.0)</f>
        <v>42102</v>
      </c>
      <c r="AF182" s="31" t="str">
        <f>IFERROR(__xludf.DUMMYFUNCTION("""COMPUTED_VALUE"""),"The prevalence of self-reported insomnia symptoms and association with metabolic outcomes in people with type 2 diabetes: the Hoorn Diabetes Care System cohort.")</f>
        <v>The prevalence of self-reported insomnia symptoms and association with metabolic outcomes in people with type 2 diabetes: the Hoorn Diabetes Care System cohort.</v>
      </c>
      <c r="AG182" s="31" t="str">
        <f>IFERROR(__xludf.DUMMYFUNCTION("""COMPUTED_VALUE"""),"Groeneveld, Lenka; den Braver, Nicolette R; Beulens, Joline W J; van der Heijden, Amber A; van der Reep, Annelie C; Remmelzwaal, Sharon; Elders, Petra J M; Rutters, Femke")</f>
        <v>Groeneveld, Lenka; den Braver, Nicolette R; Beulens, Joline W J; van der Heijden, Amber A; van der Reep, Annelie C; Remmelzwaal, Sharon; Elders, Petra J M; Rutters, Femke</v>
      </c>
      <c r="AH182" s="32">
        <f>IFERROR(__xludf.DUMMYFUNCTION("""COMPUTED_VALUE"""),44986.0)</f>
        <v>44986</v>
      </c>
      <c r="AI182" s="31" t="str">
        <f>IFERROR(__xludf.DUMMYFUNCTION("""COMPUTED_VALUE"""),"[Male-female differences in the optimal dosage of medication for heart failure; the 'one-size-fits-all' approach to guidelines needs revision].")</f>
        <v>[Male-female differences in the optimal dosage of medication for heart failure; the 'one-size-fits-all' approach to guidelines needs revision].</v>
      </c>
      <c r="AJ182" s="31" t="str">
        <f>IFERROR(__xludf.DUMMYFUNCTION("""COMPUTED_VALUE"""),"Groenewegen, Amy; Mosterd, Arend; Rutten, Frans H")</f>
        <v>Groenewegen, Amy; Mosterd, Arend; Rutten, Frans H</v>
      </c>
      <c r="AK182" s="32">
        <f>IFERROR(__xludf.DUMMYFUNCTION("""COMPUTED_VALUE"""),43902.0)</f>
        <v>43902</v>
      </c>
      <c r="AL182" s="31" t="str">
        <f>IFERROR(__xludf.DUMMYFUNCTION("""COMPUTED_VALUE"""),"Factors Associated With Using the COVID-19 Mobile Contact-Tracing App Among Individuals Diagnosed With SARS-CoV-2 in Amsterdam, the Netherlands: Observational Study.")</f>
        <v>Factors Associated With Using the COVID-19 Mobile Contact-Tracing App Among Individuals Diagnosed With SARS-CoV-2 in Amsterdam, the Netherlands: Observational Study.</v>
      </c>
      <c r="AM182" s="31" t="str">
        <f>IFERROR(__xludf.DUMMYFUNCTION("""COMPUTED_VALUE"""),"Ritsema, Feiko; Bosdriesz, Jizzo R; Leenstra, Tjalling; Petrignani, Mariska W F; Coyer, Liza; Schreijer, Anja J M; van Duijnhoven, Yvonne T H P; van de Wijgert, Janneke H H M; Schim van der Loeff, Maarten F; Matser, Amy")</f>
        <v>Ritsema, Feiko; Bosdriesz, Jizzo R; Leenstra, Tjalling; Petrignani, Mariska W F; Coyer, Liza; Schreijer, Anja J M; van Duijnhoven, Yvonne T H P; van de Wijgert, Janneke H H M; Schim van der Loeff, Maarten F; Matser, Amy</v>
      </c>
      <c r="AN182" s="32">
        <f>IFERROR(__xludf.DUMMYFUNCTION("""COMPUTED_VALUE"""),44797.0)</f>
        <v>44797</v>
      </c>
    </row>
    <row r="183">
      <c r="A183" s="32"/>
      <c r="I183" s="31" t="str">
        <f>IFERROR(__xludf.DUMMYFUNCTION("""COMPUTED_VALUE"""),"stroke")</f>
        <v>stroke</v>
      </c>
      <c r="J183" s="38">
        <f>COUNTIF(Data!$F$2:$F9917, $I183)</f>
        <v>77</v>
      </c>
      <c r="T183" s="31" t="s">
        <v>25705</v>
      </c>
      <c r="U183" s="31" t="s">
        <v>25706</v>
      </c>
      <c r="V183" s="32">
        <v>45531.0</v>
      </c>
      <c r="X183" s="31" t="str">
        <f>IFERROR(__xludf.DUMMYFUNCTION("""COMPUTED_VALUE"""),"Influenza Infection and Acute Myocardial Infarction.")</f>
        <v>Influenza Infection and Acute Myocardial Infarction.</v>
      </c>
      <c r="Y183" s="31" t="str">
        <f>IFERROR(__xludf.DUMMYFUNCTION("""COMPUTED_VALUE"""),"de Boer, Annemarijn R; Riezebos-Brilman, Annelies; van Hout, Denise; van Mourik, Maaike S M; Rümke, Lidewij W; de Hoog, Marieke L A; Vaartjes, Ilonca; Bruijning-Verhagen, Patricia C J L")</f>
        <v>de Boer, Annemarijn R; Riezebos-Brilman, Annelies; van Hout, Denise; van Mourik, Maaike S M; Rümke, Lidewij W; de Hoog, Marieke L A; Vaartjes, Ilonca; Bruijning-Verhagen, Patricia C J L</v>
      </c>
      <c r="Z183" s="31">
        <f>IFERROR(__xludf.DUMMYFUNCTION("""COMPUTED_VALUE"""),2024.0)</f>
        <v>2024</v>
      </c>
      <c r="AA183" s="31">
        <f>IFERROR(__xludf.DUMMYFUNCTION("""COMPUTED_VALUE"""),3.0)</f>
        <v>3</v>
      </c>
      <c r="AC183" s="31" t="str">
        <f>IFERROR(__xludf.DUMMYFUNCTION("""COMPUTED_VALUE"""),"An epidemiologic risk prediction model for ovarian cancer in Europe: the EPIC study.")</f>
        <v>An epidemiologic risk prediction model for ovarian cancer in Europe: the EPIC study.</v>
      </c>
      <c r="AD183" s="31" t="str">
        <f>IFERROR(__xludf.DUMMYFUNCTION("""COMPUTED_VALUE"""),"Li, K; Hüsing, A; Fortner, R T; Tjønneland, A; Hansen, L; Dossus, L; Chang-Claude, J; Bergmann, M; Steffen, A; Bamia, C; Trichopoulos, D; Trichopoulou, A; Palli, D; Mattiello, A; Agnoli, C; Tumino, R; Onland-Moret, N C; Peeters, P H; Bueno-de-Mesquita, H "&amp;"B; Gram, I T; Weiderpass, E; Sánchez-Cantalejo, E; Chirlaque, M-D; Duell, E J; Ardanaz, E; Idahl, A; Lundin, E; Khaw, K-T; Travis, R C; Merritt, M A; Gunter, M J; Riboli, E; Ferrari, P; Terry, K; Cramer, D; Kaaks, R")</f>
        <v>Li, K; Hüsing, A; Fortner, R T; Tjønneland, A; Hansen, L; Dossus, L; Chang-Claude, J; Bergmann, M; Steffen, A; Bamia, C; Trichopoulos, D; Trichopoulou, A; Palli, D; Mattiello, A; Agnoli, C; Tumino, R; Onland-Moret, N C; Peeters, P H; Bueno-de-Mesquita, H B; Gram, I T; Weiderpass, E; Sánchez-Cantalejo, E; Chirlaque, M-D; Duell, E J; Ardanaz, E; Idahl, A; Lundin, E; Khaw, K-T; Travis, R C; Merritt, M A; Gunter, M J; Riboli, E; Ferrari, P; Terry, K; Cramer, D; Kaaks, R</v>
      </c>
      <c r="AE183" s="32">
        <f>IFERROR(__xludf.DUMMYFUNCTION("""COMPUTED_VALUE"""),42094.0)</f>
        <v>42094</v>
      </c>
      <c r="AF183" s="31" t="str">
        <f>IFERROR(__xludf.DUMMYFUNCTION("""COMPUTED_VALUE"""),"Social jet lag and (changes in) glycemic and metabolic control in people with type 2 diabetes.")</f>
        <v>Social jet lag and (changes in) glycemic and metabolic control in people with type 2 diabetes.</v>
      </c>
      <c r="AG183" s="31" t="str">
        <f>IFERROR(__xludf.DUMMYFUNCTION("""COMPUTED_VALUE"""),"Bouman, Emma J; Beulens, Joline W J; den Braver, Nicolette R; Blom, Marieke T; Remmelzwaal, Sharon; Elders, Petra J M; Rutters, Femke")</f>
        <v>Bouman, Emma J; Beulens, Joline W J; den Braver, Nicolette R; Blom, Marieke T; Remmelzwaal, Sharon; Elders, Petra J M; Rutters, Femke</v>
      </c>
      <c r="AH183" s="32">
        <f>IFERROR(__xludf.DUMMYFUNCTION("""COMPUTED_VALUE"""),44985.0)</f>
        <v>44985</v>
      </c>
      <c r="AI183" s="31" t="str">
        <f>IFERROR(__xludf.DUMMYFUNCTION("""COMPUTED_VALUE"""),"Using point-of-care C-reactive protein to guide antibiotic prescribing for lower respiratory tract infections in elderly nursing home residents (UPCARE): study design of a cluster randomized controlled trial.")</f>
        <v>Using point-of-care C-reactive protein to guide antibiotic prescribing for lower respiratory tract infections in elderly nursing home residents (UPCARE): study design of a cluster randomized controlled trial.</v>
      </c>
      <c r="AJ183" s="31" t="str">
        <f>IFERROR(__xludf.DUMMYFUNCTION("""COMPUTED_VALUE"""),"Boere, Tjarda M; van Buul, Laura W; Hopstaken, Rogier M; Veenhuizen, Ruth B; van Tulder, Maurits W; Cals, Jochen W L; Verheij, Theo J M; Hertogh, Cees M P M")</f>
        <v>Boere, Tjarda M; van Buul, Laura W; Hopstaken, Rogier M; Veenhuizen, Ruth B; van Tulder, Maurits W; Cals, Jochen W L; Verheij, Theo J M; Hertogh, Cees M P M</v>
      </c>
      <c r="AK183" s="32">
        <f>IFERROR(__xludf.DUMMYFUNCTION("""COMPUTED_VALUE"""),43888.0)</f>
        <v>43888</v>
      </c>
      <c r="AL183" s="31" t="str">
        <f>IFERROR(__xludf.DUMMYFUNCTION("""COMPUTED_VALUE"""),"White matter hyperintensity shape is associated with cognitive functioning - the SMART-MR study.")</f>
        <v>White matter hyperintensity shape is associated with cognitive functioning - the SMART-MR study.</v>
      </c>
      <c r="AM183" s="31" t="str">
        <f>IFERROR(__xludf.DUMMYFUNCTION("""COMPUTED_VALUE"""),"Zwartbol, Maarten H T; Ghaznawi, Rashid; Jaarsma-Coes, Myriam; Kuijf, Hugo; Hendrikse, Jeroen; de Bresser, Jeroen; Geerlings, Mirjam I; ,")</f>
        <v>Zwartbol, Maarten H T; Ghaznawi, Rashid; Jaarsma-Coes, Myriam; Kuijf, Hugo; Hendrikse, Jeroen; de Bresser, Jeroen; Geerlings, Mirjam I; ,</v>
      </c>
      <c r="AN183" s="32">
        <f>IFERROR(__xludf.DUMMYFUNCTION("""COMPUTED_VALUE"""),44796.0)</f>
        <v>44796</v>
      </c>
    </row>
    <row r="184">
      <c r="A184" s="32"/>
      <c r="I184" s="31" t="str">
        <f>IFERROR(__xludf.DUMMYFUNCTION("""COMPUTED_VALUE"""),"the lancet public health")</f>
        <v>the lancet public health</v>
      </c>
      <c r="J184" s="38">
        <f>COUNTIF(Data!$F$2:$F9917, $I184)</f>
        <v>2</v>
      </c>
      <c r="T184" s="31" t="s">
        <v>25679</v>
      </c>
      <c r="U184" s="31" t="s">
        <v>25680</v>
      </c>
      <c r="V184" s="32">
        <v>45530.0</v>
      </c>
      <c r="X184" s="31" t="str">
        <f>IFERROR(__xludf.DUMMYFUNCTION("""COMPUTED_VALUE"""),"Don't be misled: 3 misconceptions about external validation of clinical prediction models.")</f>
        <v>Don't be misled: 3 misconceptions about external validation of clinical prediction models.</v>
      </c>
      <c r="Y184" s="31"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Z184" s="31">
        <f>IFERROR(__xludf.DUMMYFUNCTION("""COMPUTED_VALUE"""),2024.0)</f>
        <v>2024</v>
      </c>
      <c r="AA184" s="31">
        <f>IFERROR(__xludf.DUMMYFUNCTION("""COMPUTED_VALUE"""),3.0)</f>
        <v>3</v>
      </c>
      <c r="AC184" s="31" t="str">
        <f>IFERROR(__xludf.DUMMYFUNCTION("""COMPUTED_VALUE"""),"Reproductive and hormone-related risk factors for epithelial ovarian cancer by histologic pathways, invasiveness and histologic subtypes: Results from the EPIC cohort.")</f>
        <v>Reproductive and hormone-related risk factors for epithelial ovarian cancer by histologic pathways, invasiveness and histologic subtypes: Results from the EPIC cohort.</v>
      </c>
      <c r="AD184" s="31" t="str">
        <f>IFERROR(__xludf.DUMMYFUNCTION("""COMPUTED_VALUE"""),"Fortner, Renée T; Ose, Jennifer; Merritt, Melissa A; Schock, Helena; Tjønneland, Anne; Hansen, Louise; Overvad, Kim; Dossus, Laure; Clavel-Chapelon, Françoise; Baglietto, Laura; Boeing, Heiner; Trichopoulou, Antonia; Benetou, Vassiliki; Lagiou, Pagona; Ag"&amp;"noli, Claudia; Mattiello, Amalia; Masala, Giovanna; Tumino, Rosario; Sacerdote, Carlotta; Bueno-de-Mesquita, H B As; Onland-Moret, N Charlotte; Peeters, Petra H; Weiderpass, Elisabete; Torhild Gram, Inger; Duell, Eric J; Larrañaga, Nerea; Ardanaz, Eva; Sá"&amp;"nchez, María-José; Chirlaque, M-D; Brändstedt, Jenny; Idahl, Annika; Lundin, Eva; Khaw, Kay-Tee; Wareham, Nick; Travis, Ruth C; Rinaldi, Sabina; Romieu, Isabelle; Gunter, Marc J; Riboli, Elio; Kaaks, Rudolf")</f>
        <v>Fortner, Renée T; Ose, Jennifer; Merritt, Melissa A; Schock, Helena; Tjønneland, Anne; Hansen, Louise; Overvad, Kim; Dossus, Laure; Clavel-Chapelon, Françoise; Baglietto, Laura; Boeing, Heiner; Trichopoulou, Antonia; Benetou, Vassiliki; Lagiou, Pagona; Agnoli, Claudia; Mattiello, Amalia; Masala, Giovanna; Tumino, Rosario; Sacerdote, Carlotta; Bueno-de-Mesquita, H B As; Onland-Moret, N Charlotte; Peeters, Petra H; Weiderpass, Elisabete; Torhild Gram, Inger; Duell, Eric J; Larrañaga, Nerea; Ardanaz, Eva; Sánchez, María-José; Chirlaque, M-D; Brändstedt, Jenny; Idahl, Annika; Lundin, Eva; Khaw, Kay-Tee; Wareham, Nick; Travis, Ruth C; Rinaldi, Sabina; Romieu, Isabelle; Gunter, Marc J; Riboli, Elio; Kaaks, Rudolf</v>
      </c>
      <c r="AE184" s="32">
        <f>IFERROR(__xludf.DUMMYFUNCTION("""COMPUTED_VALUE"""),42061.0)</f>
        <v>42061</v>
      </c>
      <c r="AF184" s="31" t="str">
        <f>IFERROR(__xludf.DUMMYFUNCTION("""COMPUTED_VALUE"""),"The effect of exposure to traffic related air pollutants in pregnancy on birth anthropometry: a cohort study in a heavily polluted low-middle income country.")</f>
        <v>The effect of exposure to traffic related air pollutants in pregnancy on birth anthropometry: a cohort study in a heavily polluted low-middle income country.</v>
      </c>
      <c r="AG184" s="31" t="str">
        <f>IFERROR(__xludf.DUMMYFUNCTION("""COMPUTED_VALUE"""),"Soesanti, Frida; Uiterwaal, Cuno S P M; Meliefste, Kees; Chen, Jie; Brunekreef, Bert; Idris, Nikmah S; Grobbee, Diederick E; Klipstein-Grobusch, Kerstin; Hoek, Gerard")</f>
        <v>Soesanti, Frida; Uiterwaal, Cuno S P M; Meliefste, Kees; Chen, Jie; Brunekreef, Bert; Idris, Nikmah S; Grobbee, Diederick E; Klipstein-Grobusch, Kerstin; Hoek, Gerard</v>
      </c>
      <c r="AH184" s="32">
        <f>IFERROR(__xludf.DUMMYFUNCTION("""COMPUTED_VALUE"""),44984.0)</f>
        <v>44984</v>
      </c>
      <c r="AI184" s="31" t="str">
        <f>IFERROR(__xludf.DUMMYFUNCTION("""COMPUTED_VALUE"""),"Sodium-glucose co-transporter 2 inhibitors and acute heart failure.")</f>
        <v>Sodium-glucose co-transporter 2 inhibitors and acute heart failure.</v>
      </c>
      <c r="AJ184" s="31" t="str">
        <f>IFERROR(__xludf.DUMMYFUNCTION("""COMPUTED_VALUE"""),"Groenewegen, Amy; Rutten, Frans H")</f>
        <v>Groenewegen, Amy; Rutten, Frans H</v>
      </c>
      <c r="AK184" s="32">
        <f>IFERROR(__xludf.DUMMYFUNCTION("""COMPUTED_VALUE"""),43879.0)</f>
        <v>43879</v>
      </c>
      <c r="AL184" s="31" t="str">
        <f>IFERROR(__xludf.DUMMYFUNCTION("""COMPUTED_VALUE"""),"Cost-effectiveness of the implementation of [&lt;sup&gt;68&lt;/sup&gt;Ga]Ga-PSMA-11 PET/CT at initial prostate cancer staging.")</f>
        <v>Cost-effectiveness of the implementation of [&lt;sup&gt;68&lt;/sup&gt;Ga]Ga-PSMA-11 PET/CT at initial prostate cancer staging.</v>
      </c>
      <c r="AM184" s="31" t="str">
        <f>IFERROR(__xludf.DUMMYFUNCTION("""COMPUTED_VALUE"""),"van der Sar, Esmée C A; Keusters, Willem R; van Kalmthout, Ludwike W M; Braat, Arthur J A T; de Keizer, Bart; Frederix, Geert W J; Kooistra, Anko; Lavalaye, Jules; Lam, Marnix G E H; van Melick, Harm H E")</f>
        <v>van der Sar, Esmée C A; Keusters, Willem R; van Kalmthout, Ludwike W M; Braat, Arthur J A T; de Keizer, Bart; Frederix, Geert W J; Kooistra, Anko; Lavalaye, Jules; Lam, Marnix G E H; van Melick, Harm H E</v>
      </c>
      <c r="AN184" s="32">
        <f>IFERROR(__xludf.DUMMYFUNCTION("""COMPUTED_VALUE"""),44786.0)</f>
        <v>44786</v>
      </c>
    </row>
    <row r="185">
      <c r="A185" s="32"/>
      <c r="I185" s="31" t="str">
        <f>IFERROR(__xludf.DUMMYFUNCTION("""COMPUTED_VALUE"""),"the patient")</f>
        <v>the patient</v>
      </c>
      <c r="J185" s="38">
        <f>COUNTIF(Data!$F$2:$F9917, $I185)</f>
        <v>6</v>
      </c>
      <c r="T185" s="31" t="s">
        <v>25782</v>
      </c>
      <c r="U185" s="31" t="s">
        <v>25783</v>
      </c>
      <c r="V185" s="32">
        <v>45528.0</v>
      </c>
      <c r="X185" s="31" t="str">
        <f>IFERROR(__xludf.DUMMYFUNCTION("""COMPUTED_VALUE"""),"Prediction of individual lifetime cardiovascular risk and potential treatment benefit: development and recalibration of the LIFE-CVD2 model to four European risk regions.")</f>
        <v>Prediction of individual lifetime cardiovascular risk and potential treatment benefit: development and recalibration of the LIFE-CVD2 model to four European risk regions.</v>
      </c>
      <c r="Y185" s="31" t="str">
        <f>IFERROR(__xludf.DUMMYFUNCTION("""COMPUTED_VALUE"""),"Hageman, Steven H J; Kaptoge, Stephen; de Vries, Tamar I; Lu, Wentian; Kist, Janet M; van Os, Hendrikus J A; Numans, Mattijs E; Läll, Kristi; Bobak, Martin; Pikhart, Hynek; Kubinova, Ruzena; Malyutina, Sofia; Pająk, Andrzej; Tamosiunas, Abdonas; Erbel, Ra"&amp;"imund; Stang, Andreas; Schmidt, Börge; Schramm, Sara; Bolton, Thomas R; Spackman, Sarah; Bakker, Stephan J L; Blaha, Michael; Boer, Jolanda M A; Bonnefond, Amélie; Brenner, Hermann; Brunner, Eric J; Cook, Nancy R; Davidson, Karina; Dennison, Elaine; Donfr"&amp;"ancesco, Chiara; Dörr, Marcus; Floyd, James S; Ford, Ian; Fu, Michael; Gansevoort, Ron T; Giampaoli, Simona; Gillum, Richard F; Gómez-de-la-Cámara, Agustín; Håheim, Lise Lund; Hansson, Per-Olof; Harms, Peter; Humphries, Steve E; Ikram, M Kamran; Jukema, J"&amp;" Wouter; Kavousi, Maryam; Kiechl, Stefan; Kucharska-Newton, Anna; Pablos, David Lora; Matsushita, Kunihiro; Meyer, Haakon E; Moons, Karel G M; Mortensen, Martin Bødtker; Muilwijk, Mirthe; Nordestgaard, Børge G; Packard, Chris; Pamieri,")</f>
        <v>Hageman, Steven H J; Kaptoge, Stephen; de Vries, Tamar I; Lu, Wentian; Kist, Janet M; van Os, Hendrikus J A; Numans, Mattijs E; Läll, Kristi; Bobak, Martin; Pikhart, Hynek; Kubinova, Ruzena; Malyutina, Sofia; Pająk, Andrzej; Tamosiunas, Abdonas; Erbel, Raimund; Stang, Andreas; Schmidt, Börge; Schramm, Sara; Bolton, Thomas R; Spackman, Sarah; Bakker, Stephan J L; Blaha, Michael; Boer, Jolanda M A; Bonnefond, Amélie; Brenner, Hermann; Brunner, Eric J; Cook, Nancy R; Davidson, Karina; Dennison, Elaine; Donfrancesco, Chiara; Dörr, Marcus; Floyd, James S; Ford, Ian; Fu, Michael; Gansevoort, Ron T; Giampaoli, Simona; Gillum, Richard F; Gómez-de-la-Cámara, Agustín; Håheim, Lise Lund; Hansson, Per-Olof; Harms, Peter; Humphries, Steve E; Ikram, M Kamran; Jukema, J Wouter; Kavousi, Maryam; Kiechl, Stefan; Kucharska-Newton, Anna; Pablos, David Lora; Matsushita, Kunihiro; Meyer, Haakon E; Moons, Karel G M; Mortensen, Martin Bødtker; Muilwijk, Mirthe; Nordestgaard, Børge G; Packard, Chris; Pamieri,</v>
      </c>
      <c r="Z185" s="31">
        <f>IFERROR(__xludf.DUMMYFUNCTION("""COMPUTED_VALUE"""),2024.0)</f>
        <v>2024</v>
      </c>
      <c r="AA185" s="31">
        <f>IFERROR(__xludf.DUMMYFUNCTION("""COMPUTED_VALUE"""),3.0)</f>
        <v>3</v>
      </c>
      <c r="AC185" s="31" t="str">
        <f>IFERROR(__xludf.DUMMYFUNCTION("""COMPUTED_VALUE"""),"Investigation of dietary factors and endometrial cancer risk using a nutrient-wide association study approach in the EPIC and Nurses' Health Study (NHS) and NHSII.")</f>
        <v>Investigation of dietary factors and endometrial cancer risk using a nutrient-wide association study approach in the EPIC and Nurses' Health Study (NHS) and NHSII.</v>
      </c>
      <c r="AD185" s="31" t="str">
        <f>IFERROR(__xludf.DUMMYFUNCTION("""COMPUTED_VALUE"""),"Merritt, Melissa A; Tzoulaki, Ioanna; Tworoger, Shelley S; De Vivo, Immaculata; Hankinson, Susan E; Fernandes, Judy; Tsilidis, Konstantinos K; Weiderpass, Elisabete; Tjønneland, Anne; Petersen, Kristina E N; Dahm, Christina C; Overvad, Kim; Dossus, Laure;"&amp;" Boutron-Ruault, Marie-Christine; Fagherazzi, Guy; Fortner, Renée T; Kaaks, Rudolf; Aleksandrova, Krasimira; Boeing, Heiner; Trichopoulou, Antonia; Bamia, Christina; Trichopoulos, Dimitrios; Palli, Domenico; Grioni, Sara; Tumino, Rosario; Sacerdote, Carlo"&amp;"tta; Mattiello, Amalia; Bueno-de-Mesquita, H Bas; Onland-Moret, N Charlotte; Peeters, Petra H; Gram, Inger T; Skeie, Guri; Quirós, J Ramón; Duell, Eric J; Sánchez, María-José; Salmerón, D; Barricarte, Aurelio; Chamosa, Saioa; Ericson, Ulrica; Sonestedt, E"&amp;"mily; Nilsson, Lena Maria; Idahl, Annika; Khaw, Kay-Tee; Wareham, Nicholas; Travis, Ruth C; Rinaldi, Sabina; Romieu, Isabelle; Patel, Chirag J; Riboli, Elio; Gunter, Marc J")</f>
        <v>Merritt, Melissa A; Tzoulaki, Ioanna; Tworoger, Shelley S; De Vivo, Immaculata; Hankinson, Susan E; Fernandes, Judy; Tsilidis, Konstantinos K; Weiderpass, Elisabete; Tjønneland, Anne; Petersen, Kristina E N; Dahm, Christina C; Overvad, Kim; Dossus, Laure; Boutron-Ruault, Marie-Christine; Fagherazzi, Guy; Fortner, Renée T; Kaaks, Rudolf; Aleksandrova, Krasimira; Boeing, Heiner; Trichopoulou, Antonia; Bamia, Christina; Trichopoulos, Dimitrios; Palli, Domenico; Grioni, Sara; Tumino, Rosario; Sacerdote, Carlotta; Mattiello, Amalia; Bueno-de-Mesquita, H Bas; Onland-Moret, N Charlotte; Peeters, Petra H; Gram, Inger T; Skeie, Guri; Quirós, J Ramón; Duell, Eric J; Sánchez, María-José; Salmerón, D; Barricarte, Aurelio; Chamosa, Saioa; Ericson, Ulrica; Sonestedt, Emily; Nilsson, Lena Maria; Idahl, Annika; Khaw, Kay-Tee; Wareham, Nicholas; Travis, Ruth C; Rinaldi, Sabina; Romieu, Isabelle; Patel, Chirag J; Riboli, Elio; Gunter, Marc J</v>
      </c>
      <c r="AE185" s="32">
        <f>IFERROR(__xludf.DUMMYFUNCTION("""COMPUTED_VALUE"""),42036.0)</f>
        <v>42036</v>
      </c>
      <c r="AF185" s="31" t="str">
        <f>IFERROR(__xludf.DUMMYFUNCTION("""COMPUTED_VALUE"""),"Prognostic models in COVID-19 infection that predict severity: a systematic review.")</f>
        <v>Prognostic models in COVID-19 infection that predict severity: a systematic review.</v>
      </c>
      <c r="AG185" s="31" t="str">
        <f>IFERROR(__xludf.DUMMYFUNCTION("""COMPUTED_VALUE"""),"Buttia, Chepkoech; Llanaj, Erand; Raeisi-Dehkordi, Hamidreza; Kastrati, Lum; Amiri, Mojgan; Meçani, Renald; Taneri, Petek Eylul; Ochoa, Sergio Alejandro Gómez; Raguindin, Peter Francis; Wehrli, Faina; Khatami, Farnaz; Espínola, Octavio Pano; Rojas, Lyda Z"&amp;"; de Mortanges, Aurélie Pahud; Macharia-Nimietz, Eric Francis; Alijla, Fadi; Minder, Beatrice; Leichtle, Alexander B; Lüthi, Nora; Ehrhard, Simone; Que, Yok-Ai; Fernandes, Laurenz Kopp; Hautz, Wolf; Muka, Taulant")</f>
        <v>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v>
      </c>
      <c r="AH185" s="32">
        <f>IFERROR(__xludf.DUMMYFUNCTION("""COMPUTED_VALUE"""),44982.0)</f>
        <v>44982</v>
      </c>
      <c r="AI185" s="31" t="str">
        <f>IFERROR(__xludf.DUMMYFUNCTION("""COMPUTED_VALUE"""),"The Perspectives of Adolescents and Young Adults on Adherence to Prophylaxis in Hemophilia: A Qualitative Study.")</f>
        <v>The Perspectives of Adolescents and Young Adults on Adherence to Prophylaxis in Hemophilia: A Qualitative Study.</v>
      </c>
      <c r="AJ185" s="31" t="str">
        <f>IFERROR(__xludf.DUMMYFUNCTION("""COMPUTED_VALUE"""),"Hoefnagels, J W; Kars, M C; Fischer, K; Schutgens, Reg; Schrijvers, L H")</f>
        <v>Hoefnagels, J W; Kars, M C; Fischer, K; Schutgens, Reg; Schrijvers, L H</v>
      </c>
      <c r="AK185" s="32">
        <f>IFERROR(__xludf.DUMMYFUNCTION("""COMPUTED_VALUE"""),43853.0)</f>
        <v>43853</v>
      </c>
      <c r="AL185" s="31" t="str">
        <f>IFERROR(__xludf.DUMMYFUNCTION("""COMPUTED_VALUE"""),"Smartphone Application-Assisted Home Blood Pressure Monitoring Compared With Office and Ambulatory Blood Pressure Monitoring in Patients With Hypertension: the AMUSE-BP Study.")</f>
        <v>Smartphone Application-Assisted Home Blood Pressure Monitoring Compared With Office and Ambulatory Blood Pressure Monitoring in Patients With Hypertension: the AMUSE-BP Study.</v>
      </c>
      <c r="AM185" s="31" t="str">
        <f>IFERROR(__xludf.DUMMYFUNCTION("""COMPUTED_VALUE"""),"Groenland, Eline H; Vendeville, Jean-Paul A C; Bemelmans, Remy H H; Monajemi, Houshang; Bots, Michiel L; Visseren, Frank L J; Spiering, Wilko")</f>
        <v>Groenland, Eline H; Vendeville, Jean-Paul A C; Bemelmans, Remy H H; Monajemi, Houshang; Bots, Michiel L; Visseren, Frank L J; Spiering, Wilko</v>
      </c>
      <c r="AN185" s="32">
        <f>IFERROR(__xludf.DUMMYFUNCTION("""COMPUTED_VALUE"""),44785.0)</f>
        <v>44785</v>
      </c>
    </row>
    <row r="186">
      <c r="A186" s="32"/>
      <c r="I186" s="31" t="str">
        <f>IFERROR(__xludf.DUMMYFUNCTION("""COMPUTED_VALUE"""),"nature communications")</f>
        <v>nature communications</v>
      </c>
      <c r="J186" s="38">
        <f>COUNTIF(Data!$F$2:$F9917, $I186)</f>
        <v>27</v>
      </c>
      <c r="T186" s="31" t="s">
        <v>25369</v>
      </c>
      <c r="U186" s="31" t="s">
        <v>25370</v>
      </c>
      <c r="V186" s="32">
        <v>45527.0</v>
      </c>
      <c r="X186" s="31" t="str">
        <f>IFERROR(__xludf.DUMMYFUNCTION("""COMPUTED_VALUE"""),"Consumer wearable devices for evaluation of heart rate control using digoxin versus beta-blockers: the RATE-AF randomized trial.")</f>
        <v>Consumer wearable devices for evaluation of heart rate control using digoxin versus beta-blockers: the RATE-AF randomized trial.</v>
      </c>
      <c r="Y186" s="31" t="str">
        <f>IFERROR(__xludf.DUMMYFUNCTION("""COMPUTED_VALUE"""),"Gill, Simrat K; Barsky, Andrey; Guan, Xin; Bunting, Karina V; Karwath, Andreas; Tica, Otilia; Stanbury, Mary; Haynes, Sandra; Folarin, Amos; Dobson, Richard; Kurps, Julia; Asselbergs, Folkert W; Grobbee, Diederick E; Camm, A John; Eijkemans, Marinus J C; "&amp;"Gkoutos, Georgios V; Kotecha, Dipak; ,; ,; ,")</f>
        <v>Gill, Simrat K; Barsky, Andrey; Guan, Xin; Bunting, Karina V; Karwath, Andreas; Tica, Otilia; Stanbury, Mary; Haynes, Sandra; Folarin, Amos; Dobson, Richard; Kurps, Julia; Asselbergs, Folkert W; Grobbee, Diederick E; Camm, A John; Eijkemans, Marinus J C; Gkoutos, Georgios V; Kotecha, Dipak; ,; ,; ,</v>
      </c>
      <c r="Z186" s="31">
        <f>IFERROR(__xludf.DUMMYFUNCTION("""COMPUTED_VALUE"""),2024.0)</f>
        <v>2024</v>
      </c>
      <c r="AA186" s="31">
        <f>IFERROR(__xludf.DUMMYFUNCTION("""COMPUTED_VALUE"""),3.0)</f>
        <v>3</v>
      </c>
      <c r="AC186" s="31" t="str">
        <f>IFERROR(__xludf.DUMMYFUNCTION("""COMPUTED_VALUE"""),"Serum retinol levels and pulmonary function in children and adolescents with cystic fibrosis.")</f>
        <v>Serum retinol levels and pulmonary function in children and adolescents with cystic fibrosis.</v>
      </c>
      <c r="AD186" s="31" t="str">
        <f>IFERROR(__xludf.DUMMYFUNCTION("""COMPUTED_VALUE"""),"Woestenenk, J W; Broos, N; Stellato, R K; Arets, H G M; van der Ent, C K; Houwen, R H J")</f>
        <v>Woestenenk, J W; Broos, N; Stellato, R K; Arets, H G M; van der Ent, C K; Houwen, R H J</v>
      </c>
      <c r="AE186" s="32">
        <f>IFERROR(__xludf.DUMMYFUNCTION("""COMPUTED_VALUE"""),42017.0)</f>
        <v>42017</v>
      </c>
      <c r="AF186" s="31" t="str">
        <f>IFERROR(__xludf.DUMMYFUNCTION("""COMPUTED_VALUE"""),"Change in glycaemic control with structured diabetes self-management education in urban low-resource settings: multicentre randomised trial of effectiveness.")</f>
        <v>Change in glycaemic control with structured diabetes self-management education in urban low-resource settings: multicentre randomised trial of effectiveness.</v>
      </c>
      <c r="AG186" s="31" t="str">
        <f>IFERROR(__xludf.DUMMYFUNCTION("""COMPUTED_VALUE"""),"Lamptey, Roberta; Amoakoh-Coleman, Mary; Barker, Mary Moffett; Iddi, Samuel; Hadjiconstantinou, Michelle; Davies, Melanie; Darko, Daniel; Agyepong, Irene; Acheampong, Franklyn; Commey, Mary; Yawson, Alfred; Grobbee, Diederick E; Adjei, George Obeng; Klips"&amp;"tein-Grobusch, Kerstin")</f>
        <v>Lamptey, Roberta; Amoakoh-Coleman, Mary; Barker, Mary Moffett; Iddi, Samuel; Hadjiconstantinou, Michelle; Davies, Melanie; Darko, Daniel; Agyepong, Irene; Acheampong, Franklyn; Commey, Mary; Yawson, Alfred; Grobbee, Diederick E; Adjei, George Obeng; Klipstein-Grobusch, Kerstin</v>
      </c>
      <c r="AH186" s="32">
        <f>IFERROR(__xludf.DUMMYFUNCTION("""COMPUTED_VALUE"""),44981.0)</f>
        <v>44981</v>
      </c>
      <c r="AI186" s="31" t="str">
        <f>IFERROR(__xludf.DUMMYFUNCTION("""COMPUTED_VALUE"""),"Interventions to prevent and treat malnutrition in older adults to be carried out by nurses: A systematic review.")</f>
        <v>Interventions to prevent and treat malnutrition in older adults to be carried out by nurses: A systematic review.</v>
      </c>
      <c r="AJ186" s="31" t="str">
        <f>IFERROR(__xludf.DUMMYFUNCTION("""COMPUTED_VALUE"""),"Ten Cate, Debbie; Ettema, Roelof G A; Huisman-de Waal, Getty; Bell, Jack J; Verbrugge, Remco; Schoonhoven, Lisette; Schuurmans, Marieke J; ,")</f>
        <v>Ten Cate, Debbie; Ettema, Roelof G A; Huisman-de Waal, Getty; Bell, Jack J; Verbrugge, Remco; Schoonhoven, Lisette; Schuurmans, Marieke J; ,</v>
      </c>
      <c r="AK186" s="32">
        <f>IFERROR(__xludf.DUMMYFUNCTION("""COMPUTED_VALUE"""),43845.0)</f>
        <v>43845</v>
      </c>
      <c r="AL186" s="31" t="str">
        <f>IFERROR(__xludf.DUMMYFUNCTION("""COMPUTED_VALUE"""),"Elevated miR-29c-5p Expression in Nipple Aspirate Fluid Is Associated with Extremely High Mammographic Breast Density.")</f>
        <v>Elevated miR-29c-5p Expression in Nipple Aspirate Fluid Is Associated with Extremely High Mammographic Breast Density.</v>
      </c>
      <c r="AM186" s="31" t="str">
        <f>IFERROR(__xludf.DUMMYFUNCTION("""COMPUTED_VALUE"""),"Vissers, Tessa A C M; Piek, Leonie; Patuleia, Susana I S; Duinmeijer, Aafke J; Bakker, Marije F; van der Wall, Elsken; van Diest, Paul J; van Gils, Carla H; Moelans, Cathy B")</f>
        <v>Vissers, Tessa A C M; Piek, Leonie; Patuleia, Susana I S; Duinmeijer, Aafke J; Bakker, Marije F; van der Wall, Elsken; van Diest, Paul J; van Gils, Carla H; Moelans, Cathy B</v>
      </c>
      <c r="AN186" s="32">
        <f>IFERROR(__xludf.DUMMYFUNCTION("""COMPUTED_VALUE"""),44778.0)</f>
        <v>44778</v>
      </c>
    </row>
    <row r="187">
      <c r="A187" s="32"/>
      <c r="I187" s="31" t="str">
        <f>IFERROR(__xludf.DUMMYFUNCTION("""COMPUTED_VALUE"""),"systematic reviews")</f>
        <v>systematic reviews</v>
      </c>
      <c r="J187" s="38">
        <f>COUNTIF(Data!$F$2:$F9917, $I187)</f>
        <v>5</v>
      </c>
      <c r="T187" s="31" t="s">
        <v>25002</v>
      </c>
      <c r="U187" s="31" t="s">
        <v>25003</v>
      </c>
      <c r="V187" s="32">
        <v>45526.0</v>
      </c>
      <c r="X187" s="31" t="str">
        <f>IFERROR(__xludf.DUMMYFUNCTION("""COMPUTED_VALUE"""),"TRIPOD+AI statement: updated guidance for reporting clinical prediction models that use regression or machine learning methods.")</f>
        <v>TRIPOD+AI statement: updated guidance for reporting clinical prediction models that use regression or machine learning methods.</v>
      </c>
      <c r="Y187" s="31"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Z187" s="31">
        <f>IFERROR(__xludf.DUMMYFUNCTION("""COMPUTED_VALUE"""),2024.0)</f>
        <v>2024</v>
      </c>
      <c r="AA187" s="31">
        <f>IFERROR(__xludf.DUMMYFUNCTION("""COMPUTED_VALUE"""),2.0)</f>
        <v>2</v>
      </c>
      <c r="AC187" s="31" t="str">
        <f>IFERROR(__xludf.DUMMYFUNCTION("""COMPUTED_VALUE"""),"A Controlled Health Promoting School Study in the Netherlands: Effects After 1 and 2 Years of Intervention.")</f>
        <v>A Controlled Health Promoting School Study in the Netherlands: Effects After 1 and 2 Years of Intervention.</v>
      </c>
      <c r="AD187" s="31" t="str">
        <f>IFERROR(__xludf.DUMMYFUNCTION("""COMPUTED_VALUE"""),"Busch, Vincent; De Leeuw, Johannes Rob Josephus; Zuithoff, Nicolaas P A; Van Yperen, Tom Albert; Schrijvers, Augustinus Jacobus Petrus")</f>
        <v>Busch, Vincent; De Leeuw, Johannes Rob Josephus; Zuithoff, Nicolaas P A; Van Yperen, Tom Albert; Schrijvers, Augustinus Jacobus Petrus</v>
      </c>
      <c r="AE187" s="32">
        <f>IFERROR(__xludf.DUMMYFUNCTION("""COMPUTED_VALUE"""),42011.0)</f>
        <v>42011</v>
      </c>
      <c r="AF187" s="31" t="str">
        <f>IFERROR(__xludf.DUMMYFUNCTION("""COMPUTED_VALUE"""),"Plasma viscosity, immunoglobulins and risk of cardiovascular disease and mortality: new data and meta-analyses.")</f>
        <v>Plasma viscosity, immunoglobulins and risk of cardiovascular disease and mortality: new data and meta-analyses.</v>
      </c>
      <c r="AG187" s="31" t="str">
        <f>IFERROR(__xludf.DUMMYFUNCTION("""COMPUTED_VALUE"""),"Lowe, Gordon D O; Harris, Katie; Koenig, Wolfgang; Ben-Shlomo, Yoav; Thorand, Barbara; Peters, Annette; Meisinger, Christa; Imhof, Armin; Tunstall-Pedoe, Hugh; Peters, Sanne A E; Woodward, Mark")</f>
        <v>Lowe, Gordon D O; Harris, Katie; Koenig, Wolfgang; Ben-Shlomo, Yoav; Thorand, Barbara; Peters, Annette; Meisinger, Christa; Imhof, Armin; Tunstall-Pedoe, Hugh; Peters, Sanne A E; Woodward, Mark</v>
      </c>
      <c r="AH187" s="32">
        <f>IFERROR(__xludf.DUMMYFUNCTION("""COMPUTED_VALUE"""),44981.0)</f>
        <v>44981</v>
      </c>
      <c r="AI187" s="31" t="str">
        <f>IFERROR(__xludf.DUMMYFUNCTION("""COMPUTED_VALUE"""),"Clinical pre-test probability adjusted versus age-adjusted D-dimer interpretation strategy for DVT diagnosis: A diagnostic individual patient data meta-analysis.")</f>
        <v>Clinical pre-test probability adjusted versus age-adjusted D-dimer interpretation strategy for DVT diagnosis: A diagnostic individual patient data meta-analysis.</v>
      </c>
      <c r="AJ187" s="31" t="str">
        <f>IFERROR(__xludf.DUMMYFUNCTION("""COMPUTED_VALUE"""),"Parpia, Sameer; Takach Lapner, Sarah; Schutgens, Roger; Elf, Johan; Geersing, Geert-Jan; Kearon, Clive")</f>
        <v>Parpia, Sameer; Takach Lapner, Sarah; Schutgens, Roger; Elf, Johan; Geersing, Geert-Jan; Kearon, Clive</v>
      </c>
      <c r="AK187" s="32">
        <f>IFERROR(__xludf.DUMMYFUNCTION("""COMPUTED_VALUE"""),43844.0)</f>
        <v>43844</v>
      </c>
      <c r="AL187" s="31" t="str">
        <f>IFERROR(__xludf.DUMMYFUNCTION("""COMPUTED_VALUE"""),"The metabolic hormone adiponectin affects the correlation between nutritional status and pneumococcal vaccine response in vulnerable indigenous children.")</f>
        <v>The metabolic hormone adiponectin affects the correlation between nutritional status and pneumococcal vaccine response in vulnerable indigenous children.</v>
      </c>
      <c r="AM187" s="31" t="str">
        <f>IFERROR(__xludf.DUMMYFUNCTION("""COMPUTED_VALUE"""),"Siegers, Kris E; van Herwaarden, Antonius E; de Waard, Jacobus H; Del Nogal, Berenice; Hermans, Peter W M; van Tienoven, Doorlène; Berbers, Guy A M; de Jonge, Marien I; Verhagen, Lilly M")</f>
        <v>Siegers, Kris E; van Herwaarden, Antonius E; de Waard, Jacobus H; Del Nogal, Berenice; Hermans, Peter W M; van Tienoven, Doorlène; Berbers, Guy A M; de Jonge, Marien I; Verhagen, Lilly M</v>
      </c>
      <c r="AN187" s="32">
        <f>IFERROR(__xludf.DUMMYFUNCTION("""COMPUTED_VALUE"""),44763.0)</f>
        <v>44763</v>
      </c>
    </row>
    <row r="188">
      <c r="A188" s="32"/>
      <c r="I188" s="31" t="str">
        <f>IFERROR(__xludf.DUMMYFUNCTION("""COMPUTED_VALUE"""),"microbiology spectrum")</f>
        <v>microbiology spectrum</v>
      </c>
      <c r="J188" s="38">
        <f>COUNTIF(Data!$F$2:$F9917, $I188)</f>
        <v>2</v>
      </c>
      <c r="T188" s="31" t="s">
        <v>25336</v>
      </c>
      <c r="U188" s="31" t="s">
        <v>25337</v>
      </c>
      <c r="V188" s="32">
        <v>45526.0</v>
      </c>
      <c r="X188" s="31" t="str">
        <f>IFERROR(__xludf.DUMMYFUNCTION("""COMPUTED_VALUE"""),"Hyperbaric Oxygen Therapy and Late Local Toxic Effects in Patients With Irradiated Breast Cancer: A Randomized Clinical Trial.")</f>
        <v>Hyperbaric Oxygen Therapy and Late Local Toxic Effects in Patients With Irradiated Breast Cancer: A Randomized Clinical Trial.</v>
      </c>
      <c r="Y188" s="31" t="str">
        <f>IFERROR(__xludf.DUMMYFUNCTION("""COMPUTED_VALUE"""),"Mink van der Molen, Dieuwke R; Batenburg, Marilot C T; Maarse, Wiesje; van den Bongard, Desiree H J G; Doeksen, Annemiek; de Lange, Marjoleine Y; van der Pol, Carmen C; Evers, Daniel J; Lansdorp, Corine A; van der Laan, Jacco; van de Ven, Peter M; van der"&amp;" Leij, Femke; Verkooijen, Helena M")</f>
        <v>Mink van der Molen, Dieuwke R; Batenburg, Marilot C T; Maarse, Wiesje; van den Bongard, Desiree H J G; Doeksen, Annemiek; de Lange, Marjoleine Y; van der Pol, Carmen C; Evers, Daniel J; Lansdorp, Corine A; van der Laan, Jacco; van de Ven, Peter M; van der Leij, Femke; Verkooijen, Helena M</v>
      </c>
      <c r="Z188" s="31">
        <f>IFERROR(__xludf.DUMMYFUNCTION("""COMPUTED_VALUE"""),2024.0)</f>
        <v>2024</v>
      </c>
      <c r="AA188" s="31">
        <f>IFERROR(__xludf.DUMMYFUNCTION("""COMPUTED_VALUE"""),2.0)</f>
        <v>2</v>
      </c>
      <c r="AC188" s="31" t="str">
        <f>IFERROR(__xludf.DUMMYFUNCTION("""COMPUTED_VALUE"""),"Three-dimensional lower extremity kinematics of Chinese during activities of daily living.")</f>
        <v>Three-dimensional lower extremity kinematics of Chinese during activities of daily living.</v>
      </c>
      <c r="AD188" s="31" t="str">
        <f>IFERROR(__xludf.DUMMYFUNCTION("""COMPUTED_VALUE"""),"Han, Shuyang; Cheng, Gang; Xu, Peng")</f>
        <v>Han, Shuyang; Cheng, Gang; Xu, Peng</v>
      </c>
      <c r="AE188" s="32">
        <f>IFERROR(__xludf.DUMMYFUNCTION("""COMPUTED_VALUE"""),42005.0)</f>
        <v>42005</v>
      </c>
      <c r="AF188" s="31" t="str">
        <f>IFERROR(__xludf.DUMMYFUNCTION("""COMPUTED_VALUE"""),"Presence of retinopathy and incident kidney and cardiovascular events in type 2 diabetes with normoalbuminuria - A post-hoc analysis of the PRIORITY randomized clinical trial.")</f>
        <v>Presence of retinopathy and incident kidney and cardiovascular events in type 2 diabetes with normoalbuminuria - A post-hoc analysis of the PRIORITY randomized clinical trial.</v>
      </c>
      <c r="AG188" s="31" t="str">
        <f>IFERROR(__xludf.DUMMYFUNCTION("""COMPUTED_VALUE"""),"Rotbain Curovic, Viktor; Tofte, Nete; Lindhardt, Morten; Adamova, Katarina; Bakker, Stephan J L; Beige, Joachim; Beulens, Joline W J; Birkenfeld, Andreas L; Currie, Gemma; Delles, Christian; Dimos, Ingo; Francová, Lidmila; Frimodt-Møller, Marie; Girman, P"&amp;"eter; Göke, Rüdiger; Hansen, Tine W; Havrdova, Tereza; Kooy, Adriaan; Laverman, Gozewijnw D; Mischak, Harald; Navis, Gerjan; Nijpels, Giel; Noutsou, Marina; Ortiz, Alberto; Parvanova, Aneliya; Persson, Frederik; Petrie, John R; Ruggenenti, Piero L; Rutter"&amp;"s, Femke; Rychlík, Ivan; Siwy, Justyna; Spasovski, Goce; Speeckaert, Marijn; Trillini, Matias; Zürbig, Petra; von der Leyen, Heiko; Rossing, Peter; ,")</f>
        <v>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AH188" s="32">
        <f>IFERROR(__xludf.DUMMYFUNCTION("""COMPUTED_VALUE"""),44975.0)</f>
        <v>44975</v>
      </c>
      <c r="AI188" s="31" t="str">
        <f>IFERROR(__xludf.DUMMYFUNCTION("""COMPUTED_VALUE"""),"Panel 5: Impact of otitis media on quality of life and development.")</f>
        <v>Panel 5: Impact of otitis media on quality of life and development.</v>
      </c>
      <c r="AJ188" s="31" t="str">
        <f>IFERROR(__xludf.DUMMYFUNCTION("""COMPUTED_VALUE"""),"Homøe, Preben; Heidemann, Christian H; Damoiseaux, Roger Amj; Lailach, Susen; Lieu, Judith E C; Phillips, John S; Venekamp, Roderick P")</f>
        <v>Homøe, Preben; Heidemann, Christian H; Damoiseaux, Roger Amj; Lailach, Susen; Lieu, Judith E C; Phillips, John S; Venekamp, Roderick P</v>
      </c>
      <c r="AK188" s="32">
        <f>IFERROR(__xludf.DUMMYFUNCTION("""COMPUTED_VALUE"""),43819.0)</f>
        <v>43819</v>
      </c>
      <c r="AL188" s="31" t="str">
        <f>IFERROR(__xludf.DUMMYFUNCTION("""COMPUTED_VALUE"""),"How to assess applicability and methodological quality of comparative studies of operative interventions in orthopedic trauma surgery.")</f>
        <v>How to assess applicability and methodological quality of comparative studies of operative interventions in orthopedic trauma surgery.</v>
      </c>
      <c r="AM188" s="31" t="str">
        <f>IFERROR(__xludf.DUMMYFUNCTION("""COMPUTED_VALUE"""),"Luijken, Kim; van de Wall, Bryan J M; Hooft, Lotty; Leenen, Luke P H; Houwert, R Marijn; Groenwold, Rolf H H; ,")</f>
        <v>Luijken, Kim; van de Wall, Bryan J M; Hooft, Lotty; Leenen, Luke P H; Houwert, R Marijn; Groenwold, Rolf H H; ,</v>
      </c>
      <c r="AN188" s="32">
        <f>IFERROR(__xludf.DUMMYFUNCTION("""COMPUTED_VALUE"""),44751.0)</f>
        <v>44751</v>
      </c>
    </row>
    <row r="189">
      <c r="A189" s="32"/>
      <c r="I189" s="31" t="str">
        <f>IFERROR(__xludf.DUMMYFUNCTION("""COMPUTED_VALUE"""),"american journal of obstetrics and gynecology")</f>
        <v>american journal of obstetrics and gynecology</v>
      </c>
      <c r="J189" s="38">
        <f>COUNTIF(Data!$F$2:$F9917, $I189)</f>
        <v>7</v>
      </c>
      <c r="T189" s="31" t="s">
        <v>25710</v>
      </c>
      <c r="U189" s="31" t="s">
        <v>25711</v>
      </c>
      <c r="V189" s="32">
        <v>45526.0</v>
      </c>
      <c r="X189" s="31" t="str">
        <f>IFERROR(__xludf.DUMMYFUNCTION("""COMPUTED_VALUE"""),"Search for New Phenomena in Two-Body Invariant Mass Distributions Using Unsupervised Machine Learning for Anomaly Detection at sqrt[s]=13  TeV with the ATLAS Detector.")</f>
        <v>Search for New Phenomena in Two-Body Invariant Mass Distributions Using Unsupervised Machine Learning for Anomaly Detection at sqrt[s]=13  TeV with the ATLAS Detector.</v>
      </c>
      <c r="Y189" s="31"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Aikot, A; Ait Tamlihat, M; Aitbenchikh, B; Aizenberg, I; Akbiyik, M; Åkesson, T P A; Akimov, A V; Akiyama, D; Ako"&amp;"lkar, N N; Al Khoury, K; Alberghi, G L; Albert, J; Albicocco, P; Albouy, G L; Alderweireldt, S; Aleksa, M; Aleksandrov, I N; Alexa, C; Alexopoulos, T; Alfonsi, F; Algren, M; Alhroob, M; Ali, B; Ali, H M J; Ali, S; Alibocus, S W; Aliev, M; Alimonti, G; Alk"&amp;"akhi, W; Allaire, C; Allbrooke, B M M; Allen, J F; Allendes Flores, C A; Allport, P P; Aloisio, A; Alonso, F; Alpigiani, C; Alvarez Estevez, M; Alvarez Fernandez, A; Alves Cardoso, M; Alviggi, M G; Aly, M; Amaral Coutinho, Y; Ambler, A")</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v>
      </c>
      <c r="Z189" s="31">
        <f>IFERROR(__xludf.DUMMYFUNCTION("""COMPUTED_VALUE"""),2024.0)</f>
        <v>2024</v>
      </c>
      <c r="AA189" s="31">
        <f>IFERROR(__xludf.DUMMYFUNCTION("""COMPUTED_VALUE"""),2.0)</f>
        <v>2</v>
      </c>
      <c r="AC189" s="31" t="str">
        <f>IFERROR(__xludf.DUMMYFUNCTION("""COMPUTED_VALUE"""),"Insulin-like growth factor I and risk of epithelial invasive ovarian cancer by tumour characteristics: results from the EPIC cohort.")</f>
        <v>Insulin-like growth factor I and risk of epithelial invasive ovarian cancer by tumour characteristics: results from the EPIC cohort.</v>
      </c>
      <c r="AD189" s="31" t="str">
        <f>IFERROR(__xludf.DUMMYFUNCTION("""COMPUTED_VALUE"""),"Ose, J; Fortner, R T; Schock, H; Peeters, P H; Onland-Moret, N C; Bueno-de-Mesquita, H B; Weiderpass, E; Gram, I T; Overvad, K; Tjonneland, A; Dossus, L; Fournier, A; Baglietto, L; Trichopoulou, A; Benetou, V; Trichopoulos, D; Boeing, H; Masala, G; Krogh,"&amp;" V; Matiello, A; Tumino, R; Popovic, M; Obón-Santacana, M; Larrañaga, N; Ardanaz, E; Sánchez, M-J; Menéndez, V; Chirlaque, M-D; Travis, R C; Khaw, K-T; Brändstedt, J; Idahl, A; Lundin, E; Rinaldi, S; Kuhn, E; Romieu, I; Gunter, M J; Merritt, M A; Riboli, "&amp;"E; Kaaks, R")</f>
        <v>Ose, J; Fortner, R T; Schock, H; Peeters, P H; Onland-Moret, N C; Bueno-de-Mesquita, H B; Weiderpass, E; Gram, I T; Overvad, K; Tjonneland, A; Dossus, L; Fournier, A; Baglietto, L; Trichopoulou, A; Benetou, V; Trichopoulos, D; Boeing, H; Masala, G; Krogh, V; Matiello, A; Tumino, R; Popovic, M; Obón-Santacana, M; Larrañaga, N; Ardanaz, E; Sánchez, M-J; Menéndez, V; Chirlaque, M-D; Travis, R C; Khaw, K-T; Brändstedt, J; Idahl, A; Lundin, E; Rinaldi, S; Kuhn, E; Romieu, I; Gunter, M J; Merritt, M A; Riboli, E; Kaaks, R</v>
      </c>
      <c r="AE189" s="32">
        <f>IFERROR(__xludf.DUMMYFUNCTION("""COMPUTED_VALUE"""),41947.0)</f>
        <v>41947</v>
      </c>
      <c r="AF189" s="31" t="str">
        <f>IFERROR(__xludf.DUMMYFUNCTION("""COMPUTED_VALUE"""),"Dietary fatty acids and endometrial cancer risk within the European Prospective Investigation into Cancer and Nutrition.")</f>
        <v>Dietary fatty acids and endometrial cancer risk within the European Prospective Investigation into Cancer and Nutrition.</v>
      </c>
      <c r="AG189" s="31" t="str">
        <f>IFERROR(__xludf.DUMMYFUNCTION("""COMPUTED_VALUE"""),"Yammine, S G; Huybrechts, I; Biessy, C; Dossus, L; Panico, S; Sánchez, M J; Benetou, V; Turzanski-Fortner, R; Katzke, V; Idahl, A; Skeie, G; Olsen, K Standahl; Tjønneland, A; Halkjaer, J; Colorado-Yohar, S; Heath, A K; Sonestedt, E; Sartor, H; Schulze, M "&amp;"B; Palli, D; Crous-Bou, M; Dorronsoro, A; Overvad, K; Gurrea, A Barricarte; Severi, G; Vermeulen, R C H; Sandanger, T M; Travis, R C; Key, T; Amiano, P; Van Guelpen, B; Johansson, M; Sund, M; Tumino, R; Wareham, N; Sacerdote, C; Krogh, V; Brennan, P; Ribo"&amp;"li, E; Weiderpass, E; Gunter, M J; Chajès, V")</f>
        <v>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v>
      </c>
      <c r="AH189" s="32">
        <f>IFERROR(__xludf.DUMMYFUNCTION("""COMPUTED_VALUE"""),44973.0)</f>
        <v>44973</v>
      </c>
      <c r="AI189" s="31" t="str">
        <f>IFERROR(__xludf.DUMMYFUNCTION("""COMPUTED_VALUE"""),"A qualitative study on the patient's narrative in the progression of chronic venous disease into a first venous leg ulcer: a series of events.")</f>
        <v>A qualitative study on the patient's narrative in the progression of chronic venous disease into a first venous leg ulcer: a series of events.</v>
      </c>
      <c r="AJ189" s="31" t="str">
        <f>IFERROR(__xludf.DUMMYFUNCTION("""COMPUTED_VALUE"""),"Meulendijks, A M; Welbie, M; Tjin, E P M; Schoonhoven, L; Neumann, H A M")</f>
        <v>Meulendijks, A M; Welbie, M; Tjin, E P M; Schoonhoven, L; Neumann, H A M</v>
      </c>
      <c r="AK189" s="32">
        <f>IFERROR(__xludf.DUMMYFUNCTION("""COMPUTED_VALUE"""),43801.0)</f>
        <v>43801</v>
      </c>
      <c r="AL189" s="31" t="str">
        <f>IFERROR(__xludf.DUMMYFUNCTION("""COMPUTED_VALUE"""),"Metabolically Defined Body Size Phenotypes and Risk of Endometrial Cancer in the European Prospective Investigation into Cancer and Nutrition (EPIC).")</f>
        <v>Metabolically Defined Body Size Phenotypes and Risk of Endometrial Cancer in the European Prospective Investigation into Cancer and Nutrition (EPIC).</v>
      </c>
      <c r="AM189" s="31" t="str">
        <f>IFERROR(__xludf.DUMMYFUNCTION("""COMPUTED_VALUE"""),"Kliemann, Nathalie; Ould Ammar, Romain; Biessy, Carine; Gicquiau, Audrey; Katzke, Verena; Kaaks, Rudolf; Tjønneland, Anne; Olsen, Anja; Sánchez, Maria-Jose; Crous-Bou, Marta; Pasanisi, Fabrizio; Tin Tin, Sandar; Perez-Cornago, Aurora; Aune, Dagfinn; Chris"&amp;"takoudi, Sofia; Heath, Alicia K; Colorado-Yohar, Sandra M; Grioni, Sara; Skeie, Guri; Sartor, Hanna; Idahl, Annika; Rylander, Charlotta; May, Anne M; Weiderpass, Elisabete; Freisling, Heinz; Playdon, Mary C; Rinaldi, Sabina; Murphy, Neil; Huybrechts, Inge"&amp;"; Dossus, Laure; Gunter, Marc J")</f>
        <v>Kliemann, Nathalie; Ould Ammar, Romain; Biessy, Carine; Gicquiau, Audrey; Katzke, Verena; Kaaks, Rudolf; Tjønneland, Anne; Olsen, Anja; Sánchez, Maria-Jose; Crous-Bou, Marta; Pasanisi, Fabrizio; Tin Tin, Sandar; Perez-Cornago, Aurora; Aune, Dagfinn; Christakoudi, Sofia; Heath, Alicia K; Colorado-Yohar, Sandra M; Grioni, Sara; Skeie, Guri; Sartor, Hanna; Idahl, Annika; Rylander, Charlotta; May, Anne M; Weiderpass, Elisabete; Freisling, Heinz; Playdon, Mary C; Rinaldi, Sabina; Murphy, Neil; Huybrechts, Inge; Dossus, Laure; Gunter, Marc J</v>
      </c>
      <c r="AN189" s="32">
        <f>IFERROR(__xludf.DUMMYFUNCTION("""COMPUTED_VALUE"""),44743.0)</f>
        <v>44743</v>
      </c>
    </row>
    <row r="190">
      <c r="A190" s="32"/>
      <c r="I190" s="31" t="str">
        <f>IFERROR(__xludf.DUMMYFUNCTION("""COMPUTED_VALUE"""),"current opinion in pediatrics")</f>
        <v>current opinion in pediatrics</v>
      </c>
      <c r="J190" s="38">
        <f>COUNTIF(Data!$F$2:$F9917, $I190)</f>
        <v>1</v>
      </c>
      <c r="T190" s="31" t="s">
        <v>24886</v>
      </c>
      <c r="U190" s="31" t="s">
        <v>24887</v>
      </c>
      <c r="V190" s="32">
        <v>45525.0</v>
      </c>
      <c r="X190" s="31" t="str">
        <f>IFERROR(__xludf.DUMMYFUNCTION("""COMPUTED_VALUE"""),"Evidence for the Higgs Boson Decay to a Z Boson and a Photon at the LHC.")</f>
        <v>Evidence for the Higgs Boson Decay to a Z Boson and a Photon at the LHC.</v>
      </c>
      <c r="Y190" s="31" t="str">
        <f>IFERROR(__xludf.DUMMYFUNCTION("""COMPUTED_VALUE"""),"Aad, G; Abbott, B; Abeling, K; Abicht, N J; Abidi, S H; Aboulhorma, A; Abramowicz, H; Abreu, H; Abulaiti, Y; Acharya, B S; Adam Bourdarios, C; Adamczyk, L; Adamek, L; Addepalli, S V; Addison, M J; Adelman, J; Adiguzel, A; Adye, T; Affolder, A A; Afik, Y; "&amp;"Agaras, M N; Agarwala, J; Aggarwal, A; Agheorghiesei, C; Ahmad, A; Ahmadov, F; Ahmed, W S; Ahuja, S; Ai, X; Aielli, G; Aikot, A; Ait Tamlihat, M; Aitbenchikh, B; Aizenberg, I; Akbiyik, M; Åkesson, T P A; Akimov, A V; Akiyama, D; Akolkar, N N; Al Khoury, K"&amp;"; Alberghi, G L; Albert, J; Albicocco, P; Albouy, G L; Alderweireldt, S; Aleksa, M; Aleksandrov, I N; Alexa, C; Alexopoulos, T; Alfonsi, F; Algren, M; Alhroob, M; Ali, B; Ali, H M J; Ali, S; Alibocus, S W; Aliev, M; Alimonti, G; Alkakhi, W; Allaire, C; Al"&amp;"lbrooke, B M M; Allen, J F; Allendes Flores, C A; Allport, P P; Aloisio, A; Alonso, F; Alpigiani, C; Alvarez Estevez, M; Alvarez Fernandez, A; Alves Cardoso, M; Alviggi, M G; Aly, M; Amaral Coutinho, Y; Ambler, A; Amelung, C; Amerl, M;")</f>
        <v>Aad, G; Abbott, B; Abeling, K; Abicht, N J; Abidi, S H; Aboulhorma, A; Abramowicz, H; Abreu, H; Abulaiti, Y;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v>
      </c>
      <c r="Z190" s="31">
        <f>IFERROR(__xludf.DUMMYFUNCTION("""COMPUTED_VALUE"""),2024.0)</f>
        <v>2024</v>
      </c>
      <c r="AA190" s="31">
        <f>IFERROR(__xludf.DUMMYFUNCTION("""COMPUTED_VALUE"""),2.0)</f>
        <v>2</v>
      </c>
      <c r="AC190" s="31" t="str">
        <f>IFERROR(__xludf.DUMMYFUNCTION("""COMPUTED_VALUE"""),"Dietary intake of acrylamide and epithelial ovarian cancer risk in the european prospective investigation into cancer and nutrition (EPIC) cohort.")</f>
        <v>Dietary intake of acrylamide and epithelial ovarian cancer risk in the european prospective investigation into cancer and nutrition (EPIC) cohort.</v>
      </c>
      <c r="AD190" s="31" t="str">
        <f>IFERROR(__xludf.DUMMYFUNCTION("""COMPUTED_VALUE"""),"Obón-Santacana, Mireia; Peeters, Petra H M; Freisling, Heinz; Dossus, Laure; Clavel-Chapelon, Françoise; Baglietto, Laura; Schock, Helena; Fortner, Renée T; Boeing, Heiner; Tjønneland, Anne; Olsen, Anja; Overvad, Kim; Menéndez, Virginia; Sanchez, Maria-Jo"&amp;"sé; Larrañaga, Nerea; Huerta Castaño, José María; Barricarte, Aurelio; Khaw, Kay-Tee; Wareham, Nick; Travis, Ruth C; Merritt, Melissa A; Trichopoulou, Antonia; Trichopoulos, Dimitrios; Orfanos, Philippos; Masala, Giovanna; Sieri, Sabina; Tumino, Rosario; "&amp;"Vineis, Paolo; Mattiello, Amalia; Bueno-de-Mesquita, H B; Onland-Moret, N Charlotte; Wirfält, Elisabeth; Stocks, Tanja; Idahl, Annika; Lundin, Eva; Skeie, Guri; Gram, Inger T; Weiderpass, Elisabete; Riboli, Elio; Duell, Eric J")</f>
        <v>Obón-Santacana, Mireia; Peeters, Petra H M; Freisling, Heinz; Dossus, Laure; Clavel-Chapelon, Françoise; Baglietto, Laura; Schock, Helena; Fortner, Renée T; Boeing, Heiner; Tjønneland, Anne; Olsen, Anja; Overvad, Kim; Menéndez, Virginia; Sanchez, Maria-José; Larrañaga, Nerea; Huerta Castaño, José María; Barricarte, Aurelio; Khaw, Kay-Tee; Wareham, Nick; Travis, Ruth C; Merritt, Melissa A; Trichopoulou, Antonia; Trichopoulos, Dimitrios; Orfanos, Philippos; Masala, Giovanna; Sieri, Sabina; Tumino, Rosario; Vineis, Paolo; Mattiello, Amalia; Bueno-de-Mesquita, H B; Onland-Moret, N Charlotte; Wirfält, Elisabeth; Stocks, Tanja; Idahl, Annika; Lundin, Eva; Skeie, Guri; Gram, Inger T; Weiderpass, Elisabete; Riboli, Elio; Duell, Eric J</v>
      </c>
      <c r="AE190" s="32">
        <f>IFERROR(__xludf.DUMMYFUNCTION("""COMPUTED_VALUE"""),41921.0)</f>
        <v>41921</v>
      </c>
      <c r="AF190" s="31" t="str">
        <f>IFERROR(__xludf.DUMMYFUNCTION("""COMPUTED_VALUE"""),"Responsible innovation in stem cell research: using responsibility as a strategy.")</f>
        <v>Responsible innovation in stem cell research: using responsibility as a strategy.</v>
      </c>
      <c r="AG190" s="31" t="str">
        <f>IFERROR(__xludf.DUMMYFUNCTION("""COMPUTED_VALUE"""),"Assen, L S; Jongsma, K R; Isasi, R; Utomo, L; Tryfonidou, M A; Bredenoord, A L")</f>
        <v>Assen, L S; Jongsma, K R; Isasi, R; Utomo, L; Tryfonidou, M A; Bredenoord, A L</v>
      </c>
      <c r="AH190" s="32">
        <f>IFERROR(__xludf.DUMMYFUNCTION("""COMPUTED_VALUE"""),44973.0)</f>
        <v>44973</v>
      </c>
      <c r="AI190" s="31" t="str">
        <f>IFERROR(__xludf.DUMMYFUNCTION("""COMPUTED_VALUE"""),"The prognostic significance of the lymph node ratio in oral cancer differs for anatomical subsites.")</f>
        <v>The prognostic significance of the lymph node ratio in oral cancer differs for anatomical subsites.</v>
      </c>
      <c r="AJ190" s="31" t="str">
        <f>IFERROR(__xludf.DUMMYFUNCTION("""COMPUTED_VALUE"""),"Moratin, J; Metzger, Karl; Kansy, K; Ristow, O; Engel, M; Hoffmann, J; Flechtenmacher, C; Freier, K; Freudlsperger, C; Horn, D")</f>
        <v>Moratin, J; Metzger, Karl; Kansy, K; Ristow, O; Engel, M; Hoffmann, J; Flechtenmacher, C; Freier, K; Freudlsperger, C; Horn, D</v>
      </c>
      <c r="AK190" s="32">
        <f>IFERROR(__xludf.DUMMYFUNCTION("""COMPUTED_VALUE"""),43785.0)</f>
        <v>43785</v>
      </c>
      <c r="AL190" s="31" t="str">
        <f>IFERROR(__xludf.DUMMYFUNCTION("""COMPUTED_VALUE"""),"2,109 randomized oncology trials map continuous, meager improvements in progression-free and overall survival over 50 years.")</f>
        <v>2,109 randomized oncology trials map continuous, meager improvements in progression-free and overall survival over 50 years.</v>
      </c>
      <c r="AM190" s="31" t="str">
        <f>IFERROR(__xludf.DUMMYFUNCTION("""COMPUTED_VALUE"""),"Parish, Austin J; Alina Cristea, Ioana; Schuit, Ewoud; Ioannidis, John P A")</f>
        <v>Parish, Austin J; Alina Cristea, Ioana; Schuit, Ewoud; Ioannidis, John P A</v>
      </c>
      <c r="AN190" s="32">
        <f>IFERROR(__xludf.DUMMYFUNCTION("""COMPUTED_VALUE"""),44740.0)</f>
        <v>44740</v>
      </c>
    </row>
    <row r="191">
      <c r="A191" s="32"/>
      <c r="I191" s="31" t="str">
        <f>IFERROR(__xludf.DUMMYFUNCTION("""COMPUTED_VALUE"""),"journal of clinical oncology official journal of the american society of clinical oncology")</f>
        <v>journal of clinical oncology official journal of the american society of clinical oncology</v>
      </c>
      <c r="J191" s="38">
        <f>COUNTIF(Data!$F$2:$F9917, $I191)</f>
        <v>13</v>
      </c>
      <c r="T191" s="31" t="s">
        <v>24969</v>
      </c>
      <c r="U191" s="31" t="s">
        <v>24970</v>
      </c>
      <c r="V191" s="32">
        <v>45524.0</v>
      </c>
      <c r="X191" s="31" t="str">
        <f>IFERROR(__xludf.DUMMYFUNCTION("""COMPUTED_VALUE"""),"International Pooled Analysis of Leisure-Time Physical Activity and Premenopausal Breast Cancer in Women From 19 Cohorts.")</f>
        <v>International Pooled Analysis of Leisure-Time Physical Activity and Premenopausal Breast Cancer in Women From 19 Cohorts.</v>
      </c>
      <c r="Y191" s="31" t="str">
        <f>IFERROR(__xludf.DUMMYFUNCTION("""COMPUTED_VALUE"""),"Timmins, Iain R; Jones, Michael E; O'Brien, Katie M; Adami, Hans-Olov; Aune, Dagfinn; Baglietto, Laura; Bertrand, Kimberly A; Brantley, Kristen D; Chen, Yu; Clague DeHart, Jessica; Clendenen, Tess V; Dossus, Laure; Eliassen, A Heather; Fletcher, Olivia; F"&amp;"ournier, Agnès; Håkansson, Niclas; Hankinson, Susan E; Houlston, Richard S; Joshu, Corinne E; Kirsh, Victoria A; Kitahara, Cari M; Koh, Woon-Puay; Linet, Martha S; Park, Hannah Lui; Lynch, Brigid M; May, Anne M; Mellemkjær, Lene; Milne, Roger L; Palmer, J"&amp;"ulie R; Ricceri, Fulvio; Rohan, Thomas E; Ruddy, Kathryn J; Sánchez, Maria-Jose; Shu, Xiao-Ou; Smith-Byrne, Karl; Steindorf, Karen; Sund, Malin; Vachon, Celine M; Vatten, Lars J; Visvanathan, Kala; Weiderpass, Elisabete; Willett, Walter C; Wolk, Alicja; Y"&amp;"uan, Jian-Min; Zheng, Wei; Nichols, Hazel B; Sandler, Dale P; Swerdlow, Anthony J; Schoemaker, Minouk J")</f>
        <v>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v>
      </c>
      <c r="Z191" s="31">
        <f>IFERROR(__xludf.DUMMYFUNCTION("""COMPUTED_VALUE"""),2023.0)</f>
        <v>2023</v>
      </c>
      <c r="AA191" s="31">
        <f>IFERROR(__xludf.DUMMYFUNCTION("""COMPUTED_VALUE"""),2.0)</f>
        <v>2</v>
      </c>
      <c r="AC191" s="31" t="str">
        <f>IFERROR(__xludf.DUMMYFUNCTION("""COMPUTED_VALUE"""),"Dietary fat intake and risk of epithelial ovarian cancer in the European Prospective Investigation into Cancer and Nutrition.")</f>
        <v>Dietary fat intake and risk of epithelial ovarian cancer in the European Prospective Investigation into Cancer and Nutrition.</v>
      </c>
      <c r="AD191" s="31" t="str">
        <f>IFERROR(__xludf.DUMMYFUNCTION("""COMPUTED_VALUE"""),"Merritt, Melissa A; Riboli, Elio; Weiderpass, Elisabete; Tsilidis, Konstantinos K; Overvad, Kim; Tjønneland, Anne; Hansen, Louise; Dossus, Laure; Fagherazzi, Guy; Baglietto, Laura; Fortner, Renée T; Ose, Jennifer; Steffen, Annika; Boeing, Heiner; Trichopo"&amp;"ulou, Antonia; Trichopoulos, Dimitrios; Lagiou, Pagona; Masala, Giovanna; Sieri, Sabina; Mattiello, Amalia; Tumino, Rosario; Sacerdote, Carlotta; Bueno-de-Mesquita, H B As; Onland-Moret, N Charlotte; Peeters, Petra H; Hjartåker, Anette; Gram, Inger Torhil"&amp;"d; Quirós, J Ramón; Obón-Santacana, Mireia; Molina-Montes, Esther; Huerta Castaño, José María; Ardanaz, Eva; Chamosa, Saioa; Sonestedt, Emily; Idahl, Annika; Lundin, Eva; Khaw, Kay-Tee; Wareham, Nicholas; Travis, Ruth C; Rinaldi, Sabina; Romieu, Isabelle;"&amp;" Chajes, Veronique; Gunter, Marc J")</f>
        <v>Merritt, Melissa A; Riboli, Elio; Weiderpass, Elisabete; Tsilidis, Konstantinos K; Overvad, Kim; Tjønneland, Anne; Hansen, Louise; Dossus, Laure; Fagherazzi, Guy; Baglietto, Laura; Fortner, Renée T; Ose, Jennifer; Steffen, Annika; Boeing, Heiner; Trichopoulou, Antonia; Trichopoulos, Dimitrios; Lagiou, Pagona; Masala, Giovanna; Sieri, Sabina; Mattiello, Amalia; Tumino, Rosario; Sacerdote, Carlotta; Bueno-de-Mesquita, H B As; Onland-Moret, N Charlotte; Peeters, Petra H; Hjartåker, Anette; Gram, Inger Torhild; Quirós, J Ramón; Obón-Santacana, Mireia; Molina-Montes, Esther; Huerta Castaño, José María; Ardanaz, Eva; Chamosa, Saioa; Sonestedt, Emily; Idahl, Annika; Lundin, Eva; Khaw, Kay-Tee; Wareham, Nicholas; Travis, Ruth C; Rinaldi, Sabina; Romieu, Isabelle; Chajes, Veronique; Gunter, Marc J</v>
      </c>
      <c r="AE191" s="32">
        <f>IFERROR(__xludf.DUMMYFUNCTION("""COMPUTED_VALUE"""),41873.0)</f>
        <v>41873</v>
      </c>
      <c r="AF191" s="31" t="str">
        <f>IFERROR(__xludf.DUMMYFUNCTION("""COMPUTED_VALUE"""),"Omega-3 fatty acids in heart disease-why accurately measured levels matter.")</f>
        <v>Omega-3 fatty acids in heart disease-why accurately measured levels matter.</v>
      </c>
      <c r="AG191" s="31" t="str">
        <f>IFERROR(__xludf.DUMMYFUNCTION("""COMPUTED_VALUE"""),"von Schacky, C; Kuipers, R S; Pijl, H; Muskiet, F A J; Grobbee, D E")</f>
        <v>von Schacky, C; Kuipers, R S; Pijl, H; Muskiet, F A J; Grobbee, D E</v>
      </c>
      <c r="AH191" s="32">
        <f>IFERROR(__xludf.DUMMYFUNCTION("""COMPUTED_VALUE"""),44973.0)</f>
        <v>44973</v>
      </c>
      <c r="AI191" s="31" t="str">
        <f>IFERROR(__xludf.DUMMYFUNCTION("""COMPUTED_VALUE"""),"Design of the ZWOT-CASE study: an observational study on the effectiveness of an integrated programme for cardiovascular risk management compared to usual care in general practice.")</f>
        <v>Design of the ZWOT-CASE study: an observational study on the effectiveness of an integrated programme for cardiovascular risk management compared to usual care in general practice.</v>
      </c>
      <c r="AJ191" s="31" t="str">
        <f>IFERROR(__xludf.DUMMYFUNCTION("""COMPUTED_VALUE"""),"Marchal, Suzanne; Hollander, Monika; Schoenmakers, Marieke; Schouwink, Michiel; Timmer, Jorik R; Bilo, Henk J G; Schwantje, Olof; van 't Hof, Arnoud W J; Hoes, Arno W")</f>
        <v>Marchal, Suzanne; Hollander, Monika; Schoenmakers, Marieke; Schouwink, Michiel; Timmer, Jorik R; Bilo, Henk J G; Schwantje, Olof; van 't Hof, Arnoud W J; Hoes, Arno W</v>
      </c>
      <c r="AK191" s="32">
        <f>IFERROR(__xludf.DUMMYFUNCTION("""COMPUTED_VALUE"""),43770.0)</f>
        <v>43770</v>
      </c>
      <c r="AL191" s="31" t="str">
        <f>IFERROR(__xludf.DUMMYFUNCTION("""COMPUTED_VALUE"""),"Pre-diagnostic C-reactive protein concentrations, CRP genetic variation and mortality among individuals with colorectal cancer in Western European populations.")</f>
        <v>Pre-diagnostic C-reactive protein concentrations, CRP genetic variation and mortality among individuals with colorectal cancer in Western European populations.</v>
      </c>
      <c r="AM191" s="31" t="str">
        <f>IFERROR(__xludf.DUMMYFUNCTION("""COMPUTED_VALUE"""),"Nimptsch, Katharina; Aleksandrova, Krasimira; Fedirko, Veronika; Jenab, Mazda; Gunter, Marc J; Siersema, Peter D; Wu, Kana; Katzke, Verena; Kaaks, Rudolf; Panico, Salvatore; Palli, Domenico; May, Anne M; Sieri, Sabina; Bueno-de-Mesquita, Bas; Standahl, Ka"&amp;"rina; Sánchez, Maria-Jose; Perez-Cornago, Aurora; Olsen, Anja; Tjønneland, Anne; Bonet, Catalina Bonet; Dahm, Christina C; Chirlaque, María-Dolores; Fiano, Valentina; Tumino, Rosario; Gurrea, Aurelio Barricarte; Boutron-Ruault, Marie-Christine; Menegaux, "&amp;"Florence; Severi, Gianluca; van Guelpen, Bethany; Lee, Young-Ae; Pischon, Tobias")</f>
        <v>Nimptsch, Katharina; Aleksandrova, Krasimira; Fedirko, Veronika; Jenab, Mazda; Gunter, Marc J; Siersema, Peter D; Wu, Kana; Katzke, Verena; Kaaks, Rudolf; Panico, Salvatore; Palli, Domenico; May, Anne M; Sieri, Sabina; Bueno-de-Mesquita, Bas; Standahl, Karina; Sánchez, Maria-Jose; Perez-Cornago, Aurora; Olsen, Anja; Tjønneland, Anne; Bonet, Catalina Bonet; Dahm, Christina C; Chirlaque, María-Dolores; Fiano, Valentina; Tumino, Rosario; Gurrea, Aurelio Barricarte; Boutron-Ruault, Marie-Christine; Menegaux, Florence; Severi, Gianluca; van Guelpen, Bethany; Lee, Young-Ae; Pischon, Tobias</v>
      </c>
      <c r="AN191" s="32">
        <f>IFERROR(__xludf.DUMMYFUNCTION("""COMPUTED_VALUE"""),44736.0)</f>
        <v>44736</v>
      </c>
    </row>
    <row r="192">
      <c r="A192" s="32"/>
      <c r="I192" s="31" t="str">
        <f>IFERROR(__xludf.DUMMYFUNCTION("""COMPUTED_VALUE"""),"bjog an international journal of obstetrics and gynaecology")</f>
        <v>bjog an international journal of obstetrics and gynaecology</v>
      </c>
      <c r="J192" s="38">
        <f>COUNTIF(Data!$F$2:$F9917, $I192)</f>
        <v>23</v>
      </c>
      <c r="T192" s="31" t="s">
        <v>25202</v>
      </c>
      <c r="U192" s="31" t="s">
        <v>25203</v>
      </c>
      <c r="V192" s="32">
        <v>45521.0</v>
      </c>
      <c r="X192" s="31" t="str">
        <f>IFERROR(__xludf.DUMMYFUNCTION("""COMPUTED_VALUE"""),"Body mass index and cancer risk among adults with and without cardiometabolic diseases: evidence from the EPIC and UK Biobank prospective cohort studies.")</f>
        <v>Body mass index and cancer risk among adults with and without cardiometabolic diseases: evidence from the EPIC and UK Biobank prospective cohort studies.</v>
      </c>
      <c r="Y192" s="31" t="str">
        <f>IFERROR(__xludf.DUMMYFUNCTION("""COMPUTED_VALUE"""),"Fontvieille, Emma; Viallon, Vivian; Recalde, Martina; Cordova, Reynalda; Jansana, Anna; Peruchet-Noray, Laia; Lennon, Hannah; Heath, Alicia K; Aune, Dagfinn; Christakoudi, Sofia; Katzke, Verena; Kaaks, Rudolf; Inan-Eroglu, Elif; Schulze, Matthias B; Melle"&amp;"mkjær, Lene; Tjønneland, Anne; Overvad, Kim; Farràs, Marta; Petrova, Dafina; Amiano, Pilar; Chirlaque, María-Dolores; Moreno-Iribas, Conchi; Tin Tin, Sandar; Masala, Giovanna; Sieri, Sabina; Ricceri, Fulvio; Panico, Salvatore; May, Anne M; Monninkhof, Eve"&amp;"lyn M; Weiderpass, Elisabete; Gunter, Marc J; Ferrari, Pietro; Freisling, Heinz")</f>
        <v>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v>
      </c>
      <c r="Z192" s="31">
        <f>IFERROR(__xludf.DUMMYFUNCTION("""COMPUTED_VALUE"""),2023.0)</f>
        <v>2023</v>
      </c>
      <c r="AA192" s="31">
        <f>IFERROR(__xludf.DUMMYFUNCTION("""COMPUTED_VALUE"""),2.0)</f>
        <v>2</v>
      </c>
      <c r="AC192" s="31" t="str">
        <f>IFERROR(__xludf.DUMMYFUNCTION("""COMPUTED_VALUE"""),"Sample size calculations in pediatric clinical trials conducted in an ICU: a systematic review.")</f>
        <v>Sample size calculations in pediatric clinical trials conducted in an ICU: a systematic review.</v>
      </c>
      <c r="AD192" s="31" t="str">
        <f>IFERROR(__xludf.DUMMYFUNCTION("""COMPUTED_VALUE"""),"Nikolakopoulos, Stavros; Roes, Kit C B; van der Lee, Johanna H; van der Tweel, Ingeborg")</f>
        <v>Nikolakopoulos, Stavros; Roes, Kit C B; van der Lee, Johanna H; van der Tweel, Ingeborg</v>
      </c>
      <c r="AE192" s="32">
        <f>IFERROR(__xludf.DUMMYFUNCTION("""COMPUTED_VALUE"""),41828.0)</f>
        <v>41828</v>
      </c>
      <c r="AF192" s="31" t="str">
        <f>IFERROR(__xludf.DUMMYFUNCTION("""COMPUTED_VALUE"""),"Health and nutrition claims for infant formula: international cross sectional survey.")</f>
        <v>Health and nutrition claims for infant formula: international cross sectional survey.</v>
      </c>
      <c r="AG192" s="31" t="str">
        <f>IFERROR(__xludf.DUMMYFUNCTION("""COMPUTED_VALUE"""),"Cheung, Ka Yan; Petrou, Loukia; Helfer, Bartosz; Porubayeva, Erika; Dolgikh, Elena; Ali, Sana; Ali, Insaf; Archibald-Durham, Lindsay; Brockway, Meredith Merilee; Bugaeva, Polina; Chooniedass, Rishma; Comberiati, Pasquale; Cortés-Macías, Erika; D'Elios, So"&amp;"fia; Feketea, Gavriela; Hsu, Peter; Kana, Musa Abubakar; Kriulina, Tatiana; Kunii, Yuzuka; Madaki, Comfort; Omer, Rihab; Peroni, Diego; Prokofiev, Jana; Simpson, Melanie Rae; Shimojo, Naoki; Siziba, Linda P; Genuneit, Jon; Thakor, Sohini; Waris, Marium; Y"&amp;"uan, Quan; Zaman, Sadia; Young, Bridget E; Bugos, Brighid; Greenhawt, Matthew; Levin, Michael E; Zheng, Jonathan; Boyle, Robert J; Munblit, Daniel")</f>
        <v>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v>
      </c>
      <c r="AH192" s="32">
        <f>IFERROR(__xludf.DUMMYFUNCTION("""COMPUTED_VALUE"""),44972.0)</f>
        <v>44972</v>
      </c>
      <c r="AI192" s="31" t="str">
        <f>IFERROR(__xludf.DUMMYFUNCTION("""COMPUTED_VALUE"""),"The Quality of Interactions Schedule (QuIS) and person-centred care: Concurrent validity in acute hospital settings.")</f>
        <v>The Quality of Interactions Schedule (QuIS) and person-centred care: Concurrent validity in acute hospital settings.</v>
      </c>
      <c r="AJ192" s="31" t="str">
        <f>IFERROR(__xludf.DUMMYFUNCTION("""COMPUTED_VALUE"""),"Bridges, Jackie; Gould, Lisa; Hope, Joanna; Schoonhoven, Lisette; Griffiths, Peter")</f>
        <v>Bridges, Jackie; Gould, Lisa; Hope, Joanna; Schoonhoven, Lisette; Griffiths, Peter</v>
      </c>
      <c r="AK192" s="32">
        <f>IFERROR(__xludf.DUMMYFUNCTION("""COMPUTED_VALUE"""),43770.0)</f>
        <v>43770</v>
      </c>
      <c r="AL192" s="31" t="str">
        <f>IFERROR(__xludf.DUMMYFUNCTION("""COMPUTED_VALUE"""),"[Prognostic factor identified… Now what? What we can and cannot learn from prognostic factor research].")</f>
        <v>[Prognostic factor identified… Now what? What we can and cannot learn from prognostic factor research].</v>
      </c>
      <c r="AM192" s="31" t="str">
        <f>IFERROR(__xludf.DUMMYFUNCTION("""COMPUTED_VALUE"""),"Luijken, Kim; Moons, Carl K G M; Van Smeeden, Maarten")</f>
        <v>Luijken, Kim; Moons, Carl K G M; Van Smeeden, Maarten</v>
      </c>
      <c r="AN192" s="32">
        <f>IFERROR(__xludf.DUMMYFUNCTION("""COMPUTED_VALUE"""),44734.0)</f>
        <v>44734</v>
      </c>
    </row>
    <row r="193">
      <c r="A193" s="32"/>
      <c r="I193" s="31" t="str">
        <f>IFERROR(__xludf.DUMMYFUNCTION("""COMPUTED_VALUE"""),"clinical microbiology and infection the official publication of the european society of clinical microbiology and infectious diseases")</f>
        <v>clinical microbiology and infection the official publication of the european society of clinical microbiology and infectious diseases</v>
      </c>
      <c r="J193" s="38">
        <f>COUNTIF(Data!$F$2:$F9917, $I193)</f>
        <v>51</v>
      </c>
      <c r="T193" s="31" t="s">
        <v>25861</v>
      </c>
      <c r="U193" s="31" t="s">
        <v>25859</v>
      </c>
      <c r="V193" s="32">
        <v>45521.0</v>
      </c>
      <c r="X193" s="31" t="str">
        <f>IFERROR(__xludf.DUMMYFUNCTION("""COMPUTED_VALUE"""),"Nosocomial SARS-CoV-2 Infections and Mortality During Unique COVID-19 Epidemic Waves.")</f>
        <v>Nosocomial SARS-CoV-2 Infections and Mortality During Unique COVID-19 Epidemic Waves.</v>
      </c>
      <c r="Y193" s="31" t="str">
        <f>IFERROR(__xludf.DUMMYFUNCTION("""COMPUTED_VALUE"""),"Dave, Nishi; Sjöholm, Daniel; Hedberg, Pontus; Ternhag, Anders; Granath, Fredrik; Verberk, Janneke D M; Johansson, Anders F; van der Werff, Suzanne D; Nauclér, Pontus")</f>
        <v>Dave, Nishi; Sjöholm, Daniel; Hedberg, Pontus; Ternhag, Anders; Granath, Fredrik; Verberk, Janneke D M; Johansson, Anders F; van der Werff, Suzanne D; Nauclér, Pontus</v>
      </c>
      <c r="Z193" s="31">
        <f>IFERROR(__xludf.DUMMYFUNCTION("""COMPUTED_VALUE"""),2023.0)</f>
        <v>2023</v>
      </c>
      <c r="AA193" s="31">
        <f>IFERROR(__xludf.DUMMYFUNCTION("""COMPUTED_VALUE"""),2.0)</f>
        <v>2</v>
      </c>
      <c r="AC193" s="31" t="str">
        <f>IFERROR(__xludf.DUMMYFUNCTION("""COMPUTED_VALUE"""),"Dietary intake of acrylamide and endometrial cancer risk in the European Prospective Investigation into Cancer and Nutrition cohort.")</f>
        <v>Dietary intake of acrylamide and endometrial cancer risk in the European Prospective Investigation into Cancer and Nutrition cohort.</v>
      </c>
      <c r="AD193" s="31" t="str">
        <f>IFERROR(__xludf.DUMMYFUNCTION("""COMPUTED_VALUE"""),"Obón-Santacana, M; Kaaks, R; Slimani, N; Lujan-Barroso, L; Freisling, H; Ferrari, P; Dossus, L; Chabbert-Buffet, N; Baglietto, L; Fortner, R T; Boeing, H; Tjønneland, A; Olsen, A; Overvad, K; Menéndez, V; Molina-Montes, E; Larrañaga, N; Chirlaque, M-D; Ar"&amp;"danaz, E; Khaw, K-T; Wareham, N; Travis, R C; Lu, Y; Merritt, M A; Trichopoulou, A; Benetou, V; Trichopoulos, D; Saieva, C; Sieri, S; Tumino, R; Sacerdote, C; Galasso, R; Bueno-de-Mesquita, H B; Wirfält, E; Ericson, U; Idahl, A; Ohlson, N; Skeie, G; Gram,"&amp;" I T; Weiderpass, E; Onland-Moret, N C; Riboli, E; Duell, E J")</f>
        <v>Obón-Santacana, M; Kaaks, R; Slimani, N; Lujan-Barroso, L; Freisling, H; Ferrari, P; Dossus, L; Chabbert-Buffet, N; Baglietto, L; Fortner, R T; Boeing, H; Tjønneland, A; Olsen, A; Overvad, K; Menéndez, V; Molina-Montes, E; Larrañaga, N; Chirlaque, M-D; Ardanaz, E; Khaw, K-T; Wareham, N; Travis, R C; Lu, Y; Merritt, M A; Trichopoulou, A; Benetou, V; Trichopoulos, D; Saieva, C; Sieri, S; Tumino, R; Sacerdote, C; Galasso, R; Bueno-de-Mesquita, H B; Wirfält, E; Ericson, U; Idahl, A; Ohlson, N; Skeie, G; Gram, I T; Weiderpass, E; Onland-Moret, N C; Riboli, E; Duell, E J</v>
      </c>
      <c r="AE193" s="32">
        <f>IFERROR(__xludf.DUMMYFUNCTION("""COMPUTED_VALUE"""),41807.0)</f>
        <v>41807</v>
      </c>
      <c r="AF193" s="31" t="str">
        <f>IFERROR(__xludf.DUMMYFUNCTION("""COMPUTED_VALUE"""),"Maximizing the effects of physical activity on cardiovascular health: a matter of time?")</f>
        <v>Maximizing the effects of physical activity on cardiovascular health: a matter of time?</v>
      </c>
      <c r="AG193" s="31" t="str">
        <f>IFERROR(__xludf.DUMMYFUNCTION("""COMPUTED_VALUE"""),"Hernández Vargas, Juliana Alexandra; Trujillo-Cáceres, Silvia Juliana; Uriza-Pinzón, Julieth Pilar; Franco, Oscar H")</f>
        <v>Hernández Vargas, Juliana Alexandra; Trujillo-Cáceres, Silvia Juliana; Uriza-Pinzón, Julieth Pilar; Franco, Oscar H</v>
      </c>
      <c r="AH193" s="32">
        <f>IFERROR(__xludf.DUMMYFUNCTION("""COMPUTED_VALUE"""),44971.0)</f>
        <v>44971</v>
      </c>
      <c r="AI193" s="31" t="str">
        <f>IFERROR(__xludf.DUMMYFUNCTION("""COMPUTED_VALUE"""),"Decelerating trends in heart failure survival.")</f>
        <v>Decelerating trends in heart failure survival.</v>
      </c>
      <c r="AJ193" s="31" t="str">
        <f>IFERROR(__xludf.DUMMYFUNCTION("""COMPUTED_VALUE"""),"Groenewegen, Amy; Rutten, Frans H")</f>
        <v>Groenewegen, Amy; Rutten, Frans H</v>
      </c>
      <c r="AK193" s="32">
        <f>IFERROR(__xludf.DUMMYFUNCTION("""COMPUTED_VALUE"""),43770.0)</f>
        <v>43770</v>
      </c>
      <c r="AL193" s="31" t="str">
        <f>IFERROR(__xludf.DUMMYFUNCTION("""COMPUTED_VALUE"""),"Semiautomated surveillance of deep surgical site infections after colorectal surgeries: A multicenter external validation of two surveillance algorithms.")</f>
        <v>Semiautomated surveillance of deep surgical site infections after colorectal surgeries: A multicenter external validation of two surveillance algorithms.</v>
      </c>
      <c r="AM193" s="31" t="str">
        <f>IFERROR(__xludf.DUMMYFUNCTION("""COMPUTED_VALUE"""),"Verberk, Janneke D M; van der Kooi, Tjallie I I; Hetem, David J; Oostdam, Nicolette E W M; Noordergraaf, Mieke; de Greeff, Sabine C; Bonten, Marc J M; van Mourik, Maaike S M")</f>
        <v>Verberk, Janneke D M; van der Kooi, Tjallie I I; Hetem, David J; Oostdam, Nicolette E W M; Noordergraaf, Mieke; de Greeff, Sabine C; Bonten, Marc J M; van Mourik, Maaike S M</v>
      </c>
      <c r="AN193" s="32">
        <f>IFERROR(__xludf.DUMMYFUNCTION("""COMPUTED_VALUE"""),44733.0)</f>
        <v>44733</v>
      </c>
    </row>
    <row r="194">
      <c r="A194" s="32"/>
      <c r="I194" s="31" t="str">
        <f>IFERROR(__xludf.DUMMYFUNCTION("""COMPUTED_VALUE"""),"european heart journal")</f>
        <v>european heart journal</v>
      </c>
      <c r="J194" s="38">
        <f>COUNTIF(Data!$F$2:$F9917, $I194)</f>
        <v>41</v>
      </c>
      <c r="T194" s="31" t="s">
        <v>25786</v>
      </c>
      <c r="U194" s="31" t="s">
        <v>25787</v>
      </c>
      <c r="V194" s="32">
        <v>45519.0</v>
      </c>
      <c r="X194" s="31" t="str">
        <f>IFERROR(__xludf.DUMMYFUNCTION("""COMPUTED_VALUE"""),"The augmented value of using clinical notes in semi-automated surveillance of deep surgical site infections after colorectal surgery.")</f>
        <v>The augmented value of using clinical notes in semi-automated surveillance of deep surgical site infections after colorectal surgery.</v>
      </c>
      <c r="Y194" s="31" t="str">
        <f>IFERROR(__xludf.DUMMYFUNCTION("""COMPUTED_VALUE"""),"Verberk, Janneke D M; van der Werff, Suzanne D; Weegar, Rebecka; Henriksson, Aron; Richir, Milan C; Buchli, Christian; van Mourik, Maaike S M; Nauclér, Pontus")</f>
        <v>Verberk, Janneke D M; van der Werff, Suzanne D; Weegar, Rebecka; Henriksson, Aron; Richir, Milan C; Buchli, Christian; van Mourik, Maaike S M; Nauclér, Pontus</v>
      </c>
      <c r="Z194" s="31">
        <f>IFERROR(__xludf.DUMMYFUNCTION("""COMPUTED_VALUE"""),2023.0)</f>
        <v>2023</v>
      </c>
      <c r="AA194" s="31">
        <f>IFERROR(__xludf.DUMMYFUNCTION("""COMPUTED_VALUE"""),2.0)</f>
        <v>2</v>
      </c>
      <c r="AC194" s="31" t="str">
        <f>IFERROR(__xludf.DUMMYFUNCTION("""COMPUTED_VALUE"""),"An analytical approach to assess the predictive value of biomarkers in Phase II decision making.")</f>
        <v>An analytical approach to assess the predictive value of biomarkers in Phase II decision making.</v>
      </c>
      <c r="AD194" s="31" t="str">
        <f>IFERROR(__xludf.DUMMYFUNCTION("""COMPUTED_VALUE"""),"Nikolakopoulos, Stavros; van der Wal, Willem M; Roes, Kit C B")</f>
        <v>Nikolakopoulos, Stavros; van der Wal, Willem M; Roes, Kit C B</v>
      </c>
      <c r="AE194" s="32">
        <f>IFERROR(__xludf.DUMMYFUNCTION("""COMPUTED_VALUE"""),41275.0)</f>
        <v>41275</v>
      </c>
      <c r="AF194" s="31" t="str">
        <f>IFERROR(__xludf.DUMMYFUNCTION("""COMPUTED_VALUE"""),"Sex differences in cardiovascular complications and mortality in hospital patients with covid-19: registry based observational study.")</f>
        <v>Sex differences in cardiovascular complications and mortality in hospital patients with covid-19: registry based observational study.</v>
      </c>
      <c r="AG194" s="31" t="str">
        <f>IFERROR(__xludf.DUMMYFUNCTION("""COMPUTED_VALUE"""),"Hockham, Carinna; Linschoten, Marijke; Asselbergs, Folkert W; Ghossein, Chahinda; Woodward, Mark; Peters, Sanne A E; ,")</f>
        <v>Hockham, Carinna; Linschoten, Marijke; Asselbergs, Folkert W; Ghossein, Chahinda; Woodward, Mark; Peters, Sanne A E; ,</v>
      </c>
      <c r="AH194" s="32">
        <f>IFERROR(__xludf.DUMMYFUNCTION("""COMPUTED_VALUE"""),44971.0)</f>
        <v>44971</v>
      </c>
      <c r="AI194" s="31" t="str">
        <f>IFERROR(__xludf.DUMMYFUNCTION("""COMPUTED_VALUE"""),"Postdoctoral Nurses' Experiences With Leadership and Career Development: A Qualitative Study.")</f>
        <v>Postdoctoral Nurses' Experiences With Leadership and Career Development: A Qualitative Study.</v>
      </c>
      <c r="AJ194" s="31" t="str">
        <f>IFERROR(__xludf.DUMMYFUNCTION("""COMPUTED_VALUE"""),"de Lange, Wendela; Kars, Marijke C; Poslawsky, Irina E; Schuurmans, Marieke J; Hafsteinsdóttir, Thóra B")</f>
        <v>de Lange, Wendela; Kars, Marijke C; Poslawsky, Irina E; Schuurmans, Marieke J; Hafsteinsdóttir, Thóra B</v>
      </c>
      <c r="AK194" s="32">
        <f>IFERROR(__xludf.DUMMYFUNCTION("""COMPUTED_VALUE"""),43759.0)</f>
        <v>43759</v>
      </c>
      <c r="AL194" s="31" t="str">
        <f>IFERROR(__xludf.DUMMYFUNCTION("""COMPUTED_VALUE"""),"Response to Systemic Therapies in Ovarian Adult Granulosa Cell Tumors: A Literature Review.")</f>
        <v>Response to Systemic Therapies in Ovarian Adult Granulosa Cell Tumors: A Literature Review.</v>
      </c>
      <c r="AM194" s="31" t="str">
        <f>IFERROR(__xludf.DUMMYFUNCTION("""COMPUTED_VALUE"""),"Brink, Geertruid J; Groeneweg, Jolijn W; Hooft, Lotty; Zweemer, Ronald P; Witteveen, Petronella O")</f>
        <v>Brink, Geertruid J; Groeneweg, Jolijn W; Hooft, Lotty; Zweemer, Ronald P; Witteveen, Petronella O</v>
      </c>
      <c r="AN194" s="32">
        <f>IFERROR(__xludf.DUMMYFUNCTION("""COMPUTED_VALUE"""),44729.0)</f>
        <v>44729</v>
      </c>
    </row>
    <row r="195">
      <c r="A195" s="32"/>
      <c r="I195" s="31" t="str">
        <f>IFERROR(__xludf.DUMMYFUNCTION("""COMPUTED_VALUE"""),"diagnostic and prognostic research")</f>
        <v>diagnostic and prognostic research</v>
      </c>
      <c r="J195" s="38">
        <f>COUNTIF(Data!$F$2:$F9917, $I195)</f>
        <v>16</v>
      </c>
      <c r="T195" s="31" t="s">
        <v>24877</v>
      </c>
      <c r="U195" s="31" t="s">
        <v>24878</v>
      </c>
      <c r="V195" s="32">
        <v>45518.0</v>
      </c>
      <c r="X195" s="31" t="str">
        <f>IFERROR(__xludf.DUMMYFUNCTION("""COMPUTED_VALUE"""),"Potential determinants of antibody responses after vaccination against SARS-CoV-2 in older persons: the Doetinchem Cohort Study.")</f>
        <v>Potential determinants of antibody responses after vaccination against SARS-CoV-2 in older persons: the Doetinchem Cohort Study.</v>
      </c>
      <c r="Y195" s="31" t="str">
        <f>IFERROR(__xludf.DUMMYFUNCTION("""COMPUTED_VALUE"""),"Kuijpers, Yunus; Picavet, H Susan J; de Rond, Lia; de Zeeuw-Brouwer, Mary-Lène; Rutkens, Ryanne; Gijsbers, Esther; Slits, Irene; Engelfriet, Peter; Buisman, Anne-Marie; Verschuren, W M Monique")</f>
        <v>Kuijpers, Yunus; Picavet, H Susan J; de Rond, Lia; de Zeeuw-Brouwer, Mary-Lène; Rutkens, Ryanne; Gijsbers, Esther; Slits, Irene; Engelfriet, Peter; Buisman, Anne-Marie; Verschuren, W M Monique</v>
      </c>
      <c r="Z195" s="31">
        <f>IFERROR(__xludf.DUMMYFUNCTION("""COMPUTED_VALUE"""),2023.0)</f>
        <v>2023</v>
      </c>
      <c r="AA195" s="31">
        <f>IFERROR(__xludf.DUMMYFUNCTION("""COMPUTED_VALUE"""),2.0)</f>
        <v>2</v>
      </c>
      <c r="AC195" s="31" t="str">
        <f>IFERROR(__xludf.DUMMYFUNCTION("""COMPUTED_VALUE"""),"Added value of a physician-and-nurse-directed heart failure clinic: results from the Deventer-Alkmaar heart failure study.")</f>
        <v>Added value of a physician-and-nurse-directed heart failure clinic: results from the Deventer-Alkmaar heart failure study.</v>
      </c>
      <c r="AD195" s="31" t="str">
        <f>IFERROR(__xludf.DUMMYFUNCTION("""COMPUTED_VALUE"""),"de la Porte, Pieta W F Bruggink-André; Lok, Dirk J A; van Veldhuisen, Dirk J; van Wijngaarden, Jan; Cornel, Jan H; Zuithoff, Nicolaas P A; Badings, Erik; Hoes, Arno W")</f>
        <v>de la Porte, Pieta W F Bruggink-André; Lok, Dirk J A; van Veldhuisen, Dirk J; van Wijngaarden, Jan; Cornel, Jan H; Zuithoff, Nicolaas P A; Badings, Erik; Hoes, Arno W</v>
      </c>
      <c r="AE195" s="32">
        <f>IFERROR(__xludf.DUMMYFUNCTION("""COMPUTED_VALUE"""),39015.0)</f>
        <v>39015</v>
      </c>
      <c r="AF195" s="31" t="str">
        <f>IFERROR(__xludf.DUMMYFUNCTION("""COMPUTED_VALUE"""),"Assessment of Cardiovascular Risk in Women: Progress so Far and Progress to Come.")</f>
        <v>Assessment of Cardiovascular Risk in Women: Progress so Far and Progress to Come.</v>
      </c>
      <c r="AG195" s="31" t="str">
        <f>IFERROR(__xludf.DUMMYFUNCTION("""COMPUTED_VALUE"""),"Tschiderer, Lena; Seekircher, Lisa; Willeit, Peter; Peters, Sanne A E")</f>
        <v>Tschiderer, Lena; Seekircher, Lisa; Willeit, Peter; Peters, Sanne A E</v>
      </c>
      <c r="AH195" s="32">
        <f>IFERROR(__xludf.DUMMYFUNCTION("""COMPUTED_VALUE"""),44967.0)</f>
        <v>44967</v>
      </c>
      <c r="AI195" s="31" t="str">
        <f>IFERROR(__xludf.DUMMYFUNCTION("""COMPUTED_VALUE"""),"Response by Dolmans et al to Letter Regarding Article, ""Diagnostic Accuracy of the Explicit Diagnostic Criteria for Transient Ischemic Attack: A Validation Study"".")</f>
        <v>Response by Dolmans et al to Letter Regarding Article, "Diagnostic Accuracy of the Explicit Diagnostic Criteria for Transient Ischemic Attack: A Validation Study".</v>
      </c>
      <c r="AJ195" s="31" t="str">
        <f>IFERROR(__xludf.DUMMYFUNCTION("""COMPUTED_VALUE"""),"Dolmans, L Servaas; Rutten, Frans H; Kappelle, L Jaap")</f>
        <v>Dolmans, L Servaas; Rutten, Frans H; Kappelle, L Jaap</v>
      </c>
      <c r="AK195" s="32">
        <f>IFERROR(__xludf.DUMMYFUNCTION("""COMPUTED_VALUE"""),43756.0)</f>
        <v>43756</v>
      </c>
      <c r="AL195" s="31" t="str">
        <f>IFERROR(__xludf.DUMMYFUNCTION("""COMPUTED_VALUE"""),"Transmission of SARS-CoV-2 within households: a remote prospective cohort study in European countries.")</f>
        <v>Transmission of SARS-CoV-2 within households: a remote prospective cohort study in European countries.</v>
      </c>
      <c r="AM195" s="31" t="str">
        <f>IFERROR(__xludf.DUMMYFUNCTION("""COMPUTED_VALUE"""),"Verberk, Janneke D M; de Hoog, Marieke L A; Westerhof, Ilse; van Goethem, Sam; Lammens, Christine; Ieven, Greet; de Bruin, Erwin; Eggink, Dirk; Bielicki, Julia A; Coenen, Samuel; van Beek, Janko; Bonten, Marc J M; Goossens, Herman; Bruijning-Verhagen, Pat"&amp;"ricia C J L")</f>
        <v>Verberk, Janneke D M; de Hoog, Marieke L A; Westerhof, Ilse; van Goethem, Sam; Lammens, Christine; Ieven, Greet; de Bruin, Erwin; Eggink, Dirk; Bielicki, Julia A; Coenen, Samuel; van Beek, Janko; Bonten, Marc J M; Goossens, Herman; Bruijning-Verhagen, Patricia C J L</v>
      </c>
      <c r="AN195" s="32">
        <f>IFERROR(__xludf.DUMMYFUNCTION("""COMPUTED_VALUE"""),44709.0)</f>
        <v>44709</v>
      </c>
    </row>
    <row r="196">
      <c r="A196" s="32"/>
      <c r="I196" s="31" t="str">
        <f>IFERROR(__xludf.DUMMYFUNCTION("""COMPUTED_VALUE"""),"travel medicine and infectious disease")</f>
        <v>travel medicine and infectious disease</v>
      </c>
      <c r="J196" s="38">
        <f>COUNTIF(Data!$F$2:$F9917, $I196)</f>
        <v>4</v>
      </c>
      <c r="T196" s="31" t="s">
        <v>25049</v>
      </c>
      <c r="U196" s="31" t="s">
        <v>25050</v>
      </c>
      <c r="V196" s="32">
        <v>45518.0</v>
      </c>
      <c r="X196" s="31" t="str">
        <f>IFERROR(__xludf.DUMMYFUNCTION("""COMPUTED_VALUE"""),"Sex differences in risk factors for incident peripheral artery disease hospitalisation or death: Cohort study of UK Biobank participants.")</f>
        <v>Sex differences in risk factors for incident peripheral artery disease hospitalisation or death: Cohort study of UK Biobank participants.</v>
      </c>
      <c r="Y196" s="31" t="str">
        <f>IFERROR(__xludf.DUMMYFUNCTION("""COMPUTED_VALUE"""),"Xu, Ying; Harris, Katie; Pouncey, Anna Louise; Carcel, Cheryl; Low, Gary; Peters, Sanne A E; Woodward, Mark")</f>
        <v>Xu, Ying; Harris, Katie; Pouncey, Anna Louise; Carcel, Cheryl; Low, Gary; Peters, Sanne A E; Woodward, Mark</v>
      </c>
      <c r="Z196" s="31">
        <f>IFERROR(__xludf.DUMMYFUNCTION("""COMPUTED_VALUE"""),2023.0)</f>
        <v>2023</v>
      </c>
      <c r="AA196" s="31">
        <f>IFERROR(__xludf.DUMMYFUNCTION("""COMPUTED_VALUE"""),2.0)</f>
        <v>2</v>
      </c>
      <c r="AC196" s="31" t="str">
        <f>IFERROR(__xludf.DUMMYFUNCTION("""COMPUTED_VALUE"""),"The finding of invasive cancer after a preoperative diagnosis of ductal carcinoma-in-situ: causes of ductal carcinoma-in-situ underestimates with stereotactic 14-gauge needle biopsy.")</f>
        <v>The finding of invasive cancer after a preoperative diagnosis of ductal carcinoma-in-situ: causes of ductal carcinoma-in-situ underestimates with stereotactic 14-gauge needle biopsy.</v>
      </c>
      <c r="AD196" s="31" t="str">
        <f>IFERROR(__xludf.DUMMYFUNCTION("""COMPUTED_VALUE"""),"Hoorntje, Lidewij E; Schipper, Marguerite E I; Peeters, Petra H M; Bellot, Frank; Storm, Remmert K; Borel Rinkes, Inne H M")</f>
        <v>Hoorntje, Lidewij E; Schipper, Marguerite E I; Peeters, Petra H M; Bellot, Frank; Storm, Remmert K; Borel Rinkes, Inne H M</v>
      </c>
      <c r="AE196" s="32">
        <f>IFERROR(__xludf.DUMMYFUNCTION("""COMPUTED_VALUE"""),37834.0)</f>
        <v>37834</v>
      </c>
      <c r="AF196" s="31" t="str">
        <f>IFERROR(__xludf.DUMMYFUNCTION("""COMPUTED_VALUE"""),"Predictive Value of &lt;i&gt;SLCO1B1&lt;/i&gt; c.521T&gt;C Polymorphism on Observed Changes in the Treatment of 1136 Statin-Users.")</f>
        <v>Predictive Value of &lt;i&gt;SLCO1B1&lt;/i&gt; c.521T&gt;C Polymorphism on Observed Changes in the Treatment of 1136 Statin-Users.</v>
      </c>
      <c r="AG196" s="31" t="str">
        <f>IFERROR(__xludf.DUMMYFUNCTION("""COMPUTED_VALUE"""),"Jansen, Marleen E; Rigter, Tessel; Fleur, Thom M C; Souverein, Patrick C; Verschuren, W M Monique; Vijverberg, Susanne J; Swen, Jesse J; Rodenburg, Wendy; Cornel, Martina C")</f>
        <v>Jansen, Marleen E; Rigter, Tessel; Fleur, Thom M C; Souverein, Patrick C; Verschuren, W M Monique; Vijverberg, Susanne J; Swen, Jesse J; Rodenburg, Wendy; Cornel, Martina C</v>
      </c>
      <c r="AH196" s="32">
        <f>IFERROR(__xludf.DUMMYFUNCTION("""COMPUTED_VALUE"""),44967.0)</f>
        <v>44967</v>
      </c>
      <c r="AI196" s="31" t="str">
        <f>IFERROR(__xludf.DUMMYFUNCTION("""COMPUTED_VALUE"""),"A scoping review on Chronic Venous Disease and the development of a Venous Leg Ulcer: The role of obesity and mobility.")</f>
        <v>A scoping review on Chronic Venous Disease and the development of a Venous Leg Ulcer: The role of obesity and mobility.</v>
      </c>
      <c r="AJ196" s="31" t="str">
        <f>IFERROR(__xludf.DUMMYFUNCTION("""COMPUTED_VALUE"""),"Meulendijks, A M; Franssen, W M A; Schoonhoven, L; Neumann, H A M")</f>
        <v>Meulendijks, A M; Franssen, W M A; Schoonhoven, L; Neumann, H A M</v>
      </c>
      <c r="AK196" s="32">
        <f>IFERROR(__xludf.DUMMYFUNCTION("""COMPUTED_VALUE"""),43747.0)</f>
        <v>43747</v>
      </c>
      <c r="AL196" s="31" t="str">
        <f>IFERROR(__xludf.DUMMYFUNCTION("""COMPUTED_VALUE"""),"Microinfarcts in the Deep Gray Matter on 7T MRI: Risk Factors, MRI Correlates, and Relation to Cognitive Functioning-The SMART-MR Study.")</f>
        <v>Microinfarcts in the Deep Gray Matter on 7T MRI: Risk Factors, MRI Correlates, and Relation to Cognitive Functioning-The SMART-MR Study.</v>
      </c>
      <c r="AM196" s="31" t="str">
        <f>IFERROR(__xludf.DUMMYFUNCTION("""COMPUTED_VALUE"""),"Ghaznawi, R; Zwartbol, M H T; de Bresser, J; Kuijf, H J; Vincken, K L; Rissanen, I; Geerlings, M I; Hendrikse, J; ,")</f>
        <v>Ghaznawi, R; Zwartbol, M H T; de Bresser, J; Kuijf, H J; Vincken, K L; Rissanen, I; Geerlings, M I; Hendrikse, J; ,</v>
      </c>
      <c r="AN196" s="32">
        <f>IFERROR(__xludf.DUMMYFUNCTION("""COMPUTED_VALUE"""),44707.0)</f>
        <v>44707</v>
      </c>
    </row>
    <row r="197">
      <c r="A197" s="32"/>
      <c r="I197" s="31" t="str">
        <f>IFERROR(__xludf.DUMMYFUNCTION("""COMPUTED_VALUE"""),"european journal of cancer oxford england")</f>
        <v>european journal of cancer oxford england</v>
      </c>
      <c r="J197" s="38">
        <f>COUNTIF(Data!$F$2:$F9917, $I197)</f>
        <v>26</v>
      </c>
      <c r="T197" s="31" t="s">
        <v>24881</v>
      </c>
      <c r="U197" s="31" t="s">
        <v>24882</v>
      </c>
      <c r="V197" s="32">
        <v>45517.0</v>
      </c>
      <c r="X197" s="31" t="str">
        <f>IFERROR(__xludf.DUMMYFUNCTION("""COMPUTED_VALUE"""),"Strategies to improve interpersonal communication along the continuum of maternal and newborn care: A scoping review and narrative synthesis.")</f>
        <v>Strategies to improve interpersonal communication along the continuum of maternal and newborn care: A scoping review and narrative synthesis.</v>
      </c>
      <c r="Y197" s="31" t="str">
        <f>IFERROR(__xludf.DUMMYFUNCTION("""COMPUTED_VALUE"""),"Olde Loohuis, Klaartje M; de Kok, Bregje C; Bruner, Winter; Jonker, Annemoon; Salia, Emmanuella; Tunçalp, Özge; Portela, Anayda; Mehrtash, Hedieh; Grobbee, Diederick E; Srofeneyoh, Emmanuel; Adu-Bonsaffoh, Kwame; Brown Amoakoh, Hannah; Amoakoh-Coleman, Ma"&amp;"ry; Browne, Joyce L")</f>
        <v>Olde Loohuis, Klaartje M; de Kok, Bregje C; Bruner, Winter; Jonker, Annemoon; Salia, Emmanuella; Tunçalp, Özge; Portela, Anayda; Mehrtash, Hedieh; Grobbee, Diederick E; Srofeneyoh, Emmanuel; Adu-Bonsaffoh, Kwame; Brown Amoakoh, Hannah; Amoakoh-Coleman, Mary; Browne, Joyce L</v>
      </c>
      <c r="Z197" s="31">
        <f>IFERROR(__xludf.DUMMYFUNCTION("""COMPUTED_VALUE"""),2023.0)</f>
        <v>2023</v>
      </c>
      <c r="AA197" s="31">
        <f>IFERROR(__xludf.DUMMYFUNCTION("""COMPUTED_VALUE"""),2.0)</f>
        <v>2</v>
      </c>
      <c r="AC197" s="31" t="str">
        <f>IFERROR(__xludf.DUMMYFUNCTION("""COMPUTED_VALUE"""),"Diagnostic accuracy of needle-localized open breast biopsy for impalpable breast disease.")</f>
        <v>Diagnostic accuracy of needle-localized open breast biopsy for impalpable breast disease.</v>
      </c>
      <c r="AD197" s="31" t="str">
        <f>IFERROR(__xludf.DUMMYFUNCTION("""COMPUTED_VALUE"""),"Verkooijen, H M; Peeters, P H; Pijnappel, R M; Koot, V C; Schipper, M E; Borel Rinkes, I H")</f>
        <v>Verkooijen, H M; Peeters, P H; Pijnappel, R M; Koot, V C; Schipper, M E; Borel Rinkes, I H</v>
      </c>
      <c r="AE197" s="32">
        <f>IFERROR(__xludf.DUMMYFUNCTION("""COMPUTED_VALUE"""),36586.0)</f>
        <v>36586</v>
      </c>
      <c r="AF197" s="31" t="str">
        <f>IFERROR(__xludf.DUMMYFUNCTION("""COMPUTED_VALUE"""),"Causes, survival rates, and short-term outcomes of preterm births in a tertiary hospital in a low resource setting: An observational cohort study.")</f>
        <v>Causes, survival rates, and short-term outcomes of preterm births in a tertiary hospital in a low resource setting: An observational cohort study.</v>
      </c>
      <c r="AG197" s="31" t="str">
        <f>IFERROR(__xludf.DUMMYFUNCTION("""COMPUTED_VALUE"""),"Mocking, Martina; Adu-Bonsaffoh, Kwame; Osman, Kwabena A; Tamma, Evelyn; Ruiz, Alexa M; van Asperen, Ruth; Oppong, Samuel A; Kleinhout, Mirjam Y; Gyamfi-Bannerman, Cynthia; Browne, Joyce L")</f>
        <v>Mocking, Martina; Adu-Bonsaffoh, Kwame; Osman, Kwabena A; Tamma, Evelyn; Ruiz, Alexa M; van Asperen, Ruth; Oppong, Samuel A; Kleinhout, Mirjam Y; Gyamfi-Bannerman, Cynthia; Browne, Joyce L</v>
      </c>
      <c r="AH197" s="32">
        <f>IFERROR(__xludf.DUMMYFUNCTION("""COMPUTED_VALUE"""),44959.0)</f>
        <v>44959</v>
      </c>
      <c r="AI197" s="31" t="str">
        <f>IFERROR(__xludf.DUMMYFUNCTION("""COMPUTED_VALUE"""),"Clinical factors, C-reactive protein point of care test and chest X-ray in patients with pneumonia: A survey in primary care.")</f>
        <v>Clinical factors, C-reactive protein point of care test and chest X-ray in patients with pneumonia: A survey in primary care.</v>
      </c>
      <c r="AJ197" s="31" t="str">
        <f>IFERROR(__xludf.DUMMYFUNCTION("""COMPUTED_VALUE"""),"Groeneveld, Geert H; van de Peppel, Robert J; de Waal, Margot W M; Verheij, Theo J M; van Dissel, Jaap T")</f>
        <v>Groeneveld, Geert H; van de Peppel, Robert J; de Waal, Margot W M; Verheij, Theo J M; van Dissel, Jaap T</v>
      </c>
      <c r="AK197" s="32">
        <f>IFERROR(__xludf.DUMMYFUNCTION("""COMPUTED_VALUE"""),43705.0)</f>
        <v>43705</v>
      </c>
      <c r="AL197" s="31" t="str">
        <f>IFERROR(__xludf.DUMMYFUNCTION("""COMPUTED_VALUE"""),"CONVINCE in the context of existing evidence on haemodiafiltration.")</f>
        <v>CONVINCE in the context of existing evidence on haemodiafiltration.</v>
      </c>
      <c r="AM197" s="31" t="str">
        <f>IFERROR(__xludf.DUMMYFUNCTION("""COMPUTED_VALUE"""),"Vernooij, Robin W M; Bots, Michiel L; Strippoli, Giovanni F M; Canaud, Bernard; Cromm, Krister; Woodward, Mark; Blankestijn, Peter J; ,")</f>
        <v>Vernooij, Robin W M; Bots, Michiel L; Strippoli, Giovanni F M; Canaud, Bernard; Cromm, Krister; Woodward, Mark; Blankestijn, Peter J; ,</v>
      </c>
      <c r="AN197" s="32">
        <f>IFERROR(__xludf.DUMMYFUNCTION("""COMPUTED_VALUE"""),44706.0)</f>
        <v>44706</v>
      </c>
    </row>
    <row r="198">
      <c r="A198" s="32"/>
      <c r="I198" s="31" t="str">
        <f>IFERROR(__xludf.DUMMYFUNCTION("""COMPUTED_VALUE"""),"value in health the journal of the international society for pharmacoeconomics and outcomes research")</f>
        <v>value in health the journal of the international society for pharmacoeconomics and outcomes research</v>
      </c>
      <c r="J198" s="38">
        <f>COUNTIF(Data!$F$2:$F9917, $I198)</f>
        <v>12</v>
      </c>
      <c r="T198" s="31" t="s">
        <v>25618</v>
      </c>
      <c r="U198" s="31" t="s">
        <v>25619</v>
      </c>
      <c r="V198" s="32">
        <v>45517.0</v>
      </c>
      <c r="X198" s="31" t="str">
        <f>IFERROR(__xludf.DUMMYFUNCTION("""COMPUTED_VALUE"""),"Individual mental health patterns and the role of lifestyle among ageing adults over 20 years - the Doetinchem Cohort Study.")</f>
        <v>Individual mental health patterns and the role of lifestyle among ageing adults over 20 years - the Doetinchem Cohort Study.</v>
      </c>
      <c r="Y198" s="31" t="str">
        <f>IFERROR(__xludf.DUMMYFUNCTION("""COMPUTED_VALUE"""),"Menassa, M; Wesenhagen, Kej; Stronks, K; Franco, O H; Verschuren, Wmm; Picavet, Hsj")</f>
        <v>Menassa, M; Wesenhagen, Kej; Stronks, K; Franco, O H; Verschuren, Wmm; Picavet, Hsj</v>
      </c>
      <c r="Z198" s="31">
        <f>IFERROR(__xludf.DUMMYFUNCTION("""COMPUTED_VALUE"""),2023.0)</f>
        <v>2023</v>
      </c>
      <c r="AA198" s="31">
        <f>IFERROR(__xludf.DUMMYFUNCTION("""COMPUTED_VALUE"""),2.0)</f>
        <v>2</v>
      </c>
      <c r="AF198" s="31" t="str">
        <f>IFERROR(__xludf.DUMMYFUNCTION("""COMPUTED_VALUE"""),"Circulating lipoprotein (a) and all-cause and cause-specific mortality: a systematic review and dose-response meta-analysis.")</f>
        <v>Circulating lipoprotein (a) and all-cause and cause-specific mortality: a systematic review and dose-response meta-analysis.</v>
      </c>
      <c r="AG198" s="31" t="str">
        <f>IFERROR(__xludf.DUMMYFUNCTION("""COMPUTED_VALUE"""),"Amiri, Mojgan; Raeisi-Dehkordi, Hamidreza; Verkaar, Auke J C F; Wu, Yahong; van Westing, Anniek C; Berk, Kirsten A; Bramer, Wichor M; Aune, Dagfinn; Voortman, Trudy")</f>
        <v>Amiri, Mojgan; Raeisi-Dehkordi, Hamidreza; Verkaar, Auke J C F; Wu, Yahong; van Westing, Anniek C; Berk, Kirsten A; Bramer, Wichor M; Aune, Dagfinn; Voortman, Trudy</v>
      </c>
      <c r="AH198" s="32">
        <f>IFERROR(__xludf.DUMMYFUNCTION("""COMPUTED_VALUE"""),44954.0)</f>
        <v>44954</v>
      </c>
      <c r="AI198" s="31" t="str">
        <f>IFERROR(__xludf.DUMMYFUNCTION("""COMPUTED_VALUE"""),"[Are we too economical with antibiotics in elderly patients?].")</f>
        <v>[Are we too economical with antibiotics in elderly patients?].</v>
      </c>
      <c r="AJ198" s="31" t="str">
        <f>IFERROR(__xludf.DUMMYFUNCTION("""COMPUTED_VALUE"""),"Zwart, Dorien L M")</f>
        <v>Zwart, Dorien L M</v>
      </c>
      <c r="AK198" s="32">
        <f>IFERROR(__xludf.DUMMYFUNCTION("""COMPUTED_VALUE"""),43696.0)</f>
        <v>43696</v>
      </c>
      <c r="AL198" s="31" t="str">
        <f>IFERROR(__xludf.DUMMYFUNCTION("""COMPUTED_VALUE"""),"Effect of erythromycin on mortality and the host response in critically ill patients with sepsis: a target trial emulation.")</f>
        <v>Effect of erythromycin on mortality and the host response in critically ill patients with sepsis: a target trial emulation.</v>
      </c>
      <c r="AM198" s="31" t="str">
        <f>IFERROR(__xludf.DUMMYFUNCTION("""COMPUTED_VALUE"""),"Reijnders, Tom D Y; Peters-Sengers, Hessel; van Vught, Lonneke A; Uhel, Fabrice; Bonten, Marc J M; Cremer, Olaf L; Schultz, Marcus J; Stuiver, Martijn M; van der Poll, Tom; ,")</f>
        <v>Reijnders, Tom D Y; Peters-Sengers, Hessel; van Vught, Lonneke A; Uhel, Fabrice; Bonten, Marc J M; Cremer, Olaf L; Schultz, Marcus J; Stuiver, Martijn M; van der Poll, Tom; ,</v>
      </c>
      <c r="AN198" s="32">
        <f>IFERROR(__xludf.DUMMYFUNCTION("""COMPUTED_VALUE"""),44705.0)</f>
        <v>44705</v>
      </c>
    </row>
    <row r="199">
      <c r="A199" s="32"/>
      <c r="I199" s="31" t="str">
        <f>IFERROR(__xludf.DUMMYFUNCTION("""COMPUTED_VALUE"""),"european radiology experimental")</f>
        <v>european radiology experimental</v>
      </c>
      <c r="J199" s="38">
        <f>COUNTIF(Data!$F$2:$F9917, $I199)</f>
        <v>1</v>
      </c>
      <c r="T199" s="31" t="s">
        <v>24973</v>
      </c>
      <c r="U199" s="31" t="s">
        <v>24974</v>
      </c>
      <c r="V199" s="32">
        <v>45516.0</v>
      </c>
      <c r="X199" s="31" t="str">
        <f>IFERROR(__xludf.DUMMYFUNCTION("""COMPUTED_VALUE"""),"Effects of exercise during chemotherapy for breast cancer on long-term cardiovascular toxicity.")</f>
        <v>Effects of exercise during chemotherapy for breast cancer on long-term cardiovascular toxicity.</v>
      </c>
      <c r="Y199" s="31" t="str">
        <f>IFERROR(__xludf.DUMMYFUNCTION("""COMPUTED_VALUE"""),"Naaktgeboren, Willeke R; Stuiver, Martijn M; van Harten, Wim H; Aaronson, Neil K; Scott, Jessica M; Sonke, Gabe; van der Wall, Elsken; Velthuis, Miranda; Leiner, Tim; Teske, Arco J; May, Anne M; Groen, Wim G")</f>
        <v>Naaktgeboren, Willeke R; Stuiver, Martijn M; van Harten, Wim H; Aaronson, Neil K; Scott, Jessica M; Sonke, Gabe; van der Wall, Elsken; Velthuis, Miranda; Leiner, Tim; Teske, Arco J; May, Anne M; Groen, Wim G</v>
      </c>
      <c r="Z199" s="31">
        <f>IFERROR(__xludf.DUMMYFUNCTION("""COMPUTED_VALUE"""),2023.0)</f>
        <v>2023</v>
      </c>
      <c r="AA199" s="31">
        <f>IFERROR(__xludf.DUMMYFUNCTION("""COMPUTED_VALUE"""),2.0)</f>
        <v>2</v>
      </c>
      <c r="AF199" s="31" t="str">
        <f>IFERROR(__xludf.DUMMYFUNCTION("""COMPUTED_VALUE"""),"Men's motivations, barriers to and aspirations for their families' health in the first 1000 days in sub-Saharan Africa: a secondary qualitative analysis.")</f>
        <v>Men's motivations, barriers to and aspirations for their families' health in the first 1000 days in sub-Saharan Africa: a secondary qualitative analysis.</v>
      </c>
      <c r="AG199" s="31" t="str">
        <f>IFERROR(__xludf.DUMMYFUNCTION("""COMPUTED_VALUE"""),"Watson, Daniella; Chatio, Samuel; Barker, Mary; Boua, Palwende Romuald; Compaoré, Adélaïde; Dalaba, Maxwell; Erzse, Agnes; Godfrey, Keith; Hofman, Karen; Kehoe, Sarah; McGrath, Nuala; Mukoma, Gudani; Nonterah, Engelbert A; Norris, Shane A; Sorgho, Hermann"&amp;"; Ward, Kate A; Hardy-Johnson, Polly; ,")</f>
        <v>Watson, Daniella; Chatio, Samuel; Barker, Mary; Boua, Palwende Romuald; Compaoré, Adélaïde; Dalaba, Maxwell; Erzse, Agnes; Godfrey, Keith; Hofman, Karen; Kehoe, Sarah; McGrath, Nuala; Mukoma, Gudani; Nonterah, Engelbert A; Norris, Shane A; Sorgho, Hermann; Ward, Kate A; Hardy-Johnson, Polly; ,</v>
      </c>
      <c r="AH199" s="32">
        <f>IFERROR(__xludf.DUMMYFUNCTION("""COMPUTED_VALUE"""),44943.0)</f>
        <v>44943</v>
      </c>
      <c r="AI199" s="31" t="str">
        <f>IFERROR(__xludf.DUMMYFUNCTION("""COMPUTED_VALUE"""),"Factors that influence the intended intensity of diabetes care in a person-centred setting.")</f>
        <v>Factors that influence the intended intensity of diabetes care in a person-centred setting.</v>
      </c>
      <c r="AJ199" s="31" t="str">
        <f>IFERROR(__xludf.DUMMYFUNCTION("""COMPUTED_VALUE"""),"van Vugt, H A; Heijmans, M J W M; de Koning, E J P; Rutten, G E H M")</f>
        <v>van Vugt, H A; Heijmans, M J W M; de Koning, E J P; Rutten, G E H M</v>
      </c>
      <c r="AK199" s="32">
        <f>IFERROR(__xludf.DUMMYFUNCTION("""COMPUTED_VALUE"""),43686.0)</f>
        <v>43686</v>
      </c>
      <c r="AL199" s="31" t="str">
        <f>IFERROR(__xludf.DUMMYFUNCTION("""COMPUTED_VALUE"""),"Evaluation of an individual feedback report on patient-reported outcomes in the Prospective Dutch ColoRectal Cancer cohort.")</f>
        <v>Evaluation of an individual feedback report on patient-reported outcomes in the Prospective Dutch ColoRectal Cancer cohort.</v>
      </c>
      <c r="AM199" s="31" t="str">
        <f>IFERROR(__xludf.DUMMYFUNCTION("""COMPUTED_VALUE"""),"Vissers, Pauline A J; Vink, Geraldine R; Koelink, Maaike R; Koopman, Miriam; Arts, Lindy P J; Oerlemans, Simone; May, Anne M; van de Poll-Franse, Lonneke V; van Erning, Felice N")</f>
        <v>Vissers, Pauline A J; Vink, Geraldine R; Koelink, Maaike R; Koopman, Miriam; Arts, Lindy P J; Oerlemans, Simone; May, Anne M; van de Poll-Franse, Lonneke V; van Erning, Felice N</v>
      </c>
      <c r="AN199" s="32">
        <f>IFERROR(__xludf.DUMMYFUNCTION("""COMPUTED_VALUE"""),44704.0)</f>
        <v>44704</v>
      </c>
    </row>
    <row r="200">
      <c r="A200" s="32"/>
      <c r="I200" s="31" t="str">
        <f>IFERROR(__xludf.DUMMYFUNCTION("""COMPUTED_VALUE"""),"blood pressure")</f>
        <v>blood pressure</v>
      </c>
      <c r="J200" s="38">
        <f>COUNTIF(Data!$F$2:$F9917, $I200)</f>
        <v>3</v>
      </c>
      <c r="T200" s="31" t="s">
        <v>25402</v>
      </c>
      <c r="U200" s="31" t="s">
        <v>25403</v>
      </c>
      <c r="V200" s="32">
        <v>45515.0</v>
      </c>
      <c r="X200" s="31" t="str">
        <f>IFERROR(__xludf.DUMMYFUNCTION("""COMPUTED_VALUE"""),"Effective communication in palliative care from the perspectives of patients and relatives: A systematic review.")</f>
        <v>Effective communication in palliative care from the perspectives of patients and relatives: A systematic review.</v>
      </c>
      <c r="Y200" s="31" t="str">
        <f>IFERROR(__xludf.DUMMYFUNCTION("""COMPUTED_VALUE"""),"Engel, Marijanne; Kars, Marijke C; Teunissen, Saskia C C M; van der Heide, Agnes")</f>
        <v>Engel, Marijanne; Kars, Marijke C; Teunissen, Saskia C C M; van der Heide, Agnes</v>
      </c>
      <c r="Z200" s="31">
        <f>IFERROR(__xludf.DUMMYFUNCTION("""COMPUTED_VALUE"""),2023.0)</f>
        <v>2023</v>
      </c>
      <c r="AA200" s="31">
        <f>IFERROR(__xludf.DUMMYFUNCTION("""COMPUTED_VALUE"""),2.0)</f>
        <v>2</v>
      </c>
      <c r="AF200" s="31" t="str">
        <f>IFERROR(__xludf.DUMMYFUNCTION("""COMPUTED_VALUE"""),"Risk factor clustering in men and women with CHD in the Southern Cone of Latin America.")</f>
        <v>Risk factor clustering in men and women with CHD in the Southern Cone of Latin America.</v>
      </c>
      <c r="AG200" s="31" t="str">
        <f>IFERROR(__xludf.DUMMYFUNCTION("""COMPUTED_VALUE"""),"Marzà-Florensa, Anna; Gutierrez, Laura; Gulayin, Pablo; Vaartjes, Ilonca; Grobbee, Diederick E; Klipstein-Grobusch, Kerstin; Irazola, Vilma")</f>
        <v>Marzà-Florensa, Anna; Gutierrez, Laura; Gulayin, Pablo; Vaartjes, Ilonca; Grobbee, Diederick E; Klipstein-Grobusch, Kerstin; Irazola, Vilma</v>
      </c>
      <c r="AH200" s="32">
        <f>IFERROR(__xludf.DUMMYFUNCTION("""COMPUTED_VALUE"""),44939.0)</f>
        <v>44939</v>
      </c>
      <c r="AI200" s="31" t="str">
        <f>IFERROR(__xludf.DUMMYFUNCTION("""COMPUTED_VALUE"""),"Living as a Cancer Survivor: A Qualitative Study on the Experiences of Belgian Adolescents and Young Adults (AYAs) after Childhood Cancer.")</f>
        <v>Living as a Cancer Survivor: A Qualitative Study on the Experiences of Belgian Adolescents and Young Adults (AYAs) after Childhood Cancer.</v>
      </c>
      <c r="AJ200" s="31" t="str">
        <f>IFERROR(__xludf.DUMMYFUNCTION("""COMPUTED_VALUE"""),"Belpame, Nathalie; Kars, Marijke C; Deslypere, Eva; Rober, Peter; Van Hecke, Ann; Verhaeghe, Sofie")</f>
        <v>Belpame, Nathalie; Kars, Marijke C; Deslypere, Eva; Rober, Peter; Van Hecke, Ann; Verhaeghe, Sofie</v>
      </c>
      <c r="AK200" s="32">
        <f>IFERROR(__xludf.DUMMYFUNCTION("""COMPUTED_VALUE"""),43685.0)</f>
        <v>43685</v>
      </c>
      <c r="AL200" s="31" t="str">
        <f>IFERROR(__xludf.DUMMYFUNCTION("""COMPUTED_VALUE"""),"[A preview of COVID-19 vaccination and treatment].")</f>
        <v>[A preview of COVID-19 vaccination and treatment].</v>
      </c>
      <c r="AM200" s="31" t="str">
        <f>IFERROR(__xludf.DUMMYFUNCTION("""COMPUTED_VALUE"""),"de Boer, Mark G J; Bonten, Marc J M; Huckriede, Anke L W")</f>
        <v>de Boer, Mark G J; Bonten, Marc J M; Huckriede, Anke L W</v>
      </c>
      <c r="AN200" s="32">
        <f>IFERROR(__xludf.DUMMYFUNCTION("""COMPUTED_VALUE"""),44693.0)</f>
        <v>44693</v>
      </c>
    </row>
    <row r="201">
      <c r="A201" s="32"/>
      <c r="I201" s="31" t="str">
        <f>IFERROR(__xludf.DUMMYFUNCTION("""COMPUTED_VALUE"""),"medical education online")</f>
        <v>medical education online</v>
      </c>
      <c r="J201" s="38">
        <f>COUNTIF(Data!$F$2:$F9917, $I201)</f>
        <v>1</v>
      </c>
      <c r="T201" s="31" t="s">
        <v>25103</v>
      </c>
      <c r="U201" s="31" t="s">
        <v>25104</v>
      </c>
      <c r="V201" s="32">
        <v>45514.0</v>
      </c>
      <c r="X201" s="31" t="str">
        <f>IFERROR(__xludf.DUMMYFUNCTION("""COMPUTED_VALUE"""),"External validation of semi-automated surveillance algorithms for deep surgical site infections after colorectal surgery in an independent country.")</f>
        <v>External validation of semi-automated surveillance algorithms for deep surgical site infections after colorectal surgery in an independent country.</v>
      </c>
      <c r="Y201" s="31" t="str">
        <f>IFERROR(__xludf.DUMMYFUNCTION("""COMPUTED_VALUE"""),"van der Werff, Suzanne D; Verberk, Janneke D M; Buchli, Christian; van Mourik, Maaike S M; Nauclér, Pontus")</f>
        <v>van der Werff, Suzanne D; Verberk, Janneke D M; Buchli, Christian; van Mourik, Maaike S M; Nauclér, Pontus</v>
      </c>
      <c r="Z201" s="31">
        <f>IFERROR(__xludf.DUMMYFUNCTION("""COMPUTED_VALUE"""),2023.0)</f>
        <v>2023</v>
      </c>
      <c r="AA201" s="31">
        <f>IFERROR(__xludf.DUMMYFUNCTION("""COMPUTED_VALUE"""),2.0)</f>
        <v>2</v>
      </c>
      <c r="AF201" s="31" t="str">
        <f>IFERROR(__xludf.DUMMYFUNCTION("""COMPUTED_VALUE"""),"Concepts and definitions of healthy ageing: a systematic review and synthesis of theoretical models.")</f>
        <v>Concepts and definitions of healthy ageing: a systematic review and synthesis of theoretical models.</v>
      </c>
      <c r="AG201" s="31" t="str">
        <f>IFERROR(__xludf.DUMMYFUNCTION("""COMPUTED_VALUE"""),"Menassa, Marilyne; Stronks, Karien; Khatmi, Farnaz; Roa Díaz, Zayne Milena; Espinola, Octavio Pano; Gamba, Magda; Itodo, Oche Adam; Buttia, Chepkoech; Wehrli, Faina; Minder, Beatrice; Velarde, Minerva Rivas; Franco, Oscar H")</f>
        <v>Menassa, Marilyne; Stronks, Karien; Khatmi, Farnaz; Roa Díaz, Zayne Milena; Espinola, Octavio Pano; Gamba, Magda; Itodo, Oche Adam; Buttia, Chepkoech; Wehrli, Faina; Minder, Beatrice; Velarde, Minerva Rivas; Franco, Oscar H</v>
      </c>
      <c r="AH201" s="32">
        <f>IFERROR(__xludf.DUMMYFUNCTION("""COMPUTED_VALUE"""),44938.0)</f>
        <v>44938</v>
      </c>
      <c r="AI201" s="31" t="str">
        <f>IFERROR(__xludf.DUMMYFUNCTION("""COMPUTED_VALUE"""),"Impetigo incidence and treatment: a retrospective study of Dutch routine primary care data.")</f>
        <v>Impetigo incidence and treatment: a retrospective study of Dutch routine primary care data.</v>
      </c>
      <c r="AJ201" s="31" t="str">
        <f>IFERROR(__xludf.DUMMYFUNCTION("""COMPUTED_VALUE"""),"Loadsman, Madelyn E N; Verheij, Theo J M; van der Velden, Alike W")</f>
        <v>Loadsman, Madelyn E N; Verheij, Theo J M; van der Velden, Alike W</v>
      </c>
      <c r="AK201" s="32">
        <f>IFERROR(__xludf.DUMMYFUNCTION("""COMPUTED_VALUE"""),43677.0)</f>
        <v>43677</v>
      </c>
      <c r="AL201" s="31" t="str">
        <f>IFERROR(__xludf.DUMMYFUNCTION("""COMPUTED_VALUE"""),"Assessing the Availability of Teleconsultation and the Extent of Its Use in Malaysian Public Primary Care Clinics: Cross-sectional Study.")</f>
        <v>Assessing the Availability of Teleconsultation and the Extent of Its Use in Malaysian Public Primary Care Clinics: Cross-sectional Study.</v>
      </c>
      <c r="AM201" s="31" t="str">
        <f>IFERROR(__xludf.DUMMYFUNCTION("""COMPUTED_VALUE"""),"Ng, Sock Wen; Hwong, Wen Yea; Husin, Masliyana; Ab Rahman, Norazida; Nasir, Nazrila Hairizan; Juval, Kawselyah; Sivasampu, Sheamini")</f>
        <v>Ng, Sock Wen; Hwong, Wen Yea; Husin, Masliyana; Ab Rahman, Norazida; Nasir, Nazrila Hairizan; Juval, Kawselyah; Sivasampu, Sheamini</v>
      </c>
      <c r="AN201" s="32">
        <f>IFERROR(__xludf.DUMMYFUNCTION("""COMPUTED_VALUE"""),44690.0)</f>
        <v>44690</v>
      </c>
    </row>
    <row r="202">
      <c r="A202" s="32"/>
      <c r="I202" s="31" t="str">
        <f>IFERROR(__xludf.DUMMYFUNCTION("""COMPUTED_VALUE"""),"the british journal of general practice the journal of the royal college of general practitioners")</f>
        <v>the british journal of general practice the journal of the royal college of general practitioners</v>
      </c>
      <c r="J202" s="38">
        <f>COUNTIF(Data!$F$2:$F9917, $I202)</f>
        <v>30</v>
      </c>
      <c r="T202" s="31" t="s">
        <v>24772</v>
      </c>
      <c r="U202" s="31" t="s">
        <v>24773</v>
      </c>
      <c r="V202" s="32">
        <v>45512.0</v>
      </c>
      <c r="X202" s="31" t="str">
        <f>IFERROR(__xludf.DUMMYFUNCTION("""COMPUTED_VALUE"""),"Variations across Europe in hospitalization and management of pregnant women with SARS-CoV-2 during the initial phase of the pandemic: Multi-national population-based cohort study using the International Network of Obstetric Survey Systems (INOSS).")</f>
        <v>Variations across Europe in hospitalization and management of pregnant women with SARS-CoV-2 during the initial phase of the pandemic: Multi-national population-based cohort study using the International Network of Obstetric Survey Systems (INOSS).</v>
      </c>
      <c r="Y202" s="31" t="str">
        <f>IFERROR(__xludf.DUMMYFUNCTION("""COMPUTED_VALUE"""),"de Bruin, Odette; Engjom, Hilde; Vousden, Nicola; Ramakrishnan, Rema; Aabakke, Anna J M; Äyräs, Outi; Donati, Serena; Jónasdóttir, Eva; Knight, Marian; Overtoom, Evelien M; Salvatore, Michele A; Sturkenboom, Miriam C J M; Svanvik, Teresia; Varpula, Reetta"&amp;"; Vercoutere, An; Bloemenkamp, Kitty W M; ,")</f>
        <v>de Bruin, Odette; Engjom, Hilde; Vousden, Nicola; Ramakrishnan, Rema; Aabakke, Anna J M; Äyräs, Outi; Donati, Serena; Jónasdóttir, Eva; Knight, Marian; Overtoom, Evelien M; Salvatore, Michele A; Sturkenboom, Miriam C J M; Svanvik, Teresia; Varpula, Reetta; Vercoutere, An; Bloemenkamp, Kitty W M; ,</v>
      </c>
      <c r="Z202" s="31">
        <f>IFERROR(__xludf.DUMMYFUNCTION("""COMPUTED_VALUE"""),2023.0)</f>
        <v>2023</v>
      </c>
      <c r="AA202" s="31">
        <f>IFERROR(__xludf.DUMMYFUNCTION("""COMPUTED_VALUE"""),2.0)</f>
        <v>2</v>
      </c>
      <c r="AF202" s="31" t="str">
        <f>IFERROR(__xludf.DUMMYFUNCTION("""COMPUTED_VALUE"""),"Maternal hypertensive mother's knowledge, attitudes and misconceptions on hypertension in pregnancy: A multi-center qualitative study in Ghana.")</f>
        <v>Maternal hypertensive mother's knowledge, attitudes and misconceptions on hypertension in pregnancy: A multi-center qualitative study in Ghana.</v>
      </c>
      <c r="AG202" s="31" t="str">
        <f>IFERROR(__xludf.DUMMYFUNCTION("""COMPUTED_VALUE"""),"Tamma, Evelyn; Adu-Bonsaffoh, Kwame; Nwameme, Adanna; Dako-Gyeke, Phyllis; Srofenyoh, Emmanuel; Browne, Joyce")</f>
        <v>Tamma, Evelyn; Adu-Bonsaffoh, Kwame; Nwameme, Adanna; Dako-Gyeke, Phyllis; Srofenyoh, Emmanuel; Browne, Joyce</v>
      </c>
      <c r="AH202" s="32">
        <f>IFERROR(__xludf.DUMMYFUNCTION("""COMPUTED_VALUE"""),44932.0)</f>
        <v>44932</v>
      </c>
      <c r="AI202" s="31" t="str">
        <f>IFERROR(__xludf.DUMMYFUNCTION("""COMPUTED_VALUE"""),"Association between person and disease related factors and the planned diabetes care in people who receive person-centered type 2 diabetes care: An implementation study.")</f>
        <v>Association between person and disease related factors and the planned diabetes care in people who receive person-centered type 2 diabetes care: An implementation study.</v>
      </c>
      <c r="AJ202" s="31" t="str">
        <f>IFERROR(__xludf.DUMMYFUNCTION("""COMPUTED_VALUE"""),"van Vugt, Heidi A; de Koning, Eelco J P; Rutten, Guy E H M")</f>
        <v>van Vugt, Heidi A; de Koning, Eelco J P; Rutten, Guy E H M</v>
      </c>
      <c r="AK202" s="32">
        <f>IFERROR(__xludf.DUMMYFUNCTION("""COMPUTED_VALUE"""),43670.0)</f>
        <v>43670</v>
      </c>
      <c r="AL202" s="31" t="str">
        <f>IFERROR(__xludf.DUMMYFUNCTION("""COMPUTED_VALUE"""),"The effects of antibiotic cycling and mixing on acquisition of antibiotic resistant bacteria in the ICU: A post-hoc individual patient analysis of a prospective cluster-randomized crossover study.")</f>
        <v>The effects of antibiotic cycling and mixing on acquisition of antibiotic resistant bacteria in the ICU: A post-hoc individual patient analysis of a prospective cluster-randomized crossover study.</v>
      </c>
      <c r="AM202" s="31" t="str">
        <f>IFERROR(__xludf.DUMMYFUNCTION("""COMPUTED_VALUE"""),"van Duijn, Pleun J; Verbrugghe, Walter; Jorens, Philippe G; Spöhr, Fabian; Schedler, Dirk; Deja, Maria; Rothbart, Andreas; Annane, Djillali; Lawrence, Christine; Jereb, Matjaz; Seme, Katja; Šifrer, Franc; Tomič, Viktorija; Estevez, Francisco; Carneiro, Ja"&amp;"ndira; Harbarth, Stephan; Bonten, Marc J M")</f>
        <v>van Duijn, Pleun J; Verbrugghe, Walter; Jorens, Philippe G; Spöhr, Fabian; Schedler, Dirk; Deja, Maria; Rothbart, Andreas; Annane, Djillali; Lawrence, Christine; Jereb, Matjaz; Seme, Katja; Šifrer, Franc; Tomič, Viktorija; Estevez, Francisco; Carneiro, Jandira; Harbarth, Stephan; Bonten, Marc J M</v>
      </c>
      <c r="AN202" s="32">
        <f>IFERROR(__xludf.DUMMYFUNCTION("""COMPUTED_VALUE"""),44684.0)</f>
        <v>44684</v>
      </c>
    </row>
    <row r="203">
      <c r="A203" s="32"/>
      <c r="I203" s="31" t="str">
        <f>IFERROR(__xludf.DUMMYFUNCTION("""COMPUTED_VALUE"""),"antimicrobial resistance and infection control")</f>
        <v>antimicrobial resistance and infection control</v>
      </c>
      <c r="J203" s="38">
        <f>COUNTIF(Data!$F$2:$F9917, $I203)</f>
        <v>9</v>
      </c>
      <c r="T203" s="31" t="s">
        <v>24949</v>
      </c>
      <c r="U203" s="31" t="s">
        <v>24950</v>
      </c>
      <c r="V203" s="32">
        <v>45512.0</v>
      </c>
      <c r="X203" s="31" t="str">
        <f>IFERROR(__xludf.DUMMYFUNCTION("""COMPUTED_VALUE"""),"Exploring patients' and relatives' needs and perceptions regarding family participation in essential care in the intensive care unit: A qualitative study.")</f>
        <v>Exploring patients' and relatives' needs and perceptions regarding family participation in essential care in the intensive care unit: A qualitative study.</v>
      </c>
      <c r="Y203" s="31" t="str">
        <f>IFERROR(__xludf.DUMMYFUNCTION("""COMPUTED_VALUE"""),"Dijkstra, Boukje M; Felten-Barentsz, Karin M; van der Valk, Margriet J M; van der Hoeven, Johannes G; Schoonhoven, Lisette; Vloet, Lilian C M")</f>
        <v>Dijkstra, Boukje M; Felten-Barentsz, Karin M; van der Valk, Margriet J M; van der Hoeven, Johannes G; Schoonhoven, Lisette; Vloet, Lilian C M</v>
      </c>
      <c r="Z203" s="31">
        <f>IFERROR(__xludf.DUMMYFUNCTION("""COMPUTED_VALUE"""),2023.0)</f>
        <v>2023</v>
      </c>
      <c r="AA203" s="31">
        <f>IFERROR(__xludf.DUMMYFUNCTION("""COMPUTED_VALUE"""),2.0)</f>
        <v>2</v>
      </c>
      <c r="AF203" s="31" t="str">
        <f>IFERROR(__xludf.DUMMYFUNCTION("""COMPUTED_VALUE"""),"Setting a realistic AWaRe target for primary care antibiotic use in LMICs.")</f>
        <v>Setting a realistic AWaRe target for primary care antibiotic use in LMICs.</v>
      </c>
      <c r="AG203" s="31" t="str">
        <f>IFERROR(__xludf.DUMMYFUNCTION("""COMPUTED_VALUE"""),"Ingelbeen, Brecht; Valia, Daniel; Phanzu, Delphin Mavinga; van der Sande, Marianne A B; Tinto, Halidou")</f>
        <v>Ingelbeen, Brecht; Valia, Daniel; Phanzu, Delphin Mavinga; van der Sande, Marianne A B; Tinto, Halidou</v>
      </c>
      <c r="AH203" s="32">
        <f>IFERROR(__xludf.DUMMYFUNCTION("""COMPUTED_VALUE"""),44932.0)</f>
        <v>44932</v>
      </c>
      <c r="AI203" s="31" t="str">
        <f>IFERROR(__xludf.DUMMYFUNCTION("""COMPUTED_VALUE"""),"Determinants of Patient Delay in Transient Ischemic Attack.")</f>
        <v>Determinants of Patient Delay in Transient Ischemic Attack.</v>
      </c>
      <c r="AJ203" s="31" t="str">
        <f>IFERROR(__xludf.DUMMYFUNCTION("""COMPUTED_VALUE"""),"Dolmans, L Servaas; Hoes, Arno W; Bartelink, Marie-Louise E L; Kappelle, L Jaap; Rutten, Frans H; ,")</f>
        <v>Dolmans, L Servaas; Hoes, Arno W; Bartelink, Marie-Louise E L; Kappelle, L Jaap; Rutten, Frans H; ,</v>
      </c>
      <c r="AK203" s="32">
        <f>IFERROR(__xludf.DUMMYFUNCTION("""COMPUTED_VALUE"""),43634.0)</f>
        <v>43634</v>
      </c>
      <c r="AL203" s="31" t="str">
        <f>IFERROR(__xludf.DUMMYFUNCTION("""COMPUTED_VALUE"""),"Translation and Validation of the Questionnaire on Acceptance to Telemedicine from the Technology Acceptance Model (TAM) for Use in Malaysia.")</f>
        <v>Translation and Validation of the Questionnaire on Acceptance to Telemedicine from the Technology Acceptance Model (TAM) for Use in Malaysia.</v>
      </c>
      <c r="AM203" s="31" t="str">
        <f>IFERROR(__xludf.DUMMYFUNCTION("""COMPUTED_VALUE"""),"Husin, Masliyana; Rahman, Norazida Ab; Bujang, Mohamad Adam; Ng, Sock Wen; Juval, Kawselyah; Hwong, Wen Yea; Sivasampu, Sheamini")</f>
        <v>Husin, Masliyana; Rahman, Norazida Ab; Bujang, Mohamad Adam; Ng, Sock Wen; Juval, Kawselyah; Hwong, Wen Yea; Sivasampu, Sheamini</v>
      </c>
      <c r="AN203" s="32">
        <f>IFERROR(__xludf.DUMMYFUNCTION("""COMPUTED_VALUE"""),44671.0)</f>
        <v>44671</v>
      </c>
    </row>
    <row r="204">
      <c r="A204" s="32"/>
      <c r="I204" s="31" t="str">
        <f>IFERROR(__xludf.DUMMYFUNCTION("""COMPUTED_VALUE"""),"open heart")</f>
        <v>open heart</v>
      </c>
      <c r="J204" s="38">
        <f>COUNTIF(Data!$F$2:$F9917, $I204)</f>
        <v>9</v>
      </c>
      <c r="T204" s="31" t="s">
        <v>25170</v>
      </c>
      <c r="U204" s="31" t="s">
        <v>25159</v>
      </c>
      <c r="V204" s="32">
        <v>45511.0</v>
      </c>
      <c r="X204" s="31" t="str">
        <f>IFERROR(__xludf.DUMMYFUNCTION("""COMPUTED_VALUE"""),"Impact of the 2018 revised Pregnancy Prevention Programme by the European Medicines Agency on the use of oral retinoids in females of childbearing age in Denmark, Italy, Netherlands, and Spain: an interrupted time series analysis.")</f>
        <v>Impact of the 2018 revised Pregnancy Prevention Programme by the European Medicines Agency on the use of oral retinoids in females of childbearing age in Denmark, Italy, Netherlands, and Spain: an interrupted time series analysis.</v>
      </c>
      <c r="Y204" s="31" t="str">
        <f>IFERROR(__xludf.DUMMYFUNCTION("""COMPUTED_VALUE"""),"Durán, Carlos E; Riera-Arnau, Judit; Abtahi, Shahab; Pajouheshnia, Romin; Hoxhaj, Vjola; Gamba, Magdalena; Alsina, Ema; Martin-Perez, Mar; Garcia-Poza, Patricia; Llorente-Garcia, Ana; Gonzalez-Bermejo, Diana; Ibánez, Luisa; Sabaté, Mònica; Vidal, Xavier; "&amp;"Ballarín, Elena; Sanfélix-Gimeno, Gabriel; Rodríguez-Bernal, Clara; Peiró, Salvador; García-Sempere, Aníbal; Sanchez-Saez, Francisco; Ientile, Valentina; Ingrasciotta, Ylenia; Guarneri, Claudio; Tanaglia, Matilde; Tari, Michele; Herings, Ron; Houben, Elin"&amp;"e; Swart-Polinder, Karin; Holthuis, Emily; Huerta, Consuelo; Gini, Rosa; Roberto, Giuseppe; Bartolini, Claudia; Paoletti, Olga; Limoncella, Giorgio; Girardi, Anna; Hyeraci, Giulia; Andersen, Morten; Kristiansen, Sarah Brøgger; Hallgreen, Christine Erikstr"&amp;"up; Klungel, Olaf; Sturkenboom, Miriam")</f>
        <v>Durán, Carlos E; Riera-Arnau, Judit; Abtahi, Shahab; Pajouheshnia, Romin; Hoxhaj, Vjola; Gamba, Magdalena; Alsina, Ema; Martin-Perez, Mar; Garcia-Poza, Patricia; Llorente-Garcia, Ana; Gonzalez-Bermejo, Diana; Ibánez, Luisa; Sabaté, Mònica; Vidal, Xavier; Ballarín, Elena; Sanfélix-Gimeno, Gabriel; Rodríguez-Bernal, Clara; Peiró, Salvador; García-Sempere, Aníbal; Sanchez-Saez, Francisco; Ientile, Valentina; Ingrasciotta, Ylenia; Guarneri, Claudio; Tanaglia, Matilde; Tari, Michele; Herings, Ron; Houben, Eline; Swart-Polinder, Karin; Holthuis, Emily; Huerta, Consuelo; Gini, Rosa; Roberto, Giuseppe; Bartolini, Claudia; Paoletti, Olga; Limoncella, Giorgio; Girardi, Anna; Hyeraci, Giulia; Andersen, Morten; Kristiansen, Sarah Brøgger; Hallgreen, Christine Erikstrup; Klungel, Olaf; Sturkenboom, Miriam</v>
      </c>
      <c r="Z204" s="31">
        <f>IFERROR(__xludf.DUMMYFUNCTION("""COMPUTED_VALUE"""),2023.0)</f>
        <v>2023</v>
      </c>
      <c r="AA204" s="31">
        <f>IFERROR(__xludf.DUMMYFUNCTION("""COMPUTED_VALUE"""),2.0)</f>
        <v>2</v>
      </c>
      <c r="AF204" s="31" t="str">
        <f>IFERROR(__xludf.DUMMYFUNCTION("""COMPUTED_VALUE"""),"Development of a neighborhood obesogenic built environment characteristics index for the Netherlands.")</f>
        <v>Development of a neighborhood obesogenic built environment characteristics index for the Netherlands.</v>
      </c>
      <c r="AG204" s="31" t="str">
        <f>IFERROR(__xludf.DUMMYFUNCTION("""COMPUTED_VALUE"""),"Lam, Thao Minh; Wagtendonk, Alfred J; den Braver, Nicolette R; Karssenberg, Derek; Vaartjes, Ilonca; Timmermans, Erik J; Beulens, Joline W J; Lakerveld, Jeroen")</f>
        <v>Lam, Thao Minh; Wagtendonk, Alfred J; den Braver, Nicolette R; Karssenberg, Derek; Vaartjes, Ilonca; Timmermans, Erik J; Beulens, Joline W J; Lakerveld, Jeroen</v>
      </c>
      <c r="AH204" s="32">
        <f>IFERROR(__xludf.DUMMYFUNCTION("""COMPUTED_VALUE"""),44927.0)</f>
        <v>44927</v>
      </c>
      <c r="AI204" s="31" t="str">
        <f>IFERROR(__xludf.DUMMYFUNCTION("""COMPUTED_VALUE"""),"Patients' perspectives on the COPD-GRIP intervention, a new nursing care intervention for COPD.")</f>
        <v>Patients' perspectives on the COPD-GRIP intervention, a new nursing care intervention for COPD.</v>
      </c>
      <c r="AJ204" s="31" t="str">
        <f>IFERROR(__xludf.DUMMYFUNCTION("""COMPUTED_VALUE"""),"Zwakman, Marieke; Weldam, Saskia W M; Vervoort, Sigrid C J M; Lammers, Jan-Willem J; Schuurmans, Marieke J")</f>
        <v>Zwakman, Marieke; Weldam, Saskia W M; Vervoort, Sigrid C J M; Lammers, Jan-Willem J; Schuurmans, Marieke J</v>
      </c>
      <c r="AK204" s="32">
        <f>IFERROR(__xludf.DUMMYFUNCTION("""COMPUTED_VALUE"""),43626.0)</f>
        <v>43626</v>
      </c>
      <c r="AL204" s="31" t="str">
        <f>IFERROR(__xludf.DUMMYFUNCTION("""COMPUTED_VALUE"""),"First-line trifluridine/tipiracil + bevacizumab in patients with unresectable metastatic colorectal cancer: final survival analysis in the TASCO1 study.")</f>
        <v>First-line trifluridine/tipiracil + bevacizumab in patients with unresectable metastatic colorectal cancer: final survival analysis in the TASCO1 study.</v>
      </c>
      <c r="AM204" s="31" t="str">
        <f>IFERROR(__xludf.DUMMYFUNCTION("""COMPUTED_VALUE"""),"Van Cutsem, E; Danielewicz, I; Saunders, M P; Pfeiffer, P; Argilés, G; Borg, C; Glynne-Jones, R; Punt, C J A; Van de Wouw, A J; Fedyanin, M; Stroyakovskiy, D; Kroening, H; Garcia-Alfonso, P; Wasan, H; Falcone, A; Fougeray, R; Egorov, A; Amellal, N; Moisey"&amp;"enko, V")</f>
        <v>Van Cutsem, E; Danielewicz, I; Saunders, M P; Pfeiffer, P; Argilés, G; Borg, C; Glynne-Jones, R; Punt, C J A; Van de Wouw, A J; Fedyanin, M; Stroyakovskiy, D; Kroening, H; Garcia-Alfonso, P; Wasan, H; Falcone, A; Fougeray, R; Egorov, A; Amellal, N; Moiseyenko, V</v>
      </c>
      <c r="AN204" s="32">
        <f>IFERROR(__xludf.DUMMYFUNCTION("""COMPUTED_VALUE"""),44670.0)</f>
        <v>44670</v>
      </c>
    </row>
    <row r="205">
      <c r="A205" s="32"/>
      <c r="I205" s="31" t="str">
        <f>IFERROR(__xludf.DUMMYFUNCTION("""COMPUTED_VALUE"""),"medicine and science in sports and exercise")</f>
        <v>medicine and science in sports and exercise</v>
      </c>
      <c r="J205" s="38">
        <f>COUNTIF(Data!$F$2:$F9917, $I205)</f>
        <v>9</v>
      </c>
      <c r="T205" s="31" t="s">
        <v>25215</v>
      </c>
      <c r="U205" s="31" t="s">
        <v>25216</v>
      </c>
      <c r="V205" s="32">
        <v>45510.0</v>
      </c>
      <c r="X205" s="31" t="str">
        <f>IFERROR(__xludf.DUMMYFUNCTION("""COMPUTED_VALUE"""),"COVID-19 Vaccine-Induced Myocarditis and Pericarditis: Towards Identification of Risk Factors.")</f>
        <v>COVID-19 Vaccine-Induced Myocarditis and Pericarditis: Towards Identification of Risk Factors.</v>
      </c>
      <c r="Y205" s="31" t="str">
        <f>IFERROR(__xludf.DUMMYFUNCTION("""COMPUTED_VALUE"""),"Zwiers, Laura C; Ong, David S Y; Grobbee, Diederick E")</f>
        <v>Zwiers, Laura C; Ong, David S Y; Grobbee, Diederick E</v>
      </c>
      <c r="Z205" s="31">
        <f>IFERROR(__xludf.DUMMYFUNCTION("""COMPUTED_VALUE"""),2023.0)</f>
        <v>2023</v>
      </c>
      <c r="AA205" s="31">
        <f>IFERROR(__xludf.DUMMYFUNCTION("""COMPUTED_VALUE"""),2.0)</f>
        <v>2</v>
      </c>
      <c r="AF205" s="31" t="str">
        <f>IFERROR(__xludf.DUMMYFUNCTION("""COMPUTED_VALUE"""),"Evaluating implementation of the FIGO Nutrition Checklist for preconception and pregnancy within the Bukhali trial in Soweto, South Africa.")</f>
        <v>Evaluating implementation of the FIGO Nutrition Checklist for preconception and pregnancy within the Bukhali trial in Soweto, South Africa.</v>
      </c>
      <c r="AG205" s="31" t="str">
        <f>IFERROR(__xludf.DUMMYFUNCTION("""COMPUTED_VALUE"""),"Soepnel, Larske M; Draper, Catherine E; Mabetha, Khuthala; Mogashoa, Lethabo; Mabena, Gugulethu; McAuliffe, Fionnuala M; Killeen, Sarah Louise; Jacob, Chandni Maria; Hanson, Mark A; Norris, Shane A")</f>
        <v>Soepnel, Larske M; Draper, Catherine E; Mabetha, Khuthala; Mogashoa, Lethabo; Mabena, Gugulethu; McAuliffe, Fionnuala M; Killeen, Sarah Louise; Jacob, Chandni Maria; Hanson, Mark A; Norris, Shane A</v>
      </c>
      <c r="AH205" s="32">
        <f>IFERROR(__xludf.DUMMYFUNCTION("""COMPUTED_VALUE"""),44927.0)</f>
        <v>44927</v>
      </c>
      <c r="AI205" s="31" t="str">
        <f>IFERROR(__xludf.DUMMYFUNCTION("""COMPUTED_VALUE"""),"Stroke Rate Variation and Anticoagulation Benefit in Atrial Fibrillation.")</f>
        <v>Stroke Rate Variation and Anticoagulation Benefit in Atrial Fibrillation.</v>
      </c>
      <c r="AJ205" s="31" t="str">
        <f>IFERROR(__xludf.DUMMYFUNCTION("""COMPUTED_VALUE"""),"Joosten, Linda P T; van Doorn, Sander; Rutten, Frans H; Geersing, Geert-Jan")</f>
        <v>Joosten, Linda P T; van Doorn, Sander; Rutten, Frans H; Geersing, Geert-Jan</v>
      </c>
      <c r="AK205" s="32">
        <f>IFERROR(__xludf.DUMMYFUNCTION("""COMPUTED_VALUE"""),43620.0)</f>
        <v>43620</v>
      </c>
      <c r="AL205" s="31" t="str">
        <f>IFERROR(__xludf.DUMMYFUNCTION("""COMPUTED_VALUE"""),"Consideration of sex and gender in Alzheimer's disease and related disorders from a global perspective.")</f>
        <v>Consideration of sex and gender in Alzheimer's disease and related disorders from a global perspective.</v>
      </c>
      <c r="AM205" s="31" t="str">
        <f>IFERROR(__xludf.DUMMYFUNCTION("""COMPUTED_VALUE"""),"Mielke, Michelle M; Aggarwal, Neelum T; Vila-Castelar, Clara; Agarwal, Puja; Arenaza-Urquijo, Eider M; Brett, Benjamin; Brugulat-Serrat, Anna; DuBose, Lyndsey E; Eikelboom, Willem S; Flatt, Jason; Foldi, Nancy S; Franzen, Sanne; Gilsanz, Paola; Li, Wei; M"&amp;"cManus, Alison J; van Lent, Debora Melo; Milani, Sadaf Arefi; Shaaban, C Elizabeth; Stites, Shana D; Sundermann, Erin; Suryadevara, Vidyani; Trani, Jean-Francoise; Turner, Arlener D; Vonk, Jet M J; Quiroz, Yakeel T; Babulal, Ganesh M; ,")</f>
        <v>Mielke, Michelle M; Aggarwal, Neelum T; Vila-Castelar, Clara; Agarwal, Puja; Arenaza-Urquijo, Eider M; Brett, Benjamin; Brugulat-Serrat, Anna; DuBose, Lyndsey E; Eikelboom, Willem S; Flatt, Jason; Foldi, Nancy S; Franzen, Sanne; Gilsanz, Paola; Li, Wei; McManus, Alison J; van Lent, Debora Melo; Milani, Sadaf Arefi; Shaaban, C Elizabeth; Stites, Shana D; Sundermann, Erin; Suryadevara, Vidyani; Trani, Jean-Francoise; Turner, Arlener D; Vonk, Jet M J; Quiroz, Yakeel T; Babulal, Ganesh M; ,</v>
      </c>
      <c r="AN205" s="32">
        <f>IFERROR(__xludf.DUMMYFUNCTION("""COMPUTED_VALUE"""),44659.0)</f>
        <v>44659</v>
      </c>
    </row>
    <row r="206">
      <c r="A206" s="32"/>
      <c r="I206" s="31" t="str">
        <f>IFERROR(__xludf.DUMMYFUNCTION("""COMPUTED_VALUE"""),"ssm population health")</f>
        <v>ssm population health</v>
      </c>
      <c r="J206" s="38">
        <f>COUNTIF(Data!$F$2:$F9917, $I206)</f>
        <v>4</v>
      </c>
      <c r="T206" s="31" t="s">
        <v>24720</v>
      </c>
      <c r="U206" s="31" t="s">
        <v>24721</v>
      </c>
      <c r="V206" s="32">
        <v>45509.0</v>
      </c>
      <c r="X206" s="31" t="str">
        <f>IFERROR(__xludf.DUMMYFUNCTION("""COMPUTED_VALUE"""),"Smoking and colorectal neoplasia in patients with inflammatory bowel disease: Dose-effect relationship.")</f>
        <v>Smoking and colorectal neoplasia in patients with inflammatory bowel disease: Dose-effect relationship.</v>
      </c>
      <c r="Y206" s="31" t="str">
        <f>IFERROR(__xludf.DUMMYFUNCTION("""COMPUTED_VALUE"""),"Wijnands, Anouk M; Elias, Sjoerd G; Dekker, Evelien; Fidder, Herma H; Hoentjen, Frank; Ten Hove, Joren R; Maljaars, P W Jeroen; van der Meulen-de Jong, Andrea E; Mooiweer, Erik; Ouwehand, Renske J; Penning de Vries, Bas B L; Ponsioen, Cyriel Y; van Schaik"&amp;", Fiona D M; Oldenburg, Bas; ,")</f>
        <v>Wijnands, Anouk M; Elias, Sjoerd G; Dekker, Evelien; Fidder, Herma H; Hoentjen, Frank; Ten Hove, Joren R; Maljaars, P W Jeroen; van der Meulen-de Jong, Andrea E; Mooiweer, Erik; Ouwehand, Renske J; Penning de Vries, Bas B L; Ponsioen, Cyriel Y; van Schaik, Fiona D M; Oldenburg, Bas; ,</v>
      </c>
      <c r="Z206" s="31">
        <f>IFERROR(__xludf.DUMMYFUNCTION("""COMPUTED_VALUE"""),2023.0)</f>
        <v>2023</v>
      </c>
      <c r="AA206" s="31">
        <f>IFERROR(__xludf.DUMMYFUNCTION("""COMPUTED_VALUE"""),2.0)</f>
        <v>2</v>
      </c>
      <c r="AF206" s="31" t="str">
        <f>IFERROR(__xludf.DUMMYFUNCTION("""COMPUTED_VALUE"""),"Tuberculosis treatment and resulting abnormal blood glucose: a scoping review of studies from 1981 - 2021.")</f>
        <v>Tuberculosis treatment and resulting abnormal blood glucose: a scoping review of studies from 1981 - 2021.</v>
      </c>
      <c r="AG206" s="31" t="str">
        <f>IFERROR(__xludf.DUMMYFUNCTION("""COMPUTED_VALUE"""),"Williams, Victor; Onwuchekwa, Chukwuemeka; Vos, Alinda G; Grobbee, Diederick E; Otwombe, Kennedy; Klipstein-Grobusch, Kerstin")</f>
        <v>Williams, Victor; Onwuchekwa, Chukwuemeka; Vos, Alinda G; Grobbee, Diederick E; Otwombe, Kennedy; Klipstein-Grobusch, Kerstin</v>
      </c>
      <c r="AH206" s="32">
        <f>IFERROR(__xludf.DUMMYFUNCTION("""COMPUTED_VALUE"""),44926.0)</f>
        <v>44926</v>
      </c>
      <c r="AI206" s="31" t="str">
        <f>IFERROR(__xludf.DUMMYFUNCTION("""COMPUTED_VALUE"""),"Substituting physicians with nurse practitioners, physician assistants or nurses in nursing homes: a realist evaluation case study.")</f>
        <v>Substituting physicians with nurse practitioners, physician assistants or nurses in nursing homes: a realist evaluation case study.</v>
      </c>
      <c r="AJ206" s="31" t="str">
        <f>IFERROR(__xludf.DUMMYFUNCTION("""COMPUTED_VALUE"""),"Lovink, Marleen Hermien; Laurant, Miranda Gh; van Vught, Anneke Jah; Maassen, Irma; Schoonhoven, Lisette; Persoon, Anke; Koopmans, Raymond Tcm")</f>
        <v>Lovink, Marleen Hermien; Laurant, Miranda Gh; van Vught, Anneke Jah; Maassen, Irma; Schoonhoven, Lisette; Persoon, Anke; Koopmans, Raymond Tcm</v>
      </c>
      <c r="AK206" s="32">
        <f>IFERROR(__xludf.DUMMYFUNCTION("""COMPUTED_VALUE"""),43609.0)</f>
        <v>43609</v>
      </c>
      <c r="AL206" s="31" t="str">
        <f>IFERROR(__xludf.DUMMYFUNCTION("""COMPUTED_VALUE"""),"[Rotavirus vaccination for all Dutch infants].")</f>
        <v>[Rotavirus vaccination for all Dutch infants].</v>
      </c>
      <c r="AM206" s="31" t="str">
        <f>IFERROR(__xludf.DUMMYFUNCTION("""COMPUTED_VALUE"""),"Wilschut, Jan C; Bruijning-Verhagen, Patricia C J L; Postma, Maarten J")</f>
        <v>Wilschut, Jan C; Bruijning-Verhagen, Patricia C J L; Postma, Maarten J</v>
      </c>
      <c r="AN206" s="32">
        <f>IFERROR(__xludf.DUMMYFUNCTION("""COMPUTED_VALUE"""),44657.0)</f>
        <v>44657</v>
      </c>
    </row>
    <row r="207">
      <c r="A207" s="32"/>
      <c r="I207" s="31" t="str">
        <f>IFERROR(__xludf.DUMMYFUNCTION("""COMPUTED_VALUE"""),"food science nutrition")</f>
        <v>food science nutrition</v>
      </c>
      <c r="J207" s="38">
        <f>COUNTIF(Data!$F$2:$F9917, $I207)</f>
        <v>1</v>
      </c>
      <c r="T207" s="31" t="s">
        <v>24986</v>
      </c>
      <c r="U207" s="31" t="s">
        <v>24987</v>
      </c>
      <c r="V207" s="32">
        <v>45509.0</v>
      </c>
      <c r="X207" s="31" t="str">
        <f>IFERROR(__xludf.DUMMYFUNCTION("""COMPUTED_VALUE"""),"Risk factors in cardiovascular patients: Challenges and opportunities to improve secondary prevention.")</f>
        <v>Risk factors in cardiovascular patients: Challenges and opportunities to improve secondary prevention.</v>
      </c>
      <c r="Y207" s="31" t="str">
        <f>IFERROR(__xludf.DUMMYFUNCTION("""COMPUTED_VALUE"""),"Gabulova, Rahima; Marzà-Florensa, Anna; Rahimov, Uzeyir; Isayeva, Mahluga; Alasgarli, Shahana; Musayeva, Afag; Gahramanova, Sona; Ibrahimov, Firdovsi; Aliyev, Farid; Imanov, Galib; Rasulova, Rahmana; Vaartjes, Ilonca; Klipstein-Grobusch, Kerstin; Graham, "&amp;"Ian; Grobbee, Diederick E")</f>
        <v>Gabulova, Rahima; Marzà-Florensa, Anna; Rahimov, Uzeyir; Isayeva, Mahluga; Alasgarli, Shahana; Musayeva, Afag; Gahramanova, Sona; Ibrahimov, Firdovsi; Aliyev, Farid; Imanov, Galib; Rasulova, Rahmana; Vaartjes, Ilonca; Klipstein-Grobusch, Kerstin; Graham, Ian; Grobbee, Diederick E</v>
      </c>
      <c r="Z207" s="31">
        <f>IFERROR(__xludf.DUMMYFUNCTION("""COMPUTED_VALUE"""),2023.0)</f>
        <v>2023</v>
      </c>
      <c r="AA207" s="31">
        <f>IFERROR(__xludf.DUMMYFUNCTION("""COMPUTED_VALUE"""),2.0)</f>
        <v>2</v>
      </c>
      <c r="AF207" s="31" t="str">
        <f>IFERROR(__xludf.DUMMYFUNCTION("""COMPUTED_VALUE"""),"Effectiveness of self-financing patient-led support groups in the management of hypertension and diabetes in low- and middle-income countries: Systematic review.")</f>
        <v>Effectiveness of self-financing patient-led support groups in the management of hypertension and diabetes in low- and middle-income countries: Systematic review.</v>
      </c>
      <c r="AG207" s="31" t="str">
        <f>IFERROR(__xludf.DUMMYFUNCTION("""COMPUTED_VALUE"""),"Sanya, Richard E; Johnston, Erin Stewart; Kibe, Peter; Werfalli, Mahmoud; Mahone, Sloan; Levitt, Naomi S; Klipstein-Grobusch, Kerstin; Asiki, Gershim")</f>
        <v>Sanya, Richard E; Johnston, Erin Stewart; Kibe, Peter; Werfalli, Mahmoud; Mahone, Sloan; Levitt, Naomi S; Klipstein-Grobusch, Kerstin; Asiki, Gershim</v>
      </c>
      <c r="AH207" s="32">
        <f>IFERROR(__xludf.DUMMYFUNCTION("""COMPUTED_VALUE"""),44918.0)</f>
        <v>44918</v>
      </c>
      <c r="AI207" s="31" t="str">
        <f>IFERROR(__xludf.DUMMYFUNCTION("""COMPUTED_VALUE"""),"An interprofessional approach to pressure ulcer prevention: a knowledge and attitudes evaluation.")</f>
        <v>An interprofessional approach to pressure ulcer prevention: a knowledge and attitudes evaluation.</v>
      </c>
      <c r="AJ207" s="31" t="str">
        <f>IFERROR(__xludf.DUMMYFUNCTION("""COMPUTED_VALUE"""),"Clarkson, Paul; Worsley, Peter R; Schoonhoven, Lisette; Bader, Dan L")</f>
        <v>Clarkson, Paul; Worsley, Peter R; Schoonhoven, Lisette; Bader, Dan L</v>
      </c>
      <c r="AK207" s="32">
        <f>IFERROR(__xludf.DUMMYFUNCTION("""COMPUTED_VALUE"""),43608.0)</f>
        <v>43608</v>
      </c>
      <c r="AL207" s="31" t="str">
        <f>IFERROR(__xludf.DUMMYFUNCTION("""COMPUTED_VALUE"""),"Automatic quantification of perivascular spaces in T2-weighted images at 7 T MRI.")</f>
        <v>Automatic quantification of perivascular spaces in T2-weighted images at 7 T MRI.</v>
      </c>
      <c r="AM207" s="31" t="str">
        <f>IFERROR(__xludf.DUMMYFUNCTION("""COMPUTED_VALUE"""),"Spijkerman, J M; Zwanenburg, J J M; Bouvy, W H; Geerlings, M I; Biessels, G J; Hendrikse, J; Luijten, P R; Kuijf, H J")</f>
        <v>Spijkerman, J M; Zwanenburg, J J M; Bouvy, W H; Geerlings, M I; Biessels, G J; Hendrikse, J; Luijten, P R; Kuijf, H J</v>
      </c>
      <c r="AN207" s="32">
        <f>IFERROR(__xludf.DUMMYFUNCTION("""COMPUTED_VALUE"""),44656.0)</f>
        <v>44656</v>
      </c>
    </row>
    <row r="208">
      <c r="A208" s="32"/>
      <c r="I208" s="31" t="str">
        <f>IFERROR(__xludf.DUMMYFUNCTION("""COMPUTED_VALUE"""),"jama")</f>
        <v>jama</v>
      </c>
      <c r="J208" s="38">
        <f>COUNTIF(Data!$F$2:$F9917, $I208)</f>
        <v>20</v>
      </c>
      <c r="T208" s="31" t="s">
        <v>25131</v>
      </c>
      <c r="U208" s="31" t="s">
        <v>25132</v>
      </c>
      <c r="V208" s="32">
        <v>45509.0</v>
      </c>
      <c r="X208" s="31" t="str">
        <f>IFERROR(__xludf.DUMMYFUNCTION("""COMPUTED_VALUE"""),"IgG N-glycans are associated with prevalent and incident complications of type 2 diabetes.")</f>
        <v>IgG N-glycans are associated with prevalent and incident complications of type 2 diabetes.</v>
      </c>
      <c r="Y208" s="31" t="str">
        <f>IFERROR(__xludf.DUMMYFUNCTION("""COMPUTED_VALUE"""),"Memarian, Elham; Heijmans, Ralph; Slieker, Roderick C; Sierra, Adriana; Gornik, Olga; Beulens, Joline W J; Hanic, Maja; Elders, Petra; Pascual, Julio; Sijbrands, Eric; Lauc, Gordan; Dotz, Viktoria; Barrios, Clara; 't Hart, Leen M; Wuhrer, Manfred; van Hoe"&amp;"k, Mandy")</f>
        <v>Memarian, Elham; Heijmans, Ralph; Slieker, Roderick C; Sierra, Adriana; Gornik, Olga; Beulens, Joline W J; Hanic, Maja; Elders, Petra; Pascual, Julio; Sijbrands, Eric; Lauc, Gordan; Dotz, Viktoria; Barrios, Clara; 't Hart, Leen M; Wuhrer, Manfred; van Hoek, Mandy</v>
      </c>
      <c r="Z208" s="31">
        <f>IFERROR(__xludf.DUMMYFUNCTION("""COMPUTED_VALUE"""),2023.0)</f>
        <v>2023</v>
      </c>
      <c r="AA208" s="31">
        <f>IFERROR(__xludf.DUMMYFUNCTION("""COMPUTED_VALUE"""),2.0)</f>
        <v>2</v>
      </c>
      <c r="AF208" s="31" t="str">
        <f>IFERROR(__xludf.DUMMYFUNCTION("""COMPUTED_VALUE"""),"Limited alcohol consumption and lower risk of diabetes: can we believe our own eyes?")</f>
        <v>Limited alcohol consumption and lower risk of diabetes: can we believe our own eyes?</v>
      </c>
      <c r="AG208" s="31" t="str">
        <f>IFERROR(__xludf.DUMMYFUNCTION("""COMPUTED_VALUE"""),"Mukamal, Kenneth J; Beulens, Joline W J")</f>
        <v>Mukamal, Kenneth J; Beulens, Joline W J</v>
      </c>
      <c r="AH208" s="32">
        <f>IFERROR(__xludf.DUMMYFUNCTION("""COMPUTED_VALUE"""),44914.0)</f>
        <v>44914</v>
      </c>
      <c r="AI208" s="31" t="str">
        <f>IFERROR(__xludf.DUMMYFUNCTION("""COMPUTED_VALUE"""),"Skill mix change between physicians, nurse practitioners, physician assistants, and nurses in nursing homes: A qualitative study.")</f>
        <v>Skill mix change between physicians, nurse practitioners, physician assistants, and nurses in nursing homes: A qualitative study.</v>
      </c>
      <c r="AJ208" s="31" t="str">
        <f>IFERROR(__xludf.DUMMYFUNCTION("""COMPUTED_VALUE"""),"Lovink, Marleen H; van Vught, Anneke J A H; Persoon, Anke; Koopmans, Raymond T C M; Laurant, Miranda G H; Schoonhoven, Lisette")</f>
        <v>Lovink, Marleen H; van Vught, Anneke J A H; Persoon, Anke; Koopmans, Raymond T C M; Laurant, Miranda G H; Schoonhoven, Lisette</v>
      </c>
      <c r="AK208" s="32">
        <f>IFERROR(__xludf.DUMMYFUNCTION("""COMPUTED_VALUE"""),43556.0)</f>
        <v>43556</v>
      </c>
      <c r="AL208" s="31" t="str">
        <f>IFERROR(__xludf.DUMMYFUNCTION("""COMPUTED_VALUE"""),"Physical Fitness and Chemotherapy Tolerance in Patients with Early-Stage Breast Cancer.")</f>
        <v>Physical Fitness and Chemotherapy Tolerance in Patients with Early-Stage Breast Cancer.</v>
      </c>
      <c r="AM208" s="31" t="str">
        <f>IFERROR(__xludf.DUMMYFUNCTION("""COMPUTED_VALUE"""),"Groen, Wim G; Naaktgeboren, Willeke R; van Harten, Wim H; van Vulpen, Jonna K; Kool, Nathalie; Sonke, Gabe S; van der Wall, Elsken; Velthuis, Miranda J; Aaronson, Neil K; May, Anne M; Stuiver, Martijn M")</f>
        <v>Groen, Wim G; Naaktgeboren, Willeke R; van Harten, Wim H; van Vulpen, Jonna K; Kool, Nathalie; Sonke, Gabe S; van der Wall, Elsken; Velthuis, Miranda J; Aaronson, Neil K; May, Anne M; Stuiver, Martijn M</v>
      </c>
      <c r="AN208" s="32">
        <f>IFERROR(__xludf.DUMMYFUNCTION("""COMPUTED_VALUE"""),44652.0)</f>
        <v>44652</v>
      </c>
    </row>
    <row r="209">
      <c r="A209" s="32"/>
      <c r="I209" s="31" t="str">
        <f>IFERROR(__xludf.DUMMYFUNCTION("""COMPUTED_VALUE"""),"supportive care in cancer official journal of the multinational association of supportive care in cancer")</f>
        <v>supportive care in cancer official journal of the multinational association of supportive care in cancer</v>
      </c>
      <c r="J209" s="38">
        <f>COUNTIF(Data!$F$2:$F9917, $I209)</f>
        <v>16</v>
      </c>
      <c r="T209" s="31" t="s">
        <v>25864</v>
      </c>
      <c r="U209" s="31" t="s">
        <v>25865</v>
      </c>
      <c r="V209" s="32">
        <v>45509.0</v>
      </c>
      <c r="X209" s="31" t="str">
        <f>IFERROR(__xludf.DUMMYFUNCTION("""COMPUTED_VALUE"""),"Leadership moments: Understanding nurse clinician-scientists' leadership as embedded sociohistorical practices.")</f>
        <v>Leadership moments: Understanding nurse clinician-scientists' leadership as embedded sociohistorical practices.</v>
      </c>
      <c r="Y209" s="31" t="str">
        <f>IFERROR(__xludf.DUMMYFUNCTION("""COMPUTED_VALUE"""),"Martini, Dieke; Noordegraaf, Mirko; Schoonhoven, Lisette; Lalleman, Pieterbas; ,")</f>
        <v>Martini, Dieke; Noordegraaf, Mirko; Schoonhoven, Lisette; Lalleman, Pieterbas; ,</v>
      </c>
      <c r="Z209" s="31">
        <f>IFERROR(__xludf.DUMMYFUNCTION("""COMPUTED_VALUE"""),2023.0)</f>
        <v>2023</v>
      </c>
      <c r="AA209" s="31">
        <f>IFERROR(__xludf.DUMMYFUNCTION("""COMPUTED_VALUE"""),2.0)</f>
        <v>2</v>
      </c>
      <c r="AF209" s="31" t="str">
        <f>IFERROR(__xludf.DUMMYFUNCTION("""COMPUTED_VALUE"""),"Validation of the GetReal Trial Tool - Facilitating discussion and understanding more pragmatic design choices and their implications.")</f>
        <v>Validation of the GetReal Trial Tool - Facilitating discussion and understanding more pragmatic design choices and their implications.</v>
      </c>
      <c r="AG209" s="31" t="str">
        <f>IFERROR(__xludf.DUMMYFUNCTION("""COMPUTED_VALUE"""),"Boateng, Daniel; Kumke, Thomas; Vernooij, Robin; Goetz, Iris; Meinecke, Anna-Katharina; Steenhuis, Charlotte; Grobbee, Diederick; Zuidgeest, Mira G P; ,")</f>
        <v>Boateng, Daniel; Kumke, Thomas; Vernooij, Robin; Goetz, Iris; Meinecke, Anna-Katharina; Steenhuis, Charlotte; Grobbee, Diederick; Zuidgeest, Mira G P; ,</v>
      </c>
      <c r="AH209" s="32">
        <f>IFERROR(__xludf.DUMMYFUNCTION("""COMPUTED_VALUE"""),44910.0)</f>
        <v>44910</v>
      </c>
      <c r="AI209" s="31" t="str">
        <f>IFERROR(__xludf.DUMMYFUNCTION("""COMPUTED_VALUE"""),"[Towards 'the best DOAC'?].")</f>
        <v>[Towards 'the best DOAC'?].</v>
      </c>
      <c r="AJ209" s="31" t="str">
        <f>IFERROR(__xludf.DUMMYFUNCTION("""COMPUTED_VALUE"""),"van Doorn, Sander; Rutten, Frans H; Geersing, G J")</f>
        <v>van Doorn, Sander; Rutten, Frans H; Geersing, G J</v>
      </c>
      <c r="AK209" s="32">
        <f>IFERROR(__xludf.DUMMYFUNCTION("""COMPUTED_VALUE"""),43545.0)</f>
        <v>43545</v>
      </c>
      <c r="AL209" s="31" t="str">
        <f>IFERROR(__xludf.DUMMYFUNCTION("""COMPUTED_VALUE"""),"Continuation of fluoropyrimidine treatment with S-1 after cardiotoxicity on capecitabine- or 5-fluorouracil-based therapy in patients with solid tumours: a multicentre retrospective observational cohort study.")</f>
        <v>Continuation of fluoropyrimidine treatment with S-1 after cardiotoxicity on capecitabine- or 5-fluorouracil-based therapy in patients with solid tumours: a multicentre retrospective observational cohort study.</v>
      </c>
      <c r="AM209" s="31" t="str">
        <f>IFERROR(__xludf.DUMMYFUNCTION("""COMPUTED_VALUE"""),"Osterlund, P; Kinos, S; Pfeiffer, P; Salminen, T; Kwakman, J J M; Frödin, J-E; Shah, C H; Sorbye, H; Ristamäki, R; Halonen, P; Soveri, L M; Heervä, E; Ålgars, A; Bärlund, M; Hagman, H; McDermott, R; O'Reilly, M; Röckert, R; Liposits, G; Kallio, R; Flygare"&amp;", P; Teske, A J; van Werkhoven, E; Punt, C J A; Glimelius, B")</f>
        <v>Osterlund, P; Kinos, S; Pfeiffer, P; Salminen, T; Kwakman, J J M; Frödin, J-E; Shah, C H; Sorbye, H; Ristamäki, R; Halonen, P; Soveri, L M; Heervä, E; Ålgars, A; Bärlund, M; Hagman, H; McDermott, R; O'Reilly, M; Röckert, R; Liposits, G; Kallio, R; Flygare, P; Teske, A J; van Werkhoven, E; Punt, C J A; Glimelius, B</v>
      </c>
      <c r="AN209" s="32">
        <f>IFERROR(__xludf.DUMMYFUNCTION("""COMPUTED_VALUE"""),44650.0)</f>
        <v>44650</v>
      </c>
    </row>
    <row r="210">
      <c r="A210" s="32"/>
      <c r="I210" s="31" t="str">
        <f>IFERROR(__xludf.DUMMYFUNCTION("""COMPUTED_VALUE"""),"international journal of pediatric otorhinolaryngology")</f>
        <v>international journal of pediatric otorhinolaryngology</v>
      </c>
      <c r="J210" s="38">
        <f>COUNTIF(Data!$F$2:$F9917, $I210)</f>
        <v>3</v>
      </c>
      <c r="T210" s="31" t="s">
        <v>25286</v>
      </c>
      <c r="U210" s="31" t="s">
        <v>25287</v>
      </c>
      <c r="V210" s="32">
        <v>45507.0</v>
      </c>
      <c r="X210" s="31" t="str">
        <f>IFERROR(__xludf.DUMMYFUNCTION("""COMPUTED_VALUE"""),"Aneurysm Prevalence and Quality of Life During Screening in Relatives of Patients With Unruptured Intracranial Aneurysms: A Prospective Study.")</f>
        <v>Aneurysm Prevalence and Quality of Life During Screening in Relatives of Patients With Unruptured Intracranial Aneurysms: A Prospective Study.</v>
      </c>
      <c r="Y210" s="31" t="str">
        <f>IFERROR(__xludf.DUMMYFUNCTION("""COMPUTED_VALUE"""),"Mensing, Liselore A; van Tuijl, Rick J; Greving, Jacoba P; Velthuis, Birgitta K; van der Schaaf, Irene C; Wermer, Marieke J H; Verbaan, Dagmar; Vandertop, W Peter; Zuithoff, Nicolaas P A; Rinkel, Gabriël J E; Ruigrok, Ynte M")</f>
        <v>Mensing, Liselore A; van Tuijl, Rick J; Greving, Jacoba P; Velthuis, Birgitta K; van der Schaaf, Irene C; Wermer, Marieke J H; Verbaan, Dagmar; Vandertop, W Peter; Zuithoff, Nicolaas P A; Rinkel, Gabriël J E; Ruigrok, Ynte M</v>
      </c>
      <c r="Z210" s="31">
        <f>IFERROR(__xludf.DUMMYFUNCTION("""COMPUTED_VALUE"""),2023.0)</f>
        <v>2023</v>
      </c>
      <c r="AA210" s="31">
        <f>IFERROR(__xludf.DUMMYFUNCTION("""COMPUTED_VALUE"""),2.0)</f>
        <v>2</v>
      </c>
      <c r="AF210" s="31" t="str">
        <f>IFERROR(__xludf.DUMMYFUNCTION("""COMPUTED_VALUE"""),"Dynamics of Antibody and T Cell Immunity against SARS-CoV-2 Variants of Concern and the Impact of Booster Vaccinations in Previously Infected and Infection-Naïve Individuals.")</f>
        <v>Dynamics of Antibody and T Cell Immunity against SARS-CoV-2 Variants of Concern and the Impact of Booster Vaccinations in Previously Infected and Infection-Naïve Individuals.</v>
      </c>
      <c r="AG210" s="31" t="str">
        <f>IFERROR(__xludf.DUMMYFUNCTION("""COMPUTED_VALUE"""),"Faas, Michel R; Mak, Willem A; Markus, Hilde Y; van der Zwan, Ellen M; van der Vliet, Marijke; Koeleman, Johannes G M; Ong, David S Y")</f>
        <v>Faas, Michel R; Mak, Willem A; Markus, Hilde Y; van der Zwan, Ellen M; van der Vliet, Marijke; Koeleman, Johannes G M; Ong, David S Y</v>
      </c>
      <c r="AH210" s="32">
        <f>IFERROR(__xludf.DUMMYFUNCTION("""COMPUTED_VALUE"""),44908.0)</f>
        <v>44908</v>
      </c>
      <c r="AI210" s="31" t="str">
        <f>IFERROR(__xludf.DUMMYFUNCTION("""COMPUTED_VALUE"""),"The occurrence of cervical metastases in squamous cell carcinoma of the tongue: Is there a rationale for bilateral neck dissection in early-stage tumors?")</f>
        <v>The occurrence of cervical metastases in squamous cell carcinoma of the tongue: Is there a rationale for bilateral neck dissection in early-stage tumors?</v>
      </c>
      <c r="AJ210" s="31" t="str">
        <f>IFERROR(__xludf.DUMMYFUNCTION("""COMPUTED_VALUE"""),"Moratin, Julius; Metzger, Karl; Engel, Michael; Hoffmann, Jürgen; Freudlsperger, Christian; Freier, Kolja; Horn, Dominik")</f>
        <v>Moratin, Julius; Metzger, Karl; Engel, Michael; Hoffmann, Jürgen; Freudlsperger, Christian; Freier, Kolja; Horn, Dominik</v>
      </c>
      <c r="AK210" s="32">
        <f>IFERROR(__xludf.DUMMYFUNCTION("""COMPUTED_VALUE"""),43533.0)</f>
        <v>43533</v>
      </c>
      <c r="AL210" s="31" t="str">
        <f>IFERROR(__xludf.DUMMYFUNCTION("""COMPUTED_VALUE"""),"The relation between urinary sodium and potassium excretion and risk of cardiovascular events and mortality in patients with cardiovascular disease.")</f>
        <v>The relation between urinary sodium and potassium excretion and risk of cardiovascular events and mortality in patients with cardiovascular disease.</v>
      </c>
      <c r="AM210" s="31" t="str">
        <f>IFERROR(__xludf.DUMMYFUNCTION("""COMPUTED_VALUE"""),"Groenland, Eline H; Vendeville, Jean-Paul; Bots, Michiel L; de Borst, Gert Jan; Nathoe, Hendrik M; Ruigrok, Ynte M; Blankestijn, Peter J; Visseren, Frank L J; Spiering, Wilko; ,")</f>
        <v>Groenland, Eline H; Vendeville, Jean-Paul; Bots, Michiel L; de Borst, Gert Jan; Nathoe, Hendrik M; Ruigrok, Ynte M; Blankestijn, Peter J; Visseren, Frank L J; Spiering, Wilko; ,</v>
      </c>
      <c r="AN210" s="32">
        <f>IFERROR(__xludf.DUMMYFUNCTION("""COMPUTED_VALUE"""),44637.0)</f>
        <v>44637</v>
      </c>
    </row>
    <row r="211">
      <c r="A211" s="32"/>
      <c r="I211" s="31" t="str">
        <f>IFERROR(__xludf.DUMMYFUNCTION("""COMPUTED_VALUE"""),"european journal of pediatrics")</f>
        <v>european journal of pediatrics</v>
      </c>
      <c r="J211" s="38">
        <f>COUNTIF(Data!$F$2:$F9917, $I211)</f>
        <v>12</v>
      </c>
      <c r="T211" s="31" t="s">
        <v>25535</v>
      </c>
      <c r="U211" s="31" t="s">
        <v>25536</v>
      </c>
      <c r="V211" s="32">
        <v>45506.0</v>
      </c>
      <c r="X211" s="31" t="str">
        <f>IFERROR(__xludf.DUMMYFUNCTION("""COMPUTED_VALUE"""),"Understanding rebel nurse leadership-as-practice: Challenging and changing the status quo in hospitals.")</f>
        <v>Understanding rebel nurse leadership-as-practice: Challenging and changing the status quo in hospitals.</v>
      </c>
      <c r="Y211" s="31" t="str">
        <f>IFERROR(__xludf.DUMMYFUNCTION("""COMPUTED_VALUE"""),"de Kok, Eline; Schoonhoven, Lisette; Lalleman, Pieterbas; Weggelaar, Anne M")</f>
        <v>de Kok, Eline; Schoonhoven, Lisette; Lalleman, Pieterbas; Weggelaar, Anne M</v>
      </c>
      <c r="Z211" s="31">
        <f>IFERROR(__xludf.DUMMYFUNCTION("""COMPUTED_VALUE"""),2023.0)</f>
        <v>2023</v>
      </c>
      <c r="AA211" s="31">
        <f>IFERROR(__xludf.DUMMYFUNCTION("""COMPUTED_VALUE"""),2.0)</f>
        <v>2</v>
      </c>
      <c r="AF211" s="31" t="str">
        <f>IFERROR(__xludf.DUMMYFUNCTION("""COMPUTED_VALUE"""),"Non-HDL-C and LDL-C/HDL-C are associated with self-reported cardiovascular disease in a rural West African population: Analysis of an array of lipid metrics in an AWI-Gen sub-study.")</f>
        <v>Non-HDL-C and LDL-C/HDL-C are associated with self-reported cardiovascular disease in a rural West African population: Analysis of an array of lipid metrics in an AWI-Gen sub-study.</v>
      </c>
      <c r="AG211" s="31" t="str">
        <f>IFERROR(__xludf.DUMMYFUNCTION("""COMPUTED_VALUE"""),"Agongo, Godfred; Raal, Frederick; Nonterah, Engelbert A; Debpuur, Cornelius; Oduro, Abraham R; Ramsay, Michèle; Crowther, Nigel J")</f>
        <v>Agongo, Godfred; Raal, Frederick; Nonterah, Engelbert A; Debpuur, Cornelius; Oduro, Abraham R; Ramsay, Michèle; Crowther, Nigel J</v>
      </c>
      <c r="AH211" s="32">
        <f>IFERROR(__xludf.DUMMYFUNCTION("""COMPUTED_VALUE"""),44902.0)</f>
        <v>44902</v>
      </c>
      <c r="AI211" s="31" t="str">
        <f>IFERROR(__xludf.DUMMYFUNCTION("""COMPUTED_VALUE"""),"Delay in patients suspected of transient ischaemic attack: a cross-sectional study.")</f>
        <v>Delay in patients suspected of transient ischaemic attack: a cross-sectional study.</v>
      </c>
      <c r="AJ211" s="31" t="str">
        <f>IFERROR(__xludf.DUMMYFUNCTION("""COMPUTED_VALUE"""),"Dolmans, L Servaas; Kappelle, L Jaap; Bartelink, Marie-Louise El; Hoes, Arno W; Rutten, Frans H")</f>
        <v>Dolmans, L Servaas; Kappelle, L Jaap; Bartelink, Marie-Louise El; Hoes, Arno W; Rutten, Frans H</v>
      </c>
      <c r="AK211" s="32">
        <f>IFERROR(__xludf.DUMMYFUNCTION("""COMPUTED_VALUE"""),43523.0)</f>
        <v>43523</v>
      </c>
      <c r="AL211" s="31" t="str">
        <f>IFERROR(__xludf.DUMMYFUNCTION("""COMPUTED_VALUE"""),"Genetic variants associated with low-density lipoprotein cholesterol and systolic blood pressure and the risk of recurrent cardiovascular disease in patients with established vascular disease.")</f>
        <v>Genetic variants associated with low-density lipoprotein cholesterol and systolic blood pressure and the risk of recurrent cardiovascular disease in patients with established vascular disease.</v>
      </c>
      <c r="AM211" s="31" t="str">
        <f>IFERROR(__xludf.DUMMYFUNCTION("""COMPUTED_VALUE"""),"Groenland, Eline H; Heidemann, Britt E; van der Laan, Sander W; van Setten, Jessica; Koopal, Charlotte; Bots, Michiel L; Asselbergs, Folkert W; Visseren, Frank L J; Spiering, Wilko; ,")</f>
        <v>Groenland, Eline H; Heidemann, Britt E; van der Laan, Sander W; van Setten, Jessica; Koopal, Charlotte; Bots, Michiel L; Asselbergs, Folkert W; Visseren, Frank L J; Spiering, Wilko; ,</v>
      </c>
      <c r="AN211" s="32">
        <f>IFERROR(__xludf.DUMMYFUNCTION("""COMPUTED_VALUE"""),44631.0)</f>
        <v>44631</v>
      </c>
    </row>
    <row r="212">
      <c r="A212" s="32"/>
      <c r="I212" s="31" t="str">
        <f>IFERROR(__xludf.DUMMYFUNCTION("""COMPUTED_VALUE"""),"pediatric pulmonology")</f>
        <v>pediatric pulmonology</v>
      </c>
      <c r="J212" s="38">
        <f>COUNTIF(Data!$F$2:$F9917, $I212)</f>
        <v>3</v>
      </c>
      <c r="T212" s="31" t="s">
        <v>24990</v>
      </c>
      <c r="U212" s="31" t="s">
        <v>24991</v>
      </c>
      <c r="V212" s="32">
        <v>45505.0</v>
      </c>
      <c r="X212" s="31" t="str">
        <f>IFERROR(__xludf.DUMMYFUNCTION("""COMPUTED_VALUE"""),"Subgroups of adult-onset diabetes: a data-driven cluster analysis in a Ghanaian population.")</f>
        <v>Subgroups of adult-onset diabetes: a data-driven cluster analysis in a Ghanaian population.</v>
      </c>
      <c r="Y212" s="31" t="str">
        <f>IFERROR(__xludf.DUMMYFUNCTION("""COMPUTED_VALUE"""),"Danquah, Ina; Mank, Isabel; Hampe, Christiane S; Meeks, Karlijn A C; Agyemang, Charles; Owusu-Dabo, Ellis; Smeeth, Liam; Klipstein-Grobusch, Kerstin; Bahendeka, Silver; Spranger, Joachim; Mockenhaupt, Frank P; Schulze, Matthias B; Rolandsson, Olov")</f>
        <v>Danquah, Ina; Mank, Isabel; Hampe, Christiane S; Meeks, Karlijn A C; Agyemang, Charles; Owusu-Dabo, Ellis; Smeeth, Liam; Klipstein-Grobusch, Kerstin; Bahendeka, Silver; Spranger, Joachim; Mockenhaupt, Frank P; Schulze, Matthias B; Rolandsson, Olov</v>
      </c>
      <c r="Z212" s="31">
        <f>IFERROR(__xludf.DUMMYFUNCTION("""COMPUTED_VALUE"""),2023.0)</f>
        <v>2023</v>
      </c>
      <c r="AA212" s="31">
        <f>IFERROR(__xludf.DUMMYFUNCTION("""COMPUTED_VALUE"""),2.0)</f>
        <v>2</v>
      </c>
      <c r="AF212" s="31" t="str">
        <f>IFERROR(__xludf.DUMMYFUNCTION("""COMPUTED_VALUE"""),"Cardiovascular Risk Factor Burden and Association With CKD in Ghana and Nigeria.")</f>
        <v>Cardiovascular Risk Factor Burden and Association With CKD in Ghana and Nigeria.</v>
      </c>
      <c r="AG212" s="31" t="str">
        <f>IFERROR(__xludf.DUMMYFUNCTION("""COMPUTED_VALUE"""),"Olanrewaju, Timothy O; Osafo, Charlotte; Raji, Yemi R; Mamven, Manmak; Ajayi, Samuel; Ilori, Titilayo O; Arogundade, Fatiu A; Ulasi, Ifeoma I; Gbadegesin, Rasheed; Parekh, Rulan S; Tayo, Bamidele; Adeyemo, Adebowale A; Adedoyin, Olanrewaju T; Chijioke, Ad"&amp;"indu A; Bewaji, Clement; Grobbee, Diederick E; Blankestijn, Peter J; Klipstein-Grobusch, Kerstin; Salako, Babatunde L; Adu, Dwomoa; Ojo, Akinlolu O; ,")</f>
        <v>Olanrewaju, Timothy O; Osafo, Charlotte; Raji, Yemi R; Mamven, Manmak; Ajayi, Samuel; Ilori, Titilayo O; Arogundade, Fatiu A; Ulasi, Ifeoma I; Gbadegesin, Rasheed; Parekh, Rulan S; Tayo, Bamidele; Adeyemo, Adebowale A; Adedoyin, Olanrewaju T; Chijioke, Adindu A; Bewaji, Clement; Grobbee, Diederick E; Blankestijn, Peter J; Klipstein-Grobusch, Kerstin; Salako, Babatunde L; Adu, Dwomoa; Ojo, Akinlolu O; ,</v>
      </c>
      <c r="AH212" s="32">
        <f>IFERROR(__xludf.DUMMYFUNCTION("""COMPUTED_VALUE"""),44901.0)</f>
        <v>44901</v>
      </c>
      <c r="AI212" s="31" t="str">
        <f>IFERROR(__xludf.DUMMYFUNCTION("""COMPUTED_VALUE"""),"Patients' experiences with a behaviour change intervention to enhance physical activity in primary care: A mixed methods study.")</f>
        <v>Patients' experiences with a behaviour change intervention to enhance physical activity in primary care: A mixed methods study.</v>
      </c>
      <c r="AJ212" s="31" t="str">
        <f>IFERROR(__xludf.DUMMYFUNCTION("""COMPUTED_VALUE"""),"Westland, Heleen; Sluiter, Jill; Te Dorsthorst, Sophie; Schröder, Carin D; Trappenburg, Jaap C A; Vervoort, Sigrid C J M; Schuurmans, Marieke J")</f>
        <v>Westland, Heleen; Sluiter, Jill; Te Dorsthorst, Sophie; Schröder, Carin D; Trappenburg, Jaap C A; Vervoort, Sigrid C J M; Schuurmans, Marieke J</v>
      </c>
      <c r="AK212" s="32">
        <f>IFERROR(__xludf.DUMMYFUNCTION("""COMPUTED_VALUE"""),43508.0)</f>
        <v>43508</v>
      </c>
      <c r="AL212" s="31" t="str">
        <f>IFERROR(__xludf.DUMMYFUNCTION("""COMPUTED_VALUE"""),"Hospitalisation costs and health related quality of life in delirious patients: a scoping review.")</f>
        <v>Hospitalisation costs and health related quality of life in delirious patients: a scoping review.</v>
      </c>
      <c r="AM212" s="31" t="str">
        <f>IFERROR(__xludf.DUMMYFUNCTION("""COMPUTED_VALUE"""),"van Lieshout, Chris; Schuit, Ewoud; Hermes, Carsten; Kerrigan, Matthew; Frederix, Geert W J")</f>
        <v>van Lieshout, Chris; Schuit, Ewoud; Hermes, Carsten; Kerrigan, Matthew; Frederix, Geert W J</v>
      </c>
      <c r="AN212" s="32">
        <f>IFERROR(__xludf.DUMMYFUNCTION("""COMPUTED_VALUE"""),44631.0)</f>
        <v>44631</v>
      </c>
    </row>
    <row r="213">
      <c r="A213" s="32"/>
      <c r="I213" s="31" t="str">
        <f>IFERROR(__xludf.DUMMYFUNCTION("""COMPUTED_VALUE"""),"critical care medicine")</f>
        <v>critical care medicine</v>
      </c>
      <c r="J213" s="38">
        <f>COUNTIF(Data!$F$2:$F9917, $I213)</f>
        <v>12</v>
      </c>
      <c r="T213" s="31" t="s">
        <v>25539</v>
      </c>
      <c r="U213" s="31" t="s">
        <v>25540</v>
      </c>
      <c r="V213" s="32">
        <v>45505.0</v>
      </c>
      <c r="X213" s="31" t="str">
        <f>IFERROR(__xludf.DUMMYFUNCTION("""COMPUTED_VALUE"""),"Clinically Established Temporomandibular Involvement in Adults With Juvenile Idiopathic Arthritis.")</f>
        <v>Clinically Established Temporomandibular Involvement in Adults With Juvenile Idiopathic Arthritis.</v>
      </c>
      <c r="Y213" s="31" t="str">
        <f>IFERROR(__xludf.DUMMYFUNCTION("""COMPUTED_VALUE"""),"de Sonnaville, Willemijn F C; Speksnijder, Caroline M; Zuithoff, Nicolaas P A; Heijstek, Marloes W; Wulffraat, Nico M; Steenks, Michel H; Rosenberg, Antoine J W P")</f>
        <v>de Sonnaville, Willemijn F C; Speksnijder, Caroline M; Zuithoff, Nicolaas P A; Heijstek, Marloes W; Wulffraat, Nico M; Steenks, Michel H; Rosenberg, Antoine J W P</v>
      </c>
      <c r="Z213" s="31">
        <f>IFERROR(__xludf.DUMMYFUNCTION("""COMPUTED_VALUE"""),2023.0)</f>
        <v>2023</v>
      </c>
      <c r="AA213" s="31">
        <f>IFERROR(__xludf.DUMMYFUNCTION("""COMPUTED_VALUE"""),2.0)</f>
        <v>2</v>
      </c>
      <c r="AF213" s="31" t="str">
        <f>IFERROR(__xludf.DUMMYFUNCTION("""COMPUTED_VALUE"""),"The DIAbetes MANagement and Treatment (DIAMANT) Cohort.")</f>
        <v>The DIAbetes MANagement and Treatment (DIAMANT) Cohort.</v>
      </c>
      <c r="AG213" s="31" t="str">
        <f>IFERROR(__xludf.DUMMYFUNCTION("""COMPUTED_VALUE"""),"Overbeek, Jetty A; Swart, Karin M A; van der Pal, Emma Y M; Blom, Marieke T; Beulens, Joline W J; Nijpels, Giel; Elders, Petra J M; Herings, Ron M C")</f>
        <v>Overbeek, Jetty A; Swart, Karin M A; van der Pal, Emma Y M; Blom, Marieke T; Beulens, Joline W J; Nijpels, Giel; Elders, Petra J M; Herings, Ron M C</v>
      </c>
      <c r="AH213" s="32">
        <f>IFERROR(__xludf.DUMMYFUNCTION("""COMPUTED_VALUE"""),44900.0)</f>
        <v>44900</v>
      </c>
      <c r="AI213" s="31" t="str">
        <f>IFERROR(__xludf.DUMMYFUNCTION("""COMPUTED_VALUE"""),"Does pneumococcal conjugate vaccination affect onset and risk of first acute otitis media and recurrences? A primary care-based cohort study.")</f>
        <v>Does pneumococcal conjugate vaccination affect onset and risk of first acute otitis media and recurrences? A primary care-based cohort study.</v>
      </c>
      <c r="AJ213" s="31" t="str">
        <f>IFERROR(__xludf.DUMMYFUNCTION("""COMPUTED_VALUE"""),"Fortanier, Alexandre C; Venekamp, Roderick P; Hoes, Arno W; Schilder, Anne G M")</f>
        <v>Fortanier, Alexandre C; Venekamp, Roderick P; Hoes, Arno W; Schilder, Anne G M</v>
      </c>
      <c r="AK213" s="32">
        <f>IFERROR(__xludf.DUMMYFUNCTION("""COMPUTED_VALUE"""),43502.0)</f>
        <v>43502</v>
      </c>
      <c r="AL213" s="31" t="str">
        <f>IFERROR(__xludf.DUMMYFUNCTION("""COMPUTED_VALUE"""),"Time interval between diagnostic excision-biopsy of a primary melanoma and sentinel node biopsy: effects on the sentinel node positivity rate and survival outcomes.")</f>
        <v>Time interval between diagnostic excision-biopsy of a primary melanoma and sentinel node biopsy: effects on the sentinel node positivity rate and survival outcomes.</v>
      </c>
      <c r="AM213" s="31" t="str">
        <f>IFERROR(__xludf.DUMMYFUNCTION("""COMPUTED_VALUE"""),"El Sharouni, Mary-Ann; Scolyer, Richard A; van Gils, Carla H; Ch'ng, Sydney; Nieweg, Omgo E; Pennington, Thomas E; Saw, Robyn P M; Shannon, Kerwin; Spillane, Andrew; Stretch, Jonathan; Witkamp, Arjen J; Sigurdsson, Vigfús; Thompson, John F; van Diest, Pau"&amp;"l J; Lo, Serigne N")</f>
        <v>El Sharouni, Mary-Ann; Scolyer, Richard A; van Gils, Carla H; Ch'ng, Sydney; Nieweg, Omgo E; Pennington, Thomas E; Saw, Robyn P M; Shannon, Kerwin; Spillane, Andrew; Stretch, Jonathan; Witkamp, Arjen J; Sigurdsson, Vigfús; Thompson, John F; van Diest, Paul J; Lo, Serigne N</v>
      </c>
      <c r="AN213" s="32">
        <f>IFERROR(__xludf.DUMMYFUNCTION("""COMPUTED_VALUE"""),44625.0)</f>
        <v>44625</v>
      </c>
    </row>
    <row r="214">
      <c r="A214" s="32"/>
      <c r="I214" s="31" t="str">
        <f>IFERROR(__xludf.DUMMYFUNCTION("""COMPUTED_VALUE"""),"critical care london england")</f>
        <v>critical care london england</v>
      </c>
      <c r="J214" s="38">
        <f>COUNTIF(Data!$F$2:$F9917, $I214)</f>
        <v>9</v>
      </c>
      <c r="T214" s="31" t="s">
        <v>25543</v>
      </c>
      <c r="U214" s="31" t="s">
        <v>25544</v>
      </c>
      <c r="V214" s="32">
        <v>45504.0</v>
      </c>
      <c r="X214" s="31" t="str">
        <f>IFERROR(__xludf.DUMMYFUNCTION("""COMPUTED_VALUE"""),"The use of environmental scenarios to project future health effects: a scoping review.")</f>
        <v>The use of environmental scenarios to project future health effects: a scoping review.</v>
      </c>
      <c r="Y214" s="31" t="str">
        <f>IFERROR(__xludf.DUMMYFUNCTION("""COMPUTED_VALUE"""),"Weber, Eartha; Downward, George S; Ebi, Kristie L; Lucas, Paul L; van Vuuren, Detlef")</f>
        <v>Weber, Eartha; Downward, George S; Ebi, Kristie L; Lucas, Paul L; van Vuuren, Detlef</v>
      </c>
      <c r="Z214" s="31">
        <f>IFERROR(__xludf.DUMMYFUNCTION("""COMPUTED_VALUE"""),2023.0)</f>
        <v>2023</v>
      </c>
      <c r="AA214" s="31">
        <f>IFERROR(__xludf.DUMMYFUNCTION("""COMPUTED_VALUE"""),2.0)</f>
        <v>2</v>
      </c>
      <c r="AF214" s="31" t="str">
        <f>IFERROR(__xludf.DUMMYFUNCTION("""COMPUTED_VALUE"""),"Women's lived experiences of preterm birth and neonatal care for premature infants at a tertiary hospital in Ghana: A qualitative study.")</f>
        <v>Women's lived experiences of preterm birth and neonatal care for premature infants at a tertiary hospital in Ghana: A qualitative study.</v>
      </c>
      <c r="AG214" s="31" t="str">
        <f>IFERROR(__xludf.DUMMYFUNCTION("""COMPUTED_VALUE"""),"Adu-Bonsaffoh, Kwame; Tamma, Evelyn; Nwameme, Adanna Uloaku; Mocking, Martina; Osman, Kwabena A; Browne, Joyce L")</f>
        <v>Adu-Bonsaffoh, Kwame; Tamma, Evelyn; Nwameme, Adanna Uloaku; Mocking, Martina; Osman, Kwabena A; Browne, Joyce L</v>
      </c>
      <c r="AH214" s="32">
        <f>IFERROR(__xludf.DUMMYFUNCTION("""COMPUTED_VALUE"""),44896.0)</f>
        <v>44896</v>
      </c>
      <c r="AI214" s="31" t="str">
        <f>IFERROR(__xludf.DUMMYFUNCTION("""COMPUTED_VALUE"""),"[An elderly patient with severe peripheral vascular disease].")</f>
        <v>[An elderly patient with severe peripheral vascular disease].</v>
      </c>
      <c r="AJ214" s="31" t="str">
        <f>IFERROR(__xludf.DUMMYFUNCTION("""COMPUTED_VALUE"""),"Evenboer, Januska; Wille, Jan; van Asselt, Kristel M")</f>
        <v>Evenboer, Januska; Wille, Jan; van Asselt, Kristel M</v>
      </c>
      <c r="AK214" s="32">
        <f>IFERROR(__xludf.DUMMYFUNCTION("""COMPUTED_VALUE"""),43497.0)</f>
        <v>43497</v>
      </c>
      <c r="AL214" s="31" t="str">
        <f>IFERROR(__xludf.DUMMYFUNCTION("""COMPUTED_VALUE"""),"Prediagnosis Leisure-Time Physical Activity and Lung Cancer Survival: A Pooled Analysis of 11 Cohorts.")</f>
        <v>Prediagnosis Leisure-Time Physical Activity and Lung Cancer Survival: A Pooled Analysis of 11 Cohorts.</v>
      </c>
      <c r="AM214" s="31" t="str">
        <f>IFERROR(__xludf.DUMMYFUNCTION("""COMPUTED_VALUE"""),"Yang, Jae Jeong; Yu, Danxia; White, Emily; Lee, Dong Hoon; Blot, William; Robien, Kim; Sinha, Rashmi; Park, Yikyung; Takata, Yumie; Gao, Yu-Tang; Smith-Byrne, Karl; Monninkhof, Evelyn M; Kaaks, Rudolf; Langhammer, Arnulf; Borch, Kristin Benjaminsen; Al-Sh"&amp;"aar, Laila; Lan, Qing; Sørgjerd, Elin Pettersen; Zhang, Xuehong; Zhu, Clair; Chirlaque, María Dolores; Severi, Gianluca; Overvad, Kim; Sacerdote, Carlotta; Aune, Dagfinn; Johansson, Mattias; Smith-Warner, Stephanie A; Zheng, Wei; Shu, Xiao-Ou")</f>
        <v>Yang, Jae Jeong; Yu, Danxia; White, Emily; Lee, Dong Hoon; Blot, William; Robien, Kim; Sinha, Rashmi; Park, Yikyung; Takata, Yumie; Gao, Yu-Tang; Smith-Byrne, Karl; Monninkhof, Evelyn M; Kaaks, Rudolf; Langhammer, Arnulf; Borch, Kristin Benjaminsen; Al-Shaar, Laila; Lan, Qing; Sørgjerd, Elin Pettersen; Zhang, Xuehong; Zhu, Clair; Chirlaque, María Dolores; Severi, Gianluca; Overvad, Kim; Sacerdote, Carlotta; Aune, Dagfinn; Johansson, Mattias; Smith-Warner, Stephanie A; Zheng, Wei; Shu, Xiao-Ou</v>
      </c>
      <c r="AN214" s="32">
        <f>IFERROR(__xludf.DUMMYFUNCTION("""COMPUTED_VALUE"""),44622.0)</f>
        <v>44622</v>
      </c>
    </row>
    <row r="215">
      <c r="A215" s="32"/>
      <c r="I215" s="31" t="str">
        <f>IFERROR(__xludf.DUMMYFUNCTION("""COMPUTED_VALUE"""),"ultrasound in obstetrics gynecology the official journal of the international society of ultrasound in obstetrics and gynecology")</f>
        <v>ultrasound in obstetrics gynecology the official journal of the international society of ultrasound in obstetrics and gynecology</v>
      </c>
      <c r="J215" s="38">
        <f>COUNTIF(Data!$F$2:$F9917, $I215)</f>
        <v>7</v>
      </c>
      <c r="T215" s="31" t="s">
        <v>25135</v>
      </c>
      <c r="U215" s="31" t="s">
        <v>25136</v>
      </c>
      <c r="V215" s="32">
        <v>45503.0</v>
      </c>
      <c r="X215" s="31" t="str">
        <f>IFERROR(__xludf.DUMMYFUNCTION("""COMPUTED_VALUE"""),"Precision Medicine for More Oxygen (P4O2)-Study Design and First Results of the Long COVID-19 Extension.")</f>
        <v>Precision Medicine for More Oxygen (P4O2)-Study Design and First Results of the Long COVID-19 Extension.</v>
      </c>
      <c r="Y215" s="31" t="str">
        <f>IFERROR(__xludf.DUMMYFUNCTION("""COMPUTED_VALUE"""),"Baalbaki, Nadia; Blankestijn, Jelle M; Abdel-Aziz, Mahmoud I; de Backer, Jan; Bazdar, Somayeh; Beekers, Inés; Beijers, Rosanne J H C G; van den Bergh, Joop P; Bloemsma, Lizan D; Bogaard, Harm Jan; van Bragt, Job J M H; van den Brink, Vera; Charbonnier, Je"&amp;"an Paul; Cornelissen, Merel E B; Dagelet, Yennece; Davies, Elin Haf; van der Does, Anne M; Downward, George S; van Drunen, Cornelis M; Gach, Debbie; Geelhoed, J J Miranda; Glastra, Jorrit; Golebski, Kornel; Heijink, Irene H; Holtjer, Judith C S; Holverda,"&amp;" Sebastiaan; Houweling, Laura; Jacobs, John J L; Jonker, Renée; Kos, Renate; Langen, Ramon C J; van der Lee, Ivo; Leliveld, Asabi; Mohamed Hoesein, Firdaus A A; Neerincx, Anne H; Noij, Lieke; Olsson, Johan; van de Pol, Marianne; Pouwels, Simon D; Rolink, "&amp;"Emiel; Rutgers, Michael; Șahin, Havva; Schaminee, Daphne; Schols, Annemie M W J; Schuurman, Lisanne; Slingers, Gitte; Smeenk, Olie; Sondermeijer, Brigitte; Skipp, Paul J; Tamarit, Marisca; Verkouter, Inge; Vermeulen, Roel; de Vries, Ri")</f>
        <v>Baalbaki, Nadia; Blankestijn, Jelle M; Abdel-Aziz, Mahmoud I; de Backer, Jan; Bazdar, Somayeh; Beekers, Inés; Beijers, Rosanne J H C G; van den Bergh, Joop P; Bloemsma, Lizan D; Bogaard, Harm Jan; van Bragt, Job J M H; van den Brink, Vera; Charbonnier, Jean Paul; Cornelissen, Merel E B; Dagelet, Yennece; Davies, Elin Haf; van der Does, Anne M; Downward, George S; van Drunen, Cornelis M; Gach, Debbie; Geelhoed, J J Miranda; Glastra, Jorrit; Golebski, Kornel; Heijink, Irene H; Holtjer, Judith C S; Holverda, Sebastiaan; Houweling, Laura; Jacobs, John J L; Jonker, Renée; Kos, Renate; Langen, Ramon C J; van der Lee, Ivo; Leliveld, Asabi; Mohamed Hoesein, Firdaus A A; Neerincx, Anne H; Noij, Lieke; Olsson, Johan; van de Pol, Marianne; Pouwels, Simon D; Rolink, Emiel; Rutgers, Michael; Șahin, Havva; Schaminee, Daphne; Schols, Annemie M W J; Schuurman, Lisanne; Slingers, Gitte; Smeenk, Olie; Sondermeijer, Brigitte; Skipp, Paul J; Tamarit, Marisca; Verkouter, Inge; Vermeulen, Roel; de Vries, Ri</v>
      </c>
      <c r="Z215" s="31">
        <f>IFERROR(__xludf.DUMMYFUNCTION("""COMPUTED_VALUE"""),2023.0)</f>
        <v>2023</v>
      </c>
      <c r="AA215" s="31">
        <f>IFERROR(__xludf.DUMMYFUNCTION("""COMPUTED_VALUE"""),2.0)</f>
        <v>2</v>
      </c>
      <c r="AF215" s="31" t="str">
        <f>IFERROR(__xludf.DUMMYFUNCTION("""COMPUTED_VALUE"""),"Transitioning food environments and diets of African migrants: implications for non-communicable diseases.")</f>
        <v>Transitioning food environments and diets of African migrants: implications for non-communicable diseases.</v>
      </c>
      <c r="AG215" s="31" t="str">
        <f>IFERROR(__xludf.DUMMYFUNCTION("""COMPUTED_VALUE"""),"Osei-Kwasi, Hibbah; Boateng, Daniel; Asamane, Evans Atiah; Akparibo, Robert; Holdsworth, Michelle")</f>
        <v>Osei-Kwasi, Hibbah; Boateng, Daniel; Asamane, Evans Atiah; Akparibo, Robert; Holdsworth, Michelle</v>
      </c>
      <c r="AH215" s="32">
        <f>IFERROR(__xludf.DUMMYFUNCTION("""COMPUTED_VALUE"""),44896.0)</f>
        <v>44896</v>
      </c>
      <c r="AI215" s="31" t="str">
        <f>IFERROR(__xludf.DUMMYFUNCTION("""COMPUTED_VALUE"""),"Pain management in acute otitis media: a qualitative study of parents' views and expectations.")</f>
        <v>Pain management in acute otitis media: a qualitative study of parents' views and expectations.</v>
      </c>
      <c r="AJ215" s="31" t="str">
        <f>IFERROR(__xludf.DUMMYFUNCTION("""COMPUTED_VALUE"""),"van Uum, Rick T; Venekamp, Roderick P; Schilder, Anne G M; Damoiseaux, Roger A M J; Anthierens, Sibyl")</f>
        <v>van Uum, Rick T; Venekamp, Roderick P; Schilder, Anne G M; Damoiseaux, Roger A M J; Anthierens, Sibyl</v>
      </c>
      <c r="AK215" s="32">
        <f>IFERROR(__xludf.DUMMYFUNCTION("""COMPUTED_VALUE"""),43488.0)</f>
        <v>43488</v>
      </c>
      <c r="AL215" s="31" t="str">
        <f>IFERROR(__xludf.DUMMYFUNCTION("""COMPUTED_VALUE"""),"Association Between Adherence to Clinical Practice Guidelines for Adjuvant Therapy for Breast Cancer and Survival in a Resource-Limited Setting.")</f>
        <v>Association Between Adherence to Clinical Practice Guidelines for Adjuvant Therapy for Breast Cancer and Survival in a Resource-Limited Setting.</v>
      </c>
      <c r="AM215" s="31" t="str">
        <f>IFERROR(__xludf.DUMMYFUNCTION("""COMPUTED_VALUE"""),"Song, Chin Vern; Yip, Cheng-Har; Mohd Taib, Nur Aishah; See, Mee Hoong; Teoh, Li Ying; Monninkhof, Evelyn M; Saad, Marniza; Uiterwaal, Cuno S P M; Bhoo-Pathy, Nirmala")</f>
        <v>Song, Chin Vern; Yip, Cheng-Har; Mohd Taib, Nur Aishah; See, Mee Hoong; Teoh, Li Ying; Monninkhof, Evelyn M; Saad, Marniza; Uiterwaal, Cuno S P M; Bhoo-Pathy, Nirmala</v>
      </c>
      <c r="AN215" s="32">
        <f>IFERROR(__xludf.DUMMYFUNCTION("""COMPUTED_VALUE"""),44621.0)</f>
        <v>44621</v>
      </c>
    </row>
    <row r="216">
      <c r="A216" s="32"/>
      <c r="I216" s="31" t="str">
        <f>IFERROR(__xludf.DUMMYFUNCTION("""COMPUTED_VALUE"""),"lancet regional health americas")</f>
        <v>lancet regional health americas</v>
      </c>
      <c r="J216" s="38">
        <f>COUNTIF(Data!$F$2:$F9917, $I216)</f>
        <v>2</v>
      </c>
      <c r="T216" s="31" t="s">
        <v>25750</v>
      </c>
      <c r="U216" s="31" t="s">
        <v>25751</v>
      </c>
      <c r="V216" s="32">
        <v>45502.0</v>
      </c>
      <c r="X216" s="31" t="str">
        <f>IFERROR(__xludf.DUMMYFUNCTION("""COMPUTED_VALUE"""),"Stimulating solidarity to improve knowledge on medications used during pregnancy : A contribution from the ConcePTION project.")</f>
        <v>Stimulating solidarity to improve knowledge on medications used during pregnancy : A contribution from the ConcePTION project.</v>
      </c>
      <c r="Y216" s="31" t="str">
        <f>IFERROR(__xludf.DUMMYFUNCTION("""COMPUTED_VALUE"""),"Hollestelle, Marieke J; van der Graaf, Rieke; Sturkenboom, Miriam Cjm; van Delden, Johannes Jm")</f>
        <v>Hollestelle, Marieke J; van der Graaf, Rieke; Sturkenboom, Miriam Cjm; van Delden, Johannes Jm</v>
      </c>
      <c r="Z216" s="31">
        <f>IFERROR(__xludf.DUMMYFUNCTION("""COMPUTED_VALUE"""),2023.0)</f>
        <v>2023</v>
      </c>
      <c r="AA216" s="31">
        <f>IFERROR(__xludf.DUMMYFUNCTION("""COMPUTED_VALUE"""),2.0)</f>
        <v>2</v>
      </c>
      <c r="AF216" s="31" t="str">
        <f>IFERROR(__xludf.DUMMYFUNCTION("""COMPUTED_VALUE"""),"A Retrospective Medical Record Review to Describe Health Status and Cardiovascular Disease Risk Factors of Bus Drivers in South Africa.")</f>
        <v>A Retrospective Medical Record Review to Describe Health Status and Cardiovascular Disease Risk Factors of Bus Drivers in South Africa.</v>
      </c>
      <c r="AG216" s="31" t="str">
        <f>IFERROR(__xludf.DUMMYFUNCTION("""COMPUTED_VALUE"""),"Aitken, Susan C; Lalla-Edward, Samanta T; Kummerow, Maren; Tenzer, Stan; Harris, Bernice N; Venter, W D Francois; Vos, Alinda G")</f>
        <v>Aitken, Susan C; Lalla-Edward, Samanta T; Kummerow, Maren; Tenzer, Stan; Harris, Bernice N; Venter, W D Francois; Vos, Alinda G</v>
      </c>
      <c r="AH216" s="32">
        <f>IFERROR(__xludf.DUMMYFUNCTION("""COMPUTED_VALUE"""),44894.0)</f>
        <v>44894</v>
      </c>
      <c r="AI216" s="31" t="str">
        <f>IFERROR(__xludf.DUMMYFUNCTION("""COMPUTED_VALUE"""),"Measurement of Electropotential Waves in Intact Sieve Elements Using Aphids as Bioelectrodes.")</f>
        <v>Measurement of Electropotential Waves in Intact Sieve Elements Using Aphids as Bioelectrodes.</v>
      </c>
      <c r="AJ216" s="31" t="str">
        <f>IFERROR(__xludf.DUMMYFUNCTION("""COMPUTED_VALUE"""),"Furch, Alexandra C U; Zimmermann, Matthias R; Will, Torsten")</f>
        <v>Furch, Alexandra C U; Zimmermann, Matthias R; Will, Torsten</v>
      </c>
      <c r="AK216" s="32">
        <f>IFERROR(__xludf.DUMMYFUNCTION("""COMPUTED_VALUE"""),43466.0)</f>
        <v>43466</v>
      </c>
      <c r="AL216" s="31" t="str">
        <f>IFERROR(__xludf.DUMMYFUNCTION("""COMPUTED_VALUE"""),"Medical costs of children admitted to the neonatal intensive care unit: The role and possible economic impact of WES in early diagnosis.")</f>
        <v>Medical costs of children admitted to the neonatal intensive care unit: The role and possible economic impact of WES in early diagnosis.</v>
      </c>
      <c r="AM216" s="31" t="str">
        <f>IFERROR(__xludf.DUMMYFUNCTION("""COMPUTED_VALUE"""),"Olde Keizer, Richelle A C M; Marouane, Abderrahim; Deden, A Chantal; van Zelst-Stams, Wendy A G; de Boode, Willem P; Keusters, Willem R; Henneman, Lidewij; van Amstel, Johannes Kristian Ploos; Frederix, Gerardus W J; Vissers, Lisenka E L M")</f>
        <v>Olde Keizer, Richelle A C M; Marouane, Abderrahim; Deden, A Chantal; van Zelst-Stams, Wendy A G; de Boode, Willem P; Keusters, Willem R; Henneman, Lidewij; van Amstel, Johannes Kristian Ploos; Frederix, Gerardus W J; Vissers, Lisenka E L M</v>
      </c>
      <c r="AN216" s="32">
        <f>IFERROR(__xludf.DUMMYFUNCTION("""COMPUTED_VALUE"""),44621.0)</f>
        <v>44621</v>
      </c>
    </row>
    <row r="217">
      <c r="A217" s="32"/>
      <c r="I217" s="31" t="str">
        <f>IFERROR(__xludf.DUMMYFUNCTION("""COMPUTED_VALUE"""),"journal of environmental management")</f>
        <v>journal of environmental management</v>
      </c>
      <c r="J217" s="38">
        <f>COUNTIF(Data!$F$2:$F9917, $I217)</f>
        <v>1</v>
      </c>
      <c r="T217" s="31" t="s">
        <v>24817</v>
      </c>
      <c r="U217" s="31" t="s">
        <v>24818</v>
      </c>
      <c r="V217" s="32">
        <v>45499.0</v>
      </c>
      <c r="X217" s="31" t="str">
        <f>IFERROR(__xludf.DUMMYFUNCTION("""COMPUTED_VALUE"""),"Association of Intima-Media Thickness Measured at the Common Carotid Artery With Incident Carotid Plaque: Individual Participant Data Meta-Analysis of 20 Prospective Studies.")</f>
        <v>Association of Intima-Media Thickness Measured at the Common Carotid Artery With Incident Carotid Plaque: Individual Participant Data Meta-Analysis of 20 Prospective Studies.</v>
      </c>
      <c r="Y217" s="31" t="str">
        <f>IFERROR(__xludf.DUMMYFUNCTION("""COMPUTED_VALUE"""),"Tschiderer, Lena; Seekircher, Lisa; Izzo, Raffaele; Mancusi, Costantino; Manzi, Maria V; Baldassarre, Damiano; Amato, Mauro; Tremoli, Elena; Veglia, Fabrizio; Tuomainen, Tomi-Pekka; Kauhanen, Jussi; Voutilainen, Ari; Iglseder, Bernhard; Lind, Lars; Rundek"&amp;", Tatjana; Desvarieux, Moise; Kato, Akihiko; de Groot, Eric; Aşçi, Gülay; Ok, Ercan; Agewall, Stefan; Beulens, Joline W J; Byrne, Christopher D; Calder, Philip C; Gerstein, Hertzel C; Gresele, Paolo; Klingenschmid, Gerhard; Nagai, Michiaki; Olsen, Michael"&amp;" H; Parraga, Grace; Safarova, Maya S; Sattar, Naveed; Skilton, Michael; Stehouwer, Coen D A; Uthoff, Heiko; van Agtmael, Michiel A; van der Heijden, Amber A; Zozulińska-Ziółkiewicz, Dorota A; Park, Hyun-Woong; Lee, Moo-Sik; Bae, Jang-Ho; Beloqui, Oscar; L"&amp;"andecho, Manuel F; Plichart, Matthieu; Ducimetiere, Pierre; Empana, Jean Philippe; Bokemark, Lena; Bergström, Göran; Schmidt, Caroline; Castelnuovo, Samuela; Calabresi, Laura; Norata, Giuseppe D; Grigore, Liliana; Catapano, Alberico; Z")</f>
        <v>Tschiderer, Lena; Seekircher, Lisa; Izzo, Raffaele; Mancusi, Costantino; Manzi, Maria V; Baldassarre, Damiano; Amato, Mauro; Tremoli, Elena; Veglia, Fabrizio; Tuomainen, Tomi-Pekka; Kauhanen, Jussi; Voutilainen, Ari; Iglseder, Bernhard; Lind, Lars; Rundek, Tatjana; Desvarieux, Moise; Kato, Akihiko; de Groot, Eric; Aşçi, Gülay; Ok, Ercan; Agewall, Stefan; Beulens, Joline W J; Byrne, Christopher D; Calder, Philip C; Gerstein, Hertzel C; Gresele, Paolo; Klingenschmid, Gerhard; Nagai, Michiaki; Olsen, Michael H; Parraga, Grace; Safarova, Maya S; Sattar, Naveed; Skilton, Michael; Stehouwer, Coen D A; Uthoff, Heiko; van Agtmael, Michiel A; van der Heijden, Amber A; Zozulińska-Ziółkiewicz, Dorota A; Park, Hyun-Woong; Lee, Moo-Sik; Bae, Jang-Ho; Beloqui, Oscar; Landecho, Manuel F; Plichart, Matthieu; Ducimetiere, Pierre; Empana, Jean Philippe; Bokemark, Lena; Bergström, Göran; Schmidt, Caroline; Castelnuovo, Samuela; Calabresi, Laura; Norata, Giuseppe D; Grigore, Liliana; Catapano, Alberico; Z</v>
      </c>
      <c r="Z217" s="31">
        <f>IFERROR(__xludf.DUMMYFUNCTION("""COMPUTED_VALUE"""),2023.0)</f>
        <v>2023</v>
      </c>
      <c r="AA217" s="31">
        <f>IFERROR(__xludf.DUMMYFUNCTION("""COMPUTED_VALUE"""),2.0)</f>
        <v>2</v>
      </c>
      <c r="AF217" s="31" t="str">
        <f>IFERROR(__xludf.DUMMYFUNCTION("""COMPUTED_VALUE"""),"The cost of healthy versus current diets in the Netherlands for households with a low, middle and high education.")</f>
        <v>The cost of healthy versus current diets in the Netherlands for households with a low, middle and high education.</v>
      </c>
      <c r="AG217" s="31" t="str">
        <f>IFERROR(__xludf.DUMMYFUNCTION("""COMPUTED_VALUE"""),"Hoenink, Jody C; Waterlander, Wilma; Vandevijvere, Stefanie; Beulens, Joline W J; Mackenbach, Joreintje D")</f>
        <v>Hoenink, Jody C; Waterlander, Wilma; Vandevijvere, Stefanie; Beulens, Joline W J; Mackenbach, Joreintje D</v>
      </c>
      <c r="AH217" s="32">
        <f>IFERROR(__xludf.DUMMYFUNCTION("""COMPUTED_VALUE"""),44890.0)</f>
        <v>44890</v>
      </c>
      <c r="AI217" s="31" t="str">
        <f>IFERROR(__xludf.DUMMYFUNCTION("""COMPUTED_VALUE"""),"Misclassification of Both Chronic Obstructive Pulmonary Disease and Heart Failure.")</f>
        <v>Misclassification of Both Chronic Obstructive Pulmonary Disease and Heart Failure.</v>
      </c>
      <c r="AJ217" s="31" t="str">
        <f>IFERROR(__xludf.DUMMYFUNCTION("""COMPUTED_VALUE"""),"Rutten, Frans H; Broekhuizen, Berna D L")</f>
        <v>Rutten, Frans H; Broekhuizen, Berna D L</v>
      </c>
      <c r="AK217" s="32">
        <f>IFERROR(__xludf.DUMMYFUNCTION("""COMPUTED_VALUE"""),43441.0)</f>
        <v>43441</v>
      </c>
      <c r="AL217" s="31" t="str">
        <f>IFERROR(__xludf.DUMMYFUNCTION("""COMPUTED_VALUE"""),"Market access to new anticancer medicines for children and adolescents with cancer in Europe.")</f>
        <v>Market access to new anticancer medicines for children and adolescents with cancer in Europe.</v>
      </c>
      <c r="AM217" s="31" t="str">
        <f>IFERROR(__xludf.DUMMYFUNCTION("""COMPUTED_VALUE"""),"Schoot, Reineke A; Otth, Maria A; Frederix, Gerardus W J; Leufkens, Hubert G M; Vassal, Gilles")</f>
        <v>Schoot, Reineke A; Otth, Maria A; Frederix, Gerardus W J; Leufkens, Hubert G M; Vassal, Gilles</v>
      </c>
      <c r="AN217" s="32">
        <f>IFERROR(__xludf.DUMMYFUNCTION("""COMPUTED_VALUE"""),44619.0)</f>
        <v>44619</v>
      </c>
    </row>
    <row r="218">
      <c r="A218" s="32"/>
      <c r="I218" s="31" t="str">
        <f>IFERROR(__xludf.DUMMYFUNCTION("""COMPUTED_VALUE"""),"cancer epidemiology")</f>
        <v>cancer epidemiology</v>
      </c>
      <c r="J218" s="38">
        <f>COUNTIF(Data!$F$2:$F9917, $I218)</f>
        <v>6</v>
      </c>
      <c r="T218" s="31" t="s">
        <v>25531</v>
      </c>
      <c r="U218" s="31" t="s">
        <v>25532</v>
      </c>
      <c r="V218" s="32">
        <v>45499.0</v>
      </c>
      <c r="X218" s="31" t="str">
        <f>IFERROR(__xludf.DUMMYFUNCTION("""COMPUTED_VALUE"""),"Interaction between plasma phospholipid odd-chain fatty acids and GAD65 autoantibodies on the incidence of adult-onset diabetes: the EPIC-InterAct case-cohort study.")</f>
        <v>Interaction between plasma phospholipid odd-chain fatty acids and GAD65 autoantibodies on the incidence of adult-onset diabetes: the EPIC-InterAct case-cohort study.</v>
      </c>
      <c r="Y218" s="31" t="str">
        <f>IFERROR(__xludf.DUMMYFUNCTION("""COMPUTED_VALUE"""),"Lampousi, Anna-Maria; Carlsson, Sofia; Löfvenborg, Josefin E; Cabrera-Castro, Natalia; Chirlaque, María-Dolores; Fagherazzi, Guy; Franks, Paul W; Hampe, Christiane S; Jakszyn, Paula; Koulman, Albert; Kyrø, Cecilie; Moreno-Iribas, Conchi; Nilsson, Peter M;"&amp;" Panico, Salvatore; Papier, Keren; van der Schouw, Yvonne T; Schulze, Matthias B; Weiderpass, Elisabete; Zamora-Ros, Raul; Forouhi, Nita G; Sharp, Stephen J; Rolandsson, Olov; Wareham, Nicholas J")</f>
        <v>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v>
      </c>
      <c r="Z218" s="31">
        <f>IFERROR(__xludf.DUMMYFUNCTION("""COMPUTED_VALUE"""),2023.0)</f>
        <v>2023</v>
      </c>
      <c r="AA218" s="31">
        <f>IFERROR(__xludf.DUMMYFUNCTION("""COMPUTED_VALUE"""),2.0)</f>
        <v>2</v>
      </c>
      <c r="AF218" s="31" t="str">
        <f>IFERROR(__xludf.DUMMYFUNCTION("""COMPUTED_VALUE"""),"Symptom evolution in the dying.")</f>
        <v>Symptom evolution in the dying.</v>
      </c>
      <c r="AG218" s="31" t="str">
        <f>IFERROR(__xludf.DUMMYFUNCTION("""COMPUTED_VALUE"""),"Heijltjes, Madelon T; van Zuylen, Lia; van Thiel, Ghislaine Jmw; van Delden, Johannes Jm; van der Heide, Agnes")</f>
        <v>Heijltjes, Madelon T; van Zuylen, Lia; van Thiel, Ghislaine Jmw; van Delden, Johannes Jm; van der Heide, Agnes</v>
      </c>
      <c r="AH218" s="32">
        <f>IFERROR(__xludf.DUMMYFUNCTION("""COMPUTED_VALUE"""),44886.0)</f>
        <v>44886</v>
      </c>
      <c r="AI218" s="31" t="str">
        <f>IFERROR(__xludf.DUMMYFUNCTION("""COMPUTED_VALUE"""),"Near-home heart failure care.")</f>
        <v>Near-home heart failure care.</v>
      </c>
      <c r="AJ218" s="31" t="str">
        <f>IFERROR(__xludf.DUMMYFUNCTION("""COMPUTED_VALUE"""),"Groenewegen, Amy; Rutten, Frans H")</f>
        <v>Groenewegen, Amy; Rutten, Frans H</v>
      </c>
      <c r="AK218" s="32">
        <f>IFERROR(__xludf.DUMMYFUNCTION("""COMPUTED_VALUE"""),43440.0)</f>
        <v>43440</v>
      </c>
      <c r="AL218" s="31" t="str">
        <f>IFERROR(__xludf.DUMMYFUNCTION("""COMPUTED_VALUE"""),"Cross-national harmonization of cognitive measures across HRS HCAP (USA) and LASI-DAD (India).")</f>
        <v>Cross-national harmonization of cognitive measures across HRS HCAP (USA) and LASI-DAD (India).</v>
      </c>
      <c r="AM218" s="31" t="str">
        <f>IFERROR(__xludf.DUMMYFUNCTION("""COMPUTED_VALUE"""),"Vonk, Jet M J; Gross, Alden L; Zammit, Andrea R; Bertola, Laiss; Avila, Justina F; Jutten, Roos J; Gaynor, Leslie S; Suemoto, Claudia K; Kobayashi, Lindsay C; O'Connell, Megan E; Elugbadebo, Olufisayo; Amofa, Priscilla A; Staffaroni, Adam M; Arce Rentería"&amp;", Miguel; Turney, Indira C; Jones, Richard N; Manly, Jennifer J; Lee, Jinkook; Zahodne, Laura B")</f>
        <v>Vonk, Jet M J; Gross, Alden L; Zammit, Andrea R; Bertola, Laiss; Avila, Justina F; Jutten, Roos J; Gaynor, Leslie S; Suemoto, Claudia K; Kobayashi, Lindsay C; O'Connell, Megan E; Elugbadebo, Olufisayo; Amofa, Priscilla A; Staffaroni, Adam M; Arce Rentería, Miguel; Turney, Indira C; Jones, Richard N; Manly, Jennifer J; Lee, Jinkook; Zahodne, Laura B</v>
      </c>
      <c r="AN218" s="32">
        <f>IFERROR(__xludf.DUMMYFUNCTION("""COMPUTED_VALUE"""),44617.0)</f>
        <v>44617</v>
      </c>
    </row>
    <row r="219">
      <c r="A219" s="32"/>
      <c r="I219" s="31" t="str">
        <f>IFERROR(__xludf.DUMMYFUNCTION("""COMPUTED_VALUE"""),"journal of cancer research and clinical oncology")</f>
        <v>journal of cancer research and clinical oncology</v>
      </c>
      <c r="J219" s="38">
        <f>COUNTIF(Data!$F$2:$F9917, $I219)</f>
        <v>1</v>
      </c>
      <c r="T219" s="31" t="s">
        <v>25635</v>
      </c>
      <c r="U219" s="31" t="s">
        <v>25636</v>
      </c>
      <c r="V219" s="32">
        <v>45499.0</v>
      </c>
      <c r="X219" s="31" t="str">
        <f>IFERROR(__xludf.DUMMYFUNCTION("""COMPUTED_VALUE"""),"Covariate-specific ROC curve analysis can accommodate differences between covariate subgroups in the evaluation of diagnostic accuracy.")</f>
        <v>Covariate-specific ROC curve analysis can accommodate differences between covariate subgroups in the evaluation of diagnostic accuracy.</v>
      </c>
      <c r="Y219" s="31" t="str">
        <f>IFERROR(__xludf.DUMMYFUNCTION("""COMPUTED_VALUE"""),"Lee, Jenny; van Es, Nick; Takada, Toshihiko; Klok, Frederikus A; Geersing, Geert-Jan; Blume, Jeffrey; Bossuyt, Patrick M; ,")</f>
        <v>Lee, Jenny; van Es, Nick; Takada, Toshihiko; Klok, Frederikus A; Geersing, Geert-Jan; Blume, Jeffrey; Bossuyt, Patrick M; ,</v>
      </c>
      <c r="Z219" s="31">
        <f>IFERROR(__xludf.DUMMYFUNCTION("""COMPUTED_VALUE"""),2023.0)</f>
        <v>2023</v>
      </c>
      <c r="AA219" s="31">
        <f>IFERROR(__xludf.DUMMYFUNCTION("""COMPUTED_VALUE"""),2.0)</f>
        <v>2</v>
      </c>
      <c r="AF219" s="31" t="str">
        <f>IFERROR(__xludf.DUMMYFUNCTION("""COMPUTED_VALUE"""),"Associations of psychosocial stress with type 2 diabetes and glycaemic control among Ghanaians: The RODAM study.")</f>
        <v>Associations of psychosocial stress with type 2 diabetes and glycaemic control among Ghanaians: The RODAM study.</v>
      </c>
      <c r="AG219" s="31" t="str">
        <f>IFERROR(__xludf.DUMMYFUNCTION("""COMPUTED_VALUE"""),"Chilunga, Felix P; Schwerzel, Pleun S; Meeks, Karlijn A C; Beune, Erik; Bahendeka, Silver; Mockenhaupt, Frank; Klipstein-Grobusch, Kerstin; Agyemang, Charles")</f>
        <v>Chilunga, Felix P; Schwerzel, Pleun S; Meeks, Karlijn A C; Beune, Erik; Bahendeka, Silver; Mockenhaupt, Frank; Klipstein-Grobusch, Kerstin; Agyemang, Charles</v>
      </c>
      <c r="AH219" s="32">
        <f>IFERROR(__xludf.DUMMYFUNCTION("""COMPUTED_VALUE"""),44885.0)</f>
        <v>44885</v>
      </c>
      <c r="AI219" s="31" t="str">
        <f>IFERROR(__xludf.DUMMYFUNCTION("""COMPUTED_VALUE"""),"[Acute chest pain and normal high-sensitivity cardiac troponin levels; is this the end of the story?].")</f>
        <v>[Acute chest pain and normal high-sensitivity cardiac troponin levels; is this the end of the story?].</v>
      </c>
      <c r="AJ219" s="31" t="str">
        <f>IFERROR(__xludf.DUMMYFUNCTION("""COMPUTED_VALUE"""),"Rutten, Frans H")</f>
        <v>Rutten, Frans H</v>
      </c>
      <c r="AK219" s="32">
        <f>IFERROR(__xludf.DUMMYFUNCTION("""COMPUTED_VALUE"""),43439.0)</f>
        <v>43439</v>
      </c>
      <c r="AL219" s="31" t="str">
        <f>IFERROR(__xludf.DUMMYFUNCTION("""COMPUTED_VALUE"""),"Esophageal Second Primary Tumors in Patients With Head and Neck Squamous Cell Carcinoma: Incidence, Risk Factors, and Overall Survival.")</f>
        <v>Esophageal Second Primary Tumors in Patients With Head and Neck Squamous Cell Carcinoma: Incidence, Risk Factors, and Overall Survival.</v>
      </c>
      <c r="AM219" s="31" t="str">
        <f>IFERROR(__xludf.DUMMYFUNCTION("""COMPUTED_VALUE"""),"Overwater, Anouk; Rueb, Kuna; Elias, Sjoerd G; de Bree, Remco; Weusten, Bas L A M")</f>
        <v>Overwater, Anouk; Rueb, Kuna; Elias, Sjoerd G; de Bree, Remco; Weusten, Bas L A M</v>
      </c>
      <c r="AN219" s="32">
        <f>IFERROR(__xludf.DUMMYFUNCTION("""COMPUTED_VALUE"""),44617.0)</f>
        <v>44617</v>
      </c>
    </row>
    <row r="220">
      <c r="A220" s="32"/>
      <c r="I220" s="31" t="str">
        <f>IFERROR(__xludf.DUMMYFUNCTION("""COMPUTED_VALUE"""),"big data")</f>
        <v>big data</v>
      </c>
      <c r="J220" s="38">
        <f>COUNTIF(Data!$F$2:$F9917, $I220)</f>
        <v>1</v>
      </c>
      <c r="T220" s="31" t="s">
        <v>24856</v>
      </c>
      <c r="U220" s="31" t="s">
        <v>24857</v>
      </c>
      <c r="V220" s="32">
        <v>45498.0</v>
      </c>
      <c r="X220" s="31" t="str">
        <f>IFERROR(__xludf.DUMMYFUNCTION("""COMPUTED_VALUE"""),"Interpretation of continuously measured vital signs data of COVID-19 patients by nurses and physicians at the general ward: A mixed methods study.")</f>
        <v>Interpretation of continuously measured vital signs data of COVID-19 patients by nurses and physicians at the general ward: A mixed methods study.</v>
      </c>
      <c r="Y220" s="31" t="str">
        <f>IFERROR(__xludf.DUMMYFUNCTION("""COMPUTED_VALUE"""),"van Goor, Harriët M R; Breteler, Martine J M; Schoonhoven, Lisette; Kalkman, Cor J; van Loon, Kim; Kaasjager, Karin A H")</f>
        <v>van Goor, Harriët M R; Breteler, Martine J M; Schoonhoven, Lisette; Kalkman, Cor J; van Loon, Kim; Kaasjager, Karin A H</v>
      </c>
      <c r="Z220" s="31">
        <f>IFERROR(__xludf.DUMMYFUNCTION("""COMPUTED_VALUE"""),2023.0)</f>
        <v>2023</v>
      </c>
      <c r="AA220" s="31">
        <f>IFERROR(__xludf.DUMMYFUNCTION("""COMPUTED_VALUE"""),2.0)</f>
        <v>2</v>
      </c>
      <c r="AF220" s="31" t="str">
        <f>IFERROR(__xludf.DUMMYFUNCTION("""COMPUTED_VALUE"""),"Care-seeking behaviour among febrile children under five in Togo.")</f>
        <v>Care-seeking behaviour among febrile children under five in Togo.</v>
      </c>
      <c r="AG220" s="31" t="str">
        <f>IFERROR(__xludf.DUMMYFUNCTION("""COMPUTED_VALUE"""),"Kombate, Gountante; Cakpo, Gbènonminvo Enoch; Azianu, Komi Ameko; Labité, Matè Alonyenyo; van der Sande, Marianne A B")</f>
        <v>Kombate, Gountante; Cakpo, Gbènonminvo Enoch; Azianu, Komi Ameko; Labité, Matè Alonyenyo; van der Sande, Marianne A B</v>
      </c>
      <c r="AH220" s="32">
        <f>IFERROR(__xludf.DUMMYFUNCTION("""COMPUTED_VALUE"""),44882.0)</f>
        <v>44882</v>
      </c>
      <c r="AI220" s="31" t="str">
        <f>IFERROR(__xludf.DUMMYFUNCTION("""COMPUTED_VALUE"""),"Effectiveness of the European Society of Cardiology/Heart Failure Association website 'heartfailurematters.org' and an e-health adjusted care pathway in patients with stable heart failure: results of the 'e-Vita HF' randomized controlled trial.")</f>
        <v>Effectiveness of the European Society of Cardiology/Heart Failure Association website 'heartfailurematters.org' and an e-health adjusted care pathway in patients with stable heart failure: results of the 'e-Vita HF' randomized controlled trial.</v>
      </c>
      <c r="AJ220" s="31" t="str">
        <f>IFERROR(__xludf.DUMMYFUNCTION("""COMPUTED_VALUE"""),"Wagenaar, Kim P; Broekhuizen, Berna D L; Jaarsma, Tiny; Kok, Ilse; Mosterd, Arend; Willems, Frank F; Linssen, Gerard C M; Agema, Willem R P; Anneveldt, Sander; Lucas, Carolien M H B; Mannaerts, Herman F J; Wajon, Elly M C J; Dickstein, Kenneth; Cramer, Ma"&amp;"arten J; Landman, Marcel A J; Hoes, Arno W; Rutten, Frans H")</f>
        <v>Wagenaar, Kim P; Broekhuizen, Berna D L; Jaarsma, Tiny; Kok, Ilse; Mosterd, Arend; Willems, Frank F; Linssen, Gerard C M; Agema, Willem R P; Anneveldt, Sander; Lucas, Carolien M H B; Mannaerts, Herman F J; Wajon, Elly M C J; Dickstein, Kenneth; Cramer, Maarten J; Landman, Marcel A J; Hoes, Arno W; Rutten, Frans H</v>
      </c>
      <c r="AK220" s="32">
        <f>IFERROR(__xludf.DUMMYFUNCTION("""COMPUTED_VALUE"""),43432.0)</f>
        <v>43432</v>
      </c>
      <c r="AL220" s="31" t="str">
        <f>IFERROR(__xludf.DUMMYFUNCTION("""COMPUTED_VALUE"""),"Effect of the time interval between melanoma diagnosis and sentinel node biopsy on the size of metastatic tumour deposits in node-positive patients.")</f>
        <v>Effect of the time interval between melanoma diagnosis and sentinel node biopsy on the size of metastatic tumour deposits in node-positive patients.</v>
      </c>
      <c r="AM220" s="31" t="str">
        <f>IFERROR(__xludf.DUMMYFUNCTION("""COMPUTED_VALUE"""),"El Sharouni, Mary-Ann; Scolyer, Richard A; van Gils, Carla H; Ch'ng, Sydney; Nieweg, Omgo E; Pennington, Thomas E; Saw, Robyn Pm; Shannon, Kerwin; Spillane, Andrew; Stretch, Jonathan; Witkamp, Arjen J; Sigurdsson, Vigfús; Thompson, John F; van Diest, Paul"&amp;" J; Lo, Serigne N")</f>
        <v>El Sharouni, Mary-Ann; Scolyer, Richard A; van Gils, Carla H; Ch'ng, Sydney; Nieweg, Omgo E; Pennington, Thomas E; Saw, Robyn Pm; Shannon, Kerwin; Spillane, Andrew; Stretch, Jonathan; Witkamp, Arjen J; Sigurdsson, Vigfús; Thompson, John F; van Diest, Paul J; Lo, Serigne N</v>
      </c>
      <c r="AN220" s="32">
        <f>IFERROR(__xludf.DUMMYFUNCTION("""COMPUTED_VALUE"""),44614.0)</f>
        <v>44614</v>
      </c>
    </row>
    <row r="221">
      <c r="A221" s="32"/>
      <c r="I221" s="31" t="str">
        <f>IFERROR(__xludf.DUMMYFUNCTION("""COMPUTED_VALUE"""),"bmc palliative care")</f>
        <v>bmc palliative care</v>
      </c>
      <c r="J221" s="38">
        <f>COUNTIF(Data!$F$2:$F9917, $I221)</f>
        <v>11</v>
      </c>
      <c r="T221" s="31" t="s">
        <v>25092</v>
      </c>
      <c r="U221" s="31" t="s">
        <v>25093</v>
      </c>
      <c r="V221" s="32">
        <v>45498.0</v>
      </c>
      <c r="X221" s="31" t="str">
        <f>IFERROR(__xludf.DUMMYFUNCTION("""COMPUTED_VALUE"""),"Perspective; recommendations for improved patient participation in decision-making for geriatric patients in acute surgical settings.")</f>
        <v>Perspective; recommendations for improved patient participation in decision-making for geriatric patients in acute surgical settings.</v>
      </c>
      <c r="Y221" s="31" t="str">
        <f>IFERROR(__xludf.DUMMYFUNCTION("""COMPUTED_VALUE"""),"Schuijt, H J; Smeeing, D P J; Verberne, W R; Groenwold, R H H; van Delden, J J M; Leenen, L P H; van der Velde, D")</f>
        <v>Schuijt, H J; Smeeing, D P J; Verberne, W R; Groenwold, R H H; van Delden, J J M; Leenen, L P H; van der Velde, D</v>
      </c>
      <c r="Z221" s="31">
        <f>IFERROR(__xludf.DUMMYFUNCTION("""COMPUTED_VALUE"""),2023.0)</f>
        <v>2023</v>
      </c>
      <c r="AA221" s="31">
        <f>IFERROR(__xludf.DUMMYFUNCTION("""COMPUTED_VALUE"""),2.0)</f>
        <v>2</v>
      </c>
      <c r="AF221" s="31" t="str">
        <f>IFERROR(__xludf.DUMMYFUNCTION("""COMPUTED_VALUE"""),"Health professionals' perspectives on clinical challenges in managing hypertensive disorders of pregnancy and recommendations for improving care: A multi-center qualitative study.")</f>
        <v>Health professionals' perspectives on clinical challenges in managing hypertensive disorders of pregnancy and recommendations for improving care: A multi-center qualitative study.</v>
      </c>
      <c r="AG221" s="31" t="str">
        <f>IFERROR(__xludf.DUMMYFUNCTION("""COMPUTED_VALUE"""),"Adu-Bonsaffoh, Kwame; Tamma, Evelyn; Nwameme, Adanna Uloaku; Browne, Joyce L")</f>
        <v>Adu-Bonsaffoh, Kwame; Tamma, Evelyn; Nwameme, Adanna Uloaku; Browne, Joyce L</v>
      </c>
      <c r="AH221" s="32">
        <f>IFERROR(__xludf.DUMMYFUNCTION("""COMPUTED_VALUE"""),44875.0)</f>
        <v>44875</v>
      </c>
      <c r="AI221" s="31" t="str">
        <f>IFERROR(__xludf.DUMMYFUNCTION("""COMPUTED_VALUE"""),"Perceptions of patients with chronic obstructive pulmonary disease and their health care providers towards using mHealth for self-management of exacerbations: a qualitative study.")</f>
        <v>Perceptions of patients with chronic obstructive pulmonary disease and their health care providers towards using mHealth for self-management of exacerbations: a qualitative study.</v>
      </c>
      <c r="AJ221" s="31" t="str">
        <f>IFERROR(__xludf.DUMMYFUNCTION("""COMPUTED_VALUE"""),"Korpershoek, Y J G; Vervoort, S C J M; Trappenburg, J C A; Schuurmans, M J")</f>
        <v>Korpershoek, Y J G; Vervoort, S C J M; Trappenburg, J C A; Schuurmans, M J</v>
      </c>
      <c r="AK221" s="32">
        <f>IFERROR(__xludf.DUMMYFUNCTION("""COMPUTED_VALUE"""),43377.0)</f>
        <v>43377</v>
      </c>
      <c r="AL221" s="31" t="str">
        <f>IFERROR(__xludf.DUMMYFUNCTION("""COMPUTED_VALUE"""),"Peritoneal metastases from colorectal cancer belong to Consensus Molecular Subtype 4 and are sensitised to oxaliplatin by inhibiting reducing capacity.")</f>
        <v>Peritoneal metastases from colorectal cancer belong to Consensus Molecular Subtype 4 and are sensitised to oxaliplatin by inhibiting reducing capacity.</v>
      </c>
      <c r="AM221" s="31" t="str">
        <f>IFERROR(__xludf.DUMMYFUNCTION("""COMPUTED_VALUE"""),"Laoukili, Jamila; Constantinides, Alexander; Wassenaar, Emma C E; Elias, Sjoerd G; Raats, Danielle A E; van Schelven, Susanne J; van Wettum, Jonathan; Volckmann, Richard; Koster, Jan; Huitema, Alwin D R; Nienhuijs, Simon W; de Hingh, Ignace H J T; Wiezer,"&amp;" René J; van Grevenstein, Helma M U; Rinkes, Inne H M Borel; Boerma, Djamila; Kranenburg, Onno")</f>
        <v>Laoukili, Jamila; Constantinides, Alexander; Wassenaar, Emma C E; Elias, Sjoerd G; Raats, Danielle A E; van Schelven, Susanne J; van Wettum, Jonathan; Volckmann, Richard; Koster, Jan; Huitema, Alwin D R; Nienhuijs, Simon W; de Hingh, Ignace H J T; Wiezer, René J; van Grevenstein, Helma M U; Rinkes, Inne H M Borel; Boerma, Djamila; Kranenburg, Onno</v>
      </c>
      <c r="AN221" s="32">
        <f>IFERROR(__xludf.DUMMYFUNCTION("""COMPUTED_VALUE"""),44614.0)</f>
        <v>44614</v>
      </c>
    </row>
    <row r="222">
      <c r="A222" s="32"/>
      <c r="I222" s="31" t="str">
        <f>IFERROR(__xludf.DUMMYFUNCTION("""COMPUTED_VALUE"""),"immunity ageing i a")</f>
        <v>immunity ageing i a</v>
      </c>
      <c r="J222" s="38">
        <f>COUNTIF(Data!$F$2:$F9917, $I222)</f>
        <v>3</v>
      </c>
      <c r="T222" s="31" t="s">
        <v>25220</v>
      </c>
      <c r="U222" s="31" t="s">
        <v>25221</v>
      </c>
      <c r="V222" s="32">
        <v>45498.0</v>
      </c>
      <c r="X222" s="31" t="str">
        <f>IFERROR(__xludf.DUMMYFUNCTION("""COMPUTED_VALUE"""),"Different Levels of Ultraprocessed Food and Beverage Consumption and Associations with Environmental Sustainability and All-cause Mortality in EPIC-NL.")</f>
        <v>Different Levels of Ultraprocessed Food and Beverage Consumption and Associations with Environmental Sustainability and All-cause Mortality in EPIC-NL.</v>
      </c>
      <c r="Y222" s="31" t="str">
        <f>IFERROR(__xludf.DUMMYFUNCTION("""COMPUTED_VALUE"""),"Vellinga, Reina E; van den Boomgaard, Iris; M A Boer, Jolanda; van der Schouw, Yvonne T; Harbers, Marjolein C; Verschuren, W M Monique; van 't Veer, Pieter; H M Temme, Elisabeth; Biesbroek, Sander")</f>
        <v>Vellinga, Reina E; van den Boomgaard, Iris; M A Boer, Jolanda; van der Schouw, Yvonne T; Harbers, Marjolein C; Verschuren, W M Monique; van 't Veer, Pieter; H M Temme, Elisabeth; Biesbroek, Sander</v>
      </c>
      <c r="Z222" s="31">
        <f>IFERROR(__xludf.DUMMYFUNCTION("""COMPUTED_VALUE"""),2023.0)</f>
        <v>2023</v>
      </c>
      <c r="AA222" s="31">
        <f>IFERROR(__xludf.DUMMYFUNCTION("""COMPUTED_VALUE"""),2.0)</f>
        <v>2</v>
      </c>
      <c r="AF222" s="31" t="str">
        <f>IFERROR(__xludf.DUMMYFUNCTION("""COMPUTED_VALUE"""),"The association between social jetlag and parameters of metabolic syndrome and type 2 diabetes: a systematic review and meta-analysis.")</f>
        <v>The association between social jetlag and parameters of metabolic syndrome and type 2 diabetes: a systematic review and meta-analysis.</v>
      </c>
      <c r="AG222" s="31" t="str">
        <f>IFERROR(__xludf.DUMMYFUNCTION("""COMPUTED_VALUE"""),"Bouman, Emma J; Beulens, Joline W J; Groeneveld, Lenka; de Kruijk, Rozemarijn S; Schoonmade, Linda J; Remmelzwaal, Sharon; Elders, Petra J M; Rutters, Femke")</f>
        <v>Bouman, Emma J; Beulens, Joline W J; Groeneveld, Lenka; de Kruijk, Rozemarijn S; Schoonmade, Linda J; Remmelzwaal, Sharon; Elders, Petra J M; Rutters, Femke</v>
      </c>
      <c r="AH222" s="32">
        <f>IFERROR(__xludf.DUMMYFUNCTION("""COMPUTED_VALUE"""),44874.0)</f>
        <v>44874</v>
      </c>
      <c r="AI222" s="31" t="str">
        <f>IFERROR(__xludf.DUMMYFUNCTION("""COMPUTED_VALUE"""),"Assessing Emotional Functioning with Increased Power: Relative Validity of a Customized EORTC Short Form in the International ACTION Trial.")</f>
        <v>Assessing Emotional Functioning with Increased Power: Relative Validity of a Customized EORTC Short Form in the International ACTION Trial.</v>
      </c>
      <c r="AJ222" s="31" t="str">
        <f>IFERROR(__xludf.DUMMYFUNCTION("""COMPUTED_VALUE"""),"Jabbarian, Lea J; Groenvold, Mogens; Petersen, Morten Aa; Christensen, Caroline Arnfeldt; Deliens, Luc; van der Heide, Agnes; Kars, Marijke C; Miccinesi, Guido; Payne, Sheila; Wilcock, Andrew; Korfage, Ida J; ,")</f>
        <v>Jabbarian, Lea J; Groenvold, Mogens; Petersen, Morten Aa; Christensen, Caroline Arnfeldt; Deliens, Luc; van der Heide, Agnes; Kars, Marijke C; Miccinesi, Guido; Payne, Sheila; Wilcock, Andrew; Korfage, Ida J; ,</v>
      </c>
      <c r="AK222" s="32">
        <f>IFERROR(__xludf.DUMMYFUNCTION("""COMPUTED_VALUE"""),43332.0)</f>
        <v>43332</v>
      </c>
      <c r="AL222" s="31" t="str">
        <f>IFERROR(__xludf.DUMMYFUNCTION("""COMPUTED_VALUE"""),"Urine and vaginal microbiota compositions of postmenopausal and premenopausal women differ regardless of recurrent urinary tract infection and renal transplant status.")</f>
        <v>Urine and vaginal microbiota compositions of postmenopausal and premenopausal women differ regardless of recurrent urinary tract infection and renal transplant status.</v>
      </c>
      <c r="AM222" s="31" t="str">
        <f>IFERROR(__xludf.DUMMYFUNCTION("""COMPUTED_VALUE"""),"Hugenholtz, Floor; van der Veer, Charlotte; Terpstra, Matty L; Borgdorff, Hanneke; van Houdt, Robin; Bruisten, Sylvia; Geerlings, Suzanne E; van de Wijgert, Janneke H H M")</f>
        <v>Hugenholtz, Floor; van der Veer, Charlotte; Terpstra, Matty L; Borgdorff, Hanneke; van Houdt, Robin; Bruisten, Sylvia; Geerlings, Suzanne E; van de Wijgert, Janneke H H M</v>
      </c>
      <c r="AN222" s="32">
        <f>IFERROR(__xludf.DUMMYFUNCTION("""COMPUTED_VALUE"""),44609.0)</f>
        <v>44609</v>
      </c>
    </row>
    <row r="223">
      <c r="A223" s="32"/>
      <c r="I223" s="31" t="str">
        <f>IFERROR(__xludf.DUMMYFUNCTION("""COMPUTED_VALUE"""),"ebiomedicine")</f>
        <v>ebiomedicine</v>
      </c>
      <c r="J223" s="38">
        <f>COUNTIF(Data!$F$2:$F9917, $I223)</f>
        <v>5</v>
      </c>
      <c r="T223" s="31" t="s">
        <v>24915</v>
      </c>
      <c r="U223" s="31" t="s">
        <v>24916</v>
      </c>
      <c r="V223" s="32">
        <v>45497.0</v>
      </c>
      <c r="X223" s="31" t="str">
        <f>IFERROR(__xludf.DUMMYFUNCTION("""COMPUTED_VALUE"""),"The Trial within Cohorts (TwiCs) study design in oncology: experience and methodological reflections.")</f>
        <v>The Trial within Cohorts (TwiCs) study design in oncology: experience and methodological reflections.</v>
      </c>
      <c r="Y223" s="31" t="str">
        <f>IFERROR(__xludf.DUMMYFUNCTION("""COMPUTED_VALUE"""),"Kessels, Rob; May, Anne M; Koopman, Miriam; Roes, Kit C B")</f>
        <v>Kessels, Rob; May, Anne M; Koopman, Miriam; Roes, Kit C B</v>
      </c>
      <c r="Z223" s="31">
        <f>IFERROR(__xludf.DUMMYFUNCTION("""COMPUTED_VALUE"""),2023.0)</f>
        <v>2023</v>
      </c>
      <c r="AA223" s="31">
        <f>IFERROR(__xludf.DUMMYFUNCTION("""COMPUTED_VALUE"""),2.0)</f>
        <v>2</v>
      </c>
      <c r="AF223" s="31" t="str">
        <f>IFERROR(__xludf.DUMMYFUNCTION("""COMPUTED_VALUE"""),"Kidney function measures and cardiovascular outcomes in people with diabetes: the Hoorn Diabetes Care System cohort.")</f>
        <v>Kidney function measures and cardiovascular outcomes in people with diabetes: the Hoorn Diabetes Care System cohort.</v>
      </c>
      <c r="AG223" s="31" t="str">
        <f>IFERROR(__xludf.DUMMYFUNCTION("""COMPUTED_VALUE"""),"Dal Canto, Elisa; Elders, Petra J M; van der Heijden, Amber A; van Ballegooijen, Adriana J; Lissenberg-Witte, Birgit I; Rutters, Femke; Beulens, Joline W J")</f>
        <v>Dal Canto, Elisa; Elders, Petra J M; van der Heijden, Amber A; van Ballegooijen, Adriana J; Lissenberg-Witte, Birgit I; Rutters, Femke; Beulens, Joline W J</v>
      </c>
      <c r="AH223" s="32">
        <f>IFERROR(__xludf.DUMMYFUNCTION("""COMPUTED_VALUE"""),44873.0)</f>
        <v>44873</v>
      </c>
      <c r="AI223" s="31" t="str">
        <f>IFERROR(__xludf.DUMMYFUNCTION("""COMPUTED_VALUE"""),"Patient delay in TIA: a systematic review.")</f>
        <v>Patient delay in TIA: a systematic review.</v>
      </c>
      <c r="AJ223" s="31" t="str">
        <f>IFERROR(__xludf.DUMMYFUNCTION("""COMPUTED_VALUE"""),"Dolmans, L Servaas; Hoes, Arno W; Bartelink, Marie-Louise E L; Koenen, Niels C T; Kappelle, L Jaap; Rutten, Frans H")</f>
        <v>Dolmans, L Servaas; Hoes, Arno W; Bartelink, Marie-Louise E L; Koenen, Niels C T; Kappelle, L Jaap; Rutten, Frans H</v>
      </c>
      <c r="AK223" s="32">
        <f>IFERROR(__xludf.DUMMYFUNCTION("""COMPUTED_VALUE"""),43300.0)</f>
        <v>43300</v>
      </c>
      <c r="AL223" s="31" t="str">
        <f>IFERROR(__xludf.DUMMYFUNCTION("""COMPUTED_VALUE"""),"Challenges for modelling interventions for future pandemics.")</f>
        <v>Challenges for modelling interventions for future pandemics.</v>
      </c>
      <c r="AM223" s="31" t="str">
        <f>IFERROR(__xludf.DUMMYFUNCTION("""COMPUTED_VALUE"""),"Kretzschmar, Mirjam E; Ashby, Ben; Fearon, Elizabeth; Overton, Christopher E; Panovska-Griffiths, Jasmina; Pellis, Lorenzo; Quaife, Matthew; Rozhnova, Ganna; Scarabel, Francesca; Stage, Helena B; Swallow, Ben; Thompson, Robin N; Tildesley, Michael J; Vill"&amp;"ela, Daniel")</f>
        <v>Kretzschmar, Mirjam E; Ashby, Ben; Fearon, Elizabeth; Overton, Christopher E; Panovska-Griffiths, Jasmina; Pellis, Lorenzo; Quaife, Matthew; Rozhnova, Ganna; Scarabel, Francesca; Stage, Helena B; Swallow, Ben; Thompson, Robin N; Tildesley, Michael J; Villela, Daniel</v>
      </c>
      <c r="AN223" s="32">
        <f>IFERROR(__xludf.DUMMYFUNCTION("""COMPUTED_VALUE"""),44603.0)</f>
        <v>44603</v>
      </c>
    </row>
    <row r="224">
      <c r="A224" s="32"/>
      <c r="I224" s="31" t="str">
        <f>IFERROR(__xludf.DUMMYFUNCTION("""COMPUTED_VALUE"""),"journal of personalized medicine")</f>
        <v>journal of personalized medicine</v>
      </c>
      <c r="J224" s="38">
        <f>COUNTIF(Data!$F$2:$F9917, $I224)</f>
        <v>4</v>
      </c>
      <c r="T224" s="31" t="s">
        <v>24826</v>
      </c>
      <c r="U224" s="31" t="s">
        <v>24827</v>
      </c>
      <c r="V224" s="32">
        <v>45496.0</v>
      </c>
      <c r="X224" s="31" t="str">
        <f>IFERROR(__xludf.DUMMYFUNCTION("""COMPUTED_VALUE"""),"The cross-sectional association between amyloid burden and white matter hyperintensities in older adults without cognitive impairment: A systematic review and meta-analysis.")</f>
        <v>The cross-sectional association between amyloid burden and white matter hyperintensities in older adults without cognitive impairment: A systematic review and meta-analysis.</v>
      </c>
      <c r="Y224" s="31" t="str">
        <f>IFERROR(__xludf.DUMMYFUNCTION("""COMPUTED_VALUE"""),"Twait, Emma L; Min, Britt; Beran, Magdalena; Vonk, Jet M J; Geerlings, Mirjam I")</f>
        <v>Twait, Emma L; Min, Britt; Beran, Magdalena; Vonk, Jet M J; Geerlings, Mirjam I</v>
      </c>
      <c r="Z224" s="31">
        <f>IFERROR(__xludf.DUMMYFUNCTION("""COMPUTED_VALUE"""),2023.0)</f>
        <v>2023</v>
      </c>
      <c r="AA224" s="31">
        <f>IFERROR(__xludf.DUMMYFUNCTION("""COMPUTED_VALUE"""),2.0)</f>
        <v>2</v>
      </c>
      <c r="AF224" s="31" t="str">
        <f>IFERROR(__xludf.DUMMYFUNCTION("""COMPUTED_VALUE"""),"Performance of point-of care molecular and antigen-based tests for SARS-CoV-2: a living systematic review and meta-analysis.")</f>
        <v>Performance of point-of care molecular and antigen-based tests for SARS-CoV-2: a living systematic review and meta-analysis.</v>
      </c>
      <c r="AG224" s="31" t="str">
        <f>IFERROR(__xludf.DUMMYFUNCTION("""COMPUTED_VALUE"""),"Fragkou, Paraskevi C; Moschopoulos, Charalampos D; Dimopoulou, Dimitra; Ong, David S Y; Dimopoulou, Konstantina; Nelson, Philipp P; Schweitzer, Valentijn A; Janocha, Hannah; Karofylakis, Emmanouil; Papathanasiou, Konstantinos A; Tsiordras, Sotirios; De An"&amp;"gelis, Giulia; Thölken, Clemens; Sanguinetti, Maurizio; Chung, Ho-Ryun; Skevaki, Chrysanthi; ,")</f>
        <v>Fragkou, Paraskevi C; Moschopoulos, Charalampos D; Dimopoulou, Dimitra; Ong, David S Y; Dimopoulou, Konstantina; Nelson, Philipp P; Schweitzer, Valentijn A; Janocha, Hannah; Karofylakis, Emmanouil; Papathanasiou, Konstantinos A; Tsiordras, Sotirios; De Angelis, Giulia; Thölken, Clemens; Sanguinetti, Maurizio; Chung, Ho-Ryun; Skevaki, Chrysanthi; ,</v>
      </c>
      <c r="AH224" s="32">
        <f>IFERROR(__xludf.DUMMYFUNCTION("""COMPUTED_VALUE"""),44868.0)</f>
        <v>44868</v>
      </c>
      <c r="AI224" s="31" t="str">
        <f>IFERROR(__xludf.DUMMYFUNCTION("""COMPUTED_VALUE"""),"Self-triage for acute primary care via a smartphone application: Practical, safe and efficient?")</f>
        <v>Self-triage for acute primary care via a smartphone application: Practical, safe and efficient?</v>
      </c>
      <c r="AJ224" s="31" t="str">
        <f>IFERROR(__xludf.DUMMYFUNCTION("""COMPUTED_VALUE"""),"Verzantvoort, Natascha C M; Teunis, Teun; Verheij, Theo J M; van der Velden, Alike W")</f>
        <v>Verzantvoort, Natascha C M; Teunis, Teun; Verheij, Theo J M; van der Velden, Alike W</v>
      </c>
      <c r="AK224" s="32">
        <f>IFERROR(__xludf.DUMMYFUNCTION("""COMPUTED_VALUE"""),43277.0)</f>
        <v>43277</v>
      </c>
      <c r="AL224" s="31" t="str">
        <f>IFERROR(__xludf.DUMMYFUNCTION("""COMPUTED_VALUE"""),"Identifying Sexually Transmitted Infection Risk Groups Based on Behavioral and Psychological Characteristics Among Heterosexuals During the COVID-19 Pandemic.")</f>
        <v>Identifying Sexually Transmitted Infection Risk Groups Based on Behavioral and Psychological Characteristics Among Heterosexuals During the COVID-19 Pandemic.</v>
      </c>
      <c r="AM224" s="31" t="str">
        <f>IFERROR(__xludf.DUMMYFUNCTION("""COMPUTED_VALUE"""),"van Wees, Daphne A; Godijk, Noortje G; den Daas, Chantal; Kretzschmar, Mirjam E E; Heijne, Janneke C M")</f>
        <v>van Wees, Daphne A; Godijk, Noortje G; den Daas, Chantal; Kretzschmar, Mirjam E E; Heijne, Janneke C M</v>
      </c>
      <c r="AN224" s="32">
        <f>IFERROR(__xludf.DUMMYFUNCTION("""COMPUTED_VALUE"""),44593.0)</f>
        <v>44593</v>
      </c>
    </row>
    <row r="225">
      <c r="A225" s="32"/>
      <c r="I225" s="31" t="str">
        <f>IFERROR(__xludf.DUMMYFUNCTION("""COMPUTED_VALUE"""),"european journal of internal medicine")</f>
        <v>european journal of internal medicine</v>
      </c>
      <c r="J225" s="38">
        <f>COUNTIF(Data!$F$2:$F9917, $I225)</f>
        <v>3</v>
      </c>
      <c r="T225" s="31" t="s">
        <v>25567</v>
      </c>
      <c r="U225" s="31" t="s">
        <v>25568</v>
      </c>
      <c r="V225" s="32">
        <v>45496.0</v>
      </c>
      <c r="X225" s="31" t="str">
        <f>IFERROR(__xludf.DUMMYFUNCTION("""COMPUTED_VALUE"""),"Perceived facilitators and barriers by esophageal cancer survivors participating in a post-treatment exercise program.")</f>
        <v>Perceived facilitators and barriers by esophageal cancer survivors participating in a post-treatment exercise program.</v>
      </c>
      <c r="Y225" s="31" t="str">
        <f>IFERROR(__xludf.DUMMYFUNCTION("""COMPUTED_VALUE"""),"van Vulpen, Jonna K; Witlox, Lenja; Methorst-de Haan, Alida C; Hiensch, Anouk E; van Hillegersberg, Richard; Ruurda, Jelle P; Nieuwenhuijzen, Grard A P; Kouwenhoven, Ewout A; Siersema, Peter D; May, Anne M")</f>
        <v>van Vulpen, Jonna K; Witlox, Lenja; Methorst-de Haan, Alida C; Hiensch, Anouk E; van Hillegersberg, Richard; Ruurda, Jelle P; Nieuwenhuijzen, Grard A P; Kouwenhoven, Ewout A; Siersema, Peter D; May, Anne M</v>
      </c>
      <c r="Z225" s="31">
        <f>IFERROR(__xludf.DUMMYFUNCTION("""COMPUTED_VALUE"""),2023.0)</f>
        <v>2023</v>
      </c>
      <c r="AA225" s="31">
        <f>IFERROR(__xludf.DUMMYFUNCTION("""COMPUTED_VALUE"""),2.0)</f>
        <v>2</v>
      </c>
      <c r="AF225" s="31" t="str">
        <f>IFERROR(__xludf.DUMMYFUNCTION("""COMPUTED_VALUE"""),"Generalizability of randomized controlled trials in heart failure with reduced ejection fraction.")</f>
        <v>Generalizability of randomized controlled trials in heart failure with reduced ejection fraction.</v>
      </c>
      <c r="AG225" s="31" t="str">
        <f>IFERROR(__xludf.DUMMYFUNCTION("""COMPUTED_VALUE"""),"Lim, Yvonne Mei Fong; Molnar, Megan; Vaartjes, Ilonca; Savarese, Gianluigi; Eijkemans, Marinus J C; Uijl, Alicia; Vradi, Eleni; Suzart-Woischnik, Kiliana; Brugts, Jasper J; Brunner-La Rocca, Hans-Peter; Blanc-Guillemaud, Vanessa; Couvelard, Fabrice; Baudi"&amp;"er, Claire; Dyszynski, Tomasz; Waechter, Sandra; Lund, Lars H; Hoes, Arno W; Tyl, Benoit; Asselbergs, Folkert W; Gerlinger, Christoph; Grobbee, Diederick E; Cronin, Maureen; Koudstaal, Stefan")</f>
        <v>Lim, Yvonne Mei Fong; Molnar, Megan; Vaartjes, Ilonca; Savarese, Gianluigi; Eijkemans, Marinus J C; Uijl, Alicia; Vradi, Eleni; Suzart-Woischnik, Kiliana; Brugts, Jasper J; Brunner-La Rocca, Hans-Peter; Blanc-Guillemaud, Vanessa; Couvelard, Fabrice; Baudier, Claire; Dyszynski, Tomasz; Waechter, Sandra; Lund, Lars H; Hoes, Arno W; Tyl, Benoit; Asselbergs, Folkert W; Gerlinger, Christoph; Grobbee, Diederick E; Cronin, Maureen; Koudstaal, Stefan</v>
      </c>
      <c r="AH225" s="32">
        <f>IFERROR(__xludf.DUMMYFUNCTION("""COMPUTED_VALUE"""),44860.0)</f>
        <v>44860</v>
      </c>
      <c r="AI225" s="31" t="str">
        <f>IFERROR(__xludf.DUMMYFUNCTION("""COMPUTED_VALUE"""),"Vascular extracellular vesicles in comorbidities of heart failure with preserved ejection fraction in men and women: The hidden players. A mini review.")</f>
        <v>Vascular extracellular vesicles in comorbidities of heart failure with preserved ejection fraction in men and women: The hidden players. A mini review.</v>
      </c>
      <c r="AJ225" s="31" t="str">
        <f>IFERROR(__xludf.DUMMYFUNCTION("""COMPUTED_VALUE"""),"Gohar, Aisha; de Kleijn, Dominique P V; Hoes, Arno W; Rutten, Frans H; Hilfiker-Kleiner, Denise; Ferdinandy, Péter; Sluijter, Joost P G; den Ruijter, Hester M")</f>
        <v>Gohar, Aisha; de Kleijn, Dominique P V; Hoes, Arno W; Rutten, Frans H; Hilfiker-Kleiner, Denise; Ferdinandy, Péter; Sluijter, Joost P G; den Ruijter, Hester M</v>
      </c>
      <c r="AK225" s="32">
        <f>IFERROR(__xludf.DUMMYFUNCTION("""COMPUTED_VALUE"""),43246.0)</f>
        <v>43246</v>
      </c>
      <c r="AL225" s="31" t="str">
        <f>IFERROR(__xludf.DUMMYFUNCTION("""COMPUTED_VALUE"""),"The progressive relationship between increasing Breslow thickness and decreasing survival is lost in patients with ultrathick melanomas (≥15 mm in thickness).")</f>
        <v>The progressive relationship between increasing Breslow thickness and decreasing survival is lost in patients with ultrathick melanomas (≥15 mm in thickness).</v>
      </c>
      <c r="AM225" s="31" t="str">
        <f>IFERROR(__xludf.DUMMYFUNCTION("""COMPUTED_VALUE"""),"El Sharouni, Mary-Ann; Rawson, Robert V; Sigurdsson, Vigfús; Witkamp, Arjen J; van Gils, Carla H; Scolyer, Richard A; Thompson, John F; van Diest, Paul J; Lo, Serigne N")</f>
        <v>El Sharouni, Mary-Ann; Rawson, Robert V; Sigurdsson, Vigfús; Witkamp, Arjen J; van Gils, Carla H; Scolyer, Richard A; Thompson, John F; van Diest, Paul J; Lo, Serigne N</v>
      </c>
      <c r="AN225" s="32">
        <f>IFERROR(__xludf.DUMMYFUNCTION("""COMPUTED_VALUE"""),44593.0)</f>
        <v>44593</v>
      </c>
    </row>
    <row r="226">
      <c r="A226" s="32"/>
      <c r="I226" s="31" t="str">
        <f>IFERROR(__xludf.DUMMYFUNCTION("""COMPUTED_VALUE"""),"journal of optometry")</f>
        <v>journal of optometry</v>
      </c>
      <c r="J226" s="38">
        <f>COUNTIF(Data!$F$2:$F9917, $I226)</f>
        <v>1</v>
      </c>
      <c r="T226" s="31" t="s">
        <v>25303</v>
      </c>
      <c r="U226" s="31" t="s">
        <v>25304</v>
      </c>
      <c r="V226" s="32">
        <v>45495.0</v>
      </c>
      <c r="X226" s="31" t="str">
        <f>IFERROR(__xludf.DUMMYFUNCTION("""COMPUTED_VALUE"""),"Prediction of Radiation-Induced Parotid Gland-Related Xerostomia in Patients With Head and Neck Cancer: Regeneration-Weighted Dose.")</f>
        <v>Prediction of Radiation-Induced Parotid Gland-Related Xerostomia in Patients With Head and Neck Cancer: Regeneration-Weighted Dose.</v>
      </c>
      <c r="Y226" s="31" t="str">
        <f>IFERROR(__xludf.DUMMYFUNCTION("""COMPUTED_VALUE"""),"van Rijn-Dekker, Maria I; van Luijk, Peter; Schuit, Ewoud; van der Schaaf, Arjen; Langendijk, Johannes A; Steenbakkers, Roel J H M")</f>
        <v>van Rijn-Dekker, Maria I; van Luijk, Peter; Schuit, Ewoud; van der Schaaf, Arjen; Langendijk, Johannes A; Steenbakkers, Roel J H M</v>
      </c>
      <c r="Z226" s="31">
        <f>IFERROR(__xludf.DUMMYFUNCTION("""COMPUTED_VALUE"""),2023.0)</f>
        <v>2023</v>
      </c>
      <c r="AA226" s="31">
        <f>IFERROR(__xludf.DUMMYFUNCTION("""COMPUTED_VALUE"""),2.0)</f>
        <v>2</v>
      </c>
      <c r="AF226" s="31" t="str">
        <f>IFERROR(__xludf.DUMMYFUNCTION("""COMPUTED_VALUE"""),"The Ethical Implications of Tissue Engineering for Regenerative Purposes: A Systematic Review.")</f>
        <v>The Ethical Implications of Tissue Engineering for Regenerative Purposes: A Systematic Review.</v>
      </c>
      <c r="AG226" s="31" t="str">
        <f>IFERROR(__xludf.DUMMYFUNCTION("""COMPUTED_VALUE"""),"de Kanter, Anne-Floor J; Jongsma, Karin R; Verhaar, Marianne C; Bredenoord, Annelien L")</f>
        <v>de Kanter, Anne-Floor J; Jongsma, Karin R; Verhaar, Marianne C; Bredenoord, Annelien L</v>
      </c>
      <c r="AH226" s="32">
        <f>IFERROR(__xludf.DUMMYFUNCTION("""COMPUTED_VALUE"""),44854.0)</f>
        <v>44854</v>
      </c>
      <c r="AI226" s="31" t="str">
        <f>IFERROR(__xludf.DUMMYFUNCTION("""COMPUTED_VALUE"""),"Grommets (ventilation tubes) for recurrent acute otitis media in children.")</f>
        <v>Grommets (ventilation tubes) for recurrent acute otitis media in children.</v>
      </c>
      <c r="AJ226" s="31" t="str">
        <f>IFERROR(__xludf.DUMMYFUNCTION("""COMPUTED_VALUE"""),"Venekamp, Roderick P; Mick, Paul; Schilder, Anne Gm; Nunez, Desmond A")</f>
        <v>Venekamp, Roderick P; Mick, Paul; Schilder, Anne Gm; Nunez, Desmond A</v>
      </c>
      <c r="AK226" s="32">
        <f>IFERROR(__xludf.DUMMYFUNCTION("""COMPUTED_VALUE"""),43229.0)</f>
        <v>43229</v>
      </c>
      <c r="AL226" s="31" t="str">
        <f>IFERROR(__xludf.DUMMYFUNCTION("""COMPUTED_VALUE"""),"The role of cognitive and brain reserve in memory decline and atrophy rate in mid and late-life: The SMART-MR study.")</f>
        <v>The role of cognitive and brain reserve in memory decline and atrophy rate in mid and late-life: The SMART-MR study.</v>
      </c>
      <c r="AM226" s="31" t="str">
        <f>IFERROR(__xludf.DUMMYFUNCTION("""COMPUTED_VALUE"""),"Vonk, Jet M J; Ghaznawi, Rashid; Zwartbol, Maarten H T; Stern, Yaakov; Geerlings, Mirjam I; ,")</f>
        <v>Vonk, Jet M J; Ghaznawi, Rashid; Zwartbol, Maarten H T; Stern, Yaakov; Geerlings, Mirjam I; ,</v>
      </c>
      <c r="AN226" s="32">
        <f>IFERROR(__xludf.DUMMYFUNCTION("""COMPUTED_VALUE"""),44592.0)</f>
        <v>44592</v>
      </c>
    </row>
    <row r="227">
      <c r="A227" s="32"/>
      <c r="I227" s="31" t="str">
        <f>IFERROR(__xludf.DUMMYFUNCTION("""COMPUTED_VALUE"""),"research and practice in thrombosis and haemostasis")</f>
        <v>research and practice in thrombosis and haemostasis</v>
      </c>
      <c r="J227" s="38">
        <f>COUNTIF(Data!$F$2:$F9917, $I227)</f>
        <v>6</v>
      </c>
      <c r="T227" s="31" t="s">
        <v>25234</v>
      </c>
      <c r="U227" s="31" t="s">
        <v>25235</v>
      </c>
      <c r="V227" s="32">
        <v>45494.0</v>
      </c>
      <c r="X227" s="31" t="str">
        <f>IFERROR(__xludf.DUMMYFUNCTION("""COMPUTED_VALUE"""),"Sex comparisons in the association of prediabetes and type 2 diabetes with cognitive function, depression, and quality of life: The Maastricht study.")</f>
        <v>Sex comparisons in the association of prediabetes and type 2 diabetes with cognitive function, depression, and quality of life: The Maastricht study.</v>
      </c>
      <c r="Y227" s="31" t="str">
        <f>IFERROR(__xludf.DUMMYFUNCTION("""COMPUTED_VALUE"""),"de Ritter, Rianneke; Sep, Simone J S; van der Kallen, Carla J H; van Greevenbroek, Marleen M J; Koster, Annemarie; Eussen, Simone J P M; Dagnelie, Pieter C; van Boxtel, Martin; Schram, Miranda T; Köhler, Sebastian; Martens, Jordi A J; Snobl, Lucia; Vos, R"&amp;"imke C; Stehouwer, Coen D A; Peters, Sanne A E")</f>
        <v>de Ritter, Rianneke; Sep, Simone J S; van der Kallen, Carla J H; van Greevenbroek, Marleen M J; Koster, Annemarie; Eussen, Simone J P M; Dagnelie, Pieter C; van Boxtel, Martin; Schram, Miranda T; Köhler, Sebastian; Martens, Jordi A J; Snobl, Lucia; Vos, Rimke C; Stehouwer, Coen D A; Peters, Sanne A E</v>
      </c>
      <c r="Z227" s="31">
        <f>IFERROR(__xludf.DUMMYFUNCTION("""COMPUTED_VALUE"""),2023.0)</f>
        <v>2023</v>
      </c>
      <c r="AA227" s="31">
        <f>IFERROR(__xludf.DUMMYFUNCTION("""COMPUTED_VALUE"""),2.0)</f>
        <v>2</v>
      </c>
      <c r="AF227" s="31" t="str">
        <f>IFERROR(__xludf.DUMMYFUNCTION("""COMPUTED_VALUE"""),"Associations between the urban exposome and type 2 diabetes: Results from penalised regression by least absolute shrinkage and selection operator and random forest models.")</f>
        <v>Associations between the urban exposome and type 2 diabetes: Results from penalised regression by least absolute shrinkage and selection operator and random forest models.</v>
      </c>
      <c r="AG227" s="31" t="str">
        <f>IFERROR(__xludf.DUMMYFUNCTION("""COMPUTED_VALUE"""),"Ohanyan, Haykanush; Portengen, Lützen; Kaplani, Oriana; Huss, Anke; Hoek, Gerard; Beulens, Joline W J; Lakerveld, Jeroen; Vermeulen, Roel")</f>
        <v>Ohanyan, Haykanush; Portengen, Lützen; Kaplani, Oriana; Huss, Anke; Hoek, Gerard; Beulens, Joline W J; Lakerveld, Jeroen; Vermeulen, Roel</v>
      </c>
      <c r="AH227" s="32">
        <f>IFERROR(__xludf.DUMMYFUNCTION("""COMPUTED_VALUE"""),44852.0)</f>
        <v>44852</v>
      </c>
      <c r="AI227" s="31" t="str">
        <f>IFERROR(__xludf.DUMMYFUNCTION("""COMPUTED_VALUE"""),"Incidence of superficial venous thrombosis in primary care and risk of subsequent venous thromboembolic sequelae: a retrospective cohort study performed with routine healthcare data from the Netherlands.")</f>
        <v>Incidence of superficial venous thrombosis in primary care and risk of subsequent venous thromboembolic sequelae: a retrospective cohort study performed with routine healthcare data from the Netherlands.</v>
      </c>
      <c r="AJ227" s="31" t="str">
        <f>IFERROR(__xludf.DUMMYFUNCTION("""COMPUTED_VALUE"""),"Geersing, Geert-Jan; Cazemier, Selma; Rutten, Frans; Fitzmaurice, David A; Hoes, Arno W")</f>
        <v>Geersing, Geert-Jan; Cazemier, Selma; Rutten, Frans; Fitzmaurice, David A; Hoes, Arno W</v>
      </c>
      <c r="AK227" s="32">
        <f>IFERROR(__xludf.DUMMYFUNCTION("""COMPUTED_VALUE"""),43210.0)</f>
        <v>43210</v>
      </c>
      <c r="AL227" s="31" t="str">
        <f>IFERROR(__xludf.DUMMYFUNCTION("""COMPUTED_VALUE"""),"Modeling Benefits, Costs, and Affordability of a Novel Gene Therapy in Hemophilia A.")</f>
        <v>Modeling Benefits, Costs, and Affordability of a Novel Gene Therapy in Hemophilia A.</v>
      </c>
      <c r="AM227" s="31" t="str">
        <f>IFERROR(__xludf.DUMMYFUNCTION("""COMPUTED_VALUE"""),"Ten Ham, Renske M T; Walker, Sikon M; Soares, Marta O; Frederix, Geert W J; Leebeek, Frank W G; Fischer, Kathelijn; Coppens, Michiel; Palmer, Stephen J")</f>
        <v>Ten Ham, Renske M T; Walker, Sikon M; Soares, Marta O; Frederix, Geert W J; Leebeek, Frank W G; Fischer, Kathelijn; Coppens, Michiel; Palmer, Stephen J</v>
      </c>
      <c r="AN227" s="32">
        <f>IFERROR(__xludf.DUMMYFUNCTION("""COMPUTED_VALUE"""),44589.0)</f>
        <v>44589</v>
      </c>
    </row>
    <row r="228">
      <c r="A228" s="32"/>
      <c r="I228" s="31" t="str">
        <f>IFERROR(__xludf.DUMMYFUNCTION("""COMPUTED_VALUE"""),"european journal of human genetics ejhg")</f>
        <v>european journal of human genetics ejhg</v>
      </c>
      <c r="J228" s="38">
        <f>COUNTIF(Data!$F$2:$F9917, $I228)</f>
        <v>11</v>
      </c>
      <c r="T228" s="31" t="s">
        <v>24776</v>
      </c>
      <c r="U228" s="31" t="s">
        <v>156</v>
      </c>
      <c r="V228" s="32">
        <v>45492.0</v>
      </c>
      <c r="X228" s="31" t="str">
        <f>IFERROR(__xludf.DUMMYFUNCTION("""COMPUTED_VALUE"""),"Clinical consequences of off-label reduced dosing of non-vitamin K antagonist oral anticoagulants in patients with atrial fibrillation: a systematic review and meta-analysis.")</f>
        <v>Clinical consequences of off-label reduced dosing of non-vitamin K antagonist oral anticoagulants in patients with atrial fibrillation: a systematic review and meta-analysis.</v>
      </c>
      <c r="Y228" s="31" t="str">
        <f>IFERROR(__xludf.DUMMYFUNCTION("""COMPUTED_VALUE"""),"Joosten, Linda P T; van Maanen, Rosanne; van den Dries, Carline J; Rutten, Frans H; Hoes, Arno W; Granger, Christopher B; Hemels, Martin E W; Geersing, Geert-Jan; van Doorn, Sander")</f>
        <v>Joosten, Linda P T; van Maanen, Rosanne; van den Dries, Carline J; Rutten, Frans H; Hoes, Arno W; Granger, Christopher B; Hemels, Martin E W; Geersing, Geert-Jan; van Doorn, Sander</v>
      </c>
      <c r="Z228" s="31">
        <f>IFERROR(__xludf.DUMMYFUNCTION("""COMPUTED_VALUE"""),2023.0)</f>
        <v>2023</v>
      </c>
      <c r="AA228" s="31">
        <f>IFERROR(__xludf.DUMMYFUNCTION("""COMPUTED_VALUE"""),2.0)</f>
        <v>2</v>
      </c>
      <c r="AF228" s="31" t="str">
        <f>IFERROR(__xludf.DUMMYFUNCTION("""COMPUTED_VALUE"""),"A cross-sectional survey on the early impact of COVID-19 on the uptake of decentralised trial methods in the conduct of clinical trials.")</f>
        <v>A cross-sectional survey on the early impact of COVID-19 on the uptake of decentralised trial methods in the conduct of clinical trials.</v>
      </c>
      <c r="AG228" s="31" t="str">
        <f>IFERROR(__xludf.DUMMYFUNCTION("""COMPUTED_VALUE"""),"Suman, Arnela; van Es, Jasmijn; Gardarsdottir, Helga; Grobbee, Diederick E; Hawkins, Kimberly; Heath, Megan A; Mackenzie, Isla S; van Thiel, Ghislaine; Zuidgeest, Mira G P; ,")</f>
        <v>Suman, Arnela; van Es, Jasmijn; Gardarsdottir, Helga; Grobbee, Diederick E; Hawkins, Kimberly; Heath, Megan A; Mackenzie, Isla S; van Thiel, Ghislaine; Zuidgeest, Mira G P; ,</v>
      </c>
      <c r="AH228" s="32">
        <f>IFERROR(__xludf.DUMMYFUNCTION("""COMPUTED_VALUE"""),44840.0)</f>
        <v>44840</v>
      </c>
      <c r="AI228" s="31" t="str">
        <f>IFERROR(__xludf.DUMMYFUNCTION("""COMPUTED_VALUE"""),"&lt;i&gt;Barley yellow dwarf virus&lt;/i&gt; Infection Leads to Higher Chemical Defense Signals and Lower Electrophysiological Reactions in Susceptible Compared to Tolerant Barley Genotypes.")</f>
        <v>&lt;i&gt;Barley yellow dwarf virus&lt;/i&gt; Infection Leads to Higher Chemical Defense Signals and Lower Electrophysiological Reactions in Susceptible Compared to Tolerant Barley Genotypes.</v>
      </c>
      <c r="AJ228" s="31" t="str">
        <f>IFERROR(__xludf.DUMMYFUNCTION("""COMPUTED_VALUE"""),"Paulmann, Maria K; Kunert, Grit; Zimmermann, Matthias R; Theis, Nina; Ludwig, Anatoli; Meichsner, Doreen; Oelmüller, Ralf; Gershenzon, Jonathan; Habekuss, Antje; Ordon, Frank; Furch, Alexandra C U; Will, Torsten")</f>
        <v>Paulmann, Maria K; Kunert, Grit; Zimmermann, Matthias R; Theis, Nina; Ludwig, Anatoli; Meichsner, Doreen; Oelmüller, Ralf; Gershenzon, Jonathan; Habekuss, Antje; Ordon, Frank; Furch, Alexandra C U; Will, Torsten</v>
      </c>
      <c r="AK228" s="32">
        <f>IFERROR(__xludf.DUMMYFUNCTION("""COMPUTED_VALUE"""),43165.0)</f>
        <v>43165</v>
      </c>
      <c r="AL228" s="31" t="str">
        <f>IFERROR(__xludf.DUMMYFUNCTION("""COMPUTED_VALUE"""),"Clinical trial registration was associated with lower risk of bias compared with non-registered trials among trials included in systematic reviews.")</f>
        <v>Clinical trial registration was associated with lower risk of bias compared with non-registered trials among trials included in systematic reviews.</v>
      </c>
      <c r="AM228" s="31" t="str">
        <f>IFERROR(__xludf.DUMMYFUNCTION("""COMPUTED_VALUE"""),"Lindsley, Kristina; Fusco, Nicole; Li, Tianjing; Scholten, Rob; Hooft, Lotty")</f>
        <v>Lindsley, Kristina; Fusco, Nicole; Li, Tianjing; Scholten, Rob; Hooft, Lotty</v>
      </c>
      <c r="AN228" s="32">
        <f>IFERROR(__xludf.DUMMYFUNCTION("""COMPUTED_VALUE"""),44584.0)</f>
        <v>44584</v>
      </c>
    </row>
    <row r="229">
      <c r="A229" s="32"/>
      <c r="I229" s="31" t="str">
        <f>IFERROR(__xludf.DUMMYFUNCTION("""COMPUTED_VALUE"""),"new biotechnology")</f>
        <v>new biotechnology</v>
      </c>
      <c r="J229" s="38">
        <f>COUNTIF(Data!$F$2:$F9917, $I229)</f>
        <v>1</v>
      </c>
      <c r="T229" s="31" t="s">
        <v>24977</v>
      </c>
      <c r="U229" s="31" t="s">
        <v>24978</v>
      </c>
      <c r="V229" s="32">
        <v>45491.0</v>
      </c>
      <c r="X229" s="31" t="str">
        <f>IFERROR(__xludf.DUMMYFUNCTION("""COMPUTED_VALUE"""),"Intersurgeon Variability in Local Treatment Planning for Patients with Initially Unresectable Colorectal Cancer Liver Metastases: Analysis of the Liver Expert Panel of the Dutch Colorectal Cancer Group.")</f>
        <v>Intersurgeon Variability in Local Treatment Planning for Patients with Initially Unresectable Colorectal Cancer Liver Metastases: Analysis of the Liver Expert Panel of the Dutch Colorectal Cancer Group.</v>
      </c>
      <c r="Y229" s="31" t="str">
        <f>IFERROR(__xludf.DUMMYFUNCTION("""COMPUTED_VALUE"""),"Bond, Marinde J G; Kuiper, Babette I; Bolhuis, Karen; Komurcu, Aysun; van Amerongen, Martinus J; Chapelle, Thiery; Dejong, Cornelis H C; Engelbrecht, Marc R W; Gerhards, Michael F; Grünhagen, Dirk J; van Gulik, Thomas; Hermans, John J; de Jong, Koert P; K"&amp;"laase, Joost M; Kok, Niels F M; Leclercq, Wouter K G; Liem, Mike S L; van Lienden, Krijn P; Molenaar, I Quintus; Neumann, Ulf P; Patijn, Gijs A; Rijken, Arjen M; Ruers, Theo M; Verhoef, Cornelis; de Wilt, Johannes H W; Kazemier, Geert; May, Anne M; Punt, "&amp;"Cornelis J A; Swijnenburg, Rutger-Jan")</f>
        <v>Bond, Marinde J G; Kuiper, Babette I; Bolhuis, Karen; Komurcu, Aysun; van Amerongen, Martinus J; Chapelle, Thiery; Dejong, Cornelis H C; Engelbrecht, Marc R W; Gerhards, Michael F; Grünhagen, Dirk J; van Gulik, Thomas; Hermans, John J; de Jong, Koert P; Klaase, Joost M; Kok, Niels F M; Leclercq, Wouter K G; Liem, Mike S L; van Lienden, Krijn P; Molenaar, I Quintus; Neumann, Ulf P; Patijn, Gijs A; Rijken, Arjen M; Ruers, Theo M; Verhoef, Cornelis; de Wilt, Johannes H W; Kazemier, Geert; May, Anne M; Punt, Cornelis J A; Swijnenburg, Rutger-Jan</v>
      </c>
      <c r="Z229" s="31">
        <f>IFERROR(__xludf.DUMMYFUNCTION("""COMPUTED_VALUE"""),2023.0)</f>
        <v>2023</v>
      </c>
      <c r="AA229" s="31">
        <f>IFERROR(__xludf.DUMMYFUNCTION("""COMPUTED_VALUE"""),2.0)</f>
        <v>2</v>
      </c>
      <c r="AF229" s="31" t="str">
        <f>IFERROR(__xludf.DUMMYFUNCTION("""COMPUTED_VALUE"""),"Serum lipid traits and the risk of dementia: A cohort study of 254,575 women and 214,891 men in the UK Biobank.")</f>
        <v>Serum lipid traits and the risk of dementia: A cohort study of 254,575 women and 214,891 men in the UK Biobank.</v>
      </c>
      <c r="AG229" s="31" t="str">
        <f>IFERROR(__xludf.DUMMYFUNCTION("""COMPUTED_VALUE"""),"Gong, Jessica; Harris, Katie; Peters, Sanne A E; Woodward, Mark")</f>
        <v>Gong, Jessica; Harris, Katie; Peters, Sanne A E; Woodward, Mark</v>
      </c>
      <c r="AH229" s="32">
        <f>IFERROR(__xludf.DUMMYFUNCTION("""COMPUTED_VALUE"""),44840.0)</f>
        <v>44840</v>
      </c>
      <c r="AI229" s="31" t="str">
        <f>IFERROR(__xludf.DUMMYFUNCTION("""COMPUTED_VALUE"""),"Performance of the 2012 Systemic Lupus International Collaborating Clinics classification criteria versus the 1997 American College of Rheumatology classification criteria in adult and juvenile systemic lupus erythematosus. A systematic review and meta-an"&amp;"alysis.")</f>
        <v>Performance of the 2012 Systemic Lupus International Collaborating Clinics classification criteria versus the 1997 American College of Rheumatology classification criteria in adult and juvenile systemic lupus erythematosus. A systematic review and meta-analysis.</v>
      </c>
      <c r="AJ229" s="31" t="str">
        <f>IFERROR(__xludf.DUMMYFUNCTION("""COMPUTED_VALUE"""),"Hartman, Esther A R; van Royen-Kerkhof, Annet; Jacobs, Johannes W G; Welsing, Paco M J; Fritsch-Stork, Ruth D E")</f>
        <v>Hartman, Esther A R; van Royen-Kerkhof, Annet; Jacobs, Johannes W G; Welsing, Paco M J; Fritsch-Stork, Ruth D E</v>
      </c>
      <c r="AK229" s="32">
        <f>IFERROR(__xludf.DUMMYFUNCTION("""COMPUTED_VALUE"""),43131.0)</f>
        <v>43131</v>
      </c>
      <c r="AL229" s="31" t="str">
        <f>IFERROR(__xludf.DUMMYFUNCTION("""COMPUTED_VALUE"""),"Predicting personalised absolute treatment effects in individual participant data meta-analysis: An introduction to splines.")</f>
        <v>Predicting personalised absolute treatment effects in individual participant data meta-analysis: An introduction to splines.</v>
      </c>
      <c r="AM229" s="31" t="str">
        <f>IFERROR(__xludf.DUMMYFUNCTION("""COMPUTED_VALUE"""),"Belias, Michail; Rovers, Maroeska M; Hoogland, Jeroen; Reitsma, Johannes B; Debray, Thomas P A; IntHout, Joanna")</f>
        <v>Belias, Michail; Rovers, Maroeska M; Hoogland, Jeroen; Reitsma, Johannes B; Debray, Thomas P A; IntHout, Joanna</v>
      </c>
      <c r="AN229" s="32">
        <f>IFERROR(__xludf.DUMMYFUNCTION("""COMPUTED_VALUE"""),44579.0)</f>
        <v>44579</v>
      </c>
    </row>
    <row r="230">
      <c r="A230" s="32"/>
      <c r="I230" s="31" t="str">
        <f>IFERROR(__xludf.DUMMYFUNCTION("""COMPUTED_VALUE"""),"frontiers in public health")</f>
        <v>frontiers in public health</v>
      </c>
      <c r="J230" s="38">
        <f>COUNTIF(Data!$F$2:$F9917, $I230)</f>
        <v>4</v>
      </c>
      <c r="T230" s="31" t="s">
        <v>25682</v>
      </c>
      <c r="U230" s="31" t="s">
        <v>25683</v>
      </c>
      <c r="V230" s="32">
        <v>45489.0</v>
      </c>
      <c r="X230" s="31" t="str">
        <f>IFERROR(__xludf.DUMMYFUNCTION("""COMPUTED_VALUE"""),"Home monitoring by pulse oximetry of primary care patients with COVID-19: a pilot randomised controlled trial.")</f>
        <v>Home monitoring by pulse oximetry of primary care patients with COVID-19: a pilot randomised controlled trial.</v>
      </c>
      <c r="Y230" s="31" t="str">
        <f>IFERROR(__xludf.DUMMYFUNCTION("""COMPUTED_VALUE"""),"Smit, Karin; Venekamp, Roderick P; Krol, Loeke A; Geersing, Geert-Jan; Schoonhoven, Lisette; Kaasjager, Karin Ah; Rutten, Frans H; Zwart, Dorien Lm")</f>
        <v>Smit, Karin; Venekamp, Roderick P; Krol, Loeke A; Geersing, Geert-Jan; Schoonhoven, Lisette; Kaasjager, Karin Ah; Rutten, Frans H; Zwart, Dorien Lm</v>
      </c>
      <c r="Z230" s="31">
        <f>IFERROR(__xludf.DUMMYFUNCTION("""COMPUTED_VALUE"""),2023.0)</f>
        <v>2023</v>
      </c>
      <c r="AA230" s="31">
        <f>IFERROR(__xludf.DUMMYFUNCTION("""COMPUTED_VALUE"""),2.0)</f>
        <v>2</v>
      </c>
      <c r="AF230" s="31" t="str">
        <f>IFERROR(__xludf.DUMMYFUNCTION("""COMPUTED_VALUE"""),"The Authors Respond.")</f>
        <v>The Authors Respond.</v>
      </c>
      <c r="AG230" s="31" t="str">
        <f>IFERROR(__xludf.DUMMYFUNCTION("""COMPUTED_VALUE"""),"Traini, Eugenio; Huss, Anke; Portengen, Lützen; Rookus, Matti; Verschuren, W M Monique; Vermeulen, Roel C H; Bellavia, Andrea")</f>
        <v>Traini, Eugenio; Huss, Anke; Portengen, Lützen; Rookus, Matti; Verschuren, W M Monique; Vermeulen, Roel C H; Bellavia, Andrea</v>
      </c>
      <c r="AH230" s="32">
        <f>IFERROR(__xludf.DUMMYFUNCTION("""COMPUTED_VALUE"""),44839.0)</f>
        <v>44839</v>
      </c>
      <c r="AI230" s="31" t="str">
        <f>IFERROR(__xludf.DUMMYFUNCTION("""COMPUTED_VALUE"""),"Implementation of a Structured Diabetes Consultation Model to Facilitate a Person-Centered Approach: Results From a Nationwide Dutch Study.")</f>
        <v>Implementation of a Structured Diabetes Consultation Model to Facilitate a Person-Centered Approach: Results From a Nationwide Dutch Study.</v>
      </c>
      <c r="AJ230" s="31" t="str">
        <f>IFERROR(__xludf.DUMMYFUNCTION("""COMPUTED_VALUE"""),"Rutten, Guy E H M; van Vugt, Heidi A; de Weerdt, Inge; de Koning, Eelco")</f>
        <v>Rutten, Guy E H M; van Vugt, Heidi A; de Weerdt, Inge; de Koning, Eelco</v>
      </c>
      <c r="AK230" s="32">
        <f>IFERROR(__xludf.DUMMYFUNCTION("""COMPUTED_VALUE"""),43123.0)</f>
        <v>43123</v>
      </c>
      <c r="AL230" s="31" t="str">
        <f>IFERROR(__xludf.DUMMYFUNCTION("""COMPUTED_VALUE"""),"Development of a questionnaire to identify persons with a family history of aneurysmal subarachnoid hemorrhage.")</f>
        <v>Development of a questionnaire to identify persons with a family history of aneurysmal subarachnoid hemorrhage.</v>
      </c>
      <c r="AM230" s="31" t="str">
        <f>IFERROR(__xludf.DUMMYFUNCTION("""COMPUTED_VALUE"""),"Zuurbier, Charlotte Cm; Greving, Jacoba P; Rinkel, Gabriel Je; Ruigrok, Ynte M")</f>
        <v>Zuurbier, Charlotte Cm; Greving, Jacoba P; Rinkel, Gabriel Je; Ruigrok, Ynte M</v>
      </c>
      <c r="AN230" s="32">
        <f>IFERROR(__xludf.DUMMYFUNCTION("""COMPUTED_VALUE"""),44572.0)</f>
        <v>44572</v>
      </c>
    </row>
    <row r="231">
      <c r="A231" s="32"/>
      <c r="I231" s="31" t="str">
        <f>IFERROR(__xludf.DUMMYFUNCTION("""COMPUTED_VALUE"""),"nursing open")</f>
        <v>nursing open</v>
      </c>
      <c r="J231" s="38">
        <f>COUNTIF(Data!$F$2:$F9917, $I231)</f>
        <v>2</v>
      </c>
      <c r="T231" s="31" t="s">
        <v>25754</v>
      </c>
      <c r="U231" s="31" t="s">
        <v>25755</v>
      </c>
      <c r="V231" s="32">
        <v>45488.0</v>
      </c>
      <c r="X231" s="31" t="str">
        <f>IFERROR(__xludf.DUMMYFUNCTION("""COMPUTED_VALUE"""),"Bias in observational studies on the effectiveness of in hospital use of hydroxychloroquine in COVID-19.")</f>
        <v>Bias in observational studies on the effectiveness of in hospital use of hydroxychloroquine in COVID-19.</v>
      </c>
      <c r="Y231" s="31" t="str">
        <f>IFERROR(__xludf.DUMMYFUNCTION("""COMPUTED_VALUE"""),"Hempenius, Mirjam; Bots, Sophie H; Groenwold, Rolf H H; de Boer, Anthonius; Klungel, Olaf H; Gardarsdottir, Helga")</f>
        <v>Hempenius, Mirjam; Bots, Sophie H; Groenwold, Rolf H H; de Boer, Anthonius; Klungel, Olaf H; Gardarsdottir, Helga</v>
      </c>
      <c r="Z231" s="31">
        <f>IFERROR(__xludf.DUMMYFUNCTION("""COMPUTED_VALUE"""),2023.0)</f>
        <v>2023</v>
      </c>
      <c r="AA231" s="31">
        <f>IFERROR(__xludf.DUMMYFUNCTION("""COMPUTED_VALUE"""),2.0)</f>
        <v>2</v>
      </c>
      <c r="AF231" s="31" t="str">
        <f>IFERROR(__xludf.DUMMYFUNCTION("""COMPUTED_VALUE"""),"Association between chemical mixtures and female fertility in women undergoing assisted reproduction in Sweden and Estonia.")</f>
        <v>Association between chemical mixtures and female fertility in women undergoing assisted reproduction in Sweden and Estonia.</v>
      </c>
      <c r="AG231" s="31" t="str">
        <f>IFERROR(__xludf.DUMMYFUNCTION("""COMPUTED_VALUE"""),"Bellavia, Andrea; Zou, Runyu; Björvang, Richelle D; Roos, Kristine; Sjunnesson, Ylva; Hallberg, Ida; Holte, Jan; Pikki, Anne; Lenters, Virissa; Portengen, Lützen; Koekkoek, Jacco; Lamoree, Marja; Van Duursen, Majorie; Vermeulen, Roel; Salumets, Andres; Ve"&amp;"lthut-Meikas, Agne; Damdimopoulou, Pauliina")</f>
        <v>Bellavia, Andrea; Zou, Runyu; Björvang, Richelle D; Roos, Kristine; Sjunnesson, Ylva; Hallberg, Ida; Holte, Jan; Pikki, Anne; Lenters, Virissa; Portengen, Lützen; Koekkoek, Jacco; Lamoree, Marja; Van Duursen, Majorie; Vermeulen, Roel; Salumets, Andres; Velthut-Meikas, Agne; Damdimopoulou, Pauliina</v>
      </c>
      <c r="AH231" s="32">
        <f>IFERROR(__xludf.DUMMYFUNCTION("""COMPUTED_VALUE"""),44832.0)</f>
        <v>44832</v>
      </c>
      <c r="AI231" s="31" t="str">
        <f>IFERROR(__xludf.DUMMYFUNCTION("""COMPUTED_VALUE"""),"Patient-reported symptoms and stepwise symptom management in patients on epidermal growth factor inhibitors: A retrospective, descriptive cohort study.")</f>
        <v>Patient-reported symptoms and stepwise symptom management in patients on epidermal growth factor inhibitors: A retrospective, descriptive cohort study.</v>
      </c>
      <c r="AJ231" s="31" t="str">
        <f>IFERROR(__xludf.DUMMYFUNCTION("""COMPUTED_VALUE"""),"Koldenhof, J J; Langenberg, M H G; Witteveen, P O; Teunissen, S C C M")</f>
        <v>Koldenhof, J J; Langenberg, M H G; Witteveen, P O; Teunissen, S C C M</v>
      </c>
      <c r="AK231" s="32">
        <f>IFERROR(__xludf.DUMMYFUNCTION("""COMPUTED_VALUE"""),43104.0)</f>
        <v>43104</v>
      </c>
      <c r="AL231" s="31" t="str">
        <f>IFERROR(__xludf.DUMMYFUNCTION("""COMPUTED_VALUE"""),"Rapid syndromic PCR testing in patients with respiratory tract infections reduces time to results and improves microbial yield.")</f>
        <v>Rapid syndromic PCR testing in patients with respiratory tract infections reduces time to results and improves microbial yield.</v>
      </c>
      <c r="AM231" s="31" t="str">
        <f>IFERROR(__xludf.DUMMYFUNCTION("""COMPUTED_VALUE"""),"Serigstad, S; Markussen, D; Grewal, H M S; Ebbesen, M; Kommedal, Ø; Heggelund, L; van Werkhoven, C H; Faurholt-Jepsen, D; Clark, T W; Ritz, C; Ulvestad, E; Bjørneklett, R; Knoop, S T; ,")</f>
        <v>Serigstad, S; Markussen, D; Grewal, H M S; Ebbesen, M; Kommedal, Ø; Heggelund, L; van Werkhoven, C H; Faurholt-Jepsen, D; Clark, T W; Ritz, C; Ulvestad, E; Bjørneklett, R; Knoop, S T; ,</v>
      </c>
      <c r="AN231" s="32">
        <f>IFERROR(__xludf.DUMMYFUNCTION("""COMPUTED_VALUE"""),44571.0)</f>
        <v>44571</v>
      </c>
    </row>
    <row r="232">
      <c r="A232" s="32"/>
      <c r="I232" s="31" t="str">
        <f>IFERROR(__xludf.DUMMYFUNCTION("""COMPUTED_VALUE"""),"european journal of nutrition")</f>
        <v>european journal of nutrition</v>
      </c>
      <c r="J232" s="38">
        <f>COUNTIF(Data!$F$2:$F9917, $I232)</f>
        <v>23</v>
      </c>
      <c r="T232" s="31" t="s">
        <v>25810</v>
      </c>
      <c r="U232" s="31" t="s">
        <v>25811</v>
      </c>
      <c r="V232" s="32">
        <v>45488.0</v>
      </c>
      <c r="X232" s="31" t="str">
        <f>IFERROR(__xludf.DUMMYFUNCTION("""COMPUTED_VALUE"""),"Clinical decision support for ExtraCorporeal Membrane Oxygenation: Will we fly by wire?")</f>
        <v>Clinical decision support for ExtraCorporeal Membrane Oxygenation: Will we fly by wire?</v>
      </c>
      <c r="Y232" s="31" t="str">
        <f>IFERROR(__xludf.DUMMYFUNCTION("""COMPUTED_VALUE"""),"Pladet, Lara; Luijken, Kim; Fresiello, Libera; Miranda, Dinis Dos Reis; Hermens, Jeannine A; Smeden, Maarten van; Cremer, Olaf; Donker, Dirk W; Meuwese, Christiaan L")</f>
        <v>Pladet, Lara; Luijken, Kim; Fresiello, Libera; Miranda, Dinis Dos Reis; Hermens, Jeannine A; Smeden, Maarten van; Cremer, Olaf; Donker, Dirk W; Meuwese, Christiaan L</v>
      </c>
      <c r="Z232" s="31">
        <f>IFERROR(__xludf.DUMMYFUNCTION("""COMPUTED_VALUE"""),2023.0)</f>
        <v>2023</v>
      </c>
      <c r="AA232" s="31">
        <f>IFERROR(__xludf.DUMMYFUNCTION("""COMPUTED_VALUE"""),2.0)</f>
        <v>2</v>
      </c>
      <c r="AF232" s="31" t="str">
        <f>IFERROR(__xludf.DUMMYFUNCTION("""COMPUTED_VALUE"""),"Are cardiovascular health measures heritable across three generations of families in Soweto, South Africa? A cross-sectional analysis using the random family method.")</f>
        <v>Are cardiovascular health measures heritable across three generations of families in Soweto, South Africa? A cross-sectional analysis using the random family method.</v>
      </c>
      <c r="AG232" s="31" t="str">
        <f>IFERROR(__xludf.DUMMYFUNCTION("""COMPUTED_VALUE"""),"Ware, Lisa J; Maposa, Innocent; Kolkenbeck-Ruh, Andrea; Norris, Shane A; Soepnel, Larske; Crouch, Simone; Kagura, Juliana; Naidoo, Sanushka; Smith, Wayne; Davies, Justine")</f>
        <v>Ware, Lisa J; Maposa, Innocent; Kolkenbeck-Ruh, Andrea; Norris, Shane A; Soepnel, Larske; Crouch, Simone; Kagura, Juliana; Naidoo, Sanushka; Smith, Wayne; Davies, Justine</v>
      </c>
      <c r="AH232" s="32">
        <f>IFERROR(__xludf.DUMMYFUNCTION("""COMPUTED_VALUE"""),44827.0)</f>
        <v>44827</v>
      </c>
      <c r="AI232" s="31" t="str">
        <f>IFERROR(__xludf.DUMMYFUNCTION("""COMPUTED_VALUE"""),"Cost-effectiveness of screening for atrial fibrillation in primary care with a handheld, single-lead electrocardiogram device in the Netherlands.")</f>
        <v>Cost-effectiveness of screening for atrial fibrillation in primary care with a handheld, single-lead electrocardiogram device in the Netherlands.</v>
      </c>
      <c r="AJ232" s="31" t="str">
        <f>IFERROR(__xludf.DUMMYFUNCTION("""COMPUTED_VALUE"""),"Jacobs, Maartje S; Kaasenbrood, Femke; Postma, Maarten J; van Hulst, Marinus; Tieleman, Robert G")</f>
        <v>Jacobs, Maartje S; Kaasenbrood, Femke; Postma, Maarten J; van Hulst, Marinus; Tieleman, Robert G</v>
      </c>
      <c r="AK232" s="32">
        <f>IFERROR(__xludf.DUMMYFUNCTION("""COMPUTED_VALUE"""),43101.0)</f>
        <v>43101</v>
      </c>
      <c r="AL232" s="31" t="str">
        <f>IFERROR(__xludf.DUMMYFUNCTION("""COMPUTED_VALUE"""),"Model-Based Selection for Proton Therapy in Breast Cancer: Development of the National Indication Protocol for Proton Therapy and First Clinical Experiences.")</f>
        <v>Model-Based Selection for Proton Therapy in Breast Cancer: Development of the National Indication Protocol for Proton Therapy and First Clinical Experiences.</v>
      </c>
      <c r="AM232" s="31" t="str">
        <f>IFERROR(__xludf.DUMMYFUNCTION("""COMPUTED_VALUE"""),"Boersma, L J; Sattler, M G A; Maduro, J H; Bijker, N; Essers, M; van Gestel, C M J; Klaver, Y L B; Petoukhova, A L; Rodrigues, M F; Russell, N S; van der Schaaf, A; Verhoeven, K; van Vulpen, M; Schuit, E; Langendijk, J A")</f>
        <v>Boersma, L J; Sattler, M G A; Maduro, J H; Bijker, N; Essers, M; van Gestel, C M J; Klaver, Y L B; Petoukhova, A L; Rodrigues, M F; Russell, N S; van der Schaaf, A; Verhoeven, K; van Vulpen, M; Schuit, E; Langendijk, J A</v>
      </c>
      <c r="AN232" s="32">
        <f>IFERROR(__xludf.DUMMYFUNCTION("""COMPUTED_VALUE"""),44566.0)</f>
        <v>44566</v>
      </c>
    </row>
    <row r="233">
      <c r="A233" s="32"/>
      <c r="I233" s="31" t="str">
        <f>IFERROR(__xludf.DUMMYFUNCTION("""COMPUTED_VALUE"""),"journal of magnetic resonance imaging jmri")</f>
        <v>journal of magnetic resonance imaging jmri</v>
      </c>
      <c r="J233" s="38">
        <f>COUNTIF(Data!$F$2:$F9917, $I233)</f>
        <v>4</v>
      </c>
      <c r="T233" s="31" t="s">
        <v>25853</v>
      </c>
      <c r="U233" s="31" t="s">
        <v>25854</v>
      </c>
      <c r="V233" s="32">
        <v>45488.0</v>
      </c>
      <c r="X233" s="31" t="str">
        <f>IFERROR(__xludf.DUMMYFUNCTION("""COMPUTED_VALUE"""),"Enhancer hijacking at the ARHGAP36 locus is associated with connective tissue to bone transformation.")</f>
        <v>Enhancer hijacking at the ARHGAP36 locus is associated with connective tissue to bone transformation.</v>
      </c>
      <c r="Y233" s="31"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Z233" s="31">
        <f>IFERROR(__xludf.DUMMYFUNCTION("""COMPUTED_VALUE"""),2023.0)</f>
        <v>2023</v>
      </c>
      <c r="AA233" s="31">
        <f>IFERROR(__xludf.DUMMYFUNCTION("""COMPUTED_VALUE"""),2.0)</f>
        <v>2</v>
      </c>
      <c r="AF233" s="31" t="str">
        <f>IFERROR(__xludf.DUMMYFUNCTION("""COMPUTED_VALUE"""),"Preeclampsia prediction with blood pressure measurements: A global external validation of the ALSPAC models.")</f>
        <v>Preeclampsia prediction with blood pressure measurements: A global external validation of the ALSPAC models.</v>
      </c>
      <c r="AG233" s="31" t="str">
        <f>IFERROR(__xludf.DUMMYFUNCTION("""COMPUTED_VALUE"""),"de Kat, Annelien C; Hirst, Jane E; Woodward, Mark; Barros, Fernando C; Barsosio, Hellen C; Berkley, James A; Carvalho, Maria; Cheikh Ismail, Leila; McGready, Rose; Norris, Shane A; Nosten, Francois; Ohuma, Eric; Tshivuila-Matala, Chrystelle O O; Stones, W"&amp;"illiam; Staines Urias, Eleonora; Clara Restrepo-Mendez, Maria; Lambert, Ann; Munim, Shama; Winsey, Adele; Papageorghiou, Aris T; Bhutta, Zulfiqar A; Villar, Jose; Kennedy, Stephen H; Peters, Sanne A E")</f>
        <v>de Kat, Annelien C; Hirst, Jane E; Woodward, Mark; Barros, Fernando C; Barsosio, Hellen C; Berkley, James A; Carvalho, Maria; Cheikh Ismail, Leila; McGready, Rose; Norris, Shane A; Nosten, Francois; Ohuma, Eric; Tshivuila-Matala, Chrystelle O O; Stones, William; Staines Urias, Eleonora; Clara Restrepo-Mendez, Maria; Lambert, Ann; Munim, Shama; Winsey, Adele; Papageorghiou, Aris T; Bhutta, Zulfiqar A; Villar, Jose; Kennedy, Stephen H; Peters, Sanne A E</v>
      </c>
      <c r="AH233" s="32">
        <f>IFERROR(__xludf.DUMMYFUNCTION("""COMPUTED_VALUE"""),44824.0)</f>
        <v>44824</v>
      </c>
      <c r="AI233" s="31" t="str">
        <f>IFERROR(__xludf.DUMMYFUNCTION("""COMPUTED_VALUE"""),"The 3-Phase Process in the Cancer Experience of Adolescents and Young Adults.")</f>
        <v>The 3-Phase Process in the Cancer Experience of Adolescents and Young Adults.</v>
      </c>
      <c r="AJ233" s="31" t="str">
        <f>IFERROR(__xludf.DUMMYFUNCTION("""COMPUTED_VALUE"""),"Belpame, Nathalie; Kars, Marijke C; Beeckman, Dimitri; Decoene, Elsie; Quaghebeur, Marijke; Van Hecke, Ann; Verhaeghe, Sofie")</f>
        <v>Belpame, Nathalie; Kars, Marijke C; Beeckman, Dimitri; Decoene, Elsie; Quaghebeur, Marijke; Van Hecke, Ann; Verhaeghe, Sofie</v>
      </c>
      <c r="AK233" s="32">
        <f>IFERROR(__xludf.DUMMYFUNCTION("""COMPUTED_VALUE"""),43101.0)</f>
        <v>43101</v>
      </c>
      <c r="AL233" s="31" t="str">
        <f>IFERROR(__xludf.DUMMYFUNCTION("""COMPUTED_VALUE"""),"Depression in Stroke Survivors: Ten-Year Follow-Up. Determinants of the Natural Course of Depressive Symptoms in Stroke Survivors in the Netherlands: The SMART-Medea Study.")</f>
        <v>Depression in Stroke Survivors: Ten-Year Follow-Up. Determinants of the Natural Course of Depressive Symptoms in Stroke Survivors in the Netherlands: The SMART-Medea Study.</v>
      </c>
      <c r="AM233" s="31" t="str">
        <f>IFERROR(__xludf.DUMMYFUNCTION("""COMPUTED_VALUE"""),"de Bekker, A; Geerlings, M I; Uitewaal-Poslawsky, I E; de Man-van Ginkel, J M")</f>
        <v>de Bekker, A; Geerlings, M I; Uitewaal-Poslawsky, I E; de Man-van Ginkel, J M</v>
      </c>
      <c r="AN233" s="32">
        <f>IFERROR(__xludf.DUMMYFUNCTION("""COMPUTED_VALUE"""),44565.0)</f>
        <v>44565</v>
      </c>
    </row>
    <row r="234">
      <c r="A234" s="32"/>
      <c r="I234" s="31" t="str">
        <f>IFERROR(__xludf.DUMMYFUNCTION("""COMPUTED_VALUE"""),"archives of gerontology and geriatrics")</f>
        <v>archives of gerontology and geriatrics</v>
      </c>
      <c r="J234" s="38">
        <f>COUNTIF(Data!$F$2:$F9917, $I234)</f>
        <v>2</v>
      </c>
      <c r="T234" s="31" t="s">
        <v>25972</v>
      </c>
      <c r="U234" s="31" t="s">
        <v>25973</v>
      </c>
      <c r="V234" s="32">
        <v>45488.0</v>
      </c>
      <c r="X234" s="31" t="str">
        <f>IFERROR(__xludf.DUMMYFUNCTION("""COMPUTED_VALUE"""),"Defining and Measuring Resilience in Children with a Chronic Disease: a Scoping Review.")</f>
        <v>Defining and Measuring Resilience in Children with a Chronic Disease: a Scoping Review.</v>
      </c>
      <c r="Y234" s="31" t="str">
        <f>IFERROR(__xludf.DUMMYFUNCTION("""COMPUTED_VALUE"""),"van der Laan, Sabine E I; Berkelbach van der Sprenkel, Emma E; Lenters, Virissa C; Finkenauer, Catrin; van der Ent, Cornelis K; Nijhof, Sanne L")</f>
        <v>van der Laan, Sabine E I; Berkelbach van der Sprenkel, Emma E; Lenters, Virissa C; Finkenauer, Catrin; van der Ent, Cornelis K; Nijhof, Sanne L</v>
      </c>
      <c r="Z234" s="31">
        <f>IFERROR(__xludf.DUMMYFUNCTION("""COMPUTED_VALUE"""),2023.0)</f>
        <v>2023</v>
      </c>
      <c r="AA234" s="31">
        <f>IFERROR(__xludf.DUMMYFUNCTION("""COMPUTED_VALUE"""),2.0)</f>
        <v>2</v>
      </c>
      <c r="AF234" s="31" t="str">
        <f>IFERROR(__xludf.DUMMYFUNCTION("""COMPUTED_VALUE"""),"Engaging community members in setting priorities for nutrition interventions in rural northern Ghana.")</f>
        <v>Engaging community members in setting priorities for nutrition interventions in rural northern Ghana.</v>
      </c>
      <c r="AG234" s="31" t="str">
        <f>IFERROR(__xludf.DUMMYFUNCTION("""COMPUTED_VALUE"""),"Dalaba, Maxwell Ayindenaba; Nonterah, Engelbert A; Chatio, Samuel T; Adoctor, James K; Dambayi, Edith; Nonterah, Esmond W; Azalia, Stephen; Ayi-Bisah, Doreen; Erzse, Agnes; Watson, Daniella; Hardy-Johnson, Polly; Kehoe, Sarah H; Tugendhaft, Aviva; Ward, K"&amp;"ate; Debpuur, Cornelius; Oduro, Abraham; Ofosu, Winfred; Danis, Marion; Barker, Mary; ,")</f>
        <v>Dalaba, Maxwell Ayindenaba; Nonterah, Engelbert A; Chatio, Samuel T; Adoctor, James K; Dambayi, Edith; Nonterah, Esmond W; Azalia, Stephen; Ayi-Bisah, Doreen; Erzse, Agnes; Watson, Daniella; Hardy-Johnson, Polly; Kehoe, Sarah H; Tugendhaft, Aviva; Ward, Kate; Debpuur, Cornelius; Oduro, Abraham; Ofosu, Winfred; Danis, Marion; Barker, Mary; ,</v>
      </c>
      <c r="AH234" s="32">
        <f>IFERROR(__xludf.DUMMYFUNCTION("""COMPUTED_VALUE"""),44820.0)</f>
        <v>44820</v>
      </c>
      <c r="AI234" s="31" t="str">
        <f>IFERROR(__xludf.DUMMYFUNCTION("""COMPUTED_VALUE"""),"[Cancer detection following unprovoked VTE; case history and physical examination are still of foremost importance].")</f>
        <v>[Cancer detection following unprovoked VTE; case history and physical examination are still of foremost importance].</v>
      </c>
      <c r="AJ234" s="31" t="str">
        <f>IFERROR(__xludf.DUMMYFUNCTION("""COMPUTED_VALUE"""),"Geersing, G J")</f>
        <v>Geersing, G J</v>
      </c>
      <c r="AK234" s="32">
        <f>IFERROR(__xludf.DUMMYFUNCTION("""COMPUTED_VALUE"""),43101.0)</f>
        <v>43101</v>
      </c>
      <c r="AL234" s="31" t="str">
        <f>IFERROR(__xludf.DUMMYFUNCTION("""COMPUTED_VALUE"""),"Depression and Dementia: The Role of Cortisol and Vascular Brain Lesions. AGES-Reykjavik Study.")</f>
        <v>Depression and Dementia: The Role of Cortisol and Vascular Brain Lesions. AGES-Reykjavik Study.</v>
      </c>
      <c r="AM234" s="31" t="str">
        <f>IFERROR(__xludf.DUMMYFUNCTION("""COMPUTED_VALUE"""),"Gerritsen, Lotte; Twait, Emma L; Jonsson, Palmi V; Gudnason, Vilmundur; Launer, Lenore J; Geerlings, Mirjam I")</f>
        <v>Gerritsen, Lotte; Twait, Emma L; Jonsson, Palmi V; Gudnason, Vilmundur; Launer, Lenore J; Geerlings, Mirjam I</v>
      </c>
      <c r="AN234" s="32">
        <f>IFERROR(__xludf.DUMMYFUNCTION("""COMPUTED_VALUE"""),44562.0)</f>
        <v>44562</v>
      </c>
    </row>
    <row r="235">
      <c r="A235" s="32"/>
      <c r="I235" s="31" t="str">
        <f>IFERROR(__xludf.DUMMYFUNCTION("""COMPUTED_VALUE"""),"atherosclerosis")</f>
        <v>atherosclerosis</v>
      </c>
      <c r="J235" s="38">
        <f>COUNTIF(Data!$F$2:$F9917, $I235)</f>
        <v>47</v>
      </c>
      <c r="T235" s="31" t="s">
        <v>25362</v>
      </c>
      <c r="U235" s="31" t="s">
        <v>25363</v>
      </c>
      <c r="V235" s="32">
        <v>45485.0</v>
      </c>
      <c r="X235" s="31" t="str">
        <f>IFERROR(__xludf.DUMMYFUNCTION("""COMPUTED_VALUE"""),"Factors influencing scar formation following Bacille Calmette-Guérin (BCG) vaccination.")</f>
        <v>Factors influencing scar formation following Bacille Calmette-Guérin (BCG) vaccination.</v>
      </c>
      <c r="Y235" s="31"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Z235" s="31">
        <f>IFERROR(__xludf.DUMMYFUNCTION("""COMPUTED_VALUE"""),2023.0)</f>
        <v>2023</v>
      </c>
      <c r="AA235" s="31">
        <f>IFERROR(__xludf.DUMMYFUNCTION("""COMPUTED_VALUE"""),2.0)</f>
        <v>2</v>
      </c>
      <c r="AF235" s="31" t="str">
        <f>IFERROR(__xludf.DUMMYFUNCTION("""COMPUTED_VALUE"""),"Prenatal exposure to trans fatty acids and head growth in fetal life and childhood: triangulating confounder-adjustment and instrumental variable approaches.")</f>
        <v>Prenatal exposure to trans fatty acids and head growth in fetal life and childhood: triangulating confounder-adjustment and instrumental variable approaches.</v>
      </c>
      <c r="AG235" s="31" t="str">
        <f>IFERROR(__xludf.DUMMYFUNCTION("""COMPUTED_VALUE"""),"Zou, Runyu; Labrecque, Jeremy A; Swanson, Sonja A; Steegers, Eric A P; White, Tonya; El Marroun, Hanan; Tiemeier, Henning")</f>
        <v>Zou, Runyu; Labrecque, Jeremy A; Swanson, Sonja A; Steegers, Eric A P; White, Tonya; El Marroun, Hanan; Tiemeier, Henning</v>
      </c>
      <c r="AH235" s="32">
        <f>IFERROR(__xludf.DUMMYFUNCTION("""COMPUTED_VALUE"""),44819.0)</f>
        <v>44819</v>
      </c>
      <c r="AI235" s="31" t="str">
        <f>IFERROR(__xludf.DUMMYFUNCTION("""COMPUTED_VALUE"""),"[Strengths and weaknesses of guidelines: whether or not to prescribe antibiotics in general practice].")</f>
        <v>[Strengths and weaknesses of guidelines: whether or not to prescribe antibiotics in general practice].</v>
      </c>
      <c r="AJ235" s="31" t="str">
        <f>IFERROR(__xludf.DUMMYFUNCTION("""COMPUTED_VALUE"""),"Verheij, Th J M; van der Velden, Alike W; van der Lubben, M")</f>
        <v>Verheij, Th J M; van der Velden, Alike W; van der Lubben, M</v>
      </c>
      <c r="AK235" s="32">
        <f>IFERROR(__xludf.DUMMYFUNCTION("""COMPUTED_VALUE"""),43089.0)</f>
        <v>43089</v>
      </c>
      <c r="AL235" s="31" t="str">
        <f>IFERROR(__xludf.DUMMYFUNCTION("""COMPUTED_VALUE"""),"Impact of 7-valent versus 10-valent pneumococcal conjugate vaccines on primary care consultations across various age groups in the Netherlands, 5 years after the switch: A time-series analysis.")</f>
        <v>Impact of 7-valent versus 10-valent pneumococcal conjugate vaccines on primary care consultations across various age groups in the Netherlands, 5 years after the switch: A time-series analysis.</v>
      </c>
      <c r="AM235" s="31" t="str">
        <f>IFERROR(__xludf.DUMMYFUNCTION("""COMPUTED_VALUE"""),"Asogwa, Ogechukwu A; de Hoog, Marieke L A; Bruijning-Verhagen, Patricia C J I")</f>
        <v>Asogwa, Ogechukwu A; de Hoog, Marieke L A; Bruijning-Verhagen, Patricia C J I</v>
      </c>
      <c r="AN235" s="32">
        <f>IFERROR(__xludf.DUMMYFUNCTION("""COMPUTED_VALUE"""),44557.0)</f>
        <v>44557</v>
      </c>
    </row>
    <row r="236">
      <c r="A236" s="32"/>
      <c r="I236" s="31" t="str">
        <f>IFERROR(__xludf.DUMMYFUNCTION("""COMPUTED_VALUE"""),"current atherosclerosis reports")</f>
        <v>current atherosclerosis reports</v>
      </c>
      <c r="J236" s="38">
        <f>COUNTIF(Data!$F$2:$F9917, $I236)</f>
        <v>2</v>
      </c>
      <c r="T236" s="31" t="s">
        <v>25139</v>
      </c>
      <c r="U236" s="31" t="s">
        <v>25140</v>
      </c>
      <c r="V236" s="32">
        <v>45484.0</v>
      </c>
      <c r="X236" s="31" t="str">
        <f>IFERROR(__xludf.DUMMYFUNCTION("""COMPUTED_VALUE"""),"Masculine gender affects sex differences in the prevalence of chronic health problems &lt;i&gt;- The Doetinchem Cohort Study&lt;/i&gt;.")</f>
        <v>Masculine gender affects sex differences in the prevalence of chronic health problems &lt;i&gt;- The Doetinchem Cohort Study&lt;/i&gt;.</v>
      </c>
      <c r="Y236" s="31" t="str">
        <f>IFERROR(__xludf.DUMMYFUNCTION("""COMPUTED_VALUE"""),"Vader, Sarah S; Lewis, Shirley M; Verdonk, Petra; Verschuren, W M Monique; Picavet, H Susan J")</f>
        <v>Vader, Sarah S; Lewis, Shirley M; Verdonk, Petra; Verschuren, W M Monique; Picavet, H Susan J</v>
      </c>
      <c r="Z236" s="31">
        <f>IFERROR(__xludf.DUMMYFUNCTION("""COMPUTED_VALUE"""),2023.0)</f>
        <v>2023</v>
      </c>
      <c r="AA236" s="31">
        <f>IFERROR(__xludf.DUMMYFUNCTION("""COMPUTED_VALUE"""),2.0)</f>
        <v>2</v>
      </c>
      <c r="AF236" s="31" t="str">
        <f>IFERROR(__xludf.DUMMYFUNCTION("""COMPUTED_VALUE"""),"Obesity, hypertension, and tobacco use associated with left ventricular remodeling and hypertrophy in South African women: Birth to Twenty Plus Cohort.")</f>
        <v>Obesity, hypertension, and tobacco use associated with left ventricular remodeling and hypertrophy in South African women: Birth to Twenty Plus Cohort.</v>
      </c>
      <c r="AG236" s="31" t="str">
        <f>IFERROR(__xludf.DUMMYFUNCTION("""COMPUTED_VALUE"""),"Kolkenbeck-Ruh, Andrea; Soepnel, Larske M; Crouch, Simone H; Naidoo, Sanushka; Smith, Wayne; Norris, Shane A; Davies, Justine; Ware, Lisa J")</f>
        <v>Kolkenbeck-Ruh, Andrea; Soepnel, Larske M; Crouch, Simone H; Naidoo, Sanushka; Smith, Wayne; Norris, Shane A; Davies, Justine; Ware, Lisa J</v>
      </c>
      <c r="AH236" s="32">
        <f>IFERROR(__xludf.DUMMYFUNCTION("""COMPUTED_VALUE"""),44813.0)</f>
        <v>44813</v>
      </c>
      <c r="AI236" s="31" t="str">
        <f>IFERROR(__xludf.DUMMYFUNCTION("""COMPUTED_VALUE"""),"Increasing value and reducing waste by optimizing the development of complex interventions: Enriching the development phase of the Medical Research Council (MRC) Framework.")</f>
        <v>Increasing value and reducing waste by optimizing the development of complex interventions: Enriching the development phase of the Medical Research Council (MRC) Framework.</v>
      </c>
      <c r="AJ236" s="31" t="str">
        <f>IFERROR(__xludf.DUMMYFUNCTION("""COMPUTED_VALUE"""),"Bleijenberg, Nienke; de Man-van Ginkel, Janneke M; Trappenburg, Jaap C A; Ettema, Roelof G A; Sino, Carolien G; Heim, Noor; Hafsteindóttir, Thóra B; Richards, David A; Schuurmans, Marieke J")</f>
        <v>Bleijenberg, Nienke; de Man-van Ginkel, Janneke M; Trappenburg, Jaap C A; Ettema, Roelof G A; Sino, Carolien G; Heim, Noor; Hafsteindóttir, Thóra B; Richards, David A; Schuurmans, Marieke J</v>
      </c>
      <c r="AK236" s="32">
        <f>IFERROR(__xludf.DUMMYFUNCTION("""COMPUTED_VALUE"""),43074.0)</f>
        <v>43074</v>
      </c>
      <c r="AL236" s="31" t="str">
        <f>IFERROR(__xludf.DUMMYFUNCTION("""COMPUTED_VALUE"""),"Patterns of Failure Following External Beam Radiotherapy With or Without an Additional Focal Boost in the Randomized Controlled FLAME Trial for Localized Prostate Cancer.")</f>
        <v>Patterns of Failure Following External Beam Radiotherapy With or Without an Additional Focal Boost in the Randomized Controlled FLAME Trial for Localized Prostate Cancer.</v>
      </c>
      <c r="AM236" s="31" t="str">
        <f>IFERROR(__xludf.DUMMYFUNCTION("""COMPUTED_VALUE"""),"Groen, Veerle H; Haustermans, Karin; Pos, Floris J; Draulans, Cédric; Isebaert, Sofie; Monninkhof, Evelyn M; Smeenk, Robert J; Kunze-Busch, Martina; de Boer, Johannes C J; van der Voort van Zijp, Jochem; Kerkmeijer, Linda G W; van der Heide, Uulke A")</f>
        <v>Groen, Veerle H; Haustermans, Karin; Pos, Floris J; Draulans, Cédric; Isebaert, Sofie; Monninkhof, Evelyn M; Smeenk, Robert J; Kunze-Busch, Martina; de Boer, Johannes C J; van der Voort van Zijp, Jochem; Kerkmeijer, Linda G W; van der Heide, Uulke A</v>
      </c>
      <c r="AN236" s="32">
        <f>IFERROR(__xludf.DUMMYFUNCTION("""COMPUTED_VALUE"""),44553.0)</f>
        <v>44553</v>
      </c>
    </row>
    <row r="237">
      <c r="A237" s="32"/>
      <c r="I237" s="31" t="str">
        <f>IFERROR(__xludf.DUMMYFUNCTION("""COMPUTED_VALUE"""),"international journal of molecular sciences")</f>
        <v>international journal of molecular sciences</v>
      </c>
      <c r="J237" s="38">
        <f>COUNTIF(Data!$F$2:$F9917, $I237)</f>
        <v>5</v>
      </c>
      <c r="T237" s="31" t="s">
        <v>25806</v>
      </c>
      <c r="U237" s="31" t="s">
        <v>25807</v>
      </c>
      <c r="V237" s="32">
        <v>45484.0</v>
      </c>
      <c r="X237" s="31"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Y237" s="31"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Z237" s="31">
        <f>IFERROR(__xludf.DUMMYFUNCTION("""COMPUTED_VALUE"""),2023.0)</f>
        <v>2023</v>
      </c>
      <c r="AA237" s="31">
        <f>IFERROR(__xludf.DUMMYFUNCTION("""COMPUTED_VALUE"""),2.0)</f>
        <v>2</v>
      </c>
      <c r="AF237" s="31" t="str">
        <f>IFERROR(__xludf.DUMMYFUNCTION("""COMPUTED_VALUE"""),"Healthy lifestyle over the life course: Population trends and individual changes over 30 years of the Doetinchem Cohort Study.")</f>
        <v>Healthy lifestyle over the life course: Population trends and individual changes over 30 years of the Doetinchem Cohort Study.</v>
      </c>
      <c r="AG237" s="31" t="str">
        <f>IFERROR(__xludf.DUMMYFUNCTION("""COMPUTED_VALUE"""),"Schermer, Edith E; Engelfriet, Peter M; Blokstra, Anneke; Verschuren, W M Monique; Picavet, H Susan J")</f>
        <v>Schermer, Edith E; Engelfriet, Peter M; Blokstra, Anneke; Verschuren, W M Monique; Picavet, H Susan J</v>
      </c>
      <c r="AH237" s="32">
        <f>IFERROR(__xludf.DUMMYFUNCTION("""COMPUTED_VALUE"""),44813.0)</f>
        <v>44813</v>
      </c>
      <c r="AI237" s="31" t="str">
        <f>IFERROR(__xludf.DUMMYFUNCTION("""COMPUTED_VALUE"""),"The new European guideline on cardiovascular disease prevention; how to make progress in general practice?")</f>
        <v>The new European guideline on cardiovascular disease prevention; how to make progress in general practice?</v>
      </c>
      <c r="AJ237" s="31" t="str">
        <f>IFERROR(__xludf.DUMMYFUNCTION("""COMPUTED_VALUE"""),"Marchal, Suzanne; Van't Hof, Arnoud W J; Hollander, Monika")</f>
        <v>Marchal, Suzanne; Van't Hof, Arnoud W J; Hollander, Monika</v>
      </c>
      <c r="AK237" s="32">
        <f>IFERROR(__xludf.DUMMYFUNCTION("""COMPUTED_VALUE"""),43066.0)</f>
        <v>43066</v>
      </c>
      <c r="AL237" s="31" t="str">
        <f>IFERROR(__xludf.DUMMYFUNCTION("""COMPUTED_VALUE"""),"Synovial-Based Tests Outperform Serum Markers to Rule Out Infection in Total Knee Arthroplasty and Total Hip Arthroplasty: A Systematic Review and Meta-Analysis.")</f>
        <v>Synovial-Based Tests Outperform Serum Markers to Rule Out Infection in Total Knee Arthroplasty and Total Hip Arthroplasty: A Systematic Review and Meta-Analysis.</v>
      </c>
      <c r="AM237" s="31" t="str">
        <f>IFERROR(__xludf.DUMMYFUNCTION("""COMPUTED_VALUE"""),"Goud, Annemarie; Nützinger, Don; van der Bij, Akke; Jenniskens, Kevin; Groenewold, Joel; de Gast, Arthur; Bekkers, Joris E J")</f>
        <v>Goud, Annemarie; Nützinger, Don; van der Bij, Akke; Jenniskens, Kevin; Groenewold, Joel; de Gast, Arthur; Bekkers, Joris E J</v>
      </c>
      <c r="AN237" s="32">
        <f>IFERROR(__xludf.DUMMYFUNCTION("""COMPUTED_VALUE"""),44551.0)</f>
        <v>44551</v>
      </c>
    </row>
    <row r="238">
      <c r="A238" s="32"/>
      <c r="I238" s="31" t="str">
        <f>IFERROR(__xludf.DUMMYFUNCTION("""COMPUTED_VALUE"""),"bmj global health")</f>
        <v>bmj global health</v>
      </c>
      <c r="J238" s="38">
        <f>COUNTIF(Data!$F$2:$F9917, $I238)</f>
        <v>11</v>
      </c>
      <c r="T238" s="31" t="s">
        <v>25951</v>
      </c>
      <c r="U238" s="31" t="s">
        <v>25952</v>
      </c>
      <c r="V238" s="32">
        <v>45484.0</v>
      </c>
      <c r="X238" s="31" t="str">
        <f>IFERROR(__xludf.DUMMYFUNCTION("""COMPUTED_VALUE"""),"Interventions for improving psychosocial well-being after stroke: A systematic review.")</f>
        <v>Interventions for improving psychosocial well-being after stroke: A systematic review.</v>
      </c>
      <c r="Y238" s="31" t="str">
        <f>IFERROR(__xludf.DUMMYFUNCTION("""COMPUTED_VALUE"""),"van Nimwegen, Dagmar; Hjelle, Ellen Gabrielsen; Bragstad, Line Kildal; Kirkevold, Marit; Sveen, Unni; Hafsteinsdóttir, Thóra; Schoonhoven, Lisette; Visser-Meily, Johanna; de Man-van Ginkel, Janneke M")</f>
        <v>van Nimwegen, Dagmar; Hjelle, Ellen Gabrielsen; Bragstad, Line Kildal; Kirkevold, Marit; Sveen, Unni; Hafsteinsdóttir, Thóra; Schoonhoven, Lisette; Visser-Meily, Johanna; de Man-van Ginkel, Janneke M</v>
      </c>
      <c r="Z238" s="31">
        <f>IFERROR(__xludf.DUMMYFUNCTION("""COMPUTED_VALUE"""),2023.0)</f>
        <v>2023</v>
      </c>
      <c r="AA238" s="31">
        <f>IFERROR(__xludf.DUMMYFUNCTION("""COMPUTED_VALUE"""),2.0)</f>
        <v>2</v>
      </c>
      <c r="AF238" s="31" t="str">
        <f>IFERROR(__xludf.DUMMYFUNCTION("""COMPUTED_VALUE"""),"Inflammation and heart failure: a two-sample Mendelian randomization study.")</f>
        <v>Inflammation and heart failure: a two-sample Mendelian randomization study.</v>
      </c>
      <c r="AG238" s="31" t="str">
        <f>IFERROR(__xludf.DUMMYFUNCTION("""COMPUTED_VALUE"""),"Remmelzwaal, Sharon; van Oort, Sabine; Handoko, M Louis; van Empel, Vanessa; Heymans, Stephane R B; Beulens, Joline W J")</f>
        <v>Remmelzwaal, Sharon; van Oort, Sabine; Handoko, M Louis; van Empel, Vanessa; Heymans, Stephane R B; Beulens, Joline W J</v>
      </c>
      <c r="AH238" s="32">
        <f>IFERROR(__xludf.DUMMYFUNCTION("""COMPUTED_VALUE"""),44811.0)</f>
        <v>44811</v>
      </c>
      <c r="AI238" s="31" t="str">
        <f>IFERROR(__xludf.DUMMYFUNCTION("""COMPUTED_VALUE"""),"Interpretability of the European Heart Failure Self-care Behaviour scale.")</f>
        <v>Interpretability of the European Heart Failure Self-care Behaviour scale.</v>
      </c>
      <c r="AJ238" s="31" t="str">
        <f>IFERROR(__xludf.DUMMYFUNCTION("""COMPUTED_VALUE"""),"Wagenaar, Kim P; Broekhuizen, Berna Dl; Rutten, Frans H; Strömberg, Anna; van Stel, Henk F; Hoes, Arno W; Jaarsma, Tiny")</f>
        <v>Wagenaar, Kim P; Broekhuizen, Berna Dl; Rutten, Frans H; Strömberg, Anna; van Stel, Henk F; Hoes, Arno W; Jaarsma, Tiny</v>
      </c>
      <c r="AK238" s="32">
        <f>IFERROR(__xludf.DUMMYFUNCTION("""COMPUTED_VALUE"""),43034.0)</f>
        <v>43034</v>
      </c>
      <c r="AL238" s="31" t="str">
        <f>IFERROR(__xludf.DUMMYFUNCTION("""COMPUTED_VALUE"""),"Association of childhood maltreatment and cortisol with the severity and stability of depression symptoms.")</f>
        <v>Association of childhood maltreatment and cortisol with the severity and stability of depression symptoms.</v>
      </c>
      <c r="AM238" s="31" t="str">
        <f>IFERROR(__xludf.DUMMYFUNCTION("""COMPUTED_VALUE"""),"Scarth, Morgan; Vonk, Jet M J; Gerritsen, Lotte; GGeerlings, Mirjam I; ,")</f>
        <v>Scarth, Morgan; Vonk, Jet M J; Gerritsen, Lotte; GGeerlings, Mirjam I; ,</v>
      </c>
      <c r="AN238" s="32">
        <f>IFERROR(__xludf.DUMMYFUNCTION("""COMPUTED_VALUE"""),44550.0)</f>
        <v>44550</v>
      </c>
    </row>
    <row r="239">
      <c r="A239" s="32"/>
      <c r="I239" s="31" t="str">
        <f>IFERROR(__xludf.DUMMYFUNCTION("""COMPUTED_VALUE"""),"palliative supportive care")</f>
        <v>palliative supportive care</v>
      </c>
      <c r="J239" s="38">
        <f>COUNTIF(Data!$F$2:$F9917, $I239)</f>
        <v>3</v>
      </c>
      <c r="T239" s="31" t="s">
        <v>24821</v>
      </c>
      <c r="U239" s="31" t="s">
        <v>24822</v>
      </c>
      <c r="V239" s="32">
        <v>45483.0</v>
      </c>
      <c r="X239" s="31" t="str">
        <f>IFERROR(__xludf.DUMMYFUNCTION("""COMPUTED_VALUE"""),"Unmasking a silent killer: Prevalence of diagnosed and undiagnosed diabetes mellitus among people living with HIV in rural South Africa.")</f>
        <v>Unmasking a silent killer: Prevalence of diagnosed and undiagnosed diabetes mellitus among people living with HIV in rural South Africa.</v>
      </c>
      <c r="Y239" s="31" t="str">
        <f>IFERROR(__xludf.DUMMYFUNCTION("""COMPUTED_VALUE"""),"de Vries, Annemiek E M; Xaba, Zanele; Moraba, Sehulong R; Goerlitz, Luise; Tempelman, Hugo A; Klipstein-Grobusch, Kerstin; Hermans, Lucas E; Scheuermaier, Karine; Devillé, Walter L J M; Vos, Alinda G")</f>
        <v>de Vries, Annemiek E M; Xaba, Zanele; Moraba, Sehulong R; Goerlitz, Luise; Tempelman, Hugo A; Klipstein-Grobusch, Kerstin; Hermans, Lucas E; Scheuermaier, Karine; Devillé, Walter L J M; Vos, Alinda G</v>
      </c>
      <c r="Z239" s="31">
        <f>IFERROR(__xludf.DUMMYFUNCTION("""COMPUTED_VALUE"""),2023.0)</f>
        <v>2023</v>
      </c>
      <c r="AA239" s="31">
        <f>IFERROR(__xludf.DUMMYFUNCTION("""COMPUTED_VALUE"""),2.0)</f>
        <v>2</v>
      </c>
      <c r="AF239" s="31" t="str">
        <f>IFERROR(__xludf.DUMMYFUNCTION("""COMPUTED_VALUE"""),"Patients' and Publics' Preferences for Data-Intensive Health Research Governance: Survey Study.")</f>
        <v>Patients' and Publics' Preferences for Data-Intensive Health Research Governance: Survey Study.</v>
      </c>
      <c r="AG239" s="31" t="str">
        <f>IFERROR(__xludf.DUMMYFUNCTION("""COMPUTED_VALUE"""),"Muller, Sam H A; van Thiel, Ghislaine J M W; Vrana, Marilena; Mostert, Menno; van Delden, Johannes J M")</f>
        <v>Muller, Sam H A; van Thiel, Ghislaine J M W; Vrana, Marilena; Mostert, Menno; van Delden, Johannes J M</v>
      </c>
      <c r="AH239" s="32">
        <f>IFERROR(__xludf.DUMMYFUNCTION("""COMPUTED_VALUE"""),44811.0)</f>
        <v>44811</v>
      </c>
      <c r="AI239" s="31" t="str">
        <f>IFERROR(__xludf.DUMMYFUNCTION("""COMPUTED_VALUE"""),"heartfailurematters.org', an educational website for patients and carers from the Heart Failure Association of the European Society of Cardiology: objectives, use and future directions.")</f>
        <v>heartfailurematters.org', an educational website for patients and carers from the Heart Failure Association of the European Society of Cardiology: objectives, use and future directions.</v>
      </c>
      <c r="AJ239" s="31" t="str">
        <f>IFERROR(__xludf.DUMMYFUNCTION("""COMPUTED_VALUE"""),"Wagenaar, Kim P; Rutten, Frans H; Klompstra, Leonie; Bhana, Yusuf; Sieverink, Floor; Ruschitzka, Frank; Seferovic, Petar M; Lainscak, Mitja; Piepoli, Massimo F; Broekhuizen, Berna D L; Strömberg, Anna; Jaarsma, Tiny; Hoes, Arno W; Dickstein, Kenneth")</f>
        <v>Wagenaar, Kim P; Rutten, Frans H; Klompstra, Leonie; Bhana, Yusuf; Sieverink, Floor; Ruschitzka, Frank; Seferovic, Petar M; Lainscak, Mitja; Piepoli, Massimo F; Broekhuizen, Berna D L; Strömberg, Anna; Jaarsma, Tiny; Hoes, Arno W; Dickstein, Kenneth</v>
      </c>
      <c r="AK239" s="32">
        <f>IFERROR(__xludf.DUMMYFUNCTION("""COMPUTED_VALUE"""),42982.0)</f>
        <v>42982</v>
      </c>
      <c r="AL239" s="31" t="str">
        <f>IFERROR(__xludf.DUMMYFUNCTION("""COMPUTED_VALUE"""),"Clinical Trial Protocol for PSMA-SELECT: A Dutch National Randomised Study of Prostate-specific Membrane Antigen Positron Emission Tomography/Computed Tomography as a Triage Tool for Pelvic Lymph Node Dissection in Patients Undergoing Radical Prostatectom"&amp;"y.")</f>
        <v>Clinical Trial Protocol for PSMA-SELECT: A Dutch National Randomised Study of Prostate-specific Membrane Antigen Positron Emission Tomography/Computed Tomography as a Triage Tool for Pelvic Lymph Node Dissection in Patients Undergoing Radical Prostatectomy.</v>
      </c>
      <c r="AM239" s="31" t="str">
        <f>IFERROR(__xludf.DUMMYFUNCTION("""COMPUTED_VALUE"""),"Soeterik, Timo F W; Wever, Lieke; Dijksman, Lea M; Frederix, Geert W J; Van Melick, Harm H E; Monninkhof, Evelyn M; Verkooijen, Helena M; Beerlage, Harrie P; van Basten, Jean-Paul A; van den Bergh, Roderick C N; ,")</f>
        <v>Soeterik, Timo F W; Wever, Lieke; Dijksman, Lea M; Frederix, Geert W J; Van Melick, Harm H E; Monninkhof, Evelyn M; Verkooijen, Helena M; Beerlage, Harrie P; van Basten, Jean-Paul A; van den Bergh, Roderick C N; ,</v>
      </c>
      <c r="AN239" s="32">
        <f>IFERROR(__xludf.DUMMYFUNCTION("""COMPUTED_VALUE"""),44550.0)</f>
        <v>44550</v>
      </c>
    </row>
    <row r="240">
      <c r="A240" s="32"/>
      <c r="I240" s="31" t="str">
        <f>IFERROR(__xludf.DUMMYFUNCTION("""COMPUTED_VALUE"""),"leukemia")</f>
        <v>leukemia</v>
      </c>
      <c r="J240" s="38">
        <f>COUNTIF(Data!$F$2:$F9917, $I240)</f>
        <v>4</v>
      </c>
      <c r="T240" s="31" t="s">
        <v>25173</v>
      </c>
      <c r="U240" s="31" t="s">
        <v>25174</v>
      </c>
      <c r="V240" s="32">
        <v>45483.0</v>
      </c>
      <c r="X240" s="31" t="str">
        <f>IFERROR(__xludf.DUMMYFUNCTION("""COMPUTED_VALUE"""),"Healthcare seeking outside healthcare facilities and antibiotic dispensing patterns in rural Burkina Faso: A mixed methods study.")</f>
        <v>Healthcare seeking outside healthcare facilities and antibiotic dispensing patterns in rural Burkina Faso: A mixed methods study.</v>
      </c>
      <c r="Y240" s="31" t="str">
        <f>IFERROR(__xludf.DUMMYFUNCTION("""COMPUTED_VALUE"""),"Valia, Daniel; Kouanda, Juste Stéphane; Ingelbeen, Brecht; Derra, Karim; Kaboré, Bérenger; Kiemdé, François; Rouamba, Toussaint; Rouamba, Eli; Hien, Franck Sovi; Campbell, Linda; Meudec, Marie; Robert, Annie; Tinto, Halidou; van der Sande, Marianne A B; V"&amp;"illalobos, Hector Rodriguez")</f>
        <v>Valia, Daniel; Kouanda, Juste Stéphane; Ingelbeen, Brecht; Derra, Karim; Kaboré, Bérenger; Kiemdé, François; Rouamba, Toussaint; Rouamba, Eli; Hien, Franck Sovi; Campbell, Linda; Meudec, Marie; Robert, Annie; Tinto, Halidou; van der Sande, Marianne A B; Villalobos, Hector Rodriguez</v>
      </c>
      <c r="Z240" s="31">
        <f>IFERROR(__xludf.DUMMYFUNCTION("""COMPUTED_VALUE"""),2023.0)</f>
        <v>2023</v>
      </c>
      <c r="AA240" s="31">
        <f>IFERROR(__xludf.DUMMYFUNCTION("""COMPUTED_VALUE"""),2.0)</f>
        <v>2</v>
      </c>
      <c r="AF240" s="31" t="str">
        <f>IFERROR(__xludf.DUMMYFUNCTION("""COMPUTED_VALUE"""),"A protocol for monitoring fidelity of a preconception-life course intervention in a middle-income setting: the Healthy Life Trajectories Initiative (HeLTI), South Africa.")</f>
        <v>A protocol for monitoring fidelity of a preconception-life course intervention in a middle-income setting: the Healthy Life Trajectories Initiative (HeLTI), South Africa.</v>
      </c>
      <c r="AG240" s="31" t="str">
        <f>IFERROR(__xludf.DUMMYFUNCTION("""COMPUTED_VALUE"""),"Soepnel, Larske M; Draper, Catherine E; Mabetha, Khuthala; Dennis, Cindy-Lee; Prioreschi, Alessandra; Lye, Stephen; Norris, Shane A")</f>
        <v>Soepnel, Larske M; Draper, Catherine E; Mabetha, Khuthala; Dennis, Cindy-Lee; Prioreschi, Alessandra; Lye, Stephen; Norris, Shane A</v>
      </c>
      <c r="AH240" s="32">
        <f>IFERROR(__xludf.DUMMYFUNCTION("""COMPUTED_VALUE"""),44810.0)</f>
        <v>44810</v>
      </c>
      <c r="AI240" s="31" t="str">
        <f>IFERROR(__xludf.DUMMYFUNCTION("""COMPUTED_VALUE"""),"Clinicians' interpretations of point of care urine culture versus laboratory culture results: analysis from the four-country POETIC trial of diagnosis of uncomplicated urinary tract infection in primary care.")</f>
        <v>Clinicians' interpretations of point of care urine culture versus laboratory culture results: analysis from the four-country POETIC trial of diagnosis of uncomplicated urinary tract infection in primary care.</v>
      </c>
      <c r="AJ240" s="31" t="str">
        <f>IFERROR(__xludf.DUMMYFUNCTION("""COMPUTED_VALUE"""),"Hullegie, Saskia; Wootton, Mandy; Verheij, Theo J M; Thomas-Jones, Emma; Bates, Janine; Hood, Kerenza; Gal, Micaela; Francis, Nick A; Little, Paul; Moore, Michael; Llor, Carl; Pickles, Timothy; Gillespie, David; Kirby, Nigel; Brugman, Curt; Butler, Christ"&amp;"opher C")</f>
        <v>Hullegie, Saskia; Wootton, Mandy; Verheij, Theo J M; Thomas-Jones, Emma; Bates, Janine; Hood, Kerenza; Gal, Micaela; Francis, Nick A; Little, Paul; Moore, Michael; Llor, Carl; Pickles, Timothy; Gillespie, David; Kirby, Nigel; Brugman, Curt; Butler, Christopher C</v>
      </c>
      <c r="AK240" s="32">
        <f>IFERROR(__xludf.DUMMYFUNCTION("""COMPUTED_VALUE"""),42948.0)</f>
        <v>42948</v>
      </c>
      <c r="AL240" s="31" t="str">
        <f>IFERROR(__xludf.DUMMYFUNCTION("""COMPUTED_VALUE"""),"Cerebrospinal fluid leakage costs after craniotomy and health economic assessment of incidence reduction from a hospital perspective in the Netherlands.")</f>
        <v>Cerebrospinal fluid leakage costs after craniotomy and health economic assessment of incidence reduction from a hospital perspective in the Netherlands.</v>
      </c>
      <c r="AM240" s="31" t="str">
        <f>IFERROR(__xludf.DUMMYFUNCTION("""COMPUTED_VALUE"""),"van Lieshout, Chris; Slot, Emma M H; Kinaci, Ahmet; Kollen, Mare H; Hoving, Eelco W; Frederix, Geert W J; van Doormaal, Tristan P C")</f>
        <v>van Lieshout, Chris; Slot, Emma M H; Kinaci, Ahmet; Kollen, Mare H; Hoving, Eelco W; Frederix, Geert W J; van Doormaal, Tristan P C</v>
      </c>
      <c r="AN240" s="32">
        <f>IFERROR(__xludf.DUMMYFUNCTION("""COMPUTED_VALUE"""),44546.0)</f>
        <v>44546</v>
      </c>
    </row>
    <row r="241">
      <c r="A241" s="32"/>
      <c r="I241" s="31" t="str">
        <f>IFERROR(__xludf.DUMMYFUNCTION("""COMPUTED_VALUE"""),"biometrical journal biometrische zeitschrift")</f>
        <v>biometrical journal biometrische zeitschrift</v>
      </c>
      <c r="J241" s="38">
        <f>COUNTIF(Data!$F$2:$F9917, $I241)</f>
        <v>6</v>
      </c>
      <c r="T241" s="31" t="s">
        <v>25271</v>
      </c>
      <c r="U241" s="31" t="s">
        <v>25272</v>
      </c>
      <c r="V241" s="32">
        <v>45483.0</v>
      </c>
      <c r="X241" s="31" t="str">
        <f>IFERROR(__xludf.DUMMYFUNCTION("""COMPUTED_VALUE"""),"Association between objective neurocognitive functioning and neurocognitive complaints in recurrent high-grade glioma: Longitudinal evidence of cognitive awareness from EORTC brain tumour trials.")</f>
        <v>Association between objective neurocognitive functioning and neurocognitive complaints in recurrent high-grade glioma: Longitudinal evidence of cognitive awareness from EORTC brain tumour trials.</v>
      </c>
      <c r="Y241" s="31" t="str">
        <f>IFERROR(__xludf.DUMMYFUNCTION("""COMPUTED_VALUE"""),"Caramanna, Ivan; Reijneveld, Jaap C; van de Ven, Peter M; van den Bent, Martin; Idbaih, Ahmed; Wick, Wolfgang; Taphoorn, Martin J B; Dirven, Linda; Bottomley, Andrew; Klein, Martin; ,")</f>
        <v>Caramanna, Ivan; Reijneveld, Jaap C; van de Ven, Peter M; van den Bent, Martin; Idbaih, Ahmed; Wick, Wolfgang; Taphoorn, Martin J B; Dirven, Linda; Bottomley, Andrew; Klein, Martin; ,</v>
      </c>
      <c r="Z241" s="31">
        <f>IFERROR(__xludf.DUMMYFUNCTION("""COMPUTED_VALUE"""),2023.0)</f>
        <v>2023</v>
      </c>
      <c r="AA241" s="31">
        <f>IFERROR(__xludf.DUMMYFUNCTION("""COMPUTED_VALUE"""),2.0)</f>
        <v>2</v>
      </c>
      <c r="AF241" s="31" t="str">
        <f>IFERROR(__xludf.DUMMYFUNCTION("""COMPUTED_VALUE"""),"Multimorbidity of communicable and non-communicable diseases in low- and middle-income countries: A systematic review.")</f>
        <v>Multimorbidity of communicable and non-communicable diseases in low- and middle-income countries: A systematic review.</v>
      </c>
      <c r="AG241" s="31" t="str">
        <f>IFERROR(__xludf.DUMMYFUNCTION("""COMPUTED_VALUE"""),"Kaluvu, Lucy; Asogwa, Ogechukwu Augustina; Marzà-Florensa, Anna; Kyobutungi, Catherine; Levitt, Naomi S; Boateng, Daniel; Klipstein-Grobusch, Kerstin")</f>
        <v>Kaluvu, Lucy; Asogwa, Ogechukwu Augustina; Marzà-Florensa, Anna; Kyobutungi, Catherine; Levitt, Naomi S; Boateng, Daniel; Klipstein-Grobusch, Kerstin</v>
      </c>
      <c r="AH241" s="32">
        <f>IFERROR(__xludf.DUMMYFUNCTION("""COMPUTED_VALUE"""),44805.0)</f>
        <v>44805</v>
      </c>
      <c r="AI241" s="31" t="str">
        <f>IFERROR(__xludf.DUMMYFUNCTION("""COMPUTED_VALUE"""),"Comparison between treatment effects in a randomised controlled trial and an observational study using propensity scores in primary care.")</f>
        <v>Comparison between treatment effects in a randomised controlled trial and an observational study using propensity scores in primary care.</v>
      </c>
      <c r="AJ241" s="31" t="str">
        <f>IFERROR(__xludf.DUMMYFUNCTION("""COMPUTED_VALUE"""),"Stuart, Beth L; Grebel, Louise En; Butler, Christopher C; Hood, Kerenza; Verheij, Theo J M; Little, Paul")</f>
        <v>Stuart, Beth L; Grebel, Louise En; Butler, Christopher C; Hood, Kerenza; Verheij, Theo J M; Little, Paul</v>
      </c>
      <c r="AK241" s="32">
        <f>IFERROR(__xludf.DUMMYFUNCTION("""COMPUTED_VALUE"""),42947.0)</f>
        <v>42947</v>
      </c>
      <c r="AL241" s="31" t="str">
        <f>IFERROR(__xludf.DUMMYFUNCTION("""COMPUTED_VALUE"""),"Is Blood Pressure Lowering in the Very Elderly With Previous Stroke Associated With a Higher Risk of Adverse Events?")</f>
        <v>Is Blood Pressure Lowering in the Very Elderly With Previous Stroke Associated With a Higher Risk of Adverse Events?</v>
      </c>
      <c r="AM241" s="31" t="str">
        <f>IFERROR(__xludf.DUMMYFUNCTION("""COMPUTED_VALUE"""),"Tharmaratnam, Damien; Karayiannis, Christopher C; Collyer, Taya A; Arima, Hisatomi; McClure, Leslie A; Chalmers, John; Anderson, Craig S; Benavente, Oscar R; White, Carole L; Algra, Ale; Moran, Chris; Phan, Thanh G; Wang, Wei C; Srikanth, Velandai; ,")</f>
        <v>Tharmaratnam, Damien; Karayiannis, Christopher C; Collyer, Taya A; Arima, Hisatomi; McClure, Leslie A; Chalmers, John; Anderson, Craig S; Benavente, Oscar R; White, Carole L; Algra, Ale; Moran, Chris; Phan, Thanh G; Wang, Wei C; Srikanth, Velandai; ,</v>
      </c>
      <c r="AN241" s="32">
        <f>IFERROR(__xludf.DUMMYFUNCTION("""COMPUTED_VALUE"""),44546.0)</f>
        <v>44546</v>
      </c>
    </row>
    <row r="242">
      <c r="A242" s="32"/>
      <c r="I242" s="31" t="str">
        <f>IFERROR(__xludf.DUMMYFUNCTION("""COMPUTED_VALUE"""),"critical reviews in oncologyhematology")</f>
        <v>critical reviews in oncologyhematology</v>
      </c>
      <c r="J242" s="38">
        <f>COUNTIF(Data!$F$2:$F9917, $I242)</f>
        <v>1</v>
      </c>
      <c r="T242" s="31" t="s">
        <v>25639</v>
      </c>
      <c r="U242" s="31" t="s">
        <v>25640</v>
      </c>
      <c r="V242" s="32">
        <v>45483.0</v>
      </c>
      <c r="X242" s="31" t="str">
        <f>IFERROR(__xludf.DUMMYFUNCTION("""COMPUTED_VALUE"""),"Different clinical features in Malawian outpatients presenting with COVID-19 prior to and during Omicron variant dominance: A prospective observational study.")</f>
        <v>Different clinical features in Malawian outpatients presenting with COVID-19 prior to and during Omicron variant dominance: A prospective observational study.</v>
      </c>
      <c r="Y242" s="31" t="str">
        <f>IFERROR(__xludf.DUMMYFUNCTION("""COMPUTED_VALUE"""),"Chibwana, Marah G; Thole, Herbert W; Anscombe, Cat; Ashton, Philip M; Green, Edward; Barnes, Kayla G; Cornick, Jen; Turner, Ann; Witte, Desiree; Nthala, Sharon; Thom, Chikondi; Kanyandula, Felistas; Ainani, Anna; Mtike, Natasha; Tambala, Hope; N'goma, Ver"&amp;"onica; Mwafulirwa, Dorah; Asima, Erick; Morton, Ben; Gmeiner, Markus; Gundah, Zaziwe; Kawalazira, Gift; French, Neil; Feasey, Nicholas; Heyderman, Robert S; Swarthout, Todd D; Jambo, Kondwani C")</f>
        <v>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v>
      </c>
      <c r="Z242" s="31">
        <f>IFERROR(__xludf.DUMMYFUNCTION("""COMPUTED_VALUE"""),2023.0)</f>
        <v>2023</v>
      </c>
      <c r="AA242" s="31">
        <f>IFERROR(__xludf.DUMMYFUNCTION("""COMPUTED_VALUE"""),2.0)</f>
        <v>2</v>
      </c>
      <c r="AF242" s="31" t="str">
        <f>IFERROR(__xludf.DUMMYFUNCTION("""COMPUTED_VALUE"""),"Obstetric referral processes and the role of inter-facility communication: the district-level experience in the Greater Accra region of Ghana.")</f>
        <v>Obstetric referral processes and the role of inter-facility communication: the district-level experience in the Greater Accra region of Ghana.</v>
      </c>
      <c r="AG242" s="31" t="str">
        <f>IFERROR(__xludf.DUMMYFUNCTION("""COMPUTED_VALUE"""),"Amoakoh-Coleman, Mary; Klipstein-Grobusch, Kerstin; Vidzro, Edem S; Arhinful, Daniel K; Ansah, Evelyn K")</f>
        <v>Amoakoh-Coleman, Mary; Klipstein-Grobusch, Kerstin; Vidzro, Edem S; Arhinful, Daniel K; Ansah, Evelyn K</v>
      </c>
      <c r="AH242" s="32">
        <f>IFERROR(__xludf.DUMMYFUNCTION("""COMPUTED_VALUE"""),44805.0)</f>
        <v>44805</v>
      </c>
      <c r="AI242" s="31" t="str">
        <f>IFERROR(__xludf.DUMMYFUNCTION("""COMPUTED_VALUE"""),"Person-centred type 2 diabetes care: time for a paradigm shift.")</f>
        <v>Person-centred type 2 diabetes care: time for a paradigm shift.</v>
      </c>
      <c r="AJ242" s="31" t="str">
        <f>IFERROR(__xludf.DUMMYFUNCTION("""COMPUTED_VALUE"""),"Rutten, Guy E H M; Alzaid, Aus")</f>
        <v>Rutten, Guy E H M; Alzaid, Aus</v>
      </c>
      <c r="AK242" s="32">
        <f>IFERROR(__xludf.DUMMYFUNCTION("""COMPUTED_VALUE"""),42895.0)</f>
        <v>42895</v>
      </c>
      <c r="AL242" s="31" t="str">
        <f>IFERROR(__xludf.DUMMYFUNCTION("""COMPUTED_VALUE"""),"Lifestyle correlates of eight breast cancer-related metabolites: a cross-sectional study within the EPIC cohort.")</f>
        <v>Lifestyle correlates of eight breast cancer-related metabolites: a cross-sectional study within the EPIC cohort.</v>
      </c>
      <c r="AM242" s="31" t="str">
        <f>IFERROR(__xludf.DUMMYFUNCTION("""COMPUTED_VALUE"""),"His, Mathilde; Viallon, Vivian; Dossus, Laure; Schmidt, Julie A; Travis, Ruth C; Gunter, Marc J; Overvad, Kim; Kyrø, Cecilie; Tjønneland, Anne; Lécuyer, Lucie; Rothwell, Joseph A; Severi, Gianluca; Johnson, Theron; Katzke, Verena; Schulze, Matthias B; Mas"&amp;"ala, Giovanna; Sieri, Sabina; Panico, Salvatore; Tumino, Rosario; Macciotta, Alessandra; Boer, Jolanda M A; Monninkhof, Evelyn M; Olsen, Karina Standahl; Nøst, Therese H; Sandanger, Torkjel M; Agudo, Antonio; Sánchez, Maria-Jose; Amiano, Pilar; Colorado-Y"&amp;"ohar, Sandra M; Ardanaz, Eva; Vidman, Linda; Winkvist, Anna; Heath, Alicia K; Weiderpass, Elisabete; Huybrechts, Inge; Rinaldi, Sabina")</f>
        <v>His, Mathilde; Viallon, Vivian; Dossus, Laure; Schmidt, Julie A; Travis, Ruth C; Gunter, Marc J; Overvad, Kim; Kyrø, Cecilie; Tjønneland, Anne; Lécuyer, Lucie; Rothwell, Joseph A; Severi, Gianluca; Johnson, Theron; Katzke, Verena; Schulze, Matthias B; Masala, Giovanna; Sieri, Sabina; Panico, Salvatore; Tumino, Rosario; Macciotta, Alessandra; Boer, Jolanda M A; Monninkhof, Evelyn M; Olsen, Karina Standahl; Nøst, Therese H; Sandanger, Torkjel M; Agudo, Antonio; Sánchez, Maria-Jose; Amiano, Pilar; Colorado-Yohar, Sandra M; Ardanaz, Eva; Vidman, Linda; Winkvist, Anna; Heath, Alicia K; Weiderpass, Elisabete; Huybrechts, Inge; Rinaldi, Sabina</v>
      </c>
      <c r="AN242" s="32">
        <f>IFERROR(__xludf.DUMMYFUNCTION("""COMPUTED_VALUE"""),44540.0)</f>
        <v>44540</v>
      </c>
    </row>
    <row r="243">
      <c r="A243" s="32"/>
      <c r="I243" s="31" t="str">
        <f>IFERROR(__xludf.DUMMYFUNCTION("""COMPUTED_VALUE"""),"iscience")</f>
        <v>iscience</v>
      </c>
      <c r="J243" s="38">
        <f>COUNTIF(Data!$F$2:$F9917, $I243)</f>
        <v>1</v>
      </c>
      <c r="T243" s="31" t="s">
        <v>25758</v>
      </c>
      <c r="U243" s="31" t="s">
        <v>25759</v>
      </c>
      <c r="V243" s="32">
        <v>45483.0</v>
      </c>
      <c r="X243" s="31" t="str">
        <f>IFERROR(__xludf.DUMMYFUNCTION("""COMPUTED_VALUE"""),"ICSH guidance for INR and D-dimer testing using point of care testing in primary care.")</f>
        <v>ICSH guidance for INR and D-dimer testing using point of care testing in primary care.</v>
      </c>
      <c r="Y243" s="31" t="str">
        <f>IFERROR(__xludf.DUMMYFUNCTION("""COMPUTED_VALUE"""),"Fitzmaurice, David A; Geersing, Geert-Jan; Armoiry, Xavier; Machin, Sam; Kitchen, Steve; Mackie, Ian")</f>
        <v>Fitzmaurice, David A; Geersing, Geert-Jan; Armoiry, Xavier; Machin, Sam; Kitchen, Steve; Mackie, Ian</v>
      </c>
      <c r="Z243" s="31">
        <f>IFERROR(__xludf.DUMMYFUNCTION("""COMPUTED_VALUE"""),2023.0)</f>
        <v>2023</v>
      </c>
      <c r="AA243" s="31">
        <f>IFERROR(__xludf.DUMMYFUNCTION("""COMPUTED_VALUE"""),2.0)</f>
        <v>2</v>
      </c>
      <c r="AF243" s="31" t="str">
        <f>IFERROR(__xludf.DUMMYFUNCTION("""COMPUTED_VALUE"""),"A Population Pharmacokinetic Modelling Approach to Unravel the Complex Pharmacokinetics of Vincristine in Children.")</f>
        <v>A Population Pharmacokinetic Modelling Approach to Unravel the Complex Pharmacokinetics of Vincristine in Children.</v>
      </c>
      <c r="AG243" s="31" t="str">
        <f>IFERROR(__xludf.DUMMYFUNCTION("""COMPUTED_VALUE"""),"Nijstad, A Laura; Chu, Wan-Yu; de Vos-Kerkhof, Evelien; Enters-Weijnen, Catherine F; van de Velde, Mirjam E; Kaspers, Gertjan J L; Barnett, Shelby; Veal, Gareth J; Lalmohamed, Arief; Zwaan, C Michel; Huitema, Alwin D R")</f>
        <v>Nijstad, A Laura; Chu, Wan-Yu; de Vos-Kerkhof, Evelien; Enters-Weijnen, Catherine F; van de Velde, Mirjam E; Kaspers, Gertjan J L; Barnett, Shelby; Veal, Gareth J; Lalmohamed, Arief; Zwaan, C Michel; Huitema, Alwin D R</v>
      </c>
      <c r="AH243" s="32">
        <f>IFERROR(__xludf.DUMMYFUNCTION("""COMPUTED_VALUE"""),44792.0)</f>
        <v>44792</v>
      </c>
      <c r="AI243" s="31" t="str">
        <f>IFERROR(__xludf.DUMMYFUNCTION("""COMPUTED_VALUE"""),"The impact of penicillin allergy labels on antibiotic and health care use in primary care: a retrospective cohort study.")</f>
        <v>The impact of penicillin allergy labels on antibiotic and health care use in primary care: a retrospective cohort study.</v>
      </c>
      <c r="AJ243" s="31" t="str">
        <f>IFERROR(__xludf.DUMMYFUNCTION("""COMPUTED_VALUE"""),"Su, Tanly; Broekhuizen, Berna D L; Verheij, Theo J M; Rockmann, Heike")</f>
        <v>Su, Tanly; Broekhuizen, Berna D L; Verheij, Theo J M; Rockmann, Heike</v>
      </c>
      <c r="AK243" s="32">
        <f>IFERROR(__xludf.DUMMYFUNCTION("""COMPUTED_VALUE"""),42893.0)</f>
        <v>42893</v>
      </c>
      <c r="AL243" s="31" t="str">
        <f>IFERROR(__xludf.DUMMYFUNCTION("""COMPUTED_VALUE"""),"Time for change: Transitions between HIV risk levels and determinants of behavior change in men who have sex with men.")</f>
        <v>Time for change: Transitions between HIV risk levels and determinants of behavior change in men who have sex with men.</v>
      </c>
      <c r="AM243" s="31" t="str">
        <f>IFERROR(__xludf.DUMMYFUNCTION("""COMPUTED_VALUE"""),"Basten, Maartje G J; van Wees, Daphne A; Matser, Amy; Boyd, Anders; Rozhnova, Ganna; den Daas, Chantal; Kretzschmar, Mirjam E E; Heijne, Janneke C M")</f>
        <v>Basten, Maartje G J; van Wees, Daphne A; Matser, Amy; Boyd, Anders; Rozhnova, Ganna; den Daas, Chantal; Kretzschmar, Mirjam E E; Heijne, Janneke C M</v>
      </c>
      <c r="AN243" s="32">
        <f>IFERROR(__xludf.DUMMYFUNCTION("""COMPUTED_VALUE"""),44539.0)</f>
        <v>44539</v>
      </c>
    </row>
    <row r="244">
      <c r="A244" s="32"/>
      <c r="I244" s="31" t="str">
        <f>IFERROR(__xludf.DUMMYFUNCTION("""COMPUTED_VALUE"""),"european heart journal open")</f>
        <v>european heart journal open</v>
      </c>
      <c r="J244" s="38">
        <f>COUNTIF(Data!$F$2:$F9917, $I244)</f>
        <v>5</v>
      </c>
      <c r="T244" s="31" t="s">
        <v>25358</v>
      </c>
      <c r="U244" s="31" t="s">
        <v>25359</v>
      </c>
      <c r="V244" s="32">
        <v>45482.0</v>
      </c>
      <c r="X244" s="31" t="str">
        <f>IFERROR(__xludf.DUMMYFUNCTION("""COMPUTED_VALUE"""),"A grounded theory study on the dynamics of parental grief during the children's end of life.")</f>
        <v>A grounded theory study on the dynamics of parental grief during the children's end of life.</v>
      </c>
      <c r="Y244" s="31" t="str">
        <f>IFERROR(__xludf.DUMMYFUNCTION("""COMPUTED_VALUE"""),"Kochen, Eline M; Grootenhuis, Martha A; Teunissen, Saskia C C M; Boelen, Paul A; Tataranno, Maria-Luisa; Fahner, Jurrianne C; de Jonge, Roos R; Houben, Michiel L; Kars, Marijke C; ,")</f>
        <v>Kochen, Eline M; Grootenhuis, Martha A; Teunissen, Saskia C C M; Boelen, Paul A; Tataranno, Maria-Luisa; Fahner, Jurrianne C; de Jonge, Roos R; Houben, Michiel L; Kars, Marijke C; ,</v>
      </c>
      <c r="Z244" s="31">
        <f>IFERROR(__xludf.DUMMYFUNCTION("""COMPUTED_VALUE"""),2023.0)</f>
        <v>2023</v>
      </c>
      <c r="AA244" s="31">
        <f>IFERROR(__xludf.DUMMYFUNCTION("""COMPUTED_VALUE"""),2.0)</f>
        <v>2</v>
      </c>
      <c r="AF244" s="31" t="str">
        <f>IFERROR(__xludf.DUMMYFUNCTION("""COMPUTED_VALUE"""),"Evaluation of a Text Messaging Intervention to Promote Preconception Micronutrient Supplement Use: Feasibility Study Nested in the Healthy Life Trajectories Initiative Study in South Africa.")</f>
        <v>Evaluation of a Text Messaging Intervention to Promote Preconception Micronutrient Supplement Use: Feasibility Study Nested in the Healthy Life Trajectories Initiative Study in South Africa.</v>
      </c>
      <c r="AG244" s="31" t="str">
        <f>IFERROR(__xludf.DUMMYFUNCTION("""COMPUTED_VALUE"""),"Soepnel, Larske M; McKinley, Michelle C; Klingberg, Sonja; Draper, Catherine E; Prioreschi, Alessandra; Norris, Shane A; Ware, Lisa J")</f>
        <v>Soepnel, Larske M; McKinley, Michelle C; Klingberg, Sonja; Draper, Catherine E; Prioreschi, Alessandra; Norris, Shane A; Ware, Lisa J</v>
      </c>
      <c r="AH244" s="32">
        <f>IFERROR(__xludf.DUMMYFUNCTION("""COMPUTED_VALUE"""),44791.0)</f>
        <v>44791</v>
      </c>
      <c r="AI244" s="31" t="str">
        <f>IFERROR(__xludf.DUMMYFUNCTION("""COMPUTED_VALUE"""),"Clinical failure is more common in young children with acute otitis media who receive a short course of antibiotics compared with standard duration.")</f>
        <v>Clinical failure is more common in young children with acute otitis media who receive a short course of antibiotics compared with standard duration.</v>
      </c>
      <c r="AJ244" s="31" t="str">
        <f>IFERROR(__xludf.DUMMYFUNCTION("""COMPUTED_VALUE"""),"Venekamp, Roderick P; Schilder, Anne G M")</f>
        <v>Venekamp, Roderick P; Schilder, Anne G M</v>
      </c>
      <c r="AK244" s="32">
        <f>IFERROR(__xludf.DUMMYFUNCTION("""COMPUTED_VALUE"""),42837.0)</f>
        <v>42837</v>
      </c>
      <c r="AL244" s="31" t="str">
        <f>IFERROR(__xludf.DUMMYFUNCTION("""COMPUTED_VALUE"""),"Correction to: Definition and Prioritization of Data Elements for Cohort Studies and Clinical Trials on Patients with Unruptured Intracranial Aneurysms: Proposal of a Multidisciplinary Research Group.")</f>
        <v>Correction to: Definition and Prioritization of Data Elements for Cohort Studies and Clinical Trials on Patients with Unruptured Intracranial Aneurysms: Proposal of a Multidisciplinary Research Group.</v>
      </c>
      <c r="AM244" s="31" t="str">
        <f>IFERROR(__xludf.DUMMYFUNCTION("""COMPUTED_VALUE"""),"Hackenberg, Katharina A M; Algra, Ale; Al-Shahi Salman, Rustam; Frösen, Juhana; Hasan, David; Juvela, Seppo; Langer, David; Meyers, Philip; Morita, Akio; Rinkel, Gabriel; Etminan, Nima; ,")</f>
        <v>Hackenberg, Katharina A M; Algra, Ale; Al-Shahi Salman, Rustam; Frösen, Juhana; Hasan, David; Juvela, Seppo; Langer, David; Meyers, Philip; Morita, Akio; Rinkel, Gabriel; Etminan, Nima; ,</v>
      </c>
      <c r="AN244" s="32">
        <f>IFERROR(__xludf.DUMMYFUNCTION("""COMPUTED_VALUE"""),44531.0)</f>
        <v>44531</v>
      </c>
    </row>
    <row r="245">
      <c r="A245" s="32"/>
      <c r="I245" s="31" t="str">
        <f>IFERROR(__xludf.DUMMYFUNCTION("""COMPUTED_VALUE"""),"aids london england")</f>
        <v>aids london england</v>
      </c>
      <c r="J245" s="38">
        <f>COUNTIF(Data!$F$2:$F9917, $I245)</f>
        <v>7</v>
      </c>
      <c r="T245" s="31" t="s">
        <v>24981</v>
      </c>
      <c r="U245" s="31" t="s">
        <v>24982</v>
      </c>
      <c r="V245" s="32">
        <v>45481.0</v>
      </c>
      <c r="X245" s="31" t="str">
        <f>IFERROR(__xludf.DUMMYFUNCTION("""COMPUTED_VALUE"""),"The prevalence and intensity of late effects in patients with testicular germ cell tumors: A first step of instrument development using a stepwise approach.")</f>
        <v>The prevalence and intensity of late effects in patients with testicular germ cell tumors: A first step of instrument development using a stepwise approach.</v>
      </c>
      <c r="Y245" s="31" t="str">
        <f>IFERROR(__xludf.DUMMYFUNCTION("""COMPUTED_VALUE"""),"Enzlin, Roos; Vervoort, Sigrid C J M; Suelmann, Britt B M; Meijer, Richard P; Teunissen, Saskia C C M; Zweers, Danielle")</f>
        <v>Enzlin, Roos; Vervoort, Sigrid C J M; Suelmann, Britt B M; Meijer, Richard P; Teunissen, Saskia C C M; Zweers, Danielle</v>
      </c>
      <c r="Z245" s="31">
        <f>IFERROR(__xludf.DUMMYFUNCTION("""COMPUTED_VALUE"""),2023.0)</f>
        <v>2023</v>
      </c>
      <c r="AA245" s="31">
        <f>IFERROR(__xludf.DUMMYFUNCTION("""COMPUTED_VALUE"""),2.0)</f>
        <v>2</v>
      </c>
      <c r="AF245" s="31" t="str">
        <f>IFERROR(__xludf.DUMMYFUNCTION("""COMPUTED_VALUE"""),"DNA methylation trajectories and accelerated epigenetic aging in incident type 2 diabetes.")</f>
        <v>DNA methylation trajectories and accelerated epigenetic aging in incident type 2 diabetes.</v>
      </c>
      <c r="AG245" s="31" t="str">
        <f>IFERROR(__xludf.DUMMYFUNCTION("""COMPUTED_VALUE"""),"Fraszczyk, Eliza; Thio, Chris H L; Wackers, Paul; Dollé, Martijn E T; Bloks, Vincent W; Hodemaekers, Hennie; Picavet, H Susan; Stynenbosch, Marjolein; Verschuren, W M Monique; Snieder, Harold; Spijkerman, Annemieke M W; Luijten, Mirjam")</f>
        <v>Fraszczyk, Eliza; Thio, Chris H L; Wackers, Paul; Dollé, Martijn E T; Bloks, Vincent W; Hodemaekers, Hennie; Picavet, H Susan; Stynenbosch, Marjolein; Verschuren, W M Monique; Snieder, Harold; Spijkerman, Annemieke M W; Luijten, Mirjam</v>
      </c>
      <c r="AH245" s="32">
        <f>IFERROR(__xludf.DUMMYFUNCTION("""COMPUTED_VALUE"""),44783.0)</f>
        <v>44783</v>
      </c>
      <c r="AI245" s="31" t="str">
        <f>IFERROR(__xludf.DUMMYFUNCTION("""COMPUTED_VALUE"""),"Difficulty Managing Medications and Finances in Older Adults: A 10-year Cohort Study.")</f>
        <v>Difficulty Managing Medications and Finances in Older Adults: A 10-year Cohort Study.</v>
      </c>
      <c r="AJ245" s="31" t="str">
        <f>IFERROR(__xludf.DUMMYFUNCTION("""COMPUTED_VALUE"""),"Bleijenberg, Nienke; Smith, Alexander K; Lee, Sei J; Cenzer, Irena Stijacic; Boscardin, John W; Covinsky, Kenneth E")</f>
        <v>Bleijenberg, Nienke; Smith, Alexander K; Lee, Sei J; Cenzer, Irena Stijacic; Boscardin, John W; Covinsky, Kenneth E</v>
      </c>
      <c r="AK245" s="32">
        <f>IFERROR(__xludf.DUMMYFUNCTION("""COMPUTED_VALUE"""),42830.0)</f>
        <v>42830</v>
      </c>
      <c r="AL245" s="31" t="str">
        <f>IFERROR(__xludf.DUMMYFUNCTION("""COMPUTED_VALUE"""),"Predictors of Incident Mild Cognitive Impairment and Its Course in a Diverse Community-Based Population.")</f>
        <v>Predictors of Incident Mild Cognitive Impairment and Its Course in a Diverse Community-Based Population.</v>
      </c>
      <c r="AM245" s="31" t="str">
        <f>IFERROR(__xludf.DUMMYFUNCTION("""COMPUTED_VALUE"""),"Angevaare, Milou J; Vonk, Jet M J; Bertola, Laiss; Zahodne, Laura; Watson, Caitlin Wei-Ming; Boehme, Amelia; Schupf, Nicole; Mayeux, Richard; Geerlings, Mirjam I; Manly, Jennifer J")</f>
        <v>Angevaare, Milou J; Vonk, Jet M J; Bertola, Laiss; Zahodne, Laura; Watson, Caitlin Wei-Ming; Boehme, Amelia; Schupf, Nicole; Mayeux, Richard; Geerlings, Mirjam I; Manly, Jennifer J</v>
      </c>
      <c r="AN245" s="32">
        <f>IFERROR(__xludf.DUMMYFUNCTION("""COMPUTED_VALUE"""),44531.0)</f>
        <v>44531</v>
      </c>
    </row>
    <row r="246">
      <c r="A246" s="32"/>
      <c r="I246" s="31" t="str">
        <f>IFERROR(__xludf.DUMMYFUNCTION("""COMPUTED_VALUE"""),"journal of critical care")</f>
        <v>journal of critical care</v>
      </c>
      <c r="J246" s="38">
        <f>COUNTIF(Data!$F$2:$F9917, $I246)</f>
        <v>5</v>
      </c>
      <c r="T246" s="31" t="s">
        <v>25275</v>
      </c>
      <c r="U246" s="31" t="s">
        <v>25276</v>
      </c>
      <c r="V246" s="32">
        <v>45481.0</v>
      </c>
      <c r="X246" s="31" t="str">
        <f>IFERROR(__xludf.DUMMYFUNCTION("""COMPUTED_VALUE"""),"[Not Available].")</f>
        <v>[Not Available].</v>
      </c>
      <c r="Y246" s="31" t="str">
        <f>IFERROR(__xludf.DUMMYFUNCTION("""COMPUTED_VALUE"""),"van Maanen, Rosanne; Rutten, Frans; Blom, Jeanet; Langers, Pieter; Cals, Jochen; Nierman, Melchior; Geersing, G J")</f>
        <v>van Maanen, Rosanne; Rutten, Frans; Blom, Jeanet; Langers, Pieter; Cals, Jochen; Nierman, Melchior; Geersing, G J</v>
      </c>
      <c r="Z246" s="31">
        <f>IFERROR(__xludf.DUMMYFUNCTION("""COMPUTED_VALUE"""),2023.0)</f>
        <v>2023</v>
      </c>
      <c r="AA246" s="31">
        <f>IFERROR(__xludf.DUMMYFUNCTION("""COMPUTED_VALUE"""),2.0)</f>
        <v>2</v>
      </c>
      <c r="AF246" s="31" t="str">
        <f>IFERROR(__xludf.DUMMYFUNCTION("""COMPUTED_VALUE"""),"Causal Association of Cardiovascular Risk Factors and Lifestyle Behaviors With Peripheral Artery Disease: A Mendelian Randomization Approach.")</f>
        <v>Causal Association of Cardiovascular Risk Factors and Lifestyle Behaviors With Peripheral Artery Disease: A Mendelian Randomization Approach.</v>
      </c>
      <c r="AG246" s="31" t="str">
        <f>IFERROR(__xludf.DUMMYFUNCTION("""COMPUTED_VALUE"""),"Hoek, Anna G; van Oort, Sabine; Elders, Petra J M; Beulens, Joline W J")</f>
        <v>Hoek, Anna G; van Oort, Sabine; Elders, Petra J M; Beulens, Joline W J</v>
      </c>
      <c r="AH246" s="32">
        <f>IFERROR(__xludf.DUMMYFUNCTION("""COMPUTED_VALUE"""),44778.0)</f>
        <v>44778</v>
      </c>
      <c r="AI246" s="31" t="str">
        <f>IFERROR(__xludf.DUMMYFUNCTION("""COMPUTED_VALUE"""),"Effect of structural animal health planning on antimicrobial use and animal health variables in conventional dairy farming in the Netherlands.")</f>
        <v>Effect of structural animal health planning on antimicrobial use and animal health variables in conventional dairy farming in the Netherlands.</v>
      </c>
      <c r="AJ246" s="31" t="str">
        <f>IFERROR(__xludf.DUMMYFUNCTION("""COMPUTED_VALUE"""),"Speksnijder, David C; Graveland, Haitske; Eijck, Ineke A J M; Schepers, René W M; Heederik, Dick J J; Verheij, Theo J M; Wagenaar, Jaap A")</f>
        <v>Speksnijder, David C; Graveland, Haitske; Eijck, Ineke A J M; Schepers, René W M; Heederik, Dick J J; Verheij, Theo J M; Wagenaar, Jaap A</v>
      </c>
      <c r="AK246" s="32">
        <f>IFERROR(__xludf.DUMMYFUNCTION("""COMPUTED_VALUE"""),42830.0)</f>
        <v>42830</v>
      </c>
      <c r="AL246" s="31" t="str">
        <f>IFERROR(__xludf.DUMMYFUNCTION("""COMPUTED_VALUE"""),"Pharmacotherapy for smoking cessation: effects by subgroup defined by genetically informed biomarkers.")</f>
        <v>Pharmacotherapy for smoking cessation: effects by subgroup defined by genetically informed biomarkers.</v>
      </c>
      <c r="AM246" s="31" t="str">
        <f>IFERROR(__xludf.DUMMYFUNCTION("""COMPUTED_VALUE"""),"Schuit, Ewoud; Panagiotou, Orestis A; Munafò, Marcus R; Bennett, Derrick A; Bergen, Andrew W; David, Sean P")</f>
        <v>Schuit, Ewoud; Panagiotou, Orestis A; Munafò, Marcus R; Bennett, Derrick A; Bergen, Andrew W; David, Sean P</v>
      </c>
      <c r="AN246" s="32">
        <f>IFERROR(__xludf.DUMMYFUNCTION("""COMPUTED_VALUE"""),44530.0)</f>
        <v>44530</v>
      </c>
    </row>
    <row r="247">
      <c r="A247" s="32"/>
      <c r="I247" s="31" t="str">
        <f>IFERROR(__xludf.DUMMYFUNCTION("""COMPUTED_VALUE"""),"trials")</f>
        <v>trials</v>
      </c>
      <c r="J247" s="38">
        <f>COUNTIF(Data!$F$2:$F9917, $I247)</f>
        <v>36</v>
      </c>
      <c r="T247" s="31" t="s">
        <v>25290</v>
      </c>
      <c r="U247" s="31" t="s">
        <v>25291</v>
      </c>
      <c r="V247" s="32">
        <v>45481.0</v>
      </c>
      <c r="X247" s="31" t="str">
        <f>IFERROR(__xludf.DUMMYFUNCTION("""COMPUTED_VALUE"""),"Predictors of healthy physiological aging across generations in a 30-year population-based cohort study: the Doetinchem Cohort Study.")</f>
        <v>Predictors of healthy physiological aging across generations in a 30-year population-based cohort study: the Doetinchem Cohort Study.</v>
      </c>
      <c r="Y247" s="31" t="str">
        <f>IFERROR(__xludf.DUMMYFUNCTION("""COMPUTED_VALUE"""),"Loef, Bette; Herber, Gerrie-Cor M; Wong, Albert; Janssen, Nicole A H; Hoekstra, Jurriaan; Picavet, H Susan J; Verschuren, W M Monique")</f>
        <v>Loef, Bette; Herber, Gerrie-Cor M; Wong, Albert; Janssen, Nicole A H; Hoekstra, Jurriaan; Picavet, H Susan J; Verschuren, W M Monique</v>
      </c>
      <c r="Z247" s="31">
        <f>IFERROR(__xludf.DUMMYFUNCTION("""COMPUTED_VALUE"""),2023.0)</f>
        <v>2023</v>
      </c>
      <c r="AA247" s="31">
        <f>IFERROR(__xludf.DUMMYFUNCTION("""COMPUTED_VALUE"""),2.0)</f>
        <v>2</v>
      </c>
      <c r="AF247" s="31" t="str">
        <f>IFERROR(__xludf.DUMMYFUNCTION("""COMPUTED_VALUE"""),"Cultural adaptation of a diabetes self-management education and support (DSMES) programme for two low resource urban settings in Ghana, during the COVID-19 era.")</f>
        <v>Cultural adaptation of a diabetes self-management education and support (DSMES) programme for two low resource urban settings in Ghana, during the COVID-19 era.</v>
      </c>
      <c r="AG247" s="31" t="str">
        <f>IFERROR(__xludf.DUMMYFUNCTION("""COMPUTED_VALUE"""),"Lamptey, Roberta; Davies, Melanie J; Khunti, Kamlesh; Schreder, Sally; Stribling, Bernie; Hadjiconstantinou, Michelle")</f>
        <v>Lamptey, Roberta; Davies, Melanie J; Khunti, Kamlesh; Schreder, Sally; Stribling, Bernie; Hadjiconstantinou, Michelle</v>
      </c>
      <c r="AH247" s="32">
        <f>IFERROR(__xludf.DUMMYFUNCTION("""COMPUTED_VALUE"""),44778.0)</f>
        <v>44778</v>
      </c>
      <c r="AI247" s="31" t="str">
        <f>IFERROR(__xludf.DUMMYFUNCTION("""COMPUTED_VALUE"""),"Antibiotic management of children with infectious diseases in Dutch Primary Care.")</f>
        <v>Antibiotic management of children with infectious diseases in Dutch Primary Care.</v>
      </c>
      <c r="AJ247" s="31" t="str">
        <f>IFERROR(__xludf.DUMMYFUNCTION("""COMPUTED_VALUE"""),"Dekker, Anne R J; Verheij, Theo J M; van der Velden, Alike W")</f>
        <v>Dekker, Anne R J; Verheij, Theo J M; van der Velden, Alike W</v>
      </c>
      <c r="AK247" s="32">
        <f>IFERROR(__xludf.DUMMYFUNCTION("""COMPUTED_VALUE"""),42826.0)</f>
        <v>42826</v>
      </c>
      <c r="AL247" s="31" t="str">
        <f>IFERROR(__xludf.DUMMYFUNCTION("""COMPUTED_VALUE"""),"Depressive symptom profiles predict dementia onset and brain pathology in older persons. The AGES-Reykjavik study.")</f>
        <v>Depressive symptom profiles predict dementia onset and brain pathology in older persons. The AGES-Reykjavik study.</v>
      </c>
      <c r="AM247" s="31" t="str">
        <f>IFERROR(__xludf.DUMMYFUNCTION("""COMPUTED_VALUE"""),"Gerritsen, Lotte; Sigurdsson, Sigurdur; Jonsson, Palmi V; Gudnason, Vilmundur; Launer, Lenore J; Geerlings, Mirjam I")</f>
        <v>Gerritsen, Lotte; Sigurdsson, Sigurdur; Jonsson, Palmi V; Gudnason, Vilmundur; Launer, Lenore J; Geerlings, Mirjam I</v>
      </c>
      <c r="AN247" s="32">
        <f>IFERROR(__xludf.DUMMYFUNCTION("""COMPUTED_VALUE"""),44527.0)</f>
        <v>44527</v>
      </c>
    </row>
    <row r="248">
      <c r="A248" s="32"/>
      <c r="I248" s="31" t="str">
        <f>IFERROR(__xludf.DUMMYFUNCTION("""COMPUTED_VALUE"""),"international journal of population data science")</f>
        <v>international journal of population data science</v>
      </c>
      <c r="J248" s="38">
        <f>COUNTIF(Data!$F$2:$F9917, $I248)</f>
        <v>1</v>
      </c>
      <c r="T248" s="31" t="s">
        <v>25427</v>
      </c>
      <c r="U248" s="31" t="s">
        <v>25428</v>
      </c>
      <c r="V248" s="32">
        <v>45478.0</v>
      </c>
      <c r="X248" s="31" t="str">
        <f>IFERROR(__xludf.DUMMYFUNCTION("""COMPUTED_VALUE"""),"The impact of circadian rhythm on Bacillus Calmette-Guérin vaccination effects on SARS-CoV-2 infections.")</f>
        <v>The impact of circadian rhythm on Bacillus Calmette-Guérin vaccination effects on SARS-CoV-2 infections.</v>
      </c>
      <c r="Y248" s="31" t="str">
        <f>IFERROR(__xludf.DUMMYFUNCTION("""COMPUTED_VALUE"""),"Föhse, Konstantin; Taks, Esther J M; Moorlag, Simone J C F M; Bonten, Marc J M; van Crevel, Reinout; Ten Oever, Jaap; van Werkhoven, Cornelis H; Netea, Mihai G; van de Maat, Josephine S; Hoogerwerf, Jacobien J")</f>
        <v>Föhse, Konstantin; Taks, Esther J M; Moorlag, Simone J C F M; Bonten, Marc J M; van Crevel, Reinout; Ten Oever, Jaap; van Werkhoven, Cornelis H; Netea, Mihai G; van de Maat, Josephine S; Hoogerwerf, Jacobien J</v>
      </c>
      <c r="Z248" s="31">
        <f>IFERROR(__xludf.DUMMYFUNCTION("""COMPUTED_VALUE"""),2023.0)</f>
        <v>2023</v>
      </c>
      <c r="AA248" s="31">
        <f>IFERROR(__xludf.DUMMYFUNCTION("""COMPUTED_VALUE"""),2.0)</f>
        <v>2</v>
      </c>
      <c r="AF248" s="31" t="str">
        <f>IFERROR(__xludf.DUMMYFUNCTION("""COMPUTED_VALUE"""),"Diet-wide association study of 92 foods and nutrients and lung cancer risk in the European Prospective Investigation into Cancer and Nutrition study and the Netherlands Cohort Study.")</f>
        <v>Diet-wide association study of 92 foods and nutrients and lung cancer risk in the European Prospective Investigation into Cancer and Nutrition study and the Netherlands Cohort Study.</v>
      </c>
      <c r="AG248" s="31" t="str">
        <f>IFERROR(__xludf.DUMMYFUNCTION("""COMPUTED_VALUE"""),"Heath, Alicia K; Muller, David C; van den Brandt, Piet A; Critselis, Elena; Gunter, Marc; Vineis, Paolo; Weiderpass, Elisabete; Boeing, Heiner; Ferrari, Pietro; Merritt, Melissa A; Rostgaard-Hansen, Agnetha L; Tjønneland, Anne; Overvad, Kim; Katzke, Veren"&amp;"a; Srour, Bernard; Masala, Giovanna; Sacerdote, Carlotta; Ricceri, Fulvio; Pasanisi, Fabrizio; Bueno-de-Mesquita, Bas; Downward, George S; Skeie, Guri; Sandanger, Torkjel M; Crous-Bou, Marta; Rodríguez-Barranco, Miguel; Amiano, Pilar; Huerta, José María; "&amp;"Ardanaz, Eva; Drake, Isabel; Johansson, Mikael; Johansson, Ingegerd; Key, Tim; Papadimitriou, Nikos; Riboli, Elio; Tzoulaki, Ioanna; Tsilidis, Konstantinos K")</f>
        <v>Heath, Alicia K; Muller, David C; van den Brandt, Piet A; Critselis, Elena; Gunter, Marc; Vineis, Paolo; Weiderpass, Elisabete; Boeing, Heiner; Ferrari, Pietro; Merritt, Melissa A; Rostgaard-Hansen, Agnetha L; Tjønneland, Anne; Overvad, Kim; Katzke, Verena; Srour, Bernard; Masala, Giovanna; Sacerdote, Carlotta; Ricceri, Fulvio; Pasanisi, Fabrizio; Bueno-de-Mesquita, Bas; Downward, George S; Skeie, Guri; Sandanger, Torkjel M; Crous-Bou, Marta; Rodríguez-Barranco, Miguel; Amiano, Pilar; Huerta, José María; Ardanaz, Eva; Drake, Isabel; Johansson, Mikael; Johansson, Ingegerd; Key, Tim; Papadimitriou, Nikos; Riboli, Elio; Tzoulaki, Ioanna; Tsilidis, Konstantinos K</v>
      </c>
      <c r="AH248" s="32">
        <f>IFERROR(__xludf.DUMMYFUNCTION("""COMPUTED_VALUE"""),44777.0)</f>
        <v>44777</v>
      </c>
      <c r="AI248" s="31" t="str">
        <f>IFERROR(__xludf.DUMMYFUNCTION("""COMPUTED_VALUE"""),"Panel 7: Otitis Media: Treatment and Complications.")</f>
        <v>Panel 7: Otitis Media: Treatment and Complications.</v>
      </c>
      <c r="AJ248" s="31" t="str">
        <f>IFERROR(__xludf.DUMMYFUNCTION("""COMPUTED_VALUE"""),"Schilder, Anne G M; Marom, Tal; Bhutta, Mahmood F; Casselbrant, Margaretha L; Coates, Harvey; Gisselsson-Solén, Marie; Hall, Amanda J; Marchisio, Paola; Ruohola, Aino; Venekamp, Roderick P; Mandel, Ellen M")</f>
        <v>Schilder, Anne G M; Marom, Tal; Bhutta, Mahmood F; Casselbrant, Margaretha L; Coates, Harvey; Gisselsson-Solén, Marie; Hall, Amanda J; Marchisio, Paola; Ruohola, Aino; Venekamp, Roderick P; Mandel, Ellen M</v>
      </c>
      <c r="AK248" s="32">
        <f>IFERROR(__xludf.DUMMYFUNCTION("""COMPUTED_VALUE"""),42826.0)</f>
        <v>42826</v>
      </c>
      <c r="AL248" s="31" t="str">
        <f>IFERROR(__xludf.DUMMYFUNCTION("""COMPUTED_VALUE"""),"Cost-effectiveness of whole-exome sequencing in progressive neurological disorders of children.")</f>
        <v>Cost-effectiveness of whole-exome sequencing in progressive neurological disorders of children.</v>
      </c>
      <c r="AM248" s="31" t="str">
        <f>IFERROR(__xludf.DUMMYFUNCTION("""COMPUTED_VALUE"""),"Aaltio, Juho; Hyttinen, Virva; Kortelainen, Mika; Frederix, Gerardus W J; Lönnqvist, Tuula; Suomalainen, Anu; Isohanni, Pirjo")</f>
        <v>Aaltio, Juho; Hyttinen, Virva; Kortelainen, Mika; Frederix, Gerardus W J; Lönnqvist, Tuula; Suomalainen, Anu; Isohanni, Pirjo</v>
      </c>
      <c r="AN248" s="32">
        <f>IFERROR(__xludf.DUMMYFUNCTION("""COMPUTED_VALUE"""),44520.0)</f>
        <v>44520</v>
      </c>
    </row>
    <row r="249">
      <c r="A249" s="32"/>
      <c r="I249" s="31" t="str">
        <f>IFERROR(__xludf.DUMMYFUNCTION("""COMPUTED_VALUE"""),"frontiers in psychology")</f>
        <v>frontiers in psychology</v>
      </c>
      <c r="J249" s="38">
        <f>COUNTIF(Data!$F$2:$F9917, $I249)</f>
        <v>5</v>
      </c>
      <c r="T249" s="31" t="s">
        <v>25576</v>
      </c>
      <c r="U249" s="31" t="s">
        <v>25577</v>
      </c>
      <c r="V249" s="32">
        <v>45477.0</v>
      </c>
      <c r="X249" s="31" t="str">
        <f>IFERROR(__xludf.DUMMYFUNCTION("""COMPUTED_VALUE"""),"Maximizing the effects of physical activity on cardiovascular health: a matter of time?")</f>
        <v>Maximizing the effects of physical activity on cardiovascular health: a matter of time?</v>
      </c>
      <c r="Y249" s="31" t="str">
        <f>IFERROR(__xludf.DUMMYFUNCTION("""COMPUTED_VALUE"""),"Hernández Vargas, Juliana Alexandra; Trujillo-Cáceres, Silvia Juliana; Uriza-Pinzón, Julieth Pilar; Franco, Oscar H")</f>
        <v>Hernández Vargas, Juliana Alexandra; Trujillo-Cáceres, Silvia Juliana; Uriza-Pinzón, Julieth Pilar; Franco, Oscar H</v>
      </c>
      <c r="Z249" s="31">
        <f>IFERROR(__xludf.DUMMYFUNCTION("""COMPUTED_VALUE"""),2023.0)</f>
        <v>2023</v>
      </c>
      <c r="AA249" s="31">
        <f>IFERROR(__xludf.DUMMYFUNCTION("""COMPUTED_VALUE"""),2.0)</f>
        <v>2</v>
      </c>
      <c r="AF249" s="31" t="str">
        <f>IFERROR(__xludf.DUMMYFUNCTION("""COMPUTED_VALUE"""),"Drop-offs in the isoniazid preventive therapy cascade among children living with HIV in western Kenya, 2015-2019.")</f>
        <v>Drop-offs in the isoniazid preventive therapy cascade among children living with HIV in western Kenya, 2015-2019.</v>
      </c>
      <c r="AG249" s="31" t="str">
        <f>IFERROR(__xludf.DUMMYFUNCTION("""COMPUTED_VALUE"""),"Onyango, Dickens Otieno; van der Sande, Marianne A B; Yuen, Courtney M; Mecha, Jerphason; Matemo, Daniel; Oele, Elizabeth; Kinuthia, John; John-Stewart, Grace; LaCourse, Sylvia M")</f>
        <v>Onyango, Dickens Otieno; van der Sande, Marianne A B; Yuen, Courtney M; Mecha, Jerphason; Matemo, Daniel; Oele, Elizabeth; Kinuthia, John; John-Stewart, Grace; LaCourse, Sylvia M</v>
      </c>
      <c r="AH249" s="32">
        <f>IFERROR(__xludf.DUMMYFUNCTION("""COMPUTED_VALUE"""),44774.0)</f>
        <v>44774</v>
      </c>
      <c r="AI249" s="31" t="str">
        <f>IFERROR(__xludf.DUMMYFUNCTION("""COMPUTED_VALUE"""),"Aspects and Intensity of Pediatric Palliative Case Management Provided by a Hospital-Based Case Management Team: A Comparative Study Between Children With Malignant and Nonmalignant Disease.")</f>
        <v>Aspects and Intensity of Pediatric Palliative Case Management Provided by a Hospital-Based Case Management Team: A Comparative Study Between Children With Malignant and Nonmalignant Disease.</v>
      </c>
      <c r="AJ249" s="31" t="str">
        <f>IFERROR(__xludf.DUMMYFUNCTION("""COMPUTED_VALUE"""),"Jagt-van Kampen, Charissa T; Colenbrander, Derk A; Bosman, Diederik K; Grootenhuis, Martha A; Kars, Marijke C; Schouten-van Meeteren, Antoinette Yn")</f>
        <v>Jagt-van Kampen, Charissa T; Colenbrander, Derk A; Bosman, Diederik K; Grootenhuis, Martha A; Kars, Marijke C; Schouten-van Meeteren, Antoinette Yn</v>
      </c>
      <c r="AK249" s="32">
        <f>IFERROR(__xludf.DUMMYFUNCTION("""COMPUTED_VALUE"""),42786.0)</f>
        <v>42786</v>
      </c>
      <c r="AL249" s="31" t="str">
        <f>IFERROR(__xludf.DUMMYFUNCTION("""COMPUTED_VALUE"""),"Missing data is poorly handled and reported in prediction model studies using machine learning: a literature review.")</f>
        <v>Missing data is poorly handled and reported in prediction model studies using machine learning: a literature review.</v>
      </c>
      <c r="AM249" s="31" t="str">
        <f>IFERROR(__xludf.DUMMYFUNCTION("""COMPUTED_VALUE"""),"Nijman, Swj; Leeuwenberg, A M; Beekers, I; Verkouter, I; Jacobs, Jjl; Bots, M L; Asselbergs, F W; Moons, Kgm; Debray, Tpa")</f>
        <v>Nijman, Swj; Leeuwenberg, A M; Beekers, I; Verkouter, I; Jacobs, Jjl; Bots, M L; Asselbergs, F W; Moons, Kgm; Debray, Tpa</v>
      </c>
      <c r="AN249" s="32">
        <f>IFERROR(__xludf.DUMMYFUNCTION("""COMPUTED_VALUE"""),44516.0)</f>
        <v>44516</v>
      </c>
    </row>
    <row r="250">
      <c r="A250" s="32"/>
      <c r="I250" s="31" t="str">
        <f>IFERROR(__xludf.DUMMYFUNCTION("""COMPUTED_VALUE"""),"clinical and translational radiation oncology")</f>
        <v>clinical and translational radiation oncology</v>
      </c>
      <c r="J250" s="38">
        <f>COUNTIF(Data!$F$2:$F9917, $I250)</f>
        <v>2</v>
      </c>
      <c r="T250" s="31" t="s">
        <v>25631</v>
      </c>
      <c r="U250" s="31" t="s">
        <v>25632</v>
      </c>
      <c r="V250" s="32">
        <v>45476.0</v>
      </c>
      <c r="X250" s="31" t="str">
        <f>IFERROR(__xludf.DUMMYFUNCTION("""COMPUTED_VALUE"""),"Perioperative Systemic Therapy Versus Cytoreductive Surgery and HIPEC Alone for Resectable Colorectal Peritoneal Metastases: Patient-Reported Outcomes of a Randomized Phase II Trial.")</f>
        <v>Perioperative Systemic Therapy Versus Cytoreductive Surgery and HIPEC Alone for Resectable Colorectal Peritoneal Metastases: Patient-Reported Outcomes of a Randomized Phase II Trial.</v>
      </c>
      <c r="Y250" s="31" t="str">
        <f>IFERROR(__xludf.DUMMYFUNCTION("""COMPUTED_VALUE"""),"Bakkers, C; Rovers, K P; Rijken, A; Simkens, G A A M; Bonhof, C S; Nienhuijs, S W; Burger, J W A; Creemers, G J M; Brandt-Kerkhof, A R M; Tuynman, J B; Aalbers, A G J; Wiezer, M J; de Reuver, P R; van Grevenstein, W M U; Hemmer, P H J; Punt, C J A; Tanis,"&amp;" P J; Mols, F; de Hingh, I H J T; ,")</f>
        <v>Bakkers, C; Rovers, K P; Rijken, A; Simkens, G A A M; Bonhof, C S; Nienhuijs, S W; Burger, J W A; Creemers, G J M; Brandt-Kerkhof, A R M; Tuynman, J B; Aalbers, A G J; Wiezer, M J; de Reuver, P R; van Grevenstein, W M U; Hemmer, P H J; Punt, C J A; Tanis, P J; Mols, F; de Hingh, I H J T; ,</v>
      </c>
      <c r="Z250" s="31">
        <f>IFERROR(__xludf.DUMMYFUNCTION("""COMPUTED_VALUE"""),2023.0)</f>
        <v>2023</v>
      </c>
      <c r="AA250" s="31">
        <f>IFERROR(__xludf.DUMMYFUNCTION("""COMPUTED_VALUE"""),2.0)</f>
        <v>2</v>
      </c>
      <c r="AF250" s="31" t="str">
        <f>IFERROR(__xludf.DUMMYFUNCTION("""COMPUTED_VALUE"""),"Short-Term Changes in Serum Potassium and the Risk of Subsequent Vascular Events and Mortality: Results from a Randomized Controlled Trial of ACE Inhibitors.")</f>
        <v>Short-Term Changes in Serum Potassium and the Risk of Subsequent Vascular Events and Mortality: Results from a Randomized Controlled Trial of ACE Inhibitors.</v>
      </c>
      <c r="AG250" s="31" t="str">
        <f>IFERROR(__xludf.DUMMYFUNCTION("""COMPUTED_VALUE"""),"Ohkuma, Toshiaki; Harris, Katie; Cooper, Mark; Grobbee, Diederick E; Hamet, Pavel; Harrap, Stephen; Mancia, Giuseppe; Marre, Michel; Patel, Anushka; Rodgers, Anthony; Williams, Bryan; Woodward, Mark; Chalmers, John; ,")</f>
        <v>Ohkuma, Toshiaki; Harris, Katie; Cooper, Mark; Grobbee, Diederick E; Hamet, Pavel; Harrap, Stephen; Mancia, Giuseppe; Marre, Michel; Patel, Anushka; Rodgers, Anthony; Williams, Bryan; Woodward, Mark; Chalmers, John; ,</v>
      </c>
      <c r="AH250" s="32">
        <f>IFERROR(__xludf.DUMMYFUNCTION("""COMPUTED_VALUE"""),44769.0)</f>
        <v>44769</v>
      </c>
      <c r="AI250" s="31" t="str">
        <f>IFERROR(__xludf.DUMMYFUNCTION("""COMPUTED_VALUE"""),"A prospective study on the characteristics and subjects of pediatric palliative care case management provided by a hospital based palliative care team.")</f>
        <v>A prospective study on the characteristics and subjects of pediatric palliative care case management provided by a hospital based palliative care team.</v>
      </c>
      <c r="AJ250" s="31" t="str">
        <f>IFERROR(__xludf.DUMMYFUNCTION("""COMPUTED_VALUE"""),"Jagt-van Kampen, Charissa T; Kars, Marijke C; Colenbrander, Derk A; Bosman, Diederik K; Grootenhuis, Martha A; Caron, Huib N; Schouten-van Meeteren, Antoinette Y N")</f>
        <v>Jagt-van Kampen, Charissa T; Kars, Marijke C; Colenbrander, Derk A; Bosman, Diederik K; Grootenhuis, Martha A; Caron, Huib N; Schouten-van Meeteren, Antoinette Y N</v>
      </c>
      <c r="AK250" s="32">
        <f>IFERROR(__xludf.DUMMYFUNCTION("""COMPUTED_VALUE"""),42747.0)</f>
        <v>42747</v>
      </c>
      <c r="AL250" s="31" t="str">
        <f>IFERROR(__xludf.DUMMYFUNCTION("""COMPUTED_VALUE"""),"Diagnostic value of routine chest tube tip culture in surgery for noninfectious lung disease.")</f>
        <v>Diagnostic value of routine chest tube tip culture in surgery for noninfectious lung disease.</v>
      </c>
      <c r="AM250" s="31" t="str">
        <f>IFERROR(__xludf.DUMMYFUNCTION("""COMPUTED_VALUE"""),"van Schelt, Martijn; Jenniskens, Kevin; Rentenaar, Rob J; Bronsveld, Inez")</f>
        <v>van Schelt, Martijn; Jenniskens, Kevin; Rentenaar, Rob J; Bronsveld, Inez</v>
      </c>
      <c r="AN250" s="32">
        <f>IFERROR(__xludf.DUMMYFUNCTION("""COMPUTED_VALUE"""),44510.0)</f>
        <v>44510</v>
      </c>
    </row>
    <row r="251">
      <c r="A251" s="32"/>
      <c r="I251" s="31" t="str">
        <f>IFERROR(__xludf.DUMMYFUNCTION("""COMPUTED_VALUE"""),"biology of sex differences")</f>
        <v>biology of sex differences</v>
      </c>
      <c r="J251" s="38">
        <f>COUNTIF(Data!$F$2:$F9917, $I251)</f>
        <v>2</v>
      </c>
      <c r="T251" s="31" t="s">
        <v>25295</v>
      </c>
      <c r="U251" s="31" t="s">
        <v>25296</v>
      </c>
      <c r="V251" s="32">
        <v>45475.0</v>
      </c>
      <c r="X251" s="31" t="str">
        <f>IFERROR(__xludf.DUMMYFUNCTION("""COMPUTED_VALUE"""),"Dealing with missing data using the Heckman selection model: methods primer for epidemiologists.")</f>
        <v>Dealing with missing data using the Heckman selection model: methods primer for epidemiologists.</v>
      </c>
      <c r="Y251" s="31" t="str">
        <f>IFERROR(__xludf.DUMMYFUNCTION("""COMPUTED_VALUE"""),"Muñoz, Johanna; Hufstedler, Heather; Gustafson, Paul; Bärnighausen, Till; De Jong, Valentijn M T; Debray, Thomas P A")</f>
        <v>Muñoz, Johanna; Hufstedler, Heather; Gustafson, Paul; Bärnighausen, Till; De Jong, Valentijn M T; Debray, Thomas P A</v>
      </c>
      <c r="Z251" s="31">
        <f>IFERROR(__xludf.DUMMYFUNCTION("""COMPUTED_VALUE"""),2023.0)</f>
        <v>2023</v>
      </c>
      <c r="AA251" s="31">
        <f>IFERROR(__xludf.DUMMYFUNCTION("""COMPUTED_VALUE"""),2.0)</f>
        <v>2</v>
      </c>
      <c r="AF251" s="31" t="str">
        <f>IFERROR(__xludf.DUMMYFUNCTION("""COMPUTED_VALUE"""),"The cardiovascular benefits of breastfeeding to mothers.")</f>
        <v>The cardiovascular benefits of breastfeeding to mothers.</v>
      </c>
      <c r="AG251" s="31" t="str">
        <f>IFERROR(__xludf.DUMMYFUNCTION("""COMPUTED_VALUE"""),"Tschiderer, Lena; Willeit, Peter; Peters, Sanne A E")</f>
        <v>Tschiderer, Lena; Willeit, Peter; Peters, Sanne A E</v>
      </c>
      <c r="AH251" s="32">
        <f>IFERROR(__xludf.DUMMYFUNCTION("""COMPUTED_VALUE"""),44760.0)</f>
        <v>44760</v>
      </c>
      <c r="AI251" s="31" t="str">
        <f>IFERROR(__xludf.DUMMYFUNCTION("""COMPUTED_VALUE"""),"[Health advocacy in medical student education].")</f>
        <v>[Health advocacy in medical student education].</v>
      </c>
      <c r="AJ251" s="31" t="str">
        <f>IFERROR(__xludf.DUMMYFUNCTION("""COMPUTED_VALUE"""),"Damoiseaux, R A M J; Soethout, M B M")</f>
        <v>Damoiseaux, R A M J; Soethout, M B M</v>
      </c>
      <c r="AK251" s="32">
        <f>IFERROR(__xludf.DUMMYFUNCTION("""COMPUTED_VALUE"""),42736.0)</f>
        <v>42736</v>
      </c>
      <c r="AL251" s="31" t="str">
        <f>IFERROR(__xludf.DUMMYFUNCTION("""COMPUTED_VALUE"""),"The relationship between hormonal contraception and cervical dysplasia/cancer controlling for human papillomavirus infection: A systematic review.")</f>
        <v>The relationship between hormonal contraception and cervical dysplasia/cancer controlling for human papillomavirus infection: A systematic review.</v>
      </c>
      <c r="AM251" s="31" t="str">
        <f>IFERROR(__xludf.DUMMYFUNCTION("""COMPUTED_VALUE"""),"Anastasiou, Elle; McCarthy, Katharine J; Gollub, Erica L; Ralph, Lauren; van de Wijgert, Janneke H H M; Jones, Heidi E")</f>
        <v>Anastasiou, Elle; McCarthy, Katharine J; Gollub, Erica L; Ralph, Lauren; van de Wijgert, Janneke H H M; Jones, Heidi E</v>
      </c>
      <c r="AN251" s="32">
        <f>IFERROR(__xludf.DUMMYFUNCTION("""COMPUTED_VALUE"""),44506.0)</f>
        <v>44506</v>
      </c>
    </row>
    <row r="252">
      <c r="A252" s="32"/>
      <c r="I252" s="31" t="str">
        <f>IFERROR(__xludf.DUMMYFUNCTION("""COMPUTED_VALUE"""),"international journal of radiation oncology biology physics")</f>
        <v>international journal of radiation oncology biology physics</v>
      </c>
      <c r="J252" s="38">
        <f>COUNTIF(Data!$F$2:$F9917, $I252)</f>
        <v>11</v>
      </c>
      <c r="T252" s="31" t="s">
        <v>25814</v>
      </c>
      <c r="U252" s="31" t="s">
        <v>25815</v>
      </c>
      <c r="V252" s="32">
        <v>45475.0</v>
      </c>
      <c r="X252" s="31" t="str">
        <f>IFERROR(__xludf.DUMMYFUNCTION("""COMPUTED_VALUE"""),"Availability of evidence and comparative effectiveness for surgical versus drug interventions: an overview of systematic reviews.")</f>
        <v>Availability of evidence and comparative effectiveness for surgical versus drug interventions: an overview of systematic reviews.</v>
      </c>
      <c r="Y252" s="31" t="str">
        <f>IFERROR(__xludf.DUMMYFUNCTION("""COMPUTED_VALUE"""),"Zavalis, Emmanuel A; Rameau, Anaïs; Saraswathula, Anirudh; Vist, Joachim; Schuit, Ewoud; Ioannidis, John P A")</f>
        <v>Zavalis, Emmanuel A; Rameau, Anaïs; Saraswathula, Anirudh; Vist, Joachim; Schuit, Ewoud; Ioannidis, John P A</v>
      </c>
      <c r="Z252" s="31">
        <f>IFERROR(__xludf.DUMMYFUNCTION("""COMPUTED_VALUE"""),2023.0)</f>
        <v>2023</v>
      </c>
      <c r="AA252" s="31">
        <f>IFERROR(__xludf.DUMMYFUNCTION("""COMPUTED_VALUE"""),2.0)</f>
        <v>2</v>
      </c>
      <c r="AF252" s="31" t="str">
        <f>IFERROR(__xludf.DUMMYFUNCTION("""COMPUTED_VALUE"""),"The longitudinal association between chronic stress and (visceral) obesity over seven years in the general population: The Hoorn Studies.")</f>
        <v>The longitudinal association between chronic stress and (visceral) obesity over seven years in the general population: The Hoorn Studies.</v>
      </c>
      <c r="AG252" s="31" t="str">
        <f>IFERROR(__xludf.DUMMYFUNCTION("""COMPUTED_VALUE"""),"Siddiqui, Noreen Z; Beulens, Joline W J; van der Vliet, Nina; den Braver, Nicole R; Elders, Petra J M; Rutters, Femke")</f>
        <v>Siddiqui, Noreen Z; Beulens, Joline W J; van der Vliet, Nina; den Braver, Nicole R; Elders, Petra J M; Rutters, Femke</v>
      </c>
      <c r="AH252" s="32">
        <f>IFERROR(__xludf.DUMMYFUNCTION("""COMPUTED_VALUE"""),44760.0)</f>
        <v>44760</v>
      </c>
      <c r="AI252" s="31" t="str">
        <f>IFERROR(__xludf.DUMMYFUNCTION("""COMPUTED_VALUE"""),"Research Into Childhood Obstructive Sleep-Disordered Breathing: A Systematic Review.")</f>
        <v>Research Into Childhood Obstructive Sleep-Disordered Breathing: A Systematic Review.</v>
      </c>
      <c r="AJ252" s="31" t="str">
        <f>IFERROR(__xludf.DUMMYFUNCTION("""COMPUTED_VALUE"""),"Venekamp, Roderick P; Chandrasekharan, Deepak; Abel, Francois; Blackshaw, Helen; Kreis, Irene A; Evans, Hannah E R; Schilder, Anne G M")</f>
        <v>Venekamp, Roderick P; Chandrasekharan, Deepak; Abel, Francois; Blackshaw, Helen; Kreis, Irene A; Evans, Hannah E R; Schilder, Anne G M</v>
      </c>
      <c r="AK252" s="32">
        <f>IFERROR(__xludf.DUMMYFUNCTION("""COMPUTED_VALUE"""),42718.0)</f>
        <v>42718</v>
      </c>
      <c r="AL252" s="31" t="str">
        <f>IFERROR(__xludf.DUMMYFUNCTION("""COMPUTED_VALUE"""),"Economic evaluations of exome and genome sequencing in pediatric genetics: considerations towards a consensus strategy.")</f>
        <v>Economic evaluations of exome and genome sequencing in pediatric genetics: considerations towards a consensus strategy.</v>
      </c>
      <c r="AM252" s="31" t="str">
        <f>IFERROR(__xludf.DUMMYFUNCTION("""COMPUTED_VALUE"""),"Olde Keizer, Richelle A C M; Henneman, Lidewij; Ploos van Amstel, Johannes Kristian; Vissers, Lisenka E L M; Frederix, Gerardus W J")</f>
        <v>Olde Keizer, Richelle A C M; Henneman, Lidewij; Ploos van Amstel, Johannes Kristian; Vissers, Lisenka E L M; Frederix, Gerardus W J</v>
      </c>
      <c r="AN252" s="32">
        <f>IFERROR(__xludf.DUMMYFUNCTION("""COMPUTED_VALUE"""),44501.0)</f>
        <v>44501</v>
      </c>
    </row>
    <row r="253">
      <c r="A253" s="32"/>
      <c r="I253" s="31" t="str">
        <f>IFERROR(__xludf.DUMMYFUNCTION("""COMPUTED_VALUE"""),"the journal of clinical endocrinology and metabolism")</f>
        <v>the journal of clinical endocrinology and metabolism</v>
      </c>
      <c r="J253" s="38">
        <f>COUNTIF(Data!$F$2:$F9917, $I253)</f>
        <v>15</v>
      </c>
      <c r="T253" s="31" t="s">
        <v>24729</v>
      </c>
      <c r="U253" s="31" t="s">
        <v>24730</v>
      </c>
      <c r="V253" s="32">
        <v>45474.0</v>
      </c>
      <c r="X253" s="31" t="str">
        <f>IFERROR(__xludf.DUMMYFUNCTION("""COMPUTED_VALUE"""),"Patterns in the Use of Heart Failure Telemonitoring: Post Hoc Analysis of the e-Vita Heart Failure Trial.")</f>
        <v>Patterns in the Use of Heart Failure Telemonitoring: Post Hoc Analysis of the e-Vita Heart Failure Trial.</v>
      </c>
      <c r="Y253" s="31" t="str">
        <f>IFERROR(__xludf.DUMMYFUNCTION("""COMPUTED_VALUE"""),"Brons, Maaike; Ten Klooster, Iris; van Gemert-Pijnen, Lisette; Jaarsma, Tiny; Asselbergs, Folkert W; Oerlemans, Marish I F J; Koudstaal, Stefan; Rutten, Frans H")</f>
        <v>Brons, Maaike; Ten Klooster, Iris; van Gemert-Pijnen, Lisette; Jaarsma, Tiny; Asselbergs, Folkert W; Oerlemans, Marish I F J; Koudstaal, Stefan; Rutten, Frans H</v>
      </c>
      <c r="Z253" s="31">
        <f>IFERROR(__xludf.DUMMYFUNCTION("""COMPUTED_VALUE"""),2023.0)</f>
        <v>2023</v>
      </c>
      <c r="AA253" s="31">
        <f>IFERROR(__xludf.DUMMYFUNCTION("""COMPUTED_VALUE"""),2.0)</f>
        <v>2</v>
      </c>
      <c r="AF253" s="31" t="str">
        <f>IFERROR(__xludf.DUMMYFUNCTION("""COMPUTED_VALUE"""),"The development and feasibility study of Multidisciplinary Timely Undertaken Advance Care Planning conversations at the outpatient clinic: the MUTUAL intervention.")</f>
        <v>The development and feasibility study of Multidisciplinary Timely Undertaken Advance Care Planning conversations at the outpatient clinic: the MUTUAL intervention.</v>
      </c>
      <c r="AG253" s="31" t="str">
        <f>IFERROR(__xludf.DUMMYFUNCTION("""COMPUTED_VALUE"""),"van Lummel, Eline V T J; Savelkoul, Claudia; Stemerdink, Eva L E; Tjan, Dave H T; van Delden, Johannes J M")</f>
        <v>van Lummel, Eline V T J; Savelkoul, Claudia; Stemerdink, Eva L E; Tjan, Dave H T; van Delden, Johannes J M</v>
      </c>
      <c r="AH253" s="32">
        <f>IFERROR(__xludf.DUMMYFUNCTION("""COMPUTED_VALUE"""),44748.0)</f>
        <v>44748</v>
      </c>
      <c r="AI253" s="31" t="str">
        <f>IFERROR(__xludf.DUMMYFUNCTION("""COMPUTED_VALUE"""),"Usefulness of quality indicators for antibiotic use: case study for the Netherlands.")</f>
        <v>Usefulness of quality indicators for antibiotic use: case study for the Netherlands.</v>
      </c>
      <c r="AJ253" s="31" t="str">
        <f>IFERROR(__xludf.DUMMYFUNCTION("""COMPUTED_VALUE"""),"van der Velden, Alike W; Roukens, Monique; van de Garde, Ewoudt; Lourens, Marco; Natsch, Stephanie; ,")</f>
        <v>van der Velden, Alike W; Roukens, Monique; van de Garde, Ewoudt; Lourens, Marco; Natsch, Stephanie; ,</v>
      </c>
      <c r="AK253" s="32">
        <f>IFERROR(__xludf.DUMMYFUNCTION("""COMPUTED_VALUE"""),42705.0)</f>
        <v>42705</v>
      </c>
      <c r="AL253" s="31" t="str">
        <f>IFERROR(__xludf.DUMMYFUNCTION("""COMPUTED_VALUE"""),"Quantifying heterogeneity in sexual behaviour and distribution of STIs before and after pre-exposure prophylaxis among men who have sex with men.")</f>
        <v>Quantifying heterogeneity in sexual behaviour and distribution of STIs before and after pre-exposure prophylaxis among men who have sex with men.</v>
      </c>
      <c r="AM253" s="31" t="str">
        <f>IFERROR(__xludf.DUMMYFUNCTION("""COMPUTED_VALUE"""),"van Wees, Daphne Amanda; Diexer, Sophie; Rozhnova, Ganna; Matser, Amy; den Daas, Chantal; Heijne, Janneke; Kretzschmar, Mirjam")</f>
        <v>van Wees, Daphne Amanda; Diexer, Sophie; Rozhnova, Ganna; Matser, Amy; den Daas, Chantal; Heijne, Janneke; Kretzschmar, Mirjam</v>
      </c>
      <c r="AN253" s="32">
        <f>IFERROR(__xludf.DUMMYFUNCTION("""COMPUTED_VALUE"""),44498.0)</f>
        <v>44498</v>
      </c>
    </row>
    <row r="254">
      <c r="A254" s="32"/>
      <c r="I254" s="31" t="str">
        <f>IFERROR(__xludf.DUMMYFUNCTION("""COMPUTED_VALUE"""),"mathematical biosciences and engineering mbe")</f>
        <v>mathematical biosciences and engineering mbe</v>
      </c>
      <c r="J254" s="38">
        <f>COUNTIF(Data!$F$2:$F9917, $I254)</f>
        <v>1</v>
      </c>
      <c r="T254" s="31" t="s">
        <v>25084</v>
      </c>
      <c r="U254" s="31" t="s">
        <v>25085</v>
      </c>
      <c r="V254" s="32">
        <v>45474.0</v>
      </c>
      <c r="X254" s="31" t="str">
        <f>IFERROR(__xludf.DUMMYFUNCTION("""COMPUTED_VALUE"""),"Association between classes and subclasses of polyphenol intake and 5-year body weight changes in the EPIC-PANACEA study.")</f>
        <v>Association between classes and subclasses of polyphenol intake and 5-year body weight changes in the EPIC-PANACEA study.</v>
      </c>
      <c r="Y254" s="31" t="str">
        <f>IFERROR(__xludf.DUMMYFUNCTION("""COMPUTED_VALUE"""),"Castañeda, Jazmin; Gil-Lespinard, Mercedes; Almanza-Aguilera, Enrique; Llaha, Fjorida; Gómez, Jesús-Humberto; Bondonno, Nicola; Tjønneland, Anne; Overvad, Kim; Katzke, Verena; Schulze, Matthias B; Masala, Giovanna; Agnoli, Claudia; Santucci de Magistris, "&amp;"Maria; Tumino, Rosario; Sacerdote, Carlotta; Skeie, Guri; Brustad, Magritt; Lasheras, Cristina; Molina-Montes, Esther; Chirlaque, María-Dolores; Barricarte, Aurelio; Sonestedt, Emily; da Silva, Marisa; Johansson, Ingegerd; Hultdin, Johan; May, Anne M; For"&amp;"ouhi, Nita G; Heath, Alicia K; Freisling, Heinz; Weiderpass, Elisabete; Scalbert, Augustin; Zamora-Ros, Raul")</f>
        <v>Castañeda, Jazmin; Gil-Lespinard, Mercedes; Almanza-Aguilera, Enrique; Llaha, Fjorida; Gómez, Jesús-Humberto; Bondonno, Nicola; Tjønneland, Anne; Overvad, Kim; Katzke, Verena; Schulze, Matthias B; Masala, Giovanna; Agnoli, Claudia; Santucci de Magistris, Maria; Tumino, Rosario; Sacerdote, Carlotta; Skeie, Guri; Brustad, Magritt; Lasheras, Cristina; Molina-Montes, Esther; Chirlaque, María-Dolores; Barricarte, Aurelio; Sonestedt, Emily; da Silva, Marisa; Johansson, Ingegerd; Hultdin, Johan; May, Anne M; Forouhi, Nita G; Heath, Alicia K; Freisling, Heinz; Weiderpass, Elisabete; Scalbert, Augustin; Zamora-Ros, Raul</v>
      </c>
      <c r="Z254" s="31">
        <f>IFERROR(__xludf.DUMMYFUNCTION("""COMPUTED_VALUE"""),2023.0)</f>
        <v>2023</v>
      </c>
      <c r="AA254" s="31">
        <f>IFERROR(__xludf.DUMMYFUNCTION("""COMPUTED_VALUE"""),2.0)</f>
        <v>2</v>
      </c>
      <c r="AF254" s="31" t="str">
        <f>IFERROR(__xludf.DUMMYFUNCTION("""COMPUTED_VALUE"""),"Drivers of Routine and Outbreak Vaccination Uptake in the Western Democratic Republic of Congo: An Exploratory Study in Ten Health Zones.")</f>
        <v>Drivers of Routine and Outbreak Vaccination Uptake in the Western Democratic Republic of Congo: An Exploratory Study in Ten Health Zones.</v>
      </c>
      <c r="AG254" s="31" t="str">
        <f>IFERROR(__xludf.DUMMYFUNCTION("""COMPUTED_VALUE"""),"Peckeu-Abboud, Laurene; Mangoni, Patrick; Chammam, Kaouther; Kwete, Papy; Mutombo Lupola, Patrick; Vanlerberghe, Veerle; Yango, Jepsy; Meudec, Marie; Ifufa, Christian; van der Sande, Marianne A B; Madinga Ntwan, Joule; Mbala, Placide")</f>
        <v>Peckeu-Abboud, Laurene; Mangoni, Patrick; Chammam, Kaouther; Kwete, Papy; Mutombo Lupola, Patrick; Vanlerberghe, Veerle; Yango, Jepsy; Meudec, Marie; Ifufa, Christian; van der Sande, Marianne A B; Madinga Ntwan, Joule; Mbala, Placide</v>
      </c>
      <c r="AH254" s="32">
        <f>IFERROR(__xludf.DUMMYFUNCTION("""COMPUTED_VALUE"""),44743.0)</f>
        <v>44743</v>
      </c>
      <c r="AI254" s="31" t="str">
        <f>IFERROR(__xludf.DUMMYFUNCTION("""COMPUTED_VALUE"""),"Factors influencing exacerbation-related self-management in patients with COPD: a qualitative study.")</f>
        <v>Factors influencing exacerbation-related self-management in patients with COPD: a qualitative study.</v>
      </c>
      <c r="AJ254" s="31" t="str">
        <f>IFERROR(__xludf.DUMMYFUNCTION("""COMPUTED_VALUE"""),"Korpershoek, Yjg; Vervoort, Scjm; Nijssen, Lit; Trappenburg, Jca; Schuurmans, M J")</f>
        <v>Korpershoek, Yjg; Vervoort, Scjm; Nijssen, Lit; Trappenburg, Jca; Schuurmans, M J</v>
      </c>
      <c r="AK254" s="32">
        <f>IFERROR(__xludf.DUMMYFUNCTION("""COMPUTED_VALUE"""),42702.0)</f>
        <v>42702</v>
      </c>
      <c r="AL254" s="31" t="str">
        <f>IFERROR(__xludf.DUMMYFUNCTION("""COMPUTED_VALUE"""),"The changing microRNA landscape by color and cloudiness: a cautionary tale for nipple aspirate fluid biomarker analysis.")</f>
        <v>The changing microRNA landscape by color and cloudiness: a cautionary tale for nipple aspirate fluid biomarker analysis.</v>
      </c>
      <c r="AM254" s="31" t="str">
        <f>IFERROR(__xludf.DUMMYFUNCTION("""COMPUTED_VALUE"""),"Patuleia, Susana I S; van der Wall, Elsken; van Gils, Carla H; Bakker, Marije F; Jager, Agnes; Voorhorst-Ogink, Marleen M; van Diest, Paul J; Moelans, Cathy B")</f>
        <v>Patuleia, Susana I S; van der Wall, Elsken; van Gils, Carla H; Bakker, Marije F; Jager, Agnes; Voorhorst-Ogink, Marleen M; van Diest, Paul J; Moelans, Cathy B</v>
      </c>
      <c r="AN254" s="32">
        <f>IFERROR(__xludf.DUMMYFUNCTION("""COMPUTED_VALUE"""),44485.0)</f>
        <v>44485</v>
      </c>
    </row>
    <row r="255">
      <c r="A255" s="32"/>
      <c r="I255" s="31" t="str">
        <f>IFERROR(__xludf.DUMMYFUNCTION("""COMPUTED_VALUE"""),"international emergency nursing")</f>
        <v>international emergency nursing</v>
      </c>
      <c r="J255" s="38">
        <f>COUNTIF(Data!$F$2:$F9917, $I255)</f>
        <v>3</v>
      </c>
      <c r="T255" s="31" t="s">
        <v>25897</v>
      </c>
      <c r="U255" s="31" t="s">
        <v>25898</v>
      </c>
      <c r="V255" s="32">
        <v>45474.0</v>
      </c>
      <c r="X255" s="31" t="str">
        <f>IFERROR(__xludf.DUMMYFUNCTION("""COMPUTED_VALUE"""),"Comparison between de novo and metachronous metastatic breast cancer: the presence of a primary tumour is not the only difference-a Dutch population-based study from 2008 to 2018.")</f>
        <v>Comparison between de novo and metachronous metastatic breast cancer: the presence of a primary tumour is not the only difference-a Dutch population-based study from 2008 to 2018.</v>
      </c>
      <c r="Y255" s="31" t="str">
        <f>IFERROR(__xludf.DUMMYFUNCTION("""COMPUTED_VALUE"""),"de Maar, Josanne S; Luyendijk, Marianne; Suelmann, Britt B M; van der Kruijssen, Dave E W; Elias, Sjoerd G; Siesling, Sabine; van der Wall, Elsken")</f>
        <v>de Maar, Josanne S; Luyendijk, Marianne; Suelmann, Britt B M; van der Kruijssen, Dave E W; Elias, Sjoerd G; Siesling, Sabine; van der Wall, Elsken</v>
      </c>
      <c r="Z255" s="31">
        <f>IFERROR(__xludf.DUMMYFUNCTION("""COMPUTED_VALUE"""),2023.0)</f>
        <v>2023</v>
      </c>
      <c r="AA255" s="31">
        <f>IFERROR(__xludf.DUMMYFUNCTION("""COMPUTED_VALUE"""),2.0)</f>
        <v>2</v>
      </c>
      <c r="AF255" s="31" t="str">
        <f>IFERROR(__xludf.DUMMYFUNCTION("""COMPUTED_VALUE"""),"Fetal movement trials: Where is the evidence in settings with a high burden of stillbirths?")</f>
        <v>Fetal movement trials: Where is the evidence in settings with a high burden of stillbirths?</v>
      </c>
      <c r="AG255" s="31" t="str">
        <f>IFERROR(__xludf.DUMMYFUNCTION("""COMPUTED_VALUE"""),"Housseine, Natasha; Browne, Joyce; Maaløe, Nanna; Dmello, Brenda Sequeira; Ali, Sam; Abeid, Muzdalifat; Meguid, Tarek; Rijken, Marcus J; Kidanto, Hussein")</f>
        <v>Housseine, Natasha; Browne, Joyce; Maaløe, Nanna; Dmello, Brenda Sequeira; Ali, Sam; Abeid, Muzdalifat; Meguid, Tarek; Rijken, Marcus J; Kidanto, Hussein</v>
      </c>
      <c r="AH255" s="32">
        <f>IFERROR(__xludf.DUMMYFUNCTION("""COMPUTED_VALUE"""),44741.0)</f>
        <v>44741</v>
      </c>
      <c r="AI255" s="31" t="str">
        <f>IFERROR(__xludf.DUMMYFUNCTION("""COMPUTED_VALUE"""),"What the General Practitioner Needs to Know About Their Chronic Heart Failure Patient.")</f>
        <v>What the General Practitioner Needs to Know About Their Chronic Heart Failure Patient.</v>
      </c>
      <c r="AJ255" s="31" t="str">
        <f>IFERROR(__xludf.DUMMYFUNCTION("""COMPUTED_VALUE"""),"Rutten, Frans H; Gallagher, Joe")</f>
        <v>Rutten, Frans H; Gallagher, Joe</v>
      </c>
      <c r="AK255" s="32">
        <f>IFERROR(__xludf.DUMMYFUNCTION("""COMPUTED_VALUE"""),42675.0)</f>
        <v>42675</v>
      </c>
      <c r="AL255" s="31" t="str">
        <f>IFERROR(__xludf.DUMMYFUNCTION("""COMPUTED_VALUE"""),"External Validation of Risk Prediction Models to Improve Selection of Patients for Carotid Endarterectomy.")</f>
        <v>External Validation of Risk Prediction Models to Improve Selection of Patients for Carotid Endarterectomy.</v>
      </c>
      <c r="AM255" s="31" t="str">
        <f>IFERROR(__xludf.DUMMYFUNCTION("""COMPUTED_VALUE"""),"Poorthuis, Michiel H F; Herings, Reinier A R; Dansey, Kirsten; Damen, Johanna A A; Greving, Jacoba P; Schermerhorn, Marc L; de Borst, Gert J")</f>
        <v>Poorthuis, Michiel H F; Herings, Reinier A R; Dansey, Kirsten; Damen, Johanna A A; Greving, Jacoba P; Schermerhorn, Marc L; de Borst, Gert J</v>
      </c>
      <c r="AN255" s="32">
        <f>IFERROR(__xludf.DUMMYFUNCTION("""COMPUTED_VALUE"""),44481.0)</f>
        <v>44481</v>
      </c>
    </row>
    <row r="256">
      <c r="A256" s="32"/>
      <c r="I256" s="31" t="str">
        <f>IFERROR(__xludf.DUMMYFUNCTION("""COMPUTED_VALUE"""),"international journal of obesity")</f>
        <v>international journal of obesity</v>
      </c>
      <c r="J256" s="38">
        <f>COUNTIF(Data!$F$2:$F9917, $I256)</f>
        <v>11</v>
      </c>
      <c r="T256" s="31" t="s">
        <v>25976</v>
      </c>
      <c r="U256" s="31" t="s">
        <v>25977</v>
      </c>
      <c r="V256" s="32">
        <v>45474.0</v>
      </c>
      <c r="X256" s="31" t="str">
        <f>IFERROR(__xludf.DUMMYFUNCTION("""COMPUTED_VALUE"""),"Patient-Reported Outcome Measures in Key Sub-Saharan African Languages to Promote Diversity: A Scoping Review.")</f>
        <v>Patient-Reported Outcome Measures in Key Sub-Saharan African Languages to Promote Diversity: A Scoping Review.</v>
      </c>
      <c r="Y256" s="31" t="str">
        <f>IFERROR(__xludf.DUMMYFUNCTION("""COMPUTED_VALUE"""),"van Zyl, Chanel; Mokkink, Lidwine B; Derman, Wayne; Hanekom, Susan; Heine, Martin")</f>
        <v>van Zyl, Chanel; Mokkink, Lidwine B; Derman, Wayne; Hanekom, Susan; Heine, Martin</v>
      </c>
      <c r="Z256" s="31">
        <f>IFERROR(__xludf.DUMMYFUNCTION("""COMPUTED_VALUE"""),2023.0)</f>
        <v>2023</v>
      </c>
      <c r="AA256" s="31">
        <f>IFERROR(__xludf.DUMMYFUNCTION("""COMPUTED_VALUE"""),2.0)</f>
        <v>2</v>
      </c>
      <c r="AF256" s="31" t="str">
        <f>IFERROR(__xludf.DUMMYFUNCTION("""COMPUTED_VALUE"""),"Long-Term Exposure to Source-Specific Fine Particles and Mortality─A Pooled Analysis of 14 European Cohorts within the ELAPSE Project.")</f>
        <v>Long-Term Exposure to Source-Specific Fine Particles and Mortality─A Pooled Analysis of 14 European Cohorts within the ELAPSE Project.</v>
      </c>
      <c r="AG256" s="31" t="str">
        <f>IFERROR(__xludf.DUMMYFUNCTION("""COMPUTED_VALUE"""),"Chen, Jie; Hoek, Gerard; de Hoogh, Kees; Rodopoulou, Sophia; Andersen, Zorana J; Bellander, Tom; Brandt, Jørgen; Fecht, Daniela; Forastiere, Francesco; Gulliver, John; Hertel, Ole; Hoffmann, Barbara; Hvidtfeldt, Ulla Arthur; Verschuren, W M Monique; Jöcke"&amp;"l, Karl-Heinz; Jørgensen, Jeanette T; Katsouyanni, Klea; Ketzel, Matthias; Méndez, Diego Yacamán; Leander, Karin; Liu, Shuo; Ljungman, Petter; Faure, Elodie; Magnusson, Patrik K E; Nagel, Gabriele; Pershagen, Göran; Peters, Annette; Raaschou-Nielsen, Ole;"&amp;" Rizzuto, Debora; Samoli, Evangelia; van der Schouw, Yvonne T; Schramm, Sara; Severi, Gianluca; Stafoggia, Massimo; Strak, Maciej; Sørensen, Mette; Tjønneland, Anne; Weinmayr, Gudrun; Wolf, Kathrin; Zitt, Emanuel; Brunekreef, Bert; Thurston, George D")</f>
        <v>Chen, Jie; Hoek, Gerard; de Hoogh, Kees; Rodopoulou, Sophia; Andersen, Zorana J; Bellander, Tom; Brandt, Jørgen; Fecht, Daniela; Forastiere, Francesco; Gulliver, John; Hertel, Ole; Hoffmann, Barbara; Hvidtfeldt, Ulla Arthur; Verschuren, W M Monique; Jöckel, Karl-Heinz; Jørgensen, Jeanette T; Katsouyanni, Klea; Ketzel, Matthias; Méndez, Diego Yacamán; Leander, Karin; Liu, Shuo; Ljungman, Petter; Faure, Elodie; Magnusson, Patrik K E; Nagel, Gabriele; Pershagen, Göran; Peters, Annette; Raaschou-Nielsen, Ole; Rizzuto, Debora; Samoli, Evangelia; van der Schouw, Yvonne T; Schramm, Sara; Severi, Gianluca; Stafoggia, Massimo; Strak, Maciej; Sørensen, Mette; Tjønneland, Anne; Weinmayr, Gudrun; Wolf, Kathrin; Zitt, Emanuel; Brunekreef, Bert; Thurston, George D</v>
      </c>
      <c r="AH256" s="32">
        <f>IFERROR(__xludf.DUMMYFUNCTION("""COMPUTED_VALUE"""),44735.0)</f>
        <v>44735</v>
      </c>
      <c r="AI256" s="31" t="str">
        <f>IFERROR(__xludf.DUMMYFUNCTION("""COMPUTED_VALUE"""),"Limited Evidence on the Management of Respiratory Tract Infections in Down's Syndrome: A Systematic Review.")</f>
        <v>Limited Evidence on the Management of Respiratory Tract Infections in Down's Syndrome: A Systematic Review.</v>
      </c>
      <c r="AJ256" s="31" t="str">
        <f>IFERROR(__xludf.DUMMYFUNCTION("""COMPUTED_VALUE"""),"Manikam, Logan; Reed, Kate; Venekamp, Roderick P; Hayward, Andrew; Littlejohns, Peter; Schilder, Anne; Lakhanpaul, Monica")</f>
        <v>Manikam, Logan; Reed, Kate; Venekamp, Roderick P; Hayward, Andrew; Littlejohns, Peter; Schilder, Anne; Lakhanpaul, Monica</v>
      </c>
      <c r="AK256" s="32">
        <f>IFERROR(__xludf.DUMMYFUNCTION("""COMPUTED_VALUE"""),42644.0)</f>
        <v>42644</v>
      </c>
      <c r="AL256" s="31" t="str">
        <f>IFERROR(__xludf.DUMMYFUNCTION("""COMPUTED_VALUE"""),"Characteristics of Participants and Nonparticipants in a Blended Internet-Based Physical Activity Trial for Breast and Prostate Cancer Survivors: Cross-sectional Study.")</f>
        <v>Characteristics of Participants and Nonparticipants in a Blended Internet-Based Physical Activity Trial for Breast and Prostate Cancer Survivors: Cross-sectional Study.</v>
      </c>
      <c r="AM256" s="31" t="str">
        <f>IFERROR(__xludf.DUMMYFUNCTION("""COMPUTED_VALUE"""),"Vd Wiel, Hester J; Stuiver, Martijn M; May, Anne M; van Grinsven, Susan; Benink, Marlou F A; Aaronson, Neil K; Oldenburg, Hester S A; van der Poel, Henk G; van Harten, Wim H; Groen, Wim G")</f>
        <v>Vd Wiel, Hester J; Stuiver, Martijn M; May, Anne M; van Grinsven, Susan; Benink, Marlou F A; Aaronson, Neil K; Oldenburg, Hester S A; van der Poel, Henk G; van Harten, Wim H; Groen, Wim G</v>
      </c>
      <c r="AN256" s="32">
        <f>IFERROR(__xludf.DUMMYFUNCTION("""COMPUTED_VALUE"""),44474.0)</f>
        <v>44474</v>
      </c>
    </row>
    <row r="257">
      <c r="A257" s="32"/>
      <c r="I257" s="31" t="str">
        <f>IFERROR(__xludf.DUMMYFUNCTION("""COMPUTED_VALUE"""),"european journal of cardiothoracic surgery official journal of the european association for cardiothoracic surgery")</f>
        <v>european journal of cardiothoracic surgery official journal of the european association for cardiothoracic surgery</v>
      </c>
      <c r="J257" s="38">
        <f>COUNTIF(Data!$F$2:$F9917, $I257)</f>
        <v>4</v>
      </c>
      <c r="T257" s="31" t="s">
        <v>24783</v>
      </c>
      <c r="U257" s="31" t="s">
        <v>24784</v>
      </c>
      <c r="V257" s="32">
        <v>45473.0</v>
      </c>
      <c r="X257" s="31" t="str">
        <f>IFERROR(__xludf.DUMMYFUNCTION("""COMPUTED_VALUE"""),"Willingness to get vaccinated against influenza, pneumococcal disease, pertussis, and herpes zoster - A pre-COVID-19 exploration among the older adult population.")</f>
        <v>Willingness to get vaccinated against influenza, pneumococcal disease, pertussis, and herpes zoster - A pre-COVID-19 exploration among the older adult population.</v>
      </c>
      <c r="Y257" s="31" t="str">
        <f>IFERROR(__xludf.DUMMYFUNCTION("""COMPUTED_VALUE"""),"Maertzdorf, K M; Rietman, M L; Lambooij, M S; Verschuren, W M M; Picavet, H S J")</f>
        <v>Maertzdorf, K M; Rietman, M L; Lambooij, M S; Verschuren, W M M; Picavet, H S J</v>
      </c>
      <c r="Z257" s="31">
        <f>IFERROR(__xludf.DUMMYFUNCTION("""COMPUTED_VALUE"""),2023.0)</f>
        <v>2023</v>
      </c>
      <c r="AA257" s="31">
        <f>IFERROR(__xludf.DUMMYFUNCTION("""COMPUTED_VALUE"""),2.0)</f>
        <v>2</v>
      </c>
      <c r="AF257" s="31" t="str">
        <f>IFERROR(__xludf.DUMMYFUNCTION("""COMPUTED_VALUE"""),"Tracking Mental Wellbeing of Dutch Adolescents During the First Year of the COVID-19 Lockdown: A Longitudinal Study.")</f>
        <v>Tracking Mental Wellbeing of Dutch Adolescents During the First Year of the COVID-19 Lockdown: A Longitudinal Study.</v>
      </c>
      <c r="AG257" s="31" t="str">
        <f>IFERROR(__xludf.DUMMYFUNCTION("""COMPUTED_VALUE"""),"van der Laan, Sabine E I; Lenters, Virissa C; Finkenauer, Catrin; van Harmelen, Anne-Laura; van der Ent, Cornelis K; Nijhof, Sanne L")</f>
        <v>van der Laan, Sabine E I; Lenters, Virissa C; Finkenauer, Catrin; van Harmelen, Anne-Laura; van der Ent, Cornelis K; Nijhof, Sanne L</v>
      </c>
      <c r="AH257" s="32">
        <f>IFERROR(__xludf.DUMMYFUNCTION("""COMPUTED_VALUE"""),44734.0)</f>
        <v>44734</v>
      </c>
      <c r="AI257" s="31" t="str">
        <f>IFERROR(__xludf.DUMMYFUNCTION("""COMPUTED_VALUE"""),"Otitis media.")</f>
        <v>Otitis media.</v>
      </c>
      <c r="AJ257" s="31" t="str">
        <f>IFERROR(__xludf.DUMMYFUNCTION("""COMPUTED_VALUE"""),"Schilder, Anne G M; Chonmaitree, Tasnee; Cripps, Allan W; Rosenfeld, Richard M; Casselbrant, Margaretha L; Haggard, Mark P; Venekamp, Roderick P")</f>
        <v>Schilder, Anne G M; Chonmaitree, Tasnee; Cripps, Allan W; Rosenfeld, Richard M; Casselbrant, Margaretha L; Haggard, Mark P; Venekamp, Roderick P</v>
      </c>
      <c r="AK257" s="32">
        <f>IFERROR(__xludf.DUMMYFUNCTION("""COMPUTED_VALUE"""),42621.0)</f>
        <v>42621</v>
      </c>
      <c r="AL257" s="31" t="str">
        <f>IFERROR(__xludf.DUMMYFUNCTION("""COMPUTED_VALUE"""),"Can the mean linear energy transfer of organs be directly related to patient toxicities for current head and neck cancer intensity-modulated proton therapy practice?")</f>
        <v>Can the mean linear energy transfer of organs be directly related to patient toxicities for current head and neck cancer intensity-modulated proton therapy practice?</v>
      </c>
      <c r="AM257" s="31" t="str">
        <f>IFERROR(__xludf.DUMMYFUNCTION("""COMPUTED_VALUE"""),"Wagenaar, Dirk; Schuit, Ewoud; van der Schaaf, Arjen; Langendijk, Johannes A; Both, Stefan")</f>
        <v>Wagenaar, Dirk; Schuit, Ewoud; van der Schaaf, Arjen; Langendijk, Johannes A; Both, Stefan</v>
      </c>
      <c r="AN257" s="32">
        <f>IFERROR(__xludf.DUMMYFUNCTION("""COMPUTED_VALUE"""),44453.0)</f>
        <v>44453</v>
      </c>
    </row>
    <row r="258">
      <c r="A258" s="32"/>
      <c r="I258" s="31" t="str">
        <f>IFERROR(__xludf.DUMMYFUNCTION("""COMPUTED_VALUE"""),"american heart journal plus cardiology research and practice")</f>
        <v>american heart journal plus cardiology research and practice</v>
      </c>
      <c r="J258" s="38">
        <f>COUNTIF(Data!$F$2:$F9917, $I258)</f>
        <v>1</v>
      </c>
      <c r="T258" s="31" t="s">
        <v>25955</v>
      </c>
      <c r="U258" s="31" t="s">
        <v>25956</v>
      </c>
      <c r="V258" s="32">
        <v>45473.0</v>
      </c>
      <c r="X258" s="31" t="str">
        <f>IFERROR(__xludf.DUMMYFUNCTION("""COMPUTED_VALUE"""),"Diabetes patient preferences for glucose-monitoring technologies: results from a discrete choice experiment in Poland and the Netherlands.")</f>
        <v>Diabetes patient preferences for glucose-monitoring technologies: results from a discrete choice experiment in Poland and the Netherlands.</v>
      </c>
      <c r="Y258" s="31" t="str">
        <f>IFERROR(__xludf.DUMMYFUNCTION("""COMPUTED_VALUE"""),"Smith, Ian P; Whichello, Chiara L; Veldwijk, Jorien; Rutten-van Mölken, Maureen P M H; Groothuis-Oudshoorn, C G M; Vos, Rimke C; de Bekker-Grob, Esther W; de Wit, G Ardine")</f>
        <v>Smith, Ian P; Whichello, Chiara L; Veldwijk, Jorien; Rutten-van Mölken, Maureen P M H; Groothuis-Oudshoorn, C G M; Vos, Rimke C; de Bekker-Grob, Esther W; de Wit, G Ardine</v>
      </c>
      <c r="Z258" s="31">
        <f>IFERROR(__xludf.DUMMYFUNCTION("""COMPUTED_VALUE"""),2023.0)</f>
        <v>2023</v>
      </c>
      <c r="AA258" s="31">
        <f>IFERROR(__xludf.DUMMYFUNCTION("""COMPUTED_VALUE"""),2.0)</f>
        <v>2</v>
      </c>
      <c r="AF258" s="31" t="str">
        <f>IFERROR(__xludf.DUMMYFUNCTION("""COMPUTED_VALUE"""),"Epidemiology and Control of diabetes - tuberculosis comorbidity in Eswatini: protocol for the prospective study of tuberculosis patients on predictive factors, treatment outcomes and patient management practices.")</f>
        <v>Epidemiology and Control of diabetes - tuberculosis comorbidity in Eswatini: protocol for the prospective study of tuberculosis patients on predictive factors, treatment outcomes and patient management practices.</v>
      </c>
      <c r="AG258" s="31" t="str">
        <f>IFERROR(__xludf.DUMMYFUNCTION("""COMPUTED_VALUE"""),"Williams, Victor; Vos, Alinda; Otwombe, Kennedy; Grobbee, Diederick E; Klipstein-Grobusch, Kerstin")</f>
        <v>Williams, Victor; Vos, Alinda; Otwombe, Kennedy; Grobbee, Diederick E; Klipstein-Grobusch, Kerstin</v>
      </c>
      <c r="AH258" s="32">
        <f>IFERROR(__xludf.DUMMYFUNCTION("""COMPUTED_VALUE"""),44733.0)</f>
        <v>44733</v>
      </c>
      <c r="AI258" s="31" t="str">
        <f>IFERROR(__xludf.DUMMYFUNCTION("""COMPUTED_VALUE"""),"Improving Patient Safety Culture in Primary Care: A Systematic Review.")</f>
        <v>Improving Patient Safety Culture in Primary Care: A Systematic Review.</v>
      </c>
      <c r="AJ258" s="31" t="str">
        <f>IFERROR(__xludf.DUMMYFUNCTION("""COMPUTED_VALUE"""),"Verbakel, Natasha J; Langelaan, Maaike; Verheij, Theo J M; Wagner, Cordula; Zwart, Dorien L M")</f>
        <v>Verbakel, Natasha J; Langelaan, Maaike; Verheij, Theo J M; Wagner, Cordula; Zwart, Dorien L M</v>
      </c>
      <c r="AK258" s="32">
        <f>IFERROR(__xludf.DUMMYFUNCTION("""COMPUTED_VALUE"""),42614.0)</f>
        <v>42614</v>
      </c>
      <c r="AL258" s="31" t="str">
        <f>IFERROR(__xludf.DUMMYFUNCTION("""COMPUTED_VALUE"""),"Cerebrovascular disease at young age is related to mother's health during the pregnancy-The Northern Finland Birth Cohort 1966 study.")</f>
        <v>Cerebrovascular disease at young age is related to mother's health during the pregnancy-The Northern Finland Birth Cohort 1966 study.</v>
      </c>
      <c r="AM258" s="31" t="str">
        <f>IFERROR(__xludf.DUMMYFUNCTION("""COMPUTED_VALUE"""),"Rissanen, Ina; Geerlings, Mirjam I; Juvela, Seppo; Miettunen, Jouko; Paananen, Markus; Tetri, Sami")</f>
        <v>Rissanen, Ina; Geerlings, Mirjam I; Juvela, Seppo; Miettunen, Jouko; Paananen, Markus; Tetri, Sami</v>
      </c>
      <c r="AN258" s="32">
        <f>IFERROR(__xludf.DUMMYFUNCTION("""COMPUTED_VALUE"""),44448.0)</f>
        <v>44448</v>
      </c>
    </row>
    <row r="259">
      <c r="A259" s="32"/>
      <c r="I259" s="31" t="str">
        <f>IFERROR(__xludf.DUMMYFUNCTION("""COMPUTED_VALUE"""),"science and engineering ethics")</f>
        <v>science and engineering ethics</v>
      </c>
      <c r="J259" s="38">
        <f>COUNTIF(Data!$F$2:$F9917, $I259)</f>
        <v>1</v>
      </c>
      <c r="T259" s="31" t="s">
        <v>24848</v>
      </c>
      <c r="U259" s="31" t="s">
        <v>24849</v>
      </c>
      <c r="V259" s="32">
        <v>45472.0</v>
      </c>
      <c r="X259" s="31" t="str">
        <f>IFERROR(__xludf.DUMMYFUNCTION("""COMPUTED_VALUE"""),"Determination of the Relative Sign of the Higgs Boson Couplings to W and Z Bosons Using WH Production via Vector-Boson Fusion with the ATLAS Detector.")</f>
        <v>Determination of the Relative Sign of the Higgs Boson Couplings to W and Z Bosons Using WH Production via Vector-Boson Fusion with the ATLAS Detector.</v>
      </c>
      <c r="Y259" s="31"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259" s="31">
        <f>IFERROR(__xludf.DUMMYFUNCTION("""COMPUTED_VALUE"""),2024.0)</f>
        <v>2024</v>
      </c>
      <c r="AA259" s="31">
        <f>IFERROR(__xludf.DUMMYFUNCTION("""COMPUTED_VALUE"""),2.0)</f>
        <v>2</v>
      </c>
      <c r="AF259" s="31" t="str">
        <f>IFERROR(__xludf.DUMMYFUNCTION("""COMPUTED_VALUE"""),"Increasing African genomic data generation and sharing to resolve rare and undiagnosed diseases in Africa: a call-to-action by the H3Africa rare diseases working group.")</f>
        <v>Increasing African genomic data generation and sharing to resolve rare and undiagnosed diseases in Africa: a call-to-action by the H3Africa rare diseases working group.</v>
      </c>
      <c r="AG259" s="31" t="str">
        <f>IFERROR(__xludf.DUMMYFUNCTION("""COMPUTED_VALUE"""),"Lumaka, Aimé; Carstens, Nadia; Devriendt, Koenraad; Krause, Amanda; Kulohoma, Benard; Kumuthini, Judit; Mubungu, Gerrye; Mukisa, John; Nel, Melissa; Olanrewaju, Timothy O; Lombard, Zané; Landouré, Guida; ,")</f>
        <v>Lumaka, Aimé; Carstens, Nadia; Devriendt, Koenraad; Krause, Amanda; Kulohoma, Benard; Kumuthini, Judit; Mubungu, Gerrye; Mukisa, John; Nel, Melissa; Olanrewaju, Timothy O; Lombard, Zané; Landouré, Guida; ,</v>
      </c>
      <c r="AH259" s="32">
        <f>IFERROR(__xludf.DUMMYFUNCTION("""COMPUTED_VALUE"""),44728.0)</f>
        <v>44728</v>
      </c>
      <c r="AI259" s="31" t="str">
        <f>IFERROR(__xludf.DUMMYFUNCTION("""COMPUTED_VALUE"""),"Representativeness of Participants in Heart Failure E-Health Trials: A Report From the E-Vita HF Study.")</f>
        <v>Representativeness of Participants in Heart Failure E-Health Trials: A Report From the E-Vita HF Study.</v>
      </c>
      <c r="AJ259" s="31" t="str">
        <f>IFERROR(__xludf.DUMMYFUNCTION("""COMPUTED_VALUE"""),"Wagenaar, Kim P; Hakim, Niaz; Broekhuizen, Berna D L; Jaarsma, Tiny; Rutten, Frans H; Hoes, Arno W")</f>
        <v>Wagenaar, Kim P; Hakim, Niaz; Broekhuizen, Berna D L; Jaarsma, Tiny; Rutten, Frans H; Hoes, Arno W</v>
      </c>
      <c r="AK259" s="32">
        <f>IFERROR(__xludf.DUMMYFUNCTION("""COMPUTED_VALUE"""),42605.0)</f>
        <v>42605</v>
      </c>
      <c r="AL259" s="31" t="str">
        <f>IFERROR(__xludf.DUMMYFUNCTION("""COMPUTED_VALUE"""),"Efficacy of Physical Exercise to Offset Anthracycline-Induced Cardiotoxicity: A Systematic Review and Meta-Analysis of Clinical and Preclinical Studies.")</f>
        <v>Efficacy of Physical Exercise to Offset Anthracycline-Induced Cardiotoxicity: A Systematic Review and Meta-Analysis of Clinical and Preclinical Studies.</v>
      </c>
      <c r="AM259" s="31" t="str">
        <f>IFERROR(__xludf.DUMMYFUNCTION("""COMPUTED_VALUE"""),"Naaktgeboren, Willeke R; Binyam, David; Stuiver, Martijn M; Aaronson, Neil K; Teske, Arco J; van Harten, Wim H; Groen, Wim G; May, Anne M")</f>
        <v>Naaktgeboren, Willeke R; Binyam, David; Stuiver, Martijn M; Aaronson, Neil K; Teske, Arco J; van Harten, Wim H; Groen, Wim G; May, Anne M</v>
      </c>
      <c r="AN259" s="32">
        <f>IFERROR(__xludf.DUMMYFUNCTION("""COMPUTED_VALUE"""),44441.0)</f>
        <v>44441</v>
      </c>
    </row>
    <row r="260">
      <c r="A260" s="32"/>
      <c r="I260" s="31" t="str">
        <f>IFERROR(__xludf.DUMMYFUNCTION("""COMPUTED_VALUE"""),"current heart failure reports")</f>
        <v>current heart failure reports</v>
      </c>
      <c r="J260" s="38">
        <f>COUNTIF(Data!$F$2:$F9917, $I260)</f>
        <v>3</v>
      </c>
      <c r="T260" s="31" t="s">
        <v>25447</v>
      </c>
      <c r="U260" s="31" t="s">
        <v>25448</v>
      </c>
      <c r="V260" s="32">
        <v>45472.0</v>
      </c>
      <c r="X260" s="31" t="str">
        <f>IFERROR(__xludf.DUMMYFUNCTION("""COMPUTED_VALUE"""),"Combination of Measurements of the Top Quark Mass from Data Collected by the ATLAS and CMS Experiments at sqrt[s]=7 and 8 TeV.")</f>
        <v>Combination of Measurements of the Top Quark Mass from Data Collected by the ATLAS and CMS Experiments at sqrt[s]=7 and 8 TeV.</v>
      </c>
      <c r="Y260" s="31" t="str">
        <f>IFERROR(__xludf.DUMMYFUNCTION("""COMPUTED_VALUE"""),"Hayrapetyan, A; Tumasyan, A; Adam, W; Andrejkovic, J W; Bergauer, T; Chatterjee, S; Damanakis, K; Dragicevic, M; Hussain, P S; Jeitler, M; Krammer, N; Li, A; Liko, D; Mikulec, I; Schieck, J; Schöfbeck, R; Schwarz, D; Sonawane, M; Templ, S; Waltenberger, W"&amp;"; Wulz, C-E; Darwish, M R; Janssen, T; Van Mechelen, P; Bols, E S; D'Hondt, J; Dansana, S; De Moor, A; Delcourt, M; El Faham, H; Lowette, S; Makarenko, I; Müller, D; Sahasransu, A R; Tavernier, S; Tytgat, M; Van Putte, S; Vannerom, D; Clerbaux, B; De Lent"&amp;"decker, G; Favart, L; Hohov, D; Jaramillo, J; Khalilzadeh, A; Lee, K; Mahdavikhorrami, M; Malara, A; Paredes, S; Pétré, L; Postiau, N; Thomas, L; Vanden Bemden, M; Vander Velde, C; Vanlaer, P; De Coen, M; Dobur, D; Hong, Y; Knolle, J; Lambrecht, L; Mestda"&amp;"ch, G; Rendón, C; Samalan, A; Skovpen, K; Van Den Bossche, N; van der Linden, J; Wezenbeek, L; Benecke, A; Bruno, G; Caputo, C; Delaere, C; Donertas, I S; Giammanco, A; Jaffel, K; Jain, Sa; Lemaitre, V; Lidrych, J; Mastrapasqua, P; Mon")</f>
        <v>Hayrapetyan, A; Tumasyan, A; Adam, W; Andrejkovic, J W; Bergauer, T; Chatterjee, S; Damanakis, K; Dragicevic, M; Hussain, P S; Jeitler, M; Krammer, N; Li, A; Liko, D; Mikulec, I; Schieck, J; Schöfbeck, R; Schwarz, D; Sonawane, M; Templ, S; Waltenberger, W; Wulz, C-E; Darwish, M R; Janssen, T; Van Mechelen, P; Bols, E S; D'Hondt, J; Dansana, S; De Moor, A; Delcourt, M; El Faham, H; Lowette, S; Makarenko, I; Müller, D; Sahasransu, A R; Tavernier, S; Tytgat, M; Van Putte, S; Vannerom, D; Clerbaux, B; De Lentdecker, G; Favart, L; Hohov, D; Jaramillo, J; Khalilzadeh, A; Lee, K; Mahdavikhorrami, M; Malara, A; Paredes, S; Pétré, L; Postiau, N; Thomas, L; Vanden Bemden, M; Vander Velde, C; Vanlaer, P; De Coen, M; Dobur, D; Hong, Y; Knolle, J; Lambrecht, L; Mestdach, G; Rendón, C; Samalan, A; Skovpen, K; Van Den Bossche, N; van der Linden, J; Wezenbeek, L; Benecke, A; Bruno, G; Caputo, C; Delaere, C; Donertas, I S; Giammanco, A; Jaffel, K; Jain, Sa; Lemaitre, V; Lidrych, J; Mastrapasqua, P; Mon</v>
      </c>
      <c r="Z260" s="31">
        <f>IFERROR(__xludf.DUMMYFUNCTION("""COMPUTED_VALUE"""),2024.0)</f>
        <v>2024</v>
      </c>
      <c r="AA260" s="31">
        <f>IFERROR(__xludf.DUMMYFUNCTION("""COMPUTED_VALUE"""),2.0)</f>
        <v>2</v>
      </c>
      <c r="AF260" s="31" t="str">
        <f>IFERROR(__xludf.DUMMYFUNCTION("""COMPUTED_VALUE"""),"Cruciferous Vegetable Intake and Bulky DNA Damage within Non-Smokers and Former Smokers in the Gen-Air Study (EPIC Cohort).")</f>
        <v>Cruciferous Vegetable Intake and Bulky DNA Damage within Non-Smokers and Former Smokers in the Gen-Air Study (EPIC Cohort).</v>
      </c>
      <c r="AG260" s="31" t="str">
        <f>IFERROR(__xludf.DUMMYFUNCTION("""COMPUTED_VALUE"""),"Peluso, Marco; Munnia, Armelle; Russo, Valentina; Galli, Andrea; Pala, Valeria; Schouw, Yvonne T van der; Schulze, Matthias B; Weiderpass, Elisabete; Tumino, Rosario; Saieva, Calogero; Exezarreta Pilar, Amiano; Aune, Dagfinn; Heath, Alicia K; Aglago, Elom"&amp;"; Agudo, Antonio; Panico, Salvatore; Petersen, Kristina Elin Nielsen; Tjønneland, Anne; Cirera, Lluís; Rodriguez-Barranco, Miguel; Katzke, Verena; Kaaks, Rudolf; Ricceri, Fulvio; Milani, Lorenzo; Vineis, Paolo; Sacerdote, Carlotta")</f>
        <v>Peluso, Marco; Munnia, Armelle; Russo, Valentina; Galli, Andrea; Pala, Valeria; Schouw, Yvonne T van der; Schulze, Matthias B; Weiderpass, Elisabete; Tumino, Rosario; Saieva, Calogero; Exezarreta Pilar, Amiano; Aune, Dagfinn; Heath, Alicia K; Aglago, Elom; Agudo, Antonio; Panico, Salvatore; Petersen, Kristina Elin Nielsen; Tjønneland, Anne; Cirera, Lluís; Rodriguez-Barranco, Miguel; Katzke, Verena; Kaaks, Rudolf; Ricceri, Fulvio; Milani, Lorenzo; Vineis, Paolo; Sacerdote, Carlotta</v>
      </c>
      <c r="AH260" s="32">
        <f>IFERROR(__xludf.DUMMYFUNCTION("""COMPUTED_VALUE"""),44727.0)</f>
        <v>44727</v>
      </c>
      <c r="AI260" s="31" t="str">
        <f>IFERROR(__xludf.DUMMYFUNCTION("""COMPUTED_VALUE"""),"What Are Effective Program Characteristics of Self-Management Interventions in Patients With Heart Failure? An Individual Patient Data Meta-analysis.")</f>
        <v>What Are Effective Program Characteristics of Self-Management Interventions in Patients With Heart Failure? An Individual Patient Data Meta-analysis.</v>
      </c>
      <c r="AJ260" s="31" t="str">
        <f>IFERROR(__xludf.DUMMYFUNCTION("""COMPUTED_VALUE"""),"Jonkman, Nini H; Westland, Heleen; Groenwold, Rolf H H; Ågren, Susanna; Anguita, Manuel; Blue, Lynda; Bruggink-André de la Porte, Pieta W F; DeWalt, Darren A; Hebert, Paul L; Heisler, Michele; Jaarsma, Tiny; Kempen, Gertrudis I J M; Leventhal, Marcia E; L"&amp;"ok, Dirk J A; Mårtensson, Jan; Muñiz, Javier; Otsu, Haruka; Peters-Klimm, Frank; Rich, Michael W; Riegel, Barbara; Strömberg, Anna; Tsuyuki, Ross T; Trappenburg, Jaap C A; Schuurmans, Marieke J; Hoes, Arno W")</f>
        <v>Jonkman, Nini H; Westland, Heleen; Groenwold, Rolf H H; Ågren, Susanna; Anguita, Manuel;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Trappenburg, Jaap C A; Schuurmans, Marieke J; Hoes, Arno W</v>
      </c>
      <c r="AK260" s="32">
        <f>IFERROR(__xludf.DUMMYFUNCTION("""COMPUTED_VALUE"""),42551.0)</f>
        <v>42551</v>
      </c>
      <c r="AL260" s="31" t="str">
        <f>IFERROR(__xludf.DUMMYFUNCTION("""COMPUTED_VALUE"""),"Effects of exercise in breast cancer patients: implications of the trials within cohorts (TwiCs) design in the UMBRELLA Fit trial.")</f>
        <v>Effects of exercise in breast cancer patients: implications of the trials within cohorts (TwiCs) design in the UMBRELLA Fit trial.</v>
      </c>
      <c r="AM260" s="31" t="str">
        <f>IFERROR(__xludf.DUMMYFUNCTION("""COMPUTED_VALUE"""),"Gal, Roxanne; Monninkhof, Evelyn M; van Gils, Carla H; Groenwold, Rolf H H; Elias, Sjoerd G; van den Bongard, Desirée H J G; Peeters, Petra H M; Verkooijen, Helena M; May, Anne M")</f>
        <v>Gal, Roxanne; Monninkhof, Evelyn M; van Gils, Carla H; Groenwold, Rolf H H; Elias, Sjoerd G; van den Bongard, Desirée H J G; Peeters, Petra H M; Verkooijen, Helena M; May, Anne M</v>
      </c>
      <c r="AN260" s="32">
        <f>IFERROR(__xludf.DUMMYFUNCTION("""COMPUTED_VALUE"""),44432.0)</f>
        <v>44432</v>
      </c>
    </row>
    <row r="261">
      <c r="A261" s="32"/>
      <c r="I261" s="31" t="str">
        <f>IFERROR(__xludf.DUMMYFUNCTION("""COMPUTED_VALUE"""),"cardiovascular diabetology")</f>
        <v>cardiovascular diabetology</v>
      </c>
      <c r="J261" s="38">
        <f>COUNTIF(Data!$F$2:$F9917, $I261)</f>
        <v>14</v>
      </c>
      <c r="T261" s="31" t="s">
        <v>24779</v>
      </c>
      <c r="U261" s="31" t="s">
        <v>24780</v>
      </c>
      <c r="V261" s="32">
        <v>45471.0</v>
      </c>
      <c r="X261" s="31" t="str">
        <f>IFERROR(__xludf.DUMMYFUNCTION("""COMPUTED_VALUE"""),"Search for Nearly Mass-Degenerate Higgsinos Using Low-Momentum Mildly Displaced Tracks in pp Collisions at sqrt[s]=13  TeV with the ATLAS Detector.")</f>
        <v>Search for Nearly Mass-Degenerate Higgsinos Using Low-Momentum Mildly Displaced Tracks in pp Collisions at sqrt[s]=13  TeV with the ATLAS Detector.</v>
      </c>
      <c r="Y261" s="31" t="str">
        <f>IFERROR(__xludf.DUMMYFUNCTION("""COMPUTED_VALUE"""),"Aad, G; Aakvaag, E; Abbott, B; Abeling, K; Abicht, N J; Abidi, S H; Aboelela, M; Aboulhorma, A; Abramowicz, H; Abreu, H; Abulaiti, Y; Acharya, B S; Ackermann, A; Adam Bourdarios, C; Adamczyk, L; Addepalli, S V; Addison, M J; Adelman, J; Adiguzel, A; Adye,"&amp;" T; Affolder, A A; Afik, Y; Agaras, M N; Agarwala, J; Aggarwal, A; Agheorghiesei, C; Ahmad, A; Ahmadov, F; Ahmed, W S; Ahuja, S; Ai, X; Aielli, G; Aikot, A; Ait Tamlihat, M; Aitbenchikh, B; Aizenberg, I; Akbiyik, M; Åkesson, T P A; Akimov, A V; Akiyama, D"&amp;"; Akolkar, N N; Aktas, S; Al Khoury, K; Alberghi, G L; Albert, J; Albicocco, P; Albouy, G L; Alderweireldt, S; Alegria, Z L; Aleksa, M; Aleksandrov, I N; Alexa, C; Alexopoulos, T; Alfonsi, F; Algren, M; Alhroob, M; Ali, B; Ali, H M J; Ali, S; Alibocus, S "&amp;"W; Aliev, M; Alimonti, G; Alkakhi, W; Allaire, C; Allbrooke, B M M; Allen, J F; Allendes Flores, C A; Allport, P P; Aloisio, A; Alonso, F; Alpigiani, C; Alvarez Estevez, M; Alvarez Fernandez, A; Alves Cardoso, M; Alviggi, M G; Aly, M; ")</f>
        <v>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v>
      </c>
      <c r="Z261" s="31">
        <f>IFERROR(__xludf.DUMMYFUNCTION("""COMPUTED_VALUE"""),2024.0)</f>
        <v>2024</v>
      </c>
      <c r="AA261" s="31">
        <f>IFERROR(__xludf.DUMMYFUNCTION("""COMPUTED_VALUE"""),2.0)</f>
        <v>2</v>
      </c>
      <c r="AF261" s="31" t="str">
        <f>IFERROR(__xludf.DUMMYFUNCTION("""COMPUTED_VALUE"""),"Long-term Air Pollution Exposure and Pneumonia-related Mortality in a Large Pooled European Cohort.")</f>
        <v>Long-term Air Pollution Exposure and Pneumonia-related Mortality in a Large Pooled European Cohort.</v>
      </c>
      <c r="AG261" s="31" t="str">
        <f>IFERROR(__xludf.DUMMYFUNCTION("""COMPUTED_VALUE"""),"Liu, Shuo; Lim, Youn-Hee; Chen, Jie; Strak, Maciek; Wolf, Kathrin; Weinmayr, Gudrun; Rodopolou, Sophia; de Hoogh, Kees; Bellander, Tom; Brandt, Jørgen; Concin, Hans; Zitt, Emanuel; Fecht, Daniela; Forastiere, Francesco; Gulliver, John; Hertel, Ole; Hoffma"&amp;"nn, Barbara; Hvidtfeldt, Ulla A; Verschuren, W M Monique; Jöckel, Karl-Heinz; Jørgensen, Jeanette T; So, Rina; Amini, Heresh; Cole-Hunter, Thomas; Mehta, Amar J; Mortensen, Laust H; Ketzel, Matthias; Lager, Anton; Leander, Karin; Ljungman, Petter; Severi,"&amp;" Gianluca; Boutron-Ruault, Marie-Christine; Magnusson, Patrik K E; Nagel, Gabriele; Pershagen, Göran; Peters, Annette; Raaschou-Nielsen, Ole; Rizzuto, Debora; van der Schouw, Yvonne T; Schramm, Sara; Sørensen, Mette; Stafoggia, Massimo; Tjønneland, Anne; "&amp;"Katsouyanni, Klea; Huang, Wei; Samoli, Evangelia; Brunekreef, Bert; Hoek, Gerard; Andersen, Zorana J")</f>
        <v>Liu, Shuo; Lim, Youn-Hee; Chen, Jie; Strak, Maciek; Wolf, Kathrin; Weinmayr, Gudrun; Rodopolou, Sophia; de Hoogh, Kees; Bellander, Tom; Brandt, Jørgen; Concin, Hans; Zitt, Emanuel; Fecht, Daniela; Forastiere, Francesco; Gulliver, John; Hertel, Ole; Hoffmann, Barbara; Hvidtfeldt, Ulla A; Verschuren, W M Monique; Jöckel, Karl-Heinz; Jørgensen, Jeanette T; So, Rina; Amini, Heresh; Cole-Hunter, Thomas; Mehta, Amar J; Mortensen, Laust H; Ketzel, Matthias; Lager, Anton; Leander, Karin; Ljungman, Petter; Severi, Gianluca; Boutron-Ruault, Marie-Christine; Magnusson, Patrik K E; Nagel, Gabriele; Pershagen, Göran; Peters, Annette; Raaschou-Nielsen, Ole; Rizzuto, Debora; van der Schouw, Yvonne T; Schramm, Sara; Sørensen, Mette; Stafoggia, Massimo; Tjønneland, Anne; Katsouyanni, Klea; Huang, Wei; Samoli, Evangelia; Brunekreef, Bert; Hoek, Gerard; Andersen, Zorana J</v>
      </c>
      <c r="AH261" s="32">
        <f>IFERROR(__xludf.DUMMYFUNCTION("""COMPUTED_VALUE"""),44727.0)</f>
        <v>44727</v>
      </c>
      <c r="AI261" s="31" t="str">
        <f>IFERROR(__xludf.DUMMYFUNCTION("""COMPUTED_VALUE"""),"Opinions of veterinarians on antimicrobial use in farm animals in Flanders and the Netherlands.")</f>
        <v>Opinions of veterinarians on antimicrobial use in farm animals in Flanders and the Netherlands.</v>
      </c>
      <c r="AJ261" s="31" t="str">
        <f>IFERROR(__xludf.DUMMYFUNCTION("""COMPUTED_VALUE"""),"Postma, M; Speksnijder, D C; Jaarsma, A D C; Verheij, T J M; Wagenaar, J A; Dewulf, J")</f>
        <v>Postma, M; Speksnijder, D C; Jaarsma, A D C; Verheij, T J M; Wagenaar, J A; Dewulf, J</v>
      </c>
      <c r="AK261" s="32">
        <f>IFERROR(__xludf.DUMMYFUNCTION("""COMPUTED_VALUE"""),42537.0)</f>
        <v>42537</v>
      </c>
      <c r="AL261" s="31" t="str">
        <f>IFERROR(__xludf.DUMMYFUNCTION("""COMPUTED_VALUE"""),"Detection of asymptomatic carotid stenosis in patients with lower-extremity arterial disease: development and external validations of a risk score.")</f>
        <v>Detection of asymptomatic carotid stenosis in patients with lower-extremity arterial disease: development and external validations of a risk score.</v>
      </c>
      <c r="AM261" s="31" t="str">
        <f>IFERROR(__xludf.DUMMYFUNCTION("""COMPUTED_VALUE"""),"Poorthuis, M H F; Morris, D R; de Borst, G J; Bots, M L; Greving, J P; Visseren, F L J; Sherliker, P; Clack, R; Clarke, R; Lewington, S; Bulbulia, R; Halliday, A")</f>
        <v>Poorthuis, M H F; Morris, D R; de Borst, G J; Bots, M L; Greving, J P; Visseren, F L J; Sherliker, P; Clack, R; Clarke, R; Lewington, S; Bulbulia, R; Halliday, A</v>
      </c>
      <c r="AN261" s="32">
        <f>IFERROR(__xludf.DUMMYFUNCTION("""COMPUTED_VALUE"""),44427.0)</f>
        <v>44427</v>
      </c>
    </row>
    <row r="262">
      <c r="A262" s="32"/>
      <c r="I262" s="31" t="str">
        <f>IFERROR(__xludf.DUMMYFUNCTION("""COMPUTED_VALUE"""),"nephrology dialysis transplantation official publication of the european dialysis and transplant association european renal association")</f>
        <v>nephrology dialysis transplantation official publication of the european dialysis and transplant association european renal association</v>
      </c>
      <c r="J262" s="38">
        <f>COUNTIF(Data!$F$2:$F9917, $I262)</f>
        <v>16</v>
      </c>
      <c r="T262" s="31" t="s">
        <v>25307</v>
      </c>
      <c r="U262" s="31" t="s">
        <v>25308</v>
      </c>
      <c r="V262" s="32">
        <v>45471.0</v>
      </c>
      <c r="X262" s="31" t="str">
        <f>IFERROR(__xludf.DUMMYFUNCTION("""COMPUTED_VALUE"""),"Supervised, structured and individualized exercise in metastatic breast cancer: a randomized controlled trial.")</f>
        <v>Supervised, structured and individualized exercise in metastatic breast cancer: a randomized controlled trial.</v>
      </c>
      <c r="Y262" s="31" t="str">
        <f>IFERROR(__xludf.DUMMYFUNCTION("""COMPUTED_VALUE"""),"Hiensch, Anouk E; Depenbusch, Johanna; Schmidt, Martina E; Monninkhof, Evelyn M; Pelaez, Mireia; Clauss, Dorothea; Gunasekara, Nadira; Zimmer, Philipp; Belloso, Jon; Trevaskis, Mark; Rundqvist, Helene; Wiskemann, Joachim; Müller, Jana; Sweegers, Maike G; "&amp;"Fremd, Carlo; Altena, Renske; Gorecki, Maciej; Bijlsma, Rhodé; van Leeuwen-Snoeks, Lobke; Ten Bokkel Huinink, Daan; Sonke, Gabe; Lahuerta, Ainhara; Mann, G Bruce; Francis, Prudence A; Richardson, Gary; Malter, Wolfram; van der Wall, Elsken; Aaronson, Neil"&amp;" K; Senkus, Elzbieta; Urruticoechea, Ander; Zopf, Eva M; Bloch, Wilhelm; Stuiver, Martijn M; Wengstrom, Yvonne; Steindorf, Karen; May, Anne M")</f>
        <v>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v>
      </c>
      <c r="Z262" s="31">
        <f>IFERROR(__xludf.DUMMYFUNCTION("""COMPUTED_VALUE"""),2024.0)</f>
        <v>2024</v>
      </c>
      <c r="AA262" s="31">
        <f>IFERROR(__xludf.DUMMYFUNCTION("""COMPUTED_VALUE"""),2.0)</f>
        <v>2</v>
      </c>
      <c r="AF262" s="31" t="str">
        <f>IFERROR(__xludf.DUMMYFUNCTION("""COMPUTED_VALUE"""),"Comparative clinical manifestations and immune effects of cytomegalovirus infections following distinct types of immunosuppression.")</f>
        <v>Comparative clinical manifestations and immune effects of cytomegalovirus infections following distinct types of immunosuppression.</v>
      </c>
      <c r="AG262" s="31" t="str">
        <f>IFERROR(__xludf.DUMMYFUNCTION("""COMPUTED_VALUE"""),"Ong, David S Y; Chong, Ga-Lai M; Chemaly, Roy F; Cremer, Olaf L")</f>
        <v>Ong, David S Y; Chong, Ga-Lai M; Chemaly, Roy F; Cremer, Olaf L</v>
      </c>
      <c r="AH262" s="32">
        <f>IFERROR(__xludf.DUMMYFUNCTION("""COMPUTED_VALUE"""),44725.0)</f>
        <v>44725</v>
      </c>
      <c r="AI262" s="31" t="str">
        <f>IFERROR(__xludf.DUMMYFUNCTION("""COMPUTED_VALUE"""),"The role of beta-blockers in outcomes of patients hospitalized for heart failure and chronic obstructive pulmonary disease.")</f>
        <v>The role of beta-blockers in outcomes of patients hospitalized for heart failure and chronic obstructive pulmonary disease.</v>
      </c>
      <c r="AJ262" s="31" t="str">
        <f>IFERROR(__xludf.DUMMYFUNCTION("""COMPUTED_VALUE"""),"Rutten, Frans H; Güder, Gülmisal")</f>
        <v>Rutten, Frans H; Güder, Gülmisal</v>
      </c>
      <c r="AK262" s="32">
        <f>IFERROR(__xludf.DUMMYFUNCTION("""COMPUTED_VALUE"""),42533.0)</f>
        <v>42533</v>
      </c>
      <c r="AL262" s="31" t="str">
        <f>IFERROR(__xludf.DUMMYFUNCTION("""COMPUTED_VALUE"""),"A tutorial on individualized treatment effect prediction from randomized trials with a binary endpoint.")</f>
        <v>A tutorial on individualized treatment effect prediction from randomized trials with a binary endpoint.</v>
      </c>
      <c r="AM262" s="31" t="str">
        <f>IFERROR(__xludf.DUMMYFUNCTION("""COMPUTED_VALUE"""),"Hoogland, Jeroen; IntHout, Joanna; Belias, Michail; Rovers, Maroeska M; Riley, Richard D; E Harrell, Frank; Moons, Karel G M; Debray, Thomas P A; Reitsma, Johannes B")</f>
        <v>Hoogland, Jeroen; IntHout, Joanna; Belias, Michail; Rovers, Maroeska M; Riley, Richard D; E Harrell, Frank; Moons, Karel G M; Debray, Thomas P A; Reitsma, Johannes B</v>
      </c>
      <c r="AN262" s="32">
        <f>IFERROR(__xludf.DUMMYFUNCTION("""COMPUTED_VALUE"""),44424.0)</f>
        <v>44424</v>
      </c>
    </row>
    <row r="263">
      <c r="A263" s="32"/>
      <c r="I263" s="31" t="str">
        <f>IFERROR(__xludf.DUMMYFUNCTION("""COMPUTED_VALUE"""),"circulation")</f>
        <v>circulation</v>
      </c>
      <c r="J263" s="38">
        <f>COUNTIF(Data!$F$2:$F9917, $I263)</f>
        <v>36</v>
      </c>
      <c r="T263" s="31" t="s">
        <v>24994</v>
      </c>
      <c r="U263" s="31" t="s">
        <v>24995</v>
      </c>
      <c r="V263" s="32">
        <v>45470.0</v>
      </c>
      <c r="X263" s="31" t="str">
        <f>IFERROR(__xludf.DUMMYFUNCTION("""COMPUTED_VALUE"""),"Which heart failure patients benefit most from non-invasive telemedicine? An overview of current evidence and future directions.")</f>
        <v>Which heart failure patients benefit most from non-invasive telemedicine? An overview of current evidence and future directions.</v>
      </c>
      <c r="Y263" s="31" t="str">
        <f>IFERROR(__xludf.DUMMYFUNCTION("""COMPUTED_VALUE"""),"van Eijk, Jorna; Luijken, Kim; Trappenburg, Jaap; Jaarsma, Tiny; Asselbergs, Folkert W")</f>
        <v>van Eijk, Jorna; Luijken, Kim; Trappenburg, Jaap; Jaarsma, Tiny; Asselbergs, Folkert W</v>
      </c>
      <c r="Z263" s="31">
        <f>IFERROR(__xludf.DUMMYFUNCTION("""COMPUTED_VALUE"""),2024.0)</f>
        <v>2024</v>
      </c>
      <c r="AA263" s="31">
        <f>IFERROR(__xludf.DUMMYFUNCTION("""COMPUTED_VALUE"""),2.0)</f>
        <v>2</v>
      </c>
      <c r="AF263" s="31" t="str">
        <f>IFERROR(__xludf.DUMMYFUNCTION("""COMPUTED_VALUE"""),"Evaluation of nonalcoholic fatty liver disease (NAFLD) in severe obesity using noninvasive tests and imaging techniques.")</f>
        <v>Evaluation of nonalcoholic fatty liver disease (NAFLD) in severe obesity using noninvasive tests and imaging techniques.</v>
      </c>
      <c r="AG263" s="31" t="str">
        <f>IFERROR(__xludf.DUMMYFUNCTION("""COMPUTED_VALUE"""),"Theel, Willy; Boxma-de Klerk, Bianca M; Dirksmeier-Harinck, Femme; van Rossum, Elisabeth F C; Kanhai, Danny A; Apers, Jan; van Dalen, Bas M; de Knegt, Robert J; Holleboom, Adriaan G; Tushuizen, Maarten E; Grobbee, Diederick E; Wiebolt, Janneke; Castro Cab"&amp;"ezas, Manuel")</f>
        <v>Theel, Willy; Boxma-de Klerk, Bianca M; Dirksmeier-Harinck, Femme; van Rossum, Elisabeth F C; Kanhai, Danny A; Apers, Jan; van Dalen, Bas M; de Knegt, Robert J; Holleboom, Adriaan G; Tushuizen, Maarten E; Grobbee, Diederick E; Wiebolt, Janneke; Castro Cabezas, Manuel</v>
      </c>
      <c r="AH263" s="32">
        <f>IFERROR(__xludf.DUMMYFUNCTION("""COMPUTED_VALUE"""),44724.0)</f>
        <v>44724</v>
      </c>
      <c r="AI263" s="31" t="str">
        <f>IFERROR(__xludf.DUMMYFUNCTION("""COMPUTED_VALUE"""),"Antibiotic preferences for childhood pneumonia vary by physician type and European region.")</f>
        <v>Antibiotic preferences for childhood pneumonia vary by physician type and European region.</v>
      </c>
      <c r="AJ263" s="31" t="str">
        <f>IFERROR(__xludf.DUMMYFUNCTION("""COMPUTED_VALUE"""),"Bielicki, Julia A; Barker, Charlotte I S; van der Velden, Alike W; Sharland, Mike; van Esso, Diego; Hadjipanayis, Adamos; Del Torso, Stefano; Grossman, Zachi")</f>
        <v>Bielicki, Julia A; Barker, Charlotte I S; van der Velden, Alike W; Sharland, Mike; van Esso, Diego; Hadjipanayis, Adamos; Del Torso, Stefano; Grossman, Zachi</v>
      </c>
      <c r="AK263" s="32">
        <f>IFERROR(__xludf.DUMMYFUNCTION("""COMPUTED_VALUE"""),42489.0)</f>
        <v>42489</v>
      </c>
      <c r="AL263" s="31" t="str">
        <f>IFERROR(__xludf.DUMMYFUNCTION("""COMPUTED_VALUE"""),"Cross-sectional associations of tau protein biomarkers with semantic and episodic memory in older adults without dementia: A systematic review and meta-analysis.")</f>
        <v>Cross-sectional associations of tau protein biomarkers with semantic and episodic memory in older adults without dementia: A systematic review and meta-analysis.</v>
      </c>
      <c r="AM263" s="31" t="str">
        <f>IFERROR(__xludf.DUMMYFUNCTION("""COMPUTED_VALUE"""),"Pelgrim, Teuntje A D; Beran, Magdalena; Twait, Emma L; Geerlings, Mirjam I; Vonk, Jet M J")</f>
        <v>Pelgrim, Teuntje A D; Beran, Magdalena; Twait, Emma L; Geerlings, Mirjam I; Vonk, Jet M J</v>
      </c>
      <c r="AN263" s="32">
        <f>IFERROR(__xludf.DUMMYFUNCTION("""COMPUTED_VALUE"""),44421.0)</f>
        <v>44421</v>
      </c>
    </row>
    <row r="264">
      <c r="A264" s="32"/>
      <c r="I264" s="31" t="str">
        <f>IFERROR(__xludf.DUMMYFUNCTION("""COMPUTED_VALUE"""),"jmir research protocols")</f>
        <v>jmir research protocols</v>
      </c>
      <c r="J264" s="38">
        <f>COUNTIF(Data!$F$2:$F9917, $I264)</f>
        <v>6</v>
      </c>
      <c r="T264" s="31" t="s">
        <v>24999</v>
      </c>
      <c r="U264" s="31" t="s">
        <v>24991</v>
      </c>
      <c r="V264" s="32">
        <v>45470.0</v>
      </c>
      <c r="X264" s="31" t="str">
        <f>IFERROR(__xludf.DUMMYFUNCTION("""COMPUTED_VALUE"""),"Clinical implementation of artificial-intelligence-assisted detection of breast cancer metastases in sentinel lymph nodes: the CONFIDENT-B single-center, non-randomized clinical trial.")</f>
        <v>Clinical implementation of artificial-intelligence-assisted detection of breast cancer metastases in sentinel lymph nodes: the CONFIDENT-B single-center, non-randomized clinical trial.</v>
      </c>
      <c r="Y264" s="31"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Z264" s="31">
        <f>IFERROR(__xludf.DUMMYFUNCTION("""COMPUTED_VALUE"""),2024.0)</f>
        <v>2024</v>
      </c>
      <c r="AA264" s="31">
        <f>IFERROR(__xludf.DUMMYFUNCTION("""COMPUTED_VALUE"""),2.0)</f>
        <v>2</v>
      </c>
      <c r="AF264" s="31" t="str">
        <f>IFERROR(__xludf.DUMMYFUNCTION("""COMPUTED_VALUE"""),"Exposure to surrounding greenness and natural-cause and cause-specific mortality in the ELAPSE pooled cohort.")</f>
        <v>Exposure to surrounding greenness and natural-cause and cause-specific mortality in the ELAPSE pooled cohort.</v>
      </c>
      <c r="AG264" s="31" t="str">
        <f>IFERROR(__xludf.DUMMYFUNCTION("""COMPUTED_VALUE"""),"Bereziartua, Ainhoa; Chen, Jie; de Hoogh, Kees; Rodopoulou, Sophia; Andersen, Zorana J; Bellander, Tom; Brandt, Jørgen; Fecht, Daniela; Forastiere, Francesco; Gulliver, John; Hertel, Ole; Hoffmann, Barbara; Arthur Hvidtfeldt, Ulla; Verschuren, W M Monique"&amp;"; Jöckel, Karl-Heinz; Jørgensen, Jeanette T; Katsouyanni, Klea; Ketzel, Matthias; Hjertager Krog, Norun; Brynedal, Boel; Leander, Karin; Liu, Shuo; Ljungman, Petter; Faure, Elodie; Magnusson, Patrik K E; Nagel, Gabriele; Pershagen, Göran; Peters, Annette;"&amp;" Raaschou-Nielsen, Ole; Renzi, Matteo; Rizzuto, Debora; Samoli, Evangelia; van der Schouw, Yvonne T; Schramm, Sara; Severi, Gianluca; Stafoggia, Massimo; Strak, Maciej; Sørensen, Mette; Tjønneland, Anne; Weinmayr, Gudrun; Wolf, Kathrin; Zitt, Emanuel; Bru"&amp;"nekreef, Bert; Hoek, Gerard")</f>
        <v>Bereziartua, Ainhoa; Chen, Jie; de Hoogh, Kees; Rodopoulou, Sophia; Andersen, Zorana J; Bellander, Tom; Brandt, Jørgen; Fecht, Daniela; Forastiere, Francesco; Gulliver, John; Hertel, Ole; Hoffmann, Barbara; Arthur Hvidtfeldt, Ulla; Verschuren, W M Monique; Jöckel, Karl-Heinz; Jørgensen, Jeanette T; Katsouyanni, Klea; Ketzel, Matthias; Hjertager Krog, Norun; Brynedal, Boel; Leander, Karin; Liu, Shuo; Ljungman, Petter; Faure, Elodie; Magnusson, Patrik K E; Nagel, Gabriele; Pershagen, Göran; Peters, Annette; Raaschou-Nielsen, Ole; Renzi, Matteo; Rizzuto, Debora; Samoli, Evangelia; van der Schouw, Yvonne T; Schramm, Sara; Severi, Gianluca; Stafoggia, Massimo; Strak, Maciej; Sørensen, Mette; Tjønneland, Anne; Weinmayr, Gudrun; Wolf, Kathrin; Zitt, Emanuel; Brunekreef, Bert; Hoek, Gerard</v>
      </c>
      <c r="AH264" s="32">
        <f>IFERROR(__xludf.DUMMYFUNCTION("""COMPUTED_VALUE"""),44723.0)</f>
        <v>44723</v>
      </c>
      <c r="AI264" s="31" t="str">
        <f>IFERROR(__xludf.DUMMYFUNCTION("""COMPUTED_VALUE"""),"How big a problem is heart failure with a normal ejection fraction?")</f>
        <v>How big a problem is heart failure with a normal ejection fraction?</v>
      </c>
      <c r="AJ264" s="31" t="str">
        <f>IFERROR(__xludf.DUMMYFUNCTION("""COMPUTED_VALUE"""),"Rutten, Frans H; Clark, Andrew L; Hoes, Arno W")</f>
        <v>Rutten, Frans H; Clark, Andrew L; Hoes, Arno W</v>
      </c>
      <c r="AK264" s="32">
        <f>IFERROR(__xludf.DUMMYFUNCTION("""COMPUTED_VALUE"""),42478.0)</f>
        <v>42478</v>
      </c>
      <c r="AL264" s="31" t="str">
        <f>IFERROR(__xludf.DUMMYFUNCTION("""COMPUTED_VALUE"""),"Midlife Vascular Factors and Prevalence of Mild Cognitive Impairment in Late-Life in Mexico.")</f>
        <v>Midlife Vascular Factors and Prevalence of Mild Cognitive Impairment in Late-Life in Mexico.</v>
      </c>
      <c r="AM264" s="31" t="str">
        <f>IFERROR(__xludf.DUMMYFUNCTION("""COMPUTED_VALUE"""),"Arce Rentería, Miguel; Manly, Jennifer J; Vonk, Jet M J; Mejia Arango, Silvia; Michaels Obregon, Alejandra; Samper-Ternent, Rafael; Wong, Rebeca; Barral, Sandra; Tosto, Giuseppe")</f>
        <v>Arce Rentería, Miguel; Manly, Jennifer J; Vonk, Jet M J; Mejia Arango, Silvia; Michaels Obregon, Alejandra; Samper-Ternent, Rafael; Wong, Rebeca; Barral, Sandra; Tosto, Giuseppe</v>
      </c>
      <c r="AN264" s="32">
        <f>IFERROR(__xludf.DUMMYFUNCTION("""COMPUTED_VALUE"""),44419.0)</f>
        <v>44419</v>
      </c>
    </row>
    <row r="265">
      <c r="A265" s="32"/>
      <c r="I265" s="31" t="str">
        <f>IFERROR(__xludf.DUMMYFUNCTION("""COMPUTED_VALUE"""),"journal of cardiac failure")</f>
        <v>journal of cardiac failure</v>
      </c>
      <c r="J265" s="38">
        <f>COUNTIF(Data!$F$2:$F9917, $I265)</f>
        <v>6</v>
      </c>
      <c r="T265" s="31" t="s">
        <v>25434</v>
      </c>
      <c r="U265" s="31" t="s">
        <v>25435</v>
      </c>
      <c r="V265" s="32">
        <v>45470.0</v>
      </c>
      <c r="X265" s="31" t="str">
        <f>IFERROR(__xludf.DUMMYFUNCTION("""COMPUTED_VALUE"""),"Difficulty with mobility among the aged in Ghana: Evidence from Wave 2 of the World Health Organization's Study on Global Ageing and Adult Health.")</f>
        <v>Difficulty with mobility among the aged in Ghana: Evidence from Wave 2 of the World Health Organization's Study on Global Ageing and Adult Health.</v>
      </c>
      <c r="Y265" s="31" t="str">
        <f>IFERROR(__xludf.DUMMYFUNCTION("""COMPUTED_VALUE"""),"Boakye, Kingsley; Aidoo, Antoinette Ama; Aliyu, Mohammed; Boateng, Daniel; Nakua, Emmanuel Kweku")</f>
        <v>Boakye, Kingsley; Aidoo, Antoinette Ama; Aliyu, Mohammed; Boateng, Daniel; Nakua, Emmanuel Kweku</v>
      </c>
      <c r="Z265" s="31">
        <f>IFERROR(__xludf.DUMMYFUNCTION("""COMPUTED_VALUE"""),2024.0)</f>
        <v>2024</v>
      </c>
      <c r="AA265" s="31">
        <f>IFERROR(__xludf.DUMMYFUNCTION("""COMPUTED_VALUE"""),2.0)</f>
        <v>2</v>
      </c>
      <c r="AF265" s="31" t="str">
        <f>IFERROR(__xludf.DUMMYFUNCTION("""COMPUTED_VALUE"""),"Sex and gender matter in cardiovascular disease and beyond.")</f>
        <v>Sex and gender matter in cardiovascular disease and beyond.</v>
      </c>
      <c r="AG265" s="31" t="str">
        <f>IFERROR(__xludf.DUMMYFUNCTION("""COMPUTED_VALUE"""),"Peters, Sanne A E; Woodward, Mark")</f>
        <v>Peters, Sanne A E; Woodward, Mark</v>
      </c>
      <c r="AH265" s="32">
        <f>IFERROR(__xludf.DUMMYFUNCTION("""COMPUTED_VALUE"""),44722.0)</f>
        <v>44722</v>
      </c>
      <c r="AI265" s="31" t="str">
        <f>IFERROR(__xludf.DUMMYFUNCTION("""COMPUTED_VALUE"""),"Uncovering heart failure with preserved ejection fraction in patients with type 2 diabetes in primary care: time for a change.")</f>
        <v>Uncovering heart failure with preserved ejection fraction in patients with type 2 diabetes in primary care: time for a change.</v>
      </c>
      <c r="AJ265" s="31" t="str">
        <f>IFERROR(__xludf.DUMMYFUNCTION("""COMPUTED_VALUE"""),"Boonman-de Winter, L J M; Cramer, M J; Hoes, A W; Rutten, F H")</f>
        <v>Boonman-de Winter, L J M; Cramer, M J; Hoes, A W; Rutten, F H</v>
      </c>
      <c r="AK265" s="32">
        <f>IFERROR(__xludf.DUMMYFUNCTION("""COMPUTED_VALUE"""),42461.0)</f>
        <v>42461</v>
      </c>
      <c r="AL265" s="31" t="str">
        <f>IFERROR(__xludf.DUMMYFUNCTION("""COMPUTED_VALUE"""),"Interventions for preventing falls and fall-related fractures in community-dwelling older adults: A systematic review and network meta-analysis.")</f>
        <v>Interventions for preventing falls and fall-related fractures in community-dwelling older adults: A systematic review and network meta-analysis.</v>
      </c>
      <c r="AM265" s="31" t="str">
        <f>IFERROR(__xludf.DUMMYFUNCTION("""COMPUTED_VALUE"""),"Dautzenberg, Lauren; Beglinger, Shanthi; Tsokani, Sofia; Zevgiti, Stella; Raijmann, Renee C M A; Rodondi, Nicolas; Scholten, Rob J P M; Rutjes, Anne W S; Di Nisio, Marcello; Emmelot-Vonk, Marielle; Tricco, Andrea C; Straus, Sharon E; Thomas, Sonia; Bretag"&amp;"ne, Lisa; Knol, Wilma; Mavridis, Dimitris; Koek, Huiberdina L")</f>
        <v>Dautzenberg, Lauren; Beglinger, Shanthi; Tsokani, Sofia; Zevgiti, Stella; Raijmann, Renee C M A; Rodondi, Nicolas; Scholten, Rob J P M; Rutjes, Anne W S; Di Nisio, Marcello; Emmelot-Vonk, Marielle; Tricco, Andrea C; Straus, Sharon E; Thomas, Sonia; Bretagne, Lisa; Knol, Wilma; Mavridis, Dimitris; Koek, Huiberdina L</v>
      </c>
      <c r="AN265" s="32">
        <f>IFERROR(__xludf.DUMMYFUNCTION("""COMPUTED_VALUE"""),44405.0)</f>
        <v>44405</v>
      </c>
    </row>
    <row r="266">
      <c r="A266" s="32"/>
      <c r="I266" s="31" t="str">
        <f>IFERROR(__xludf.DUMMYFUNCTION("""COMPUTED_VALUE"""),"the british journal of dermatology")</f>
        <v>the british journal of dermatology</v>
      </c>
      <c r="J266" s="38">
        <f>COUNTIF(Data!$F$2:$F9917, $I266)</f>
        <v>3</v>
      </c>
      <c r="T266" s="31" t="s">
        <v>25464</v>
      </c>
      <c r="U266" s="31" t="s">
        <v>25465</v>
      </c>
      <c r="V266" s="32">
        <v>45470.0</v>
      </c>
      <c r="X266" s="31" t="str">
        <f>IFERROR(__xludf.DUMMYFUNCTION("""COMPUTED_VALUE"""),"Unravelling the Belgian cascade of hypertension care and its determinants: insights from a cross-sectional analysis.")</f>
        <v>Unravelling the Belgian cascade of hypertension care and its determinants: insights from a cross-sectional analysis.</v>
      </c>
      <c r="Y266" s="31" t="str">
        <f>IFERROR(__xludf.DUMMYFUNCTION("""COMPUTED_VALUE"""),"Bos, Philippe; Wouters, Edwin; Danhieux, Katrien; van Olmen, Josefien; Remmen, Roy; Klipstein-Grobusch, Kerstin; Boateng, Daniel; Buffel, Veerle")</f>
        <v>Bos, Philippe; Wouters, Edwin; Danhieux, Katrien; van Olmen, Josefien; Remmen, Roy; Klipstein-Grobusch, Kerstin; Boateng, Daniel; Buffel, Veerle</v>
      </c>
      <c r="Z266" s="31">
        <f>IFERROR(__xludf.DUMMYFUNCTION("""COMPUTED_VALUE"""),2024.0)</f>
        <v>2024</v>
      </c>
      <c r="AA266" s="31">
        <f>IFERROR(__xludf.DUMMYFUNCTION("""COMPUTED_VALUE"""),2.0)</f>
        <v>2</v>
      </c>
      <c r="AF266" s="31" t="str">
        <f>IFERROR(__xludf.DUMMYFUNCTION("""COMPUTED_VALUE"""),"Prevalence of Cardioprotective Medication Use in Coronary Heart Disease Patients in South America: Systematic review and Meta-Analysis.")</f>
        <v>Prevalence of Cardioprotective Medication Use in Coronary Heart Disease Patients in South America: Systematic review and Meta-Analysis.</v>
      </c>
      <c r="AG266" s="31" t="str">
        <f>IFERROR(__xludf.DUMMYFUNCTION("""COMPUTED_VALUE"""),"Marzà-Florensa, A; Drotos, E; Gulayin, P; Grobbee, D E; Irazola, V; Klipstein-Grobusch, K; Vaartjes, I")</f>
        <v>Marzà-Florensa, A; Drotos, E; Gulayin, P; Grobbee, D E; Irazola, V; Klipstein-Grobusch, K; Vaartjes, I</v>
      </c>
      <c r="AH266" s="32">
        <f>IFERROR(__xludf.DUMMYFUNCTION("""COMPUTED_VALUE"""),44720.0)</f>
        <v>44720</v>
      </c>
      <c r="AI266" s="31" t="str">
        <f>IFERROR(__xludf.DUMMYFUNCTION("""COMPUTED_VALUE"""),"Cost-effectiveness of screening strategies to detect heart failure in patients with type 2 diabetes.")</f>
        <v>Cost-effectiveness of screening strategies to detect heart failure in patients with type 2 diabetes.</v>
      </c>
      <c r="AJ266" s="31" t="str">
        <f>IFERROR(__xludf.DUMMYFUNCTION("""COMPUTED_VALUE"""),"van Giessen, Anoukh; Boonman-de Winter, Leandra J M; Rutten, Frans H; Cramer, Maarten J; Landman, Marcel J; Liem, Anho H; Hoes, Arno W; Koffijberg, Hendrik")</f>
        <v>van Giessen, Anoukh; Boonman-de Winter, Leandra J M; Rutten, Frans H; Cramer, Maarten J; Landman, Marcel J; Liem, Anho H; Hoes, Arno W; Koffijberg, Hendrik</v>
      </c>
      <c r="AK266" s="32">
        <f>IFERROR(__xludf.DUMMYFUNCTION("""COMPUTED_VALUE"""),42451.0)</f>
        <v>42451</v>
      </c>
      <c r="AL266" s="31" t="str">
        <f>IFERROR(__xludf.DUMMYFUNCTION("""COMPUTED_VALUE"""),"Balancing Benefits and Risks of Long-Term Antiplatelet Therapy in Noncardioembolic Transient Ischemic Attack or Stroke.")</f>
        <v>Balancing Benefits and Risks of Long-Term Antiplatelet Therapy in Noncardioembolic Transient Ischemic Attack or Stroke.</v>
      </c>
      <c r="AM266" s="31" t="str">
        <f>IFERROR(__xludf.DUMMYFUNCTION("""COMPUTED_VALUE"""),"Hilkens, Nina A; Algra, Ale; Diener, Hans Christoph; Bath, Philip M; Csiba, László; Hacke, Werner; Kappelle, L Jaap; Koudstaal, Peter J; Leys, Didier; Mas, Jean-Louis; Sacco, Ralph L; Greving, Jacoba P")</f>
        <v>Hilkens, Nina A; Algra, Ale; Diener, Hans Christoph; Bath, Philip M; Csiba, László; Hacke, Werner; Kappelle, L Jaap; Koudstaal, Peter J; Leys, Didier; Mas, Jean-Louis; Sacco, Ralph L; Greving, Jacoba P</v>
      </c>
      <c r="AN266" s="32">
        <f>IFERROR(__xludf.DUMMYFUNCTION("""COMPUTED_VALUE"""),44403.0)</f>
        <v>44403</v>
      </c>
    </row>
    <row r="267">
      <c r="A267" s="32"/>
      <c r="I267" s="31" t="str">
        <f>IFERROR(__xludf.DUMMYFUNCTION("""COMPUTED_VALUE"""),"european heart journal digital health")</f>
        <v>european heart journal digital health</v>
      </c>
      <c r="J267" s="38">
        <f>COUNTIF(Data!$F$2:$F9917, $I267)</f>
        <v>5</v>
      </c>
      <c r="T267" s="31" t="s">
        <v>25661</v>
      </c>
      <c r="U267" s="31" t="s">
        <v>25662</v>
      </c>
      <c r="V267" s="32">
        <v>45470.0</v>
      </c>
      <c r="X267" s="31" t="str">
        <f>IFERROR(__xludf.DUMMYFUNCTION("""COMPUTED_VALUE"""),"What is a cure through gene therapy? An analysis and evaluation of the use of ""cure"".")</f>
        <v>What is a cure through gene therapy? An analysis and evaluation of the use of "cure".</v>
      </c>
      <c r="Y267" s="31" t="str">
        <f>IFERROR(__xludf.DUMMYFUNCTION("""COMPUTED_VALUE"""),"Baas, Lieke; Meijer, Karina; Bredenoord, Annelien L; van der Graaf, Rieke")</f>
        <v>Baas, Lieke; Meijer, Karina; Bredenoord, Annelien L; van der Graaf, Rieke</v>
      </c>
      <c r="Z267" s="31">
        <f>IFERROR(__xludf.DUMMYFUNCTION("""COMPUTED_VALUE"""),2024.0)</f>
        <v>2024</v>
      </c>
      <c r="AA267" s="31">
        <f>IFERROR(__xludf.DUMMYFUNCTION("""COMPUTED_VALUE"""),2.0)</f>
        <v>2</v>
      </c>
      <c r="AF267" s="31" t="str">
        <f>IFERROR(__xludf.DUMMYFUNCTION("""COMPUTED_VALUE"""),"Regional heterogeneity of malaria prevalence and associated risk factors among children under five in Togo: evidence from a national malaria indicators survey.")</f>
        <v>Regional heterogeneity of malaria prevalence and associated risk factors among children under five in Togo: evidence from a national malaria indicators survey.</v>
      </c>
      <c r="AG267" s="31" t="str">
        <f>IFERROR(__xludf.DUMMYFUNCTION("""COMPUTED_VALUE"""),"Kombate, Gountante; Gmakouba, Wakpaouyare; Scott, Susana; Azianu, Komi Ameko; Ekouevi, Didier Koumavi; van der Sande, Marianne A B")</f>
        <v>Kombate, Gountante; Gmakouba, Wakpaouyare; Scott, Susana; Azianu, Komi Ameko; Ekouevi, Didier Koumavi; van der Sande, Marianne A B</v>
      </c>
      <c r="AH267" s="32">
        <f>IFERROR(__xludf.DUMMYFUNCTION("""COMPUTED_VALUE"""),44715.0)</f>
        <v>44715</v>
      </c>
      <c r="AI267" s="31" t="str">
        <f>IFERROR(__xludf.DUMMYFUNCTION("""COMPUTED_VALUE"""),"Nasal balloon autoinflation can help clear middle ear effusion, improving the quality of life in school-aged children with glue ear.")</f>
        <v>Nasal balloon autoinflation can help clear middle ear effusion, improving the quality of life in school-aged children with glue ear.</v>
      </c>
      <c r="AJ267" s="31" t="str">
        <f>IFERROR(__xludf.DUMMYFUNCTION("""COMPUTED_VALUE"""),"Schilder, Anne G M; Venekamp, Roderick P")</f>
        <v>Schilder, Anne G M; Venekamp, Roderick P</v>
      </c>
      <c r="AK267" s="32">
        <f>IFERROR(__xludf.DUMMYFUNCTION("""COMPUTED_VALUE"""),42451.0)</f>
        <v>42451</v>
      </c>
      <c r="AL267" s="31" t="str">
        <f>IFERROR(__xludf.DUMMYFUNCTION("""COMPUTED_VALUE"""),"Dementia risk in the general population: large-scale external validation of prediction models in the AGES-Reykjavik study.")</f>
        <v>Dementia risk in the general population: large-scale external validation of prediction models in the AGES-Reykjavik study.</v>
      </c>
      <c r="AM267" s="31" t="str">
        <f>IFERROR(__xludf.DUMMYFUNCTION("""COMPUTED_VALUE"""),"Vonk, Jet M J; Greving, Jacoba P; Gudnason, Vilmundur; Launer, Lenore J; Geerlings, Mirjam I")</f>
        <v>Vonk, Jet M J; Greving, Jacoba P; Gudnason, Vilmundur; Launer, Lenore J; Geerlings, Mirjam I</v>
      </c>
      <c r="AN267" s="32">
        <f>IFERROR(__xludf.DUMMYFUNCTION("""COMPUTED_VALUE"""),44402.0)</f>
        <v>44402</v>
      </c>
    </row>
    <row r="268">
      <c r="A268" s="32"/>
      <c r="I268" s="31" t="str">
        <f>IFERROR(__xludf.DUMMYFUNCTION("""COMPUTED_VALUE"""),"nutrients")</f>
        <v>nutrients</v>
      </c>
      <c r="J268" s="38">
        <f>COUNTIF(Data!$F$2:$F9917, $I268)</f>
        <v>11</v>
      </c>
      <c r="T268" s="31" t="s">
        <v>25551</v>
      </c>
      <c r="U268" s="31" t="s">
        <v>25552</v>
      </c>
      <c r="V268" s="32">
        <v>45469.0</v>
      </c>
      <c r="X268" s="31" t="str">
        <f>IFERROR(__xludf.DUMMYFUNCTION("""COMPUTED_VALUE"""),"Ethical implications of defining longstanding anorexia nervosa.")</f>
        <v>Ethical implications of defining longstanding anorexia nervosa.</v>
      </c>
      <c r="Y268" s="31" t="str">
        <f>IFERROR(__xludf.DUMMYFUNCTION("""COMPUTED_VALUE"""),"Voswinkel, Marthe M; Hanegraaff, Simone M; Mares, Suzanne H W; Wezenberg, Elke; van Delden, Johannes J M; van Elburg, Annemarie A")</f>
        <v>Voswinkel, Marthe M; Hanegraaff, Simone M; Mares, Suzanne H W; Wezenberg, Elke; van Delden, Johannes J M; van Elburg, Annemarie A</v>
      </c>
      <c r="Z268" s="31">
        <f>IFERROR(__xludf.DUMMYFUNCTION("""COMPUTED_VALUE"""),2024.0)</f>
        <v>2024</v>
      </c>
      <c r="AA268" s="31">
        <f>IFERROR(__xludf.DUMMYFUNCTION("""COMPUTED_VALUE"""),2.0)</f>
        <v>2</v>
      </c>
      <c r="AF268" s="31" t="str">
        <f>IFERROR(__xludf.DUMMYFUNCTION("""COMPUTED_VALUE"""),"Adverse cardiovascular events and mortality in men during testosterone treatment: an individual patient and aggregate data meta-analysis.")</f>
        <v>Adverse cardiovascular events and mortality in men during testosterone treatment: an individual patient and aggregate data meta-analysis.</v>
      </c>
      <c r="AG268" s="31" t="str">
        <f>IFERROR(__xludf.DUMMYFUNCTION("""COMPUTED_VALUE"""),"Hudson, Jemma; Cruickshank, Moira; Quinton, Richard; Aucott, Lorna; Aceves-Martins, Magaly; Gillies, Katie; Bhasin, Shalender; Snyder, Peter J; Ellenberg, Susan S; Grossmann, Mathis; Travison, Thomas G; Gianatti, Emily J; van der Schouw, Yvonne T; Emmelot"&amp;"-Vonk, Marielle H; Giltay, Erik J; Hackett, Geoff; Ramachandran, Sudarshan; Svartberg, Johan; Hildreth, Kerry L; Groti Antonic, Kristina; Brock, Gerald B; Tenover, J Lisa; Tan, Hui Meng; Kong, Christopher Ho Chee; Tan, Wei Shen; Marks, Leonard S; Ross, Ri"&amp;"chard J; Schwartz, Robert S; Manson, Paul; Roberts, Stephen; Andersen, Marianne Skovsager; Magnussen, Line Velling; Hernández, Rodolfo; Oliver, Nick; Wu, Frederick; Dhillo, Waljit S; Bhattacharya, Siladitya; Brazzelli, Miriam; Jayasena, Channa N")</f>
        <v>Hudson, Jemma; Cruickshank, Moira; Quinton, Richard; Aucott, Lorna; Aceves-Martins, Magaly; Gillies, Katie; Bhasin, Shalender; Snyder, Peter J; Ellenberg, Susan S; Grossmann, Mathis; Travison, Thomas G; Gianatti, Emily J; van der Schouw, Yvonne T; Emmelot-Vonk, Marielle H; Giltay, Erik J; Hackett, Geoff; Ramachandran, Sudarshan; Svartberg, Johan; Hildreth, Kerry L; Groti Antonic, Kristina; Brock, Gerald B; Tenover, J Lisa; Tan, Hui Meng; Kong, Christopher Ho Chee; Tan, Wei Shen; Marks, Leonard S; Ross, Richard J; Schwartz, Robert S; Manson, Paul; Roberts, Stephen; Andersen, Marianne Skovsager; Magnussen, Line Velling; Hernández, Rodolfo; Oliver, Nick; Wu, Frederick; Dhillo, Waljit S; Bhattacharya, Siladitya; Brazzelli, Miriam; Jayasena, Channa N</v>
      </c>
      <c r="AH268" s="32">
        <f>IFERROR(__xludf.DUMMYFUNCTION("""COMPUTED_VALUE"""),44713.0)</f>
        <v>44713</v>
      </c>
      <c r="AI268" s="31" t="str">
        <f>IFERROR(__xludf.DUMMYFUNCTION("""COMPUTED_VALUE"""),"Health status of older patients with type 2 diabetes and screen-detected heart failure is significantly lower than those without.")</f>
        <v>Health status of older patients with type 2 diabetes and screen-detected heart failure is significantly lower than those without.</v>
      </c>
      <c r="AJ268" s="31" t="str">
        <f>IFERROR(__xludf.DUMMYFUNCTION("""COMPUTED_VALUE"""),"Boonman-de Winter, Leandra J M; van Stel, Henk F; Hoes, Arno W; Landman, Marcel J; Liem, Anho H; Rutten, Guy E H M; Cramer, Maarten J; Rutten, Frans H")</f>
        <v>Boonman-de Winter, Leandra J M; van Stel, Henk F; Hoes, Arno W; Landman, Marcel J; Liem, Anho H; Rutten, Guy E H M; Cramer, Maarten J; Rutten, Frans H</v>
      </c>
      <c r="AK268" s="32">
        <f>IFERROR(__xludf.DUMMYFUNCTION("""COMPUTED_VALUE"""),42431.0)</f>
        <v>42431</v>
      </c>
      <c r="AL268" s="31" t="str">
        <f>IFERROR(__xludf.DUMMYFUNCTION("""COMPUTED_VALUE"""),"Supervised exercise after oesophageal cancer surgery: the PERFECT multicentre randomized clinical trial.")</f>
        <v>Supervised exercise after oesophageal cancer surgery: the PERFECT multicentre randomized clinical trial.</v>
      </c>
      <c r="AM268" s="31" t="str">
        <f>IFERROR(__xludf.DUMMYFUNCTION("""COMPUTED_VALUE"""),"van Vulpen, J K; Hiensch, A E; van Hillegersberg, R; Ruurda, J P; Backx, F J G; Nieuwenhuijzen, G A P; Kouwenhoven, E A; Groenendijk, R P R; van der Peet, D L; Hazebroek, E J; Rosman, C; Wijnhoven, B P L; van Berge Henegouwen, M I; van Laarhoven, H W M; S"&amp;"iersema, P D; May, A M")</f>
        <v>van Vulpen, J K; Hiensch, A E; van Hillegersberg, R; Ruurda, J P; Backx, F J G; Nieuwenhuijzen, G A P; Kouwenhoven, E A; Groenendijk, R P R; van der Peet, D L; Hazebroek, E J; Rosman, C; Wijnhoven, B P L; van Berge Henegouwen, M I; van Laarhoven, H W M; Siersema, P D; May, A M</v>
      </c>
      <c r="AN268" s="32">
        <f>IFERROR(__xludf.DUMMYFUNCTION("""COMPUTED_VALUE"""),44400.0)</f>
        <v>44400</v>
      </c>
    </row>
    <row r="269">
      <c r="A269" s="32"/>
      <c r="I269" s="31" t="str">
        <f>IFERROR(__xludf.DUMMYFUNCTION("""COMPUTED_VALUE"""),"european stroke journal")</f>
        <v>european stroke journal</v>
      </c>
      <c r="J269" s="38">
        <f>COUNTIF(Data!$F$2:$F9917, $I269)</f>
        <v>10</v>
      </c>
      <c r="T269" s="31" t="s">
        <v>24843</v>
      </c>
      <c r="U269" s="31" t="s">
        <v>24844</v>
      </c>
      <c r="V269" s="32">
        <v>45468.0</v>
      </c>
      <c r="X269" s="31" t="str">
        <f>IFERROR(__xludf.DUMMYFUNCTION("""COMPUTED_VALUE"""),"Cohort profile: an observational population-based cohort study on COVID-19 vaccine effectiveness in the Netherlands - the VAccine Study COVID-19 (VASCO).")</f>
        <v>Cohort profile: an observational population-based cohort study on COVID-19 vaccine effectiveness in the Netherlands - the VAccine Study COVID-19 (VASCO).</v>
      </c>
      <c r="Y269" s="31" t="str">
        <f>IFERROR(__xludf.DUMMYFUNCTION("""COMPUTED_VALUE"""),"Huiberts, Anne J; Hoeve, Christina E; Kooijman, Marjolein N; de Melker, Hester E; Hahné, Susan Jm; Grobbee, Diederick E; van Binnendijk, Rob; den Hartog, Gerco; van de Wijgert, Janneke Hhm; van den Hof, Susan; Knol, Mirjam J")</f>
        <v>Huiberts, Anne J; Hoeve, Christina E; Kooijman, Marjolein N; de Melker, Hester E; Hahné, Susan Jm; Grobbee, Diederick E; van Binnendijk, Rob; den Hartog, Gerco; van de Wijgert, Janneke Hhm; van den Hof, Susan; Knol, Mirjam J</v>
      </c>
      <c r="Z269" s="31">
        <f>IFERROR(__xludf.DUMMYFUNCTION("""COMPUTED_VALUE"""),2024.0)</f>
        <v>2024</v>
      </c>
      <c r="AA269" s="31">
        <f>IFERROR(__xludf.DUMMYFUNCTION("""COMPUTED_VALUE"""),2.0)</f>
        <v>2</v>
      </c>
      <c r="AF269" s="31" t="str">
        <f>IFERROR(__xludf.DUMMYFUNCTION("""COMPUTED_VALUE"""),"Associations of Hemostatic Variables with Cardiovascular Disease and Total Mortality: The Glasgow MONICA Study.")</f>
        <v>Associations of Hemostatic Variables with Cardiovascular Disease and Total Mortality: The Glasgow MONICA Study.</v>
      </c>
      <c r="AG269" s="31" t="str">
        <f>IFERROR(__xludf.DUMMYFUNCTION("""COMPUTED_VALUE"""),"Lowe, Gordon D O; Peters, Sanne A E; Rumley, Ann; Tunstall-Pedoe, Hugh; Woodward, Mark")</f>
        <v>Lowe, Gordon D O; Peters, Sanne A E; Rumley, Ann; Tunstall-Pedoe, Hugh; Woodward, Mark</v>
      </c>
      <c r="AH269" s="32">
        <f>IFERROR(__xludf.DUMMYFUNCTION("""COMPUTED_VALUE"""),44707.0)</f>
        <v>44707</v>
      </c>
      <c r="AI269" s="31" t="str">
        <f>IFERROR(__xludf.DUMMYFUNCTION("""COMPUTED_VALUE"""),"Ethnomedical and ethnobotanical investigations on the response capacities of Guinean traditional health practioners in the management of outbreaks of infectious diseases: The case of the Ebola virus epidemic.")</f>
        <v>Ethnomedical and ethnobotanical investigations on the response capacities of Guinean traditional health practioners in the management of outbreaks of infectious diseases: The case of the Ebola virus epidemic.</v>
      </c>
      <c r="AJ269" s="31" t="str">
        <f>IFERROR(__xludf.DUMMYFUNCTION("""COMPUTED_VALUE"""),"Baldé, A M; Traoré, M S; Baldé, M A; Barry, M S; Diallo, A; Camara, M; Traoré, S; Kouyaté, M; Traoré, S; Ouo-Ouo, S; Myanthé, A L; Keita, N; Haba, N L; Goumou, K; Bah, F; Camara, A; Diallo, M S T; Sylla, M; Baldé, E S; Diané, S; Pieters, L; Oularé, K")</f>
        <v>Baldé, A M; Traoré, M S; Baldé, M A; Barry, M S; Diallo, A; Camara, M; Traoré, S; Kouyaté, M; Traoré, S; Ouo-Ouo, S; Myanthé, A L; Keita, N; Haba, N L; Goumou, K; Bah, F; Camara, A; Diallo, M S T; Sylla, M; Baldé, E S; Diané, S; Pieters, L; Oularé, K</v>
      </c>
      <c r="AK269" s="32">
        <f>IFERROR(__xludf.DUMMYFUNCTION("""COMPUTED_VALUE"""),42418.0)</f>
        <v>42418</v>
      </c>
      <c r="AL269" s="31" t="str">
        <f>IFERROR(__xludf.DUMMYFUNCTION("""COMPUTED_VALUE"""),"Association of Ischemic Imaging Phenotype With Progression of Brain Atrophy and Cerebrovascular Lesions on MRI: The SMART-MR Study.")</f>
        <v>Association of Ischemic Imaging Phenotype With Progression of Brain Atrophy and Cerebrovascular Lesions on MRI: The SMART-MR Study.</v>
      </c>
      <c r="AM269" s="31" t="str">
        <f>IFERROR(__xludf.DUMMYFUNCTION("""COMPUTED_VALUE"""),"Rissanen, Ina; Lucci, Carlo; Ghaznawi, Rashid; Hendrikse, Jeroen; Kappelle, L Jaap; Geerlings, Mirjam I; ,")</f>
        <v>Rissanen, Ina; Lucci, Carlo; Ghaznawi, Rashid; Hendrikse, Jeroen; Kappelle, L Jaap; Geerlings, Mirjam I; ,</v>
      </c>
      <c r="AN269" s="32">
        <f>IFERROR(__xludf.DUMMYFUNCTION("""COMPUTED_VALUE"""),44398.0)</f>
        <v>44398</v>
      </c>
    </row>
    <row r="270">
      <c r="A270" s="32"/>
      <c r="I270" s="31" t="str">
        <f>IFERROR(__xludf.DUMMYFUNCTION("""COMPUTED_VALUE"""),"journal of neuropathology and experimental neurology")</f>
        <v>journal of neuropathology and experimental neurology</v>
      </c>
      <c r="J270" s="38">
        <f>COUNTIF(Data!$F$2:$F9917, $I270)</f>
        <v>2</v>
      </c>
      <c r="T270" s="31" t="s">
        <v>25349</v>
      </c>
      <c r="U270" s="31" t="s">
        <v>25350</v>
      </c>
      <c r="V270" s="32">
        <v>45468.0</v>
      </c>
      <c r="X270" s="31" t="str">
        <f>IFERROR(__xludf.DUMMYFUNCTION("""COMPUTED_VALUE"""),"Cost-effectiveness of Mediterranean diet and physical activity in secondary cardiovascular disease prevention: results from the UCC-SMART cohort study.")</f>
        <v>Cost-effectiveness of Mediterranean diet and physical activity in secondary cardiovascular disease prevention: results from the UCC-SMART cohort study.</v>
      </c>
      <c r="Y270" s="31" t="str">
        <f>IFERROR(__xludf.DUMMYFUNCTION("""COMPUTED_VALUE"""),"Bonekamp, Nadia E; Visseren, Frank L J; van der Schouw, Yvonne T; van der Meer, Manon G; Teraa, Martin; Ruigrok, Ynte M; Geleijnse, Johanna M; Koopal, Charlotte; ,")</f>
        <v>Bonekamp, Nadia E; Visseren, Frank L J; van der Schouw, Yvonne T; van der Meer, Manon G; Teraa, Martin; Ruigrok, Ynte M; Geleijnse, Johanna M; Koopal, Charlotte; ,</v>
      </c>
      <c r="Z270" s="31">
        <f>IFERROR(__xludf.DUMMYFUNCTION("""COMPUTED_VALUE"""),2024.0)</f>
        <v>2024</v>
      </c>
      <c r="AA270" s="31">
        <f>IFERROR(__xludf.DUMMYFUNCTION("""COMPUTED_VALUE"""),2.0)</f>
        <v>2</v>
      </c>
      <c r="AF270" s="31" t="str">
        <f>IFERROR(__xludf.DUMMYFUNCTION("""COMPUTED_VALUE"""),"Implementation of Magnetic Resonance Imaging-Guided Radiation Therapy in Routine Care: Opportunities and Challenges in the United States.")</f>
        <v>Implementation of Magnetic Resonance Imaging-Guided Radiation Therapy in Routine Care: Opportunities and Challenges in the United States.</v>
      </c>
      <c r="AG270" s="31" t="str">
        <f>IFERROR(__xludf.DUMMYFUNCTION("""COMPUTED_VALUE"""),"Hehakaya, Charisma; Sharma, Ankur M; van der Voort Van Zijp, Jochem R N; Grobbee, Diederick E; Verkooijen, Helena M; Izaguirre, Enrique W; Moors, Ellen H M")</f>
        <v>Hehakaya, Charisma; Sharma, Ankur M; van der Voort Van Zijp, Jochem R N; Grobbee, Diederick E; Verkooijen, Helena M; Izaguirre, Enrique W; Moors, Ellen H M</v>
      </c>
      <c r="AH270" s="32">
        <f>IFERROR(__xludf.DUMMYFUNCTION("""COMPUTED_VALUE"""),44706.0)</f>
        <v>44706</v>
      </c>
      <c r="AI270" s="31" t="str">
        <f>IFERROR(__xludf.DUMMYFUNCTION("""COMPUTED_VALUE"""),"Extended prediction rule to optimise early detection of heart failure in older persons with non-acute shortness of breath: a cross-sectional study.")</f>
        <v>Extended prediction rule to optimise early detection of heart failure in older persons with non-acute shortness of breath: a cross-sectional study.</v>
      </c>
      <c r="AJ270" s="31" t="str">
        <f>IFERROR(__xludf.DUMMYFUNCTION("""COMPUTED_VALUE"""),"van Riet, Evelien E S; Hoes, Arno W; Limburg, Alexander; Landman, Marcel A J; Kemperman, Hans; Rutten, Frans H")</f>
        <v>van Riet, Evelien E S; Hoes, Arno W; Limburg, Alexander; Landman, Marcel A J; Kemperman, Hans; Rutten, Frans H</v>
      </c>
      <c r="AK270" s="32">
        <f>IFERROR(__xludf.DUMMYFUNCTION("""COMPUTED_VALUE"""),42415.0)</f>
        <v>42415</v>
      </c>
      <c r="AL270" s="31" t="str">
        <f>IFERROR(__xludf.DUMMYFUNCTION("""COMPUTED_VALUE"""),"Effects of and Lessons Learned from an Internet-Based Physical Activity Support Program (with and without Physiotherapist Telephone Counselling) on Physical Activity Levels of Breast and Prostate Cancer Survivors: The PABLO Randomized Controlled Trial.")</f>
        <v>Effects of and Lessons Learned from an Internet-Based Physical Activity Support Program (with and without Physiotherapist Telephone Counselling) on Physical Activity Levels of Breast and Prostate Cancer Survivors: The PABLO Randomized Controlled Trial.</v>
      </c>
      <c r="AM270" s="31" t="str">
        <f>IFERROR(__xludf.DUMMYFUNCTION("""COMPUTED_VALUE"""),"van de Wiel, H J; Stuiver, M M; May, A M; van Grinsven, S; Aaronson, N K; Oldenburg, H S A; van der Poel, H G; Koole, S N; Retèl, V P; van Harten, W H; Groen, W G")</f>
        <v>van de Wiel, H J; Stuiver, M M; May, A M; van Grinsven, S; Aaronson, N K; Oldenburg, H S A; van der Poel, H G; Koole, S N; Retèl, V P; van Harten, W H; Groen, W G</v>
      </c>
      <c r="AN270" s="32">
        <f>IFERROR(__xludf.DUMMYFUNCTION("""COMPUTED_VALUE"""),44398.0)</f>
        <v>44398</v>
      </c>
    </row>
    <row r="271">
      <c r="A271" s="32"/>
      <c r="I271" s="31" t="str">
        <f>IFERROR(__xludf.DUMMYFUNCTION("""COMPUTED_VALUE"""),"journal of microbiological methods")</f>
        <v>journal of microbiological methods</v>
      </c>
      <c r="J271" s="38">
        <f>COUNTIF(Data!$F$2:$F9917, $I271)</f>
        <v>1</v>
      </c>
      <c r="T271" s="31" t="s">
        <v>24739</v>
      </c>
      <c r="U271" s="31" t="s">
        <v>24740</v>
      </c>
      <c r="V271" s="32">
        <v>45467.0</v>
      </c>
      <c r="X271" s="31" t="str">
        <f>IFERROR(__xludf.DUMMYFUNCTION("""COMPUTED_VALUE"""),"What are the 100 most cited fungal genera?")</f>
        <v>What are the 100 most cited fungal genera?</v>
      </c>
      <c r="Y271" s="31" t="str">
        <f>IFERROR(__xludf.DUMMYFUNCTION("""COMPUTED_VALUE"""),"Bhunjun, C S; Chen, Y J; Phukhamsakda, C; Boekhout, T; Groenewald, J Z; McKenzie, E H C; Francisco, E C; Frisvad, J C; Groenewald, M; Hurdeal, V G; Luangsa-Ard, J; Perrone, G; Visagie, C M; Bai, F Y; Błaszkowski, J; Braun, U; de Souza, F A; de Queiroz, M "&amp;"B; Dutta, A K; Gonkhom, D; Goto, B T; Guarnaccia, V; Hagen, F; Houbraken, J; Lachance, M A; Li, J J; Luo, K Y; Magurno, F; Mongkolsamrit, S; Robert, V; Roy, N; Tibpromma, S; Wanasinghe, D N; Wang, D Q; Wei, D P; Zhao, C L; Aiphuk, W; Ajayi-Oyetunde, O; Ar"&amp;"antes, T D; Araujo, J C; Begerow, D; Bakhshi, M; Barbosa, R N; Behrens, F H; Bensch, K; Bezerra, J D P; Bilański, P; Bradley, C A; Bubner, B; Burgess, T I; Buyck, B; Čadež, N; Cai, L; Calaça, F J S; Campbell, L J; Chaverri, P; Chen, Y Y; Chethana, K W T; "&amp;"Coetzee, B; Costa, M M; Chen, Q; Custódio, F A; Dai, Y C; Damm, U; Santiago, A L C M A; De Miccolis Angelini, R M; Dijksterhuis, J; Dissanayake, A J; Doilom, M; Dong, W; Álvarez-Duarte, E; Fischer, M; Gajanayake, A J; Gené, J; Gomdola,")</f>
        <v>Bhunjun, C S; Chen, Y J; Phukhamsakda, C; Boekhout, T; Groenewald, J Z; McKenzie, E H C; Francisco, E C; Frisvad, J C; Groenewald, M; Hurdeal, V G; Luangsa-Ard, J; Perrone, G; Visagie, C M; Bai, F Y; Błaszkowski, J; Braun, U; de Souza, F A; de Queiroz, M B; Dutta, A K; Gonkhom, D; Goto, B T; Guarnaccia, V; Hagen, F; Houbraken, J; Lachance, M A; Li, J J; Luo, K Y; Magurno, F; Mongkolsamrit, S; Robert, V; Roy, N; Tibpromma, S; Wanasinghe, D N; Wang, D Q; Wei, D P; Zhao, C L; Aiphuk, W; Ajayi-Oyetunde, O; Arantes, T D; Araujo, J C; Begerow, D; Bakhshi, M; Barbosa, R N; Behrens, F H; Bensch, K; Bezerra, J D P; Bilański, P; Bradley, C A; Bubner, B; Burgess, T I; Buyck, B; Čadež, N; Cai, L; Calaça, F J S; Campbell, L J; Chaverri, P; Chen, Y Y; Chethana, K W T; Coetzee, B; Costa, M M; Chen, Q; Custódio, F A; Dai, Y C; Damm, U; Santiago, A L C M A; De Miccolis Angelini, R M; Dijksterhuis, J; Dissanayake, A J; Doilom, M; Dong, W; Álvarez-Duarte, E; Fischer, M; Gajanayake, A J; Gené, J; Gomdola,</v>
      </c>
      <c r="Z271" s="31">
        <f>IFERROR(__xludf.DUMMYFUNCTION("""COMPUTED_VALUE"""),2024.0)</f>
        <v>2024</v>
      </c>
      <c r="AA271" s="31">
        <f>IFERROR(__xludf.DUMMYFUNCTION("""COMPUTED_VALUE"""),2.0)</f>
        <v>2</v>
      </c>
      <c r="AF271" s="31" t="str">
        <f>IFERROR(__xludf.DUMMYFUNCTION("""COMPUTED_VALUE"""),"Epigenetic mechanisms of lung carcinogenesis involve differentially methylated CpG sites beyond those associated with smoking.")</f>
        <v>Epigenetic mechanisms of lung carcinogenesis involve differentially methylated CpG sites beyond those associated with smoking.</v>
      </c>
      <c r="AG271" s="31" t="str">
        <f>IFERROR(__xludf.DUMMYFUNCTION("""COMPUTED_VALUE"""),"Petrovic, Dusan; Bodinier, Barbara; Dagnino, Sonia; Whitaker, Matthew; Karimi, Maryam; Campanella, Gianluca; Haugdahl Nøst, Therese; Polidoro, Silvia; Palli, Domenico; Krogh, Vittorio; Tumino, Rosario; Sacerdote, Carlotta; Panico, Salvatore; Lund, Eiliv; "&amp;"Dugué, Pierre-Antoine; Giles, Graham G; Severi, Gianluca; Southey, Melissa; Vineis, Paolo; Stringhini, Silvia; Bochud, Murielle; Sandanger, Torkjel M; Vermeulen, Roel C H; Guida, Florence; Chadeau-Hyam, Marc")</f>
        <v>Petrovic, Dusan; Bodinier, Barbara; Dagnino, Sonia; Whitaker, Matthew; Karimi, Maryam; Campanella, Gianluca; Haugdahl Nøst, Therese; Polidoro, Silvia; Palli, Domenico; Krogh, Vittorio; Tumino, Rosario; Sacerdote, Carlotta; Panico, Salvatore; Lund, Eiliv; Dugué, Pierre-Antoine; Giles, Graham G; Severi, Gianluca; Southey, Melissa; Vineis, Paolo; Stringhini, Silvia; Bochud, Murielle; Sandanger, Torkjel M; Vermeulen, Roel C H; Guida, Florence; Chadeau-Hyam, Marc</v>
      </c>
      <c r="AH271" s="32">
        <f>IFERROR(__xludf.DUMMYFUNCTION("""COMPUTED_VALUE"""),44701.0)</f>
        <v>44701</v>
      </c>
      <c r="AI271" s="31" t="str">
        <f>IFERROR(__xludf.DUMMYFUNCTION("""COMPUTED_VALUE"""),"Do Self-Management Interventions Work in Patients With Heart Failure? An Individual Patient Data Meta-Analysis.")</f>
        <v>Do Self-Management Interventions Work in Patients With Heart Failure? An Individual Patient Data Meta-Analysis.</v>
      </c>
      <c r="AJ271" s="31" t="str">
        <f>IFERROR(__xludf.DUMMYFUNCTION("""COMPUTED_VALUE"""),"Jonkman, Nini H; Westland, Heleen; Groenwold, Rolf H H; Ågren, Susanna; Atienza, Felipe; Blue, Lynda; Bruggink-André de la Porte, Pieta W F; DeWalt, Darren A; Hebert, Paul L; Heisler, Michele; Jaarsma, Tiny; Kempen, Gertrudis I J M; Leventhal, Marcia E; L"&amp;"ok, Dirk J A; Mårtensson, Jan; Muñiz, Javier; Otsu, Haruka; Peters-Klimm, Frank; Rich, Michael W; Riegel, Barbara; Strömberg, Anna; Tsuyuki, Ross T; van Veldhuisen, Dirk J; Trappenburg, Jaap C A; Schuurmans, Marieke J; Hoes, Arno W")</f>
        <v>Jonkman, Nini H; Westland, Heleen; Groenwold, Rolf H H; Ågren, Susanna; Atienza, Felipe;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van Veldhuisen, Dirk J; Trappenburg, Jaap C A; Schuurmans, Marieke J; Hoes, Arno W</v>
      </c>
      <c r="AK271" s="32">
        <f>IFERROR(__xludf.DUMMYFUNCTION("""COMPUTED_VALUE"""),42412.0)</f>
        <v>42412</v>
      </c>
      <c r="AL271" s="31" t="str">
        <f>IFERROR(__xludf.DUMMYFUNCTION("""COMPUTED_VALUE"""),"Vaginal bacterial load in the second trimester is associated with early preterm birth recurrence: a nested case-control study.")</f>
        <v>Vaginal bacterial load in the second trimester is associated with early preterm birth recurrence: a nested case-control study.</v>
      </c>
      <c r="AM271" s="31" t="str">
        <f>IFERROR(__xludf.DUMMYFUNCTION("""COMPUTED_VALUE"""),"Goodfellow, L; Verwijs, M C; Care, A; Sharp, A; Ivandic, J; Poljak, B; Roberts, D; Bronowski, C; Gill, A C; Darby, A C; Alfirevic, A; Muller-Myhsok, B; Alfirevic, Z; van de Wijgert, Jhhm")</f>
        <v>Goodfellow, L; Verwijs, M C; Care, A; Sharp, A; Ivandic, J; Poljak, B; Roberts, D; Bronowski, C; Gill, A C; Darby, A C; Alfirevic, A; Muller-Myhsok, B; Alfirevic, Z; van de Wijgert, Jhhm</v>
      </c>
      <c r="AN271" s="32">
        <f>IFERROR(__xludf.DUMMYFUNCTION("""COMPUTED_VALUE"""),44396.0)</f>
        <v>44396</v>
      </c>
    </row>
    <row r="272">
      <c r="A272" s="32"/>
      <c r="I272" s="31" t="str">
        <f>IFERROR(__xludf.DUMMYFUNCTION("""COMPUTED_VALUE"""),"brain behavior and immunity")</f>
        <v>brain behavior and immunity</v>
      </c>
      <c r="J272" s="38">
        <f>COUNTIF(Data!$F$2:$F9917, $I272)</f>
        <v>1</v>
      </c>
      <c r="T272" s="31" t="s">
        <v>25653</v>
      </c>
      <c r="U272" s="31" t="s">
        <v>25654</v>
      </c>
      <c r="V272" s="32">
        <v>45467.0</v>
      </c>
      <c r="X272" s="31" t="str">
        <f>IFERROR(__xludf.DUMMYFUNCTION("""COMPUTED_VALUE"""),"Reproductive tract complication risks following &lt;i&gt;Chlamydia trachomatis&lt;/i&gt; infections: a long-term prospective cohort study from 2008 to 2022.")</f>
        <v>Reproductive tract complication risks following &lt;i&gt;Chlamydia trachomatis&lt;/i&gt; infections: a long-term prospective cohort study from 2008 to 2022.</v>
      </c>
      <c r="Y272" s="31" t="str">
        <f>IFERROR(__xludf.DUMMYFUNCTION("""COMPUTED_VALUE"""),"Alexiou, Zoïe W; Hoenderboom, Bernice M; Hoebe, Christian J P A; Dukers-Muijrers, Nicole H T M; Götz, Hannelore M; van der Sande, Marianne A B; de Vries, Henry J C; den Hartog, Janneke E; Morré, Servaas A; van Benthem, Birgit H B")</f>
        <v>Alexiou, Zoïe W; Hoenderboom, Bernice M; Hoebe, Christian J P A; Dukers-Muijrers, Nicole H T M; Götz, Hannelore M; van der Sande, Marianne A B; de Vries, Henry J C; den Hartog, Janneke E; Morré, Servaas A; van Benthem, Birgit H B</v>
      </c>
      <c r="Z272" s="31">
        <f>IFERROR(__xludf.DUMMYFUNCTION("""COMPUTED_VALUE"""),2024.0)</f>
        <v>2024</v>
      </c>
      <c r="AA272" s="31">
        <f>IFERROR(__xludf.DUMMYFUNCTION("""COMPUTED_VALUE"""),2.0)</f>
        <v>2</v>
      </c>
      <c r="AF272" s="31" t="str">
        <f>IFERROR(__xludf.DUMMYFUNCTION("""COMPUTED_VALUE"""),"Roles and responsibilities in stem cell research: a focus group study with stem cell researchers and patients.")</f>
        <v>Roles and responsibilities in stem cell research: a focus group study with stem cell researchers and patients.</v>
      </c>
      <c r="AG272" s="31" t="str">
        <f>IFERROR(__xludf.DUMMYFUNCTION("""COMPUTED_VALUE"""),"Assen, Lars S; Jongsma, Karin R; Isasi, Rosario; Tryfonidou, Marianna A; Bredenoord, Annelien L")</f>
        <v>Assen, Lars S; Jongsma, Karin R; Isasi, Rosario; Tryfonidou, Marianna A; Bredenoord, Annelien L</v>
      </c>
      <c r="AH272" s="32">
        <f>IFERROR(__xludf.DUMMYFUNCTION("""COMPUTED_VALUE"""),44698.0)</f>
        <v>44698</v>
      </c>
      <c r="AI272" s="31" t="str">
        <f>IFERROR(__xludf.DUMMYFUNCTION("""COMPUTED_VALUE"""),"Yield of screening for atrial fibrillation in primary care with a hand-held, single-lead electrocardiogram device during influenza vaccination.")</f>
        <v>Yield of screening for atrial fibrillation in primary care with a hand-held, single-lead electrocardiogram device during influenza vaccination.</v>
      </c>
      <c r="AJ272" s="31" t="str">
        <f>IFERROR(__xludf.DUMMYFUNCTION("""COMPUTED_VALUE"""),"Kaasenbrood, Femke; Hollander, Monika; Rutten, Frans H; Gerhards, Leo J; Hoes, Arno W; Tieleman, Robert G")</f>
        <v>Kaasenbrood, Femke; Hollander, Monika; Rutten, Frans H; Gerhards, Leo J; Hoes, Arno W; Tieleman, Robert G</v>
      </c>
      <c r="AK272" s="32">
        <f>IFERROR(__xludf.DUMMYFUNCTION("""COMPUTED_VALUE"""),42406.0)</f>
        <v>42406</v>
      </c>
      <c r="AL272" s="31" t="str">
        <f>IFERROR(__xludf.DUMMYFUNCTION("""COMPUTED_VALUE"""),"Estimating regional prevalence of chronic hepatitis C with a capture-recapture analysis.")</f>
        <v>Estimating regional prevalence of chronic hepatitis C with a capture-recapture analysis.</v>
      </c>
      <c r="AM272" s="31" t="str">
        <f>IFERROR(__xludf.DUMMYFUNCTION("""COMPUTED_VALUE"""),"Kracht, Patricia A M; Arends, Joop E; Hoepelman, Andy I M; Kretzschmar, Mirjam E E")</f>
        <v>Kracht, Patricia A M; Arends, Joop E; Hoepelman, Andy I M; Kretzschmar, Mirjam E E</v>
      </c>
      <c r="AN272" s="32">
        <f>IFERROR(__xludf.DUMMYFUNCTION("""COMPUTED_VALUE"""),44380.0)</f>
        <v>44380</v>
      </c>
    </row>
    <row r="273">
      <c r="A273" s="32"/>
      <c r="I273" s="31" t="str">
        <f>IFERROR(__xludf.DUMMYFUNCTION("""COMPUTED_VALUE"""),"kidney international reports")</f>
        <v>kidney international reports</v>
      </c>
      <c r="J273" s="38">
        <f>COUNTIF(Data!$F$2:$F9917, $I273)</f>
        <v>3</v>
      </c>
      <c r="T273" s="31" t="s">
        <v>24735</v>
      </c>
      <c r="U273" s="31" t="s">
        <v>24736</v>
      </c>
      <c r="V273" s="32">
        <v>45466.0</v>
      </c>
      <c r="X273" s="31" t="str">
        <f>IFERROR(__xludf.DUMMYFUNCTION("""COMPUTED_VALUE"""),"Effect of dupilumab on asthma and aeroallergen sensitization in pediatric atopic dermatitis patients: Results of the BioDay registry.")</f>
        <v>Effect of dupilumab on asthma and aeroallergen sensitization in pediatric atopic dermatitis patients: Results of the BioDay registry.</v>
      </c>
      <c r="Y273" s="31" t="str">
        <f>IFERROR(__xludf.DUMMYFUNCTION("""COMPUTED_VALUE"""),"van der Rijst, Lisa P; de Winter-de Groot, Karin M; Zuithoff, Nicolaas P A; de Bruin-Weller, Marjolein S; de Graaf, Marlies")</f>
        <v>van der Rijst, Lisa P; de Winter-de Groot, Karin M; Zuithoff, Nicolaas P A; de Bruin-Weller, Marjolein S; de Graaf, Marlies</v>
      </c>
      <c r="Z273" s="31">
        <f>IFERROR(__xludf.DUMMYFUNCTION("""COMPUTED_VALUE"""),2024.0)</f>
        <v>2024</v>
      </c>
      <c r="AA273" s="31">
        <f>IFERROR(__xludf.DUMMYFUNCTION("""COMPUTED_VALUE"""),2.0)</f>
        <v>2</v>
      </c>
      <c r="AF273" s="31" t="str">
        <f>IFERROR(__xludf.DUMMYFUNCTION("""COMPUTED_VALUE"""),"Reliability, usability and identified need for home-based cardiometabolic health self-assessment during the COVID-19 pandemic in Soweto, South Africa.")</f>
        <v>Reliability, usability and identified need for home-based cardiometabolic health self-assessment during the COVID-19 pandemic in Soweto, South Africa.</v>
      </c>
      <c r="AG273" s="31" t="str">
        <f>IFERROR(__xludf.DUMMYFUNCTION("""COMPUTED_VALUE"""),"Calvert, Clara; Kolkenbeck-Ruh, Andrea; Crouch, Simone H; Soepnel, Larske M; Ware, Lisa J")</f>
        <v>Calvert, Clara; Kolkenbeck-Ruh, Andrea; Crouch, Simone H; Soepnel, Larske M; Ware, Lisa J</v>
      </c>
      <c r="AH273" s="32">
        <f>IFERROR(__xludf.DUMMYFUNCTION("""COMPUTED_VALUE"""),44684.0)</f>
        <v>44684</v>
      </c>
      <c r="AI273" s="31" t="str">
        <f>IFERROR(__xludf.DUMMYFUNCTION("""COMPUTED_VALUE"""),"The Use of Innovative Two-Component Cluster Analysis and Serodiagnostic Cut-Off Methods to Estimate Prevalence of Pertussis Reinfections.")</f>
        <v>The Use of Innovative Two-Component Cluster Analysis and Serodiagnostic Cut-Off Methods to Estimate Prevalence of Pertussis Reinfections.</v>
      </c>
      <c r="AJ273" s="31" t="str">
        <f>IFERROR(__xludf.DUMMYFUNCTION("""COMPUTED_VALUE"""),"van Twillert, Inonge; Bonačić Marinović, Axel A; van Gaans-van den Brink, Jacqueline A M; Kuipers, Betsy; Berbers, Guy A M; van der Maas, Nicoline A T; Verheij, Theo J M; Versteegh, Florens G A; Teunis, Peter F M; van Els, Cécile A C M")</f>
        <v>van Twillert, Inonge; Bonačić Marinović, Axel A; van Gaans-van den Brink, Jacqueline A M; Kuipers, Betsy; Berbers, Guy A M; van der Maas, Nicoline A T; Verheij, Theo J M; Versteegh, Florens G A; Teunis, Peter F M; van Els, Cécile A C M</v>
      </c>
      <c r="AK273" s="32">
        <f>IFERROR(__xludf.DUMMYFUNCTION("""COMPUTED_VALUE"""),42405.0)</f>
        <v>42405</v>
      </c>
      <c r="AL273" s="31" t="str">
        <f>IFERROR(__xludf.DUMMYFUNCTION("""COMPUTED_VALUE"""),"Exploring the evolution and epidemiology of European CC1-MRSA-IV: tracking a multidrug-resistant community-associated meticillin-resistant &lt;i&gt;Staphylococcus aureus&lt;/i&gt; clone.")</f>
        <v>Exploring the evolution and epidemiology of European CC1-MRSA-IV: tracking a multidrug-resistant community-associated meticillin-resistant &lt;i&gt;Staphylococcus aureus&lt;/i&gt; clone.</v>
      </c>
      <c r="AM273" s="31" t="str">
        <f>IFERROR(__xludf.DUMMYFUNCTION("""COMPUTED_VALUE"""),"Earls, Megan R; Steinig, Eike J; Monecke, Stefan; Samaniego Castruita, José A; Simbeck, Alexandra; Schneider-Brachert, Wulf; Vremerǎ, Teodora; Dorneanu, Olivia S; Loncaric, Igor; Bes, Michèle; Lacoma, Alicia; Prat Aymerich, Cristina; Wernery, Ulrich; Arme"&amp;"ngol-Porta, Marc; Blomfeldt, Anita; Duchene, Sebastian; Bartels, Mette D; Ehricht, Ralf; Coleman, David C")</f>
        <v>Earls, Megan R; Steinig, Eike J; Monecke, Stefan; Samaniego Castruita, José A; Simbeck, Alexandra; Schneider-Brachert, Wulf; Vremerǎ, Teodora; Dorneanu, Olivia S; Loncaric, Igor; Bes, Michèle; Lacoma, Alicia; Prat Aymerich, Cristina; Wernery, Ulrich; Armengol-Porta, Marc; Blomfeldt, Anita; Duchene, Sebastian; Bartels, Mette D; Ehricht, Ralf; Coleman, David C</v>
      </c>
      <c r="AN273" s="32">
        <f>IFERROR(__xludf.DUMMYFUNCTION("""COMPUTED_VALUE"""),44378.0)</f>
        <v>44378</v>
      </c>
    </row>
    <row r="274">
      <c r="A274" s="32"/>
      <c r="I274" s="31" t="str">
        <f>IFERROR(__xludf.DUMMYFUNCTION("""COMPUTED_VALUE"""),"acta obstetricia et gynecologica scandinavica")</f>
        <v>acta obstetricia et gynecologica scandinavica</v>
      </c>
      <c r="J274" s="38">
        <f>COUNTIF(Data!$F$2:$F9917, $I274)</f>
        <v>5</v>
      </c>
      <c r="T274" s="31" t="s">
        <v>25990</v>
      </c>
      <c r="U274" s="31" t="s">
        <v>25991</v>
      </c>
      <c r="V274" s="32">
        <v>45465.0</v>
      </c>
      <c r="X274" s="31" t="str">
        <f>IFERROR(__xludf.DUMMYFUNCTION("""COMPUTED_VALUE"""),"Metabolic syndrome, radiographic osteoarthritis progression and chronic pain of the knee among men and women from the general population: The Rotterdam study.")</f>
        <v>Metabolic syndrome, radiographic osteoarthritis progression and chronic pain of the knee among men and women from the general population: The Rotterdam study.</v>
      </c>
      <c r="Y274" s="31" t="str">
        <f>IFERROR(__xludf.DUMMYFUNCTION("""COMPUTED_VALUE"""),"Szilagyi, I A; Nguyen, N L; Boer, C G; Schiphof, D; Ahmadizar, F; Kavousi, M; Bierma-Zeinstra, S M A; van Meurs, J B J")</f>
        <v>Szilagyi, I A; Nguyen, N L; Boer, C G; Schiphof, D; Ahmadizar, F; Kavousi, M; Bierma-Zeinstra, S M A; van Meurs, J B J</v>
      </c>
      <c r="Z274" s="31">
        <f>IFERROR(__xludf.DUMMYFUNCTION("""COMPUTED_VALUE"""),2024.0)</f>
        <v>2024</v>
      </c>
      <c r="AA274" s="31">
        <f>IFERROR(__xludf.DUMMYFUNCTION("""COMPUTED_VALUE"""),2.0)</f>
        <v>2</v>
      </c>
      <c r="AF274" s="31" t="str">
        <f>IFERROR(__xludf.DUMMYFUNCTION("""COMPUTED_VALUE"""),"Development of an objectively measured walkability index for the Netherlands.")</f>
        <v>Development of an objectively measured walkability index for the Netherlands.</v>
      </c>
      <c r="AG274" s="31" t="str">
        <f>IFERROR(__xludf.DUMMYFUNCTION("""COMPUTED_VALUE"""),"Lam, Thao Minh; Wang, Zhiyong; Vaartjes, Ilonca; Karssenberg, Derek; Ettema, Dick; Helbich, Marco; Timmermans, Erik J; Frank, Lawrence D; den Braver, Nicolette R; Wagtendonk, Alfred J; Beulens, Joline W J; Lakerveld, Jeroen")</f>
        <v>Lam, Thao Minh; Wang, Zhiyong; Vaartjes, Ilonca; Karssenberg, Derek; Ettema, Dick; Helbich, Marco; Timmermans, Erik J; Frank, Lawrence D; den Braver, Nicolette R; Wagtendonk, Alfred J; Beulens, Joline W J; Lakerveld, Jeroen</v>
      </c>
      <c r="AH274" s="32">
        <f>IFERROR(__xludf.DUMMYFUNCTION("""COMPUTED_VALUE"""),44683.0)</f>
        <v>44683</v>
      </c>
      <c r="AI274" s="31" t="str">
        <f>IFERROR(__xludf.DUMMYFUNCTION("""COMPUTED_VALUE"""),"Are topical antibiotics an alternative to oral antibiotics for children with acute otitis media and ear discharge?")</f>
        <v>Are topical antibiotics an alternative to oral antibiotics for children with acute otitis media and ear discharge?</v>
      </c>
      <c r="AJ274" s="31" t="str">
        <f>IFERROR(__xludf.DUMMYFUNCTION("""COMPUTED_VALUE"""),"Venekamp, Roderick P; Prasad, Vibhore; Hay, Alastair D")</f>
        <v>Venekamp, Roderick P; Prasad, Vibhore; Hay, Alastair D</v>
      </c>
      <c r="AK274" s="32">
        <f>IFERROR(__xludf.DUMMYFUNCTION("""COMPUTED_VALUE"""),42404.0)</f>
        <v>42404</v>
      </c>
      <c r="AL274" s="31" t="str">
        <f>IFERROR(__xludf.DUMMYFUNCTION("""COMPUTED_VALUE"""),"Cortical cerebral microinfarcts on 7T MRI: Risk factors, neuroimaging correlates and cognitive functioning - The Medea-7T study.")</f>
        <v>Cortical cerebral microinfarcts on 7T MRI: Risk factors, neuroimaging correlates and cognitive functioning - The Medea-7T study.</v>
      </c>
      <c r="AM274" s="31" t="str">
        <f>IFERROR(__xludf.DUMMYFUNCTION("""COMPUTED_VALUE"""),"Zwartbol, Maarten Ht; Rissanen, Ina; Ghaznawi, Rashid; de Bresser, Jeroen; Kuijf, Hugo J; Blom, Kim; Witkamp, Theo D; Koek, Huiberdina L; Biessels, Geert Jan; Hendrikse, Jeroen; Geerlings, Mirjam I")</f>
        <v>Zwartbol, Maarten Ht; Rissanen, Ina; Ghaznawi, Rashid; de Bresser, Jeroen; Kuijf, Hugo J; Blom, Kim; Witkamp, Theo D; Koek, Huiberdina L; Biessels, Geert Jan; Hendrikse, Jeroen; Geerlings, Mirjam I</v>
      </c>
      <c r="AN274" s="32">
        <f>IFERROR(__xludf.DUMMYFUNCTION("""COMPUTED_VALUE"""),44377.0)</f>
        <v>44377</v>
      </c>
    </row>
    <row r="275">
      <c r="A275" s="32"/>
      <c r="I275" s="31" t="str">
        <f>IFERROR(__xludf.DUMMYFUNCTION("""COMPUTED_VALUE"""),"frontiers in endocrinology")</f>
        <v>frontiers in endocrinology</v>
      </c>
      <c r="J275" s="38">
        <f>COUNTIF(Data!$F$2:$F9917, $I275)</f>
        <v>4</v>
      </c>
      <c r="T275" s="31" t="s">
        <v>24957</v>
      </c>
      <c r="U275" s="31" t="s">
        <v>24958</v>
      </c>
      <c r="V275" s="32">
        <v>45463.0</v>
      </c>
      <c r="X275" s="31" t="str">
        <f>IFERROR(__xludf.DUMMYFUNCTION("""COMPUTED_VALUE"""),"Safety and efficacy of active blood-pressure reduction to the recommended thresholds for intravenous thrombolysis in patients with acute ischaemic stroke in the Netherlands (TRUTH): a prospective, observational, cluster-based, parallel-group study.")</f>
        <v>Safety and efficacy of active blood-pressure reduction to the recommended thresholds for intravenous thrombolysis in patients with acute ischaemic stroke in the Netherlands (TRUTH): a prospective, observational, cluster-based, parallel-group study.</v>
      </c>
      <c r="Y275" s="31" t="str">
        <f>IFERROR(__xludf.DUMMYFUNCTION("""COMPUTED_VALUE"""),"Zonneveld, Thomas P; Vermeer, Sarah E; van Zwet, Erik W; Groot, Adrien E D; Algra, Ale; Aerden, Leo A M; Alblas, Kees C L; de Beer, Frank; Brouwers, Paul J A M; de Gans, Koen; van Gemert, H Maarten A; van Ginneken, Bart C A M; Grooters, Gerke S; Halkes, P"&amp;"atricia H A; van der Heijden-Montfroy, Tonny A M H G; Jellema, Korné; de Jong, Sonja W; Lövenich-Ciccarello, Harry; van der Meulen, Willem D M; Peters, Edwin W; van der Ree, Taco C; Remmers, Michel J M; Richard, Edo; Rovers, Jörgen M P; Saxena, Ritu; van "&amp;"Schaik, Sander M; Schonewille, Wouter J; Schreuder, Tobien A H C M L; de Schryver, Els L L M; Schuiling, Wouter J; Spaander, Fianne H; van Tuijl, Julia H; Visser, Marieke C; Zinkstok, Sanne M; Zock, Elles; Dippel, Diederik W J; Kappelle, L Jaap; van Ooste"&amp;"nbrugge, Robert J; Roos, Yvo B W E M; Vermeij, Frederique H; Wermer, Marieke J H; van der Worp, H Bart; Nederkoorn, Paul J; Kruyt, Nyika D")</f>
        <v>Zonneveld, Thomas P; Vermeer, Sarah E; van Zwet, Erik W; Groot, Adrien E D; Algra, Ale; Aerden, Leo A M; Alblas, Kees C L; de Beer, Frank; Brouwers, Paul J A M; de Gans, Koen; van Gemert, H Maarten A; van Ginneken, Bart C A M; Grooters, Gerke S; Halkes, Patricia H A; van der Heijden-Montfroy, Tonny A M H G; Jellema, Korné; de Jong, Sonja W; Lövenich-Ciccarello, Harry; van der Meulen, Willem D M; Peters, Edwin W; van der Ree, Taco C; Remmers, Michel J M; Richard, Edo; Rovers, Jörgen M P; Saxena, Ritu; van Schaik, Sander M; Schonewille, Wouter J; Schreuder, Tobien A H C M L; de Schryver, Els L L M; Schuiling, Wouter J; Spaander, Fianne H; van Tuijl, Julia H; Visser, Marieke C; Zinkstok, Sanne M; Zock, Elles; Dippel, Diederik W J; Kappelle, L Jaap; van Oostenbrugge, Robert J; Roos, Yvo B W E M; Vermeij, Frederique H; Wermer, Marieke J H; van der Worp, H Bart; Nederkoorn, Paul J; Kruyt, Nyika D</v>
      </c>
      <c r="Z275" s="31">
        <f>IFERROR(__xludf.DUMMYFUNCTION("""COMPUTED_VALUE"""),2024.0)</f>
        <v>2024</v>
      </c>
      <c r="AA275" s="31">
        <f>IFERROR(__xludf.DUMMYFUNCTION("""COMPUTED_VALUE"""),1.0)</f>
        <v>1</v>
      </c>
      <c r="AF275" s="31" t="str">
        <f>IFERROR(__xludf.DUMMYFUNCTION("""COMPUTED_VALUE"""),"Correction to: Salmonella Typhi From Blood Cultures in the Democratic Republic of the Congo: A 10-Year Surveillance.")</f>
        <v>Correction to: Salmonella Typhi From Blood Cultures in the Democratic Republic of the Congo: A 10-Year Surveillance.</v>
      </c>
      <c r="AG275" s="31" t="str">
        <f>IFERROR(__xludf.DUMMYFUNCTION("""COMPUTED_VALUE"""),"Tack, Bieke; Phoba, Marie-France; Van Puyvelde, Sandra; Kalonji, Lisette M; Hardy, Liselotte; Barbé, Barbara; Van der Sande, Marianne A B; Monsieurs, Elise; Deborggraeve, Stijn; Lunguya, Octavie; Jacobs, Jan")</f>
        <v>Tack, Bieke; Phoba, Marie-France; Van Puyvelde, Sandra; Kalonji, Lisette M; Hardy, Liselotte; Barbé, Barbara; Van der Sande, Marianne A B; Monsieurs, Elise; Deborggraeve, Stijn; Lunguya, Octavie; Jacobs, Jan</v>
      </c>
      <c r="AH275" s="32">
        <f>IFERROR(__xludf.DUMMYFUNCTION("""COMPUTED_VALUE"""),44679.0)</f>
        <v>44679</v>
      </c>
      <c r="AI275" s="31" t="str">
        <f>IFERROR(__xludf.DUMMYFUNCTION("""COMPUTED_VALUE"""),"Epidemiology of heart failure: the prevalence of heart failure and ventricular dysfunction in older adults over time. A systematic review.")</f>
        <v>Epidemiology of heart failure: the prevalence of heart failure and ventricular dysfunction in older adults over time. A systematic review.</v>
      </c>
      <c r="AJ275" s="31" t="str">
        <f>IFERROR(__xludf.DUMMYFUNCTION("""COMPUTED_VALUE"""),"van Riet, Evelien E S; Hoes, Arno W; Wagenaar, Kim P; Limburg, Alexander; Landman, Marcel A J; Rutten, Frans H")</f>
        <v>van Riet, Evelien E S; Hoes, Arno W; Wagenaar, Kim P; Limburg, Alexander; Landman, Marcel A J; Rutten, Frans H</v>
      </c>
      <c r="AK275" s="32">
        <f>IFERROR(__xludf.DUMMYFUNCTION("""COMPUTED_VALUE"""),42373.0)</f>
        <v>42373</v>
      </c>
      <c r="AL275" s="31" t="str">
        <f>IFERROR(__xludf.DUMMYFUNCTION("""COMPUTED_VALUE"""),"Impact of the suspension and restart of the Dutch breast cancer screening program on breast cancer incidence and stage during the COVID-19 pandemic.")</f>
        <v>Impact of the suspension and restart of the Dutch breast cancer screening program on breast cancer incidence and stage during the COVID-19 pandemic.</v>
      </c>
      <c r="AM275" s="31" t="str">
        <f>IFERROR(__xludf.DUMMYFUNCTION("""COMPUTED_VALUE"""),"Eijkelboom, Anouk H; de Munck, Linda; Lobbes, Marc B I; van Gils, Carla H; Wesseling, Jelle; Westenend, Pieter J; Guerrero Paez, Cristina; Pijnappel, Ruud M; Verkooijen, Helena M; Broeders, Mireille J M; Siesling, Sabine; ,")</f>
        <v>Eijkelboom, Anouk H; de Munck, Linda; Lobbes, Marc B I; van Gils, Carla H; Wesseling, Jelle; Westenend, Pieter J; Guerrero Paez, Cristina; Pijnappel, Ruud M; Verkooijen, Helena M; Broeders, Mireille J M; Siesling, Sabine; ,</v>
      </c>
      <c r="AN275" s="32">
        <f>IFERROR(__xludf.DUMMYFUNCTION("""COMPUTED_VALUE"""),44377.0)</f>
        <v>44377</v>
      </c>
    </row>
    <row r="276">
      <c r="A276" s="32"/>
      <c r="I276" s="31" t="str">
        <f>IFERROR(__xludf.DUMMYFUNCTION("""COMPUTED_VALUE"""),"intensive critical care nursing")</f>
        <v>intensive critical care nursing</v>
      </c>
      <c r="J276" s="38">
        <f>COUNTIF(Data!$F$2:$F9917, $I276)</f>
        <v>2</v>
      </c>
      <c r="T276" s="31" t="s">
        <v>25341</v>
      </c>
      <c r="U276" s="31" t="s">
        <v>25342</v>
      </c>
      <c r="V276" s="32">
        <v>45463.0</v>
      </c>
      <c r="X276" s="31" t="str">
        <f>IFERROR(__xludf.DUMMYFUNCTION("""COMPUTED_VALUE"""),"SPIN-PM: a consensus framework to evaluate the presence of spin in studies on prediction models.")</f>
        <v>SPIN-PM: a consensus framework to evaluate the presence of spin in studies on prediction models.</v>
      </c>
      <c r="Y276" s="31"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Z276" s="31">
        <f>IFERROR(__xludf.DUMMYFUNCTION("""COMPUTED_VALUE"""),2024.0)</f>
        <v>2024</v>
      </c>
      <c r="AA276" s="31">
        <f>IFERROR(__xludf.DUMMYFUNCTION("""COMPUTED_VALUE"""),1.0)</f>
        <v>1</v>
      </c>
      <c r="AF276" s="31" t="str">
        <f>IFERROR(__xludf.DUMMYFUNCTION("""COMPUTED_VALUE"""),"Ethical implications of visual neuroprostheses-a systematic review.")</f>
        <v>Ethical implications of visual neuroprostheses-a systematic review.</v>
      </c>
      <c r="AG276" s="31" t="str">
        <f>IFERROR(__xludf.DUMMYFUNCTION("""COMPUTED_VALUE"""),"van Velthoven, E A M; van Stuijvenberg, O C; Haselager, D R E; Broekman, M; Chen, X; Roelfsema, P; Bredenoord, A L; Jongsma, K R")</f>
        <v>van Velthoven, E A M; van Stuijvenberg, O C; Haselager, D R E; Broekman, M; Chen, X; Roelfsema, P; Bredenoord, A L; Jongsma, K R</v>
      </c>
      <c r="AH276" s="32">
        <f>IFERROR(__xludf.DUMMYFUNCTION("""COMPUTED_VALUE"""),44678.0)</f>
        <v>44678</v>
      </c>
      <c r="AI276" s="31" t="str">
        <f>IFERROR(__xludf.DUMMYFUNCTION("""COMPUTED_VALUE"""),"""The AYA Director"": A Synthesizing Concept to Understand Psychosocial Experiences of Adolescents and Young Adults With Cancer.")</f>
        <v>"The AYA Director": A Synthesizing Concept to Understand Psychosocial Experiences of Adolescents and Young Adults With Cancer.</v>
      </c>
      <c r="AJ276" s="31" t="str">
        <f>IFERROR(__xludf.DUMMYFUNCTION("""COMPUTED_VALUE"""),"Belpame, Nathalie; Kars, Marijke C; Beeckman, Dimitri; Decoene, Elsie; Quaghebeur, Marijke; Van Hecke, Ann; Verhaeghe, Sofie")</f>
        <v>Belpame, Nathalie; Kars, Marijke C; Beeckman, Dimitri; Decoene, Elsie; Quaghebeur, Marijke; Van Hecke, Ann; Verhaeghe, Sofie</v>
      </c>
      <c r="AK276" s="32">
        <f>IFERROR(__xludf.DUMMYFUNCTION("""COMPUTED_VALUE"""),42370.0)</f>
        <v>42370</v>
      </c>
      <c r="AL276" s="31" t="str">
        <f>IFERROR(__xludf.DUMMYFUNCTION("""COMPUTED_VALUE"""),"Attributable mortality of vancomycin resistance in ampicillin-resistant &lt;i&gt;Enterococcus faecium&lt;/i&gt; bacteremia in Denmark and the Netherlands: A matched cohort study.")</f>
        <v>Attributable mortality of vancomycin resistance in ampicillin-resistant &lt;i&gt;Enterococcus faecium&lt;/i&gt; bacteremia in Denmark and the Netherlands: A matched cohort study.</v>
      </c>
      <c r="AM276" s="31" t="str">
        <f>IFERROR(__xludf.DUMMYFUNCTION("""COMPUTED_VALUE"""),"Rottier, Wouter C; Pinholt, Mette; van der Bij, Akke K; Arpi, Magnus; Blank, Sybrandus N; Nabuurs-Franssen, Marrigje H; Ruijs, Gijs J H M; Tersmette, Matthijs; Ossewaarde, Jacobus M; Groenwold, Rolf H; Westh, Henrik; Bonten, Marc J M; ,; ,")</f>
        <v>Rottier, Wouter C; Pinholt, Mette; van der Bij, Akke K; Arpi, Magnus; Blank, Sybrandus N; Nabuurs-Franssen, Marrigje H; Ruijs, Gijs J H M; Tersmette, Matthijs; Ossewaarde, Jacobus M; Groenwold, Rolf H; Westh, Henrik; Bonten, Marc J M; ,; ,</v>
      </c>
      <c r="AN276" s="32">
        <f>IFERROR(__xludf.DUMMYFUNCTION("""COMPUTED_VALUE"""),44368.0)</f>
        <v>44368</v>
      </c>
    </row>
    <row r="277">
      <c r="A277" s="32"/>
      <c r="I277" s="31" t="str">
        <f>IFERROR(__xludf.DUMMYFUNCTION("""COMPUTED_VALUE"""),"frontiers in pharmacology")</f>
        <v>frontiers in pharmacology</v>
      </c>
      <c r="J277" s="38">
        <f>COUNTIF(Data!$F$2:$F9917, $I277)</f>
        <v>7</v>
      </c>
      <c r="T277" s="31" t="s">
        <v>25332</v>
      </c>
      <c r="U277" s="31" t="s">
        <v>25333</v>
      </c>
      <c r="V277" s="32">
        <v>45461.0</v>
      </c>
      <c r="X277" s="31" t="str">
        <f>IFERROR(__xludf.DUMMYFUNCTION("""COMPUTED_VALUE"""),"Capacity for the management of kidney failure in the International Society of Nephrology Africa region: report from the 2023 ISN Global Kidney Atlas (ISN-GKHA).")</f>
        <v>Capacity for the management of kidney failure in the International Society of Nephrology Africa region: report from the 2023 ISN Global Kidney Atlas (ISN-GKHA).</v>
      </c>
      <c r="Y277" s="31" t="str">
        <f>IFERROR(__xludf.DUMMYFUNCTION("""COMPUTED_VALUE"""),"Tannor, Elliot Koranteng; Davidson, Bianca; Nlandu, Yannick; Bagasha, Peace; Bilchut, Workagegnehu Hailu; Davids, M Razeen; Diongole, Hassane M; Ekrikpo, Udeme E; Hafiz, Ehab O A; Ibrahim, Kwaifa Salihu; Kalyesubula, Robert; Nalado, Aisha M; Olanrewaju, T"&amp;"imothy O; Onu, Ugochi Chika; Pereira-Kamath, Nikhil; Sakajiki, Aminu Muhammad; Salah, Mohamed; Vincent, Lloyd; Arruebo, Silvia; Bello, Aminu K; Caskey, Fergus J; Damster, Sandrine; Donner, Jo-Ann; Jha, Vivekanand; Johnson, David W; Levin, Adeera; Malik, C"&amp;"haru; Nangaku, Masaomi; Okpechi, Ikechi G; Tonelli, Marcello; Ye, Feng; Ashuntantang, Gloria Enow; Arogundade, Fatiu Abiola; ,")</f>
        <v>Tannor, Elliot Koranteng; Davidson, Bianca; Nlandu, Yannick; Bagasha, Peace; Bilchut, Workagegnehu Hailu; Davids, M Razeen; Diongole, Hassane M; Ekrikpo, Udeme E; Hafiz, Ehab O A; Ibrahim, Kwaifa Salihu; Kalyesubula, Robert; Nalado, Aisha M; Olanrewaju, Timothy O; Onu, Ugochi Chika; Pereira-Kamath, Nikhil; Sakajiki, Aminu Muhammad; Salah, Mohamed; Vincent, Lloyd; Arruebo, Silvia; Bello, Aminu K; Caskey, Fergus J; Damster, Sandrine; Donner, Jo-Ann; Jha, Vivekanand; Johnson, David W; Levin, Adeera; Malik, Charu; Nangaku, Masaomi; Okpechi, Ikechi G; Tonelli, Marcello; Ye, Feng; Ashuntantang, Gloria Enow; Arogundade, Fatiu Abiola; ,</v>
      </c>
      <c r="Z277" s="31">
        <f>IFERROR(__xludf.DUMMYFUNCTION("""COMPUTED_VALUE"""),2024.0)</f>
        <v>2024</v>
      </c>
      <c r="AA277" s="31">
        <f>IFERROR(__xludf.DUMMYFUNCTION("""COMPUTED_VALUE"""),1.0)</f>
        <v>1</v>
      </c>
      <c r="AF277" s="31" t="str">
        <f>IFERROR(__xludf.DUMMYFUNCTION("""COMPUTED_VALUE"""),"Intercountry and intracountry variations in opinions of palliative care specialist physicians in Germany, Italy, Japan and UK about continuous use of sedatives: an international cross-sectional survey.")</f>
        <v>Intercountry and intracountry variations in opinions of palliative care specialist physicians in Germany, Italy, Japan and UK about continuous use of sedatives: an international cross-sectional survey.</v>
      </c>
      <c r="AG277" s="31" t="str">
        <f>IFERROR(__xludf.DUMMYFUNCTION("""COMPUTED_VALUE"""),"Morita, Tatsuya; Kawahara, Takuya; Stone, Patrick; Sykes, Nigel; Miccinesi, Guido; Klein, Carsten; Stiel, Stephanie; Hui, David; Deliens, Luc; Heijltjes, Madelon T; Mori, Masanori; Heckel, Maria; Robijn, Lenzo; Krishna, Lalit; Rietjens, Judith")</f>
        <v>Morita, Tatsuya; Kawahara, Takuya; Stone, Patrick; Sykes, Nigel; Miccinesi, Guido; Klein, Carsten; Stiel, Stephanie; Hui, David; Deliens, Luc; Heijltjes, Madelon T; Mori, Masanori; Heckel, Maria; Robijn, Lenzo; Krishna, Lalit; Rietjens, Judith</v>
      </c>
      <c r="AH277" s="32">
        <f>IFERROR(__xludf.DUMMYFUNCTION("""COMPUTED_VALUE"""),44673.0)</f>
        <v>44673</v>
      </c>
      <c r="AI277" s="31" t="str">
        <f>IFERROR(__xludf.DUMMYFUNCTION("""COMPUTED_VALUE"""),"[Prevention of severe infections in asplenic patients].")</f>
        <v>[Prevention of severe infections in asplenic patients].</v>
      </c>
      <c r="AJ277" s="31" t="str">
        <f>IFERROR(__xludf.DUMMYFUNCTION("""COMPUTED_VALUE"""),"Verheij, Th J M")</f>
        <v>Verheij, Th J M</v>
      </c>
      <c r="AK277" s="32">
        <f>IFERROR(__xludf.DUMMYFUNCTION("""COMPUTED_VALUE"""),42370.0)</f>
        <v>42370</v>
      </c>
      <c r="AL277" s="31" t="str">
        <f>IFERROR(__xludf.DUMMYFUNCTION("""COMPUTED_VALUE"""),"Inflammatory potential of the diet and risk of breast cancer in the European Investigation into Cancer and Nutrition (EPIC) study.")</f>
        <v>Inflammatory potential of the diet and risk of breast cancer in the European Investigation into Cancer and Nutrition (EPIC) study.</v>
      </c>
      <c r="AM277" s="31" t="str">
        <f>IFERROR(__xludf.DUMMYFUNCTION("""COMPUTED_VALUE"""),"Castro-Espin, Carlota; Agudo, Antonio; Bonet, Catalina; Katzke, Verena; Turzanski-Fortner, Renée; Aleksandrova, Krasimira; Schulze, Matthias B; Tjønneland, Anne; Dahm, Christina C; Quirós, José-Ramón; Sánchez, María-José; Amiano, Pilar; Chirlaque, María-D"&amp;"olores; Ardanaz, Eva; Masala, Giovanna; Sieri, Sabina; Tumino, Rosario; Sacerdote, Carlotta; Panico, Salvatore; May, Anne M; Bodén, Stina; Gram, Inger T; Skeie, Guri; Laouali, Nasser; Shah, Sanam; Severi, Gianluca; Aune, Dagfinn; Merritt, Melissa A; Caira"&amp;"t, Manon; Weiderpass, Elisabete; Riboli, Elio; Dossus, Laure; Jakszyn, Paula")</f>
        <v>Castro-Espin, Carlota; Agudo, Antonio; Bonet, Catalina; Katzke, Verena; Turzanski-Fortner, Renée; Aleksandrova, Krasimira; Schulze, Matthias B; Tjønneland, Anne; Dahm, Christina C; Quirós, José-Ramón; Sánchez, María-José; Amiano, Pilar; Chirlaque, María-Dolores; Ardanaz, Eva; Masala, Giovanna; Sieri, Sabina; Tumino, Rosario; Sacerdote, Carlotta; Panico, Salvatore; May, Anne M; Bodén, Stina; Gram, Inger T; Skeie, Guri; Laouali, Nasser; Shah, Sanam; Severi, Gianluca; Aune, Dagfinn; Merritt, Melissa A; Cairat, Manon; Weiderpass, Elisabete; Riboli, Elio; Dossus, Laure; Jakszyn, Paula</v>
      </c>
      <c r="AN277" s="32">
        <f>IFERROR(__xludf.DUMMYFUNCTION("""COMPUTED_VALUE"""),44367.0)</f>
        <v>44367</v>
      </c>
    </row>
    <row r="278">
      <c r="A278" s="32"/>
      <c r="I278" s="31" t="str">
        <f>IFERROR(__xludf.DUMMYFUNCTION("""COMPUTED_VALUE"""),"digital health")</f>
        <v>digital health</v>
      </c>
      <c r="J278" s="38">
        <f>COUNTIF(Data!$F$2:$F9917, $I278)</f>
        <v>2</v>
      </c>
      <c r="T278" s="31" t="s">
        <v>25610</v>
      </c>
      <c r="U278" s="31" t="s">
        <v>25611</v>
      </c>
      <c r="V278" s="32">
        <v>45461.0</v>
      </c>
      <c r="X278" s="31" t="str">
        <f>IFERROR(__xludf.DUMMYFUNCTION("""COMPUTED_VALUE"""),"Capacity for the management of kidney failure in the International Society of Nephrology Western Europe region: report from the 2023 ISN Global Kidney Health Atlas (ISN-GKHA).")</f>
        <v>Capacity for the management of kidney failure in the International Society of Nephrology Western Europe region: report from the 2023 ISN Global Kidney Health Atlas (ISN-GKHA).</v>
      </c>
      <c r="Y278" s="31" t="str">
        <f>IFERROR(__xludf.DUMMYFUNCTION("""COMPUTED_VALUE"""),"Pippias, Maria; Alfano, Gaetano; Kelly, Dearbhla M; Soler, Maria Jose; De Chiara, Letizia; Olanrewaju, Timothy O; Arruebo, Silvia; Bello, Aminu K; Caskey, Fergus J; Damster, Sandrine; Donner, Jo-Ann; Jha, Vivekanand; Johnson, David W; Levin, Adeera; Malik"&amp;", Charu; Nangaku, Masaomi; Okpechi, Ikechi G; Tonelli, Marcello; Ye, Feng; Coppo, Rosanna; Lightstone, Liz; ,")</f>
        <v>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v>
      </c>
      <c r="Z278" s="31">
        <f>IFERROR(__xludf.DUMMYFUNCTION("""COMPUTED_VALUE"""),2024.0)</f>
        <v>2024</v>
      </c>
      <c r="AA278" s="31">
        <f>IFERROR(__xludf.DUMMYFUNCTION("""COMPUTED_VALUE"""),1.0)</f>
        <v>1</v>
      </c>
      <c r="AF278" s="31" t="str">
        <f>IFERROR(__xludf.DUMMYFUNCTION("""COMPUTED_VALUE"""),"Environmental factors shaping the gut microbiome in a Dutch population.")</f>
        <v>Environmental factors shaping the gut microbiome in a Dutch population.</v>
      </c>
      <c r="AG278" s="31" t="str">
        <f>IFERROR(__xludf.DUMMYFUNCTION("""COMPUTED_VALUE"""),"Gacesa, R; Kurilshikov, A; Vich Vila, A; Sinha, T; Klaassen, M A Y; Bolte, L A; Andreu-Sánchez, S; Chen, L; Collij, V; Hu, S; Dekens, J A M; Lenters, V C; Björk, J R; Swarte, J C; Swertz, M A; Jansen, B H; Gelderloos-Arends, J; Jankipersadsing, S; Hofker,"&amp;" M; Vermeulen, R C H; Sanna, S; Harmsen, H J M; Wijmenga, C; Fu, J; Zhernakova, A; Weersma, R K")</f>
        <v>Gacesa, R; Kurilshikov, A; Vich Vila, A; Sinha, T; Klaassen, M A Y; Bolte, L A; Andreu-Sánchez, S; Chen, L; Collij, V; Hu, S; Dekens, J A M; Lenters, V C; Björk, J R; Swarte, J C; Swertz, M A; Jansen, B H; Gelderloos-Arends, J; Jankipersadsing, S; Hofker, M; Vermeulen, R C H; Sanna, S; Harmsen, H J M; Wijmenga, C; Fu, J; Zhernakova, A; Weersma, R K</v>
      </c>
      <c r="AH278" s="32">
        <f>IFERROR(__xludf.DUMMYFUNCTION("""COMPUTED_VALUE"""),44664.0)</f>
        <v>44664</v>
      </c>
      <c r="AI278" s="31" t="str">
        <f>IFERROR(__xludf.DUMMYFUNCTION("""COMPUTED_VALUE"""),"[From annual check-up to annual appraisal: personalised diabetes care].")</f>
        <v>[From annual check-up to annual appraisal: personalised diabetes care].</v>
      </c>
      <c r="AJ278" s="31" t="str">
        <f>IFERROR(__xludf.DUMMYFUNCTION("""COMPUTED_VALUE"""),"Rutten, G E H M; van Vugt, H A; de Weerdt, I; Lamberts, S W J; de Koning, E J P")</f>
        <v>Rutten, G E H M; van Vugt, H A; de Weerdt, I; Lamberts, S W J; de Koning, E J P</v>
      </c>
      <c r="AK278" s="32">
        <f>IFERROR(__xludf.DUMMYFUNCTION("""COMPUTED_VALUE"""),42370.0)</f>
        <v>42370</v>
      </c>
      <c r="AL278" s="31" t="str">
        <f>IFERROR(__xludf.DUMMYFUNCTION("""COMPUTED_VALUE"""),"Discussing overweight in dogs during a regular consultation in general practice in the Netherlands.")</f>
        <v>Discussing overweight in dogs during a regular consultation in general practice in the Netherlands.</v>
      </c>
      <c r="AM278" s="31" t="str">
        <f>IFERROR(__xludf.DUMMYFUNCTION("""COMPUTED_VALUE"""),"Aldewereld, Celine M; Monninkhof, Evelyn M; Kroese, Floor M; de Ridder, Denise T D; Nielen, Mirjam; Corbee, Ronald J")</f>
        <v>Aldewereld, Celine M; Monninkhof, Evelyn M; Kroese, Floor M; de Ridder, Denise T D; Nielen, Mirjam; Corbee, Ronald J</v>
      </c>
      <c r="AN278" s="32">
        <f>IFERROR(__xludf.DUMMYFUNCTION("""COMPUTED_VALUE"""),44365.0)</f>
        <v>44365</v>
      </c>
    </row>
    <row r="279">
      <c r="A279" s="32"/>
      <c r="I279" s="31" t="str">
        <f>IFERROR(__xludf.DUMMYFUNCTION("""COMPUTED_VALUE"""),"pregnancy hypertension")</f>
        <v>pregnancy hypertension</v>
      </c>
      <c r="J279" s="38">
        <f>COUNTIF(Data!$F$2:$F9917, $I279)</f>
        <v>8</v>
      </c>
      <c r="T279" s="31" t="s">
        <v>25818</v>
      </c>
      <c r="U279" s="31" t="s">
        <v>25819</v>
      </c>
      <c r="V279" s="32">
        <v>45461.0</v>
      </c>
      <c r="X279" s="31" t="str">
        <f>IFERROR(__xludf.DUMMYFUNCTION("""COMPUTED_VALUE"""),"Physical activity and checkpoint inhibition: association with toxicity and survival.")</f>
        <v>Physical activity and checkpoint inhibition: association with toxicity and survival.</v>
      </c>
      <c r="Y279" s="31" t="str">
        <f>IFERROR(__xludf.DUMMYFUNCTION("""COMPUTED_VALUE"""),"Verheijden, Rik J; Cabané Ballester, Anna; Smit, Karel C; van Eijs, Mick J M; Bruijnen, Cheryl P; van Lindert, Anne S R; Suijkerbuijk, Karijn P M; May, Anne M")</f>
        <v>Verheijden, Rik J; Cabané Ballester, Anna; Smit, Karel C; van Eijs, Mick J M; Bruijnen, Cheryl P; van Lindert, Anne S R; Suijkerbuijk, Karijn P M; May, Anne M</v>
      </c>
      <c r="Z279" s="31">
        <f>IFERROR(__xludf.DUMMYFUNCTION("""COMPUTED_VALUE"""),2024.0)</f>
        <v>2024</v>
      </c>
      <c r="AA279" s="31">
        <f>IFERROR(__xludf.DUMMYFUNCTION("""COMPUTED_VALUE"""),1.0)</f>
        <v>1</v>
      </c>
      <c r="AF279" s="31" t="str">
        <f>IFERROR(__xludf.DUMMYFUNCTION("""COMPUTED_VALUE"""),"Influence of shift work on cardiovascular disease risk in Southern African long-distance truck drivers: a cross-sectional study.")</f>
        <v>Influence of shift work on cardiovascular disease risk in Southern African long-distance truck drivers: a cross-sectional study.</v>
      </c>
      <c r="AG279" s="31" t="str">
        <f>IFERROR(__xludf.DUMMYFUNCTION("""COMPUTED_VALUE"""),"Draaijer, Melvin; Scheuermaier, Karine; Lalla-Edward, Samanta Tresha; Fischer, Alex Emilio; Grobbee, Diederick E; Venter, Francois; Vos, Alinda")</f>
        <v>Draaijer, Melvin; Scheuermaier, Karine; Lalla-Edward, Samanta Tresha; Fischer, Alex Emilio; Grobbee, Diederick E; Venter, Francois; Vos, Alinda</v>
      </c>
      <c r="AH279" s="32">
        <f>IFERROR(__xludf.DUMMYFUNCTION("""COMPUTED_VALUE"""),44664.0)</f>
        <v>44664</v>
      </c>
      <c r="AI279" s="31" t="str">
        <f>IFERROR(__xludf.DUMMYFUNCTION("""COMPUTED_VALUE"""),"[Peer feedback for trainers in general practice].")</f>
        <v>[Peer feedback for trainers in general practice].</v>
      </c>
      <c r="AJ279" s="31" t="str">
        <f>IFERROR(__xludf.DUMMYFUNCTION("""COMPUTED_VALUE"""),"Damoiseaux, R A M J; Truijens, L")</f>
        <v>Damoiseaux, R A M J; Truijens, L</v>
      </c>
      <c r="AK279" s="32">
        <f>IFERROR(__xludf.DUMMYFUNCTION("""COMPUTED_VALUE"""),42370.0)</f>
        <v>42370</v>
      </c>
      <c r="AL279" s="31" t="str">
        <f>IFERROR(__xludf.DUMMYFUNCTION("""COMPUTED_VALUE"""),"Controlling the pandemic during the SARS-CoV-2 vaccination rollout.")</f>
        <v>Controlling the pandemic during the SARS-CoV-2 vaccination rollout.</v>
      </c>
      <c r="AM279" s="31" t="str">
        <f>IFERROR(__xludf.DUMMYFUNCTION("""COMPUTED_VALUE"""),"Viana, João; van Dorp, Christiaan H; Nunes, Ana; Gomes, Manuel C; van Boven, Michiel; Kretzschmar, Mirjam E; Veldhoen, Marc; Rozhnova, Ganna")</f>
        <v>Viana, João; van Dorp, Christiaan H; Nunes, Ana; Gomes, Manuel C; van Boven, Michiel; Kretzschmar, Mirjam E; Veldhoen, Marc; Rozhnova, Ganna</v>
      </c>
      <c r="AN279" s="32">
        <f>IFERROR(__xludf.DUMMYFUNCTION("""COMPUTED_VALUE"""),44363.0)</f>
        <v>44363</v>
      </c>
    </row>
    <row r="280">
      <c r="A280" s="32"/>
      <c r="I280" s="31" t="str">
        <f>IFERROR(__xludf.DUMMYFUNCTION("""COMPUTED_VALUE"""),"nurse education in practice")</f>
        <v>nurse education in practice</v>
      </c>
      <c r="J280" s="38">
        <f>COUNTIF(Data!$F$2:$F9917, $I280)</f>
        <v>2</v>
      </c>
      <c r="T280" s="31" t="s">
        <v>25968</v>
      </c>
      <c r="U280" s="31" t="s">
        <v>25969</v>
      </c>
      <c r="V280" s="32">
        <v>45461.0</v>
      </c>
      <c r="X280" s="31" t="str">
        <f>IFERROR(__xludf.DUMMYFUNCTION("""COMPUTED_VALUE"""),"Polyploidisation pleiotropically buffers ageing in hepatocytes.")</f>
        <v>Polyploidisation pleiotropically buffers ageing in hepatocytes.</v>
      </c>
      <c r="Y280" s="31" t="str">
        <f>IFERROR(__xludf.DUMMYFUNCTION("""COMPUTED_VALUE"""),"Yin, Kelvin; Büttner, Maren; Deligiannis, Ioannis K; Strzelecki, Mateusz; Zhang, Liwei; Talavera-López, Carlos; Theis, Fabian; Odom, Duncan T; Martinez-Jimenez, Celia P")</f>
        <v>Yin, Kelvin; Büttner, Maren; Deligiannis, Ioannis K; Strzelecki, Mateusz; Zhang, Liwei; Talavera-López, Carlos; Theis, Fabian; Odom, Duncan T; Martinez-Jimenez, Celia P</v>
      </c>
      <c r="Z280" s="31">
        <f>IFERROR(__xludf.DUMMYFUNCTION("""COMPUTED_VALUE"""),2024.0)</f>
        <v>2024</v>
      </c>
      <c r="AA280" s="31">
        <f>IFERROR(__xludf.DUMMYFUNCTION("""COMPUTED_VALUE"""),1.0)</f>
        <v>1</v>
      </c>
      <c r="AF280" s="31" t="str">
        <f>IFERROR(__xludf.DUMMYFUNCTION("""COMPUTED_VALUE"""),"Comparison between an in-house SARS-CoV-2 ELISpot and the T-Spot® Discovery SARS-CoV-2 for the assessment of T cell responses in prior SARS-CoV-2-infected individuals.")</f>
        <v>Comparison between an in-house SARS-CoV-2 ELISpot and the T-Spot® Discovery SARS-CoV-2 for the assessment of T cell responses in prior SARS-CoV-2-infected individuals.</v>
      </c>
      <c r="AG280" s="31" t="str">
        <f>IFERROR(__xludf.DUMMYFUNCTION("""COMPUTED_VALUE"""),"Mak, Willem A; Koeleman, Johannes G M; Ong, David S Y")</f>
        <v>Mak, Willem A; Koeleman, Johannes G M; Ong, David S Y</v>
      </c>
      <c r="AH280" s="32">
        <f>IFERROR(__xludf.DUMMYFUNCTION("""COMPUTED_VALUE"""),44663.0)</f>
        <v>44663</v>
      </c>
      <c r="AI280" s="31" t="str">
        <f>IFERROR(__xludf.DUMMYFUNCTION("""COMPUTED_VALUE"""),"[Triage in primary care: overkill?].")</f>
        <v>[Triage in primary care: overkill?].</v>
      </c>
      <c r="AJ280" s="31" t="str">
        <f>IFERROR(__xludf.DUMMYFUNCTION("""COMPUTED_VALUE"""),"Rutten, F H; Zwart, D L")</f>
        <v>Rutten, F H; Zwart, D L</v>
      </c>
      <c r="AK280" s="32">
        <f>IFERROR(__xludf.DUMMYFUNCTION("""COMPUTED_VALUE"""),42370.0)</f>
        <v>42370</v>
      </c>
      <c r="AL280" s="31" t="str">
        <f>IFERROR(__xludf.DUMMYFUNCTION("""COMPUTED_VALUE"""),"Worse capecitabine treatment outcome in patients with a low skeletal muscle mass is not explained by altered pharmacokinetics.")</f>
        <v>Worse capecitabine treatment outcome in patients with a low skeletal muscle mass is not explained by altered pharmacokinetics.</v>
      </c>
      <c r="AM280" s="31" t="str">
        <f>IFERROR(__xludf.DUMMYFUNCTION("""COMPUTED_VALUE"""),"Molenaar-Kuijsten, Laura; Jacobs, Bart Albertus Wilhelmus; Kurk, Sophie Alberdine; May, Anne Maria; Dorlo, Thomas Petrus Catharina; Beijnen, Jacob Hendrik; Steeghs, Neeltje; Huitema, Alwin Dagmar Redmar")</f>
        <v>Molenaar-Kuijsten, Laura; Jacobs, Bart Albertus Wilhelmus; Kurk, Sophie Alberdine; May, Anne Maria; Dorlo, Thomas Petrus Catharina; Beijnen, Jacob Hendrik; Steeghs, Neeltje; Huitema, Alwin Dagmar Redmar</v>
      </c>
      <c r="AN280" s="32">
        <f>IFERROR(__xludf.DUMMYFUNCTION("""COMPUTED_VALUE"""),44361.0)</f>
        <v>44361</v>
      </c>
    </row>
    <row r="281">
      <c r="A281" s="32"/>
      <c r="I281" s="31" t="str">
        <f>IFERROR(__xludf.DUMMYFUNCTION("""COMPUTED_VALUE"""),"united european gastroenterology journal")</f>
        <v>united european gastroenterology journal</v>
      </c>
      <c r="J281" s="38">
        <f>COUNTIF(Data!$F$2:$F9917, $I281)</f>
        <v>5</v>
      </c>
      <c r="T281" s="31" t="s">
        <v>25790</v>
      </c>
      <c r="U281" s="31" t="s">
        <v>25791</v>
      </c>
      <c r="V281" s="32">
        <v>45460.0</v>
      </c>
      <c r="X281" s="31" t="str">
        <f>IFERROR(__xludf.DUMMYFUNCTION("""COMPUTED_VALUE"""),"Wearable wireless continuous vital signs monitoring on the general ward.")</f>
        <v>Wearable wireless continuous vital signs monitoring on the general ward.</v>
      </c>
      <c r="Y281" s="31" t="str">
        <f>IFERROR(__xludf.DUMMYFUNCTION("""COMPUTED_VALUE"""),"Leenen, Jobbe Pl; Schoonhoven, Lisette; Patijn, Gijs A")</f>
        <v>Leenen, Jobbe Pl; Schoonhoven, Lisette; Patijn, Gijs A</v>
      </c>
      <c r="Z281" s="31">
        <f>IFERROR(__xludf.DUMMYFUNCTION("""COMPUTED_VALUE"""),2024.0)</f>
        <v>2024</v>
      </c>
      <c r="AA281" s="31">
        <f>IFERROR(__xludf.DUMMYFUNCTION("""COMPUTED_VALUE"""),1.0)</f>
        <v>1</v>
      </c>
      <c r="AF281" s="31" t="str">
        <f>IFERROR(__xludf.DUMMYFUNCTION("""COMPUTED_VALUE"""),"Constructing evidence-based clinical intrapartum care algorithms for decision-support tools.")</f>
        <v>Constructing evidence-based clinical intrapartum care algorithms for decision-support tools.</v>
      </c>
      <c r="AG281" s="31" t="str">
        <f>IFERROR(__xludf.DUMMYFUNCTION("""COMPUTED_VALUE"""),"Bonet, M; Ciabati, L; De Oliveira, L L; Souza, R; Browne, J L; Rijken, M; Fawcus, S; Hofmeyr, G J; Liabsuetrakul, T; Gülümser, Ç; Blennerhassett, A; Lissauer, D; Meher, S; Althabe, F; Oladapo, O; ,")</f>
        <v>Bonet, M; Ciabati, L; De Oliveira, L L; Souza, R; Browne, J L; Rijken, M; Fawcus, S; Hofmeyr, G J; Liabsuetrakul, T; Gülümser, Ç; Blennerhassett, A; Lissauer, D; Meher, S; Althabe, F; Oladapo, O; ,</v>
      </c>
      <c r="AH281" s="32">
        <f>IFERROR(__xludf.DUMMYFUNCTION("""COMPUTED_VALUE"""),44662.0)</f>
        <v>44662</v>
      </c>
      <c r="AI281" s="31" t="str">
        <f>IFERROR(__xludf.DUMMYFUNCTION("""COMPUTED_VALUE"""),"Improving patient safety culture in general practice: an interview study.")</f>
        <v>Improving patient safety culture in general practice: an interview study.</v>
      </c>
      <c r="AJ281" s="31" t="str">
        <f>IFERROR(__xludf.DUMMYFUNCTION("""COMPUTED_VALUE"""),"Verbakel, Natasha J; de Bont, Antoinette A; Verheij, Theo J M; Wagner, Cordula; Zwart, Dorien L M")</f>
        <v>Verbakel, Natasha J; de Bont, Antoinette A; Verheij, Theo J M; Wagner, Cordula; Zwart, Dorien L M</v>
      </c>
      <c r="AK281" s="32">
        <f>IFERROR(__xludf.DUMMYFUNCTION("""COMPUTED_VALUE"""),42339.0)</f>
        <v>42339</v>
      </c>
      <c r="AL281" s="31" t="str">
        <f>IFERROR(__xludf.DUMMYFUNCTION("""COMPUTED_VALUE"""),"Efficacy of bone-substitute materials use in immediate dental implant placement: A systematic review and meta-analysis.")</f>
        <v>Efficacy of bone-substitute materials use in immediate dental implant placement: A systematic review and meta-analysis.</v>
      </c>
      <c r="AM281" s="31" t="str">
        <f>IFERROR(__xludf.DUMMYFUNCTION("""COMPUTED_VALUE"""),"Zaki, John; Yusuf, Nermin; El-Khadem, Ahmed; Scholten, Rob J P M; Jenniskens, Kevin")</f>
        <v>Zaki, John; Yusuf, Nermin; El-Khadem, Ahmed; Scholten, Rob J P M; Jenniskens, Kevin</v>
      </c>
      <c r="AN281" s="32">
        <f>IFERROR(__xludf.DUMMYFUNCTION("""COMPUTED_VALUE"""),44359.0)</f>
        <v>44359</v>
      </c>
    </row>
    <row r="282">
      <c r="A282" s="32"/>
      <c r="I282" s="31" t="str">
        <f>IFERROR(__xludf.DUMMYFUNCTION("""COMPUTED_VALUE"""),"carcinogenesis")</f>
        <v>carcinogenesis</v>
      </c>
      <c r="J282" s="38">
        <f>COUNTIF(Data!$F$2:$F9917, $I282)</f>
        <v>1</v>
      </c>
      <c r="T282" s="31" t="s">
        <v>25908</v>
      </c>
      <c r="U282" s="31" t="s">
        <v>25909</v>
      </c>
      <c r="V282" s="32">
        <v>45460.0</v>
      </c>
      <c r="X282" s="31" t="str">
        <f>IFERROR(__xludf.DUMMYFUNCTION("""COMPUTED_VALUE"""),"Implementation of Best Practices in Pancreatic Cancer Care in the Netherlands: A Stepped-Wedge Randomized Clinical Trial.")</f>
        <v>Implementation of Best Practices in Pancreatic Cancer Care in the Netherlands: A Stepped-Wedge Randomized Clinical Trial.</v>
      </c>
      <c r="Y282" s="31" t="str">
        <f>IFERROR(__xludf.DUMMYFUNCTION("""COMPUTED_VALUE"""),"Mackay, Tara M; Latenstein, Anouk E J; Augustinus, Simone; van der Geest, Lydia G; Bogte, Auke; Bonsing, Bert A; Cirkel, Geert A; Hol, Lieke; Busch, Olivier R; den Dulk, Marcel; van Driel, Lydi M J W; Festen, Sebastiaan; de Groot, Derk-Jan A; de Groot, Ja"&amp;"n-Willem B; Groot Koerkamp, Bas; Haj Mohammad, Nadia; Haver, Joyce T; van der Harst, Erwin; de Hingh, Ignace H; Homs, Marjolein Y V; Los, Maartje; Luelmo, Saskia A C; de Meijer, Vincent E; Mekenkamp, Leonie; Molenaar, I Quintus; Patijn, Gijs A; Quispel, R"&amp;"utger; Römkens, Tessa E H; van Santvoort, Hjalmar C; Stommel, Martijn W J; Venneman, Niels G; Verdonk, Robert C; van Vilsteren, Frederike G I; de Vos-Geelen, Judith; van Werkhoven, C Henri; van Hooft, Jeanin E; van Eijck, Casper H J; Wilmink, Johanna W; v"&amp;"an Laarhoven, Hanneke W M; Besselink, Marc G; ,")</f>
        <v>Mackay, Tara M; Latenstein, Anouk E J; Augustinus, Simone; van der Geest, Lydia G; Bogte, Auke; Bonsing, Bert A; Cirkel, Geert A; Hol, Lieke; Busch, Olivier R; den Dulk, Marcel; van Driel, Lydi M J W; Festen, Sebastiaan; de Groot, Derk-Jan A; de Groot, Jan-Willem B; Groot Koerkamp, Bas; Haj Mohammad, Nadia; Haver, Joyce T; van der Harst, Erwin; de Hingh, Ignace H; Homs, Marjolein Y V; Los, Maartje; Luelmo, Saskia A C; de Meijer, Vincent E; Mekenkamp, Leonie; Molenaar, I Quintus; Patijn, Gijs A; Quispel, Rutger; Römkens, Tessa E H; van Santvoort, Hjalmar C; Stommel, Martijn W J; Venneman, Niels G; Verdonk, Robert C; van Vilsteren, Frederike G I; de Vos-Geelen, Judith; van Werkhoven, C Henri; van Hooft, Jeanin E; van Eijck, Casper H J; Wilmink, Johanna W; van Laarhoven, Hanneke W M; Besselink, Marc G; ,</v>
      </c>
      <c r="Z282" s="31">
        <f>IFERROR(__xludf.DUMMYFUNCTION("""COMPUTED_VALUE"""),2024.0)</f>
        <v>2024</v>
      </c>
      <c r="AA282" s="31">
        <f>IFERROR(__xludf.DUMMYFUNCTION("""COMPUTED_VALUE"""),1.0)</f>
        <v>1</v>
      </c>
      <c r="AF282" s="31" t="str">
        <f>IFERROR(__xludf.DUMMYFUNCTION("""COMPUTED_VALUE"""),"Biomarker changes as surrogate endpoints in early-phase trials in heart failure with reduced ejection fraction.")</f>
        <v>Biomarker changes as surrogate endpoints in early-phase trials in heart failure with reduced ejection fraction.</v>
      </c>
      <c r="AG282" s="31" t="str">
        <f>IFERROR(__xludf.DUMMYFUNCTION("""COMPUTED_VALUE"""),"Savarese, Gianluigi; Uijl, Alicia; Ouwerkerk, Wouter; Tromp, Jasper; Anker, Stefan D; Dickstein, Kenneth; Hage, Camilla; Lam, Carolyn S P; Lang, Chim C; Metra, Marco; Ng, Leong L; Orsini, Nicola; Samani, Nilesh J; van Veldhuisen, Dirk J; Cleland, John G F"&amp;"; Voors, Adriaan A; Lund, Lars H")</f>
        <v>Savarese, Gianluigi; Uijl, Alicia; Ouwerkerk, Wouter; Tromp, Jasper; Anker, Stefan D; Dickstein, Kenneth; Hage, Camilla; Lam, Carolyn S P; Lang, Chim C; Metra, Marco; Ng, Leong L; Orsini, Nicola; Samani, Nilesh J; van Veldhuisen, Dirk J; Cleland, John G F; Voors, Adriaan A; Lund, Lars H</v>
      </c>
      <c r="AH282" s="32">
        <f>IFERROR(__xludf.DUMMYFUNCTION("""COMPUTED_VALUE"""),44657.0)</f>
        <v>44657</v>
      </c>
      <c r="AI282" s="31" t="str">
        <f>IFERROR(__xludf.DUMMYFUNCTION("""COMPUTED_VALUE"""),"Improving antibiotic prescribing quality by an intervention embedded in the primary care practice accreditation: the ARTI4 randomized trial.")</f>
        <v>Improving antibiotic prescribing quality by an intervention embedded in the primary care practice accreditation: the ARTI4 randomized trial.</v>
      </c>
      <c r="AJ282" s="31" t="str">
        <f>IFERROR(__xludf.DUMMYFUNCTION("""COMPUTED_VALUE"""),"van der Velden, Alike W; Kuyvenhoven, Marijke M; Verheij, Theo J M")</f>
        <v>van der Velden, Alike W; Kuyvenhoven, Marijke M; Verheij, Theo J M</v>
      </c>
      <c r="AK282" s="32">
        <f>IFERROR(__xludf.DUMMYFUNCTION("""COMPUTED_VALUE"""),42298.0)</f>
        <v>42298</v>
      </c>
      <c r="AL282" s="31" t="str">
        <f>IFERROR(__xludf.DUMMYFUNCTION("""COMPUTED_VALUE"""),"Role of C reactive protein and procalcitonin in the diagnosis of lower respiratory tract infection in children in the outpatient setting.")</f>
        <v>Role of C reactive protein and procalcitonin in the diagnosis of lower respiratory tract infection in children in the outpatient setting.</v>
      </c>
      <c r="AM282" s="31" t="str">
        <f>IFERROR(__xludf.DUMMYFUNCTION("""COMPUTED_VALUE"""),"Pérez-López, Andrés; Irwin, Adam; Rodrigo, Carlos; Prat-Aymerich, Cristina")</f>
        <v>Pérez-López, Andrés; Irwin, Adam; Rodrigo, Carlos; Prat-Aymerich, Cristina</v>
      </c>
      <c r="AN282" s="32">
        <f>IFERROR(__xludf.DUMMYFUNCTION("""COMPUTED_VALUE"""),44358.0)</f>
        <v>44358</v>
      </c>
    </row>
    <row r="283">
      <c r="A283" s="32"/>
      <c r="I283" s="31" t="str">
        <f>IFERROR(__xludf.DUMMYFUNCTION("""COMPUTED_VALUE"""),"statistical methods in medical research")</f>
        <v>statistical methods in medical research</v>
      </c>
      <c r="J283" s="38">
        <f>COUNTIF(Data!$F$2:$F9917, $I283)</f>
        <v>9</v>
      </c>
      <c r="T283" s="31" t="s">
        <v>25182</v>
      </c>
      <c r="U283" s="31" t="s">
        <v>25183</v>
      </c>
      <c r="V283" s="32">
        <v>45458.0</v>
      </c>
      <c r="X283" s="31" t="str">
        <f>IFERROR(__xludf.DUMMYFUNCTION("""COMPUTED_VALUE"""),"Dietary intake of plant- and animal-derived protein and incident cardiovascular diseases: the pan-European EPIC-CVD case-cohort study.")</f>
        <v>Dietary intake of plant- and animal-derived protein and incident cardiovascular diseases: the pan-European EPIC-CVD case-cohort study.</v>
      </c>
      <c r="Y283" s="31" t="str">
        <f>IFERROR(__xludf.DUMMYFUNCTION("""COMPUTED_VALUE"""),"Zheng, Ju-Sheng; Steur, Marinka; Imamura, Fumiaki; Freisling, Heinz; Johnson, Laura; van der Schouw, Yvonne T; Tong, Tammy Yn; Weiderpass, Elisabete; Bajracharya, Rashmita; Crous-Bou, Marta; Dahm, Christina C; Heath, Alicia K; Ibsen, Daniel B; Jannasch, F"&amp;"ranziska; Katzke, Verena; Masala, Giovanna; Moreno-Iribas, Conchi; Sacerdote, Carlotta; Schulze, Matthias B; Sieri, Sabina; Wareham, Nicholas J; Danesh, John; Butterworth, Adam S; Forouhi, Nita G")</f>
        <v>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v>
      </c>
      <c r="Z283" s="31">
        <f>IFERROR(__xludf.DUMMYFUNCTION("""COMPUTED_VALUE"""),2024.0)</f>
        <v>2024</v>
      </c>
      <c r="AA283" s="31">
        <f>IFERROR(__xludf.DUMMYFUNCTION("""COMPUTED_VALUE"""),1.0)</f>
        <v>1</v>
      </c>
      <c r="AF283" s="31" t="str">
        <f>IFERROR(__xludf.DUMMYFUNCTION("""COMPUTED_VALUE"""),"A Multipollutant Approach to Estimating Causal Effects of Air Pollution Mixtures on Overall Mortality in a Large, Prospective Cohort.")</f>
        <v>A Multipollutant Approach to Estimating Causal Effects of Air Pollution Mixtures on Overall Mortality in a Large, Prospective Cohort.</v>
      </c>
      <c r="AG283" s="31" t="str">
        <f>IFERROR(__xludf.DUMMYFUNCTION("""COMPUTED_VALUE"""),"Traini, Eugenio; Huss, Anke; Portengen, Lützen; Rookus, Matti; Verschuren, W M Monique; Vermeulen, Roel C H; Bellavia, Andrea")</f>
        <v>Traini, Eugenio; Huss, Anke; Portengen, Lützen; Rookus, Matti; Verschuren, W M Monique; Vermeulen, Roel C H; Bellavia, Andrea</v>
      </c>
      <c r="AH283" s="32">
        <f>IFERROR(__xludf.DUMMYFUNCTION("""COMPUTED_VALUE"""),44656.0)</f>
        <v>44656</v>
      </c>
      <c r="AI283" s="31" t="str">
        <f>IFERROR(__xludf.DUMMYFUNCTION("""COMPUTED_VALUE"""),"Tonsillectomy or adenotonsillectomy versus non-surgical management for obstructive sleep-disordered breathing in children.")</f>
        <v>Tonsillectomy or adenotonsillectomy versus non-surgical management for obstructive sleep-disordered breathing in children.</v>
      </c>
      <c r="AJ283" s="31" t="str">
        <f>IFERROR(__xludf.DUMMYFUNCTION("""COMPUTED_VALUE"""),"Venekamp, Roderick P; Hearne, Benjamin J; Chandrasekharan, Deepak; Blackshaw, Helen; Lim, Jerome; Schilder, Anne G M")</f>
        <v>Venekamp, Roderick P; Hearne, Benjamin J; Chandrasekharan, Deepak; Blackshaw, Helen; Lim, Jerome; Schilder, Anne G M</v>
      </c>
      <c r="AK283" s="32">
        <f>IFERROR(__xludf.DUMMYFUNCTION("""COMPUTED_VALUE"""),42291.0)</f>
        <v>42291</v>
      </c>
      <c r="AL283" s="31" t="str">
        <f>IFERROR(__xludf.DUMMYFUNCTION("""COMPUTED_VALUE"""),"Urine NMR-based TB metabolic fingerprinting for the diagnosis of TB in children.")</f>
        <v>Urine NMR-based TB metabolic fingerprinting for the diagnosis of TB in children.</v>
      </c>
      <c r="AM283" s="31" t="str">
        <f>IFERROR(__xludf.DUMMYFUNCTION("""COMPUTED_VALUE"""),"Comella-Del-Barrio, Patricia; Izquierdo-Garcia, José Luis; Gautier, Jacqueline; Doresca, Mariette Jean Coute; Campos-Olivas, Ramón; Santiveri, Clara M; Muriel-Moreno, Beatriz; Prat-Aymerich, Cristina; Abellana, Rosa; Pérez-Porcuna, Tomas M; Cuevas, Luis E"&amp;"; Ruiz-Cabello, Jesús; Domínguez, José")</f>
        <v>Comella-Del-Barrio, Patricia; Izquierdo-Garcia, José Luis; Gautier, Jacqueline; Doresca, Mariette Jean Coute; Campos-Olivas, Ramón; Santiveri, Clara M; Muriel-Moreno, Beatriz; Prat-Aymerich, Cristina; Abellana, Rosa; Pérez-Porcuna, Tomas M; Cuevas, Luis E; Ruiz-Cabello, Jesús; Domínguez, José</v>
      </c>
      <c r="AN283" s="32">
        <f>IFERROR(__xludf.DUMMYFUNCTION("""COMPUTED_VALUE"""),44354.0)</f>
        <v>44354</v>
      </c>
    </row>
    <row r="284">
      <c r="A284" s="32"/>
      <c r="I284" s="31" t="str">
        <f>IFERROR(__xludf.DUMMYFUNCTION("""COMPUTED_VALUE"""),"cancer")</f>
        <v>cancer</v>
      </c>
      <c r="J284" s="38">
        <f>COUNTIF(Data!$F$2:$F9917, $I284)</f>
        <v>2</v>
      </c>
      <c r="T284" s="31" t="s">
        <v>25255</v>
      </c>
      <c r="U284" s="31" t="s">
        <v>25256</v>
      </c>
      <c r="V284" s="32">
        <v>45457.0</v>
      </c>
      <c r="X284" s="31" t="str">
        <f>IFERROR(__xludf.DUMMYFUNCTION("""COMPUTED_VALUE"""),"Diagnostic Stewardship in Community-Acquired Pneumonia With Syndromic Molecular Testing: A Randomized Clinical Trial.")</f>
        <v>Diagnostic Stewardship in Community-Acquired Pneumonia With Syndromic Molecular Testing: A Randomized Clinical Trial.</v>
      </c>
      <c r="Y284" s="31" t="str">
        <f>IFERROR(__xludf.DUMMYFUNCTION("""COMPUTED_VALUE"""),"Markussen, Dagfinn L; Serigstad, Sondre; Ritz, Christian; Knoop, Siri T; Ebbesen, Marit H; Faurholt-Jepsen, Daniel; Heggelund, Lars; van Werkhoven, Cornelis H; Clark, Tristan W; Bjørneklett, Rune O; Kommedal, Øyvind; Ulvestad, Elling; Grewal, Harleen M S")</f>
        <v>Markussen, Dagfinn L; Serigstad, Sondre; Ritz, Christian; Knoop, Siri T; Ebbesen, Marit H; Faurholt-Jepsen, Daniel; Heggelund, Lars; van Werkhoven, Cornelis H; Clark, Tristan W; Bjørneklett, Rune O; Kommedal, Øyvind; Ulvestad, Elling; Grewal, Harleen M S</v>
      </c>
      <c r="Z284" s="31">
        <f>IFERROR(__xludf.DUMMYFUNCTION("""COMPUTED_VALUE"""),2024.0)</f>
        <v>2024</v>
      </c>
      <c r="AA284" s="31">
        <f>IFERROR(__xludf.DUMMYFUNCTION("""COMPUTED_VALUE"""),1.0)</f>
        <v>1</v>
      </c>
      <c r="AF284" s="31" t="str">
        <f>IFERROR(__xludf.DUMMYFUNCTION("""COMPUTED_VALUE"""),"Reproductive factors and the risk of incident dementia: A cohort study of UK Biobank participants.")</f>
        <v>Reproductive factors and the risk of incident dementia: A cohort study of UK Biobank participants.</v>
      </c>
      <c r="AG284" s="31" t="str">
        <f>IFERROR(__xludf.DUMMYFUNCTION("""COMPUTED_VALUE"""),"Gong, Jessica; Harris, Katie; Peters, Sanne A E; Woodward, Mark")</f>
        <v>Gong, Jessica; Harris, Katie; Peters, Sanne A E; Woodward, Mark</v>
      </c>
      <c r="AH284" s="32">
        <f>IFERROR(__xludf.DUMMYFUNCTION("""COMPUTED_VALUE"""),44656.0)</f>
        <v>44656</v>
      </c>
      <c r="AI284" s="31" t="str">
        <f>IFERROR(__xludf.DUMMYFUNCTION("""COMPUTED_VALUE"""),"Communication Between Breast Cancer Patients Who Received Inconclusive Genetic Test Results and Their Daughters and Sisters Years After Testing.")</f>
        <v>Communication Between Breast Cancer Patients Who Received Inconclusive Genetic Test Results and Their Daughters and Sisters Years After Testing.</v>
      </c>
      <c r="AJ284" s="31" t="str">
        <f>IFERROR(__xludf.DUMMYFUNCTION("""COMPUTED_VALUE"""),"Baars, Jessica E; Ausems, Margreet G E M; van Riel, Els; Kars, Marijke C; Bleiker, Eveline M A")</f>
        <v>Baars, Jessica E; Ausems, Margreet G E M; van Riel, Els; Kars, Marijke C; Bleiker, Eveline M A</v>
      </c>
      <c r="AK284" s="32">
        <f>IFERROR(__xludf.DUMMYFUNCTION("""COMPUTED_VALUE"""),42285.0)</f>
        <v>42285</v>
      </c>
      <c r="AL284" s="31" t="str">
        <f>IFERROR(__xludf.DUMMYFUNCTION("""COMPUTED_VALUE"""),"Predicting recurrence in patients with sentinel node-negative melanoma: validation of the EORTC nomogram using population-based data.")</f>
        <v>Predicting recurrence in patients with sentinel node-negative melanoma: validation of the EORTC nomogram using population-based data.</v>
      </c>
      <c r="AM284" s="31" t="str">
        <f>IFERROR(__xludf.DUMMYFUNCTION("""COMPUTED_VALUE"""),"El Sharouni, M A; Ahmed, T; Witkamp, A J; Sigurdsson, V; van Gils, C H; Nieweg, O E; Scolyer, R A; Thompson, J F; van Diest, P J; Lo, S N")</f>
        <v>El Sharouni, M A; Ahmed, T; Witkamp, A J; Sigurdsson, V; van Gils, C H; Nieweg, O E; Scolyer, R A; Thompson, J F; van Diest, P J; Lo, S N</v>
      </c>
      <c r="AN284" s="32">
        <f>IFERROR(__xludf.DUMMYFUNCTION("""COMPUTED_VALUE"""),44343.0)</f>
        <v>44343</v>
      </c>
    </row>
    <row r="285">
      <c r="A285" s="32"/>
      <c r="I285" s="31" t="str">
        <f>IFERROR(__xludf.DUMMYFUNCTION("""COMPUTED_VALUE"""),"frontiers in neurology")</f>
        <v>frontiers in neurology</v>
      </c>
      <c r="J285" s="38">
        <f>COUNTIF(Data!$F$2:$F9917, $I285)</f>
        <v>5</v>
      </c>
      <c r="T285" s="31" t="s">
        <v>25312</v>
      </c>
      <c r="U285" s="31" t="s">
        <v>25313</v>
      </c>
      <c r="V285" s="32">
        <v>45457.0</v>
      </c>
      <c r="X285" s="31" t="str">
        <f>IFERROR(__xludf.DUMMYFUNCTION("""COMPUTED_VALUE"""),"Substantial Burden of Nonmedically Attended RSV Infection in Healthy-Term Infants: An International Prospective Birth Cohort Study.")</f>
        <v>Substantial Burden of Nonmedically Attended RSV Infection in Healthy-Term Infants: An International Prospective Birth Cohort Study.</v>
      </c>
      <c r="Y285" s="31" t="str">
        <f>IFERROR(__xludf.DUMMYFUNCTION("""COMPUTED_VALUE"""),"Hak, Sarah F; Venekamp, Roderick P; Billard, Marie-Noëlle; van Houten, Marlies A; Pollard, Andrew J; Heikkinen, Terho; Cunningham, Steve; Millar, Margaret; Martinón-Torres, Federico; Dacosta-Urbieta, Ana; Bont, Louis J; Wildenbeest, Joanne G; ,")</f>
        <v>Hak, Sarah F; Venekamp, Roderick P; Billard, Marie-Noëlle; van Houten, Marlies A; Pollard, Andrew J; Heikkinen, Terho; Cunningham, Steve; Millar, Margaret; Martinón-Torres, Federico; Dacosta-Urbieta, Ana; Bont, Louis J; Wildenbeest, Joanne G; ,</v>
      </c>
      <c r="Z285" s="31">
        <f>IFERROR(__xludf.DUMMYFUNCTION("""COMPUTED_VALUE"""),2024.0)</f>
        <v>2024</v>
      </c>
      <c r="AA285" s="31">
        <f>IFERROR(__xludf.DUMMYFUNCTION("""COMPUTED_VALUE"""),1.0)</f>
        <v>1</v>
      </c>
      <c r="AF285" s="31" t="str">
        <f>IFERROR(__xludf.DUMMYFUNCTION("""COMPUTED_VALUE"""),"Is early menopause a potential criterion for cardiovascular risk screening to detect high risk in a multi-ethnic population? The Helius study.")</f>
        <v>Is early menopause a potential criterion for cardiovascular risk screening to detect high risk in a multi-ethnic population? The Helius study.</v>
      </c>
      <c r="AG285" s="31" t="str">
        <f>IFERROR(__xludf.DUMMYFUNCTION("""COMPUTED_VALUE"""),"Reilingh, A Y A M; van den Meiracker, T R M; Bolijn, R; Galenkamp, H; Moll van Charante, E P; van der Schouw, Y T; van Valkengoed, I G M")</f>
        <v>Reilingh, A Y A M; van den Meiracker, T R M; Bolijn, R; Galenkamp, H; Moll van Charante, E P; van der Schouw, Y T; van Valkengoed, I G M</v>
      </c>
      <c r="AH285" s="32">
        <f>IFERROR(__xludf.DUMMYFUNCTION("""COMPUTED_VALUE"""),44641.0)</f>
        <v>44641</v>
      </c>
      <c r="AI285" s="31" t="str">
        <f>IFERROR(__xludf.DUMMYFUNCTION("""COMPUTED_VALUE"""),"Rationale, design and baseline results of the Treatment Optimisation in Primary care of Heart failure in the Utrecht region (TOPHU) study: a cluster randomised controlled trial.")</f>
        <v>Rationale, design and baseline results of the Treatment Optimisation in Primary care of Heart failure in the Utrecht region (TOPHU) study: a cluster randomised controlled trial.</v>
      </c>
      <c r="AJ285" s="31" t="str">
        <f>IFERROR(__xludf.DUMMYFUNCTION("""COMPUTED_VALUE"""),"Valk, Mark J; Hoes, Arno W; Mosterd, Arend; Landman, Marcel A; Broekhuizen, Berna D L; Rutten, Frans H")</f>
        <v>Valk, Mark J; Hoes, Arno W; Mosterd, Arend; Landman, Marcel A; Broekhuizen, Berna D L; Rutten, Frans H</v>
      </c>
      <c r="AK285" s="32">
        <f>IFERROR(__xludf.DUMMYFUNCTION("""COMPUTED_VALUE"""),42284.0)</f>
        <v>42284</v>
      </c>
      <c r="AL285" s="31" t="str">
        <f>IFERROR(__xludf.DUMMYFUNCTION("""COMPUTED_VALUE"""),"National point prevalence study on carriage of multidrug-resistant microorganisms in Dutch long-term care facilities in 2018.")</f>
        <v>National point prevalence study on carriage of multidrug-resistant microorganisms in Dutch long-term care facilities in 2018.</v>
      </c>
      <c r="AM285" s="31" t="str">
        <f>IFERROR(__xludf.DUMMYFUNCTION("""COMPUTED_VALUE"""),"van Kleef, Esther; Wielders, Cornelia C H; Schouls, Leo M; Feenstra, Sabiena G; Hertogh, Cees M P M; Bonten, Marc J M; van Weert, Yolanda; Tostmann, Alma; van der Lubben, Mariken; de Greeff, Sabine C; ,")</f>
        <v>van Kleef, Esther; Wielders, Cornelia C H; Schouls, Leo M; Feenstra, Sabiena G; Hertogh, Cees M P M; Bonten, Marc J M; van Weert, Yolanda; Tostmann, Alma; van der Lubben, Mariken; de Greeff, Sabine C; ,</v>
      </c>
      <c r="AN285" s="32">
        <f>IFERROR(__xludf.DUMMYFUNCTION("""COMPUTED_VALUE"""),44328.0)</f>
        <v>44328</v>
      </c>
    </row>
    <row r="286">
      <c r="A286" s="32"/>
      <c r="I286" s="31" t="str">
        <f>IFERROR(__xludf.DUMMYFUNCTION("""COMPUTED_VALUE"""),"genes")</f>
        <v>genes</v>
      </c>
      <c r="J286" s="38">
        <f>COUNTIF(Data!$F$2:$F9917, $I286)</f>
        <v>4</v>
      </c>
      <c r="T286" s="31" t="s">
        <v>25506</v>
      </c>
      <c r="U286" s="31" t="s">
        <v>25507</v>
      </c>
      <c r="V286" s="32">
        <v>45457.0</v>
      </c>
      <c r="X286" s="31" t="str">
        <f>IFERROR(__xludf.DUMMYFUNCTION("""COMPUTED_VALUE"""),"Effectiveness of Omicron XBB.1.5 vaccine against infection with SARS-CoV-2 Omicron XBB and JN.1 variants, prospective cohort study, the Netherlands, October 2023 to January 2024.")</f>
        <v>Effectiveness of Omicron XBB.1.5 vaccine against infection with SARS-CoV-2 Omicron XBB and JN.1 variants, prospective cohort study, the Netherlands, October 2023 to January 2024.</v>
      </c>
      <c r="Y286" s="31" t="str">
        <f>IFERROR(__xludf.DUMMYFUNCTION("""COMPUTED_VALUE"""),"Huiberts, Anne J; Hoeve, Christina E; de Gier, Brechje; Cremer, Jeroen; van der Veer, Bas; de Melker, Hester E; van de Wijgert, Janneke Hhm; van den Hof, Susan; Eggink, Dirk; Knol, Mirjam J")</f>
        <v>Huiberts, Anne J; Hoeve, Christina E; de Gier, Brechje; Cremer, Jeroen; van der Veer, Bas; de Melker, Hester E; van de Wijgert, Janneke Hhm; van den Hof, Susan; Eggink, Dirk; Knol, Mirjam J</v>
      </c>
      <c r="Z286" s="31">
        <f>IFERROR(__xludf.DUMMYFUNCTION("""COMPUTED_VALUE"""),2024.0)</f>
        <v>2024</v>
      </c>
      <c r="AA286" s="31">
        <f>IFERROR(__xludf.DUMMYFUNCTION("""COMPUTED_VALUE"""),1.0)</f>
        <v>1</v>
      </c>
      <c r="AF286" s="31" t="str">
        <f>IFERROR(__xludf.DUMMYFUNCTION("""COMPUTED_VALUE"""),"Development of a neighborhood drivability index and its association with transportation behavior in Toronto.")</f>
        <v>Development of a neighborhood drivability index and its association with transportation behavior in Toronto.</v>
      </c>
      <c r="AG286" s="31" t="str">
        <f>IFERROR(__xludf.DUMMYFUNCTION("""COMPUTED_VALUE"""),"den Braver, Nicolette R; Lakerveld, Jeroen; Gozdyra, Peter; van de Brug, Tim; Moin, John S; Fazli, Ghazal S; Rutters, Femke; Brug, Johannes; Moineddin, Rahim; Beulens, Joline W J; Booth, Gillian L")</f>
        <v>den Braver, Nicolette R; Lakerveld, Jeroen; Gozdyra, Peter; van de Brug, Tim; Moin, John S; Fazli, Ghazal S; Rutters, Femke; Brug, Johannes; Moineddin, Rahim; Beulens, Joline W J; Booth, Gillian L</v>
      </c>
      <c r="AH286" s="32">
        <f>IFERROR(__xludf.DUMMYFUNCTION("""COMPUTED_VALUE"""),44637.0)</f>
        <v>44637</v>
      </c>
      <c r="AI286" s="31" t="str">
        <f>IFERROR(__xludf.DUMMYFUNCTION("""COMPUTED_VALUE"""),"Effectiveness of an interactive platform, and the ESC/HFA heartfailurematters.org website in patients with heart failure: design of the multicentre randomized e-Vita heart failure trial.")</f>
        <v>Effectiveness of an interactive platform, and the ESC/HFA heartfailurematters.org website in patients with heart failure: design of the multicentre randomized e-Vita heart failure trial.</v>
      </c>
      <c r="AJ286" s="31" t="str">
        <f>IFERROR(__xludf.DUMMYFUNCTION("""COMPUTED_VALUE"""),"Wagenaar, Kim P; Broekhuizen, Berna D L; Dickstein, Kenneth; Jaarsma, Tiny; Hoes, Arno W; Rutten, Frans H")</f>
        <v>Wagenaar, Kim P; Broekhuizen, Berna D L; Dickstein, Kenneth; Jaarsma, Tiny; Hoes, Arno W; Rutten, Frans H</v>
      </c>
      <c r="AK286" s="32">
        <f>IFERROR(__xludf.DUMMYFUNCTION("""COMPUTED_VALUE"""),42278.0)</f>
        <v>42278</v>
      </c>
      <c r="AL286" s="31" t="str">
        <f>IFERROR(__xludf.DUMMYFUNCTION("""COMPUTED_VALUE"""),"Predicting sentinel node positivity in patients with melanoma: external validation of a risk-prediction calculator (the Melanoma Institute Australia nomogram) using a large European population-based patient cohort.")</f>
        <v>Predicting sentinel node positivity in patients with melanoma: external validation of a risk-prediction calculator (the Melanoma Institute Australia nomogram) using a large European population-based patient cohort.</v>
      </c>
      <c r="AM286" s="31" t="str">
        <f>IFERROR(__xludf.DUMMYFUNCTION("""COMPUTED_VALUE"""),"El Sharouni, M A; Varey, A H R; Witkamp, A J; Ahmed, T; Sigurdsson, V; van Diest, P J; Scolyer, R A; Thompson, J F; Lo, S N; van Gils, C H")</f>
        <v>El Sharouni, M A; Varey, A H R; Witkamp, A J; Ahmed, T; Sigurdsson, V; van Diest, P J; Scolyer, R A; Thompson, J F; Lo, S N; van Gils, C H</v>
      </c>
      <c r="AN286" s="32">
        <f>IFERROR(__xludf.DUMMYFUNCTION("""COMPUTED_VALUE"""),44325.0)</f>
        <v>44325</v>
      </c>
    </row>
    <row r="287">
      <c r="A287" s="32"/>
      <c r="I287" s="31" t="str">
        <f>IFERROR(__xludf.DUMMYFUNCTION("""COMPUTED_VALUE"""),"radiology")</f>
        <v>radiology</v>
      </c>
      <c r="J287" s="38">
        <f>COUNTIF(Data!$F$2:$F9917, $I287)</f>
        <v>19</v>
      </c>
      <c r="T287" s="31" t="s">
        <v>24748</v>
      </c>
      <c r="U287" s="31" t="s">
        <v>24749</v>
      </c>
      <c r="V287" s="32">
        <v>45456.0</v>
      </c>
      <c r="X287" s="31" t="str">
        <f>IFERROR(__xludf.DUMMYFUNCTION("""COMPUTED_VALUE"""),"Organoids as a biomarker for personalized treatment in metastatic colorectal cancer: drug screen optimization and correlation with patient response.")</f>
        <v>Organoids as a biomarker for personalized treatment in metastatic colorectal cancer: drug screen optimization and correlation with patient response.</v>
      </c>
      <c r="Y287" s="31" t="str">
        <f>IFERROR(__xludf.DUMMYFUNCTION("""COMPUTED_VALUE"""),"Smabers, Lidwien P; Wensink, Emerens; Verissimo, Carla S; Koedoot, Esmee; Pitsa, Katerina-Chara; Huismans, Maarten A; Higuera Barón, Celia; Doorn, Mayke; Valkenburg-van Iersel, Liselot B; Cirkel, Geert A; Brousali, Anneta; Overmeer, René; Koopman, Miriam;"&amp;" Braat, Manon N; Penning de Vries, Bas; Elias, Sjoerd G; Vries, Robert G; Kranenburg, Onno; Boj, Sylvia F; Roodhart, Jeanine M")</f>
        <v>Smabers, Lidwien P; Wensink, Emerens; Verissimo, Carla S; Koedoot, Esmee; Pitsa, Katerina-Chara; Huismans, Maarten A; Higuera Barón, Celia; Doorn, Mayke; Valkenburg-van Iersel, Liselot B; Cirkel, Geert A; Brousali, Anneta; Overmeer, René; Koopman, Miriam; Braat, Manon N; Penning de Vries, Bas; Elias, Sjoerd G; Vries, Robert G; Kranenburg, Onno; Boj, Sylvia F; Roodhart, Jeanine M</v>
      </c>
      <c r="Z287" s="31">
        <f>IFERROR(__xludf.DUMMYFUNCTION("""COMPUTED_VALUE"""),2024.0)</f>
        <v>2024</v>
      </c>
      <c r="AA287" s="31">
        <f>IFERROR(__xludf.DUMMYFUNCTION("""COMPUTED_VALUE"""),1.0)</f>
        <v>1</v>
      </c>
      <c r="AF287" s="31" t="str">
        <f>IFERROR(__xludf.DUMMYFUNCTION("""COMPUTED_VALUE"""),"The HFA-PEFF score identifies 'early-HFpEF' phenogroups associated with distinct biomarker profiles.")</f>
        <v>The HFA-PEFF score identifies 'early-HFpEF' phenogroups associated with distinct biomarker profiles.</v>
      </c>
      <c r="AG287" s="31" t="str">
        <f>IFERROR(__xludf.DUMMYFUNCTION("""COMPUTED_VALUE"""),"Henkens, Michiel T H M; van Ommen, Anne-Mar; Remmelzwaal, Sharon; Valstar, Gideon B; Wang, Ping; Verdonschot, Job A J; Hazebroek, Mark R; Hofstra, Leonard; van Empel, Vanessa P M; Beulens, Joline W J; den Ruijter, Hester M; Heymans, Stephane R B")</f>
        <v>Henkens, Michiel T H M; van Ommen, Anne-Mar; Remmelzwaal, Sharon; Valstar, Gideon B; Wang, Ping; Verdonschot, Job A J; Hazebroek, Mark R; Hofstra, Leonard; van Empel, Vanessa P M; Beulens, Joline W J; den Ruijter, Hester M; Heymans, Stephane R B</v>
      </c>
      <c r="AH287" s="32">
        <f>IFERROR(__xludf.DUMMYFUNCTION("""COMPUTED_VALUE"""),44637.0)</f>
        <v>44637</v>
      </c>
      <c r="AI287" s="31" t="str">
        <f>IFERROR(__xludf.DUMMYFUNCTION("""COMPUTED_VALUE"""),"Attitudes and perceptions of Dutch veterinarians on their role in the reduction of antimicrobial use in farm animals.")</f>
        <v>Attitudes and perceptions of Dutch veterinarians on their role in the reduction of antimicrobial use in farm animals.</v>
      </c>
      <c r="AJ287" s="31" t="str">
        <f>IFERROR(__xludf.DUMMYFUNCTION("""COMPUTED_VALUE"""),"Speksnijder, David C; Jaarsma, Debbie A C; Verheij, Theo J M; Wagenaar, Jaap A")</f>
        <v>Speksnijder, David C; Jaarsma, Debbie A C; Verheij, Theo J M; Wagenaar, Jaap A</v>
      </c>
      <c r="AK287" s="32">
        <f>IFERROR(__xludf.DUMMYFUNCTION("""COMPUTED_VALUE"""),42240.0)</f>
        <v>42240</v>
      </c>
      <c r="AL287" s="31" t="str">
        <f>IFERROR(__xludf.DUMMYFUNCTION("""COMPUTED_VALUE"""),"Continuation of Anti-TNF in Patients With Ulcerative Colitis in Remission Is Not Cost-effective Compared With Treatment Withdrawal: A Markov Model.")</f>
        <v>Continuation of Anti-TNF in Patients With Ulcerative Colitis in Remission Is Not Cost-effective Compared With Treatment Withdrawal: A Markov Model.</v>
      </c>
      <c r="AM287" s="31" t="str">
        <f>IFERROR(__xludf.DUMMYFUNCTION("""COMPUTED_VALUE"""),"Mahmoud, Remi; van Lieshout, Chris; Frederix, Geert W J; Jharap, Bindia; Oldenburg, Bas")</f>
        <v>Mahmoud, Remi; van Lieshout, Chris; Frederix, Geert W J; Jharap, Bindia; Oldenburg, Bas</v>
      </c>
      <c r="AN287" s="32">
        <f>IFERROR(__xludf.DUMMYFUNCTION("""COMPUTED_VALUE"""),44320.0)</f>
        <v>44320</v>
      </c>
    </row>
    <row r="288">
      <c r="A288" s="32"/>
      <c r="I288" s="31" t="str">
        <f>IFERROR(__xludf.DUMMYFUNCTION("""COMPUTED_VALUE"""),"human vaccines immunotherapeutics")</f>
        <v>human vaccines immunotherapeutics</v>
      </c>
      <c r="J288" s="38">
        <f>COUNTIF(Data!$F$2:$F9917, $I288)</f>
        <v>3</v>
      </c>
      <c r="T288" s="31" t="s">
        <v>25030</v>
      </c>
      <c r="U288" s="31" t="s">
        <v>25031</v>
      </c>
      <c r="V288" s="32">
        <v>45456.0</v>
      </c>
      <c r="X288" s="31" t="str">
        <f>IFERROR(__xludf.DUMMYFUNCTION("""COMPUTED_VALUE"""),"Lipocalin-2 expression identifies an intestinal regulatory neutrophil population during acute graft-versus-host disease.")</f>
        <v>Lipocalin-2 expression identifies an intestinal regulatory neutrophil population during acute graft-versus-host disease.</v>
      </c>
      <c r="Y288" s="31" t="str">
        <f>IFERROR(__xludf.DUMMYFUNCTION("""COMPUTED_VALUE"""),"Czech, Marie; Schneider, Sophia; Peltokangas, Nina; El Khawanky, Nadia; Ghimire, Sakhila; Andrieux, Geoffroy; Hülsdünker, Jan; Krausz, Máté; Proietti, Michele; Braun, Lukas M; Rückert, Tamina; Langenbach, Marlene; Schmidt, Dominik; Martin, Ina; Wenger, Va"&amp;"lentin; de Vega, Enrique; Haring, Eileen; Pourjam, Mohsen; Pfeifer, Dietmar; Schmitt-Graeff, Annette; Grimbacher, Bodo; Aumann, Konrad; Kircher, Brigitte; Tilg, Herbert; Raffatellu, Manuela; Thiele Orberg, Erik; Häcker, Georg; Duyster, Justus; Köhler, Nat"&amp;"alie; Holler, Ernst; Nachbaur, David; Boerries, Melanie; Gerner, Romana R; Grün, Dominic; Zeiser, Robert")</f>
        <v>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v>
      </c>
      <c r="Z288" s="31">
        <f>IFERROR(__xludf.DUMMYFUNCTION("""COMPUTED_VALUE"""),2024.0)</f>
        <v>2024</v>
      </c>
      <c r="AA288" s="31">
        <f>IFERROR(__xludf.DUMMYFUNCTION("""COMPUTED_VALUE"""),1.0)</f>
        <v>1</v>
      </c>
      <c r="AF288" s="31" t="str">
        <f>IFERROR(__xludf.DUMMYFUNCTION("""COMPUTED_VALUE"""),"Contribution of diabetes to amputations in sub-Sahara Africa: A systematic review and meta-analysis.")</f>
        <v>Contribution of diabetes to amputations in sub-Sahara Africa: A systematic review and meta-analysis.</v>
      </c>
      <c r="AG288" s="31" t="str">
        <f>IFERROR(__xludf.DUMMYFUNCTION("""COMPUTED_VALUE"""),"Boateng, Daniel; Ayellah, Bernard Bless; Adjei, David Nana; Agyemang, Charles")</f>
        <v>Boateng, Daniel; Ayellah, Bernard Bless; Adjei, David Nana; Agyemang, Charles</v>
      </c>
      <c r="AH288" s="32">
        <f>IFERROR(__xludf.DUMMYFUNCTION("""COMPUTED_VALUE"""),44636.0)</f>
        <v>44636</v>
      </c>
      <c r="AI288" s="31" t="str">
        <f>IFERROR(__xludf.DUMMYFUNCTION("""COMPUTED_VALUE"""),"Diagnostic and prognostic utility of mid-expiratory flow rate in older community-dwelling persons with respiratory symptoms, but without chronic obstructive pulmonary disease.")</f>
        <v>Diagnostic and prognostic utility of mid-expiratory flow rate in older community-dwelling persons with respiratory symptoms, but without chronic obstructive pulmonary disease.</v>
      </c>
      <c r="AJ288" s="31" t="str">
        <f>IFERROR(__xludf.DUMMYFUNCTION("""COMPUTED_VALUE"""),"Güder, Gülmisal; Brenner, Susanne; Störk, Stefan; Held, Matthias; Broekhuizen, Berna D L; Lammers, Jan-Willem J; Hoes, Arno W; Rutten, Frans H")</f>
        <v>Güder, Gülmisal; Brenner, Susanne; Störk, Stefan; Held, Matthias; Broekhuizen, Berna D L; Lammers, Jan-Willem J; Hoes, Arno W; Rutten, Frans H</v>
      </c>
      <c r="AK288" s="32">
        <f>IFERROR(__xludf.DUMMYFUNCTION("""COMPUTED_VALUE"""),42216.0)</f>
        <v>42216</v>
      </c>
      <c r="AL288" s="31" t="str">
        <f>IFERROR(__xludf.DUMMYFUNCTION("""COMPUTED_VALUE"""),"Economic and cost-effectiveness analysis of the Community-Level Interventions for Pre-eclampsia (CLIP) trials in India, Pakistan and Mozambique.")</f>
        <v>Economic and cost-effectiveness analysis of the Community-Level Interventions for Pre-eclampsia (CLIP) trials in India, Pakistan and Mozambique.</v>
      </c>
      <c r="AM288" s="31" t="str">
        <f>IFERROR(__xludf.DUMMYFUNCTION("""COMPUTED_VALUE"""),"Bone, Jeffrey N; Khowaja, Asif R; Vidler, Marianne; Payne, Beth A; Bellad, Mrutyunjaya B; Goudar, Shivaprasad S; Mallapur, Ashalata A; Munguambe, Khatia; Qureshi, Rahat N; Sacoor, Charfudin; Sevene, Esperanca; Frederix, Geert W J; Bhutta, Zulfiqar A; Mitt"&amp;"on, Craig; Magee, Laura A; von Dadelszen, Peter; ,")</f>
        <v>Bone, Jeffrey N; Khowaja, Asif R; Vidler, Marianne; Payne, Beth A; Bellad, Mrutyunjaya B; Goudar, Shivaprasad S; Mallapur, Ashalata A; Munguambe, Khatia; Qureshi, Rahat N; Sacoor, Charfudin; Sevene, Esperanca; Frederix, Geert W J; Bhutta, Zulfiqar A; Mitton, Craig; Magee, Laura A; von Dadelszen, Peter; ,</v>
      </c>
      <c r="AN288" s="32">
        <f>IFERROR(__xludf.DUMMYFUNCTION("""COMPUTED_VALUE"""),44317.0)</f>
        <v>44317</v>
      </c>
    </row>
    <row r="289">
      <c r="A289" s="32"/>
      <c r="I289" s="31" t="str">
        <f>IFERROR(__xludf.DUMMYFUNCTION("""COMPUTED_VALUE"""),"international journal of geriatric psychiatry")</f>
        <v>international journal of geriatric psychiatry</v>
      </c>
      <c r="J289" s="38">
        <f>COUNTIF(Data!$F$2:$F9917, $I289)</f>
        <v>5</v>
      </c>
      <c r="T289" s="31" t="s">
        <v>25594</v>
      </c>
      <c r="U289" s="31" t="s">
        <v>25595</v>
      </c>
      <c r="V289" s="32">
        <v>45456.0</v>
      </c>
      <c r="X289" s="31" t="str">
        <f>IFERROR(__xludf.DUMMYFUNCTION("""COMPUTED_VALUE"""),"Higher-valency pneumococcal conjugate vaccines in older adults, taking into account indirect effects from childhood vaccination: a cost-effectiveness study for the Netherlands.")</f>
        <v>Higher-valency pneumococcal conjugate vaccines in older adults, taking into account indirect effects from childhood vaccination: a cost-effectiveness study for the Netherlands.</v>
      </c>
      <c r="Y289" s="31" t="str">
        <f>IFERROR(__xludf.DUMMYFUNCTION("""COMPUTED_VALUE"""),"de Boer, Pieter T; van Werkhoven, Cornelis H; van Hoek, Albert Jan; Knol, Mirjam J; Sanders, Elisabeth A M; Wallinga, Jacco; de Melker, Hester E; Steens, Anneke")</f>
        <v>de Boer, Pieter T; van Werkhoven, Cornelis H; van Hoek, Albert Jan; Knol, Mirjam J; Sanders, Elisabeth A M; Wallinga, Jacco; de Melker, Hester E; Steens, Anneke</v>
      </c>
      <c r="Z289" s="31">
        <f>IFERROR(__xludf.DUMMYFUNCTION("""COMPUTED_VALUE"""),2024.0)</f>
        <v>2024</v>
      </c>
      <c r="AA289" s="31">
        <f>IFERROR(__xludf.DUMMYFUNCTION("""COMPUTED_VALUE"""),1.0)</f>
        <v>1</v>
      </c>
      <c r="AF289" s="31" t="str">
        <f>IFERROR(__xludf.DUMMYFUNCTION("""COMPUTED_VALUE"""),"Structured diabetes self-management education and glycaemic control in low- and middle-income countries: A systematic review.")</f>
        <v>Structured diabetes self-management education and glycaemic control in low- and middle-income countries: A systematic review.</v>
      </c>
      <c r="AG289" s="31" t="str">
        <f>IFERROR(__xludf.DUMMYFUNCTION("""COMPUTED_VALUE"""),"Lamptey, Roberta; Robben, Maud P; Amoakoh-Coleman, Mary; Boateng, Daniel; Grobbee, Diederick E; Davies, Melanie J; Klipstein-Grobusch, Kerstin")</f>
        <v>Lamptey, Roberta; Robben, Maud P; Amoakoh-Coleman, Mary; Boateng, Daniel; Grobbee, Diederick E; Davies, Melanie J; Klipstein-Grobusch, Kerstin</v>
      </c>
      <c r="AH289" s="32">
        <f>IFERROR(__xludf.DUMMYFUNCTION("""COMPUTED_VALUE"""),44628.0)</f>
        <v>44628</v>
      </c>
      <c r="AI289" s="31" t="str">
        <f>IFERROR(__xludf.DUMMYFUNCTION("""COMPUTED_VALUE"""),"Serum biomarkers for the early diagnosis of TIA: The MIND-TIA study protocol.")</f>
        <v>Serum biomarkers for the early diagnosis of TIA: The MIND-TIA study protocol.</v>
      </c>
      <c r="AJ289" s="31" t="str">
        <f>IFERROR(__xludf.DUMMYFUNCTION("""COMPUTED_VALUE"""),"Dolmans, L Servaas; Rutten, Frans H; El Bartelink, Marie-Louise; Seppenwoolde, Gerdien; van Delft, Sanne; Kappelle, L Jaap; Hoes, Arno W")</f>
        <v>Dolmans, L Servaas; Rutten, Frans H; El Bartelink, Marie-Louise; Seppenwoolde, Gerdien; van Delft, Sanne; Kappelle, L Jaap; Hoes, Arno W</v>
      </c>
      <c r="AK289" s="32">
        <f>IFERROR(__xludf.DUMMYFUNCTION("""COMPUTED_VALUE"""),42213.0)</f>
        <v>42213</v>
      </c>
      <c r="AL289" s="31" t="str">
        <f>IFERROR(__xludf.DUMMYFUNCTION("""COMPUTED_VALUE"""),"Prognostic Models Predicting Mortality in Preterm Infants: Systematic Review and Meta-analysis.")</f>
        <v>Prognostic Models Predicting Mortality in Preterm Infants: Systematic Review and Meta-analysis.</v>
      </c>
      <c r="AM289" s="31" t="str">
        <f>IFERROR(__xludf.DUMMYFUNCTION("""COMPUTED_VALUE"""),"van Beek, Pauline E; Andriessen, Peter; Onland, Wes; Schuit, Ewoud")</f>
        <v>van Beek, Pauline E; Andriessen, Peter; Onland, Wes; Schuit, Ewoud</v>
      </c>
      <c r="AN289" s="32">
        <f>IFERROR(__xludf.DUMMYFUNCTION("""COMPUTED_VALUE"""),44317.0)</f>
        <v>44317</v>
      </c>
    </row>
    <row r="290">
      <c r="A290" s="32"/>
      <c r="I290" s="31" t="str">
        <f>IFERROR(__xludf.DUMMYFUNCTION("""COMPUTED_VALUE"""),"journal of medical virology")</f>
        <v>journal of medical virology</v>
      </c>
      <c r="J290" s="38">
        <f>COUNTIF(Data!$F$2:$F9917, $I290)</f>
        <v>2</v>
      </c>
      <c r="T290" s="31" t="s">
        <v>25643</v>
      </c>
      <c r="U290" s="31" t="s">
        <v>25644</v>
      </c>
      <c r="V290" s="32">
        <v>45456.0</v>
      </c>
      <c r="X290" s="31" t="str">
        <f>IFERROR(__xludf.DUMMYFUNCTION("""COMPUTED_VALUE"""),"Plasma Markers of Alzheimer's Disease Pathology, Neuronal Injury, and Astrocytic Activation and MRI Load of Vascular Pathology and Neurodegeneration: The SMART-MR Study.")</f>
        <v>Plasma Markers of Alzheimer's Disease Pathology, Neuronal Injury, and Astrocytic Activation and MRI Load of Vascular Pathology and Neurodegeneration: The SMART-MR Study.</v>
      </c>
      <c r="Y290" s="31" t="str">
        <f>IFERROR(__xludf.DUMMYFUNCTION("""COMPUTED_VALUE"""),"Twait, Emma L; Gerritsen, Lotte; Moonen, Justine E F; Verberk, Inge M W; Teunissen, Charlotte E; Visser, Pieter Jelle; van der Flier, Wiesje M; Geerlings, Mirjam I; ,")</f>
        <v>Twait, Emma L; Gerritsen, Lotte; Moonen, Justine E F; Verberk, Inge M W; Teunissen, Charlotte E; Visser, Pieter Jelle; van der Flier, Wiesje M; Geerlings, Mirjam I; ,</v>
      </c>
      <c r="Z290" s="31">
        <f>IFERROR(__xludf.DUMMYFUNCTION("""COMPUTED_VALUE"""),2024.0)</f>
        <v>2024</v>
      </c>
      <c r="AA290" s="31">
        <f>IFERROR(__xludf.DUMMYFUNCTION("""COMPUTED_VALUE"""),1.0)</f>
        <v>1</v>
      </c>
      <c r="AF290" s="31" t="str">
        <f>IFERROR(__xludf.DUMMYFUNCTION("""COMPUTED_VALUE"""),"Does vitamin K crack calcification in the Chronic Renal Insufficiency Cohort (CRIC)?")</f>
        <v>Does vitamin K crack calcification in the Chronic Renal Insufficiency Cohort (CRIC)?</v>
      </c>
      <c r="AG290" s="31" t="str">
        <f>IFERROR(__xludf.DUMMYFUNCTION("""COMPUTED_VALUE"""),"Beulens, Joline W J; Vervloet, Marc")</f>
        <v>Beulens, Joline W J; Vervloet, Marc</v>
      </c>
      <c r="AH290" s="32">
        <f>IFERROR(__xludf.DUMMYFUNCTION("""COMPUTED_VALUE"""),44624.0)</f>
        <v>44624</v>
      </c>
      <c r="AI290" s="31" t="str">
        <f>IFERROR(__xludf.DUMMYFUNCTION("""COMPUTED_VALUE"""),"Patients' Experiences with and Attitudes towards a Diabetes Patient Web Portal.")</f>
        <v>Patients' Experiences with and Attitudes towards a Diabetes Patient Web Portal.</v>
      </c>
      <c r="AJ290" s="31" t="str">
        <f>IFERROR(__xludf.DUMMYFUNCTION("""COMPUTED_VALUE"""),"Ronda, Maaike C M; Dijkhorst-Oei, Lioe-Ting; Rutten, Guy E H M")</f>
        <v>Ronda, Maaike C M; Dijkhorst-Oei, Lioe-Ting; Rutten, Guy E H M</v>
      </c>
      <c r="AK290" s="32">
        <f>IFERROR(__xludf.DUMMYFUNCTION("""COMPUTED_VALUE"""),42173.0)</f>
        <v>42173</v>
      </c>
      <c r="AL290" s="31" t="str">
        <f>IFERROR(__xludf.DUMMYFUNCTION("""COMPUTED_VALUE"""),"Apparent treatment resistant hypertension and the risk of recurrent cardiovascular events and mortality in patients with established vascular disease.")</f>
        <v>Apparent treatment resistant hypertension and the risk of recurrent cardiovascular events and mortality in patients with established vascular disease.</v>
      </c>
      <c r="AM290" s="31" t="str">
        <f>IFERROR(__xludf.DUMMYFUNCTION("""COMPUTED_VALUE"""),"Groenland, Eline H; Bots, Michiel L; Asselbergs, Folkert W; de Borst, Gert J; Kappelle, L Jaap; Visseren, Frank L J; Spiering, Wilko; ,")</f>
        <v>Groenland, Eline H; Bots, Michiel L; Asselbergs, Folkert W; de Borst, Gert J; Kappelle, L Jaap; Visseren, Frank L J; Spiering, Wilko; ,</v>
      </c>
      <c r="AN290" s="32">
        <f>IFERROR(__xludf.DUMMYFUNCTION("""COMPUTED_VALUE"""),44315.0)</f>
        <v>44315</v>
      </c>
    </row>
    <row r="291">
      <c r="A291" s="32"/>
      <c r="I291" s="31" t="str">
        <f>IFERROR(__xludf.DUMMYFUNCTION("""COMPUTED_VALUE"""),"expert opinion on biological therapy")</f>
        <v>expert opinion on biological therapy</v>
      </c>
      <c r="J291" s="38">
        <f>COUNTIF(Data!$F$2:$F9917, $I291)</f>
        <v>1</v>
      </c>
      <c r="T291" s="31" t="s">
        <v>25481</v>
      </c>
      <c r="U291" s="31" t="s">
        <v>25482</v>
      </c>
      <c r="V291" s="32">
        <v>45455.0</v>
      </c>
      <c r="X291" s="31" t="str">
        <f>IFERROR(__xludf.DUMMYFUNCTION("""COMPUTED_VALUE"""),"Nutri-Score 2023 update.")</f>
        <v>Nutri-Score 2023 update.</v>
      </c>
      <c r="Y291" s="31" t="str">
        <f>IFERROR(__xludf.DUMMYFUNCTION("""COMPUTED_VALUE"""),"Merz, Benedikt; Temme, Elisabeth; Alexiou, Hélène; Beulens, Joline Wilhelma Johanna; Buyken, Anette Elisabeth; Bohn, Torsten; Ducrot, Pauline; Falquet, Marie-Noëlle; Solano, Marta García; Haidar, Hanna; Infanger, Esther; Kühnelt, Charlotte; Rodríguez-Arta"&amp;"lejo, Fernando; Sarda, Barthélémy; Steenbergen, Elly; Vandevijvere, Stefanie; Julia, Chantal")</f>
        <v>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v>
      </c>
      <c r="Z291" s="31">
        <f>IFERROR(__xludf.DUMMYFUNCTION("""COMPUTED_VALUE"""),2024.0)</f>
        <v>2024</v>
      </c>
      <c r="AA291" s="31">
        <f>IFERROR(__xludf.DUMMYFUNCTION("""COMPUTED_VALUE"""),1.0)</f>
        <v>1</v>
      </c>
      <c r="AF291" s="31" t="str">
        <f>IFERROR(__xludf.DUMMYFUNCTION("""COMPUTED_VALUE"""),"Reaching 95-95-95 targets: The role of private sector health facilities in closing the HIV detection gap-Kisumu Kenya, 2018.")</f>
        <v>Reaching 95-95-95 targets: The role of private sector health facilities in closing the HIV detection gap-Kisumu Kenya, 2018.</v>
      </c>
      <c r="AG291" s="31" t="str">
        <f>IFERROR(__xludf.DUMMYFUNCTION("""COMPUTED_VALUE"""),"Onyango, Dickens; Mchembere, Walter; Agaya, Janet; Wang, Alice; Cain, Kevin P; Grobbee, Diederick E; van der Sande, Marianne Ab; Baker, Brian; Yuen, Courtney M")</f>
        <v>Onyango, Dickens; Mchembere, Walter; Agaya, Janet; Wang, Alice; Cain, Kevin P; Grobbee, Diederick E; van der Sande, Marianne Ab; Baker, Brian; Yuen, Courtney M</v>
      </c>
      <c r="AH291" s="32">
        <f>IFERROR(__xludf.DUMMYFUNCTION("""COMPUTED_VALUE"""),44620.0)</f>
        <v>44620</v>
      </c>
      <c r="AI291" s="31" t="str">
        <f>IFERROR(__xludf.DUMMYFUNCTION("""COMPUTED_VALUE"""),"Illness perceptions and self-care behaviours in the first years of living with type 2 diabetes; does the presence of complications matter?")</f>
        <v>Illness perceptions and self-care behaviours in the first years of living with type 2 diabetes; does the presence of complications matter?</v>
      </c>
      <c r="AJ291" s="31" t="str">
        <f>IFERROR(__xludf.DUMMYFUNCTION("""COMPUTED_VALUE"""),"van Puffelen, Anne L; Heijmans, Monique J W M; Rijken, Mieke; Rutten, Guy E H M; Nijpels, Giel; Schellevis, François G; ,")</f>
        <v>van Puffelen, Anne L; Heijmans, Monique J W M; Rijken, Mieke; Rutten, Guy E H M; Nijpels, Giel; Schellevis, François G; ,</v>
      </c>
      <c r="AK291" s="32">
        <f>IFERROR(__xludf.DUMMYFUNCTION("""COMPUTED_VALUE"""),42156.0)</f>
        <v>42156</v>
      </c>
      <c r="AL291" s="31" t="str">
        <f>IFERROR(__xludf.DUMMYFUNCTION("""COMPUTED_VALUE"""),"Evaluating the Potential Benefit of a Combined Weight Loss Program in Dogs and Their Owners.")</f>
        <v>Evaluating the Potential Benefit of a Combined Weight Loss Program in Dogs and Their Owners.</v>
      </c>
      <c r="AM291" s="31" t="str">
        <f>IFERROR(__xludf.DUMMYFUNCTION("""COMPUTED_VALUE"""),"Niese, J Rebecca; Mepham, Tierney; Nielen, Mirjam; Monninkhof, Evelyn M; Kroese, Floor M; de Ridder, Denise T D; Corbee, Ronald J")</f>
        <v>Niese, J Rebecca; Mepham, Tierney; Nielen, Mirjam; Monninkhof, Evelyn M; Kroese, Floor M; de Ridder, Denise T D; Corbee, Ronald J</v>
      </c>
      <c r="AN291" s="32">
        <f>IFERROR(__xludf.DUMMYFUNCTION("""COMPUTED_VALUE"""),44306.0)</f>
        <v>44306</v>
      </c>
    </row>
    <row r="292">
      <c r="A292" s="32"/>
      <c r="I292" s="31" t="str">
        <f>IFERROR(__xludf.DUMMYFUNCTION("""COMPUTED_VALUE"""),"medrxiv the preprint server for health sciences")</f>
        <v>medrxiv the preprint server for health sciences</v>
      </c>
      <c r="J292" s="38">
        <f>COUNTIF(Data!$F$2:$F9917, $I292)</f>
        <v>3</v>
      </c>
      <c r="T292" s="31" t="s">
        <v>25502</v>
      </c>
      <c r="U292" s="31" t="s">
        <v>25503</v>
      </c>
      <c r="V292" s="32">
        <v>45455.0</v>
      </c>
      <c r="X292" s="31" t="str">
        <f>IFERROR(__xludf.DUMMYFUNCTION("""COMPUTED_VALUE"""),"Pulmonary embolism.")</f>
        <v>Pulmonary embolism.</v>
      </c>
      <c r="Y292" s="31" t="str">
        <f>IFERROR(__xludf.DUMMYFUNCTION("""COMPUTED_VALUE"""),"Maughan, Brandon C; Jarman, Angela F; Redmond, Alexa; Geersing, Geert-Jan; Kline, Jeffrey A")</f>
        <v>Maughan, Brandon C; Jarman, Angela F; Redmond, Alexa; Geersing, Geert-Jan; Kline, Jeffrey A</v>
      </c>
      <c r="Z292" s="31">
        <f>IFERROR(__xludf.DUMMYFUNCTION("""COMPUTED_VALUE"""),2024.0)</f>
        <v>2024</v>
      </c>
      <c r="AA292" s="31">
        <f>IFERROR(__xludf.DUMMYFUNCTION("""COMPUTED_VALUE"""),1.0)</f>
        <v>1</v>
      </c>
      <c r="AF292" s="31" t="str">
        <f>IFERROR(__xludf.DUMMYFUNCTION("""COMPUTED_VALUE"""),"Non-communicable disease co-morbidity and associated factors in tuberculosis patients: A cross-sectional study in Gabon.")</f>
        <v>Non-communicable disease co-morbidity and associated factors in tuberculosis patients: A cross-sectional study in Gabon.</v>
      </c>
      <c r="AG292" s="31" t="str">
        <f>IFERROR(__xludf.DUMMYFUNCTION("""COMPUTED_VALUE"""),"Adegbite, B R; Edoa, J R; Agbo Achimi Abdul, Jbp; Epola, M; Mevyann, C; Dejon-Agobé, J C; Zinsou, J F; Honkpehedji, Y J; Mpagama, S G; Alabi, A S; Kremsner, P G; Klipstein-Grobusch, K; Adegnika, A A; Grobusch, M P")</f>
        <v>Adegbite, B R; Edoa, J R; Agbo Achimi Abdul, Jbp; Epola, M; Mevyann, C; Dejon-Agobé, J C; Zinsou, J F; Honkpehedji, Y J; Mpagama, S G; Alabi, A S; Kremsner, P G; Klipstein-Grobusch, K; Adegnika, A A; Grobusch, M P</v>
      </c>
      <c r="AH292" s="32">
        <f>IFERROR(__xludf.DUMMYFUNCTION("""COMPUTED_VALUE"""),44619.0)</f>
        <v>44619</v>
      </c>
      <c r="AI292" s="31" t="str">
        <f>IFERROR(__xludf.DUMMYFUNCTION("""COMPUTED_VALUE"""),"Patients' experiences of safety during haemodialysis treatment--a qualitative study.")</f>
        <v>Patients' experiences of safety during haemodialysis treatment--a qualitative study.</v>
      </c>
      <c r="AJ292" s="31" t="str">
        <f>IFERROR(__xludf.DUMMYFUNCTION("""COMPUTED_VALUE"""),"Lovink, Marleen H; Kars, Marijke C; de Man-van Ginkel, Janneke M; Schoonhoven, Lisette")</f>
        <v>Lovink, Marleen H; Kars, Marijke C; de Man-van Ginkel, Janneke M; Schoonhoven, Lisette</v>
      </c>
      <c r="AK292" s="32">
        <f>IFERROR(__xludf.DUMMYFUNCTION("""COMPUTED_VALUE"""),42149.0)</f>
        <v>42149</v>
      </c>
      <c r="AL292" s="31" t="str">
        <f>IFERROR(__xludf.DUMMYFUNCTION("""COMPUTED_VALUE"""),"The methodological quality of 176,620 randomized controlled trials published between 1966 and 2018 reveals a positive trend but also an urgent need for improvement.")</f>
        <v>The methodological quality of 176,620 randomized controlled trials published between 1966 and 2018 reveals a positive trend but also an urgent need for improvement.</v>
      </c>
      <c r="AM292" s="31" t="str">
        <f>IFERROR(__xludf.DUMMYFUNCTION("""COMPUTED_VALUE"""),"Vinkers, Christiaan H; Lamberink, Herm J; Tijdink, Joeri K; Heus, Pauline; Bouter, Lex; Glasziou, Paul; Moher, David; Damen, Johanna A; Hooft, Lotty; Otte, Willem M")</f>
        <v>Vinkers, Christiaan H; Lamberink, Herm J; Tijdink, Joeri K; Heus, Pauline; Bouter, Lex; Glasziou, Paul; Moher, David; Damen, Johanna A; Hooft, Lotty; Otte, Willem M</v>
      </c>
      <c r="AN292" s="32">
        <f>IFERROR(__xludf.DUMMYFUNCTION("""COMPUTED_VALUE"""),44305.0)</f>
        <v>44305</v>
      </c>
    </row>
    <row r="293">
      <c r="A293" s="32"/>
      <c r="I293" s="31" t="str">
        <f>IFERROR(__xludf.DUMMYFUNCTION("""COMPUTED_VALUE"""),"antimicrobial stewardship healthcare epidemiology ashe")</f>
        <v>antimicrobial stewardship healthcare epidemiology ashe</v>
      </c>
      <c r="J293" s="38">
        <f>COUNTIF(Data!$F$2:$F9917, $I293)</f>
        <v>1</v>
      </c>
      <c r="T293" s="31" t="s">
        <v>25942</v>
      </c>
      <c r="U293" s="31" t="s">
        <v>25943</v>
      </c>
      <c r="V293" s="32">
        <v>45455.0</v>
      </c>
      <c r="X293" s="31"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Y293" s="31"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Z293" s="31">
        <f>IFERROR(__xludf.DUMMYFUNCTION("""COMPUTED_VALUE"""),2024.0)</f>
        <v>2024</v>
      </c>
      <c r="AA293" s="31">
        <f>IFERROR(__xludf.DUMMYFUNCTION("""COMPUTED_VALUE"""),1.0)</f>
        <v>1</v>
      </c>
      <c r="AF293" s="31" t="str">
        <f>IFERROR(__xludf.DUMMYFUNCTION("""COMPUTED_VALUE"""),"Middle cerebral arterial flow redistribution is an indicator for intrauterine fetal compromise in late pregnancy in low-resource settings: A prospective cohort study.")</f>
        <v>Middle cerebral arterial flow redistribution is an indicator for intrauterine fetal compromise in late pregnancy in low-resource settings: A prospective cohort study.</v>
      </c>
      <c r="AG293" s="31" t="str">
        <f>IFERROR(__xludf.DUMMYFUNCTION("""COMPUTED_VALUE"""),"Ali, Sam; Kawooya, Michael G; Byamugisha, Josaphat; Kakibogo, Isaac M; Biira, Esther A; Kagimu, Adia N; Grobbee, Diederick E; Zakus, David; Papageorghiou, Aris T; Klipstein-Grobusch, Kerstin; Rijken, Marcus J")</f>
        <v>Ali, Sam; Kawooya, Michael G; Byamugisha, Josaphat; Kakibogo, Isaac M; Biira, Esther A; Kagimu, Adia N; Grobbee, Diederick E; Zakus, David; Papageorghiou, Aris T; Klipstein-Grobusch, Kerstin; Rijken, Marcus J</v>
      </c>
      <c r="AH293" s="32">
        <f>IFERROR(__xludf.DUMMYFUNCTION("""COMPUTED_VALUE"""),44616.0)</f>
        <v>44616</v>
      </c>
      <c r="AI293" s="31" t="str">
        <f>IFERROR(__xludf.DUMMYFUNCTION("""COMPUTED_VALUE"""),"Impact of UKPDS risk estimation added to a first subjective risk estimation on management of coronary disease risk in type 2 diabetes - An observational study.")</f>
        <v>Impact of UKPDS risk estimation added to a first subjective risk estimation on management of coronary disease risk in type 2 diabetes - An observational study.</v>
      </c>
      <c r="AJ293" s="31" t="str">
        <f>IFERROR(__xludf.DUMMYFUNCTION("""COMPUTED_VALUE"""),"Wind, Anne E; Gorter, Kees J; van den Donk, Maureen; Rutten, Guy E H M")</f>
        <v>Wind, Anne E; Gorter, Kees J; van den Donk, Maureen; Rutten, Guy E H M</v>
      </c>
      <c r="AK293" s="32">
        <f>IFERROR(__xludf.DUMMYFUNCTION("""COMPUTED_VALUE"""),42143.0)</f>
        <v>42143</v>
      </c>
      <c r="AL293" s="31" t="str">
        <f>IFERROR(__xludf.DUMMYFUNCTION("""COMPUTED_VALUE"""),"Patient-derived organoids as a predictive biomarker for treatment response in cancer patients.")</f>
        <v>Patient-derived organoids as a predictive biomarker for treatment response in cancer patients.</v>
      </c>
      <c r="AM293" s="31" t="str">
        <f>IFERROR(__xludf.DUMMYFUNCTION("""COMPUTED_VALUE"""),"Wensink, G Emerens; Elias, Sjoerd G; Mullenders, Jasper; Koopman, Miriam; Boj, Sylvia F; Kranenburg, Onno W; Roodhart, Jeanine M L")</f>
        <v>Wensink, G Emerens; Elias, Sjoerd G; Mullenders, Jasper; Koopman, Miriam; Boj, Sylvia F; Kranenburg, Onno W; Roodhart, Jeanine M L</v>
      </c>
      <c r="AN293" s="32">
        <f>IFERROR(__xludf.DUMMYFUNCTION("""COMPUTED_VALUE"""),44298.0)</f>
        <v>44298</v>
      </c>
    </row>
    <row r="294">
      <c r="A294" s="32"/>
      <c r="I294" s="31" t="str">
        <f>IFERROR(__xludf.DUMMYFUNCTION("""COMPUTED_VALUE"""),"journal of speech language and hearing research jslhr")</f>
        <v>journal of speech language and hearing research jslhr</v>
      </c>
      <c r="J294" s="38">
        <f>COUNTIF(Data!$F$2:$F9917, $I294)</f>
        <v>1</v>
      </c>
      <c r="T294" s="31" t="s">
        <v>25726</v>
      </c>
      <c r="U294" s="31" t="s">
        <v>25727</v>
      </c>
      <c r="V294" s="32">
        <v>45454.0</v>
      </c>
      <c r="X294" s="31" t="str">
        <f>IFERROR(__xludf.DUMMYFUNCTION("""COMPUTED_VALUE"""),"Real-world nudging, pricing, and mobile physical activity coaching was insufficient to improve lifestyle behaviours and cardiometabolic health: the Supreme Nudge parallel cluster-randomised controlled supermarket trial.")</f>
        <v>Real-world nudging, pricing, and mobile physical activity coaching was insufficient to improve lifestyle behaviours and cardiometabolic health: the Supreme Nudge parallel cluster-randomised controlled supermarket trial.</v>
      </c>
      <c r="Y294" s="31" t="str">
        <f>IFERROR(__xludf.DUMMYFUNCTION("""COMPUTED_VALUE"""),"Stuber, Josine M; Mackenbach, Joreintje D; de Bruijn, Gert-Jan; Gillebaart, Marleen; Hoenink, Jody C; Middel, Cédric N H; de Ridder, Denise T D; van der Schouw, Yvonne T; Smit, Edith G; Velema, Elizabeth; Vos, Anne L; Waterlander, Wilma E; Lakerveld, Jero"&amp;"en; Beulens, Joline W J; ,")</f>
        <v>Stuber, Josine M; Mackenbach, Joreintje D; de Bruijn, Gert-Jan; Gillebaart, Marleen; Hoenink, Jody C; Middel, Cédric N H; de Ridder, Denise T D; van der Schouw, Yvonne T; Smit, Edith G; Velema, Elizabeth; Vos, Anne L; Waterlander, Wilma E; Lakerveld, Jeroen; Beulens, Joline W J; ,</v>
      </c>
      <c r="Z294" s="31">
        <f>IFERROR(__xludf.DUMMYFUNCTION("""COMPUTED_VALUE"""),2024.0)</f>
        <v>2024</v>
      </c>
      <c r="AA294" s="31">
        <f>IFERROR(__xludf.DUMMYFUNCTION("""COMPUTED_VALUE"""),1.0)</f>
        <v>1</v>
      </c>
      <c r="AF294" s="31" t="str">
        <f>IFERROR(__xludf.DUMMYFUNCTION("""COMPUTED_VALUE"""),"Towards a culture of open scholarship: the role of pedagogical communities.")</f>
        <v>Towards a culture of open scholarship: the role of pedagogical communities.</v>
      </c>
      <c r="AG294" s="31" t="str">
        <f>IFERROR(__xludf.DUMMYFUNCTION("""COMPUTED_VALUE"""),"Azevedo, Flávio; Liu, Meng; Pennington, Charlotte R; Pownall, Madeleine; Evans, Thomas Rhys; Parsons, Sam; Elsherif, Mahmoud Medhat; Micheli, Leticia; Westwood, Samuel J; ,")</f>
        <v>Azevedo, Flávio; Liu, Meng; Pennington, Charlotte R; Pownall, Madeleine; Evans, Thomas Rhys; Parsons, Sam; Elsherif, Mahmoud Medhat; Micheli, Leticia; Westwood, Samuel J; ,</v>
      </c>
      <c r="AH294" s="32">
        <f>IFERROR(__xludf.DUMMYFUNCTION("""COMPUTED_VALUE"""),44614.0)</f>
        <v>44614</v>
      </c>
      <c r="AI294" s="31" t="str">
        <f>IFERROR(__xludf.DUMMYFUNCTION("""COMPUTED_VALUE"""),"Early Detection and Treatment of Type 2 Diabetes Reduce Cardiovascular Morbidity and Mortality: A Simulation of the Results of the Anglo-Danish-Dutch Study of Intensive Treatment in People With Screen-Detected Diabetes in Primary Care (ADDITION-Europe).")</f>
        <v>Early Detection and Treatment of Type 2 Diabetes Reduce Cardiovascular Morbidity and Mortality: A Simulation of the Results of the Anglo-Danish-Dutch Study of Intensive Treatment in People With Screen-Detected Diabetes in Primary Care (ADDITION-Europe).</v>
      </c>
      <c r="AJ294" s="31" t="str">
        <f>IFERROR(__xludf.DUMMYFUNCTION("""COMPUTED_VALUE"""),"Herman, William H; Ye, Wen; Griffin, Simon J; Simmons, Rebecca K; Davies, Melanie J; Khunti, Kamlesh; Rutten, Guy E H M; Sandbaek, Annelli; Lauritzen, Torsten; Borch-Johnsen, Knut; Brown, Morton B; Wareham, Nicholas J")</f>
        <v>Herman, William H; Ye, Wen; Griffin, Simon J; Simmons, Rebecca K; Davies, Melanie J; Khunti, Kamlesh; Rutten, Guy E H M; Sandbaek, Annelli; Lauritzen, Torsten; Borch-Johnsen, Knut; Brown, Morton B; Wareham, Nicholas J</v>
      </c>
      <c r="AK294" s="32">
        <f>IFERROR(__xludf.DUMMYFUNCTION("""COMPUTED_VALUE"""),42142.0)</f>
        <v>42142</v>
      </c>
      <c r="AL294" s="31" t="str">
        <f>IFERROR(__xludf.DUMMYFUNCTION("""COMPUTED_VALUE"""),"High discordance rate in assessing sentinel node positivity in cutaneous melanoma: Expert review may reduce unjustified adjuvant treatment.")</f>
        <v>High discordance rate in assessing sentinel node positivity in cutaneous melanoma: Expert review may reduce unjustified adjuvant treatment.</v>
      </c>
      <c r="AM294" s="31" t="str">
        <f>IFERROR(__xludf.DUMMYFUNCTION("""COMPUTED_VALUE"""),"El Sharouni, Mary-Ann; Laeijendecker, Annelien E; Suijkerbuijk, Karijn Pm; Witkamp, Arjen J; Sigurdsson, Vigfús; van Diest, Paul J; van Gils, Carla H; Blokx, Willeke Am")</f>
        <v>El Sharouni, Mary-Ann; Laeijendecker, Annelien E; Suijkerbuijk, Karijn Pm; Witkamp, Arjen J; Sigurdsson, Vigfús; van Diest, Paul J; van Gils, Carla H; Blokx, Willeke Am</v>
      </c>
      <c r="AN294" s="32">
        <f>IFERROR(__xludf.DUMMYFUNCTION("""COMPUTED_VALUE"""),44296.0)</f>
        <v>44296</v>
      </c>
    </row>
    <row r="295">
      <c r="A295" s="32"/>
      <c r="I295" s="31" t="str">
        <f>IFERROR(__xludf.DUMMYFUNCTION("""COMPUTED_VALUE"""),"world journal of cardiology")</f>
        <v>world journal of cardiology</v>
      </c>
      <c r="J295" s="38">
        <f>COUNTIF(Data!$F$2:$F9917, $I295)</f>
        <v>1</v>
      </c>
      <c r="T295" s="31" t="s">
        <v>11</v>
      </c>
      <c r="U295" s="31" t="s">
        <v>12</v>
      </c>
      <c r="V295" s="32">
        <v>45453.0</v>
      </c>
      <c r="X295" s="31" t="str">
        <f>IFERROR(__xludf.DUMMYFUNCTION("""COMPUTED_VALUE"""),"Branched-chain amino acid levels are inversely associated with incident and prevalent chronic kidney disease in people with type 2 diabetes.")</f>
        <v>Branched-chain amino acid levels are inversely associated with incident and prevalent chronic kidney disease in people with type 2 diabetes.</v>
      </c>
      <c r="Y295" s="31" t="str">
        <f>IFERROR(__xludf.DUMMYFUNCTION("""COMPUTED_VALUE"""),"de Klerk, Juliette A; Bijkerk, Roel; Beulens, Joline W J; van Zonneveld, Anton Jan; Muilwijk, Mirte; Harms, Peter P; Blom, Marieke T; 't Hart, Leendert M; Slieker, Roderick C")</f>
        <v>de Klerk, Juliette A; Bijkerk, Roel; Beulens, Joline W J; van Zonneveld, Anton Jan; Muilwijk, Mirte; Harms, Peter P; Blom, Marieke T; 't Hart, Leendert M; Slieker, Roderick C</v>
      </c>
      <c r="Z295" s="31">
        <f>IFERROR(__xludf.DUMMYFUNCTION("""COMPUTED_VALUE"""),2024.0)</f>
        <v>2024</v>
      </c>
      <c r="AA295" s="31">
        <f>IFERROR(__xludf.DUMMYFUNCTION("""COMPUTED_VALUE"""),1.0)</f>
        <v>1</v>
      </c>
      <c r="AF295" s="31" t="str">
        <f>IFERROR(__xludf.DUMMYFUNCTION("""COMPUTED_VALUE"""),"The influence of smoking and HIV infection on pulmonary function.")</f>
        <v>The influence of smoking and HIV infection on pulmonary function.</v>
      </c>
      <c r="AG295" s="31" t="str">
        <f>IFERROR(__xludf.DUMMYFUNCTION("""COMPUTED_VALUE"""),"Sussenbach, Annelotte E; van Gijzel, Sjors W L; Lalla-Edward, Samanta T; Venter, Willem D F; Shaddock, Erica; Feldman, Charles; Klipstein-Grobusch, Kerstin; Vos, Alinda G")</f>
        <v>Sussenbach, Annelotte E; van Gijzel, Sjors W L; Lalla-Edward, Samanta T; Venter, Willem D F; Shaddock, Erica; Feldman, Charles; Klipstein-Grobusch, Kerstin; Vos, Alinda G</v>
      </c>
      <c r="AH295" s="32">
        <f>IFERROR(__xludf.DUMMYFUNCTION("""COMPUTED_VALUE"""),44613.0)</f>
        <v>44613</v>
      </c>
      <c r="AI295" s="31" t="str">
        <f>IFERROR(__xludf.DUMMYFUNCTION("""COMPUTED_VALUE"""),"Association between quality management and performance indicators in Dutch diabetes care groups: a cross-sectional study.")</f>
        <v>Association between quality management and performance indicators in Dutch diabetes care groups: a cross-sectional study.</v>
      </c>
      <c r="AJ295" s="31" t="str">
        <f>IFERROR(__xludf.DUMMYFUNCTION("""COMPUTED_VALUE"""),"Campmans-Kuijpers, Marjo J E; Baan, Caroline A; Lemmens, Lidwien C; Klomp, Maarten L H; Romeijnders, Arnold C M; Rutten, Guy E H M")</f>
        <v>Campmans-Kuijpers, Marjo J E; Baan, Caroline A; Lemmens, Lidwien C; Klomp, Maarten L H; Romeijnders, Arnold C M; Rutten, Guy E H M</v>
      </c>
      <c r="AK295" s="32">
        <f>IFERROR(__xludf.DUMMYFUNCTION("""COMPUTED_VALUE"""),42135.0)</f>
        <v>42135</v>
      </c>
      <c r="AL295" s="31" t="str">
        <f>IFERROR(__xludf.DUMMYFUNCTION("""COMPUTED_VALUE"""),"An anomaly detection approach to identify chronic brain infarcts on MRI.")</f>
        <v>An anomaly detection approach to identify chronic brain infarcts on MRI.</v>
      </c>
      <c r="AM295" s="31" t="str">
        <f>IFERROR(__xludf.DUMMYFUNCTION("""COMPUTED_VALUE"""),"van Hespen, Kees M; Zwanenburg, Jaco J M; Dankbaar, Jan W; Geerlings, Mirjam I; Hendrikse, Jeroen; Kuijf, Hugo J")</f>
        <v>van Hespen, Kees M; Zwanenburg, Jaco J M; Dankbaar, Jan W; Geerlings, Mirjam I; Hendrikse, Jeroen; Kuijf, Hugo J</v>
      </c>
      <c r="AN295" s="32">
        <f>IFERROR(__xludf.DUMMYFUNCTION("""COMPUTED_VALUE"""),44294.0)</f>
        <v>44294</v>
      </c>
    </row>
    <row r="296">
      <c r="A296" s="32"/>
      <c r="I296" s="31" t="str">
        <f>IFERROR(__xludf.DUMMYFUNCTION("""COMPUTED_VALUE"""),"zeitschrift fur evidenz fortbildung und qualitat im gesundheitswesen")</f>
        <v>zeitschrift fur evidenz fortbildung und qualitat im gesundheitswesen</v>
      </c>
      <c r="J296" s="38">
        <f>COUNTIF(Data!$F$2:$F9917, $I296)</f>
        <v>2</v>
      </c>
      <c r="T296" s="31" t="s">
        <v>25523</v>
      </c>
      <c r="U296" s="31" t="s">
        <v>25524</v>
      </c>
      <c r="V296" s="32">
        <v>45453.0</v>
      </c>
      <c r="X296" s="31" t="str">
        <f>IFERROR(__xludf.DUMMYFUNCTION("""COMPUTED_VALUE"""),"Age-specific transmission dynamics of SARS-CoV-2 during the first 2 years of the pandemic.")</f>
        <v>Age-specific transmission dynamics of SARS-CoV-2 during the first 2 years of the pandemic.</v>
      </c>
      <c r="Y296" s="31" t="str">
        <f>IFERROR(__xludf.DUMMYFUNCTION("""COMPUTED_VALUE"""),"Boldea, Otilia; Alipoor, Amir; Pei, Sen; Shaman, Jeffrey; Rozhnova, Ganna")</f>
        <v>Boldea, Otilia; Alipoor, Amir; Pei, Sen; Shaman, Jeffrey; Rozhnova, Ganna</v>
      </c>
      <c r="Z296" s="31">
        <f>IFERROR(__xludf.DUMMYFUNCTION("""COMPUTED_VALUE"""),2024.0)</f>
        <v>2024</v>
      </c>
      <c r="AA296" s="31">
        <f>IFERROR(__xludf.DUMMYFUNCTION("""COMPUTED_VALUE"""),1.0)</f>
        <v>1</v>
      </c>
      <c r="AF296" s="31" t="str">
        <f>IFERROR(__xludf.DUMMYFUNCTION("""COMPUTED_VALUE"""),"Long-term exposure to ambient air pollution and bladder cancer incidence in a pooled European cohort: the ELAPSE project.")</f>
        <v>Long-term exposure to ambient air pollution and bladder cancer incidence in a pooled European cohort: the ELAPSE project.</v>
      </c>
      <c r="AG296" s="31" t="str">
        <f>IFERROR(__xludf.DUMMYFUNCTION("""COMPUTED_VALUE"""),"Chen, Jie; Rodopoulou, Sophia; Strak, Maciej; de Hoogh, Kees; Taj, Tahir; Poulsen, Aslak Harbo; Andersen, Zorana J; Bellander, Tom; Brandt, Jørgen; Zitt, Emanuel; Fecht, Daniela; Forastiere, Francesco; Gulliver, John; Hertel, Ole; Hoffmann, Barbara; Hvidt"&amp;"feldt, Ulla Arthur; Verschuren, W M Monique; Jørgensen, Jeanette T; Katsouyanni, Klea; Ketzel, Matthias; Lager, Anton; Leander, Karin; Liu, Shuo; Ljungman, Petter; Severi, Gianluca; Boutron-Ruault, Marie-Christine; Magnusson, Patrik K E; Nagel, Gabriele; "&amp;"Pershagen, Göran; Peters, Annette; Rizzuto, Debora; van der Schouw, Yvonne T; Samoli, Evangelia; Sørensen, Mette; Stafoggia, Massimo; Tjønneland, Anne; Weinmayr, Gudrun; Wolf, Kathrin; Brunekreef, Bert; Raaschou-Nielsen, Ole; Hoek, Gerard")</f>
        <v>Chen, Jie; Rodopoulou, Sophia; Strak, Maciej; de Hoogh, Kees; Taj, Tahir; Poulsen, Aslak Harbo; Andersen, Zorana J; Bellander, Tom; Brandt, Jørgen; Zitt, Emanuel; Fecht, Daniela; Forastiere, Francesco; Gulliver, John; Hertel, Ole; Hoffmann, Barbara; Hvidtfeldt, Ulla Arthur; Verschuren, W M Monique; Jørgensen, Jeanette T; Katsouyanni, Klea; Ketzel, Matthias; Lager, Anton; Leander, Karin; Liu, Shuo; Ljungman, Petter; Severi, Gianluca; Boutron-Ruault, Marie-Christine; Magnusson, Patrik K E; Nagel, Gabriele; Pershagen, Göran; Peters, Annette; Rizzuto, Debora; van der Schouw, Yvonne T; Samoli, Evangelia; Sørensen, Mette; Stafoggia, Massimo; Tjønneland, Anne; Weinmayr, Gudrun; Wolf, Kathrin; Brunekreef, Bert; Raaschou-Nielsen, Ole; Hoek, Gerard</v>
      </c>
      <c r="AH296" s="32">
        <f>IFERROR(__xludf.DUMMYFUNCTION("""COMPUTED_VALUE"""),44608.0)</f>
        <v>44608</v>
      </c>
      <c r="AI296" s="31" t="str">
        <f>IFERROR(__xludf.DUMMYFUNCTION("""COMPUTED_VALUE"""),"Effects of patient safety culture interventions on incident reporting in general practice: a cluster randomised trial.")</f>
        <v>Effects of patient safety culture interventions on incident reporting in general practice: a cluster randomised trial.</v>
      </c>
      <c r="AJ296" s="31" t="str">
        <f>IFERROR(__xludf.DUMMYFUNCTION("""COMPUTED_VALUE"""),"Verbakel, Natasha J; Langelaan, Maaike; Verheij, Theo J M; Wagner, Cordula; Zwart, Dorien L M")</f>
        <v>Verbakel, Natasha J; Langelaan, Maaike; Verheij, Theo J M; Wagner, Cordula; Zwart, Dorien L M</v>
      </c>
      <c r="AK296" s="32">
        <f>IFERROR(__xludf.DUMMYFUNCTION("""COMPUTED_VALUE"""),42125.0)</f>
        <v>42125</v>
      </c>
      <c r="AL296" s="31" t="str">
        <f>IFERROR(__xludf.DUMMYFUNCTION("""COMPUTED_VALUE"""),"Investigator-initiated Randomized Controlled Trials in Infectious Diseases: Better Value for Money for Registration Trials of New Antimicrobials.")</f>
        <v>Investigator-initiated Randomized Controlled Trials in Infectious Diseases: Better Value for Money for Registration Trials of New Antimicrobials.</v>
      </c>
      <c r="AM296" s="31" t="str">
        <f>IFERROR(__xludf.DUMMYFUNCTION("""COMPUTED_VALUE"""),"Paul, Mical; Harbarth, Stephan; Huttner, Angela; Thwaites, Guy E; Theuretzbacher, Ursula; Bonten, Marc J M; Leibovici, Leonard")</f>
        <v>Paul, Mical; Harbarth, Stephan; Huttner, Angela; Thwaites, Guy E; Theuretzbacher, Ursula; Bonten, Marc J M; Leibovici, Leonard</v>
      </c>
      <c r="AN296" s="32">
        <f>IFERROR(__xludf.DUMMYFUNCTION("""COMPUTED_VALUE"""),44294.0)</f>
        <v>44294</v>
      </c>
    </row>
    <row r="297">
      <c r="A297" s="32"/>
      <c r="I297" s="31" t="str">
        <f>IFERROR(__xludf.DUMMYFUNCTION("""COMPUTED_VALUE"""),"transplantation")</f>
        <v>transplantation</v>
      </c>
      <c r="J297" s="38">
        <f>COUNTIF(Data!$F$2:$F9917, $I297)</f>
        <v>3</v>
      </c>
      <c r="T297" s="31" t="s">
        <v>25627</v>
      </c>
      <c r="U297" s="31" t="s">
        <v>25628</v>
      </c>
      <c r="V297" s="32">
        <v>45451.0</v>
      </c>
      <c r="X297" s="31" t="str">
        <f>IFERROR(__xludf.DUMMYFUNCTION("""COMPUTED_VALUE"""),"Psychosocial factors, health behaviors and risk of cancer incidence: Testing interaction and effect modification in an individual participant data meta-analysis.")</f>
        <v>Psychosocial factors, health behaviors and risk of cancer incidence: Testing interaction and effect modification in an individual participant data meta-analysis.</v>
      </c>
      <c r="Y297" s="31" t="str">
        <f>IFERROR(__xludf.DUMMYFUNCTION("""COMPUTED_VALUE"""),"Basten, Maartje; Pan, Kuan-Yu; van Tuijl, Lonneke A; de Graeff, Alexander; Dekker, Joost; Hoogendoorn, Adriaan W; Lamers, Femke; Ranchor, Adelita V; Vermeulen, Roel; Portengen, Lützen; Voogd, Adri C; Abell, Jessica; Awadalla, Philip; Beekman, Aartjan T F;"&amp;" Bjerkeset, Ottar; Boyd, Andy; Cui, Yunsong; Frank, Philipp; Galenkamp, Henrike; Garssen, Bert; Hellingman, Sean; Huisman, Martijn; Huss, Anke; Keats, Melanie R; Kok, Almar A L; Krokstad, Steinar; van Leeuwen, Flora E; Luik, Annemarie I; Noisel, Nolwenn; "&amp;"Payette, Yves; Penninx, Brenda W J H; Rissanen, Ina; Roest, Annelieke M; Rosmalen, Judith G M; Ruiter, Rikje; Schoevers, Robert A; Soave, David; Spaan, Mandy; Steptoe, Andrew; Stronks, Karien; Sund, Erik R; Sweeney, Ellen; Twait, Emma L; Teyhan, Alison; V"&amp;"erschuren, W M Monique; van der Willik, Kimberly D; Geerlings, Mirjam I")</f>
        <v>Basten, Maartje; Pan, Kuan-Yu; van Tuijl, Lonneke A; de Graeff, Alexander; Dekker, Joost; Hoogendoorn, Adriaan W; Lamers, Femke; Ranchor, Adelita V; Vermeulen, Roel; Portengen, Lützen; Voogd, Adri C; Abell, Jessica; Awadalla, Philip; Beekman, Aartjan T F; Bjerkeset, Ottar; Boyd, Andy; Cui, Yunsong; Frank, Philipp; Galenkamp, Henrike; Garssen, Bert; Hellingman, Sean; Huisman, Martijn; Huss, Anke; Keats, Melanie R; Kok, Almar A L; Krokstad, Steinar; van Leeuwen, Flora E; Luik, Annemarie I; Noisel, Nolwenn; Payette, Yves; Penninx, Brenda W J H; Rissanen, Ina; Roest, Annelieke M; Rosmalen, Judith G M; Ruiter, Rikje; Schoevers, Robert A; Soave, David; Spaan, Mandy; Steptoe, Andrew; Stronks, Karien; Sund, Erik R; Sweeney, Ellen; Twait, Emma L; Teyhan, Alison; Verschuren, W M Monique; van der Willik, Kimberly D; Geerlings, Mirjam I</v>
      </c>
      <c r="Z297" s="31">
        <f>IFERROR(__xludf.DUMMYFUNCTION("""COMPUTED_VALUE"""),2024.0)</f>
        <v>2024</v>
      </c>
      <c r="AA297" s="31">
        <f>IFERROR(__xludf.DUMMYFUNCTION("""COMPUTED_VALUE"""),1.0)</f>
        <v>1</v>
      </c>
      <c r="AF297" s="31" t="str">
        <f>IFERROR(__xludf.DUMMYFUNCTION("""COMPUTED_VALUE"""),"Food Security, Dietary Diversity, Dietary Patterns and the Double Burden of Malnutrition among School-Aged Children and Adolescents in Two Nigerian States.")</f>
        <v>Food Security, Dietary Diversity, Dietary Patterns and the Double Burden of Malnutrition among School-Aged Children and Adolescents in Two Nigerian States.</v>
      </c>
      <c r="AG297" s="31" t="str">
        <f>IFERROR(__xludf.DUMMYFUNCTION("""COMPUTED_VALUE"""),"Adeomi, Adeleye Abiodun; Fatusi, Adesegun; Klipstein-Grobusch, Kerstin")</f>
        <v>Adeomi, Adeleye Abiodun; Fatusi, Adesegun; Klipstein-Grobusch, Kerstin</v>
      </c>
      <c r="AH297" s="32">
        <f>IFERROR(__xludf.DUMMYFUNCTION("""COMPUTED_VALUE"""),44606.0)</f>
        <v>44606</v>
      </c>
      <c r="AI297" s="31" t="str">
        <f>IFERROR(__xludf.DUMMYFUNCTION("""COMPUTED_VALUE"""),"Inappropriate antibiotic prescription for respiratory tract indications: most prominent in adult patients.")</f>
        <v>Inappropriate antibiotic prescription for respiratory tract indications: most prominent in adult patients.</v>
      </c>
      <c r="AJ297" s="31" t="str">
        <f>IFERROR(__xludf.DUMMYFUNCTION("""COMPUTED_VALUE"""),"Dekker, Anne R J; Verheij, Theo J M; van der Velden, Alike W")</f>
        <v>Dekker, Anne R J; Verheij, Theo J M; van der Velden, Alike W</v>
      </c>
      <c r="AK297" s="32">
        <f>IFERROR(__xludf.DUMMYFUNCTION("""COMPUTED_VALUE"""),42118.0)</f>
        <v>42118</v>
      </c>
      <c r="AL297" s="31" t="str">
        <f>IFERROR(__xludf.DUMMYFUNCTION("""COMPUTED_VALUE"""),"Experiences and needs of persons living with a household member infected with SARS-CoV-2: A mixed method study.")</f>
        <v>Experiences and needs of persons living with a household member infected with SARS-CoV-2: A mixed method study.</v>
      </c>
      <c r="AM297" s="31" t="str">
        <f>IFERROR(__xludf.DUMMYFUNCTION("""COMPUTED_VALUE"""),"Verberk, Janneke D M; Anthierens, Sibyl A; Tonkin-Crine, Sarah; Goossens, Herman; Kinsman, John; de Hoog, Marieke L A; Bielicki, Julia A; Bruijning-Verhagen, Patricia C J L; Gobat, Nina H")</f>
        <v>Verberk, Janneke D M; Anthierens, Sibyl A; Tonkin-Crine, Sarah; Goossens, Herman; Kinsman, John; de Hoog, Marieke L A; Bielicki, Julia A; Bruijning-Verhagen, Patricia C J L; Gobat, Nina H</v>
      </c>
      <c r="AN297" s="32">
        <f>IFERROR(__xludf.DUMMYFUNCTION("""COMPUTED_VALUE"""),44286.0)</f>
        <v>44286</v>
      </c>
    </row>
    <row r="298">
      <c r="A298" s="32"/>
      <c r="I298" s="31" t="str">
        <f>IFERROR(__xludf.DUMMYFUNCTION("""COMPUTED_VALUE"""),"one health amsterdam netherlands")</f>
        <v>one health amsterdam netherlands</v>
      </c>
      <c r="J298" s="38">
        <f>COUNTIF(Data!$F$2:$F9917, $I298)</f>
        <v>3</v>
      </c>
      <c r="T298" s="31" t="s">
        <v>17</v>
      </c>
      <c r="U298" s="31" t="s">
        <v>18</v>
      </c>
      <c r="V298" s="32">
        <v>45450.0</v>
      </c>
      <c r="X298" s="31" t="str">
        <f>IFERROR(__xludf.DUMMYFUNCTION("""COMPUTED_VALUE"""),"Estimation of introduction and transmission rates of SARS-CoV-2 in a prospective household study.")</f>
        <v>Estimation of introduction and transmission rates of SARS-CoV-2 in a prospective household study.</v>
      </c>
      <c r="Y298" s="31" t="str">
        <f>IFERROR(__xludf.DUMMYFUNCTION("""COMPUTED_VALUE"""),"van Boven, Michiel; van Dorp, Christiaan H; Westerhof, Ilse; Jaddoe, Vincent; Heuvelman, Valerie; Duijts, Liesbeth; Fourie, Elandri; Sluiter-Post, Judith; van Houten, Marlies A; Badoux, Paul; Euser, Sjoerd; Herpers, Bjorn; Eggink, Dirk; de Hoog, Marieke; "&amp;"Boom, Trisja; Wildenbeest, Joanne; Bont, Louis; Rozhnova, Ganna; Bonten, Marc J; Kretzschmar, Mirjam E; Bruijning-Verhagen, Patricia")</f>
        <v>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v>
      </c>
      <c r="Z298" s="31">
        <f>IFERROR(__xludf.DUMMYFUNCTION("""COMPUTED_VALUE"""),2024.0)</f>
        <v>2024</v>
      </c>
      <c r="AA298" s="31">
        <f>IFERROR(__xludf.DUMMYFUNCTION("""COMPUTED_VALUE"""),1.0)</f>
        <v>1</v>
      </c>
      <c r="AF298" s="31" t="str">
        <f>IFERROR(__xludf.DUMMYFUNCTION("""COMPUTED_VALUE"""),"Genetic associations with carotid intima-media thickness link to atherosclerosis with sex-specific effects in sub-Saharan Africans.")</f>
        <v>Genetic associations with carotid intima-media thickness link to atherosclerosis with sex-specific effects in sub-Saharan Africans.</v>
      </c>
      <c r="AG298" s="31" t="str">
        <f>IFERROR(__xludf.DUMMYFUNCTION("""COMPUTED_VALUE"""),"Boua, Palwende Romuald; Brandenburg, Jean-Tristan; Choudhury, Ananyo; Sorgho, Hermann; Nonterah, Engelbert A; Agongo, Godfred; Asiki, Gershim; Micklesfield, Lisa; Choma, Solomon; Gómez-Olivé, Francesc Xavier; Hazelhurst, Scott; Tinto, Halidou; Crowther, N"&amp;"igel J; Mathew, Christopher G; Ramsay, Michèle; ,; ,")</f>
        <v>Boua, Palwende Romuald; Brandenburg, Jean-Tristan; Choudhury, Ananyo; Sorgho, Hermann; Nonterah, Engelbert A; Agongo, Godfred; Asiki, Gershim; Micklesfield, Lisa; Choma, Solomon; Gómez-Olivé, Francesc Xavier; Hazelhurst, Scott; Tinto, Halidou; Crowther, Nigel J; Mathew, Christopher G; Ramsay, Michèle; ,; ,</v>
      </c>
      <c r="AH298" s="32">
        <f>IFERROR(__xludf.DUMMYFUNCTION("""COMPUTED_VALUE"""),44606.0)</f>
        <v>44606</v>
      </c>
      <c r="AI298" s="31" t="str">
        <f>IFERROR(__xludf.DUMMYFUNCTION("""COMPUTED_VALUE"""),"Antibiotics for children with acute otitis media.")</f>
        <v>Antibiotics for children with acute otitis media.</v>
      </c>
      <c r="AJ298" s="31" t="str">
        <f>IFERROR(__xludf.DUMMYFUNCTION("""COMPUTED_VALUE"""),"Del Mar, Chris; Venekamp, Roderick P; Sanders, Sharon")</f>
        <v>Del Mar, Chris; Venekamp, Roderick P; Sanders, Sharon</v>
      </c>
      <c r="AK298" s="32">
        <f>IFERROR(__xludf.DUMMYFUNCTION("""COMPUTED_VALUE"""),42115.0)</f>
        <v>42115</v>
      </c>
      <c r="AL298" s="31" t="str">
        <f>IFERROR(__xludf.DUMMYFUNCTION("""COMPUTED_VALUE"""),"Checkpoint inhibition: protecting against or predisposing for second primary tumors?")</f>
        <v>Checkpoint inhibition: protecting against or predisposing for second primary tumors?</v>
      </c>
      <c r="AM298" s="31" t="str">
        <f>IFERROR(__xludf.DUMMYFUNCTION("""COMPUTED_VALUE"""),"Suijkerbuijk, K P M; May, A M; van Eijs, M J M")</f>
        <v>Suijkerbuijk, K P M; May, A M; van Eijs, M J M</v>
      </c>
      <c r="AN298" s="32">
        <f>IFERROR(__xludf.DUMMYFUNCTION("""COMPUTED_VALUE"""),44284.0)</f>
        <v>44284</v>
      </c>
    </row>
    <row r="299">
      <c r="A299" s="32"/>
      <c r="I299" s="31" t="str">
        <f>IFERROR(__xludf.DUMMYFUNCTION("""COMPUTED_VALUE"""),"violence against women")</f>
        <v>violence against women</v>
      </c>
      <c r="J299" s="38">
        <f>COUNTIF(Data!$F$2:$F9917, $I299)</f>
        <v>1</v>
      </c>
      <c r="T299" s="31" t="s">
        <v>24789</v>
      </c>
      <c r="U299" s="31" t="s">
        <v>24790</v>
      </c>
      <c r="V299" s="32">
        <v>45450.0</v>
      </c>
      <c r="X299" s="31" t="str">
        <f>IFERROR(__xludf.DUMMYFUNCTION("""COMPUTED_VALUE"""),"Predicting response to neoadjuvant chemotherapy with liquid biopsies and multiparametric MRI in patients with breast cancer.")</f>
        <v>Predicting response to neoadjuvant chemotherapy with liquid biopsies and multiparametric MRI in patients with breast cancer.</v>
      </c>
      <c r="Y299" s="31" t="str">
        <f>IFERROR(__xludf.DUMMYFUNCTION("""COMPUTED_VALUE"""),"Janssen, L M; Janse, M H A; Penning de Vries, B B L; van der Velden, B H M; Wolters-van der Ben, E J M; van den Bosch, S M; Sartori, A; Jovelet, C; Agterof, M J; Ten Bokkel Huinink, D; Bouman-Wammes, E W; van Diest, P J; van der Wall, E; Elias, S G; Gilhu"&amp;"ijs, K G A")</f>
        <v>Janssen, L M; Janse, M H A; Penning de Vries, B B L; van der Velden, B H M; Wolters-van der Ben, E J M; van den Bosch, S M; Sartori, A; Jovelet, C; Agterof, M J; Ten Bokkel Huinink, D; Bouman-Wammes, E W; van Diest, P J; van der Wall, E; Elias, S G; Gilhuijs, K G A</v>
      </c>
      <c r="Z299" s="31">
        <f>IFERROR(__xludf.DUMMYFUNCTION("""COMPUTED_VALUE"""),2024.0)</f>
        <v>2024</v>
      </c>
      <c r="AA299" s="31">
        <f>IFERROR(__xludf.DUMMYFUNCTION("""COMPUTED_VALUE"""),1.0)</f>
        <v>1</v>
      </c>
      <c r="AF299" s="31" t="str">
        <f>IFERROR(__xludf.DUMMYFUNCTION("""COMPUTED_VALUE"""),"Cardiometabolic outcomes of women exposed to hyperglycaemia first detected in pregnancy at 3-6 years post-partum in an urban South African setting.")</f>
        <v>Cardiometabolic outcomes of women exposed to hyperglycaemia first detected in pregnancy at 3-6 years post-partum in an urban South African setting.</v>
      </c>
      <c r="AG299" s="31" t="str">
        <f>IFERROR(__xludf.DUMMYFUNCTION("""COMPUTED_VALUE"""),"Nicolaou, Veronique; Soepnel, Larske; Huddle, Kenneth; Klipstein-Grobusch, Kerstin; Levitt, Naomi S; Norris, Shane A")</f>
        <v>Nicolaou, Veronique; Soepnel, Larske; Huddle, Kenneth; Klipstein-Grobusch, Kerstin; Levitt, Naomi S; Norris, Shane A</v>
      </c>
      <c r="AH299" s="32">
        <f>IFERROR(__xludf.DUMMYFUNCTION("""COMPUTED_VALUE"""),44601.0)</f>
        <v>44601</v>
      </c>
      <c r="AI299" s="31" t="str">
        <f>IFERROR(__xludf.DUMMYFUNCTION("""COMPUTED_VALUE"""),"Cost-effectiveness of intensive multifactorial treatment compared with routine care for individuals with screen-detected Type 2 diabetes: analysis of the ADDITION-UK cluster-randomized controlled trial.")</f>
        <v>Cost-effectiveness of intensive multifactorial treatment compared with routine care for individuals with screen-detected Type 2 diabetes: analysis of the ADDITION-UK cluster-randomized controlled trial.</v>
      </c>
      <c r="AJ299" s="31" t="str">
        <f>IFERROR(__xludf.DUMMYFUNCTION("""COMPUTED_VALUE"""),"Tao, L; Wilson, E C F; Wareham, N J; Sandbaek, A; Rutten, G E H M; Lauritzen, T; Khunti, K; Davies, M J; Borch-Johnsen, K; Griffin, S J; Simmons, R K")</f>
        <v>Tao, L; Wilson, E C F; Wareham, N J; Sandbaek, A; Rutten, G E H M; Lauritzen, T; Khunti, K; Davies, M J; Borch-Johnsen, K; Griffin, S J; Simmons, R K</v>
      </c>
      <c r="AK299" s="32">
        <f>IFERROR(__xludf.DUMMYFUNCTION("""COMPUTED_VALUE"""),42109.0)</f>
        <v>42109</v>
      </c>
      <c r="AL299" s="31" t="str">
        <f>IFERROR(__xludf.DUMMYFUNCTION("""COMPUTED_VALUE"""),"Guidance for the design and reporting of studies evaluating the clinical performance of tests for present or past SARS-CoV-2 infection.")</f>
        <v>Guidance for the design and reporting of studies evaluating the clinical performance of tests for present or past SARS-CoV-2 infection.</v>
      </c>
      <c r="AM299" s="31" t="str">
        <f>IFERROR(__xludf.DUMMYFUNCTION("""COMPUTED_VALUE"""),"Doust, Jenny A; Bell, Katy J L; Leeflang, Mariska M G; Dinnes, Jacqueline; Lord, Sally J; Mallett, Sue; van de Wijgert, Janneke H H M; Sandberg, Sverre; Adeli, Khosrow; Deeks, Jonathan J; Bossuyt, Patrick M; Horvath, Andrea R")</f>
        <v>Doust, Jenny A; Bell, Katy J L; Leeflang, Mariska M G; Dinnes, Jacqueline; Lord, Sally J; Mallett, Sue; van de Wijgert, Janneke H H M; Sandberg, Sverre; Adeli, Khosrow; Deeks, Jonathan J; Bossuyt, Patrick M; Horvath, Andrea R</v>
      </c>
      <c r="AN299" s="32">
        <f>IFERROR(__xludf.DUMMYFUNCTION("""COMPUTED_VALUE"""),44284.0)</f>
        <v>44284</v>
      </c>
    </row>
    <row r="300">
      <c r="A300" s="32"/>
      <c r="I300" s="31" t="str">
        <f>IFERROR(__xludf.DUMMYFUNCTION("""COMPUTED_VALUE"""),"journal of gastrointestinal surgery official journal of the society for surgery of the alimentary tract")</f>
        <v>journal of gastrointestinal surgery official journal of the society for surgery of the alimentary tract</v>
      </c>
      <c r="J300" s="38">
        <f>COUNTIF(Data!$F$2:$F9917, $I300)</f>
        <v>3</v>
      </c>
      <c r="T300" s="31" t="s">
        <v>25035</v>
      </c>
      <c r="U300" s="31" t="s">
        <v>25036</v>
      </c>
      <c r="V300" s="32">
        <v>45450.0</v>
      </c>
      <c r="X300" s="31" t="str">
        <f>IFERROR(__xludf.DUMMYFUNCTION("""COMPUTED_VALUE"""),"Microvascular Dysfunction and Whole-Brain White Matter Connectivity: The Maastricht Study.")</f>
        <v>Microvascular Dysfunction and Whole-Brain White Matter Connectivity: The Maastricht Study.</v>
      </c>
      <c r="Y300" s="31" t="str">
        <f>IFERROR(__xludf.DUMMYFUNCTION("""COMPUTED_VALUE"""),"Beran, Magdalena; van Gennip, April C E; Stehouwer, Coen D A; Jansen, Jacobus F A; Gupta, Monideepa D; Houben, Alfons J H M; Berendschot, Tos T J M; Webers, Carroll A B; Wesselius, Anke; Schalkwijk, Casper G; Backes, Walter H; de Jong, Joost J A; van der "&amp;"Kallen, Carla J H; van Greevenbroek, Marleen M J; Köhler, Sebastian; Vonk, Jet M J; Geerlings, Mirjam I; Schram, Miranda T; van Sloten, Thomas T")</f>
        <v>Beran, Magdalena; van Gennip, April C E; Stehouwer, Coen D A; Jansen, Jacobus F A; Gupta, Monideepa D; Houben, Alfons J H M; Berendschot, Tos T J M; Webers, Carroll A B; Wesselius, Anke; Schalkwijk, Casper G; Backes, Walter H; de Jong, Joost J A; van der Kallen, Carla J H; van Greevenbroek, Marleen M J; Köhler, Sebastian; Vonk, Jet M J; Geerlings, Mirjam I; Schram, Miranda T; van Sloten, Thomas T</v>
      </c>
      <c r="Z300" s="31">
        <f>IFERROR(__xludf.DUMMYFUNCTION("""COMPUTED_VALUE"""),2024.0)</f>
        <v>2024</v>
      </c>
      <c r="AA300" s="31">
        <f>IFERROR(__xludf.DUMMYFUNCTION("""COMPUTED_VALUE"""),1.0)</f>
        <v>1</v>
      </c>
      <c r="AF300" s="31" t="str">
        <f>IFERROR(__xludf.DUMMYFUNCTION("""COMPUTED_VALUE"""),"Inflammatory marker trajectories associated with frailty and ageing in a 20-year longitudinal study.")</f>
        <v>Inflammatory marker trajectories associated with frailty and ageing in a 20-year longitudinal study.</v>
      </c>
      <c r="AG300" s="31" t="str">
        <f>IFERROR(__xludf.DUMMYFUNCTION("""COMPUTED_VALUE"""),"Samson, Leonard Daniël; Buisman, Anne-Marie; Ferreira, José A; Picavet, H Susan J; Verschuren, W M Monique; Boots, Annemieke Mh; Engelfriet, Peter")</f>
        <v>Samson, Leonard Daniël; Buisman, Anne-Marie; Ferreira, José A; Picavet, H Susan J; Verschuren, W M Monique; Boots, Annemieke Mh; Engelfriet, Peter</v>
      </c>
      <c r="AH300" s="32">
        <f>IFERROR(__xludf.DUMMYFUNCTION("""COMPUTED_VALUE"""),44601.0)</f>
        <v>44601</v>
      </c>
      <c r="AI300" s="31" t="str">
        <f>IFERROR(__xludf.DUMMYFUNCTION("""COMPUTED_VALUE"""),"Diagnosis of allergy against beta-lactams in primary care: prevalence and diagnostic criteria.")</f>
        <v>Diagnosis of allergy against beta-lactams in primary care: prevalence and diagnostic criteria.</v>
      </c>
      <c r="AJ300" s="31" t="str">
        <f>IFERROR(__xludf.DUMMYFUNCTION("""COMPUTED_VALUE"""),"Salden, Odette A E; Rockmann, Heike; Verheij, Theo J M; Broekhuizen, Berna D L")</f>
        <v>Salden, Odette A E; Rockmann, Heike; Verheij, Theo J M; Broekhuizen, Berna D L</v>
      </c>
      <c r="AK300" s="32">
        <f>IFERROR(__xludf.DUMMYFUNCTION("""COMPUTED_VALUE"""),42101.0)</f>
        <v>42101</v>
      </c>
      <c r="AL300" s="31" t="str">
        <f>IFERROR(__xludf.DUMMYFUNCTION("""COMPUTED_VALUE"""),"Individual participant data meta-analysis for external validation, recalibration, and updating of a flexible parametric prognostic model.")</f>
        <v>Individual participant data meta-analysis for external validation, recalibration, and updating of a flexible parametric prognostic model.</v>
      </c>
      <c r="AM300" s="31" t="str">
        <f>IFERROR(__xludf.DUMMYFUNCTION("""COMPUTED_VALUE"""),"Ensor, Joie; Snell, Kym I E; Debray, Thomas P A; Lambert, Paul C; Look, Maxime P; Mamas, Mamas A; Moons, Karel G M; Riley, Richard D")</f>
        <v>Ensor, Joie; Snell, Kym I E; Debray, Thomas P A; Lambert, Paul C; Look, Maxime P; Mamas, Mamas A; Moons, Karel G M; Riley, Richard D</v>
      </c>
      <c r="AN300" s="32">
        <f>IFERROR(__xludf.DUMMYFUNCTION("""COMPUTED_VALUE"""),44281.0)</f>
        <v>44281</v>
      </c>
    </row>
    <row r="301">
      <c r="A301" s="32"/>
      <c r="I301" s="31" t="str">
        <f>IFERROR(__xludf.DUMMYFUNCTION("""COMPUTED_VALUE"""),"palliative medicine")</f>
        <v>palliative medicine</v>
      </c>
      <c r="J301" s="38">
        <f>COUNTIF(Data!$F$2:$F9917, $I301)</f>
        <v>9</v>
      </c>
      <c r="T301" s="31" t="s">
        <v>25177</v>
      </c>
      <c r="U301" s="31" t="s">
        <v>25178</v>
      </c>
      <c r="V301" s="32">
        <v>45450.0</v>
      </c>
      <c r="X301" s="31" t="str">
        <f>IFERROR(__xludf.DUMMYFUNCTION("""COMPUTED_VALUE"""),"Methodology for biomarker discovery with reproducibility in microbiome data using machine learning.")</f>
        <v>Methodology for biomarker discovery with reproducibility in microbiome data using machine learning.</v>
      </c>
      <c r="Y301" s="31" t="str">
        <f>IFERROR(__xludf.DUMMYFUNCTION("""COMPUTED_VALUE"""),"Rojas-Velazquez, David; Kidwai, Sarah; Kraneveld, Aletta D; Tonda, Alberto; Oberski, Daniel; Garssen, Johan; Lopez-Rincon, Alejandro")</f>
        <v>Rojas-Velazquez, David; Kidwai, Sarah; Kraneveld, Aletta D; Tonda, Alberto; Oberski, Daniel; Garssen, Johan; Lopez-Rincon, Alejandro</v>
      </c>
      <c r="Z301" s="31">
        <f>IFERROR(__xludf.DUMMYFUNCTION("""COMPUTED_VALUE"""),2024.0)</f>
        <v>2024</v>
      </c>
      <c r="AA301" s="31">
        <f>IFERROR(__xludf.DUMMYFUNCTION("""COMPUTED_VALUE"""),1.0)</f>
        <v>1</v>
      </c>
      <c r="AF301" s="31" t="str">
        <f>IFERROR(__xludf.DUMMYFUNCTION("""COMPUTED_VALUE"""),"The impact of maternal hyperglycaemia first detected in pregnancy on offspring blood pressure in Soweto, South Africa.")</f>
        <v>The impact of maternal hyperglycaemia first detected in pregnancy on offspring blood pressure in Soweto, South Africa.</v>
      </c>
      <c r="AG301" s="31" t="str">
        <f>IFERROR(__xludf.DUMMYFUNCTION("""COMPUTED_VALUE"""),"Boerstra, Brittany A; Soepnel, Larske M; Nicolaou, Veronique; Kolkenbeck-Ruh, Andrea; Kagura, Juliana; Ware, Lisa J; Norris, Shane A; Klipstein-Grobusch, Kerstin")</f>
        <v>Boerstra, Brittany A; Soepnel, Larske M; Nicolaou, Veronique; Kolkenbeck-Ruh, Andrea; Kagura, Juliana; Ware, Lisa J; Norris, Shane A; Klipstein-Grobusch, Kerstin</v>
      </c>
      <c r="AH301" s="32">
        <f>IFERROR(__xludf.DUMMYFUNCTION("""COMPUTED_VALUE"""),44601.0)</f>
        <v>44601</v>
      </c>
      <c r="AI301" s="31" t="str">
        <f>IFERROR(__xludf.DUMMYFUNCTION("""COMPUTED_VALUE"""),"Reasons for non-adherence to practice guidelines on stroke prevention in patients with atrial fibrillation: A cross-sectional study in primary care.")</f>
        <v>Reasons for non-adherence to practice guidelines on stroke prevention in patients with atrial fibrillation: A cross-sectional study in primary care.</v>
      </c>
      <c r="AJ301" s="31" t="str">
        <f>IFERROR(__xludf.DUMMYFUNCTION("""COMPUTED_VALUE"""),"van Doorn, Sander; Hartman-Weide, Floor; Geersing, Geert-Jan; Oudega, Ruud; Hoes, Arno W; Rutten, Frans H")</f>
        <v>van Doorn, Sander; Hartman-Weide, Floor; Geersing, Geert-Jan; Oudega, Ruud; Hoes, Arno W; Rutten, Frans H</v>
      </c>
      <c r="AK301" s="32">
        <f>IFERROR(__xludf.DUMMYFUNCTION("""COMPUTED_VALUE"""),42095.0)</f>
        <v>42095</v>
      </c>
      <c r="AL301" s="31" t="str">
        <f>IFERROR(__xludf.DUMMYFUNCTION("""COMPUTED_VALUE"""),"SAFE@HOME: Cost analysis of a new care pathway including a digital health platform for women at increased risk of preeclampsia.")</f>
        <v>SAFE@HOME: Cost analysis of a new care pathway including a digital health platform for women at increased risk of preeclampsia.</v>
      </c>
      <c r="AM301" s="31" t="str">
        <f>IFERROR(__xludf.DUMMYFUNCTION("""COMPUTED_VALUE"""),"van den Heuvel, Josephus F M; van Lieshout, Christiaan; Franx, Arie; Frederix, Geert; Bekker, Mireille N")</f>
        <v>van den Heuvel, Josephus F M; van Lieshout, Christiaan; Franx, Arie; Frederix, Geert; Bekker, Mireille N</v>
      </c>
      <c r="AN301" s="32">
        <f>IFERROR(__xludf.DUMMYFUNCTION("""COMPUTED_VALUE"""),44275.0)</f>
        <v>44275</v>
      </c>
    </row>
    <row r="302">
      <c r="A302" s="32"/>
      <c r="I302" s="31" t="str">
        <f>IFERROR(__xludf.DUMMYFUNCTION("""COMPUTED_VALUE"""),"health place")</f>
        <v>health place</v>
      </c>
      <c r="J302" s="38">
        <f>COUNTIF(Data!$F$2:$F9917, $I302)</f>
        <v>6</v>
      </c>
      <c r="T302" s="31" t="s">
        <v>23</v>
      </c>
      <c r="U302" s="31" t="s">
        <v>24</v>
      </c>
      <c r="V302" s="32">
        <v>45449.0</v>
      </c>
      <c r="X302" s="31" t="str">
        <f>IFERROR(__xludf.DUMMYFUNCTION("""COMPUTED_VALUE"""),"Embedding routine health care data in clinical trials: with great power comes great responsibility.")</f>
        <v>Embedding routine health care data in clinical trials: with great power comes great responsibility.</v>
      </c>
      <c r="Y302" s="31" t="str">
        <f>IFERROR(__xludf.DUMMYFUNCTION("""COMPUTED_VALUE"""),"Handoko, M Louis; de Man, Frances S; Brugts, Jasper J; van der Meer, Peter; Rhodius-Meester, Hanneke F M; Schaap, Jeroen; van de Kamp, H J Rik; Houterman, Saskia; van Veghel, Dennis; Uijl, Alicia; Asselbergs, Folkert W")</f>
        <v>Handoko, M Louis; de Man, Frances S; Brugts, Jasper J; van der Meer, Peter; Rhodius-Meester, Hanneke F M; Schaap, Jeroen; van de Kamp, H J Rik; Houterman, Saskia; van Veghel, Dennis; Uijl, Alicia; Asselbergs, Folkert W</v>
      </c>
      <c r="Z302" s="31">
        <f>IFERROR(__xludf.DUMMYFUNCTION("""COMPUTED_VALUE"""),2024.0)</f>
        <v>2024</v>
      </c>
      <c r="AA302" s="31">
        <f>IFERROR(__xludf.DUMMYFUNCTION("""COMPUTED_VALUE"""),1.0)</f>
        <v>1</v>
      </c>
      <c r="AF302" s="31" t="str">
        <f>IFERROR(__xludf.DUMMYFUNCTION("""COMPUTED_VALUE"""),"Alcohol Consumption and Cardiovascular Disease Risk: Placing New Data in Context.")</f>
        <v>Alcohol Consumption and Cardiovascular Disease Risk: Placing New Data in Context.</v>
      </c>
      <c r="AG302" s="31" t="str">
        <f>IFERROR(__xludf.DUMMYFUNCTION("""COMPUTED_VALUE"""),"Hoek, Anna G; van Oort, Sabine; Mukamal, Kenneth J; Beulens, Joline W J")</f>
        <v>Hoek, Anna G; van Oort, Sabine; Mukamal, Kenneth J; Beulens, Joline W J</v>
      </c>
      <c r="AH302" s="32">
        <f>IFERROR(__xludf.DUMMYFUNCTION("""COMPUTED_VALUE"""),44599.0)</f>
        <v>44599</v>
      </c>
      <c r="AI302" s="31" t="str">
        <f>IFERROR(__xludf.DUMMYFUNCTION("""COMPUTED_VALUE"""),"Natriuretic peptide tests in suspected acute heart failure.")</f>
        <v>Natriuretic peptide tests in suspected acute heart failure.</v>
      </c>
      <c r="AJ302" s="31" t="str">
        <f>IFERROR(__xludf.DUMMYFUNCTION("""COMPUTED_VALUE"""),"Rutten, Frans H; Hoes, Arno W")</f>
        <v>Rutten, Frans H; Hoes, Arno W</v>
      </c>
      <c r="AK302" s="32">
        <f>IFERROR(__xludf.DUMMYFUNCTION("""COMPUTED_VALUE"""),42067.0)</f>
        <v>42067</v>
      </c>
      <c r="AL302" s="31" t="str">
        <f>IFERROR(__xludf.DUMMYFUNCTION("""COMPUTED_VALUE"""),"Timing of recurrence after surgery in pelvic organ prolapse.")</f>
        <v>Timing of recurrence after surgery in pelvic organ prolapse.</v>
      </c>
      <c r="AM302" s="31" t="str">
        <f>IFERROR(__xludf.DUMMYFUNCTION("""COMPUTED_VALUE"""),"Roos, Eveline J; Schuit, Ewoud")</f>
        <v>Roos, Eveline J; Schuit, Ewoud</v>
      </c>
      <c r="AN302" s="32">
        <f>IFERROR(__xludf.DUMMYFUNCTION("""COMPUTED_VALUE"""),44272.0)</f>
        <v>44272</v>
      </c>
    </row>
    <row r="303">
      <c r="A303" s="32"/>
      <c r="I303" s="31" t="str">
        <f>IFERROR(__xludf.DUMMYFUNCTION("""COMPUTED_VALUE"""),"proceedings of the national academy of sciences of the united states of america")</f>
        <v>proceedings of the national academy of sciences of the united states of america</v>
      </c>
      <c r="J303" s="38">
        <f>COUNTIF(Data!$F$2:$F9917, $I303)</f>
        <v>3</v>
      </c>
      <c r="T303" s="31" t="s">
        <v>24953</v>
      </c>
      <c r="U303" s="31" t="s">
        <v>24954</v>
      </c>
      <c r="V303" s="32">
        <v>45449.0</v>
      </c>
      <c r="X303" s="31" t="str">
        <f>IFERROR(__xludf.DUMMYFUNCTION("""COMPUTED_VALUE"""),"Observation of WZγ Production in pp Collisions at sqrt[s]=13  TeV with the ATLAS Detector.")</f>
        <v>Observation of WZγ Production in pp Collisions at sqrt[s]=13  TeV with the ATLAS Detector.</v>
      </c>
      <c r="Y303" s="31"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303" s="31">
        <f>IFERROR(__xludf.DUMMYFUNCTION("""COMPUTED_VALUE"""),2024.0)</f>
        <v>2024</v>
      </c>
      <c r="AA303" s="31">
        <f>IFERROR(__xludf.DUMMYFUNCTION("""COMPUTED_VALUE"""),1.0)</f>
        <v>1</v>
      </c>
      <c r="AF303" s="31" t="str">
        <f>IFERROR(__xludf.DUMMYFUNCTION("""COMPUTED_VALUE"""),"Development of a clinical prediction model for perinatal deaths in low resource settings.")</f>
        <v>Development of a clinical prediction model for perinatal deaths in low resource settings.</v>
      </c>
      <c r="AG303" s="31" t="str">
        <f>IFERROR(__xludf.DUMMYFUNCTION("""COMPUTED_VALUE"""),"Housseine, Natasha; Rijken, Marcus J; Weller, Katinka; Nassor, Nassra Haroub; Gbenga, Kayode; Dodd, Caitlin; Debray, Thomas; Meguid, Tarek; Franx, Arie; Grobbee, Diederick E; Browne, Joyce L")</f>
        <v>Housseine, Natasha; Rijken, Marcus J; Weller, Katinka; Nassor, Nassra Haroub; Gbenga, Kayode; Dodd, Caitlin; Debray, Thomas; Meguid, Tarek; Franx, Arie; Grobbee, Diederick E; Browne, Joyce L</v>
      </c>
      <c r="AH303" s="32">
        <f>IFERROR(__xludf.DUMMYFUNCTION("""COMPUTED_VALUE"""),44599.0)</f>
        <v>44599</v>
      </c>
      <c r="AI303" s="31" t="str">
        <f>IFERROR(__xludf.DUMMYFUNCTION("""COMPUTED_VALUE"""),"Clean air in Europe: beyond the horizon?")</f>
        <v>Clean air in Europe: beyond the horizon?</v>
      </c>
      <c r="AJ303" s="31" t="str">
        <f>IFERROR(__xludf.DUMMYFUNCTION("""COMPUTED_VALUE"""),"Brunekreef, Bert; Künzli, Nino; Pekkanen, Juha; Annesi-Maesano, Isabella; Forsberg, Bertil; Sigsgaard, Torben; Keuken, Menno; Forastiere, Francesco; Barry, Maeve; Querol, Xavier; Harrison, Roy M")</f>
        <v>Brunekreef, Bert; Künzli, Nino; Pekkanen, Juha; Annesi-Maesano, Isabella; Forsberg, Bertil; Sigsgaard, Torben; Keuken, Menno; Forastiere, Francesco; Barry, Maeve; Querol, Xavier; Harrison, Roy M</v>
      </c>
      <c r="AK303" s="32">
        <f>IFERROR(__xludf.DUMMYFUNCTION("""COMPUTED_VALUE"""),42005.0)</f>
        <v>42005</v>
      </c>
      <c r="AL303" s="31" t="str">
        <f>IFERROR(__xludf.DUMMYFUNCTION("""COMPUTED_VALUE"""),"Development of imaging-based risk scores for prediction of intracranial haemorrhage and ischaemic stroke in patients taking antithrombotic therapy after ischaemic stroke or transient ischaemic attack: a pooled analysis of individual patient data from coho"&amp;"rt studies.")</f>
        <v>Development of imaging-based risk scores for prediction of intracranial haemorrhage and ischaemic stroke in patients taking antithrombotic therapy after ischaemic stroke or transient ischaemic attack: a pooled analysis of individual patient data from cohort studies.</v>
      </c>
      <c r="AM303" s="31" t="str">
        <f>IFERROR(__xludf.DUMMYFUNCTION("""COMPUTED_VALUE"""),"Best, Jonathan G; Ambler, Gareth; Wilson, Duncan; Lee, Keon-Joo; Lim, Jae-Sung; Shiozawa, Masayuki; Koga, Masatoshi; Li, Linxin; Lovelock, Caroline; Chabriat, Hugues; Hennerici, Michael; Wong, Yuen Kwun; Mak, Henry Ka Fung; Prats-Sanchez, Luis; Martínez-D"&amp;"omeño, Alejandro; Inamura, Shigeru; Yoshifuji, Kazuhisa; Arsava, Ethem Murat; Horstmann, Solveig; Purrucker, Jan; Lam, Bonnie Yin Ka; Wong, Adrian; Kim, Young Dae; Song, Tae-Jin; Lemmens, Robin; Eppinger, Sebastian; Gattringer, Thomas; Uysal, Ender; Tanri"&amp;"verdi, Zeynep; Bornstein, Natan M; Ben Assayag, Einor; Hallevi, Hen; Molad, Jeremy; Nishihara, Masashi; Tanaka, Jun; Coutts, Shelagh B; Polymeris, Alexandros; Wagner, Benjamin; Seiffge, David J; Lyrer, Philippe; Algra, Ale; Kappelle, L Jaap; Al-Shahi Salm"&amp;"an, Rustam; Jäger, Hans R; Lip, Gregory Y H; Fischer, Urs; El-Koussy, Marwan; Mas, Jean-Louis; Legrand, Laurence; Karayiannis, Christopher; Phan, Thanh; Gunkel, Sarah; Christ, Nicolas; Abrigo, Jill; Leung, Thomas; Chu, Winnie; Chappell")</f>
        <v>Best, Jonathan G; Ambler, Gareth; Wilson, Duncan; Lee, Keon-Joo; Lim, Jae-Sung; Shiozawa, Masayuki; Koga, Masatoshi; Li, Linxin; Lovelock, Caroline; Chabriat, Hugues; Hennerici, Michael; Wong, Yuen Kwun; Mak, Henry Ka Fung; Prats-Sanchez, Luis; Martínez-Domeño, Alejandro; Inamura, Shigeru; Yoshifuji, Kazuhisa; Arsava, Ethem Murat; Horstmann, Solveig; Purrucker, Jan; Lam, Bonnie Yin Ka; Wong, Adrian; Kim, Young Dae; Song, Tae-Jin; Lemmens, Robin; Eppinger, Sebastian; Gattringer, Thomas; Uysal, Ender; Tanriverdi, Zeynep; Bornstein, Natan M; Ben Assayag, Einor; Hallevi, Hen; Molad, Jeremy; Nishihara, Masashi; Tanaka, Jun; Coutts, Shelagh B; Polymeris, Alexandros; Wagner, Benjamin; Seiffge, David J; Lyrer, Philippe; Algra, Ale; Kappelle, L Jaap; Al-Shahi Salman, Rustam; Jäger, Hans R; Lip, Gregory Y H; Fischer, Urs; El-Koussy, Marwan; Mas, Jean-Louis; Legrand, Laurence; Karayiannis, Christopher; Phan, Thanh; Gunkel, Sarah; Christ, Nicolas; Abrigo, Jill; Leung, Thomas; Chu, Winnie; Chappell</v>
      </c>
      <c r="AN303" s="32">
        <f>IFERROR(__xludf.DUMMYFUNCTION("""COMPUTED_VALUE"""),44272.0)</f>
        <v>44272</v>
      </c>
    </row>
    <row r="304">
      <c r="A304" s="32"/>
      <c r="I304" s="31" t="str">
        <f>IFERROR(__xludf.DUMMYFUNCTION("""COMPUTED_VALUE"""),"diabetesmetabolism research and reviews")</f>
        <v>diabetesmetabolism research and reviews</v>
      </c>
      <c r="J304" s="38">
        <f>COUNTIF(Data!$F$2:$F9917, $I304)</f>
        <v>2</v>
      </c>
      <c r="T304" s="31" t="s">
        <v>25697</v>
      </c>
      <c r="U304" s="31" t="s">
        <v>25698</v>
      </c>
      <c r="V304" s="32">
        <v>45449.0</v>
      </c>
      <c r="X304" s="31" t="str">
        <f>IFERROR(__xludf.DUMMYFUNCTION("""COMPUTED_VALUE"""),"Refining the role of reproductive factors on heart health.")</f>
        <v>Refining the role of reproductive factors on heart health.</v>
      </c>
      <c r="Y304" s="31" t="str">
        <f>IFERROR(__xludf.DUMMYFUNCTION("""COMPUTED_VALUE"""),"Peters, Sanne A E")</f>
        <v>Peters, Sanne A E</v>
      </c>
      <c r="Z304" s="31">
        <f>IFERROR(__xludf.DUMMYFUNCTION("""COMPUTED_VALUE"""),2024.0)</f>
        <v>2024</v>
      </c>
      <c r="AA304" s="31">
        <f>IFERROR(__xludf.DUMMYFUNCTION("""COMPUTED_VALUE"""),1.0)</f>
        <v>1</v>
      </c>
      <c r="AF304" s="31" t="str">
        <f>IFERROR(__xludf.DUMMYFUNCTION("""COMPUTED_VALUE"""),"ESCMID guidelines on testing for SARS-CoV-2 in asymptomatic individuals to prevent transmission in the health care setting.")</f>
        <v>ESCMID guidelines on testing for SARS-CoV-2 in asymptomatic individuals to prevent transmission in the health care setting.</v>
      </c>
      <c r="AG304" s="31" t="str">
        <f>IFERROR(__xludf.DUMMYFUNCTION("""COMPUTED_VALUE"""),"Carrara, Elena; Ong, David S Y; Hussein, Khetam; Keske, Siran; Johansson, Anders F; Presterl, Elisabeth; Tsioutis, Constantinos; Tschudin-Sutter, Sarah; Tacconelli, Evelina")</f>
        <v>Carrara, Elena; Ong, David S Y; Hussein, Khetam; Keske, Siran; Johansson, Anders F; Presterl, Elisabeth; Tsioutis, Constantinos; Tschudin-Sutter, Sarah; Tacconelli, Evelina</v>
      </c>
      <c r="AH304" s="32">
        <f>IFERROR(__xludf.DUMMYFUNCTION("""COMPUTED_VALUE"""),44595.0)</f>
        <v>44595</v>
      </c>
      <c r="AI304" s="31" t="str">
        <f>IFERROR(__xludf.DUMMYFUNCTION("""COMPUTED_VALUE"""),"[The physician and the collector of diagnoses].")</f>
        <v>[The physician and the collector of diagnoses].</v>
      </c>
      <c r="AJ304" s="31" t="str">
        <f>IFERROR(__xludf.DUMMYFUNCTION("""COMPUTED_VALUE"""),"Geersing, Geert-Jan")</f>
        <v>Geersing, Geert-Jan</v>
      </c>
      <c r="AK304" s="32">
        <f>IFERROR(__xludf.DUMMYFUNCTION("""COMPUTED_VALUE"""),42005.0)</f>
        <v>42005</v>
      </c>
      <c r="AL304" s="31" t="str">
        <f>IFERROR(__xludf.DUMMYFUNCTION("""COMPUTED_VALUE"""),"Association of White Matter Hyperintensity Markers on MRI and Long-term Risk of Mortality and Ischemic Stroke: The SMART-MR Study.")</f>
        <v>Association of White Matter Hyperintensity Markers on MRI and Long-term Risk of Mortality and Ischemic Stroke: The SMART-MR Study.</v>
      </c>
      <c r="AM304" s="31" t="str">
        <f>IFERROR(__xludf.DUMMYFUNCTION("""COMPUTED_VALUE"""),"Ghaznawi, Rashid; Geerlings, Mirjam I; Jaarsma-Coes, Myriam; Hendrikse, Jeroen; de Bresser, Jeroen; ,")</f>
        <v>Ghaznawi, Rashid; Geerlings, Mirjam I; Jaarsma-Coes, Myriam; Hendrikse, Jeroen; de Bresser, Jeroen; ,</v>
      </c>
      <c r="AN304" s="32">
        <f>IFERROR(__xludf.DUMMYFUNCTION("""COMPUTED_VALUE"""),44271.0)</f>
        <v>44271</v>
      </c>
    </row>
    <row r="305">
      <c r="A305" s="32"/>
      <c r="I305" s="31" t="str">
        <f>IFERROR(__xludf.DUMMYFUNCTION("""COMPUTED_VALUE"""),"international journal of environmental research and public health")</f>
        <v>international journal of environmental research and public health</v>
      </c>
      <c r="J305" s="38">
        <f>COUNTIF(Data!$F$2:$F9917, $I305)</f>
        <v>16</v>
      </c>
      <c r="T305" s="31" t="s">
        <v>29</v>
      </c>
      <c r="U305" s="31" t="s">
        <v>30</v>
      </c>
      <c r="V305" s="32">
        <v>45448.0</v>
      </c>
      <c r="X305" s="31" t="str">
        <f>IFERROR(__xludf.DUMMYFUNCTION("""COMPUTED_VALUE"""),"Impact of fatigue in surgeons on performance and patient outcome: systematic review.")</f>
        <v>Impact of fatigue in surgeons on performance and patient outcome: systematic review.</v>
      </c>
      <c r="Y305" s="31" t="str">
        <f>IFERROR(__xludf.DUMMYFUNCTION("""COMPUTED_VALUE"""),"Reijmerink, Iris M; van der Laan, Maarten J; Wietasch, J K Götz; Hooft, Lotty; Cnossen, Fokie")</f>
        <v>Reijmerink, Iris M; van der Laan, Maarten J; Wietasch, J K Götz; Hooft, Lotty; Cnossen, Fokie</v>
      </c>
      <c r="Z305" s="31">
        <f>IFERROR(__xludf.DUMMYFUNCTION("""COMPUTED_VALUE"""),2024.0)</f>
        <v>2024</v>
      </c>
      <c r="AA305" s="31">
        <f>IFERROR(__xludf.DUMMYFUNCTION("""COMPUTED_VALUE"""),1.0)</f>
        <v>1</v>
      </c>
      <c r="AF305" s="31" t="str">
        <f>IFERROR(__xludf.DUMMYFUNCTION("""COMPUTED_VALUE"""),"Incidence and correlates of high blood pressure from childhood to adulthood: the Birth to Twenty study.")</f>
        <v>Incidence and correlates of high blood pressure from childhood to adulthood: the Birth to Twenty study.</v>
      </c>
      <c r="AG305" s="31" t="str">
        <f>IFERROR(__xludf.DUMMYFUNCTION("""COMPUTED_VALUE"""),"Meer, Romain; Boateng, Daniel; Klipstein-Grobusch, Kerstin; Norris, Shane A; Kagura, Juliana")</f>
        <v>Meer, Romain; Boateng, Daniel; Klipstein-Grobusch, Kerstin; Norris, Shane A; Kagura, Juliana</v>
      </c>
      <c r="AH305" s="32">
        <f>IFERROR(__xludf.DUMMYFUNCTION("""COMPUTED_VALUE"""),44593.0)</f>
        <v>44593</v>
      </c>
      <c r="AI305" s="31" t="str">
        <f>IFERROR(__xludf.DUMMYFUNCTION("""COMPUTED_VALUE"""),"[Prescribing antibiotics for sore throat: a persistent habit].")</f>
        <v>[Prescribing antibiotics for sore throat: a persistent habit].</v>
      </c>
      <c r="AJ305" s="31" t="str">
        <f>IFERROR(__xludf.DUMMYFUNCTION("""COMPUTED_VALUE"""),"Damoiseaux, Roger A M J; Venekamp, Roderick P")</f>
        <v>Damoiseaux, Roger A M J; Venekamp, Roderick P</v>
      </c>
      <c r="AK305" s="32">
        <f>IFERROR(__xludf.DUMMYFUNCTION("""COMPUTED_VALUE"""),42005.0)</f>
        <v>42005</v>
      </c>
      <c r="AL305" s="31" t="str">
        <f>IFERROR(__xludf.DUMMYFUNCTION("""COMPUTED_VALUE"""),"End-stage kidney disease in patients with clinically manifest vascular disease; incidence and risk factors: results from the UCC-SMART cohort study.")</f>
        <v>End-stage kidney disease in patients with clinically manifest vascular disease; incidence and risk factors: results from the UCC-SMART cohort study.</v>
      </c>
      <c r="AM305" s="31" t="str">
        <f>IFERROR(__xludf.DUMMYFUNCTION("""COMPUTED_VALUE"""),"Østergaard, Helena Bleken; Westerink, Jan; Verhaar, Marianne C; Bots, Michiel L; Asselbergs, Folkert W; de Borst, Gert J; Kappelle, L Jaap; Visseren, Frank L J; van der Leeuw, Joep; ,")</f>
        <v>Østergaard, Helena Bleken; Westerink, Jan; Verhaar, Marianne C; Bots, Michiel L; Asselbergs, Folkert W; de Borst, Gert J; Kappelle, L Jaap; Visseren, Frank L J; van der Leeuw, Joep; ,</v>
      </c>
      <c r="AN305" s="32">
        <f>IFERROR(__xludf.DUMMYFUNCTION("""COMPUTED_VALUE"""),44268.0)</f>
        <v>44268</v>
      </c>
    </row>
    <row r="306">
      <c r="A306" s="32"/>
      <c r="I306" s="31" t="str">
        <f>IFERROR(__xludf.DUMMYFUNCTION("""COMPUTED_VALUE"""),"vaccine x")</f>
        <v>vaccine x</v>
      </c>
      <c r="J306" s="38">
        <f>COUNTIF(Data!$F$2:$F9917, $I306)</f>
        <v>1</v>
      </c>
      <c r="T306" s="31" t="s">
        <v>35</v>
      </c>
      <c r="U306" s="31" t="s">
        <v>36</v>
      </c>
      <c r="V306" s="32">
        <v>45448.0</v>
      </c>
      <c r="X306" s="31" t="str">
        <f>IFERROR(__xludf.DUMMYFUNCTION("""COMPUTED_VALUE"""),"Determination of the clinical relevance of donor epitope-specific HLA-antibodies in kidney transplantation.")</f>
        <v>Determination of the clinical relevance of donor epitope-specific HLA-antibodies in kidney transplantation.</v>
      </c>
      <c r="Y306" s="31" t="str">
        <f>IFERROR(__xludf.DUMMYFUNCTION("""COMPUTED_VALUE"""),"Kardol-Hoefnagel, Tineke; Senejohnny, Danial Mohammadi; Kamburova, Elena G; Wisse, Bram W; Reteig, Leon; Gruijters, Maartje L; Joosten, Irma; Allebes, Wil A; van der Meer, Arnold; Hilbrands, Luuk B; Baas, Marije C; Spierings, Eric; Hack, Cornelis E; van R"&amp;"eekum, Franka E; van Zuilen, Arjan D; Verhaar, Marianne C; Bots, Michiel L; Drop, Adriaan C A D; Plaisier, Loes; Melchers, Rowena C A; Seelen, Marc A J; Sanders, Jan Stephan; Hepkema, Bouke G; Lambeck, Annechien J A; Bungener, Laura B; Roozendaal, Carolin"&amp;"e; Tilanus, Marcel G J; Voorter, Christina E; Wieten, Lotte; van Duijnhoven, Elly M; Gelens, Mariëlle A C J; Christiaans, Maarten H L; van Ittersum, Frans J; Nurmohamed, Shaikh A; Lardy, Neubury M; Swelsen, Wendy; van der Pant, Karlijn A M I; van der Weer"&amp;"d, Neelke C; Ten Berge, Ineke J M; Hoitsma, Andries; van der Boog, Paul J M; de Fijter, Johan W; Betjes, Michiel G H; Roelen, Dave L; Claas, Frans H; Bemelman, Frederike J; Senev, Aleksandar; Naesens, Maarten; Heidt, Sebastiaan; Otten,")</f>
        <v>Kardol-Hoefnagel, Tineke; Senejohnny, Danial Mohammadi; Kamburova, Elena G; Wisse, Bram W; Reteig, Leon; Gruijters, Maartje L;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Roelen, Dave L; Claas, Frans H; Bemelman, Frederike J; Senev, Aleksandar; Naesens, Maarten; Heidt, Sebastiaan; Otten,</v>
      </c>
      <c r="Z306" s="31">
        <f>IFERROR(__xludf.DUMMYFUNCTION("""COMPUTED_VALUE"""),2024.0)</f>
        <v>2024</v>
      </c>
      <c r="AA306" s="31">
        <f>IFERROR(__xludf.DUMMYFUNCTION("""COMPUTED_VALUE"""),1.0)</f>
        <v>1</v>
      </c>
      <c r="AF306" s="31" t="str">
        <f>IFERROR(__xludf.DUMMYFUNCTION("""COMPUTED_VALUE"""),"A population-based study of 92 clinically recognized risk factors for heart failure: co-occurrence, prognosis and preventive potential.")</f>
        <v>A population-based study of 92 clinically recognized risk factors for heart failure: co-occurrence, prognosis and preventive potential.</v>
      </c>
      <c r="AG306" s="31" t="str">
        <f>IFERROR(__xludf.DUMMYFUNCTION("""COMPUTED_VALUE"""),"Banerjee, Amitava; Pasea, Laura; Chung, Sheng-Chia; Direk, Kenan; Asselbergs, Folkert W.; Grobbee, Diederick E; Kotecha, Dipak; Anker, Stefan D; Dyszynski, Tomasz; Tyl, Benoît; Denaxas, Spiros; Lumbers, R Thomas; Hemingway, Harry")</f>
        <v>Banerjee, Amitava; Pasea, Laura; Chung, Sheng-Chia; Direk, Kenan; Asselbergs, Folkert W.; Grobbee, Diederick E; Kotecha, Dipak; Anker, Stefan D; Dyszynski, Tomasz; Tyl, Benoît; Denaxas, Spiros; Lumbers, R Thomas; Hemingway, Harry</v>
      </c>
      <c r="AH306" s="32">
        <f>IFERROR(__xludf.DUMMYFUNCTION("""COMPUTED_VALUE"""),44587.0)</f>
        <v>44587</v>
      </c>
      <c r="AI306" s="31" t="str">
        <f>IFERROR(__xludf.DUMMYFUNCTION("""COMPUTED_VALUE"""),"[The general practitioner is not in the lead on ADHD].")</f>
        <v>[The general practitioner is not in the lead on ADHD].</v>
      </c>
      <c r="AJ306" s="31" t="str">
        <f>IFERROR(__xludf.DUMMYFUNCTION("""COMPUTED_VALUE"""),"Damoiseaux, Roger A M J")</f>
        <v>Damoiseaux, Roger A M J</v>
      </c>
      <c r="AK306" s="32">
        <f>IFERROR(__xludf.DUMMYFUNCTION("""COMPUTED_VALUE"""),42005.0)</f>
        <v>42005</v>
      </c>
      <c r="AL306" s="31" t="str">
        <f>IFERROR(__xludf.DUMMYFUNCTION("""COMPUTED_VALUE"""),"Comparative genomics of ESBL-producing Escherichia coli (ESBL-Ec) reveals a similar distribution of the 10 most prevalent ESBL-Ec clones and ESBL genes among human community faecal and extra-intestinal infection isolates in the Netherlands (2014-17).")</f>
        <v>Comparative genomics of ESBL-producing Escherichia coli (ESBL-Ec) reveals a similar distribution of the 10 most prevalent ESBL-Ec clones and ESBL genes among human community faecal and extra-intestinal infection isolates in the Netherlands (2014-17).</v>
      </c>
      <c r="AM306" s="31" t="str">
        <f>IFERROR(__xludf.DUMMYFUNCTION("""COMPUTED_VALUE"""),"Verschuuren, T D; van Hout, D; Arredondo-Alonso, S; Fluit, A C; Reuland, E A; Top, J; Schürch, A C; Bosch, T; Bonten, M J M; Kluytmans, J A J W; Willems, R J L")</f>
        <v>Verschuuren, T D; van Hout, D; Arredondo-Alonso, S; Fluit, A C; Reuland, E A; Top, J; Schürch, A C; Bosch, T; Bonten, M J M; Kluytmans, J A J W; Willems, R J L</v>
      </c>
      <c r="AN306" s="32">
        <f>IFERROR(__xludf.DUMMYFUNCTION("""COMPUTED_VALUE"""),44267.0)</f>
        <v>44267</v>
      </c>
    </row>
    <row r="307">
      <c r="A307" s="32"/>
      <c r="I307" s="31" t="str">
        <f>IFERROR(__xludf.DUMMYFUNCTION("""COMPUTED_VALUE"""),"the lancet digital health")</f>
        <v>the lancet digital health</v>
      </c>
      <c r="J307" s="38">
        <f>COUNTIF(Data!$F$2:$F9917, $I307)</f>
        <v>7</v>
      </c>
      <c r="T307" s="31" t="s">
        <v>40</v>
      </c>
      <c r="U307" s="31" t="s">
        <v>41</v>
      </c>
      <c r="V307" s="32">
        <v>45448.0</v>
      </c>
      <c r="X307" s="31" t="str">
        <f>IFERROR(__xludf.DUMMYFUNCTION("""COMPUTED_VALUE"""),"Skewness and Staging: Does the Floor Effect Induce Bias in Multilevel AR(1) Models?")</f>
        <v>Skewness and Staging: Does the Floor Effect Induce Bias in Multilevel AR(1) Models?</v>
      </c>
      <c r="Y307" s="31" t="str">
        <f>IFERROR(__xludf.DUMMYFUNCTION("""COMPUTED_VALUE"""),"Haqiqatkhah, MohammadHossein M; Ryan, Oisín; Hamaker, Ellen L")</f>
        <v>Haqiqatkhah, MohammadHossein M; Ryan, Oisín; Hamaker, Ellen L</v>
      </c>
      <c r="Z307" s="31">
        <f>IFERROR(__xludf.DUMMYFUNCTION("""COMPUTED_VALUE"""),2023.0)</f>
        <v>2023</v>
      </c>
      <c r="AA307" s="31">
        <f>IFERROR(__xludf.DUMMYFUNCTION("""COMPUTED_VALUE"""),1.0)</f>
        <v>1</v>
      </c>
      <c r="AF307" s="31" t="str">
        <f>IFERROR(__xludf.DUMMYFUNCTION("""COMPUTED_VALUE"""),"Individual and contextual factors associated with under- and over-nutrition among school-aged children and adolescents in two Nigerian states: a multi-level analysis.")</f>
        <v>Individual and contextual factors associated with under- and over-nutrition among school-aged children and adolescents in two Nigerian states: a multi-level analysis.</v>
      </c>
      <c r="AG307" s="31" t="str">
        <f>IFERROR(__xludf.DUMMYFUNCTION("""COMPUTED_VALUE"""),"Adeomi, Adeleye Abiodun; Fatusi, Adesegun; Klipstein-Grobusch, Kerstin")</f>
        <v>Adeomi, Adeleye Abiodun; Fatusi, Adesegun; Klipstein-Grobusch, Kerstin</v>
      </c>
      <c r="AH307" s="32">
        <f>IFERROR(__xludf.DUMMYFUNCTION("""COMPUTED_VALUE"""),44585.0)</f>
        <v>44585</v>
      </c>
      <c r="AI307" s="31" t="str">
        <f>IFERROR(__xludf.DUMMYFUNCTION("""COMPUTED_VALUE"""),"Age-adjusted D-dimer cutoff for reducing CT pulmonary angiography tests in elderly patients with suspected pulmonary embolism: improvement or restoration back to normal?")</f>
        <v>Age-adjusted D-dimer cutoff for reducing CT pulmonary angiography tests in elderly patients with suspected pulmonary embolism: improvement or restoration back to normal?</v>
      </c>
      <c r="AJ307" s="31" t="str">
        <f>IFERROR(__xludf.DUMMYFUNCTION("""COMPUTED_VALUE"""),"Geersing, Geert-Jan")</f>
        <v>Geersing, Geert-Jan</v>
      </c>
      <c r="AK307" s="32">
        <f>IFERROR(__xludf.DUMMYFUNCTION("""COMPUTED_VALUE"""),41974.0)</f>
        <v>41974</v>
      </c>
      <c r="AL307" s="31" t="str">
        <f>IFERROR(__xludf.DUMMYFUNCTION("""COMPUTED_VALUE"""),"[Gastric acid suppression and antibiotic resistance; the role of a meta-analysis].")</f>
        <v>[Gastric acid suppression and antibiotic resistance; the role of a meta-analysis].</v>
      </c>
      <c r="AM307" s="31" t="str">
        <f>IFERROR(__xludf.DUMMYFUNCTION("""COMPUTED_VALUE"""),"Bonten, M J M; van Werkhoven, C H")</f>
        <v>Bonten, M J M; van Werkhoven, C H</v>
      </c>
      <c r="AN307" s="32">
        <f>IFERROR(__xludf.DUMMYFUNCTION("""COMPUTED_VALUE"""),44266.0)</f>
        <v>44266</v>
      </c>
    </row>
    <row r="308">
      <c r="A308" s="32"/>
      <c r="I308" s="31" t="str">
        <f>IFERROR(__xludf.DUMMYFUNCTION("""COMPUTED_VALUE"""),"clinical nutrition edinburgh scotland")</f>
        <v>clinical nutrition edinburgh scotland</v>
      </c>
      <c r="J308" s="38">
        <f>COUNTIF(Data!$F$2:$F9917, $I308)</f>
        <v>13</v>
      </c>
      <c r="T308" s="31" t="s">
        <v>46</v>
      </c>
      <c r="U308" s="31" t="s">
        <v>47</v>
      </c>
      <c r="V308" s="32">
        <v>45447.0</v>
      </c>
      <c r="X308" s="31" t="str">
        <f>IFERROR(__xludf.DUMMYFUNCTION("""COMPUTED_VALUE"""),"Healthcare professionals' perceived barriers in providing palliative care in primary care and nursing homes: a survey study.")</f>
        <v>Healthcare professionals' perceived barriers in providing palliative care in primary care and nursing homes: a survey study.</v>
      </c>
      <c r="Y308" s="31" t="str">
        <f>IFERROR(__xludf.DUMMYFUNCTION("""COMPUTED_VALUE"""),"Kochems, Katrin; de Graaf, Everlien; Hesselmann, Ginette M; Ausems, Marieke J E; Teunissen, Saskia C C M")</f>
        <v>Kochems, Katrin; de Graaf, Everlien; Hesselmann, Ginette M; Ausems, Marieke J E; Teunissen, Saskia C C M</v>
      </c>
      <c r="Z308" s="31">
        <f>IFERROR(__xludf.DUMMYFUNCTION("""COMPUTED_VALUE"""),2023.0)</f>
        <v>2023</v>
      </c>
      <c r="AA308" s="31">
        <f>IFERROR(__xludf.DUMMYFUNCTION("""COMPUTED_VALUE"""),1.0)</f>
        <v>1</v>
      </c>
      <c r="AF308" s="31" t="str">
        <f>IFERROR(__xludf.DUMMYFUNCTION("""COMPUTED_VALUE"""),"Multimorbidity of non-communicable diseases in low-income and middle-income countries: a systematic review and meta-analysis.")</f>
        <v>Multimorbidity of non-communicable diseases in low-income and middle-income countries: a systematic review and meta-analysis.</v>
      </c>
      <c r="AG308" s="31" t="str">
        <f>IFERROR(__xludf.DUMMYFUNCTION("""COMPUTED_VALUE"""),"Asogwa, Ogechukwu Augustina; Boateng, Daniel; Marzà-Florensa, Anna; Peters, Sanne; Levitt, Naomi; van Olmen, Josefien; Klipstein-Grobusch, Kerstin")</f>
        <v>Asogwa, Ogechukwu Augustina; Boateng, Daniel; Marzà-Florensa, Anna; Peters, Sanne; Levitt, Naomi; van Olmen, Josefien; Klipstein-Grobusch, Kerstin</v>
      </c>
      <c r="AH308" s="32">
        <f>IFERROR(__xludf.DUMMYFUNCTION("""COMPUTED_VALUE"""),44582.0)</f>
        <v>44582</v>
      </c>
      <c r="AI308" s="31" t="str">
        <f>IFERROR(__xludf.DUMMYFUNCTION("""COMPUTED_VALUE"""),"Reasons and barriers for using a patient portal: survey among patients with diabetes mellitus.")</f>
        <v>Reasons and barriers for using a patient portal: survey among patients with diabetes mellitus.</v>
      </c>
      <c r="AJ308" s="31" t="str">
        <f>IFERROR(__xludf.DUMMYFUNCTION("""COMPUTED_VALUE"""),"Ronda, Maaike C M; Dijkhorst-Oei, Lioe-Ting; Rutten, Guy E H M")</f>
        <v>Ronda, Maaike C M; Dijkhorst-Oei, Lioe-Ting; Rutten, Guy E H M</v>
      </c>
      <c r="AK308" s="32">
        <f>IFERROR(__xludf.DUMMYFUNCTION("""COMPUTED_VALUE"""),41968.0)</f>
        <v>41968</v>
      </c>
      <c r="AL308" s="31" t="str">
        <f>IFERROR(__xludf.DUMMYFUNCTION("""COMPUTED_VALUE"""),"Inflammation Mediates Exercise Effects on Fatigue in Patients with Breast Cancer.")</f>
        <v>Inflammation Mediates Exercise Effects on Fatigue in Patients with Breast Cancer.</v>
      </c>
      <c r="AM308" s="31" t="str">
        <f>IFERROR(__xludf.DUMMYFUNCTION("""COMPUTED_VALUE"""),"Hiensch, Anouk E; Mijwel, Sara; Bargiela, David; Wengström, Yvonne; May, Anne M; Rundqvist, Helene")</f>
        <v>Hiensch, Anouk E; Mijwel, Sara; Bargiela, David; Wengström, Yvonne; May, Anne M; Rundqvist, Helene</v>
      </c>
      <c r="AN308" s="32">
        <f>IFERROR(__xludf.DUMMYFUNCTION("""COMPUTED_VALUE"""),44256.0)</f>
        <v>44256</v>
      </c>
    </row>
    <row r="309">
      <c r="A309" s="32"/>
      <c r="I309" s="31" t="str">
        <f>IFERROR(__xludf.DUMMYFUNCTION("""COMPUTED_VALUE"""),"the journal of rheumatology")</f>
        <v>the journal of rheumatology</v>
      </c>
      <c r="J309" s="38">
        <f>COUNTIF(Data!$F$2:$F9917, $I309)</f>
        <v>2</v>
      </c>
      <c r="T309" s="31" t="s">
        <v>51</v>
      </c>
      <c r="U309" s="31" t="s">
        <v>52</v>
      </c>
      <c r="V309" s="32">
        <v>45447.0</v>
      </c>
      <c r="X309" s="31" t="str">
        <f>IFERROR(__xludf.DUMMYFUNCTION("""COMPUTED_VALUE"""),"What works in engaging communities? Prioritising nutrition interventions in Burkina Faso, Ghana and South Africa.")</f>
        <v>What works in engaging communities? Prioritising nutrition interventions in Burkina Faso, Ghana and South Africa.</v>
      </c>
      <c r="Y309" s="31" t="str">
        <f>IFERROR(__xludf.DUMMYFUNCTION("""COMPUTED_VALUE"""),"Watson, Daniella; Barker, Mary; Boua, P Romuald; Chatio, Samuel; Compaoré, Adelaide; Danis, Marion; Dalaba, Maxwell; Erzse, Agnes; Hardy-Johnson, Polly; Kehoe, Sarah H; Hofman, Karen J; Lawrence, Wendy T; Nonterah, Engelbert A; Sorgho, Hermann; Rwafa-Pone"&amp;"la, Teurai; Ward, Kate A; Tugendhaft, Aviva; ,")</f>
        <v>Watson, Daniella; Barker, Mary; Boua, P Romuald; Chatio, Samuel; Compaoré, Adelaide; Danis, Marion; Dalaba, Maxwell; Erzse, Agnes; Hardy-Johnson, Polly; Kehoe, Sarah H; Hofman, Karen J; Lawrence, Wendy T; Nonterah, Engelbert A; Sorgho, Hermann; Rwafa-Ponela, Teurai; Ward, Kate A; Tugendhaft, Aviva; ,</v>
      </c>
      <c r="Z309" s="31">
        <f>IFERROR(__xludf.DUMMYFUNCTION("""COMPUTED_VALUE"""),2023.0)</f>
        <v>2023</v>
      </c>
      <c r="AA309" s="31">
        <f>IFERROR(__xludf.DUMMYFUNCTION("""COMPUTED_VALUE"""),1.0)</f>
        <v>1</v>
      </c>
      <c r="AF309" s="31" t="str">
        <f>IFERROR(__xludf.DUMMYFUNCTION("""COMPUTED_VALUE"""),"Leading causes of death and high mortality rates in an HIV endemic setting (Kisumu county, Kenya, 2019).")</f>
        <v>Leading causes of death and high mortality rates in an HIV endemic setting (Kisumu county, Kenya, 2019).</v>
      </c>
      <c r="AG309" s="31" t="str">
        <f>IFERROR(__xludf.DUMMYFUNCTION("""COMPUTED_VALUE"""),"Waruru, Anthony; Onyango, Dickens; Nyagah, Lilly; Sila, Alex; Waruiru, Wanjiru; Sava, Solomon; Oele, Elizabeth; Nyakeriga, Emmanuel; Muuo, Sheru W; Kiboye, Jacqueline; Musingila, Paul K; van der Sande, Marianne A B; Massawa, Thaddeus; Rogena, Emily A; DeC"&amp;"ock, Kevin M; Young, Peter W")</f>
        <v>Waruru, Anthony; Onyango, Dickens; Nyagah, Lilly; Sila, Alex; Waruiru, Wanjiru; Sava, Solomon; Oele, Elizabeth; Nyakeriga, Emmanuel; Muuo, Sheru W; Kiboye, Jacqueline; Musingila, Paul K; van der Sande, Marianne A B; Massawa, Thaddeus; Rogena, Emily A; DeCock, Kevin M; Young, Peter W</v>
      </c>
      <c r="AH309" s="32">
        <f>IFERROR(__xludf.DUMMYFUNCTION("""COMPUTED_VALUE"""),44581.0)</f>
        <v>44581</v>
      </c>
      <c r="AI309" s="31" t="str">
        <f>IFERROR(__xludf.DUMMYFUNCTION("""COMPUTED_VALUE"""),"Chronic obstructive pulmonary disease in heart failure: accurate diagnosis and treatment.")</f>
        <v>Chronic obstructive pulmonary disease in heart failure: accurate diagnosis and treatment.</v>
      </c>
      <c r="AJ309" s="31" t="str">
        <f>IFERROR(__xludf.DUMMYFUNCTION("""COMPUTED_VALUE"""),"Güder, Gülmisal; Brenner, Susanne; Störk, Stefan; Hoes, Arno; Rutten, Frans H")</f>
        <v>Güder, Gülmisal; Brenner, Susanne; Störk, Stefan; Hoes, Arno; Rutten, Frans H</v>
      </c>
      <c r="AK309" s="32">
        <f>IFERROR(__xludf.DUMMYFUNCTION("""COMPUTED_VALUE"""),41939.0)</f>
        <v>41939</v>
      </c>
      <c r="AL309" s="31" t="str">
        <f>IFERROR(__xludf.DUMMYFUNCTION("""COMPUTED_VALUE"""),"Therapeutic outcome of early-phase clinical trials in multiple myeloma: a meta-analysis.")</f>
        <v>Therapeutic outcome of early-phase clinical trials in multiple myeloma: a meta-analysis.</v>
      </c>
      <c r="AM309" s="31" t="str">
        <f>IFERROR(__xludf.DUMMYFUNCTION("""COMPUTED_VALUE"""),"van Nieuwenhuijzen, Niels; Frunt, Rowan; May, Anne M; Minnema, Monique C")</f>
        <v>van Nieuwenhuijzen, Niels; Frunt, Rowan; May, Anne M; Minnema, Monique C</v>
      </c>
      <c r="AN309" s="32">
        <f>IFERROR(__xludf.DUMMYFUNCTION("""COMPUTED_VALUE"""),44256.0)</f>
        <v>44256</v>
      </c>
    </row>
    <row r="310">
      <c r="A310" s="32"/>
      <c r="I310" s="31" t="str">
        <f>IFERROR(__xludf.DUMMYFUNCTION("""COMPUTED_VALUE"""),"circulation heart failure")</f>
        <v>circulation heart failure</v>
      </c>
      <c r="J310" s="38">
        <f>COUNTIF(Data!$F$2:$F9917, $I310)</f>
        <v>2</v>
      </c>
      <c r="T310" s="31" t="s">
        <v>57</v>
      </c>
      <c r="U310" s="31" t="s">
        <v>58</v>
      </c>
      <c r="V310" s="32">
        <v>45446.0</v>
      </c>
      <c r="X310" s="31" t="str">
        <f>IFERROR(__xludf.DUMMYFUNCTION("""COMPUTED_VALUE"""),"Fetal fraction of cell-free DNA in noninvasive prenatal testing and adverse pregnancy outcomes: a nationwide retrospective cohort study of 56,110 pregnant women.")</f>
        <v>Fetal fraction of cell-free DNA in noninvasive prenatal testing and adverse pregnancy outcomes: a nationwide retrospective cohort study of 56,110 pregnant women.</v>
      </c>
      <c r="Y310" s="31" t="str">
        <f>IFERROR(__xludf.DUMMYFUNCTION("""COMPUTED_VALUE"""),"Becking, Ellis C; Scheffer, Peter G; Henrichs, Jens; Bax, Caroline J; Crombag, Neeltje M T H; Weiss, Marjan M; Macville, Merryn V E; Van Opstal, Diane; Boon, Elles M J; Sistermans, Erik A; Henneman, Lidewij; Schuit, Ewoud; Bekker, Mireille N")</f>
        <v>Becking, Ellis C; Scheffer, Peter G; Henrichs, Jens; Bax, Caroline J; Crombag, Neeltje M T H; Weiss, Marjan M; Macville, Merryn V E; Van Opstal, Diane; Boon, Elles M J; Sistermans, Erik A; Henneman, Lidewij; Schuit, Ewoud; Bekker, Mireille N</v>
      </c>
      <c r="Z310" s="31">
        <f>IFERROR(__xludf.DUMMYFUNCTION("""COMPUTED_VALUE"""),2023.0)</f>
        <v>2023</v>
      </c>
      <c r="AA310" s="31">
        <f>IFERROR(__xludf.DUMMYFUNCTION("""COMPUTED_VALUE"""),1.0)</f>
        <v>1</v>
      </c>
      <c r="AF310" s="31" t="str">
        <f>IFERROR(__xludf.DUMMYFUNCTION("""COMPUTED_VALUE"""),"Alcohol-attributable burden of cancer in Argentina.")</f>
        <v>Alcohol-attributable burden of cancer in Argentina.</v>
      </c>
      <c r="AG310" s="31" t="str">
        <f>IFERROR(__xludf.DUMMYFUNCTION("""COMPUTED_VALUE"""),"van de Luitgaarden, I A T; Bardach, A E; Espinola, N; Schrieks, I C; Grobbee, D E; Beulens, J W J")</f>
        <v>van de Luitgaarden, I A T; Bardach, A E; Espinola, N; Schrieks, I C; Grobbee, D E; Beulens, J W J</v>
      </c>
      <c r="AH310" s="32">
        <f>IFERROR(__xludf.DUMMYFUNCTION("""COMPUTED_VALUE"""),44579.0)</f>
        <v>44579</v>
      </c>
      <c r="AI310" s="31" t="str">
        <f>IFERROR(__xludf.DUMMYFUNCTION("""COMPUTED_VALUE"""),"Diabetes quality management in Dutch care groups and outpatient clinics: a cross-sectional study.")</f>
        <v>Diabetes quality management in Dutch care groups and outpatient clinics: a cross-sectional study.</v>
      </c>
      <c r="AJ310" s="31" t="str">
        <f>IFERROR(__xludf.DUMMYFUNCTION("""COMPUTED_VALUE"""),"Campmans-Kuijpers, Marjo J E; Baan, Caroline A; Lemmens, Lidwien C; Rutten, Guy E H M")</f>
        <v>Campmans-Kuijpers, Marjo J E; Baan, Caroline A; Lemmens, Lidwien C; Rutten, Guy E H M</v>
      </c>
      <c r="AK310" s="32">
        <f>IFERROR(__xludf.DUMMYFUNCTION("""COMPUTED_VALUE"""),41858.0)</f>
        <v>41858</v>
      </c>
      <c r="AL310" s="31" t="str">
        <f>IFERROR(__xludf.DUMMYFUNCTION("""COMPUTED_VALUE"""),"O-serotype distribution of Escherichia coli bloodstream infection isolates in critically ill patients in The Netherlands.")</f>
        <v>O-serotype distribution of Escherichia coli bloodstream infection isolates in critically ill patients in The Netherlands.</v>
      </c>
      <c r="AM310" s="31" t="str">
        <f>IFERROR(__xludf.DUMMYFUNCTION("""COMPUTED_VALUE"""),"Verboom, D M; Varkila, M R J; Morrow, B; Davies, T; Ibarra de Palacios, P; Poolman, J; Hermans, P W M; Dudley, E G; Roberts, E; Cremer, O L; Bonten, M J M")</f>
        <v>Verboom, D M; Varkila, M R J; Morrow, B; Davies, T; Ibarra de Palacios, P; Poolman, J; Hermans, P W M; Dudley, E G; Roberts, E; Cremer, O L; Bonten, M J M</v>
      </c>
      <c r="AN310" s="32">
        <f>IFERROR(__xludf.DUMMYFUNCTION("""COMPUTED_VALUE"""),44252.0)</f>
        <v>44252</v>
      </c>
    </row>
    <row r="311">
      <c r="A311" s="32"/>
      <c r="I311" s="31" t="str">
        <f>IFERROR(__xludf.DUMMYFUNCTION("""COMPUTED_VALUE"""),"virology journal")</f>
        <v>virology journal</v>
      </c>
      <c r="J311" s="38">
        <f>COUNTIF(Data!$F$2:$F9917, $I311)</f>
        <v>1</v>
      </c>
      <c r="T311" s="31" t="s">
        <v>63</v>
      </c>
      <c r="U311" s="31" t="s">
        <v>64</v>
      </c>
      <c r="V311" s="32">
        <v>45446.0</v>
      </c>
      <c r="X311" s="31" t="str">
        <f>IFERROR(__xludf.DUMMYFUNCTION("""COMPUTED_VALUE"""),"Outpatient respiratory syncytial virus infections and novel preventive interventions.")</f>
        <v>Outpatient respiratory syncytial virus infections and novel preventive interventions.</v>
      </c>
      <c r="Y311" s="31" t="str">
        <f>IFERROR(__xludf.DUMMYFUNCTION("""COMPUTED_VALUE"""),"Hak, Sarah F; Venekamp, Roderick P; Wildenbeest, Joanne G; Bont, Louis J")</f>
        <v>Hak, Sarah F; Venekamp, Roderick P; Wildenbeest, Joanne G; Bont, Louis J</v>
      </c>
      <c r="Z311" s="31">
        <f>IFERROR(__xludf.DUMMYFUNCTION("""COMPUTED_VALUE"""),2023.0)</f>
        <v>2023</v>
      </c>
      <c r="AA311" s="31">
        <f>IFERROR(__xludf.DUMMYFUNCTION("""COMPUTED_VALUE"""),1.0)</f>
        <v>1</v>
      </c>
      <c r="AF311" s="31" t="str">
        <f>IFERROR(__xludf.DUMMYFUNCTION("""COMPUTED_VALUE"""),"Impaired JAK-STAT pathway signaling in leukocytes of the frail elderly.")</f>
        <v>Impaired JAK-STAT pathway signaling in leukocytes of the frail elderly.</v>
      </c>
      <c r="AG311" s="31" t="str">
        <f>IFERROR(__xludf.DUMMYFUNCTION("""COMPUTED_VALUE"""),"Samson, Leonard Daniël; Engelfriet, Peter; Verschuren, W M Monique; Picavet, H Susan J; Ferreira, José A; de Zeeuw-Brouwer, Mary-Lène; Buisman, Anne-Marie; Boots, A Mieke H")</f>
        <v>Samson, Leonard Daniël; Engelfriet, Peter; Verschuren, W M Monique; Picavet, H Susan J; Ferreira, José A; de Zeeuw-Brouwer, Mary-Lène; Buisman, Anne-Marie; Boots, A Mieke H</v>
      </c>
      <c r="AH311" s="32">
        <f>IFERROR(__xludf.DUMMYFUNCTION("""COMPUTED_VALUE"""),44578.0)</f>
        <v>44578</v>
      </c>
      <c r="AI311" s="31" t="str">
        <f>IFERROR(__xludf.DUMMYFUNCTION("""COMPUTED_VALUE"""),"Exploring patient safety culture in primary care.")</f>
        <v>Exploring patient safety culture in primary care.</v>
      </c>
      <c r="AJ311" s="31" t="str">
        <f>IFERROR(__xludf.DUMMYFUNCTION("""COMPUTED_VALUE"""),"Verbakel, Natasha J; Van Melle, Marije; Langelaan, Maaike; Verheij, Theo J M; Wagner, Cordula; Zwart, Dorien L M")</f>
        <v>Verbakel, Natasha J; Van Melle, Marije; Langelaan, Maaike; Verheij, Theo J M; Wagner, Cordula; Zwart, Dorien L M</v>
      </c>
      <c r="AK311" s="32">
        <f>IFERROR(__xludf.DUMMYFUNCTION("""COMPUTED_VALUE"""),41852.0)</f>
        <v>41852</v>
      </c>
      <c r="AL311" s="31" t="str">
        <f>IFERROR(__xludf.DUMMYFUNCTION("""COMPUTED_VALUE"""),"Temporal trends in stroke incidence and case-fatality rates in Arcadia, Greece: A sequential, prospective, population-based study.")</f>
        <v>Temporal trends in stroke incidence and case-fatality rates in Arcadia, Greece: A sequential, prospective, population-based study.</v>
      </c>
      <c r="AM311" s="31" t="str">
        <f>IFERROR(__xludf.DUMMYFUNCTION("""COMPUTED_VALUE"""),"Karantali, Eleni; Vemmos, Konstantinos; Tsampalas, Evangelos; Xynos, Konstantinos; Karachalia, Persefoni; Lambrou, Dimitrios; Angeloglou, Stella; Kazakou, Maria; Karagianni, Aikaterini; Aravantinou-Fatorou, Konstantina; Karakatsani, Eleftheria; Bots, Mich"&amp;"iel L; Karamatzianni, Georgia; Bellos, Stavros; Ntiloudis, Romanos; Lypiridou, Maria; Gamvoula, Anastasia; Georgiopoulos, Georgios; Ajdini, Erold; Gatselis, Nikolaos; Makaritsis, Konstantinos; Korompoki, Eleni; Ntaios, George")</f>
        <v>Karantali, Eleni; Vemmos, Konstantinos; Tsampalas, Evangelos; Xynos, Konstantinos; Karachalia, Persefoni; Lambrou, Dimitrios; Angeloglou, Stella; Kazakou, Maria; Karagianni, Aikaterini; Aravantinou-Fatorou, Konstantina; Karakatsani, Eleftheria; Bots, Michiel L; Karamatzianni, Georgia; Bellos, Stavros; Ntiloudis, Romanos; Lypiridou, Maria; Gamvoula, Anastasia; Georgiopoulos, Georgios; Ajdini, Erold; Gatselis, Nikolaos; Makaritsis, Konstantinos; Korompoki, Eleni; Ntaios, George</v>
      </c>
      <c r="AN311" s="32">
        <f>IFERROR(__xludf.DUMMYFUNCTION("""COMPUTED_VALUE"""),44251.0)</f>
        <v>44251</v>
      </c>
    </row>
    <row r="312">
      <c r="A312" s="32"/>
      <c r="I312" s="31" t="str">
        <f>IFERROR(__xludf.DUMMYFUNCTION("""COMPUTED_VALUE"""),"cerebral circulation cognition and behavior")</f>
        <v>cerebral circulation cognition and behavior</v>
      </c>
      <c r="J312" s="38">
        <f>COUNTIF(Data!$F$2:$F9917, $I312)</f>
        <v>2</v>
      </c>
      <c r="T312" s="31" t="s">
        <v>24928</v>
      </c>
      <c r="U312" s="31" t="s">
        <v>24929</v>
      </c>
      <c r="V312" s="32">
        <v>45444.0</v>
      </c>
      <c r="X312" s="31" t="str">
        <f>IFERROR(__xludf.DUMMYFUNCTION("""COMPUTED_VALUE"""),"Multiple imputation of incomplete multilevel data using Heckman selection models.")</f>
        <v>Multiple imputation of incomplete multilevel data using Heckman selection models.</v>
      </c>
      <c r="Y312" s="31" t="str">
        <f>IFERROR(__xludf.DUMMYFUNCTION("""COMPUTED_VALUE"""),"Muñoz, Johanna; Efthimiou, Orestis; Audigier, Vincent; de Jong, Valentijn M T; Debray, Thomas P A")</f>
        <v>Muñoz, Johanna; Efthimiou, Orestis; Audigier, Vincent; de Jong, Valentijn M T; Debray, Thomas P A</v>
      </c>
      <c r="Z312" s="31">
        <f>IFERROR(__xludf.DUMMYFUNCTION("""COMPUTED_VALUE"""),2023.0)</f>
        <v>2023</v>
      </c>
      <c r="AA312" s="31">
        <f>IFERROR(__xludf.DUMMYFUNCTION("""COMPUTED_VALUE"""),1.0)</f>
        <v>1</v>
      </c>
      <c r="AF312" s="31" t="str">
        <f>IFERROR(__xludf.DUMMYFUNCTION("""COMPUTED_VALUE"""),"Nudging customers towards healthier food and beverage purchases in a real-life online supermarket: a multi-arm randomized controlled trial.")</f>
        <v>Nudging customers towards healthier food and beverage purchases in a real-life online supermarket: a multi-arm randomized controlled trial.</v>
      </c>
      <c r="AG312" s="31" t="str">
        <f>IFERROR(__xludf.DUMMYFUNCTION("""COMPUTED_VALUE"""),"Stuber, Josine M; Lakerveld, Jeroen; Kievitsbosch, Loes W; Mackenbach, Joreintje D; Beulens, Joline W J")</f>
        <v>Stuber, Josine M; Lakerveld, Jeroen; Kievitsbosch, Loes W; Mackenbach, Joreintje D; Beulens, Joline W J</v>
      </c>
      <c r="AH312" s="32">
        <f>IFERROR(__xludf.DUMMYFUNCTION("""COMPUTED_VALUE"""),44578.0)</f>
        <v>44578</v>
      </c>
      <c r="AI312" s="31" t="str">
        <f>IFERROR(__xludf.DUMMYFUNCTION("""COMPUTED_VALUE"""),"Prevalence of unrecognized heart failure in older persons with shortness of breath on exertion.")</f>
        <v>Prevalence of unrecognized heart failure in older persons with shortness of breath on exertion.</v>
      </c>
      <c r="AJ312" s="31" t="str">
        <f>IFERROR(__xludf.DUMMYFUNCTION("""COMPUTED_VALUE"""),"van Riet, Evelien E S; Hoes, Arno W; Limburg, Alexander; Landman, Marcel A J; van der Hoeven, Henk; Rutten, Frans H")</f>
        <v>van Riet, Evelien E S; Hoes, Arno W; Limburg, Alexander; Landman, Marcel A J; van der Hoeven, Henk; Rutten, Frans H</v>
      </c>
      <c r="AK312" s="32">
        <f>IFERROR(__xludf.DUMMYFUNCTION("""COMPUTED_VALUE"""),41785.0)</f>
        <v>41785</v>
      </c>
      <c r="AL312" s="31" t="str">
        <f>IFERROR(__xludf.DUMMYFUNCTION("""COMPUTED_VALUE"""),"Development and Validation of Nomograms to Predict Local, Regional, and Distant Recurrence in Patients With Thin (T1) Melanomas.")</f>
        <v>Development and Validation of Nomograms to Predict Local, Regional, and Distant Recurrence in Patients With Thin (T1) Melanomas.</v>
      </c>
      <c r="AM312" s="31" t="str">
        <f>IFERROR(__xludf.DUMMYFUNCTION("""COMPUTED_VALUE"""),"El Sharouni, Mary-Ann; Ahmed, Tasnia; Varey, Alexander H R; Elias, Sjoerd G; Witkamp, Arjen J; Sigurdsson, Vigfús; Suijkerbuijk, Karijn P M; van Diest, Paul J; Scolyer, Richard A; van Gils, Carla H; Thompson, John F; Blokx, Willeke A M; Lo, Serigne N")</f>
        <v>El Sharouni, Mary-Ann; Ahmed, Tasnia; Varey, Alexander H R; Elias, Sjoerd G; Witkamp, Arjen J; Sigurdsson, Vigfús; Suijkerbuijk, Karijn P M; van Diest, Paul J; Scolyer, Richard A; van Gils, Carla H; Thompson, John F; Blokx, Willeke A M; Lo, Serigne N</v>
      </c>
      <c r="AN312" s="32">
        <f>IFERROR(__xludf.DUMMYFUNCTION("""COMPUTED_VALUE"""),44245.0)</f>
        <v>44245</v>
      </c>
    </row>
    <row r="313">
      <c r="A313" s="32"/>
      <c r="I313" s="31" t="str">
        <f>IFERROR(__xludf.DUMMYFUNCTION("""COMPUTED_VALUE"""),"european heart journal quality of care clinical outcomes")</f>
        <v>european heart journal quality of care clinical outcomes</v>
      </c>
      <c r="J313" s="38">
        <f>COUNTIF(Data!$F$2:$F9917, $I313)</f>
        <v>4</v>
      </c>
      <c r="T313" s="31" t="s">
        <v>25622</v>
      </c>
      <c r="U313" s="31" t="s">
        <v>25623</v>
      </c>
      <c r="V313" s="32">
        <v>45444.0</v>
      </c>
      <c r="X313" s="31"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Y313" s="31"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Z313" s="31">
        <f>IFERROR(__xludf.DUMMYFUNCTION("""COMPUTED_VALUE"""),2023.0)</f>
        <v>2023</v>
      </c>
      <c r="AA313" s="31">
        <f>IFERROR(__xludf.DUMMYFUNCTION("""COMPUTED_VALUE"""),1.0)</f>
        <v>1</v>
      </c>
      <c r="AF313" s="31" t="str">
        <f>IFERROR(__xludf.DUMMYFUNCTION("""COMPUTED_VALUE"""),"The role of material and psychosocial resources in explaining socioeconomic inequalities in diet: A structural equation modelling approach.")</f>
        <v>The role of material and psychosocial resources in explaining socioeconomic inequalities in diet: A structural equation modelling approach.</v>
      </c>
      <c r="AG313" s="31" t="str">
        <f>IFERROR(__xludf.DUMMYFUNCTION("""COMPUTED_VALUE"""),"Hoenink, Jody C; Waterlander, Wilma; Beulens, Joline W J; Mackenbach, Joreintje D")</f>
        <v>Hoenink, Jody C; Waterlander, Wilma; Beulens, Joline W J; Mackenbach, Joreintje D</v>
      </c>
      <c r="AH313" s="32">
        <f>IFERROR(__xludf.DUMMYFUNCTION("""COMPUTED_VALUE"""),44577.0)</f>
        <v>44577</v>
      </c>
      <c r="AI313" s="31" t="str">
        <f>IFERROR(__xludf.DUMMYFUNCTION("""COMPUTED_VALUE"""),"Towards tailoring of self-management for patients with chronic heart failure or chronic obstructive pulmonary disease: a protocol for an individual patient data meta-analysis.")</f>
        <v>Towards tailoring of self-management for patients with chronic heart failure or chronic obstructive pulmonary disease: a protocol for an individual patient data meta-analysis.</v>
      </c>
      <c r="AJ313" s="31" t="str">
        <f>IFERROR(__xludf.DUMMYFUNCTION("""COMPUTED_VALUE"""),"Jonkman, Nini H; Westland, Heleen; Trappenburg, Jaap C A; Groenwold, Rolf H H; Effing-Tijdhof, Tanja W; Troosters, Thierry; van der Palen, Job; Bourbeau, Jean; Jaarsma, Tiny; Hoes, Arno W; Schuurmans, Marieke J")</f>
        <v>Jonkman, Nini H; Westland, Heleen; Trappenburg, Jaap C A; Groenwold, Rolf H H; Effing-Tijdhof, Tanja W; Troosters, Thierry; van der Palen, Job; Bourbeau, Jean; Jaarsma, Tiny; Hoes, Arno W; Schuurmans, Marieke J</v>
      </c>
      <c r="AK313" s="32">
        <f>IFERROR(__xludf.DUMMYFUNCTION("""COMPUTED_VALUE"""),41782.0)</f>
        <v>41782</v>
      </c>
      <c r="AL313" s="31" t="str">
        <f>IFERROR(__xludf.DUMMYFUNCTION("""COMPUTED_VALUE"""),"The Prospective Dutch Colorectal Cancer (PLCRC) cohort: real-world data facilitating research and clinical care.")</f>
        <v>The Prospective Dutch Colorectal Cancer (PLCRC) cohort: real-world data facilitating research and clinical care.</v>
      </c>
      <c r="AM313" s="31" t="str">
        <f>IFERROR(__xludf.DUMMYFUNCTION("""COMPUTED_VALUE"""),"Derksen, Jeroen W G; Vink, Geraldine R; Elferink, Marloes A G; Roodhart, Jeanine M L; Verkooijen, Helena M; van Grevenstein, Wilhelmina M U; Siersema, Peter D; May, Anne M; Koopman, Miriam; ,")</f>
        <v>Derksen, Jeroen W G; Vink, Geraldine R; Elferink, Marloes A G; Roodhart, Jeanine M L; Verkooijen, Helena M; van Grevenstein, Wilhelmina M U; Siersema, Peter D; May, Anne M; Koopman, Miriam; ,</v>
      </c>
      <c r="AN313" s="32">
        <f>IFERROR(__xludf.DUMMYFUNCTION("""COMPUTED_VALUE"""),44243.0)</f>
        <v>44243</v>
      </c>
    </row>
    <row r="314">
      <c r="A314" s="32"/>
      <c r="I314" s="31" t="str">
        <f>IFERROR(__xludf.DUMMYFUNCTION("""COMPUTED_VALUE"""),"communications medicine")</f>
        <v>communications medicine</v>
      </c>
      <c r="J314" s="38">
        <f>COUNTIF(Data!$F$2:$F9917, $I314)</f>
        <v>3</v>
      </c>
      <c r="T314" s="31" t="s">
        <v>25904</v>
      </c>
      <c r="U314" s="31" t="s">
        <v>25905</v>
      </c>
      <c r="V314" s="32">
        <v>45444.0</v>
      </c>
      <c r="X314" s="31" t="str">
        <f>IFERROR(__xludf.DUMMYFUNCTION("""COMPUTED_VALUE"""),"Opportunities and Challenges for Decentralized Clinical Trial Approaches: European Health Technology Assessment Perspective.")</f>
        <v>Opportunities and Challenges for Decentralized Clinical Trial Approaches: European Health Technology Assessment Perspective.</v>
      </c>
      <c r="Y314" s="31" t="str">
        <f>IFERROR(__xludf.DUMMYFUNCTION("""COMPUTED_VALUE"""),"de Jong, Amos J; Shahid, Nadi; Zuidgeest, Mira G P; Santa-Ana-Tellez, Yared; Hogervorst, Milou; Goettsch, Wim; Traore, Hamidou; de Boer, Anthonius; Gardarsdottir, Helga; ,")</f>
        <v>de Jong, Amos J; Shahid, Nadi; Zuidgeest, Mira G P; Santa-Ana-Tellez, Yared; Hogervorst, Milou; Goettsch, Wim; Traore, Hamidou; de Boer, Anthonius; Gardarsdottir, Helga; ,</v>
      </c>
      <c r="Z314" s="31">
        <f>IFERROR(__xludf.DUMMYFUNCTION("""COMPUTED_VALUE"""),2023.0)</f>
        <v>2023</v>
      </c>
      <c r="AA314" s="31">
        <f>IFERROR(__xludf.DUMMYFUNCTION("""COMPUTED_VALUE"""),1.0)</f>
        <v>1</v>
      </c>
      <c r="AF314" s="31" t="str">
        <f>IFERROR(__xludf.DUMMYFUNCTION("""COMPUTED_VALUE"""),"Better COVID-19 Intensive Care Unit survival in females, independent of age, disease severity, comorbidities, and treatment.")</f>
        <v>Better COVID-19 Intensive Care Unit survival in females, independent of age, disease severity, comorbidities, and treatment.</v>
      </c>
      <c r="AG314" s="31" t="str">
        <f>IFERROR(__xludf.DUMMYFUNCTION("""COMPUTED_VALUE"""),"Meijs, Daniek A M; van Bussel, Bas C T; Stessel, Björn; Mehagnoul-Schipper, Jannet; Hana, Anisa; Scheeren, Clarissa I E; Peters, Sanne A E; van Mook, Walther N K A; van der Horst, Iwan C C; Marx, Gernot; Mesotten, Dieter; Ghossein-Doha, Chahinda; ,")</f>
        <v>Meijs, Daniek A M; van Bussel, Bas C T; Stessel, Björn; Mehagnoul-Schipper, Jannet; Hana, Anisa; Scheeren, Clarissa I E; Peters, Sanne A E; van Mook, Walther N K A; van der Horst, Iwan C C; Marx, Gernot; Mesotten, Dieter; Ghossein-Doha, Chahinda; ,</v>
      </c>
      <c r="AH314" s="32">
        <f>IFERROR(__xludf.DUMMYFUNCTION("""COMPUTED_VALUE"""),44575.0)</f>
        <v>44575</v>
      </c>
      <c r="AI314" s="31" t="str">
        <f>IFERROR(__xludf.DUMMYFUNCTION("""COMPUTED_VALUE"""),"Effect of early multifactorial therapy compared with routine care on microvascular outcomes at 5 years in people with screen-detected diabetes: a randomized controlled trial: the ADDITION-Europe Study.")</f>
        <v>Effect of early multifactorial therapy compared with routine care on microvascular outcomes at 5 years in people with screen-detected diabetes: a randomized controlled trial: the ADDITION-Europe Study.</v>
      </c>
      <c r="AJ314" s="31" t="str">
        <f>IFERROR(__xludf.DUMMYFUNCTION("""COMPUTED_VALUE"""),"Sandbæk, Annelli; Griffin, Simon J; Sharp, Stephen J; Simmons, Rebecca K; Borch-Johnsen, Knut; Rutten, Guy E H M; van den Donk, Maureen; Wareham, Nicholas J; Lauritzen, Torsten; Davies, Melanie J; Khunti, Kamlesh")</f>
        <v>Sandbæk, Annelli; Griffin, Simon J; Sharp, Stephen J; Simmons, Rebecca K; Borch-Johnsen, Knut; Rutten, Guy E H M; van den Donk, Maureen; Wareham, Nicholas J; Lauritzen, Torsten; Davies, Melanie J; Khunti, Kamlesh</v>
      </c>
      <c r="AK314" s="32">
        <f>IFERROR(__xludf.DUMMYFUNCTION("""COMPUTED_VALUE"""),41760.0)</f>
        <v>41760</v>
      </c>
      <c r="AL314" s="31" t="str">
        <f>IFERROR(__xludf.DUMMYFUNCTION("""COMPUTED_VALUE"""),"Medication review interventions to reduce hospital readmissions in older people.")</f>
        <v>Medication review interventions to reduce hospital readmissions in older people.</v>
      </c>
      <c r="AM314" s="31" t="str">
        <f>IFERROR(__xludf.DUMMYFUNCTION("""COMPUTED_VALUE"""),"Dautzenberg, Lauren; Bretagne, Lisa; Koek, Huiberdina L; Tsokani, Sofia; Zevgiti, Stella; Rodondi, Nicolas; Scholten, Rob J P M; Rutjes, Anne W; Di Nisio, Marcello; Raijmann, Renee C M A; Emmelot-Vonk, Marielle; Jennings, Emma L M; Dalleur, Olivia; Mavrid"&amp;"is, Dimitris; Knol, Wilma")</f>
        <v>Dautzenberg, Lauren; Bretagne, Lisa; Koek, Huiberdina L; Tsokani, Sofia; Zevgiti, Stella; Rodondi, Nicolas; Scholten, Rob J P M; Rutjes, Anne W; Di Nisio, Marcello; Raijmann, Renee C M A; Emmelot-Vonk, Marielle; Jennings, Emma L M; Dalleur, Olivia; Mavridis, Dimitris; Knol, Wilma</v>
      </c>
      <c r="AN314" s="32">
        <f>IFERROR(__xludf.DUMMYFUNCTION("""COMPUTED_VALUE"""),44239.0)</f>
        <v>44239</v>
      </c>
    </row>
    <row r="315">
      <c r="A315" s="32"/>
      <c r="I315" s="31" t="str">
        <f>IFERROR(__xludf.DUMMYFUNCTION("""COMPUTED_VALUE"""),"the new england journal of medicine")</f>
        <v>the new england journal of medicine</v>
      </c>
      <c r="J315" s="38">
        <f>COUNTIF(Data!$F$2:$F9917, $I315)</f>
        <v>9</v>
      </c>
      <c r="T315" s="31" t="s">
        <v>69</v>
      </c>
      <c r="U315" s="31" t="s">
        <v>70</v>
      </c>
      <c r="V315" s="32">
        <v>45443.0</v>
      </c>
      <c r="X315" s="31" t="str">
        <f>IFERROR(__xludf.DUMMYFUNCTION("""COMPUTED_VALUE"""),"Estimated causal effects of common respiratory infections on cardiovascular risk: a meta-analysis.")</f>
        <v>Estimated causal effects of common respiratory infections on cardiovascular risk: a meta-analysis.</v>
      </c>
      <c r="Y315" s="31"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Z315" s="31">
        <f>IFERROR(__xludf.DUMMYFUNCTION("""COMPUTED_VALUE"""),2023.0)</f>
        <v>2023</v>
      </c>
      <c r="AA315" s="31">
        <f>IFERROR(__xludf.DUMMYFUNCTION("""COMPUTED_VALUE"""),1.0)</f>
        <v>1</v>
      </c>
      <c r="AF315" s="31" t="str">
        <f>IFERROR(__xludf.DUMMYFUNCTION("""COMPUTED_VALUE"""),"Maternal near-miss and mortality associated with hypertensive disorders of pregnancy remote from term: a multicenter observational study in Ghana.")</f>
        <v>Maternal near-miss and mortality associated with hypertensive disorders of pregnancy remote from term: a multicenter observational study in Ghana.</v>
      </c>
      <c r="AG315" s="31" t="str">
        <f>IFERROR(__xludf.DUMMYFUNCTION("""COMPUTED_VALUE"""),"Drechsel, Katja C E; Adu-Bonsaffoh, Kwame; Olde Loohuis, Klaartje M; Srofenyoh, Emmanuel K; Boateng, Daniel; Browne, Joyce L; ,")</f>
        <v>Drechsel, Katja C E; Adu-Bonsaffoh, Kwame; Olde Loohuis, Klaartje M; Srofenyoh, Emmanuel K; Boateng, Daniel; Browne, Joyce L; ,</v>
      </c>
      <c r="AH315" s="32">
        <f>IFERROR(__xludf.DUMMYFUNCTION("""COMPUTED_VALUE"""),44573.0)</f>
        <v>44573</v>
      </c>
      <c r="AI315" s="31" t="str">
        <f>IFERROR(__xludf.DUMMYFUNCTION("""COMPUTED_VALUE"""),"Pneumococcal conjugate vaccines for preventing otitis media.")</f>
        <v>Pneumococcal conjugate vaccines for preventing otitis media.</v>
      </c>
      <c r="AJ315" s="31" t="str">
        <f>IFERROR(__xludf.DUMMYFUNCTION("""COMPUTED_VALUE"""),"Fortanier, Alexandre C; Venekamp, Roderick P; Boonacker, Chantal W B; Hak, Eelko; Schilder, Anne G M; Sanders, Elisabeth A M; Damoiseaux, Roger A M J")</f>
        <v>Fortanier, Alexandre C; Venekamp, Roderick P; Boonacker, Chantal W B; Hak, Eelko; Schilder, Anne G M; Sanders, Elisabeth A M; Damoiseaux, Roger A M J</v>
      </c>
      <c r="AK315" s="32">
        <f>IFERROR(__xludf.DUMMYFUNCTION("""COMPUTED_VALUE"""),41731.0)</f>
        <v>41731</v>
      </c>
      <c r="AL315" s="31" t="str">
        <f>IFERROR(__xludf.DUMMYFUNCTION("""COMPUTED_VALUE"""),"Comprehensive toxicity risk profiling in radiation therapy for head and neck cancer: A new concept for individually optimised treatment.")</f>
        <v>Comprehensive toxicity risk profiling in radiation therapy for head and neck cancer: A new concept for individually optimised treatment.</v>
      </c>
      <c r="AM315" s="31" t="str">
        <f>IFERROR(__xludf.DUMMYFUNCTION("""COMPUTED_VALUE"""),"Van den Bosch, Lisa; van der Schaaf, Arjen; van der Laan, Hans Paul; Hoebers, Frank J P; Wijers, Oda B; van den Hoek, Johanna G M; Moons, Karel G M; Reitsma, Johannes B; Steenbakkers, Roel J H M; Schuit, Ewoud; Langendijk, Johannes A")</f>
        <v>Van den Bosch, Lisa; van der Schaaf, Arjen; van der Laan, Hans Paul; Hoebers, Frank J P; Wijers, Oda B; van den Hoek, Johanna G M; Moons, Karel G M; Reitsma, Johannes B; Steenbakkers, Roel J H M; Schuit, Ewoud; Langendijk, Johannes A</v>
      </c>
      <c r="AN315" s="32">
        <f>IFERROR(__xludf.DUMMYFUNCTION("""COMPUTED_VALUE"""),44230.0)</f>
        <v>44230</v>
      </c>
    </row>
    <row r="316">
      <c r="A316" s="32"/>
      <c r="I316" s="31" t="str">
        <f>IFERROR(__xludf.DUMMYFUNCTION("""COMPUTED_VALUE"""),"cancer medicine")</f>
        <v>cancer medicine</v>
      </c>
      <c r="J316" s="38">
        <f>COUNTIF(Data!$F$2:$F9917, $I316)</f>
        <v>6</v>
      </c>
      <c r="T316" s="31" t="s">
        <v>74</v>
      </c>
      <c r="U316" s="31" t="s">
        <v>75</v>
      </c>
      <c r="V316" s="32">
        <v>45443.0</v>
      </c>
      <c r="X316" s="31" t="str">
        <f>IFERROR(__xludf.DUMMYFUNCTION("""COMPUTED_VALUE"""),"Association of mild kidney dysfunction with diastolic dysfunction and heart failure with preserved ejection fraction.")</f>
        <v>Association of mild kidney dysfunction with diastolic dysfunction and heart failure with preserved ejection fraction.</v>
      </c>
      <c r="Y316" s="31" t="str">
        <f>IFERROR(__xludf.DUMMYFUNCTION("""COMPUTED_VALUE"""),"Vernooij, Robin W M; van Ommen, Anne-Mar L N; Valstar, Gideon B; Cramer, Maarten Jan; Teske, Arco J; Menken, Roxana; Hofstra, Leo; Rutten, Frans H; Bots, Michiel L; den Ruijter, Hester M; Verhaar, Marianne C")</f>
        <v>Vernooij, Robin W M; van Ommen, Anne-Mar L N; Valstar, Gideon B; Cramer, Maarten Jan; Teske, Arco J; Menken, Roxana; Hofstra, Leo; Rutten, Frans H; Bots, Michiel L; den Ruijter, Hester M; Verhaar, Marianne C</v>
      </c>
      <c r="Z316" s="31">
        <f>IFERROR(__xludf.DUMMYFUNCTION("""COMPUTED_VALUE"""),2023.0)</f>
        <v>2023</v>
      </c>
      <c r="AA316" s="31">
        <f>IFERROR(__xludf.DUMMYFUNCTION("""COMPUTED_VALUE"""),1.0)</f>
        <v>1</v>
      </c>
      <c r="AF316" s="31" t="str">
        <f>IFERROR(__xludf.DUMMYFUNCTION("""COMPUTED_VALUE"""),"Breastfeeding Is Associated With a Reduced Maternal Cardiovascular Risk: Systematic Review and Meta-Analysis Involving Data From 8 Studies and 1 192 700 Parous Women.")</f>
        <v>Breastfeeding Is Associated With a Reduced Maternal Cardiovascular Risk: Systematic Review and Meta-Analysis Involving Data From 8 Studies and 1 192 700 Parous Women.</v>
      </c>
      <c r="AG316" s="31" t="str">
        <f>IFERROR(__xludf.DUMMYFUNCTION("""COMPUTED_VALUE"""),"Tschiderer, Lena; Seekircher, Lisa; Kunutsor, Setor K; Peters, Sanne A E; O'Keeffe, Linda M; Willeit, Peter")</f>
        <v>Tschiderer, Lena; Seekircher, Lisa; Kunutsor, Setor K; Peters, Sanne A E; O'Keeffe, Linda M; Willeit, Peter</v>
      </c>
      <c r="AH316" s="32">
        <f>IFERROR(__xludf.DUMMYFUNCTION("""COMPUTED_VALUE"""),44572.0)</f>
        <v>44572</v>
      </c>
      <c r="AI316" s="31" t="str">
        <f>IFERROR(__xludf.DUMMYFUNCTION("""COMPUTED_VALUE"""),"Rapid Systematic Review of the Epley Maneuver for Treating Posterior Canal Benign Paroxysmal Positional Vertigo.")</f>
        <v>Rapid Systematic Review of the Epley Maneuver for Treating Posterior Canal Benign Paroxysmal Positional Vertigo.</v>
      </c>
      <c r="AJ316" s="31" t="str">
        <f>IFERROR(__xludf.DUMMYFUNCTION("""COMPUTED_VALUE"""),"van Duijn, Jeroen G; Isfordink, Liz M; Nij Bijvank, Jenny A; Stapper, Carlijne W; van Vuren, Annelies J; Wegner, Inge; Kortekaas, Marlous F; Grolman, Wilko")</f>
        <v>van Duijn, Jeroen G; Isfordink, Liz M; Nij Bijvank, Jenny A; Stapper, Carlijne W; van Vuren, Annelies J; Wegner, Inge; Kortekaas, Marlous F; Grolman, Wilko</v>
      </c>
      <c r="AK316" s="32">
        <f>IFERROR(__xludf.DUMMYFUNCTION("""COMPUTED_VALUE"""),41729.0)</f>
        <v>41729</v>
      </c>
      <c r="AL316" s="31" t="str">
        <f>IFERROR(__xludf.DUMMYFUNCTION("""COMPUTED_VALUE"""),"Reducing Inappropriate Proton Pump Inhibitors Use for Stress Ulcer Prophylaxis in Hospitalized Patients: Systematic Review of De-Implementation Studies.")</f>
        <v>Reducing Inappropriate Proton Pump Inhibitors Use for Stress Ulcer Prophylaxis in Hospitalized Patients: Systematic Review of De-Implementation Studies.</v>
      </c>
      <c r="AM316" s="31" t="str">
        <f>IFERROR(__xludf.DUMMYFUNCTION("""COMPUTED_VALUE"""),"Orelio, Claudia C; Heus, Pauline; Kroese-van Dieren, Judith J; Spijker, René; van Munster, Barbara C; Hooft, Lotty")</f>
        <v>Orelio, Claudia C; Heus, Pauline; Kroese-van Dieren, Judith J; Spijker, René; van Munster, Barbara C; Hooft, Lotty</v>
      </c>
      <c r="AN316" s="32">
        <f>IFERROR(__xludf.DUMMYFUNCTION("""COMPUTED_VALUE"""),44229.0)</f>
        <v>44229</v>
      </c>
    </row>
    <row r="317">
      <c r="A317" s="32"/>
      <c r="I317" s="31" t="str">
        <f>IFERROR(__xludf.DUMMYFUNCTION("""COMPUTED_VALUE"""),"the lancet oncology")</f>
        <v>the lancet oncology</v>
      </c>
      <c r="J317" s="38">
        <f>COUNTIF(Data!$F$2:$F9917, $I317)</f>
        <v>6</v>
      </c>
      <c r="T317" s="31" t="s">
        <v>79</v>
      </c>
      <c r="U317" s="31" t="s">
        <v>80</v>
      </c>
      <c r="V317" s="32">
        <v>45443.0</v>
      </c>
      <c r="X317" s="31" t="str">
        <f>IFERROR(__xludf.DUMMYFUNCTION("""COMPUTED_VALUE"""),"Associations between dimensions of the social environment and cardiometabolic risk factors: Systematic review and meta-analysis.")</f>
        <v>Associations between dimensions of the social environment and cardiometabolic risk factors: Systematic review and meta-analysis.</v>
      </c>
      <c r="Y317" s="31" t="str">
        <f>IFERROR(__xludf.DUMMYFUNCTION("""COMPUTED_VALUE"""),"Abreu, Taymara C; Mackenbach, Joreintje D; Heuvelman, Fleur; Schoonmade, Linda J; Beulens, Joline W J")</f>
        <v>Abreu, Taymara C; Mackenbach, Joreintje D; Heuvelman, Fleur; Schoonmade, Linda J; Beulens, Joline W J</v>
      </c>
      <c r="Z317" s="31">
        <f>IFERROR(__xludf.DUMMYFUNCTION("""COMPUTED_VALUE"""),2023.0)</f>
        <v>2023</v>
      </c>
      <c r="AA317" s="31">
        <f>IFERROR(__xludf.DUMMYFUNCTION("""COMPUTED_VALUE"""),1.0)</f>
        <v>1</v>
      </c>
      <c r="AF317" s="31" t="str">
        <f>IFERROR(__xludf.DUMMYFUNCTION("""COMPUTED_VALUE"""),"Children born during the hunger season are at a higher risk of severe acute malnutrition: Findings from a Guinea Sahelian ecological zone in Northern Ghana.")</f>
        <v>Children born during the hunger season are at a higher risk of severe acute malnutrition: Findings from a Guinea Sahelian ecological zone in Northern Ghana.</v>
      </c>
      <c r="AG317" s="31" t="str">
        <f>IFERROR(__xludf.DUMMYFUNCTION("""COMPUTED_VALUE"""),"Nonterah, Engelbert A; Welaga, Paul; Chatio, Samuel T; Kehoe, Sarah H; Ofosu, Winfred; Ward, Kate A; Godfrey, Keith M; Oduro, Abraham R; Newell, Marie-Louise; ,")</f>
        <v>Nonterah, Engelbert A; Welaga, Paul; Chatio, Samuel T; Kehoe, Sarah H; Ofosu, Winfred; Ward, Kate A; Godfrey, Keith M; Oduro, Abraham R; Newell, Marie-Louise; ,</v>
      </c>
      <c r="AH317" s="32">
        <f>IFERROR(__xludf.DUMMYFUNCTION("""COMPUTED_VALUE"""),44571.0)</f>
        <v>44571</v>
      </c>
      <c r="AI317" s="31" t="str">
        <f>IFERROR(__xludf.DUMMYFUNCTION("""COMPUTED_VALUE"""),"Systemic corticosteroids for acute sinusitis.")</f>
        <v>Systemic corticosteroids for acute sinusitis.</v>
      </c>
      <c r="AJ317" s="31" t="str">
        <f>IFERROR(__xludf.DUMMYFUNCTION("""COMPUTED_VALUE"""),"Venekamp, Roderick P; Thompson, Matthew J; Hayward, Gail; Heneghan, Carl J; Del Mar, Chris B; Perera, Rafael; Glasziou, Paul P; Rovers, Maroeska M")</f>
        <v>Venekamp, Roderick P; Thompson, Matthew J; Hayward, Gail; Heneghan, Carl J; Del Mar, Chris B; Perera, Rafael; Glasziou, Paul P; Rovers, Maroeska M</v>
      </c>
      <c r="AK317" s="32">
        <f>IFERROR(__xludf.DUMMYFUNCTION("""COMPUTED_VALUE"""),41723.0)</f>
        <v>41723</v>
      </c>
      <c r="AL317" s="31" t="str">
        <f>IFERROR(__xludf.DUMMYFUNCTION("""COMPUTED_VALUE"""),"Association of Histologic Regression With a Favorable Outcome in Patients With Stage 1 and Stage 2 Cutaneous Melanoma.")</f>
        <v>Association of Histologic Regression With a Favorable Outcome in Patients With Stage 1 and Stage 2 Cutaneous Melanoma.</v>
      </c>
      <c r="AM317" s="31" t="str">
        <f>IFERROR(__xludf.DUMMYFUNCTION("""COMPUTED_VALUE"""),"El Sharouni, Mary-Ann; Aivazian, Karina; Witkamp, Arjen J; Sigurdsson, Vigfús; van Gils, Carla H; Scolyer, Richard A; Thompson, John F; van Diest, Paul J; Lo, Serigne N")</f>
        <v>El Sharouni, Mary-Ann; Aivazian, Karina; Witkamp, Arjen J; Sigurdsson, Vigfús; van Gils, Carla H; Scolyer, Richard A; Thompson, John F; van Diest, Paul J; Lo, Serigne N</v>
      </c>
      <c r="AN317" s="32">
        <f>IFERROR(__xludf.DUMMYFUNCTION("""COMPUTED_VALUE"""),44228.0)</f>
        <v>44228</v>
      </c>
    </row>
    <row r="318">
      <c r="A318" s="32"/>
      <c r="I318" s="31" t="str">
        <f>IFERROR(__xludf.DUMMYFUNCTION("""COMPUTED_VALUE"""),"journal of electrocardiology")</f>
        <v>journal of electrocardiology</v>
      </c>
      <c r="J318" s="38">
        <f>COUNTIF(Data!$F$2:$F9917, $I318)</f>
        <v>3</v>
      </c>
      <c r="T318" s="31" t="s">
        <v>24793</v>
      </c>
      <c r="U318" s="31" t="s">
        <v>24769</v>
      </c>
      <c r="V318" s="32">
        <v>45443.0</v>
      </c>
      <c r="X318" s="31" t="str">
        <f>IFERROR(__xludf.DUMMYFUNCTION("""COMPUTED_VALUE"""),"Home-based initiatives for acute management of COVID-19 patients needing oxygen: differences across The Netherlands.")</f>
        <v>Home-based initiatives for acute management of COVID-19 patients needing oxygen: differences across The Netherlands.</v>
      </c>
      <c r="Y318" s="31" t="str">
        <f>IFERROR(__xludf.DUMMYFUNCTION("""COMPUTED_VALUE"""),"Boeijen, Josi A; van de Pol, Alma C; van Uum, Rick T; Smit, Karin; Ahmad, Abeer; van Rijswijk, Eric; van Apeldoorn, Marjan J; van Thiel, Eric; de Graaf, Netty; Menkveld, R Michiel; Mantingh, Martijn R; Geertman, Silke; Couzijn, Nicolette; van Groenendael,"&amp;" Leon; Schers, Henk; Bont, Jettie; Bonten, Tobias N; Rutten, Frans H; Zwart, Dorien L M")</f>
        <v>Boeijen, Josi A; van de Pol, Alma C; van Uum, Rick T; Smit, Karin; Ahmad, Abeer; van Rijswijk, Eric; van Apeldoorn, Marjan J; van Thiel, Eric; de Graaf, Netty; Menkveld, R Michiel; Mantingh, Martijn R; Geertman, Silke; Couzijn, Nicolette; van Groenendael, Leon; Schers, Henk; Bont, Jettie; Bonten, Tobias N; Rutten, Frans H; Zwart, Dorien L M</v>
      </c>
      <c r="Z318" s="31">
        <f>IFERROR(__xludf.DUMMYFUNCTION("""COMPUTED_VALUE"""),2023.0)</f>
        <v>2023</v>
      </c>
      <c r="AA318" s="31">
        <f>IFERROR(__xludf.DUMMYFUNCTION("""COMPUTED_VALUE"""),1.0)</f>
        <v>1</v>
      </c>
      <c r="AF318" s="31" t="str">
        <f>IFERROR(__xludf.DUMMYFUNCTION("""COMPUTED_VALUE"""),"Prevalence and socio-structural determinants of tobacco exposure in young women: Data from the Healthy Trajectories Initiative (HeLTI) study in urban Soweto, South Africa.")</f>
        <v>Prevalence and socio-structural determinants of tobacco exposure in young women: Data from the Healthy Trajectories Initiative (HeLTI) study in urban Soweto, South Africa.</v>
      </c>
      <c r="AG318" s="31" t="str">
        <f>IFERROR(__xludf.DUMMYFUNCTION("""COMPUTED_VALUE"""),"Soepnel, Larske M; Kolkenbeck-Ruh, Andrea; Crouch, Simone H; Draper, Catherine E; Ware, Lisa J; Lye, Stephen J; Norris, Shane A")</f>
        <v>Soepnel, Larske M; Kolkenbeck-Ruh, Andrea; Crouch, Simone H; Draper, Catherine E; Ware, Lisa J; Lye, Stephen J; Norris, Shane A</v>
      </c>
      <c r="AH318" s="32">
        <f>IFERROR(__xludf.DUMMYFUNCTION("""COMPUTED_VALUE"""),44571.0)</f>
        <v>44571</v>
      </c>
      <c r="AI318" s="31" t="str">
        <f>IFERROR(__xludf.DUMMYFUNCTION("""COMPUTED_VALUE"""),"Antibiotic use in Dutch primary care: relation between diagnosis, consultation and treatment.")</f>
        <v>Antibiotic use in Dutch primary care: relation between diagnosis, consultation and treatment.</v>
      </c>
      <c r="AJ318" s="31" t="str">
        <f>IFERROR(__xludf.DUMMYFUNCTION("""COMPUTED_VALUE"""),"van den Broek d'Obrenan, Joep; Verheij, Theo J M; Numans, Mattijs E; van der Velden, Alike W")</f>
        <v>van den Broek d'Obrenan, Joep; Verheij, Theo J M; Numans, Mattijs E; van der Velden, Alike W</v>
      </c>
      <c r="AK318" s="32">
        <f>IFERROR(__xludf.DUMMYFUNCTION("""COMPUTED_VALUE"""),41676.0)</f>
        <v>41676</v>
      </c>
      <c r="AL318" s="31" t="str">
        <f>IFERROR(__xludf.DUMMYFUNCTION("""COMPUTED_VALUE"""),"Surgical Decompression for Space-Occupying Hemispheric Infarction: A Systematic Review and Individual Patient Meta-analysis of Randomized Clinical Trials.")</f>
        <v>Surgical Decompression for Space-Occupying Hemispheric Infarction: A Systematic Review and Individual Patient Meta-analysis of Randomized Clinical Trials.</v>
      </c>
      <c r="AM318" s="31" t="str">
        <f>IFERROR(__xludf.DUMMYFUNCTION("""COMPUTED_VALUE"""),"Reinink, Hendrik; Jüttler, Eric; Hacke, Werner; Hofmeijer, Jeannette; Vicaut, Eric; Vahedi, Katayoun; Slezins, Janis; Su, Yingying; Fan, Linlin; Kumral, Emre; Greving, Jacoba P; Algra, Ale; Kappelle, L Jaap; van der Worp, H Bart; Neugebauer, Hermann")</f>
        <v>Reinink, Hendrik; Jüttler, Eric; Hacke, Werner; Hofmeijer, Jeannette; Vicaut, Eric; Vahedi, Katayoun; Slezins, Janis; Su, Yingying; Fan, Linlin; Kumral, Emre; Greving, Jacoba P; Algra, Ale; Kappelle, L Jaap; van der Worp, H Bart; Neugebauer, Hermann</v>
      </c>
      <c r="AN318" s="32">
        <f>IFERROR(__xludf.DUMMYFUNCTION("""COMPUTED_VALUE"""),44228.0)</f>
        <v>44228</v>
      </c>
    </row>
    <row r="319">
      <c r="A319" s="32"/>
      <c r="I319" s="31" t="str">
        <f>IFERROR(__xludf.DUMMYFUNCTION("""COMPUTED_VALUE"""),"erj open research")</f>
        <v>erj open research</v>
      </c>
      <c r="J319" s="38">
        <f>COUNTIF(Data!$F$2:$F9917, $I319)</f>
        <v>6</v>
      </c>
      <c r="T319" s="31" t="s">
        <v>84</v>
      </c>
      <c r="U319" s="31" t="s">
        <v>85</v>
      </c>
      <c r="V319" s="32">
        <v>45442.0</v>
      </c>
      <c r="X319" s="31" t="str">
        <f>IFERROR(__xludf.DUMMYFUNCTION("""COMPUTED_VALUE"""),"ISOM 2023 Research Panel 5: Interventions- Vaccines and prevention, medical and surgical treatment, and impact of COVID-19 pandemic.")</f>
        <v>ISOM 2023 Research Panel 5: Interventions- Vaccines and prevention, medical and surgical treatment, and impact of COVID-19 pandemic.</v>
      </c>
      <c r="Y319" s="31" t="str">
        <f>IFERROR(__xludf.DUMMYFUNCTION("""COMPUTED_VALUE"""),"Pelton, Stephen I; Hullegie, Saskia; Leach, Amanda J; Marchisio, Paola; Marom, Tal; Sabharwal, Vishakha; Shaikh, Nader; Tähtinen, Paula A; Venekamp, Roderick P")</f>
        <v>Pelton, Stephen I; Hullegie, Saskia; Leach, Amanda J; Marchisio, Paola; Marom, Tal; Sabharwal, Vishakha; Shaikh, Nader; Tähtinen, Paula A; Venekamp, Roderick P</v>
      </c>
      <c r="Z319" s="31">
        <f>IFERROR(__xludf.DUMMYFUNCTION("""COMPUTED_VALUE"""),2023.0)</f>
        <v>2023</v>
      </c>
      <c r="AA319" s="31">
        <f>IFERROR(__xludf.DUMMYFUNCTION("""COMPUTED_VALUE"""),1.0)</f>
        <v>1</v>
      </c>
      <c r="AF319" s="31" t="str">
        <f>IFERROR(__xludf.DUMMYFUNCTION("""COMPUTED_VALUE"""),"Cognitive and Motor Development in 3- to 6-Year-Old Children Born to Mothers with Hyperglycaemia First Detected in Pregnancy in an Urban African Population.")</f>
        <v>Cognitive and Motor Development in 3- to 6-Year-Old Children Born to Mothers with Hyperglycaemia First Detected in Pregnancy in an Urban African Population.</v>
      </c>
      <c r="AG319" s="31" t="str">
        <f>IFERROR(__xludf.DUMMYFUNCTION("""COMPUTED_VALUE"""),"Soepnel, L M; Nicolaou, V; Draper, C E; Levitt, N S; Klipstein-Grobusch, K; Norris, S A")</f>
        <v>Soepnel, L M; Nicolaou, V; Draper, C E; Levitt, N S; Klipstein-Grobusch, K; Norris, S A</v>
      </c>
      <c r="AH319" s="32">
        <f>IFERROR(__xludf.DUMMYFUNCTION("""COMPUTED_VALUE"""),44569.0)</f>
        <v>44569</v>
      </c>
      <c r="AI319" s="31" t="str">
        <f>IFERROR(__xludf.DUMMYFUNCTION("""COMPUTED_VALUE"""),"Subgroup analysis in randomized controlled trials appeared to be dependent on whether relative or absolute effect measures were used.")</f>
        <v>Subgroup analysis in randomized controlled trials appeared to be dependent on whether relative or absolute effect measures were used.</v>
      </c>
      <c r="AJ319" s="31" t="str">
        <f>IFERROR(__xludf.DUMMYFUNCTION("""COMPUTED_VALUE"""),"Venekamp, Roderick P; Rovers, Maroeska M; Hoes, Arno W; Knol, Mirjam J")</f>
        <v>Venekamp, Roderick P; Rovers, Maroeska M; Hoes, Arno W; Knol, Mirjam J</v>
      </c>
      <c r="AK319" s="32">
        <f>IFERROR(__xludf.DUMMYFUNCTION("""COMPUTED_VALUE"""),41675.0)</f>
        <v>41675</v>
      </c>
      <c r="AL319" s="31" t="str">
        <f>IFERROR(__xludf.DUMMYFUNCTION("""COMPUTED_VALUE"""),"Costs Associated With Timely and Delayed Surgical Treatment of Spinal Metastases.")</f>
        <v>Costs Associated With Timely and Delayed Surgical Treatment of Spinal Metastases.</v>
      </c>
      <c r="AM319" s="31" t="str">
        <f>IFERROR(__xludf.DUMMYFUNCTION("""COMPUTED_VALUE"""),"van Tol, Floris R; Massier, Julie R A; Frederix, Geert W J; Öner, F Cumhur; Verkooijen, Helena M; Verlaan, Jorrit-Jan")</f>
        <v>van Tol, Floris R; Massier, Julie R A; Frederix, Geert W J; Öner, F Cumhur; Verkooijen, Helena M; Verlaan, Jorrit-Jan</v>
      </c>
      <c r="AN319" s="32">
        <f>IFERROR(__xludf.DUMMYFUNCTION("""COMPUTED_VALUE"""),44225.0)</f>
        <v>44225</v>
      </c>
    </row>
    <row r="320">
      <c r="A320" s="32"/>
      <c r="I320" s="31" t="str">
        <f>IFERROR(__xludf.DUMMYFUNCTION("""COMPUTED_VALUE"""),"drug safety")</f>
        <v>drug safety</v>
      </c>
      <c r="J320" s="38">
        <f>COUNTIF(Data!$F$2:$F9917, $I320)</f>
        <v>12</v>
      </c>
      <c r="T320" s="31" t="s">
        <v>89</v>
      </c>
      <c r="U320" s="31" t="s">
        <v>90</v>
      </c>
      <c r="V320" s="32">
        <v>45441.0</v>
      </c>
      <c r="X320" s="31" t="str">
        <f>IFERROR(__xludf.DUMMYFUNCTION("""COMPUTED_VALUE"""),"Impact of colorectal cancer screening on survival after metachronous metastasis.")</f>
        <v>Impact of colorectal cancer screening on survival after metachronous metastasis.</v>
      </c>
      <c r="Y320" s="31" t="str">
        <f>IFERROR(__xludf.DUMMYFUNCTION("""COMPUTED_VALUE"""),"Hamers, Patricia A H; Vink, Geraldine R; Elferink, Marloes A G; Moons, Leon M G; Punt, Cornelis J A; May, Anne M; Koopman, Miriam")</f>
        <v>Hamers, Patricia A H; Vink, Geraldine R; Elferink, Marloes A G; Moons, Leon M G; Punt, Cornelis J A; May, Anne M; Koopman, Miriam</v>
      </c>
      <c r="Z320" s="31">
        <f>IFERROR(__xludf.DUMMYFUNCTION("""COMPUTED_VALUE"""),2023.0)</f>
        <v>2023</v>
      </c>
      <c r="AA320" s="31">
        <f>IFERROR(__xludf.DUMMYFUNCTION("""COMPUTED_VALUE"""),1.0)</f>
        <v>1</v>
      </c>
      <c r="AF320" s="31" t="str">
        <f>IFERROR(__xludf.DUMMYFUNCTION("""COMPUTED_VALUE"""),"Sex-specific associations of adiposity with cardiometabolic traits in the UK: A multi-life stage cohort study with repeat metabolomics.")</f>
        <v>Sex-specific associations of adiposity with cardiometabolic traits in the UK: A multi-life stage cohort study with repeat metabolomics.</v>
      </c>
      <c r="AG320" s="31" t="str">
        <f>IFERROR(__xludf.DUMMYFUNCTION("""COMPUTED_VALUE"""),"O'Keeffe, Linda M; Bell, Joshua A; O'Neill, Kate N; Lee, Matthew A; Woodward, Mark; Peters, Sanne A E; Smith, George Davey; Kearney, Patricia M")</f>
        <v>O'Keeffe, Linda M; Bell, Joshua A; O'Neill, Kate N; Lee, Matthew A; Woodward, Mark; Peters, Sanne A E; Smith, George Davey; Kearney, Patricia M</v>
      </c>
      <c r="AH320" s="32">
        <f>IFERROR(__xludf.DUMMYFUNCTION("""COMPUTED_VALUE"""),44567.0)</f>
        <v>44567</v>
      </c>
      <c r="AI320" s="31" t="str">
        <f>IFERROR(__xludf.DUMMYFUNCTION("""COMPUTED_VALUE"""),"What effect does diabetes have on the family--do you know?")</f>
        <v>What effect does diabetes have on the family--do you know?</v>
      </c>
      <c r="AJ320" s="31" t="str">
        <f>IFERROR(__xludf.DUMMYFUNCTION("""COMPUTED_VALUE"""),"Rutten, Guy E H M")</f>
        <v>Rutten, Guy E H M</v>
      </c>
      <c r="AK320" s="32">
        <f>IFERROR(__xludf.DUMMYFUNCTION("""COMPUTED_VALUE"""),41662.0)</f>
        <v>41662</v>
      </c>
      <c r="AL320" s="31" t="str">
        <f>IFERROR(__xludf.DUMMYFUNCTION("""COMPUTED_VALUE"""),"Feasibility and acceptability of frequent vaginal self-sampling at home by Rwandan women at high risk of urogenital tract infections.")</f>
        <v>Feasibility and acceptability of frequent vaginal self-sampling at home by Rwandan women at high risk of urogenital tract infections.</v>
      </c>
      <c r="AM320" s="31" t="str">
        <f>IFERROR(__xludf.DUMMYFUNCTION("""COMPUTED_VALUE"""),"Verwijs, Marijn C; Agaba, Stephen; Umulisa, Marie-Michele; van de Wijgert, Janneke H H M")</f>
        <v>Verwijs, Marijn C; Agaba, Stephen; Umulisa, Marie-Michele; van de Wijgert, Janneke H H M</v>
      </c>
      <c r="AN320" s="32">
        <f>IFERROR(__xludf.DUMMYFUNCTION("""COMPUTED_VALUE"""),44225.0)</f>
        <v>44225</v>
      </c>
    </row>
    <row r="321">
      <c r="A321" s="32"/>
      <c r="I321" s="31" t="str">
        <f>IFERROR(__xludf.DUMMYFUNCTION("""COMPUTED_VALUE"""),"clinical and experimental allergy journal of the british society for allergy and clinical immunology")</f>
        <v>clinical and experimental allergy journal of the british society for allergy and clinical immunology</v>
      </c>
      <c r="J321" s="38">
        <f>COUNTIF(Data!$F$2:$F9917, $I321)</f>
        <v>7</v>
      </c>
      <c r="T321" s="31" t="s">
        <v>94</v>
      </c>
      <c r="U321" s="31" t="s">
        <v>95</v>
      </c>
      <c r="V321" s="32">
        <v>45441.0</v>
      </c>
      <c r="X321" s="31" t="str">
        <f>IFERROR(__xludf.DUMMYFUNCTION("""COMPUTED_VALUE"""),"Adjuvant Hyperthermic Intraperitoneal Chemotherapy in Patients With Locally Advanced Colon Cancer (COLOPEC): 5-Year Results of a Randomized Multicenter Trial.")</f>
        <v>Adjuvant Hyperthermic Intraperitoneal Chemotherapy in Patients With Locally Advanced Colon Cancer (COLOPEC): 5-Year Results of a Randomized Multicenter Trial.</v>
      </c>
      <c r="Y321" s="31" t="str">
        <f>IFERROR(__xludf.DUMMYFUNCTION("""COMPUTED_VALUE"""),"Zwanenburg, Emma Sophia; El Klaver, Charlotte; Wisselink, Daniel D; Punt, Cornelis J A; Snaebjornsson, P; Crezee, Johannes; Aalbers, Arend G J; Brandt-Kerkhof, Alexandra R M; Bremers, Andre J A; Burger, Pim J W A; Fabry, Hans F J; Ferenschild, Floris T J;"&amp;" Festen, Sebastiaan; van Grevenstein, Wilhemina M U; Hemmer, Patrick H J; de Hingh, Ignace H J T; Kok, Niels F M; Kusters, M; Musters, G D; Schoonderwoerd, Lotte; Tuynman, J B; van de Ven, Anthony W H; van Westreenen, Henderik L; Wiezer, M J; Zimmerman, D"&amp;"avid D E; van Zweeden, Annette; Dijkgraaf, Marcel G W; Tanis, Pieter J; ,; ,")</f>
        <v>Zwanenburg, Emma Sophia; El Klaver, Charlotte; Wisselink, Daniel D; Punt, Cornelis J A; Snaebjornsson, P; Crezee, Johannes; Aalbers, Arend G J; Brandt-Kerkhof, Alexandra R M; Bremers, Andre J A; Burger, Pim J W A; Fabry, Hans F J; Ferenschild, Floris T J; Festen, Sebastiaan; van Grevenstein, Wilhemina M U; Hemmer, Patrick H J; de Hingh, Ignace H J T; Kok, Niels F M; Kusters, M; Musters, G D; Schoonderwoerd, Lotte; Tuynman, J B; van de Ven, Anthony W H; van Westreenen, Henderik L; Wiezer, M J; Zimmerman, David D E; van Zweeden, Annette; Dijkgraaf, Marcel G W; Tanis, Pieter J; ,; ,</v>
      </c>
      <c r="Z321" s="31">
        <f>IFERROR(__xludf.DUMMYFUNCTION("""COMPUTED_VALUE"""),2023.0)</f>
        <v>2023</v>
      </c>
      <c r="AA321" s="31">
        <f>IFERROR(__xludf.DUMMYFUNCTION("""COMPUTED_VALUE"""),1.0)</f>
        <v>1</v>
      </c>
      <c r="AF321" s="31" t="str">
        <f>IFERROR(__xludf.DUMMYFUNCTION("""COMPUTED_VALUE"""),"Cardiac resynchronization therapy with or without defibrillator in patients with heart failure.")</f>
        <v>Cardiac resynchronization therapy with or without defibrillator in patients with heart failure.</v>
      </c>
      <c r="AG321" s="31" t="str">
        <f>IFERROR(__xludf.DUMMYFUNCTION("""COMPUTED_VALUE"""),"Schrage, Benedikt; Lund, Lars H; Melin, Michael; Benson, Lina; Uijl, Alicia; Dahlström, Ulf; Braunschweig, Frieder; Linde, Cecilia; Savarese, Gianluigi")</f>
        <v>Schrage, Benedikt; Lund, Lars H; Melin, Michael; Benson, Lina; Uijl, Alicia; Dahlström, Ulf; Braunschweig, Frieder; Linde, Cecilia; Savarese, Gianluigi</v>
      </c>
      <c r="AH321" s="32">
        <f>IFERROR(__xludf.DUMMYFUNCTION("""COMPUTED_VALUE"""),44565.0)</f>
        <v>44565</v>
      </c>
      <c r="AI321" s="31" t="str">
        <f>IFERROR(__xludf.DUMMYFUNCTION("""COMPUTED_VALUE"""),"Diabetes-specific quality of life but not health status is independently associated with glycaemic control among patients with type 2 diabetes: a cross-sectional analysis of the ADDITION-Europe trial cohort.")</f>
        <v>Diabetes-specific quality of life but not health status is independently associated with glycaemic control among patients with type 2 diabetes: a cross-sectional analysis of the ADDITION-Europe trial cohort.</v>
      </c>
      <c r="AJ321" s="31" t="str">
        <f>IFERROR(__xludf.DUMMYFUNCTION("""COMPUTED_VALUE"""),"Kuznetsov, Laura; Griffin, Simon J; Davies, Melanie J; Lauritzen, Torsten; Khunti, Kamlesh; Rutten, Guy E H M; Simmons, Rebecca K")</f>
        <v>Kuznetsov, Laura; Griffin, Simon J; Davies, Melanie J; Lauritzen, Torsten; Khunti, Kamlesh; Rutten, Guy E H M; Simmons, Rebecca K</v>
      </c>
      <c r="AK321" s="32">
        <f>IFERROR(__xludf.DUMMYFUNCTION("""COMPUTED_VALUE"""),41654.0)</f>
        <v>41654</v>
      </c>
      <c r="AL321" s="31" t="str">
        <f>IFERROR(__xludf.DUMMYFUNCTION("""COMPUTED_VALUE"""),"Nasopharyngeal Microbiota Profiles in Rural Venezuelan Children Are Associated With Respiratory and Gastrointestinal Infections.")</f>
        <v>Nasopharyngeal Microbiota Profiles in Rural Venezuelan Children Are Associated With Respiratory and Gastrointestinal Infections.</v>
      </c>
      <c r="AM321" s="31" t="str">
        <f>IFERROR(__xludf.DUMMYFUNCTION("""COMPUTED_VALUE"""),"Verhagen, Lilly M; Rivera-Olivero, Ismar A; Clerc, Melanie; Chu, Mei Ling J N; van Engelsdorp Gastelaars, Jody; Kristensen, Maartje I; Berbers, Guy A M; Hermans, Peter W M; de Jonge, Marien I; de Waard, Jacobus H; Bogaert, Debby")</f>
        <v>Verhagen, Lilly M; Rivera-Olivero, Ismar A; Clerc, Melanie; Chu, Mei Ling J N; van Engelsdorp Gastelaars, Jody; Kristensen, Maartje I; Berbers, Guy A M; Hermans, Peter W M; de Jonge, Marien I; de Waard, Jacobus H; Bogaert, Debby</v>
      </c>
      <c r="AN321" s="32">
        <f>IFERROR(__xludf.DUMMYFUNCTION("""COMPUTED_VALUE"""),44223.0)</f>
        <v>44223</v>
      </c>
    </row>
    <row r="322">
      <c r="A322" s="32"/>
      <c r="I322" s="31" t="str">
        <f>IFERROR(__xludf.DUMMYFUNCTION("""COMPUTED_VALUE"""),"bmc pregnancy and childbirth")</f>
        <v>bmc pregnancy and childbirth</v>
      </c>
      <c r="J322" s="38">
        <f>COUNTIF(Data!$F$2:$F9917, $I322)</f>
        <v>14</v>
      </c>
      <c r="T322" s="31" t="s">
        <v>99</v>
      </c>
      <c r="U322" s="31" t="s">
        <v>100</v>
      </c>
      <c r="V322" s="32">
        <v>45440.0</v>
      </c>
      <c r="X322" s="31" t="str">
        <f>IFERROR(__xludf.DUMMYFUNCTION("""COMPUTED_VALUE"""),"Antioxidants for adults with chronic kidney disease.")</f>
        <v>Antioxidants for adults with chronic kidney disease.</v>
      </c>
      <c r="Y322" s="31" t="str">
        <f>IFERROR(__xludf.DUMMYFUNCTION("""COMPUTED_VALUE"""),"Colombijn, Julia Mt; Hooft, Lotty; Jun, Min; Webster, Angela C; Bots, Michiel L; Verhaar, Marianne C; Vernooij, Robin Wm")</f>
        <v>Colombijn, Julia Mt; Hooft, Lotty; Jun, Min; Webster, Angela C; Bots, Michiel L; Verhaar, Marianne C; Vernooij, Robin Wm</v>
      </c>
      <c r="Z322" s="31">
        <f>IFERROR(__xludf.DUMMYFUNCTION("""COMPUTED_VALUE"""),2023.0)</f>
        <v>2023</v>
      </c>
      <c r="AA322" s="31">
        <f>IFERROR(__xludf.DUMMYFUNCTION("""COMPUTED_VALUE"""),1.0)</f>
        <v>1</v>
      </c>
      <c r="AF322" s="31" t="str">
        <f>IFERROR(__xludf.DUMMYFUNCTION("""COMPUTED_VALUE"""),"Pulse wave velocity in South African women and children: comparison between the Mobil-O-Graph and SphygmoCor XCEL devices.")</f>
        <v>Pulse wave velocity in South African women and children: comparison between the Mobil-O-Graph and SphygmoCor XCEL devices.</v>
      </c>
      <c r="AG322" s="31" t="str">
        <f>IFERROR(__xludf.DUMMYFUNCTION("""COMPUTED_VALUE"""),"Kolkenbeck-Ruh, Andrea; Soepnel, Larske Marit; Kim, Andrew Wooyoung; Naidoo, Sanushka; Smith, Wayne; Davies, Justine; Ware, Lisa Jayne")</f>
        <v>Kolkenbeck-Ruh, Andrea; Soepnel, Larske Marit; Kim, Andrew Wooyoung; Naidoo, Sanushka; Smith, Wayne; Davies, Justine; Ware, Lisa Jayne</v>
      </c>
      <c r="AH322" s="32">
        <f>IFERROR(__xludf.DUMMYFUNCTION("""COMPUTED_VALUE"""),44562.0)</f>
        <v>44562</v>
      </c>
      <c r="AI322" s="31" t="str">
        <f>IFERROR(__xludf.DUMMYFUNCTION("""COMPUTED_VALUE"""),"A training course for experts in diabetology in primary care.")</f>
        <v>A training course for experts in diabetology in primary care.</v>
      </c>
      <c r="AJ322" s="31" t="str">
        <f>IFERROR(__xludf.DUMMYFUNCTION("""COMPUTED_VALUE"""),"Hart, Huberta E; Rutten, Guy E H M")</f>
        <v>Hart, Huberta E; Rutten, Guy E H M</v>
      </c>
      <c r="AK322" s="32">
        <f>IFERROR(__xludf.DUMMYFUNCTION("""COMPUTED_VALUE"""),41649.0)</f>
        <v>41649</v>
      </c>
      <c r="AL322" s="31" t="str">
        <f>IFERROR(__xludf.DUMMYFUNCTION("""COMPUTED_VALUE"""),"Modelling the impact of tailored behavioural interventions on chlamydia transmission.")</f>
        <v>Modelling the impact of tailored behavioural interventions on chlamydia transmission.</v>
      </c>
      <c r="AM322" s="31" t="str">
        <f>IFERROR(__xludf.DUMMYFUNCTION("""COMPUTED_VALUE"""),"van Wees, Daphne A; den Daas, Chantal; Kretzschmar, Mirjam E E; Heijne, Janneke C M")</f>
        <v>van Wees, Daphne A; den Daas, Chantal; Kretzschmar, Mirjam E E; Heijne, Janneke C M</v>
      </c>
      <c r="AN322" s="32">
        <f>IFERROR(__xludf.DUMMYFUNCTION("""COMPUTED_VALUE"""),44221.0)</f>
        <v>44221</v>
      </c>
    </row>
    <row r="323">
      <c r="A323" s="32"/>
      <c r="I323" s="31" t="str">
        <f>IFERROR(__xludf.DUMMYFUNCTION("""COMPUTED_VALUE"""),"qualitative health research")</f>
        <v>qualitative health research</v>
      </c>
      <c r="J323" s="38">
        <f>COUNTIF(Data!$F$2:$F9917, $I323)</f>
        <v>1</v>
      </c>
      <c r="T323" s="31" t="s">
        <v>104</v>
      </c>
      <c r="U323" s="31" t="s">
        <v>105</v>
      </c>
      <c r="V323" s="32">
        <v>45440.0</v>
      </c>
      <c r="X323" s="31" t="str">
        <f>IFERROR(__xludf.DUMMYFUNCTION("""COMPUTED_VALUE"""),"Risk of bias assessments in individual participant data meta-analyses of test accuracy and prediction models: a review shows improvements are needed.")</f>
        <v>Risk of bias assessments in individual participant data meta-analyses of test accuracy and prediction models: a review shows improvements are needed.</v>
      </c>
      <c r="Y323" s="31" t="str">
        <f>IFERROR(__xludf.DUMMYFUNCTION("""COMPUTED_VALUE"""),"Levis, Brooke; Snell, Kym I E; Damen, Johanna A A; Hattle, Miriam; Ensor, Joie; Dhiman, Paula; Andaur Navarro, Constanza L; Takwoingi, Yemisi; Whiting, Penny F; Debray, Thomas P A; Reitsma, Johannes B; Moons, Karel G M; Collins, Gary S; Riley, Richard D")</f>
        <v>Levis, Brooke; Snell, Kym I E; Damen, Johanna A A; Hattle, Miriam; Ensor, Joie; Dhiman, Paula; Andaur Navarro, Constanza L; Takwoingi, Yemisi; Whiting, Penny F; Debray, Thomas P A; Reitsma, Johannes B; Moons, Karel G M; Collins, Gary S; Riley, Richard D</v>
      </c>
      <c r="Z323" s="31">
        <f>IFERROR(__xludf.DUMMYFUNCTION("""COMPUTED_VALUE"""),2023.0)</f>
        <v>2023</v>
      </c>
      <c r="AA323" s="31">
        <f>IFERROR(__xludf.DUMMYFUNCTION("""COMPUTED_VALUE"""),1.0)</f>
        <v>1</v>
      </c>
      <c r="AF323" s="31" t="str">
        <f>IFERROR(__xludf.DUMMYFUNCTION("""COMPUTED_VALUE"""),"Causes of death in HIV-infected and HIV-uninfected children aged under-five years in western Kenya.")</f>
        <v>Causes of death in HIV-infected and HIV-uninfected children aged under-five years in western Kenya.</v>
      </c>
      <c r="AG323" s="31" t="str">
        <f>IFERROR(__xludf.DUMMYFUNCTION("""COMPUTED_VALUE"""),"Onyango, Dickens O; Akelo, Victor; van der Sande, Marianne A B; Ridzon, Renee; Were, Joyce A; Agaya, Janet A; Oele, Elizabeth A; Wandiga, Steve; Igunza, Aggrey K; Young, Peter W; Blau, Dianna M; Joseph, Rachael H; Yuen, Courtney M; Zielinski-Gutierrez, Em"&amp;"ily; Tippett-Barr, Beth A")</f>
        <v>Onyango, Dickens O; Akelo, Victor; van der Sande, Marianne A B; Ridzon, Renee; Were, Joyce A; Agaya, Janet A; Oele, Elizabeth A; Wandiga, Steve; Igunza, Aggrey K; Young, Peter W; Blau, Dianna M; Joseph, Rachael H; Yuen, Courtney M; Zielinski-Gutierrez, Emily; Tippett-Barr, Beth A</v>
      </c>
      <c r="AH323" s="32">
        <f>IFERROR(__xludf.DUMMYFUNCTION("""COMPUTED_VALUE"""),44562.0)</f>
        <v>44562</v>
      </c>
      <c r="AI323" s="31" t="str">
        <f>IFERROR(__xludf.DUMMYFUNCTION("""COMPUTED_VALUE"""),"Strategy to recognize and initiate treatment of chronic heart failure in primary care (STRETCH): a cluster randomized trial.")</f>
        <v>Strategy to recognize and initiate treatment of chronic heart failure in primary care (STRETCH): a cluster randomized trial.</v>
      </c>
      <c r="AJ323" s="31" t="str">
        <f>IFERROR(__xludf.DUMMYFUNCTION("""COMPUTED_VALUE"""),"van Riet, Evelien E S; Hoes, Arno W; Limburg, Alexander; van der Hoeven, Henk; Landman, Marcel A J; Rutten, Frans H")</f>
        <v>van Riet, Evelien E S; Hoes, Arno W; Limburg, Alexander; van der Hoeven, Henk; Landman, Marcel A J; Rutten, Frans H</v>
      </c>
      <c r="AK323" s="32">
        <f>IFERROR(__xludf.DUMMYFUNCTION("""COMPUTED_VALUE"""),41647.0)</f>
        <v>41647</v>
      </c>
      <c r="AL323" s="31" t="str">
        <f>IFERROR(__xludf.DUMMYFUNCTION("""COMPUTED_VALUE"""),"Focal Boost to the Intraprostatic Tumor in External Beam Radiotherapy for Patients With Localized Prostate Cancer: Results From the FLAME Randomized Phase III Trial.")</f>
        <v>Focal Boost to the Intraprostatic Tumor in External Beam Radiotherapy for Patients With Localized Prostate Cancer: Results From the FLAME Randomized Phase III Trial.</v>
      </c>
      <c r="AM323" s="31" t="str">
        <f>IFERROR(__xludf.DUMMYFUNCTION("""COMPUTED_VALUE"""),"Kerkmeijer, Linda G W; Groen, Veerle H; Pos, Floris J; Haustermans, Karin; Monninkhof, Evelyn M; Smeenk, Robert Jan; Kunze-Busch, Martina; de Boer, Johannes C J; van der Voort van Zijp, Jochem; van Vulpen, Marco; Draulans, Cédric; van den Bergh, Laura; Is"&amp;"ebaert, Sofie; van der Heide, Uulke A")</f>
        <v>Kerkmeijer, Linda G W; Groen, Veerle H; Pos, Floris J; Haustermans, Karin; Monninkhof, Evelyn M; Smeenk, Robert Jan; Kunze-Busch, Martina; de Boer, Johannes C J; van der Voort van Zijp, Jochem; van Vulpen, Marco; Draulans, Cédric; van den Bergh, Laura; Isebaert, Sofie; van der Heide, Uulke A</v>
      </c>
      <c r="AN323" s="32">
        <f>IFERROR(__xludf.DUMMYFUNCTION("""COMPUTED_VALUE"""),44216.0)</f>
        <v>44216</v>
      </c>
    </row>
    <row r="324">
      <c r="A324" s="32"/>
      <c r="I324" s="31" t="str">
        <f>IFERROR(__xludf.DUMMYFUNCTION("""COMPUTED_VALUE"""),"nature")</f>
        <v>nature</v>
      </c>
      <c r="J324" s="38">
        <f>COUNTIF(Data!$F$2:$F9917, $I324)</f>
        <v>11</v>
      </c>
      <c r="T324" s="31" t="s">
        <v>109</v>
      </c>
      <c r="U324" s="31" t="s">
        <v>110</v>
      </c>
      <c r="V324" s="32">
        <v>45439.0</v>
      </c>
      <c r="X324" s="31" t="str">
        <f>IFERROR(__xludf.DUMMYFUNCTION("""COMPUTED_VALUE"""),"Impact of the COVID-19 pandemic on breast cancer incidence and tumor stage in the Netherlands and Norway: A population-based study.")</f>
        <v>Impact of the COVID-19 pandemic on breast cancer incidence and tumor stage in the Netherlands and Norway: A population-based study.</v>
      </c>
      <c r="Y324" s="31" t="str">
        <f>IFERROR(__xludf.DUMMYFUNCTION("""COMPUTED_VALUE"""),"Eijkelboom, Anouk H; de Munck, Linda; Larsen, Marthe; Bijlsma, Maarten J; Tjan-Heijnen, Vivianne C G; van Gils, Carla H; Broeders, Mireille J M; Nygård, Jan F; Lobbes, Marc B I; Helsper, Charles W; Pijnappel, Ruud M; Strobbe, Luc J A; Wesseling, Jelle; Ho"&amp;"fvind, Solveig; Siesling, Sabine; ,")</f>
        <v>Eijkelboom, Anouk H; de Munck, Linda; Larsen, Marthe; Bijlsma, Maarten J; Tjan-Heijnen, Vivianne C G; van Gils, Carla H; Broeders, Mireille J M; Nygård, Jan F; Lobbes, Marc B I; Helsper, Charles W; Pijnappel, Ruud M; Strobbe, Luc J A; Wesseling, Jelle; Hofvind, Solveig; Siesling, Sabine; ,</v>
      </c>
      <c r="Z324" s="31">
        <f>IFERROR(__xludf.DUMMYFUNCTION("""COMPUTED_VALUE"""),2023.0)</f>
        <v>2023</v>
      </c>
      <c r="AA324" s="31">
        <f>IFERROR(__xludf.DUMMYFUNCTION("""COMPUTED_VALUE"""),1.0)</f>
        <v>1</v>
      </c>
      <c r="AF324" s="31" t="str">
        <f>IFERROR(__xludf.DUMMYFUNCTION("""COMPUTED_VALUE"""),"Multimorbidity Among Migrant and Non-Migrant Ghanaians: The RODAM Study.")</f>
        <v>Multimorbidity Among Migrant and Non-Migrant Ghanaians: The RODAM Study.</v>
      </c>
      <c r="AG324" s="31" t="str">
        <f>IFERROR(__xludf.DUMMYFUNCTION("""COMPUTED_VALUE"""),"Marzà-Florensa, Anna; Boateng, Daniel; Agyemang, Charles; Beune, Erik; Meeks, Karlijn A C; Bahendeka, Silver; Levitt, Naomi; Klipstein-Grobusch, Kerstin")</f>
        <v>Marzà-Florensa, Anna; Boateng, Daniel; Agyemang, Charles; Beune, Erik; Meeks, Karlijn A C; Bahendeka, Silver; Levitt, Naomi; Klipstein-Grobusch, Kerstin</v>
      </c>
      <c r="AH324" s="32">
        <f>IFERROR(__xludf.DUMMYFUNCTION("""COMPUTED_VALUE"""),44561.0)</f>
        <v>44561</v>
      </c>
      <c r="AI324" s="31" t="str">
        <f>IFERROR(__xludf.DUMMYFUNCTION("""COMPUTED_VALUE"""),"Cognitive disorders in diabetic patients.")</f>
        <v>Cognitive disorders in diabetic patients.</v>
      </c>
      <c r="AJ324" s="31" t="str">
        <f>IFERROR(__xludf.DUMMYFUNCTION("""COMPUTED_VALUE"""),"Koekkoek, Paula S; Rutten, Guy E H M; Biessels, Geert Jan")</f>
        <v>Koekkoek, Paula S; Rutten, Guy E H M; Biessels, Geert Jan</v>
      </c>
      <c r="AK324" s="32">
        <f>IFERROR(__xludf.DUMMYFUNCTION("""COMPUTED_VALUE"""),41640.0)</f>
        <v>41640</v>
      </c>
      <c r="AL324" s="31" t="str">
        <f>IFERROR(__xludf.DUMMYFUNCTION("""COMPUTED_VALUE"""),"Placenta Pathology From Term Born Neonates With Normal or Adverse Outcome.")</f>
        <v>Placenta Pathology From Term Born Neonates With Normal or Adverse Outcome.</v>
      </c>
      <c r="AM324" s="31" t="str">
        <f>IFERROR(__xludf.DUMMYFUNCTION("""COMPUTED_VALUE"""),"Nikkels, Peter Gj; Evers, Annemieke Cc; Schuit, Ewoud; Brouwers, Hens Aa; Bruinse, Hein W; Bont, Louis; Houben, Michiel L; Kwee, Anneke")</f>
        <v>Nikkels, Peter Gj; Evers, Annemieke Cc; Schuit, Ewoud; Brouwers, Hens Aa; Bruinse, Hein W; Bont, Louis; Houben, Michiel L; Kwee, Anneke</v>
      </c>
      <c r="AN324" s="32">
        <f>IFERROR(__xludf.DUMMYFUNCTION("""COMPUTED_VALUE"""),44216.0)</f>
        <v>44216</v>
      </c>
    </row>
    <row r="325">
      <c r="A325" s="32"/>
      <c r="I325" s="31" t="str">
        <f>IFERROR(__xludf.DUMMYFUNCTION("""COMPUTED_VALUE"""),"journal of thrombosis and haemostasis jth")</f>
        <v>journal of thrombosis and haemostasis jth</v>
      </c>
      <c r="J325" s="38">
        <f>COUNTIF(Data!$F$2:$F9917, $I325)</f>
        <v>23</v>
      </c>
      <c r="T325" s="31" t="s">
        <v>114</v>
      </c>
      <c r="U325" s="31" t="s">
        <v>115</v>
      </c>
      <c r="V325" s="32">
        <v>45439.0</v>
      </c>
      <c r="X325" s="31" t="str">
        <f>IFERROR(__xludf.DUMMYFUNCTION("""COMPUTED_VALUE"""),"Digital Twins in Healthcare: Methodological Challenges and Opportunities.")</f>
        <v>Digital Twins in Healthcare: Methodological Challenges and Opportunities.</v>
      </c>
      <c r="Y325" s="31" t="str">
        <f>IFERROR(__xludf.DUMMYFUNCTION("""COMPUTED_VALUE"""),"Meijer, Charles; Uh, Hae-Won; El Bouhaddani, Said")</f>
        <v>Meijer, Charles; Uh, Hae-Won; El Bouhaddani, Said</v>
      </c>
      <c r="Z325" s="31">
        <f>IFERROR(__xludf.DUMMYFUNCTION("""COMPUTED_VALUE"""),2023.0)</f>
        <v>2023</v>
      </c>
      <c r="AA325" s="31">
        <f>IFERROR(__xludf.DUMMYFUNCTION("""COMPUTED_VALUE"""),1.0)</f>
        <v>1</v>
      </c>
      <c r="AF325" s="31" t="str">
        <f>IFERROR(__xludf.DUMMYFUNCTION("""COMPUTED_VALUE"""),"High awareness of diabetes as a key cardiovascular risk factor among healthcare professionals but suboptimal treatment: Results from a survey of the European Association of Preventive Cardiology.")</f>
        <v>High awareness of diabetes as a key cardiovascular risk factor among healthcare professionals but suboptimal treatment: Results from a survey of the European Association of Preventive Cardiology.</v>
      </c>
      <c r="AG325" s="31" t="str">
        <f>IFERROR(__xludf.DUMMYFUNCTION("""COMPUTED_VALUE"""),"Hansen, Dominique; Mellbin, Linda; Cosentino, Francesco; De Bacquer, Dirk; Grobbee, Diederick; Van Ryckeghem, Lisa; Standl, Eberhard; Beulens, Joline W J")</f>
        <v>Hansen, Dominique; Mellbin, Linda; Cosentino, Francesco; De Bacquer, Dirk; Grobbee, Diederick; Van Ryckeghem, Lisa; Standl, Eberhard; Beulens, Joline W J</v>
      </c>
      <c r="AH325" s="32">
        <f>IFERROR(__xludf.DUMMYFUNCTION("""COMPUTED_VALUE"""),44559.0)</f>
        <v>44559</v>
      </c>
      <c r="AI325" s="31" t="str">
        <f>IFERROR(__xludf.DUMMYFUNCTION("""COMPUTED_VALUE"""),"[E-health and the GP as gatekeeper; are the two compatible?].")</f>
        <v>[E-health and the GP as gatekeeper; are the two compatible?].</v>
      </c>
      <c r="AJ325" s="31" t="str">
        <f>IFERROR(__xludf.DUMMYFUNCTION("""COMPUTED_VALUE"""),"Damoiseaux, Roger A M J")</f>
        <v>Damoiseaux, Roger A M J</v>
      </c>
      <c r="AK325" s="32">
        <f>IFERROR(__xludf.DUMMYFUNCTION("""COMPUTED_VALUE"""),41640.0)</f>
        <v>41640</v>
      </c>
      <c r="AL325" s="31" t="str">
        <f>IFERROR(__xludf.DUMMYFUNCTION("""COMPUTED_VALUE"""),"Real-time imputation of missing predictor values improved the application of prediction models in daily practice.")</f>
        <v>Real-time imputation of missing predictor values improved the application of prediction models in daily practice.</v>
      </c>
      <c r="AM325" s="31" t="str">
        <f>IFERROR(__xludf.DUMMYFUNCTION("""COMPUTED_VALUE"""),"Nijman, Steven Willem Joost; Groenhof, T Katrien J; Hoogland, Jeroen; Bots, Michiel L; Brandjes, Menno; Jacobs, John J L; Asselbergs, Folkert W; Moons, Karel G M; Debray, Thomas P A")</f>
        <v>Nijman, Steven Willem Joost; Groenhof, T Katrien J; Hoogland, Jeroen; Bots, Michiel L; Brandjes, Menno; Jacobs, John J L; Asselbergs, Folkert W; Moons, Karel G M; Debray, Thomas P A</v>
      </c>
      <c r="AN325" s="32">
        <f>IFERROR(__xludf.DUMMYFUNCTION("""COMPUTED_VALUE"""),44215.0)</f>
        <v>44215</v>
      </c>
    </row>
    <row r="326">
      <c r="A326" s="32"/>
      <c r="I326" s="31" t="str">
        <f>IFERROR(__xludf.DUMMYFUNCTION("""COMPUTED_VALUE"""),"international journal of integrated care")</f>
        <v>international journal of integrated care</v>
      </c>
      <c r="J326" s="38">
        <f>COUNTIF(Data!$F$2:$F9917, $I326)</f>
        <v>7</v>
      </c>
      <c r="T326" s="31" t="s">
        <v>120</v>
      </c>
      <c r="U326" s="31" t="s">
        <v>121</v>
      </c>
      <c r="V326" s="32">
        <v>45438.0</v>
      </c>
      <c r="X326" s="31" t="str">
        <f>IFERROR(__xludf.DUMMYFUNCTION("""COMPUTED_VALUE"""),"Myopia progression in children during home confinement in the COVID-19 pandemic: A systematic review and meta-analysis.")</f>
        <v>Myopia progression in children during home confinement in the COVID-19 pandemic: A systematic review and meta-analysis.</v>
      </c>
      <c r="Y326" s="31" t="str">
        <f>IFERROR(__xludf.DUMMYFUNCTION("""COMPUTED_VALUE"""),"Laan, Daisy; Tan, Emily T C; Huis In Het Veld, Paulien I; Jellema, Hinke Marijke; Jenniskens, Kevin")</f>
        <v>Laan, Daisy; Tan, Emily T C; Huis In Het Veld, Paulien I; Jellema, Hinke Marijke; Jenniskens, Kevin</v>
      </c>
      <c r="Z326" s="31">
        <f>IFERROR(__xludf.DUMMYFUNCTION("""COMPUTED_VALUE"""),2023.0)</f>
        <v>2023</v>
      </c>
      <c r="AA326" s="31">
        <f>IFERROR(__xludf.DUMMYFUNCTION("""COMPUTED_VALUE"""),1.0)</f>
        <v>1</v>
      </c>
      <c r="AF326" s="31" t="str">
        <f>IFERROR(__xludf.DUMMYFUNCTION("""COMPUTED_VALUE"""),"Why do women do worse after coronary artery bypass grafting?")</f>
        <v>Why do women do worse after coronary artery bypass grafting?</v>
      </c>
      <c r="AG326" s="31" t="str">
        <f>IFERROR(__xludf.DUMMYFUNCTION("""COMPUTED_VALUE"""),"Peters, Sanne A E; Kluin, Jolanda")</f>
        <v>Peters, Sanne A E; Kluin, Jolanda</v>
      </c>
      <c r="AH326" s="32">
        <f>IFERROR(__xludf.DUMMYFUNCTION("""COMPUTED_VALUE"""),44558.0)</f>
        <v>44558</v>
      </c>
      <c r="AI326" s="31" t="str">
        <f>IFERROR(__xludf.DUMMYFUNCTION("""COMPUTED_VALUE"""),"[Transferring care from secondary to primary health services; time for action].")</f>
        <v>[Transferring care from secondary to primary health services; time for action].</v>
      </c>
      <c r="AJ326" s="31" t="str">
        <f>IFERROR(__xludf.DUMMYFUNCTION("""COMPUTED_VALUE"""),"Damoiseaux, Roger A M J; Bindels, Patrick J E")</f>
        <v>Damoiseaux, Roger A M J; Bindels, Patrick J E</v>
      </c>
      <c r="AK326" s="32">
        <f>IFERROR(__xludf.DUMMYFUNCTION("""COMPUTED_VALUE"""),41640.0)</f>
        <v>41640</v>
      </c>
      <c r="AL326" s="31" t="str">
        <f>IFERROR(__xludf.DUMMYFUNCTION("""COMPUTED_VALUE"""),"Management decisions on unruptured intracranial aneurysms before and after implementation of the PHASES score.")</f>
        <v>Management decisions on unruptured intracranial aneurysms before and after implementation of the PHASES score.</v>
      </c>
      <c r="AM326" s="31" t="str">
        <f>IFERROR(__xludf.DUMMYFUNCTION("""COMPUTED_VALUE"""),"Hollands, Laurie J; Vergouwen, Mervyn D I; Greving, Jacoba P; Wermer, Marieke J H; Rinkel, Gabriël J E; Algra, Annemijn M")</f>
        <v>Hollands, Laurie J; Vergouwen, Mervyn D I; Greving, Jacoba P; Wermer, Marieke J H; Rinkel, Gabriël J E; Algra, Annemijn M</v>
      </c>
      <c r="AN326" s="32">
        <f>IFERROR(__xludf.DUMMYFUNCTION("""COMPUTED_VALUE"""),44215.0)</f>
        <v>44215</v>
      </c>
    </row>
    <row r="327">
      <c r="A327" s="32"/>
      <c r="I327" s="31" t="str">
        <f>IFERROR(__xludf.DUMMYFUNCTION("""COMPUTED_VALUE"""),"frontiers in immunology")</f>
        <v>frontiers in immunology</v>
      </c>
      <c r="J327" s="38">
        <f>COUNTIF(Data!$F$2:$F9917, $I327)</f>
        <v>12</v>
      </c>
      <c r="T327" s="31" t="s">
        <v>124</v>
      </c>
      <c r="U327" s="31" t="s">
        <v>125</v>
      </c>
      <c r="V327" s="32">
        <v>45437.0</v>
      </c>
      <c r="X327" s="31" t="str">
        <f>IFERROR(__xludf.DUMMYFUNCTION("""COMPUTED_VALUE"""),"Clinical diagnosis of SARS-CoV-2 infection: An observational study of respiratory tract infection in primary care in the early phase of the pandemic.")</f>
        <v>Clinical diagnosis of SARS-CoV-2 infection: An observational study of respiratory tract infection in primary care in the early phase of the pandemic.</v>
      </c>
      <c r="Y327" s="31" t="str">
        <f>IFERROR(__xludf.DUMMYFUNCTION("""COMPUTED_VALUE"""),"van der Velden, Alike W; Shanyinde, Milensu; Bongard, Emily; Böhmer, Femke; Chlabicz, Slawomir; Colliers, Annelies; García-Sangenís, Ana; Malania, Lile; Pauer, Jozsef; Tomacinschii, Angela; Yu, Ly-Mee; Loens, Katherine; Ieven, Margareta; Verheij, Theo J; "&amp;"Goossens, Herman; Vellinga, Akke; Butler, Christopher C")</f>
        <v>van der Velden, Alike W; Shanyinde, Milensu; Bongard, Emily; Böhmer, Femke; Chlabicz, Slawomir; Colliers, Annelies; García-Sangenís, Ana; Malania, Lile; Pauer, Jozsef; Tomacinschii, Angela; Yu, Ly-Mee; Loens, Katherine; Ieven, Margareta; Verheij, Theo J; Goossens, Herman; Vellinga, Akke; Butler, Christopher C</v>
      </c>
      <c r="Z327" s="31">
        <f>IFERROR(__xludf.DUMMYFUNCTION("""COMPUTED_VALUE"""),2023.0)</f>
        <v>2023</v>
      </c>
      <c r="AA327" s="31">
        <f>IFERROR(__xludf.DUMMYFUNCTION("""COMPUTED_VALUE"""),1.0)</f>
        <v>1</v>
      </c>
      <c r="AF327" s="31" t="str">
        <f>IFERROR(__xludf.DUMMYFUNCTION("""COMPUTED_VALUE"""),"Erratum to ""Sex differences in emergency medical services management of patients with myocardial infarction: Analysis of routinely collected data for over 110,000 patients"" [Am Heart J (2021) 87-91].")</f>
        <v>Erratum to "Sex differences in emergency medical services management of patients with myocardial infarction: Analysis of routinely collected data for over 110,000 patients" [Am Heart J (2021) 87-91].</v>
      </c>
      <c r="AG327" s="31" t="str">
        <f>IFERROR(__xludf.DUMMYFUNCTION("""COMPUTED_VALUE"""),"Hsu, Benjumin; Carcel, Cheryl; Wang, Xia; Peters, Sanne A E; Randall, Deborah A; Havard, Alys; Miller, Matthew; Redfern, Julie; Woodward, Mark; Jorm, Louisa R")</f>
        <v>Hsu, Benjumin; Carcel, Cheryl; Wang, Xia; Peters, Sanne A E; Randall, Deborah A; Havard, Alys; Miller, Matthew; Redfern, Julie; Woodward, Mark; Jorm, Louisa R</v>
      </c>
      <c r="AH327" s="32">
        <f>IFERROR(__xludf.DUMMYFUNCTION("""COMPUTED_VALUE"""),44555.0)</f>
        <v>44555</v>
      </c>
      <c r="AI327" s="31" t="str">
        <f>IFERROR(__xludf.DUMMYFUNCTION("""COMPUTED_VALUE"""),"[Personalised care in guidelines is a contradiction in terms].")</f>
        <v>[Personalised care in guidelines is a contradiction in terms].</v>
      </c>
      <c r="AJ327" s="31" t="str">
        <f>IFERROR(__xludf.DUMMYFUNCTION("""COMPUTED_VALUE"""),"Damoiseaux, Roger A M J")</f>
        <v>Damoiseaux, Roger A M J</v>
      </c>
      <c r="AK327" s="32">
        <f>IFERROR(__xludf.DUMMYFUNCTION("""COMPUTED_VALUE"""),41640.0)</f>
        <v>41640</v>
      </c>
      <c r="AL327" s="31" t="str">
        <f>IFERROR(__xludf.DUMMYFUNCTION("""COMPUTED_VALUE"""),"Applications and Recruitment Performance of Web-Based Respondent-Driven Sampling: Scoping Review.")</f>
        <v>Applications and Recruitment Performance of Web-Based Respondent-Driven Sampling: Scoping Review.</v>
      </c>
      <c r="AM327" s="31" t="str">
        <f>IFERROR(__xludf.DUMMYFUNCTION("""COMPUTED_VALUE"""),"Helms, Yannick B; Hamdiui, Nora; Kretzschmar, Mirjam E E; Rocha, Luis E C; van Steenbergen, Jim E; Bengtsson, Linus; Thorson, Anna; Timen, Aura; Stein, Mart L")</f>
        <v>Helms, Yannick B; Hamdiui, Nora; Kretzschmar, Mirjam E E; Rocha, Luis E C; van Steenbergen, Jim E; Bengtsson, Linus; Thorson, Anna; Timen, Aura; Stein, Mart L</v>
      </c>
      <c r="AN327" s="32">
        <f>IFERROR(__xludf.DUMMYFUNCTION("""COMPUTED_VALUE"""),44211.0)</f>
        <v>44211</v>
      </c>
    </row>
    <row r="328">
      <c r="A328" s="32"/>
      <c r="I328" s="31" t="str">
        <f>IFERROR(__xludf.DUMMYFUNCTION("""COMPUTED_VALUE"""),"the journal of urology")</f>
        <v>the journal of urology</v>
      </c>
      <c r="J328" s="38">
        <f>COUNTIF(Data!$F$2:$F9917, $I328)</f>
        <v>1</v>
      </c>
      <c r="T328" s="31" t="s">
        <v>129</v>
      </c>
      <c r="U328" s="31" t="s">
        <v>130</v>
      </c>
      <c r="V328" s="32">
        <v>45436.0</v>
      </c>
      <c r="X328" s="31" t="str">
        <f>IFERROR(__xludf.DUMMYFUNCTION("""COMPUTED_VALUE"""),"A genomic appraisal of invasive Salmonella Typhimurium and associated antibiotic resistance in sub-Saharan Africa.")</f>
        <v>A genomic appraisal of invasive Salmonella Typhimurium and associated antibiotic resistance in sub-Saharan Africa.</v>
      </c>
      <c r="Y328" s="31" t="str">
        <f>IFERROR(__xludf.DUMMYFUNCTION("""COMPUTED_VALUE"""),"Van Puyvelde, Sandra; de Block, Tessa; Sridhar, Sushmita; Bawn, Matt; Kingsley, Robert A; Ingelbeen, Brecht; Beale, Mathew A; Barbé, Barbara; Jeon, Hyon Jin; Mbuyi-Kalonji, Lisette; Phoba, Marie-France; Falay, Dadi; Martiny, Delphine; Vandenberg, Olivier;"&amp;" Affolabi, Dissou; Rutanga, Jean Pierre; Ceyssens, Pieter-Jan; Mattheus, Wesley; Cuypers, Wim L; van der Sande, Marianne A B; Park, Se Eun; Kariuki, Simon; Otieno, Kephas; Lusingu, John P A; Mbwana, Joyce R; Adjei, Samuel; Sarfo, Anima; Agyei, Seth O; Asa"&amp;"nte, Kwaku P; Otieno, Walter; Otieno, Lucas; Tahita, Marc C; Lompo, Palpouguini; Hoffman, Irving F; Mvalo, Tisungane; Msefula, Chisomo; Hassan-Hanga, Fatimah; Obaro, Stephen; Mackenzie, Grant; Deborggraeve, Stijn; Feasey, Nicholas; Marks, Florian; MacLenn"&amp;"an, Calman A; Thomson, Nicholas R; Jacobs, Jan; Dougan, Gordon; Kariuki, Samuel; Lunguya, Octavie")</f>
        <v>Van Puyvelde, Sandra; de Block, Tessa; Sridhar, Sushmita; Bawn, Matt; Kingsley, Robert A; Ingelbeen, Brecht; Beale, Mathew A; Barbé, Barbara; Jeon, Hyon Jin; Mbuyi-Kalonji, Lisette; Phoba, Marie-France; Falay, Dadi; Martiny, Delphine; Vandenberg, Olivier; Affolabi, Dissou; Rutanga, Jean Pierre; Ceyssens, Pieter-Jan; Mattheus, Wesley; Cuypers, Wim L; van der Sande, Marianne A B; Park, Se Eun; Kariuki, Simon; Otieno, Kephas; Lusingu, John P A; Mbwana, Joyce R; Adjei, Samuel; Sarfo, Anima; Agyei, Seth O; Asante, Kwaku P; Otieno, Walter; Otieno, Lucas; Tahita, Marc C; Lompo, Palpouguini; Hoffman, Irving F; Mvalo, Tisungane; Msefula, Chisomo; Hassan-Hanga, Fatimah; Obaro, Stephen; Mackenzie, Grant; Deborggraeve, Stijn; Feasey, Nicholas; Marks, Florian; MacLennan, Calman A; Thomson, Nicholas R; Jacobs, Jan; Dougan, Gordon; Kariuki, Samuel; Lunguya, Octavie</v>
      </c>
      <c r="Z328" s="31">
        <f>IFERROR(__xludf.DUMMYFUNCTION("""COMPUTED_VALUE"""),2023.0)</f>
        <v>2023</v>
      </c>
      <c r="AA328" s="31">
        <f>IFERROR(__xludf.DUMMYFUNCTION("""COMPUTED_VALUE"""),1.0)</f>
        <v>1</v>
      </c>
      <c r="AF328" s="31" t="str">
        <f>IFERROR(__xludf.DUMMYFUNCTION("""COMPUTED_VALUE"""),"Depressive symptoms, social support, and health-related quality of life: A community-based study in Shanghai, China.")</f>
        <v>Depressive symptoms, social support, and health-related quality of life: A community-based study in Shanghai, China.</v>
      </c>
      <c r="AG328" s="31" t="str">
        <f>IFERROR(__xludf.DUMMYFUNCTION("""COMPUTED_VALUE"""),"Wang, Jie; Zou, Runyu; Wu, Ning; Fu, Hua; He, Yanling; Crawford, Paul; Kane, Eddie; Dai, Junming")</f>
        <v>Wang, Jie; Zou, Runyu; Wu, Ning; Fu, Hua; He, Yanling; Crawford, Paul; Kane, Eddie; Dai, Junming</v>
      </c>
      <c r="AH328" s="32">
        <f>IFERROR(__xludf.DUMMYFUNCTION("""COMPUTED_VALUE"""),44550.0)</f>
        <v>44550</v>
      </c>
      <c r="AI328" s="31" t="str">
        <f>IFERROR(__xludf.DUMMYFUNCTION("""COMPUTED_VALUE"""),"Cystitis: antibiotic prescribing, consultation, attitudes and opinions.")</f>
        <v>Cystitis: antibiotic prescribing, consultation, attitudes and opinions.</v>
      </c>
      <c r="AJ328" s="31" t="str">
        <f>IFERROR(__xludf.DUMMYFUNCTION("""COMPUTED_VALUE"""),"Willems, Carmen S J; van den Broek D'Obrenan, Joep; Numans, Mattijs E; Verheij, Theo J M; van der Velden, Alike W")</f>
        <v>Willems, Carmen S J; van den Broek D'Obrenan, Joep; Numans, Mattijs E; Verheij, Theo J M; van der Velden, Alike W</v>
      </c>
      <c r="AK328" s="32">
        <f>IFERROR(__xludf.DUMMYFUNCTION("""COMPUTED_VALUE"""),41615.0)</f>
        <v>41615</v>
      </c>
      <c r="AL328" s="31" t="str">
        <f>IFERROR(__xludf.DUMMYFUNCTION("""COMPUTED_VALUE"""),"Glycoproteoform Profiles of Individual Patients' Plasma Alpha-1-Antichymotrypsin are Unique and Extensively Remodeled Following a Septic Episode.")</f>
        <v>Glycoproteoform Profiles of Individual Patients' Plasma Alpha-1-Antichymotrypsin are Unique and Extensively Remodeled Following a Septic Episode.</v>
      </c>
      <c r="AM328" s="31" t="str">
        <f>IFERROR(__xludf.DUMMYFUNCTION("""COMPUTED_VALUE"""),"Čaval, Tomislav; Lin, Yu-Hsien; Varkila, Meri; Reiding, Karli R; Bonten, Marc J M; Cremer, Olaf L; Franc, Vojtech; Heck, Albert J R")</f>
        <v>Čaval, Tomislav; Lin, Yu-Hsien; Varkila, Meri; Reiding, Karli R; Bonten, Marc J M; Cremer, Olaf L; Franc, Vojtech; Heck, Albert J R</v>
      </c>
      <c r="AN328" s="32">
        <f>IFERROR(__xludf.DUMMYFUNCTION("""COMPUTED_VALUE"""),44210.0)</f>
        <v>44210</v>
      </c>
    </row>
    <row r="329">
      <c r="A329" s="32"/>
      <c r="I329" s="31" t="str">
        <f>IFERROR(__xludf.DUMMYFUNCTION("""COMPUTED_VALUE"""),"injury")</f>
        <v>injury</v>
      </c>
      <c r="J329" s="38">
        <f>COUNTIF(Data!$F$2:$F9917, $I329)</f>
        <v>1</v>
      </c>
      <c r="T329" s="31" t="s">
        <v>134</v>
      </c>
      <c r="U329" s="31" t="s">
        <v>135</v>
      </c>
      <c r="V329" s="32">
        <v>45435.0</v>
      </c>
      <c r="X329" s="31"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Y329" s="31"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Z329" s="31">
        <f>IFERROR(__xludf.DUMMYFUNCTION("""COMPUTED_VALUE"""),2023.0)</f>
        <v>2023</v>
      </c>
      <c r="AA329" s="31">
        <f>IFERROR(__xludf.DUMMYFUNCTION("""COMPUTED_VALUE"""),1.0)</f>
        <v>1</v>
      </c>
      <c r="AF329" s="31" t="str">
        <f>IFERROR(__xludf.DUMMYFUNCTION("""COMPUTED_VALUE"""),"The GetReal Trial Tool: design, assess and discuss clinical drug trials in light of Real World Evidence generation.")</f>
        <v>The GetReal Trial Tool: design, assess and discuss clinical drug trials in light of Real World Evidence generation.</v>
      </c>
      <c r="AG329" s="31" t="str">
        <f>IFERROR(__xludf.DUMMYFUNCTION("""COMPUTED_VALUE"""),"Zuidgeest, Mira G P; Goetz, Iris; Meinecke, Anna-Katharina; Boateng, Daniel; Irving, Elaine A; van Thiel, Ghislaine J M; Welsing, Paco M J; Oude-Rengerink, Katrien; Grobbee, Diederick E; ,")</f>
        <v>Zuidgeest, Mira G P; Goetz, Iris; Meinecke, Anna-Katharina; Boateng, Daniel; Irving, Elaine A; van Thiel, Ghislaine J M; Welsing, Paco M J; Oude-Rengerink, Katrien; Grobbee, Diederick E; ,</v>
      </c>
      <c r="AH329" s="32">
        <f>IFERROR(__xludf.DUMMYFUNCTION("""COMPUTED_VALUE"""),44547.0)</f>
        <v>44547</v>
      </c>
      <c r="AI329" s="31" t="str">
        <f>IFERROR(__xludf.DUMMYFUNCTION("""COMPUTED_VALUE"""),"β blockers for adults with chronic obstructive pulmonary disease.")</f>
        <v>β blockers for adults with chronic obstructive pulmonary disease.</v>
      </c>
      <c r="AJ329" s="31" t="str">
        <f>IFERROR(__xludf.DUMMYFUNCTION("""COMPUTED_VALUE"""),"Rutten, Frans H; Groenwold, Rolf H H")</f>
        <v>Rutten, Frans H; Groenwold, Rolf H H</v>
      </c>
      <c r="AK329" s="32">
        <f>IFERROR(__xludf.DUMMYFUNCTION("""COMPUTED_VALUE"""),41603.0)</f>
        <v>41603</v>
      </c>
      <c r="AL329" s="31" t="str">
        <f>IFERROR(__xludf.DUMMYFUNCTION("""COMPUTED_VALUE"""),"Development and validation of a lifestyle-based model for colorectal cancer risk prediction: the LiFeCRC score.")</f>
        <v>Development and validation of a lifestyle-based model for colorectal cancer risk prediction: the LiFeCRC score.</v>
      </c>
      <c r="AM329" s="31" t="str">
        <f>IFERROR(__xludf.DUMMYFUNCTION("""COMPUTED_VALUE"""),"Aleksandrova, Krasimira; Reichmann, Robin; Kaaks, Rudolf; Jenab, Mazda; Bueno-de-Mesquita, H Bas; Dahm, Christina C; Eriksen, Anne Kirstine; Tjønneland, Anne; Artaud, Fanny; Boutron-Ruault, Marie-Christine; Severi, Gianluca; Hüsing, Anika; Trichopoulou, A"&amp;"ntonia; Karakatsani, Anna; Peppa, Eleni; Panico, Salvatore; Masala, Giovanna; Grioni, Sara; Sacerdote, Carlotta; Tumino, Rosario; Elias, Sjoerd G; May, Anne M; Borch, Kristin B; Sandanger, Torkjel M; Skeie, Guri; Sánchez, Maria-Jose; Huerta, José María; S"&amp;"ala, Núria; Gurrea, Aurelio Barricarte; Quirós, José Ramón; Amiano, Pilar; Berntsson, Jonna; Drake, Isabel; van Guelpen, Bethany; Harlid, Sophia; Key, Tim; Weiderpass, Elisabete; Aglago, Elom K; Cross, Amanda J; Tsilidis, Konstantinos K; Riboli, Elio; Gun"&amp;"ter, Marc J")</f>
        <v>Aleksandrova, Krasimira; Reichmann, Robin; Kaaks, Rudolf; Jenab, Mazda; Bueno-de-Mesquita, H Bas; Dahm, Christina C; Eriksen, Anne Kirstine; Tjønneland, Anne; Artaud, Fanny; Boutron-Ruault, Marie-Christine; Severi, Gianluca; Hüsing, Anika; Trichopoulou, Antonia; Karakatsani, Anna; Peppa, Eleni; Panico, Salvatore; Masala, Giovanna; Grioni, Sara; Sacerdote, Carlotta; Tumino, Rosario; Elias, Sjoerd G; May, Anne M; Borch, Kristin B; Sandanger, Torkjel M; Skeie, Guri; Sánchez, Maria-Jose; Huerta, José María; Sala, Núria; Gurrea, Aurelio Barricarte; Quirós, José Ramón; Amiano, Pilar; Berntsson, Jonna; Drake, Isabel; van Guelpen, Bethany; Harlid, Sophia; Key, Tim; Weiderpass, Elisabete; Aglago, Elom K; Cross, Amanda J; Tsilidis, Konstantinos K; Riboli, Elio; Gunter, Marc J</v>
      </c>
      <c r="AN329" s="32">
        <f>IFERROR(__xludf.DUMMYFUNCTION("""COMPUTED_VALUE"""),44200.0)</f>
        <v>44200</v>
      </c>
    </row>
    <row r="330">
      <c r="A330" s="32"/>
      <c r="I330" s="31" t="str">
        <f>IFERROR(__xludf.DUMMYFUNCTION("""COMPUTED_VALUE"""),"european journal of heart failure")</f>
        <v>european journal of heart failure</v>
      </c>
      <c r="J330" s="38">
        <f>COUNTIF(Data!$F$2:$F9917, $I330)</f>
        <v>35</v>
      </c>
      <c r="T330" s="31" t="s">
        <v>25143</v>
      </c>
      <c r="U330" s="31" t="s">
        <v>135</v>
      </c>
      <c r="V330" s="32">
        <v>45435.0</v>
      </c>
      <c r="X330" s="31" t="str">
        <f>IFERROR(__xludf.DUMMYFUNCTION("""COMPUTED_VALUE"""),"Specific measures for data-intensive health research without consent: a systematic review of soft law instruments and academic literature.")</f>
        <v>Specific measures for data-intensive health research without consent: a systematic review of soft law instruments and academic literature.</v>
      </c>
      <c r="Y330" s="31" t="str">
        <f>IFERROR(__xludf.DUMMYFUNCTION("""COMPUTED_VALUE"""),"Smit, Julie-Anne R; Mostert, Menno; van der Graaf, Rieke; Grobbee, Diederick E; van Delden, Johannes J M")</f>
        <v>Smit, Julie-Anne R; Mostert, Menno; van der Graaf, Rieke; Grobbee, Diederick E; van Delden, Johannes J M</v>
      </c>
      <c r="Z330" s="31">
        <f>IFERROR(__xludf.DUMMYFUNCTION("""COMPUTED_VALUE"""),2023.0)</f>
        <v>2023</v>
      </c>
      <c r="AA330" s="31">
        <f>IFERROR(__xludf.DUMMYFUNCTION("""COMPUTED_VALUE"""),1.0)</f>
        <v>1</v>
      </c>
      <c r="AF330" s="31" t="str">
        <f>IFERROR(__xludf.DUMMYFUNCTION("""COMPUTED_VALUE"""),"SARS-CoV-2 antibody and T cell responses one year after COVID-19 and the booster effect of vaccination: A prospective cohort study.")</f>
        <v>SARS-CoV-2 antibody and T cell responses one year after COVID-19 and the booster effect of vaccination: A prospective cohort study.</v>
      </c>
      <c r="AG330" s="31" t="str">
        <f>IFERROR(__xludf.DUMMYFUNCTION("""COMPUTED_VALUE"""),"Mak, Willem A; Koeleman, Johannes G M; van der Vliet, Marijke; Keuren, Frans; Ong, David S Y")</f>
        <v>Mak, Willem A; Koeleman, Johannes G M; van der Vliet, Marijke; Keuren, Frans; Ong, David S Y</v>
      </c>
      <c r="AH330" s="32">
        <f>IFERROR(__xludf.DUMMYFUNCTION("""COMPUTED_VALUE"""),44539.0)</f>
        <v>44539</v>
      </c>
      <c r="AI330" s="31" t="str">
        <f>IFERROR(__xludf.DUMMYFUNCTION("""COMPUTED_VALUE"""),"Sore throat: effective communication delivers improved diagnosis, enhanced self-care and more rational use of antibiotics.")</f>
        <v>Sore throat: effective communication delivers improved diagnosis, enhanced self-care and more rational use of antibiotics.</v>
      </c>
      <c r="AJ330" s="31" t="str">
        <f>IFERROR(__xludf.DUMMYFUNCTION("""COMPUTED_VALUE"""),"van der Velden, A W; Bell, J; Sessa, A; Duerden, M; Altiner, A")</f>
        <v>van der Velden, A W; Bell, J; Sessa, A; Duerden, M; Altiner, A</v>
      </c>
      <c r="AK330" s="32">
        <f>IFERROR(__xludf.DUMMYFUNCTION("""COMPUTED_VALUE"""),41579.0)</f>
        <v>41579</v>
      </c>
      <c r="AL330" s="31" t="str">
        <f>IFERROR(__xludf.DUMMYFUNCTION("""COMPUTED_VALUE"""),"Biomarkers of Alzheimer's Disease and Cerebrovascular Lesions and Clinical Progression in Patients with Subjective Cognitive Decline: A Systematic Review.")</f>
        <v>Biomarkers of Alzheimer's Disease and Cerebrovascular Lesions and Clinical Progression in Patients with Subjective Cognitive Decline: A Systematic Review.</v>
      </c>
      <c r="AM330" s="31" t="str">
        <f>IFERROR(__xludf.DUMMYFUNCTION("""COMPUTED_VALUE"""),"Scarth, Morgan; Rissanen, Ina; Scholten, Rob J P M; Geerlings, Mirjam I")</f>
        <v>Scarth, Morgan; Rissanen, Ina; Scholten, Rob J P M; Geerlings, Mirjam I</v>
      </c>
      <c r="AN330" s="32">
        <f>IFERROR(__xludf.DUMMYFUNCTION("""COMPUTED_VALUE"""),44197.0)</f>
        <v>44197</v>
      </c>
    </row>
    <row r="331">
      <c r="A331" s="32"/>
      <c r="I331" s="31" t="str">
        <f>IFERROR(__xludf.DUMMYFUNCTION("""COMPUTED_VALUE"""),"prenatal diagnosis")</f>
        <v>prenatal diagnosis</v>
      </c>
      <c r="J331" s="38">
        <f>COUNTIF(Data!$F$2:$F9917, $I331)</f>
        <v>3</v>
      </c>
      <c r="T331" s="31" t="s">
        <v>140</v>
      </c>
      <c r="U331" s="31" t="s">
        <v>141</v>
      </c>
      <c r="V331" s="32">
        <v>45433.0</v>
      </c>
      <c r="X331" s="31" t="str">
        <f>IFERROR(__xludf.DUMMYFUNCTION("""COMPUTED_VALUE"""),"The effect of the urban exposome on COVID-19 health outcomes: A systematic review and meta-analysis.")</f>
        <v>The effect of the urban exposome on COVID-19 health outcomes: A systematic review and meta-analysis.</v>
      </c>
      <c r="Y331" s="31" t="str">
        <f>IFERROR(__xludf.DUMMYFUNCTION("""COMPUTED_VALUE"""),"Houweling, Laura; Maitland-Van der Zee, Anke-Hilse; Holtjer, Judith C S; Bazdar, Somayeh; Vermeulen, Roel C H; Downward, George S; Bloemsma, Lizan D")</f>
        <v>Houweling, Laura; Maitland-Van der Zee, Anke-Hilse; Holtjer, Judith C S; Bazdar, Somayeh; Vermeulen, Roel C H; Downward, George S; Bloemsma, Lizan D</v>
      </c>
      <c r="Z331" s="31">
        <f>IFERROR(__xludf.DUMMYFUNCTION("""COMPUTED_VALUE"""),2023.0)</f>
        <v>2023</v>
      </c>
      <c r="AA331" s="31">
        <f>IFERROR(__xludf.DUMMYFUNCTION("""COMPUTED_VALUE"""),1.0)</f>
        <v>1</v>
      </c>
      <c r="AF331" s="31" t="str">
        <f>IFERROR(__xludf.DUMMYFUNCTION("""COMPUTED_VALUE"""),"Paediatric Hypertension in Africa: A Systematic Review and Meta-Analysis.")</f>
        <v>Paediatric Hypertension in Africa: A Systematic Review and Meta-Analysis.</v>
      </c>
      <c r="AG331" s="31" t="str">
        <f>IFERROR(__xludf.DUMMYFUNCTION("""COMPUTED_VALUE"""),"Crouch, Simone H; Soepnel, Larske M; Kolkenbeck-Ruh, Andrea; Maposa, Innocent; Naidoo, Sanushka; Davies, Justine; Norris, Shane A; Ware, Lisa J")</f>
        <v>Crouch, Simone H; Soepnel, Larske M; Kolkenbeck-Ruh, Andrea; Maposa, Innocent; Naidoo, Sanushka; Davies, Justine; Norris, Shane A; Ware, Lisa J</v>
      </c>
      <c r="AH331" s="32">
        <f>IFERROR(__xludf.DUMMYFUNCTION("""COMPUTED_VALUE"""),44536.0)</f>
        <v>44536</v>
      </c>
      <c r="AI331" s="31" t="str">
        <f>IFERROR(__xludf.DUMMYFUNCTION("""COMPUTED_VALUE"""),"Measuring safety culture in Dutch primary care: psychometric characteristics of the SCOPE-PC questionnaire.")</f>
        <v>Measuring safety culture in Dutch primary care: psychometric characteristics of the SCOPE-PC questionnaire.</v>
      </c>
      <c r="AJ331" s="31" t="str">
        <f>IFERROR(__xludf.DUMMYFUNCTION("""COMPUTED_VALUE"""),"Verbakel, Natasha J; Zwart, Dorien L M; Langelaan, Maaike; Verheij, Theo J M; Wagner, Cordula")</f>
        <v>Verbakel, Natasha J; Zwart, Dorien L M; Langelaan, Maaike; Verheij, Theo J M; Wagner, Cordula</v>
      </c>
      <c r="AK331" s="32">
        <f>IFERROR(__xludf.DUMMYFUNCTION("""COMPUTED_VALUE"""),41534.0)</f>
        <v>41534</v>
      </c>
      <c r="AL331" s="31" t="str">
        <f>IFERROR(__xludf.DUMMYFUNCTION("""COMPUTED_VALUE"""),"Sex and Cardiovascular Function in Relation to Vascular Brain Injury in Patients with Cognitive Complaints.")</f>
        <v>Sex and Cardiovascular Function in Relation to Vascular Brain Injury in Patients with Cognitive Complaints.</v>
      </c>
      <c r="AM331" s="31" t="str">
        <f>IFERROR(__xludf.DUMMYFUNCTION("""COMPUTED_VALUE"""),"Kuipers, Sanne; Biessels, Geert Jan; Greving, Jacoba P; Amier, Raquel P; de Bresser, Jeroen; Bron, Esther E; van der Flier, Wiesje M; van der Geest, Rob J; Hooghiemstra, Astrid M; van Oostenbrugge, Robert J; van Osch, Matthias J P; Kappelle, L Jaap; Exalt"&amp;"o, Lieza G; ,")</f>
        <v>Kuipers, Sanne; Biessels, Geert Jan; Greving, Jacoba P; Amier, Raquel P; de Bresser, Jeroen; Bron, Esther E; van der Flier, Wiesje M; van der Geest, Rob J; Hooghiemstra, Astrid M; van Oostenbrugge, Robert J; van Osch, Matthias J P; Kappelle, L Jaap; Exalto, Lieza G; ,</v>
      </c>
      <c r="AN331" s="32">
        <f>IFERROR(__xludf.DUMMYFUNCTION("""COMPUTED_VALUE"""),44197.0)</f>
        <v>44197</v>
      </c>
    </row>
    <row r="332">
      <c r="A332" s="32"/>
      <c r="I332" s="31" t="str">
        <f>IFERROR(__xludf.DUMMYFUNCTION("""COMPUTED_VALUE"""),"frontiers in nutrition")</f>
        <v>frontiers in nutrition</v>
      </c>
      <c r="J332" s="38">
        <f>COUNTIF(Data!$F$2:$F9917, $I332)</f>
        <v>2</v>
      </c>
      <c r="T332" s="31" t="s">
        <v>145</v>
      </c>
      <c r="U332" s="31" t="s">
        <v>146</v>
      </c>
      <c r="V332" s="32">
        <v>45432.0</v>
      </c>
      <c r="X332" s="31" t="str">
        <f>IFERROR(__xludf.DUMMYFUNCTION("""COMPUTED_VALUE"""),"Increased endorsement of TRIPOD and other reporting guidelines by high impact factor journals: survey of instructions to authors.")</f>
        <v>Increased endorsement of TRIPOD and other reporting guidelines by high impact factor journals: survey of instructions to authors.</v>
      </c>
      <c r="Y332" s="31" t="str">
        <f>IFERROR(__xludf.DUMMYFUNCTION("""COMPUTED_VALUE"""),"Heus, Pauline; Idema, Demy L; Kruithof, Emma; Damen, Johanna A A G; Verhoef-Jurgens, Maud S; Reitsma, Johannes B; Moons, Karel G M; Hooft, Lotty")</f>
        <v>Heus, Pauline; Idema, Demy L; Kruithof, Emma; Damen, Johanna A A G; Verhoef-Jurgens, Maud S; Reitsma, Johannes B; Moons, Karel G M; Hooft, Lotty</v>
      </c>
      <c r="Z332" s="31">
        <f>IFERROR(__xludf.DUMMYFUNCTION("""COMPUTED_VALUE"""),2023.0)</f>
        <v>2023</v>
      </c>
      <c r="AA332" s="31">
        <f>IFERROR(__xludf.DUMMYFUNCTION("""COMPUTED_VALUE"""),1.0)</f>
        <v>1</v>
      </c>
      <c r="AF332" s="31" t="str">
        <f>IFERROR(__xludf.DUMMYFUNCTION("""COMPUTED_VALUE"""),"Machine learning approaches to characterize the obesogenic urban exposome.")</f>
        <v>Machine learning approaches to characterize the obesogenic urban exposome.</v>
      </c>
      <c r="AG332" s="31" t="str">
        <f>IFERROR(__xludf.DUMMYFUNCTION("""COMPUTED_VALUE"""),"Ohanyan, Haykanush; Portengen, Lützen; Huss, Anke; Traini, Eugenio; Beulens, Joline W J; Hoek, Gerard; Lakerveld, Jeroen; Vermeulen, Roel")</f>
        <v>Ohanyan, Haykanush; Portengen, Lützen; Huss, Anke; Traini, Eugenio; Beulens, Joline W J; Hoek, Gerard; Lakerveld, Jeroen; Vermeulen, Roel</v>
      </c>
      <c r="AH332" s="32">
        <f>IFERROR(__xludf.DUMMYFUNCTION("""COMPUTED_VALUE"""),44533.0)</f>
        <v>44533</v>
      </c>
      <c r="AI332" s="31" t="str">
        <f>IFERROR(__xludf.DUMMYFUNCTION("""COMPUTED_VALUE"""),"Cluster randomized, controlled trial on patient safety improvement in general practice: a study protocol.")</f>
        <v>Cluster randomized, controlled trial on patient safety improvement in general practice: a study protocol.</v>
      </c>
      <c r="AJ332" s="31" t="str">
        <f>IFERROR(__xludf.DUMMYFUNCTION("""COMPUTED_VALUE"""),"Verbakel, Natasha J; Langelaan, Maaike; Verheij, Theo J M; Wagner, Cordula; Zwart, Dorien L M")</f>
        <v>Verbakel, Natasha J; Langelaan, Maaike; Verheij, Theo J M; Wagner, Cordula; Zwart, Dorien L M</v>
      </c>
      <c r="AK332" s="32">
        <f>IFERROR(__xludf.DUMMYFUNCTION("""COMPUTED_VALUE"""),41515.0)</f>
        <v>41515</v>
      </c>
      <c r="AL332" s="31" t="str">
        <f>IFERROR(__xludf.DUMMYFUNCTION("""COMPUTED_VALUE"""),"Association of Pre-diagnostic Antibody Responses to Escherichia coli and Bacteroides fragilis Toxin Proteins with Colorectal Cancer in a European Cohort.")</f>
        <v>Association of Pre-diagnostic Antibody Responses to Escherichia coli and Bacteroides fragilis Toxin Proteins with Colorectal Cancer in a European Cohort.</v>
      </c>
      <c r="AM332" s="31" t="str">
        <f>IFERROR(__xludf.DUMMYFUNCTION("""COMPUTED_VALUE"""),"Butt, Julia; Jenab, Mazda; Werner, Jill; Fedirko, Veronika; Weiderpass, Elisabete; Dahm, Christina C; Tjønneland, Anne; Olsen, Anja; Boutron-Ruault, Marie-Christine; Rothwell, Joseph A; Severi, Gianluca; Kaaks, Rudolf; Turzanski-Fortner, Renée; Aleksandro"&amp;"va, Krasimira; Schulze, Matthias; Palli, Domenico; Pala, Valeria; Panico, Salvatore; Tumino, Rosario; Sacerdote, Carlotta; Bueno-de-Mesquita, Bas; Van Gils, Carla H; Gram, Inger Torhild; Lukic, Marko; Sala, Núria; Sánchez Pérez, María José; Ardanaz, Eva; "&amp;"Chirlaque, María-Dolores; Palmquist, Richard; Löwenmark, Thyra; Travis, Ruth C; Heath, Alicia; Cross, Amanda J; Freisling, Heinz; Zouiouich, Semi; Aglago, Elom; Waterboer, Tim; Hughes, David J")</f>
        <v>Butt, Julia; Jenab, Mazda; Werner, Jill; Fedirko, Veronika; Weiderpass, Elisabete; Dahm, Christina C; Tjønneland, Anne; Olsen, Anja; Boutron-Ruault, Marie-Christine; Rothwell, Joseph A; Severi, Gianluca; Kaaks, Rudolf; Turzanski-Fortner, Renée; Aleksandrova, Krasimira; Schulze, Matthias; Palli, Domenico; Pala, Valeria; Panico, Salvatore; Tumino, Rosario; Sacerdote, Carlotta; Bueno-de-Mesquita, Bas; Van Gils, Carla H; Gram, Inger Torhild; Lukic, Marko; Sala, Núria; Sánchez Pérez, María José; Ardanaz, Eva; Chirlaque, María-Dolores; Palmquist, Richard; Löwenmark, Thyra; Travis, Ruth C; Heath, Alicia; Cross, Amanda J; Freisling, Heinz; Zouiouich, Semi; Aglago, Elom; Waterboer, Tim; Hughes, David J</v>
      </c>
      <c r="AN332" s="32">
        <f>IFERROR(__xludf.DUMMYFUNCTION("""COMPUTED_VALUE"""),44197.0)</f>
        <v>44197</v>
      </c>
    </row>
    <row r="333">
      <c r="A333" s="32"/>
      <c r="I333" s="31" t="str">
        <f>IFERROR(__xludf.DUMMYFUNCTION("""COMPUTED_VALUE"""),"international journal of cardiology")</f>
        <v>international journal of cardiology</v>
      </c>
      <c r="J333" s="38">
        <f>COUNTIF(Data!$F$2:$F9917, $I333)</f>
        <v>49</v>
      </c>
      <c r="T333" s="31" t="s">
        <v>150</v>
      </c>
      <c r="U333" s="31" t="s">
        <v>151</v>
      </c>
      <c r="V333" s="32">
        <v>45431.0</v>
      </c>
      <c r="X333" s="31" t="str">
        <f>IFERROR(__xludf.DUMMYFUNCTION("""COMPUTED_VALUE"""),"Personalized 3D printed scaffolds: The ethical aspects.")</f>
        <v>Personalized 3D printed scaffolds: The ethical aspects.</v>
      </c>
      <c r="Y333" s="31" t="str">
        <f>IFERROR(__xludf.DUMMYFUNCTION("""COMPUTED_VALUE"""),"van Daal, Manon; de Kanter, Anne-Floor J; Bredenoord, Annelien L; de Graeff, Nienke")</f>
        <v>van Daal, Manon; de Kanter, Anne-Floor J; Bredenoord, Annelien L; de Graeff, Nienke</v>
      </c>
      <c r="Z333" s="31">
        <f>IFERROR(__xludf.DUMMYFUNCTION("""COMPUTED_VALUE"""),2023.0)</f>
        <v>2023</v>
      </c>
      <c r="AA333" s="31">
        <f>IFERROR(__xludf.DUMMYFUNCTION("""COMPUTED_VALUE"""),1.0)</f>
        <v>1</v>
      </c>
      <c r="AF333" s="31" t="str">
        <f>IFERROR(__xludf.DUMMYFUNCTION("""COMPUTED_VALUE"""),"Prognostic accuracy of antenatal Doppler ultrasound for adverse perinatal outcomes in low-income and middle-income countries: a systematic review.")</f>
        <v>Prognostic accuracy of antenatal Doppler ultrasound for adverse perinatal outcomes in low-income and middle-income countries: a systematic review.</v>
      </c>
      <c r="AG333" s="31" t="str">
        <f>IFERROR(__xludf.DUMMYFUNCTION("""COMPUTED_VALUE"""),"Ali, Sam; Heuving, Simelina; Kawooya, Michael G; Byamugisha, Josaphat; Grobbee, Diederick E; Papageorghiou, Aris T; Klipstein-Grobusch, Kerstin; Rijken, Marcus J")</f>
        <v>Ali, Sam; Heuving, Simelina; Kawooya, Michael G; Byamugisha, Josaphat; Grobbee, Diederick E; Papageorghiou, Aris T; Klipstein-Grobusch, Kerstin; Rijken, Marcus J</v>
      </c>
      <c r="AH333" s="32">
        <f>IFERROR(__xludf.DUMMYFUNCTION("""COMPUTED_VALUE"""),44532.0)</f>
        <v>44532</v>
      </c>
      <c r="AI333" s="31" t="str">
        <f>IFERROR(__xludf.DUMMYFUNCTION("""COMPUTED_VALUE"""),"Point-of-care tests in suspected acute myocardial infarction: a systematic review.")</f>
        <v>Point-of-care tests in suspected acute myocardial infarction: a systematic review.</v>
      </c>
      <c r="AJ333" s="31" t="str">
        <f>IFERROR(__xludf.DUMMYFUNCTION("""COMPUTED_VALUE"""),"Bruins Slot, Madeleine H E; van der Heijden, Geert J M G; Stelpstra, Saskia D; Hoes, Arno W; Rutten, Frans H")</f>
        <v>Bruins Slot, Madeleine H E; van der Heijden, Geert J M G; Stelpstra, Saskia D; Hoes, Arno W; Rutten, Frans H</v>
      </c>
      <c r="AK333" s="32">
        <f>IFERROR(__xludf.DUMMYFUNCTION("""COMPUTED_VALUE"""),41501.0)</f>
        <v>41501</v>
      </c>
      <c r="AL333" s="31" t="str">
        <f>IFERROR(__xludf.DUMMYFUNCTION("""COMPUTED_VALUE"""),"Impact of COVID-19 on Tuberculosis Control.")</f>
        <v>Impact of COVID-19 on Tuberculosis Control.</v>
      </c>
      <c r="AM333" s="31" t="str">
        <f>IFERROR(__xludf.DUMMYFUNCTION("""COMPUTED_VALUE"""),"Comella-Del-Barrio, Patricia; De Souza-Galvão, Maria Luiza; Prat-Aymerich, Cristina; Domínguez, José")</f>
        <v>Comella-Del-Barrio, Patricia; De Souza-Galvão, Maria Luiza; Prat-Aymerich, Cristina; Domínguez, José</v>
      </c>
      <c r="AN333" s="32">
        <f>IFERROR(__xludf.DUMMYFUNCTION("""COMPUTED_VALUE"""),44190.0)</f>
        <v>44190</v>
      </c>
    </row>
    <row r="334">
      <c r="A334" s="32"/>
      <c r="I334" s="31" t="str">
        <f>IFERROR(__xludf.DUMMYFUNCTION("""COMPUTED_VALUE"""),"thrombosis research")</f>
        <v>thrombosis research</v>
      </c>
      <c r="J334" s="38">
        <f>COUNTIF(Data!$F$2:$F9917, $I334)</f>
        <v>1</v>
      </c>
      <c r="T334" s="31" t="s">
        <v>155</v>
      </c>
      <c r="U334" s="31" t="s">
        <v>156</v>
      </c>
      <c r="V334" s="32">
        <v>45429.0</v>
      </c>
      <c r="X334" s="31" t="str">
        <f>IFERROR(__xludf.DUMMYFUNCTION("""COMPUTED_VALUE"""),"Barriers and facilitators for implementation of a combined lifestyle intervention in community-dwelling older adults: a scoping review.")</f>
        <v>Barriers and facilitators for implementation of a combined lifestyle intervention in community-dwelling older adults: a scoping review.</v>
      </c>
      <c r="Y334" s="31" t="str">
        <f>IFERROR(__xludf.DUMMYFUNCTION("""COMPUTED_VALUE"""),"van der Laag, Patricia J; Dorhout, Berber G; Heeren, Aaron A; Veenhof, Cindy; Barten, Di-Janne J A; Schoonhoven, Lisette")</f>
        <v>van der Laag, Patricia J; Dorhout, Berber G; Heeren, Aaron A; Veenhof, Cindy; Barten, Di-Janne J A; Schoonhoven, Lisette</v>
      </c>
      <c r="Z334" s="31">
        <f>IFERROR(__xludf.DUMMYFUNCTION("""COMPUTED_VALUE"""),2023.0)</f>
        <v>2023</v>
      </c>
      <c r="AA334" s="31">
        <f>IFERROR(__xludf.DUMMYFUNCTION("""COMPUTED_VALUE"""),1.0)</f>
        <v>1</v>
      </c>
      <c r="AF334" s="31" t="str">
        <f>IFERROR(__xludf.DUMMYFUNCTION("""COMPUTED_VALUE"""),"Development of an in-house SARS-CoV-2 interferon-gamma ELISpot and plate reader-free spot detection method.")</f>
        <v>Development of an in-house SARS-CoV-2 interferon-gamma ELISpot and plate reader-free spot detection method.</v>
      </c>
      <c r="AG334" s="31" t="str">
        <f>IFERROR(__xludf.DUMMYFUNCTION("""COMPUTED_VALUE"""),"Mak, Willem A; Koeleman, Johannes G M; Ong, David S Y")</f>
        <v>Mak, Willem A; Koeleman, Johannes G M; Ong, David S Y</v>
      </c>
      <c r="AH334" s="32">
        <f>IFERROR(__xludf.DUMMYFUNCTION("""COMPUTED_VALUE"""),44531.0)</f>
        <v>44531</v>
      </c>
      <c r="AI334" s="31" t="str">
        <f>IFERROR(__xludf.DUMMYFUNCTION("""COMPUTED_VALUE"""),"Defining and improving quality management in Dutch diabetes care groups and outpatient clinics: design of the study.")</f>
        <v>Defining and improving quality management in Dutch diabetes care groups and outpatient clinics: design of the study.</v>
      </c>
      <c r="AJ334" s="31" t="str">
        <f>IFERROR(__xludf.DUMMYFUNCTION("""COMPUTED_VALUE"""),"Campmans-Kuijpers, Marjo J E; Lemmens, Lidwien C; Baan, Caroline A; Gorter, Kees J; Groothuis, Jolanda; van Vuure, Klementine H; Rutten, Guy E H M")</f>
        <v>Campmans-Kuijpers, Marjo J E; Lemmens, Lidwien C; Baan, Caroline A; Gorter, Kees J; Groothuis, Jolanda; van Vuure, Klementine H; Rutten, Guy E H M</v>
      </c>
      <c r="AK334" s="32">
        <f>IFERROR(__xludf.DUMMYFUNCTION("""COMPUTED_VALUE"""),41369.0)</f>
        <v>41369</v>
      </c>
      <c r="AL334" s="31" t="str">
        <f>IFERROR(__xludf.DUMMYFUNCTION("""COMPUTED_VALUE"""),"Accuracy of continuous glucose monitoring in preterm infants: a systematic review and meta-analysis.")</f>
        <v>Accuracy of continuous glucose monitoring in preterm infants: a systematic review and meta-analysis.</v>
      </c>
      <c r="AM334" s="31" t="str">
        <f>IFERROR(__xludf.DUMMYFUNCTION("""COMPUTED_VALUE"""),"Nava, Chiara; Modiano Hedenmalm, Astrid; Borys, Franciszek; Hooft, Lotty; Bruschettini, Matteo; Jenniskens, Kevin")</f>
        <v>Nava, Chiara; Modiano Hedenmalm, Astrid; Borys, Franciszek; Hooft, Lotty; Bruschettini, Matteo; Jenniskens, Kevin</v>
      </c>
      <c r="AN334" s="32">
        <f>IFERROR(__xludf.DUMMYFUNCTION("""COMPUTED_VALUE"""),44189.0)</f>
        <v>44189</v>
      </c>
    </row>
    <row r="335">
      <c r="A335" s="32"/>
      <c r="I335" s="31" t="str">
        <f>IFERROR(__xludf.DUMMYFUNCTION("""COMPUTED_VALUE"""),"npj precision oncology")</f>
        <v>npj precision oncology</v>
      </c>
      <c r="J335" s="38">
        <f>COUNTIF(Data!$F$2:$F9917, $I335)</f>
        <v>2</v>
      </c>
      <c r="T335" s="31" t="s">
        <v>161</v>
      </c>
      <c r="U335" s="31" t="s">
        <v>162</v>
      </c>
      <c r="V335" s="32">
        <v>45429.0</v>
      </c>
      <c r="X335" s="31" t="str">
        <f>IFERROR(__xludf.DUMMYFUNCTION("""COMPUTED_VALUE"""),"Effect of Physical Exercise on MRI-Assessed Brain Perfusion in Chemotherapy-Treated Breast Cancer Patients: A Randomized Controlled Trial.")</f>
        <v>Effect of Physical Exercise on MRI-Assessed Brain Perfusion in Chemotherapy-Treated Breast Cancer Patients: A Randomized Controlled Trial.</v>
      </c>
      <c r="Y335" s="31" t="str">
        <f>IFERROR(__xludf.DUMMYFUNCTION("""COMPUTED_VALUE"""),"Koevoets, Emmie W; Petr, Jan; Monninkhof, Evelyn M; Geerlings, Mirjam I; Witlox, Lenja; van der Wall, Elsken; Stuiver, Martijn M; Sonke, Gabe S; Velthuis, Miranda J; Jobsen, Jan J; van der Palen, Job; Mutsaerts, Henk J M M; de Ruiter, Michiel B; May, Anne"&amp;" M; Schagen, Sanne B; ,")</f>
        <v>Koevoets, Emmie W; Petr, Jan; Monninkhof, Evelyn M; Geerlings, Mirjam I; Witlox, Lenja; van der Wall, Elsken; Stuiver, Martijn M; Sonke, Gabe S; Velthuis, Miranda J; Jobsen, Jan J; van der Palen, Job; Mutsaerts, Henk J M M; de Ruiter, Michiel B; May, Anne M; Schagen, Sanne B; ,</v>
      </c>
      <c r="Z335" s="31">
        <f>IFERROR(__xludf.DUMMYFUNCTION("""COMPUTED_VALUE"""),2023.0)</f>
        <v>2023</v>
      </c>
      <c r="AA335" s="31">
        <f>IFERROR(__xludf.DUMMYFUNCTION("""COMPUTED_VALUE"""),1.0)</f>
        <v>1</v>
      </c>
      <c r="AF335" s="31" t="str">
        <f>IFERROR(__xludf.DUMMYFUNCTION("""COMPUTED_VALUE"""),"The Use of Questionable Research Practices to Survive in Academia Examined With Expert Elicitation, Prior-Data Conflicts, Bayes Factors for Replication Effects, and the Bayes Truth Serum.")</f>
        <v>The Use of Questionable Research Practices to Survive in Academia Examined With Expert Elicitation, Prior-Data Conflicts, Bayes Factors for Replication Effects, and the Bayes Truth Serum.</v>
      </c>
      <c r="AG335" s="31" t="str">
        <f>IFERROR(__xludf.DUMMYFUNCTION("""COMPUTED_VALUE"""),"van de Schoot, Rens; Winter, Sonja D; Griffioen, Elian; Grimmelikhuijsen, Stephan; Arts, Ingrid; Veen, Duco; Grandfield, Elizabeth M; Tummers, Lars G")</f>
        <v>van de Schoot, Rens; Winter, Sonja D; Griffioen, Elian; Grimmelikhuijsen, Stephan; Arts, Ingrid; Veen, Duco; Grandfield, Elizabeth M; Tummers, Lars G</v>
      </c>
      <c r="AH335" s="32">
        <f>IFERROR(__xludf.DUMMYFUNCTION("""COMPUTED_VALUE"""),44529.0)</f>
        <v>44529</v>
      </c>
      <c r="AI335" s="31" t="str">
        <f>IFERROR(__xludf.DUMMYFUNCTION("""COMPUTED_VALUE"""),"Physical activity in patients with metabolic syndrome: at screening and three years thereafter.")</f>
        <v>Physical activity in patients with metabolic syndrome: at screening and three years thereafter.</v>
      </c>
      <c r="AJ335" s="31" t="str">
        <f>IFERROR(__xludf.DUMMYFUNCTION("""COMPUTED_VALUE"""),"Jansen, Hanneke; den Engelsen, Corine; Rutten, Guy E H M")</f>
        <v>Jansen, Hanneke; den Engelsen, Corine; Rutten, Guy E H M</v>
      </c>
      <c r="AK335" s="32">
        <f>IFERROR(__xludf.DUMMYFUNCTION("""COMPUTED_VALUE"""),41330.0)</f>
        <v>41330</v>
      </c>
      <c r="AL335" s="31" t="str">
        <f>IFERROR(__xludf.DUMMYFUNCTION("""COMPUTED_VALUE"""),"Universal risk assessment upon hospital admission for screening of carriage with multidrug-resistant micro-organisms in a Dutch tertiary care centre.")</f>
        <v>Universal risk assessment upon hospital admission for screening of carriage with multidrug-resistant micro-organisms in a Dutch tertiary care centre.</v>
      </c>
      <c r="AM335" s="31" t="str">
        <f>IFERROR(__xludf.DUMMYFUNCTION("""COMPUTED_VALUE"""),"van Hout, D; Bruijning-Verhagen, P C J; Blok, H E M; Troelstra, A; Bonten, M J M")</f>
        <v>van Hout, D; Bruijning-Verhagen, P C J; Blok, H E M; Troelstra, A; Bonten, M J M</v>
      </c>
      <c r="AN335" s="32">
        <f>IFERROR(__xludf.DUMMYFUNCTION("""COMPUTED_VALUE"""),44189.0)</f>
        <v>44189</v>
      </c>
    </row>
    <row r="336">
      <c r="A336" s="32"/>
      <c r="I336" s="31" t="str">
        <f>IFERROR(__xludf.DUMMYFUNCTION("""COMPUTED_VALUE"""),"med new york ny")</f>
        <v>med new york ny</v>
      </c>
      <c r="J336" s="38">
        <f>COUNTIF(Data!$F$2:$F9917, $I336)</f>
        <v>1</v>
      </c>
      <c r="T336" s="31" t="s">
        <v>166</v>
      </c>
      <c r="U336" s="31" t="s">
        <v>167</v>
      </c>
      <c r="V336" s="32">
        <v>45429.0</v>
      </c>
      <c r="X336" s="31" t="str">
        <f>IFERROR(__xludf.DUMMYFUNCTION("""COMPUTED_VALUE"""),"Statin Use and Coronary Artery Calcification: a Systematic Review and Meta-analysis of Observational Studies and Randomized Controlled Trials.")</f>
        <v>Statin Use and Coronary Artery Calcification: a Systematic Review and Meta-analysis of Observational Studies and Randomized Controlled Trials.</v>
      </c>
      <c r="Y336" s="31" t="str">
        <f>IFERROR(__xludf.DUMMYFUNCTION("""COMPUTED_VALUE"""),"Shahraki, Mitra Nekouei; Jouabadi, Soroush Mohammadi; Bos, Daniel; Stricker, Bruno H; Ahmadizar, Fariba")</f>
        <v>Shahraki, Mitra Nekouei; Jouabadi, Soroush Mohammadi; Bos, Daniel; Stricker, Bruno H; Ahmadizar, Fariba</v>
      </c>
      <c r="Z336" s="31">
        <f>IFERROR(__xludf.DUMMYFUNCTION("""COMPUTED_VALUE"""),2023.0)</f>
        <v>2023</v>
      </c>
      <c r="AA336" s="31">
        <f>IFERROR(__xludf.DUMMYFUNCTION("""COMPUTED_VALUE"""),1.0)</f>
        <v>1</v>
      </c>
      <c r="AF336" s="31" t="str">
        <f>IFERROR(__xludf.DUMMYFUNCTION("""COMPUTED_VALUE"""),"Phylogeny and taxonomy of &lt;i&gt;Podosphaera filipendulae&lt;/i&gt; (&lt;i&gt;Erysiphaceae&lt;/i&gt;) revisited.")</f>
        <v>Phylogeny and taxonomy of &lt;i&gt;Podosphaera filipendulae&lt;/i&gt; (&lt;i&gt;Erysiphaceae&lt;/i&gt;) revisited.</v>
      </c>
      <c r="AG336" s="31" t="str">
        <f>IFERROR(__xludf.DUMMYFUNCTION("""COMPUTED_VALUE"""),"Liu, Shu-Yan; Jin, Danni; Götz, Monika; Bradshaw, Michael; Liu, Miao; Takamatsu, Susumu; Braun, Uwe")</f>
        <v>Liu, Shu-Yan; Jin, Danni; Götz, Monika; Bradshaw, Michael; Liu, Miao; Takamatsu, Susumu; Braun, Uwe</v>
      </c>
      <c r="AH336" s="32">
        <f>IFERROR(__xludf.DUMMYFUNCTION("""COMPUTED_VALUE"""),44520.0)</f>
        <v>44520</v>
      </c>
      <c r="AI336" s="31" t="str">
        <f>IFERROR(__xludf.DUMMYFUNCTION("""COMPUTED_VALUE"""),"Computerized decision support systems in primary care for type 2 diabetes patients only improve patients' outcomes when combined with feedback on performance and case management: a systematic review.")</f>
        <v>Computerized decision support systems in primary care for type 2 diabetes patients only improve patients' outcomes when combined with feedback on performance and case management: a systematic review.</v>
      </c>
      <c r="AJ336" s="31" t="str">
        <f>IFERROR(__xludf.DUMMYFUNCTION("""COMPUTED_VALUE"""),"Cleveringa, Frits G W; Gorter, Kees J; van den Donk, Maureen; van Gijsel, Juliette; Rutten, Guy E H M")</f>
        <v>Cleveringa, Frits G W; Gorter, Kees J; van den Donk, Maureen; van Gijsel, Juliette; Rutten, Guy E H M</v>
      </c>
      <c r="AK336" s="32">
        <f>IFERROR(__xludf.DUMMYFUNCTION("""COMPUTED_VALUE"""),41306.0)</f>
        <v>41306</v>
      </c>
      <c r="AL336" s="31" t="str">
        <f>IFERROR(__xludf.DUMMYFUNCTION("""COMPUTED_VALUE"""),"Molecular Detection of &lt;i&gt;Mycobacterium tuberculosis&lt;/i&gt; in Oral Mucosa from Patients with Presumptive Tuberculosis.")</f>
        <v>Molecular Detection of &lt;i&gt;Mycobacterium tuberculosis&lt;/i&gt; in Oral Mucosa from Patients with Presumptive Tuberculosis.</v>
      </c>
      <c r="AM336" s="31" t="str">
        <f>IFERROR(__xludf.DUMMYFUNCTION("""COMPUTED_VALUE"""),"Molina-Moya, Barbara; Ciobanu, Nelly; Hernandez, Marta; Prat-Aymerich, Cristina; Crudu, Valeriu; Adams, Emily R; Codreanu, Alexandru; Sloan, Derek J; Cuevas, Luis E; Dominguez, Jose")</f>
        <v>Molina-Moya, Barbara; Ciobanu, Nelly; Hernandez, Marta; Prat-Aymerich, Cristina; Crudu, Valeriu; Adams, Emily R; Codreanu, Alexandru; Sloan, Derek J; Cuevas, Luis E; Dominguez, Jose</v>
      </c>
      <c r="AN336" s="32">
        <f>IFERROR(__xludf.DUMMYFUNCTION("""COMPUTED_VALUE"""),44186.0)</f>
        <v>44186</v>
      </c>
    </row>
    <row r="337">
      <c r="A337" s="32"/>
      <c r="I337" s="31" t="str">
        <f>IFERROR(__xludf.DUMMYFUNCTION("""COMPUTED_VALUE"""),"social science medicine")</f>
        <v>social science medicine</v>
      </c>
      <c r="J337" s="38">
        <f>COUNTIF(Data!$F$2:$F9917, $I337)</f>
        <v>6</v>
      </c>
      <c r="T337" s="31" t="s">
        <v>170</v>
      </c>
      <c r="U337" s="31" t="s">
        <v>171</v>
      </c>
      <c r="V337" s="32">
        <v>45428.0</v>
      </c>
      <c r="X337" s="31" t="str">
        <f>IFERROR(__xludf.DUMMYFUNCTION("""COMPUTED_VALUE"""),"Prevalence, patterns, and determinants of multimorbidity among childhood and adult cancer survivors: A systematic review.")</f>
        <v>Prevalence, patterns, and determinants of multimorbidity among childhood and adult cancer survivors: A systematic review.</v>
      </c>
      <c r="Y337" s="31" t="str">
        <f>IFERROR(__xludf.DUMMYFUNCTION("""COMPUTED_VALUE"""),"Asogwa, Ogechukwu A; Quansah, Dan Yedu; Boakye, Daniel; Ezewuiro, Obiageli Ntukogu; Boateng, Daniel")</f>
        <v>Asogwa, Ogechukwu A; Quansah, Dan Yedu; Boakye, Daniel; Ezewuiro, Obiageli Ntukogu; Boateng, Daniel</v>
      </c>
      <c r="Z337" s="31">
        <f>IFERROR(__xludf.DUMMYFUNCTION("""COMPUTED_VALUE"""),2023.0)</f>
        <v>2023</v>
      </c>
      <c r="AA337" s="31">
        <f>IFERROR(__xludf.DUMMYFUNCTION("""COMPUTED_VALUE"""),1.0)</f>
        <v>1</v>
      </c>
      <c r="AF337" s="31" t="str">
        <f>IFERROR(__xludf.DUMMYFUNCTION("""COMPUTED_VALUE"""),"Environmental risk factors of type 2 diabetes-an exposome approach.")</f>
        <v>Environmental risk factors of type 2 diabetes-an exposome approach.</v>
      </c>
      <c r="AG337" s="31" t="str">
        <f>IFERROR(__xludf.DUMMYFUNCTION("""COMPUTED_VALUE"""),"Beulens, Joline W J; Pinho, Maria G M; Abreu, Taymara C; den Braver, Nicole R; Lam, Thao M; Huss, Anke; Vlaanderen, Jelle; Sonnenschein, Tabea; Siddiqui, Noreen Z; Yuan, Zhendong; Kerckhoffs, Jules; Zhernakova, Alexandra; Brandao Gois, Milla F; Vermeulen,"&amp;" Roel C H")</f>
        <v>Beulens, Joline W J; Pinho, Maria G M; Abreu, Taymara C; den Braver, Nicole R; Lam, Thao M; Huss, Anke; Vlaanderen, Jelle; Sonnenschein, Tabea; Siddiqui, Noreen Z; Yuan, Zhendong; Kerckhoffs, Jules; Zhernakova, Alexandra; Brandao Gois, Milla F; Vermeulen, Roel C H</v>
      </c>
      <c r="AH337" s="32">
        <f>IFERROR(__xludf.DUMMYFUNCTION("""COMPUTED_VALUE"""),44518.0)</f>
        <v>44518</v>
      </c>
      <c r="AI337" s="31" t="str">
        <f>IFERROR(__xludf.DUMMYFUNCTION("""COMPUTED_VALUE"""),"Diagnostic value of a heart-type fatty acid-binding protein (H-FABP) bedside test in suspected acute coronary syndrome in primary care.")</f>
        <v>Diagnostic value of a heart-type fatty acid-binding protein (H-FABP) bedside test in suspected acute coronary syndrome in primary care.</v>
      </c>
      <c r="AJ337" s="31" t="str">
        <f>IFERROR(__xludf.DUMMYFUNCTION("""COMPUTED_VALUE"""),"Bruins Slot, M H E; Rutten, F H; van der Heijden, G J M G; Doevendans, P A; Mast, E G; Bredero, A C; van der Spoel, O P; Glatz, J F C; Hoes, A W")</f>
        <v>Bruins Slot, M H E; Rutten, F H; van der Heijden, G J M G; Doevendans, P A; Mast, E G; Bredero, A C; van der Spoel, O P; Glatz, J F C; Hoes, A W</v>
      </c>
      <c r="AK337" s="32">
        <f>IFERROR(__xludf.DUMMYFUNCTION("""COMPUTED_VALUE"""),41291.0)</f>
        <v>41291</v>
      </c>
      <c r="AL337" s="31" t="str">
        <f>IFERROR(__xludf.DUMMYFUNCTION("""COMPUTED_VALUE"""),"Real-time imputation of missing predictor values in clinical practice.")</f>
        <v>Real-time imputation of missing predictor values in clinical practice.</v>
      </c>
      <c r="AM337" s="31" t="str">
        <f>IFERROR(__xludf.DUMMYFUNCTION("""COMPUTED_VALUE"""),"Nijman, Steven W J; Hoogland, Jeroen; Groenhof, T Katrien J; Brandjes, Menno; Jacobs, John J L; Bots, Michiel L; Asselbergs, Folkert W; Moons, Karel G M; Debray, Thomas P A")</f>
        <v>Nijman, Steven W J; Hoogland, Jeroen; Groenhof, T Katrien J; Brandjes, Menno; Jacobs, John J L; Bots, Michiel L; Asselbergs, Folkert W; Moons, Karel G M; Debray, Thomas P A</v>
      </c>
      <c r="AN337" s="32">
        <f>IFERROR(__xludf.DUMMYFUNCTION("""COMPUTED_VALUE"""),44184.0)</f>
        <v>44184</v>
      </c>
    </row>
    <row r="338">
      <c r="A338" s="32"/>
      <c r="I338" s="31" t="str">
        <f>IFERROR(__xludf.DUMMYFUNCTION("""COMPUTED_VALUE"""),"ageing research reviews")</f>
        <v>ageing research reviews</v>
      </c>
      <c r="J338" s="38">
        <f>COUNTIF(Data!$F$2:$F9917, $I338)</f>
        <v>3</v>
      </c>
      <c r="T338" s="31" t="s">
        <v>176</v>
      </c>
      <c r="U338" s="31" t="s">
        <v>177</v>
      </c>
      <c r="V338" s="32">
        <v>45427.0</v>
      </c>
      <c r="X338" s="31" t="str">
        <f>IFERROR(__xludf.DUMMYFUNCTION("""COMPUTED_VALUE"""),"Endoscopic ultrasonography-guided gastroenterostomy versus surgical gastrojejunostomy for palliation of malignant gastric outlet obstruction (ENDURO): study protocol for a randomized controlled trial.")</f>
        <v>Endoscopic ultrasonography-guided gastroenterostomy versus surgical gastrojejunostomy for palliation of malignant gastric outlet obstruction (ENDURO): study protocol for a randomized controlled trial.</v>
      </c>
      <c r="Y338" s="31" t="str">
        <f>IFERROR(__xludf.DUMMYFUNCTION("""COMPUTED_VALUE"""),"Kastelijn, Janine B; van de Pavert, Yorick L; Besselink, Marc G; Fockens, Paul; Voermans, Rogier P; van Wanrooij, Roy L J; de Wijkerslooth, Thomas R; Curvers, Wouter L; de Hingh, Ignace H J T; Bruno, Marco J; Koerkamp, Bas Groot; Patijn, Gijs A; Poen, Ale"&amp;"xander C; van Hooft, Jeanin E; Inderson, Akin; Mieog, J Sven D; Poley, Jan-Werner; Bijlsma, Alderina; Lips, Daan J; Venneman, Niels G; Verdonk, Robert C; van Dullemen, Hendrik M; Hoogwater, Frederik J H; Frederix, Geert W J; Molenaar, I Quintus; Welsing, "&amp;"Paco M J; Moons, Leon M G; van Santvoort, Hjalmar C; Vleggaar, Frank P; ,")</f>
        <v>Kastelijn, Janine B; van de Pavert, Yorick L; Besselink, Marc G; Fockens, Paul; Voermans, Rogier P; van Wanrooij, Roy L J; de Wijkerslooth, Thomas R; Curvers, Wouter L; de Hingh, Ignace H J T; Bruno, Marco J; Koerkamp, Bas Groot; Patijn, Gijs A; Poen, Alexander C; van Hooft, Jeanin E; Inderson, Akin; Mieog, J Sven D; Poley, Jan-Werner; Bijlsma, Alderina; Lips, Daan J; Venneman, Niels G; Verdonk, Robert C; van Dullemen, Hendrik M; Hoogwater, Frederik J H; Frederix, Geert W J; Molenaar, I Quintus; Welsing, Paco M J; Moons, Leon M G; van Santvoort, Hjalmar C; Vleggaar, Frank P; ,</v>
      </c>
      <c r="Z338" s="31">
        <f>IFERROR(__xludf.DUMMYFUNCTION("""COMPUTED_VALUE"""),2023.0)</f>
        <v>2023</v>
      </c>
      <c r="AA338" s="31">
        <f>IFERROR(__xludf.DUMMYFUNCTION("""COMPUTED_VALUE"""),1.0)</f>
        <v>1</v>
      </c>
      <c r="AF338" s="31" t="str">
        <f>IFERROR(__xludf.DUMMYFUNCTION("""COMPUTED_VALUE"""),"The Magnitude and Directions of the Associations between Early Life Factors and Metabolic Syndrome Differ across Geographical Locations among Migrant and Non-Migrant Ghanaians-The RODAM Study.")</f>
        <v>The Magnitude and Directions of the Associations between Early Life Factors and Metabolic Syndrome Differ across Geographical Locations among Migrant and Non-Migrant Ghanaians-The RODAM Study.</v>
      </c>
      <c r="AG338" s="31" t="str">
        <f>IFERROR(__xludf.DUMMYFUNCTION("""COMPUTED_VALUE"""),"van der Heijden, Thijs G W; Chilunga, Felix P; Meeks, Karlijn A C; Addo, Juliet; Danquah, Ina; Beune, Erik J; Bahendeka, Silver K; Klipstein-Grobusch, Kerstin; Mockenhaupt, Frank P; Waltz, Mitzi M; Agyemang, Charles")</f>
        <v>van der Heijden, Thijs G W; Chilunga, Felix P; Meeks, Karlijn A C; Addo, Juliet; Danquah, Ina; Beune, Erik J; Bahendeka, Silver K; Klipstein-Grobusch, Kerstin; Mockenhaupt, Frank P; Waltz, Mitzi M; Agyemang, Charles</v>
      </c>
      <c r="AH338" s="32">
        <f>IFERROR(__xludf.DUMMYFUNCTION("""COMPUTED_VALUE"""),44515.0)</f>
        <v>44515</v>
      </c>
      <c r="AI338" s="31" t="str">
        <f>IFERROR(__xludf.DUMMYFUNCTION("""COMPUTED_VALUE"""),"[SPECT, CMR and PET perfusion: is there added value for patients with angina pectoris?].")</f>
        <v>[SPECT, CMR and PET perfusion: is there added value for patients with angina pectoris?].</v>
      </c>
      <c r="AJ338" s="31" t="str">
        <f>IFERROR(__xludf.DUMMYFUNCTION("""COMPUTED_VALUE"""),"Rutten, Frans H")</f>
        <v>Rutten, Frans H</v>
      </c>
      <c r="AK338" s="32">
        <f>IFERROR(__xludf.DUMMYFUNCTION("""COMPUTED_VALUE"""),41275.0)</f>
        <v>41275</v>
      </c>
      <c r="AL338" s="31" t="str">
        <f>IFERROR(__xludf.DUMMYFUNCTION("""COMPUTED_VALUE"""),"Discovery and validation of an NMR-based metabolomic profile in urine as TB biomarker.")</f>
        <v>Discovery and validation of an NMR-based metabolomic profile in urine as TB biomarker.</v>
      </c>
      <c r="AM338" s="31" t="str">
        <f>IFERROR(__xludf.DUMMYFUNCTION("""COMPUTED_VALUE"""),"Izquierdo-Garcia, José Luis; Comella-Del-Barrio, Patricia; Campos-Olivas, Ramón; Villar-Hernández, Raquel; Prat-Aymerich, Cristina; De Souza-Galvão, Maria Luiza; Jiménez-Fuentes, Maria Angeles; Ruiz-Manzano, Juan; Stojanovic, Zoran; González, Adela; Serra"&amp;"-Vidal, Mar; García-García, Esther; Muriel-Moreno, Beatriz; Millet, Joan Pau; Molina-Pinargote, Israel; Casas, Xavier; Santiago, Javier; Sabriá, Fina; Martos, Carmen; Herzmann, Christian; Ruiz-Cabello, Jesús; Domínguez, José")</f>
        <v>Izquierdo-Garcia, José Luis; Comella-Del-Barrio, Patricia; Campos-Olivas, Ramón; Villar-Hernández, Raquel; Prat-Aymerich, Cristina; De Souza-Galvão, Maria Luiza; Jiménez-Fuentes, Maria Angeles; Ruiz-Manzano, Juan; Stojanovic, Zoran; González, Adela; Serra-Vidal, Mar; García-García, Esther; Muriel-Moreno, Beatriz; Millet, Joan Pau; Molina-Pinargote, Israel; Casas, Xavier; Santiago, Javier; Sabriá, Fina; Martos, Carmen; Herzmann, Christian; Ruiz-Cabello, Jesús; Domínguez, José</v>
      </c>
      <c r="AN338" s="32">
        <f>IFERROR(__xludf.DUMMYFUNCTION("""COMPUTED_VALUE"""),44183.0)</f>
        <v>44183</v>
      </c>
    </row>
    <row r="339">
      <c r="A339" s="32"/>
      <c r="I339" s="31" t="str">
        <f>IFERROR(__xludf.DUMMYFUNCTION("""COMPUTED_VALUE"""),"journal of cancer survivorship research and practice")</f>
        <v>journal of cancer survivorship research and practice</v>
      </c>
      <c r="J339" s="38">
        <f>COUNTIF(Data!$F$2:$F9917, $I339)</f>
        <v>2</v>
      </c>
      <c r="T339" s="31" t="s">
        <v>181</v>
      </c>
      <c r="U339" s="31" t="s">
        <v>182</v>
      </c>
      <c r="V339" s="32">
        <v>45427.0</v>
      </c>
      <c r="X339" s="31" t="str">
        <f>IFERROR(__xludf.DUMMYFUNCTION("""COMPUTED_VALUE"""),"Overcoming ethical and legal obstacles to data linkage in health research: stakeholder perspectives.")</f>
        <v>Overcoming ethical and legal obstacles to data linkage in health research: stakeholder perspectives.</v>
      </c>
      <c r="Y339" s="31" t="str">
        <f>IFERROR(__xludf.DUMMYFUNCTION("""COMPUTED_VALUE"""),"Smit, Julie-Anne R; van der Graaf, Rieke; Mostert, Menno; Vaartjes, Ilonca; Zuidgeest, Mira; Grobbee, Diederik E; van Delden, Johannes J M")</f>
        <v>Smit, Julie-Anne R; van der Graaf, Rieke; Mostert, Menno; Vaartjes, Ilonca; Zuidgeest, Mira; Grobbee, Diederik E; van Delden, Johannes J M</v>
      </c>
      <c r="Z339" s="31">
        <f>IFERROR(__xludf.DUMMYFUNCTION("""COMPUTED_VALUE"""),2023.0)</f>
        <v>2023</v>
      </c>
      <c r="AA339" s="31">
        <f>IFERROR(__xludf.DUMMYFUNCTION("""COMPUTED_VALUE"""),1.0)</f>
        <v>1</v>
      </c>
      <c r="AF339" s="31" t="str">
        <f>IFERROR(__xludf.DUMMYFUNCTION("""COMPUTED_VALUE"""),"Adherence to Direct Oral Anticoagulants in Patients With Non-Valvular Atrial Fibrillation: A Cross-National Comparison in Six European Countries (2008-2015).")</f>
        <v>Adherence to Direct Oral Anticoagulants in Patients With Non-Valvular Atrial Fibrillation: A Cross-National Comparison in Six European Countries (2008-2015).</v>
      </c>
      <c r="AG339" s="31" t="str">
        <f>IFERROR(__xludf.DUMMYFUNCTION("""COMPUTED_VALUE"""),"Sabaté, M; Vidal, X; Ballarin, E; Rottenkolber, M; Schmiedl, S; Grave, B; Huerta, C; Martin-Merino, E; Montero, D; Leon-Muñoz, L M; Gasse, C; Moore, N; Droz, C; Lassalle, R; Aakjær, M; Andersen, M; De Bruin, M L; Souverein, P; Klungel, O H; Gardarsdottir,"&amp;" H; Ibáñez, L")</f>
        <v>Sabaté, M; Vidal, X; Ballarin, E; Rottenkolber, M; Schmiedl, S; Grave, B; Huerta, C; Martin-Merino, E; Montero, D; Leon-Muñoz, L M; Gasse, C; Moore, N; Droz, C; Lassalle, R; Aakjær, M; Andersen, M; De Bruin, M L; Souverein, P; Klungel, O H; Gardarsdottir, H; Ibáñez, L</v>
      </c>
      <c r="AH339" s="32">
        <f>IFERROR(__xludf.DUMMYFUNCTION("""COMPUTED_VALUE"""),44503.0)</f>
        <v>44503</v>
      </c>
      <c r="AI339" s="31" t="str">
        <f>IFERROR(__xludf.DUMMYFUNCTION("""COMPUTED_VALUE"""),"Effectiveness of physician-targeted interventions to improve antibiotic use for respiratory tract infections.")</f>
        <v>Effectiveness of physician-targeted interventions to improve antibiotic use for respiratory tract infections.</v>
      </c>
      <c r="AJ339" s="31" t="str">
        <f>IFERROR(__xludf.DUMMYFUNCTION("""COMPUTED_VALUE"""),"van der Velden, Alike W; Pijpers, Eefje J; Kuyvenhoven, Marijke M; Tonkin-Crine, Sarah K G; Little, Paul; Verheij, Theo J M")</f>
        <v>van der Velden, Alike W; Pijpers, Eefje J; Kuyvenhoven, Marijke M; Tonkin-Crine, Sarah K G; Little, Paul; Verheij, Theo J M</v>
      </c>
      <c r="AK339" s="32">
        <f>IFERROR(__xludf.DUMMYFUNCTION("""COMPUTED_VALUE"""),41244.0)</f>
        <v>41244</v>
      </c>
      <c r="AL339" s="31" t="str">
        <f>IFERROR(__xludf.DUMMYFUNCTION("""COMPUTED_VALUE"""),"Adiposity, metabolites, and colorectal cancer risk: Mendelian randomization study.")</f>
        <v>Adiposity, metabolites, and colorectal cancer risk: Mendelian randomization study.</v>
      </c>
      <c r="AM339" s="31" t="str">
        <f>IFERROR(__xludf.DUMMYFUNCTION("""COMPUTED_VALUE"""),"Bull, Caroline J; Bell, Joshua A; Murphy, Neil; Sanderson, Eleanor; Davey Smith, George; Timpson, Nicholas J; Banbury, Barbara L; Albanes, Demetrius; Berndt, Sonja I; Bézieau, Stéphane; Bishop, D Timothy; Brenner, Hermann; Buchanan, Daniel D; Burnett-Hart"&amp;"man, Andrea; Casey, Graham; Castellví-Bel, Sergi; Chan, Andrew T; Chang-Claude, Jenny; Cross, Amanda J; de la Chapelle, Albert; Figueiredo, Jane C; Gallinger, Steven J; Gapstur, Susan M; Giles, Graham G; Gruber, Stephen B; Gsur, Andrea; Hampe, Jochen; Ham"&amp;"pel, Heather; Harrison, Tabitha A; Hoffmeister, Michael; Hsu, Li; Huang, Wen-Yi; Huyghe, Jeroen R; Jenkins, Mark A; Joshu, Corinne E; Keku, Temitope O; Kühn, Tilman; Kweon, Sun-Seog; Le Marchand, Loic; Li, Christopher I; Li, Li; Lindblom, Annika; Martín, "&amp;"Vicente; May, Anne M; Milne, Roger L; Moreno, Victor; Newcomb, Polly A; Offit, Kenneth; Ogino, Shuji; Phipps, Amanda I; Platz, Elizabeth A; Potter, John D; Qu, Conghui; Quirós, J Ramón; Rennert, Gad; Riboli, Elio; Sakoda, Lori C; Schaf")</f>
        <v>Bull, Caroline J; Bell, Joshua A; Murphy, Neil; Sanderson, Eleanor; Davey Smith, George; Timpson, Nicholas J; Banbury, Barbara L; Albanes, Demetrius; Berndt, Sonja I; Bézieau, Stéphane; Bishop, D Timothy; Brenner, Hermann; Buchanan, Daniel D; Burnett-Hartman, Andrea; Casey, Graham; Castellví-Bel, Sergi; Chan, Andrew T; Chang-Claude, Jenny; Cross, Amanda J; de la Chapelle, Albert; Figueiredo, Jane C; Gallinger, Steven J; Gapstur, Susan M; Giles, Graham G; Gruber, Stephen B; Gsur, Andrea; Hampe, Jochen; Hampel, Heather; Harrison, Tabitha A; Hoffmeister, Michael; Hsu, Li; Huang, Wen-Yi; Huyghe, Jeroen R; Jenkins, Mark A; Joshu, Corinne E; Keku, Temitope O; Kühn, Tilman; Kweon, Sun-Seog; Le Marchand, Loic; Li, Christopher I; Li, Li; Lindblom, Annika; Martín, Vicente; May, Anne M; Milne, Roger L; Moreno, Victor; Newcomb, Polly A; Offit, Kenneth; Ogino, Shuji; Phipps, Amanda I; Platz, Elizabeth A; Potter, John D; Qu, Conghui; Quirós, J Ramón; Rennert, Gad; Riboli, Elio; Sakoda, Lori C; Schaf</v>
      </c>
      <c r="AN339" s="32">
        <f>IFERROR(__xludf.DUMMYFUNCTION("""COMPUTED_VALUE"""),44182.0)</f>
        <v>44182</v>
      </c>
    </row>
    <row r="340">
      <c r="A340" s="32"/>
      <c r="I340" s="31" t="str">
        <f>IFERROR(__xludf.DUMMYFUNCTION("""COMPUTED_VALUE"""),"patient education and counseling")</f>
        <v>patient education and counseling</v>
      </c>
      <c r="J340" s="38">
        <f>COUNTIF(Data!$F$2:$F9917, $I340)</f>
        <v>9</v>
      </c>
      <c r="T340" s="31" t="s">
        <v>186</v>
      </c>
      <c r="U340" s="31" t="s">
        <v>187</v>
      </c>
      <c r="V340" s="32">
        <v>45427.0</v>
      </c>
      <c r="X340" s="31" t="str">
        <f>IFERROR(__xludf.DUMMYFUNCTION("""COMPUTED_VALUE"""),"An Innovative AI-based primer design tool for precise and accurate detection of SARS-CoV-2 variants of concern.")</f>
        <v>An Innovative AI-based primer design tool for precise and accurate detection of SARS-CoV-2 variants of concern.</v>
      </c>
      <c r="Y340" s="31" t="str">
        <f>IFERROR(__xludf.DUMMYFUNCTION("""COMPUTED_VALUE"""),"Perez-Romero, Carmina Angelica; Mendoza-Maldonado, Lucero; Tonda, Alberto; Coz, Etienne; Tabeling, Patrick; Vanhomwegen, Jessica; MacSharry, John; Szafran, Joanna; Bobadilla-Morales, Lucina; Corona-Rivera, Alfredo; Claassen, Eric; Garssen, Johan; Kranevel"&amp;"d, Aletta D; Lopez-Rincon, Alejandro")</f>
        <v>Perez-Romero, Carmina Angelica; Mendoza-Maldonado, Lucero; Tonda, Alberto; Coz, Etienne; Tabeling, Patrick; Vanhomwegen, Jessica; MacSharry, John; Szafran, Joanna; Bobadilla-Morales, Lucina; Corona-Rivera, Alfredo; Claassen, Eric; Garssen, Johan; Kraneveld, Aletta D; Lopez-Rincon, Alejandro</v>
      </c>
      <c r="Z340" s="31">
        <f>IFERROR(__xludf.DUMMYFUNCTION("""COMPUTED_VALUE"""),2023.0)</f>
        <v>2023</v>
      </c>
      <c r="AA340" s="31">
        <f>IFERROR(__xludf.DUMMYFUNCTION("""COMPUTED_VALUE"""),1.0)</f>
        <v>1</v>
      </c>
      <c r="AF340" s="31" t="str">
        <f>IFERROR(__xludf.DUMMYFUNCTION("""COMPUTED_VALUE"""),"Cardiovascular toxicity of contemporary antiretroviral therapy.")</f>
        <v>Cardiovascular toxicity of contemporary antiretroviral therapy.</v>
      </c>
      <c r="AG340" s="31" t="str">
        <f>IFERROR(__xludf.DUMMYFUNCTION("""COMPUTED_VALUE"""),"Vos, Alinda G; Venter, W D F")</f>
        <v>Vos, Alinda G; Venter, W D F</v>
      </c>
      <c r="AH340" s="32">
        <f>IFERROR(__xludf.DUMMYFUNCTION("""COMPUTED_VALUE"""),44501.0)</f>
        <v>44501</v>
      </c>
      <c r="AI340" s="31" t="str">
        <f>IFERROR(__xludf.DUMMYFUNCTION("""COMPUTED_VALUE"""),"Both cardiovascular and non-cardiovascular comorbidity are related to health status in well-controlled type 2 diabetes patients: a cross-sectional analysis.")</f>
        <v>Both cardiovascular and non-cardiovascular comorbidity are related to health status in well-controlled type 2 diabetes patients: a cross-sectional analysis.</v>
      </c>
      <c r="AJ340" s="31" t="str">
        <f>IFERROR(__xludf.DUMMYFUNCTION("""COMPUTED_VALUE"""),"Wermeling, Paulien R; Gorter, Kees J; van Stel, Henk F; Rutten, Guy E H M")</f>
        <v>Wermeling, Paulien R; Gorter, Kees J; van Stel, Henk F; Rutten, Guy E H M</v>
      </c>
      <c r="AK340" s="32">
        <f>IFERROR(__xludf.DUMMYFUNCTION("""COMPUTED_VALUE"""),41187.0)</f>
        <v>41187</v>
      </c>
      <c r="AL340" s="31" t="str">
        <f>IFERROR(__xludf.DUMMYFUNCTION("""COMPUTED_VALUE"""),"The Rhythm of Risk: Sexual Behaviour, PrEP Use and HIV Risk Perception Between 1999 and 2018 Among Men Who Have Sex with Men in Amsterdam, The Netherlands.")</f>
        <v>The Rhythm of Risk: Sexual Behaviour, PrEP Use and HIV Risk Perception Between 1999 and 2018 Among Men Who Have Sex with Men in Amsterdam, The Netherlands.</v>
      </c>
      <c r="AM340" s="31" t="str">
        <f>IFERROR(__xludf.DUMMYFUNCTION("""COMPUTED_VALUE"""),"Basten, Maartje; den Daas, Chantal; Heijne, Janneke C M; Boyd, Anders; Davidovich, Udi; Rozhnova, Ganna; Kretzschmar, Mirjam; Matser, Amy")</f>
        <v>Basten, Maartje; den Daas, Chantal; Heijne, Janneke C M; Boyd, Anders; Davidovich, Udi; Rozhnova, Ganna; Kretzschmar, Mirjam; Matser, Amy</v>
      </c>
      <c r="AN340" s="32">
        <f>IFERROR(__xludf.DUMMYFUNCTION("""COMPUTED_VALUE"""),44167.0)</f>
        <v>44167</v>
      </c>
    </row>
    <row r="341">
      <c r="A341" s="32"/>
      <c r="I341" s="31" t="str">
        <f>IFERROR(__xludf.DUMMYFUNCTION("""COMPUTED_VALUE"""),"jmir nursing")</f>
        <v>jmir nursing</v>
      </c>
      <c r="J341" s="38">
        <f>COUNTIF(Data!$F$2:$F9917, $I341)</f>
        <v>1</v>
      </c>
      <c r="T341" s="31" t="s">
        <v>190</v>
      </c>
      <c r="U341" s="31" t="s">
        <v>191</v>
      </c>
      <c r="V341" s="32">
        <v>45426.0</v>
      </c>
      <c r="X341" s="31" t="str">
        <f>IFERROR(__xludf.DUMMYFUNCTION("""COMPUTED_VALUE"""),"Intima-media thickness at the near or far wall of the common carotid artery in cardiovascular risk assessment.")</f>
        <v>Intima-media thickness at the near or far wall of the common carotid artery in cardiovascular risk assessment.</v>
      </c>
      <c r="Y341" s="31" t="str">
        <f>IFERROR(__xludf.DUMMYFUNCTION("""COMPUTED_VALUE"""),"Seekircher, Lisa; Tschiderer, Lena; Lind, Lars; Safarova, Maya S; Kavousi, Maryam; Ikram, M Arfan; Lonn, Eva; Yusuf, Salim; Grobbee, Diederick E; Kastelein, John J P; Visseren, Frank L J; Walters, Matthew; Dawson, Jesse; Higgins, Peter; Agewall, Stefan; C"&amp;"atapano, Alberico; de Groot, Eric; Espeland, Mark A; Klingenschmid, Gerhard; Magliano, Dianna; Olsen, Michael H; Preiss, David; Sander, Dirk; Skilton, Michael; Zozulińska-Ziółkiewicz, Dorota A; Grooteman, Muriel P C; Blankestijn, Peter J; Kitagawa, Kazuo;"&amp;" Okazaki, Shuhei; Manzi, Maria V; Mancusi, Costantino; Izzo, Raffaele; Desvarieux, Moise; Rundek, Tatjana; Gerstein, Hertzel C; Bots, Michiel L; Sweeting, Michael J; Lorenz, Matthias W; Willeit, Peter")</f>
        <v>Seekircher, Lisa; Tschiderer, Lena; Lind, Lars; Safarova, Maya S; Kavousi, Maryam; Ikram, M Arfan; Lonn, Eva; Yusuf, Salim; Grobbee, Diederick E; Kastelein, John J P; Visseren, Frank L J; Walters, Matthew; Dawson, Jesse; Higgins, Peter; Agewall, Stefan; Catapano, Alberico; de Groot, Eric; Espeland, Mark A; Klingenschmid, Gerhard; Magliano, Dianna; Olsen, Michael H; Preiss, David; Sander, Dirk; Skilton, Michael; Zozulińska-Ziółkiewicz, Dorota A; Grooteman, Muriel P C; Blankestijn, Peter J; Kitagawa, Kazuo; Okazaki, Shuhei; Manzi, Maria V; Mancusi, Costantino; Izzo, Raffaele; Desvarieux, Moise; Rundek, Tatjana; Gerstein, Hertzel C; Bots, Michiel L; Sweeting, Michael J; Lorenz, Matthias W; Willeit, Peter</v>
      </c>
      <c r="Z341" s="31">
        <f>IFERROR(__xludf.DUMMYFUNCTION("""COMPUTED_VALUE"""),2023.0)</f>
        <v>2023</v>
      </c>
      <c r="AA341" s="31">
        <f>IFERROR(__xludf.DUMMYFUNCTION("""COMPUTED_VALUE"""),1.0)</f>
        <v>1</v>
      </c>
      <c r="AF341" s="31" t="str">
        <f>IFERROR(__xludf.DUMMYFUNCTION("""COMPUTED_VALUE"""),"Fifth anniversary of the Sex And Gender Equity in Research (SAGER) guidelines: taking stock and looking ahead.")</f>
        <v>Fifth anniversary of the Sex And Gender Equity in Research (SAGER) guidelines: taking stock and looking ahead.</v>
      </c>
      <c r="AG341" s="31" t="str">
        <f>IFERROR(__xludf.DUMMYFUNCTION("""COMPUTED_VALUE"""),"Peters, Sanne A E; Babor, Thomas F; Norton, Robyn N; Clayton, Janine A; Ovseiko, Pavel V; Tannenbaum, Cara; Heidari, Shirin")</f>
        <v>Peters, Sanne A E; Babor, Thomas F; Norton, Robyn N; Clayton, Janine A; Ovseiko, Pavel V; Tannenbaum, Cara; Heidari, Shirin</v>
      </c>
      <c r="AH341" s="32">
        <f>IFERROR(__xludf.DUMMYFUNCTION("""COMPUTED_VALUE"""),44501.0)</f>
        <v>44501</v>
      </c>
      <c r="AI341" s="31" t="str">
        <f>IFERROR(__xludf.DUMMYFUNCTION("""COMPUTED_VALUE"""),"Effectiveness of peer-led self-management coaching for patients recently diagnosed with Type 2 diabetes mellitus in primary care: a randomized controlled trial.")</f>
        <v>Effectiveness of peer-led self-management coaching for patients recently diagnosed with Type 2 diabetes mellitus in primary care: a randomized controlled trial.</v>
      </c>
      <c r="AJ341" s="31" t="str">
        <f>IFERROR(__xludf.DUMMYFUNCTION("""COMPUTED_VALUE"""),"van der Wulp, I; de Leeuw, J R J; Gorter, K J; Rutten, G E H M")</f>
        <v>van der Wulp, I; de Leeuw, J R J; Gorter, K J; Rutten, G E H M</v>
      </c>
      <c r="AK341" s="32">
        <f>IFERROR(__xludf.DUMMYFUNCTION("""COMPUTED_VALUE"""),41183.0)</f>
        <v>41183</v>
      </c>
      <c r="AL341" s="31" t="str">
        <f>IFERROR(__xludf.DUMMYFUNCTION("""COMPUTED_VALUE"""),"Plasma Trough Concentrations of Antihypertensive Drugs for the Assessment of Treatment Adherence: A Meta-Analysis.")</f>
        <v>Plasma Trough Concentrations of Antihypertensive Drugs for the Assessment of Treatment Adherence: A Meta-Analysis.</v>
      </c>
      <c r="AM341" s="31" t="str">
        <f>IFERROR(__xludf.DUMMYFUNCTION("""COMPUTED_VALUE"""),"Groenland, Eline H; van Kleef, Monique E A M; Bots, Michiel L; Visseren, Frank L J; van der Elst, Kim C M; Spiering, Wilko")</f>
        <v>Groenland, Eline H; van Kleef, Monique E A M; Bots, Michiel L; Visseren, Frank L J; van der Elst, Kim C M; Spiering, Wilko</v>
      </c>
      <c r="AN341" s="32">
        <f>IFERROR(__xludf.DUMMYFUNCTION("""COMPUTED_VALUE"""),44165.0)</f>
        <v>44165</v>
      </c>
    </row>
    <row r="342">
      <c r="A342" s="32"/>
      <c r="I342" s="31" t="str">
        <f>IFERROR(__xludf.DUMMYFUNCTION("""COMPUTED_VALUE"""),"diabetic medicine a journal of the british diabetic association")</f>
        <v>diabetic medicine a journal of the british diabetic association</v>
      </c>
      <c r="J342" s="38">
        <f>COUNTIF(Data!$F$2:$F9917, $I342)</f>
        <v>24</v>
      </c>
      <c r="T342" s="31" t="s">
        <v>196</v>
      </c>
      <c r="U342" s="31" t="s">
        <v>197</v>
      </c>
      <c r="V342" s="32">
        <v>45425.0</v>
      </c>
      <c r="X342" s="31" t="str">
        <f>IFERROR(__xludf.DUMMYFUNCTION("""COMPUTED_VALUE"""),"Heart Rate Variability and Incident Type 2 Diabetes in General Population.")</f>
        <v>Heart Rate Variability and Incident Type 2 Diabetes in General Population.</v>
      </c>
      <c r="Y342" s="31" t="str">
        <f>IFERROR(__xludf.DUMMYFUNCTION("""COMPUTED_VALUE"""),"Wang, Kan; Ahmadizar, Fariba; Geurts, Sven; Arshi, Banafsheh; Kors, Jan A; Rizopoulos, Dimitris; Sijbrands, Eric J G; Ikram, M Arfan; Kavousi, Maryam")</f>
        <v>Wang, Kan; Ahmadizar, Fariba; Geurts, Sven; Arshi, Banafsheh; Kors, Jan A; Rizopoulos, Dimitris; Sijbrands, Eric J G; Ikram, M Arfan; Kavousi, Maryam</v>
      </c>
      <c r="Z342" s="31">
        <f>IFERROR(__xludf.DUMMYFUNCTION("""COMPUTED_VALUE"""),2023.0)</f>
        <v>2023</v>
      </c>
      <c r="AA342" s="31">
        <f>IFERROR(__xludf.DUMMYFUNCTION("""COMPUTED_VALUE"""),1.0)</f>
        <v>1</v>
      </c>
      <c r="AF342" s="31" t="str">
        <f>IFERROR(__xludf.DUMMYFUNCTION("""COMPUTED_VALUE"""),"Intimate partner violence during the COVID-19 pandemic in Western and Southern European countries.")</f>
        <v>Intimate partner violence during the COVID-19 pandemic in Western and Southern European countries.</v>
      </c>
      <c r="AG342" s="31" t="str">
        <f>IFERROR(__xludf.DUMMYFUNCTION("""COMPUTED_VALUE"""),"Brink, Julia; Cullen, Patricia; Beek, Kristen; Peters, Sanne A E")</f>
        <v>Brink, Julia; Cullen, Patricia; Beek, Kristen; Peters, Sanne A E</v>
      </c>
      <c r="AH342" s="32">
        <f>IFERROR(__xludf.DUMMYFUNCTION("""COMPUTED_VALUE"""),44495.0)</f>
        <v>44495</v>
      </c>
      <c r="AI342" s="31" t="str">
        <f>IFERROR(__xludf.DUMMYFUNCTION("""COMPUTED_VALUE"""),"Antibiotics provide no clinically important benefit in mild to moderate acute sinusitis.")</f>
        <v>Antibiotics provide no clinically important benefit in mild to moderate acute sinusitis.</v>
      </c>
      <c r="AJ342" s="31" t="str">
        <f>IFERROR(__xludf.DUMMYFUNCTION("""COMPUTED_VALUE"""),"Venekamp, Roderick P")</f>
        <v>Venekamp, Roderick P</v>
      </c>
      <c r="AK342" s="32">
        <f>IFERROR(__xludf.DUMMYFUNCTION("""COMPUTED_VALUE"""),41080.0)</f>
        <v>41080</v>
      </c>
      <c r="AL342" s="31" t="str">
        <f>IFERROR(__xludf.DUMMYFUNCTION("""COMPUTED_VALUE"""),"Sentinel node biopsy in patients with melanoma improves the accuracy of staging when added to clinicopathological features of the primary tumor.")</f>
        <v>Sentinel node biopsy in patients with melanoma improves the accuracy of staging when added to clinicopathological features of the primary tumor.</v>
      </c>
      <c r="AM342" s="31" t="str">
        <f>IFERROR(__xludf.DUMMYFUNCTION("""COMPUTED_VALUE"""),"El Sharouni, M-A; Stodell, M D; Ahmed, T; Suijkerbuijk, K P M; Cust, A E; Witkamp, A J; Sigurdsson, V; van Diest, P J; Scolyer, R A; Thompson, J F; van Gils, C H; Lo, S N")</f>
        <v>El Sharouni, M-A; Stodell, M D; Ahmed, T; Suijkerbuijk, K P M; Cust, A E; Witkamp, A J; Sigurdsson, V; van Diest, P J; Scolyer, R A; Thompson, J F; van Gils, C H; Lo, S N</v>
      </c>
      <c r="AN342" s="32">
        <f>IFERROR(__xludf.DUMMYFUNCTION("""COMPUTED_VALUE"""),44163.0)</f>
        <v>44163</v>
      </c>
    </row>
    <row r="343">
      <c r="A343" s="32"/>
      <c r="I343" s="31" t="str">
        <f>IFERROR(__xludf.DUMMYFUNCTION("""COMPUTED_VALUE"""),"european respiratory review an official journal of the european respiratory society")</f>
        <v>european respiratory review an official journal of the european respiratory society</v>
      </c>
      <c r="J343" s="38">
        <f>COUNTIF(Data!$F$2:$F9917, $I343)</f>
        <v>1</v>
      </c>
      <c r="T343" s="31" t="s">
        <v>201</v>
      </c>
      <c r="U343" s="31" t="s">
        <v>202</v>
      </c>
      <c r="V343" s="32">
        <v>45422.0</v>
      </c>
      <c r="X343" s="31" t="str">
        <f>IFERROR(__xludf.DUMMYFUNCTION("""COMPUTED_VALUE"""),"Citizen involvement in COVID-19 contact tracing with digital tools: a qualitative study to explore citizens' perspectives and needs.")</f>
        <v>Citizen involvement in COVID-19 contact tracing with digital tools: a qualitative study to explore citizens' perspectives and needs.</v>
      </c>
      <c r="Y343" s="31" t="str">
        <f>IFERROR(__xludf.DUMMYFUNCTION("""COMPUTED_VALUE"""),"van der Meer, A; Helms, Y B; Baron, R; Crutzen, R; Timen, A; Kretzschmar, M E E; Stein, M L; Hamdiui, N")</f>
        <v>van der Meer, A; Helms, Y B; Baron, R; Crutzen, R; Timen, A; Kretzschmar, M E E; Stein, M L; Hamdiui, N</v>
      </c>
      <c r="Z343" s="31">
        <f>IFERROR(__xludf.DUMMYFUNCTION("""COMPUTED_VALUE"""),2023.0)</f>
        <v>2023</v>
      </c>
      <c r="AA343" s="31">
        <f>IFERROR(__xludf.DUMMYFUNCTION("""COMPUTED_VALUE"""),1.0)</f>
        <v>1</v>
      </c>
      <c r="AF343" s="31" t="str">
        <f>IFERROR(__xludf.DUMMYFUNCTION("""COMPUTED_VALUE"""),"Sex-specific associations of body composition measures with cardiac function and structure after 8 years of follow-up.")</f>
        <v>Sex-specific associations of body composition measures with cardiac function and structure after 8 years of follow-up.</v>
      </c>
      <c r="AG343" s="31" t="str">
        <f>IFERROR(__xludf.DUMMYFUNCTION("""COMPUTED_VALUE"""),"Remmelzwaal, Sharon; Beulens, Joline W J; Elders, Petra J M; Stehouwer, Coen D A; Handoko, M Louis; Appelman, Yolande; van Empel, Vanessa; Heymans, Stephane R B; van Ballegooijen, A Johanne")</f>
        <v>Remmelzwaal, Sharon; Beulens, Joline W J; Elders, Petra J M; Stehouwer, Coen D A; Handoko, M Louis; Appelman, Yolande; van Empel, Vanessa; Heymans, Stephane R B; van Ballegooijen, A Johanne</v>
      </c>
      <c r="AH343" s="32">
        <f>IFERROR(__xludf.DUMMYFUNCTION("""COMPUTED_VALUE"""),44495.0)</f>
        <v>44495</v>
      </c>
      <c r="AI343" s="31" t="str">
        <f>IFERROR(__xludf.DUMMYFUNCTION("""COMPUTED_VALUE"""),"High prevalence of previously unknown heart failure and left ventricular dysfunction in patients with type 2 diabetes.")</f>
        <v>High prevalence of previously unknown heart failure and left ventricular dysfunction in patients with type 2 diabetes.</v>
      </c>
      <c r="AJ343" s="31" t="str">
        <f>IFERROR(__xludf.DUMMYFUNCTION("""COMPUTED_VALUE"""),"Boonman-de Winter, L J M; Rutten, F H; Cramer, M J M; Landman, M J; Liem, A H; Rutten, G E H M; Hoes, A W")</f>
        <v>Boonman-de Winter, L J M; Rutten, F H; Cramer, M J M; Landman, M J; Liem, A H; Rutten, G E H M; Hoes, A W</v>
      </c>
      <c r="AK343" s="32">
        <f>IFERROR(__xludf.DUMMYFUNCTION("""COMPUTED_VALUE"""),41047.0)</f>
        <v>41047</v>
      </c>
      <c r="AL343" s="31" t="str">
        <f>IFERROR(__xludf.DUMMYFUNCTION("""COMPUTED_VALUE"""),"The Predictive Value of Low Skeletal Muscle Mass Assessed on Cross-Sectional Imaging for Anti-Cancer Drug Toxicity: A Systematic Review and Meta-Analysis.")</f>
        <v>The Predictive Value of Low Skeletal Muscle Mass Assessed on Cross-Sectional Imaging for Anti-Cancer Drug Toxicity: A Systematic Review and Meta-Analysis.</v>
      </c>
      <c r="AM343" s="31" t="str">
        <f>IFERROR(__xludf.DUMMYFUNCTION("""COMPUTED_VALUE"""),"Huiskamp, Laura F J; Chargi, Najiba; Devriese, Lot A; May, Anne M; Huitema, Alwin D R; de Bree, Remco")</f>
        <v>Huiskamp, Laura F J; Chargi, Najiba; Devriese, Lot A; May, Anne M; Huitema, Alwin D R; de Bree, Remco</v>
      </c>
      <c r="AN343" s="32">
        <f>IFERROR(__xludf.DUMMYFUNCTION("""COMPUTED_VALUE"""),44158.0)</f>
        <v>44158</v>
      </c>
    </row>
    <row r="344">
      <c r="A344" s="32"/>
      <c r="I344" s="31" t="str">
        <f>IFERROR(__xludf.DUMMYFUNCTION("""COMPUTED_VALUE"""),"jama pediatrics")</f>
        <v>jama pediatrics</v>
      </c>
      <c r="J344" s="38">
        <f>COUNTIF(Data!$F$2:$F9917, $I344)</f>
        <v>2</v>
      </c>
      <c r="T344" s="31" t="s">
        <v>206</v>
      </c>
      <c r="U344" s="31" t="s">
        <v>207</v>
      </c>
      <c r="V344" s="32">
        <v>45420.0</v>
      </c>
      <c r="X344" s="31" t="str">
        <f>IFERROR(__xludf.DUMMYFUNCTION("""COMPUTED_VALUE"""),"Bacillus Calmette-Guérin vaccination for protection against recurrent herpes labialis: a nested randomised controlled trial.")</f>
        <v>Bacillus Calmette-Guérin vaccination for protection against recurrent herpes labialis: a nested randomised controlled trial.</v>
      </c>
      <c r="Y344" s="31" t="str">
        <f>IFERROR(__xludf.DUMMYFUNCTION("""COMPUTED_VALUE"""),"Pittet, Laure F; Moore, Cecilia L; McDonald, Ellie; Barry, Simone; Bonten, Marc; Campbell, John; Croda, Julio; Dalcolmo, Margareth; Davidson, Andrew; Douglas, Mark W; Gardiner, Kaya; Gwee, Amanda; Jardim, Bruno; Lacerda, Marcus V G; Lucas, Michaela; Lynn,"&amp;" David J; Manning, Laurens; de Oliveira, Roberto D; Perrett, Kirsten P; Prat-Aymerich, Cristina; Richmond, Peter C; Rocha, Jorge L; Rodriguez-Baño, Jesus; Warris, Adilia; Wood, Nicholas J; Messina, Nicole L; Curtis, Nigel; ,")</f>
        <v>Pittet, Laure F; Moore, Cecilia L; McDonald, Ellie; Barry, Simone; Bonten, Marc; Campbell, John; Croda, Julio; Dalcolmo, Margareth; Davidson, Andrew; Douglas, Mark W; Gardiner, Kaya; Gwee, Amanda; Jardim, Bruno; Lacerda, Marcus V G; Lucas, Michaela; Lynn, David J; Manning, Laurens; de Oliveira, Roberto D; Perrett, Kirsten P; Prat-Aymerich, Cristina; Richmond, Peter C; Rocha, Jorge L; Rodriguez-Baño, Jesus; Warris, Adilia; Wood, Nicholas J; Messina, Nicole L; Curtis, Nigel; ,</v>
      </c>
      <c r="Z344" s="31">
        <f>IFERROR(__xludf.DUMMYFUNCTION("""COMPUTED_VALUE"""),2023.0)</f>
        <v>2023</v>
      </c>
      <c r="AA344" s="31">
        <f>IFERROR(__xludf.DUMMYFUNCTION("""COMPUTED_VALUE"""),1.0)</f>
        <v>1</v>
      </c>
      <c r="AF344" s="31" t="str">
        <f>IFERROR(__xludf.DUMMYFUNCTION("""COMPUTED_VALUE"""),"Methodological issues in meta-analyses of real-world clinical data to infer causality.")</f>
        <v>Methodological issues in meta-analyses of real-world clinical data to infer causality.</v>
      </c>
      <c r="AG344" s="31" t="str">
        <f>IFERROR(__xludf.DUMMYFUNCTION("""COMPUTED_VALUE"""),"Uijl, Alicia; Lund, Lars H; Asselbergs, Folkert W; Savarese, Gianluigi")</f>
        <v>Uijl, Alicia; Lund, Lars H; Asselbergs, Folkert W; Savarese, Gianluigi</v>
      </c>
      <c r="AH344" s="32">
        <f>IFERROR(__xludf.DUMMYFUNCTION("""COMPUTED_VALUE"""),44491.0)</f>
        <v>44491</v>
      </c>
      <c r="AI344" s="31" t="str">
        <f>IFERROR(__xludf.DUMMYFUNCTION("""COMPUTED_VALUE"""),"[Heart failure with preserved ejection fraction: Diastolic heart failure].")</f>
        <v>[Heart failure with preserved ejection fraction: Diastolic heart failure].</v>
      </c>
      <c r="AJ344" s="31" t="str">
        <f>IFERROR(__xludf.DUMMYFUNCTION("""COMPUTED_VALUE"""),"Rutten, Frans H; Cramer, Maarten-Jan M; Paulus, Walter J")</f>
        <v>Rutten, Frans H; Cramer, Maarten-Jan M; Paulus, Walter J</v>
      </c>
      <c r="AK344" s="32">
        <f>IFERROR(__xludf.DUMMYFUNCTION("""COMPUTED_VALUE"""),40909.0)</f>
        <v>40909</v>
      </c>
      <c r="AL344" s="31" t="str">
        <f>IFERROR(__xludf.DUMMYFUNCTION("""COMPUTED_VALUE"""),"Routine laboratory testing to determine if a patient has COVID-19.")</f>
        <v>Routine laboratory testing to determine if a patient has COVID-19.</v>
      </c>
      <c r="AM344" s="31" t="str">
        <f>IFERROR(__xludf.DUMMYFUNCTION("""COMPUTED_VALUE"""),"Stegeman, Inge; Ochodo, Eleanor A; Guleid, Fatuma; Holtman, Gea A; Yang, Bada; Davenport, Clare; Deeks, Jonathan J; Dinnes, Jacqueline; Dittrich, Sabine; Emperador, Devy; Hooft, Lotty; Spijker, René; Takwoingi, Yemisi; Van den Bruel, Ann; Wang, Junfeng; L"&amp;"angendam, Miranda; Verbakel, Jan Y; Leeflang, Mariska Mg; ,")</f>
        <v>Stegeman, Inge; Ochodo, Eleanor A; Guleid, Fatuma; Holtman, Gea A; Yang, Bada; Davenport, Clare; Deeks, Jonathan J; Dinnes, Jacqueline; Dittrich, Sabine; Emperador, Devy; Hooft, Lotty; Spijker, René; Takwoingi, Yemisi; Van den Bruel, Ann; Wang, Junfeng; Langendam, Miranda; Verbakel, Jan Y; Leeflang, Mariska Mg; ,</v>
      </c>
      <c r="AN344" s="32">
        <f>IFERROR(__xludf.DUMMYFUNCTION("""COMPUTED_VALUE"""),44154.0)</f>
        <v>44154</v>
      </c>
    </row>
    <row r="345">
      <c r="A345" s="32"/>
      <c r="I345" s="31" t="str">
        <f>IFERROR(__xludf.DUMMYFUNCTION("""COMPUTED_VALUE"""),"research report health effects institute")</f>
        <v>research report health effects institute</v>
      </c>
      <c r="J345" s="38">
        <f>COUNTIF(Data!$F$2:$F9917, $I345)</f>
        <v>1</v>
      </c>
      <c r="T345" s="31" t="s">
        <v>211</v>
      </c>
      <c r="U345" s="31" t="s">
        <v>212</v>
      </c>
      <c r="V345" s="32">
        <v>45420.0</v>
      </c>
      <c r="X345" s="31" t="str">
        <f>IFERROR(__xludf.DUMMYFUNCTION("""COMPUTED_VALUE"""),"Relative fat mass and prediction of incident atrial fibrillation, heart failure and coronary artery disease in the general population.")</f>
        <v>Relative fat mass and prediction of incident atrial fibrillation, heart failure and coronary artery disease in the general population.</v>
      </c>
      <c r="Y345" s="31" t="str">
        <f>IFERROR(__xludf.DUMMYFUNCTION("""COMPUTED_VALUE"""),"Zwartkruis, Victor W; Suthahar, Navin; Idema, Demy L; Mahmoud, Belend; van Deutekom, Colinda; Rutten, Frans H; van der Schouw, Yvonne T; Rienstra, Michiel; de Boer, Rudolf A")</f>
        <v>Zwartkruis, Victor W; Suthahar, Navin; Idema, Demy L; Mahmoud, Belend; van Deutekom, Colinda; Rutten, Frans H; van der Schouw, Yvonne T; Rienstra, Michiel; de Boer, Rudolf A</v>
      </c>
      <c r="Z345" s="31">
        <f>IFERROR(__xludf.DUMMYFUNCTION("""COMPUTED_VALUE"""),2023.0)</f>
        <v>2023</v>
      </c>
      <c r="AA345" s="31">
        <f>IFERROR(__xludf.DUMMYFUNCTION("""COMPUTED_VALUE"""),1.0)</f>
        <v>1</v>
      </c>
      <c r="AF345" s="31" t="str">
        <f>IFERROR(__xludf.DUMMYFUNCTION("""COMPUTED_VALUE"""),"High vitamin K status is prospectively associated with decreased left ventricular mass in women: the Hoorn Study.")</f>
        <v>High vitamin K status is prospectively associated with decreased left ventricular mass in women: the Hoorn Study.</v>
      </c>
      <c r="AG345" s="31" t="str">
        <f>IFERROR(__xludf.DUMMYFUNCTION("""COMPUTED_VALUE"""),"Beulens, Joline W J; Dal Canto, Elisa; Stehouwer, Coen D A; Rennenberg, Roger J M W; Elders, Petra J M; van Ballegooijen, Adriana Johanne")</f>
        <v>Beulens, Joline W J; Dal Canto, Elisa; Stehouwer, Coen D A; Rennenberg, Roger J M W; Elders, Petra J M; van Ballegooijen, Adriana Johanne</v>
      </c>
      <c r="AH345" s="32">
        <f>IFERROR(__xludf.DUMMYFUNCTION("""COMPUTED_VALUE"""),44488.0)</f>
        <v>44488</v>
      </c>
      <c r="AI345" s="31" t="str">
        <f>IFERROR(__xludf.DUMMYFUNCTION("""COMPUTED_VALUE"""),"Intensive multifactorial treatment and cognitive functioning in screen-detected type 2 diabetes--the ADDITION-Netherlands study: a cluster-randomized trial.")</f>
        <v>Intensive multifactorial treatment and cognitive functioning in screen-detected type 2 diabetes--the ADDITION-Netherlands study: a cluster-randomized trial.</v>
      </c>
      <c r="AJ345" s="31" t="str">
        <f>IFERROR(__xludf.DUMMYFUNCTION("""COMPUTED_VALUE"""),"Koekkoek, Paula S; Ruis, Carla; van den Donk, Maureen; Biessels, Geert Jan; Gorter, Kees J; Kappelle, L Jaap; Rutten, Guy E H M")</f>
        <v>Koekkoek, Paula S; Ruis, Carla; van den Donk, Maureen; Biessels, Geert Jan; Gorter, Kees J; Kappelle, L Jaap; Rutten, Guy E H M</v>
      </c>
      <c r="AK345" s="32">
        <f>IFERROR(__xludf.DUMMYFUNCTION("""COMPUTED_VALUE"""),40863.0)</f>
        <v>40863</v>
      </c>
      <c r="AL345" s="31" t="str">
        <f>IFERROR(__xludf.DUMMYFUNCTION("""COMPUTED_VALUE"""),"Measuring effects on intima-media thickness: an evaluation of rosuvastatin in Chinese subjects with subclinical atherosclerosis-design, rationale, and methodology of the METEOR-China study.")</f>
        <v>Measuring effects on intima-media thickness: an evaluation of rosuvastatin in Chinese subjects with subclinical atherosclerosis-design, rationale, and methodology of the METEOR-China study.</v>
      </c>
      <c r="AM345" s="31" t="str">
        <f>IFERROR(__xludf.DUMMYFUNCTION("""COMPUTED_VALUE"""),"Wang, Yilong; Wang, Anxin; Li, Hongwei; Li, Zhanquan; Hu, Bo; Li, Xiaogang; Zheng, Huaguang; Fu, Lu; Hu, Hongtao; Nie, Zhiyu; Qin, Yulin; Zhao, Bilian; Wei, Di; Karlson, Björn W; Bots, Michiel L; Chen, Yundai; Wang, Yongjun")</f>
        <v>Wang, Yilong; Wang, Anxin; Li, Hongwei; Li, Zhanquan; Hu, Bo; Li, Xiaogang; Zheng, Huaguang; Fu, Lu; Hu, Hongtao; Nie, Zhiyu; Qin, Yulin; Zhao, Bilian; Wei, Di; Karlson, Björn W; Bots, Michiel L; Chen, Yundai; Wang, Yongjun</v>
      </c>
      <c r="AN345" s="32">
        <f>IFERROR(__xludf.DUMMYFUNCTION("""COMPUTED_VALUE"""),44146.0)</f>
        <v>44146</v>
      </c>
    </row>
    <row r="346">
      <c r="A346" s="32"/>
      <c r="I346" s="31" t="str">
        <f>IFERROR(__xludf.DUMMYFUNCTION("""COMPUTED_VALUE"""),"plos medicine")</f>
        <v>plos medicine</v>
      </c>
      <c r="J346" s="38">
        <f>COUNTIF(Data!$F$2:$F9917, $I346)</f>
        <v>25</v>
      </c>
      <c r="T346" s="31" t="s">
        <v>216</v>
      </c>
      <c r="U346" s="31" t="s">
        <v>217</v>
      </c>
      <c r="V346" s="32">
        <v>45420.0</v>
      </c>
      <c r="X346" s="31" t="str">
        <f>IFERROR(__xludf.DUMMYFUNCTION("""COMPUTED_VALUE"""),"Age at Menopause and the Risk of Stroke: Observational and Mendelian Randomization Analysis in 204 244 Postmenopausal Women.")</f>
        <v>Age at Menopause and the Risk of Stroke: Observational and Mendelian Randomization Analysis in 204 244 Postmenopausal Women.</v>
      </c>
      <c r="Y346" s="31" t="str">
        <f>IFERROR(__xludf.DUMMYFUNCTION("""COMPUTED_VALUE"""),"Tschiderer, Lena; Peters, Sanne A E; van der Schouw, Yvonne T; van Westing, Anniek C; Tong, Tammy Y N; Willeit, Peter; Seekircher, Lisa; Moreno-Iribas, Conchi; Huerta, José María; Crous-Bou, Marta; Söderholm, Martin; Schulze, Matthias B; Johansson, Cecili"&amp;"a; Själander, Sara; Heath, Alicia K; Macciotta, Alessandra; Dahm, Christina C; Ibsen, Daniel B; Pala, Valeria; Mellemkjær, Lene; Burgess, Stephen; Wood, Angela; Kaaks, Rudolf; Katzke, Verena; Amiano, Pilar; Rodriguez-Barranco, Miguel; Engström, Gunnar; We"&amp;"iderpass, Elisabete; Tjønneland, Anne; Halkjær, Jytte; Panico, Salvatore; Danesh, John; Butterworth, Adam; Onland-Moret, N Charlotte")</f>
        <v>Tschiderer, Lena; Peters, Sanne A E; van der Schouw, Yvonne T; van Westing, Anniek C; Tong, Tammy Y N; Willeit, Peter; Seekircher, Lisa; Moreno-Iribas, Conchi; Huerta, José María; Crous-Bou, Marta; Söderholm, Martin; Schulze, Matthias B; Johansson, Cecilia; Själander, Sara; Heath, Alicia K; Macciotta, Alessandra; Dahm, Christina C; Ibsen, Daniel B; Pala, Valeria; Mellemkjær, Lene; Burgess, Stephen; Wood, Angela; Kaaks, Rudolf; Katzke, Verena; Amiano, Pilar; Rodriguez-Barranco, Miguel; Engström, Gunnar; Weiderpass, Elisabete; Tjønneland, Anne; Halkjær, Jytte; Panico, Salvatore; Danesh, John; Butterworth, Adam; Onland-Moret, N Charlotte</v>
      </c>
      <c r="Z346" s="31">
        <f>IFERROR(__xludf.DUMMYFUNCTION("""COMPUTED_VALUE"""),2023.0)</f>
        <v>2023</v>
      </c>
      <c r="AA346" s="31">
        <f>IFERROR(__xludf.DUMMYFUNCTION("""COMPUTED_VALUE"""),1.0)</f>
        <v>1</v>
      </c>
      <c r="AF346" s="31" t="str">
        <f>IFERROR(__xludf.DUMMYFUNCTION("""COMPUTED_VALUE"""),"Food biodiversity and total and cause-specific mortality in 9 European countries: An analysis of a prospective cohort study.")</f>
        <v>Food biodiversity and total and cause-specific mortality in 9 European countries: An analysis of a prospective cohort study.</v>
      </c>
      <c r="AG346" s="31" t="str">
        <f>IFERROR(__xludf.DUMMYFUNCTION("""COMPUTED_VALUE"""),"Hanley-Cook, Giles T; Huybrechts, Inge; Biessy, Carine; Remans, Roseline; Kennedy, Gina; Deschasaux-Tanguy, Mélanie; Murray, Kris A; Touvier, Mathilde; Skeie, Guri; Kesse-Guyot, Emmanuelle; Argaw, Alemayehu; Casagrande, Corinne; Nicolas, Geneviève; Vineis"&amp;", Paolo; Millett, Christopher J; Weiderpass, Elisabete; Ferrari, Pietro; Dahm, Christina C; Bueno-de-Mesquita, H Bas; Sandanger, Torkjel M; Ibsen, Daniel B; Freisling, Heinz; Ramne, Stina; Jannasch, Franziska; van der Schouw, Yvonne T; Schulze, Matthias B"&amp;"; Tsilidis, Konstantinos K; Tjønneland, Anne; Ardanaz, Eva; Bodén, Stina; Cirera, Lluís; Gargano, Giuliana; Halkjær, Jytte; Jakszyn, Paula; Johansson, Ingegerd; Katzke, Verena; Masala, Giovanna; Panico, Salvatore; Rodriguez-Barranco, Miguel; Sacerdote, Ca"&amp;"rlotta; Srour, Bernard; Tumino, Rosario; Riboli, Elio; Gunter, Marc J; Jones, Andrew D; Lachat, Carl")</f>
        <v>Hanley-Cook, Giles T; Huybrechts, Inge; Biessy, Carine; Remans, Roseline; Kennedy, Gina; Deschasaux-Tanguy, Mélanie; Murray, Kris A; Touvier, Mathilde; Skeie, Guri; Kesse-Guyot, Emmanuelle; Argaw, Alemayehu; Casagrande, Corinne; Nicolas, Geneviève; Vineis, Paolo; Millett, Christopher J; Weiderpass, Elisabete; Ferrari, Pietro; Dahm, Christina C; Bueno-de-Mesquita, H Bas; Sandanger, Torkjel M; Ibsen, Daniel B; Freisling, Heinz; Ramne, Stina; Jannasch, Franziska; van der Schouw, Yvonne T; Schulze, Matthias B; Tsilidis, Konstantinos K; Tjønneland, Anne; Ardanaz, Eva; Bodén, Stina; Cirera, Lluís; Gargano, Giuliana; Halkjær, Jytte; Jakszyn, Paula; Johansson, Ingegerd; Katzke, Verena; Masala, Giovanna; Panico, Salvatore; Rodriguez-Barranco, Miguel; Sacerdote, Carlotta; Srour, Bernard; Tumino, Rosario; Riboli, Elio; Gunter, Marc J; Jones, Andrew D; Lachat, Carl</v>
      </c>
      <c r="AH346" s="32">
        <f>IFERROR(__xludf.DUMMYFUNCTION("""COMPUTED_VALUE"""),44487.0)</f>
        <v>44487</v>
      </c>
      <c r="AI346" s="31" t="str">
        <f>IFERROR(__xludf.DUMMYFUNCTION("""COMPUTED_VALUE"""),"Highlights of the 2011 scientific sessions of the Congress of the Heart Failure Association of the European Society of Cardiology.")</f>
        <v>Highlights of the 2011 scientific sessions of the Congress of the Heart Failure Association of the European Society of Cardiology.</v>
      </c>
      <c r="AJ346" s="31" t="str">
        <f>IFERROR(__xludf.DUMMYFUNCTION("""COMPUTED_VALUE"""),"Rutten, Frans H")</f>
        <v>Rutten, Frans H</v>
      </c>
      <c r="AK346" s="32">
        <f>IFERROR(__xludf.DUMMYFUNCTION("""COMPUTED_VALUE"""),40848.0)</f>
        <v>40848</v>
      </c>
      <c r="AL346" s="31" t="str">
        <f>IFERROR(__xludf.DUMMYFUNCTION("""COMPUTED_VALUE"""),"The Physiological MicroRNA Landscape in Nipple Aspirate Fluid: Differences and Similarities with Breast Tissue, Breast Milk, Plasma and Serum.")</f>
        <v>The Physiological MicroRNA Landscape in Nipple Aspirate Fluid: Differences and Similarities with Breast Tissue, Breast Milk, Plasma and Serum.</v>
      </c>
      <c r="AM346" s="31" t="str">
        <f>IFERROR(__xludf.DUMMYFUNCTION("""COMPUTED_VALUE"""),"Patuleia, Susana I S; van Gils, Carla H; Oneto Cao, Angie M; Bakker, Marije F; van Diest, Paul J; van der Wall, Elsken; Moelans, Cathy B")</f>
        <v>Patuleia, Susana I S; van Gils, Carla H; Oneto Cao, Angie M; Bakker, Marije F; van Diest, Paul J; van der Wall, Elsken; Moelans, Cathy B</v>
      </c>
      <c r="AN346" s="32">
        <f>IFERROR(__xludf.DUMMYFUNCTION("""COMPUTED_VALUE"""),44146.0)</f>
        <v>44146</v>
      </c>
    </row>
    <row r="347">
      <c r="A347" s="32"/>
      <c r="I347" s="31" t="str">
        <f>IFERROR(__xludf.DUMMYFUNCTION("""COMPUTED_VALUE"""),"perfusion")</f>
        <v>perfusion</v>
      </c>
      <c r="J347" s="38">
        <f>COUNTIF(Data!$F$2:$F9917, $I347)</f>
        <v>1</v>
      </c>
      <c r="T347" s="31" t="s">
        <v>221</v>
      </c>
      <c r="U347" s="31" t="s">
        <v>222</v>
      </c>
      <c r="V347" s="32">
        <v>45420.0</v>
      </c>
      <c r="X347" s="31" t="str">
        <f>IFERROR(__xludf.DUMMYFUNCTION("""COMPUTED_VALUE"""),"How Smart are Smart Materials? A Conceptual and Ethical Analysis of Smart Lifelike Materials for the Design of Regenerative Valve Implants.")</f>
        <v>How Smart are Smart Materials? A Conceptual and Ethical Analysis of Smart Lifelike Materials for the Design of Regenerative Valve Implants.</v>
      </c>
      <c r="Y347" s="31" t="str">
        <f>IFERROR(__xludf.DUMMYFUNCTION("""COMPUTED_VALUE"""),"de Kanter, Anne-Floor J; Jongsma, Karin R; Bouten, Carlijn V C; Bredenoord, Annelien L")</f>
        <v>de Kanter, Anne-Floor J; Jongsma, Karin R; Bouten, Carlijn V C; Bredenoord, Annelien L</v>
      </c>
      <c r="Z347" s="31">
        <f>IFERROR(__xludf.DUMMYFUNCTION("""COMPUTED_VALUE"""),2023.0)</f>
        <v>2023</v>
      </c>
      <c r="AA347" s="31">
        <f>IFERROR(__xludf.DUMMYFUNCTION("""COMPUTED_VALUE"""),1.0)</f>
        <v>1</v>
      </c>
      <c r="AF347" s="31" t="str">
        <f>IFERROR(__xludf.DUMMYFUNCTION("""COMPUTED_VALUE"""),"A Response to a Letter of Vivat and Twycrossrs information.")</f>
        <v>A Response to a Letter of Vivat and Twycrossrs information.</v>
      </c>
      <c r="AG347" s="31" t="str">
        <f>IFERROR(__xludf.DUMMYFUNCTION("""COMPUTED_VALUE"""),"Heijltjes, M T; van Thiel, Gjmw; Rietjens, Jac; van der Heide, A; de Graeff, A; van Delden, Jjm")</f>
        <v>Heijltjes, M T; van Thiel, Gjmw; Rietjens, Jac; van der Heide, A; de Graeff, A; van Delden, Jjm</v>
      </c>
      <c r="AH347" s="32">
        <f>IFERROR(__xludf.DUMMYFUNCTION("""COMPUTED_VALUE"""),44485.0)</f>
        <v>44485</v>
      </c>
      <c r="AI347" s="31" t="str">
        <f>IFERROR(__xludf.DUMMYFUNCTION("""COMPUTED_VALUE"""),"Patient safety culture measurement in general practice. Clinimetric properties of 'SCOPE'.")</f>
        <v>Patient safety culture measurement in general practice. Clinimetric properties of 'SCOPE'.</v>
      </c>
      <c r="AJ347" s="31" t="str">
        <f>IFERROR(__xludf.DUMMYFUNCTION("""COMPUTED_VALUE"""),"Zwart, Dorien L M; Langelaan, Maaike; van de Vooren, Rosalinde C; Kuyvenhoven, Marijke M; Kalkman, Cor J; Verheij, Theo J M; Wagner, Cordula")</f>
        <v>Zwart, Dorien L M; Langelaan, Maaike; van de Vooren, Rosalinde C; Kuyvenhoven, Marijke M; Kalkman, Cor J; Verheij, Theo J M; Wagner, Cordula</v>
      </c>
      <c r="AK347" s="32">
        <f>IFERROR(__xludf.DUMMYFUNCTION("""COMPUTED_VALUE"""),40848.0)</f>
        <v>40848</v>
      </c>
      <c r="AL347" s="31" t="str">
        <f>IFERROR(__xludf.DUMMYFUNCTION("""COMPUTED_VALUE"""),"[Forecasting the Pandemic: The Role of Mathematical Models].")</f>
        <v>[Forecasting the Pandemic: The Role of Mathematical Models].</v>
      </c>
      <c r="AM347" s="31" t="str">
        <f>IFERROR(__xludf.DUMMYFUNCTION("""COMPUTED_VALUE"""),"Gomes, Manuel Carmo; Nunes, Ana; Nogueira, João; Rebelo, Carlota; Viana, João; Rozhnova, Ganna")</f>
        <v>Gomes, Manuel Carmo; Nunes, Ana; Nogueira, João; Rebelo, Carlota; Viana, João; Rozhnova, Ganna</v>
      </c>
      <c r="AN347" s="32">
        <f>IFERROR(__xludf.DUMMYFUNCTION("""COMPUTED_VALUE"""),44137.0)</f>
        <v>44137</v>
      </c>
    </row>
    <row r="348">
      <c r="A348" s="32"/>
      <c r="I348" s="31" t="str">
        <f>IFERROR(__xludf.DUMMYFUNCTION("""COMPUTED_VALUE"""),"international journal of infectious diseases ijid official publication of the international society for infectious diseases")</f>
        <v>international journal of infectious diseases ijid official publication of the international society for infectious diseases</v>
      </c>
      <c r="J348" s="38">
        <f>COUNTIF(Data!$F$2:$F9917, $I348)</f>
        <v>6</v>
      </c>
      <c r="T348" s="31" t="s">
        <v>226</v>
      </c>
      <c r="U348" s="31" t="s">
        <v>227</v>
      </c>
      <c r="V348" s="32">
        <v>45420.0</v>
      </c>
      <c r="X348" s="31" t="str">
        <f>IFERROR(__xludf.DUMMYFUNCTION("""COMPUTED_VALUE"""),"Using the multiple streams model to elicit an initial programme theory: from policy dialogues to a roadmap for scaling up integrated care.")</f>
        <v>Using the multiple streams model to elicit an initial programme theory: from policy dialogues to a roadmap for scaling up integrated care.</v>
      </c>
      <c r="Y348" s="31" t="str">
        <f>IFERROR(__xludf.DUMMYFUNCTION("""COMPUTED_VALUE"""),"Martens, Monika; van Olmen, Josefien; Wouters, Edwin; Boateng, Daniel; Van Damme, Wim; Van Belle, Sara")</f>
        <v>Martens, Monika; van Olmen, Josefien; Wouters, Edwin; Boateng, Daniel; Van Damme, Wim; Van Belle, Sara</v>
      </c>
      <c r="Z348" s="31">
        <f>IFERROR(__xludf.DUMMYFUNCTION("""COMPUTED_VALUE"""),2023.0)</f>
        <v>2023</v>
      </c>
      <c r="AA348" s="31">
        <f>IFERROR(__xludf.DUMMYFUNCTION("""COMPUTED_VALUE"""),1.0)</f>
        <v>1</v>
      </c>
      <c r="AF348" s="31" t="str">
        <f>IFERROR(__xludf.DUMMYFUNCTION("""COMPUTED_VALUE"""),"Externalizing your eating disorder: a qualitative interview study.")</f>
        <v>Externalizing your eating disorder: a qualitative interview study.</v>
      </c>
      <c r="AG348" s="31" t="str">
        <f>IFERROR(__xludf.DUMMYFUNCTION("""COMPUTED_VALUE"""),"Voswinkel, Marthe M; Rijkers, Cleo; van Delden, Johannes J M; van Elburg, Annemarie A")</f>
        <v>Voswinkel, Marthe M; Rijkers, Cleo; van Delden, Johannes J M; van Elburg, Annemarie A</v>
      </c>
      <c r="AH348" s="32">
        <f>IFERROR(__xludf.DUMMYFUNCTION("""COMPUTED_VALUE"""),44484.0)</f>
        <v>44484</v>
      </c>
      <c r="AI348" s="31" t="str">
        <f>IFERROR(__xludf.DUMMYFUNCTION("""COMPUTED_VALUE"""),"Screening for type 2 diabetes. Lessons from the ADDITION-Europe study.")</f>
        <v>Screening for type 2 diabetes. Lessons from the ADDITION-Europe study.</v>
      </c>
      <c r="AJ348" s="31" t="str">
        <f>IFERROR(__xludf.DUMMYFUNCTION("""COMPUTED_VALUE"""),"van den Donk, M; Sandbaek, A; Borch-Johnsen, K; Lauritzen, T; Simmons, R K; Wareham, N J; Griffin, S J; Davies, M J; Khunti, K; Rutten, G E H M")</f>
        <v>van den Donk, M; Sandbaek, A; Borch-Johnsen, K; Lauritzen, T; Simmons, R K; Wareham, N J; Griffin, S J; Davies, M J; Khunti, K; Rutten, G E H M</v>
      </c>
      <c r="AK348" s="32">
        <f>IFERROR(__xludf.DUMMYFUNCTION("""COMPUTED_VALUE"""),40848.0)</f>
        <v>40848</v>
      </c>
      <c r="AL348" s="31" t="str">
        <f>IFERROR(__xludf.DUMMYFUNCTION("""COMPUTED_VALUE"""),"Computed tomography for diagnosis of acute appendicitis in adults.")</f>
        <v>Computed tomography for diagnosis of acute appendicitis in adults.</v>
      </c>
      <c r="AM348" s="31" t="str">
        <f>IFERROR(__xludf.DUMMYFUNCTION("""COMPUTED_VALUE"""),"Rud, Bo; Vejborg, Thomas S; Rappeport, Eli D; Reitsma, Johannes B; Wille-Jørgensen, Peer")</f>
        <v>Rud, Bo; Vejborg, Thomas S; Rappeport, Eli D; Reitsma, Johannes B; Wille-Jørgensen, Peer</v>
      </c>
      <c r="AN348" s="32">
        <f>IFERROR(__xludf.DUMMYFUNCTION("""COMPUTED_VALUE"""),44136.0)</f>
        <v>44136</v>
      </c>
    </row>
    <row r="349">
      <c r="A349" s="32"/>
      <c r="I349" s="31" t="str">
        <f>IFERROR(__xludf.DUMMYFUNCTION("""COMPUTED_VALUE"""),"lung cancer amsterdam netherlands")</f>
        <v>lung cancer amsterdam netherlands</v>
      </c>
      <c r="J349" s="38">
        <f>COUNTIF(Data!$F$2:$F9917, $I349)</f>
        <v>2</v>
      </c>
      <c r="T349" s="31" t="s">
        <v>231</v>
      </c>
      <c r="U349" s="31" t="s">
        <v>232</v>
      </c>
      <c r="V349" s="32">
        <v>45420.0</v>
      </c>
      <c r="X349" s="31" t="str">
        <f>IFERROR(__xludf.DUMMYFUNCTION("""COMPUTED_VALUE"""),"Inconsistency identification in network meta-analysis via stochastic search variable selection.")</f>
        <v>Inconsistency identification in network meta-analysis via stochastic search variable selection.</v>
      </c>
      <c r="Y349" s="31" t="str">
        <f>IFERROR(__xludf.DUMMYFUNCTION("""COMPUTED_VALUE"""),"Seitidis, Georgios; Nikolakopoulos, Stavros; Ntzoufras, Ioannis; Mavridis, Dimitris")</f>
        <v>Seitidis, Georgios; Nikolakopoulos, Stavros; Ntzoufras, Ioannis; Mavridis, Dimitris</v>
      </c>
      <c r="Z349" s="31">
        <f>IFERROR(__xludf.DUMMYFUNCTION("""COMPUTED_VALUE"""),2023.0)</f>
        <v>2023</v>
      </c>
      <c r="AA349" s="31">
        <f>IFERROR(__xludf.DUMMYFUNCTION("""COMPUTED_VALUE"""),1.0)</f>
        <v>1</v>
      </c>
      <c r="AF349" s="31" t="str">
        <f>IFERROR(__xludf.DUMMYFUNCTION("""COMPUTED_VALUE"""),"Representation of Women in Stroke Clinical Trials: A Review of 281 Trials Involving More Than 500,000 Participants.")</f>
        <v>Representation of Women in Stroke Clinical Trials: A Review of 281 Trials Involving More Than 500,000 Participants.</v>
      </c>
      <c r="AG349" s="31" t="str">
        <f>IFERROR(__xludf.DUMMYFUNCTION("""COMPUTED_VALUE"""),"Carcel, Cheryl; Harris, Katie; Peters, Sanne A E; Sandset, Else Charlotte; Balicki, Grace; Bushnell, Cheryl D; Howard, Virginia J; Reeves, Mathew J; Anderson, Craig S; Kelly, Peter J; Woodward, Mark")</f>
        <v>Carcel, Cheryl; Harris, Katie; Peters, Sanne A E; Sandset, Else Charlotte; Balicki, Grace; Bushnell, Cheryl D; Howard, Virginia J; Reeves, Mathew J; Anderson, Craig S; Kelly, Peter J; Woodward, Mark</v>
      </c>
      <c r="AH349" s="32">
        <f>IFERROR(__xludf.DUMMYFUNCTION("""COMPUTED_VALUE"""),44482.0)</f>
        <v>44482</v>
      </c>
      <c r="AI349" s="31" t="str">
        <f>IFERROR(__xludf.DUMMYFUNCTION("""COMPUTED_VALUE"""),"Gender differences in pre-hospital time delay and symptom presentation in patients suspected of acute coronary syndrome in primary care.")</f>
        <v>Gender differences in pre-hospital time delay and symptom presentation in patients suspected of acute coronary syndrome in primary care.</v>
      </c>
      <c r="AJ349" s="31" t="str">
        <f>IFERROR(__xludf.DUMMYFUNCTION("""COMPUTED_VALUE"""),"Bruins Slot, Madeleine H E; Rutten, Frans H; van der Heijden, Geert J M G; Doevendans, Pieter A; Mast, E Gijs; Bredero, Ad C; Glatz, Jan F C; Hoes, Arno W")</f>
        <v>Bruins Slot, Madeleine H E; Rutten, Frans H; van der Heijden, Geert J M G; Doevendans, Pieter A; Mast, E Gijs; Bredero, Ad C; Glatz, Jan F C; Hoes, Arno W</v>
      </c>
      <c r="AK349" s="32">
        <f>IFERROR(__xludf.DUMMYFUNCTION("""COMPUTED_VALUE"""),40833.0)</f>
        <v>40833</v>
      </c>
      <c r="AL349" s="31" t="str">
        <f>IFERROR(__xludf.DUMMYFUNCTION("""COMPUTED_VALUE"""),"Barriers and facilitators to reduce low-value care: a qualitative evidence synthesis.")</f>
        <v>Barriers and facilitators to reduce low-value care: a qualitative evidence synthesis.</v>
      </c>
      <c r="AM349" s="31" t="str">
        <f>IFERROR(__xludf.DUMMYFUNCTION("""COMPUTED_VALUE"""),"van Dulmen, S A; Naaktgeboren, C A; Heus, Pauline; Verkerk, Eva W; Weenink, J; Kool, Rudolf Bertijn; Hooft, Lotty")</f>
        <v>van Dulmen, S A; Naaktgeboren, C A; Heus, Pauline; Verkerk, Eva W; Weenink, J; Kool, Rudolf Bertijn; Hooft, Lotty</v>
      </c>
      <c r="AN349" s="32">
        <f>IFERROR(__xludf.DUMMYFUNCTION("""COMPUTED_VALUE"""),44134.0)</f>
        <v>44134</v>
      </c>
    </row>
    <row r="350">
      <c r="A350" s="32"/>
      <c r="I350" s="31" t="str">
        <f>IFERROR(__xludf.DUMMYFUNCTION("""COMPUTED_VALUE"""),"current medical science")</f>
        <v>current medical science</v>
      </c>
      <c r="J350" s="38">
        <f>COUNTIF(Data!$F$2:$F9917, $I350)</f>
        <v>1</v>
      </c>
      <c r="T350" s="31" t="s">
        <v>24890</v>
      </c>
      <c r="U350" s="31" t="s">
        <v>207</v>
      </c>
      <c r="V350" s="32">
        <v>45420.0</v>
      </c>
      <c r="X350" s="31" t="str">
        <f>IFERROR(__xludf.DUMMYFUNCTION("""COMPUTED_VALUE"""),"Which trial do we need? A sequential multiple assignment randomized trial to determine the optimal Clostridioides difficile treatment sequence.")</f>
        <v>Which trial do we need? A sequential multiple assignment randomized trial to determine the optimal Clostridioides difficile treatment sequence.</v>
      </c>
      <c r="Y350" s="31" t="str">
        <f>IFERROR(__xludf.DUMMYFUNCTION("""COMPUTED_VALUE"""),"van Prehn, Joffrey; van Werkhoven, Cornelis H; Skinner, Andrew M; Guery, Benoit; Dubberke, Erik R; Kuijper, Ed J")</f>
        <v>van Prehn, Joffrey; van Werkhoven, Cornelis H; Skinner, Andrew M; Guery, Benoit; Dubberke, Erik R; Kuijper, Ed J</v>
      </c>
      <c r="Z350" s="31">
        <f>IFERROR(__xludf.DUMMYFUNCTION("""COMPUTED_VALUE"""),2023.0)</f>
        <v>2023</v>
      </c>
      <c r="AA350" s="31">
        <f>IFERROR(__xludf.DUMMYFUNCTION("""COMPUTED_VALUE"""),1.0)</f>
        <v>1</v>
      </c>
      <c r="AF350" s="31" t="str">
        <f>IFERROR(__xludf.DUMMYFUNCTION("""COMPUTED_VALUE"""),"Trends in SARS-CoV-2 seroprevalence amongst urban paediatric patients compared with a nationwide cohort in the Netherlands.")</f>
        <v>Trends in SARS-CoV-2 seroprevalence amongst urban paediatric patients compared with a nationwide cohort in the Netherlands.</v>
      </c>
      <c r="AG350" s="31" t="str">
        <f>IFERROR(__xludf.DUMMYFUNCTION("""COMPUTED_VALUE"""),"Rotee, I L M; Ong, D S Y; Koeleman, J G M; Vos, E R A; Tramper-Stranders, G A")</f>
        <v>Rotee, I L M; Ong, D S Y; Koeleman, J G M; Vos, E R A; Tramper-Stranders, G A</v>
      </c>
      <c r="AH350" s="32">
        <f>IFERROR(__xludf.DUMMYFUNCTION("""COMPUTED_VALUE"""),44478.0)</f>
        <v>44478</v>
      </c>
      <c r="AI350" s="31" t="str">
        <f>IFERROR(__xludf.DUMMYFUNCTION("""COMPUTED_VALUE"""),"Primary care patients with heart failure in the last year of their life.")</f>
        <v>Primary care patients with heart failure in the last year of their life.</v>
      </c>
      <c r="AJ350" s="31" t="str">
        <f>IFERROR(__xludf.DUMMYFUNCTION("""COMPUTED_VALUE"""),"Rutten, Frans H; Heddema, Wendelien S; Daggelders, Gerard J A; Hoes, Arno W")</f>
        <v>Rutten, Frans H; Heddema, Wendelien S; Daggelders, Gerard J A; Hoes, Arno W</v>
      </c>
      <c r="AK350" s="32">
        <f>IFERROR(__xludf.DUMMYFUNCTION("""COMPUTED_VALUE"""),40757.0)</f>
        <v>40757</v>
      </c>
      <c r="AL350" s="31" t="str">
        <f>IFERROR(__xludf.DUMMYFUNCTION("""COMPUTED_VALUE"""),"Subtyping Cutaneous Melanoma Matters.")</f>
        <v>Subtyping Cutaneous Melanoma Matters.</v>
      </c>
      <c r="AM350" s="31" t="str">
        <f>IFERROR(__xludf.DUMMYFUNCTION("""COMPUTED_VALUE"""),"El Sharouni, Mary-Ann; van Diest, Paul Johannes; Witkamp, Arjen Joost; Sigurdsson, Vigfús; van Gils, Carla Henrica")</f>
        <v>El Sharouni, Mary-Ann; van Diest, Paul Johannes; Witkamp, Arjen Joost; Sigurdsson, Vigfús; van Gils, Carla Henrica</v>
      </c>
      <c r="AN350" s="32">
        <f>IFERROR(__xludf.DUMMYFUNCTION("""COMPUTED_VALUE"""),44127.0)</f>
        <v>44127</v>
      </c>
    </row>
    <row r="351">
      <c r="A351" s="32"/>
      <c r="I351" s="31" t="str">
        <f>IFERROR(__xludf.DUMMYFUNCTION("""COMPUTED_VALUE"""),"the journal of pediatrics")</f>
        <v>the journal of pediatrics</v>
      </c>
      <c r="J351" s="38">
        <f>COUNTIF(Data!$F$2:$F9917, $I351)</f>
        <v>6</v>
      </c>
      <c r="T351" s="31" t="s">
        <v>236</v>
      </c>
      <c r="U351" s="31" t="s">
        <v>237</v>
      </c>
      <c r="V351" s="32">
        <v>45418.0</v>
      </c>
      <c r="X351" s="31" t="str">
        <f>IFERROR(__xludf.DUMMYFUNCTION("""COMPUTED_VALUE"""),"Dementia prediction in the general population using clinically accessible variables: a proof-of-concept study using machine learning. The AGES-Reykjavik study.")</f>
        <v>Dementia prediction in the general population using clinically accessible variables: a proof-of-concept study using machine learning. The AGES-Reykjavik study.</v>
      </c>
      <c r="Y351" s="31" t="str">
        <f>IFERROR(__xludf.DUMMYFUNCTION("""COMPUTED_VALUE"""),"Twait, Emma L; Andaur Navarro, Constanza L; Gudnason, Vilmunur; Hu, Yi-Han; Launer, Lenore J; Geerlings, Mirjam I")</f>
        <v>Twait, Emma L; Andaur Navarro, Constanza L; Gudnason, Vilmunur; Hu, Yi-Han; Launer, Lenore J; Geerlings, Mirjam I</v>
      </c>
      <c r="Z351" s="31">
        <f>IFERROR(__xludf.DUMMYFUNCTION("""COMPUTED_VALUE"""),2023.0)</f>
        <v>2023</v>
      </c>
      <c r="AA351" s="31">
        <f>IFERROR(__xludf.DUMMYFUNCTION("""COMPUTED_VALUE"""),1.0)</f>
        <v>1</v>
      </c>
      <c r="AF351" s="31" t="str">
        <f>IFERROR(__xludf.DUMMYFUNCTION("""COMPUTED_VALUE"""),"Antenatal Doppler ultrasound implementation in a rural sub-Saharan African setting: exploring the perspectives of women and healthcare providers.")</f>
        <v>Antenatal Doppler ultrasound implementation in a rural sub-Saharan African setting: exploring the perspectives of women and healthcare providers.</v>
      </c>
      <c r="AG351" s="31" t="str">
        <f>IFERROR(__xludf.DUMMYFUNCTION("""COMPUTED_VALUE"""),"Ali, Sam; Kabajaasi, Olive; Kawooya, Michael G; Byamugisha, Josaphat; Zakus, David; Papageorghiou, Aris T; Klipstein-Grobusch, Kerstin; Rijken, Marcus J")</f>
        <v>Ali, Sam; Kabajaasi, Olive; Kawooya, Michael G; Byamugisha, Josaphat; Zakus, David; Papageorghiou, Aris T; Klipstein-Grobusch, Kerstin; Rijken, Marcus J</v>
      </c>
      <c r="AH351" s="32">
        <f>IFERROR(__xludf.DUMMYFUNCTION("""COMPUTED_VALUE"""),44476.0)</f>
        <v>44476</v>
      </c>
      <c r="AI351" s="31" t="str">
        <f>IFERROR(__xludf.DUMMYFUNCTION("""COMPUTED_VALUE"""),"Diagnosing acute coronary syndrome in primary care: comparison of the physicians' risk estimation and a clinical decision rule.")</f>
        <v>Diagnosing acute coronary syndrome in primary care: comparison of the physicians' risk estimation and a clinical decision rule.</v>
      </c>
      <c r="AJ351" s="31" t="str">
        <f>IFERROR(__xludf.DUMMYFUNCTION("""COMPUTED_VALUE"""),"Bruins Slot, M H E; Rutten, F H; van der Heijden, G J M G; Geersing, G J; Glatz, J F C; Hoes, A W")</f>
        <v>Bruins Slot, M H E; Rutten, F H; van der Heijden, G J M G; Geersing, G J; Glatz, J F C; Hoes, A W</v>
      </c>
      <c r="AK351" s="32">
        <f>IFERROR(__xludf.DUMMYFUNCTION("""COMPUTED_VALUE"""),40557.0)</f>
        <v>40557</v>
      </c>
      <c r="AL351" s="31" t="str">
        <f>IFERROR(__xludf.DUMMYFUNCTION("""COMPUTED_VALUE"""),"Lessons Learned from Setting Up a Prospective, Longitudinal, Multicenter Study with Women at High Risk for Breast Cancer.")</f>
        <v>Lessons Learned from Setting Up a Prospective, Longitudinal, Multicenter Study with Women at High Risk for Breast Cancer.</v>
      </c>
      <c r="AM351" s="31" t="str">
        <f>IFERROR(__xludf.DUMMYFUNCTION("""COMPUTED_VALUE"""),"Patuleia, Susana I S; Hagenaars, Sophie C; Moelans, Cathy B; Ausems, Margreet G E M; van Gils, Carla H; Tollenaar, Rob A E M; van Diest, Paul J; Mesker, Wilma E; van der Wall, Elsken")</f>
        <v>Patuleia, Susana I S; Hagenaars, Sophie C; Moelans, Cathy B; Ausems, Margreet G E M; van Gils, Carla H; Tollenaar, Rob A E M; van Diest, Paul J; Mesker, Wilma E; van der Wall, Elsken</v>
      </c>
      <c r="AN351" s="32">
        <f>IFERROR(__xludf.DUMMYFUNCTION("""COMPUTED_VALUE"""),44124.0)</f>
        <v>44124</v>
      </c>
    </row>
    <row r="352">
      <c r="A352" s="32"/>
      <c r="I352" s="31" t="str">
        <f>IFERROR(__xludf.DUMMYFUNCTION("""COMPUTED_VALUE"""),"exposome")</f>
        <v>exposome</v>
      </c>
      <c r="J352" s="38">
        <f>COUNTIF(Data!$F$2:$F9917, $I352)</f>
        <v>2</v>
      </c>
      <c r="T352" s="31" t="s">
        <v>241</v>
      </c>
      <c r="U352" s="31" t="s">
        <v>242</v>
      </c>
      <c r="V352" s="32">
        <v>45415.0</v>
      </c>
      <c r="X352" s="31" t="str">
        <f>IFERROR(__xludf.DUMMYFUNCTION("""COMPUTED_VALUE"""),"Does Heterogeneity Exist in Treatment Associations With Renin-Angiotensin-System Inhibitors or Beta-blockers According to Phenotype Clusters in Heart Failure with Preserved Ejection Fraction?")</f>
        <v>Does Heterogeneity Exist in Treatment Associations With Renin-Angiotensin-System Inhibitors or Beta-blockers According to Phenotype Clusters in Heart Failure with Preserved Ejection Fraction?</v>
      </c>
      <c r="Y352" s="31" t="str">
        <f>IFERROR(__xludf.DUMMYFUNCTION("""COMPUTED_VALUE"""),"Uijl, Alicia; Koudstaal, Stefan; Stolfo, Davide; Dahlström, Ulf; Vaartjes, Ilonca; Grobbee, Rick E; Asselbergs, Folkert W; Lund, Lars H; Savarese, Gianluigi")</f>
        <v>Uijl, Alicia; Koudstaal, Stefan; Stolfo, Davide; Dahlström, Ulf; Vaartjes, Ilonca; Grobbee, Rick E; Asselbergs, Folkert W; Lund, Lars H; Savarese, Gianluigi</v>
      </c>
      <c r="Z352" s="31">
        <f>IFERROR(__xludf.DUMMYFUNCTION("""COMPUTED_VALUE"""),2023.0)</f>
        <v>2023</v>
      </c>
      <c r="AA352" s="31">
        <f>IFERROR(__xludf.DUMMYFUNCTION("""COMPUTED_VALUE"""),1.0)</f>
        <v>1</v>
      </c>
      <c r="AF352" s="31" t="str">
        <f>IFERROR(__xludf.DUMMYFUNCTION("""COMPUTED_VALUE"""),"Correction to: Polygenic risk scores predict diabetes complications and their response to intensive blood pressure and glucose control.")</f>
        <v>Correction to: Polygenic risk scores predict diabetes complications and their response to intensive blood pressure and glucose control.</v>
      </c>
      <c r="AG352" s="31" t="str">
        <f>IFERROR(__xludf.DUMMYFUNCTION("""COMPUTED_VALUE"""),"Tremblay, Johanne; Haloui, Mounsif; Attaoua, Redha; Tahir, Ramzan; Hishmih, Camil; Harvey, François; Marois-Blanchet, François-Christophe; Long, Carole; Simon, Paul; Santucci, Lara; Hizel, Candan; Chalmers, John; Marre, Michel; Harrap, Stephen; Cífková, R"&amp;"enata; Krajčoviechová, Alena; Matthews, David R; Williams, Bryan; Poulter, Neil; Zoungas, Sophia; Colagiuri, Stephen; Mancia, Giuseppe; Grobbee, Diederick E; Rodgers, Anthony; Liu, Liusheng; Agbessi, Mawussé; Bruat, Vanessa; Favé, Marie-Julie; Harwood, Mi"&amp;"chelle P; Awadalla, Philip; Woodward, Mark; Hussin, Julie G; Hamet, Pavel")</f>
        <v>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v>
      </c>
      <c r="AH352" s="32">
        <f>IFERROR(__xludf.DUMMYFUNCTION("""COMPUTED_VALUE"""),44470.0)</f>
        <v>44470</v>
      </c>
      <c r="AI352" s="31" t="str">
        <f>IFERROR(__xludf.DUMMYFUNCTION("""COMPUTED_VALUE"""),"Feasibility of centre-based incident reporting in primary healthcare: the SPIEGEL study.")</f>
        <v>Feasibility of centre-based incident reporting in primary healthcare: the SPIEGEL study.</v>
      </c>
      <c r="AJ352" s="31" t="str">
        <f>IFERROR(__xludf.DUMMYFUNCTION("""COMPUTED_VALUE"""),"Zwart, Dorien L M; Steerneman, Anke H M; van Rensen, Elizabeth L J; Kalkman, Cor J; Verheij, Theo J M")</f>
        <v>Zwart, Dorien L M; Steerneman, Anke H M; van Rensen, Elizabeth L J; Kalkman, Cor J; Verheij, Theo J M</v>
      </c>
      <c r="AK352" s="32">
        <f>IFERROR(__xludf.DUMMYFUNCTION("""COMPUTED_VALUE"""),40548.0)</f>
        <v>40548</v>
      </c>
      <c r="AL352" s="31" t="str">
        <f>IFERROR(__xludf.DUMMYFUNCTION("""COMPUTED_VALUE"""),"Cross-sectional associations of amyloid burden with semantic cognition in older adults without dementia: A systematic review and meta-analysis.")</f>
        <v>Cross-sectional associations of amyloid burden with semantic cognition in older adults without dementia: A systematic review and meta-analysis.</v>
      </c>
      <c r="AM352" s="31" t="str">
        <f>IFERROR(__xludf.DUMMYFUNCTION("""COMPUTED_VALUE"""),"Vonk, Jet M J; Twait, Emma L; Scholten, Rob J P M; Geerlings, Mirjam I")</f>
        <v>Vonk, Jet M J; Twait, Emma L; Scholten, Rob J P M; Geerlings, Mirjam I</v>
      </c>
      <c r="AN352" s="32">
        <f>IFERROR(__xludf.DUMMYFUNCTION("""COMPUTED_VALUE"""),44123.0)</f>
        <v>44123</v>
      </c>
    </row>
    <row r="353">
      <c r="A353" s="32"/>
      <c r="I353" s="31" t="str">
        <f>IFERROR(__xludf.DUMMYFUNCTION("""COMPUTED_VALUE"""),"annals of hematology")</f>
        <v>annals of hematology</v>
      </c>
      <c r="J353" s="38">
        <f>COUNTIF(Data!$F$2:$F9917, $I353)</f>
        <v>1</v>
      </c>
      <c r="T353" s="31" t="s">
        <v>246</v>
      </c>
      <c r="U353" s="31" t="s">
        <v>247</v>
      </c>
      <c r="V353" s="32">
        <v>45414.0</v>
      </c>
      <c r="X353" s="31" t="str">
        <f>IFERROR(__xludf.DUMMYFUNCTION("""COMPUTED_VALUE"""),"Dual hormone fully closed loop in type 1 diabetes: a randomised trial in the Netherlands - study protocol.")</f>
        <v>Dual hormone fully closed loop in type 1 diabetes: a randomised trial in the Netherlands - study protocol.</v>
      </c>
      <c r="Y353" s="31" t="str">
        <f>IFERROR(__xludf.DUMMYFUNCTION("""COMPUTED_VALUE"""),"Jancev, Milena; Snoek, Frank J; Frederix, Geert W J; Knottnerus, Heleen; Blauw, Helga; Witkop, Maureen; Moons, Karel G M; van Bon, Arianne C; DeVries, J Hans; Serné, Erik H; van Sloten, Thomas T; de Valk, Harold W; ,")</f>
        <v>Jancev, Milena; Snoek, Frank J; Frederix, Geert W J; Knottnerus, Heleen; Blauw, Helga; Witkop, Maureen; Moons, Karel G M; van Bon, Arianne C; DeVries, J Hans; Serné, Erik H; van Sloten, Thomas T; de Valk, Harold W; ,</v>
      </c>
      <c r="Z353" s="31">
        <f>IFERROR(__xludf.DUMMYFUNCTION("""COMPUTED_VALUE"""),2023.0)</f>
        <v>2023</v>
      </c>
      <c r="AA353" s="31">
        <f>IFERROR(__xludf.DUMMYFUNCTION("""COMPUTED_VALUE"""),1.0)</f>
        <v>1</v>
      </c>
      <c r="AF353" s="31" t="str">
        <f>IFERROR(__xludf.DUMMYFUNCTION("""COMPUTED_VALUE"""),"Painful and swollen tongue: mucosal leishmaniasis due to Leishmania infantum.")</f>
        <v>Painful and swollen tongue: mucosal leishmaniasis due to Leishmania infantum.</v>
      </c>
      <c r="AG353" s="31" t="str">
        <f>IFERROR(__xludf.DUMMYFUNCTION("""COMPUTED_VALUE"""),"Chong, Ga-Lai M; Ong, David S Y; de Mendonça Melo, Mariana; van Hellemond, Jaap J")</f>
        <v>Chong, Ga-Lai M; Ong, David S Y; de Mendonça Melo, Mariana; van Hellemond, Jaap J</v>
      </c>
      <c r="AH353" s="32">
        <f>IFERROR(__xludf.DUMMYFUNCTION("""COMPUTED_VALUE"""),44468.0)</f>
        <v>44468</v>
      </c>
      <c r="AI353" s="31" t="str">
        <f>IFERROR(__xludf.DUMMYFUNCTION("""COMPUTED_VALUE"""),"β-blockers and their mortality benefits: underprescribed in heart failure and chronic obstructive pulmonary disease.")</f>
        <v>β-blockers and their mortality benefits: underprescribed in heart failure and chronic obstructive pulmonary disease.</v>
      </c>
      <c r="AJ353" s="31" t="str">
        <f>IFERROR(__xludf.DUMMYFUNCTION("""COMPUTED_VALUE"""),"Rutten, Frans H")</f>
        <v>Rutten, Frans H</v>
      </c>
      <c r="AK353" s="32">
        <f>IFERROR(__xludf.DUMMYFUNCTION("""COMPUTED_VALUE"""),40544.0)</f>
        <v>40544</v>
      </c>
      <c r="AL353" s="31" t="str">
        <f>IFERROR(__xludf.DUMMYFUNCTION("""COMPUTED_VALUE"""),"Adiposity and Endometrial Cancer Risk in Postmenopausal Women: A Sequential Causal Mediation Analysis.")</f>
        <v>Adiposity and Endometrial Cancer Risk in Postmenopausal Women: A Sequential Causal Mediation Analysis.</v>
      </c>
      <c r="AM353" s="31" t="str">
        <f>IFERROR(__xludf.DUMMYFUNCTION("""COMPUTED_VALUE"""),"Dashti, S Ghazaleh; English, Dallas R; Simpson, Julie A; Karahalios, Amalia; Moreno-Betancur, Margarita; Biessy, Carine; Rinaldi, Sabina; Ferrari, Pietro; Tjønneland, Anne; Halkjær, Jytte; Dahm, Christina C; Vistisen, Helene Tilma; Menegaux, Florence; Per"&amp;"duca, Vittorio; Severi, Gianluca; Aleksandrova, Krasimira; Schulze, Matthias B; Masala, Giovanna; Sieri, Sabina; Tumino, Rosario; Macciotta, Alessandra; Panico, Salvatore; Hiensch, Anouk E; May, Anne M; Quirós, J Ramón; Agudo, Antonio; Sánchez, Maria-Jose"&amp;"; Amiano, Pilar; Colorado-Yohar, Sandra; Ardanaz, Eva; Allen, Naomi E; Weiderpass, Elisabete; Fortner, Renée Turzanski; Christakoudi, Sofia; Tsilidis, Konstantinos K; Riboli, Elio; Kaaks, Rudolf; Gunter, Marc J; Viallon, Vivian; Dossus, Laure")</f>
        <v>Dashti, S Ghazaleh; English, Dallas R; Simpson, Julie A; Karahalios, Amalia; Moreno-Betancur, Margarita; Biessy, Carine; Rinaldi, Sabina; Ferrari, Pietro; Tjønneland, Anne; Halkjær, Jytte; Dahm, Christina C; Vistisen, Helene Tilma; Menegaux, Florence; Perduca, Vittorio; Severi, Gianluca; Aleksandrova, Krasimira; Schulze, Matthias B; Masala, Giovanna; Sieri, Sabina; Tumino, Rosario; Macciotta, Alessandra; Panico, Salvatore; Hiensch, Anouk E; May, Anne M; Quirós, J Ramón; Agudo, Antonio; Sánchez, Maria-Jose; Amiano, Pilar; Colorado-Yohar, Sandra; Ardanaz, Eva; Allen, Naomi E; Weiderpass, Elisabete; Fortner, Renée Turzanski; Christakoudi, Sofia; Tsilidis, Konstantinos K; Riboli, Elio; Kaaks, Rudolf; Gunter, Marc J; Viallon, Vivian; Dossus, Laure</v>
      </c>
      <c r="AN353" s="32">
        <f>IFERROR(__xludf.DUMMYFUNCTION("""COMPUTED_VALUE"""),44106.0)</f>
        <v>44106</v>
      </c>
    </row>
    <row r="354">
      <c r="A354" s="32"/>
      <c r="I354" s="31" t="str">
        <f>IFERROR(__xludf.DUMMYFUNCTION("""COMPUTED_VALUE"""),"adversity and resilience science")</f>
        <v>adversity and resilience science</v>
      </c>
      <c r="J354" s="38">
        <f>COUNTIF(Data!$F$2:$F9917, $I354)</f>
        <v>1</v>
      </c>
      <c r="T354" s="31" t="s">
        <v>252</v>
      </c>
      <c r="U354" s="31" t="s">
        <v>253</v>
      </c>
      <c r="V354" s="32">
        <v>45413.0</v>
      </c>
      <c r="X354" s="31" t="str">
        <f>IFERROR(__xludf.DUMMYFUNCTION("""COMPUTED_VALUE"""),"Safety and pharmacodynamic efficacy of eculizumab in aneurysmal subarachnoid hemorrhage (CLASH): A phase 2a randomized clinical trial.")</f>
        <v>Safety and pharmacodynamic efficacy of eculizumab in aneurysmal subarachnoid hemorrhage (CLASH): A phase 2a randomized clinical trial.</v>
      </c>
      <c r="Y354" s="31" t="str">
        <f>IFERROR(__xludf.DUMMYFUNCTION("""COMPUTED_VALUE"""),"Koopman, Inez; Tack, Reinier Wp; Wunderink, Herman F; Bruns, Anke Hw; van der Schaaf, Irene C; Cianci, Daniela; Gelderman, Kyra A; van de Ridder, Inge M; Hol, Elly M; Rinkel, Gabriel Je; Vergouwen, Mervyn DI")</f>
        <v>Koopman, Inez; Tack, Reinier Wp; Wunderink, Herman F; Bruns, Anke Hw; van der Schaaf, Irene C; Cianci, Daniela; Gelderman, Kyra A; van de Ridder, Inge M; Hol, Elly M; Rinkel, Gabriel Je; Vergouwen, Mervyn DI</v>
      </c>
      <c r="Z354" s="31">
        <f>IFERROR(__xludf.DUMMYFUNCTION("""COMPUTED_VALUE"""),2023.0)</f>
        <v>2023</v>
      </c>
      <c r="AA354" s="31">
        <f>IFERROR(__xludf.DUMMYFUNCTION("""COMPUTED_VALUE"""),1.0)</f>
        <v>1</v>
      </c>
      <c r="AF354" s="31" t="str">
        <f>IFERROR(__xludf.DUMMYFUNCTION("""COMPUTED_VALUE"""),"Insights into the association of ACEIs/ARBs use and COVID-19 prognosis: a multistate modelling study of nationwide hospital surveillance data from Belgium.")</f>
        <v>Insights into the association of ACEIs/ARBs use and COVID-19 prognosis: a multistate modelling study of nationwide hospital surveillance data from Belgium.</v>
      </c>
      <c r="AG354" s="31" t="str">
        <f>IFERROR(__xludf.DUMMYFUNCTION("""COMPUTED_VALUE"""),"Peñalvo, José L; Genbrugge, Els; Mertens, Elly; Sagastume, Diana; van der Sande, Marianne A B; Widdowson, Marc-Alain; Van Beckhoven, Dominique; ,")</f>
        <v>Peñalvo, José L; Genbrugge, Els; Mertens, Elly; Sagastume, Diana; van der Sande, Marianne A B; Widdowson, Marc-Alain; Van Beckhoven, Dominique; ,</v>
      </c>
      <c r="AH354" s="32">
        <f>IFERROR(__xludf.DUMMYFUNCTION("""COMPUTED_VALUE"""),44455.0)</f>
        <v>44455</v>
      </c>
      <c r="AI354" s="31" t="str">
        <f>IFERROR(__xludf.DUMMYFUNCTION("""COMPUTED_VALUE"""),"[Remarkable results with candesartan].")</f>
        <v>[Remarkable results with candesartan].</v>
      </c>
      <c r="AJ354" s="31" t="str">
        <f>IFERROR(__xludf.DUMMYFUNCTION("""COMPUTED_VALUE"""),"Rutten, Frans H; Groenwold, Rolf H H")</f>
        <v>Rutten, Frans H; Groenwold, Rolf H H</v>
      </c>
      <c r="AK354" s="32">
        <f>IFERROR(__xludf.DUMMYFUNCTION("""COMPUTED_VALUE"""),40544.0)</f>
        <v>40544</v>
      </c>
      <c r="AL354" s="31" t="str">
        <f>IFERROR(__xludf.DUMMYFUNCTION("""COMPUTED_VALUE"""),"Prediction models for COVID-19 clinical decision making.")</f>
        <v>Prediction models for COVID-19 clinical decision making.</v>
      </c>
      <c r="AM354" s="31" t="str">
        <f>IFERROR(__xludf.DUMMYFUNCTION("""COMPUTED_VALUE"""),"Leeuwenberg, Artuur M; Schuit, Ewoud")</f>
        <v>Leeuwenberg, Artuur M; Schuit, Ewoud</v>
      </c>
      <c r="AN354" s="32">
        <f>IFERROR(__xludf.DUMMYFUNCTION("""COMPUTED_VALUE"""),44096.0)</f>
        <v>44096</v>
      </c>
    </row>
    <row r="355">
      <c r="A355" s="32"/>
      <c r="I355" s="31" t="str">
        <f>IFERROR(__xludf.DUMMYFUNCTION("""COMPUTED_VALUE"""),"aging mental health")</f>
        <v>aging mental health</v>
      </c>
      <c r="J355" s="38">
        <f>COUNTIF(Data!$F$2:$F9917, $I355)</f>
        <v>2</v>
      </c>
      <c r="T355" s="31" t="s">
        <v>256</v>
      </c>
      <c r="U355" s="31" t="s">
        <v>257</v>
      </c>
      <c r="V355" s="32">
        <v>45413.0</v>
      </c>
      <c r="X355" s="31" t="str">
        <f>IFERROR(__xludf.DUMMYFUNCTION("""COMPUTED_VALUE"""),"Gene-environment interactions and the effect on obesity risk in low and middle-income countries: a scoping review.")</f>
        <v>Gene-environment interactions and the effect on obesity risk in low and middle-income countries: a scoping review.</v>
      </c>
      <c r="Y355" s="31" t="str">
        <f>IFERROR(__xludf.DUMMYFUNCTION("""COMPUTED_VALUE"""),"Pledger, Sophia L; Ahmadizar, Fariba")</f>
        <v>Pledger, Sophia L; Ahmadizar, Fariba</v>
      </c>
      <c r="Z355" s="31">
        <f>IFERROR(__xludf.DUMMYFUNCTION("""COMPUTED_VALUE"""),2023.0)</f>
        <v>2023</v>
      </c>
      <c r="AA355" s="31">
        <f>IFERROR(__xludf.DUMMYFUNCTION("""COMPUTED_VALUE"""),1.0)</f>
        <v>1</v>
      </c>
      <c r="AF355" s="31" t="str">
        <f>IFERROR(__xludf.DUMMYFUNCTION("""COMPUTED_VALUE"""),"Persistent Hypertension Up to One Year Postpartum among Women with Hypertensive Disorders in Pregnancy in a Low-Resource Setting: A Prospective Cohort Study.")</f>
        <v>Persistent Hypertension Up to One Year Postpartum among Women with Hypertensive Disorders in Pregnancy in a Low-Resource Setting: A Prospective Cohort Study.</v>
      </c>
      <c r="AG355" s="31" t="str">
        <f>IFERROR(__xludf.DUMMYFUNCTION("""COMPUTED_VALUE"""),"Ishaku, Salisu M; Jamilu, Tukur; Innocent, Agbo P; Gbenga, Kayode A; Lamaran, Dattijo; Lawal, Oyeneyin; Warren, Charlotte E; Olorunfemi, Owa O; Abubakar, Hanifah D; Karima, Tunau; Patience, Odusolu O; Musa, Abdulkarim; Azubuike, Onyebuchi K; Baffah, Aminu"&amp;" M; Franx, Arie; Grobbee, Diederick E; Browne, Joyce L")</f>
        <v>Ishaku, Salisu M; Jamilu, Tukur; Innocent, Agbo P; Gbenga, Kayode A; Lamaran, Dattijo; Lawal, Oyeneyin; Warren, Charlotte E; Olorunfemi, Owa O; Abubakar, Hanifah D; Karima, Tunau; Patience, Odusolu O; Musa, Abdulkarim; Azubuike, Onyebuchi K; Baffah, Aminu M; Franx, Arie; Grobbee, Diederick E; Browne, Joyce L</v>
      </c>
      <c r="AH355" s="32">
        <f>IFERROR(__xludf.DUMMYFUNCTION("""COMPUTED_VALUE"""),44448.0)</f>
        <v>44448</v>
      </c>
      <c r="AI355" s="31" t="str">
        <f>IFERROR(__xludf.DUMMYFUNCTION("""COMPUTED_VALUE"""),"Opinions of patients with type 2 diabetes about responsibility, setting targets and willingness to take medication. A cross-sectional survey.")</f>
        <v>Opinions of patients with type 2 diabetes about responsibility, setting targets and willingness to take medication. A cross-sectional survey.</v>
      </c>
      <c r="AJ355" s="31" t="str">
        <f>IFERROR(__xludf.DUMMYFUNCTION("""COMPUTED_VALUE"""),"Gorter, Kees J; Tuytel, Gerwi J; de Leeuw, Rob R; Bensing, Jozien M; Rutten, Guy E H M")</f>
        <v>Gorter, Kees J; Tuytel, Gerwi J; de Leeuw, Rob R; Bensing, Jozien M; Rutten, Guy E H M</v>
      </c>
      <c r="AK355" s="32">
        <f>IFERROR(__xludf.DUMMYFUNCTION("""COMPUTED_VALUE"""),40382.0)</f>
        <v>40382</v>
      </c>
      <c r="AL355" s="31" t="str">
        <f>IFERROR(__xludf.DUMMYFUNCTION("""COMPUTED_VALUE"""),"TRIPOD statement: a preliminary pre-post analysis of reporting and methods of prediction models.")</f>
        <v>TRIPOD statement: a preliminary pre-post analysis of reporting and methods of prediction models.</v>
      </c>
      <c r="AM355" s="31" t="str">
        <f>IFERROR(__xludf.DUMMYFUNCTION("""COMPUTED_VALUE"""),"Zamanipoor Najafabadi, Amir H; Ramspek, Chava L; Dekker, Friedo W; Heus, Pauline; Hooft, Lotty; Moons, Karel G M; Peul, Wilco C; Collins, Gary S; Steyerberg, Ewout W; van Diepen, Merel")</f>
        <v>Zamanipoor Najafabadi, Amir H; Ramspek, Chava L; Dekker, Friedo W; Heus, Pauline; Hooft, Lotty; Moons, Karel G M; Peul, Wilco C; Collins, Gary S; Steyerberg, Ewout W; van Diepen, Merel</v>
      </c>
      <c r="AN355" s="32">
        <f>IFERROR(__xludf.DUMMYFUNCTION("""COMPUTED_VALUE"""),44092.0)</f>
        <v>44092</v>
      </c>
    </row>
    <row r="356">
      <c r="A356" s="32"/>
      <c r="I356" s="31" t="str">
        <f>IFERROR(__xludf.DUMMYFUNCTION("""COMPUTED_VALUE"""),"journal of human hypertension")</f>
        <v>journal of human hypertension</v>
      </c>
      <c r="J356" s="38">
        <f>COUNTIF(Data!$F$2:$F9917, $I356)</f>
        <v>8</v>
      </c>
      <c r="T356" s="31" t="s">
        <v>260</v>
      </c>
      <c r="U356" s="31" t="s">
        <v>261</v>
      </c>
      <c r="V356" s="32">
        <v>45413.0</v>
      </c>
      <c r="X356" s="31" t="str">
        <f>IFERROR(__xludf.DUMMYFUNCTION("""COMPUTED_VALUE"""),"Paracetamol (acetaminophen) or non-steroidal anti-inflammatory drugs, alone or combined, for pain relief in acute otitis media in children.")</f>
        <v>Paracetamol (acetaminophen) or non-steroidal anti-inflammatory drugs, alone or combined, for pain relief in acute otitis media in children.</v>
      </c>
      <c r="Y356" s="31" t="str">
        <f>IFERROR(__xludf.DUMMYFUNCTION("""COMPUTED_VALUE"""),"de Sévaux, Joline L H; Damoiseaux, Roger Amj; van de Pol, Alma C; Lutje, Vittoria; Hay, Alastair D; Little, Paul; Schilder, Anne Gm; Venekamp, Roderick P")</f>
        <v>de Sévaux, Joline L H; Damoiseaux, Roger Amj; van de Pol, Alma C; Lutje, Vittoria; Hay, Alastair D; Little, Paul; Schilder, Anne Gm; Venekamp, Roderick P</v>
      </c>
      <c r="Z356" s="31">
        <f>IFERROR(__xludf.DUMMYFUNCTION("""COMPUTED_VALUE"""),2023.0)</f>
        <v>2023</v>
      </c>
      <c r="AA356" s="31">
        <f>IFERROR(__xludf.DUMMYFUNCTION("""COMPUTED_VALUE"""),1.0)</f>
        <v>1</v>
      </c>
      <c r="AF356" s="31" t="str">
        <f>IFERROR(__xludf.DUMMYFUNCTION("""COMPUTED_VALUE"""),"Impact of taxes on purchases of close substitute foods: analysis of cross-price elasticities using data from a randomized experiment.")</f>
        <v>Impact of taxes on purchases of close substitute foods: analysis of cross-price elasticities using data from a randomized experiment.</v>
      </c>
      <c r="AG356" s="31" t="str">
        <f>IFERROR(__xludf.DUMMYFUNCTION("""COMPUTED_VALUE"""),"Hoenink, Jody C; Waterlander, Wilma E; Mackenbach, Joreintje D; Mhurchu, Cliona Ni; Wilson, Nick; Beulens, Joline W J; Nghiem, Nhung")</f>
        <v>Hoenink, Jody C; Waterlander, Wilma E; Mackenbach, Joreintje D; Mhurchu, Cliona Ni; Wilson, Nick; Beulens, Joline W J; Nghiem, Nhung</v>
      </c>
      <c r="AH356" s="32">
        <f>IFERROR(__xludf.DUMMYFUNCTION("""COMPUTED_VALUE"""),44446.0)</f>
        <v>44446</v>
      </c>
      <c r="AI356" s="31" t="str">
        <f>IFERROR(__xludf.DUMMYFUNCTION("""COMPUTED_VALUE"""),"High cumulative incidence of cancer in patients with cardio-renal-anaemia syndrome.")</f>
        <v>High cumulative incidence of cancer in patients with cardio-renal-anaemia syndrome.</v>
      </c>
      <c r="AJ356" s="31" t="str">
        <f>IFERROR(__xludf.DUMMYFUNCTION("""COMPUTED_VALUE"""),"Schroten, Nicolas F; van der Putten, Karien; Rutten, Frans H; Diepenbroek, Adry; Mosterd, Arend; Gaillard, Carlo A J M")</f>
        <v>Schroten, Nicolas F; van der Putten, Karien; Rutten, Frans H; Diepenbroek, Adry; Mosterd, Arend; Gaillard, Carlo A J M</v>
      </c>
      <c r="AK356" s="32">
        <f>IFERROR(__xludf.DUMMYFUNCTION("""COMPUTED_VALUE"""),40320.0)</f>
        <v>40320</v>
      </c>
      <c r="AL356" s="31" t="str">
        <f>IFERROR(__xludf.DUMMYFUNCTION("""COMPUTED_VALUE"""),"Association of Staphylococcus aureus Colonization and Pneumonia in the Intensive Care Unit.")</f>
        <v>Association of Staphylococcus aureus Colonization and Pneumonia in the Intensive Care Unit.</v>
      </c>
      <c r="AM356" s="31" t="str">
        <f>IFERROR(__xludf.DUMMYFUNCTION("""COMPUTED_VALUE"""),"Paling, Fleur P; Hazard, Derek; Bonten, Marc J M; Goossens, Herman; Jafri, Hasan S; Malhotra-Kumar, Surbhi; Sifakis, Frangiscos; Weber, Susanne; Kluytmans, Jan A J W; ,")</f>
        <v>Paling, Fleur P; Hazard, Derek; Bonten, Marc J M; Goossens, Herman; Jafri, Hasan S; Malhotra-Kumar, Surbhi; Sifakis, Frangiscos; Weber, Susanne; Kluytmans, Jan A J W; ,</v>
      </c>
      <c r="AN356" s="32">
        <f>IFERROR(__xludf.DUMMYFUNCTION("""COMPUTED_VALUE"""),44075.0)</f>
        <v>44075</v>
      </c>
    </row>
    <row r="357">
      <c r="A357" s="32"/>
      <c r="I357" s="31" t="str">
        <f>IFERROR(__xludf.DUMMYFUNCTION("""COMPUTED_VALUE"""),"preventive medicine reports")</f>
        <v>preventive medicine reports</v>
      </c>
      <c r="J357" s="38">
        <f>COUNTIF(Data!$F$2:$F9917, $I357)</f>
        <v>6</v>
      </c>
      <c r="T357" s="31" t="s">
        <v>264</v>
      </c>
      <c r="U357" s="31" t="s">
        <v>265</v>
      </c>
      <c r="V357" s="32">
        <v>45413.0</v>
      </c>
      <c r="X357" s="31" t="str">
        <f>IFERROR(__xludf.DUMMYFUNCTION("""COMPUTED_VALUE"""),"Screening over 100 000 patients in 39 general practices in the Netherlands for anticoagulation underprescription in atrial fibrillation: a descriptive, cross-sectional study.")</f>
        <v>Screening over 100 000 patients in 39 general practices in the Netherlands for anticoagulation underprescription in atrial fibrillation: a descriptive, cross-sectional study.</v>
      </c>
      <c r="Y357" s="31" t="str">
        <f>IFERROR(__xludf.DUMMYFUNCTION("""COMPUTED_VALUE"""),"Voorhout, Leonard; Pisters, Ron; Geurts, Constants H P H; Oostindjer, Andrew; van Doorn, Sander; Rila, Harrie; Fuijkschot, Wessel W; Verheugt, Freek; Hemels, Martin E W")</f>
        <v>Voorhout, Leonard; Pisters, Ron; Geurts, Constants H P H; Oostindjer, Andrew; van Doorn, Sander; Rila, Harrie; Fuijkschot, Wessel W; Verheugt, Freek; Hemels, Martin E W</v>
      </c>
      <c r="Z357" s="31">
        <f>IFERROR(__xludf.DUMMYFUNCTION("""COMPUTED_VALUE"""),2023.0)</f>
        <v>2023</v>
      </c>
      <c r="AA357" s="31">
        <f>IFERROR(__xludf.DUMMYFUNCTION("""COMPUTED_VALUE"""),1.0)</f>
        <v>1</v>
      </c>
      <c r="AF357" s="31" t="str">
        <f>IFERROR(__xludf.DUMMYFUNCTION("""COMPUTED_VALUE"""),"Oestradiol and the risk of myocardial infarction in women: a cohort study of UK Biobank participants.")</f>
        <v>Oestradiol and the risk of myocardial infarction in women: a cohort study of UK Biobank participants.</v>
      </c>
      <c r="AG357" s="31" t="str">
        <f>IFERROR(__xludf.DUMMYFUNCTION("""COMPUTED_VALUE"""),"Peters, Sanne A E; Woodward, Mark")</f>
        <v>Peters, Sanne A E; Woodward, Mark</v>
      </c>
      <c r="AH357" s="32">
        <f>IFERROR(__xludf.DUMMYFUNCTION("""COMPUTED_VALUE"""),44438.0)</f>
        <v>44438</v>
      </c>
      <c r="AI357" s="31" t="str">
        <f>IFERROR(__xludf.DUMMYFUNCTION("""COMPUTED_VALUE"""),"The impact of varicella zoster virus: chronic pain.")</f>
        <v>The impact of varicella zoster virus: chronic pain.</v>
      </c>
      <c r="AJ357" s="31" t="str">
        <f>IFERROR(__xludf.DUMMYFUNCTION("""COMPUTED_VALUE"""),"Opstelten, Wim; McElhaney, Janet; Weinberger, Birgit; Oaklander, Anne Louise; Johnson, Robert W")</f>
        <v>Opstelten, Wim; McElhaney, Janet; Weinberger, Birgit; Oaklander, Anne Louise; Johnson, Robert W</v>
      </c>
      <c r="AK357" s="32">
        <f>IFERROR(__xludf.DUMMYFUNCTION("""COMPUTED_VALUE"""),40299.0)</f>
        <v>40299</v>
      </c>
      <c r="AL357" s="31" t="str">
        <f>IFERROR(__xludf.DUMMYFUNCTION("""COMPUTED_VALUE"""),"Delayed Cerebral Ischemia After Aneurysmal Subarachnoid Hemorrhage in Patients With a History of Migraine.")</f>
        <v>Delayed Cerebral Ischemia After Aneurysmal Subarachnoid Hemorrhage in Patients With a History of Migraine.</v>
      </c>
      <c r="AM357" s="31" t="str">
        <f>IFERROR(__xludf.DUMMYFUNCTION("""COMPUTED_VALUE"""),"van Os, Hendrikus J A; Ruigrok, Ynte M; Verbaan, Dagmar; Dennesen, Paul; Müller, Marcella C A; Coert, Bert A; Algra, Ale; Vergouwen, Mervyn D I; Wermer, Marieke J H")</f>
        <v>van Os, Hendrikus J A; Ruigrok, Ynte M; Verbaan, Dagmar; Dennesen, Paul; Müller, Marcella C A; Coert, Bert A; Algra, Ale; Vergouwen, Mervyn D I; Wermer, Marieke J H</v>
      </c>
      <c r="AN357" s="32">
        <f>IFERROR(__xludf.DUMMYFUNCTION("""COMPUTED_VALUE"""),44075.0)</f>
        <v>44075</v>
      </c>
    </row>
    <row r="358">
      <c r="A358" s="32"/>
      <c r="I358" s="31" t="str">
        <f>IFERROR(__xludf.DUMMYFUNCTION("""COMPUTED_VALUE"""),"esmo open")</f>
        <v>esmo open</v>
      </c>
      <c r="J358" s="38">
        <f>COUNTIF(Data!$F$2:$F9917, $I358)</f>
        <v>4</v>
      </c>
      <c r="T358" s="31" t="s">
        <v>269</v>
      </c>
      <c r="U358" s="31" t="s">
        <v>270</v>
      </c>
      <c r="V358" s="32">
        <v>45413.0</v>
      </c>
      <c r="X358" s="31" t="str">
        <f>IFERROR(__xludf.DUMMYFUNCTION("""COMPUTED_VALUE"""),"Dynamic consent, communication and return of results in large-scale health data reuse: Survey of public preferences.")</f>
        <v>Dynamic consent, communication and return of results in large-scale health data reuse: Survey of public preferences.</v>
      </c>
      <c r="Y358" s="31" t="str">
        <f>IFERROR(__xludf.DUMMYFUNCTION("""COMPUTED_VALUE"""),"Muller, Sam Ha; van Thiel, Ghislaine Jmw; Mostert, Menno; van Delden, Johannes Jm")</f>
        <v>Muller, Sam Ha; van Thiel, Ghislaine Jmw; Mostert, Menno; van Delden, Johannes Jm</v>
      </c>
      <c r="Z358" s="31">
        <f>IFERROR(__xludf.DUMMYFUNCTION("""COMPUTED_VALUE"""),2023.0)</f>
        <v>2023</v>
      </c>
      <c r="AA358" s="31">
        <f>IFERROR(__xludf.DUMMYFUNCTION("""COMPUTED_VALUE"""),1.0)</f>
        <v>1</v>
      </c>
      <c r="AF358" s="31" t="str">
        <f>IFERROR(__xludf.DUMMYFUNCTION("""COMPUTED_VALUE"""),"Gender-Specific Changes in Life Satisfaction After the COVID-19-Related Lockdown in Dutch Adolescents: A Longitudinal Study.")</f>
        <v>Gender-Specific Changes in Life Satisfaction After the COVID-19-Related Lockdown in Dutch Adolescents: A Longitudinal Study.</v>
      </c>
      <c r="AG358" s="31" t="str">
        <f>IFERROR(__xludf.DUMMYFUNCTION("""COMPUTED_VALUE"""),"van der Laan, Sabine E I; Finkenauer, Catrin; Lenters, Virissa C; van Harmelen, Anne-Laura; van der Ent, Cornelis K; Nijhof, Sanne L")</f>
        <v>van der Laan, Sabine E I; Finkenauer, Catrin; Lenters, Virissa C; van Harmelen, Anne-Laura; van der Ent, Cornelis K; Nijhof, Sanne L</v>
      </c>
      <c r="AH358" s="32">
        <f>IFERROR(__xludf.DUMMYFUNCTION("""COMPUTED_VALUE"""),44432.0)</f>
        <v>44432</v>
      </c>
      <c r="AI358" s="31" t="str">
        <f>IFERROR(__xludf.DUMMYFUNCTION("""COMPUTED_VALUE"""),"Diabetes Care Protocol: effects on patient-important outcomes. A cluster randomized, non-inferiority trial in primary care.")</f>
        <v>Diabetes Care Protocol: effects on patient-important outcomes. A cluster randomized, non-inferiority trial in primary care.</v>
      </c>
      <c r="AJ358" s="31" t="str">
        <f>IFERROR(__xludf.DUMMYFUNCTION("""COMPUTED_VALUE"""),"Cleveringa, F G W; Minkman, M H; Gorter, K J; van den Donk, M; Rutten, G E H M")</f>
        <v>Cleveringa, F G W; Minkman, M H; Gorter, K J; van den Donk, M; Rutten, G E H M</v>
      </c>
      <c r="AK358" s="32">
        <f>IFERROR(__xludf.DUMMYFUNCTION("""COMPUTED_VALUE"""),40269.0)</f>
        <v>40269</v>
      </c>
      <c r="AL358" s="31" t="str">
        <f>IFERROR(__xludf.DUMMYFUNCTION("""COMPUTED_VALUE"""),"European practice patterns and barriers to smoking cessation after a cancer diagnosis in the setting of curative versus palliative cancer treatment.")</f>
        <v>European practice patterns and barriers to smoking cessation after a cancer diagnosis in the setting of curative versus palliative cancer treatment.</v>
      </c>
      <c r="AM358" s="31" t="str">
        <f>IFERROR(__xludf.DUMMYFUNCTION("""COMPUTED_VALUE"""),"Derksen, Jeroen W G; Warren, Graham W; Jordan, Karin; Rauh, Stefan; Vera García, Ruth; O'Mahony, Deirdre; Ahmed, Samreen; Vuylsteke, Peter; Radulovic, Sinisa; Tsoukalas, Nikolaos; Wysocki, Piotr J; Borner, Markus; Cesas, Alvydas; Elme, Anneli; Minn, Heikk"&amp;"i; Ullenhag, Gustav J; Roodhart, Jeanine M L; Koopman, Miriam; May, Anne M")</f>
        <v>Derksen, Jeroen W G; Warren, Graham W; Jordan, Karin; Rauh, Stefan; Vera García, Ruth; O'Mahony, Deirdre; Ahmed, Samreen; Vuylsteke, Peter; Radulovic, Sinisa; Tsoukalas, Nikolaos; Wysocki, Piotr J; Borner, Markus; Cesas, Alvydas; Elme, Anneli; Minn, Heikki; Ullenhag, Gustav J; Roodhart, Jeanine M L; Koopman, Miriam; May, Anne M</v>
      </c>
      <c r="AN358" s="32">
        <f>IFERROR(__xludf.DUMMYFUNCTION("""COMPUTED_VALUE"""),44072.0)</f>
        <v>44072</v>
      </c>
    </row>
    <row r="359">
      <c r="A359" s="32"/>
      <c r="I359" s="31" t="str">
        <f>IFERROR(__xludf.DUMMYFUNCTION("""COMPUTED_VALUE"""),"european journal of epidemiology")</f>
        <v>european journal of epidemiology</v>
      </c>
      <c r="J359" s="38">
        <f>COUNTIF(Data!$F$2:$F9917, $I359)</f>
        <v>34</v>
      </c>
      <c r="T359" s="31" t="s">
        <v>274</v>
      </c>
      <c r="U359" s="31" t="s">
        <v>275</v>
      </c>
      <c r="V359" s="32">
        <v>45413.0</v>
      </c>
      <c r="X359" s="31" t="str">
        <f>IFERROR(__xludf.DUMMYFUNCTION("""COMPUTED_VALUE"""),"Impact of antenatal care on severe maternal and neonatal outcomes in pregnancies complicated by preeclampsia and eclampsia in Ghana.")</f>
        <v>Impact of antenatal care on severe maternal and neonatal outcomes in pregnancies complicated by preeclampsia and eclampsia in Ghana.</v>
      </c>
      <c r="Y359" s="31" t="str">
        <f>IFERROR(__xludf.DUMMYFUNCTION("""COMPUTED_VALUE"""),"Beyuo, Titus K; Lawrence, Emma R; Oppong, Samuel A; Kobernik, Emily K; Amoakoh-Coleman, Mary; Grobbee, Diederick E; Browne, Joyce L; Bloemenkamp, K W M")</f>
        <v>Beyuo, Titus K; Lawrence, Emma R; Oppong, Samuel A; Kobernik, Emily K; Amoakoh-Coleman, Mary; Grobbee, Diederick E; Browne, Joyce L; Bloemenkamp, K W M</v>
      </c>
      <c r="Z359" s="31">
        <f>IFERROR(__xludf.DUMMYFUNCTION("""COMPUTED_VALUE"""),2023.0)</f>
        <v>2023</v>
      </c>
      <c r="AA359" s="31">
        <f>IFERROR(__xludf.DUMMYFUNCTION("""COMPUTED_VALUE"""),1.0)</f>
        <v>1</v>
      </c>
      <c r="AF359" s="31" t="str">
        <f>IFERROR(__xludf.DUMMYFUNCTION("""COMPUTED_VALUE"""),"What Matters to Patients with Rheumatoid Arthritis When Facing Medical or Non-Medical Treatment Decisions?")</f>
        <v>What Matters to Patients with Rheumatoid Arthritis When Facing Medical or Non-Medical Treatment Decisions?</v>
      </c>
      <c r="AG359" s="31" t="str">
        <f>IFERROR(__xludf.DUMMYFUNCTION("""COMPUTED_VALUE"""),"Cornelissen, Lisa Emily; van der Mark, Elise J; Pennings, Patricia; Maat, Bertha; Foekens, Theo; Willemsen-de Mey, Gerardine; Voogdt-Pruis, Helene R")</f>
        <v>Cornelissen, Lisa Emily; van der Mark, Elise J; Pennings, Patricia; Maat, Bertha; Foekens, Theo; Willemsen-de Mey, Gerardine; Voogdt-Pruis, Helene R</v>
      </c>
      <c r="AH359" s="32">
        <f>IFERROR(__xludf.DUMMYFUNCTION("""COMPUTED_VALUE"""),44432.0)</f>
        <v>44432</v>
      </c>
      <c r="AI359" s="31" t="str">
        <f>IFERROR(__xludf.DUMMYFUNCTION("""COMPUTED_VALUE"""),"The European EUCCLID pilot study on care and complications in an unselected sample of people with type 2 diabetes in primary care.")</f>
        <v>The European EUCCLID pilot study on care and complications in an unselected sample of people with type 2 diabetes in primary care.</v>
      </c>
      <c r="AJ359" s="31" t="str">
        <f>IFERROR(__xludf.DUMMYFUNCTION("""COMPUTED_VALUE"""),"Gorter, Kees J; Wens, Johan; Khunti, Kamlesh; Claramunt, Xavier Cos; Topsever, Pinar; Drivsholm, Thomas; Jenum, Anne Karen; Berkhout, Christophe; Khalangot, Mykola; Goldfracht, Margalit; Rurik, Imre; Lionis, Christos; Rutten, Guy E H M")</f>
        <v>Gorter, Kees J; Wens, Johan; Khunti, Kamlesh; Claramunt, Xavier Cos; Topsever, Pinar; Drivsholm, Thomas; Jenum, Anne Karen; Berkhout, Christophe; Khalangot, Mykola; Goldfracht, Margalit; Rurik, Imre; Lionis, Christos; Rutten, Guy E H M</v>
      </c>
      <c r="AK359" s="32">
        <f>IFERROR(__xludf.DUMMYFUNCTION("""COMPUTED_VALUE"""),40227.0)</f>
        <v>40227</v>
      </c>
      <c r="AL359" s="31" t="str">
        <f>IFERROR(__xludf.DUMMYFUNCTION("""COMPUTED_VALUE"""),"Validation of an algorithm for semiautomated surveillance to detect deep surgical site infections after primary total hip or knee arthroplasty-A multicenter study.")</f>
        <v>Validation of an algorithm for semiautomated surveillance to detect deep surgical site infections after primary total hip or knee arthroplasty-A multicenter study.</v>
      </c>
      <c r="AM359" s="31" t="str">
        <f>IFERROR(__xludf.DUMMYFUNCTION("""COMPUTED_VALUE"""),"Verberk, Janneke D M; van Rooden, Stephanie M; Koek, Mayke B G; Hetem, David J; Smilde, Annelies E; Bril, Wendy S; Streefkerk, Roel H R A; Hopmans, Titia E M; Bonten, Marc J M; de Greeff, Sabine C; van Mourik, Maaike S M")</f>
        <v>Verberk, Janneke D M; van Rooden, Stephanie M; Koek, Mayke B G; Hetem, David J; Smilde, Annelies E; Bril, Wendy S; Streefkerk, Roel H R A; Hopmans, Titia E M; Bonten, Marc J M; de Greeff, Sabine C; van Mourik, Maaike S M</v>
      </c>
      <c r="AN359" s="32">
        <f>IFERROR(__xludf.DUMMYFUNCTION("""COMPUTED_VALUE"""),44071.0)</f>
        <v>44071</v>
      </c>
    </row>
    <row r="360">
      <c r="A360" s="32"/>
      <c r="I360" s="31" t="str">
        <f>IFERROR(__xludf.DUMMYFUNCTION("""COMPUTED_VALUE"""),"journal of cataract and refractive surgery")</f>
        <v>journal of cataract and refractive surgery</v>
      </c>
      <c r="J360" s="38">
        <f>COUNTIF(Data!$F$2:$F9917, $I360)</f>
        <v>1</v>
      </c>
      <c r="T360" s="31" t="s">
        <v>279</v>
      </c>
      <c r="U360" s="31" t="s">
        <v>280</v>
      </c>
      <c r="V360" s="32">
        <v>45412.0</v>
      </c>
      <c r="X360" s="31" t="str">
        <f>IFERROR(__xludf.DUMMYFUNCTION("""COMPUTED_VALUE"""),"Recruitment and retention challenges and strategies in randomized controlled trials of psychosocial interventions for children with cancer and their parents: a collective case study.")</f>
        <v>Recruitment and retention challenges and strategies in randomized controlled trials of psychosocial interventions for children with cancer and their parents: a collective case study.</v>
      </c>
      <c r="Y360" s="31" t="str">
        <f>IFERROR(__xludf.DUMMYFUNCTION("""COMPUTED_VALUE"""),"van Driessche, Anne; Beernaert, Kim; Deliens, Luc; Kars, Marijke C; Lyon, Maureen E; Barrera, Maru; Dussel, Veronica; Bidstrup, Pernille; Rosenberg, Abby R; Akard, Terrah F; Cohen, Joachim; De Vleminck, Aline")</f>
        <v>van Driessche, Anne; Beernaert, Kim; Deliens, Luc; Kars, Marijke C; Lyon, Maureen E; Barrera, Maru; Dussel, Veronica; Bidstrup, Pernille; Rosenberg, Abby R; Akard, Terrah F; Cohen, Joachim; De Vleminck, Aline</v>
      </c>
      <c r="Z360" s="31">
        <f>IFERROR(__xludf.DUMMYFUNCTION("""COMPUTED_VALUE"""),2023.0)</f>
        <v>2023</v>
      </c>
      <c r="AA360" s="31">
        <f>IFERROR(__xludf.DUMMYFUNCTION("""COMPUTED_VALUE"""),1.0)</f>
        <v>1</v>
      </c>
      <c r="AF360" s="31" t="str">
        <f>IFERROR(__xludf.DUMMYFUNCTION("""COMPUTED_VALUE"""),"Are nudging and pricing strategies on food purchasing behaviors equally effective for all? Secondary analyses from the Supreme Nudge virtual supermarket study.")</f>
        <v>Are nudging and pricing strategies on food purchasing behaviors equally effective for all? Secondary analyses from the Supreme Nudge virtual supermarket study.</v>
      </c>
      <c r="AG360" s="31" t="str">
        <f>IFERROR(__xludf.DUMMYFUNCTION("""COMPUTED_VALUE"""),"van der Molen, Annemarijn E H; Hoenink, Jody C; Mackenbach, Joreintje D; Waterlander, Wilma; Lakerveld, Jeroen; Beulens, Joline W J")</f>
        <v>van der Molen, Annemarijn E H; Hoenink, Jody C; Mackenbach, Joreintje D; Waterlander, Wilma; Lakerveld, Jeroen; Beulens, Joline W J</v>
      </c>
      <c r="AH360" s="32">
        <f>IFERROR(__xludf.DUMMYFUNCTION("""COMPUTED_VALUE"""),44425.0)</f>
        <v>44425</v>
      </c>
      <c r="AI360" s="31" t="str">
        <f>IFERROR(__xludf.DUMMYFUNCTION("""COMPUTED_VALUE"""),"Preferences and opinions of patients with Type 2 diabetes on education and self-care: a cross-sectional survey.")</f>
        <v>Preferences and opinions of patients with Type 2 diabetes on education and self-care: a cross-sectional survey.</v>
      </c>
      <c r="AJ360" s="31" t="str">
        <f>IFERROR(__xludf.DUMMYFUNCTION("""COMPUTED_VALUE"""),"Gorter, K J; Tuytel, G H; de Leeuw, J R J; van der Bijl, J J; Bensing, J M; Rutten, G E H M")</f>
        <v>Gorter, K J; Tuytel, G H; de Leeuw, J R J; van der Bijl, J J; Bensing, J M; Rutten, G E H M</v>
      </c>
      <c r="AK360" s="32">
        <f>IFERROR(__xludf.DUMMYFUNCTION("""COMPUTED_VALUE"""),40179.0)</f>
        <v>40179</v>
      </c>
      <c r="AL360" s="31" t="str">
        <f>IFERROR(__xludf.DUMMYFUNCTION("""COMPUTED_VALUE"""),"Potential impact of missing outcome data on treatment effects in systematic reviews: imputation study.")</f>
        <v>Potential impact of missing outcome data on treatment effects in systematic reviews: imputation study.</v>
      </c>
      <c r="AM360" s="31" t="str">
        <f>IFERROR(__xludf.DUMMYFUNCTION("""COMPUTED_VALUE"""),"Kahale, Lara A; Khamis, Assem M; Diab, Batoul; Chang, Yaping; Lopes, Luciane Cruz; Agarwal, Arnav; Li, Ling; Mustafa, Reem A; Koujanian, Serge; Waziry, Reem; Busse, Jason W; Dakik, Abeer; Schünemann, Holger J; Hooft, Lotty; Scholten, Rob Jpm; Guyatt, Gord"&amp;"on H; Akl, Elie A")</f>
        <v>Kahale, Lara A; Khamis, Assem M; Diab, Batoul; Chang, Yaping; Lopes, Luciane Cruz; Agarwal, Arnav; Li, Ling; Mustafa, Reem A; Koujanian, Serge; Waziry, Reem; Busse, Jason W; Dakik, Abeer; Schünemann, Holger J; Hooft, Lotty; Scholten, Rob Jpm; Guyatt, Gordon H; Akl, Elie A</v>
      </c>
      <c r="AN360" s="32">
        <f>IFERROR(__xludf.DUMMYFUNCTION("""COMPUTED_VALUE"""),44069.0)</f>
        <v>44069</v>
      </c>
    </row>
    <row r="361">
      <c r="A361" s="32"/>
      <c r="I361" s="31" t="str">
        <f>IFERROR(__xludf.DUMMYFUNCTION("""COMPUTED_VALUE"""),"mbio")</f>
        <v>mbio</v>
      </c>
      <c r="J361" s="38">
        <f>COUNTIF(Data!$F$2:$F9917, $I361)</f>
        <v>1</v>
      </c>
      <c r="T361" s="31" t="s">
        <v>284</v>
      </c>
      <c r="U361" s="31" t="s">
        <v>285</v>
      </c>
      <c r="V361" s="32">
        <v>45412.0</v>
      </c>
      <c r="X361" s="31" t="str">
        <f>IFERROR(__xludf.DUMMYFUNCTION("""COMPUTED_VALUE"""),"Exposure to smoky coal combustion emissions and leukocyte Alu retroelement copy number.")</f>
        <v>Exposure to smoky coal combustion emissions and leukocyte Alu retroelement copy number.</v>
      </c>
      <c r="Y361" s="31" t="str">
        <f>IFERROR(__xludf.DUMMYFUNCTION("""COMPUTED_VALUE"""),"Blechter, Batel; Wong, Jason Y Y; Hu, Wei; Cawthon, Richard; Downward, George S; Portengen, Lützen; Zhang, Yongliang; Ning, Bofu; Rahman, Mohammad L; Ji, Bu-Tian; Li, Jihua; Yang, Kaiyun; Dean Hosgood, H; Silverman, Debra T; Huang, Yunchao; Rothman, Natha"&amp;"niel; Vermeulen, Roel; Lan, Qing")</f>
        <v>Blechter, Batel; Wong, Jason Y Y; Hu, Wei; Cawthon, Richard; Downward, George S; Portengen, Lützen; Zhang, Yongliang; Ning, Bofu; Rahman, Mohammad L; Ji, Bu-Tian; Li, Jihua; Yang, Kaiyun; Dean Hosgood, H; Silverman, Debra T; Huang, Yunchao; Rothman, Nathaniel; Vermeulen, Roel; Lan, Qing</v>
      </c>
      <c r="Z361" s="31">
        <f>IFERROR(__xludf.DUMMYFUNCTION("""COMPUTED_VALUE"""),2023.0)</f>
        <v>2023</v>
      </c>
      <c r="AA361" s="31">
        <f>IFERROR(__xludf.DUMMYFUNCTION("""COMPUTED_VALUE"""),1.0)</f>
        <v>1</v>
      </c>
      <c r="AF361" s="31" t="str">
        <f>IFERROR(__xludf.DUMMYFUNCTION("""COMPUTED_VALUE"""),"Predictors of impaired pulmonary function in people living with HIV in an urban African setting.")</f>
        <v>Predictors of impaired pulmonary function in people living with HIV in an urban African setting.</v>
      </c>
      <c r="AG361" s="31" t="str">
        <f>IFERROR(__xludf.DUMMYFUNCTION("""COMPUTED_VALUE"""),"van Riel, Sarah E; Klipstein-Grobusch, Kerstin; Barth, Roos E; Grobbee, Diederick E; Feldman, Charles; Shaddock, Erica; Stacey, Sarah L; Venter, Willem D F; Vos, Alinda G")</f>
        <v>van Riel, Sarah E; Klipstein-Grobusch, Kerstin; Barth, Roos E; Grobbee, Diederick E; Feldman, Charles; Shaddock, Erica; Stacey, Sarah L; Venter, Willem D F; Vos, Alinda G</v>
      </c>
      <c r="AH361" s="32">
        <f>IFERROR(__xludf.DUMMYFUNCTION("""COMPUTED_VALUE"""),44425.0)</f>
        <v>44425</v>
      </c>
      <c r="AI361" s="31" t="str">
        <f>IFERROR(__xludf.DUMMYFUNCTION("""COMPUTED_VALUE"""),"[Detection of metabolic syndrome by self-measurement of waist circumference].")</f>
        <v>[Detection of metabolic syndrome by self-measurement of waist circumference].</v>
      </c>
      <c r="AJ361" s="31" t="str">
        <f>IFERROR(__xludf.DUMMYFUNCTION("""COMPUTED_VALUE"""),"den Engelsen, Corine; van den Donk, Maureen; Gorter, Kees J; Salomé, Philippe L; Bobbink, Inge W G; Rutten, Guy E H M")</f>
        <v>den Engelsen, Corine; van den Donk, Maureen; Gorter, Kees J; Salomé, Philippe L; Bobbink, Inge W G; Rutten, Guy E H M</v>
      </c>
      <c r="AK361" s="32">
        <f>IFERROR(__xludf.DUMMYFUNCTION("""COMPUTED_VALUE"""),40179.0)</f>
        <v>40179</v>
      </c>
      <c r="AL361" s="31" t="str">
        <f>IFERROR(__xludf.DUMMYFUNCTION("""COMPUTED_VALUE"""),"UMBRELLA protocol: systematic reviews of multivariable biomarker prognostic models developed to predict clinical outcomes in patients with heart failure.")</f>
        <v>UMBRELLA protocol: systematic reviews of multivariable biomarker prognostic models developed to predict clinical outcomes in patients with heart failure.</v>
      </c>
      <c r="AM361" s="31" t="str">
        <f>IFERROR(__xludf.DUMMYFUNCTION("""COMPUTED_VALUE"""),"Vazquez-Montes, Maria D L A; Debray, Thomas P A; Taylor, Kathryn S; Speich, Benjamin; Jones, Nicholas; Collins, Gary S; Hobbs, F D R Richard; Magriplis, Emmanuella; Maruri-Aguilar, Hugo; Moons, Karel G M; Parissis, John; Perera, Rafael; Roberts, Nia; Tayl"&amp;"or, Clare J; Kadoglou, Nikolaos P E; Trivella, Marialena; ,")</f>
        <v>Vazquez-Montes, Maria D L A; Debray, Thomas P A; Taylor, Kathryn S; Speich, Benjamin; Jones, Nicholas; Collins, Gary S; Hobbs, F D R Richard; Magriplis, Emmanuella; Maruri-Aguilar, Hugo; Moons, Karel G M; Parissis, John; Perera, Rafael; Roberts, Nia; Taylor, Clare J; Kadoglou, Nikolaos P E; Trivella, Marialena; ,</v>
      </c>
      <c r="AN361" s="32">
        <f>IFERROR(__xludf.DUMMYFUNCTION("""COMPUTED_VALUE"""),44069.0)</f>
        <v>44069</v>
      </c>
    </row>
    <row r="362">
      <c r="A362" s="32"/>
      <c r="I362" s="31" t="str">
        <f>IFERROR(__xludf.DUMMYFUNCTION("""COMPUTED_VALUE"""),"international journal of nursing studies")</f>
        <v>international journal of nursing studies</v>
      </c>
      <c r="J362" s="38">
        <f>COUNTIF(Data!$F$2:$F9917, $I362)</f>
        <v>11</v>
      </c>
      <c r="T362" s="31" t="s">
        <v>25900</v>
      </c>
      <c r="U362" s="31" t="s">
        <v>25901</v>
      </c>
      <c r="V362" s="32">
        <v>45412.0</v>
      </c>
      <c r="X362" s="31" t="str">
        <f>IFERROR(__xludf.DUMMYFUNCTION("""COMPUTED_VALUE"""),"Survival of Patients with Deficient Mismatch Repair Versus Proficient Mismatch Repair Metastatic Colorectal Cancer Receiving Curative-Intent Local Treatment of Metastases in a Nationwide Cohort.")</f>
        <v>Survival of Patients with Deficient Mismatch Repair Versus Proficient Mismatch Repair Metastatic Colorectal Cancer Receiving Curative-Intent Local Treatment of Metastases in a Nationwide Cohort.</v>
      </c>
      <c r="Y362" s="31" t="str">
        <f>IFERROR(__xludf.DUMMYFUNCTION("""COMPUTED_VALUE"""),"Zwart, Koen; van der Baan, Frederieke H; Punt, Cornelis J A; Wensink, G Emerens; Bolhuis, Karen; Laclé, Miangela M; van Grevenstein, Wilhelmina M U; Hagendoorn, Jeroen; de Hingh, Ignace H; Koopman, Miriam; Vink, Geraldine; Roodhart, Jeanine")</f>
        <v>Zwart, Koen; van der Baan, Frederieke H; Punt, Cornelis J A; Wensink, G Emerens; Bolhuis, Karen; Laclé, Miangela M; van Grevenstein, Wilhelmina M U; Hagendoorn, Jeroen; de Hingh, Ignace H; Koopman, Miriam; Vink, Geraldine; Roodhart, Jeanine</v>
      </c>
      <c r="Z362" s="31">
        <f>IFERROR(__xludf.DUMMYFUNCTION("""COMPUTED_VALUE"""),2023.0)</f>
        <v>2023</v>
      </c>
      <c r="AA362" s="31">
        <f>IFERROR(__xludf.DUMMYFUNCTION("""COMPUTED_VALUE"""),1.0)</f>
        <v>1</v>
      </c>
      <c r="AF362" s="31" t="str">
        <f>IFERROR(__xludf.DUMMYFUNCTION("""COMPUTED_VALUE"""),"Importance of testing the internal consistency and construct validity of the Pittsburgh Sleep Quality Index (PSQI) in study groups of day and night shift workers: Example of a sample of long-haul truck drivers in South Africa.")</f>
        <v>Importance of testing the internal consistency and construct validity of the Pittsburgh Sleep Quality Index (PSQI) in study groups of day and night shift workers: Example of a sample of long-haul truck drivers in South Africa.</v>
      </c>
      <c r="AG362" s="31" t="str">
        <f>IFERROR(__xludf.DUMMYFUNCTION("""COMPUTED_VALUE"""),"Roche, Johanna; Vos, Alinda G; Lalla-Edward, Samanta T; Kamerman, Peter R; Venter, Wd Francois; Scheuermaier, Karine")</f>
        <v>Roche, Johanna; Vos, Alinda G; Lalla-Edward, Samanta T; Kamerman, Peter R; Venter, Wd Francois; Scheuermaier, Karine</v>
      </c>
      <c r="AH362" s="32">
        <f>IFERROR(__xludf.DUMMYFUNCTION("""COMPUTED_VALUE"""),44424.0)</f>
        <v>44424</v>
      </c>
      <c r="AI362" s="31" t="str">
        <f>IFERROR(__xludf.DUMMYFUNCTION("""COMPUTED_VALUE"""),"Cost-effectiveness of the diabetes care protocol, a multifaceted computerized decision support diabetes management intervention that reduces cardiovascular risk.")</f>
        <v>Cost-effectiveness of the diabetes care protocol, a multifaceted computerized decision support diabetes management intervention that reduces cardiovascular risk.</v>
      </c>
      <c r="AJ362" s="31" t="str">
        <f>IFERROR(__xludf.DUMMYFUNCTION("""COMPUTED_VALUE"""),"Cleveringa, Frits G W; Welsing, Paco M J; van den Donk, Maureen; Gorter, Kees J; Niessen, Louis W; Rutten, Guy E H M; Redekop, William K")</f>
        <v>Cleveringa, Frits G W; Welsing, Paco M J; van den Donk, Maureen; Gorter, Kees J; Niessen, Louis W; Rutten, Guy E H M; Redekop, William K</v>
      </c>
      <c r="AK362" s="32">
        <f>IFERROR(__xludf.DUMMYFUNCTION("""COMPUTED_VALUE"""),40140.0)</f>
        <v>40140</v>
      </c>
      <c r="AL362" s="31" t="str">
        <f>IFERROR(__xludf.DUMMYFUNCTION("""COMPUTED_VALUE"""),"The relation between VLDL-cholesterol and risk of cardiovascular events in patients with manifest cardiovascular disease.")</f>
        <v>The relation between VLDL-cholesterol and risk of cardiovascular events in patients with manifest cardiovascular disease.</v>
      </c>
      <c r="AM362" s="31" t="str">
        <f>IFERROR(__xludf.DUMMYFUNCTION("""COMPUTED_VALUE"""),"Heidemann, Britt E; Koopal, Charlotte; Bots, Michiel L; Asselbergs, Folkert W; Westerink, Jan; Visseren, Frank L J")</f>
        <v>Heidemann, Britt E; Koopal, Charlotte; Bots, Michiel L; Asselbergs, Folkert W; Westerink, Jan; Visseren, Frank L J</v>
      </c>
      <c r="AN362" s="32">
        <f>IFERROR(__xludf.DUMMYFUNCTION("""COMPUTED_VALUE"""),44058.0)</f>
        <v>44058</v>
      </c>
    </row>
    <row r="363">
      <c r="A363" s="32"/>
      <c r="I363" s="31" t="str">
        <f>IFERROR(__xludf.DUMMYFUNCTION("""COMPUTED_VALUE"""),"tropical medicine international health tm ih")</f>
        <v>tropical medicine international health tm ih</v>
      </c>
      <c r="J363" s="38">
        <f>COUNTIF(Data!$F$2:$F9917, $I363)</f>
        <v>11</v>
      </c>
      <c r="T363" s="31" t="s">
        <v>290</v>
      </c>
      <c r="U363" s="31" t="s">
        <v>291</v>
      </c>
      <c r="V363" s="32">
        <v>45411.0</v>
      </c>
      <c r="X363" s="31" t="str">
        <f>IFERROR(__xludf.DUMMYFUNCTION("""COMPUTED_VALUE"""),"What matters most: Exploring the everyday lives of people with dementia.")</f>
        <v>What matters most: Exploring the everyday lives of people with dementia.</v>
      </c>
      <c r="Y363" s="31" t="str">
        <f>IFERROR(__xludf.DUMMYFUNCTION("""COMPUTED_VALUE"""),"Huizenga, Jacoba; Scheffelaar, Aukelien; Bleijenberg, Nienke; Wilken, Jean Pierre; Keady, John; Van Regenmortel, Tine")</f>
        <v>Huizenga, Jacoba; Scheffelaar, Aukelien; Bleijenberg, Nienke; Wilken, Jean Pierre; Keady, John; Van Regenmortel, Tine</v>
      </c>
      <c r="Z363" s="31">
        <f>IFERROR(__xludf.DUMMYFUNCTION("""COMPUTED_VALUE"""),2023.0)</f>
        <v>2023</v>
      </c>
      <c r="AA363" s="31">
        <f>IFERROR(__xludf.DUMMYFUNCTION("""COMPUTED_VALUE"""),1.0)</f>
        <v>1</v>
      </c>
      <c r="AF363" s="31" t="str">
        <f>IFERROR(__xludf.DUMMYFUNCTION("""COMPUTED_VALUE"""),"Response to letter entitled: Re: Mainstreaming informed consent for genomic sequencing: A call for action: Discussing opt-out options during informed consent discussions in mainstream settings.")</f>
        <v>Response to letter entitled: Re: Mainstreaming informed consent for genomic sequencing: A call for action: Discussing opt-out options during informed consent discussions in mainstream settings.</v>
      </c>
      <c r="AG363" s="31" t="str">
        <f>IFERROR(__xludf.DUMMYFUNCTION("""COMPUTED_VALUE"""),"Bunnik, Eline M; Dondorp, Wybo J; Bredenoord, Annelien L; de Wert, Guido M W R; Cornel, Martina C")</f>
        <v>Bunnik, Eline M; Dondorp, Wybo J; Bredenoord, Annelien L; de Wert, Guido M W R; Cornel, Martina C</v>
      </c>
      <c r="AH363" s="32">
        <f>IFERROR(__xludf.DUMMYFUNCTION("""COMPUTED_VALUE"""),44420.0)</f>
        <v>44420</v>
      </c>
      <c r="AI363" s="31" t="str">
        <f>IFERROR(__xludf.DUMMYFUNCTION("""COMPUTED_VALUE"""),"The impact of concurrent heart failure on prognosis in patients with chronic obstructive pulmonary disease.")</f>
        <v>The impact of concurrent heart failure on prognosis in patients with chronic obstructive pulmonary disease.</v>
      </c>
      <c r="AJ363" s="31" t="str">
        <f>IFERROR(__xludf.DUMMYFUNCTION("""COMPUTED_VALUE"""),"Boudestein, Laura C M; Rutten, Frans H; Cramer, Maarten J; Lammers, Jan Willem J; Hoes, Arno W")</f>
        <v>Boudestein, Laura C M; Rutten, Frans H; Cramer, Maarten J; Lammers, Jan Willem J; Hoes, Arno W</v>
      </c>
      <c r="AK363" s="32">
        <f>IFERROR(__xludf.DUMMYFUNCTION("""COMPUTED_VALUE"""),40120.0)</f>
        <v>40120</v>
      </c>
      <c r="AL363" s="31" t="str">
        <f>IFERROR(__xludf.DUMMYFUNCTION("""COMPUTED_VALUE"""),"Carbapenem-alternative strategies for complicated urinary tract infections: A systematic review of randomized controlled trials.")</f>
        <v>Carbapenem-alternative strategies for complicated urinary tract infections: A systematic review of randomized controlled trials.</v>
      </c>
      <c r="AM363" s="31" t="str">
        <f>IFERROR(__xludf.DUMMYFUNCTION("""COMPUTED_VALUE"""),"Ten Doesschate, T; van der Vaart, T W; Damen, J A A; Bonten, M J M; van Werkhoven, C H")</f>
        <v>Ten Doesschate, T; van der Vaart, T W; Damen, J A A; Bonten, M J M; van Werkhoven, C H</v>
      </c>
      <c r="AN363" s="32">
        <f>IFERROR(__xludf.DUMMYFUNCTION("""COMPUTED_VALUE"""),44055.0)</f>
        <v>44055</v>
      </c>
    </row>
    <row r="364">
      <c r="A364" s="32"/>
      <c r="I364" s="31" t="str">
        <f>IFERROR(__xludf.DUMMYFUNCTION("""COMPUTED_VALUE"""),"reproductive health")</f>
        <v>reproductive health</v>
      </c>
      <c r="J364" s="38">
        <f>COUNTIF(Data!$F$2:$F9917, $I364)</f>
        <v>10</v>
      </c>
      <c r="T364" s="31" t="s">
        <v>296</v>
      </c>
      <c r="U364" s="31" t="s">
        <v>297</v>
      </c>
      <c r="V364" s="32">
        <v>45411.0</v>
      </c>
      <c r="X364" s="31" t="str">
        <f>IFERROR(__xludf.DUMMYFUNCTION("""COMPUTED_VALUE"""),"Ancestral SARS-CoV-2 and Omicron BA.5-specific neutralizing antibody and T-cell responses after Omicron bivalent booster vaccination in previously infected and infection-naive individuals.")</f>
        <v>Ancestral SARS-CoV-2 and Omicron BA.5-specific neutralizing antibody and T-cell responses after Omicron bivalent booster vaccination in previously infected and infection-naive individuals.</v>
      </c>
      <c r="Y364" s="31" t="str">
        <f>IFERROR(__xludf.DUMMYFUNCTION("""COMPUTED_VALUE"""),"Mak, Willem A; Visser, Wendy; van der Vliet, Marijke; Markus, Hilde Y; Koeleman, Johannes G M; Ong, David S Y")</f>
        <v>Mak, Willem A; Visser, Wendy; van der Vliet, Marijke; Markus, Hilde Y; Koeleman, Johannes G M; Ong, David S Y</v>
      </c>
      <c r="Z364" s="31">
        <f>IFERROR(__xludf.DUMMYFUNCTION("""COMPUTED_VALUE"""),2023.0)</f>
        <v>2023</v>
      </c>
      <c r="AA364" s="31">
        <f>IFERROR(__xludf.DUMMYFUNCTION("""COMPUTED_VALUE"""),1.0)</f>
        <v>1</v>
      </c>
      <c r="AF364" s="31" t="str">
        <f>IFERROR(__xludf.DUMMYFUNCTION("""COMPUTED_VALUE"""),"Risk-Adjusted Cancer Screening and Prevention (RiskAP): Complementing Screening for Early Disease Detection by a Learning Screening Based on Risk Factors.")</f>
        <v>Risk-Adjusted Cancer Screening and Prevention (RiskAP): Complementing Screening for Early Disease Detection by a Learning Screening Based on Risk Factors.</v>
      </c>
      <c r="AG364" s="31" t="str">
        <f>IFERROR(__xludf.DUMMYFUNCTION("""COMPUTED_VALUE"""),"Schmutzler, Rita K; Schmitz-Luhn, Björn; Borisch, Bettina; Devilee, Peter; Eccles, Diana; Hall, Per; Balmaña, Judith; Boccia, Stefania; Dabrock, Peter; Emons, Günter; Gaissmaier, Wolfgang; Gronwald, Jacek; Houwaart, Stefanie; Huster, Stefan; Kast, Karin; "&amp;"Katalinic, Alexander; Linn, Sabine C; Moorthie, Sowmiya; Pharoah, Paul; Rhiem, Kerstin; Spranger, Tade; Stoppa-Lyonnet, Dominique; van Delden, Johannes Jozef Marten; van den Bulcke, Marc; Woopen, Christiane")</f>
        <v>Schmutzler, Rita K; Schmitz-Luhn, Björn; Borisch, Bettina; Devilee, Peter; Eccles, Diana; Hall, Per; Balmaña, Judith; Boccia, Stefania; Dabrock, Peter; Emons, Günter; Gaissmaier, Wolfgang; Gronwald, Jacek; Houwaart, Stefanie; Huster, Stefan; Kast, Karin; Katalinic, Alexander; Linn, Sabine C; Moorthie, Sowmiya; Pharoah, Paul; Rhiem, Kerstin; Spranger, Tade; Stoppa-Lyonnet, Dominique; van Delden, Johannes Jozef Marten; van den Bulcke, Marc; Woopen, Christiane</v>
      </c>
      <c r="AH364" s="32">
        <f>IFERROR(__xludf.DUMMYFUNCTION("""COMPUTED_VALUE"""),44420.0)</f>
        <v>44420</v>
      </c>
      <c r="AI364" s="31" t="str">
        <f>IFERROR(__xludf.DUMMYFUNCTION("""COMPUTED_VALUE"""),"Improved care of type 2 diabetes patients as a result of the introduction of a practice nurse: 2003-2007.")</f>
        <v>Improved care of type 2 diabetes patients as a result of the introduction of a practice nurse: 2003-2007.</v>
      </c>
      <c r="AJ364" s="31" t="str">
        <f>IFERROR(__xludf.DUMMYFUNCTION("""COMPUTED_VALUE"""),"den Engelsen, Corine; Soedamah-Muthu, Sabita S; Oosterheert, Nastasja J A; Ballieux, Mireille J P; Rutten, Guy E H M")</f>
        <v>den Engelsen, Corine; Soedamah-Muthu, Sabita S; Oosterheert, Nastasja J A; Ballieux, Mireille J P; Rutten, Guy E H M</v>
      </c>
      <c r="AK364" s="32">
        <f>IFERROR(__xludf.DUMMYFUNCTION("""COMPUTED_VALUE"""),40057.0)</f>
        <v>40057</v>
      </c>
      <c r="AL364" s="31" t="str">
        <f>IFERROR(__xludf.DUMMYFUNCTION("""COMPUTED_VALUE"""),"Semantic loss marks early Alzheimer's disease-related neurodegeneration in older adults without dementia.")</f>
        <v>Semantic loss marks early Alzheimer's disease-related neurodegeneration in older adults without dementia.</v>
      </c>
      <c r="AM364" s="31" t="str">
        <f>IFERROR(__xludf.DUMMYFUNCTION("""COMPUTED_VALUE"""),"Vonk, Jet M J; Bouteloup, Vincent; Mangin, Jean-François; Dubois, Bruno; Blanc, Frédéric; Gabelle, Audrey; Ceccaldi, Mathieu; Annweiler, Cédric; Krolak-Salmon, Pierre; Belin, Catherine; Rivasseau-Jonveaux, Thérèse; Julian, Adrien; Sellal, François; Magnin"&amp;", Eloi; Chupin, Marie; Habert, Marie-Odile; Chêne, Geneviève; Dufouil, Carole; ,")</f>
        <v>Vonk, Jet M J; Bouteloup, Vincent; Mangin, Jean-François; Dubois, Bruno; Blanc, Frédéric; Gabelle, Audrey; Ceccaldi, Mathieu; Annweiler, Cédric; Krolak-Salmon, Pierre; Belin, Catherine; Rivasseau-Jonveaux, Thérèse; Julian, Adrien; Sellal, François; Magnin, Eloi; Chupin, Marie; Habert, Marie-Odile; Chêne, Geneviève; Dufouil, Carole; ,</v>
      </c>
      <c r="AN364" s="32">
        <f>IFERROR(__xludf.DUMMYFUNCTION("""COMPUTED_VALUE"""),44048.0)</f>
        <v>44048</v>
      </c>
    </row>
    <row r="365">
      <c r="A365" s="32"/>
      <c r="I365" s="31" t="str">
        <f>IFERROR(__xludf.DUMMYFUNCTION("""COMPUTED_VALUE"""),"journal of the american academy of dermatology")</f>
        <v>journal of the american academy of dermatology</v>
      </c>
      <c r="J365" s="38">
        <f>COUNTIF(Data!$F$2:$F9917, $I365)</f>
        <v>3</v>
      </c>
      <c r="T365" s="31" t="s">
        <v>301</v>
      </c>
      <c r="U365" s="31" t="s">
        <v>302</v>
      </c>
      <c r="V365" s="32">
        <v>45411.0</v>
      </c>
      <c r="X365" s="31" t="str">
        <f>IFERROR(__xludf.DUMMYFUNCTION("""COMPUTED_VALUE"""),"Direct-to-participant investigational medicinal product supply in clinical trials in Europe: Exploring the experiences of sponsors, site staff and couriers.")</f>
        <v>Direct-to-participant investigational medicinal product supply in clinical trials in Europe: Exploring the experiences of sponsors, site staff and couriers.</v>
      </c>
      <c r="Y365" s="31" t="str">
        <f>IFERROR(__xludf.DUMMYFUNCTION("""COMPUTED_VALUE"""),"de Jong, Amos J; Santa-Ana-Tellez, Yared; Zuidgeest, Mira G P; Grupstra, Renske J; Jami, Fatemeh; de Boer, Anthonius; Gardarsdottir, Helga; ,")</f>
        <v>de Jong, Amos J; Santa-Ana-Tellez, Yared; Zuidgeest, Mira G P; Grupstra, Renske J; Jami, Fatemeh; de Boer, Anthonius; Gardarsdottir, Helga; ,</v>
      </c>
      <c r="Z365" s="31">
        <f>IFERROR(__xludf.DUMMYFUNCTION("""COMPUTED_VALUE"""),2023.0)</f>
        <v>2023</v>
      </c>
      <c r="AA365" s="31">
        <f>IFERROR(__xludf.DUMMYFUNCTION("""COMPUTED_VALUE"""),1.0)</f>
        <v>1</v>
      </c>
      <c r="AF365" s="31" t="str">
        <f>IFERROR(__xludf.DUMMYFUNCTION("""COMPUTED_VALUE"""),"The social licence for data-intensive health research: towards co-creation, public value and trust.")</f>
        <v>The social licence for data-intensive health research: towards co-creation, public value and trust.</v>
      </c>
      <c r="AG365" s="31" t="str">
        <f>IFERROR(__xludf.DUMMYFUNCTION("""COMPUTED_VALUE"""),"Muller, Sam H A; Kalkman, Shona; van Thiel, Ghislaine J M W; Mostert, Menno; van Delden, Johannes J M")</f>
        <v>Muller, Sam H A; Kalkman, Shona; van Thiel, Ghislaine J M W; Mostert, Menno; van Delden, Johannes J M</v>
      </c>
      <c r="AH365" s="32">
        <f>IFERROR(__xludf.DUMMYFUNCTION("""COMPUTED_VALUE"""),44418.0)</f>
        <v>44418</v>
      </c>
      <c r="AI365" s="31" t="str">
        <f>IFERROR(__xludf.DUMMYFUNCTION("""COMPUTED_VALUE"""),"Recurrence up to 3.5 years after antibiotic treatment of acute otitis media in very young Dutch children: survey of trial participants.")</f>
        <v>Recurrence up to 3.5 years after antibiotic treatment of acute otitis media in very young Dutch children: survey of trial participants.</v>
      </c>
      <c r="AJ365" s="31" t="str">
        <f>IFERROR(__xludf.DUMMYFUNCTION("""COMPUTED_VALUE"""),"Bezáková, Natália; Damoiseaux, Roger A M J; Hoes, Arno W; Schilder, Anne G M; Rovers, Maroeska M")</f>
        <v>Bezáková, Natália; Damoiseaux, Roger A M J; Hoes, Arno W; Schilder, Anne G M; Rovers, Maroeska M</v>
      </c>
      <c r="AK365" s="32">
        <f>IFERROR(__xludf.DUMMYFUNCTION("""COMPUTED_VALUE"""),39994.0)</f>
        <v>39994</v>
      </c>
      <c r="AL365" s="31" t="str">
        <f>IFERROR(__xludf.DUMMYFUNCTION("""COMPUTED_VALUE"""),"Handling missing predictor values when validating and applying a prediction model to new patients.")</f>
        <v>Handling missing predictor values when validating and applying a prediction model to new patients.</v>
      </c>
      <c r="AM365" s="31" t="str">
        <f>IFERROR(__xludf.DUMMYFUNCTION("""COMPUTED_VALUE"""),"Hoogland, Jeroen; van Barreveld, Marit; Debray, Thomas P A; Reitsma, Johannes B; Verstraelen, Tom E; Dijkgraaf, Marcel G W; Zwinderman, Aeilko H")</f>
        <v>Hoogland, Jeroen; van Barreveld, Marit; Debray, Thomas P A; Reitsma, Johannes B; Verstraelen, Tom E; Dijkgraaf, Marcel G W; Zwinderman, Aeilko H</v>
      </c>
      <c r="AN365" s="32">
        <f>IFERROR(__xludf.DUMMYFUNCTION("""COMPUTED_VALUE"""),44032.0)</f>
        <v>44032</v>
      </c>
    </row>
    <row r="366">
      <c r="A366" s="32"/>
      <c r="I366" s="31" t="str">
        <f>IFERROR(__xludf.DUMMYFUNCTION("""COMPUTED_VALUE"""),"antibiotics basel switzerland")</f>
        <v>antibiotics basel switzerland</v>
      </c>
      <c r="J366" s="38">
        <f>COUNTIF(Data!$F$2:$F9917, $I366)</f>
        <v>8</v>
      </c>
      <c r="T366" s="31" t="s">
        <v>306</v>
      </c>
      <c r="U366" s="31" t="s">
        <v>307</v>
      </c>
      <c r="V366" s="32">
        <v>45411.0</v>
      </c>
      <c r="X366" s="31" t="str">
        <f>IFERROR(__xludf.DUMMYFUNCTION("""COMPUTED_VALUE"""),"Time-to-Event Genome-Wide Association Study for Incident Cardiovascular Disease in People with Type 2 Diabetes Mellitus.")</f>
        <v>Time-to-Event Genome-Wide Association Study for Incident Cardiovascular Disease in People with Type 2 Diabetes Mellitus.</v>
      </c>
      <c r="Y366" s="31" t="str">
        <f>IFERROR(__xludf.DUMMYFUNCTION("""COMPUTED_VALUE"""),"Kwak, Soo Heon; Hernandez-Cancela, Ryan B; DiCorpo, Daniel A; Condon, David E; Merino, Jordi; Wu, Peitao; Brody, Jennifer A; Yao, Jie; Guo, Xiuqing; Ahmadizar, Fariba; Meyer, Mariah; Sincan, Murat; Mercader, Josep M; Lee, Sujin; Haessler, Jeffrey; Vy, Ha "&amp;"My T; Lin, Zhaotong; Armstrong, Nicole D; Gu, Shaopeng; Tsao, Noah L; Lange, Leslie A; Wang, Ningyuan; Wiggins, Kerri L; Trompet, Stella; Liu, Simin; Loos, Ruth J F; Judy, Renae; Schroeder, Philip H; Hasbani, Natalie R; Bos, Maxime M; Morrison, Alanna C; "&amp;"Jackson, Rebecca D; Reiner, Alexander P; Manson, JoAnn E; Chaudhary, Ninad S; Carmichael, Lynn K; Chen, Yii-Der Ida; Taylor, Kent D; Ghanbari, Mohsen; van Meurs, Joyce; Pitsillides, Achilleas N; Psaty, Bruce M; Noordam, Raymond; Do, Ron; Park, Kyong Soo; "&amp;"Jukema, J Wouter; Kavousi, Maryam; Correa, Adolfo; Rich, Stephen S; Damrauer, Scott M; Hajek, Catherine; Cho, Nam H; Irvin, Marguerite R; Pankow, James S; Nadkarni, Girish N; Sladek, Robert; Goodarzi, Mark O; Florez, Jose C; Chasman, D")</f>
        <v>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v>
      </c>
      <c r="Z366" s="31">
        <f>IFERROR(__xludf.DUMMYFUNCTION("""COMPUTED_VALUE"""),2023.0)</f>
        <v>2023</v>
      </c>
      <c r="AA366" s="31">
        <f>IFERROR(__xludf.DUMMYFUNCTION("""COMPUTED_VALUE"""),1.0)</f>
        <v>1</v>
      </c>
      <c r="AF366" s="31" t="str">
        <f>IFERROR(__xludf.DUMMYFUNCTION("""COMPUTED_VALUE"""),"Shifting toward a healthier dietary pattern through nudging and pricing strategies: A secondary analysis of a randomized virtual supermarket experiment.")</f>
        <v>Shifting toward a healthier dietary pattern through nudging and pricing strategies: A secondary analysis of a randomized virtual supermarket experiment.</v>
      </c>
      <c r="AG366" s="31" t="str">
        <f>IFERROR(__xludf.DUMMYFUNCTION("""COMPUTED_VALUE"""),"Stuber, Josine M; Hoenink, Jody C; Beulens, Joline W J; Mackenbach, Joreintje D; Lakerveld, Jeroen")</f>
        <v>Stuber, Josine M; Hoenink, Jody C; Beulens, Joline W J; Mackenbach, Joreintje D; Lakerveld, Jeroen</v>
      </c>
      <c r="AH366" s="32">
        <f>IFERROR(__xludf.DUMMYFUNCTION("""COMPUTED_VALUE"""),44410.0)</f>
        <v>44410</v>
      </c>
      <c r="AI366" s="31" t="str">
        <f>IFERROR(__xludf.DUMMYFUNCTION("""COMPUTED_VALUE"""),"Identifying people with metabolic syndrome in primary care by screening with a mailed tape measure: a survey of 14,000 people in the Netherlands.")</f>
        <v>Identifying people with metabolic syndrome in primary care by screening with a mailed tape measure: a survey of 14,000 people in the Netherlands.</v>
      </c>
      <c r="AJ366" s="31" t="str">
        <f>IFERROR(__xludf.DUMMYFUNCTION("""COMPUTED_VALUE"""),"van den Donk, Maureen; Bobbink, Inge W G; Gorter, Kees J; Salomé, Philippe L; Rutten, Guy E H M")</f>
        <v>van den Donk, Maureen; Bobbink, Inge W G; Gorter, Kees J; Salomé, Philippe L; Rutten, Guy E H M</v>
      </c>
      <c r="AK366" s="32">
        <f>IFERROR(__xludf.DUMMYFUNCTION("""COMPUTED_VALUE"""),39856.0)</f>
        <v>39856</v>
      </c>
      <c r="AL366" s="31" t="str">
        <f>IFERROR(__xludf.DUMMYFUNCTION("""COMPUTED_VALUE"""),"Location-specific risk factors for intracerebral hemorrhage: Systematic review and meta-analysis.")</f>
        <v>Location-specific risk factors for intracerebral hemorrhage: Systematic review and meta-analysis.</v>
      </c>
      <c r="AM366" s="31" t="str">
        <f>IFERROR(__xludf.DUMMYFUNCTION("""COMPUTED_VALUE"""),"Jolink, Wilmar M T; Wiegertjes, Kim; Rinkel, Gabriël J E; Algra, Ale; de Leeuw, Frank-Erik; Klijn, Catharina J M")</f>
        <v>Jolink, Wilmar M T; Wiegertjes, Kim; Rinkel, Gabriël J E; Algra, Ale; de Leeuw, Frank-Erik; Klijn, Catharina J M</v>
      </c>
      <c r="AN366" s="32">
        <f>IFERROR(__xludf.DUMMYFUNCTION("""COMPUTED_VALUE"""),44032.0)</f>
        <v>44032</v>
      </c>
    </row>
    <row r="367">
      <c r="A367" s="32"/>
      <c r="I367" s="31" t="str">
        <f>IFERROR(__xludf.DUMMYFUNCTION("""COMPUTED_VALUE"""),"allergy")</f>
        <v>allergy</v>
      </c>
      <c r="J367" s="38">
        <f>COUNTIF(Data!$F$2:$F9917, $I367)</f>
        <v>8</v>
      </c>
      <c r="T367" s="31" t="s">
        <v>25938</v>
      </c>
      <c r="U367" s="31" t="s">
        <v>25939</v>
      </c>
      <c r="V367" s="32">
        <v>45409.0</v>
      </c>
      <c r="X367" s="31" t="str">
        <f>IFERROR(__xludf.DUMMYFUNCTION("""COMPUTED_VALUE"""),"Advance Care Planning in the Netherlands.")</f>
        <v>Advance Care Planning in the Netherlands.</v>
      </c>
      <c r="Y367" s="31" t="str">
        <f>IFERROR(__xludf.DUMMYFUNCTION("""COMPUTED_VALUE"""),"van der Steen, Jenny T; Engels, Yvonne; Touwen, Dorothea P; Kars, Marijke C; Reyners, Anna K L; van der Linden, Yvette M; Korfage, Ida J")</f>
        <v>van der Steen, Jenny T; Engels, Yvonne; Touwen, Dorothea P; Kars, Marijke C; Reyners, Anna K L; van der Linden, Yvette M; Korfage, Ida J</v>
      </c>
      <c r="Z367" s="31">
        <f>IFERROR(__xludf.DUMMYFUNCTION("""COMPUTED_VALUE"""),2023.0)</f>
        <v>2023</v>
      </c>
      <c r="AA367" s="31">
        <f>IFERROR(__xludf.DUMMYFUNCTION("""COMPUTED_VALUE"""),1.0)</f>
        <v>1</v>
      </c>
      <c r="AF367" s="31" t="str">
        <f>IFERROR(__xludf.DUMMYFUNCTION("""COMPUTED_VALUE"""),"Research within international non-governmental organisation programmes in low and middle-income countries: challenges amid opportunities.")</f>
        <v>Research within international non-governmental organisation programmes in low and middle-income countries: challenges amid opportunities.</v>
      </c>
      <c r="AG367" s="31" t="str">
        <f>IFERROR(__xludf.DUMMYFUNCTION("""COMPUTED_VALUE"""),"Ishaku, Salisu Mohammed; van der Harst, Maria; Warren, Charlotte E; Franx, Arie; Kayode, Gbenga Ayodele; Grobbee, Diederick; Browne, Joyce L")</f>
        <v>Ishaku, Salisu Mohammed; van der Harst, Maria; Warren, Charlotte E; Franx, Arie; Kayode, Gbenga Ayodele; Grobbee, Diederick; Browne, Joyce L</v>
      </c>
      <c r="AH367" s="32">
        <f>IFERROR(__xludf.DUMMYFUNCTION("""COMPUTED_VALUE"""),44409.0)</f>
        <v>44409</v>
      </c>
      <c r="AI367" s="31" t="str">
        <f>IFERROR(__xludf.DUMMYFUNCTION("""COMPUTED_VALUE"""),"Incidence and antibiotic prescription rates for common infections in patients with diabetes in primary care over the years 1995 to 2003.")</f>
        <v>Incidence and antibiotic prescription rates for common infections in patients with diabetes in primary care over the years 1995 to 2003.</v>
      </c>
      <c r="AJ367" s="31" t="str">
        <f>IFERROR(__xludf.DUMMYFUNCTION("""COMPUTED_VALUE"""),"Venmans, L M A J; Hak, E; Gorter, K J; Rutten, G E H M")</f>
        <v>Venmans, L M A J; Hak, E; Gorter, K J; Rutten, G E H M</v>
      </c>
      <c r="AK367" s="32">
        <f>IFERROR(__xludf.DUMMYFUNCTION("""COMPUTED_VALUE"""),39852.0)</f>
        <v>39852</v>
      </c>
      <c r="AL367" s="31" t="str">
        <f>IFERROR(__xludf.DUMMYFUNCTION("""COMPUTED_VALUE"""),"Serial testing of health care workers for tuberculosis infection: A prospective cohort study.")</f>
        <v>Serial testing of health care workers for tuberculosis infection: A prospective cohort study.</v>
      </c>
      <c r="AM367" s="31" t="str">
        <f>IFERROR(__xludf.DUMMYFUNCTION("""COMPUTED_VALUE"""),"Casas, Irma; Esteve, Maria; Guerola, Rosa; Latorre, Irene; Villar-Hernández, Raquel; Mena, Guillermo; Prat-Aymerich, Cristina; Matllo, Joan; Dominguez, Jose")</f>
        <v>Casas, Irma; Esteve, Maria; Guerola, Rosa; Latorre, Irene; Villar-Hernández, Raquel; Mena, Guillermo; Prat-Aymerich, Cristina; Matllo, Joan; Dominguez, Jose</v>
      </c>
      <c r="AN367" s="32">
        <f>IFERROR(__xludf.DUMMYFUNCTION("""COMPUTED_VALUE"""),44029.0)</f>
        <v>44029</v>
      </c>
    </row>
    <row r="368">
      <c r="A368" s="32"/>
      <c r="I368" s="31" t="str">
        <f>IFERROR(__xludf.DUMMYFUNCTION("""COMPUTED_VALUE"""),"international journal of laboratory hematology")</f>
        <v>international journal of laboratory hematology</v>
      </c>
      <c r="J368" s="38">
        <f>COUNTIF(Data!$F$2:$F9917, $I368)</f>
        <v>1</v>
      </c>
      <c r="T368" s="31" t="s">
        <v>312</v>
      </c>
      <c r="U368" s="31" t="s">
        <v>313</v>
      </c>
      <c r="V368" s="32">
        <v>45408.0</v>
      </c>
      <c r="X368" s="31" t="str">
        <f>IFERROR(__xludf.DUMMYFUNCTION("""COMPUTED_VALUE"""),"Discovering Distinct Phenotypical Clusters in Heart Failure Across the Ejection Fraction Spectrum: a Systematic Review.")</f>
        <v>Discovering Distinct Phenotypical Clusters in Heart Failure Across the Ejection Fraction Spectrum: a Systematic Review.</v>
      </c>
      <c r="Y368" s="31" t="str">
        <f>IFERROR(__xludf.DUMMYFUNCTION("""COMPUTED_VALUE"""),"Meijs, Claartje; Handoko, M Louis; Savarese, Gianluigi; Vernooij, Robin W M; Vaartjes, Ilonca; Banerjee, Amitava; Koudstaal, Stefan; Brugts, Jasper J; Asselbergs, Folkert W; Uijl, Alicia")</f>
        <v>Meijs, Claartje; Handoko, M Louis; Savarese, Gianluigi; Vernooij, Robin W M; Vaartjes, Ilonca; Banerjee, Amitava; Koudstaal, Stefan; Brugts, Jasper J; Asselbergs, Folkert W; Uijl, Alicia</v>
      </c>
      <c r="Z368" s="31">
        <f>IFERROR(__xludf.DUMMYFUNCTION("""COMPUTED_VALUE"""),2023.0)</f>
        <v>2023</v>
      </c>
      <c r="AA368" s="31">
        <f>IFERROR(__xludf.DUMMYFUNCTION("""COMPUTED_VALUE"""),1.0)</f>
        <v>1</v>
      </c>
      <c r="AF368" s="31" t="str">
        <f>IFERROR(__xludf.DUMMYFUNCTION("""COMPUTED_VALUE"""),"Physicians' Opinion and Practice With the Continuous Use of Sedatives in the Last Days of Life.")</f>
        <v>Physicians' Opinion and Practice With the Continuous Use of Sedatives in the Last Days of Life.</v>
      </c>
      <c r="AG368" s="31" t="str">
        <f>IFERROR(__xludf.DUMMYFUNCTION("""COMPUTED_VALUE"""),"Heijltjes, Madelon T; Morita, Tatsuya; Mori, Masanori; Heckel, Maria; Klein, Carsten; Stiel, Stephanie; Miccinesi, Guido; Deliens, Luc; Robijn, Lenzo; Stone, Patrick; Sykes, Nigel; Hui, David; Krishna, Lalit; van Delden, Johannes J M; van der Heide, Agnes"&amp;"; Rietjens, Judith A C")</f>
        <v>Heijltjes, Madelon T; Morita, Tatsuya; Mori, Masanori; Heckel, Maria; Klein, Carsten; Stiel, Stephanie; Miccinesi, Guido; Deliens, Luc; Robijn, Lenzo; Stone, Patrick; Sykes, Nigel; Hui, David; Krishna, Lalit; van Delden, Johannes J M; van der Heide, Agnes; Rietjens, Judith A C</v>
      </c>
      <c r="AH368" s="32">
        <f>IFERROR(__xludf.DUMMYFUNCTION("""COMPUTED_VALUE"""),44406.0)</f>
        <v>44406</v>
      </c>
      <c r="AI368" s="31" t="str">
        <f>IFERROR(__xludf.DUMMYFUNCTION("""COMPUTED_VALUE"""),"Insulin therapy in type 2 diabetes: what is the evidence?")</f>
        <v>Insulin therapy in type 2 diabetes: what is the evidence?</v>
      </c>
      <c r="AJ368" s="31" t="str">
        <f>IFERROR(__xludf.DUMMYFUNCTION("""COMPUTED_VALUE"""),"van Avendonk, Mariëlle J P; Rutten, Guy E H M")</f>
        <v>van Avendonk, Mariëlle J P; Rutten, Guy E H M</v>
      </c>
      <c r="AK368" s="32">
        <f>IFERROR(__xludf.DUMMYFUNCTION("""COMPUTED_VALUE"""),39832.0)</f>
        <v>39832</v>
      </c>
      <c r="AL368" s="31" t="str">
        <f>IFERROR(__xludf.DUMMYFUNCTION("""COMPUTED_VALUE"""),"The impact of STI test results and face-to-face consultations on subsequent behavior and psychological characteristics.")</f>
        <v>The impact of STI test results and face-to-face consultations on subsequent behavior and psychological characteristics.</v>
      </c>
      <c r="AM368" s="31" t="str">
        <f>IFERROR(__xludf.DUMMYFUNCTION("""COMPUTED_VALUE"""),"van Wees, Daphne A; Drissen, Meggie M C M; den Daas, Chantal; Heijman, Titia; Kretzschmar, Mirjam E E; Heijne, Janneke C M")</f>
        <v>van Wees, Daphne A; Drissen, Meggie M C M; den Daas, Chantal; Heijman, Titia; Kretzschmar, Mirjam E E; Heijne, Janneke C M</v>
      </c>
      <c r="AN368" s="32">
        <f>IFERROR(__xludf.DUMMYFUNCTION("""COMPUTED_VALUE"""),44023.0)</f>
        <v>44023</v>
      </c>
    </row>
    <row r="369">
      <c r="A369" s="32"/>
      <c r="I369" s="31" t="str">
        <f>IFERROR(__xludf.DUMMYFUNCTION("""COMPUTED_VALUE"""),"clinical cancer research an official journal of the american association for cancer research")</f>
        <v>clinical cancer research an official journal of the american association for cancer research</v>
      </c>
      <c r="J369" s="38">
        <f>COUNTIF(Data!$F$2:$F9917, $I369)</f>
        <v>10</v>
      </c>
      <c r="T369" s="31" t="s">
        <v>318</v>
      </c>
      <c r="U369" s="31" t="s">
        <v>319</v>
      </c>
      <c r="V369" s="32">
        <v>45407.0</v>
      </c>
      <c r="X369" s="31" t="str">
        <f>IFERROR(__xludf.DUMMYFUNCTION("""COMPUTED_VALUE"""),"Interventions to Prevent Intimate Partner Violence: A Systematic Review and Meta-Analysis.")</f>
        <v>Interventions to Prevent Intimate Partner Violence: A Systematic Review and Meta-Analysis.</v>
      </c>
      <c r="Y369" s="31" t="str">
        <f>IFERROR(__xludf.DUMMYFUNCTION("""COMPUTED_VALUE"""),"Alsina, Ema; Browne, Joyce L; Gielkens, Desi; Noorman, Maaike A J; de Wit, John B F")</f>
        <v>Alsina, Ema; Browne, Joyce L; Gielkens, Desi; Noorman, Maaike A J; de Wit, John B F</v>
      </c>
      <c r="Z369" s="31">
        <f>IFERROR(__xludf.DUMMYFUNCTION("""COMPUTED_VALUE"""),2023.0)</f>
        <v>2023</v>
      </c>
      <c r="AA369" s="31">
        <f>IFERROR(__xludf.DUMMYFUNCTION("""COMPUTED_VALUE"""),1.0)</f>
        <v>1</v>
      </c>
      <c r="AF369" s="31" t="str">
        <f>IFERROR(__xludf.DUMMYFUNCTION("""COMPUTED_VALUE"""),"Control of antimicrobial resistance in Cameroon: Feasibility of implementing the National Action Plan.")</f>
        <v>Control of antimicrobial resistance in Cameroon: Feasibility of implementing the National Action Plan.</v>
      </c>
      <c r="AG369" s="31" t="str">
        <f>IFERROR(__xludf.DUMMYFUNCTION("""COMPUTED_VALUE"""),"Amin, Elvis Tajoache; Omeichu, Amadeus Agwenam; Shu, Divine Mamboneh; Ekome, Serge Raoul Ekukole; Njumkeng, Charles; van der Sande, Marianne Antonia Bernarda")</f>
        <v>Amin, Elvis Tajoache; Omeichu, Amadeus Agwenam; Shu, Divine Mamboneh; Ekome, Serge Raoul Ekukole; Njumkeng, Charles; van der Sande, Marianne Antonia Bernarda</v>
      </c>
      <c r="AH369" s="32">
        <f>IFERROR(__xludf.DUMMYFUNCTION("""COMPUTED_VALUE"""),44403.0)</f>
        <v>44403</v>
      </c>
      <c r="AI369" s="31" t="str">
        <f>IFERROR(__xludf.DUMMYFUNCTION("""COMPUTED_VALUE"""),"Insulin therapy in type 2 diabetes is no longer a secondary care activity in the Netherlands.")</f>
        <v>Insulin therapy in type 2 diabetes is no longer a secondary care activity in the Netherlands.</v>
      </c>
      <c r="AJ369" s="31" t="str">
        <f>IFERROR(__xludf.DUMMYFUNCTION("""COMPUTED_VALUE"""),"van Avendonk, Mariëlle J P; Gorter, Kees J; van den Donk, Maureen; Rutten, Guy E H M")</f>
        <v>van Avendonk, Mariëlle J P; Gorter, Kees J; van den Donk, Maureen; Rutten, Guy E H M</v>
      </c>
      <c r="AK369" s="32">
        <f>IFERROR(__xludf.DUMMYFUNCTION("""COMPUTED_VALUE"""),39799.0)</f>
        <v>39799</v>
      </c>
      <c r="AL369" s="31" t="str">
        <f>IFERROR(__xludf.DUMMYFUNCTION("""COMPUTED_VALUE"""),"Cost-benefit of outcome adjudication in nine randomised stroke trials.")</f>
        <v>Cost-benefit of outcome adjudication in nine randomised stroke trials.</v>
      </c>
      <c r="AM369" s="31" t="str">
        <f>IFERROR(__xludf.DUMMYFUNCTION("""COMPUTED_VALUE"""),"Godolphin, Peter J; Bath, Philip M; Algra, Ale; Berge, Eivind; Chalmers, John; Eliasziw, Misha; Hankey, Graeme J; Hosomi, Naohisa; Ranta, Annamarei; Weimar, Christian; Woodhouse, Lisa J; Montgomery, Alan A")</f>
        <v>Godolphin, Peter J; Bath, Philip M; Algra, Ale; Berge, Eivind; Chalmers, John; Eliasziw, Misha; Hankey, Graeme J; Hosomi, Naohisa; Ranta, Annamarei; Weimar, Christian; Woodhouse, Lisa J; Montgomery, Alan A</v>
      </c>
      <c r="AN369" s="32">
        <f>IFERROR(__xludf.DUMMYFUNCTION("""COMPUTED_VALUE"""),44022.0)</f>
        <v>44022</v>
      </c>
    </row>
    <row r="370">
      <c r="A370" s="32"/>
      <c r="I370" s="31" t="str">
        <f>IFERROR(__xludf.DUMMYFUNCTION("""COMPUTED_VALUE"""),"acta paediatrica oslo norway")</f>
        <v>acta paediatrica oslo norway</v>
      </c>
      <c r="J370" s="38">
        <f>COUNTIF(Data!$F$2:$F9917, $I370)</f>
        <v>3</v>
      </c>
      <c r="T370" s="31" t="s">
        <v>25145</v>
      </c>
      <c r="U370" s="31" t="s">
        <v>319</v>
      </c>
      <c r="V370" s="32">
        <v>45407.0</v>
      </c>
      <c r="X370" s="31" t="str">
        <f>IFERROR(__xludf.DUMMYFUNCTION("""COMPUTED_VALUE"""),"Pain and Opioid Consumption After Laparoscopic Versus Open Gastrectomy for Gastric Cancer: A Secondary Analysis of a Multicenter Randomized Clinical Trial (LOGICA-Trial).")</f>
        <v>Pain and Opioid Consumption After Laparoscopic Versus Open Gastrectomy for Gastric Cancer: A Secondary Analysis of a Multicenter Randomized Clinical Trial (LOGICA-Trial).</v>
      </c>
      <c r="Y370" s="31" t="str">
        <f>IFERROR(__xludf.DUMMYFUNCTION("""COMPUTED_VALUE"""),"van der Veen, Arjen; Ramaekers, Mark; Marsman, Marije; Brenkman, Hylke J F; Seesing, Maarten F J; Luyer, Misha D P; Nieuwenhuijzen, Grard A P; Stoot, Jan H M B; Tegels, Juul J W; Wijnhoven, Bas P L; de Steur, Wobbe O; Kouwenhoven, Ewout A; Wassenaar, Eelc"&amp;"o B; Draaisma, Werner A; Gisbertz, Suzanne S; van der Peet, Donald L; May, Anne M; Ruurda, Jelle P; van Hillegersberg, Richard; ,")</f>
        <v>van der Veen, Arjen; Ramaekers, Mark; Marsman, Marije; Brenkman, Hylke J F; Seesing, Maarten F J; Luyer, Misha D P; Nieuwenhuijzen, Grard A P; Stoot, Jan H M B; Tegels, Juul J W; Wijnhoven, Bas P L; de Steur, Wobbe O; Kouwenhoven, Ewout A; Wassenaar, Eelco B; Draaisma, Werner A; Gisbertz, Suzanne S; van der Peet, Donald L; May, Anne M; Ruurda, Jelle P; van Hillegersberg, Richard; ,</v>
      </c>
      <c r="Z370" s="31">
        <f>IFERROR(__xludf.DUMMYFUNCTION("""COMPUTED_VALUE"""),2023.0)</f>
        <v>2023</v>
      </c>
      <c r="AA370" s="31">
        <f>IFERROR(__xludf.DUMMYFUNCTION("""COMPUTED_VALUE"""),1.0)</f>
        <v>1</v>
      </c>
      <c r="AF370" s="31" t="str">
        <f>IFERROR(__xludf.DUMMYFUNCTION("""COMPUTED_VALUE"""),"Sex differences in emergency medical services management of patients with myocardial infarction: analysis of routinely collected data for over 110,000 patients.")</f>
        <v>Sex differences in emergency medical services management of patients with myocardial infarction: analysis of routinely collected data for over 110,000 patients.</v>
      </c>
      <c r="AG370" s="31" t="str">
        <f>IFERROR(__xludf.DUMMYFUNCTION("""COMPUTED_VALUE"""),"Hsu, Benjumin; Carcel, Cheryl; Wang, Xia; Peters, Sanne A E; Randall, Deborah A; Havard, Alys; Miller, Matthew; Redfern, Julie; Woodward, Mark; Jorm, Louisa R")</f>
        <v>Hsu, Benjumin; Carcel, Cheryl; Wang, Xia; Peters, Sanne A E; Randall, Deborah A; Havard, Alys; Miller, Matthew; Redfern, Julie; Woodward, Mark; Jorm, Louisa R</v>
      </c>
      <c r="AH370" s="32">
        <f>IFERROR(__xludf.DUMMYFUNCTION("""COMPUTED_VALUE"""),44401.0)</f>
        <v>44401</v>
      </c>
      <c r="AI370" s="31" t="str">
        <f>IFERROR(__xludf.DUMMYFUNCTION("""COMPUTED_VALUE"""),"Clinically relevant diagnostic research in primary care: the example of B-type natriuretic peptides in the detection of heart failure.")</f>
        <v>Clinically relevant diagnostic research in primary care: the example of B-type natriuretic peptides in the detection of heart failure.</v>
      </c>
      <c r="AJ370" s="31" t="str">
        <f>IFERROR(__xludf.DUMMYFUNCTION("""COMPUTED_VALUE"""),"Kelder, Johannes C; Rutten, Frans H; Hoes, Arno W")</f>
        <v>Kelder, Johannes C; Rutten, Frans H; Hoes, Arno W</v>
      </c>
      <c r="AK370" s="32">
        <f>IFERROR(__xludf.DUMMYFUNCTION("""COMPUTED_VALUE"""),39785.0)</f>
        <v>39785</v>
      </c>
      <c r="AL370" s="31" t="str">
        <f>IFERROR(__xludf.DUMMYFUNCTION("""COMPUTED_VALUE"""),"Signs and symptoms to determine if a patient presenting in primary care or hospital outpatient settings has COVID-19 disease.")</f>
        <v>Signs and symptoms to determine if a patient presenting in primary care or hospital outpatient settings has COVID-19 disease.</v>
      </c>
      <c r="AM370" s="31" t="str">
        <f>IFERROR(__xludf.DUMMYFUNCTION("""COMPUTED_VALUE"""),"Struyf, Thomas; Deeks, Jonathan J; Dinnes, Jacqueline; Takwoingi, Yemisi; Davenport, Clare; Leeflang, Mariska Mg; Spijker, René; Hooft, Lotty; Emperador, Devy; Dittrich, Sabine; Domen, Julie; Horn, Sebastiaan R A; Van den Bruel, Ann; ,")</f>
        <v>Struyf, Thomas; Deeks, Jonathan J; Dinnes, Jacqueline; Takwoingi, Yemisi; Davenport, Clare; Leeflang, Mariska Mg; Spijker, René; Hooft, Lotty; Emperador, Devy; Dittrich, Sabine; Domen, Julie; Horn, Sebastiaan R A; Van den Bruel, Ann; ,</v>
      </c>
      <c r="AN370" s="32">
        <f>IFERROR(__xludf.DUMMYFUNCTION("""COMPUTED_VALUE"""),44019.0)</f>
        <v>44019</v>
      </c>
    </row>
    <row r="371">
      <c r="A371" s="32"/>
      <c r="I371" s="31" t="str">
        <f>IFERROR(__xludf.DUMMYFUNCTION("""COMPUTED_VALUE"""),"journal of clinical sleep medicine jcsm official publication of the american academy of sleep medicine")</f>
        <v>journal of clinical sleep medicine jcsm official publication of the american academy of sleep medicine</v>
      </c>
      <c r="J371" s="38">
        <f>COUNTIF(Data!$F$2:$F9917, $I371)</f>
        <v>1</v>
      </c>
      <c r="T371" s="31" t="s">
        <v>324</v>
      </c>
      <c r="U371" s="31" t="s">
        <v>325</v>
      </c>
      <c r="V371" s="32">
        <v>45406.0</v>
      </c>
      <c r="X371" s="31" t="str">
        <f>IFERROR(__xludf.DUMMYFUNCTION("""COMPUTED_VALUE"""),"The spiritual dimension of parenting a child with a life-limiting or life-threatening condition: A mixed-methods systematic review.")</f>
        <v>The spiritual dimension of parenting a child with a life-limiting or life-threatening condition: A mixed-methods systematic review.</v>
      </c>
      <c r="Y371" s="31" t="str">
        <f>IFERROR(__xludf.DUMMYFUNCTION("""COMPUTED_VALUE"""),"Engel, Marijanne; Brouwer, Marije A; Jansen, Nienke; Leget, Carlo; Teunissen, Saskia Ccm; Kars, Marijke C")</f>
        <v>Engel, Marijanne; Brouwer, Marije A; Jansen, Nienke; Leget, Carlo; Teunissen, Saskia Ccm; Kars, Marijke C</v>
      </c>
      <c r="Z371" s="31">
        <f>IFERROR(__xludf.DUMMYFUNCTION("""COMPUTED_VALUE"""),2023.0)</f>
        <v>2023</v>
      </c>
      <c r="AA371" s="31">
        <f>IFERROR(__xludf.DUMMYFUNCTION("""COMPUTED_VALUE"""),1.0)</f>
        <v>1</v>
      </c>
      <c r="AF371" s="31" t="str">
        <f>IFERROR(__xludf.DUMMYFUNCTION("""COMPUTED_VALUE"""),"Double burden of malnutrition among school-aged children and adolescents: evidence from a community-based cross-sectional survey in two Nigerian States.")</f>
        <v>Double burden of malnutrition among school-aged children and adolescents: evidence from a community-based cross-sectional survey in two Nigerian States.</v>
      </c>
      <c r="AG371" s="31" t="str">
        <f>IFERROR(__xludf.DUMMYFUNCTION("""COMPUTED_VALUE"""),"Adeomi, Adeleye; Fatusi, Adesegun; Klipstein-Grobusch, Kerstin")</f>
        <v>Adeomi, Adeleye; Fatusi, Adesegun; Klipstein-Grobusch, Kerstin</v>
      </c>
      <c r="AH371" s="32">
        <f>IFERROR(__xludf.DUMMYFUNCTION("""COMPUTED_VALUE"""),44398.0)</f>
        <v>44398</v>
      </c>
      <c r="AI371" s="31" t="str">
        <f>IFERROR(__xludf.DUMMYFUNCTION("""COMPUTED_VALUE"""),"Determinants of non-compliance with herpes zoster vaccination in the community-dwelling elderly.")</f>
        <v>Determinants of non-compliance with herpes zoster vaccination in the community-dwelling elderly.</v>
      </c>
      <c r="AJ371" s="31" t="str">
        <f>IFERROR(__xludf.DUMMYFUNCTION("""COMPUTED_VALUE"""),"Opstelten, Wim; van Essen, Gerrit A; Hak, Eelko")</f>
        <v>Opstelten, Wim; van Essen, Gerrit A; Hak, Eelko</v>
      </c>
      <c r="AK371" s="32">
        <f>IFERROR(__xludf.DUMMYFUNCTION("""COMPUTED_VALUE"""),39759.0)</f>
        <v>39759</v>
      </c>
      <c r="AL371" s="31" t="str">
        <f>IFERROR(__xludf.DUMMYFUNCTION("""COMPUTED_VALUE"""),"Computer-Aided Diagnosis in Multiparametric Magnetic Resonance Imaging Screening of Women With Extremely Dense Breasts to Reduce False-Positive Diagnoses.")</f>
        <v>Computer-Aided Diagnosis in Multiparametric Magnetic Resonance Imaging Screening of Women With Extremely Dense Breasts to Reduce False-Positive Diagnoses.</v>
      </c>
      <c r="AM371" s="31" t="str">
        <f>IFERROR(__xludf.DUMMYFUNCTION("""COMPUTED_VALUE"""),"Verburg, Erik; van Gils, Carla H; Bakker, Marije F; Viergever, Max A; Pijnappel, Ruud M; Veldhuis, Wouter B; Gilhuijs, Kenneth G A")</f>
        <v>Verburg, Erik; van Gils, Carla H; Bakker, Marije F; Viergever, Max A; Pijnappel, Ruud M; Veldhuis, Wouter B; Gilhuijs, Kenneth G A</v>
      </c>
      <c r="AN371" s="32">
        <f>IFERROR(__xludf.DUMMYFUNCTION("""COMPUTED_VALUE"""),44013.0)</f>
        <v>44013</v>
      </c>
    </row>
    <row r="372">
      <c r="A372" s="32"/>
      <c r="I372" s="31" t="str">
        <f>IFERROR(__xludf.DUMMYFUNCTION("""COMPUTED_VALUE"""),"european journal of oncology nursing the official journal of european oncology nursing society")</f>
        <v>european journal of oncology nursing the official journal of european oncology nursing society</v>
      </c>
      <c r="J372" s="38">
        <f>COUNTIF(Data!$F$2:$F9917, $I372)</f>
        <v>1</v>
      </c>
      <c r="T372" s="31" t="s">
        <v>330</v>
      </c>
      <c r="U372" s="31" t="s">
        <v>331</v>
      </c>
      <c r="V372" s="32">
        <v>45406.0</v>
      </c>
      <c r="X372" s="31" t="str">
        <f>IFERROR(__xludf.DUMMYFUNCTION("""COMPUTED_VALUE"""),"Diabetes self-management education interventions and self-management in low-resource settings; a mixed methods study.")</f>
        <v>Diabetes self-management education interventions and self-management in low-resource settings; a mixed methods study.</v>
      </c>
      <c r="Y372" s="31" t="str">
        <f>IFERROR(__xludf.DUMMYFUNCTION("""COMPUTED_VALUE"""),"Lamptey, Roberta; Amoakoh-Coleman, Mary; Djobalar, Babbel; Grobbee, Diederick E; Adjei, George Obeng; Klipstein-Grobusch, Kerstin")</f>
        <v>Lamptey, Roberta; Amoakoh-Coleman, Mary; Djobalar, Babbel; Grobbee, Diederick E; Adjei, George Obeng; Klipstein-Grobusch, Kerstin</v>
      </c>
      <c r="Z372" s="31">
        <f>IFERROR(__xludf.DUMMYFUNCTION("""COMPUTED_VALUE"""),2023.0)</f>
        <v>2023</v>
      </c>
      <c r="AA372" s="31">
        <f>IFERROR(__xludf.DUMMYFUNCTION("""COMPUTED_VALUE"""),1.0)</f>
        <v>1</v>
      </c>
      <c r="AF372" s="31" t="str">
        <f>IFERROR(__xludf.DUMMYFUNCTION("""COMPUTED_VALUE"""),"Partial Protective Effect of Bivalent Human Papillomavirus 16/18 Vaccination Against Anogenital Warts in a Large Cohort of Dutch Primary Care Patients.")</f>
        <v>Partial Protective Effect of Bivalent Human Papillomavirus 16/18 Vaccination Against Anogenital Warts in a Large Cohort of Dutch Primary Care Patients.</v>
      </c>
      <c r="AG372" s="31" t="str">
        <f>IFERROR(__xludf.DUMMYFUNCTION("""COMPUTED_VALUE"""),"Woestenberg, Petra J; Guevara Morel, Alejandra E; Bogaards, Johannes A; Hooiveld, Mariëtte; Schurink-van 't Klooster, Tessa M; Hoebe, Christian J P A; van der Sande, Marianne A B; van Benthem, Birgit H B")</f>
        <v>Woestenberg, Petra J; Guevara Morel, Alejandra E; Bogaards, Johannes A; Hooiveld, Mariëtte; Schurink-van 't Klooster, Tessa M; Hoebe, Christian J P A; van der Sande, Marianne A B; van Benthem, Birgit H B</v>
      </c>
      <c r="AH372" s="32">
        <f>IFERROR(__xludf.DUMMYFUNCTION("""COMPUTED_VALUE"""),44392.0)</f>
        <v>44392</v>
      </c>
      <c r="AI372" s="31" t="str">
        <f>IFERROR(__xludf.DUMMYFUNCTION("""COMPUTED_VALUE"""),"[Care of patients with type 2 diabetes mellitus in primary care].")</f>
        <v>[Care of patients with type 2 diabetes mellitus in primary care].</v>
      </c>
      <c r="AJ372" s="31" t="str">
        <f>IFERROR(__xludf.DUMMYFUNCTION("""COMPUTED_VALUE"""),"Rutten, G E H M")</f>
        <v>Rutten, G E H M</v>
      </c>
      <c r="AK372" s="32">
        <f>IFERROR(__xludf.DUMMYFUNCTION("""COMPUTED_VALUE"""),39753.0)</f>
        <v>39753</v>
      </c>
      <c r="AL372" s="31" t="str">
        <f>IFERROR(__xludf.DUMMYFUNCTION("""COMPUTED_VALUE"""),"Transparent Reporting of Multivariable Prediction Models in Journal and Conference Abstracts: TRIPOD for Abstracts.")</f>
        <v>Transparent Reporting of Multivariable Prediction Models in Journal and Conference Abstracts: TRIPOD for Abstracts.</v>
      </c>
      <c r="AM372" s="31" t="str">
        <f>IFERROR(__xludf.DUMMYFUNCTION("""COMPUTED_VALUE"""),"Heus, Pauline; Reitsma, Johannes B; Collins, Gary S; Damen, Johanna A A G; Scholten, Rob J P M; Altman, Douglas G; Moons, Karel G M; Hooft, Lotty")</f>
        <v>Heus, Pauline; Reitsma, Johannes B; Collins, Gary S; Damen, Johanna A A G; Scholten, Rob J P M; Altman, Douglas G; Moons, Karel G M; Hooft, Lotty</v>
      </c>
      <c r="AN372" s="32">
        <f>IFERROR(__xludf.DUMMYFUNCTION("""COMPUTED_VALUE"""),43984.0)</f>
        <v>43984</v>
      </c>
    </row>
    <row r="373">
      <c r="A373" s="32"/>
      <c r="I373" s="31" t="str">
        <f>IFERROR(__xludf.DUMMYFUNCTION("""COMPUTED_VALUE"""),"obesity silver spring md")</f>
        <v>obesity silver spring md</v>
      </c>
      <c r="J373" s="38">
        <f>COUNTIF(Data!$F$2:$F9917, $I373)</f>
        <v>7</v>
      </c>
      <c r="T373" s="31" t="s">
        <v>25038</v>
      </c>
      <c r="U373" s="31" t="s">
        <v>25039</v>
      </c>
      <c r="V373" s="32">
        <v>45406.0</v>
      </c>
      <c r="X373" s="31" t="str">
        <f>IFERROR(__xludf.DUMMYFUNCTION("""COMPUTED_VALUE"""),"The quality of OpenStreetMap food-related point-of-interest data for use in epidemiological research.")</f>
        <v>The quality of OpenStreetMap food-related point-of-interest data for use in epidemiological research.</v>
      </c>
      <c r="Y373" s="31" t="str">
        <f>IFERROR(__xludf.DUMMYFUNCTION("""COMPUTED_VALUE"""),"Pinho, Maria Gabriela M; Flueckiger, Benjamin; Valentin, Antonia; Kasdagli, Maria-Iosifina; Kyriakou, Kalliopi; Lakerveld, Jeroen; Mackenbach, Joreintje D; Beulens, Joline W J; de Hoogh, Kees")</f>
        <v>Pinho, Maria Gabriela M; Flueckiger, Benjamin; Valentin, Antonia; Kasdagli, Maria-Iosifina; Kyriakou, Kalliopi; Lakerveld, Jeroen; Mackenbach, Joreintje D; Beulens, Joline W J; de Hoogh, Kees</v>
      </c>
      <c r="Z373" s="31">
        <f>IFERROR(__xludf.DUMMYFUNCTION("""COMPUTED_VALUE"""),2023.0)</f>
        <v>2023</v>
      </c>
      <c r="AA373" s="31">
        <f>IFERROR(__xludf.DUMMYFUNCTION("""COMPUTED_VALUE"""),1.0)</f>
        <v>1</v>
      </c>
      <c r="AF373" s="31" t="str">
        <f>IFERROR(__xludf.DUMMYFUNCTION("""COMPUTED_VALUE"""),"Culture and community perceptions on diet for maternal and child health: a qualitative study in rural northern Ghana.")</f>
        <v>Culture and community perceptions on diet for maternal and child health: a qualitative study in rural northern Ghana.</v>
      </c>
      <c r="AG373" s="31" t="str">
        <f>IFERROR(__xludf.DUMMYFUNCTION("""COMPUTED_VALUE"""),"Dalaba, Maxwell A; Nonterah, Engelbert A; Chatio, Samuel T; Adoctor, James K; Watson, Daniella; Barker, Mary; Ward, Kate A; Debpuur, Cornelius")</f>
        <v>Dalaba, Maxwell A; Nonterah, Engelbert A; Chatio, Samuel T; Adoctor, James K; Watson, Daniella; Barker, Mary; Ward, Kate A; Debpuur, Cornelius</v>
      </c>
      <c r="AH373" s="32">
        <f>IFERROR(__xludf.DUMMYFUNCTION("""COMPUTED_VALUE"""),44392.0)</f>
        <v>44392</v>
      </c>
      <c r="AI373" s="31" t="str">
        <f>IFERROR(__xludf.DUMMYFUNCTION("""COMPUTED_VALUE"""),"Combined task delegation, computerized decision support, and feedback improve cardiovascular risk for type 2 diabetic patients: a cluster randomized trial in primary care.")</f>
        <v>Combined task delegation, computerized decision support, and feedback improve cardiovascular risk for type 2 diabetic patients: a cluster randomized trial in primary care.</v>
      </c>
      <c r="AJ373" s="31" t="str">
        <f>IFERROR(__xludf.DUMMYFUNCTION("""COMPUTED_VALUE"""),"Cleveringa, Frits G W; Gorter, Kees J; van den Donk, Maureen; Rutten, Guy E H M")</f>
        <v>Cleveringa, Frits G W; Gorter, Kees J; van den Donk, Maureen; Rutten, Guy E H M</v>
      </c>
      <c r="AK373" s="32">
        <f>IFERROR(__xludf.DUMMYFUNCTION("""COMPUTED_VALUE"""),39707.0)</f>
        <v>39707</v>
      </c>
      <c r="AL373" s="31" t="str">
        <f>IFERROR(__xludf.DUMMYFUNCTION("""COMPUTED_VALUE"""),"Value of Repeated Troponin Measurements to Improve the Safety of the HEART Score for Chest Pain Patients at the Emergency Department.")</f>
        <v>Value of Repeated Troponin Measurements to Improve the Safety of the HEART Score for Chest Pain Patients at the Emergency Department.</v>
      </c>
      <c r="AM373" s="31" t="str">
        <f>IFERROR(__xludf.DUMMYFUNCTION("""COMPUTED_VALUE"""),"Ras, Marten; Reitsma, Johannes B; Hoes, Arno W; Six, A Jacob; Poldervaart, Judith M")</f>
        <v>Ras, Marten; Reitsma, Johannes B; Hoes, Arno W; Six, A Jacob; Poldervaart, Judith M</v>
      </c>
      <c r="AN373" s="32">
        <f>IFERROR(__xludf.DUMMYFUNCTION("""COMPUTED_VALUE"""),43983.0)</f>
        <v>43983</v>
      </c>
    </row>
    <row r="374">
      <c r="A374" s="32"/>
      <c r="I374" s="31" t="str">
        <f>IFERROR(__xludf.DUMMYFUNCTION("""COMPUTED_VALUE"""),"environmental health a global access science source")</f>
        <v>environmental health a global access science source</v>
      </c>
      <c r="J374" s="38">
        <f>COUNTIF(Data!$F$2:$F9917, $I374)</f>
        <v>4</v>
      </c>
      <c r="T374" s="31" t="s">
        <v>335</v>
      </c>
      <c r="U374" s="31" t="s">
        <v>336</v>
      </c>
      <c r="V374" s="32">
        <v>45405.0</v>
      </c>
      <c r="X374" s="31" t="str">
        <f>IFERROR(__xludf.DUMMYFUNCTION("""COMPUTED_VALUE"""),"Plasma protein biomarkers reflective of the host response in patients developing Intensive Care Unit-acquired pneumonia.")</f>
        <v>Plasma protein biomarkers reflective of the host response in patients developing Intensive Care Unit-acquired pneumonia.</v>
      </c>
      <c r="Y374" s="31" t="str">
        <f>IFERROR(__xludf.DUMMYFUNCTION("""COMPUTED_VALUE"""),"van Engelen, Tjitske S R; Reijnders, Tom D Y; Paling, Fleur P; Bonten, Marc J M; Timbermont, Leen; Malhotra-Kumar, Surbhi; Kluytmans, Jan A J W; Peters-Sengers, Hessel; van der Poll, Tom; ,")</f>
        <v>van Engelen, Tjitske S R; Reijnders, Tom D Y; Paling, Fleur P; Bonten, Marc J M; Timbermont, Leen; Malhotra-Kumar, Surbhi; Kluytmans, Jan A J W; Peters-Sengers, Hessel; van der Poll, Tom; ,</v>
      </c>
      <c r="Z374" s="31">
        <f>IFERROR(__xludf.DUMMYFUNCTION("""COMPUTED_VALUE"""),2023.0)</f>
        <v>2023</v>
      </c>
      <c r="AA374" s="31">
        <f>IFERROR(__xludf.DUMMYFUNCTION("""COMPUTED_VALUE"""),1.0)</f>
        <v>1</v>
      </c>
      <c r="AF374" s="31" t="str">
        <f>IFERROR(__xludf.DUMMYFUNCTION("""COMPUTED_VALUE"""),"The association of energy and macronutrient intake with all-cause mortality, cardiovascular disease and dementia: findings from 120 963 women and men in the UK Biobank.")</f>
        <v>The association of energy and macronutrient intake with all-cause mortality, cardiovascular disease and dementia: findings from 120 963 women and men in the UK Biobank.</v>
      </c>
      <c r="AG374" s="31" t="str">
        <f>IFERROR(__xludf.DUMMYFUNCTION("""COMPUTED_VALUE"""),"McKenzie, Briar L; Harris, Katie; Peters, Sanne A E; Webster, Jacqui; Woodward, Mark")</f>
        <v>McKenzie, Briar L; Harris, Katie; Peters, Sanne A E; Webster, Jacqui; Woodward, Mark</v>
      </c>
      <c r="AH374" s="32">
        <f>IFERROR(__xludf.DUMMYFUNCTION("""COMPUTED_VALUE"""),44391.0)</f>
        <v>44391</v>
      </c>
      <c r="AI374" s="31" t="str">
        <f>IFERROR(__xludf.DUMMYFUNCTION("""COMPUTED_VALUE"""),"Prediction of complicated lower respiratory tract infections in older patients with diabetes.")</f>
        <v>Prediction of complicated lower respiratory tract infections in older patients with diabetes.</v>
      </c>
      <c r="AJ374" s="31" t="str">
        <f>IFERROR(__xludf.DUMMYFUNCTION("""COMPUTED_VALUE"""),"Venmans, Leonie M A J; Bont, Jettie; Gorter, Kees J; Verheij, Theo J M; Rutten, Guy E H M; Hak, Eelko")</f>
        <v>Venmans, Leonie M A J; Bont, Jettie; Gorter, Kees J; Verheij, Theo J M; Rutten, Guy E H M; Hak, Eelko</v>
      </c>
      <c r="AK374" s="32">
        <f>IFERROR(__xludf.DUMMYFUNCTION("""COMPUTED_VALUE"""),39661.0)</f>
        <v>39661</v>
      </c>
      <c r="AL374" s="31" t="str">
        <f>IFERROR(__xludf.DUMMYFUNCTION("""COMPUTED_VALUE"""),"Meta-Analyses Proved Inconsistent in How Missing Data Were Handled Across Their Included Primary Trials: A Methodological Survey.")</f>
        <v>Meta-Analyses Proved Inconsistent in How Missing Data Were Handled Across Their Included Primary Trials: A Methodological Survey.</v>
      </c>
      <c r="AM374" s="31" t="str">
        <f>IFERROR(__xludf.DUMMYFUNCTION("""COMPUTED_VALUE"""),"Kahale, Lara A; Khamis, Assem M; Diab, Batoul; Chang, Yaping; Lopes, Luciane Cruz; Agarwal, Arnav; Li, Ling; Mustafa, Reem A; Koujanian, Serge; Waziry, Reem; Busse, Jason W; Dakik, Abeer; Hooft, Lotty; Guyatt, Gordon H; Scholten, Rob J P M; Akl, Elie A")</f>
        <v>Kahale, Lara A; Khamis, Assem M; Diab, Batoul; Chang, Yaping; Lopes, Luciane Cruz; Agarwal, Arnav; Li, Ling; Mustafa, Reem A; Koujanian, Serge; Waziry, Reem; Busse, Jason W; Dakik, Abeer; Hooft, Lotty; Guyatt, Gordon H; Scholten, Rob J P M; Akl, Elie A</v>
      </c>
      <c r="AN374" s="32">
        <f>IFERROR(__xludf.DUMMYFUNCTION("""COMPUTED_VALUE"""),43978.0)</f>
        <v>43978</v>
      </c>
    </row>
    <row r="375">
      <c r="A375" s="32"/>
      <c r="I375" s="31" t="str">
        <f>IFERROR(__xludf.DUMMYFUNCTION("""COMPUTED_VALUE"""),"journal of geriatric oncology")</f>
        <v>journal of geriatric oncology</v>
      </c>
      <c r="J375" s="38">
        <f>COUNTIF(Data!$F$2:$F9917, $I375)</f>
        <v>3</v>
      </c>
      <c r="T375" s="31" t="s">
        <v>341</v>
      </c>
      <c r="U375" s="31" t="s">
        <v>342</v>
      </c>
      <c r="V375" s="32">
        <v>45405.0</v>
      </c>
      <c r="X375" s="31" t="str">
        <f>IFERROR(__xludf.DUMMYFUNCTION("""COMPUTED_VALUE"""),"Compliance with the DASH diet and risk of all-cause and cardiovascular mortality in patients with myocardial infarction.")</f>
        <v>Compliance with the DASH diet and risk of all-cause and cardiovascular mortality in patients with myocardial infarction.</v>
      </c>
      <c r="Y375" s="31" t="str">
        <f>IFERROR(__xludf.DUMMYFUNCTION("""COMPUTED_VALUE"""),"Bonekamp, Nadia E; Cruijsen, Esther; Visseren, Frank Lj; van der Schouw, Yvonne T; Geleijnse, Johanna M; Koopal, Charlotte")</f>
        <v>Bonekamp, Nadia E; Cruijsen, Esther; Visseren, Frank Lj; van der Schouw, Yvonne T; Geleijnse, Johanna M; Koopal, Charlotte</v>
      </c>
      <c r="Z375" s="31">
        <f>IFERROR(__xludf.DUMMYFUNCTION("""COMPUTED_VALUE"""),2023.0)</f>
        <v>2023</v>
      </c>
      <c r="AA375" s="31">
        <f>IFERROR(__xludf.DUMMYFUNCTION("""COMPUTED_VALUE"""),1.0)</f>
        <v>1</v>
      </c>
      <c r="AF375" s="31" t="str">
        <f>IFERROR(__xludf.DUMMYFUNCTION("""COMPUTED_VALUE"""),"Ten-year risk of fatal cardiovascular disease and its association with metabolic risk factors among waste pickers in South Africa.")</f>
        <v>Ten-year risk of fatal cardiovascular disease and its association with metabolic risk factors among waste pickers in South Africa.</v>
      </c>
      <c r="AG375" s="31" t="str">
        <f>IFERROR(__xludf.DUMMYFUNCTION("""COMPUTED_VALUE"""),"Made, Felix; Nonterah, Engelbert A; Tlotleng, Nonhlanhla; Ntlebi, Vusi; Naicker, Nisha")</f>
        <v>Made, Felix; Nonterah, Engelbert A; Tlotleng, Nonhlanhla; Ntlebi, Vusi; Naicker, Nisha</v>
      </c>
      <c r="AH375" s="32">
        <f>IFERROR(__xludf.DUMMYFUNCTION("""COMPUTED_VALUE"""),44387.0)</f>
        <v>44387</v>
      </c>
      <c r="AI375" s="31" t="str">
        <f>IFERROR(__xludf.DUMMYFUNCTION("""COMPUTED_VALUE"""),"A clinical prediction rule for urinary tract infections in patients with type 2 diabetes mellitus in primary care.")</f>
        <v>A clinical prediction rule for urinary tract infections in patients with type 2 diabetes mellitus in primary care.</v>
      </c>
      <c r="AJ375" s="31" t="str">
        <f>IFERROR(__xludf.DUMMYFUNCTION("""COMPUTED_VALUE"""),"Venmans, L M A J; Gorter, K J; Rutten, G E H M; Schellevis, F G; Hoepelman, A I M; Hak, E")</f>
        <v>Venmans, L M A J; Gorter, K J; Rutten, G E H M; Schellevis, F G; Hoepelman, A I M; Hak, E</v>
      </c>
      <c r="AK375" s="32">
        <f>IFERROR(__xludf.DUMMYFUNCTION("""COMPUTED_VALUE"""),39646.0)</f>
        <v>39646</v>
      </c>
      <c r="AL375" s="31" t="str">
        <f>IFERROR(__xludf.DUMMYFUNCTION("""COMPUTED_VALUE"""),"Vaginal probiotic adherence and acceptability in Rwandan women with high sexual risk participating in a pilot randomised controlled trial: a mixed-methods approach.")</f>
        <v>Vaginal probiotic adherence and acceptability in Rwandan women with high sexual risk participating in a pilot randomised controlled trial: a mixed-methods approach.</v>
      </c>
      <c r="AM375" s="31" t="str">
        <f>IFERROR(__xludf.DUMMYFUNCTION("""COMPUTED_VALUE"""),"Verwijs, Marijn C; Agaba, Stephen; Umulisa, Marie Michele; Uwineza, Mireille; Nivoliez, Adrien; Lievens, Elke; van de Wijgert, Janneke H H M")</f>
        <v>Verwijs, Marijn C; Agaba, Stephen; Umulisa, Marie Michele; Uwineza, Mireille; Nivoliez, Adrien; Lievens, Elke; van de Wijgert, Janneke H H M</v>
      </c>
      <c r="AN375" s="32">
        <f>IFERROR(__xludf.DUMMYFUNCTION("""COMPUTED_VALUE"""),43970.0)</f>
        <v>43970</v>
      </c>
    </row>
    <row r="376">
      <c r="A376" s="32"/>
      <c r="I376" s="31" t="str">
        <f>IFERROR(__xludf.DUMMYFUNCTION("""COMPUTED_VALUE"""),"huisarts en wetenschap")</f>
        <v>huisarts en wetenschap</v>
      </c>
      <c r="J376" s="38">
        <f>COUNTIF(Data!$F$2:$F9917, $I376)</f>
        <v>1</v>
      </c>
      <c r="T376" s="31" t="s">
        <v>345</v>
      </c>
      <c r="U376" s="31" t="s">
        <v>346</v>
      </c>
      <c r="V376" s="32">
        <v>45405.0</v>
      </c>
      <c r="X376" s="31" t="str">
        <f>IFERROR(__xludf.DUMMYFUNCTION("""COMPUTED_VALUE"""),"Effect of bariatric surgery on NAFLD/NASH: a single-centre observational prospective cohort study.")</f>
        <v>Effect of bariatric surgery on NAFLD/NASH: a single-centre observational prospective cohort study.</v>
      </c>
      <c r="Y376" s="31" t="str">
        <f>IFERROR(__xludf.DUMMYFUNCTION("""COMPUTED_VALUE"""),"Theel, Willy B; Boxma-de Klerk, Bianca M; Dirksmeier-Harinck, Femme; van Rossum, Elisabeth Fc; Kanhai, Danny A; Apers, Jan A; van Dalen, Bas M; De Knegt, Robert J; Neecke, Bojou; van der Zwan, Ellen M; Grobbee, Diederick E; Hankemeier, Thomas; Wiebolt, Ja"&amp;"nneke; Castro Cabezas, Manuel")</f>
        <v>Theel, Willy B; Boxma-de Klerk, Bianca M; Dirksmeier-Harinck, Femme; van Rossum, Elisabeth Fc; Kanhai, Danny A; Apers, Jan A; van Dalen, Bas M; De Knegt, Robert J; Neecke, Bojou; van der Zwan, Ellen M; Grobbee, Diederick E; Hankemeier, Thomas; Wiebolt, Janneke; Castro Cabezas, Manuel</v>
      </c>
      <c r="Z376" s="31">
        <f>IFERROR(__xludf.DUMMYFUNCTION("""COMPUTED_VALUE"""),2023.0)</f>
        <v>2023</v>
      </c>
      <c r="AA376" s="31">
        <f>IFERROR(__xludf.DUMMYFUNCTION("""COMPUTED_VALUE"""),1.0)</f>
        <v>1</v>
      </c>
      <c r="AF376" s="31" t="str">
        <f>IFERROR(__xludf.DUMMYFUNCTION("""COMPUTED_VALUE"""),"Polygenic risk scores predict diabetes complications and their response to intensive blood pressure and glucose control.")</f>
        <v>Polygenic risk scores predict diabetes complications and their response to intensive blood pressure and glucose control.</v>
      </c>
      <c r="AG376" s="31" t="str">
        <f>IFERROR(__xludf.DUMMYFUNCTION("""COMPUTED_VALUE"""),"Tremblay, Johanne; Haloui, Mounsif; Attaoua, Redha; Tahir, Ramzan; Hishmih, Camil; Harvey, François; Marois-Blanchet, François-Christophe; Long, Carole; Simon, Paul; Santucci, Lara; Hizel, Candan; Chalmers, John; Marre, Michel; Harrap, Stephen; Cífková, R"&amp;"enata; Krajčoviechová, Alena; Matthews, David R; Williams, Bryan; Poulter, Neil; Zoungas, Sophia; Colagiuri, Stephen; Mancia, Giuseppe; Grobbee, Diederick E; Rodgers, Anthony; Liu, Liusheng; Agbessi, Mawussé; Bruat, Vanessa; Favé, Marie-Julie; Harwood, Mi"&amp;"chelle P; Awadalla, Philip; Woodward, Mark; Hussin, Julie G; Hamet, Pavel")</f>
        <v>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v>
      </c>
      <c r="AH376" s="32">
        <f>IFERROR(__xludf.DUMMYFUNCTION("""COMPUTED_VALUE"""),44383.0)</f>
        <v>44383</v>
      </c>
      <c r="AI376" s="31" t="str">
        <f>IFERROR(__xludf.DUMMYFUNCTION("""COMPUTED_VALUE"""),"[Influenza vaccination in the elderly: effectiveness not in doubt].")</f>
        <v>[Influenza vaccination in the elderly: effectiveness not in doubt].</v>
      </c>
      <c r="AJ376" s="31" t="str">
        <f>IFERROR(__xludf.DUMMYFUNCTION("""COMPUTED_VALUE"""),"Hak, E; Opstelten, W; Looijmans-van den Akker, I; Knottnerus, J A")</f>
        <v>Hak, E; Opstelten, W; Looijmans-van den Akker, I; Knottnerus, J A</v>
      </c>
      <c r="AK376" s="32">
        <f>IFERROR(__xludf.DUMMYFUNCTION("""COMPUTED_VALUE"""),39578.0)</f>
        <v>39578</v>
      </c>
      <c r="AL376" s="31" t="str">
        <f>IFERROR(__xludf.DUMMYFUNCTION("""COMPUTED_VALUE"""),"Health-Related Quality of Life in Patients with Multiple Endocrine Neoplasia Type 1.")</f>
        <v>Health-Related Quality of Life in Patients with Multiple Endocrine Neoplasia Type 1.</v>
      </c>
      <c r="AM376" s="31" t="str">
        <f>IFERROR(__xludf.DUMMYFUNCTION("""COMPUTED_VALUE"""),"van Leeuwaarde, Rachel S; Pieterman, Carolina R C; May, Anne M; Dekkers, Olaf M; van der Horst-Schrivers, Anouk N; Hermus, Ad R; de Herder, Wouter W; Drent, Madeleine L; Bisschop, Peter H; Havekes, Bas; Vriens, Menno R; Valk, Gerlof D")</f>
        <v>van Leeuwaarde, Rachel S; Pieterman, Carolina R C; May, Anne M; Dekkers, Olaf M; van der Horst-Schrivers, Anouk N; Hermus, Ad R; de Herder, Wouter W; Drent, Madeleine L; Bisschop, Peter H; Havekes, Bas; Vriens, Menno R; Valk, Gerlof D</v>
      </c>
      <c r="AN376" s="32">
        <f>IFERROR(__xludf.DUMMYFUNCTION("""COMPUTED_VALUE"""),43955.0)</f>
        <v>43955</v>
      </c>
    </row>
    <row r="377">
      <c r="A377" s="32"/>
      <c r="I377" s="31" t="str">
        <f>IFERROR(__xludf.DUMMYFUNCTION("""COMPUTED_VALUE"""),"journal of clinical pathology")</f>
        <v>journal of clinical pathology</v>
      </c>
      <c r="J377" s="38">
        <f>COUNTIF(Data!$F$2:$F9917, $I377)</f>
        <v>2</v>
      </c>
      <c r="T377" s="31" t="s">
        <v>350</v>
      </c>
      <c r="U377" s="31" t="s">
        <v>351</v>
      </c>
      <c r="V377" s="32">
        <v>45405.0</v>
      </c>
      <c r="X377" s="31" t="str">
        <f>IFERROR(__xludf.DUMMYFUNCTION("""COMPUTED_VALUE"""),"Tuberculosis services during the COVID-19 pandemic: A qualitative study on the impact of COVID-19 and practices for continued services delivery in Eswatini.")</f>
        <v>Tuberculosis services during the COVID-19 pandemic: A qualitative study on the impact of COVID-19 and practices for continued services delivery in Eswatini.</v>
      </c>
      <c r="Y377" s="31" t="str">
        <f>IFERROR(__xludf.DUMMYFUNCTION("""COMPUTED_VALUE"""),"Williams, Victor; Vos-Seda, Alinda G; Calnan, Marianne; Mdluli-Dlamini, Lindiwe; Haumba, Samson; Grobbee, Diederick E; Klipstein-Grobusch, Kerstin; Otwombe, Kennedy")</f>
        <v>Williams, Victor; Vos-Seda, Alinda G; Calnan, Marianne; Mdluli-Dlamini, Lindiwe; Haumba, Samson; Grobbee, Diederick E; Klipstein-Grobusch, Kerstin; Otwombe, Kennedy</v>
      </c>
      <c r="Z377" s="31">
        <f>IFERROR(__xludf.DUMMYFUNCTION("""COMPUTED_VALUE"""),2023.0)</f>
        <v>2023</v>
      </c>
      <c r="AA377" s="31">
        <f>IFERROR(__xludf.DUMMYFUNCTION("""COMPUTED_VALUE"""),1.0)</f>
        <v>1</v>
      </c>
      <c r="AF377" s="31" t="str">
        <f>IFERROR(__xludf.DUMMYFUNCTION("""COMPUTED_VALUE"""),"Patterns of Immune Activation in HIV and Non HIV Subjects and Its Relation to Cardiovascular Disease Risk.")</f>
        <v>Patterns of Immune Activation in HIV and Non HIV Subjects and Its Relation to Cardiovascular Disease Risk.</v>
      </c>
      <c r="AG377" s="31" t="str">
        <f>IFERROR(__xludf.DUMMYFUNCTION("""COMPUTED_VALUE"""),"Vos, Alinda G; Dodd, Caitlin N; Delemarre, Eveline M; Nierkens, Stefan; Serenata, Celicia; Grobbee, Diederick E; Klipstein-Grobusch, Kerstin; Venter, W D Francois")</f>
        <v>Vos, Alinda G; Dodd, Caitlin N; Delemarre, Eveline M; Nierkens, Stefan; Serenata, Celicia; Grobbee, Diederick E; Klipstein-Grobusch, Kerstin; Venter, W D Francois</v>
      </c>
      <c r="AH377" s="32">
        <f>IFERROR(__xludf.DUMMYFUNCTION("""COMPUTED_VALUE"""),44382.0)</f>
        <v>44382</v>
      </c>
      <c r="AI377" s="31" t="str">
        <f>IFERROR(__xludf.DUMMYFUNCTION("""COMPUTED_VALUE"""),"The association between erectile dysfunction and cardiovascular risk in men with Type 2 diabetes in primary care: it is a matter of age.")</f>
        <v>The association between erectile dysfunction and cardiovascular risk in men with Type 2 diabetes in primary care: it is a matter of age.</v>
      </c>
      <c r="AJ377" s="31" t="str">
        <f>IFERROR(__xludf.DUMMYFUNCTION("""COMPUTED_VALUE"""),"Cleveringa, Frits G W; Meulenberg, Margriet G G; Gorter, Kees J; van den Donk, Maureen; Rutten, Guy E H M")</f>
        <v>Cleveringa, Frits G W; Meulenberg, Margriet G G; Gorter, Kees J; van den Donk, Maureen; Rutten, Guy E H M</v>
      </c>
      <c r="AK377" s="32">
        <f>IFERROR(__xludf.DUMMYFUNCTION("""COMPUTED_VALUE"""),39554.0)</f>
        <v>39554</v>
      </c>
      <c r="AL377" s="31" t="str">
        <f>IFERROR(__xludf.DUMMYFUNCTION("""COMPUTED_VALUE"""),"Diagnosing arrhythmogenic right ventricular cardiomyopathy by 2010 Task Force Criteria: clinical performance and simplified practical implementation.")</f>
        <v>Diagnosing arrhythmogenic right ventricular cardiomyopathy by 2010 Task Force Criteria: clinical performance and simplified practical implementation.</v>
      </c>
      <c r="AM377" s="31" t="str">
        <f>IFERROR(__xludf.DUMMYFUNCTION("""COMPUTED_VALUE"""),"Bosman, Laurens P; Cadrin-Tourigny, Julia; Bourfiss, Mimount; Aliyari Ghasabeh, Mounes; Sharma, Apurva; Tichnell, Crystal; Roudijk, Rob W; Murray, Brittney; Tandri, Harikrishna; Khairy, Paul; Kamel, Ihab R; Zimmerman, Stefan L; Reitsma, Johannes B; Asselb"&amp;"ergs, Folkert W; van Tintelen, J Peter; van der Heijden, Jeroen F; Hauer, Richard N W; Calkins, Hugh; James, Cynthia A; Te Riele, Anneline S J M")</f>
        <v>Bosman, Laurens P; Cadrin-Tourigny, Julia; Bourfiss, Mimount; Aliyari Ghasabeh, Mounes; Sharma, Apurva; Tichnell, Crystal; Roudijk, Rob W; Murray, Brittney; Tandri, Harikrishna; Khairy, Paul; Kamel, Ihab R; Zimmerman, Stefan L; Reitsma, Johannes B; Asselbergs, Folkert W; van Tintelen, J Peter; van der Heijden, Jeroen F; Hauer, Richard N W; Calkins, Hugh; James, Cynthia A; Te Riele, Anneline S J M</v>
      </c>
      <c r="AN377" s="32">
        <f>IFERROR(__xludf.DUMMYFUNCTION("""COMPUTED_VALUE"""),43952.0)</f>
        <v>43952</v>
      </c>
    </row>
    <row r="378">
      <c r="A378" s="32"/>
      <c r="I378" s="31" t="str">
        <f>IFERROR(__xludf.DUMMYFUNCTION("""COMPUTED_VALUE"""),"bmc geriatrics")</f>
        <v>bmc geriatrics</v>
      </c>
      <c r="J378" s="38">
        <f>COUNTIF(Data!$F$2:$F9917, $I378)</f>
        <v>12</v>
      </c>
      <c r="T378" s="31" t="s">
        <v>353</v>
      </c>
      <c r="U378" s="31" t="s">
        <v>354</v>
      </c>
      <c r="V378" s="32">
        <v>45405.0</v>
      </c>
      <c r="X378" s="31" t="str">
        <f>IFERROR(__xludf.DUMMYFUNCTION("""COMPUTED_VALUE"""),"Plasma Proteomic Patterns Show Sex Differences in Early Concentric Left Ventricular Remodeling.")</f>
        <v>Plasma Proteomic Patterns Show Sex Differences in Early Concentric Left Ventricular Remodeling.</v>
      </c>
      <c r="Y378" s="31" t="str">
        <f>IFERROR(__xludf.DUMMYFUNCTION("""COMPUTED_VALUE"""),"van Ommen, Anne-Mar; Diez Benavente, Ernest; Onland-Moret, N Charlotte; Valstar, Gideon B; Cramer, Maarten J; Rutten, Frans H; Teske, Arco J; Menken, Roxana; Hofstra, Leonard; Tulevski, Igor I; Sweitzer, Nancy; Somsen, G Aernout; den Ruijter, Hester M")</f>
        <v>van Ommen, Anne-Mar; Diez Benavente, Ernest; Onland-Moret, N Charlotte; Valstar, Gideon B; Cramer, Maarten J; Rutten, Frans H; Teske, Arco J; Menken, Roxana; Hofstra, Leonard; Tulevski, Igor I; Sweitzer, Nancy; Somsen, G Aernout; den Ruijter, Hester M</v>
      </c>
      <c r="Z378" s="31">
        <f>IFERROR(__xludf.DUMMYFUNCTION("""COMPUTED_VALUE"""),2023.0)</f>
        <v>2023</v>
      </c>
      <c r="AA378" s="31">
        <f>IFERROR(__xludf.DUMMYFUNCTION("""COMPUTED_VALUE"""),1.0)</f>
        <v>1</v>
      </c>
      <c r="AF378" s="31" t="str">
        <f>IFERROR(__xludf.DUMMYFUNCTION("""COMPUTED_VALUE"""),"Rural and urban migration to Europe in relation to cardiovascular disease risk: does it matter where you migrate from?")</f>
        <v>Rural and urban migration to Europe in relation to cardiovascular disease risk: does it matter where you migrate from?</v>
      </c>
      <c r="AG378" s="31" t="str">
        <f>IFERROR(__xludf.DUMMYFUNCTION("""COMPUTED_VALUE"""),"Jansen, E S; Agyemang, C; Boateng, D; Danquah, I; Beune, E; Smeeth, L; Klipstein-Grobusch, K; Stronks, K; Meeks, K A C")</f>
        <v>Jansen, E S; Agyemang, C; Boateng, D; Danquah, I; Beune, E; Smeeth, L; Klipstein-Grobusch, K; Stronks, K; Meeks, K A C</v>
      </c>
      <c r="AH378" s="32">
        <f>IFERROR(__xludf.DUMMYFUNCTION("""COMPUTED_VALUE"""),44381.0)</f>
        <v>44381</v>
      </c>
      <c r="AI378" s="31" t="str">
        <f>IFERROR(__xludf.DUMMYFUNCTION("""COMPUTED_VALUE"""),"Heart-type Fatty acid-binding protein in Acute Myocardial infarction Evaluation (FAME): background and design of a diagnostic study in primary care.")</f>
        <v>Heart-type Fatty acid-binding protein in Acute Myocardial infarction Evaluation (FAME): background and design of a diagnostic study in primary care.</v>
      </c>
      <c r="AJ378" s="31" t="str">
        <f>IFERROR(__xludf.DUMMYFUNCTION("""COMPUTED_VALUE"""),"Bruins Slot, Madeleine H E; van der Heijden, Geert J M G; Rutten, Frans H; van der Spoel, Onno P; Mast, E Gijs; Bredero, Ad C; Doevendans, Pieter A; Glatz, Jan F C; Hoes, Arno W")</f>
        <v>Bruins Slot, Madeleine H E; van der Heijden, Geert J M G; Rutten, Frans H; van der Spoel, Onno P; Mast, E Gijs; Bredero, Ad C; Doevendans, Pieter A; Glatz, Jan F C; Hoes, Arno W</v>
      </c>
      <c r="AK378" s="32">
        <f>IFERROR(__xludf.DUMMYFUNCTION("""COMPUTED_VALUE"""),39553.0)</f>
        <v>39553</v>
      </c>
      <c r="AL378" s="31" t="str">
        <f>IFERROR(__xludf.DUMMYFUNCTION("""COMPUTED_VALUE"""),"Prediagnostic Plasma Bile Acid Levels and Colon Cancer Risk: A Prospective Study.")</f>
        <v>Prediagnostic Plasma Bile Acid Levels and Colon Cancer Risk: A Prospective Study.</v>
      </c>
      <c r="AM378" s="31" t="str">
        <f>IFERROR(__xludf.DUMMYFUNCTION("""COMPUTED_VALUE"""),"Kühn, Tilman; Stepien, Magdalena; López-Nogueroles, Marina; Damms-Machado, Antje; Sookthai, Disorn; Johnson, Theron; Roca, Marta; Hüsing, Anika; Maldonado, Sandra González; Cross, Amanda J; Murphy, Neil; Freisling, Heinz; Rinaldi, Sabina; Scalbert, August"&amp;"in; Fedirko, Veronika; Severi, Gianluca; Boutron-Ruault, Marie-Christine; Mancini, Francesca Romana; Sowah, Solomon A; Boeing, Heiner; Jakszyn, Paula; Sánchez, Maria J; Merino, Susana; Colorado-Yohar, Sandra; Barricarte, Aurelio; Khaw, Kay Tee; Schmidt, J"&amp;"ulie A; Perez-Cornago, Aurora; Trichopoulou, Antonia; Karakatsani, Anna; Thriskos, Paschalis; Palli, Domenico; Agnoli, Claudia; Tumino, Rosario; Sacerdote, Carlotta; Panico, Salvatore; Bueno-de-Mesquita, Bas; van Gils, Carla H; Heath, Alicia K; Gunter, Ma"&amp;"rc J; Riboli, Elio; Lahoz, Agustín; Jenab, Mazda; Kaaks, Rudolf")</f>
        <v>Kühn, Tilman; Stepien, Magdalena; López-Nogueroles, Marina; Damms-Machado, Antje; Sookthai, Disorn; Johnson, Theron; Roca, Marta; Hüsing, Anika; Maldonado, Sandra González; Cross, Amanda J; Murphy, Neil; Freisling, Heinz; Rinaldi, Sabina; Scalbert, Augustin; Fedirko, Veronika; Severi, Gianluca; Boutron-Ruault, Marie-Christine; Mancini, Francesca Romana; Sowah, Solomon A; Boeing, Heiner; Jakszyn, Paula; Sánchez, Maria J; Merino, Susana; Colorado-Yohar, Sandra; Barricarte, Aurelio; Khaw, Kay Tee; Schmidt, Julie A; Perez-Cornago, Aurora; Trichopoulou, Antonia; Karakatsani, Anna; Thriskos, Paschalis; Palli, Domenico; Agnoli, Claudia; Tumino, Rosario; Sacerdote, Carlotta; Panico, Salvatore; Bueno-de-Mesquita, Bas; van Gils, Carla H; Heath, Alicia K; Gunter, Marc J; Riboli, Elio; Lahoz, Agustín; Jenab, Mazda; Kaaks, Rudolf</v>
      </c>
      <c r="AN378" s="32">
        <f>IFERROR(__xludf.DUMMYFUNCTION("""COMPUTED_VALUE"""),43952.0)</f>
        <v>43952</v>
      </c>
    </row>
    <row r="379">
      <c r="A379" s="32"/>
      <c r="I379" s="31" t="str">
        <f>IFERROR(__xludf.DUMMYFUNCTION("""COMPUTED_VALUE"""),"cardiorenal medicine")</f>
        <v>cardiorenal medicine</v>
      </c>
      <c r="J379" s="38">
        <f>COUNTIF(Data!$F$2:$F9917, $I379)</f>
        <v>1</v>
      </c>
      <c r="T379" s="31" t="s">
        <v>358</v>
      </c>
      <c r="U379" s="31" t="s">
        <v>359</v>
      </c>
      <c r="V379" s="32">
        <v>45402.0</v>
      </c>
      <c r="X379" s="31" t="str">
        <f>IFERROR(__xludf.DUMMYFUNCTION("""COMPUTED_VALUE"""),"SARS-CoV-2 incidence in secondary schools; the role of national and school-initiated COVID-19 measures.")</f>
        <v>SARS-CoV-2 incidence in secondary schools; the role of national and school-initiated COVID-19 measures.</v>
      </c>
      <c r="Y379" s="31" t="str">
        <f>IFERROR(__xludf.DUMMYFUNCTION("""COMPUTED_VALUE"""),"Jonker, L; Linde, K J; de Boer, A R; Ding, E; Zhang, D; de Hoog, M L A; Herfst, S; Heederik, D J J; Fraaij, P L A; Bluyssen, P M; Wouters, I M; Bruijning-Verhagen, P C J L")</f>
        <v>Jonker, L; Linde, K J; de Boer, A R; Ding, E; Zhang, D; de Hoog, M L A; Herfst, S; Heederik, D J J; Fraaij, P L A; Bluyssen, P M; Wouters, I M; Bruijning-Verhagen, P C J L</v>
      </c>
      <c r="Z379" s="31">
        <f>IFERROR(__xludf.DUMMYFUNCTION("""COMPUTED_VALUE"""),2023.0)</f>
        <v>2023</v>
      </c>
      <c r="AA379" s="31">
        <f>IFERROR(__xludf.DUMMYFUNCTION("""COMPUTED_VALUE"""),1.0)</f>
        <v>1</v>
      </c>
      <c r="AF379" s="31" t="str">
        <f>IFERROR(__xludf.DUMMYFUNCTION("""COMPUTED_VALUE"""),"Governing Gene Drive Technologies: A Qualitative Interview Study.")</f>
        <v>Governing Gene Drive Technologies: A Qualitative Interview Study.</v>
      </c>
      <c r="AG379" s="31" t="str">
        <f>IFERROR(__xludf.DUMMYFUNCTION("""COMPUTED_VALUE"""),"de Graeff, N; Jongsma, Karin R; Lunshof, Jeantine E; Bredenoord, Annelien L")</f>
        <v>de Graeff, N; Jongsma, Karin R; Lunshof, Jeantine E; Bredenoord, Annelien L</v>
      </c>
      <c r="AH379" s="32">
        <f>IFERROR(__xludf.DUMMYFUNCTION("""COMPUTED_VALUE"""),44380.0)</f>
        <v>44380</v>
      </c>
      <c r="AI379" s="31" t="str">
        <f>IFERROR(__xludf.DUMMYFUNCTION("""COMPUTED_VALUE"""),"Treatment of herpes zoster.")</f>
        <v>Treatment of herpes zoster.</v>
      </c>
      <c r="AJ379" s="31" t="str">
        <f>IFERROR(__xludf.DUMMYFUNCTION("""COMPUTED_VALUE"""),"Opstelten, Wim; Eekhof, Just; Neven, Arie Knuistingh; Verheij, Theo")</f>
        <v>Opstelten, Wim; Eekhof, Just; Neven, Arie Knuistingh; Verheij, Theo</v>
      </c>
      <c r="AK379" s="32">
        <f>IFERROR(__xludf.DUMMYFUNCTION("""COMPUTED_VALUE"""),39508.0)</f>
        <v>39508</v>
      </c>
      <c r="AL379" s="31" t="str">
        <f>IFERROR(__xludf.DUMMYFUNCTION("""COMPUTED_VALUE"""),"Individual participant data meta-analysis to examine interactions between treatment effect and participant-level covariates: Statistical recommendations for conduct and planning.")</f>
        <v>Individual participant data meta-analysis to examine interactions between treatment effect and participant-level covariates: Statistical recommendations for conduct and planning.</v>
      </c>
      <c r="AM379" s="31" t="str">
        <f>IFERROR(__xludf.DUMMYFUNCTION("""COMPUTED_VALUE"""),"Riley, Richard D; Debray, Thomas P A; Fisher, David; Hattle, Miriam; Marlin, Nadine; Hoogland, Jeroen; Gueyffier, Francois; Staessen, Jan A; Wang, Jiguang; Moons, Karel G M; Reitsma, Johannes B; Ensor, Joie")</f>
        <v>Riley, Richard D; Debray, Thomas P A; Fisher, David; Hattle, Miriam; Marlin, Nadine; Hoogland, Jeroen; Gueyffier, Francois; Staessen, Jan A; Wang, Jiguang; Moons, Karel G M; Reitsma, Johannes B; Ensor, Joie</v>
      </c>
      <c r="AN379" s="32">
        <f>IFERROR(__xludf.DUMMYFUNCTION("""COMPUTED_VALUE"""),43951.0)</f>
        <v>43951</v>
      </c>
    </row>
    <row r="380">
      <c r="A380" s="32"/>
      <c r="I380" s="31" t="str">
        <f>IFERROR(__xludf.DUMMYFUNCTION("""COMPUTED_VALUE"""),"journal of diabetes and its complications")</f>
        <v>journal of diabetes and its complications</v>
      </c>
      <c r="J380" s="38">
        <f>COUNTIF(Data!$F$2:$F9917, $I380)</f>
        <v>7</v>
      </c>
      <c r="T380" s="31" t="s">
        <v>362</v>
      </c>
      <c r="U380" s="31" t="s">
        <v>363</v>
      </c>
      <c r="V380" s="32">
        <v>45402.0</v>
      </c>
      <c r="X380" s="31" t="str">
        <f>IFERROR(__xludf.DUMMYFUNCTION("""COMPUTED_VALUE"""),"Balancing benefits and risks in lung cancer therapies: patient preferences for lung cancer treatment alternatives.")</f>
        <v>Balancing benefits and risks in lung cancer therapies: patient preferences for lung cancer treatment alternatives.</v>
      </c>
      <c r="Y380" s="31" t="str">
        <f>IFERROR(__xludf.DUMMYFUNCTION("""COMPUTED_VALUE"""),"Oliveri, Serena; Lanzoni, Lucilla; Veldwijk, Jorien; de Wit, G Ardine; Petrocchi, Serena; Janssens, Rosanne; Schoefs, Elise; Smith, Meredith Y; Smith, Ian; Nackaerts, Kristiaan; Vandevelde, Marie; Louis, Evelyne; Decaluwé, Herbert; De Leyn, Paul; Declerck"&amp;", Hanne; Petrella, Francesco; Casiraghi, Monica; Galli, Giulia; Garassino, Marina Chiara; Girvalaki, Charis; Huys, Isabelle; Pravettoni, Gabriella")</f>
        <v>Oliveri, Serena; Lanzoni, Lucilla; Veldwijk, Jorien; de Wit, G Ardine; Petrocchi, Serena; Janssens, Rosanne; Schoefs, Elise; Smith, Meredith Y; Smith, Ian; Nackaerts, Kristiaan; Vandevelde, Marie; Louis, Evelyne; Decaluwé, Herbert; De Leyn, Paul; Declerck, Hanne; Petrella, Francesco; Casiraghi, Monica; Galli, Giulia; Garassino, Marina Chiara; Girvalaki, Charis; Huys, Isabelle; Pravettoni, Gabriella</v>
      </c>
      <c r="Z380" s="31">
        <f>IFERROR(__xludf.DUMMYFUNCTION("""COMPUTED_VALUE"""),2023.0)</f>
        <v>2023</v>
      </c>
      <c r="AA380" s="31">
        <f>IFERROR(__xludf.DUMMYFUNCTION("""COMPUTED_VALUE"""),1.0)</f>
        <v>1</v>
      </c>
      <c r="AF380" s="31" t="str">
        <f>IFERROR(__xludf.DUMMYFUNCTION("""COMPUTED_VALUE"""),"Guideline-Directed Medical Therapy in Females with Heart Failure with Reduced Ejection Fraction.")</f>
        <v>Guideline-Directed Medical Therapy in Females with Heart Failure with Reduced Ejection Fraction.</v>
      </c>
      <c r="AG380" s="31" t="str">
        <f>IFERROR(__xludf.DUMMYFUNCTION("""COMPUTED_VALUE"""),"Agarwal, Anubha; Peters, Sanne A E; Chandramouli, Chanchal; Lam, Carolyn S P; Figtree, Gemma A; Arnott, Clare")</f>
        <v>Agarwal, Anubha; Peters, Sanne A E; Chandramouli, Chanchal; Lam, Carolyn S P; Figtree, Gemma A; Arnott, Clare</v>
      </c>
      <c r="AH380" s="32">
        <f>IFERROR(__xludf.DUMMYFUNCTION("""COMPUTED_VALUE"""),44379.0)</f>
        <v>44379</v>
      </c>
      <c r="AI380" s="31" t="str">
        <f>IFERROR(__xludf.DUMMYFUNCTION("""COMPUTED_VALUE"""),"Adverse reactions to simultaneous influenza and pneumococcal conjugate vaccinations in children: randomized double-blind controlled trial.")</f>
        <v>Adverse reactions to simultaneous influenza and pneumococcal conjugate vaccinations in children: randomized double-blind controlled trial.</v>
      </c>
      <c r="AJ380" s="31" t="str">
        <f>IFERROR(__xludf.DUMMYFUNCTION("""COMPUTED_VALUE"""),"Jansen, Angelique G S C; Sanders, Elisabeth A M; Smulders, Sara; Hoes, Arno W; Hak, Eelko")</f>
        <v>Jansen, Angelique G S C; Sanders, Elisabeth A M; Smulders, Sara; Hoes, Arno W; Hak, Eelko</v>
      </c>
      <c r="AK380" s="32">
        <f>IFERROR(__xludf.DUMMYFUNCTION("""COMPUTED_VALUE"""),39469.0)</f>
        <v>39469</v>
      </c>
      <c r="AL380" s="31" t="str">
        <f>IFERROR(__xludf.DUMMYFUNCTION("""COMPUTED_VALUE"""),"Key challenges in normal tissue complication probability model development and validation: towards a comprehensive strategy.")</f>
        <v>Key challenges in normal tissue complication probability model development and validation: towards a comprehensive strategy.</v>
      </c>
      <c r="AM380" s="31" t="str">
        <f>IFERROR(__xludf.DUMMYFUNCTION("""COMPUTED_VALUE"""),"Van den Bosch, Lisa; Schuit, Ewoud; van der Laan, Hans Paul; Reitsma, Johannes B; Moons, Karel G M; Steenbakkers, Roel J H M; Hoebers, Frank J P; Langendijk, Johannes A; van der Schaaf, Arjen")</f>
        <v>Van den Bosch, Lisa; Schuit, Ewoud; van der Laan, Hans Paul; Reitsma, Johannes B; Moons, Karel G M; Steenbakkers, Roel J H M; Hoebers, Frank J P; Langendijk, Johannes A; van der Schaaf, Arjen</v>
      </c>
      <c r="AN380" s="32">
        <f>IFERROR(__xludf.DUMMYFUNCTION("""COMPUTED_VALUE"""),43944.0)</f>
        <v>43944</v>
      </c>
    </row>
    <row r="381">
      <c r="A381" s="32"/>
      <c r="I381" s="31" t="str">
        <f>IFERROR(__xludf.DUMMYFUNCTION("""COMPUTED_VALUE"""),"acta dermatovenereologica")</f>
        <v>acta dermatovenereologica</v>
      </c>
      <c r="J381" s="38">
        <f>COUNTIF(Data!$F$2:$F9917, $I381)</f>
        <v>2</v>
      </c>
      <c r="T381" s="31" t="s">
        <v>367</v>
      </c>
      <c r="U381" s="31" t="s">
        <v>368</v>
      </c>
      <c r="V381" s="32">
        <v>45401.0</v>
      </c>
      <c r="X381" s="31" t="str">
        <f>IFERROR(__xludf.DUMMYFUNCTION("""COMPUTED_VALUE"""),"A body shape index (ABSI) is associated inversely with post-menopausal progesterone-receptor-negative breast cancer risk in a large European cohort.")</f>
        <v>A body shape index (ABSI) is associated inversely with post-menopausal progesterone-receptor-negative breast cancer risk in a large European cohort.</v>
      </c>
      <c r="Y381" s="31" t="str">
        <f>IFERROR(__xludf.DUMMYFUNCTION("""COMPUTED_VALUE"""),"Christakoudi, Sofia; Tsilidis, Konstantinos K; Dossus, Laure; Rinaldi, Sabina; Weiderpass, Elisabete; Antoniussen, Christian S; Dahm, Christina C; Tjønneland, Anne; Mellemkjær, Lene; Katzke, Verena; Kaaks, Rudolf; Schulze, Matthias B; Masala, Giovanna; Gr"&amp;"ioni, Sara; Panico, Salvatore; Tumino, Rosario; Sacerdote, Carlotta; May, Anne M; Monninkhof, Evelyn M; Quirós, J Ramón; Bonet, Catalina; Sánchez, Maria-Jose; Amiano, Pilar; Chirlaque, María-Dolores; Guevara, Marcela; Rosendahl, Ann H; Stocks, Tanja; Pere"&amp;"z-Cornago, Aurora; Tin Tin, Sandar; Heath, Alicia K; Aglago, Elom K; Peruchet-Noray, Laia; Freisling, Heinz; Riboli, Elio")</f>
        <v>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v>
      </c>
      <c r="Z381" s="31">
        <f>IFERROR(__xludf.DUMMYFUNCTION("""COMPUTED_VALUE"""),2023.0)</f>
        <v>2023</v>
      </c>
      <c r="AA381" s="31">
        <f>IFERROR(__xludf.DUMMYFUNCTION("""COMPUTED_VALUE"""),1.0)</f>
        <v>1</v>
      </c>
      <c r="AF381" s="31" t="str">
        <f>IFERROR(__xludf.DUMMYFUNCTION("""COMPUTED_VALUE"""),"The mediating role of unhealthy behavior in the relationship between shift work and perceived health.")</f>
        <v>The mediating role of unhealthy behavior in the relationship between shift work and perceived health.</v>
      </c>
      <c r="AG381" s="31" t="str">
        <f>IFERROR(__xludf.DUMMYFUNCTION("""COMPUTED_VALUE"""),"Proper, Karin I; Jaarsma, Eva; Robroek, Suzan J W; Schram, Jolinda L D; Boshuizen, Hendriek; Picavet, H Susan J; Verschuren, W M Monique; van Oostrom, Sandra H")</f>
        <v>Proper, Karin I; Jaarsma, Eva; Robroek, Suzan J W; Schram, Jolinda L D; Boshuizen, Hendriek; Picavet, H Susan J; Verschuren, W M Monique; van Oostrom, Sandra H</v>
      </c>
      <c r="AH381" s="32">
        <f>IFERROR(__xludf.DUMMYFUNCTION("""COMPUTED_VALUE"""),44379.0)</f>
        <v>44379</v>
      </c>
      <c r="AI381" s="31" t="str">
        <f>IFERROR(__xludf.DUMMYFUNCTION("""COMPUTED_VALUE"""),"Short-term effects of an educational program on health-seeking behavior for infections in patients with type 2 diabetes: a randomized controlled intervention trial in primary care.")</f>
        <v>Short-term effects of an educational program on health-seeking behavior for infections in patients with type 2 diabetes: a randomized controlled intervention trial in primary care.</v>
      </c>
      <c r="AJ381" s="31" t="str">
        <f>IFERROR(__xludf.DUMMYFUNCTION("""COMPUTED_VALUE"""),"Venmans, Leonie M A J; Gorter, Kees J; Hak, Eelko; Rutten, Guy E H M")</f>
        <v>Venmans, Leonie M A J; Gorter, Kees J; Hak, Eelko; Rutten, Guy E H M</v>
      </c>
      <c r="AK381" s="32">
        <f>IFERROR(__xludf.DUMMYFUNCTION("""COMPUTED_VALUE"""),39420.0)</f>
        <v>39420</v>
      </c>
      <c r="AL381" s="31" t="str">
        <f>IFERROR(__xludf.DUMMYFUNCTION("""COMPUTED_VALUE"""),"Antibiotic prophylaxis for prevention of postoperative wound infection in adults undergoing open elective inguinal or femoral hernia repair.")</f>
        <v>Antibiotic prophylaxis for prevention of postoperative wound infection in adults undergoing open elective inguinal or femoral hernia repair.</v>
      </c>
      <c r="AM381" s="31" t="str">
        <f>IFERROR(__xludf.DUMMYFUNCTION("""COMPUTED_VALUE"""),"Orelio, Claudia C; van Hessen, Coen; Sanchez-Manuel, Francisco Javier; Aufenacker, Theodorus J; Scholten, Rob Jpm")</f>
        <v>Orelio, Claudia C; van Hessen, Coen; Sanchez-Manuel, Francisco Javier; Aufenacker, Theodorus J; Scholten, Rob Jpm</v>
      </c>
      <c r="AN381" s="32">
        <f>IFERROR(__xludf.DUMMYFUNCTION("""COMPUTED_VALUE"""),43942.0)</f>
        <v>43942</v>
      </c>
    </row>
    <row r="382">
      <c r="A382" s="32"/>
      <c r="I382" s="31" t="str">
        <f>IFERROR(__xludf.DUMMYFUNCTION("""COMPUTED_VALUE"""),"primary care diabetes")</f>
        <v>primary care diabetes</v>
      </c>
      <c r="J382" s="38">
        <f>COUNTIF(Data!$F$2:$F9917, $I382)</f>
        <v>19</v>
      </c>
      <c r="T382" s="31" t="s">
        <v>373</v>
      </c>
      <c r="U382" s="31" t="s">
        <v>374</v>
      </c>
      <c r="V382" s="32">
        <v>45401.0</v>
      </c>
      <c r="X382" s="31" t="str">
        <f>IFERROR(__xludf.DUMMYFUNCTION("""COMPUTED_VALUE"""),"Physical exercise volume, type, and intensity and risk of all-cause mortality and cardiovascular events in patients with cardiovascular disease: a mediation analysis.")</f>
        <v>Physical exercise volume, type, and intensity and risk of all-cause mortality and cardiovascular events in patients with cardiovascular disease: a mediation analysis.</v>
      </c>
      <c r="Y382" s="31" t="str">
        <f>IFERROR(__xludf.DUMMYFUNCTION("""COMPUTED_VALUE"""),"Bonekamp, Nadia E; May, Anne M; Halle, Martin; Dorresteijn, Jannick A N; van der Meer, Manon G; Ruigrok, Ynte M; de Borst, Gert J; Geleijnse, Johanna M; Visseren, Frank L J; Koopal, Charlotte")</f>
        <v>Bonekamp, Nadia E; May, Anne M; Halle, Martin; Dorresteijn, Jannick A N; van der Meer, Manon G; Ruigrok, Ynte M; de Borst, Gert J; Geleijnse, Johanna M; Visseren, Frank L J; Koopal, Charlotte</v>
      </c>
      <c r="Z382" s="31">
        <f>IFERROR(__xludf.DUMMYFUNCTION("""COMPUTED_VALUE"""),2023.0)</f>
        <v>2023</v>
      </c>
      <c r="AA382" s="31">
        <f>IFERROR(__xludf.DUMMYFUNCTION("""COMPUTED_VALUE"""),1.0)</f>
        <v>1</v>
      </c>
      <c r="AF382" s="31" t="str">
        <f>IFERROR(__xludf.DUMMYFUNCTION("""COMPUTED_VALUE"""),"&lt;sup&gt;177&lt;/sup&gt;Lu-PSMA for advanced prostate cancer: are we ready to play big?")</f>
        <v>&lt;sup&gt;177&lt;/sup&gt;Lu-PSMA for advanced prostate cancer: are we ready to play big?</v>
      </c>
      <c r="AG382" s="31" t="str">
        <f>IFERROR(__xludf.DUMMYFUNCTION("""COMPUTED_VALUE"""),"Hehakaya, Charisma; Moors, Ellen H M; Verkooijen, Helena M; Grobbee, Diederick E; Verburg, Frederik A; Lam, Marnix G E H")</f>
        <v>Hehakaya, Charisma; Moors, Ellen H M; Verkooijen, Helena M; Grobbee, Diederick E; Verburg, Frederik A; Lam, Marnix G E H</v>
      </c>
      <c r="AH382" s="32">
        <f>IFERROR(__xludf.DUMMYFUNCTION("""COMPUTED_VALUE"""),44378.0)</f>
        <v>44378</v>
      </c>
      <c r="AI382" s="31" t="str">
        <f>IFERROR(__xludf.DUMMYFUNCTION("""COMPUTED_VALUE"""),"B-type natriuretic peptide assays for detecting heart failure in the elderly: same value as those in the younger?")</f>
        <v>B-type natriuretic peptide assays for detecting heart failure in the elderly: same value as those in the younger?</v>
      </c>
      <c r="AJ382" s="31" t="str">
        <f>IFERROR(__xludf.DUMMYFUNCTION("""COMPUTED_VALUE"""),"Rutten, Frans H; Hoes, Arno W")</f>
        <v>Rutten, Frans H; Hoes, Arno W</v>
      </c>
      <c r="AK382" s="32">
        <f>IFERROR(__xludf.DUMMYFUNCTION("""COMPUTED_VALUE"""),39380.0)</f>
        <v>39380</v>
      </c>
      <c r="AL382" s="31" t="str">
        <f>IFERROR(__xludf.DUMMYFUNCTION("""COMPUTED_VALUE"""),"Confounding adjustment performance of ordinal analysis methods in stroke studies.")</f>
        <v>Confounding adjustment performance of ordinal analysis methods in stroke studies.</v>
      </c>
      <c r="AM382" s="31" t="str">
        <f>IFERROR(__xludf.DUMMYFUNCTION("""COMPUTED_VALUE"""),"Zonneveld, Thomas P; Aigner, Annette; Groenwold, Rolf H H; Algra, Ale; Nederkoorn, Paul J; Grittner, Ulrike; Kruyt, Nyika D; Siegerink, Bob")</f>
        <v>Zonneveld, Thomas P; Aigner, Annette; Groenwold, Rolf H H; Algra, Ale; Nederkoorn, Paul J; Grittner, Ulrike; Kruyt, Nyika D; Siegerink, Bob</v>
      </c>
      <c r="AN382" s="32">
        <f>IFERROR(__xludf.DUMMYFUNCTION("""COMPUTED_VALUE"""),43937.0)</f>
        <v>43937</v>
      </c>
    </row>
    <row r="383">
      <c r="A383" s="32"/>
      <c r="I383" s="31" t="str">
        <f>IFERROR(__xludf.DUMMYFUNCTION("""COMPUTED_VALUE"""),"regenerative medicine")</f>
        <v>regenerative medicine</v>
      </c>
      <c r="J383" s="38">
        <f>COUNTIF(Data!$F$2:$F9917, $I383)</f>
        <v>10</v>
      </c>
      <c r="T383" s="31" t="s">
        <v>378</v>
      </c>
      <c r="U383" s="31" t="s">
        <v>379</v>
      </c>
      <c r="V383" s="32">
        <v>45401.0</v>
      </c>
      <c r="X383" s="31" t="str">
        <f>IFERROR(__xludf.DUMMYFUNCTION("""COMPUTED_VALUE"""),"Exploring the shared decision making process of caesarean sections at a teaching hospital in Ghana: a mixed methods study.")</f>
        <v>Exploring the shared decision making process of caesarean sections at a teaching hospital in Ghana: a mixed methods study.</v>
      </c>
      <c r="Y383" s="31" t="str">
        <f>IFERROR(__xludf.DUMMYFUNCTION("""COMPUTED_VALUE"""),"Asah-Opoku, Kwaku; Onisarotu, Aisha N; Nuamah, Mercy A; Syurina, Elena; Bloemenkamp, Kitty; Browne, Joyce L; Rijken, Marcus J")</f>
        <v>Asah-Opoku, Kwaku; Onisarotu, Aisha N; Nuamah, Mercy A; Syurina, Elena; Bloemenkamp, Kitty; Browne, Joyce L; Rijken, Marcus J</v>
      </c>
      <c r="Z383" s="31">
        <f>IFERROR(__xludf.DUMMYFUNCTION("""COMPUTED_VALUE"""),2023.0)</f>
        <v>2023</v>
      </c>
      <c r="AA383" s="31">
        <f>IFERROR(__xludf.DUMMYFUNCTION("""COMPUTED_VALUE"""),1.0)</f>
        <v>1</v>
      </c>
      <c r="AF383" s="31" t="str">
        <f>IFERROR(__xludf.DUMMYFUNCTION("""COMPUTED_VALUE"""),"Recognizing the ethical implications of stem cell research: A call for broadening the scope.")</f>
        <v>Recognizing the ethical implications of stem cell research: A call for broadening the scope.</v>
      </c>
      <c r="AG383" s="31" t="str">
        <f>IFERROR(__xludf.DUMMYFUNCTION("""COMPUTED_VALUE"""),"Assen, Lars S; Jongsma, Karin R; Isasi, Rosario; Tryfonidou, Marianna A; Bredenoord, Annelien L")</f>
        <v>Assen, Lars S; Jongsma, Karin R; Isasi, Rosario; Tryfonidou, Marianna A; Bredenoord, Annelien L</v>
      </c>
      <c r="AH383" s="32">
        <f>IFERROR(__xludf.DUMMYFUNCTION("""COMPUTED_VALUE"""),44378.0)</f>
        <v>44378</v>
      </c>
      <c r="AI383" s="31" t="str">
        <f>IFERROR(__xludf.DUMMYFUNCTION("""COMPUTED_VALUE"""),"Task delegation and computerized decision support reduce coronary heart disease risk factors in type 2 diabetes patients in primary care.")</f>
        <v>Task delegation and computerized decision support reduce coronary heart disease risk factors in type 2 diabetes patients in primary care.</v>
      </c>
      <c r="AJ383" s="31" t="str">
        <f>IFERROR(__xludf.DUMMYFUNCTION("""COMPUTED_VALUE"""),"Cleveringa, Frits G W; Gorter, Kees J; van den Donk, Maureen; Pijman, Peter L W; Rutten, Guy E H M")</f>
        <v>Cleveringa, Frits G W; Gorter, Kees J; van den Donk, Maureen; Pijman, Peter L W; Rutten, Guy E H M</v>
      </c>
      <c r="AK383" s="32">
        <f>IFERROR(__xludf.DUMMYFUNCTION("""COMPUTED_VALUE"""),39356.0)</f>
        <v>39356</v>
      </c>
      <c r="AL383" s="31" t="str">
        <f>IFERROR(__xludf.DUMMYFUNCTION("""COMPUTED_VALUE"""),"Data sources and methods used to determine pretest probabilities in a cohort of Cochrane diagnostic test accuracy reviews.")</f>
        <v>Data sources and methods used to determine pretest probabilities in a cohort of Cochrane diagnostic test accuracy reviews.</v>
      </c>
      <c r="AM383" s="31" t="str">
        <f>IFERROR(__xludf.DUMMYFUNCTION("""COMPUTED_VALUE"""),"Oerbekke, Michiel S; Jenniskens, Kevin; Scholten, Rob J P M; Hooft, Lotty")</f>
        <v>Oerbekke, Michiel S; Jenniskens, Kevin; Scholten, Rob J P M; Hooft, Lotty</v>
      </c>
      <c r="AN383" s="32">
        <f>IFERROR(__xludf.DUMMYFUNCTION("""COMPUTED_VALUE"""),43937.0)</f>
        <v>43937</v>
      </c>
    </row>
    <row r="384">
      <c r="A384" s="32"/>
      <c r="I384" s="31" t="str">
        <f>IFERROR(__xludf.DUMMYFUNCTION("""COMPUTED_VALUE"""),"alzheimers dementia the journal of the alzheimers association")</f>
        <v>alzheimers dementia the journal of the alzheimers association</v>
      </c>
      <c r="J384" s="38">
        <f>COUNTIF(Data!$F$2:$F9917, $I384)</f>
        <v>6</v>
      </c>
      <c r="T384" s="31" t="s">
        <v>384</v>
      </c>
      <c r="U384" s="31" t="s">
        <v>385</v>
      </c>
      <c r="V384" s="32">
        <v>45400.0</v>
      </c>
      <c r="X384" s="31" t="str">
        <f>IFERROR(__xludf.DUMMYFUNCTION("""COMPUTED_VALUE"""),"From Surviving Cancer to Getting on With Life: Adult Testicular Germ Cell Tumor Survivors' Perspectives on Transition From Follow-Up Care to Long-Term Survivorship.")</f>
        <v>From Surviving Cancer to Getting on With Life: Adult Testicular Germ Cell Tumor Survivors' Perspectives on Transition From Follow-Up Care to Long-Term Survivorship.</v>
      </c>
      <c r="Y384" s="31" t="str">
        <f>IFERROR(__xludf.DUMMYFUNCTION("""COMPUTED_VALUE"""),"Weda, Sandrien; Zweers, Danielle; Suelmann, Britt B M; Meijer, Richard P; Vervoort, Sigrid C J M")</f>
        <v>Weda, Sandrien; Zweers, Danielle; Suelmann, Britt B M; Meijer, Richard P; Vervoort, Sigrid C J M</v>
      </c>
      <c r="Z384" s="31">
        <f>IFERROR(__xludf.DUMMYFUNCTION("""COMPUTED_VALUE"""),2023.0)</f>
        <v>2023</v>
      </c>
      <c r="AA384" s="31">
        <f>IFERROR(__xludf.DUMMYFUNCTION("""COMPUTED_VALUE"""),1.0)</f>
        <v>1</v>
      </c>
      <c r="AF384" s="31" t="str">
        <f>IFERROR(__xludf.DUMMYFUNCTION("""COMPUTED_VALUE"""),"High HIV prevalence among decedents received by two high-volume mortuaries in Kisumu, western Kenya, 2019.")</f>
        <v>High HIV prevalence among decedents received by two high-volume mortuaries in Kisumu, western Kenya, 2019.</v>
      </c>
      <c r="AG384" s="31" t="str">
        <f>IFERROR(__xludf.DUMMYFUNCTION("""COMPUTED_VALUE"""),"Onyango, Dickens O; van der Sande, Marianne A B; Musingila, Paul; Kinywa, Eunice; Opollo, Valarie; Oyaro, Boaz; Nyakeriga, Emmanuel; Waruru, Anthony; Waruiru, Wanjiru; Mwangome, Mary; Macharia, Teresia; Young, Peter W; Junghae, Muthoni; Ngugi, Catherine; "&amp;"De Cock, Kevin M; Rutherford, George W")</f>
        <v>Onyango, Dickens O; van der Sande, Marianne A B; Musingila, Paul; Kinywa, Eunice; Opollo, Valarie; Oyaro, Boaz; Nyakeriga, Emmanuel; Waruru, Anthony; Waruiru, Wanjiru; Mwangome, Mary; Macharia, Teresia; Young, Peter W; Junghae, Muthoni; Ngugi, Catherine; De Cock, Kevin M; Rutherford, George W</v>
      </c>
      <c r="AH384" s="32">
        <f>IFERROR(__xludf.DUMMYFUNCTION("""COMPUTED_VALUE"""),44378.0)</f>
        <v>44378</v>
      </c>
      <c r="AI384" s="31" t="str">
        <f>IFERROR(__xludf.DUMMYFUNCTION("""COMPUTED_VALUE"""),"Diagnostic labelling as determinant of antibiotic prescribing for acute respiratory tract episodes in general practice.")</f>
        <v>Diagnostic labelling as determinant of antibiotic prescribing for acute respiratory tract episodes in general practice.</v>
      </c>
      <c r="AJ384" s="31" t="str">
        <f>IFERROR(__xludf.DUMMYFUNCTION("""COMPUTED_VALUE"""),"van Duijn, Huug J; Kuyvenhoven, Marijke M; Tiebosch, Hanneke M; Schellevis, François G; Verheij, Theo J M")</f>
        <v>van Duijn, Huug J; Kuyvenhoven, Marijke M; Tiebosch, Hanneke M; Schellevis, François G; Verheij, Theo J M</v>
      </c>
      <c r="AK384" s="32">
        <f>IFERROR(__xludf.DUMMYFUNCTION("""COMPUTED_VALUE"""),39345.0)</f>
        <v>39345</v>
      </c>
      <c r="AL384" s="31" t="str">
        <f>IFERROR(__xludf.DUMMYFUNCTION("""COMPUTED_VALUE"""),"Socio-ecological correlates of physical activity in breast and colon cancer survivors 4 years after participation in a randomized controlled exercise trial (PACT study).")</f>
        <v>Socio-ecological correlates of physical activity in breast and colon cancer survivors 4 years after participation in a randomized controlled exercise trial (PACT study).</v>
      </c>
      <c r="AM384" s="31" t="str">
        <f>IFERROR(__xludf.DUMMYFUNCTION("""COMPUTED_VALUE"""),"Hiensch, Anouk E; Peeters, Petra H M; Jansen, Marijke; van der Wall, Elsken; Backx, Frank J G; Velthuis, Miranda J; May, Anne M")</f>
        <v>Hiensch, Anouk E; Peeters, Petra H M; Jansen, Marijke; van der Wall, Elsken; Backx, Frank J G; Velthuis, Miranda J; May, Anne M</v>
      </c>
      <c r="AN384" s="32">
        <f>IFERROR(__xludf.DUMMYFUNCTION("""COMPUTED_VALUE"""),43937.0)</f>
        <v>43937</v>
      </c>
    </row>
    <row r="385">
      <c r="A385" s="32"/>
      <c r="I385" s="31" t="str">
        <f>IFERROR(__xludf.DUMMYFUNCTION("""COMPUTED_VALUE"""),"pharmaceuticals basel switzerland")</f>
        <v>pharmaceuticals basel switzerland</v>
      </c>
      <c r="J385" s="38">
        <f>COUNTIF(Data!$F$2:$F9917, $I385)</f>
        <v>1</v>
      </c>
      <c r="T385" s="31" t="s">
        <v>389</v>
      </c>
      <c r="U385" s="31" t="s">
        <v>390</v>
      </c>
      <c r="V385" s="32">
        <v>45399.0</v>
      </c>
      <c r="X385" s="31" t="str">
        <f>IFERROR(__xludf.DUMMYFUNCTION("""COMPUTED_VALUE"""),"Colistin plus meropenem versus colistin alone for invasive infections caused by carbapenem-resistant Acinetobacter baumannii: a rapid systematic review of randomized controlled trials using Bayesian meta-analysis.")</f>
        <v>Colistin plus meropenem versus colistin alone for invasive infections caused by carbapenem-resistant Acinetobacter baumannii: a rapid systematic review of randomized controlled trials using Bayesian meta-analysis.</v>
      </c>
      <c r="Y385" s="31" t="str">
        <f>IFERROR(__xludf.DUMMYFUNCTION("""COMPUTED_VALUE"""),"Maraolo, Alberto E; Ong, David S Y")</f>
        <v>Maraolo, Alberto E; Ong, David S Y</v>
      </c>
      <c r="Z385" s="31">
        <f>IFERROR(__xludf.DUMMYFUNCTION("""COMPUTED_VALUE"""),2023.0)</f>
        <v>2023</v>
      </c>
      <c r="AA385" s="31">
        <f>IFERROR(__xludf.DUMMYFUNCTION("""COMPUTED_VALUE"""),1.0)</f>
        <v>1</v>
      </c>
      <c r="AF385" s="31" t="str">
        <f>IFERROR(__xludf.DUMMYFUNCTION("""COMPUTED_VALUE"""),"Editorial: Viral Infections in the Intensive Care Unit.")</f>
        <v>Editorial: Viral Infections in the Intensive Care Unit.</v>
      </c>
      <c r="AG385" s="31" t="str">
        <f>IFERROR(__xludf.DUMMYFUNCTION("""COMPUTED_VALUE"""),"Maraolo, Alberto E; Barac, Aleksandra; Cremer, Olaf L; Ong, David S Y")</f>
        <v>Maraolo, Alberto E; Barac, Aleksandra; Cremer, Olaf L; Ong, David S Y</v>
      </c>
      <c r="AH385" s="32">
        <f>IFERROR(__xludf.DUMMYFUNCTION("""COMPUTED_VALUE"""),44377.0)</f>
        <v>44377</v>
      </c>
      <c r="AI385" s="31" t="str">
        <f>IFERROR(__xludf.DUMMYFUNCTION("""COMPUTED_VALUE"""),"Systematic review of the effects of chronic disease management on quality-of-life in people with chronic obstructive pulmonary disease.")</f>
        <v>Systematic review of the effects of chronic disease management on quality-of-life in people with chronic obstructive pulmonary disease.</v>
      </c>
      <c r="AJ385" s="31" t="str">
        <f>IFERROR(__xludf.DUMMYFUNCTION("""COMPUTED_VALUE"""),"Niesink, A; Trappenburg, J C A; de Weert-van Oene, G H; Lammers, J W J; Verheij, T J M; Schrijvers, A J P")</f>
        <v>Niesink, A; Trappenburg, J C A; de Weert-van Oene, G H; Lammers, J W J; Verheij, T J M; Schrijvers, A J P</v>
      </c>
      <c r="AK385" s="32">
        <f>IFERROR(__xludf.DUMMYFUNCTION("""COMPUTED_VALUE"""),39329.0)</f>
        <v>39329</v>
      </c>
      <c r="AL385" s="31" t="str">
        <f>IFERROR(__xludf.DUMMYFUNCTION("""COMPUTED_VALUE"""),"The effectiveness of nitrofurantoin, fosfomycin and trimethoprim for the treatment of cystitis in relation to renal function' - Author's reply.")</f>
        <v>The effectiveness of nitrofurantoin, fosfomycin and trimethoprim for the treatment of cystitis in relation to renal function' - Author's reply.</v>
      </c>
      <c r="AM385" s="31" t="str">
        <f>IFERROR(__xludf.DUMMYFUNCTION("""COMPUTED_VALUE"""),"Ten Doesschate, T")</f>
        <v>Ten Doesschate, T</v>
      </c>
      <c r="AN385" s="32">
        <f>IFERROR(__xludf.DUMMYFUNCTION("""COMPUTED_VALUE"""),43937.0)</f>
        <v>43937</v>
      </c>
    </row>
    <row r="386">
      <c r="A386" s="32"/>
      <c r="I386" s="31" t="str">
        <f>IFERROR(__xludf.DUMMYFUNCTION("""COMPUTED_VALUE"""),"bmj medicine")</f>
        <v>bmj medicine</v>
      </c>
      <c r="J386" s="38">
        <f>COUNTIF(Data!$F$2:$F9917, $I386)</f>
        <v>1</v>
      </c>
      <c r="T386" s="31" t="s">
        <v>394</v>
      </c>
      <c r="U386" s="31" t="s">
        <v>395</v>
      </c>
      <c r="V386" s="32">
        <v>45398.0</v>
      </c>
      <c r="X386" s="31" t="str">
        <f>IFERROR(__xludf.DUMMYFUNCTION("""COMPUTED_VALUE"""),"Predicting self-perceived general health status using machine learning: an external exposome study.")</f>
        <v>Predicting self-perceived general health status using machine learning: an external exposome study.</v>
      </c>
      <c r="Y386" s="31" t="str">
        <f>IFERROR(__xludf.DUMMYFUNCTION("""COMPUTED_VALUE"""),"Hoekstra, Jurriaan; Lenssen, Esther S; Wong, Albert; Loef, Bette; Herber, Gerrie-Cor M; Boshuizen, Hendriek C; Strak, Maciek; Verschuren, W M Monique; Janssen, Nicole A H")</f>
        <v>Hoekstra, Jurriaan; Lenssen, Esther S; Wong, Albert; Loef, Bette; Herber, Gerrie-Cor M; Boshuizen, Hendriek C; Strak, Maciek; Verschuren, W M Monique; Janssen, Nicole A H</v>
      </c>
      <c r="Z386" s="31">
        <f>IFERROR(__xludf.DUMMYFUNCTION("""COMPUTED_VALUE"""),2023.0)</f>
        <v>2023</v>
      </c>
      <c r="AA386" s="31">
        <f>IFERROR(__xludf.DUMMYFUNCTION("""COMPUTED_VALUE"""),1.0)</f>
        <v>1</v>
      </c>
      <c r="AF386" s="31" t="str">
        <f>IFERROR(__xludf.DUMMYFUNCTION("""COMPUTED_VALUE"""),"SARS-CoV-2 antibody response dynamics and heterogeneous diagnostic performance of four serological tests and a neutralization test in symptomatic healthcare workers with non-severe COVID-19.")</f>
        <v>SARS-CoV-2 antibody response dynamics and heterogeneous diagnostic performance of four serological tests and a neutralization test in symptomatic healthcare workers with non-severe COVID-19.</v>
      </c>
      <c r="AG386" s="31" t="str">
        <f>IFERROR(__xludf.DUMMYFUNCTION("""COMPUTED_VALUE"""),"Ong, David S Y; Keuren, Frans; van der Vliet, Marijke; Boxma-de Klerk, Bianca M; Koeleman, Johannes G M")</f>
        <v>Ong, David S Y; Keuren, Frans; van der Vliet, Marijke; Boxma-de Klerk, Bianca M; Koeleman, Johannes G M</v>
      </c>
      <c r="AH386" s="32">
        <f>IFERROR(__xludf.DUMMYFUNCTION("""COMPUTED_VALUE"""),44374.0)</f>
        <v>44374</v>
      </c>
      <c r="AI386" s="31" t="str">
        <f>IFERROR(__xludf.DUMMYFUNCTION("""COMPUTED_VALUE"""),"The EUCCLID study: proposed European study on care and complications in people with type 2 diabetes in primary care.")</f>
        <v>The EUCCLID study: proposed European study on care and complications in people with type 2 diabetes in primary care.</v>
      </c>
      <c r="AJ386" s="31" t="str">
        <f>IFERROR(__xludf.DUMMYFUNCTION("""COMPUTED_VALUE"""),"Bobbink, Inge W G; Gorter, Kees J; Rutten, Guy E H M; Wens, Johan; Claramunt, Xavier Cos; Topsever, Pinar; Khunti, Kamlesh; ,")</f>
        <v>Bobbink, Inge W G; Gorter, Kees J; Rutten, Guy E H M; Wens, Johan; Claramunt, Xavier Cos; Topsever, Pinar; Khunti, Kamlesh; ,</v>
      </c>
      <c r="AK386" s="32">
        <f>IFERROR(__xludf.DUMMYFUNCTION("""COMPUTED_VALUE"""),39307.0)</f>
        <v>39307</v>
      </c>
      <c r="AL386" s="31" t="str">
        <f>IFERROR(__xludf.DUMMYFUNCTION("""COMPUTED_VALUE"""),"Pathobionts in the Vaginal Microbiota: Individual Participant Data Meta-Analysis of Three Sequencing Studies.")</f>
        <v>Pathobionts in the Vaginal Microbiota: Individual Participant Data Meta-Analysis of Three Sequencing Studies.</v>
      </c>
      <c r="AM386" s="31" t="str">
        <f>IFERROR(__xludf.DUMMYFUNCTION("""COMPUTED_VALUE"""),"van de Wijgert, Janneke H H M; Verwijs, Marijn C; Gill, A Christina; Borgdorff, Hanneke; van der Veer, Charlotte; Mayaud, Philippe")</f>
        <v>van de Wijgert, Janneke H H M; Verwijs, Marijn C; Gill, A Christina; Borgdorff, Hanneke; van der Veer, Charlotte; Mayaud, Philippe</v>
      </c>
      <c r="AN386" s="32">
        <f>IFERROR(__xludf.DUMMYFUNCTION("""COMPUTED_VALUE"""),43936.0)</f>
        <v>43936</v>
      </c>
    </row>
    <row r="387">
      <c r="A387" s="32"/>
      <c r="I387" s="31" t="str">
        <f>IFERROR(__xludf.DUMMYFUNCTION("""COMPUTED_VALUE"""),"future oncology london england")</f>
        <v>future oncology london england</v>
      </c>
      <c r="J387" s="38">
        <f>COUNTIF(Data!$F$2:$F9917, $I387)</f>
        <v>1</v>
      </c>
      <c r="T387" s="31" t="s">
        <v>399</v>
      </c>
      <c r="U387" s="31" t="s">
        <v>400</v>
      </c>
      <c r="V387" s="32">
        <v>45398.0</v>
      </c>
      <c r="X387" s="31"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Y387" s="31"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Z387" s="31">
        <f>IFERROR(__xludf.DUMMYFUNCTION("""COMPUTED_VALUE"""),2023.0)</f>
        <v>2023</v>
      </c>
      <c r="AA387" s="31">
        <f>IFERROR(__xludf.DUMMYFUNCTION("""COMPUTED_VALUE"""),1.0)</f>
        <v>1</v>
      </c>
      <c r="AF387" s="31" t="str">
        <f>IFERROR(__xludf.DUMMYFUNCTION("""COMPUTED_VALUE"""),"Prevalence and determinants of chronic kidney disease in women with hypertensive disorders in pregnancy in Nigeria: a cohort study.")</f>
        <v>Prevalence and determinants of chronic kidney disease in women with hypertensive disorders in pregnancy in Nigeria: a cohort study.</v>
      </c>
      <c r="AG387" s="31" t="str">
        <f>IFERROR(__xludf.DUMMYFUNCTION("""COMPUTED_VALUE"""),"Ishaku, Salisu M; Olanrewaju, Timothy Olusegun; Browne, Joyce L; Klipstein-Grobusch, Kerstin; Kayode, Gbenga A; Franx, Arie; Grobbee, Diederick E; Warren, Charlotte E")</f>
        <v>Ishaku, Salisu M; Olanrewaju, Timothy Olusegun; Browne, Joyce L; Klipstein-Grobusch, Kerstin; Kayode, Gbenga A; Franx, Arie; Grobbee, Diederick E; Warren, Charlotte E</v>
      </c>
      <c r="AH387" s="32">
        <f>IFERROR(__xludf.DUMMYFUNCTION("""COMPUTED_VALUE"""),44365.0)</f>
        <v>44365</v>
      </c>
      <c r="AI387" s="31" t="str">
        <f>IFERROR(__xludf.DUMMYFUNCTION("""COMPUTED_VALUE"""),"Acceptability and effects of an educational leaflet on infections in type 2 diabetes patients: a randomized controlled trial in primary care.")</f>
        <v>Acceptability and effects of an educational leaflet on infections in type 2 diabetes patients: a randomized controlled trial in primary care.</v>
      </c>
      <c r="AJ387" s="31" t="str">
        <f>IFERROR(__xludf.DUMMYFUNCTION("""COMPUTED_VALUE"""),"Venmans, Leonie M A J; Gorter, Kees J; Baard, Kim P; Rutten, Guy E H M; Hak, Eelko")</f>
        <v>Venmans, Leonie M A J; Gorter, Kees J; Baard, Kim P; Rutten, Guy E H M; Hak, Eelko</v>
      </c>
      <c r="AK387" s="32">
        <f>IFERROR(__xludf.DUMMYFUNCTION("""COMPUTED_VALUE"""),39301.0)</f>
        <v>39301</v>
      </c>
      <c r="AL387" s="31" t="str">
        <f>IFERROR(__xludf.DUMMYFUNCTION("""COMPUTED_VALUE"""),"Protein-Bound Uremic Toxins in Hemodialysis Patients Relate to Residual Kidney Function, Are Not Influenced by Convective Transport, and Do Not Relate to Outcome.")</f>
        <v>Protein-Bound Uremic Toxins in Hemodialysis Patients Relate to Residual Kidney Function, Are Not Influenced by Convective Transport, and Do Not Relate to Outcome.</v>
      </c>
      <c r="AM387" s="31" t="str">
        <f>IFERROR(__xludf.DUMMYFUNCTION("""COMPUTED_VALUE"""),"van Gelder, Maaike K; Middel, Igor R; Vernooij, Robin W M; Bots, Michiel L; Verhaar, Marianne C; Masereeuw, Rosalinde; Grooteman, Muriel P; Nubé, Menso J; van den Dorpel, M A; Blankestijn, Peter J; Rookmaaker, Maarten B; Gerritsen, Karin G F")</f>
        <v>van Gelder, Maaike K; Middel, Igor R; Vernooij, Robin W M; Bots, Michiel L; Verhaar, Marianne C; Masereeuw, Rosalinde; Grooteman, Muriel P; Nubé, Menso J; van den Dorpel, M A; Blankestijn, Peter J; Rookmaaker, Maarten B; Gerritsen, Karin G F</v>
      </c>
      <c r="AN387" s="32">
        <f>IFERROR(__xludf.DUMMYFUNCTION("""COMPUTED_VALUE"""),43928.0)</f>
        <v>43928</v>
      </c>
    </row>
    <row r="388">
      <c r="A388" s="32"/>
      <c r="I388" s="31" t="str">
        <f>IFERROR(__xludf.DUMMYFUNCTION("""COMPUTED_VALUE"""),"international journal of womens health")</f>
        <v>international journal of womens health</v>
      </c>
      <c r="J388" s="38">
        <f>COUNTIF(Data!$F$2:$F9917, $I388)</f>
        <v>1</v>
      </c>
      <c r="T388" s="31" t="s">
        <v>404</v>
      </c>
      <c r="U388" s="31" t="s">
        <v>405</v>
      </c>
      <c r="V388" s="32">
        <v>45398.0</v>
      </c>
      <c r="X388" s="31" t="str">
        <f>IFERROR(__xludf.DUMMYFUNCTION("""COMPUTED_VALUE"""),"Impacts of an advance care planning intervention on close relationships.")</f>
        <v>Impacts of an advance care planning intervention on close relationships.</v>
      </c>
      <c r="Y388" s="31" t="str">
        <f>IFERROR(__xludf.DUMMYFUNCTION("""COMPUTED_VALUE"""),"Bulli, Francesco; Toccafondi, Alessandro; Kars, Marijke C; Caswell, Glenys; Kodba-Čeh, Hana; Lunder, Urska; Pollock, Kristian; Seymour, Jane; van Delden, Johannes J M; Zwakman, Marieke; Korfage, Ida J; Van der Heide, Agnes; Miccinesi, Guido")</f>
        <v>Bulli, Francesco; Toccafondi, Alessandro; Kars, Marijke C; Caswell, Glenys; Kodba-Čeh, Hana; Lunder, Urska; Pollock, Kristian; Seymour, Jane; van Delden, Johannes J M; Zwakman, Marieke; Korfage, Ida J; Van der Heide, Agnes; Miccinesi, Guido</v>
      </c>
      <c r="Z388" s="31">
        <f>IFERROR(__xludf.DUMMYFUNCTION("""COMPUTED_VALUE"""),2023.0)</f>
        <v>2023</v>
      </c>
      <c r="AA388" s="31">
        <f>IFERROR(__xludf.DUMMYFUNCTION("""COMPUTED_VALUE"""),1.0)</f>
        <v>1</v>
      </c>
      <c r="AF388" s="31" t="str">
        <f>IFERROR(__xludf.DUMMYFUNCTION("""COMPUTED_VALUE"""),"Genome-wide homozygosity and risk of four non-Hodgkin lymphoma subtypes.")</f>
        <v>Genome-wide homozygosity and risk of four non-Hodgkin lymphoma subtypes.</v>
      </c>
      <c r="AG388" s="31" t="str">
        <f>IFERROR(__xludf.DUMMYFUNCTION("""COMPUTED_VALUE"""),"Moore, Amy; Machiela, Mitchell J; Machado, Moara; Wang, Sophia S; Kane, Eleanor; Slager, Susan L; Zhou, Weiyin; Carrington, Mary; Lan, Qing; Milne, Roger L; Birmann, Brenda M; Adami, Hans-Olov; Albanes, Demetrius; Arslan, Alan A; Becker, Nikolaus; Benaven"&amp;"te, Yolanda; Bisanzi, Simonetta; Boffetta, Paolo; Bracci, Paige M; Brennan, Paul; Brooks-Wilson, Angela R; Canzian, Federico; Caporaso, Neil; Clavel, Jacqueline; Cocco, Pierluigi; Conde, Lucia; Cox, David G; Cozen, Wendy; Curtin, Karen; De Vivo, Immaculat"&amp;"a; de Sanjose, Silvia; Foretova, Lenka; Gapstur, Susan M; Ghesquières, Hervè; Giles, Graham G; Glenn, Martha; Glimelius, Bengt; Gao, Chi; Habermann, Thomas M; Hjalgrim, Henrik; Jackson, Rebecca D; Liebow, Mark; Link, Brian K; Maynadie, Marc; McKay, James;"&amp;" Melbye, Mads; Miligi, Lucia; Molina, Thierry J; Monnereau, Alain; Nieters, Alexandra; North, Kari E; Offit, Kenneth; Patel, Alpa V; Piro, Sara; Ravichandran, Vignesh; Riboli, Elio; Salles, Gilles; Severson, Richard K; Skibola, Christi")</f>
        <v>Moore, Amy; Machiela, Mitchell J; Machado, Moara; Wang, Sophia S; Kane, Eleanor; Slager, Susan L; Zhou, Weiyin; Carrington, Mary; Lan, Qing; Milne, Roger L; Birmann, Brenda M; Adami, Hans-Olov; Albanes, Demetrius; Arslan, Alan A; Becker, Nikolaus; Benavente, Yolanda; Bisanzi, Simonetta; Boffetta, Paolo; Bracci, Paige M; Brennan, Paul; Brooks-Wilson, Angela R; Canzian, Federico; Caporaso, Neil; Clavel, Jacqueline; Cocco, Pierluigi; Conde, Lucia; Cox, David G; Cozen, Wendy; Curtin, Karen; De Vivo, Immaculata; de Sanjose, Silvia; Foretova, Lenka; Gapstur, Susan M; Ghesquières, Hervè; Giles, Graham G; Glenn, Martha; Glimelius, Bengt; Gao, Chi; Habermann, Thomas M; Hjalgrim, Henrik; Jackson, Rebecca D; Liebow, Mark; Link, Brian K; Maynadie, Marc; McKay, James; Melbye, Mads; Miligi, Lucia; Molina, Thierry J; Monnereau, Alain; Nieters, Alexandra; North, Kari E; Offit, Kenneth; Patel, Alpa V; Piro, Sara; Ravichandran, Vignesh; Riboli, Elio; Salles, Gilles; Severson, Richard K; Skibola, Christi</v>
      </c>
      <c r="AH388" s="32">
        <f>IFERROR(__xludf.DUMMYFUNCTION("""COMPUTED_VALUE"""),44364.0)</f>
        <v>44364</v>
      </c>
      <c r="AI388" s="31" t="str">
        <f>IFERROR(__xludf.DUMMYFUNCTION("""COMPUTED_VALUE"""),"Is co-morbidity taken into account in the antibiotic management of elderly patients with acute bronchitis and COPD exacerbations?")</f>
        <v>Is co-morbidity taken into account in the antibiotic management of elderly patients with acute bronchitis and COPD exacerbations?</v>
      </c>
      <c r="AJ388" s="31" t="str">
        <f>IFERROR(__xludf.DUMMYFUNCTION("""COMPUTED_VALUE"""),"Bont, Jettie; Hak, Eelko; Birkhoff, Christine E; Hoes, Arno W; Verheij, Theo J M")</f>
        <v>Bont, Jettie; Hak, Eelko; Birkhoff, Christine E; Hoes, Arno W; Verheij, Theo J M</v>
      </c>
      <c r="AK388" s="32">
        <f>IFERROR(__xludf.DUMMYFUNCTION("""COMPUTED_VALUE"""),39262.0)</f>
        <v>39262</v>
      </c>
      <c r="AL388" s="31" t="str">
        <f>IFERROR(__xludf.DUMMYFUNCTION("""COMPUTED_VALUE"""),"Low-Density Lipoprotein Cholesterol Target Attainment in Patients With Established Cardiovascular Disease: Analysis of Routine Care Data.")</f>
        <v>Low-Density Lipoprotein Cholesterol Target Attainment in Patients With Established Cardiovascular Disease: Analysis of Routine Care Data.</v>
      </c>
      <c r="AM388" s="31" t="str">
        <f>IFERROR(__xludf.DUMMYFUNCTION("""COMPUTED_VALUE"""),"Groenhof, T Katrien J; Kofink, Daniel; Bots, Michiel L; Nathoe, Hendrik M; Hoefer, Imo E; Van Solinge, Wouter W; Lely, A Titia; Asselbergs, Folkert W; Haitjema, Saskia")</f>
        <v>Groenhof, T Katrien J; Kofink, Daniel; Bots, Michiel L; Nathoe, Hendrik M; Hoefer, Imo E; Van Solinge, Wouter W; Lely, A Titia; Asselbergs, Folkert W; Haitjema, Saskia</v>
      </c>
      <c r="AN388" s="32">
        <f>IFERROR(__xludf.DUMMYFUNCTION("""COMPUTED_VALUE"""),43923.0)</f>
        <v>43923</v>
      </c>
    </row>
    <row r="389">
      <c r="A389" s="32"/>
      <c r="I389" s="31" t="str">
        <f>IFERROR(__xludf.DUMMYFUNCTION("""COMPUTED_VALUE"""),"international journal of epidemiology")</f>
        <v>international journal of epidemiology</v>
      </c>
      <c r="J389" s="38">
        <f>COUNTIF(Data!$F$2:$F9917, $I389)</f>
        <v>18</v>
      </c>
      <c r="T389" s="31" t="s">
        <v>408</v>
      </c>
      <c r="U389" s="31" t="s">
        <v>409</v>
      </c>
      <c r="V389" s="32">
        <v>45398.0</v>
      </c>
      <c r="X389" s="31" t="str">
        <f>IFERROR(__xludf.DUMMYFUNCTION("""COMPUTED_VALUE"""),"COVID-19 Vaccine Safety Monitoring Studies in Low- and Middle-Income Countries (LMICs)-A Systematic Review of Study Designs and Methods.")</f>
        <v>COVID-19 Vaccine Safety Monitoring Studies in Low- and Middle-Income Countries (LMICs)-A Systematic Review of Study Designs and Methods.</v>
      </c>
      <c r="Y389" s="31" t="str">
        <f>IFERROR(__xludf.DUMMYFUNCTION("""COMPUTED_VALUE"""),"Sisay, Malede Mequanent; Montesinos-Guevara, Camila; Osman, Alhadi Khogali; Saraswati, Putri Widi; Tilahun, Binyam; Ayele, Tadesse Awoke; Ahmadizar, Fariba; Durán, Carlos E; Sturkenboom, Miriam C J M; van de Ven, Peter; Weibel, Daniel")</f>
        <v>Sisay, Malede Mequanent; Montesinos-Guevara, Camila; Osman, Alhadi Khogali; Saraswati, Putri Widi; Tilahun, Binyam; Ayele, Tadesse Awoke; Ahmadizar, Fariba; Durán, Carlos E; Sturkenboom, Miriam C J M; van de Ven, Peter; Weibel, Daniel</v>
      </c>
      <c r="Z389" s="31">
        <f>IFERROR(__xludf.DUMMYFUNCTION("""COMPUTED_VALUE"""),2023.0)</f>
        <v>2023</v>
      </c>
      <c r="AA389" s="31">
        <f>IFERROR(__xludf.DUMMYFUNCTION("""COMPUTED_VALUE"""),1.0)</f>
        <v>1</v>
      </c>
      <c r="AF389" s="31" t="str">
        <f>IFERROR(__xludf.DUMMYFUNCTION("""COMPUTED_VALUE"""),"Response to our reviewers.")</f>
        <v>Response to our reviewers.</v>
      </c>
      <c r="AG389" s="31" t="str">
        <f>IFERROR(__xludf.DUMMYFUNCTION("""COMPUTED_VALUE"""),"Durán, Juan Manuel; Jongsma, Karin Rolanda")</f>
        <v>Durán, Juan Manuel; Jongsma, Karin Rolanda</v>
      </c>
      <c r="AH389" s="32">
        <f>IFERROR(__xludf.DUMMYFUNCTION("""COMPUTED_VALUE"""),44361.0)</f>
        <v>44361</v>
      </c>
      <c r="AI389" s="31" t="str">
        <f>IFERROR(__xludf.DUMMYFUNCTION("""COMPUTED_VALUE"""),"[The practice guideline 'Hearing impairment' (first revision) from the Dutch College of General Practitioners; a response from the perspective of general practice].")</f>
        <v>[The practice guideline 'Hearing impairment' (first revision) from the Dutch College of General Practitioners; a response from the perspective of general practice].</v>
      </c>
      <c r="AJ389" s="31" t="str">
        <f>IFERROR(__xludf.DUMMYFUNCTION("""COMPUTED_VALUE"""),"Verheij, T J M")</f>
        <v>Verheij, T J M</v>
      </c>
      <c r="AK389" s="32">
        <f>IFERROR(__xludf.DUMMYFUNCTION("""COMPUTED_VALUE"""),39137.0)</f>
        <v>39137</v>
      </c>
      <c r="AL389" s="31" t="str">
        <f>IFERROR(__xludf.DUMMYFUNCTION("""COMPUTED_VALUE"""),"Primary endpoint analysis of the multicentre phase II hypo-FLAME trial for intermediate and high risk prostate cancer.")</f>
        <v>Primary endpoint analysis of the multicentre phase II hypo-FLAME trial for intermediate and high risk prostate cancer.</v>
      </c>
      <c r="AM389" s="31" t="str">
        <f>IFERROR(__xludf.DUMMYFUNCTION("""COMPUTED_VALUE"""),"Draulans, Cédric; van der Heide, Uulke A; Haustermans, Karin; Pos, Floris J; van der Voort van Zyp, Jochem; De Boer, Hans; Groen, Veerle H; Monninkhof, Evelyn M; Smeenk, Robert J; Kunze-Busch, Martina; De Roover, Robin; Depuydt, Tom; Isebaert, Sofie; Kerk"&amp;"meijer, Linda G W")</f>
        <v>Draulans, Cédric; van der Heide, Uulke A; Haustermans, Karin; Pos, Floris J; van der Voort van Zyp, Jochem; De Boer, Hans; Groen, Veerle H; Monninkhof, Evelyn M; Smeenk, Robert J; Kunze-Busch, Martina; De Roover, Robin; Depuydt, Tom; Isebaert, Sofie; Kerkmeijer, Linda G W</v>
      </c>
      <c r="AN389" s="32">
        <f>IFERROR(__xludf.DUMMYFUNCTION("""COMPUTED_VALUE"""),43922.0)</f>
        <v>43922</v>
      </c>
    </row>
    <row r="390">
      <c r="A390" s="32"/>
      <c r="I390" s="31" t="str">
        <f>IFERROR(__xludf.DUMMYFUNCTION("""COMPUTED_VALUE"""),"drug discovery today")</f>
        <v>drug discovery today</v>
      </c>
      <c r="J390" s="38">
        <f>COUNTIF(Data!$F$2:$F9917, $I390)</f>
        <v>12</v>
      </c>
      <c r="T390" s="31" t="s">
        <v>414</v>
      </c>
      <c r="U390" s="31" t="s">
        <v>415</v>
      </c>
      <c r="V390" s="32">
        <v>45397.0</v>
      </c>
      <c r="X390" s="31"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Y390" s="31" t="str">
        <f>IFERROR(__xludf.DUMMYFUNCTION("""COMPUTED_VALUE"""),"Lohmann, Anna; Groenwold, Rolf H H; van Smeden, Maarten")</f>
        <v>Lohmann, Anna; Groenwold, Rolf H H; van Smeden, Maarten</v>
      </c>
      <c r="Z390" s="31">
        <f>IFERROR(__xludf.DUMMYFUNCTION("""COMPUTED_VALUE"""),2023.0)</f>
        <v>2023</v>
      </c>
      <c r="AA390" s="31">
        <f>IFERROR(__xludf.DUMMYFUNCTION("""COMPUTED_VALUE"""),1.0)</f>
        <v>1</v>
      </c>
      <c r="AF390" s="31" t="str">
        <f>IFERROR(__xludf.DUMMYFUNCTION("""COMPUTED_VALUE"""),"Determinants of Food Choice and Perceptions of Supermarket-Based Nudging Interventions among Adults with Low Socioeconomic Position: The SUPREME NUDGE Project.")</f>
        <v>Determinants of Food Choice and Perceptions of Supermarket-Based Nudging Interventions among Adults with Low Socioeconomic Position: The SUPREME NUDGE Project.</v>
      </c>
      <c r="AG390" s="31" t="str">
        <f>IFERROR(__xludf.DUMMYFUNCTION("""COMPUTED_VALUE"""),"Harbers, Marjolein C; Middel, Cédric N H; Stuber, Josine M; Beulens, Joline W J; Rutters, Femke; van der Schouw, Yvonne T")</f>
        <v>Harbers, Marjolein C; Middel, Cédric N H; Stuber, Josine M; Beulens, Joline W J; Rutters, Femke; van der Schouw, Yvonne T</v>
      </c>
      <c r="AH390" s="32">
        <f>IFERROR(__xludf.DUMMYFUNCTION("""COMPUTED_VALUE"""),44354.0)</f>
        <v>44354</v>
      </c>
      <c r="AI390" s="31" t="str">
        <f>IFERROR(__xludf.DUMMYFUNCTION("""COMPUTED_VALUE"""),"Prediction of complicated urinary tract infections in patients with type 2 diabetes: a questionnaire study in primary care.")</f>
        <v>Prediction of complicated urinary tract infections in patients with type 2 diabetes: a questionnaire study in primary care.</v>
      </c>
      <c r="AJ390" s="31" t="str">
        <f>IFERROR(__xludf.DUMMYFUNCTION("""COMPUTED_VALUE"""),"Venmans, Leonie M A J; Sloof, Marian; Hak, Eelko; Gorter, Kees J; Rutten, Guy E H M")</f>
        <v>Venmans, Leonie M A J; Sloof, Marian; Hak, Eelko; Gorter, Kees J; Rutten, Guy E H M</v>
      </c>
      <c r="AK390" s="32">
        <f>IFERROR(__xludf.DUMMYFUNCTION("""COMPUTED_VALUE"""),39085.0)</f>
        <v>39085</v>
      </c>
      <c r="AL390" s="31" t="str">
        <f>IFERROR(__xludf.DUMMYFUNCTION("""COMPUTED_VALUE"""),"Quantifying the Mitigating Effects of Whole-Breast Radiotherapy and Systemic Treatments on Regional Recurrence Incidence Among Breast Cancer Patients.")</f>
        <v>Quantifying the Mitigating Effects of Whole-Breast Radiotherapy and Systemic Treatments on Regional Recurrence Incidence Among Breast Cancer Patients.</v>
      </c>
      <c r="AM390" s="31" t="str">
        <f>IFERROR(__xludf.DUMMYFUNCTION("""COMPUTED_VALUE"""),"van Steenhoven, Julia E C; Kuijer, Anne; van Maaren, Marissa C; Roos, Marleen; Elias, Sjoerd G; van Diest, Paul J; Siesling, Sabine; Smidt, Marjolein L; Boersma, Liesbeth J; van Dalen, Thijs")</f>
        <v>van Steenhoven, Julia E C; Kuijer, Anne; van Maaren, Marissa C; Roos, Marleen; Elias, Sjoerd G; van Diest, Paul J; Siesling, Sabine; Smidt, Marjolein L; Boersma, Liesbeth J; van Dalen, Thijs</v>
      </c>
      <c r="AN390" s="32">
        <f>IFERROR(__xludf.DUMMYFUNCTION("""COMPUTED_VALUE"""),43910.0)</f>
        <v>43910</v>
      </c>
    </row>
    <row r="391">
      <c r="A391" s="32"/>
      <c r="I391" s="31" t="str">
        <f>IFERROR(__xludf.DUMMYFUNCTION("""COMPUTED_VALUE"""),"pediatric allergy and immunology official publication of the european society of pediatric allergy and immunology")</f>
        <v>pediatric allergy and immunology official publication of the european society of pediatric allergy and immunology</v>
      </c>
      <c r="J391" s="38">
        <f>COUNTIF(Data!$F$2:$F9917, $I391)</f>
        <v>6</v>
      </c>
      <c r="T391" s="31" t="s">
        <v>419</v>
      </c>
      <c r="U391" s="31" t="s">
        <v>420</v>
      </c>
      <c r="V391" s="32">
        <v>45397.0</v>
      </c>
      <c r="X391" s="31" t="str">
        <f>IFERROR(__xludf.DUMMYFUNCTION("""COMPUTED_VALUE"""),"Corrigendum: Characterization of the degree of food processing in the European Prospective Investigation into Cancer and Nutrition: application of the Nova classification and validation using selected biomarkers of food processing.")</f>
        <v>Corrigendum: Characterization of the degree of food processing in the European Prospective Investigation into Cancer and Nutrition: application of the Nova classification and validation using selected biomarkers of food processing.</v>
      </c>
      <c r="Y391" s="31" t="str">
        <f>IFERROR(__xludf.DUMMYFUNCTION("""COMPUTED_VALUE"""),"Huybrechts, Inge; Rauber, Fernanda; Nicolas, Geneviève; Casagrande, Corinne; Kliemann, Nathalie; Wedekind, Roland; Biessy, Carine; Scalbert, Augustin; Touvier, Mathilde; Aleksandrova, Krasimira; Jakszyn, Paula; Skeie, Guri; Bajracharya, Rashmita; Boer, Jo"&amp;"landa M A; Borné, Yan; Chajes, Veronique; Dahm, Christina C; Dansero, Lucia; Guevara, Marcela; Heath, Alicia K; Ibsen, Daniel B; Papier, Keren; Katzke, Verena; Kyrø, Cecilie; Masala, Giovanna; Molina-Montes, Esther; Robinson, Oliver J K; Santiuste de Pabl"&amp;"os, Carmen; Schulze, Matthias B; Simeon, Vittorio; Sonestedt, Emily; Tjønneland, Anne; Tumino, Rosario; van der Schouw, Yvonne T; Verschuren, W M Monique; Vozar, Beatrice; Winkvist, Anna; Gunter, Marc J; Monteiro, Carlos A; Millett, Christopher; Levy, Ren"&amp;"ata Bertazzi")</f>
        <v>Huybrechts, Inge; Rauber, Fernanda; Nicolas, Geneviève; Casagrande, Corinne; Kliemann, Nathalie; Wedekind, Roland; Biessy, Carine; Scalbert, Augustin; Touvier, Mathilde; Aleksandrova, Krasimira; Jakszyn, Paula; Skeie, Guri; Bajracharya, Rashmita; Boer, Jolanda M A; Borné, Yan; Chajes, Veronique; Dahm, Christina C; Dansero, Lucia; Guevara, Marcela; Heath, Alicia K; Ibsen, Daniel B; Papier, Keren; Katzke, Verena; Kyrø, Cecilie; Masala, Giovanna; Molina-Montes, Esther; Robinson, Oliver J K; Santiuste de Pablos, Carmen; Schulze, Matthias B; Simeon, Vittorio; Sonestedt, Emily; Tjønneland, Anne; Tumino, Rosario; van der Schouw, Yvonne T; Verschuren, W M Monique; Vozar, Beatrice; Winkvist, Anna; Gunter, Marc J; Monteiro, Carlos A; Millett, Christopher; Levy, Renata Bertazzi</v>
      </c>
      <c r="Z391" s="31">
        <f>IFERROR(__xludf.DUMMYFUNCTION("""COMPUTED_VALUE"""),2023.0)</f>
        <v>2023</v>
      </c>
      <c r="AA391" s="31">
        <f>IFERROR(__xludf.DUMMYFUNCTION("""COMPUTED_VALUE"""),1.0)</f>
        <v>1</v>
      </c>
      <c r="AF391" s="31" t="str">
        <f>IFERROR(__xludf.DUMMYFUNCTION("""COMPUTED_VALUE"""),"Metabolic syndrome following hypertensive disorders in pregnancy in a low-resource setting: A cohort study.")</f>
        <v>Metabolic syndrome following hypertensive disorders in pregnancy in a low-resource setting: A cohort study.</v>
      </c>
      <c r="AG391" s="31" t="str">
        <f>IFERROR(__xludf.DUMMYFUNCTION("""COMPUTED_VALUE"""),"Ishaku, Salisu M; Karima, Tunau; Oboirien, Khadijat A; Innocent, Agbo P; Lawal, Oyeneyin; Jamilu, Tukur; Browne, Joyce L; Gbenga, Kayode A; Azubuike, Onyebuchi K; Lamaran, Dattijo M; Baffah, Aminu M; Olorunfemi, Owa O; Patience, Odusolu O; Charlotte, Warr"&amp;"en E; Abubakar, Hanifah D; Musa, Abdulkarim; Franx, Arie; Grobbee, Diederick E")</f>
        <v>Ishaku, Salisu M; Karima, Tunau; Oboirien, Khadijat A; Innocent, Agbo P; Lawal, Oyeneyin; Jamilu, Tukur; Browne, Joyce L; Gbenga, Kayode A; Azubuike, Onyebuchi K; Lamaran, Dattijo M; Baffah, Aminu M; Olorunfemi, Owa O; Patience, Odusolu O; Charlotte, Warren E; Abubakar, Hanifah D; Musa, Abdulkarim; Franx, Arie; Grobbee, Diederick E</v>
      </c>
      <c r="AH391" s="32">
        <f>IFERROR(__xludf.DUMMYFUNCTION("""COMPUTED_VALUE"""),44351.0)</f>
        <v>44351</v>
      </c>
      <c r="AI391" s="31" t="str">
        <f>IFERROR(__xludf.DUMMYFUNCTION("""COMPUTED_VALUE"""),"Clinical effectiveness of first and repeat influenza vaccination in adult and elderly diabetic patients.")</f>
        <v>Clinical effectiveness of first and repeat influenza vaccination in adult and elderly diabetic patients.</v>
      </c>
      <c r="AJ391" s="31" t="str">
        <f>IFERROR(__xludf.DUMMYFUNCTION("""COMPUTED_VALUE"""),"Looijmans-Van den Akker, Ingrid; Verheij, Theo J M; Buskens, Erik; Nichol, Kristin L; Rutten, Guy E H M; Hak, Eelko")</f>
        <v>Looijmans-Van den Akker, Ingrid; Verheij, Theo J M; Buskens, Erik; Nichol, Kristin L; Rutten, Guy E H M; Hak, Eelko</v>
      </c>
      <c r="AK391" s="32">
        <f>IFERROR(__xludf.DUMMYFUNCTION("""COMPUTED_VALUE"""),38930.0)</f>
        <v>38930</v>
      </c>
      <c r="AL391" s="31" t="str">
        <f>IFERROR(__xludf.DUMMYFUNCTION("""COMPUTED_VALUE"""),"Clustering of chronic hepatitis B screening intentions in social networks of Moroccan immigrants in the Netherlands.")</f>
        <v>Clustering of chronic hepatitis B screening intentions in social networks of Moroccan immigrants in the Netherlands.</v>
      </c>
      <c r="AM391" s="31" t="str">
        <f>IFERROR(__xludf.DUMMYFUNCTION("""COMPUTED_VALUE"""),"Hamdiui, Nora; Buskens, Vincent; van Steenbergen, Jim E; Kretzschmar, Mirjam E E; Rocha, Luis E C; Thorson, Anna E; Timen, Aura; Wong, Albert; van den Muijsenbergh, Maria; Stein, Mart L")</f>
        <v>Hamdiui, Nora; Buskens, Vincent; van Steenbergen, Jim E; Kretzschmar, Mirjam E E; Rocha, Luis E C; Thorson, Anna E; Timen, Aura; Wong, Albert; van den Muijsenbergh, Maria; Stein, Mart L</v>
      </c>
      <c r="AN391" s="32">
        <f>IFERROR(__xludf.DUMMYFUNCTION("""COMPUTED_VALUE"""),43907.0)</f>
        <v>43907</v>
      </c>
    </row>
    <row r="392">
      <c r="A392" s="32"/>
      <c r="I392" s="31" t="str">
        <f>IFERROR(__xludf.DUMMYFUNCTION("""COMPUTED_VALUE"""),"jmir cardio")</f>
        <v>jmir cardio</v>
      </c>
      <c r="J392" s="38">
        <f>COUNTIF(Data!$F$2:$F9917, $I392)</f>
        <v>1</v>
      </c>
      <c r="T392" s="31" t="s">
        <v>423</v>
      </c>
      <c r="U392" s="31" t="s">
        <v>424</v>
      </c>
      <c r="V392" s="32">
        <v>45395.0</v>
      </c>
      <c r="X392" s="31" t="str">
        <f>IFERROR(__xludf.DUMMYFUNCTION("""COMPUTED_VALUE"""),"Towards optimal use of antithrombotic therapy of people with cancer at the end of life: A research protocol for the development and implementation of the SERENITY shared decision support tool.")</f>
        <v>Towards optimal use of antithrombotic therapy of people with cancer at the end of life: A research protocol for the development and implementation of the SERENITY shared decision support tool.</v>
      </c>
      <c r="Y392" s="31" t="str">
        <f>IFERROR(__xludf.DUMMYFUNCTION("""COMPUTED_VALUE"""),"Goedegebuur, J; Abbel, D; Accassat, S; Achterberg, W P; Akbari, A; Arfuch, V M; Baddeley, E; Bax, J J; Becker, D; Bergmeijer, B; Bertoletti, L; Blom, J W; Calvetti, A; Cannegieter, S C; Castro, L; Chavannes, N H; Coma-Auli, N; Couffignal, C; Edwards, A; E"&amp;"dwards, M; Enggaard, H; Font, C; Gava, A; Geersing, G J; Geijteman, E C T; Greenley, S; Gregory, C; Gussekloo, J; Hoffmann, I; Højen, A A; van den Hout, W B; Huisman, M V; Jacobsen, S; Jagosh, J; Johnson, M J; Jørgensen, L; Juffermans, C C M; Kempers, E K"&amp;"; Konstantinides, S; Kroder, A F; Kruip, M J H A; Lafaie, L; Langendoen, J W; Larsen, T B; Lifford, K; van der Linden, Y M; Mahé, I; Maiorana, L; Maraveyas, A; Martens, E S L; Mayeur, D; van Mens, T E; Mohr, K; Mooijaart, S P; Murtagh, F E M; Nelson, A; N"&amp;"ielsen, P B; Ording, A G; Ørskov, M; Pearson, M; Poenou, G; Portielje, J E A; Raczkiewicz, D; Rasmussen, K; Trinks-Roerdink, E; Schippers, I; Seddon, K; Sexton, K; Sivell, S; Skjøth, F; Søgaard, M; Szmit, S; Trompet, S; Vassal, P; Viss")</f>
        <v>Goedegebuur, J; Abbel, D; Accassat, S; Achterberg, W P; Akbari, A; Arfuch, V M; Baddeley, E; Bax, J J; Becker, D; Bergmeijer, B; Bertoletti, L; Blom, J W; Calvetti, A; Cannegieter, S C; Castro, L; Chavannes, N H; Coma-Auli, N; Couffignal, C; Edwards, A; Edwards, M; Enggaard, H; Font, C; Gava, A; Geersing, G J; Geijteman, E C T; Greenley, S; Gregory, C; Gussekloo, J; Hoffmann, I; Højen, A A; van den Hout, W B; Huisman, M V; Jacobsen, S; Jagosh, J; Johnson, M J; Jørgensen, L; Juffermans, C C M; Kempers, E K; Konstantinides, S; Kroder, A F; Kruip, M J H A; Lafaie, L; Langendoen, J W; Larsen, T B; Lifford, K; van der Linden, Y M; Mahé, I; Maiorana, L; Maraveyas, A; Martens, E S L; Mayeur, D; van Mens, T E; Mohr, K; Mooijaart, S P; Murtagh, F E M; Nelson, A; Nielsen, P B; Ording, A G; Ørskov, M; Pearson, M; Poenou, G; Portielje, J E A; Raczkiewicz, D; Rasmussen, K; Trinks-Roerdink, E; Schippers, I; Seddon, K; Sexton, K; Sivell, S; Skjøth, F; Søgaard, M; Szmit, S; Trompet, S; Vassal, P; Viss</v>
      </c>
      <c r="Z392" s="31">
        <f>IFERROR(__xludf.DUMMYFUNCTION("""COMPUTED_VALUE"""),2023.0)</f>
        <v>2023</v>
      </c>
      <c r="AA392" s="31">
        <f>IFERROR(__xludf.DUMMYFUNCTION("""COMPUTED_VALUE"""),1.0)</f>
        <v>1</v>
      </c>
      <c r="AF392" s="31" t="str">
        <f>IFERROR(__xludf.DUMMYFUNCTION("""COMPUTED_VALUE"""),"How digital health affects the patient-physician relationship: An empirical-ethics study into the perspectives and experiences in obstetric care.")</f>
        <v>How digital health affects the patient-physician relationship: An empirical-ethics study into the perspectives and experiences in obstetric care.</v>
      </c>
      <c r="AG392" s="31" t="str">
        <f>IFERROR(__xludf.DUMMYFUNCTION("""COMPUTED_VALUE"""),"Jongsma, K R; Bekker, M N; Haitjema, S; Bredenoord, A L")</f>
        <v>Jongsma, K R; Bekker, M N; Haitjema, S; Bredenoord, A L</v>
      </c>
      <c r="AH392" s="32">
        <f>IFERROR(__xludf.DUMMYFUNCTION("""COMPUTED_VALUE"""),44344.0)</f>
        <v>44344</v>
      </c>
      <c r="AI392" s="31" t="str">
        <f>IFERROR(__xludf.DUMMYFUNCTION("""COMPUTED_VALUE"""),"Trends in doctor consultations, antibiotic prescription, and specialist referrals for otitis media in children: 1995-2003.")</f>
        <v>Trends in doctor consultations, antibiotic prescription, and specialist referrals for otitis media in children: 1995-2003.</v>
      </c>
      <c r="AJ392" s="31" t="str">
        <f>IFERROR(__xludf.DUMMYFUNCTION("""COMPUTED_VALUE"""),"Plasschaert, Astrid I O; Rovers, Maroeska M; Schilder, Anne G M; Verheij, Theo J M; Hak, Eelko")</f>
        <v>Plasschaert, Astrid I O; Rovers, Maroeska M; Schilder, Anne G M; Verheij, Theo J M; Hak, Eelko</v>
      </c>
      <c r="AK392" s="32">
        <f>IFERROR(__xludf.DUMMYFUNCTION("""COMPUTED_VALUE"""),38869.0)</f>
        <v>38869</v>
      </c>
      <c r="AL392" s="31" t="str">
        <f>IFERROR(__xludf.DUMMYFUNCTION("""COMPUTED_VALUE"""),"Cardiovascular risk factors and the risk of major adverse limb events in patients with symptomatic cardiovascular disease.")</f>
        <v>Cardiovascular risk factors and the risk of major adverse limb events in patients with symptomatic cardiovascular disease.</v>
      </c>
      <c r="AM392" s="31" t="str">
        <f>IFERROR(__xludf.DUMMYFUNCTION("""COMPUTED_VALUE"""),"Hageman, Steven H J; de Borst, Gert Jan; Dorresteijn, Johannes A N; Bots, Michiel L; Westerink, Jan; Asselbergs, Folkert W; Visseren, Frank L J; ,")</f>
        <v>Hageman, Steven H J; de Borst, Gert Jan; Dorresteijn, Johannes A N; Bots, Michiel L; Westerink, Jan; Asselbergs, Folkert W; Visseren, Frank L J; ,</v>
      </c>
      <c r="AN392" s="32">
        <f>IFERROR(__xludf.DUMMYFUNCTION("""COMPUTED_VALUE"""),43903.0)</f>
        <v>43903</v>
      </c>
    </row>
    <row r="393">
      <c r="A393" s="32"/>
      <c r="I393" s="31" t="str">
        <f>IFERROR(__xludf.DUMMYFUNCTION("""COMPUTED_VALUE"""),"paediatric and perinatal epidemiology")</f>
        <v>paediatric and perinatal epidemiology</v>
      </c>
      <c r="J393" s="38">
        <f>COUNTIF(Data!$F$2:$F9917, $I393)</f>
        <v>2</v>
      </c>
      <c r="T393" s="31" t="s">
        <v>428</v>
      </c>
      <c r="U393" s="31" t="s">
        <v>429</v>
      </c>
      <c r="V393" s="32">
        <v>45393.0</v>
      </c>
      <c r="X393" s="31" t="str">
        <f>IFERROR(__xludf.DUMMYFUNCTION("""COMPUTED_VALUE"""),"Stereotactic Body radiotherapy and pedicLE screw fixatioN During one hospital visit for patients with symptomatic unstable spinal metastases: a randomized trial (BLEND RCT) using the Trials within Cohorts (TwiCs) design.")</f>
        <v>Stereotactic Body radiotherapy and pedicLE screw fixatioN During one hospital visit for patients with symptomatic unstable spinal metastases: a randomized trial (BLEND RCT) using the Trials within Cohorts (TwiCs) design.</v>
      </c>
      <c r="Y393" s="31" t="str">
        <f>IFERROR(__xludf.DUMMYFUNCTION("""COMPUTED_VALUE"""),"Huele, E H; van der Velden, J M; Kasperts, N; Eppinga, W S C; Grutters, J P C; Suelmann, B B M; Weening, A A; Delawi, D; Teunissen, S C C M; Verkooijen, H M; Verlaan, J J; Gal, R")</f>
        <v>Huele, E H; van der Velden, J M; Kasperts, N; Eppinga, W S C; Grutters, J P C; Suelmann, B B M; Weening, A A; Delawi, D; Teunissen, S C C M; Verkooijen, H M; Verlaan, J J; Gal, R</v>
      </c>
      <c r="Z393" s="31">
        <f>IFERROR(__xludf.DUMMYFUNCTION("""COMPUTED_VALUE"""),2023.0)</f>
        <v>2023</v>
      </c>
      <c r="AA393" s="31">
        <f>IFERROR(__xludf.DUMMYFUNCTION("""COMPUTED_VALUE"""),1.0)</f>
        <v>1</v>
      </c>
      <c r="AF393" s="31" t="str">
        <f>IFERROR(__xludf.DUMMYFUNCTION("""COMPUTED_VALUE"""),"Prevalence, serotype and antibiotic susceptibility of Group B Streptococcus isolated from pregnant women in Jakarta, Indonesia.")</f>
        <v>Prevalence, serotype and antibiotic susceptibility of Group B Streptococcus isolated from pregnant women in Jakarta, Indonesia.</v>
      </c>
      <c r="AG393" s="31" t="str">
        <f>IFERROR(__xludf.DUMMYFUNCTION("""COMPUTED_VALUE"""),"Safari, Dodi; Gultom, Septiani Madonna; Tafroji, Wisnu; Azzahidah, Athiya; Soesanti, Frida; Khoeri, Miftahuddin Majid; Prayitno, Ari; Pimenta, Fabiana C; da Gloria Carvalho, Maria; Uiterwaal, Cuno S P M; Putri, Nina Dwi")</f>
        <v>Safari, Dodi; Gultom, Septiani Madonna; Tafroji, Wisnu; Azzahidah, Athiya; Soesanti, Frida; Khoeri, Miftahuddin Majid; Prayitno, Ari; Pimenta, Fabiana C; da Gloria Carvalho, Maria; Uiterwaal, Cuno S P M; Putri, Nina Dwi</v>
      </c>
      <c r="AH393" s="32">
        <f>IFERROR(__xludf.DUMMYFUNCTION("""COMPUTED_VALUE"""),44343.0)</f>
        <v>44343</v>
      </c>
      <c r="AI393" s="31" t="str">
        <f>IFERROR(__xludf.DUMMYFUNCTION("""COMPUTED_VALUE"""),"Incidence of GP-diagnosed respiratory tract infections according to age, gender and high-risk co-morbidity: the Second Dutch National Survey of General Practice.")</f>
        <v>Incidence of GP-diagnosed respiratory tract infections according to age, gender and high-risk co-morbidity: the Second Dutch National Survey of General Practice.</v>
      </c>
      <c r="AJ393" s="31" t="str">
        <f>IFERROR(__xludf.DUMMYFUNCTION("""COMPUTED_VALUE"""),"Hak, E; Rovers, M M; Kuyvenhoven, M M; Schellevis, F G; Verheij, T J M")</f>
        <v>Hak, E; Rovers, M M; Kuyvenhoven, M M; Schellevis, F G; Verheij, T J M</v>
      </c>
      <c r="AK393" s="32">
        <f>IFERROR(__xludf.DUMMYFUNCTION("""COMPUTED_VALUE"""),38755.0)</f>
        <v>38755</v>
      </c>
      <c r="AL393" s="31" t="str">
        <f>IFERROR(__xludf.DUMMYFUNCTION("""COMPUTED_VALUE"""),"Timing of procedural stroke and death in asymptomatic patients undergoing carotid endarterectomy: individual patient analysis from four RCTs.")</f>
        <v>Timing of procedural stroke and death in asymptomatic patients undergoing carotid endarterectomy: individual patient analysis from four RCTs.</v>
      </c>
      <c r="AM393" s="31" t="str">
        <f>IFERROR(__xludf.DUMMYFUNCTION("""COMPUTED_VALUE"""),"Poorthuis, M H F; Bulbulia, R; Morris, D R; Pan, H; Rothwell, P M; Algra, A; Becquemin, J-P; Bonati, L H; Brott, T G; Brown, M M; Calvet, D; Eckstein, H-H; Fraedrich, G; Gregson, J; Greving, J P; Hendrikse, J; Howard, G; Jansen, O; Mas, J-L; Lewis, S C; d"&amp;"e Borst, G J; Halliday, A; ,")</f>
        <v>Poorthuis, M H F; Bulbulia, R; Morris, D R; Pan, H; Rothwell, P M; Algra, A; Becquemin, J-P; Bonati, L H; Brott, T G; Brown, M M; Calvet, D; Eckstein, H-H; Fraedrich, G; Gregson, J; Greving, J P; Hendrikse, J; Howard, G; Jansen, O; Mas, J-L; Lewis, S C; de Borst, G J; Halliday, A; ,</v>
      </c>
      <c r="AN393" s="32">
        <f>IFERROR(__xludf.DUMMYFUNCTION("""COMPUTED_VALUE"""),43902.0)</f>
        <v>43902</v>
      </c>
    </row>
    <row r="394">
      <c r="A394" s="32"/>
      <c r="I394" s="31" t="str">
        <f>IFERROR(__xludf.DUMMYFUNCTION("""COMPUTED_VALUE"""),"bmj nutrition prevention health")</f>
        <v>bmj nutrition prevention health</v>
      </c>
      <c r="J394" s="38">
        <f>COUNTIF(Data!$F$2:$F9917, $I394)</f>
        <v>2</v>
      </c>
      <c r="T394" s="31" t="s">
        <v>433</v>
      </c>
      <c r="U394" s="31" t="s">
        <v>434</v>
      </c>
      <c r="V394" s="32">
        <v>45392.0</v>
      </c>
      <c r="X394" s="31" t="str">
        <f>IFERROR(__xludf.DUMMYFUNCTION("""COMPUTED_VALUE"""),"Point prevalence audit surveys of respiratory tract infection consultations and antibiotic prescribing in primary care before and during the COVID-19 pandemic in Ireland.")</f>
        <v>Point prevalence audit surveys of respiratory tract infection consultations and antibiotic prescribing in primary care before and during the COVID-19 pandemic in Ireland.</v>
      </c>
      <c r="Y394" s="31" t="str">
        <f>IFERROR(__xludf.DUMMYFUNCTION("""COMPUTED_VALUE"""),"Shah, M; Fleming, A; Barbosa, T M; van der Velden, A W; Parveen, S; Vellinga, A")</f>
        <v>Shah, M; Fleming, A; Barbosa, T M; van der Velden, A W; Parveen, S; Vellinga, A</v>
      </c>
      <c r="Z394" s="31">
        <f>IFERROR(__xludf.DUMMYFUNCTION("""COMPUTED_VALUE"""),2023.0)</f>
        <v>2023</v>
      </c>
      <c r="AA394" s="31">
        <f>IFERROR(__xludf.DUMMYFUNCTION("""COMPUTED_VALUE"""),1.0)</f>
        <v>1</v>
      </c>
      <c r="AF394" s="31" t="str">
        <f>IFERROR(__xludf.DUMMYFUNCTION("""COMPUTED_VALUE"""),"Comparative assessment of the prevalence, practices and factors associated with self-medication with antibiotics in Africa.")</f>
        <v>Comparative assessment of the prevalence, practices and factors associated with self-medication with antibiotics in Africa.</v>
      </c>
      <c r="AG394" s="31" t="str">
        <f>IFERROR(__xludf.DUMMYFUNCTION("""COMPUTED_VALUE"""),"Yeika, Eugene Vernyuy; Ingelbeen, Brecht; Kemah, Ben-Lawrence; Wirsiy, Frankline Sevidzem; Fomengia, Joseph Nkeangu; van der Sande, Marianne A B")</f>
        <v>Yeika, Eugene Vernyuy; Ingelbeen, Brecht; Kemah, Ben-Lawrence; Wirsiy, Frankline Sevidzem; Fomengia, Joseph Nkeangu; van der Sande, Marianne A B</v>
      </c>
      <c r="AH394" s="32">
        <f>IFERROR(__xludf.DUMMYFUNCTION("""COMPUTED_VALUE"""),44340.0)</f>
        <v>44340</v>
      </c>
      <c r="AI394" s="31" t="str">
        <f>IFERROR(__xludf.DUMMYFUNCTION("""COMPUTED_VALUE"""),"Do recommended high-risk adults benefit from a first influenza vaccination?")</f>
        <v>Do recommended high-risk adults benefit from a first influenza vaccination?</v>
      </c>
      <c r="AJ394" s="31" t="str">
        <f>IFERROR(__xludf.DUMMYFUNCTION("""COMPUTED_VALUE"""),"Hak, E; Buskens, E; Nichol, K L; Verheij, T J M")</f>
        <v>Hak, E; Buskens, E; Nichol, K L; Verheij, T J M</v>
      </c>
      <c r="AK394" s="32">
        <f>IFERROR(__xludf.DUMMYFUNCTION("""COMPUTED_VALUE"""),38735.0)</f>
        <v>38735</v>
      </c>
      <c r="AL394" s="31" t="str">
        <f>IFERROR(__xludf.DUMMYFUNCTION("""COMPUTED_VALUE"""),"Prognostic value of radiological recurrence patterns in ovarian cancer.")</f>
        <v>Prognostic value of radiological recurrence patterns in ovarian cancer.</v>
      </c>
      <c r="AM394" s="31" t="str">
        <f>IFERROR(__xludf.DUMMYFUNCTION("""COMPUTED_VALUE"""),"Roze, Joline F; Veldhuis, Wouter B; Hoogendam, Jacob P; Verheijen, René H M; Scholten, Rob J P M; Zweemer, Ronald P")</f>
        <v>Roze, Joline F; Veldhuis, Wouter B; Hoogendam, Jacob P; Verheijen, René H M; Scholten, Rob J P M; Zweemer, Ronald P</v>
      </c>
      <c r="AN394" s="32">
        <f>IFERROR(__xludf.DUMMYFUNCTION("""COMPUTED_VALUE"""),43901.0)</f>
        <v>43901</v>
      </c>
    </row>
    <row r="395">
      <c r="A395" s="32"/>
      <c r="I395" s="31" t="str">
        <f>IFERROR(__xludf.DUMMYFUNCTION("""COMPUTED_VALUE"""),"journal of the international neuropsychological society jins")</f>
        <v>journal of the international neuropsychological society jins</v>
      </c>
      <c r="J395" s="38">
        <f>COUNTIF(Data!$F$2:$F9917, $I395)</f>
        <v>2</v>
      </c>
      <c r="T395" s="31" t="s">
        <v>438</v>
      </c>
      <c r="U395" s="31" t="s">
        <v>439</v>
      </c>
      <c r="V395" s="32">
        <v>45392.0</v>
      </c>
      <c r="X395" s="31" t="str">
        <f>IFERROR(__xludf.DUMMYFUNCTION("""COMPUTED_VALUE"""),"The boundary problem: Defining and delineating the community in field trials with gene drive organisms.")</f>
        <v>The boundary problem: Defining and delineating the community in field trials with gene drive organisms.</v>
      </c>
      <c r="Y395" s="31" t="str">
        <f>IFERROR(__xludf.DUMMYFUNCTION("""COMPUTED_VALUE"""),"de Graeff, Nienke; Pirson, Isabelle; van der Graaf, Rieke; Bredenoord, Annelien L; Jongsma, Karin R")</f>
        <v>de Graeff, Nienke; Pirson, Isabelle; van der Graaf, Rieke; Bredenoord, Annelien L; Jongsma, Karin R</v>
      </c>
      <c r="Z395" s="31">
        <f>IFERROR(__xludf.DUMMYFUNCTION("""COMPUTED_VALUE"""),2023.0)</f>
        <v>2023</v>
      </c>
      <c r="AA395" s="31">
        <f>IFERROR(__xludf.DUMMYFUNCTION("""COMPUTED_VALUE"""),1.0)</f>
        <v>1</v>
      </c>
      <c r="AF395" s="31" t="str">
        <f>IFERROR(__xludf.DUMMYFUNCTION("""COMPUTED_VALUE"""),"Human papillomavirus vaccinations matter!")</f>
        <v>Human papillomavirus vaccinations matter!</v>
      </c>
      <c r="AG395" s="31" t="str">
        <f>IFERROR(__xludf.DUMMYFUNCTION("""COMPUTED_VALUE"""),"van der Sande, Marianne A B; van der Loeff, Maarten F Schim")</f>
        <v>van der Sande, Marianne A B; van der Loeff, Maarten F Schim</v>
      </c>
      <c r="AH395" s="32">
        <f>IFERROR(__xludf.DUMMYFUNCTION("""COMPUTED_VALUE"""),44340.0)</f>
        <v>44340</v>
      </c>
      <c r="AI395" s="31" t="str">
        <f>IFERROR(__xludf.DUMMYFUNCTION("""COMPUTED_VALUE"""),"[The practice guideline 'CVA' from the Dutch College of General Practitioners; a response from the perspective of general practice].")</f>
        <v>[The practice guideline 'CVA' from the Dutch College of General Practitioners; a response from the perspective of general practice].</v>
      </c>
      <c r="AJ395" s="31" t="str">
        <f>IFERROR(__xludf.DUMMYFUNCTION("""COMPUTED_VALUE"""),"Rutten, G E H M")</f>
        <v>Rutten, G E H M</v>
      </c>
      <c r="AK395" s="32">
        <f>IFERROR(__xludf.DUMMYFUNCTION("""COMPUTED_VALUE"""),38703.0)</f>
        <v>38703</v>
      </c>
      <c r="AL395" s="31" t="str">
        <f>IFERROR(__xludf.DUMMYFUNCTION("""COMPUTED_VALUE"""),"Sense of coherence and its relationship to participation, cancer-related fatigue, symptom burden, and quality of life in women with breast cancer participating in the OptiTrain exercise trial.")</f>
        <v>Sense of coherence and its relationship to participation, cancer-related fatigue, symptom burden, and quality of life in women with breast cancer participating in the OptiTrain exercise trial.</v>
      </c>
      <c r="AM395" s="31" t="str">
        <f>IFERROR(__xludf.DUMMYFUNCTION("""COMPUTED_VALUE"""),"Hiensch, Anouk E; Bolam, Kate A; Mijwel, Sara; May, Anne M; Wengström, Yvonne")</f>
        <v>Hiensch, Anouk E; Bolam, Kate A; Mijwel, Sara; May, Anne M; Wengström, Yvonne</v>
      </c>
      <c r="AN395" s="32">
        <f>IFERROR(__xludf.DUMMYFUNCTION("""COMPUTED_VALUE"""),43895.0)</f>
        <v>43895</v>
      </c>
    </row>
    <row r="396">
      <c r="A396" s="32"/>
      <c r="I396" s="31" t="str">
        <f>IFERROR(__xludf.DUMMYFUNCTION("""COMPUTED_VALUE"""),"international journal of cardiology cardiovascular risk and prevention")</f>
        <v>international journal of cardiology cardiovascular risk and prevention</v>
      </c>
      <c r="J396" s="38">
        <f>COUNTIF(Data!$F$2:$F9917, $I396)</f>
        <v>1</v>
      </c>
      <c r="T396" s="31" t="s">
        <v>444</v>
      </c>
      <c r="U396" s="31" t="s">
        <v>445</v>
      </c>
      <c r="V396" s="32">
        <v>45392.0</v>
      </c>
      <c r="X396" s="31" t="str">
        <f>IFERROR(__xludf.DUMMYFUNCTION("""COMPUTED_VALUE"""),"Prevention and Screening for Cardiometabolic Disease Following Hypertensive Disorders in Pregnancy in Low-Resource Settings: A Systematic Review and Delphi Study.")</f>
        <v>Prevention and Screening for Cardiometabolic Disease Following Hypertensive Disorders in Pregnancy in Low-Resource Settings: A Systematic Review and Delphi Study.</v>
      </c>
      <c r="Y396" s="31" t="str">
        <f>IFERROR(__xludf.DUMMYFUNCTION("""COMPUTED_VALUE"""),"Ishaku, Salisu Mohammed; Adu-Bonsaffoh, Kwame; Housseine, Natasha; Lamptey, Roberta; Franx, Arie; Grobbee, Diederick; Warren, Charlotte E; Browne, Joyce L")</f>
        <v>Ishaku, Salisu Mohammed; Adu-Bonsaffoh, Kwame; Housseine, Natasha; Lamptey, Roberta; Franx, Arie; Grobbee, Diederick; Warren, Charlotte E; Browne, Joyce L</v>
      </c>
      <c r="Z396" s="31">
        <f>IFERROR(__xludf.DUMMYFUNCTION("""COMPUTED_VALUE"""),2023.0)</f>
        <v>2023</v>
      </c>
      <c r="AA396" s="31">
        <f>IFERROR(__xludf.DUMMYFUNCTION("""COMPUTED_VALUE"""),1.0)</f>
        <v>1</v>
      </c>
      <c r="AF396" s="31" t="str">
        <f>IFERROR(__xludf.DUMMYFUNCTION("""COMPUTED_VALUE"""),"Sex differences in the association between major cardiovascular risk factors in midlife and dementia: a cohort study using data from the UK Biobank.")</f>
        <v>Sex differences in the association between major cardiovascular risk factors in midlife and dementia: a cohort study using data from the UK Biobank.</v>
      </c>
      <c r="AG396" s="31" t="str">
        <f>IFERROR(__xludf.DUMMYFUNCTION("""COMPUTED_VALUE"""),"Gong, Jessica; Harris, Katie; Peters, Sanne A E; Woodward, Mark")</f>
        <v>Gong, Jessica; Harris, Katie; Peters, Sanne A E; Woodward, Mark</v>
      </c>
      <c r="AH396" s="32">
        <f>IFERROR(__xludf.DUMMYFUNCTION("""COMPUTED_VALUE"""),44335.0)</f>
        <v>44335</v>
      </c>
      <c r="AI396" s="31" t="str">
        <f>IFERROR(__xludf.DUMMYFUNCTION("""COMPUTED_VALUE"""),"The role of work-related and personal factors in diabetes self-management.")</f>
        <v>The role of work-related and personal factors in diabetes self-management.</v>
      </c>
      <c r="AJ396" s="31" t="str">
        <f>IFERROR(__xludf.DUMMYFUNCTION("""COMPUTED_VALUE"""),"Weijman, Iris; Ros, Wynand J G; Rutten, Guy E H M; Schaufeli, Wilmar B; Schabracq, Marc J; Winnubst, Jacques A M")</f>
        <v>Weijman, Iris; Ros, Wynand J G; Rutten, Guy E H M; Schaufeli, Wilmar B; Schabracq, Marc J; Winnubst, Jacques A M</v>
      </c>
      <c r="AK396" s="32">
        <f>IFERROR(__xludf.DUMMYFUNCTION("""COMPUTED_VALUE"""),38626.0)</f>
        <v>38626</v>
      </c>
      <c r="AL396" s="31" t="str">
        <f>IFERROR(__xludf.DUMMYFUNCTION("""COMPUTED_VALUE"""),"Fluorescence-guided imaging for resection margin evaluation in head and neck cancer patients using cetuximab-800CW: A quantitative dose-escalation study.")</f>
        <v>Fluorescence-guided imaging for resection margin evaluation in head and neck cancer patients using cetuximab-800CW: A quantitative dose-escalation study.</v>
      </c>
      <c r="AM396" s="31" t="str">
        <f>IFERROR(__xludf.DUMMYFUNCTION("""COMPUTED_VALUE"""),"Voskuil, Floris Jan; de Jongh, Steven Jakob; Hooghiemstra, Wouter Tjerk Rudolph; Linssen, Matthijs David; Steinkamp, Pieter Jan; de Visscher, Sebastiaan Antonius Hendrik Johannes; Schepman, Kees-Pieter; Elias, Sjoerd Geert; Meersma, Gert-Jan; Jonker, Pasc"&amp;"al Klaas Christiaan; Doff, Jan Johannes; Jorritsma-Smit, Annelies; Nagengast, Wouter Bastiaan; van der Vegt, Bert; Robinson, Dominic James; van Dam, Gooitzen Michell; Witjes, Max Johannes Hendrikus")</f>
        <v>Voskuil, Floris Jan; de Jongh, Steven Jakob; Hooghiemstra, Wouter Tjerk Rudolph; Linssen, Matthijs David; Steinkamp, Pieter Jan; de Visscher, Sebastiaan Antonius Hendrik Johannes; Schepman, Kees-Pieter; Elias, Sjoerd Geert; Meersma, Gert-Jan; Jonker, Pascal Klaas Christiaan; Doff, Jan Johannes; Jorritsma-Smit, Annelies; Nagengast, Wouter Bastiaan; van der Vegt, Bert; Robinson, Dominic James; van Dam, Gooitzen Michell; Witjes, Max Johannes Hendrikus</v>
      </c>
      <c r="AN396" s="32">
        <f>IFERROR(__xludf.DUMMYFUNCTION("""COMPUTED_VALUE"""),43894.0)</f>
        <v>43894</v>
      </c>
    </row>
    <row r="397">
      <c r="A397" s="32"/>
      <c r="I397" s="31" t="str">
        <f>IFERROR(__xludf.DUMMYFUNCTION("""COMPUTED_VALUE"""),"annals of work exposures and health")</f>
        <v>annals of work exposures and health</v>
      </c>
      <c r="J397" s="38">
        <f>COUNTIF(Data!$F$2:$F9917, $I397)</f>
        <v>1</v>
      </c>
      <c r="T397" s="31" t="s">
        <v>449</v>
      </c>
      <c r="U397" s="31" t="s">
        <v>450</v>
      </c>
      <c r="V397" s="32">
        <v>45390.0</v>
      </c>
      <c r="X397" s="31" t="str">
        <f>IFERROR(__xludf.DUMMYFUNCTION("""COMPUTED_VALUE"""),"Development and Evaluation of a Simulation-Based Algorithm to Optimize the Planning of Interim Analyses for Clinical Trials in ALS.")</f>
        <v>Development and Evaluation of a Simulation-Based Algorithm to Optimize the Planning of Interim Analyses for Clinical Trials in ALS.</v>
      </c>
      <c r="Y397" s="31" t="str">
        <f>IFERROR(__xludf.DUMMYFUNCTION("""COMPUTED_VALUE"""),"van Unnik, Jordi W J; Nikolakopoulos, Stavros; Eijkemans, Marinus J C; Gonzalez-Bermejo, Jésus; Bruneteau, Gaelle; Morelot-Panzini, Capucine; van den Berg, Leonard H; Cudkowicz, Merit E; McDermott, Christopher J; Similowski, Thomas; van Eijk, Ruben P A; ,")</f>
        <v>van Unnik, Jordi W J; Nikolakopoulos, Stavros; Eijkemans, Marinus J C; Gonzalez-Bermejo, Jésus; Bruneteau, Gaelle; Morelot-Panzini, Capucine; van den Berg, Leonard H; Cudkowicz, Merit E; McDermott, Christopher J; Similowski, Thomas; van Eijk, Ruben P A; ,</v>
      </c>
      <c r="Z397" s="31">
        <f>IFERROR(__xludf.DUMMYFUNCTION("""COMPUTED_VALUE"""),2023.0)</f>
        <v>2023</v>
      </c>
      <c r="AA397" s="31">
        <f>IFERROR(__xludf.DUMMYFUNCTION("""COMPUTED_VALUE"""),1.0)</f>
        <v>1</v>
      </c>
      <c r="AF397" s="31" t="str">
        <f>IFERROR(__xludf.DUMMYFUNCTION("""COMPUTED_VALUE"""),"Stakeholder Perspectives on Barriers and Facilitators on the Implementation of the 1000 Days Plus Nutrition Policy Activities in Ghana.")</f>
        <v>Stakeholder Perspectives on Barriers and Facilitators on the Implementation of the 1000 Days Plus Nutrition Policy Activities in Ghana.</v>
      </c>
      <c r="AG397" s="31" t="str">
        <f>IFERROR(__xludf.DUMMYFUNCTION("""COMPUTED_VALUE"""),"Galaurchi, Anne; Chatio, Samuel T; Beeri, Paula; Oduro, Abraham R; Ofosu, Winfred; Hanson, Mark; Newell, Marie-Louise; Norris, Shane A; Ward, Kate A; Nonterah, Engelbert A; Biesma, Regien; On Behalf Of The INPreP Study Group,")</f>
        <v>Galaurchi, Anne; Chatio, Samuel T; Beeri, Paula; Oduro, Abraham R; Ofosu, Winfred; Hanson, Mark; Newell, Marie-Louise; Norris, Shane A; Ward, Kate A; Nonterah, Engelbert A; Biesma, Regien; On Behalf Of The INPreP Study Group,</v>
      </c>
      <c r="AH397" s="32">
        <f>IFERROR(__xludf.DUMMYFUNCTION("""COMPUTED_VALUE"""),44333.0)</f>
        <v>44333</v>
      </c>
      <c r="AI397" s="31" t="str">
        <f>IFERROR(__xludf.DUMMYFUNCTION("""COMPUTED_VALUE"""),"Rationale and design of the prevention of respiratory infections and management in children (PRIMAKid) study: a randomized controlled trial on the effectiveness and costs of combined influenza and pneumococcal vaccination in pre-school children with recur"&amp;"rent respiratory tract infections.")</f>
        <v>Rationale and design of the prevention of respiratory infections and management in children (PRIMAKid) study: a randomized controlled trial on the effectiveness and costs of combined influenza and pneumococcal vaccination in pre-school children with recurrent respiratory tract infections.</v>
      </c>
      <c r="AJ397" s="31" t="str">
        <f>IFERROR(__xludf.DUMMYFUNCTION("""COMPUTED_VALUE"""),"Schönbeck, Y; Sanders, E A M; Hoes, A W; Schilder, A G M; Verheij, Th J M; Hak, E")</f>
        <v>Schönbeck, Y; Sanders, E A M; Hoes, A W; Schilder, A G M; Verheij, Th J M; Hak, E</v>
      </c>
      <c r="AK397" s="32">
        <f>IFERROR(__xludf.DUMMYFUNCTION("""COMPUTED_VALUE"""),38625.0)</f>
        <v>38625</v>
      </c>
      <c r="AL397" s="31" t="str">
        <f>IFERROR(__xludf.DUMMYFUNCTION("""COMPUTED_VALUE"""),"Intermittent Lactobacilli-containing Vaginal Probiotic or Metronidazole Use to Prevent Bacterial Vaginosis Recurrence: A Pilot Study Incorporating Microscopy and Sequencing.")</f>
        <v>Intermittent Lactobacilli-containing Vaginal Probiotic or Metronidazole Use to Prevent Bacterial Vaginosis Recurrence: A Pilot Study Incorporating Microscopy and Sequencing.</v>
      </c>
      <c r="AM397" s="31" t="str">
        <f>IFERROR(__xludf.DUMMYFUNCTION("""COMPUTED_VALUE"""),"van de Wijgert, Janneke H H M; Verwijs, Marijn C; Agaba, Stephen K; Bronowski, Christina; Mwambarangwe, Lambert; Uwineza, Mireille; Lievens, Elke; Nivoliez, Adrien; Ravel, Jacques; Darby, Alistair C")</f>
        <v>van de Wijgert, Janneke H H M; Verwijs, Marijn C; Agaba, Stephen K; Bronowski, Christina; Mwambarangwe, Lambert; Uwineza, Mireille; Lievens, Elke; Nivoliez, Adrien; Ravel, Jacques; Darby, Alistair C</v>
      </c>
      <c r="AN397" s="32">
        <f>IFERROR(__xludf.DUMMYFUNCTION("""COMPUTED_VALUE"""),43893.0)</f>
        <v>43893</v>
      </c>
    </row>
    <row r="398">
      <c r="A398" s="32"/>
      <c r="I398" s="31" t="str">
        <f>IFERROR(__xludf.DUMMYFUNCTION("""COMPUTED_VALUE"""),"cancer epidemiology biomarkers prevention a publication of the american association for cancer research cosponsored by the american society of preventive oncology")</f>
        <v>cancer epidemiology biomarkers prevention a publication of the american association for cancer research cosponsored by the american society of preventive oncology</v>
      </c>
      <c r="J398" s="38">
        <f>COUNTIF(Data!$F$2:$F9917, $I398)</f>
        <v>38</v>
      </c>
      <c r="T398" s="31" t="s">
        <v>454</v>
      </c>
      <c r="U398" s="31" t="s">
        <v>455</v>
      </c>
      <c r="V398" s="32">
        <v>45390.0</v>
      </c>
      <c r="X398" s="31" t="str">
        <f>IFERROR(__xludf.DUMMYFUNCTION("""COMPUTED_VALUE"""),"Safe shortening of antibiotic treatment duration for complicated &lt;i&gt;Staphylococcus aureus&lt;/i&gt; bacteraemia (SAFE trial): protocol for a randomised, controlled, open-label, non-inferiority trial comparing 4 and 6 weeks of antibiotic treatment.")</f>
        <v>Safe shortening of antibiotic treatment duration for complicated &lt;i&gt;Staphylococcus aureus&lt;/i&gt; bacteraemia (SAFE trial): protocol for a randomised, controlled, open-label, non-inferiority trial comparing 4 and 6 weeks of antibiotic treatment.</v>
      </c>
      <c r="Y398" s="31" t="str">
        <f>IFERROR(__xludf.DUMMYFUNCTION("""COMPUTED_VALUE"""),"Buis, Dtp; van Werkhoven, C H; van Agtmael, M A; Bax, H I; Berrevoets, M; de Boer, Mgj; Bonten, Mjm; Bosmans, J E; Branger, J; Douiyeb, S; Gelinck, Lbs; Jong, E; Lammers, Ajj; Van der Meer, Jtm; Oosterheert, J J; Sieswerda, E; Soetekouw, R; Stalenhoef, J "&amp;"E; Van der Vaart, T W; Bij de Vaate, E A; Verkaik, N J; Van Vonderen, Mga; De Vries, P J; Prins, J M; Sigaloff, Kce; ,")</f>
        <v>Buis, Dtp; van Werkhoven, C H; van Agtmael, M A; Bax, H I; Berrevoets, M; de Boer, Mgj; Bonten, Mjm; Bosmans, J E; Branger, J; Douiyeb, S; Gelinck, Lbs; Jong, E; Lammers, Ajj; Van der Meer, Jtm; Oosterheert, J J; Sieswerda, E; Soetekouw, R; Stalenhoef, J E; Van der Vaart, T W; Bij de Vaate, E A; Verkaik, N J; Van Vonderen, Mga; De Vries, P J; Prins, J M; Sigaloff, Kce; ,</v>
      </c>
      <c r="Z398" s="31">
        <f>IFERROR(__xludf.DUMMYFUNCTION("""COMPUTED_VALUE"""),2023.0)</f>
        <v>2023</v>
      </c>
      <c r="AA398" s="31">
        <f>IFERROR(__xludf.DUMMYFUNCTION("""COMPUTED_VALUE"""),1.0)</f>
        <v>1</v>
      </c>
      <c r="AF398" s="31" t="str">
        <f>IFERROR(__xludf.DUMMYFUNCTION("""COMPUTED_VALUE"""),"Anti-infectious decontamination strategies in Dutch intensive care units: A survey study on contemporary practice and heterogeneity.")</f>
        <v>Anti-infectious decontamination strategies in Dutch intensive care units: A survey study on contemporary practice and heterogeneity.</v>
      </c>
      <c r="AG398" s="31" t="str">
        <f>IFERROR(__xludf.DUMMYFUNCTION("""COMPUTED_VALUE"""),"Elderman, J H; Ong, D S Y; van der Voort, P H J; Wils, E-J")</f>
        <v>Elderman, J H; Ong, D S Y; van der Voort, P H J; Wils, E-J</v>
      </c>
      <c r="AH398" s="32">
        <f>IFERROR(__xludf.DUMMYFUNCTION("""COMPUTED_VALUE"""),44332.0)</f>
        <v>44332</v>
      </c>
      <c r="AI398" s="31" t="str">
        <f>IFERROR(__xludf.DUMMYFUNCTION("""COMPUTED_VALUE"""),"Determinants of antibiotic overprescribing in respiratory tract infections in general practice.")</f>
        <v>Determinants of antibiotic overprescribing in respiratory tract infections in general practice.</v>
      </c>
      <c r="AJ398" s="31" t="str">
        <f>IFERROR(__xludf.DUMMYFUNCTION("""COMPUTED_VALUE"""),"Akkerman, Annemiek E; Kuyvenhoven, Marijke M; van der Wouden, Johannes C; Verheij, Theo J M")</f>
        <v>Akkerman, Annemiek E; Kuyvenhoven, Marijke M; van der Wouden, Johannes C; Verheij, Theo J M</v>
      </c>
      <c r="AK398" s="32">
        <f>IFERROR(__xludf.DUMMYFUNCTION("""COMPUTED_VALUE"""),38604.0)</f>
        <v>38604</v>
      </c>
      <c r="AL398" s="31" t="str">
        <f>IFERROR(__xludf.DUMMYFUNCTION("""COMPUTED_VALUE"""),"Impact of time to antibiotic therapy on clinical outcome in patients with bacterial infections in the emergency department: implications for antimicrobial stewardship.")</f>
        <v>Impact of time to antibiotic therapy on clinical outcome in patients with bacterial infections in the emergency department: implications for antimicrobial stewardship.</v>
      </c>
      <c r="AM398" s="31" t="str">
        <f>IFERROR(__xludf.DUMMYFUNCTION("""COMPUTED_VALUE"""),"Nauclér, P; Huttner, A; van Werkhoven, C H; Singer, M; Tattevin, P; Einav, S; Tängdén, T")</f>
        <v>Nauclér, P; Huttner, A; van Werkhoven, C H; Singer, M; Tattevin, P; Einav, S; Tängdén, T</v>
      </c>
      <c r="AN398" s="32">
        <f>IFERROR(__xludf.DUMMYFUNCTION("""COMPUTED_VALUE"""),43890.0)</f>
        <v>43890</v>
      </c>
    </row>
    <row r="399">
      <c r="A399" s="32"/>
      <c r="I399" s="31" t="str">
        <f>IFERROR(__xludf.DUMMYFUNCTION("""COMPUTED_VALUE"""),"contemporary clinical trials")</f>
        <v>contemporary clinical trials</v>
      </c>
      <c r="J399" s="38">
        <f>COUNTIF(Data!$F$2:$F9917, $I399)</f>
        <v>4</v>
      </c>
      <c r="T399" s="31" t="s">
        <v>458</v>
      </c>
      <c r="U399" s="31" t="s">
        <v>459</v>
      </c>
      <c r="V399" s="32">
        <v>45390.0</v>
      </c>
      <c r="X399" s="31" t="str">
        <f>IFERROR(__xludf.DUMMYFUNCTION("""COMPUTED_VALUE"""),"Family participation in essential care activities in adult intensive care units: An integrative review of interventions and outcomes.")</f>
        <v>Family participation in essential care activities in adult intensive care units: An integrative review of interventions and outcomes.</v>
      </c>
      <c r="Y399" s="31" t="str">
        <f>IFERROR(__xludf.DUMMYFUNCTION("""COMPUTED_VALUE"""),"Dijkstra, Boukje M; Felten-Barentsz, Karin M; van der Valk, Margriet J M; Pelgrim, Thomas; van der Hoeven, Johannes G; Schoonhoven, Lisette; Ebben, Remco H A; Vloet, Lilian C M")</f>
        <v>Dijkstra, Boukje M; Felten-Barentsz, Karin M; van der Valk, Margriet J M; Pelgrim, Thomas; van der Hoeven, Johannes G; Schoonhoven, Lisette; Ebben, Remco H A; Vloet, Lilian C M</v>
      </c>
      <c r="Z399" s="31">
        <f>IFERROR(__xludf.DUMMYFUNCTION("""COMPUTED_VALUE"""),2023.0)</f>
        <v>2023</v>
      </c>
      <c r="AA399" s="31">
        <f>IFERROR(__xludf.DUMMYFUNCTION("""COMPUTED_VALUE"""),1.0)</f>
        <v>1</v>
      </c>
      <c r="AF399" s="31" t="str">
        <f>IFERROR(__xludf.DUMMYFUNCTION("""COMPUTED_VALUE"""),"Evaluation of a multilevel implementation program for timeout and shared decision making in breast cancer care: a mixed methods study among 11 hospital teams.")</f>
        <v>Evaluation of a multilevel implementation program for timeout and shared decision making in breast cancer care: a mixed methods study among 11 hospital teams.</v>
      </c>
      <c r="AG399" s="31" t="str">
        <f>IFERROR(__xludf.DUMMYFUNCTION("""COMPUTED_VALUE"""),"van Veenendaal, Haske; Voogdt-Pruis, Helene R; Ubbink, Dirk T; van Weele, Esther; Koco, Lejla; Schuurman, Maaike; Oskam, Jannie; Visserman, Ella; Hilders, Carina G J M")</f>
        <v>van Veenendaal, Haske; Voogdt-Pruis, Helene R; Ubbink, Dirk T; van Weele, Esther; Koco, Lejla; Schuurman, Maaike; Oskam, Jannie; Visserman, Ella; Hilders, Carina G J M</v>
      </c>
      <c r="AH399" s="32">
        <f>IFERROR(__xludf.DUMMYFUNCTION("""COMPUTED_VALUE"""),44327.0)</f>
        <v>44327</v>
      </c>
      <c r="AI399" s="31" t="str">
        <f>IFERROR(__xludf.DUMMYFUNCTION("""COMPUTED_VALUE"""),"Long-term prognosis of acute otitis media in infancy: determinants of recurrent acute otitis media and persistent middle ear effusion.")</f>
        <v>Long-term prognosis of acute otitis media in infancy: determinants of recurrent acute otitis media and persistent middle ear effusion.</v>
      </c>
      <c r="AJ399" s="31" t="str">
        <f>IFERROR(__xludf.DUMMYFUNCTION("""COMPUTED_VALUE"""),"Damoiseaux, Roger A M J; Rovers, Maroeska M; Van Balen, Frank A M; Hoes, Arno W; de Melker, Ruut A")</f>
        <v>Damoiseaux, Roger A M J; Rovers, Maroeska M; Van Balen, Frank A M; Hoes, Arno W; de Melker, Ruut A</v>
      </c>
      <c r="AK399" s="32">
        <f>IFERROR(__xludf.DUMMYFUNCTION("""COMPUTED_VALUE"""),38581.0)</f>
        <v>38581</v>
      </c>
      <c r="AL399" s="31" t="str">
        <f>IFERROR(__xludf.DUMMYFUNCTION("""COMPUTED_VALUE"""),"Cost-effectiveness of inactivated influenza vaccination in children with medical risk conditions in the Netherlands.")</f>
        <v>Cost-effectiveness of inactivated influenza vaccination in children with medical risk conditions in the Netherlands.</v>
      </c>
      <c r="AM399" s="31" t="str">
        <f>IFERROR(__xludf.DUMMYFUNCTION("""COMPUTED_VALUE"""),"Naber, Steffie K; Bruijning-Verhagen, Patricia C J L; de Hoog, Marieke L A; van Giessen, Anoukh")</f>
        <v>Naber, Steffie K; Bruijning-Verhagen, Patricia C J L; de Hoog, Marieke L A; van Giessen, Anoukh</v>
      </c>
      <c r="AN399" s="32">
        <f>IFERROR(__xludf.DUMMYFUNCTION("""COMPUTED_VALUE"""),43889.0)</f>
        <v>43889</v>
      </c>
    </row>
    <row r="400">
      <c r="A400" s="32"/>
      <c r="I400" s="31" t="str">
        <f>IFERROR(__xludf.DUMMYFUNCTION("""COMPUTED_VALUE"""),"value in health regional issues")</f>
        <v>value in health regional issues</v>
      </c>
      <c r="J400" s="38">
        <f>COUNTIF(Data!$F$2:$F9917, $I400)</f>
        <v>1</v>
      </c>
      <c r="T400" s="31" t="s">
        <v>463</v>
      </c>
      <c r="U400" s="31" t="s">
        <v>464</v>
      </c>
      <c r="V400" s="32">
        <v>45390.0</v>
      </c>
      <c r="X400" s="31" t="str">
        <f>IFERROR(__xludf.DUMMYFUNCTION("""COMPUTED_VALUE"""),"Use of preventive medication and supplements in general practice in patients in their last year of life: a Retrospective cohort study.")</f>
        <v>Use of preventive medication and supplements in general practice in patients in their last year of life: a Retrospective cohort study.</v>
      </c>
      <c r="Y400" s="31" t="str">
        <f>IFERROR(__xludf.DUMMYFUNCTION("""COMPUTED_VALUE"""),"Antonisse, Anne; van der Baan, Frederieke H; Grant, Matthew; Uyttewaal, Gon; Verboeket, Cathelijne; Smits-Pelser, Hanneke; Teunissen, Saskia C C M; Geijteman, Eric C T")</f>
        <v>Antonisse, Anne; van der Baan, Frederieke H; Grant, Matthew; Uyttewaal, Gon; Verboeket, Cathelijne; Smits-Pelser, Hanneke; Teunissen, Saskia C C M; Geijteman, Eric C T</v>
      </c>
      <c r="Z400" s="31">
        <f>IFERROR(__xludf.DUMMYFUNCTION("""COMPUTED_VALUE"""),2023.0)</f>
        <v>2023</v>
      </c>
      <c r="AA400" s="31">
        <f>IFERROR(__xludf.DUMMYFUNCTION("""COMPUTED_VALUE"""),1.0)</f>
        <v>1</v>
      </c>
      <c r="AF400" s="31" t="str">
        <f>IFERROR(__xludf.DUMMYFUNCTION("""COMPUTED_VALUE"""),"How to interpret and use COVID-19 serology and immunology tests.")</f>
        <v>How to interpret and use COVID-19 serology and immunology tests.</v>
      </c>
      <c r="AG400" s="31" t="str">
        <f>IFERROR(__xludf.DUMMYFUNCTION("""COMPUTED_VALUE"""),"Ong, David S Y; Fragkou, Paraskevi C; Schweitzer, Valentijn A; Chemaly, Roy F; Moschopoulos, Charalampos D; Skevaki, Chrysanthi; ,")</f>
        <v>Ong, David S Y; Fragkou, Paraskevi C; Schweitzer, Valentijn A; Chemaly, Roy F; Moschopoulos, Charalampos D; Skevaki, Chrysanthi; ,</v>
      </c>
      <c r="AH400" s="32">
        <f>IFERROR(__xludf.DUMMYFUNCTION("""COMPUTED_VALUE"""),44324.0)</f>
        <v>44324</v>
      </c>
      <c r="AI400" s="31" t="str">
        <f>IFERROR(__xludf.DUMMYFUNCTION("""COMPUTED_VALUE"""),"Analysis of under- and overprescribing of antibiotics in acute otitis media in general practice.")</f>
        <v>Analysis of under- and overprescribing of antibiotics in acute otitis media in general practice.</v>
      </c>
      <c r="AJ400" s="31" t="str">
        <f>IFERROR(__xludf.DUMMYFUNCTION("""COMPUTED_VALUE"""),"Akkerman, Annemiek E; Kuyvenhoven, Marijke M; van der Wouden, Johannes C; Verheij, Theo J M")</f>
        <v>Akkerman, Annemiek E; Kuyvenhoven, Marijke M; van der Wouden, Johannes C; Verheij, Theo J M</v>
      </c>
      <c r="AK400" s="32">
        <f>IFERROR(__xludf.DUMMYFUNCTION("""COMPUTED_VALUE"""),38553.0)</f>
        <v>38553</v>
      </c>
      <c r="AL400" s="31" t="str">
        <f>IFERROR(__xludf.DUMMYFUNCTION("""COMPUTED_VALUE"""),"Seasonality in carriage of extended-spectrum &lt;i&gt;β&lt;/i&gt;-lactamase-producing &lt;i&gt;Escherichia coli&lt;/i&gt; and &lt;i&gt;Klebsiella pneumoniae&lt;/i&gt; in the general population: a pooled analysis of nationwide cross-sectional studies.")</f>
        <v>Seasonality in carriage of extended-spectrum &lt;i&gt;β&lt;/i&gt;-lactamase-producing &lt;i&gt;Escherichia coli&lt;/i&gt; and &lt;i&gt;Klebsiella pneumoniae&lt;/i&gt; in the general population: a pooled analysis of nationwide cross-sectional studies.</v>
      </c>
      <c r="AM400" s="31" t="str">
        <f>IFERROR(__xludf.DUMMYFUNCTION("""COMPUTED_VALUE"""),"Wielders, C C H; Van Duijkeren, E; Van Den Bunt, G; Meijs, A P; Dierikx, C M; Bonten, M J M; Van Pelt, W; Franz, E; De Greeff, S C")</f>
        <v>Wielders, C C H; Van Duijkeren, E; Van Den Bunt, G; Meijs, A P; Dierikx, C M; Bonten, M J M; Van Pelt, W; Franz, E; De Greeff, S C</v>
      </c>
      <c r="AN400" s="32">
        <f>IFERROR(__xludf.DUMMYFUNCTION("""COMPUTED_VALUE"""),43882.0)</f>
        <v>43882</v>
      </c>
    </row>
    <row r="401">
      <c r="A401" s="32"/>
      <c r="I401" s="31" t="str">
        <f>IFERROR(__xludf.DUMMYFUNCTION("""COMPUTED_VALUE"""),"research synthesis methods")</f>
        <v>research synthesis methods</v>
      </c>
      <c r="J401" s="38">
        <f>COUNTIF(Data!$F$2:$F9917, $I401)</f>
        <v>10</v>
      </c>
      <c r="T401" s="31" t="s">
        <v>468</v>
      </c>
      <c r="U401" s="31" t="s">
        <v>469</v>
      </c>
      <c r="V401" s="32">
        <v>45390.0</v>
      </c>
      <c r="X401" s="31" t="str">
        <f>IFERROR(__xludf.DUMMYFUNCTION("""COMPUTED_VALUE"""),"[Eight misconceptions about AI in healthcare].")</f>
        <v>[Eight misconceptions about AI in healthcare].</v>
      </c>
      <c r="Y401" s="31" t="str">
        <f>IFERROR(__xludf.DUMMYFUNCTION("""COMPUTED_VALUE"""),"Jongsma, Karin R; van Solinge, Wouter W; Haitjema, Saskia")</f>
        <v>Jongsma, Karin R; van Solinge, Wouter W; Haitjema, Saskia</v>
      </c>
      <c r="Z401" s="31">
        <f>IFERROR(__xludf.DUMMYFUNCTION("""COMPUTED_VALUE"""),2023.0)</f>
        <v>2023</v>
      </c>
      <c r="AA401" s="31">
        <f>IFERROR(__xludf.DUMMYFUNCTION("""COMPUTED_VALUE"""),1.0)</f>
        <v>1</v>
      </c>
      <c r="AF401" s="31" t="str">
        <f>IFERROR(__xludf.DUMMYFUNCTION("""COMPUTED_VALUE"""),"Investigating sex differences in the accuracy of dietary assessment methods to measure energy intake in adults: a systematic review and meta-analysis.")</f>
        <v>Investigating sex differences in the accuracy of dietary assessment methods to measure energy intake in adults: a systematic review and meta-analysis.</v>
      </c>
      <c r="AG401" s="31" t="str">
        <f>IFERROR(__xludf.DUMMYFUNCTION("""COMPUTED_VALUE"""),"McKenzie, Briar L; Coyle, Daisy H; Santos, Joseph Alvin; Burrows, Tracy; Rosewarne, Emalie; Peters, Sanne A E; Carcel, Cheryl; Jaacks, Lindsay M; Norton, Robyn; Collins, Clare E; Woodward, Mark; Webster, Jacqui")</f>
        <v>McKenzie, Briar L; Coyle, Daisy H; Santos, Joseph Alvin; Burrows, Tracy; Rosewarne, Emalie; Peters, Sanne A E; Carcel, Cheryl; Jaacks, Lindsay M; Norton, Robyn; Collins, Clare E; Woodward, Mark; Webster, Jacqui</v>
      </c>
      <c r="AH401" s="32">
        <f>IFERROR(__xludf.DUMMYFUNCTION("""COMPUTED_VALUE"""),44324.0)</f>
        <v>44324</v>
      </c>
      <c r="AI401" s="31" t="str">
        <f>IFERROR(__xludf.DUMMYFUNCTION("""COMPUTED_VALUE"""),"Managing ophthalmic herpes zoster in primary care.")</f>
        <v>Managing ophthalmic herpes zoster in primary care.</v>
      </c>
      <c r="AJ401" s="31" t="str">
        <f>IFERROR(__xludf.DUMMYFUNCTION("""COMPUTED_VALUE"""),"Opstelten, Wim; Zaal, Michel J W")</f>
        <v>Opstelten, Wim; Zaal, Michel J W</v>
      </c>
      <c r="AK401" s="32">
        <f>IFERROR(__xludf.DUMMYFUNCTION("""COMPUTED_VALUE"""),38549.0)</f>
        <v>38549</v>
      </c>
      <c r="AL401" s="31" t="str">
        <f>IFERROR(__xludf.DUMMYFUNCTION("""COMPUTED_VALUE"""),"Community burden and transmission of acute gastroenteritis caused by norovirus and rotavirus in the Netherlands (RotaFam): a prospective household-based cohort study.")</f>
        <v>Community burden and transmission of acute gastroenteritis caused by norovirus and rotavirus in the Netherlands (RotaFam): a prospective household-based cohort study.</v>
      </c>
      <c r="AM401" s="31" t="str">
        <f>IFERROR(__xludf.DUMMYFUNCTION("""COMPUTED_VALUE"""),"Quee, Franke A; de Hoog, Marieke L A; Schuurman, Rob; Bruijning-Verhagen, Patricia")</f>
        <v>Quee, Franke A; de Hoog, Marieke L A; Schuurman, Rob; Bruijning-Verhagen, Patricia</v>
      </c>
      <c r="AN401" s="32">
        <f>IFERROR(__xludf.DUMMYFUNCTION("""COMPUTED_VALUE"""),43881.0)</f>
        <v>43881</v>
      </c>
    </row>
    <row r="402">
      <c r="A402" s="32"/>
      <c r="I402" s="31" t="str">
        <f>IFERROR(__xludf.DUMMYFUNCTION("""COMPUTED_VALUE"""),"clinical and translational allergy")</f>
        <v>clinical and translational allergy</v>
      </c>
      <c r="J402" s="38">
        <f>COUNTIF(Data!$F$2:$F9917, $I402)</f>
        <v>6</v>
      </c>
      <c r="T402" s="31" t="s">
        <v>472</v>
      </c>
      <c r="U402" s="31" t="s">
        <v>473</v>
      </c>
      <c r="V402" s="32">
        <v>45388.0</v>
      </c>
      <c r="X402" s="31" t="str">
        <f>IFERROR(__xludf.DUMMYFUNCTION("""COMPUTED_VALUE"""),"The ethical aspects of exposome research: a systematic review.")</f>
        <v>The ethical aspects of exposome research: a systematic review.</v>
      </c>
      <c r="Y402" s="31" t="str">
        <f>IFERROR(__xludf.DUMMYFUNCTION("""COMPUTED_VALUE"""),"Safarlou, Caspar W; Jongsma, Karin R; Vermeulen, Roel; Bredenoord, Annelien L")</f>
        <v>Safarlou, Caspar W; Jongsma, Karin R; Vermeulen, Roel; Bredenoord, Annelien L</v>
      </c>
      <c r="Z402" s="31">
        <f>IFERROR(__xludf.DUMMYFUNCTION("""COMPUTED_VALUE"""),2023.0)</f>
        <v>2023</v>
      </c>
      <c r="AA402" s="31">
        <f>IFERROR(__xludf.DUMMYFUNCTION("""COMPUTED_VALUE"""),1.0)</f>
        <v>1</v>
      </c>
      <c r="AF402" s="31" t="str">
        <f>IFERROR(__xludf.DUMMYFUNCTION("""COMPUTED_VALUE"""),"Realities and challenges of breastfeeding policy in the context of HIV: a qualitative study on community perspectives on facilitators and barriers related to breastfeeding among HIV positive mothers in Baringo County, Kenya.")</f>
        <v>Realities and challenges of breastfeeding policy in the context of HIV: a qualitative study on community perspectives on facilitators and barriers related to breastfeeding among HIV positive mothers in Baringo County, Kenya.</v>
      </c>
      <c r="AG402" s="31" t="str">
        <f>IFERROR(__xludf.DUMMYFUNCTION("""COMPUTED_VALUE"""),"Samburu, Betty Mogesi; Kimiywe, Judith; Young, Sera Lewise; Wekesah, Frederick Murunga; Wanjohi, Milka Njeri; Muriuki, Peter; Madise, Nyovani Janet; Griffiths, Paula L; Kimani-Murage, Elizabeth W")</f>
        <v>Samburu, Betty Mogesi; Kimiywe, Judith; Young, Sera Lewise; Wekesah, Frederick Murunga; Wanjohi, Milka Njeri; Muriuki, Peter; Madise, Nyovani Janet; Griffiths, Paula L; Kimani-Murage, Elizabeth W</v>
      </c>
      <c r="AH402" s="32">
        <f>IFERROR(__xludf.DUMMYFUNCTION("""COMPUTED_VALUE"""),44324.0)</f>
        <v>44324</v>
      </c>
      <c r="AI402" s="31" t="str">
        <f>IFERROR(__xludf.DUMMYFUNCTION("""COMPUTED_VALUE"""),"Determinants of prescribing of second-choice antibiotics for upper and lower respiratory tract episodes in Dutch general practice.")</f>
        <v>Determinants of prescribing of second-choice antibiotics for upper and lower respiratory tract episodes in Dutch general practice.</v>
      </c>
      <c r="AJ402" s="31" t="str">
        <f>IFERROR(__xludf.DUMMYFUNCTION("""COMPUTED_VALUE"""),"van Duijn, Huug J; Kuyvenhoven, Marijke M; Schellevis, François G; Verheij, Theo J M")</f>
        <v>van Duijn, Huug J; Kuyvenhoven, Marijke M; Schellevis, François G; Verheij, Theo J M</v>
      </c>
      <c r="AK402" s="32">
        <f>IFERROR(__xludf.DUMMYFUNCTION("""COMPUTED_VALUE"""),38519.0)</f>
        <v>38519</v>
      </c>
      <c r="AL402" s="31" t="str">
        <f>IFERROR(__xludf.DUMMYFUNCTION("""COMPUTED_VALUE"""),"Theoretical potential for endometrial cancer prevention through primary risk factor modification: Estimates from the EPIC cohort.")</f>
        <v>Theoretical potential for endometrial cancer prevention through primary risk factor modification: Estimates from the EPIC cohort.</v>
      </c>
      <c r="AM402" s="31" t="str">
        <f>IFERROR(__xludf.DUMMYFUNCTION("""COMPUTED_VALUE"""),"Fortner, Renée T; Hüsing, Anika; Dossus, Laure; Tjønneland, Anne; Overvad, Kim; Dahm, Christina C; Arveux, Patrick; Fournier, Agnès; Kvaskoff, Marina; Schulze, Matthias B; Bergmann, Manuela; Trichopoulou, Antonia; Karakatsani, Anna; La Vecchia, Carlo; Mas"&amp;"ala, Giovanna; Pala, Valeria; Mattiello, Amalia; Tumino, Rosario; Ricceri, Fulvio; van Gils, Carla H; Monninkhof, Evelyn M; Bonet, Catalina; Quirós, José Ramón; Sanchez, Maria-Jose; Rodríguez-Palacios, Daniel-Ángel; Gurrea, Aurelio B; Amiano, Pilar; Allen"&amp;", Naomi E; Travis, Ruth C; Gunter, Marc J; Viallon, Vivian; Weiderpass, Elisabete; Riboli, Elio; Kaaks, Rudolf")</f>
        <v>Fortner, Renée T; Hüsing, Anika; Dossus, Laure; Tjønneland, Anne; Overvad, Kim; Dahm, Christina C; Arveux, Patrick; Fournier, Agnès; Kvaskoff, Marina; Schulze, Matthias B; Bergmann, Manuela; Trichopoulou, Antonia; Karakatsani, Anna; La Vecchia, Carlo; Masala, Giovanna; Pala, Valeria; Mattiello, Amalia; Tumino, Rosario; Ricceri, Fulvio; van Gils, Carla H; Monninkhof, Evelyn M; Bonet, Catalina; Quirós, José Ramón; Sanchez, Maria-Jose; Rodríguez-Palacios, Daniel-Ángel; Gurrea, Aurelio B; Amiano, Pilar; Allen, Naomi E; Travis, Ruth C; Gunter, Marc J; Viallon, Vivian; Weiderpass, Elisabete; Riboli, Elio; Kaaks, Rudolf</v>
      </c>
      <c r="AN402" s="32">
        <f>IFERROR(__xludf.DUMMYFUNCTION("""COMPUTED_VALUE"""),43879.0)</f>
        <v>43879</v>
      </c>
    </row>
    <row r="403">
      <c r="A403" s="32"/>
      <c r="I403" s="31" t="str">
        <f>IFERROR(__xludf.DUMMYFUNCTION("""COMPUTED_VALUE"""),"bmj open diabetes research care")</f>
        <v>bmj open diabetes research care</v>
      </c>
      <c r="J403" s="38">
        <f>COUNTIF(Data!$F$2:$F9917, $I403)</f>
        <v>6</v>
      </c>
      <c r="T403" s="31" t="s">
        <v>478</v>
      </c>
      <c r="U403" s="31" t="s">
        <v>479</v>
      </c>
      <c r="V403" s="32">
        <v>45387.0</v>
      </c>
      <c r="X403" s="31" t="str">
        <f>IFERROR(__xludf.DUMMYFUNCTION("""COMPUTED_VALUE"""),"Gut microbiome alterations in patients with COVID-19-related coagulopathy.")</f>
        <v>Gut microbiome alterations in patients with COVID-19-related coagulopathy.</v>
      </c>
      <c r="Y403" s="31" t="str">
        <f>IFERROR(__xludf.DUMMYFUNCTION("""COMPUTED_VALUE"""),"Chen, Youli; Li, Xin; Yu, Cheng; Wang, Erchuan; Luo, Chang; Jin, Yu; Zhang, Lei; Ma, Yanling; Jin, Yan; Yang, Ling; Sun, Binlian; Qiao, Jialu; Zhou, Xiang; Rasche, Leo; Einsele, Hermann; Song, Jun; Bai, Tao; Hou, Xiaohua")</f>
        <v>Chen, Youli; Li, Xin; Yu, Cheng; Wang, Erchuan; Luo, Chang; Jin, Yu; Zhang, Lei; Ma, Yanling; Jin, Yan; Yang, Ling; Sun, Binlian; Qiao, Jialu; Zhou, Xiang; Rasche, Leo; Einsele, Hermann; Song, Jun; Bai, Tao; Hou, Xiaohua</v>
      </c>
      <c r="Z403" s="31">
        <f>IFERROR(__xludf.DUMMYFUNCTION("""COMPUTED_VALUE"""),2023.0)</f>
        <v>2023</v>
      </c>
      <c r="AA403" s="31">
        <f>IFERROR(__xludf.DUMMYFUNCTION("""COMPUTED_VALUE"""),1.0)</f>
        <v>1</v>
      </c>
      <c r="AF403" s="31" t="str">
        <f>IFERROR(__xludf.DUMMYFUNCTION("""COMPUTED_VALUE"""),"Carbohydrate-dense snacks are a key feature of the nutrition transition among Ghanaian adults - findings from the RODAM study.")</f>
        <v>Carbohydrate-dense snacks are a key feature of the nutrition transition among Ghanaian adults - findings from the RODAM study.</v>
      </c>
      <c r="AG403" s="31" t="str">
        <f>IFERROR(__xludf.DUMMYFUNCTION("""COMPUTED_VALUE"""),"Assmus, Frauke; Galbete, Cecilia; Knueppel, Sven; Schulze, Matthias B; Beune, Erik; Meeks, Karlijn; Nicolaou, Mary; Amoah, Stephen; Agyemang, Charles; Klipstein-Grobusch, Kerstin; Bahendeka, Silver; Spranger, Joachim; Mockenhaupt, Frank P; Smeeth, Liam; S"&amp;"tronks, Karien; Danquah, Ina")</f>
        <v>Assmus, Frauke; Galbete, Cecilia; Knueppel, Sven; Schulze, Matthias B; Beune, Erik; Meeks, Karlijn; Nicolaou, Mary; Amoah, Stephen; Agyemang, Charles; Klipstein-Grobusch, Kerstin; Bahendeka, Silver; Spranger, Joachim; Mockenhaupt, Frank P; Smeeth, Liam; Stronks, Karien; Danquah, Ina</v>
      </c>
      <c r="AH403" s="32">
        <f>IFERROR(__xludf.DUMMYFUNCTION("""COMPUTED_VALUE"""),44322.0)</f>
        <v>44322</v>
      </c>
      <c r="AI403" s="31" t="str">
        <f>IFERROR(__xludf.DUMMYFUNCTION("""COMPUTED_VALUE"""),"Views on respiratory tract symptoms and antibiotics of Dutch general practitioners, practice staff and patients.")</f>
        <v>Views on respiratory tract symptoms and antibiotics of Dutch general practitioners, practice staff and patients.</v>
      </c>
      <c r="AJ403" s="31" t="str">
        <f>IFERROR(__xludf.DUMMYFUNCTION("""COMPUTED_VALUE"""),"van Duijn, Huug J; Kuyvenhoven, Marijke M; Schellevis, François G; Verheij, Theo J M")</f>
        <v>van Duijn, Huug J; Kuyvenhoven, Marijke M; Schellevis, François G; Verheij, Theo J M</v>
      </c>
      <c r="AK403" s="32">
        <f>IFERROR(__xludf.DUMMYFUNCTION("""COMPUTED_VALUE"""),38463.0)</f>
        <v>38463</v>
      </c>
      <c r="AL403" s="31" t="str">
        <f>IFERROR(__xludf.DUMMYFUNCTION("""COMPUTED_VALUE"""),"ECHO: context and limitations.")</f>
        <v>ECHO: context and limitations.</v>
      </c>
      <c r="AM403" s="31" t="str">
        <f>IFERROR(__xludf.DUMMYFUNCTION("""COMPUTED_VALUE"""),"Gollub, Erica L; Stein, Zena; van de Wijgert, Janneke H H M; Jones, Heidi; Ralph, Lauren; Padian, Nancy")</f>
        <v>Gollub, Erica L; Stein, Zena; van de Wijgert, Janneke H H M; Jones, Heidi; Ralph, Lauren; Padian, Nancy</v>
      </c>
      <c r="AN403" s="32">
        <f>IFERROR(__xludf.DUMMYFUNCTION("""COMPUTED_VALUE"""),43869.0)</f>
        <v>43869</v>
      </c>
    </row>
    <row r="404">
      <c r="A404" s="32"/>
      <c r="I404" s="31" t="str">
        <f>IFERROR(__xludf.DUMMYFUNCTION("""COMPUTED_VALUE"""),"nature medicine")</f>
        <v>nature medicine</v>
      </c>
      <c r="J404" s="38">
        <f>COUNTIF(Data!$F$2:$F9917, $I404)</f>
        <v>10</v>
      </c>
      <c r="T404" s="31" t="s">
        <v>482</v>
      </c>
      <c r="U404" s="31" t="s">
        <v>483</v>
      </c>
      <c r="V404" s="32">
        <v>45387.0</v>
      </c>
      <c r="X404" s="31" t="str">
        <f>IFERROR(__xludf.DUMMYFUNCTION("""COMPUTED_VALUE"""),"Questioning the value of present life: The lived experience of older people who see no future for themselves.")</f>
        <v>Questioning the value of present life: The lived experience of older people who see no future for themselves.</v>
      </c>
      <c r="Y404" s="31" t="str">
        <f>IFERROR(__xludf.DUMMYFUNCTION("""COMPUTED_VALUE"""),"van den Berg, Vera E; Thölking, Thessa W; Leget, Carlo J W; Hartog, Iris D; Zomers, Margot L; van Delden, Johannes J M; van Wijngaarden, Els J")</f>
        <v>van den Berg, Vera E; Thölking, Thessa W; Leget, Carlo J W; Hartog, Iris D; Zomers, Margot L; van Delden, Johannes J M; van Wijngaarden, Els J</v>
      </c>
      <c r="Z404" s="31">
        <f>IFERROR(__xludf.DUMMYFUNCTION("""COMPUTED_VALUE"""),2023.0)</f>
        <v>2023</v>
      </c>
      <c r="AA404" s="31">
        <f>IFERROR(__xludf.DUMMYFUNCTION("""COMPUTED_VALUE"""),1.0)</f>
        <v>1</v>
      </c>
      <c r="AF404" s="31" t="str">
        <f>IFERROR(__xludf.DUMMYFUNCTION("""COMPUTED_VALUE"""),"Obesity and adiposity of 3- to 6-year-old children born to mothers with hyperglycaemia first detected in pregnancy in an urban South African setting.")</f>
        <v>Obesity and adiposity of 3- to 6-year-old children born to mothers with hyperglycaemia first detected in pregnancy in an urban South African setting.</v>
      </c>
      <c r="AG404" s="31" t="str">
        <f>IFERROR(__xludf.DUMMYFUNCTION("""COMPUTED_VALUE"""),"Soepnel, Larske M; Nicolaou, Veronique; Slater, Christine; Chidumwa, Glory; Levitt, Naomi S; Klipstein-Grobusch, Kerstin; Norris, Shane A")</f>
        <v>Soepnel, Larske M; Nicolaou, Veronique; Slater, Christine; Chidumwa, Glory; Levitt, Naomi S; Klipstein-Grobusch, Kerstin; Norris, Shane A</v>
      </c>
      <c r="AH404" s="32">
        <f>IFERROR(__xludf.DUMMYFUNCTION("""COMPUTED_VALUE"""),44322.0)</f>
        <v>44322</v>
      </c>
      <c r="AI404" s="31" t="str">
        <f>IFERROR(__xludf.DUMMYFUNCTION("""COMPUTED_VALUE"""),"Frequency and perceived burden of diabetes self-management activities in employees with insulin-treated diabetes: relationships with health outcomes.")</f>
        <v>Frequency and perceived burden of diabetes self-management activities in employees with insulin-treated diabetes: relationships with health outcomes.</v>
      </c>
      <c r="AJ404" s="31" t="str">
        <f>IFERROR(__xludf.DUMMYFUNCTION("""COMPUTED_VALUE"""),"Weijman, Iris; Ros, Wynand J G; Rutten, Guy E H M; Schaufeli, Wilmar B; Schabracq, Marc J; Winnubst, Jacques A M")</f>
        <v>Weijman, Iris; Ros, Wynand J G; Rutten, Guy E H M; Schaufeli, Wilmar B; Schabracq, Marc J; Winnubst, Jacques A M</v>
      </c>
      <c r="AK404" s="32">
        <f>IFERROR(__xludf.DUMMYFUNCTION("""COMPUTED_VALUE"""),38443.0)</f>
        <v>38443</v>
      </c>
      <c r="AL404" s="31" t="str">
        <f>IFERROR(__xludf.DUMMYFUNCTION("""COMPUTED_VALUE"""),"On the aggregation of published prognostic scores for causal inference in observational studies.")</f>
        <v>On the aggregation of published prognostic scores for causal inference in observational studies.</v>
      </c>
      <c r="AM404" s="31" t="str">
        <f>IFERROR(__xludf.DUMMYFUNCTION("""COMPUTED_VALUE"""),"Nguyen, Tri-Long; Collins, Gary S; Pellegrini, Fabio; Moons, Karel G M; Debray, Thomas P A")</f>
        <v>Nguyen, Tri-Long; Collins, Gary S; Pellegrini, Fabio; Moons, Karel G M; Debray, Thomas P A</v>
      </c>
      <c r="AN404" s="32">
        <f>IFERROR(__xludf.DUMMYFUNCTION("""COMPUTED_VALUE"""),43866.0)</f>
        <v>43866</v>
      </c>
    </row>
    <row r="405">
      <c r="A405" s="32"/>
      <c r="I405" s="31" t="str">
        <f>IFERROR(__xludf.DUMMYFUNCTION("""COMPUTED_VALUE"""),"bmj paediatrics open")</f>
        <v>bmj paediatrics open</v>
      </c>
      <c r="J405" s="38">
        <f>COUNTIF(Data!$F$2:$F9917, $I405)</f>
        <v>3</v>
      </c>
      <c r="T405" s="31" t="s">
        <v>487</v>
      </c>
      <c r="U405" s="31" t="s">
        <v>488</v>
      </c>
      <c r="V405" s="32">
        <v>45387.0</v>
      </c>
      <c r="X405" s="31" t="str">
        <f>IFERROR(__xludf.DUMMYFUNCTION("""COMPUTED_VALUE"""),"External validation and updating of prediction models of bleeding risk in patients with cancer receiving anticoagulants.")</f>
        <v>External validation and updating of prediction models of bleeding risk in patients with cancer receiving anticoagulants.</v>
      </c>
      <c r="Y405" s="31" t="str">
        <f>IFERROR(__xludf.DUMMYFUNCTION("""COMPUTED_VALUE"""),"Trinks-Roerdink, E M; Geersing, G J; Hemels, Mew; van Gelder, I C; Klok, F A; van Smeden, M; Rutten, F H; van Doorn, S")</f>
        <v>Trinks-Roerdink, E M; Geersing, G J; Hemels, Mew; van Gelder, I C; Klok, F A; van Smeden, M; Rutten, F H; van Doorn, S</v>
      </c>
      <c r="Z405" s="31">
        <f>IFERROR(__xludf.DUMMYFUNCTION("""COMPUTED_VALUE"""),2023.0)</f>
        <v>2023</v>
      </c>
      <c r="AA405" s="31">
        <f>IFERROR(__xludf.DUMMYFUNCTION("""COMPUTED_VALUE"""),1.0)</f>
        <v>1</v>
      </c>
      <c r="AF405" s="31" t="str">
        <f>IFERROR(__xludf.DUMMYFUNCTION("""COMPUTED_VALUE"""),"Sex differences in risk factors for cognitive decline and dementia, including death as a competing risk, in individuals with diabetes: Results from the ADVANCE trial.")</f>
        <v>Sex differences in risk factors for cognitive decline and dementia, including death as a competing risk, in individuals with diabetes: Results from the ADVANCE trial.</v>
      </c>
      <c r="AG405" s="31" t="str">
        <f>IFERROR(__xludf.DUMMYFUNCTION("""COMPUTED_VALUE"""),"Gong, Jessica; Harris, Katie; Hackett, Maree; Peters, Sanne A E; Brodaty, Henry; Cooper, Mark; Hamet, Pavel; Harrap, Stephen; Mancia, Giuseppe; MacMahon, Stephen; Chalmers, John; Woodward, Mark")</f>
        <v>Gong, Jessica; Harris, Katie; Hackett, Maree; Peters, Sanne A E; Brodaty, Henry; Cooper, Mark; Hamet, Pavel; Harrap, Stephen; Mancia, Giuseppe; MacMahon, Stephen; Chalmers, John; Woodward, Mark</v>
      </c>
      <c r="AH405" s="32">
        <f>IFERROR(__xludf.DUMMYFUNCTION("""COMPUTED_VALUE"""),44320.0)</f>
        <v>44320</v>
      </c>
      <c r="AI405" s="31" t="str">
        <f>IFERROR(__xludf.DUMMYFUNCTION("""COMPUTED_VALUE"""),"Prognostic factors for serious morbidity and mortality from community-acquired lower respiratory tract infections among the elderly in primary care.")</f>
        <v>Prognostic factors for serious morbidity and mortality from community-acquired lower respiratory tract infections among the elderly in primary care.</v>
      </c>
      <c r="AJ405" s="31" t="str">
        <f>IFERROR(__xludf.DUMMYFUNCTION("""COMPUTED_VALUE"""),"Hak, E; Bont, J; Hoes, A W; Verheij, T J M")</f>
        <v>Hak, E; Bont, J; Hoes, A W; Verheij, T J M</v>
      </c>
      <c r="AK405" s="32">
        <f>IFERROR(__xludf.DUMMYFUNCTION("""COMPUTED_VALUE"""),38443.0)</f>
        <v>38443</v>
      </c>
      <c r="AL405" s="31" t="str">
        <f>IFERROR(__xludf.DUMMYFUNCTION("""COMPUTED_VALUE"""),"High-risk nonsteroidal anti-inflammatory drugs prescribing in primary care: results from National Medical Care Survey Malaysia.")</f>
        <v>High-risk nonsteroidal anti-inflammatory drugs prescribing in primary care: results from National Medical Care Survey Malaysia.</v>
      </c>
      <c r="AM405" s="31" t="str">
        <f>IFERROR(__xludf.DUMMYFUNCTION("""COMPUTED_VALUE"""),"Hwong, Wen Yea; Lim, Yvonne Mei Fong; Khoo, Ee Ming; Sivasampu, Sheamini")</f>
        <v>Hwong, Wen Yea; Lim, Yvonne Mei Fong; Khoo, Ee Ming; Sivasampu, Sheamini</v>
      </c>
      <c r="AN405" s="32">
        <f>IFERROR(__xludf.DUMMYFUNCTION("""COMPUTED_VALUE"""),43850.0)</f>
        <v>43850</v>
      </c>
    </row>
    <row r="406">
      <c r="A406" s="32"/>
      <c r="I406" s="31" t="str">
        <f>IFERROR(__xludf.DUMMYFUNCTION("""COMPUTED_VALUE"""),"international journal of gynaecology and obstetrics the official organ of the international federation of gynaecology and obstetrics")</f>
        <v>international journal of gynaecology and obstetrics the official organ of the international federation of gynaecology and obstetrics</v>
      </c>
      <c r="J406" s="38">
        <f>COUNTIF(Data!$F$2:$F9917, $I406)</f>
        <v>4</v>
      </c>
      <c r="T406" s="31" t="s">
        <v>493</v>
      </c>
      <c r="U406" s="31" t="s">
        <v>494</v>
      </c>
      <c r="V406" s="32">
        <v>45387.0</v>
      </c>
      <c r="X406" s="31" t="str">
        <f>IFERROR(__xludf.DUMMYFUNCTION("""COMPUTED_VALUE"""),"Airborne virus shedding of the alpha, delta, omicron SARS-CoV-2 variants and influenza virus in hospitalized patients.")</f>
        <v>Airborne virus shedding of the alpha, delta, omicron SARS-CoV-2 variants and influenza virus in hospitalized patients.</v>
      </c>
      <c r="Y406" s="31" t="str">
        <f>IFERROR(__xludf.DUMMYFUNCTION("""COMPUTED_VALUE"""),"Ong, David S Y; de Man, Peter; Verhagen, Tim; Doejaaren, Gerda; Dallinga, Marloes A; Alibux, Esmee; Janssen, Matthijs L; Wils, Evert-Jan")</f>
        <v>Ong, David S Y; de Man, Peter; Verhagen, Tim; Doejaaren, Gerda; Dallinga, Marloes A; Alibux, Esmee; Janssen, Matthijs L; Wils, Evert-Jan</v>
      </c>
      <c r="Z406" s="31">
        <f>IFERROR(__xludf.DUMMYFUNCTION("""COMPUTED_VALUE"""),2023.0)</f>
        <v>2023</v>
      </c>
      <c r="AA406" s="31">
        <f>IFERROR(__xludf.DUMMYFUNCTION("""COMPUTED_VALUE"""),1.0)</f>
        <v>1</v>
      </c>
      <c r="AF406" s="31" t="str">
        <f>IFERROR(__xludf.DUMMYFUNCTION("""COMPUTED_VALUE"""),"Identification of distinct phenotypic clusters in heart failure with preserved ejection fraction.")</f>
        <v>Identification of distinct phenotypic clusters in heart failure with preserved ejection fraction.</v>
      </c>
      <c r="AG406" s="31" t="str">
        <f>IFERROR(__xludf.DUMMYFUNCTION("""COMPUTED_VALUE"""),"Uijl, Alicia; Savarese, Gianluigi; Vaartjes, Ilonca; Dahlström, Ulf; Brugts, Jasper J; Linssen, Gerard C M; van Empel, Vanessa; Brunner-La Rocca, Hans-Peter; Asselbergs, Folkert W; Lund, Lars H; Hoes, Arno W; Koudstaal, Stefan")</f>
        <v>Uijl, Alicia; Savarese, Gianluigi; Vaartjes, Ilonca; Dahlström, Ulf; Brugts, Jasper J; Linssen, Gerard C M; van Empel, Vanessa; Brunner-La Rocca, Hans-Peter; Asselbergs, Folkert W; Lund, Lars H; Hoes, Arno W; Koudstaal, Stefan</v>
      </c>
      <c r="AH406" s="32">
        <f>IFERROR(__xludf.DUMMYFUNCTION("""COMPUTED_VALUE"""),44317.0)</f>
        <v>44317</v>
      </c>
      <c r="AI406" s="31" t="str">
        <f>IFERROR(__xludf.DUMMYFUNCTION("""COMPUTED_VALUE"""),"Prescribing antibiotics for respiratory tract infections by GPs: management and prescriber characteristics.")</f>
        <v>Prescribing antibiotics for respiratory tract infections by GPs: management and prescriber characteristics.</v>
      </c>
      <c r="AJ406" s="31" t="str">
        <f>IFERROR(__xludf.DUMMYFUNCTION("""COMPUTED_VALUE"""),"Akkerman, Annemiek E; Kuyvenhoven, Marijke M; van der Wouden, Johannes C; Verheij, Theo J M")</f>
        <v>Akkerman, Annemiek E; Kuyvenhoven, Marijke M; van der Wouden, Johannes C; Verheij, Theo J M</v>
      </c>
      <c r="AK406" s="32">
        <f>IFERROR(__xludf.DUMMYFUNCTION("""COMPUTED_VALUE"""),38384.0)</f>
        <v>38384</v>
      </c>
      <c r="AL406" s="31" t="str">
        <f>IFERROR(__xludf.DUMMYFUNCTION("""COMPUTED_VALUE"""),"Refining prediction of major bleeding on antiplatelet treatment after transient ischaemic attack or ischaemic stroke.")</f>
        <v>Refining prediction of major bleeding on antiplatelet treatment after transient ischaemic attack or ischaemic stroke.</v>
      </c>
      <c r="AM406" s="31" t="str">
        <f>IFERROR(__xludf.DUMMYFUNCTION("""COMPUTED_VALUE"""),"Hilkens, Nina A; Li, Linxin; Rothwell, Peter M; Algra, Ale; Greving, Jacoba P")</f>
        <v>Hilkens, Nina A; Li, Linxin; Rothwell, Peter M; Algra, Ale; Greving, Jacoba P</v>
      </c>
      <c r="AN406" s="32">
        <f>IFERROR(__xludf.DUMMYFUNCTION("""COMPUTED_VALUE"""),43849.0)</f>
        <v>43849</v>
      </c>
    </row>
    <row r="407">
      <c r="A407" s="32"/>
      <c r="I407" s="31" t="str">
        <f>IFERROR(__xludf.DUMMYFUNCTION("""COMPUTED_VALUE"""),"human brain mapping")</f>
        <v>human brain mapping</v>
      </c>
      <c r="J407" s="38">
        <f>COUNTIF(Data!$F$2:$F9917, $I407)</f>
        <v>2</v>
      </c>
      <c r="T407" s="31" t="s">
        <v>498</v>
      </c>
      <c r="U407" s="31" t="s">
        <v>499</v>
      </c>
      <c r="V407" s="32">
        <v>45387.0</v>
      </c>
      <c r="X407" s="31" t="str">
        <f>IFERROR(__xludf.DUMMYFUNCTION("""COMPUTED_VALUE"""),"A Cross-Sectional Study of the Associations between Biomarkers of Vitamin D, Iron Status, and Hemoglobin in South African Women of Reproductive Age: the Healthy Life Trajectories Initiative, South Africa.")</f>
        <v>A Cross-Sectional Study of the Associations between Biomarkers of Vitamin D, Iron Status, and Hemoglobin in South African Women of Reproductive Age: the Healthy Life Trajectories Initiative, South Africa.</v>
      </c>
      <c r="Y407" s="31" t="str">
        <f>IFERROR(__xludf.DUMMYFUNCTION("""COMPUTED_VALUE"""),"Soepnel, Larske M; Mabetha, Khuthala; Draper, Catherine E; Silubonde, Takana Mary; Smuts, Cornelius M; Pettifor, John M; Norris, Shane A")</f>
        <v>Soepnel, Larske M; Mabetha, Khuthala; Draper, Catherine E; Silubonde, Takana Mary; Smuts, Cornelius M; Pettifor, John M; Norris, Shane A</v>
      </c>
      <c r="Z407" s="31">
        <f>IFERROR(__xludf.DUMMYFUNCTION("""COMPUTED_VALUE"""),2023.0)</f>
        <v>2023</v>
      </c>
      <c r="AA407" s="31">
        <f>IFERROR(__xludf.DUMMYFUNCTION("""COMPUTED_VALUE"""),1.0)</f>
        <v>1</v>
      </c>
      <c r="AF407" s="31" t="str">
        <f>IFERROR(__xludf.DUMMYFUNCTION("""COMPUTED_VALUE"""),"Correction to: Longitudinal trajectories of diet quality and subsequent mortality among Chinese adults: results from the China health and nutrition survey 1997-2015.")</f>
        <v>Correction to: Longitudinal trajectories of diet quality and subsequent mortality among Chinese adults: results from the China health and nutrition survey 1997-2015.</v>
      </c>
      <c r="AG407" s="31" t="str">
        <f>IFERROR(__xludf.DUMMYFUNCTION("""COMPUTED_VALUE"""),"Liu, Ming-Wei; McNaughton, Sarah A; He, Qi-Qiang; Leech, Rebecca")</f>
        <v>Liu, Ming-Wei; McNaughton, Sarah A; He, Qi-Qiang; Leech, Rebecca</v>
      </c>
      <c r="AH407" s="32">
        <f>IFERROR(__xludf.DUMMYFUNCTION("""COMPUTED_VALUE"""),44315.0)</f>
        <v>44315</v>
      </c>
      <c r="AI407" s="31" t="str">
        <f>IFERROR(__xludf.DUMMYFUNCTION("""COMPUTED_VALUE"""),"Antibiotic prescribing for respiratory tract infections in Dutch primary care in relation to patient age and clinical entities.")</f>
        <v>Antibiotic prescribing for respiratory tract infections in Dutch primary care in relation to patient age and clinical entities.</v>
      </c>
      <c r="AJ407" s="31" t="str">
        <f>IFERROR(__xludf.DUMMYFUNCTION("""COMPUTED_VALUE"""),"Akkerman, Annemiek E; van der Wouden, Johannes C; Kuyvenhoven, Marijke M; Dieleman, Jeanne P; Verheij, Theo J M")</f>
        <v>Akkerman, Annemiek E; van der Wouden, Johannes C; Kuyvenhoven, Marijke M; Dieleman, Jeanne P; Verheij, Theo J M</v>
      </c>
      <c r="AK407" s="32">
        <f>IFERROR(__xludf.DUMMYFUNCTION("""COMPUTED_VALUE"""),38307.0)</f>
        <v>38307</v>
      </c>
      <c r="AL407" s="31" t="str">
        <f>IFERROR(__xludf.DUMMYFUNCTION("""COMPUTED_VALUE"""),"Grounding Value-Based Drug Pricing in Population Health.")</f>
        <v>Grounding Value-Based Drug Pricing in Population Health.</v>
      </c>
      <c r="AM407" s="31" t="str">
        <f>IFERROR(__xludf.DUMMYFUNCTION("""COMPUTED_VALUE"""),"Kaltenboeck, Anna; Calsyn, Maura; Frederix, Geert W J; Lowenthal, Justin; Mitchell, David; Rector, Bruce; Sarpatwari, Ameet")</f>
        <v>Kaltenboeck, Anna; Calsyn, Maura; Frederix, Geert W J; Lowenthal, Justin; Mitchell, David; Rector, Bruce; Sarpatwari, Ameet</v>
      </c>
      <c r="AN407" s="32">
        <f>IFERROR(__xludf.DUMMYFUNCTION("""COMPUTED_VALUE"""),43847.0)</f>
        <v>43847</v>
      </c>
    </row>
    <row r="408">
      <c r="A408" s="32"/>
      <c r="I408" s="31" t="str">
        <f>IFERROR(__xludf.DUMMYFUNCTION("""COMPUTED_VALUE"""),"annals of internal medicine")</f>
        <v>annals of internal medicine</v>
      </c>
      <c r="J408" s="38">
        <f>COUNTIF(Data!$F$2:$F9917, $I408)</f>
        <v>9</v>
      </c>
      <c r="T408" s="31" t="s">
        <v>503</v>
      </c>
      <c r="U408" s="31" t="s">
        <v>504</v>
      </c>
      <c r="V408" s="32">
        <v>45387.0</v>
      </c>
      <c r="X408" s="31" t="str">
        <f>IFERROR(__xludf.DUMMYFUNCTION("""COMPUTED_VALUE"""),"Introducing e-health technology to routine cataract care: patient perspectives on web-based eye test for postoperative telemonitoring.")</f>
        <v>Introducing e-health technology to routine cataract care: patient perspectives on web-based eye test for postoperative telemonitoring.</v>
      </c>
      <c r="Y408" s="31" t="str">
        <f>IFERROR(__xludf.DUMMYFUNCTION("""COMPUTED_VALUE"""),"Claessens, Janneau L J; Maats, Emma P E; Iacob, Maria E; Wisse, Robert P L; Jongsma, Karin R")</f>
        <v>Claessens, Janneau L J; Maats, Emma P E; Iacob, Maria E; Wisse, Robert P L; Jongsma, Karin R</v>
      </c>
      <c r="Z408" s="31">
        <f>IFERROR(__xludf.DUMMYFUNCTION("""COMPUTED_VALUE"""),2023.0)</f>
        <v>2023</v>
      </c>
      <c r="AA408" s="31">
        <f>IFERROR(__xludf.DUMMYFUNCTION("""COMPUTED_VALUE"""),1.0)</f>
        <v>1</v>
      </c>
      <c r="AF408" s="31" t="str">
        <f>IFERROR(__xludf.DUMMYFUNCTION("""COMPUTED_VALUE"""),"Associations between dietary amino acid intakes and blood concentration levels.")</f>
        <v>Associations between dietary amino acid intakes and blood concentration levels.</v>
      </c>
      <c r="AG408" s="31" t="str">
        <f>IFERROR(__xludf.DUMMYFUNCTION("""COMPUTED_VALUE"""),"Iguacel, Isabel; Schmidt, Julie A; Perez-Cornago, Aurora; Van Puyvelde, Heleen; Travis, Ruth; Stepien, Magdalena; Scalbert, Augustin; Casagrande, Corinne; Weiderpass, Elisabete; Riboli, Elio; Schulze, Matthias B; Skeie, Guri; Bodén, Stina; Boeing, Heiner;"&amp;" Cross, Amanda J; Harlid, Sophia; Jensen, Torill Enget; Huerta, José M; Katzke, Verena; Kühn, Tilman; Lujan-Barroso, Leila; Masala, Giovanna; Rodriguez-Barranco, Miguel; Rostgaard-Hansen, Agnetha Linn; van der Schouw, Yvonne T; Vermeulen, Roel; Tagliabue,"&amp;" Giovanna; Tjønneland, Anne; Trevisan, Morena; Ferrari, Pietro; Gunter, Marc J; Huybrechts, Inge")</f>
        <v>Iguacel, Isabel; Schmidt, Julie A; Perez-Cornago, Aurora; Van Puyvelde, Heleen; Travis, Ruth; Stepien, Magdalena; Scalbert, Augustin; Casagrande, Corinne; Weiderpass, Elisabete; Riboli, Elio; Schulze, Matthias B; Skeie, Guri; Bodén, Stina; Boeing, Heiner; Cross, Amanda J; Harlid, Sophia; Jensen, Torill Enget; Huerta, José M; Katzke, Verena; Kühn, Tilman; Lujan-Barroso, Leila; Masala, Giovanna; Rodriguez-Barranco, Miguel; Rostgaard-Hansen, Agnetha Linn; van der Schouw, Yvonne T; Vermeulen, Roel; Tagliabue, Giovanna; Tjønneland, Anne; Trevisan, Morena; Ferrari, Pietro; Gunter, Marc J; Huybrechts, Inge</v>
      </c>
      <c r="AH408" s="32">
        <f>IFERROR(__xludf.DUMMYFUNCTION("""COMPUTED_VALUE"""),44313.0)</f>
        <v>44313</v>
      </c>
      <c r="AI408" s="31" t="str">
        <f>IFERROR(__xludf.DUMMYFUNCTION("""COMPUTED_VALUE"""),"Heritability of menopausal age in mothers and daughters.")</f>
        <v>Heritability of menopausal age in mothers and daughters.</v>
      </c>
      <c r="AJ408" s="31" t="str">
        <f>IFERROR(__xludf.DUMMYFUNCTION("""COMPUTED_VALUE"""),"van Asselt, Kristel M; Kok, Helen S; Pearson, Peter L; Dubas, Judith S; Peeters, Petra H M; Te Velde, Egbert R; van Noord, Paulus A H")</f>
        <v>van Asselt, Kristel M; Kok, Helen S; Pearson, Peter L; Dubas, Judith S; Peeters, Petra H M; Te Velde, Egbert R; van Noord, Paulus A H</v>
      </c>
      <c r="AK408" s="32">
        <f>IFERROR(__xludf.DUMMYFUNCTION("""COMPUTED_VALUE"""),38292.0)</f>
        <v>38292</v>
      </c>
      <c r="AL408" s="31" t="str">
        <f>IFERROR(__xludf.DUMMYFUNCTION("""COMPUTED_VALUE"""),"Extended-spectrum beta-lactamase (ESBL)-producing and non-ESBL-producing Escherichia coli isolates causing bacteremia in the Netherlands (2014 - 2016) differ in clonal distribution, antimicrobial resistance gene and virulence gene content.")</f>
        <v>Extended-spectrum beta-lactamase (ESBL)-producing and non-ESBL-producing Escherichia coli isolates causing bacteremia in the Netherlands (2014 - 2016) differ in clonal distribution, antimicrobial resistance gene and virulence gene content.</v>
      </c>
      <c r="AM408" s="31" t="str">
        <f>IFERROR(__xludf.DUMMYFUNCTION("""COMPUTED_VALUE"""),"van Hout, Denise; Verschuuren, Tess D; Bruijning-Verhagen, Patricia C J; Bosch, Thijs; Schürch, Anita C; Willems, Rob J L; Bonten, Marc J M; Kluytmans, Jan A J W")</f>
        <v>van Hout, Denise; Verschuuren, Tess D; Bruijning-Verhagen, Patricia C J; Bosch, Thijs; Schürch, Anita C; Willems, Rob J L; Bonten, Marc J M; Kluytmans, Jan A J W</v>
      </c>
      <c r="AN408" s="32">
        <f>IFERROR(__xludf.DUMMYFUNCTION("""COMPUTED_VALUE"""),43844.0)</f>
        <v>43844</v>
      </c>
    </row>
    <row r="409">
      <c r="A409" s="32"/>
      <c r="I409" s="31" t="str">
        <f>IFERROR(__xludf.DUMMYFUNCTION("""COMPUTED_VALUE"""),"genome biology")</f>
        <v>genome biology</v>
      </c>
      <c r="J409" s="38">
        <f>COUNTIF(Data!$F$2:$F9917, $I409)</f>
        <v>3</v>
      </c>
      <c r="T409" s="31" t="s">
        <v>508</v>
      </c>
      <c r="U409" s="31" t="s">
        <v>509</v>
      </c>
      <c r="V409" s="32">
        <v>45385.0</v>
      </c>
      <c r="X409" s="31" t="str">
        <f>IFERROR(__xludf.DUMMYFUNCTION("""COMPUTED_VALUE"""),"Maternal perception of fetal movements: Views, knowledge and practices of women and health providers in a low-resource setting.")</f>
        <v>Maternal perception of fetal movements: Views, knowledge and practices of women and health providers in a low-resource setting.</v>
      </c>
      <c r="Y409" s="31" t="str">
        <f>IFERROR(__xludf.DUMMYFUNCTION("""COMPUTED_VALUE"""),"Weller, Katinka; Housseine, Natasha; Khamis, Rashid S; Meguid, Tarek; Hofmeyr, G Justus; Browne, Joyce L; Rijken, Marcus J")</f>
        <v>Weller, Katinka; Housseine, Natasha; Khamis, Rashid S; Meguid, Tarek; Hofmeyr, G Justus; Browne, Joyce L; Rijken, Marcus J</v>
      </c>
      <c r="Z409" s="31">
        <f>IFERROR(__xludf.DUMMYFUNCTION("""COMPUTED_VALUE"""),2023.0)</f>
        <v>2023</v>
      </c>
      <c r="AA409" s="31">
        <f>IFERROR(__xludf.DUMMYFUNCTION("""COMPUTED_VALUE"""),1.0)</f>
        <v>1</v>
      </c>
      <c r="AF409" s="31" t="str">
        <f>IFERROR(__xludf.DUMMYFUNCTION("""COMPUTED_VALUE"""),"Social deprivation as a risk factor for COVID-19 mortality among women and men in the UK Biobank: nature of risk and context suggests that social interventions are essential to mitigate the effects of future pandemics.")</f>
        <v>Social deprivation as a risk factor for COVID-19 mortality among women and men in the UK Biobank: nature of risk and context suggests that social interventions are essential to mitigate the effects of future pandemics.</v>
      </c>
      <c r="AG409" s="31" t="str">
        <f>IFERROR(__xludf.DUMMYFUNCTION("""COMPUTED_VALUE"""),"Woodward, Mark; Peters, Sanne A E; Harris, Katie")</f>
        <v>Woodward, Mark; Peters, Sanne A E; Harris, Katie</v>
      </c>
      <c r="AH409" s="32">
        <f>IFERROR(__xludf.DUMMYFUNCTION("""COMPUTED_VALUE"""),44313.0)</f>
        <v>44313</v>
      </c>
      <c r="AI409" s="31" t="str">
        <f>IFERROR(__xludf.DUMMYFUNCTION("""COMPUTED_VALUE"""),"Lower respiratory tract infections: not only less antibiotic prescriptions but also more evidence, please.")</f>
        <v>Lower respiratory tract infections: not only less antibiotic prescriptions but also more evidence, please.</v>
      </c>
      <c r="AJ409" s="31" t="str">
        <f>IFERROR(__xludf.DUMMYFUNCTION("""COMPUTED_VALUE"""),"Verheij, T J M")</f>
        <v>Verheij, T J M</v>
      </c>
      <c r="AK409" s="32">
        <f>IFERROR(__xludf.DUMMYFUNCTION("""COMPUTED_VALUE"""),38231.0)</f>
        <v>38231</v>
      </c>
      <c r="AL409" s="31" t="str">
        <f>IFERROR(__xludf.DUMMYFUNCTION("""COMPUTED_VALUE"""),"Human papillomavirus infection and cervical dysplasia in HIV-positive women: potential role of the vaginal microbiota.")</f>
        <v>Human papillomavirus infection and cervical dysplasia in HIV-positive women: potential role of the vaginal microbiota.</v>
      </c>
      <c r="AM409" s="31" t="str">
        <f>IFERROR(__xludf.DUMMYFUNCTION("""COMPUTED_VALUE"""),"van de Wijgert, Janneke H H M; Gill, A Christina; Chikandiwa, Admire; Verwijs, Marijn C; Kelly, Helen A; Omar, Tanvier; Delany-Moretlwe, Sinead; Segondy, Michel; Francis, Suzanna; Darby, Alistair C; Mayaud, Philippe; ,")</f>
        <v>van de Wijgert, Janneke H H M; Gill, A Christina; Chikandiwa, Admire; Verwijs, Marijn C; Kelly, Helen A; Omar, Tanvier; Delany-Moretlwe, Sinead; Segondy, Michel; Francis, Suzanna; Darby, Alistair C; Mayaud, Philippe; ,</v>
      </c>
      <c r="AN409" s="32">
        <f>IFERROR(__xludf.DUMMYFUNCTION("""COMPUTED_VALUE"""),43831.0)</f>
        <v>43831</v>
      </c>
    </row>
    <row r="410">
      <c r="A410" s="32"/>
      <c r="I410" s="31" t="str">
        <f>IFERROR(__xludf.DUMMYFUNCTION("""COMPUTED_VALUE"""),"bmc infectious diseases")</f>
        <v>bmc infectious diseases</v>
      </c>
      <c r="J410" s="38">
        <f>COUNTIF(Data!$F$2:$F9917, $I410)</f>
        <v>30</v>
      </c>
      <c r="T410" s="31" t="s">
        <v>513</v>
      </c>
      <c r="U410" s="31" t="s">
        <v>514</v>
      </c>
      <c r="V410" s="32">
        <v>45385.0</v>
      </c>
      <c r="X410" s="31" t="str">
        <f>IFERROR(__xludf.DUMMYFUNCTION("""COMPUTED_VALUE"""),"Provision and experience of care among women with hypertension in pregnancy: a multi-center qualitative study in Ghana.")</f>
        <v>Provision and experience of care among women with hypertension in pregnancy: a multi-center qualitative study in Ghana.</v>
      </c>
      <c r="Y410" s="31" t="str">
        <f>IFERROR(__xludf.DUMMYFUNCTION("""COMPUTED_VALUE"""),"Adu-Bonsaffoh, Kwame; Tamma, Evelyn; Nwameme, Adanna; Dako-Gyeke, Phyllis; Srofenyoh, Emmanuel; Ansah, Evelyn K; Grobbee, Diederick E; Franx, Arie; Browne, Joyce L")</f>
        <v>Adu-Bonsaffoh, Kwame; Tamma, Evelyn; Nwameme, Adanna; Dako-Gyeke, Phyllis; Srofenyoh, Emmanuel; Ansah, Evelyn K; Grobbee, Diederick E; Franx, Arie; Browne, Joyce L</v>
      </c>
      <c r="Z410" s="31">
        <f>IFERROR(__xludf.DUMMYFUNCTION("""COMPUTED_VALUE"""),2023.0)</f>
        <v>2023</v>
      </c>
      <c r="AA410" s="31">
        <f>IFERROR(__xludf.DUMMYFUNCTION("""COMPUTED_VALUE"""),1.0)</f>
        <v>1</v>
      </c>
      <c r="AF410" s="31" t="str">
        <f>IFERROR(__xludf.DUMMYFUNCTION("""COMPUTED_VALUE"""),"Erratum: Unexpected low frequency of respiratory symptoms in an HIV-positive urban sub-Saharan population compared to an HIV-negative control group.")</f>
        <v>Erratum: Unexpected low frequency of respiratory symptoms in an HIV-positive urban sub-Saharan population compared to an HIV-negative control group.</v>
      </c>
      <c r="AG410" s="31" t="str">
        <f>IFERROR(__xludf.DUMMYFUNCTION("""COMPUTED_VALUE"""),"Kummerow, Maren; Shaddock, Erica J; Klipstein-Grobusch, Kerstin; Barth, Roos B; Grobbee, Diederick E; Francois Venter, W D; Feldman, Charles; Vos, Alinda")</f>
        <v>Kummerow, Maren; Shaddock, Erica J; Klipstein-Grobusch, Kerstin; Barth, Roos B; Grobbee, Diederick E; Francois Venter, W D; Feldman, Charles; Vos, Alinda</v>
      </c>
      <c r="AH410" s="32">
        <f>IFERROR(__xludf.DUMMYFUNCTION("""COMPUTED_VALUE"""),44305.0)</f>
        <v>44305</v>
      </c>
      <c r="AI410" s="31" t="str">
        <f>IFERROR(__xludf.DUMMYFUNCTION("""COMPUTED_VALUE"""),"Effectiveness of a multiple intervention to reduce antibiotic prescribing for respiratory tract symptoms in primary care: randomised controlled trial.")</f>
        <v>Effectiveness of a multiple intervention to reduce antibiotic prescribing for respiratory tract symptoms in primary care: randomised controlled trial.</v>
      </c>
      <c r="AJ410" s="31" t="str">
        <f>IFERROR(__xludf.DUMMYFUNCTION("""COMPUTED_VALUE"""),"Welschen, Ineke; Kuyvenhoven, Marijke M; Hoes, Arno W; Verheij, Theo J M")</f>
        <v>Welschen, Ineke; Kuyvenhoven, Marijke M; Hoes, Arno W; Verheij, Theo J M</v>
      </c>
      <c r="AK410" s="32">
        <f>IFERROR(__xludf.DUMMYFUNCTION("""COMPUTED_VALUE"""),38204.0)</f>
        <v>38204</v>
      </c>
      <c r="AL410" s="31" t="str">
        <f>IFERROR(__xludf.DUMMYFUNCTION("""COMPUTED_VALUE"""),"Transferring effective interventions for cancer-related fatigue from the adjuvant to the advanced cancer session: does it work?")</f>
        <v>Transferring effective interventions for cancer-related fatigue from the adjuvant to the advanced cancer session: does it work?</v>
      </c>
      <c r="AM410" s="31" t="str">
        <f>IFERROR(__xludf.DUMMYFUNCTION("""COMPUTED_VALUE"""),"May, A M")</f>
        <v>May, A M</v>
      </c>
      <c r="AN410" s="32">
        <f>IFERROR(__xludf.DUMMYFUNCTION("""COMPUTED_VALUE"""),43831.0)</f>
        <v>43831</v>
      </c>
    </row>
    <row r="411">
      <c r="A411" s="32"/>
      <c r="I411" s="31" t="str">
        <f>IFERROR(__xludf.DUMMYFUNCTION("""COMPUTED_VALUE"""),"neuropsychology review")</f>
        <v>neuropsychology review</v>
      </c>
      <c r="J411" s="38">
        <f>COUNTIF(Data!$F$2:$F9917, $I411)</f>
        <v>1</v>
      </c>
      <c r="T411" s="31" t="s">
        <v>517</v>
      </c>
      <c r="U411" s="31" t="s">
        <v>518</v>
      </c>
      <c r="V411" s="32">
        <v>45384.0</v>
      </c>
      <c r="X411" s="31" t="str">
        <f>IFERROR(__xludf.DUMMYFUNCTION("""COMPUTED_VALUE"""),"Reply to: ""Estrogen could also play a key role in the development of pediatric melanoma"".")</f>
        <v>Reply to: "Estrogen could also play a key role in the development of pediatric melanoma".</v>
      </c>
      <c r="Y411" s="31" t="str">
        <f>IFERROR(__xludf.DUMMYFUNCTION("""COMPUTED_VALUE"""),"El Sharouni, Mary-Ann; Lo, Serigne N; Scolyer, Richard A; van Gils, Carla H; Thompson, John F")</f>
        <v>El Sharouni, Mary-Ann; Lo, Serigne N; Scolyer, Richard A; van Gils, Carla H; Thompson, John F</v>
      </c>
      <c r="Z411" s="31">
        <f>IFERROR(__xludf.DUMMYFUNCTION("""COMPUTED_VALUE"""),2023.0)</f>
        <v>2023</v>
      </c>
      <c r="AA411" s="31">
        <f>IFERROR(__xludf.DUMMYFUNCTION("""COMPUTED_VALUE"""),1.0)</f>
        <v>1</v>
      </c>
      <c r="AF411" s="31" t="str">
        <f>IFERROR(__xludf.DUMMYFUNCTION("""COMPUTED_VALUE"""),"Heterogeneity of Associations between Total and Types of Fish Intake and the Incidence of Type 2 Diabetes: Federated Meta-Analysis of 28 Prospective Studies Including 956,122 Participants.")</f>
        <v>Heterogeneity of Associations between Total and Types of Fish Intake and the Incidence of Type 2 Diabetes: Federated Meta-Analysis of 28 Prospective Studies Including 956,122 Participants.</v>
      </c>
      <c r="AG411" s="31" t="str">
        <f>IFERROR(__xludf.DUMMYFUNCTION("""COMPUTED_VALUE"""),"Pastorino, Silvia; Bishop, Tom; Sharp, Stephen J; Pearce, Matthew; Akbaraly, Tasnime; Barbieri, Natalia B; Bes-Rastrollo, Maira; Beulens, Joline W J; Chen, Zhengming; Du, Huaidong; Duncan, Bruce B; Goto, Atsushi; Härkänen, Tommi; Hashemian, Maryam; Kromho"&amp;"ut, Daan; Järvinen, Ritva; Kivimaki, Mika; Knekt, Paul; Lin, Xu; Lund, Eiliv; Magliano, Dianna J; Malekzadeh, Reza; Martínez-González, Miguel Ángel; O'Donoghue, Gráinne; O'Gorman, Donal; Poustchi, Hossein; Rylander, Charlotta; Sawada, Norie; Shaw, Jonatha"&amp;"n E; Schmidt, Maria; Soedamah-Muthu, Sabita S; Sun, Liang; Wen, Wanqing; Wolk, Alicja; Shu, Xiao-Ou; Zheng, Wei; Wareham, Nicholas J; Forouhi, Nita G")</f>
        <v>Pastorino, Silvia; Bishop, Tom; Sharp, Stephen J; Pearce, Matthew; Akbaraly, Tasnime; Barbieri, Natalia B; Bes-Rastrollo, Maira; Beulens, Joline W J; Chen, Zhengming; Du, Huaidong; Duncan, Bruce B; Goto, Atsushi; Härkänen, Tommi; Hashemian, Maryam; Kromhout, Daan; Järvinen, Ritva; Kivimaki, Mika; Knekt, Paul; Lin, Xu; Lund, Eiliv; Magliano, Dianna J; Malekzadeh, Reza; Martínez-González, Miguel Ángel; O'Donoghue, Gráinne; O'Gorman, Donal; Poustchi, Hossein; Rylander, Charlotta; Sawada, Norie; Shaw, Jonathan E; Schmidt, Maria; Soedamah-Muthu, Sabita S; Sun, Liang; Wen, Wanqing; Wolk, Alicja; Shu, Xiao-Ou; Zheng, Wei; Wareham, Nicholas J; Forouhi, Nita G</v>
      </c>
      <c r="AH411" s="32">
        <f>IFERROR(__xludf.DUMMYFUNCTION("""COMPUTED_VALUE"""),44293.0)</f>
        <v>44293</v>
      </c>
      <c r="AI411" s="31" t="str">
        <f>IFERROR(__xludf.DUMMYFUNCTION("""COMPUTED_VALUE"""),"Diabetes, employment and fatigue-related complaints: a comparison between diabetic employees, ""healthy"" employees, and employees with other chronic diseases.")</f>
        <v>Diabetes, employment and fatigue-related complaints: a comparison between diabetic employees, "healthy" employees, and employees with other chronic diseases.</v>
      </c>
      <c r="AJ411" s="31" t="str">
        <f>IFERROR(__xludf.DUMMYFUNCTION("""COMPUTED_VALUE"""),"Weijman, Iris; Kant, Ijmert; Swaen, Gerard M; Ros, Wynand J G; Rutten, Guy E H M; Schaufeli, Wilmar B; Schabracq, Marc J; Winnubst, Jacques A M")</f>
        <v>Weijman, Iris; Kant, Ijmert; Swaen, Gerard M; Ros, Wynand J G; Rutten, Guy E H M; Schaufeli, Wilmar B; Schabracq, Marc J; Winnubst, Jacques A M</v>
      </c>
      <c r="AK411" s="32">
        <f>IFERROR(__xludf.DUMMYFUNCTION("""COMPUTED_VALUE"""),38200.0)</f>
        <v>38200</v>
      </c>
      <c r="AL411" s="31" t="str">
        <f>IFERROR(__xludf.DUMMYFUNCTION("""COMPUTED_VALUE"""),"Vascular Risk Factors of Hippocampal Subfield Volumes in Persons without Dementia: The Medea 7T Study.")</f>
        <v>Vascular Risk Factors of Hippocampal Subfield Volumes in Persons without Dementia: The Medea 7T Study.</v>
      </c>
      <c r="AM411" s="31" t="str">
        <f>IFERROR(__xludf.DUMMYFUNCTION("""COMPUTED_VALUE"""),"Blom, Kim; Koek, Huiberdina L; Zwartbol, Maarten H T; Ghaznawi, Rashid; Kuijf, Hugo J; Witkamp, Theo D; Hendrikse, Jeroen; Biessels, Geert Jan; Geerlings, Mirjam I; ,")</f>
        <v>Blom, Kim; Koek, Huiberdina L; Zwartbol, Maarten H T; Ghaznawi, Rashid; Kuijf, Hugo J; Witkamp, Theo D; Hendrikse, Jeroen; Biessels, Geert Jan; Geerlings, Mirjam I; ,</v>
      </c>
      <c r="AN411" s="32">
        <f>IFERROR(__xludf.DUMMYFUNCTION("""COMPUTED_VALUE"""),43831.0)</f>
        <v>43831</v>
      </c>
    </row>
    <row r="412">
      <c r="A412" s="32"/>
      <c r="I412" s="31" t="str">
        <f>IFERROR(__xludf.DUMMYFUNCTION("""COMPUTED_VALUE"""),"journal of psychiatric research")</f>
        <v>journal of psychiatric research</v>
      </c>
      <c r="J412" s="38">
        <f>COUNTIF(Data!$F$2:$F9917, $I412)</f>
        <v>2</v>
      </c>
      <c r="T412" s="31" t="s">
        <v>522</v>
      </c>
      <c r="U412" s="31" t="s">
        <v>523</v>
      </c>
      <c r="V412" s="32">
        <v>45383.0</v>
      </c>
      <c r="X412" s="31" t="str">
        <f>IFERROR(__xludf.DUMMYFUNCTION("""COMPUTED_VALUE"""),"Genetic architecture of spatial electrical biomarkers for cardiac arrhythmia and relationship with cardiovascular disease.")</f>
        <v>Genetic architecture of spatial electrical biomarkers for cardiac arrhythmia and relationship with cardiovascular disease.</v>
      </c>
      <c r="Y412" s="31" t="str">
        <f>IFERROR(__xludf.DUMMYFUNCTION("""COMPUTED_VALUE"""),"Young, William J; Haessler, Jeffrey; Benjamins, Jan-Walter; Repetto, Linda; Yao, Jie; Isaacs, Aaron; Harper, Andrew R; Ramirez, Julia; Garnier, Sophie; van Duijvenboden, Stefan; Baldassari, Antoine R; Concas, Maria Pina; Duong, ThuyVy; Foco, Luisa; Isakse"&amp;"n, Jonas L; Mei, Hao; Noordam, Raymond; Nursyifa, Casia; Richmond, Anne; Santolalla, Meddly L; Sitlani, Colleen M; Soroush, Negin; Thériault, Sébastien; Trompet, Stella; Aeschbacher, Stefanie; Ahmadizar, Fariba; Alonso, Alvaro; Brody, Jennifer A; Campbell"&amp;", Archie; Correa, Adolfo; Darbar, Dawood; De Luca, Antonio; Deleuze, Jean-François; Ellervik, Christina; Fuchsberger, Christian; Goel, Anuj; Grace, Christopher; Guo, Xiuqing; Hansen, Torben; Heckbert, Susan R; Jackson, Rebecca D; Kors, Jan A; Lima-Costa, "&amp;"Maria Fernanda; Linneberg, Allan; Macfarlane, Peter W; Morrison, Alanna C; Navarro, Pau; Porteous, David J; Pramstaller, Peter P; Reiner, Alexander P; Risch, Lorenz; Schotten, Ulrich; Shen, Xia; Sinagra, Gianfranco; Soliman, Elsayed Z;")</f>
        <v>Young, William J; Haessler, Jeffrey; Benjamins, Jan-Walter; Repetto, Linda; Yao, Jie; Isaacs, Aaron; Harper, Andrew R; Ramirez, Julia; Garnier, Sophie; van Duijvenboden, Stefan; Baldassari, Antoine R; Concas, Maria Pina; Duong, ThuyVy; Foco, Luisa; Isaksen, Jonas L; Mei, Hao; Noordam, Raymond; Nursyifa, Casia; Richmond, Anne; Santolalla, Meddly L; Sitlani, Colleen M; Soroush, Negin; Thériault, Sébastien; Trompet, Stella; Aeschbacher, Stefanie; Ahmadizar, Fariba; Alonso, Alvaro; Brody, Jennifer A; Campbell, Archie; Correa, Adolfo; Darbar, Dawood; De Luca, Antonio; Deleuze, Jean-François; Ellervik, Christina; Fuchsberger, Christian; Goel, Anuj; Grace, Christopher; Guo, Xiuqing; Hansen, Torben; Heckbert, Susan R; Jackson, Rebecca D; Kors, Jan A; Lima-Costa, Maria Fernanda; Linneberg, Allan; Macfarlane, Peter W; Morrison, Alanna C; Navarro, Pau; Porteous, David J; Pramstaller, Peter P; Reiner, Alexander P; Risch, Lorenz; Schotten, Ulrich; Shen, Xia; Sinagra, Gianfranco; Soliman, Elsayed Z;</v>
      </c>
      <c r="Z412" s="31">
        <f>IFERROR(__xludf.DUMMYFUNCTION("""COMPUTED_VALUE"""),2023.0)</f>
        <v>2023</v>
      </c>
      <c r="AA412" s="31">
        <f>IFERROR(__xludf.DUMMYFUNCTION("""COMPUTED_VALUE"""),1.0)</f>
        <v>1</v>
      </c>
      <c r="AF412" s="31" t="str">
        <f>IFERROR(__xludf.DUMMYFUNCTION("""COMPUTED_VALUE"""),"Longitudinal trajectories of diet quality and subsequent mortality among Chinese adults: results from the China health and nutrition survey 1997-2015.")</f>
        <v>Longitudinal trajectories of diet quality and subsequent mortality among Chinese adults: results from the China health and nutrition survey 1997-2015.</v>
      </c>
      <c r="AG412" s="31" t="str">
        <f>IFERROR(__xludf.DUMMYFUNCTION("""COMPUTED_VALUE"""),"Liu, Ming-Wei; McNaughton, Sarah A; He, Qi-Qiang; Leech, Rebecca")</f>
        <v>Liu, Ming-Wei; McNaughton, Sarah A; He, Qi-Qiang; Leech, Rebecca</v>
      </c>
      <c r="AH412" s="32">
        <f>IFERROR(__xludf.DUMMYFUNCTION("""COMPUTED_VALUE"""),44293.0)</f>
        <v>44293</v>
      </c>
      <c r="AI412" s="31" t="str">
        <f>IFERROR(__xludf.DUMMYFUNCTION("""COMPUTED_VALUE"""),"Interventions to prevent postherpetic neuralgia: cutaneous and percutaneous techniques.")</f>
        <v>Interventions to prevent postherpetic neuralgia: cutaneous and percutaneous techniques.</v>
      </c>
      <c r="AJ412" s="31" t="str">
        <f>IFERROR(__xludf.DUMMYFUNCTION("""COMPUTED_VALUE"""),"Opstelten, Wim; van Wijck, Albert J M; Stolker, Robert J")</f>
        <v>Opstelten, Wim; van Wijck, Albert J M; Stolker, Robert J</v>
      </c>
      <c r="AK412" s="32">
        <f>IFERROR(__xludf.DUMMYFUNCTION("""COMPUTED_VALUE"""),38018.0)</f>
        <v>38018</v>
      </c>
      <c r="AL412" s="31" t="str">
        <f>IFERROR(__xludf.DUMMYFUNCTION("""COMPUTED_VALUE"""),"The trials within cohorts design facilitated efficient patient enrollment and generalizability in oncology setting.")</f>
        <v>The trials within cohorts design facilitated efficient patient enrollment and generalizability in oncology setting.</v>
      </c>
      <c r="AM412" s="31" t="str">
        <f>IFERROR(__xludf.DUMMYFUNCTION("""COMPUTED_VALUE"""),"Couwenberg, Alice M; Burbach, Johannes P M; May, Anne M; Berbee, Maaike; Intven, Martijn P W; Verkooijen, Helena M")</f>
        <v>Couwenberg, Alice M; Burbach, Johannes P M; May, Anne M; Berbee, Maaike; Intven, Martijn P W; Verkooijen, Helena M</v>
      </c>
      <c r="AN412" s="32">
        <f>IFERROR(__xludf.DUMMYFUNCTION("""COMPUTED_VALUE"""),43818.0)</f>
        <v>43818</v>
      </c>
    </row>
    <row r="413">
      <c r="A413" s="32"/>
      <c r="I413" s="31" t="str">
        <f>IFERROR(__xludf.DUMMYFUNCTION("""COMPUTED_VALUE"""),"european heart journal cardiovascular imaging")</f>
        <v>european heart journal cardiovascular imaging</v>
      </c>
      <c r="J413" s="38">
        <f>COUNTIF(Data!$F$2:$F9917, $I413)</f>
        <v>3</v>
      </c>
      <c r="T413" s="31" t="s">
        <v>528</v>
      </c>
      <c r="U413" s="31" t="s">
        <v>529</v>
      </c>
      <c r="V413" s="32">
        <v>45383.0</v>
      </c>
      <c r="X413" s="31" t="str">
        <f>IFERROR(__xludf.DUMMYFUNCTION("""COMPUTED_VALUE"""),"Patient perceptions and understanding of pressure ulcer risk in the community: Empirical Research Qualitative.")</f>
        <v>Patient perceptions and understanding of pressure ulcer risk in the community: Empirical Research Qualitative.</v>
      </c>
      <c r="Y413" s="31" t="str">
        <f>IFERROR(__xludf.DUMMYFUNCTION("""COMPUTED_VALUE"""),"Ledger, Lisa Jayne; Worsley, Peter R; Hope, Jo; Schoonhoven, Lisette")</f>
        <v>Ledger, Lisa Jayne; Worsley, Peter R; Hope, Jo; Schoonhoven, Lisette</v>
      </c>
      <c r="Z413" s="31">
        <f>IFERROR(__xludf.DUMMYFUNCTION("""COMPUTED_VALUE"""),2023.0)</f>
        <v>2023</v>
      </c>
      <c r="AA413" s="31">
        <f>IFERROR(__xludf.DUMMYFUNCTION("""COMPUTED_VALUE"""),1.0)</f>
        <v>1</v>
      </c>
      <c r="AF413" s="31" t="str">
        <f>IFERROR(__xludf.DUMMYFUNCTION("""COMPUTED_VALUE"""),"Mini-gut feelings: perspectives of people with cystic fibrosis on the ethics and governance of organoid biobanking.")</f>
        <v>Mini-gut feelings: perspectives of people with cystic fibrosis on the ethics and governance of organoid biobanking.</v>
      </c>
      <c r="AG413" s="31" t="str">
        <f>IFERROR(__xludf.DUMMYFUNCTION("""COMPUTED_VALUE"""),"Lensink, Michael A; Boers, Sarah N; M Gulmans, Vincent A; Jongsma, Karin R; Bredenoord, Annelien L")</f>
        <v>Lensink, Michael A; Boers, Sarah N; M Gulmans, Vincent A; Jongsma, Karin R; Bredenoord, Annelien L</v>
      </c>
      <c r="AH413" s="32">
        <f>IFERROR(__xludf.DUMMYFUNCTION("""COMPUTED_VALUE"""),44293.0)</f>
        <v>44293</v>
      </c>
      <c r="AI413" s="31" t="str">
        <f>IFERROR(__xludf.DUMMYFUNCTION("""COMPUTED_VALUE"""),"Outpatient antibiotic prescriptions from 1992 to 2001 in the Netherlands.")</f>
        <v>Outpatient antibiotic prescriptions from 1992 to 2001 in the Netherlands.</v>
      </c>
      <c r="AJ413" s="31" t="str">
        <f>IFERROR(__xludf.DUMMYFUNCTION("""COMPUTED_VALUE"""),"Kuyvenhoven, Marijke M; van Balen, Frank A M; Verheij, Theo J M")</f>
        <v>Kuyvenhoven, Marijke M; van Balen, Frank A M; Verheij, Theo J M</v>
      </c>
      <c r="AK413" s="32">
        <f>IFERROR(__xludf.DUMMYFUNCTION("""COMPUTED_VALUE"""),37865.0)</f>
        <v>37865</v>
      </c>
      <c r="AL413" s="31" t="str">
        <f>IFERROR(__xludf.DUMMYFUNCTION("""COMPUTED_VALUE"""),"Smoking trajectories and risk of stroke until age of 50 years - The Northern Finland Birth Cohort 1966.")</f>
        <v>Smoking trajectories and risk of stroke until age of 50 years - The Northern Finland Birth Cohort 1966.</v>
      </c>
      <c r="AM413" s="31" t="str">
        <f>IFERROR(__xludf.DUMMYFUNCTION("""COMPUTED_VALUE"""),"Rissanen, Ina; Oura, Petteri; Paananen, Markus; Miettunen, Jouko; Geerlings, Mirjam I")</f>
        <v>Rissanen, Ina; Oura, Petteri; Paananen, Markus; Miettunen, Jouko; Geerlings, Mirjam I</v>
      </c>
      <c r="AN413" s="32">
        <f>IFERROR(__xludf.DUMMYFUNCTION("""COMPUTED_VALUE"""),43816.0)</f>
        <v>43816</v>
      </c>
    </row>
    <row r="414">
      <c r="A414" s="32"/>
      <c r="I414" s="31" t="str">
        <f>IFERROR(__xludf.DUMMYFUNCTION("""COMPUTED_VALUE"""),"building and environment")</f>
        <v>building and environment</v>
      </c>
      <c r="J414" s="38">
        <f>COUNTIF(Data!$F$2:$F9917, $I414)</f>
        <v>1</v>
      </c>
      <c r="T414" s="31" t="s">
        <v>533</v>
      </c>
      <c r="U414" s="31" t="s">
        <v>534</v>
      </c>
      <c r="V414" s="32">
        <v>45381.0</v>
      </c>
      <c r="X414" s="31" t="str">
        <f>IFERROR(__xludf.DUMMYFUNCTION("""COMPUTED_VALUE"""),"Cardiovascular risk reduction with integrated care: results of 8 years follow up.")</f>
        <v>Cardiovascular risk reduction with integrated care: results of 8 years follow up.</v>
      </c>
      <c r="Y414" s="31" t="str">
        <f>IFERROR(__xludf.DUMMYFUNCTION("""COMPUTED_VALUE"""),"Smits, Geert H J M; van Doorn, Sander; Bots, Michiel L; Hollander, Monika")</f>
        <v>Smits, Geert H J M; van Doorn, Sander; Bots, Michiel L; Hollander, Monika</v>
      </c>
      <c r="Z414" s="31">
        <f>IFERROR(__xludf.DUMMYFUNCTION("""COMPUTED_VALUE"""),2023.0)</f>
        <v>2023</v>
      </c>
      <c r="AA414" s="31">
        <f>IFERROR(__xludf.DUMMYFUNCTION("""COMPUTED_VALUE"""),1.0)</f>
        <v>1</v>
      </c>
      <c r="AF414" s="31" t="str">
        <f>IFERROR(__xludf.DUMMYFUNCTION("""COMPUTED_VALUE"""),"The effect of on-shelf sugar labeling on beverage sales in the supermarket: a comparative interrupted time series analysis of a natural experiment.")</f>
        <v>The effect of on-shelf sugar labeling on beverage sales in the supermarket: a comparative interrupted time series analysis of a natural experiment.</v>
      </c>
      <c r="AG414" s="31" t="str">
        <f>IFERROR(__xludf.DUMMYFUNCTION("""COMPUTED_VALUE"""),"Hoenink, J C; Stuber, J M; Lakerveld, J; Waterlander, W; Beulens, J W J; Mackenbach, J D")</f>
        <v>Hoenink, J C; Stuber, J M; Lakerveld, J; Waterlander, W; Beulens, J W J; Mackenbach, J D</v>
      </c>
      <c r="AH414" s="32">
        <f>IFERROR(__xludf.DUMMYFUNCTION("""COMPUTED_VALUE"""),44292.0)</f>
        <v>44292</v>
      </c>
      <c r="AI414" s="31" t="str">
        <f>IFERROR(__xludf.DUMMYFUNCTION("""COMPUTED_VALUE"""),"Fatigue in employees with diabetes: its relation with work characteristics and diabetes related burden.")</f>
        <v>Fatigue in employees with diabetes: its relation with work characteristics and diabetes related burden.</v>
      </c>
      <c r="AJ414" s="31" t="str">
        <f>IFERROR(__xludf.DUMMYFUNCTION("""COMPUTED_VALUE"""),"Weijman, I; Ros, W J G; Rutten, G E H M; Schaufeli, W B; Schabracq, M J; Winnubst, J A M")</f>
        <v>Weijman, I; Ros, W J G; Rutten, G E H M; Schaufeli, W B; Schabracq, M J; Winnubst, J A M</v>
      </c>
      <c r="AK414" s="32">
        <f>IFERROR(__xludf.DUMMYFUNCTION("""COMPUTED_VALUE"""),37773.0)</f>
        <v>37773</v>
      </c>
      <c r="AL414" s="31" t="str">
        <f>IFERROR(__xludf.DUMMYFUNCTION("""COMPUTED_VALUE"""),"Selective decontamination of the digestive tract (SDD) in critically ill patients: a narrative review.")</f>
        <v>Selective decontamination of the digestive tract (SDD) in critically ill patients: a narrative review.</v>
      </c>
      <c r="AM414" s="31" t="str">
        <f>IFERROR(__xludf.DUMMYFUNCTION("""COMPUTED_VALUE"""),"Wittekamp, Bastiaan H J; Oostdijk, Evelien A N; Cuthbertson, Brian H; Brun-Buisson, Christian; Bonten, Marc J M")</f>
        <v>Wittekamp, Bastiaan H J; Oostdijk, Evelien A N; Cuthbertson, Brian H; Brun-Buisson, Christian; Bonten, Marc J M</v>
      </c>
      <c r="AN414" s="32">
        <f>IFERROR(__xludf.DUMMYFUNCTION("""COMPUTED_VALUE"""),43808.0)</f>
        <v>43808</v>
      </c>
    </row>
    <row r="415">
      <c r="A415" s="32"/>
      <c r="I415" s="31" t="str">
        <f>IFERROR(__xludf.DUMMYFUNCTION("""COMPUTED_VALUE"""),"neuroimage clinical")</f>
        <v>neuroimage clinical</v>
      </c>
      <c r="J415" s="38">
        <f>COUNTIF(Data!$F$2:$F9917, $I415)</f>
        <v>2</v>
      </c>
      <c r="T415" s="31" t="s">
        <v>538</v>
      </c>
      <c r="U415" s="31" t="s">
        <v>539</v>
      </c>
      <c r="V415" s="32">
        <v>45380.0</v>
      </c>
      <c r="X415" s="31" t="str">
        <f>IFERROR(__xludf.DUMMYFUNCTION("""COMPUTED_VALUE"""),"Time interval from primary melanoma to first distant recurrence in relation to patient outcomes in advanced melanoma.")</f>
        <v>Time interval from primary melanoma to first distant recurrence in relation to patient outcomes in advanced melanoma.</v>
      </c>
      <c r="Y415" s="31" t="str">
        <f>IFERROR(__xludf.DUMMYFUNCTION("""COMPUTED_VALUE"""),"van Duin, Isabella A J; Elias, Sjoerd G; van den Eertwegh, Alfonsus J M; de Groot, Jan Willem B; Blokx, Willeke A M; van Diest, Paul J; Leiner, Tim; Verhoeff, Joost J C; Verheijden, Rik J; van Not, Olivier J; Aarts, Maureen J B; van den Berkmortel, Franch"&amp;"ette W P J; Blank, Christian U; Haanen, John B A G; Hospers, Geke A P; Kamphuis, Anna M; Piersma, Djura; van Rijn, Rozemarijn S; van der Veldt, Astrid A M; Vreugdenhil, Gerard; Wouters, Michel W J M; Stevense-den Boer, Marion A M; Boers-Sonderen, Marye J;"&amp;" Kapiteijn, Ellen; Suijkerbuijk, Karijn P M")</f>
        <v>van Duin, Isabella A J; Elias, Sjoerd G; van den Eertwegh, Alfonsus J M; de Groot, Jan Willem B; Blokx, Willeke A M; van Diest, Paul J; Leiner, Tim; Verhoeff, Joost J C; Verheijden, Rik J; van Not, Olivier J; Aarts, Maureen J B; van den Berkmortel, Franchette W P J; Blank, Christian U; Haanen, John B A G; Hospers, Geke A P; Kamphuis, Anna M; Piersma, Djura; van Rijn, Rozemarijn S; van der Veldt, Astrid A M; Vreugdenhil, Gerard; Wouters, Michel W J M; Stevense-den Boer, Marion A M; Boers-Sonderen, Marye J; Kapiteijn, Ellen; Suijkerbuijk, Karijn P M</v>
      </c>
      <c r="Z415" s="31">
        <f>IFERROR(__xludf.DUMMYFUNCTION("""COMPUTED_VALUE"""),2023.0)</f>
        <v>2023</v>
      </c>
      <c r="AA415" s="31">
        <f>IFERROR(__xludf.DUMMYFUNCTION("""COMPUTED_VALUE"""),1.0)</f>
        <v>1</v>
      </c>
      <c r="AF415" s="31" t="str">
        <f>IFERROR(__xludf.DUMMYFUNCTION("""COMPUTED_VALUE"""),"Publisher Correction: LifeTime and improving European healthcare through cell-based interceptive medicine.")</f>
        <v>Publisher Correction: LifeTime and improving European healthcare through cell-based interceptive medicine.</v>
      </c>
      <c r="AG415" s="31" t="str">
        <f>IFERROR(__xludf.DUMMYFUNCTION("""COMPUTED_VALUE"""),"Rajewsky, Nikolaus; Almouzni, Geneviève; Gorski, Stanislaw A; Aerts, Stein; Amit, Ido; Bertero, Michela G; Bock, Christoph; Bredenoord, Annelien L; Cavalli, Giacomo; Chiocca, Susanna; Clevers, Hans; De Strooper, Bart; Eggert, Angelika; Ellenberg, Jan; Fer"&amp;"nández, Xosé M; Figlerowicz, Marek; Gasser, Susan M; Hubner, Norbert; Kjems, Jørgen; Knoblich, Jürgen A; Krabbe, Grietje; Lichter, Peter; Linnarsson, Sten; Marine, Jean-Christophe; Marioni, John C; Marti-Renom, Marc A; Netea, Mihai G; Nickel, Dörthe; Noll"&amp;"mann, Marcelo; Novak, Halina R; Parkinson, Helen; Piccolo, Stefano; Pinheiro, Inês; Pombo, Ana; Popp, Christian; Reik, Wolf; Roman-Roman, Sergio; Rosenstiel, Philip; Schultze, Joachim L; Stegle, Oliver; Tanay, Amos; Testa, Giuseppe; Thanos, Dimitris; Thei"&amp;"s, Fabian J; Torres-Padilla, Maria-Elena; Valencia, Alfonso; Vallot, Céline; van Oudenaarden, Alexander; Vidal, Marie; Voet, Thierry; ,")</f>
        <v>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v>
      </c>
      <c r="AH415" s="32">
        <f>IFERROR(__xludf.DUMMYFUNCTION("""COMPUTED_VALUE"""),44287.0)</f>
        <v>44287</v>
      </c>
      <c r="AI415" s="31" t="str">
        <f>IFERROR(__xludf.DUMMYFUNCTION("""COMPUTED_VALUE"""),"Is treatment of atrial fibrillation in primary care based on thromboembolic risk assessment?")</f>
        <v>Is treatment of atrial fibrillation in primary care based on thromboembolic risk assessment?</v>
      </c>
      <c r="AJ415" s="31" t="str">
        <f>IFERROR(__xludf.DUMMYFUNCTION("""COMPUTED_VALUE"""),"Rutten, Frans H; Hak, Eelko; Stalman, Wim A B; Verheij, Theo J M; Hoes, Arno W")</f>
        <v>Rutten, Frans H; Hak, Eelko; Stalman, Wim A B; Verheij, Theo J M; Hoes, Arno W</v>
      </c>
      <c r="AK415" s="32">
        <f>IFERROR(__xludf.DUMMYFUNCTION("""COMPUTED_VALUE"""),37653.0)</f>
        <v>37653</v>
      </c>
      <c r="AL415" s="31" t="str">
        <f>IFERROR(__xludf.DUMMYFUNCTION("""COMPUTED_VALUE"""),"Adherence to the World Cancer Research Fund/American Institute for Cancer Research cancer prevention recommendations and risk of in situ breast cancer in the European Prospective Investigation into Cancer and Nutrition (EPIC) cohort.")</f>
        <v>Adherence to the World Cancer Research Fund/American Institute for Cancer Research cancer prevention recommendations and risk of in situ breast cancer in the European Prospective Investigation into Cancer and Nutrition (EPIC) cohort.</v>
      </c>
      <c r="AM415" s="31" t="str">
        <f>IFERROR(__xludf.DUMMYFUNCTION("""COMPUTED_VALUE"""),"Karavasiloglou, Nena; Hüsing, Anika; Masala, Giovanna; van Gils, Carla H; Turzanski Fortner, Renée; Chang-Claude, Jenny; Huybrechts, Inge; Weiderpass, Elisabete; Gunter, Marc; Arveux, Patrick; Fournier, Agnès; Kvaskoff, Marina; Tjønneland, Anne; Kyrø, Cec"&amp;"ilie; Dahm, Christina C; Vistisen, Helene Tilma; Bakker, Marije F; Sánchez, Maria-Jose; Chirlaque López, María Dolores; Santiuste, Carmen; Ardanaz, Eva; Menéndez, Virginia; Agudo, Antonio; Trichopoulou, Antonia; Karakatsani, Anna; La Vecchia, Carlo; Peppa"&amp;", Eleni; Palli, Domenico; Agnoli, Claudia; Panico, Salvatore; Tumino, Rosario; Sacerdote, Carlotta; Butt, Salma Tunå; Borgquist, Signe; Skeie, Guri; Schulze, Matthias; Key, Timothy; Khaw, Kay-Tee; Tsilidis, Kostantinos K; Ellingjord-Dale, Merete; Riboli, "&amp;"Elio; Kaaks, Rudolf; Dossus, Laure; Rohrmann, Sabine; Kühn, Tilman")</f>
        <v>Karavasiloglou, Nena; Hüsing, Anika; Masala, Giovanna; van Gils, Carla H; Turzanski Fortner, Renée; Chang-Claude, Jenny; Huybrechts, Inge; Weiderpass, Elisabete; Gunter, Marc; Arveux, Patrick; Fournier, Agnès; Kvaskoff, Marina; Tjønneland, Anne; Kyrø, Cecilie; Dahm, Christina C; Vistisen, Helene Tilma; Bakker, Marije F; Sánchez, Maria-Jose; Chirlaque López, María Dolores; Santiuste, Carmen; Ardanaz, Eva; Menéndez, Virginia; Agudo, Antonio; Trichopoulou, Antonia; Karakatsani, Anna; La Vecchia, Carlo; Peppa, Eleni; Palli, Domenico; Agnoli, Claudia; Panico, Salvatore; Tumino, Rosario; Sacerdote, Carlotta; Butt, Salma Tunå; Borgquist, Signe; Skeie, Guri; Schulze, Matthias; Key, Timothy; Khaw, Kay-Tee; Tsilidis, Kostantinos K; Ellingjord-Dale, Merete; Riboli, Elio; Kaaks, Rudolf; Dossus, Laure; Rohrmann, Sabine; Kühn, Tilman</v>
      </c>
      <c r="AN415" s="32">
        <f>IFERROR(__xludf.DUMMYFUNCTION("""COMPUTED_VALUE"""),43801.0)</f>
        <v>43801</v>
      </c>
    </row>
    <row r="416">
      <c r="A416" s="32"/>
      <c r="I416" s="31" t="str">
        <f>IFERROR(__xludf.DUMMYFUNCTION("""COMPUTED_VALUE"""),"journal of general and family medicine")</f>
        <v>journal of general and family medicine</v>
      </c>
      <c r="J416" s="38">
        <f>COUNTIF(Data!$F$2:$F9917, $I416)</f>
        <v>1</v>
      </c>
      <c r="T416" s="31" t="s">
        <v>543</v>
      </c>
      <c r="U416" s="31" t="s">
        <v>156</v>
      </c>
      <c r="V416" s="32">
        <v>45380.0</v>
      </c>
      <c r="X416" s="31" t="str">
        <f>IFERROR(__xludf.DUMMYFUNCTION("""COMPUTED_VALUE"""),"Participant recruitment, baseline characteristics and at-home-measurements of cardiometabolic risk markers: insights from the Supreme Nudge parallel cluster-randomised controlled supermarket trial.")</f>
        <v>Participant recruitment, baseline characteristics and at-home-measurements of cardiometabolic risk markers: insights from the Supreme Nudge parallel cluster-randomised controlled supermarket trial.</v>
      </c>
      <c r="Y416" s="31" t="str">
        <f>IFERROR(__xludf.DUMMYFUNCTION("""COMPUTED_VALUE"""),"Stuber, Josine M; van Hoek, Beryl A C E; Vos, Anne L; Smit, Edith G; Lakerveld, Jeroen; Mackenbach, Joreintje D; Beulens, Joline W J; ,")</f>
        <v>Stuber, Josine M; van Hoek, Beryl A C E; Vos, Anne L; Smit, Edith G; Lakerveld, Jeroen; Mackenbach, Joreintje D; Beulens, Joline W J; ,</v>
      </c>
      <c r="Z416" s="31">
        <f>IFERROR(__xludf.DUMMYFUNCTION("""COMPUTED_VALUE"""),2023.0)</f>
        <v>2023</v>
      </c>
      <c r="AA416" s="31">
        <f>IFERROR(__xludf.DUMMYFUNCTION("""COMPUTED_VALUE"""),1.0)</f>
        <v>1</v>
      </c>
      <c r="AF416" s="31" t="str">
        <f>IFERROR(__xludf.DUMMYFUNCTION("""COMPUTED_VALUE"""),"Responsible Research with Human Tissues: The Need for Reciprocity Toward Both Collectives and Individuals.")</f>
        <v>Responsible Research with Human Tissues: The Need for Reciprocity Toward Both Collectives and Individuals.</v>
      </c>
      <c r="AG416" s="31" t="str">
        <f>IFERROR(__xludf.DUMMYFUNCTION("""COMPUTED_VALUE"""),"Lensink, Michael A; Jongsma, Karin R; Boers, Sarah N; van Delden, Johannes J M; Bredenoord, Annelien L")</f>
        <v>Lensink, Michael A; Jongsma, Karin R; Boers, Sarah N; van Delden, Johannes J M; Bredenoord, Annelien L</v>
      </c>
      <c r="AH416" s="32">
        <f>IFERROR(__xludf.DUMMYFUNCTION("""COMPUTED_VALUE"""),44287.0)</f>
        <v>44287</v>
      </c>
      <c r="AI416" s="31" t="str">
        <f>IFERROR(__xludf.DUMMYFUNCTION("""COMPUTED_VALUE"""),"Risk indicators for pressure ulcers during surgery.")</f>
        <v>Risk indicators for pressure ulcers during surgery.</v>
      </c>
      <c r="AJ416" s="31" t="str">
        <f>IFERROR(__xludf.DUMMYFUNCTION("""COMPUTED_VALUE"""),"Schoonhoven, Lisette; Defloor, Tom; van der Tweel, Ingeborg; Buskens, Erik; Grypdonck, Maria H F")</f>
        <v>Schoonhoven, Lisette; Defloor, Tom; van der Tweel, Ingeborg; Buskens, Erik; Grypdonck, Maria H F</v>
      </c>
      <c r="AK416" s="32">
        <f>IFERROR(__xludf.DUMMYFUNCTION("""COMPUTED_VALUE"""),37469.0)</f>
        <v>37469</v>
      </c>
      <c r="AL416" s="31" t="str">
        <f>IFERROR(__xludf.DUMMYFUNCTION("""COMPUTED_VALUE"""),"Check Your Checklist: The Danger of Over- and Underestimating the Quality of Economic Evaluations.")</f>
        <v>Check Your Checklist: The Danger of Over- and Underestimating the Quality of Economic Evaluations.</v>
      </c>
      <c r="AM416" s="31" t="str">
        <f>IFERROR(__xludf.DUMMYFUNCTION("""COMPUTED_VALUE"""),"Frederix, Geert W J")</f>
        <v>Frederix, Geert W J</v>
      </c>
      <c r="AN416" s="32">
        <f>IFERROR(__xludf.DUMMYFUNCTION("""COMPUTED_VALUE"""),43800.0)</f>
        <v>43800</v>
      </c>
    </row>
    <row r="417">
      <c r="A417" s="32"/>
      <c r="I417" s="31" t="str">
        <f>IFERROR(__xludf.DUMMYFUNCTION("""COMPUTED_VALUE"""),"journal of gastrointestinal cancer")</f>
        <v>journal of gastrointestinal cancer</v>
      </c>
      <c r="J417" s="38">
        <f>COUNTIF(Data!$F$2:$F9917, $I417)</f>
        <v>1</v>
      </c>
      <c r="T417" s="31" t="s">
        <v>547</v>
      </c>
      <c r="U417" s="31" t="s">
        <v>548</v>
      </c>
      <c r="V417" s="32">
        <v>45379.0</v>
      </c>
      <c r="X417" s="31" t="str">
        <f>IFERROR(__xludf.DUMMYFUNCTION("""COMPUTED_VALUE"""),"Four missense genetic variants in &lt;i&gt;CUBN&lt;/i&gt; are associated with higher levels of eGFR in non-diabetes but not in diabetes mellitus or its subtypes: A genetic association study in Europeans.")</f>
        <v>Four missense genetic variants in &lt;i&gt;CUBN&lt;/i&gt; are associated with higher levels of eGFR in non-diabetes but not in diabetes mellitus or its subtypes: A genetic association study in Europeans.</v>
      </c>
      <c r="Y417" s="31" t="str">
        <f>IFERROR(__xludf.DUMMYFUNCTION("""COMPUTED_VALUE"""),"Uglebjerg, Nicoline; Ahmadizar, Fariba; Aly, Dina M; Cañadas-Garre, Marisa; Hill, Claire; Naber, Annemieke; Oddsson, Asmundur; Singh, Sunny S; Smyth, Laura; Trégouët, David-Alexandre; Chaker, Layal; Ghanbari, Mohsen; Steinthorsdottir, Valgerdur; Ahlqvist,"&amp;" Emma; Hadjadj, Samy; Van Hoek, Mandy; Kavousi, Maryam; McKnight, Amy Jayne; Sijbrands, Eric J; Stefansson, Kari; Simons, Matias; Rossing, Peter; Ahluwalia, Tarunveer S")</f>
        <v>Uglebjerg, Nicoline; Ahmadizar, Fariba; Aly, Dina M; Cañadas-Garre, Marisa; Hill, Claire; Naber, Annemieke; Oddsson, Asmundur; Singh, Sunny S; Smyth, Laura; Trégouët, David-Alexandre; Chaker, Layal; Ghanbari, Mohsen; Steinthorsdottir, Valgerdur; Ahlqvist, Emma; Hadjadj, Samy; Van Hoek, Mandy; Kavousi, Maryam; McKnight, Amy Jayne; Sijbrands, Eric J; Stefansson, Kari; Simons, Matias; Rossing, Peter; Ahluwalia, Tarunveer S</v>
      </c>
      <c r="Z417" s="31">
        <f>IFERROR(__xludf.DUMMYFUNCTION("""COMPUTED_VALUE"""),2023.0)</f>
        <v>2023</v>
      </c>
      <c r="AA417" s="31">
        <f>IFERROR(__xludf.DUMMYFUNCTION("""COMPUTED_VALUE"""),1.0)</f>
        <v>1</v>
      </c>
      <c r="AF417" s="31" t="str">
        <f>IFERROR(__xludf.DUMMYFUNCTION("""COMPUTED_VALUE"""),"Mainstreaming informed consent for genomic sequencing: A call for action.")</f>
        <v>Mainstreaming informed consent for genomic sequencing: A call for action.</v>
      </c>
      <c r="AG417" s="31" t="str">
        <f>IFERROR(__xludf.DUMMYFUNCTION("""COMPUTED_VALUE"""),"Bunnik, Eline M; Dondorp, Wybo J; Bredenoord, Annelien L; de Wert, Guido; Cornel, Martina C")</f>
        <v>Bunnik, Eline M; Dondorp, Wybo J; Bredenoord, Annelien L; de Wert, Guido; Cornel, Martina C</v>
      </c>
      <c r="AH417" s="32">
        <f>IFERROR(__xludf.DUMMYFUNCTION("""COMPUTED_VALUE"""),44282.0)</f>
        <v>44282</v>
      </c>
      <c r="AI417" s="31" t="str">
        <f>IFERROR(__xludf.DUMMYFUNCTION("""COMPUTED_VALUE"""),"Incidence of pressure ulcers due to surgery.")</f>
        <v>Incidence of pressure ulcers due to surgery.</v>
      </c>
      <c r="AJ417" s="31" t="str">
        <f>IFERROR(__xludf.DUMMYFUNCTION("""COMPUTED_VALUE"""),"Schoonhoven, Lisette; Defloor, Tom; Grypdonck, Maria H F")</f>
        <v>Schoonhoven, Lisette; Defloor, Tom; Grypdonck, Maria H F</v>
      </c>
      <c r="AK417" s="32">
        <f>IFERROR(__xludf.DUMMYFUNCTION("""COMPUTED_VALUE"""),37438.0)</f>
        <v>37438</v>
      </c>
      <c r="AL417" s="31" t="str">
        <f>IFERROR(__xludf.DUMMYFUNCTION("""COMPUTED_VALUE"""),"In vivo acquisition of fosfomycin resistance in Escherichia coli by fosA transmission from commensal flora.")</f>
        <v>In vivo acquisition of fosfomycin resistance in Escherichia coli by fosA transmission from commensal flora.</v>
      </c>
      <c r="AM417" s="31" t="str">
        <f>IFERROR(__xludf.DUMMYFUNCTION("""COMPUTED_VALUE"""),"Ten Doesschate, Thijs; Abbott, Iain J; Willems, Rob J L; Top, Janetta; Rogers, Malbert R C; Bonten, Marc M; Paganelli, Fernanda L")</f>
        <v>Ten Doesschate, Thijs; Abbott, Iain J; Willems, Rob J L; Top, Janetta; Rogers, Malbert R C; Bonten, Marc M; Paganelli, Fernanda L</v>
      </c>
      <c r="AN417" s="32">
        <f>IFERROR(__xludf.DUMMYFUNCTION("""COMPUTED_VALUE"""),43800.0)</f>
        <v>43800</v>
      </c>
    </row>
    <row r="418">
      <c r="A418" s="32"/>
      <c r="I418" s="31" t="str">
        <f>IFERROR(__xludf.DUMMYFUNCTION("""COMPUTED_VALUE"""),"cancer science")</f>
        <v>cancer science</v>
      </c>
      <c r="J418" s="38">
        <f>COUNTIF(Data!$F$2:$F9917, $I418)</f>
        <v>1</v>
      </c>
      <c r="T418" s="31" t="s">
        <v>552</v>
      </c>
      <c r="U418" s="31" t="s">
        <v>553</v>
      </c>
      <c r="V418" s="32">
        <v>45379.0</v>
      </c>
      <c r="X418" s="31" t="str">
        <f>IFERROR(__xludf.DUMMYFUNCTION("""COMPUTED_VALUE"""),"Impact of the COVID-19 Outbreak-Delayed Referral of Colorectal and Lung Cancer in Primary Care: A National Retrospective Cohort Study.")</f>
        <v>Impact of the COVID-19 Outbreak-Delayed Referral of Colorectal and Lung Cancer in Primary Care: A National Retrospective Cohort Study.</v>
      </c>
      <c r="Y418" s="31" t="str">
        <f>IFERROR(__xludf.DUMMYFUNCTION("""COMPUTED_VALUE"""),"Helsper, Charles W; Van Gils, Carla H; Van Erp, Nicole F; Siepman van den Berg, Marinde F R; Rogouti, Omar; Van Asselt, Kristel M; Maarsingh, Otto R; Muris, Jean; Brandenbarg, Daan; Siesling, Sabine; De Wit, Niek J; Grant, Matthew P; On Behalf Of The Covi"&amp;"d And Cancer Consortium,")</f>
        <v>Helsper, Charles W; Van Gils, Carla H; Van Erp, Nicole F; Siepman van den Berg, Marinde F R; Rogouti, Omar; Van Asselt, Kristel M; Maarsingh, Otto R; Muris, Jean; Brandenbarg, Daan; Siesling, Sabine; De Wit, Niek J; Grant, Matthew P; On Behalf Of The Covid And Cancer Consortium,</v>
      </c>
      <c r="Z418" s="31">
        <f>IFERROR(__xludf.DUMMYFUNCTION("""COMPUTED_VALUE"""),2023.0)</f>
        <v>2023</v>
      </c>
      <c r="AA418" s="31">
        <f>IFERROR(__xludf.DUMMYFUNCTION("""COMPUTED_VALUE"""),1.0)</f>
        <v>1</v>
      </c>
      <c r="AF418" s="31" t="str">
        <f>IFERROR(__xludf.DUMMYFUNCTION("""COMPUTED_VALUE"""),"Added value of computed tomography fractional flow reserve in the diagnosis of coronary artery disease.")</f>
        <v>Added value of computed tomography fractional flow reserve in the diagnosis of coronary artery disease.</v>
      </c>
      <c r="AG418" s="31" t="str">
        <f>IFERROR(__xludf.DUMMYFUNCTION("""COMPUTED_VALUE"""),"Peper, J; Schaap, J; Kelder, J C; Rensing, B J W M; Grobbee, D E; Leiner, T; Swaans, M J")</f>
        <v>Peper, J; Schaap, J; Kelder, J C; Rensing, B J W M; Grobbee, D E; Leiner, T; Swaans, M J</v>
      </c>
      <c r="AH418" s="32">
        <f>IFERROR(__xludf.DUMMYFUNCTION("""COMPUTED_VALUE"""),44279.0)</f>
        <v>44279</v>
      </c>
      <c r="AI418" s="31" t="str">
        <f>IFERROR(__xludf.DUMMYFUNCTION("""COMPUTED_VALUE"""),"Influenza vaccinations: who needs them and when?")</f>
        <v>Influenza vaccinations: who needs them and when?</v>
      </c>
      <c r="AJ418" s="31" t="str">
        <f>IFERROR(__xludf.DUMMYFUNCTION("""COMPUTED_VALUE"""),"Hak, Eelko; Hoes, Arno W; Verheij, Theo J M")</f>
        <v>Hak, Eelko; Hoes, Arno W; Verheij, Theo J M</v>
      </c>
      <c r="AK418" s="32">
        <f>IFERROR(__xludf.DUMMYFUNCTION("""COMPUTED_VALUE"""),37257.0)</f>
        <v>37257</v>
      </c>
      <c r="AL418" s="31" t="str">
        <f>IFERROR(__xludf.DUMMYFUNCTION("""COMPUTED_VALUE"""),"Predicted basal metabolic rate and cancer risk in the European Prospective Investigation into Cancer and Nutrition.")</f>
        <v>Predicted basal metabolic rate and cancer risk in the European Prospective Investigation into Cancer and Nutrition.</v>
      </c>
      <c r="AM418" s="31" t="str">
        <f>IFERROR(__xludf.DUMMYFUNCTION("""COMPUTED_VALUE"""),"Kliemann, Nathalie; Murphy, Neil; Viallon, Vivian; Freisling, Heinz; Tsilidis, Konstantinos K; Rinaldi, Sabina; Mancini, Francesca R; Fagherazzi, Guy; Boutron-Ruault, Marie-Christine; Boeing, Heiner; Schulze, Matthias B; Masala, Giovanna; Krogh, Vittorio;"&amp;" Sacerdote, Carlotta; de Magistris, Maria S; Bueno-de-Mesquita, Bas; Weiderpass, Elisabete; Kühn, Tilman; Kaaks, Rudolf; Jakszyn, Paula; Redondo-Sánchez, Daniel; Amiano, Pilar; Chirlaque, Maria-Dolores; Gurrea, Aurelio B; Ericson, Ulrica; Drake, Isabel; N"&amp;"øst, Therese H; Aune, Dagfinn; May, Anne M; Tjønneland, Anne; Dahm, Christina C; Overvad, Kim; Tumino, Rosario; Quirós, Jose R; Trichopoulou, Antonia; Karakatsani, Anna; La Vecchia, Carlo; Nilsson, Lena M; Riboli, Elio; Huybrechts, Inge; Gunter, Marc J")</f>
        <v>Kliemann, Nathalie; Murphy, Neil; Viallon, Vivian; Freisling, Heinz; Tsilidis, Konstantinos K; Rinaldi, Sabina; Mancini, Francesca R; Fagherazzi, Guy; Boutron-Ruault, Marie-Christine; Boeing, Heiner; Schulze, Matthias B; Masala, Giovanna; Krogh, Vittorio; Sacerdote, Carlotta; de Magistris, Maria S; Bueno-de-Mesquita, Bas; Weiderpass, Elisabete; Kühn, Tilman; Kaaks, Rudolf; Jakszyn, Paula; Redondo-Sánchez, Daniel; Amiano, Pilar; Chirlaque, Maria-Dolores; Gurrea, Aurelio B; Ericson, Ulrica; Drake, Isabel; Nøst, Therese H; Aune, Dagfinn; May, Anne M; Tjønneland, Anne; Dahm, Christina C; Overvad, Kim; Tumino, Rosario; Quirós, Jose R; Trichopoulou, Antonia; Karakatsani, Anna; La Vecchia, Carlo; Nilsson, Lena M; Riboli, Elio; Huybrechts, Inge; Gunter, Marc J</v>
      </c>
      <c r="AN418" s="32">
        <f>IFERROR(__xludf.DUMMYFUNCTION("""COMPUTED_VALUE"""),43792.0)</f>
        <v>43792</v>
      </c>
    </row>
    <row r="419">
      <c r="A419" s="32"/>
      <c r="I419" s="31" t="str">
        <f>IFERROR(__xludf.DUMMYFUNCTION("""COMPUTED_VALUE"""),"nature cardiovascular research")</f>
        <v>nature cardiovascular research</v>
      </c>
      <c r="J419" s="38">
        <f>COUNTIF(Data!$F$2:$F9917, $I419)</f>
        <v>1</v>
      </c>
      <c r="T419" s="31" t="s">
        <v>556</v>
      </c>
      <c r="U419" s="31" t="s">
        <v>557</v>
      </c>
      <c r="V419" s="32">
        <v>45379.0</v>
      </c>
      <c r="X419" s="31" t="str">
        <f>IFERROR(__xludf.DUMMYFUNCTION("""COMPUTED_VALUE"""),"Nitrofurantoin failure in males with an uncomplicated urinary tract infection: a primary care observational cohort study.")</f>
        <v>Nitrofurantoin failure in males with an uncomplicated urinary tract infection: a primary care observational cohort study.</v>
      </c>
      <c r="Y419" s="31" t="str">
        <f>IFERROR(__xludf.DUMMYFUNCTION("""COMPUTED_VALUE"""),"Platteel, Tamara N; Beets, Marijn T; Teeuwissen, Hendrik A; Doesschate, Thijs Ten; van de Wijgert, Janneke Hhm; Venekamp, Roderick P; van de Pol, Alma C")</f>
        <v>Platteel, Tamara N; Beets, Marijn T; Teeuwissen, Hendrik A; Doesschate, Thijs Ten; van de Wijgert, Janneke Hhm; Venekamp, Roderick P; van de Pol, Alma C</v>
      </c>
      <c r="Z419" s="31">
        <f>IFERROR(__xludf.DUMMYFUNCTION("""COMPUTED_VALUE"""),2023.0)</f>
        <v>2023</v>
      </c>
      <c r="AA419" s="31">
        <f>IFERROR(__xludf.DUMMYFUNCTION("""COMPUTED_VALUE"""),1.0)</f>
        <v>1</v>
      </c>
      <c r="AF419" s="31" t="str">
        <f>IFERROR(__xludf.DUMMYFUNCTION("""COMPUTED_VALUE"""),"Systematically Defined Informative Priors in Bayesian Estimation: An Empirical Application on the Transmission of Internalizing Symptoms Through Mother-Adolescent Interaction Behavior.")</f>
        <v>Systematically Defined Informative Priors in Bayesian Estimation: An Empirical Application on the Transmission of Internalizing Symptoms Through Mother-Adolescent Interaction Behavior.</v>
      </c>
      <c r="AG419" s="31" t="str">
        <f>IFERROR(__xludf.DUMMYFUNCTION("""COMPUTED_VALUE"""),"Schulz, Susanne; Zondervan-Zwijnenburg, Mariëlle; Nelemans, Stefanie A; Veen, Duco; Oldehinkel, Albertine J; Branje, Susan; Meeus, Wim")</f>
        <v>Schulz, Susanne; Zondervan-Zwijnenburg, Mariëlle; Nelemans, Stefanie A; Veen, Duco; Oldehinkel, Albertine J; Branje, Susan; Meeus, Wim</v>
      </c>
      <c r="AH419" s="32">
        <f>IFERROR(__xludf.DUMMYFUNCTION("""COMPUTED_VALUE"""),44279.0)</f>
        <v>44279</v>
      </c>
      <c r="AI419" s="31" t="str">
        <f>IFERROR(__xludf.DUMMYFUNCTION("""COMPUTED_VALUE"""),"Introducing a pneumococcal vaccine to an existing influenza immunization program: vaccination rates and predictors of noncompliance.")</f>
        <v>Introducing a pneumococcal vaccine to an existing influenza immunization program: vaccination rates and predictors of noncompliance.</v>
      </c>
      <c r="AJ419" s="31" t="str">
        <f>IFERROR(__xludf.DUMMYFUNCTION("""COMPUTED_VALUE"""),"Opstelten, W; Hak, E; Verheij, T J; van Essen, G A")</f>
        <v>Opstelten, W; Hak, E; Verheij, T J; van Essen, G A</v>
      </c>
      <c r="AK419" s="32">
        <f>IFERROR(__xludf.DUMMYFUNCTION("""COMPUTED_VALUE"""),37179.0)</f>
        <v>37179</v>
      </c>
      <c r="AL419" s="31" t="str">
        <f>IFERROR(__xludf.DUMMYFUNCTION("""COMPUTED_VALUE"""),"Application of Nipple Aspirate Fluid miRNA Profiles for Early Breast Cancer Detection and Management.")</f>
        <v>Application of Nipple Aspirate Fluid miRNA Profiles for Early Breast Cancer Detection and Management.</v>
      </c>
      <c r="AM419" s="31" t="str">
        <f>IFERROR(__xludf.DUMMYFUNCTION("""COMPUTED_VALUE"""),"Moelans, Cathy B; Patuleia, Susana I S; van Gils, Carla H; van der Wall, Elsken; van Diest, Paul J")</f>
        <v>Moelans, Cathy B; Patuleia, Susana I S; van Gils, Carla H; van der Wall, Elsken; van Diest, Paul J</v>
      </c>
      <c r="AN419" s="32">
        <f>IFERROR(__xludf.DUMMYFUNCTION("""COMPUTED_VALUE"""),43788.0)</f>
        <v>43788</v>
      </c>
    </row>
    <row r="420">
      <c r="A420" s="32"/>
      <c r="I420" s="31" t="str">
        <f>IFERROR(__xludf.DUMMYFUNCTION("""COMPUTED_VALUE"""),"antioxidants basel switzerland")</f>
        <v>antioxidants basel switzerland</v>
      </c>
      <c r="J420" s="38">
        <f>COUNTIF(Data!$F$2:$F9917, $I420)</f>
        <v>1</v>
      </c>
      <c r="T420" s="31" t="s">
        <v>561</v>
      </c>
      <c r="U420" s="31" t="s">
        <v>562</v>
      </c>
      <c r="V420" s="32">
        <v>45378.0</v>
      </c>
      <c r="X420" s="31" t="str">
        <f>IFERROR(__xludf.DUMMYFUNCTION("""COMPUTED_VALUE"""),"Presence of retinopathy and incident kidney and cardiovascular events in type 2 diabetes with normoalbuminuria - A post-hoc analysis of the PRIORITY randomized clinical trial.")</f>
        <v>Presence of retinopathy and incident kidney and cardiovascular events in type 2 diabetes with normoalbuminuria - A post-hoc analysis of the PRIORITY randomized clinical trial.</v>
      </c>
      <c r="Y420" s="31" t="str">
        <f>IFERROR(__xludf.DUMMYFUNCTION("""COMPUTED_VALUE"""),"Rotbain Curovic, Viktor; Tofte, Nete; Lindhardt, Morten; Adamova, Katarina; Bakker, Stephan J L; Beige, Joachim; Beulens, Joline W J; Birkenfeld, Andreas L; Currie, Gemma; Delles, Christian; Dimos, Ingo; Francová, Lidmila; Frimodt-Møller, Marie; Girman, P"&amp;"eter; Göke, Rüdiger; Hansen, Tine W; Havrdova, Tereza; Kooy, Adriaan; Laverman, Gozewijnw D; Mischak, Harald; Navis, Gerjan; Nijpels, Giel; Noutsou, Marina; Ortiz, Alberto; Parvanova, Aneliya; Persson, Frederik; Petrie, John R; Ruggenenti, Piero L; Rutter"&amp;"s, Femke; Rychlík, Ivan; Siwy, Justyna; Spasovski, Goce; Speeckaert, Marijn; Trillini, Matias; Zürbig, Petra; von der Leyen, Heiko; Rossing, Peter; ,")</f>
        <v>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Z420" s="31">
        <f>IFERROR(__xludf.DUMMYFUNCTION("""COMPUTED_VALUE"""),2023.0)</f>
        <v>2023</v>
      </c>
      <c r="AA420" s="31">
        <f>IFERROR(__xludf.DUMMYFUNCTION("""COMPUTED_VALUE"""),1.0)</f>
        <v>1</v>
      </c>
      <c r="AF420" s="31" t="str">
        <f>IFERROR(__xludf.DUMMYFUNCTION("""COMPUTED_VALUE"""),"Community engagement and feedback of results in the H3Africa AWI-Gen project: Experiences from the Navrongo Demographic and Health Surveillance site in Northern Ghana.")</f>
        <v>Community engagement and feedback of results in the H3Africa AWI-Gen project: Experiences from the Navrongo Demographic and Health Surveillance site in Northern Ghana.</v>
      </c>
      <c r="AG420" s="31" t="str">
        <f>IFERROR(__xludf.DUMMYFUNCTION("""COMPUTED_VALUE"""),"Agongo, Godfred; Debpuur, Cornelius; Amenga-Etego, Lucas; Nonterah, Engelbert A; Kaburise, Michael B; Oduro, Abraham; Ramsay, Michele; Tindana, Paulina")</f>
        <v>Agongo, Godfred; Debpuur, Cornelius; Amenga-Etego, Lucas; Nonterah, Engelbert A; Kaburise, Michael B; Oduro, Abraham; Ramsay, Michele; Tindana, Paulina</v>
      </c>
      <c r="AH420" s="32">
        <f>IFERROR(__xludf.DUMMYFUNCTION("""COMPUTED_VALUE"""),44274.0)</f>
        <v>44274</v>
      </c>
      <c r="AI420" s="31" t="str">
        <f>IFERROR(__xludf.DUMMYFUNCTION("""COMPUTED_VALUE"""),"[The clinical and psychological indicators of behavior in wearing a removable appliance].")</f>
        <v>[The clinical and psychological indicators of behavior in wearing a removable appliance].</v>
      </c>
      <c r="AJ420" s="31" t="str">
        <f>IFERROR(__xludf.DUMMYFUNCTION("""COMPUTED_VALUE"""),"Bartsch, A; Witt, E; Dietz, I; Dietz, P")</f>
        <v>Bartsch, A; Witt, E; Dietz, I; Dietz, P</v>
      </c>
      <c r="AK420" s="32">
        <f>IFERROR(__xludf.DUMMYFUNCTION("""COMPUTED_VALUE"""),34121.0)</f>
        <v>34121</v>
      </c>
      <c r="AL420" s="31" t="str">
        <f>IFERROR(__xludf.DUMMYFUNCTION("""COMPUTED_VALUE"""),"The effect of natriuretic C-type peptide and its change over time on mortality in patients on haemodialysis or haemodiafiltration.")</f>
        <v>The effect of natriuretic C-type peptide and its change over time on mortality in patients on haemodialysis or haemodiafiltration.</v>
      </c>
      <c r="AM420" s="31" t="str">
        <f>IFERROR(__xludf.DUMMYFUNCTION("""COMPUTED_VALUE"""),"de Roij van Zuijdewijn, Camiel L M; van Gastel, Lieke H A; Ter Wee, Piet M; Bots, Michiel L; Blankestijn, Peter J; van den Dorpel, Marinus A; Fouque, Denis; Nubé, Menso J; Grooteman, Muriel P C")</f>
        <v>de Roij van Zuijdewijn, Camiel L M; van Gastel, Lieke H A; Ter Wee, Piet M; Bots, Michiel L; Blankestijn, Peter J; van den Dorpel, Marinus A; Fouque, Denis; Nubé, Menso J; Grooteman, Muriel P C</v>
      </c>
      <c r="AN420" s="32">
        <f>IFERROR(__xludf.DUMMYFUNCTION("""COMPUTED_VALUE"""),43787.0)</f>
        <v>43787</v>
      </c>
    </row>
    <row r="421">
      <c r="A421" s="32"/>
      <c r="I421" s="31" t="str">
        <f>IFERROR(__xludf.DUMMYFUNCTION("""COMPUTED_VALUE"""),"clinical colorectal cancer")</f>
        <v>clinical colorectal cancer</v>
      </c>
      <c r="J421" s="38">
        <f>COUNTIF(Data!$F$2:$F9917, $I421)</f>
        <v>3</v>
      </c>
      <c r="T421" s="31" t="s">
        <v>566</v>
      </c>
      <c r="U421" s="31" t="s">
        <v>567</v>
      </c>
      <c r="V421" s="32">
        <v>45378.0</v>
      </c>
      <c r="X421" s="31" t="str">
        <f>IFERROR(__xludf.DUMMYFUNCTION("""COMPUTED_VALUE"""),"Chronic Disease in Low-Resource Settings: Prevention and Management Throughout the Continuum of Care-A Call for Papers.")</f>
        <v>Chronic Disease in Low-Resource Settings: Prevention and Management Throughout the Continuum of Care-A Call for Papers.</v>
      </c>
      <c r="Y421" s="31" t="str">
        <f>IFERROR(__xludf.DUMMYFUNCTION("""COMPUTED_VALUE"""),"Heine, Martin; Hanekom, Susan")</f>
        <v>Heine, Martin; Hanekom, Susan</v>
      </c>
      <c r="Z421" s="31">
        <f>IFERROR(__xludf.DUMMYFUNCTION("""COMPUTED_VALUE"""),2023.0)</f>
        <v>2023</v>
      </c>
      <c r="AA421" s="31">
        <f>IFERROR(__xludf.DUMMYFUNCTION("""COMPUTED_VALUE"""),1.0)</f>
        <v>1</v>
      </c>
      <c r="AF421" s="31" t="str">
        <f>IFERROR(__xludf.DUMMYFUNCTION("""COMPUTED_VALUE"""),"Functional impairment, symptom severity, and overall quality of life in patients with advanced lung or colorectal cancer in six European countries: baseline findings from the ACTION study.")</f>
        <v>Functional impairment, symptom severity, and overall quality of life in patients with advanced lung or colorectal cancer in six European countries: baseline findings from the ACTION study.</v>
      </c>
      <c r="AG421" s="31" t="str">
        <f>IFERROR(__xludf.DUMMYFUNCTION("""COMPUTED_VALUE"""),"Verkissen, Mariëtte N; De Vleminck, Aline; Groenvold, Mogens; Jabbarian, Lea J; Bulli, Francesco; Cools, Wilfried; van Delden, Johannes J M; Lunder, Urška; Miccinesi, Guido; Payne, Sheila A; Pollock, Kristian; Rietjens, Judith A C; Deliens, Luc")</f>
        <v>Verkissen, Mariëtte N; De Vleminck, Aline; Groenvold, Mogens; Jabbarian, Lea J; Bulli, Francesco; Cools, Wilfried; van Delden, Johannes J M; Lunder, Urška; Miccinesi, Guido; Payne, Sheila A; Pollock, Kristian; Rietjens, Judith A C; Deliens, Luc</v>
      </c>
      <c r="AH421" s="32">
        <f>IFERROR(__xludf.DUMMYFUNCTION("""COMPUTED_VALUE"""),44274.0)</f>
        <v>44274</v>
      </c>
      <c r="AI421" s="31" t="str">
        <f>IFERROR(__xludf.DUMMYFUNCTION("""COMPUTED_VALUE"""),"Systemic corticosteroid therapy for acute sinusitis.")</f>
        <v>Systemic corticosteroid therapy for acute sinusitis.</v>
      </c>
      <c r="AJ421" s="31" t="str">
        <f>IFERROR(__xludf.DUMMYFUNCTION("""COMPUTED_VALUE"""),"Venekamp, Roderick P; Thompson, Matthew J; Rovers, Maroeska M")</f>
        <v>Venekamp, Roderick P; Thompson, Matthew J; Rovers, Maroeska M</v>
      </c>
      <c r="AK421" s="32"/>
      <c r="AL421" s="31" t="str">
        <f>IFERROR(__xludf.DUMMYFUNCTION("""COMPUTED_VALUE"""),"Elaboration of Consensus Clinical Endpoints to Evaluate Antimicrobial Treatment Efficacy in Future Hospital-acquired/Ventilator-associated Bacterial Pneumonia Clinical Trials.")</f>
        <v>Elaboration of Consensus Clinical Endpoints to Evaluate Antimicrobial Treatment Efficacy in Future Hospital-acquired/Ventilator-associated Bacterial Pneumonia Clinical Trials.</v>
      </c>
      <c r="AM421" s="31" t="str">
        <f>IFERROR(__xludf.DUMMYFUNCTION("""COMPUTED_VALUE"""),"Weiss, Emmanuel; Zahar, Jean-Ralph; Alder, Jeff; Asehnoune, Karim; Bassetti, Matteo; Bonten, Marc J M; Chastre, Jean; De Waele, Jan; Dimopoulos, George; Eggimann, Philippe; Engelhardt, Marc; Ewig, Santiago; Kollef, Marin; Lipman, Jeffrey; Luna, Carlos; Ma"&amp;"rtin-Loeches, Ignacio; Pagani, Leonardo; Palmer, Lucy B; Papazian, Laurent; Poulakou, Garyphallia; Prokocimer, Philippe; Rello, Jordi; Rex, John H; Shorr, Andrew F; Talbot, George H; Thamlikitkul, Visanu; Torres, Antoni; Wunderink, Richard G; Timsit, Jean"&amp;"-François")</f>
        <v>Weiss, Emmanuel; Zahar, Jean-Ralph; Alder, Jeff; Asehnoune, Karim; Bassetti, Matteo; Bonten, Marc J M; Chastre, Jean; De Waele, Jan; Dimopoulos, George; Eggimann, Philippe; Engelhardt, Marc; Ewig, Santiago; Kollef, Marin; Lipman, Jeffrey; Luna, Carlos; Martin-Loeches, Ignacio; Pagani, Leonardo; Palmer, Lucy B; Papazian, Laurent; Poulakou, Garyphallia; Prokocimer, Philippe; Rello, Jordi; Rex, John H; Shorr, Andrew F; Talbot, George H; Thamlikitkul, Visanu; Torres, Antoni; Wunderink, Richard G; Timsit, Jean-François</v>
      </c>
      <c r="AN421" s="32">
        <f>IFERROR(__xludf.DUMMYFUNCTION("""COMPUTED_VALUE"""),43782.0)</f>
        <v>43782</v>
      </c>
    </row>
    <row r="422">
      <c r="A422" s="32"/>
      <c r="I422" s="31" t="str">
        <f>IFERROR(__xludf.DUMMYFUNCTION("""COMPUTED_VALUE"""),"clinical epidemiology")</f>
        <v>clinical epidemiology</v>
      </c>
      <c r="J422" s="38">
        <f>COUNTIF(Data!$F$2:$F9917, $I422)</f>
        <v>4</v>
      </c>
      <c r="T422" s="31" t="s">
        <v>572</v>
      </c>
      <c r="U422" s="31" t="s">
        <v>573</v>
      </c>
      <c r="V422" s="32">
        <v>45378.0</v>
      </c>
      <c r="X422" s="31" t="str">
        <f>IFERROR(__xludf.DUMMYFUNCTION("""COMPUTED_VALUE"""),"Dietary fatty acids and endometrial cancer risk within the European Prospective Investigation into Cancer and Nutrition.")</f>
        <v>Dietary fatty acids and endometrial cancer risk within the European Prospective Investigation into Cancer and Nutrition.</v>
      </c>
      <c r="Y422" s="31" t="str">
        <f>IFERROR(__xludf.DUMMYFUNCTION("""COMPUTED_VALUE"""),"Yammine, S G; Huybrechts, I; Biessy, C; Dossus, L; Panico, S; Sánchez, M J; Benetou, V; Turzanski-Fortner, R; Katzke, V; Idahl, A; Skeie, G; Olsen, K Standahl; Tjønneland, A; Halkjaer, J; Colorado-Yohar, S; Heath, A K; Sonestedt, E; Sartor, H; Schulze, M "&amp;"B; Palli, D; Crous-Bou, M; Dorronsoro, A; Overvad, K; Gurrea, A Barricarte; Severi, G; Vermeulen, R C H; Sandanger, T M; Travis, R C; Key, T; Amiano, P; Van Guelpen, B; Johansson, M; Sund, M; Tumino, R; Wareham, N; Sacerdote, C; Krogh, V; Brennan, P; Ribo"&amp;"li, E; Weiderpass, E; Gunter, M J; Chajès, V")</f>
        <v>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v>
      </c>
      <c r="Z422" s="31">
        <f>IFERROR(__xludf.DUMMYFUNCTION("""COMPUTED_VALUE"""),2023.0)</f>
        <v>2023</v>
      </c>
      <c r="AA422" s="31">
        <f>IFERROR(__xludf.DUMMYFUNCTION("""COMPUTED_VALUE"""),1.0)</f>
        <v>1</v>
      </c>
      <c r="AF422" s="31" t="str">
        <f>IFERROR(__xludf.DUMMYFUNCTION("""COMPUTED_VALUE"""),"Who is afraid of black box algorithms? On the epistemological and ethical basis of trust in medical AI.")</f>
        <v>Who is afraid of black box algorithms? On the epistemological and ethical basis of trust in medical AI.</v>
      </c>
      <c r="AG422" s="31" t="str">
        <f>IFERROR(__xludf.DUMMYFUNCTION("""COMPUTED_VALUE"""),"Durán, Juan Manuel; Jongsma, Karin Rolanda")</f>
        <v>Durán, Juan Manuel; Jongsma, Karin Rolanda</v>
      </c>
      <c r="AH422" s="32">
        <f>IFERROR(__xludf.DUMMYFUNCTION("""COMPUTED_VALUE"""),44273.0)</f>
        <v>44273</v>
      </c>
      <c r="AI422" s="31" t="str">
        <f>IFERROR(__xludf.DUMMYFUNCTION("""COMPUTED_VALUE"""),"Coping Strategies of Adolescent and Young Adult Survivors of Childhood Cancer: A Qualitative Study.")</f>
        <v>Coping Strategies of Adolescent and Young Adult Survivors of Childhood Cancer: A Qualitative Study.</v>
      </c>
      <c r="AJ422" s="31" t="str">
        <f>IFERROR(__xludf.DUMMYFUNCTION("""COMPUTED_VALUE"""),"Belpame, Nathalie; Kars, Marijke C; Deslypere, Eva; Rober, Peter; Van Hecke, Ann; Verhaeghe, Sofie")</f>
        <v>Belpame, Nathalie; Kars, Marijke C; Deslypere, Eva; Rober, Peter; Van Hecke, Ann; Verhaeghe, Sofie</v>
      </c>
      <c r="AK422" s="32"/>
      <c r="AL422" s="31" t="str">
        <f>IFERROR(__xludf.DUMMYFUNCTION("""COMPUTED_VALUE"""),"MRI-guided pulmonary vein isolation for atrial fibrillation: what is good enough? An early health technology assessment.")</f>
        <v>MRI-guided pulmonary vein isolation for atrial fibrillation: what is good enough? An early health technology assessment.</v>
      </c>
      <c r="AM422" s="31" t="str">
        <f>IFERROR(__xludf.DUMMYFUNCTION("""COMPUTED_VALUE"""),"Wenker, Steven; van Lieshout, Chris; Frederix, Geert; van der Heijden, Jeroen; Loh, Peter; Chamuleau, Steven A J; van Slochteren, Frebus")</f>
        <v>Wenker, Steven; van Lieshout, Chris; Frederix, Geert; van der Heijden, Jeroen; Loh, Peter; Chamuleau, Steven A J; van Slochteren, Frebus</v>
      </c>
      <c r="AN422" s="32">
        <f>IFERROR(__xludf.DUMMYFUNCTION("""COMPUTED_VALUE"""),43780.0)</f>
        <v>43780</v>
      </c>
    </row>
    <row r="423">
      <c r="A423" s="32"/>
      <c r="I423" s="31" t="str">
        <f>IFERROR(__xludf.DUMMYFUNCTION("""COMPUTED_VALUE"""),"journal of palliative care")</f>
        <v>journal of palliative care</v>
      </c>
      <c r="J423" s="38">
        <f>COUNTIF(Data!$F$2:$F9917, $I423)</f>
        <v>1</v>
      </c>
      <c r="T423" s="31" t="s">
        <v>576</v>
      </c>
      <c r="U423" s="31" t="s">
        <v>577</v>
      </c>
      <c r="V423" s="32">
        <v>45377.0</v>
      </c>
      <c r="X423" s="31" t="str">
        <f>IFERROR(__xludf.DUMMYFUNCTION("""COMPUTED_VALUE"""),"Responsible innovation in stem cell research: using responsibility as a strategy.")</f>
        <v>Responsible innovation in stem cell research: using responsibility as a strategy.</v>
      </c>
      <c r="Y423" s="31" t="str">
        <f>IFERROR(__xludf.DUMMYFUNCTION("""COMPUTED_VALUE"""),"Assen, L S; Jongsma, K R; Isasi, R; Utomo, L; Tryfonidou, M A; Bredenoord, A L")</f>
        <v>Assen, L S; Jongsma, K R; Isasi, R; Utomo, L; Tryfonidou, M A; Bredenoord, A L</v>
      </c>
      <c r="Z423" s="31">
        <f>IFERROR(__xludf.DUMMYFUNCTION("""COMPUTED_VALUE"""),2023.0)</f>
        <v>2023</v>
      </c>
      <c r="AA423" s="31">
        <f>IFERROR(__xludf.DUMMYFUNCTION("""COMPUTED_VALUE"""),1.0)</f>
        <v>1</v>
      </c>
      <c r="AF423" s="31" t="str">
        <f>IFERROR(__xludf.DUMMYFUNCTION("""COMPUTED_VALUE"""),"Experts' moral views on gene drive technologies: a qualitative interview study.")</f>
        <v>Experts' moral views on gene drive technologies: a qualitative interview study.</v>
      </c>
      <c r="AG423" s="31" t="str">
        <f>IFERROR(__xludf.DUMMYFUNCTION("""COMPUTED_VALUE"""),"de Graeff, N; Jongsma, Karin R; Bredenoord, Annelien L")</f>
        <v>de Graeff, N; Jongsma, Karin R; Bredenoord, Annelien L</v>
      </c>
      <c r="AH423" s="32">
        <f>IFERROR(__xludf.DUMMYFUNCTION("""COMPUTED_VALUE"""),44263.0)</f>
        <v>44263</v>
      </c>
      <c r="AL423" s="31" t="str">
        <f>IFERROR(__xludf.DUMMYFUNCTION("""COMPUTED_VALUE"""),"The added value of the selective SuperPolymyxin™ medium in detecting rectal carriage of Gram-negative bacteria with acquired colistin resistance in intensive care unit patients receiving selective digestive decontamination.")</f>
        <v>The added value of the selective SuperPolymyxin™ medium in detecting rectal carriage of Gram-negative bacteria with acquired colistin resistance in intensive care unit patients receiving selective digestive decontamination.</v>
      </c>
      <c r="AM423" s="31" t="str">
        <f>IFERROR(__xludf.DUMMYFUNCTION("""COMPUTED_VALUE"""),"van Hout, Denise; Janssen, Axel B; Rentenaar, Rob J; Vlooswijk, Judith P M; Boel, C H Edwin; Bonten, Marc J M")</f>
        <v>van Hout, Denise; Janssen, Axel B; Rentenaar, Rob J; Vlooswijk, Judith P M; Boel, C H Edwin; Bonten, Marc J M</v>
      </c>
      <c r="AN423" s="32">
        <f>IFERROR(__xludf.DUMMYFUNCTION("""COMPUTED_VALUE"""),43775.0)</f>
        <v>43775</v>
      </c>
    </row>
    <row r="424">
      <c r="A424" s="32"/>
      <c r="I424" s="31" t="str">
        <f>IFERROR(__xludf.DUMMYFUNCTION("""COMPUTED_VALUE"""),"american journal of physiology heart and circulatory physiology")</f>
        <v>american journal of physiology heart and circulatory physiology</v>
      </c>
      <c r="J424" s="38">
        <f>COUNTIF(Data!$F$2:$F9917, $I424)</f>
        <v>1</v>
      </c>
      <c r="T424" s="31" t="s">
        <v>581</v>
      </c>
      <c r="U424" s="31" t="s">
        <v>582</v>
      </c>
      <c r="V424" s="32">
        <v>45377.0</v>
      </c>
      <c r="X424" s="31" t="str">
        <f>IFERROR(__xludf.DUMMYFUNCTION("""COMPUTED_VALUE"""),"Evaluation of SGLT-2 inhibitor treatment in type 2 diabetes patients with very high cardiovascular risk.")</f>
        <v>Evaluation of SGLT-2 inhibitor treatment in type 2 diabetes patients with very high cardiovascular risk.</v>
      </c>
      <c r="Y424" s="31" t="str">
        <f>IFERROR(__xludf.DUMMYFUNCTION("""COMPUTED_VALUE"""),"Hart, Huberta E; Kievits, Olivier; Rutten, Frans H; Hollander, Monika H")</f>
        <v>Hart, Huberta E; Kievits, Olivier; Rutten, Frans H; Hollander, Monika H</v>
      </c>
      <c r="Z424" s="31">
        <f>IFERROR(__xludf.DUMMYFUNCTION("""COMPUTED_VALUE"""),2023.0)</f>
        <v>2023</v>
      </c>
      <c r="AA424" s="31">
        <f>IFERROR(__xludf.DUMMYFUNCTION("""COMPUTED_VALUE"""),1.0)</f>
        <v>1</v>
      </c>
      <c r="AF424" s="31" t="str">
        <f>IFERROR(__xludf.DUMMYFUNCTION("""COMPUTED_VALUE"""),"Correction to: Built environmental characteristics and diabetes: a systematic review and meta-analysis.")</f>
        <v>Correction to: Built environmental characteristics and diabetes: a systematic review and meta-analysis.</v>
      </c>
      <c r="AG424" s="31" t="str">
        <f>IFERROR(__xludf.DUMMYFUNCTION("""COMPUTED_VALUE"""),"den Braver, N R; Lakerveld, J; Rutters, F; Schoonmade, L J; Brug, J; Beulens, J W J")</f>
        <v>den Braver, N R; Lakerveld, J; Rutters, F; Schoonmade, L J; Brug, J; Beulens, J W J</v>
      </c>
      <c r="AH424" s="32">
        <f>IFERROR(__xludf.DUMMYFUNCTION("""COMPUTED_VALUE"""),44262.0)</f>
        <v>44262</v>
      </c>
      <c r="AL424" s="31" t="str">
        <f>IFERROR(__xludf.DUMMYFUNCTION("""COMPUTED_VALUE"""),"Doxorubicin-induced skeletal muscle atrophy: Elucidating the underlying molecular pathways.")</f>
        <v>Doxorubicin-induced skeletal muscle atrophy: Elucidating the underlying molecular pathways.</v>
      </c>
      <c r="AM424" s="31" t="str">
        <f>IFERROR(__xludf.DUMMYFUNCTION("""COMPUTED_VALUE"""),"Hiensch, Anouk E; Bolam, Kate A; Mijwel, Sara; Jeneson, Jeroen A L; Huitema, Alwin D R; Kranenburg, Onno; van der Wall, Elsken; Rundqvist, Helene; Wengstrom, Yvönne; May, Anne M")</f>
        <v>Hiensch, Anouk E; Bolam, Kate A; Mijwel, Sara; Jeneson, Jeroen A L; Huitema, Alwin D R; Kranenburg, Onno; van der Wall, Elsken; Rundqvist, Helene; Wengstrom, Yvönne; May, Anne M</v>
      </c>
      <c r="AN424" s="32">
        <f>IFERROR(__xludf.DUMMYFUNCTION("""COMPUTED_VALUE"""),43769.0)</f>
        <v>43769</v>
      </c>
    </row>
    <row r="425">
      <c r="A425" s="32"/>
      <c r="I425" s="31" t="str">
        <f>IFERROR(__xludf.DUMMYFUNCTION("""COMPUTED_VALUE"""),"jama dermatology")</f>
        <v>jama dermatology</v>
      </c>
      <c r="J425" s="38">
        <f>COUNTIF(Data!$F$2:$F9917, $I425)</f>
        <v>5</v>
      </c>
      <c r="T425" s="31" t="s">
        <v>586</v>
      </c>
      <c r="U425" s="31" t="s">
        <v>351</v>
      </c>
      <c r="V425" s="32">
        <v>45377.0</v>
      </c>
      <c r="X425" s="31" t="str">
        <f>IFERROR(__xludf.DUMMYFUNCTION("""COMPUTED_VALUE"""),"Causes, survival rates, and short-term outcomes of preterm births in a tertiary hospital in a low resource setting: An observational cohort study.")</f>
        <v>Causes, survival rates, and short-term outcomes of preterm births in a tertiary hospital in a low resource setting: An observational cohort study.</v>
      </c>
      <c r="Y425" s="31" t="str">
        <f>IFERROR(__xludf.DUMMYFUNCTION("""COMPUTED_VALUE"""),"Mocking, Martina; Adu-Bonsaffoh, Kwame; Osman, Kwabena A; Tamma, Evelyn; Ruiz, Alexa M; van Asperen, Ruth; Oppong, Samuel A; Kleinhout, Mirjam Y; Gyamfi-Bannerman, Cynthia; Browne, Joyce L")</f>
        <v>Mocking, Martina; Adu-Bonsaffoh, Kwame; Osman, Kwabena A; Tamma, Evelyn; Ruiz, Alexa M; van Asperen, Ruth; Oppong, Samuel A; Kleinhout, Mirjam Y; Gyamfi-Bannerman, Cynthia; Browne, Joyce L</v>
      </c>
      <c r="Z425" s="31">
        <f>IFERROR(__xludf.DUMMYFUNCTION("""COMPUTED_VALUE"""),2023.0)</f>
        <v>2023</v>
      </c>
      <c r="AA425" s="31">
        <f>IFERROR(__xludf.DUMMYFUNCTION("""COMPUTED_VALUE"""),1.0)</f>
        <v>1</v>
      </c>
      <c r="AF425" s="31" t="str">
        <f>IFERROR(__xludf.DUMMYFUNCTION("""COMPUTED_VALUE"""),"Association between Practising Religion and Cardiovascular Disease Risk among Ghanaian Non-Migrants and Migrants in Europe: The RODAM Study.")</f>
        <v>Association between Practising Religion and Cardiovascular Disease Risk among Ghanaian Non-Migrants and Migrants in Europe: The RODAM Study.</v>
      </c>
      <c r="AG425" s="31" t="str">
        <f>IFERROR(__xludf.DUMMYFUNCTION("""COMPUTED_VALUE"""),"Michgelsen, Jessica; Boateng, Daniel; Meeks, Karlijn A C; Beune, Erik; Addo, Juliet; Bahendeka, Silver; Stronks, Karien; Agyemang, Charles")</f>
        <v>Michgelsen, Jessica; Boateng, Daniel; Meeks, Karlijn A C; Beune, Erik; Addo, Juliet; Bahendeka, Silver; Stronks, Karien; Agyemang, Charles</v>
      </c>
      <c r="AH425" s="32">
        <f>IFERROR(__xludf.DUMMYFUNCTION("""COMPUTED_VALUE"""),44257.0)</f>
        <v>44257</v>
      </c>
      <c r="AL425" s="31" t="str">
        <f>IFERROR(__xludf.DUMMYFUNCTION("""COMPUTED_VALUE"""),"Patient-reported cosmetic satisfaction and the long-term association with quality of life in irradiated breast cancer patients.")</f>
        <v>Patient-reported cosmetic satisfaction and the long-term association with quality of life in irradiated breast cancer patients.</v>
      </c>
      <c r="AM425" s="31" t="str">
        <f>IFERROR(__xludf.DUMMYFUNCTION("""COMPUTED_VALUE"""),"Batenburg, M C T; Gregorowitsch, M L; Maarse, W; Witkamp, A; Young-Afat, D A; Braakenburg, A; Doeksen, A; van Dalen, T; Sier, M; Schoenmaeckers, E J P; van Gils, C H; van den Bongard, H J G D; Verkooijen, H M; ,")</f>
        <v>Batenburg, M C T; Gregorowitsch, M L; Maarse, W; Witkamp, A; Young-Afat, D A; Braakenburg, A; Doeksen, A; van Dalen, T; Sier, M; Schoenmaeckers, E J P; van Gils, C H; van den Bongard, H J G D; Verkooijen, H M; ,</v>
      </c>
      <c r="AN425" s="32">
        <f>IFERROR(__xludf.DUMMYFUNCTION("""COMPUTED_VALUE"""),43762.0)</f>
        <v>43762</v>
      </c>
    </row>
    <row r="426">
      <c r="A426" s="32"/>
      <c r="I426" s="31" t="str">
        <f>IFERROR(__xludf.DUMMYFUNCTION("""COMPUTED_VALUE"""),"omega")</f>
        <v>omega</v>
      </c>
      <c r="J426" s="38">
        <f>COUNTIF(Data!$F$2:$F9917, $I426)</f>
        <v>1</v>
      </c>
      <c r="T426" s="31" t="s">
        <v>589</v>
      </c>
      <c r="U426" s="31" t="s">
        <v>590</v>
      </c>
      <c r="V426" s="32">
        <v>45376.0</v>
      </c>
      <c r="X426" s="31" t="str">
        <f>IFERROR(__xludf.DUMMYFUNCTION("""COMPUTED_VALUE"""),"Reliability and measurement error of anterior maximum voluntary bite force in children with juvenile idiopathic arthritis and healthy children.")</f>
        <v>Reliability and measurement error of anterior maximum voluntary bite force in children with juvenile idiopathic arthritis and healthy children.</v>
      </c>
      <c r="Y426" s="31" t="str">
        <f>IFERROR(__xludf.DUMMYFUNCTION("""COMPUTED_VALUE"""),"de Sonnaville, Willemijn F C; Steenks, Michel H; Zuithoff, Nicolaas P A; Wulffraat, Nico M; Rosenberg, Antoine J W P; Speksnijder, Caroline M")</f>
        <v>de Sonnaville, Willemijn F C; Steenks, Michel H; Zuithoff, Nicolaas P A; Wulffraat, Nico M; Rosenberg, Antoine J W P; Speksnijder, Caroline M</v>
      </c>
      <c r="Z426" s="31">
        <f>IFERROR(__xludf.DUMMYFUNCTION("""COMPUTED_VALUE"""),2023.0)</f>
        <v>2023</v>
      </c>
      <c r="AA426" s="31">
        <f>IFERROR(__xludf.DUMMYFUNCTION("""COMPUTED_VALUE"""),1.0)</f>
        <v>1</v>
      </c>
      <c r="AF426" s="31" t="str">
        <f>IFERROR(__xludf.DUMMYFUNCTION("""COMPUTED_VALUE"""),"Temporal trends in heart failure medication prescription in a population-based cohort study.")</f>
        <v>Temporal trends in heart failure medication prescription in a population-based cohort study.</v>
      </c>
      <c r="AG426" s="31" t="str">
        <f>IFERROR(__xludf.DUMMYFUNCTION("""COMPUTED_VALUE"""),"Uijl, Alicia; Vaartjes, Ilonca; Denaxas, S; Hemingway, Harry; Shah, Anoop; Cleland, J; Grobbee, Diederick; Hoes, Arno; Asselbergs, Folkert W; Koudstaal, Stefan")</f>
        <v>Uijl, Alicia; Vaartjes, Ilonca; Denaxas, S; Hemingway, Harry; Shah, Anoop; Cleland, J; Grobbee, Diederick; Hoes, Arno; Asselbergs, Folkert W; Koudstaal, Stefan</v>
      </c>
      <c r="AH426" s="32">
        <f>IFERROR(__xludf.DUMMYFUNCTION("""COMPUTED_VALUE"""),44257.0)</f>
        <v>44257</v>
      </c>
      <c r="AL426" s="31" t="str">
        <f>IFERROR(__xludf.DUMMYFUNCTION("""COMPUTED_VALUE"""),"Construction of full-length infectious cDNA clones of Apple stem grooving virus using Gibson Assembly method.")</f>
        <v>Construction of full-length infectious cDNA clones of Apple stem grooving virus using Gibson Assembly method.</v>
      </c>
      <c r="AM426" s="31" t="str">
        <f>IFERROR(__xludf.DUMMYFUNCTION("""COMPUTED_VALUE"""),"Li, Zheng-Nan; Jelkmann, Wilhelm; Sun, Ping-Ping; Zhang, Lei")</f>
        <v>Li, Zheng-Nan; Jelkmann, Wilhelm; Sun, Ping-Ping; Zhang, Lei</v>
      </c>
      <c r="AN426" s="32">
        <f>IFERROR(__xludf.DUMMYFUNCTION("""COMPUTED_VALUE"""),43761.0)</f>
        <v>43761</v>
      </c>
    </row>
    <row r="427">
      <c r="A427" s="32"/>
      <c r="I427" s="31" t="str">
        <f>IFERROR(__xludf.DUMMYFUNCTION("""COMPUTED_VALUE"""),"bmj open respiratory research")</f>
        <v>bmj open respiratory research</v>
      </c>
      <c r="J427" s="38">
        <f>COUNTIF(Data!$F$2:$F9917, $I427)</f>
        <v>1</v>
      </c>
      <c r="T427" s="31" t="s">
        <v>594</v>
      </c>
      <c r="U427" s="31" t="s">
        <v>595</v>
      </c>
      <c r="V427" s="32">
        <v>45375.0</v>
      </c>
      <c r="X427" s="31" t="str">
        <f>IFERROR(__xludf.DUMMYFUNCTION("""COMPUTED_VALUE"""),"Longitudinal decline in semantic &lt;i&gt;versus&lt;/i&gt; letter fluency, but not their ratio, marks incident Alzheimer's disease in Latinx Spanish-speaking older individuals.")</f>
        <v>Longitudinal decline in semantic &lt;i&gt;versus&lt;/i&gt; letter fluency, but not their ratio, marks incident Alzheimer's disease in Latinx Spanish-speaking older individuals.</v>
      </c>
      <c r="Y427" s="31" t="str">
        <f>IFERROR(__xludf.DUMMYFUNCTION("""COMPUTED_VALUE"""),"Fernández, Kayri K; Kociolek, Anton J; Lao, Patrick J; Stern, Yaakov; Manly, Jennifer J; Vonk, Jet M J")</f>
        <v>Fernández, Kayri K; Kociolek, Anton J; Lao, Patrick J; Stern, Yaakov; Manly, Jennifer J; Vonk, Jet M J</v>
      </c>
      <c r="Z427" s="31">
        <f>IFERROR(__xludf.DUMMYFUNCTION("""COMPUTED_VALUE"""),2023.0)</f>
        <v>2023</v>
      </c>
      <c r="AA427" s="31">
        <f>IFERROR(__xludf.DUMMYFUNCTION("""COMPUTED_VALUE"""),1.0)</f>
        <v>1</v>
      </c>
      <c r="AF427" s="31" t="str">
        <f>IFERROR(__xludf.DUMMYFUNCTION("""COMPUTED_VALUE"""),"Population Impact of Girls-Only Human Papillomavirus 16/18 Vaccination in The Netherlands: Cross-Protective and Second-Order Herd Effects.")</f>
        <v>Population Impact of Girls-Only Human Papillomavirus 16/18 Vaccination in The Netherlands: Cross-Protective and Second-Order Herd Effects.</v>
      </c>
      <c r="AG427" s="31" t="str">
        <f>IFERROR(__xludf.DUMMYFUNCTION("""COMPUTED_VALUE"""),"Hoes, Joske; Woestenberg, Petra J; Bogaards, Johannes A; King, Audrey J; de Melker, Hester E; Berkhof, Johannes; Hoebe, Christian J P A; van der Sande, Marianne A B; van Benthem, Birgit H B; ,")</f>
        <v>Hoes, Joske; Woestenberg, Petra J; Bogaards, Johannes A; King, Audrey J; de Melker, Hester E; Berkhof, Johannes; Hoebe, Christian J P A; van der Sande, Marianne A B; van Benthem, Birgit H B; ,</v>
      </c>
      <c r="AH427" s="32">
        <f>IFERROR(__xludf.DUMMYFUNCTION("""COMPUTED_VALUE"""),44256.0)</f>
        <v>44256</v>
      </c>
      <c r="AL427" s="31" t="str">
        <f>IFERROR(__xludf.DUMMYFUNCTION("""COMPUTED_VALUE"""),"Inter- and intra-observer variability in fetal ductus venosus blood flow measurements in high-risk fetuses at 26-32 weeks.")</f>
        <v>Inter- and intra-observer variability in fetal ductus venosus blood flow measurements in high-risk fetuses at 26-32 weeks.</v>
      </c>
      <c r="AM427" s="31" t="str">
        <f>IFERROR(__xludf.DUMMYFUNCTION("""COMPUTED_VALUE"""),"Bruin, Clara M; Ganzevoort, Wessel; Schuit, Ewoud; Mensing van Charante, Nico A; Wolf, Hans")</f>
        <v>Bruin, Clara M; Ganzevoort, Wessel; Schuit, Ewoud; Mensing van Charante, Nico A; Wolf, Hans</v>
      </c>
      <c r="AN427" s="32">
        <f>IFERROR(__xludf.DUMMYFUNCTION("""COMPUTED_VALUE"""),43760.0)</f>
        <v>43760</v>
      </c>
    </row>
    <row r="428">
      <c r="A428" s="32"/>
      <c r="I428" s="31" t="str">
        <f>IFERROR(__xludf.DUMMYFUNCTION("""COMPUTED_VALUE"""),"the proceedings of the nutrition society")</f>
        <v>the proceedings of the nutrition society</v>
      </c>
      <c r="J428" s="38">
        <f>COUNTIF(Data!$F$2:$F9917, $I428)</f>
        <v>1</v>
      </c>
      <c r="T428" s="31" t="s">
        <v>599</v>
      </c>
      <c r="U428" s="31" t="s">
        <v>600</v>
      </c>
      <c r="V428" s="32">
        <v>45374.0</v>
      </c>
      <c r="X428" s="31" t="str">
        <f>IFERROR(__xludf.DUMMYFUNCTION("""COMPUTED_VALUE"""),"Mediating Role of Lifestyle Behaviors in the Association between Education and Cancer: Results from the European Prospective Investigation into Cancer and Nutrition.")</f>
        <v>Mediating Role of Lifestyle Behaviors in the Association between Education and Cancer: Results from the European Prospective Investigation into Cancer and Nutrition.</v>
      </c>
      <c r="Y428" s="31" t="str">
        <f>IFERROR(__xludf.DUMMYFUNCTION("""COMPUTED_VALUE"""),"Macciotta, Alessandra; Catalano, Alberto; Giraudo, Maria Teresa; Weiderpass, Elisabete; Ferrari, Pietro; Freisling, Heinz; Colorado-Yohar, Sandra M; Santiuste, Carmen; Amiano, Pilar; Heath, Alicia K; Ward, Heather A; Christakoudi, Sofia; Vineis, Paolo; Si"&amp;"ngh, Deependra; Vaccarella, Salvatore; Schulze, Matthias B; Hiensch, Anouk E; Monninkhof, Evelyn M; Katzke, Verena; Kaaks, Rudolf; Tumino, Rosario; Lazzarato, Fulvio; Milani, Lorenzo; Agudo, Antonio; Dahm, Christina C; Baglietto, Laura; Perduca, Vittorio;"&amp;" Severi, Gianluca; Grioni, Sara; Panico, Salvatore; Ardanaz, Eva; Borch, Kristin B; Benebo, Faith O; Braaten, Tonje; Sánchez, Maria-Jose; Giachino, Claudia; Sacerdote, Carlotta; Ricceri, Fulvio")</f>
        <v>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v>
      </c>
      <c r="Z428" s="31">
        <f>IFERROR(__xludf.DUMMYFUNCTION("""COMPUTED_VALUE"""),2023.0)</f>
        <v>2023</v>
      </c>
      <c r="AA428" s="31">
        <f>IFERROR(__xludf.DUMMYFUNCTION("""COMPUTED_VALUE"""),1.0)</f>
        <v>1</v>
      </c>
      <c r="AF428" s="31" t="str">
        <f>IFERROR(__xludf.DUMMYFUNCTION("""COMPUTED_VALUE"""),"Relationship between sleep disorders, HIV status and cardiovascular risk: cross-sectional study of long-haul truck drivers from Southern Africa.")</f>
        <v>Relationship between sleep disorders, HIV status and cardiovascular risk: cross-sectional study of long-haul truck drivers from Southern Africa.</v>
      </c>
      <c r="AG428" s="31" t="str">
        <f>IFERROR(__xludf.DUMMYFUNCTION("""COMPUTED_VALUE"""),"Roche, Johanna; Vos, Alinda G; Lalla-Edward, Samanta T; Venter, W D Francois; Scheuermaier, Karine")</f>
        <v>Roche, Johanna; Vos, Alinda G; Lalla-Edward, Samanta T; Venter, W D Francois; Scheuermaier, Karine</v>
      </c>
      <c r="AH428" s="32">
        <f>IFERROR(__xludf.DUMMYFUNCTION("""COMPUTED_VALUE"""),44250.0)</f>
        <v>44250</v>
      </c>
      <c r="AL428" s="31" t="str">
        <f>IFERROR(__xludf.DUMMYFUNCTION("""COMPUTED_VALUE"""),"Nonfocal Transient Neurological Attacks Are Associated With Cerebral Small Vessel Disease.")</f>
        <v>Nonfocal Transient Neurological Attacks Are Associated With Cerebral Small Vessel Disease.</v>
      </c>
      <c r="AM428" s="31" t="str">
        <f>IFERROR(__xludf.DUMMYFUNCTION("""COMPUTED_VALUE"""),"Oudeman, Eline A; Greving, Jacoba P; Van den Berg-Vos, Renske M; Biessels, Geert Jan; Bron, Esther E; van Oostenbrugge, Robert; de Bresser, Jeroen; Kappelle, L Jaap")</f>
        <v>Oudeman, Eline A; Greving, Jacoba P; Van den Berg-Vos, Renske M; Biessels, Geert Jan; Bron, Esther E; van Oostenbrugge, Robert; de Bresser, Jeroen; Kappelle, L Jaap</v>
      </c>
      <c r="AN428" s="32">
        <f>IFERROR(__xludf.DUMMYFUNCTION("""COMPUTED_VALUE"""),43760.0)</f>
        <v>43760</v>
      </c>
    </row>
    <row r="429">
      <c r="A429" s="32"/>
      <c r="I429" s="31" t="str">
        <f>IFERROR(__xludf.DUMMYFUNCTION("""COMPUTED_VALUE"""),"bmc nursing")</f>
        <v>bmc nursing</v>
      </c>
      <c r="J429" s="38">
        <f>COUNTIF(Data!$F$2:$F9917, $I429)</f>
        <v>2</v>
      </c>
      <c r="T429" s="31" t="s">
        <v>603</v>
      </c>
      <c r="U429" s="31" t="s">
        <v>604</v>
      </c>
      <c r="V429" s="32">
        <v>45372.0</v>
      </c>
      <c r="X429" s="31" t="str">
        <f>IFERROR(__xludf.DUMMYFUNCTION("""COMPUTED_VALUE"""),"Association between arterial stiffness/remodeling and new-onset type 2 diabetes mellitus in general population.")</f>
        <v>Association between arterial stiffness/remodeling and new-onset type 2 diabetes mellitus in general population.</v>
      </c>
      <c r="Y429" s="31" t="str">
        <f>IFERROR(__xludf.DUMMYFUNCTION("""COMPUTED_VALUE"""),"Ahmadizar, Fariba; Wang, Kan; Roos, Maurits; Bos, Maxime; Mattace-Raso, Francesco; Kavousi, Maryam")</f>
        <v>Ahmadizar, Fariba; Wang, Kan; Roos, Maurits; Bos, Maxime; Mattace-Raso, Francesco; Kavousi, Maryam</v>
      </c>
      <c r="Z429" s="31">
        <f>IFERROR(__xludf.DUMMYFUNCTION("""COMPUTED_VALUE"""),2023.0)</f>
        <v>2023</v>
      </c>
      <c r="AA429" s="31">
        <f>IFERROR(__xludf.DUMMYFUNCTION("""COMPUTED_VALUE"""),1.0)</f>
        <v>1</v>
      </c>
      <c r="AF429" s="31" t="str">
        <f>IFERROR(__xludf.DUMMYFUNCTION("""COMPUTED_VALUE"""),"Classifying maternal deaths in Suriname using WHO ICD-MM: different interpretation by Physicians, National and International Maternal Death Review Committees.")</f>
        <v>Classifying maternal deaths in Suriname using WHO ICD-MM: different interpretation by Physicians, National and International Maternal Death Review Committees.</v>
      </c>
      <c r="AG429" s="31" t="str">
        <f>IFERROR(__xludf.DUMMYFUNCTION("""COMPUTED_VALUE"""),"Kodan, Lachmi R; Verschueren, Kim J C; McCaw-Binns, Affette M; Tjon Kon Fat, Ray; Browne, Joyce L; Rijken, Marcus J; Bloemenkamp, Kitty W M")</f>
        <v>Kodan, Lachmi R; Verschueren, Kim J C; McCaw-Binns, Affette M; Tjon Kon Fat, Ray; Browne, Joyce L; Rijken, Marcus J; Bloemenkamp, Kitty W M</v>
      </c>
      <c r="AH429" s="32">
        <f>IFERROR(__xludf.DUMMYFUNCTION("""COMPUTED_VALUE"""),44246.0)</f>
        <v>44246</v>
      </c>
      <c r="AL429" s="31" t="str">
        <f>IFERROR(__xludf.DUMMYFUNCTION("""COMPUTED_VALUE"""),"Sequence-based epidemiology of an OXA-48 plasmid during a hospital outbreak.")</f>
        <v>Sequence-based epidemiology of an OXA-48 plasmid during a hospital outbreak.</v>
      </c>
      <c r="AM429" s="31" t="str">
        <f>IFERROR(__xludf.DUMMYFUNCTION("""COMPUTED_VALUE"""),"Hidalgo, Laura; de Been, Mark; Rogers, Malbert R C; Schürch, Anita C; Scharringa, Jelle; van der Zee, Anneke; Bonten, Marc J M; Fluit, Ad C")</f>
        <v>Hidalgo, Laura; de Been, Mark; Rogers, Malbert R C; Schürch, Anita C; Scharringa, Jelle; van der Zee, Anneke; Bonten, Marc J M; Fluit, Ad C</v>
      </c>
      <c r="AN429" s="32">
        <f>IFERROR(__xludf.DUMMYFUNCTION("""COMPUTED_VALUE"""),43745.0)</f>
        <v>43745</v>
      </c>
    </row>
    <row r="430">
      <c r="A430" s="32"/>
      <c r="I430" s="31" t="str">
        <f>IFERROR(__xludf.DUMMYFUNCTION("""COMPUTED_VALUE"""),"bmj supportive palliative care")</f>
        <v>bmj supportive palliative care</v>
      </c>
      <c r="J430" s="38">
        <f>COUNTIF(Data!$F$2:$F9917, $I430)</f>
        <v>4</v>
      </c>
      <c r="T430" s="31" t="s">
        <v>608</v>
      </c>
      <c r="U430" s="31" t="s">
        <v>609</v>
      </c>
      <c r="V430" s="32">
        <v>45372.0</v>
      </c>
      <c r="X430" s="31" t="str">
        <f>IFERROR(__xludf.DUMMYFUNCTION("""COMPUTED_VALUE"""),"Prognostic value of total tumor volume in patients with colorectal liver metastases: A secondary analysis of the randomized CAIRO5 trial with external cohort validation.")</f>
        <v>Prognostic value of total tumor volume in patients with colorectal liver metastases: A secondary analysis of the randomized CAIRO5 trial with external cohort validation.</v>
      </c>
      <c r="Y430" s="31" t="str">
        <f>IFERROR(__xludf.DUMMYFUNCTION("""COMPUTED_VALUE"""),"Michiel Zeeuw, J; Wesdorp, Nina J; Ali, Mahsoem; Bakker, Anne-Joëlle J J; Voigt, Kelly R; Starmans, Martijn P A; Roor, Joran; Kemna, Ruby; van Waesberghe, Jan Hein T M; van den Bergh, Janneke E; Nota, Irene M G C; Moos, Shira I; van Dieren, Susan; van Ame"&amp;"rongen, Martinus J; Bond, Marinde J G; Chapelle, Thiery; van Dam, Ronald M; Engelbrecht, Marc R W; Gerhards, Michael F; van Gulik, Thomas M; Hermans, John J; de Jong, Koert P; Klaase, Joost M; Kok, Niels F M; Leclercq, Wouter K G; Liem, Mike S L; van Lien"&amp;"den, Krijn P; Quintus Molenaar, I; Patijn, Gijs A; Rijken, Arjen M; Ruers, Theo M; de Wilt, Johannes H W; Verpalen, Inez M; Stoker, Jaap; Grunhagen, Dirk J; Swijnenburg, Rutger-Jan; Punt, Cornelis J A; Huiskens, Joost; Verhoef, Cornelis; Kazemier, Geert")</f>
        <v>Michiel Zeeuw, J; Wesdorp, Nina J; Ali, Mahsoem; Bakker, Anne-Joëlle J J; Voigt, Kelly R; Starmans, Martijn P A; Roor, Joran; Kemna, Ruby; van Waesberghe, Jan Hein T M; van den Bergh, Janneke E; Nota, Irene M G C; Moos, Shira I; van Dieren, Susan; van Amerongen, Martinus J; Bond, Marinde J G; Chapelle, Thiery; van Dam, Ronald M; Engelbrecht, Marc R W; Gerhards, Michael F; van Gulik, Thomas M; Hermans, John J; de Jong, Koert P; Klaase, Joost M; Kok, Niels F M; Leclercq, Wouter K G; Liem, Mike S L; van Lienden, Krijn P; Quintus Molenaar, I; Patijn, Gijs A; Rijken, Arjen M; Ruers, Theo M; de Wilt, Johannes H W; Verpalen, Inez M; Stoker, Jaap; Grunhagen, Dirk J; Swijnenburg, Rutger-Jan; Punt, Cornelis J A; Huiskens, Joost; Verhoef, Cornelis; Kazemier, Geert</v>
      </c>
      <c r="Z430" s="31">
        <f>IFERROR(__xludf.DUMMYFUNCTION("""COMPUTED_VALUE"""),2024.0)</f>
        <v>2024</v>
      </c>
      <c r="AA430" s="31">
        <f>IFERROR(__xludf.DUMMYFUNCTION("""COMPUTED_VALUE"""),1.0)</f>
        <v>1</v>
      </c>
      <c r="AF430" s="31" t="str">
        <f>IFERROR(__xludf.DUMMYFUNCTION("""COMPUTED_VALUE"""),"Exploring the characteristics of a local demand for African wild meat: A focus group study of long-term Ghanaian residents in the Netherlands.")</f>
        <v>Exploring the characteristics of a local demand for African wild meat: A focus group study of long-term Ghanaian residents in the Netherlands.</v>
      </c>
      <c r="AG430" s="31" t="str">
        <f>IFERROR(__xludf.DUMMYFUNCTION("""COMPUTED_VALUE"""),"Morrison-Lanjouw, Sandrella M; Coutinho, Roel A; Boahene, Kwasi; Pool, Robert")</f>
        <v>Morrison-Lanjouw, Sandrella M; Coutinho, Roel A; Boahene, Kwasi; Pool, Robert</v>
      </c>
      <c r="AH430" s="32">
        <f>IFERROR(__xludf.DUMMYFUNCTION("""COMPUTED_VALUE"""),44243.0)</f>
        <v>44243</v>
      </c>
      <c r="AL430" s="31" t="str">
        <f>IFERROR(__xludf.DUMMYFUNCTION("""COMPUTED_VALUE"""),"Prevalence, risk factors and genetic characterisation of extended-spectrum beta-lactamase and carbapenemase-producing Enterobacteriaceae (ESBL-E and CPE): a community-based cross-sectional study, the Netherlands, 2014 to 2016.")</f>
        <v>Prevalence, risk factors and genetic characterisation of extended-spectrum beta-lactamase and carbapenemase-producing Enterobacteriaceae (ESBL-E and CPE): a community-based cross-sectional study, the Netherlands, 2014 to 2016.</v>
      </c>
      <c r="AM430" s="31" t="str">
        <f>IFERROR(__xludf.DUMMYFUNCTION("""COMPUTED_VALUE"""),"van den Bunt, Gerrita; van Pelt, Wilfrid; Hidalgo, Laura; Scharringa, Jelle; de Greeff, Sabine C; Schürch, Anita C; Mughini-Gras, Lapo; Bonten, Marc J M; Fluit, Ad C")</f>
        <v>van den Bunt, Gerrita; van Pelt, Wilfrid; Hidalgo, Laura; Scharringa, Jelle; de Greeff, Sabine C; Schürch, Anita C; Mughini-Gras, Lapo; Bonten, Marc J M; Fluit, Ad C</v>
      </c>
      <c r="AN430" s="32">
        <f>IFERROR(__xludf.DUMMYFUNCTION("""COMPUTED_VALUE"""),43739.0)</f>
        <v>43739</v>
      </c>
    </row>
    <row r="431">
      <c r="A431" s="32"/>
      <c r="I431" s="31" t="str">
        <f>IFERROR(__xludf.DUMMYFUNCTION("""COMPUTED_VALUE"""),"nurse education today")</f>
        <v>nurse education today</v>
      </c>
      <c r="J431" s="38">
        <f>COUNTIF(Data!$F$2:$F9917, $I431)</f>
        <v>2</v>
      </c>
      <c r="T431" s="31" t="s">
        <v>613</v>
      </c>
      <c r="U431" s="31" t="s">
        <v>614</v>
      </c>
      <c r="V431" s="32">
        <v>45370.0</v>
      </c>
      <c r="X431" s="31" t="str">
        <f>IFERROR(__xludf.DUMMYFUNCTION("""COMPUTED_VALUE"""),"Combination of Searches for Higgs Boson Pair Production in pp Collisions at sqrt[s]=13  TeV with the ATLAS Detector.")</f>
        <v>Combination of Searches for Higgs Boson Pair Production in pp Collisions at sqrt[s]=13  TeV with the ATLAS Detector.</v>
      </c>
      <c r="Y431" s="31"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Ahmadov, F; Ahmed, W S; Ahuja, S; Ai, X; Aielli, G; Aikot, A; Ait Tamlihat, M; Aitbenchikh, B; Akbiyik, M; Åkesson, T P A; Akimov, A V; Akiyama, D; Akolka"&amp;"r, N N; Aktas, S; Al Khoury, K; Alberghi, G L; Albert, J; Albicocco, P; Albouy, G L; Alderweireldt, S; Alegria, Z L; Aleksa, M; Aleksandrov, I N; Alexa, C; Alexopoulos, T; Alfonsi, F; Algren, M; Alhroob, M; Ali, B; Ali, H M J; Ali, S; Alibocus, S W; Aliev"&amp;", M; Alimonti, G; Alkakhi, W; Allaire, C; Allbrooke, B M M; Allen, J F; Allendes Flores, C A; Allport, P P; Aloisio, A; Alonso, F; Alpigiani, C; Alsolami, Z M K; Alvarez Estevez, M; Alvarez Fernandez, A; Alves Cardoso, M; Alviggi, M G;")</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v>
      </c>
      <c r="Z431" s="31">
        <f>IFERROR(__xludf.DUMMYFUNCTION("""COMPUTED_VALUE"""),2024.0)</f>
        <v>2024</v>
      </c>
      <c r="AA431" s="31">
        <f>IFERROR(__xludf.DUMMYFUNCTION("""COMPUTED_VALUE"""),1.0)</f>
        <v>1</v>
      </c>
      <c r="AF431" s="31" t="str">
        <f>IFERROR(__xludf.DUMMYFUNCTION("""COMPUTED_VALUE"""),"Recruitment of Participants for a 3D Virtual Supermarket: Cross-sectional Observational Study.")</f>
        <v>Recruitment of Participants for a 3D Virtual Supermarket: Cross-sectional Observational Study.</v>
      </c>
      <c r="AG431" s="31" t="str">
        <f>IFERROR(__xludf.DUMMYFUNCTION("""COMPUTED_VALUE"""),"Hoenink, Jody C; Mackenbach, Joreintje D; van der Laan, Laura Nynke; Lakerveld, Jeroen; Waterlander, Wilma; Beulens, Joline W J")</f>
        <v>Hoenink, Jody C; Mackenbach, Joreintje D; van der Laan, Laura Nynke; Lakerveld, Jeroen; Waterlander, Wilma; Beulens, Joline W J</v>
      </c>
      <c r="AH431" s="32">
        <f>IFERROR(__xludf.DUMMYFUNCTION("""COMPUTED_VALUE"""),44236.0)</f>
        <v>44236</v>
      </c>
      <c r="AL431" s="31" t="str">
        <f>IFERROR(__xludf.DUMMYFUNCTION("""COMPUTED_VALUE"""),"Healthy lifestyle and the risk of pancreatic cancer in the EPIC study.")</f>
        <v>Healthy lifestyle and the risk of pancreatic cancer in the EPIC study.</v>
      </c>
      <c r="AM431" s="31" t="str">
        <f>IFERROR(__xludf.DUMMYFUNCTION("""COMPUTED_VALUE"""),"Naudin, Sabine; Viallon, Vivian; Hashim, Dana; Freisling, Heinz; Jenab, Mazda; Weiderpass, Elisabete; Perrier, Flavie; McKenzie, Fiona; Bueno-de-Mesquita, H Bas; Olsen, Anja; Tjønneland, Anne; Dahm, Christina C; Overvad, Kim; Mancini, Francesca R; Rebours"&amp;", Vinciane; Boutron-Ruault, Marie-Christine; Katzke, Verena; Kaaks, Rudolf; Bergmann, Manuela; Boeing, Heiner; Peppa, Eleni; Karakatsani, Anna; Trichopoulou, Antonia; Pala, Valeria; Masala, Giovana; Panico, Salvatore; Tumino, Rosario; Sacerdote, Carlotta;"&amp;" May, Anne M; van Gils, Carla H; Rylander, Charlotta; Borch, Kristin Benjaminsen; Chirlaque López, María Dolores; Sánchez, Maria-Jose; Ardanaz, Eva; Quirós, José Ramón; Amiano Exezarreta, Pilar; Sund, Malin; Drake, Isabel; Regnér, Sara; Travis, Ruth C; Wa"&amp;"reham, Nick; Aune, Dagfinn; Riboli, Elio; Gunter, Marc J; Duell, Eric J; Brennan, Paul; Ferrari, Pietro")</f>
        <v>Naudin, Sabine; Viallon, Vivian; Hashim, Dana; Freisling, Heinz; Jenab, Mazda; Weiderpass, Elisabete; Perrier, Flavie; McKenzie, Fiona; Bueno-de-Mesquita, H Bas; Olsen, Anja; Tjønneland, Anne; Dahm, Christina C; Overvad, Kim; Mancini, Francesca R; Rebours, Vinciane; Boutron-Ruault, Marie-Christine; Katzke, Verena; Kaaks, Rudolf; Bergmann, Manuela; Boeing, Heiner; Peppa, Eleni; Karakatsani, Anna; Trichopoulou, Antonia; Pala, Valeria; Masala, Giovana; Panico, Salvatore; Tumino, Rosario; Sacerdote, Carlotta; May, Anne M; van Gils, Carla H; Rylander, Charlotta; Borch, Kristin Benjaminsen; Chirlaque López, María Dolores; Sánchez, Maria-Jose; Ardanaz, Eva; Quirós, José Ramón; Amiano Exezarreta, Pilar; Sund, Malin; Drake, Isabel; Regnér, Sara; Travis, Ruth C; Wareham, Nick; Aune, Dagfinn; Riboli, Elio; Gunter, Marc J; Duell, Eric J; Brennan, Paul; Ferrari, Pietro</v>
      </c>
      <c r="AN431" s="32">
        <f>IFERROR(__xludf.DUMMYFUNCTION("""COMPUTED_VALUE"""),43736.0)</f>
        <v>43736</v>
      </c>
    </row>
    <row r="432">
      <c r="A432" s="32"/>
      <c r="I432" s="31" t="str">
        <f>IFERROR(__xludf.DUMMYFUNCTION("""COMPUTED_VALUE"""),"psychoneuroendocrinology")</f>
        <v>psychoneuroendocrinology</v>
      </c>
      <c r="J432" s="38">
        <f>COUNTIF(Data!$F$2:$F9917, $I432)</f>
        <v>2</v>
      </c>
      <c r="T432" s="31" t="s">
        <v>618</v>
      </c>
      <c r="U432" s="31" t="s">
        <v>619</v>
      </c>
      <c r="V432" s="32">
        <v>45369.0</v>
      </c>
      <c r="X432" s="31" t="str">
        <f>IFERROR(__xludf.DUMMYFUNCTION("""COMPUTED_VALUE"""),"Combination of Searches for Resonant Higgs Boson Pair Production Using pp Collisions at sqrt[s]=13  TeV with the ATLAS Detector.")</f>
        <v>Combination of Searches for Resonant Higgs Boson Pair Production Using pp Collisions at sqrt[s]=13  TeV with the ATLAS Detector.</v>
      </c>
      <c r="Y432" s="31" t="str">
        <f>IFERROR(__xludf.DUMMYFUNCTION("""COMPUTED_VALUE"""),"Aad, G; Aakvaag, E; Abbott, B; Abeling, K; Abicht, N J; Abidi, S H; Aboulhorma, A; Abramowicz, H; Abreu, H; Abulaiti, Y; Acharya, B S; Adam Bourdarios, C; Adamczyk, L; Addepalli, S V; Addison, M J; Adelman, J; Adiguzel, A; Adye, T; Affolder, A A; Afik, Y;"&amp;" Agaras, M N; Agarwala, J; Aggarwal, A; Agheorghiesei, C; Ahmad, A; Ahmadov, F; Ahmed, W S; Ahuja, S; Ai, X; Aielli, G; Aikot, A; Ait Tamlihat, M; Aitbenchikh, B; Aizenberg, I; Akbiyik, M; Åkesson, T P A; Akimov, A V; Akiyama, D; Akolkar, N N; Aktas, S; A"&amp;"l Khoury, K; Alberghi, G L; Albert, J; Albicocco, P; Albouy, G L; Alderweireldt, S; Alegria, Z L; Aleksa, M; Aleksandrov, I N; Alexa, C; Alexopoulos, T;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Aakvaag, E;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432" s="31">
        <f>IFERROR(__xludf.DUMMYFUNCTION("""COMPUTED_VALUE"""),2024.0)</f>
        <v>2024</v>
      </c>
      <c r="AA432" s="31">
        <f>IFERROR(__xludf.DUMMYFUNCTION("""COMPUTED_VALUE"""),1.0)</f>
        <v>1</v>
      </c>
      <c r="AF432" s="31" t="str">
        <f>IFERROR(__xludf.DUMMYFUNCTION("""COMPUTED_VALUE"""),"Anthropometric indices and their cut-off points in relation to type 2 diabetes among Ghanaian migrants and non-migrants: The RODAM study.")</f>
        <v>Anthropometric indices and their cut-off points in relation to type 2 diabetes among Ghanaian migrants and non-migrants: The RODAM study.</v>
      </c>
      <c r="AG432" s="31" t="str">
        <f>IFERROR(__xludf.DUMMYFUNCTION("""COMPUTED_VALUE"""),"Darko, Samuel N; Meeks, Karlijn A C; Owiredu, William K B A; Laing, Edwin F; Boateng, Daniel; Beune, Erik; Addo, Juliet; de-Graft Aikins, Ama; Bahendeka, Silver; Mockenhaupt, Frank; Spranger, Joachim; Agyei-Baffour, Peter; Klipstein-Grobusch, Kerstin; Sme"&amp;"eth, Liam; Agyemang, Charles; Owusu-Dabo, Ellis")</f>
        <v>Darko, Samuel N; Meeks, Karlijn A C; Owiredu, William K B A; Laing, Edwin F; Boateng, Daniel; Beune, Erik; Addo, Juliet; de-Graft Aikins, Ama; Bahendeka, Silver; Mockenhaupt, Frank; Spranger, Joachim; Agyei-Baffour, Peter; Klipstein-Grobusch, Kerstin; Smeeth, Liam; Agyemang, Charles; Owusu-Dabo, Ellis</v>
      </c>
      <c r="AH432" s="32">
        <f>IFERROR(__xludf.DUMMYFUNCTION("""COMPUTED_VALUE"""),44235.0)</f>
        <v>44235</v>
      </c>
      <c r="AL432" s="31" t="str">
        <f>IFERROR(__xludf.DUMMYFUNCTION("""COMPUTED_VALUE"""),"Multifactorial risk factors for mortality after chemotherapy and radiotherapy for non-small cell lung cancer.")</f>
        <v>Multifactorial risk factors for mortality after chemotherapy and radiotherapy for non-small cell lung cancer.</v>
      </c>
      <c r="AM432" s="31" t="str">
        <f>IFERROR(__xludf.DUMMYFUNCTION("""COMPUTED_VALUE"""),"Defraene, Gilles; Dankers, Frank J W M; Price, Gareth; Schuit, Ewoud; van Elmpt, Wouter; Arredouani, Soumia; Lambrecht, Maarten; Nuyttens, Joost; Faivre-Finn, Corinne; De Ruysscher, Dirk")</f>
        <v>Defraene, Gilles; Dankers, Frank J W M; Price, Gareth; Schuit, Ewoud; van Elmpt, Wouter; Arredouani, Soumia; Lambrecht, Maarten; Nuyttens, Joost; Faivre-Finn, Corinne; De Ruysscher, Dirk</v>
      </c>
      <c r="AN432" s="32">
        <f>IFERROR(__xludf.DUMMYFUNCTION("""COMPUTED_VALUE"""),43728.0)</f>
        <v>43728</v>
      </c>
    </row>
    <row r="433">
      <c r="A433" s="32"/>
      <c r="I433" s="31" t="str">
        <f>IFERROR(__xludf.DUMMYFUNCTION("""COMPUTED_VALUE"""),"children basel switzerland")</f>
        <v>children basel switzerland</v>
      </c>
      <c r="J433" s="38">
        <f>COUNTIF(Data!$F$2:$F9917, $I433)</f>
        <v>3</v>
      </c>
      <c r="T433" s="31" t="s">
        <v>622</v>
      </c>
      <c r="U433" s="31" t="s">
        <v>623</v>
      </c>
      <c r="V433" s="32">
        <v>45369.0</v>
      </c>
      <c r="X433" s="31" t="str">
        <f>IFERROR(__xludf.DUMMYFUNCTION("""COMPUTED_VALUE"""),"Safety of treating acute pulmonary embolism at home: an individual patient data meta-analysis.")</f>
        <v>Safety of treating acute pulmonary embolism at home: an individual patient data meta-analysis.</v>
      </c>
      <c r="Y433" s="31"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Z433" s="31">
        <f>IFERROR(__xludf.DUMMYFUNCTION("""COMPUTED_VALUE"""),2024.0)</f>
        <v>2024</v>
      </c>
      <c r="AA433" s="31">
        <f>IFERROR(__xludf.DUMMYFUNCTION("""COMPUTED_VALUE"""),1.0)</f>
        <v>1</v>
      </c>
      <c r="AF433" s="31" t="str">
        <f>IFERROR(__xludf.DUMMYFUNCTION("""COMPUTED_VALUE"""),"Electrocardiographic and echocardiographic abnormalities in urban African people living with HIV in South Africa.")</f>
        <v>Electrocardiographic and echocardiographic abnormalities in urban African people living with HIV in South Africa.</v>
      </c>
      <c r="AG433" s="31" t="str">
        <f>IFERROR(__xludf.DUMMYFUNCTION("""COMPUTED_VALUE"""),"Roozen, Geert V T; Meel, Ruchika; Peper, Joyce; Venter, William D F; Barth, Roos E; Grobbee, Diederick E; Klipstein-Grobusch, Kerstin; Vos, Alinda G")</f>
        <v>Roozen, Geert V T; Meel, Ruchika; Peper, Joyce; Venter, William D F; Barth, Roos E; Grobbee, Diederick E; Klipstein-Grobusch, Kerstin; Vos, Alinda G</v>
      </c>
      <c r="AH433" s="32">
        <f>IFERROR(__xludf.DUMMYFUNCTION("""COMPUTED_VALUE"""),44229.0)</f>
        <v>44229</v>
      </c>
      <c r="AL433" s="31" t="str">
        <f>IFERROR(__xludf.DUMMYFUNCTION("""COMPUTED_VALUE"""),"Verbal Semantics and the Left Dorsolateral Anterior Temporal Lobe: A Longitudinal Case of Bilateral Temporal Degeneration.")</f>
        <v>Verbal Semantics and the Left Dorsolateral Anterior Temporal Lobe: A Longitudinal Case of Bilateral Temporal Degeneration.</v>
      </c>
      <c r="AM433" s="31" t="str">
        <f>IFERROR(__xludf.DUMMYFUNCTION("""COMPUTED_VALUE"""),"Vonk, Jet M J; Borghesani, Valentina; Battistella, Giovanni; Younes, Kyan; DeLeon, Jessica; Welch, Ariane; Hubbard, H Isabel; Miller, Zachary A; Miller, Bruce L; Gorno-Tempini, Maria Luisa")</f>
        <v>Vonk, Jet M J; Borghesani, Valentina; Battistella, Giovanni; Younes, Kyan; DeLeon, Jessica; Welch, Ariane; Hubbard, H Isabel; Miller, Zachary A; Miller, Bruce L; Gorno-Tempini, Maria Luisa</v>
      </c>
      <c r="AN433" s="32">
        <f>IFERROR(__xludf.DUMMYFUNCTION("""COMPUTED_VALUE"""),43712.0)</f>
        <v>43712</v>
      </c>
    </row>
    <row r="434">
      <c r="A434" s="32"/>
      <c r="I434" s="31" t="str">
        <f>IFERROR(__xludf.DUMMYFUNCTION("""COMPUTED_VALUE"""),"journal of affective disorders")</f>
        <v>journal of affective disorders</v>
      </c>
      <c r="J434" s="38">
        <f>COUNTIF(Data!$F$2:$F9917, $I434)</f>
        <v>10</v>
      </c>
      <c r="T434" s="31" t="s">
        <v>627</v>
      </c>
      <c r="U434" s="31" t="s">
        <v>628</v>
      </c>
      <c r="V434" s="32">
        <v>45367.0</v>
      </c>
      <c r="X434" s="31" t="str">
        <f>IFERROR(__xludf.DUMMYFUNCTION("""COMPUTED_VALUE"""),"Antecedent and persistent symptoms in COVID-19 and other respiratory illnesses: Insights from prospectively collected data in the BRACE trial.")</f>
        <v>Antecedent and persistent symptoms in COVID-19 and other respiratory illnesses: Insights from prospectively collected data in the BRACE trial.</v>
      </c>
      <c r="Y434" s="31" t="str">
        <f>IFERROR(__xludf.DUMMYFUNCTION("""COMPUTED_VALUE"""),"McDonald, Ellie; Pittet, Laure F; Barry, Simone E; Bonten, Marc; Campbell, John; Croda, Julio; Croda, Mariana G; Dalcolmo, Margareth Pretti; Davidson, Andrew; de Almeida E Val, Fernando F; Dos Santos, Glauce; Gardiner, Kaya; Gell, Grace; Gwee, Amanda; Kra"&amp;"stev, Ann; Lacerda, Marcus Vinícius Guimaraes; Lucas, Michaela; Lynn, David J; Manning, Laurens; McPhate, Nick; Perrett, Kirsten P; Post, Jeffrey J; Prat-Aymerich, Cristina; Quinn, Lynne E; Richmond, Peter C; Wood, Nicholas J; Messina, Nicole L; Curtis, N"&amp;"igel; ,")</f>
        <v>McDonald, Ellie; Pittet, Laure F; Barry, Simone E; Bonten, Marc; Campbell, John; Croda, Julio; Croda, Mariana G; Dalcolmo, Margareth Pretti; Davidson, Andrew; de Almeida E Val, Fernando F; Dos Santos, Glauce; Gardiner, Kaya; Gell, Grace; Gwee, Amanda; Krastev, Ann; Lacerda, Marcus Vinícius Guimaraes; Lucas, Michaela; Lynn, David J; Manning, Laurens; McPhate, Nick; Perrett, Kirsten P; Post, Jeffrey J; Prat-Aymerich, Cristina; Quinn, Lynne E; Richmond, Peter C; Wood, Nicholas J; Messina, Nicole L; Curtis, Nigel; ,</v>
      </c>
      <c r="Z434" s="31">
        <f>IFERROR(__xludf.DUMMYFUNCTION("""COMPUTED_VALUE"""),2024.0)</f>
        <v>2024</v>
      </c>
      <c r="AA434" s="31">
        <f>IFERROR(__xludf.DUMMYFUNCTION("""COMPUTED_VALUE"""),1.0)</f>
        <v>1</v>
      </c>
      <c r="AF434" s="31" t="str">
        <f>IFERROR(__xludf.DUMMYFUNCTION("""COMPUTED_VALUE"""),"Associations between the built environment and obesity: an umbrella review.")</f>
        <v>Associations between the built environment and obesity: an umbrella review.</v>
      </c>
      <c r="AG434" s="31" t="str">
        <f>IFERROR(__xludf.DUMMYFUNCTION("""COMPUTED_VALUE"""),"Lam, Thao Minh; Vaartjes, Ilonca; Grobbee, Diederick E; Karssenberg, Derek; Lakerveld, Jeroen")</f>
        <v>Lam, Thao Minh; Vaartjes, Ilonca; Grobbee, Diederick E; Karssenberg, Derek; Lakerveld, Jeroen</v>
      </c>
      <c r="AH434" s="32">
        <f>IFERROR(__xludf.DUMMYFUNCTION("""COMPUTED_VALUE"""),44228.0)</f>
        <v>44228</v>
      </c>
      <c r="AL434" s="31" t="str">
        <f>IFERROR(__xludf.DUMMYFUNCTION("""COMPUTED_VALUE"""),"Statistical approaches to identify subgroups in meta-analysis of individual participant data: a simulation study.")</f>
        <v>Statistical approaches to identify subgroups in meta-analysis of individual participant data: a simulation study.</v>
      </c>
      <c r="AM434" s="31" t="str">
        <f>IFERROR(__xludf.DUMMYFUNCTION("""COMPUTED_VALUE"""),"Belias, Michail; Rovers, Maroeska M; Reitsma, Johannes B; Debray, Thomas P A; IntHout, Joanna")</f>
        <v>Belias, Michail; Rovers, Maroeska M; Reitsma, Johannes B; Debray, Thomas P A; IntHout, Joanna</v>
      </c>
      <c r="AN434" s="32">
        <f>IFERROR(__xludf.DUMMYFUNCTION("""COMPUTED_VALUE"""),43710.0)</f>
        <v>43710</v>
      </c>
    </row>
    <row r="435">
      <c r="A435" s="32"/>
      <c r="I435" s="31" t="str">
        <f>IFERROR(__xludf.DUMMYFUNCTION("""COMPUTED_VALUE"""),"infection")</f>
        <v>infection</v>
      </c>
      <c r="J435" s="38">
        <f>COUNTIF(Data!$F$2:$F9917, $I435)</f>
        <v>1</v>
      </c>
      <c r="T435" s="31" t="s">
        <v>632</v>
      </c>
      <c r="U435" s="31" t="s">
        <v>633</v>
      </c>
      <c r="V435" s="32">
        <v>45367.0</v>
      </c>
      <c r="X435" s="31" t="str">
        <f>IFERROR(__xludf.DUMMYFUNCTION("""COMPUTED_VALUE"""),"Upfront resection versus no resection of the primary tumor in patients with synchronous metastatic colorectal cancer: the randomized phase III CAIRO4 study conducted by the Dutch Colorectal Cancer Group and the Danish Colorectal Cancer Group.")</f>
        <v>Upfront resection versus no resection of the primary tumor in patients with synchronous metastatic colorectal cancer: the randomized phase III CAIRO4 study conducted by the Dutch Colorectal Cancer Group and the Danish Colorectal Cancer Group.</v>
      </c>
      <c r="Y435" s="31" t="str">
        <f>IFERROR(__xludf.DUMMYFUNCTION("""COMPUTED_VALUE"""),"van der Kruijssen, D E W; Elias, S G; van de Ven, P M; van Rooijen, K L; Lam-Boer, J 't; Mol, L; Punt, C J A; Sommeijer, D W; Tanis, P J; Nielsen, J D; Yilmaz, M K; van Riel, J M G H; Wasowiz-Kemps, D K; Loosveld, O J L; van der Schelling, G P; de Groot, "&amp;"J W B; van Westreenen, H L; Jakobsen, H L; Fromm, A L; Hamberg, P; Verseveld, M; Jaensch, C; Liposits, G I; van Duijvendijk, P; Oulad Hadj, J; van der Hoeven, J A B; Trajkovic, M; de Wilt, J H W; Koopman, M; ,")</f>
        <v>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Oulad Hadj, J; van der Hoeven, J A B; Trajkovic, M; de Wilt, J H W; Koopman, M; ,</v>
      </c>
      <c r="Z435" s="31">
        <f>IFERROR(__xludf.DUMMYFUNCTION("""COMPUTED_VALUE"""),2024.0)</f>
        <v>2024</v>
      </c>
      <c r="AA435" s="31">
        <f>IFERROR(__xludf.DUMMYFUNCTION("""COMPUTED_VALUE"""),1.0)</f>
        <v>1</v>
      </c>
      <c r="AF435" s="31" t="str">
        <f>IFERROR(__xludf.DUMMYFUNCTION("""COMPUTED_VALUE"""),"Evidence-based interventions to reduce mortality among preterm and low-birthweight neonates in low-income and middle-income countries: a systematic review and meta-analysis.")</f>
        <v>Evidence-based interventions to reduce mortality among preterm and low-birthweight neonates in low-income and middle-income countries: a systematic review and meta-analysis.</v>
      </c>
      <c r="AG435" s="31" t="str">
        <f>IFERROR(__xludf.DUMMYFUNCTION("""COMPUTED_VALUE"""),"Kleinhout, Mirjam Y; Stevens, Merel M; Osman, Kwabena Aqyapong; Adu-Bonsaffoh, Kwame; Groenendaal, Floris; Biza Zepro, Nejimu; Rijken, Marcus J; Browne, Joyce L")</f>
        <v>Kleinhout, Mirjam Y; Stevens, Merel M; Osman, Kwabena Aqyapong; Adu-Bonsaffoh, Kwame; Groenendaal, Floris; Biza Zepro, Nejimu; Rijken, Marcus J; Browne, Joyce L</v>
      </c>
      <c r="AH435" s="32">
        <f>IFERROR(__xludf.DUMMYFUNCTION("""COMPUTED_VALUE"""),44228.0)</f>
        <v>44228</v>
      </c>
      <c r="AL435" s="31" t="str">
        <f>IFERROR(__xludf.DUMMYFUNCTION("""COMPUTED_VALUE"""),"The era of alternative designs to connect randomized clinical trials and real-world data.")</f>
        <v>The era of alternative designs to connect randomized clinical trials and real-world data.</v>
      </c>
      <c r="AM435" s="31" t="str">
        <f>IFERROR(__xludf.DUMMYFUNCTION("""COMPUTED_VALUE"""),"Derksen, Jeroen W G; May, Anne M; Koopman, Miriam")</f>
        <v>Derksen, Jeroen W G; May, Anne M; Koopman, Miriam</v>
      </c>
      <c r="AN435" s="32">
        <f>IFERROR(__xludf.DUMMYFUNCTION("""COMPUTED_VALUE"""),43709.0)</f>
        <v>43709</v>
      </c>
    </row>
    <row r="436">
      <c r="A436" s="32"/>
      <c r="I436" s="31" t="str">
        <f>IFERROR(__xludf.DUMMYFUNCTION("""COMPUTED_VALUE"""),"journal of sleep research")</f>
        <v>journal of sleep research</v>
      </c>
      <c r="J436" s="38">
        <f>COUNTIF(Data!$F$2:$F9917, $I436)</f>
        <v>2</v>
      </c>
      <c r="T436" s="31" t="s">
        <v>637</v>
      </c>
      <c r="U436" s="31" t="s">
        <v>638</v>
      </c>
      <c r="V436" s="32">
        <v>45365.0</v>
      </c>
      <c r="X436" s="31" t="str">
        <f>IFERROR(__xludf.DUMMYFUNCTION("""COMPUTED_VALUE"""),"Haemodiafiltration versus haemodialysis for kidney failure: an individual patient data meta-analysis of randomised controlled trials.")</f>
        <v>Haemodiafiltration versus haemodialysis for kidney failure: an individual patient data meta-analysis of randomised controlled trials.</v>
      </c>
      <c r="Y436" s="31" t="str">
        <f>IFERROR(__xludf.DUMMYFUNCTION("""COMPUTED_VALUE"""),"Vernooij, Robin W M; Hockham, Carinna; Strippoli, Giovanni; Green, Suetonia; Hegbrant, Jörgen; Davenport, Andrew; Barth, Claudia; Canaud, Bernard; Woodward, Mark; Blankestijn, Peter J; Bots, Michiel L; ,; ,")</f>
        <v>Vernooij, Robin W M; Hockham, Carinna; Strippoli, Giovanni; Green, Suetonia; Hegbrant, Jörgen; Davenport, Andrew; Barth, Claudia; Canaud, Bernard; Woodward, Mark; Blankestijn, Peter J; Bots, Michiel L; ,; ,</v>
      </c>
      <c r="Z436" s="31">
        <f>IFERROR(__xludf.DUMMYFUNCTION("""COMPUTED_VALUE"""),2024.0)</f>
        <v>2024</v>
      </c>
      <c r="AA436" s="31">
        <f>IFERROR(__xludf.DUMMYFUNCTION("""COMPUTED_VALUE"""),1.0)</f>
        <v>1</v>
      </c>
      <c r="AF436" s="31" t="str">
        <f>IFERROR(__xludf.DUMMYFUNCTION("""COMPUTED_VALUE"""),"Should germline genome editing be allowed? The effect of treatment characteristics on public acceptability.")</f>
        <v>Should germline genome editing be allowed? The effect of treatment characteristics on public acceptability.</v>
      </c>
      <c r="AG436" s="31" t="str">
        <f>IFERROR(__xludf.DUMMYFUNCTION("""COMPUTED_VALUE"""),"van Dijke, I; van Wely, M; Berkman, B E; Bredenoord, A L; Henneman, L; Vliegenthart, R; Repping, S; Hendriks, S")</f>
        <v>van Dijke, I; van Wely, M; Berkman, B E; Bredenoord, A L; Henneman, L; Vliegenthart, R; Repping, S; Hendriks, S</v>
      </c>
      <c r="AH436" s="32">
        <f>IFERROR(__xludf.DUMMYFUNCTION("""COMPUTED_VALUE"""),44221.0)</f>
        <v>44221</v>
      </c>
      <c r="AL436" s="31" t="str">
        <f>IFERROR(__xludf.DUMMYFUNCTION("""COMPUTED_VALUE"""),"High Levels of C-Reactive Protein Are Associated with an Increased Risk of Ovarian Cancer: Results from the Ovarian Cancer Cohort Consortium.")</f>
        <v>High Levels of C-Reactive Protein Are Associated with an Increased Risk of Ovarian Cancer: Results from the Ovarian Cancer Cohort Consortium.</v>
      </c>
      <c r="AM436" s="31" t="str">
        <f>IFERROR(__xludf.DUMMYFUNCTION("""COMPUTED_VALUE"""),"Peres, Lauren C; Mallen, Adrianne R; Townsend, Mary K; Poole, Elizabeth M; Trabert, Britton; Allen, Naomi E; Arslan, Alan A; Dossus, Laure; Fortner, Renée T; Gram, Inger T; Hartge, Patricia; Idahl, Annika; Kaaks, Rudolf; Kvaskoff, Marina; Magliocco, Antho"&amp;"ny M; Merritt, Melissa A; Quirós, J Ramón; Tjonneland, Anne; Trichopoulou, Antonia; Tumino, Rosario; van Gils, Carla H; Visvanathan, Kala; Wentzensen, Nicolas; Zeleniuch-Jacquotte, Anne; Tworoger, Shelley S")</f>
        <v>Peres, Lauren C; Mallen, Adrianne R; Townsend, Mary K; Poole, Elizabeth M; Trabert, Britton; Allen, Naomi E; Arslan, Alan A; Dossus, Laure; Fortner, Renée T; Gram, Inger T; Hartge, Patricia; Idahl, Annika; Kaaks, Rudolf; Kvaskoff, Marina; Magliocco, Anthony M; Merritt, Melissa A; Quirós, J Ramón; Tjonneland, Anne; Trichopoulou, Antonia; Tumino, Rosario; van Gils, Carla H; Visvanathan, Kala; Wentzensen, Nicolas; Zeleniuch-Jacquotte, Anne; Tworoger, Shelley S</v>
      </c>
      <c r="AN436" s="32">
        <f>IFERROR(__xludf.DUMMYFUNCTION("""COMPUTED_VALUE"""),43705.0)</f>
        <v>43705</v>
      </c>
    </row>
    <row r="437">
      <c r="A437" s="32"/>
      <c r="I437" s="31" t="str">
        <f>IFERROR(__xludf.DUMMYFUNCTION("""COMPUTED_VALUE"""),"quantitative imaging in medicine and surgery")</f>
        <v>quantitative imaging in medicine and surgery</v>
      </c>
      <c r="J437" s="38">
        <f>COUNTIF(Data!$F$2:$F9917, $I437)</f>
        <v>1</v>
      </c>
      <c r="T437" s="31" t="s">
        <v>641</v>
      </c>
      <c r="U437" s="31" t="s">
        <v>642</v>
      </c>
      <c r="V437" s="32">
        <v>45365.0</v>
      </c>
      <c r="X437" s="31" t="str">
        <f>IFERROR(__xludf.DUMMYFUNCTION("""COMPUTED_VALUE"""),"Polypharmacy in Patients with CKD: A Systematic Review and Meta-Analysis.")</f>
        <v>Polypharmacy in Patients with CKD: A Systematic Review and Meta-Analysis.</v>
      </c>
      <c r="Y437" s="31" t="str">
        <f>IFERROR(__xludf.DUMMYFUNCTION("""COMPUTED_VALUE"""),"Oosting, Ilse J; Colombijn, Julia M T; Kaasenbrood, Lotte; Liabeuf, Sophie; Laville, Solène M; Hooft, Lotty; Bots, Michiel L; Verhaar, Marianne C; Vernooij, Robin W M")</f>
        <v>Oosting, Ilse J; Colombijn, Julia M T; Kaasenbrood, Lotte; Liabeuf, Sophie; Laville, Solène M; Hooft, Lotty; Bots, Michiel L; Verhaar, Marianne C; Vernooij, Robin W M</v>
      </c>
      <c r="Z437" s="31">
        <f>IFERROR(__xludf.DUMMYFUNCTION("""COMPUTED_VALUE"""),2024.0)</f>
        <v>2024</v>
      </c>
      <c r="AA437" s="31">
        <f>IFERROR(__xludf.DUMMYFUNCTION("""COMPUTED_VALUE"""),1.0)</f>
        <v>1</v>
      </c>
      <c r="AF437" s="31" t="str">
        <f>IFERROR(__xludf.DUMMYFUNCTION("""COMPUTED_VALUE"""),"The impact of the COVID-19 pandemic on the care and management of patients with acute cardiovascular disease: a systematic review.")</f>
        <v>The impact of the COVID-19 pandemic on the care and management of patients with acute cardiovascular disease: a systematic review.</v>
      </c>
      <c r="AG437" s="31" t="str">
        <f>IFERROR(__xludf.DUMMYFUNCTION("""COMPUTED_VALUE"""),"Kiss, Pauline; Carcel, Cheryl; Hockham, Carinna; Peters, Sanne A E")</f>
        <v>Kiss, Pauline; Carcel, Cheryl; Hockham, Carinna; Peters, Sanne A E</v>
      </c>
      <c r="AH437" s="32">
        <f>IFERROR(__xludf.DUMMYFUNCTION("""COMPUTED_VALUE"""),44221.0)</f>
        <v>44221</v>
      </c>
      <c r="AL437" s="31" t="str">
        <f>IFERROR(__xludf.DUMMYFUNCTION("""COMPUTED_VALUE"""),"Guidance from key organisations on exploring, confirming and interpreting subgroup effects of medical treatments: a scoping review.")</f>
        <v>Guidance from key organisations on exploring, confirming and interpreting subgroup effects of medical treatments: a scoping review.</v>
      </c>
      <c r="AM437" s="31" t="str">
        <f>IFERROR(__xludf.DUMMYFUNCTION("""COMPUTED_VALUE"""),"Wijn, Stan R W; Rovers, Maroeska M; Le, Ly H; Belias, Michail; Hoogland, Jeroen; IntHout, Joanna; Debray, Thomas; Reitsma, Johannes B")</f>
        <v>Wijn, Stan R W; Rovers, Maroeska M; Le, Ly H; Belias, Michail; Hoogland, Jeroen; IntHout, Joanna; Debray, Thomas; Reitsma, Johannes B</v>
      </c>
      <c r="AN437" s="32">
        <f>IFERROR(__xludf.DUMMYFUNCTION("""COMPUTED_VALUE"""),43701.0)</f>
        <v>43701</v>
      </c>
    </row>
    <row r="438">
      <c r="A438" s="32"/>
      <c r="I438" s="31" t="str">
        <f>IFERROR(__xludf.DUMMYFUNCTION("""COMPUTED_VALUE"""),"international journal for quality in health care journal of the international society for quality in health care")</f>
        <v>international journal for quality in health care journal of the international society for quality in health care</v>
      </c>
      <c r="J438" s="38">
        <f>COUNTIF(Data!$F$2:$F9917, $I438)</f>
        <v>4</v>
      </c>
      <c r="T438" s="31" t="s">
        <v>25714</v>
      </c>
      <c r="U438" s="31" t="s">
        <v>2412</v>
      </c>
      <c r="V438" s="32">
        <v>45365.0</v>
      </c>
      <c r="X438" s="31" t="str">
        <f>IFERROR(__xludf.DUMMYFUNCTION("""COMPUTED_VALUE"""),"Ethnic Differences in Carotid Intima-Media Thickness and Plaque Presence: The HELIUS Study.")</f>
        <v>Ethnic Differences in Carotid Intima-Media Thickness and Plaque Presence: The HELIUS Study.</v>
      </c>
      <c r="Y438" s="31" t="str">
        <f>IFERROR(__xludf.DUMMYFUNCTION("""COMPUTED_VALUE"""),"Vriend, Esther M C; Bouwmeester, Thomas A; Artola Arita, Vicente; Bots, Michiel L; Meijer, Rudy; Galenkamp, Henrike; Stronks, Karien; Collard, Didier; Moll van Charante, Eric P; van den Born, Bert-Jan H; Franco, Oscar H")</f>
        <v>Vriend, Esther M C; Bouwmeester, Thomas A; Artola Arita, Vicente; Bots, Michiel L; Meijer, Rudy; Galenkamp, Henrike; Stronks, Karien; Collard, Didier; Moll van Charante, Eric P; van den Born, Bert-Jan H; Franco, Oscar H</v>
      </c>
      <c r="Z438" s="31">
        <f>IFERROR(__xludf.DUMMYFUNCTION("""COMPUTED_VALUE"""),2023.0)</f>
        <v>2023</v>
      </c>
      <c r="AA438" s="31">
        <f>IFERROR(__xludf.DUMMYFUNCTION("""COMPUTED_VALUE"""),1.0)</f>
        <v>1</v>
      </c>
      <c r="AF438" s="31" t="str">
        <f>IFERROR(__xludf.DUMMYFUNCTION("""COMPUTED_VALUE"""),"Breeding brains? Patients' and laymen's perspectives on cerebral organoids.")</f>
        <v>Breeding brains? Patients' and laymen's perspectives on cerebral organoids.</v>
      </c>
      <c r="AG438" s="31" t="str">
        <f>IFERROR(__xludf.DUMMYFUNCTION("""COMPUTED_VALUE"""),"Haselager, Dolly R; Boers, Sarah N; Jongsma, Karin R; Vinkers, Christiaan H; Broekman, Marike L; Bredenoord, Annelien L")</f>
        <v>Haselager, Dolly R; Boers, Sarah N; Jongsma, Karin R; Vinkers, Christiaan H; Broekman, Marike L; Bredenoord, Annelien L</v>
      </c>
      <c r="AH438" s="32">
        <f>IFERROR(__xludf.DUMMYFUNCTION("""COMPUTED_VALUE"""),44216.0)</f>
        <v>44216</v>
      </c>
      <c r="AL438" s="31" t="str">
        <f>IFERROR(__xludf.DUMMYFUNCTION("""COMPUTED_VALUE"""),"Higher risk of intracranial aneurysms and subarachnoid haemorrhage in siblings of families with intracranial aneurysms.")</f>
        <v>Higher risk of intracranial aneurysms and subarachnoid haemorrhage in siblings of families with intracranial aneurysms.</v>
      </c>
      <c r="AM438" s="31" t="str">
        <f>IFERROR(__xludf.DUMMYFUNCTION("""COMPUTED_VALUE"""),"Zuurbier, Ccm; Greving, J P; Rinkel, Gje; Ruigrok, Y M")</f>
        <v>Zuurbier, Ccm; Greving, J P; Rinkel, Gje; Ruigrok, Y M</v>
      </c>
      <c r="AN438" s="32">
        <f>IFERROR(__xludf.DUMMYFUNCTION("""COMPUTED_VALUE"""),43696.0)</f>
        <v>43696</v>
      </c>
    </row>
    <row r="439">
      <c r="A439" s="32"/>
      <c r="I439" s="31" t="str">
        <f>IFERROR(__xludf.DUMMYFUNCTION("""COMPUTED_VALUE"""),"neuroendocrinology")</f>
        <v>neuroendocrinology</v>
      </c>
      <c r="J439" s="38">
        <f>COUNTIF(Data!$F$2:$F9917, $I439)</f>
        <v>2</v>
      </c>
      <c r="T439" s="31" t="s">
        <v>646</v>
      </c>
      <c r="U439" s="31" t="s">
        <v>647</v>
      </c>
      <c r="V439" s="32">
        <v>45364.0</v>
      </c>
      <c r="X439" s="31" t="str">
        <f>IFERROR(__xludf.DUMMYFUNCTION("""COMPUTED_VALUE"""),"Corticosteroids for Immune-Related Adverse Events and Checkpoint Inhibitor Efficacy: Analysis of Six Clinical Trials.")</f>
        <v>Corticosteroids for Immune-Related Adverse Events and Checkpoint Inhibitor Efficacy: Analysis of Six Clinical Trials.</v>
      </c>
      <c r="Y439" s="31" t="str">
        <f>IFERROR(__xludf.DUMMYFUNCTION("""COMPUTED_VALUE"""),"Verheijden, Rik J; de Groot, Jolien S; Fabriek, Babs O; Hew, Miki N; May, Anne M; Suijkerbuijk, Karijn P M")</f>
        <v>Verheijden, Rik J; de Groot, Jolien S; Fabriek, Babs O; Hew, Miki N; May, Anne M; Suijkerbuijk, Karijn P M</v>
      </c>
      <c r="Z439" s="31">
        <f>IFERROR(__xludf.DUMMYFUNCTION("""COMPUTED_VALUE"""),2024.0)</f>
        <v>2024</v>
      </c>
      <c r="AA439" s="31">
        <f>IFERROR(__xludf.DUMMYFUNCTION("""COMPUTED_VALUE"""),1.0)</f>
        <v>1</v>
      </c>
      <c r="AF439" s="31" t="str">
        <f>IFERROR(__xludf.DUMMYFUNCTION("""COMPUTED_VALUE"""),"Trends in maternal mortality in Suriname: 3 confidential enquiries in 3 decades.")</f>
        <v>Trends in maternal mortality in Suriname: 3 confidential enquiries in 3 decades.</v>
      </c>
      <c r="AG439" s="31" t="str">
        <f>IFERROR(__xludf.DUMMYFUNCTION("""COMPUTED_VALUE"""),"Kodan, Lachmi R; Verschueren, Kim J C; Paidin, Raez; Paidin, Rubinah; Browne, Joyce L; Bloemenkamp, Kitty W M; Rijken, Marcus J; ,")</f>
        <v>Kodan, Lachmi R; Verschueren, Kim J C; Paidin, Raez; Paidin, Rubinah; Browne, Joyce L; Bloemenkamp, Kitty W M; Rijken, Marcus J; ,</v>
      </c>
      <c r="AH439" s="32">
        <f>IFERROR(__xludf.DUMMYFUNCTION("""COMPUTED_VALUE"""),44212.0)</f>
        <v>44212</v>
      </c>
      <c r="AL439" s="31" t="str">
        <f>IFERROR(__xludf.DUMMYFUNCTION("""COMPUTED_VALUE"""),"Smoking Cessation Pharmacotherapy Based on Genetically-Informed Biomarkers: What is the Evidence?")</f>
        <v>Smoking Cessation Pharmacotherapy Based on Genetically-Informed Biomarkers: What is the Evidence?</v>
      </c>
      <c r="AM439" s="31" t="str">
        <f>IFERROR(__xludf.DUMMYFUNCTION("""COMPUTED_VALUE"""),"Panagiotou, Orestis A; Schuit, Ewoud; Munafò, Marcus R; Bennett, Derrick A; Bergen, Andrew W; David, Sean P")</f>
        <v>Panagiotou, Orestis A; Schuit, Ewoud; Munafò, Marcus R; Bennett, Derrick A; Bergen, Andrew W; David, Sean P</v>
      </c>
      <c r="AN439" s="32">
        <f>IFERROR(__xludf.DUMMYFUNCTION("""COMPUTED_VALUE"""),43696.0)</f>
        <v>43696</v>
      </c>
    </row>
    <row r="440">
      <c r="A440" s="32"/>
      <c r="I440" s="31" t="str">
        <f>IFERROR(__xludf.DUMMYFUNCTION("""COMPUTED_VALUE"""),"diseases of the colon and rectum")</f>
        <v>diseases of the colon and rectum</v>
      </c>
      <c r="J440" s="38">
        <f>COUNTIF(Data!$F$2:$F9917, $I440)</f>
        <v>1</v>
      </c>
      <c r="T440" s="31" t="s">
        <v>650</v>
      </c>
      <c r="U440" s="31" t="s">
        <v>651</v>
      </c>
      <c r="V440" s="32">
        <v>45364.0</v>
      </c>
      <c r="X440" s="31" t="str">
        <f>IFERROR(__xludf.DUMMYFUNCTION("""COMPUTED_VALUE"""),"Potentially Inappropriate End of Life Care and Healthcare Costs in the Last 30 Days of Life in Regions Providing Integrated Palliative Care in the Netherlands: A Registration-based Study.")</f>
        <v>Potentially Inappropriate End of Life Care and Healthcare Costs in the Last 30 Days of Life in Regions Providing Integrated Palliative Care in the Netherlands: A Registration-based Study.</v>
      </c>
      <c r="Y440" s="31" t="str">
        <f>IFERROR(__xludf.DUMMYFUNCTION("""COMPUTED_VALUE"""),"Pereira, Chantal F R; Dijxhoorn, Anne-Floor Q; Koekoek, Berdine; van den Broek, Monique; van der Steen, Karin; Engel, Marijanne; van Rijn, Marjon; Meijers, Judith M; Hasselaar, Jeroen; van der Heide, Agnes; Onwuteaka-Philipsen, Bregje D; van den Beuken-va"&amp;"n Everdingen, Marieke H J; van der Linden, Yvette M; Boddaert, Manon S; Jeurissen, Patrick P T; Merkx, Matthias A W; Raijmakers, Natasja J H")</f>
        <v>Pereira, Chantal F R; Dijxhoorn, Anne-Floor Q; Koekoek, Berdine; van den Broek, Monique; van der Steen, Karin; Engel, Marijanne; van Rijn, Marjon; Meijers, Judith M; Hasselaar, Jeroen; van der Heide, Agnes; Onwuteaka-Philipsen, Bregje D; van den Beuken-van Everdingen, Marieke H J; van der Linden, Yvette M; Boddaert, Manon S; Jeurissen, Patrick P T; Merkx, Matthias A W; Raijmakers, Natasja J H</v>
      </c>
      <c r="Z440" s="31">
        <f>IFERROR(__xludf.DUMMYFUNCTION("""COMPUTED_VALUE"""),2024.0)</f>
        <v>2024</v>
      </c>
      <c r="AA440" s="31">
        <f>IFERROR(__xludf.DUMMYFUNCTION("""COMPUTED_VALUE"""),1.0)</f>
        <v>1</v>
      </c>
      <c r="AF440" s="31" t="str">
        <f>IFERROR(__xludf.DUMMYFUNCTION("""COMPUTED_VALUE"""),"The application of WHO ICD-PM: Feasibility for the classification of timing and causes of perinatal deaths in a busy birth centre in a low-income country.")</f>
        <v>The application of WHO ICD-PM: Feasibility for the classification of timing and causes of perinatal deaths in a busy birth centre in a low-income country.</v>
      </c>
      <c r="AG440" s="31" t="str">
        <f>IFERROR(__xludf.DUMMYFUNCTION("""COMPUTED_VALUE"""),"Housseine, Natasha; Snieder, Anne; Binsillim, Mithle; Meguid, Tarek; Browne, Joyce L; Rijken, Marcus J")</f>
        <v>Housseine, Natasha; Snieder, Anne; Binsillim, Mithle; Meguid, Tarek; Browne, Joyce L; Rijken, Marcus J</v>
      </c>
      <c r="AH440" s="32">
        <f>IFERROR(__xludf.DUMMYFUNCTION("""COMPUTED_VALUE"""),44210.0)</f>
        <v>44210</v>
      </c>
      <c r="AL440" s="31" t="str">
        <f>IFERROR(__xludf.DUMMYFUNCTION("""COMPUTED_VALUE"""),"Cerebral Perfusion and the Occurrence of Nonfocal Transient Neurological Attacks.")</f>
        <v>Cerebral Perfusion and the Occurrence of Nonfocal Transient Neurological Attacks.</v>
      </c>
      <c r="AM440" s="31" t="str">
        <f>IFERROR(__xludf.DUMMYFUNCTION("""COMPUTED_VALUE"""),"Oudeman, Eline A; Bron, Esther E; Van den Berg-Vos, Renske M; Greving, Jacoba P; Biessels, Geert Jan; Klijn, Catharina J M; Kappelle, L Jaap; ,")</f>
        <v>Oudeman, Eline A; Bron, Esther E; Van den Berg-Vos, Renske M; Greving, Jacoba P; Biessels, Geert Jan; Klijn, Catharina J M; Kappelle, L Jaap; ,</v>
      </c>
      <c r="AN440" s="32">
        <f>IFERROR(__xludf.DUMMYFUNCTION("""COMPUTED_VALUE"""),43693.0)</f>
        <v>43693</v>
      </c>
    </row>
    <row r="441">
      <c r="A441" s="32"/>
      <c r="I441" s="31" t="str">
        <f>IFERROR(__xludf.DUMMYFUNCTION("""COMPUTED_VALUE"""),"tissue engineering part b reviews")</f>
        <v>tissue engineering part b reviews</v>
      </c>
      <c r="J441" s="38">
        <f>COUNTIF(Data!$F$2:$F9917, $I441)</f>
        <v>1</v>
      </c>
      <c r="T441" s="31" t="s">
        <v>654</v>
      </c>
      <c r="U441" s="31" t="s">
        <v>655</v>
      </c>
      <c r="V441" s="32">
        <v>45364.0</v>
      </c>
      <c r="X441" s="31" t="str">
        <f>IFERROR(__xludf.DUMMYFUNCTION("""COMPUTED_VALUE"""),"Optimizing support before and after Cardiac Resynchronization Therapy implantation in co-creation with patients with heart failure, informal caregivers and healthcare professionals.")</f>
        <v>Optimizing support before and after Cardiac Resynchronization Therapy implantation in co-creation with patients with heart failure, informal caregivers and healthcare professionals.</v>
      </c>
      <c r="Y441" s="31" t="str">
        <f>IFERROR(__xludf.DUMMYFUNCTION("""COMPUTED_VALUE"""),"Westland, Heleen; van Rijn, Michelle; Meine, Mathias; Jaarsma, Tiny")</f>
        <v>Westland, Heleen; van Rijn, Michelle; Meine, Mathias; Jaarsma, Tiny</v>
      </c>
      <c r="Z441" s="31">
        <f>IFERROR(__xludf.DUMMYFUNCTION("""COMPUTED_VALUE"""),2024.0)</f>
        <v>2024</v>
      </c>
      <c r="AA441" s="31">
        <f>IFERROR(__xludf.DUMMYFUNCTION("""COMPUTED_VALUE"""),1.0)</f>
        <v>1</v>
      </c>
      <c r="AF441" s="31" t="str">
        <f>IFERROR(__xludf.DUMMYFUNCTION("""COMPUTED_VALUE"""),"Clinical profile and contemporary management of patients with heart failure with preserved ejection fraction: results from the CHECK-HF registry.")</f>
        <v>Clinical profile and contemporary management of patients with heart failure with preserved ejection fraction: results from the CHECK-HF registry.</v>
      </c>
      <c r="AG441" s="31" t="str">
        <f>IFERROR(__xludf.DUMMYFUNCTION("""COMPUTED_VALUE"""),"Uijl, A; Veenis, J F; Brunner-La Rocca, H P; van Empel, V; Linssen, G C M; Asselbergs, F W; van der Lee, C; Eurlings, L W M; Kragten, H; Al-Windy, N Y Y; van der Spank, A; Koudstaal, S; Brugts, J J; Hoes, A W")</f>
        <v>Uijl, A; Veenis, J F; Brunner-La Rocca, H P; van Empel, V; Linssen, G C M; Asselbergs, F W; van der Lee, C; Eurlings, L W M; Kragten, H; Al-Windy, N Y Y; van der Spank, A; Koudstaal, S; Brugts, J J; Hoes, A W</v>
      </c>
      <c r="AH441" s="32">
        <f>IFERROR(__xludf.DUMMYFUNCTION("""COMPUTED_VALUE"""),44209.0)</f>
        <v>44209</v>
      </c>
      <c r="AL441" s="31" t="str">
        <f>IFERROR(__xludf.DUMMYFUNCTION("""COMPUTED_VALUE"""),"Plasma cytokine profile on admission related to aetiology in community-acquired pneumonia.")</f>
        <v>Plasma cytokine profile on admission related to aetiology in community-acquired pneumonia.</v>
      </c>
      <c r="AM441" s="31" t="str">
        <f>IFERROR(__xludf.DUMMYFUNCTION("""COMPUTED_VALUE"""),"Burgmeijer, Eduard H; Duijkers, Ruud; Lutter, René; Bonten, Marc J M; Schweitzer, Valentijn A; Boersma, Wim G")</f>
        <v>Burgmeijer, Eduard H; Duijkers, Ruud; Lutter, René; Bonten, Marc J M; Schweitzer, Valentijn A; Boersma, Wim G</v>
      </c>
      <c r="AN441" s="32">
        <f>IFERROR(__xludf.DUMMYFUNCTION("""COMPUTED_VALUE"""),43693.0)</f>
        <v>43693</v>
      </c>
    </row>
    <row r="442">
      <c r="A442" s="32"/>
      <c r="I442" s="31" t="str">
        <f>IFERROR(__xludf.DUMMYFUNCTION("""COMPUTED_VALUE"""),"jacc cardiooncology")</f>
        <v>jacc cardiooncology</v>
      </c>
      <c r="J442" s="38">
        <f>COUNTIF(Data!$F$2:$F9917, $I442)</f>
        <v>3</v>
      </c>
      <c r="T442" s="31" t="s">
        <v>659</v>
      </c>
      <c r="U442" s="31" t="s">
        <v>660</v>
      </c>
      <c r="V442" s="32">
        <v>45363.0</v>
      </c>
      <c r="X442" s="31" t="str">
        <f>IFERROR(__xludf.DUMMYFUNCTION("""COMPUTED_VALUE"""),"It is important to feel invited': what patients require when using the Utrecht Symptom Diary - 4 Dimensional, a qualitative exploration.")</f>
        <v>It is important to feel invited': what patients require when using the Utrecht Symptom Diary - 4 Dimensional, a qualitative exploration.</v>
      </c>
      <c r="Y442" s="31" t="str">
        <f>IFERROR(__xludf.DUMMYFUNCTION("""COMPUTED_VALUE"""),"Lormans, Tom; de Graaf, Everlien; de Vries, Sita; Leget, Carlo; Teunissen, Saskia")</f>
        <v>Lormans, Tom; de Graaf, Everlien; de Vries, Sita; Leget, Carlo; Teunissen, Saskia</v>
      </c>
      <c r="Z442" s="31">
        <f>IFERROR(__xludf.DUMMYFUNCTION("""COMPUTED_VALUE"""),2024.0)</f>
        <v>2024</v>
      </c>
      <c r="AA442" s="31">
        <f>IFERROR(__xludf.DUMMYFUNCTION("""COMPUTED_VALUE"""),1.0)</f>
        <v>1</v>
      </c>
      <c r="AF442" s="31" t="str">
        <f>IFERROR(__xludf.DUMMYFUNCTION("""COMPUTED_VALUE"""),"Lessons learned from the Amsterdam Cohort Studies among people who use drugs: a historical perspective.")</f>
        <v>Lessons learned from the Amsterdam Cohort Studies among people who use drugs: a historical perspective.</v>
      </c>
      <c r="AG442" s="31" t="str">
        <f>IFERROR(__xludf.DUMMYFUNCTION("""COMPUTED_VALUE"""),"van Santen, Daniela K; Coutinho, Roel A; van den Hoek, Anneke; van Brussel, Giel; Buster, Marcel; Prins, Maria")</f>
        <v>van Santen, Daniela K; Coutinho, Roel A; van den Hoek, Anneke; van Brussel, Giel; Buster, Marcel; Prins, Maria</v>
      </c>
      <c r="AH442" s="32">
        <f>IFERROR(__xludf.DUMMYFUNCTION("""COMPUTED_VALUE"""),44202.0)</f>
        <v>44202</v>
      </c>
      <c r="AL442" s="31" t="str">
        <f>IFERROR(__xludf.DUMMYFUNCTION("""COMPUTED_VALUE"""),"The effects of topical antibiotics on eradication and acquisition of third-generation cephalosporin and carbapenem-resistant Gram-negative bacteria in ICU patients; a post hoc analysis from a multicentre cluster-randomized trial.")</f>
        <v>The effects of topical antibiotics on eradication and acquisition of third-generation cephalosporin and carbapenem-resistant Gram-negative bacteria in ICU patients; a post hoc analysis from a multicentre cluster-randomized trial.</v>
      </c>
      <c r="AM442" s="31" t="str">
        <f>IFERROR(__xludf.DUMMYFUNCTION("""COMPUTED_VALUE"""),"Plantinga, N L; Wittekamp, B H J; Brun-Buisson, C; Bonten, M J M; ,")</f>
        <v>Plantinga, N L; Wittekamp, B H J; Brun-Buisson, C; Bonten, M J M; ,</v>
      </c>
      <c r="AN442" s="32">
        <f>IFERROR(__xludf.DUMMYFUNCTION("""COMPUTED_VALUE"""),43691.0)</f>
        <v>43691</v>
      </c>
    </row>
    <row r="443">
      <c r="A443" s="32"/>
      <c r="I443" s="31" t="str">
        <f>IFERROR(__xludf.DUMMYFUNCTION("""COMPUTED_VALUE"""),"investigative radiology")</f>
        <v>investigative radiology</v>
      </c>
      <c r="J443" s="38">
        <f>COUNTIF(Data!$F$2:$F9917, $I443)</f>
        <v>3</v>
      </c>
      <c r="T443" s="31" t="s">
        <v>664</v>
      </c>
      <c r="U443" s="31" t="s">
        <v>665</v>
      </c>
      <c r="V443" s="32">
        <v>45363.0</v>
      </c>
      <c r="X443" s="31" t="str">
        <f>IFERROR(__xludf.DUMMYFUNCTION("""COMPUTED_VALUE"""),"Factors influencing deprescribing in primary care for those towards the end of life: A qualitative interview study with patients and healthcare practitioners.")</f>
        <v>Factors influencing deprescribing in primary care for those towards the end of life: A qualitative interview study with patients and healthcare practitioners.</v>
      </c>
      <c r="Y443" s="31" t="str">
        <f>IFERROR(__xludf.DUMMYFUNCTION("""COMPUTED_VALUE"""),"van der Waal, Maike S; Teunissen, Saskia Ccm; Uyttewaal, Allegonda G; Verboeket-Crul, Cathelijne; Smits-Pelser, Hanneke; Geijteman, Eric Ct; Grant, Matthew P")</f>
        <v>van der Waal, Maike S; Teunissen, Saskia Ccm; Uyttewaal, Allegonda G; Verboeket-Crul, Cathelijne; Smits-Pelser, Hanneke; Geijteman, Eric Ct; Grant, Matthew P</v>
      </c>
      <c r="Z443" s="31">
        <f>IFERROR(__xludf.DUMMYFUNCTION("""COMPUTED_VALUE"""),2024.0)</f>
        <v>2024</v>
      </c>
      <c r="AA443" s="31">
        <f>IFERROR(__xludf.DUMMYFUNCTION("""COMPUTED_VALUE"""),1.0)</f>
        <v>1</v>
      </c>
      <c r="AF443" s="31" t="str">
        <f>IFERROR(__xludf.DUMMYFUNCTION("""COMPUTED_VALUE"""),"Adherence to Drinking Guidelines and Reasons for Alcohol Consumption Cessation in the Southern Cone of Latin America - Findings from the CESCAS Study.")</f>
        <v>Adherence to Drinking Guidelines and Reasons for Alcohol Consumption Cessation in the Southern Cone of Latin America - Findings from the CESCAS Study.</v>
      </c>
      <c r="AG443" s="31" t="str">
        <f>IFERROR(__xludf.DUMMYFUNCTION("""COMPUTED_VALUE"""),"van de Luitgaarden, Inge A T; Gulayin, Pablo E; Gutierrez, Laura; Calandrelli, Matías; Mores, Nora; Ponzo, Jacqueline; Lanas, Fernando; Schrieks, Ilse C; Grobbee, Diederick E; Beulens, Joline W J; Irazola, Vilma")</f>
        <v>van de Luitgaarden, Inge A T; Gulayin, Pablo E; Gutierrez, Laura; Calandrelli, Matías; Mores, Nora; Ponzo, Jacqueline; Lanas, Fernando; Schrieks, Ilse C; Grobbee, Diederick E; Beulens, Joline W J; Irazola, Vilma</v>
      </c>
      <c r="AH443" s="32">
        <f>IFERROR(__xludf.DUMMYFUNCTION("""COMPUTED_VALUE"""),44200.0)</f>
        <v>44200</v>
      </c>
      <c r="AL443" s="31" t="str">
        <f>IFERROR(__xludf.DUMMYFUNCTION("""COMPUTED_VALUE"""),"Tumor Seeding During Colonoscopy as a Possible Cause for Metachronous Colorectal Cancer.")</f>
        <v>Tumor Seeding During Colonoscopy as a Possible Cause for Metachronous Colorectal Cancer.</v>
      </c>
      <c r="AM443" s="31" t="str">
        <f>IFERROR(__xludf.DUMMYFUNCTION("""COMPUTED_VALUE"""),"Backes, Yara; Seerden, Tom C J; van Gestel, Rosanne S F E; Kranenburg, Onno; Ubink, Inge; Schiffelers, Raymond M; van Straten, Demian; van der Capellen, Malu S; van de Weerd, Simone; de Leng, Wendy W J; Siersema, Peter D; Offerhaus, G Johan A; Morsink, Fo"&amp;"lkert H; Ramphal, Winesh; Terhaar Sive Droste, Jochiim; van Lent, Anja U G; Geesing, Joost M J; Vleggaar, Frank P; Elias, Sjoerd G; Lacle, Miangela M; Moons, Leon M G")</f>
        <v>Backes, Yara; Seerden, Tom C J; van Gestel, Rosanne S F E; Kranenburg, Onno; Ubink, Inge; Schiffelers, Raymond M; van Straten, Demian; van der Capellen, Malu S; van de Weerd, Simone; de Leng, Wendy W J; Siersema, Peter D; Offerhaus, G Johan A; Morsink, Folkert H; Ramphal, Winesh; Terhaar Sive Droste, Jochiim; van Lent, Anja U G; Geesing, Joost M J; Vleggaar, Frank P; Elias, Sjoerd G; Lacle, Miangela M; Moons, Leon M G</v>
      </c>
      <c r="AN443" s="32">
        <f>IFERROR(__xludf.DUMMYFUNCTION("""COMPUTED_VALUE"""),43690.0)</f>
        <v>43690</v>
      </c>
    </row>
    <row r="444">
      <c r="A444" s="32"/>
      <c r="I444" s="31" t="str">
        <f>IFERROR(__xludf.DUMMYFUNCTION("""COMPUTED_VALUE"""),"journal of cerebral blood flow and metabolism official journal of the international society of cerebral blood flow and metabolism")</f>
        <v>journal of cerebral blood flow and metabolism official journal of the international society of cerebral blood flow and metabolism</v>
      </c>
      <c r="J444" s="38">
        <f>COUNTIF(Data!$F$2:$F9917, $I444)</f>
        <v>13</v>
      </c>
      <c r="T444" s="31" t="s">
        <v>669</v>
      </c>
      <c r="U444" s="31" t="s">
        <v>670</v>
      </c>
      <c r="V444" s="32">
        <v>45362.0</v>
      </c>
      <c r="X444" s="31" t="str">
        <f>IFERROR(__xludf.DUMMYFUNCTION("""COMPUTED_VALUE"""),"Parents' and healthcare professionals' experiences with the content of an individual care plan for pediatric palliative care: a mixed-method study.")</f>
        <v>Parents' and healthcare professionals' experiences with the content of an individual care plan for pediatric palliative care: a mixed-method study.</v>
      </c>
      <c r="Y444" s="31" t="str">
        <f>IFERROR(__xludf.DUMMYFUNCTION("""COMPUTED_VALUE"""),"Joren, Chantal Y; Kars, Marijke C; Kremer, Leontien C M; Hofman, Suzanne C; Rippen-Wagner, Hester; Slingerland-Blom, Ria; van der Velden, Chantal; Schuiling-Otten, Meggi; Verhagen, A A Eduard; Aris-Meijer, Judith L")</f>
        <v>Joren, Chantal Y; Kars, Marijke C; Kremer, Leontien C M; Hofman, Suzanne C; Rippen-Wagner, Hester; Slingerland-Blom, Ria; van der Velden, Chantal; Schuiling-Otten, Meggi; Verhagen, A A Eduard; Aris-Meijer, Judith L</v>
      </c>
      <c r="Z444" s="31">
        <f>IFERROR(__xludf.DUMMYFUNCTION("""COMPUTED_VALUE"""),2024.0)</f>
        <v>2024</v>
      </c>
      <c r="AA444" s="31">
        <f>IFERROR(__xludf.DUMMYFUNCTION("""COMPUTED_VALUE"""),1.0)</f>
        <v>1</v>
      </c>
      <c r="AF444" s="31" t="str">
        <f>IFERROR(__xludf.DUMMYFUNCTION("""COMPUTED_VALUE"""),"Investigation of stillbirth causes in Suriname: application of the WHO ICD-PM tool to national-level hospital data.")</f>
        <v>Investigation of stillbirth causes in Suriname: application of the WHO ICD-PM tool to national-level hospital data.</v>
      </c>
      <c r="AG444" s="31" t="str">
        <f>IFERROR(__xludf.DUMMYFUNCTION("""COMPUTED_VALUE"""),"Prüst, Zita D; Verschueren, Kim J C; Bhikha-Kori, Gieta A A; Kodan, Lachmi R; Bloemenkamp, Kitty W M; Browne, Joyce L; Rijken, Marcus J")</f>
        <v>Prüst, Zita D; Verschueren, Kim J C; Bhikha-Kori, Gieta A A; Kodan, Lachmi R; Bloemenkamp, Kitty W M; Browne, Joyce L; Rijken, Marcus J</v>
      </c>
      <c r="AH444" s="32">
        <f>IFERROR(__xludf.DUMMYFUNCTION("""COMPUTED_VALUE"""),44196.0)</f>
        <v>44196</v>
      </c>
      <c r="AL444" s="31" t="str">
        <f>IFERROR(__xludf.DUMMYFUNCTION("""COMPUTED_VALUE"""),"Knowledge-based and deep learning-based automated chest wall segmentation in magnetic resonance images of extremely dense breasts.")</f>
        <v>Knowledge-based and deep learning-based automated chest wall segmentation in magnetic resonance images of extremely dense breasts.</v>
      </c>
      <c r="AM444" s="31" t="str">
        <f>IFERROR(__xludf.DUMMYFUNCTION("""COMPUTED_VALUE"""),"Verburg, Erik; Wolterink, Jelmer M; de Waard, Stephanie N; Išgum, Ivana; van Gils, Carla H; Veldhuis, Wouter B; Gilhuijs, Kenneth G A")</f>
        <v>Verburg, Erik; Wolterink, Jelmer M; de Waard, Stephanie N; Išgum, Ivana; van Gils, Carla H; Veldhuis, Wouter B; Gilhuijs, Kenneth G A</v>
      </c>
      <c r="AN444" s="32">
        <f>IFERROR(__xludf.DUMMYFUNCTION("""COMPUTED_VALUE"""),43687.0)</f>
        <v>43687</v>
      </c>
    </row>
    <row r="445">
      <c r="A445" s="32"/>
      <c r="I445" s="31" t="str">
        <f>IFERROR(__xludf.DUMMYFUNCTION("""COMPUTED_VALUE"""),"the european journal of health economics hepac health economics in prevention and care")</f>
        <v>the european journal of health economics hepac health economics in prevention and care</v>
      </c>
      <c r="J445" s="38">
        <f>COUNTIF(Data!$F$2:$F9917, $I445)</f>
        <v>3</v>
      </c>
      <c r="T445" s="31" t="s">
        <v>674</v>
      </c>
      <c r="U445" s="31" t="s">
        <v>675</v>
      </c>
      <c r="V445" s="32">
        <v>45362.0</v>
      </c>
      <c r="X445" s="31" t="str">
        <f>IFERROR(__xludf.DUMMYFUNCTION("""COMPUTED_VALUE"""),"The Practical Application of the Individual Care Plan for Pediatric Palliative Care: A Mixed-Method Study.")</f>
        <v>The Practical Application of the Individual Care Plan for Pediatric Palliative Care: A Mixed-Method Study.</v>
      </c>
      <c r="Y445" s="31" t="str">
        <f>IFERROR(__xludf.DUMMYFUNCTION("""COMPUTED_VALUE"""),"Joren, Chantal Y; Aris-Meijer, Judith L; Kremer, Leontien C M; Hofman, Suzanne C; Rippen-Wagner, Hester; Slingerland-Blom, Ria; van der Velden, Chantal; Schuiling-Otten, Meggi A; Project Team Icp,; Verhagen, A A Eduard; Kars, Marijke C")</f>
        <v>Joren, Chantal Y; Aris-Meijer, Judith L; Kremer, Leontien C M; Hofman, Suzanne C; Rippen-Wagner, Hester; Slingerland-Blom, Ria; van der Velden, Chantal; Schuiling-Otten, Meggi A; Project Team Icp,; Verhagen, A A Eduard; Kars, Marijke C</v>
      </c>
      <c r="Z445" s="31">
        <f>IFERROR(__xludf.DUMMYFUNCTION("""COMPUTED_VALUE"""),2024.0)</f>
        <v>2024</v>
      </c>
      <c r="AA445" s="31">
        <f>IFERROR(__xludf.DUMMYFUNCTION("""COMPUTED_VALUE"""),1.0)</f>
        <v>1</v>
      </c>
      <c r="AF445" s="31" t="str">
        <f>IFERROR(__xludf.DUMMYFUNCTION("""COMPUTED_VALUE"""),"Developing excellence in biostatistics leadership, training and science in Africa: How the Sub-Saharan Africa Consortium for Advanced Biostatistics (SSACAB) training unites expertise to deliver excellence.")</f>
        <v>Developing excellence in biostatistics leadership, training and science in Africa: How the Sub-Saharan Africa Consortium for Advanced Biostatistics (SSACAB) training unites expertise to deliver excellence.</v>
      </c>
      <c r="AG445" s="31" t="str">
        <f>IFERROR(__xludf.DUMMYFUNCTION("""COMPUTED_VALUE"""),"Chirwa, Tobias F; Matsena Zingoni, Zvifadzo; Munyewende, Pascalia; Manda, Samuel O; Mwambi, Henry; Kandala, Ngianga-Bakwin; Kinyanjui, Samson; Young, Taryn; Musenge, Eustasius; Simbeye, Jupiter; Musonda, Patrick; Mahande, Michael Johnson; Weke, Patrick; O"&amp;"nyango, Nelson Owuor; Kazembe, Lawrence; Tumwesigye, Nazarius Mbona; Zuma, Khangelani; Yende-Zuma, Nonhlanhla; Omanyondo Ohambe, Marie-Claire; Kweku, Emmanuel Nakua; Maposa, Innocent; Ayele, Birhanu; Achia, Thomas; Machekano, Rhoderick; Thabane, Lehana; L"&amp;"evin, Jonathan; Eijkemans, Marinus J C; Carpenter, James; Chasela, Charles; Klipstein-Grobusch, Kerstin; Todd, Jim")</f>
        <v>Chirwa, Tobias F; Matsena Zingoni, Zvifadzo; Munyewende, Pascalia; Manda, Samuel O; Mwambi, Henry; Kandala, Ngianga-Bakwin; Kinyanjui, Samson; Young, Taryn; Musenge, Eustasius; Simbeye, Jupiter; Musonda, Patrick; Mahande, Michael Johnson; Weke, Patrick; Onyango, Nelson Owuor; Kazembe, Lawrence; Tumwesigye, Nazarius Mbona; Zuma, Khangelani; Yende-Zuma, Nonhlanhla; Omanyondo Ohambe, Marie-Claire; Kweku, Emmanuel Nakua; Maposa, Innocent; Ayele, Birhanu; Achia, Thomas; Machekano, Rhoderick; Thabane, Lehana; Levin, Jonathan; Eijkemans, Marinus J C; Carpenter, James; Chasela, Charles; Klipstein-Grobusch, Kerstin; Todd, Jim</v>
      </c>
      <c r="AH445" s="32">
        <f>IFERROR(__xludf.DUMMYFUNCTION("""COMPUTED_VALUE"""),44187.0)</f>
        <v>44187</v>
      </c>
      <c r="AL445" s="31" t="str">
        <f>IFERROR(__xludf.DUMMYFUNCTION("""COMPUTED_VALUE"""),"Impact of oral metronidazole treatment on the vaginal microbiota and correlates of treatment failure.")</f>
        <v>Impact of oral metronidazole treatment on the vaginal microbiota and correlates of treatment failure.</v>
      </c>
      <c r="AM445" s="31" t="str">
        <f>IFERROR(__xludf.DUMMYFUNCTION("""COMPUTED_VALUE"""),"Verwijs, Marijn C; Agaba, Stephen K; Darby, Alistair C; van de Wijgert, Janneke H H M")</f>
        <v>Verwijs, Marijn C; Agaba, Stephen K; Darby, Alistair C; van de Wijgert, Janneke H H M</v>
      </c>
      <c r="AN445" s="32">
        <f>IFERROR(__xludf.DUMMYFUNCTION("""COMPUTED_VALUE"""),43686.0)</f>
        <v>43686</v>
      </c>
    </row>
    <row r="446">
      <c r="A446" s="32"/>
      <c r="I446" s="31" t="str">
        <f>IFERROR(__xludf.DUMMYFUNCTION("""COMPUTED_VALUE"""),"the american journal of gastroenterology")</f>
        <v>the american journal of gastroenterology</v>
      </c>
      <c r="J446" s="38">
        <f>COUNTIF(Data!$F$2:$F9917, $I446)</f>
        <v>6</v>
      </c>
      <c r="T446" s="31" t="s">
        <v>679</v>
      </c>
      <c r="U446" s="31" t="s">
        <v>680</v>
      </c>
      <c r="V446" s="32">
        <v>45359.0</v>
      </c>
      <c r="X446" s="31" t="str">
        <f>IFERROR(__xludf.DUMMYFUNCTION("""COMPUTED_VALUE"""),"Using PURPOSE-T in clinical practice: A realist evaluation.")</f>
        <v>Using PURPOSE-T in clinical practice: A realist evaluation.</v>
      </c>
      <c r="Y446" s="31" t="str">
        <f>IFERROR(__xludf.DUMMYFUNCTION("""COMPUTED_VALUE"""),"Coleman, Susanne; Greenhalgh, Joanne; Schoonhoven, Lisette; Twiddy, Maureen; Nixon, Jane")</f>
        <v>Coleman, Susanne; Greenhalgh, Joanne; Schoonhoven, Lisette; Twiddy, Maureen; Nixon, Jane</v>
      </c>
      <c r="Z446" s="31">
        <f>IFERROR(__xludf.DUMMYFUNCTION("""COMPUTED_VALUE"""),2024.0)</f>
        <v>2024</v>
      </c>
      <c r="AA446" s="31">
        <f>IFERROR(__xludf.DUMMYFUNCTION("""COMPUTED_VALUE"""),1.0)</f>
        <v>1</v>
      </c>
      <c r="AF446" s="31" t="str">
        <f>IFERROR(__xludf.DUMMYFUNCTION("""COMPUTED_VALUE"""),"The Association of Vitamin D and Vitamin K Status with Subclinical Measures of Cardiovascular Health and All-Cause Mortality in Older Adults: The Hoorn Study.")</f>
        <v>The Association of Vitamin D and Vitamin K Status with Subclinical Measures of Cardiovascular Health and All-Cause Mortality in Older Adults: The Hoorn Study.</v>
      </c>
      <c r="AG446" s="31" t="str">
        <f>IFERROR(__xludf.DUMMYFUNCTION("""COMPUTED_VALUE"""),"Dal Canto, Elisa; Beulens, Joline W J; Elders, Petra; Rutters, Femke; Stehouwer, Coen D A; van der Heijden, Amber A; van Ballegooijen, Adriana J")</f>
        <v>Dal Canto, Elisa; Beulens, Joline W J; Elders, Petra; Rutters, Femke; Stehouwer, Coen D A; van der Heijden, Amber A; van Ballegooijen, Adriana J</v>
      </c>
      <c r="AH446" s="32">
        <f>IFERROR(__xludf.DUMMYFUNCTION("""COMPUTED_VALUE"""),44175.0)</f>
        <v>44175</v>
      </c>
      <c r="AL446" s="31" t="str">
        <f>IFERROR(__xludf.DUMMYFUNCTION("""COMPUTED_VALUE"""),"Lactobacilli-containing vaginal probiotics to cure or prevent bacterial or fungal vaginal dysbiosis: a systematic review and recommendations for future trial designs.")</f>
        <v>Lactobacilli-containing vaginal probiotics to cure or prevent bacterial or fungal vaginal dysbiosis: a systematic review and recommendations for future trial designs.</v>
      </c>
      <c r="AM446" s="31" t="str">
        <f>IFERROR(__xludf.DUMMYFUNCTION("""COMPUTED_VALUE"""),"van de Wijgert, Jhhm; Verwijs, M C")</f>
        <v>van de Wijgert, Jhhm; Verwijs, M C</v>
      </c>
      <c r="AN446" s="32">
        <f>IFERROR(__xludf.DUMMYFUNCTION("""COMPUTED_VALUE"""),43685.0)</f>
        <v>43685</v>
      </c>
    </row>
    <row r="447">
      <c r="A447" s="32"/>
      <c r="I447" s="31" t="str">
        <f>IFERROR(__xludf.DUMMYFUNCTION("""COMPUTED_VALUE"""),"oncotarget")</f>
        <v>oncotarget</v>
      </c>
      <c r="J447" s="38">
        <f>COUNTIF(Data!$F$2:$F9917, $I447)</f>
        <v>2</v>
      </c>
      <c r="T447" s="31" t="s">
        <v>684</v>
      </c>
      <c r="U447" s="31" t="s">
        <v>156</v>
      </c>
      <c r="V447" s="32">
        <v>45359.0</v>
      </c>
      <c r="X447" s="31" t="str">
        <f>IFERROR(__xludf.DUMMYFUNCTION("""COMPUTED_VALUE"""),"A qualitative exploration of the reasons and influencing factors for pregnancy termination among young women in Soweto, South Africa: a Socio-ecological perspective.")</f>
        <v>A qualitative exploration of the reasons and influencing factors for pregnancy termination among young women in Soweto, South Africa: a Socio-ecological perspective.</v>
      </c>
      <c r="Y447" s="31" t="str">
        <f>IFERROR(__xludf.DUMMYFUNCTION("""COMPUTED_VALUE"""),"Mabetha, Khuthala; Soepnel, Larske M; SSewanyana, Derrick; Draper, Catherine E; Lye, Stephen; Norris, Shane A")</f>
        <v>Mabetha, Khuthala; Soepnel, Larske M; SSewanyana, Derrick; Draper, Catherine E; Lye, Stephen; Norris, Shane A</v>
      </c>
      <c r="Z447" s="31">
        <f>IFERROR(__xludf.DUMMYFUNCTION("""COMPUTED_VALUE"""),2024.0)</f>
        <v>2024</v>
      </c>
      <c r="AA447" s="31">
        <f>IFERROR(__xludf.DUMMYFUNCTION("""COMPUTED_VALUE"""),1.0)</f>
        <v>1</v>
      </c>
      <c r="AF447" s="31" t="str">
        <f>IFERROR(__xludf.DUMMYFUNCTION("""COMPUTED_VALUE"""),"[Reflections on health care: hypes as a valve mechanism of the health care system].")</f>
        <v>[Reflections on health care: hypes as a valve mechanism of the health care system].</v>
      </c>
      <c r="AG447" s="31" t="str">
        <f>IFERROR(__xludf.DUMMYFUNCTION("""COMPUTED_VALUE"""),"Huisman, Frank G")</f>
        <v>Huisman, Frank G</v>
      </c>
      <c r="AH447" s="32">
        <f>IFERROR(__xludf.DUMMYFUNCTION("""COMPUTED_VALUE"""),44175.0)</f>
        <v>44175</v>
      </c>
      <c r="AL447" s="31" t="str">
        <f>IFERROR(__xludf.DUMMYFUNCTION("""COMPUTED_VALUE"""),"A pilot study of a novel molecular host response assay to diagnose infection in patients after high-risk gastro-intestinal surgery.")</f>
        <v>A pilot study of a novel molecular host response assay to diagnose infection in patients after high-risk gastro-intestinal surgery.</v>
      </c>
      <c r="AM447" s="31" t="str">
        <f>IFERROR(__xludf.DUMMYFUNCTION("""COMPUTED_VALUE"""),"Verboom, Diana M; Koster-Brouwer, Maria E; Ruurda, Jelle P; van Hillegersberg, Richard; van Berge Henegouwen, Mark I; Gisbertz, Suzanne S; Scicluna, Brendon P; Bonten, Marc J M; Cremer, Olaf L; ,")</f>
        <v>Verboom, Diana M; Koster-Brouwer, Maria E; Ruurda, Jelle P; van Hillegersberg, Richard; van Berge Henegouwen, Mark I; Gisbertz, Suzanne S; Scicluna, Brendon P; Bonten, Marc J M; Cremer, Olaf L; ,</v>
      </c>
      <c r="AN447" s="32">
        <f>IFERROR(__xludf.DUMMYFUNCTION("""COMPUTED_VALUE"""),43676.0)</f>
        <v>43676</v>
      </c>
    </row>
    <row r="448">
      <c r="A448" s="32"/>
      <c r="I448" s="31" t="str">
        <f>IFERROR(__xludf.DUMMYFUNCTION("""COMPUTED_VALUE"""),"data in brief")</f>
        <v>data in brief</v>
      </c>
      <c r="J448" s="38">
        <f>COUNTIF(Data!$F$2:$F9917, $I448)</f>
        <v>1</v>
      </c>
      <c r="T448" s="31" t="s">
        <v>687</v>
      </c>
      <c r="U448" s="31" t="s">
        <v>688</v>
      </c>
      <c r="V448" s="32">
        <v>45359.0</v>
      </c>
      <c r="X448" s="31" t="str">
        <f>IFERROR(__xludf.DUMMYFUNCTION("""COMPUTED_VALUE"""),"Associations of gestational exposure to air pollution with maternal vitamin D levels: a meta-analysis.")</f>
        <v>Associations of gestational exposure to air pollution with maternal vitamin D levels: a meta-analysis.</v>
      </c>
      <c r="Y448" s="31" t="str">
        <f>IFERROR(__xludf.DUMMYFUNCTION("""COMPUTED_VALUE"""),"Binter, Anne-Claire; Ghassabian, Akhgar; Zou, Runyu; El Marroun, Hanan; Lertxundi, Aitana; Switkowski, Karen M; Estarlich, Marisa; Rodríguez-Dehli, Ana Cristina; Esplugues, Ana; Vrijkotte, Tanja; Sunyer, Jordi; Santa-Marina, Loreto; Fernández-Somoano, Ana"&amp;"; Polanska, Kinga; McEachan, Rosemary R C; Oken, Emily; Tiemeier, Henning; Guxens, Mònica")</f>
        <v>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v>
      </c>
      <c r="Z448" s="31">
        <f>IFERROR(__xludf.DUMMYFUNCTION("""COMPUTED_VALUE"""),2024.0)</f>
        <v>2024</v>
      </c>
      <c r="AA448" s="31">
        <f>IFERROR(__xludf.DUMMYFUNCTION("""COMPUTED_VALUE"""),1.0)</f>
        <v>1</v>
      </c>
      <c r="AF448" s="31" t="str">
        <f>IFERROR(__xludf.DUMMYFUNCTION("""COMPUTED_VALUE"""),"Organoids for personalized treatment of Cystic Fibrosis: Professional perspectives on the ethics and governance of organoid biobanking.")</f>
        <v>Organoids for personalized treatment of Cystic Fibrosis: Professional perspectives on the ethics and governance of organoid biobanking.</v>
      </c>
      <c r="AG448" s="31" t="str">
        <f>IFERROR(__xludf.DUMMYFUNCTION("""COMPUTED_VALUE"""),"Lensink, Michael A; Boers, Sarah N; Jongsma, Karin R; Carter, Sarah E; van der Ent, Cornelis K; Bredenoord, Annelien L")</f>
        <v>Lensink, Michael A; Boers, Sarah N; Jongsma, Karin R; Carter, Sarah E; van der Ent, Cornelis K; Bredenoord, Annelien L</v>
      </c>
      <c r="AH448" s="32">
        <f>IFERROR(__xludf.DUMMYFUNCTION("""COMPUTED_VALUE"""),44172.0)</f>
        <v>44172</v>
      </c>
      <c r="AL448" s="31" t="str">
        <f>IFERROR(__xludf.DUMMYFUNCTION("""COMPUTED_VALUE"""),"Decision analytic modeling was useful to assess the impact of a prediction model on health outcomes before a randomized trial.")</f>
        <v>Decision analytic modeling was useful to assess the impact of a prediction model on health outcomes before a randomized trial.</v>
      </c>
      <c r="AM448" s="31" t="str">
        <f>IFERROR(__xludf.DUMMYFUNCTION("""COMPUTED_VALUE"""),"Jenniskens, Kevin; Lagerweij, Ghizelda R; Naaktgeboren, Christiana A; Hooft, Lotty; Moons, Karel G M; Poldervaart, Judith M; Koffijberg, Hendrik; Reitsma, Johannes B")</f>
        <v>Jenniskens, Kevin; Lagerweij, Ghizelda R; Naaktgeboren, Christiana A; Hooft, Lotty; Moons, Karel G M; Poldervaart, Judith M; Koffijberg, Hendrik; Reitsma, Johannes B</v>
      </c>
      <c r="AN448" s="32">
        <f>IFERROR(__xludf.DUMMYFUNCTION("""COMPUTED_VALUE"""),43665.0)</f>
        <v>43665</v>
      </c>
    </row>
    <row r="449">
      <c r="A449" s="32"/>
      <c r="I449" s="31" t="str">
        <f>IFERROR(__xludf.DUMMYFUNCTION("""COMPUTED_VALUE"""),"epidemiology cambridge mass")</f>
        <v>epidemiology cambridge mass</v>
      </c>
      <c r="J449" s="38">
        <f>COUNTIF(Data!$F$2:$F9917, $I449)</f>
        <v>16</v>
      </c>
      <c r="T449" s="31" t="s">
        <v>692</v>
      </c>
      <c r="U449" s="31" t="s">
        <v>693</v>
      </c>
      <c r="V449" s="32">
        <v>45357.0</v>
      </c>
      <c r="X449" s="31" t="str">
        <f>IFERROR(__xludf.DUMMYFUNCTION("""COMPUTED_VALUE"""),"Expanded PAH analysis of household air pollution in a rural region of China with high lung cancer incidence.")</f>
        <v>Expanded PAH analysis of household air pollution in a rural region of China with high lung cancer incidence.</v>
      </c>
      <c r="Y449" s="31" t="str">
        <f>IFERROR(__xludf.DUMMYFUNCTION("""COMPUTED_VALUE"""),"Zhang, Yongliang; Meliefste, Kees; Hu, Wei; Portengen, Lützen; Rothman, Nathaniel; Reiss, Boris; Li, Jihua; Xu, Jun; Ning, Baofu; Liu, Dingyu; Cassee, Flemming R; Wong, Jason Y Y; Vermeulen, Roel; Lan, Qing; Downward, George S")</f>
        <v>Zhang, Yongliang; Meliefste, Kees; Hu, Wei; Portengen, Lützen; Rothman, Nathaniel; Reiss, Boris; Li, Jihua; Xu, Jun; Ning, Baofu; Liu, Dingyu; Cassee, Flemming R; Wong, Jason Y Y; Vermeulen, Roel; Lan, Qing; Downward, George S</v>
      </c>
      <c r="Z449" s="31">
        <f>IFERROR(__xludf.DUMMYFUNCTION("""COMPUTED_VALUE"""),2024.0)</f>
        <v>2024</v>
      </c>
      <c r="AA449" s="31">
        <f>IFERROR(__xludf.DUMMYFUNCTION("""COMPUTED_VALUE"""),1.0)</f>
        <v>1</v>
      </c>
      <c r="AF449" s="31" t="str">
        <f>IFERROR(__xludf.DUMMYFUNCTION("""COMPUTED_VALUE"""),"Sex Differences in the Risk of Coronary Heart Disease Associated With Type 2 Diabetes: A Mendelian Randomization Analysis.")</f>
        <v>Sex Differences in the Risk of Coronary Heart Disease Associated With Type 2 Diabetes: A Mendelian Randomization Analysis.</v>
      </c>
      <c r="AG449" s="31" t="str">
        <f>IFERROR(__xludf.DUMMYFUNCTION("""COMPUTED_VALUE"""),"Peters, Tricia M; Holmes, Michael V; Richards, J Brent; Palmer, Tom; Forgetta, Vincenzo; Lindgren, Cecilia M; Asselbergs, Folkert W; Nelson, Christopher P; Samani, Nilesh J; McCarthy, Mark I; Mahajan, Anubha; Davey Smith, George; Woodward, Mark; O'Keeffe,"&amp;" Linda M; Peters, Sanne A E")</f>
        <v>Peters, Tricia M; Holmes, Michael V; Richards, J Brent; Palmer, Tom; Forgetta, Vincenzo; Lindgren, Cecilia M; Asselbergs, Folkert W; Nelson, Christopher P; Samani, Nilesh J; McCarthy, Mark I; Mahajan, Anubha; Davey Smith, George; Woodward, Mark; O'Keeffe, Linda M; Peters, Sanne A E</v>
      </c>
      <c r="AH449" s="32">
        <f>IFERROR(__xludf.DUMMYFUNCTION("""COMPUTED_VALUE"""),44169.0)</f>
        <v>44169</v>
      </c>
      <c r="AL449" s="31" t="str">
        <f>IFERROR(__xludf.DUMMYFUNCTION("""COMPUTED_VALUE"""),"Prediction of cardiovascular risk: it is not only in the details.")</f>
        <v>Prediction of cardiovascular risk: it is not only in the details.</v>
      </c>
      <c r="AM449" s="31" t="str">
        <f>IFERROR(__xludf.DUMMYFUNCTION("""COMPUTED_VALUE"""),"Damen, Johanna Aa; Bots, Michiel L")</f>
        <v>Damen, Johanna Aa; Bots, Michiel L</v>
      </c>
      <c r="AN449" s="32">
        <f>IFERROR(__xludf.DUMMYFUNCTION("""COMPUTED_VALUE"""),43656.0)</f>
        <v>43656</v>
      </c>
    </row>
    <row r="450">
      <c r="A450" s="32"/>
      <c r="I450" s="31" t="str">
        <f>IFERROR(__xludf.DUMMYFUNCTION("""COMPUTED_VALUE"""),"european journal of cancer care")</f>
        <v>european journal of cancer care</v>
      </c>
      <c r="J450" s="38">
        <f>COUNTIF(Data!$F$2:$F9917, $I450)</f>
        <v>5</v>
      </c>
      <c r="T450" s="31" t="s">
        <v>696</v>
      </c>
      <c r="U450" s="31" t="s">
        <v>697</v>
      </c>
      <c r="V450" s="32">
        <v>45357.0</v>
      </c>
      <c r="X450" s="31" t="str">
        <f>IFERROR(__xludf.DUMMYFUNCTION("""COMPUTED_VALUE"""),"Balancing ethical norms and duties for the introduction of new medicines through conditional marketing authorization: a research agenda.")</f>
        <v>Balancing ethical norms and duties for the introduction of new medicines through conditional marketing authorization: a research agenda.</v>
      </c>
      <c r="Y450" s="31" t="str">
        <f>IFERROR(__xludf.DUMMYFUNCTION("""COMPUTED_VALUE"""),"Maksimova, Mariia V; van Thiel, Ghislaine J M W; Tromp, Yke; Lechner, Rosan; van Delden, Johannes J M; Bloem, Lourens T")</f>
        <v>Maksimova, Mariia V; van Thiel, Ghislaine J M W; Tromp, Yke; Lechner, Rosan; van Delden, Johannes J M; Bloem, Lourens T</v>
      </c>
      <c r="Z450" s="31">
        <f>IFERROR(__xludf.DUMMYFUNCTION("""COMPUTED_VALUE"""),2024.0)</f>
        <v>2024</v>
      </c>
      <c r="AA450" s="31">
        <f>IFERROR(__xludf.DUMMYFUNCTION("""COMPUTED_VALUE"""),1.0)</f>
        <v>1</v>
      </c>
      <c r="AF450" s="31" t="str">
        <f>IFERROR(__xludf.DUMMYFUNCTION("""COMPUTED_VALUE"""),"Editorial: Innovative Approaches in Diagnosis of Emerging/Re-emerging Infectious Diseases.")</f>
        <v>Editorial: Innovative Approaches in Diagnosis of Emerging/Re-emerging Infectious Diseases.</v>
      </c>
      <c r="AG450" s="31" t="str">
        <f>IFERROR(__xludf.DUMMYFUNCTION("""COMPUTED_VALUE"""),"Barac, Aleksandra; Poljak, Mario; Ong, David S Y")</f>
        <v>Barac, Aleksandra; Poljak, Mario; Ong, David S Y</v>
      </c>
      <c r="AH450" s="32">
        <f>IFERROR(__xludf.DUMMYFUNCTION("""COMPUTED_VALUE"""),44168.0)</f>
        <v>44168</v>
      </c>
      <c r="AL450" s="31" t="str">
        <f>IFERROR(__xludf.DUMMYFUNCTION("""COMPUTED_VALUE"""),"Reproductive and Lifestyle Factors and Circulating sRANKL and OPG Concentrations in Women: Results from the EPIC Cohort.")</f>
        <v>Reproductive and Lifestyle Factors and Circulating sRANKL and OPG Concentrations in Women: Results from the EPIC Cohort.</v>
      </c>
      <c r="AM450" s="31" t="str">
        <f>IFERROR(__xludf.DUMMYFUNCTION("""COMPUTED_VALUE"""),"Sarink, Danja; Yang, Jiaxi; Johnson, Theron; Chang-Claude, Jenny; Overvad, Kim; Olsen, Anja; Tjønneland, Anne; Fournier, Agnès; Mancini, Francesca Romana; Kvaskoff, Marina; Boeing, Heiner; Trichopoulou, Antonia; Karakatsani, Anna; Valanou, Elissavet; Agno"&amp;"li, Claudia; Sacerdote, Carlotta; Masala, Giovanna; Mattiello, Amalia; Tumino, Rosario; Van Gils, Carla H; Skeie, Guri; Gram, Inger Torhild; Weiderpass, Elisabete; Lujan-Barroso, Leila; Petrova, Dafina; Santiuste, Carmen; Quirós, J Ramón; Barricarte, Aure"&amp;"lio; Amiano, Pilar; Travis, Ruth C; Gunter, Marc; Dossus, Laure; Christakoudi, Sofia; Kaaks, Rudolf; Fortner, Renée Turzanski")</f>
        <v>Sarink, Danja; Yang, Jiaxi; Johnson, Theron; Chang-Claude, Jenny; Overvad, Kim; Olsen, Anja; Tjønneland, Anne; Fournier, Agnès; Mancini, Francesca Romana; Kvaskoff, Marina; Boeing, Heiner; Trichopoulou, Antonia; Karakatsani, Anna; Valanou, Elissavet; Agnoli, Claudia; Sacerdote, Carlotta; Masala, Giovanna; Mattiello, Amalia; Tumino, Rosario; Van Gils, Carla H; Skeie, Guri; Gram, Inger Torhild; Weiderpass, Elisabete; Lujan-Barroso, Leila; Petrova, Dafina; Santiuste, Carmen; Quirós, J Ramón; Barricarte, Aurelio; Amiano, Pilar; Travis, Ruth C; Gunter, Marc; Dossus, Laure; Christakoudi, Sofia; Kaaks, Rudolf; Fortner, Renée Turzanski</v>
      </c>
      <c r="AN450" s="32">
        <f>IFERROR(__xludf.DUMMYFUNCTION("""COMPUTED_VALUE"""),43656.0)</f>
        <v>43656</v>
      </c>
    </row>
    <row r="451">
      <c r="A451" s="32"/>
      <c r="I451" s="31" t="str">
        <f>IFERROR(__xludf.DUMMYFUNCTION("""COMPUTED_VALUE"""),"the journal of sexual medicine")</f>
        <v>the journal of sexual medicine</v>
      </c>
      <c r="J451" s="38">
        <f>COUNTIF(Data!$F$2:$F9917, $I451)</f>
        <v>2</v>
      </c>
      <c r="T451" s="31" t="s">
        <v>701</v>
      </c>
      <c r="U451" s="31" t="s">
        <v>702</v>
      </c>
      <c r="V451" s="32">
        <v>45357.0</v>
      </c>
      <c r="X451" s="31" t="str">
        <f>IFERROR(__xludf.DUMMYFUNCTION("""COMPUTED_VALUE"""),"Reconceptualizing and Defining Exposomics within Environmental Health: Expanding the Scope of Health Research.")</f>
        <v>Reconceptualizing and Defining Exposomics within Environmental Health: Expanding the Scope of Health Research.</v>
      </c>
      <c r="Y451" s="31" t="str">
        <f>IFERROR(__xludf.DUMMYFUNCTION("""COMPUTED_VALUE"""),"Safarlou, Caspar W; Jongsma, Karin R; Vermeulen, Roel")</f>
        <v>Safarlou, Caspar W; Jongsma, Karin R; Vermeulen, Roel</v>
      </c>
      <c r="Z451" s="31">
        <f>IFERROR(__xludf.DUMMYFUNCTION("""COMPUTED_VALUE"""),2024.0)</f>
        <v>2024</v>
      </c>
      <c r="AA451" s="31">
        <f>IFERROR(__xludf.DUMMYFUNCTION("""COMPUTED_VALUE"""),1.0)</f>
        <v>1</v>
      </c>
      <c r="AF451" s="31" t="str">
        <f>IFERROR(__xludf.DUMMYFUNCTION("""COMPUTED_VALUE"""),"Working nights and lower leisure-time physical activity associate with chronic pain in Southern African long-distance truck drivers: A cross-sectional study.")</f>
        <v>Working nights and lower leisure-time physical activity associate with chronic pain in Southern African long-distance truck drivers: A cross-sectional study.</v>
      </c>
      <c r="AG451" s="31" t="str">
        <f>IFERROR(__xludf.DUMMYFUNCTION("""COMPUTED_VALUE"""),"Wadley, Antonia L; Iacovides, Stella; Roche, Johanna; Scheuermaier, Karine; Venter, W D Francois; Vos, Alinda G; Lalla-Edward, Samanta T")</f>
        <v>Wadley, Antonia L; Iacovides, Stella; Roche, Johanna; Scheuermaier, Karine; Venter, W D Francois; Vos, Alinda G; Lalla-Edward, Samanta T</v>
      </c>
      <c r="AH451" s="32">
        <f>IFERROR(__xludf.DUMMYFUNCTION("""COMPUTED_VALUE"""),44168.0)</f>
        <v>44168</v>
      </c>
      <c r="AL451" s="31" t="str">
        <f>IFERROR(__xludf.DUMMYFUNCTION("""COMPUTED_VALUE"""),"A guidance was developed to identify participants with missing outcome data in randomized controlled trials.")</f>
        <v>A guidance was developed to identify participants with missing outcome data in randomized controlled trials.</v>
      </c>
      <c r="AM451" s="31" t="str">
        <f>IFERROR(__xludf.DUMMYFUNCTION("""COMPUTED_VALUE"""),"Kahale, Lara A; Guyatt, Gordon H; Agoritsas, Thomas; Briel, Matthias; Busse, Jason W; Carrasco-Labra, Alonso; Khamis, Assem M; Zhang, Yuqing; Hooft, Lotty; Scholten, Rob J P M; Akl, Elie A")</f>
        <v>Kahale, Lara A; Guyatt, Gordon H; Agoritsas, Thomas; Briel, Matthias; Busse, Jason W; Carrasco-Labra, Alonso; Khamis, Assem M; Zhang, Yuqing; Hooft, Lotty; Scholten, Rob J P M; Akl, Elie A</v>
      </c>
      <c r="AN451" s="32">
        <f>IFERROR(__xludf.DUMMYFUNCTION("""COMPUTED_VALUE"""),43655.0)</f>
        <v>43655</v>
      </c>
    </row>
    <row r="452">
      <c r="A452" s="32"/>
      <c r="I452" s="31" t="str">
        <f>IFERROR(__xludf.DUMMYFUNCTION("""COMPUTED_VALUE"""),"the european respiratory journal")</f>
        <v>the european respiratory journal</v>
      </c>
      <c r="J452" s="38">
        <f>COUNTIF(Data!$F$2:$F9917, $I452)</f>
        <v>16</v>
      </c>
      <c r="T452" s="31" t="s">
        <v>705</v>
      </c>
      <c r="U452" s="31" t="s">
        <v>706</v>
      </c>
      <c r="V452" s="32">
        <v>45357.0</v>
      </c>
      <c r="X452" s="31" t="str">
        <f>IFERROR(__xludf.DUMMYFUNCTION("""COMPUTED_VALUE"""),"A Global Perspective on Cardiovascular Risk Factors by Educational Level in CHD Patients: SURF CHD II.")</f>
        <v>A Global Perspective on Cardiovascular Risk Factors by Educational Level in CHD Patients: SURF CHD II.</v>
      </c>
      <c r="Y452" s="31" t="str">
        <f>IFERROR(__xludf.DUMMYFUNCTION("""COMPUTED_VALUE"""),"Marzà-Florensa, Anna; Vaartjes, Ilonca; Graham, Ian; Klipstein-Grobusch, Kerstin; Grobbee, Diederick E; ,")</f>
        <v>Marzà-Florensa, Anna; Vaartjes, Ilonca; Graham, Ian; Klipstein-Grobusch, Kerstin; Grobbee, Diederick E; ,</v>
      </c>
      <c r="Z452" s="31">
        <f>IFERROR(__xludf.DUMMYFUNCTION("""COMPUTED_VALUE"""),2024.0)</f>
        <v>2024</v>
      </c>
      <c r="AA452" s="31">
        <f>IFERROR(__xludf.DUMMYFUNCTION("""COMPUTED_VALUE"""),1.0)</f>
        <v>1</v>
      </c>
      <c r="AF452" s="31" t="str">
        <f>IFERROR(__xludf.DUMMYFUNCTION("""COMPUTED_VALUE"""),"The ESC Global Affairs Committee (2018-20): tackling cardiovascular disease worldwide.")</f>
        <v>The ESC Global Affairs Committee (2018-20): tackling cardiovascular disease worldwide.</v>
      </c>
      <c r="AG452" s="31" t="str">
        <f>IFERROR(__xludf.DUMMYFUNCTION("""COMPUTED_VALUE"""),"Grobbee, Diederick E")</f>
        <v>Grobbee, Diederick E</v>
      </c>
      <c r="AH452" s="32">
        <f>IFERROR(__xludf.DUMMYFUNCTION("""COMPUTED_VALUE"""),44166.0)</f>
        <v>44166</v>
      </c>
      <c r="AL452" s="31" t="str">
        <f>IFERROR(__xludf.DUMMYFUNCTION("""COMPUTED_VALUE"""),"Intrinsic Coagulation Pathway, History of Headache, and Risk of Ischemic Stroke.")</f>
        <v>Intrinsic Coagulation Pathway, History of Headache, and Risk of Ischemic Stroke.</v>
      </c>
      <c r="AM452" s="31" t="str">
        <f>IFERROR(__xludf.DUMMYFUNCTION("""COMPUTED_VALUE"""),"van Os, Hendrikus J A; Wermer, Marieke J H; Rosendaal, Frits R; Govers-Riemslag, José W; Algra, Ale; Siegerink, Bob S")</f>
        <v>van Os, Hendrikus J A; Wermer, Marieke J H; Rosendaal, Frits R; Govers-Riemslag, José W; Algra, Ale; Siegerink, Bob S</v>
      </c>
      <c r="AN452" s="32">
        <f>IFERROR(__xludf.DUMMYFUNCTION("""COMPUTED_VALUE"""),43655.0)</f>
        <v>43655</v>
      </c>
    </row>
    <row r="453">
      <c r="A453" s="32"/>
      <c r="I453" s="31" t="str">
        <f>IFERROR(__xludf.DUMMYFUNCTION("""COMPUTED_VALUE"""),"cerebrovascular diseases basel switzerland")</f>
        <v>cerebrovascular diseases basel switzerland</v>
      </c>
      <c r="J453" s="38">
        <f>COUNTIF(Data!$F$2:$F9917, $I453)</f>
        <v>14</v>
      </c>
      <c r="T453" s="31" t="s">
        <v>709</v>
      </c>
      <c r="U453" s="31" t="s">
        <v>710</v>
      </c>
      <c r="V453" s="32">
        <v>45356.0</v>
      </c>
      <c r="X453" s="31" t="str">
        <f>IFERROR(__xludf.DUMMYFUNCTION("""COMPUTED_VALUE"""),"The Burden of Cardiovascular Disease Attributable to Hypertension in Nigeria: A &lt;i&gt;Modelling Study Using Summary-Level Data&lt;/i&gt;.")</f>
        <v>The Burden of Cardiovascular Disease Attributable to Hypertension in Nigeria: A &lt;i&gt;Modelling Study Using Summary-Level Data&lt;/i&gt;.</v>
      </c>
      <c r="Y453" s="31" t="str">
        <f>IFERROR(__xludf.DUMMYFUNCTION("""COMPUTED_VALUE"""),"Ojo, Adedayo E; Ojji, Dike B; Grobbee, Diederick E; Huffman, Mark D; Peters, Sanne A E")</f>
        <v>Ojo, Adedayo E; Ojji, Dike B; Grobbee, Diederick E; Huffman, Mark D; Peters, Sanne A E</v>
      </c>
      <c r="Z453" s="31">
        <f>IFERROR(__xludf.DUMMYFUNCTION("""COMPUTED_VALUE"""),2024.0)</f>
        <v>2024</v>
      </c>
      <c r="AA453" s="31">
        <f>IFERROR(__xludf.DUMMYFUNCTION("""COMPUTED_VALUE"""),1.0)</f>
        <v>1</v>
      </c>
      <c r="AF453" s="31" t="str">
        <f>IFERROR(__xludf.DUMMYFUNCTION("""COMPUTED_VALUE"""),"Applicability of the WHO maternal near-miss tool: A nationwide surveillance study in Suriname.")</f>
        <v>Applicability of the WHO maternal near-miss tool: A nationwide surveillance study in Suriname.</v>
      </c>
      <c r="AG453" s="31" t="str">
        <f>IFERROR(__xludf.DUMMYFUNCTION("""COMPUTED_VALUE"""),"Verschueren, Kim Jc; Kodan, Lachmi R; Paidin, Raëz R; Samijadi, Sarah M; Paidin, Rubinah R; Rijken, Marcus J; Browne, Joyce L; Bloemenkamp, Kitty Wm")</f>
        <v>Verschueren, Kim Jc; Kodan, Lachmi R; Paidin, Raëz R; Samijadi, Sarah M; Paidin, Rubinah R; Rijken, Marcus J; Browne, Joyce L; Bloemenkamp, Kitty Wm</v>
      </c>
      <c r="AH453" s="32">
        <f>IFERROR(__xludf.DUMMYFUNCTION("""COMPUTED_VALUE"""),44166.0)</f>
        <v>44166</v>
      </c>
      <c r="AL453" s="31" t="str">
        <f>IFERROR(__xludf.DUMMYFUNCTION("""COMPUTED_VALUE"""),"Histological Differences of the Vascular Wall Between Sites With High and Low Prevalence of Intracranial Aneurysm.")</f>
        <v>Histological Differences of the Vascular Wall Between Sites With High and Low Prevalence of Intracranial Aneurysm.</v>
      </c>
      <c r="AM453" s="31" t="str">
        <f>IFERROR(__xludf.DUMMYFUNCTION("""COMPUTED_VALUE"""),"Laarman, Melanie D; Ruigrok, Ynte M; Nierstrasz, Renske C S; Spliet, Wim G M; Van Hecke, Wim; Algra, Ale; Rinkel, Gabriël J E")</f>
        <v>Laarman, Melanie D; Ruigrok, Ynte M; Nierstrasz, Renske C S; Spliet, Wim G M; Van Hecke, Wim; Algra, Ale; Rinkel, Gabriël J E</v>
      </c>
      <c r="AN453" s="32">
        <f>IFERROR(__xludf.DUMMYFUNCTION("""COMPUTED_VALUE"""),43647.0)</f>
        <v>43647</v>
      </c>
    </row>
    <row r="454">
      <c r="A454" s="32"/>
      <c r="I454" s="31" t="str">
        <f>IFERROR(__xludf.DUMMYFUNCTION("""COMPUTED_VALUE"""),"health social care in the community")</f>
        <v>health social care in the community</v>
      </c>
      <c r="J454" s="38">
        <f>COUNTIF(Data!$F$2:$F9917, $I454)</f>
        <v>1</v>
      </c>
      <c r="T454" s="31" t="s">
        <v>714</v>
      </c>
      <c r="U454" s="31" t="s">
        <v>715</v>
      </c>
      <c r="V454" s="32">
        <v>45356.0</v>
      </c>
      <c r="X454" s="31" t="str">
        <f>IFERROR(__xludf.DUMMYFUNCTION("""COMPUTED_VALUE"""),"Nutritional quality of diet characterized by the Nutri-Score profiling system and cardiovascular disease risk: a prospective study in 7 European countries.")</f>
        <v>Nutritional quality of diet characterized by the Nutri-Score profiling system and cardiovascular disease risk: a prospective study in 7 European countries.</v>
      </c>
      <c r="Y454" s="31" t="str">
        <f>IFERROR(__xludf.DUMMYFUNCTION("""COMPUTED_VALUE"""),"Deschasaux-Tanguy, Mélanie; Huybrechts, Inge; Julia, Chantal; Hercberg, Serge; Sarda, Barthélémy; Fialon, Morgane; Arnault, Nathalie; Srour, Bernard; Kesse-Guyot, Emmanuelle; Fezeu, Léopold K; Biessy, Carine; Casagrande, Corinne; Hemon, Bertrand; Weiderpa"&amp;"ss, Elisabete; Pinho, Maria G M; Murphy, Neil; Freisling, Heinz; Ferrari, Pietro; Tjønneland, Anne; Nielsen Petersen, Kristina Elin; Katzke, Verena; Kaaks, Rudolf; Schulze, Matthias B; Masala, Giovanna; Pala, Valeria; Panico, Salvatore; Ricceri, Fulvio; V"&amp;"erschuren, W M Monique; Boer, Jolanda M A; van der Schouw, Yvonne T; Skeie, Guri; Agudo, Antonio; Molina-Montes, Esther; Huerta, José María; Moreno-Iribas, Conchi; Ericson, Ulrika; Sonestedt, Emily; Strid, Anna; Oskarsson, Viktor; Tong, Tammy Y N; Heath, "&amp;"Alicia K; Aglago, Elom K; Danesh, John; Riboli, Elio; Gunter, Marc J; Touvier, Mathilde")</f>
        <v>Deschasaux-Tanguy, Mélanie; Huybrechts, Inge; Julia, Chantal; Hercberg, Serge; Sarda, Barthélémy; Fialon, Morgane; Arnault, Nathalie; Srour, Bernard; Kesse-Guyot, Emmanuelle; Fezeu, Léopold K; Biessy, Carine; Casagrande, Corinne; Hemon, Bertrand; Weiderpass, Elisabete; Pinho, Maria G M; Murphy, Neil; Freisling, Heinz; Ferrari, Pietro; Tjønneland, Anne; Nielsen Petersen, Kristina Elin; Katzke, Verena; Kaaks, Rudolf; Schulze, Matthias B; Masala, Giovanna; Pala, Valeria; Panico, Salvatore; Ricceri, Fulvio; Verschuren, W M Monique; Boer, Jolanda M A; van der Schouw, Yvonne T; Skeie, Guri; Agudo, Antonio; Molina-Montes, Esther; Huerta, José María; Moreno-Iribas, Conchi; Ericson, Ulrika; Sonestedt, Emily; Strid, Anna; Oskarsson, Viktor; Tong, Tammy Y N; Heath, Alicia K; Aglago, Elom K; Danesh, John; Riboli, Elio; Gunter, Marc J; Touvier, Mathilde</v>
      </c>
      <c r="Z454" s="31">
        <f>IFERROR(__xludf.DUMMYFUNCTION("""COMPUTED_VALUE"""),2024.0)</f>
        <v>2024</v>
      </c>
      <c r="AA454" s="31">
        <f>IFERROR(__xludf.DUMMYFUNCTION("""COMPUTED_VALUE"""),1.0)</f>
        <v>1</v>
      </c>
      <c r="AF454" s="31" t="str">
        <f>IFERROR(__xludf.DUMMYFUNCTION("""COMPUTED_VALUE"""),"Prevalence of ECG abnormalities in people with type 2 diabetes: The Hoorn Diabetes Care System cohort.")</f>
        <v>Prevalence of ECG abnormalities in people with type 2 diabetes: The Hoorn Diabetes Care System cohort.</v>
      </c>
      <c r="AG454" s="31" t="str">
        <f>IFERROR(__xludf.DUMMYFUNCTION("""COMPUTED_VALUE"""),"Harms, Peter P; van der Heijden, Amber A; Rutters, Femke; Tan, Hanno L; Beulens, Joline W J; Nijpels, Giel; Elders, Petra; ,")</f>
        <v>Harms, Peter P; van der Heijden, Amber A; Rutters, Femke; Tan, Hanno L; Beulens, Joline W J; Nijpels, Giel; Elders, Petra; ,</v>
      </c>
      <c r="AH454" s="32">
        <f>IFERROR(__xludf.DUMMYFUNCTION("""COMPUTED_VALUE"""),44161.0)</f>
        <v>44161</v>
      </c>
      <c r="AL454" s="31" t="str">
        <f>IFERROR(__xludf.DUMMYFUNCTION("""COMPUTED_VALUE"""),"Publisher Correction: Protein-altering variants associated with body mass index implicate pathways that control energy intake and expenditure in obesity.")</f>
        <v>Publisher Correction: Protein-altering variants associated with body mass index implicate pathways that control energy intake and expenditure in obesity.</v>
      </c>
      <c r="AM454" s="31" t="str">
        <f>IFERROR(__xludf.DUMMYFUNCTION("""COMPUTED_VALUE"""),"Turcot, Valérie; Lu, Yingchang; Highland, Heather M; Schurmann, Claudia; Justice, Anne E; Fine, Rebecca S; Bradfield, Jonathan P; Esko, Tõnu; Giri, Ayush; Graff, Mariaelisa; Guo, Xiuqing; Hendricks, Audrey E; Karaderi, Tugce; Lempradl, Adelheid; Locke, Ad"&amp;"am E; Mahajan, Anubha; Marouli, Eirini; Sivapalaratnam, Suthesh; Young, Kristin L; Alfred, Tamuno; Feitosa, Mary F; Masca, Nicholas G D; Manning, Alisa K; Medina-Gomez, Carolina; Mudgal, Poorva; Ng, Maggie C Y; Reiner, Alex P; Vedantam, Sailaja; Willems, "&amp;"Sara M; Winkler, Thomas W; Abecasis, Gonçalo; Aben, Katja K; Alam, Dewan S; Alharthi, Sameer E; Allison, Matthew; Amouyel, Philippe; Asselbergs, Folkert W; Auer, Paul L; Balkau, Beverley; Bang, Lia E; Barroso, Inês; Bastarache, Lisa; Benn, Marianne; Bergm"&amp;"ann, Sven; Bielak, Lawrence F; Blüher, Matthias; Boehnke, Michael; Boeing, Heiner; Boerwinkle, Eric; Böger, Carsten A; Bork-Jensen, Jette; Bots, Michiel L; Bottinger, Erwin P; Bowden, Donald W; Brandslund, Ivan; Breen, Gerome; Brillian")</f>
        <v>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v>
      </c>
      <c r="AN454" s="32">
        <f>IFERROR(__xludf.DUMMYFUNCTION("""COMPUTED_VALUE"""),43647.0)</f>
        <v>43647</v>
      </c>
    </row>
    <row r="455">
      <c r="A455" s="32"/>
      <c r="I455" s="31" t="str">
        <f>IFERROR(__xludf.DUMMYFUNCTION("""COMPUTED_VALUE"""),"bmc cardiovascular disorders")</f>
        <v>bmc cardiovascular disorders</v>
      </c>
      <c r="J455" s="38">
        <f>COUNTIF(Data!$F$2:$F9917, $I455)</f>
        <v>11</v>
      </c>
      <c r="T455" s="31" t="s">
        <v>719</v>
      </c>
      <c r="U455" s="31" t="s">
        <v>720</v>
      </c>
      <c r="V455" s="32">
        <v>45356.0</v>
      </c>
      <c r="X455" s="31" t="str">
        <f>IFERROR(__xludf.DUMMYFUNCTION("""COMPUTED_VALUE"""),"Sex hormone-binding globulin may explain sex differences for glucose homeostasis and incidence of type 2 diabetes: the KORA study.")</f>
        <v>Sex hormone-binding globulin may explain sex differences for glucose homeostasis and incidence of type 2 diabetes: the KORA study.</v>
      </c>
      <c r="Y455" s="31" t="str">
        <f>IFERROR(__xludf.DUMMYFUNCTION("""COMPUTED_VALUE"""),"Raeisi-Dehkordi, Hamidreza; Amiri, Mojgan; Rathmann, Wolfgang; Zeller, Tanja; Adamski, Jerzy; Bano, Arjola; van der Schouw, Yvonne T; Thorand, Barbara; Muka, Taulant; Nano, Jana")</f>
        <v>Raeisi-Dehkordi, Hamidreza; Amiri, Mojgan; Rathmann, Wolfgang; Zeller, Tanja; Adamski, Jerzy; Bano, Arjola; van der Schouw, Yvonne T; Thorand, Barbara; Muka, Taulant; Nano, Jana</v>
      </c>
      <c r="Z455" s="31">
        <f>IFERROR(__xludf.DUMMYFUNCTION("""COMPUTED_VALUE"""),2024.0)</f>
        <v>2024</v>
      </c>
      <c r="AA455" s="31">
        <f>IFERROR(__xludf.DUMMYFUNCTION("""COMPUTED_VALUE"""),1.0)</f>
        <v>1</v>
      </c>
      <c r="AF455" s="31" t="str">
        <f>IFERROR(__xludf.DUMMYFUNCTION("""COMPUTED_VALUE"""),"Ideal Cardiovascular Health Index and Its Determinants in a Rural South African Population.")</f>
        <v>Ideal Cardiovascular Health Index and Its Determinants in a Rural South African Population.</v>
      </c>
      <c r="AG455" s="31" t="str">
        <f>IFERROR(__xludf.DUMMYFUNCTION("""COMPUTED_VALUE"""),"Ketelaar, E J; Vos, A G; Godijk, N G; Scheuermaier, K; Devillé, W; Tempelman, H; Coutinho, R A; Venter, W D F; Grobbee, D E; Klipstein-Grobusch, K")</f>
        <v>Ketelaar, E J; Vos, A G; Godijk, N G; Scheuermaier, K; Devillé, W; Tempelman, H; Coutinho, R A; Venter, W D F; Grobbee, D E; Klipstein-Grobusch, K</v>
      </c>
      <c r="AH455" s="32">
        <f>IFERROR(__xludf.DUMMYFUNCTION("""COMPUTED_VALUE"""),44160.0)</f>
        <v>44160</v>
      </c>
      <c r="AL455" s="31" t="str">
        <f>IFERROR(__xludf.DUMMYFUNCTION("""COMPUTED_VALUE"""),"Gadolinium Enhancement of the Aneurysm Wall in Unruptured Intracranial Aneurysms Is Associated with an Increased Risk of Aneurysm Instability: A Follow-Up Study.")</f>
        <v>Gadolinium Enhancement of the Aneurysm Wall in Unruptured Intracranial Aneurysms Is Associated with an Increased Risk of Aneurysm Instability: A Follow-Up Study.</v>
      </c>
      <c r="AM455" s="31" t="str">
        <f>IFERROR(__xludf.DUMMYFUNCTION("""COMPUTED_VALUE"""),"Vergouwen, M D I; Backes, D; van der Schaaf, I C; Hendrikse, J; Kleinloog, R; Algra, A; Rinkel, G J E")</f>
        <v>Vergouwen, M D I; Backes, D; van der Schaaf, I C; Hendrikse, J; Kleinloog, R; Algra, A; Rinkel, G J E</v>
      </c>
      <c r="AN455" s="32">
        <f>IFERROR(__xludf.DUMMYFUNCTION("""COMPUTED_VALUE"""),43636.0)</f>
        <v>43636</v>
      </c>
    </row>
    <row r="456">
      <c r="A456" s="32"/>
      <c r="I456" s="31" t="str">
        <f>IFERROR(__xludf.DUMMYFUNCTION("""COMPUTED_VALUE"""),"journal of cardiovascular medicine hagerstown md")</f>
        <v>journal of cardiovascular medicine hagerstown md</v>
      </c>
      <c r="J456" s="38">
        <f>COUNTIF(Data!$F$2:$F9917, $I456)</f>
        <v>1</v>
      </c>
      <c r="T456" s="31" t="s">
        <v>724</v>
      </c>
      <c r="U456" s="31" t="s">
        <v>725</v>
      </c>
      <c r="V456" s="32">
        <v>45355.0</v>
      </c>
      <c r="X456" s="31" t="str">
        <f>IFERROR(__xludf.DUMMYFUNCTION("""COMPUTED_VALUE"""),"Antibiotic use by clinical presentation across all healthcare providers in rural Burkina Faso: a healthcare visit exit survey.")</f>
        <v>Antibiotic use by clinical presentation across all healthcare providers in rural Burkina Faso: a healthcare visit exit survey.</v>
      </c>
      <c r="Y456" s="31" t="str">
        <f>IFERROR(__xludf.DUMMYFUNCTION("""COMPUTED_VALUE"""),"Valia, Daniel; Ingelbeen, Brecht; Nassa, Guétawendé Job Wilfried; Kaboré, Bérenger; Kiemdé, François; Rouamba, Toussaint; Compaoré, Adélaïde; Kouanda, Juste Stéphane; Robert, Annie; Rodriguez-Villalobos, Hector; Van Der Sande, Marianne A B; Tinto, Halidou")</f>
        <v>Valia, Daniel; Ingelbeen, Brecht; Nassa, Guétawendé Job Wilfried; Kaboré, Bérenger; Kiemdé, François; Rouamba, Toussaint; Compaoré, Adélaïde; Kouanda, Juste Stéphane; Robert, Annie; Rodriguez-Villalobos, Hector; Van Der Sande, Marianne A B; Tinto, Halidou</v>
      </c>
      <c r="Z456" s="31">
        <f>IFERROR(__xludf.DUMMYFUNCTION("""COMPUTED_VALUE"""),2024.0)</f>
        <v>2024</v>
      </c>
      <c r="AA456" s="31">
        <f>IFERROR(__xludf.DUMMYFUNCTION("""COMPUTED_VALUE"""),1.0)</f>
        <v>1</v>
      </c>
      <c r="AF456" s="31" t="str">
        <f>IFERROR(__xludf.DUMMYFUNCTION("""COMPUTED_VALUE"""),"Cardiovascular risk factors and lifestyle behaviours in relation to longevity: a Mendelian randomization study.")</f>
        <v>Cardiovascular risk factors and lifestyle behaviours in relation to longevity: a Mendelian randomization study.</v>
      </c>
      <c r="AG456" s="31" t="str">
        <f>IFERROR(__xludf.DUMMYFUNCTION("""COMPUTED_VALUE"""),"van Oort, S; Beulens, J W J; van Ballegooijen, A J; Burgess, S; Larsson, S C")</f>
        <v>van Oort, S; Beulens, J W J; van Ballegooijen, A J; Burgess, S; Larsson, S C</v>
      </c>
      <c r="AH456" s="32">
        <f>IFERROR(__xludf.DUMMYFUNCTION("""COMPUTED_VALUE"""),44148.0)</f>
        <v>44148</v>
      </c>
      <c r="AL456" s="31" t="str">
        <f>IFERROR(__xludf.DUMMYFUNCTION("""COMPUTED_VALUE"""),"Prevention of postoperative delirium in elderly patients planned for elective surgery: systematic review and meta-analysis.")</f>
        <v>Prevention of postoperative delirium in elderly patients planned for elective surgery: systematic review and meta-analysis.</v>
      </c>
      <c r="AM456" s="31" t="str">
        <f>IFERROR(__xludf.DUMMYFUNCTION("""COMPUTED_VALUE"""),"Janssen, T L; Alberts, A R; Hooft, L; Mattace-Raso, Fus; Mosk, C A; van der Laan, L")</f>
        <v>Janssen, T L; Alberts, A R; Hooft, L; Mattace-Raso, Fus; Mosk, C A; van der Laan, L</v>
      </c>
      <c r="AN456" s="32">
        <f>IFERROR(__xludf.DUMMYFUNCTION("""COMPUTED_VALUE"""),43635.0)</f>
        <v>43635</v>
      </c>
    </row>
    <row r="457">
      <c r="A457" s="32"/>
      <c r="I457" s="31" t="str">
        <f>IFERROR(__xludf.DUMMYFUNCTION("""COMPUTED_VALUE"""),"jmir human factors")</f>
        <v>jmir human factors</v>
      </c>
      <c r="J457" s="38">
        <f>COUNTIF(Data!$F$2:$F9917, $I457)</f>
        <v>2</v>
      </c>
      <c r="T457" s="31" t="s">
        <v>729</v>
      </c>
      <c r="U457" s="31" t="s">
        <v>730</v>
      </c>
      <c r="V457" s="32">
        <v>45355.0</v>
      </c>
      <c r="X457" s="31" t="str">
        <f>IFERROR(__xludf.DUMMYFUNCTION("""COMPUTED_VALUE"""),"Dupilumab induces a significant decrease of food specific immunoglobulin E levels in pediatric atopic dermatitis patients.")</f>
        <v>Dupilumab induces a significant decrease of food specific immunoglobulin E levels in pediatric atopic dermatitis patients.</v>
      </c>
      <c r="Y457" s="31" t="str">
        <f>IFERROR(__xludf.DUMMYFUNCTION("""COMPUTED_VALUE"""),"van der Rijst, Lisa P; Hilbrands, Michelle S; Zuithoff, Nicolaas P A; de Bruin-Weller, Marjolein S; Knulst, André C; Le, Thuy-My; de Graaf, Marlies")</f>
        <v>van der Rijst, Lisa P; Hilbrands, Michelle S; Zuithoff, Nicolaas P A; de Bruin-Weller, Marjolein S; Knulst, André C; Le, Thuy-My; de Graaf, Marlies</v>
      </c>
      <c r="Z457" s="31">
        <f>IFERROR(__xludf.DUMMYFUNCTION("""COMPUTED_VALUE"""),2024.0)</f>
        <v>2024</v>
      </c>
      <c r="AA457" s="31">
        <f>IFERROR(__xludf.DUMMYFUNCTION("""COMPUTED_VALUE"""),1.0)</f>
        <v>1</v>
      </c>
      <c r="AF457" s="31" t="str">
        <f>IFERROR(__xludf.DUMMYFUNCTION("""COMPUTED_VALUE"""),"Genome-wide association analysis of type 2 diabetes in the EPIC-InterAct study.")</f>
        <v>Genome-wide association analysis of type 2 diabetes in the EPIC-InterAct study.</v>
      </c>
      <c r="AG457" s="31" t="str">
        <f>IFERROR(__xludf.DUMMYFUNCTION("""COMPUTED_VALUE"""),"Cai, Lina; Wheeler, Eleanor; Kerrison, Nicola D; Luan, Jian'an; Deloukas, Panos; Franks, Paul W; Amiano, Pilar; Ardanaz, Eva; Bonet, Catalina; Fagherazzi, Guy; Groop, Leif C; Kaaks, Rudolf; Huerta, José María; Masala, Giovanna; Nilsson, Peter M; Overvad, "&amp;"Kim; Pala, Valeria; Panico, Salvatore; Rodriguez-Barranco, Miguel; Rolandsson, Olov; Sacerdote, Carlotta; Schulze, Matthias B; Spijkerman, Annemieke M W; Tjonneland, Anne; Tumino, Rosario; van der Schouw, Yvonne T; Sharp, Stephen J; Forouhi, Nita G; Ribol"&amp;"i, Elio; McCarthy, Mark I; Barroso, Inês; Langenberg, Claudia; Wareham, Nicholas J")</f>
        <v>Cai, Lina; Wheeler, Eleanor; Kerrison, Nicola D; Luan, Jian'an; Deloukas, Panos; Franks, Paul W; Amiano, Pilar; Ardanaz, Eva; Bonet, Catalina; Fagherazzi, Guy; Groop, Leif C; Kaaks, Rudolf; Huerta, José María; Masala, Giovanna; Nilsson, Peter M; Overvad, Kim; Pala, Valeria; Panico, Salvatore; Rodriguez-Barranco, Miguel; Rolandsson, Olov; Sacerdote, Carlotta; Schulze, Matthias B; Spijkerman, Annemieke M W; Tjonneland, Anne; Tumino, Rosario; van der Schouw, Yvonne T; Sharp, Stephen J; Forouhi, Nita G; Riboli, Elio; McCarthy, Mark I; Barroso, Inês; Langenberg, Claudia; Wareham, Nicholas J</v>
      </c>
      <c r="AH457" s="32">
        <f>IFERROR(__xludf.DUMMYFUNCTION("""COMPUTED_VALUE"""),44148.0)</f>
        <v>44148</v>
      </c>
      <c r="AL457" s="31" t="str">
        <f>IFERROR(__xludf.DUMMYFUNCTION("""COMPUTED_VALUE"""),"Who drops out and when? Predictors of non-response and loss to follow-up in a longitudinal cohort study among STI clinic visitors.")</f>
        <v>Who drops out and when? Predictors of non-response and loss to follow-up in a longitudinal cohort study among STI clinic visitors.</v>
      </c>
      <c r="AM457" s="31" t="str">
        <f>IFERROR(__xludf.DUMMYFUNCTION("""COMPUTED_VALUE"""),"van Wees, Daphne A; den Daas, Chantal; Kretzschmar, Mirjam E E; Heijne, Janneke C M")</f>
        <v>van Wees, Daphne A; den Daas, Chantal; Kretzschmar, Mirjam E E; Heijne, Janneke C M</v>
      </c>
      <c r="AN457" s="32">
        <f>IFERROR(__xludf.DUMMYFUNCTION("""COMPUTED_VALUE"""),43635.0)</f>
        <v>43635</v>
      </c>
    </row>
    <row r="458">
      <c r="A458" s="32"/>
      <c r="I458" s="31" t="str">
        <f>IFERROR(__xludf.DUMMYFUNCTION("""COMPUTED_VALUE"""),"frontiers in oncology")</f>
        <v>frontiers in oncology</v>
      </c>
      <c r="J458" s="38">
        <f>COUNTIF(Data!$F$2:$F9917, $I458)</f>
        <v>3</v>
      </c>
      <c r="T458" s="31" t="s">
        <v>733</v>
      </c>
      <c r="U458" s="31" t="s">
        <v>734</v>
      </c>
      <c r="V458" s="32">
        <v>45355.0</v>
      </c>
      <c r="X458" s="31" t="str">
        <f>IFERROR(__xludf.DUMMYFUNCTION("""COMPUTED_VALUE"""),"Subclassification of obesity for precision prediction of cardiometabolic diseases.")</f>
        <v>Subclassification of obesity for precision prediction of cardiometabolic diseases.</v>
      </c>
      <c r="Y458" s="31" t="str">
        <f>IFERROR(__xludf.DUMMYFUNCTION("""COMPUTED_VALUE"""),"Coral, Daniel E; Smit, Femke; Farzaneh, Ali; Gieswinkel, Alexander; Tajes, Juan Fernandez; Sparsø, Thomas; Delfin, Carl; Bauvin, Pierre; Wang, Kan; Temprosa, Marinella; De Cock, Diederik; Blanch, Jordi; Fernández-Real, José Manuel; Ramos, Rafael; Ikram, M"&amp;" Kamran; Gomez, Maria F; Kavousi, Maryam; Panova-Noeva, Marina; Wild, Philipp S; van der Kallen, Carla; Adriaens, Michiel; van Greevenbroek, Marleen; Arts, Ilja; Le Roux, Carel; Ahmadizar, Fariba; Frayling, Timothy M; Giordano, Giuseppe N; Pearson, Ewan R"&amp;"; Franks, Paul W")</f>
        <v>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v>
      </c>
      <c r="Z458" s="31">
        <f>IFERROR(__xludf.DUMMYFUNCTION("""COMPUTED_VALUE"""),2024.0)</f>
        <v>2024</v>
      </c>
      <c r="AA458" s="31">
        <f>IFERROR(__xludf.DUMMYFUNCTION("""COMPUTED_VALUE"""),1.0)</f>
        <v>1</v>
      </c>
      <c r="AF458" s="31" t="str">
        <f>IFERROR(__xludf.DUMMYFUNCTION("""COMPUTED_VALUE"""),"Sex differences and heart failure - a story of two tales.")</f>
        <v>Sex differences and heart failure - a story of two tales.</v>
      </c>
      <c r="AG458" s="31" t="str">
        <f>IFERROR(__xludf.DUMMYFUNCTION("""COMPUTED_VALUE"""),"Koudstaal, Stefan; Den Ruijter, Hester M; Peters, Sanne A E")</f>
        <v>Koudstaal, Stefan; Den Ruijter, Hester M; Peters, Sanne A E</v>
      </c>
      <c r="AH458" s="32">
        <f>IFERROR(__xludf.DUMMYFUNCTION("""COMPUTED_VALUE"""),44148.0)</f>
        <v>44148</v>
      </c>
      <c r="AL458" s="31" t="str">
        <f>IFERROR(__xludf.DUMMYFUNCTION("""COMPUTED_VALUE"""),"The Changing Role of Gene-Expression Profiling in the Era of De-escalating Adjuvant Chemotherapy in Early-Stage Breast Cancer.")</f>
        <v>The Changing Role of Gene-Expression Profiling in the Era of De-escalating Adjuvant Chemotherapy in Early-Stage Breast Cancer.</v>
      </c>
      <c r="AM458" s="31" t="str">
        <f>IFERROR(__xludf.DUMMYFUNCTION("""COMPUTED_VALUE"""),"van Steenhoven, J E C; Kuijer, A; Schreuder, K; Elias, S G; van Diest, P J; van der Wall, E; Siesling, S; van Dalen, T")</f>
        <v>van Steenhoven, J E C; Kuijer, A; Schreuder, K; Elias, S G; van Diest, P J; van der Wall, E; Siesling, S; van Dalen, T</v>
      </c>
      <c r="AN458" s="32">
        <f>IFERROR(__xludf.DUMMYFUNCTION("""COMPUTED_VALUE"""),43633.0)</f>
        <v>43633</v>
      </c>
    </row>
    <row r="459">
      <c r="A459" s="32"/>
      <c r="I459" s="31" t="str">
        <f>IFERROR(__xludf.DUMMYFUNCTION("""COMPUTED_VALUE"""),"world journal of surgery")</f>
        <v>world journal of surgery</v>
      </c>
      <c r="J459" s="38">
        <f>COUNTIF(Data!$F$2:$F9917, $I459)</f>
        <v>1</v>
      </c>
      <c r="T459" s="31" t="s">
        <v>737</v>
      </c>
      <c r="U459" s="31" t="s">
        <v>738</v>
      </c>
      <c r="V459" s="32">
        <v>45355.0</v>
      </c>
      <c r="X459" s="31" t="str">
        <f>IFERROR(__xludf.DUMMYFUNCTION("""COMPUTED_VALUE"""),"The effects of aerobic and resistant exercises on the lipid profile in healthy women: a systematic review and meta-analysis.")</f>
        <v>The effects of aerobic and resistant exercises on the lipid profile in healthy women: a systematic review and meta-analysis.</v>
      </c>
      <c r="Y459" s="31" t="str">
        <f>IFERROR(__xludf.DUMMYFUNCTION("""COMPUTED_VALUE"""),"Pourmontaseri, Hossein; Farjam, Mojtaba; Dehghan, Azizallah; Karimi, Aliasghar; Akbari, Maryam; Shahabi, Saeed; Nowrouzi-Sohrabi, Peyman; Estakhr, Mehrdad; Tabrizi, Reza; Ahmadizar, Fariba")</f>
        <v>Pourmontaseri, Hossein; Farjam, Mojtaba; Dehghan, Azizallah; Karimi, Aliasghar; Akbari, Maryam; Shahabi, Saeed; Nowrouzi-Sohrabi, Peyman; Estakhr, Mehrdad; Tabrizi, Reza; Ahmadizar, Fariba</v>
      </c>
      <c r="Z459" s="31">
        <f>IFERROR(__xludf.DUMMYFUNCTION("""COMPUTED_VALUE"""),2024.0)</f>
        <v>2024</v>
      </c>
      <c r="AA459" s="31">
        <f>IFERROR(__xludf.DUMMYFUNCTION("""COMPUTED_VALUE"""),1.0)</f>
        <v>1</v>
      </c>
      <c r="AF459" s="31" t="str">
        <f>IFERROR(__xludf.DUMMYFUNCTION("""COMPUTED_VALUE"""),"Antibiotic use prior to seeking medical care in patients with persistent fever: a cross-sectional study in four low- and middle-income countries.")</f>
        <v>Antibiotic use prior to seeking medical care in patients with persistent fever: a cross-sectional study in four low- and middle-income countries.</v>
      </c>
      <c r="AG459" s="31" t="str">
        <f>IFERROR(__xludf.DUMMYFUNCTION("""COMPUTED_VALUE"""),"Ingelbeen, Brecht; Koirala, Kanika D; Verdonck, Kristien; Barbé, Barbara; Mukendi, Déby; Thong, Phe; El Safi, Sayda; Van Duffel, Lukas; Bottieau, Emmanuel; van der Sande, Marianne A B; Boelaert, Marleen; Chappuis, François; Jacobs, Jan")</f>
        <v>Ingelbeen, Brecht; Koirala, Kanika D; Verdonck, Kristien; Barbé, Barbara; Mukendi, Déby; Thong, Phe; El Safi, Sayda; Van Duffel, Lukas; Bottieau, Emmanuel; van der Sande, Marianne A B; Boelaert, Marleen; Chappuis, François; Jacobs, Jan</v>
      </c>
      <c r="AH459" s="32">
        <f>IFERROR(__xludf.DUMMYFUNCTION("""COMPUTED_VALUE"""),44146.0)</f>
        <v>44146</v>
      </c>
      <c r="AL459" s="31" t="str">
        <f>IFERROR(__xludf.DUMMYFUNCTION("""COMPUTED_VALUE"""),"Performance of the Framingham risk models and pooled cohort equations for predicting 10-year risk of cardiovascular disease: a systematic review and meta-analysis.")</f>
        <v>Performance of the Framingham risk models and pooled cohort equations for predicting 10-year risk of cardiovascular disease: a systematic review and meta-analysis.</v>
      </c>
      <c r="AM459" s="31" t="str">
        <f>IFERROR(__xludf.DUMMYFUNCTION("""COMPUTED_VALUE"""),"Damen, Johanna A; Pajouheshnia, Romin; Heus, Pauline; Moons, Karel G M; Reitsma, Johannes B; Scholten, Rob J P M; Hooft, Lotty; Debray, Thomas P A")</f>
        <v>Damen, Johanna A; Pajouheshnia, Romin; Heus, Pauline; Moons, Karel G M; Reitsma, Johannes B; Scholten, Rob J P M; Hooft, Lotty; Debray, Thomas P A</v>
      </c>
      <c r="AN459" s="32">
        <f>IFERROR(__xludf.DUMMYFUNCTION("""COMPUTED_VALUE"""),43629.0)</f>
        <v>43629</v>
      </c>
    </row>
    <row r="460">
      <c r="A460" s="32"/>
      <c r="I460" s="31" t="str">
        <f>IFERROR(__xludf.DUMMYFUNCTION("""COMPUTED_VALUE"""),"the journal of applied laboratory medicine")</f>
        <v>the journal of applied laboratory medicine</v>
      </c>
      <c r="J460" s="38">
        <f>COUNTIF(Data!$F$2:$F9917, $I460)</f>
        <v>2</v>
      </c>
      <c r="T460" s="31" t="s">
        <v>741</v>
      </c>
      <c r="U460" s="31" t="s">
        <v>742</v>
      </c>
      <c r="V460" s="32">
        <v>45354.0</v>
      </c>
      <c r="X460" s="31" t="str">
        <f>IFERROR(__xludf.DUMMYFUNCTION("""COMPUTED_VALUE"""),"From text to treatment: the crucial role of validation for generative large language models in health care.")</f>
        <v>From text to treatment: the crucial role of validation for generative large language models in health care.</v>
      </c>
      <c r="Y460" s="31" t="str">
        <f>IFERROR(__xludf.DUMMYFUNCTION("""COMPUTED_VALUE"""),"de Hond, Anne; Leeuwenberg, Tuur; Bartels, Richard; van Buchem, Marieke; Kant, Ilse; Moons, Karel Gm; van Smeden, Maarten")</f>
        <v>de Hond, Anne; Leeuwenberg, Tuur; Bartels, Richard; van Buchem, Marieke; Kant, Ilse; Moons, Karel Gm; van Smeden, Maarten</v>
      </c>
      <c r="Z460" s="31">
        <f>IFERROR(__xludf.DUMMYFUNCTION("""COMPUTED_VALUE"""),2024.0)</f>
        <v>2024</v>
      </c>
      <c r="AA460" s="31">
        <f>IFERROR(__xludf.DUMMYFUNCTION("""COMPUTED_VALUE"""),1.0)</f>
        <v>1</v>
      </c>
      <c r="AF460" s="31" t="str">
        <f>IFERROR(__xludf.DUMMYFUNCTION("""COMPUTED_VALUE"""),"Prevalence of chronic kidney disease and risk factors in North-Central Nigeria: a population-based survey.")</f>
        <v>Prevalence of chronic kidney disease and risk factors in North-Central Nigeria: a population-based survey.</v>
      </c>
      <c r="AG460" s="31" t="str">
        <f>IFERROR(__xludf.DUMMYFUNCTION("""COMPUTED_VALUE"""),"Olanrewaju, Timothy Olusegun; Aderibigbe, Ademola; Popoola, Ademola Alabi; Braimoh, Kolawole Thomas; Buhari, Mikhail Olayinka; Adedoyin, Olanrewaju Timothy; Kuranga, Sulyman Alege; Biliaminu, Sikiru Abayomi; Chijioke, Adindu; Ajape, Abdulwahab Akanbi; Gro"&amp;"bbee, Diederick E; Blankestijn, Peter J; Klipstein-Grobusch, Kerstin; ,")</f>
        <v>Olanrewaju, Timothy Olusegun; Aderibigbe, Ademola; Popoola, Ademola Alabi; Braimoh, Kolawole Thomas; Buhari, Mikhail Olayinka; Adedoyin, Olanrewaju Timothy; Kuranga, Sulyman Alege; Biliaminu, Sikiru Abayomi; Chijioke, Adindu; Ajape, Abdulwahab Akanbi; Grobbee, Diederick E; Blankestijn, Peter J; Klipstein-Grobusch, Kerstin; ,</v>
      </c>
      <c r="AH460" s="32">
        <f>IFERROR(__xludf.DUMMYFUNCTION("""COMPUTED_VALUE"""),44145.0)</f>
        <v>44145</v>
      </c>
      <c r="AL460" s="31" t="str">
        <f>IFERROR(__xludf.DUMMYFUNCTION("""COMPUTED_VALUE"""),"Progress update from the hippocampal subfields group.")</f>
        <v>Progress update from the hippocampal subfields group.</v>
      </c>
      <c r="AM460" s="31" t="str">
        <f>IFERROR(__xludf.DUMMYFUNCTION("""COMPUTED_VALUE"""),"Olsen, Rosanna K; Carr, Valerie A; Daugherty, Ana M; La Joie, Renaud; Amaral, Robert S C; Amunts, Katrin; Augustinack, Jean C; Bakker, Arnold; Bender, Andrew R; Berron, David; Boccardi, Marina; Bocchetta, Martina; Burggren, Alison C; Chakravarty, M Mallar"&amp;"; Chételat, Gaël; de Flores, Robin; DeKraker, Jordan; Ding, Song-Lin; Geerlings, Mirjam I; Huang, Yushan; Insausti, Ricardo; Johnson, Elliott G; Kanel, Prabesh; Kedo, Olga; Kennedy, Kristen M; Keresztes, Attila; Lee, Joshua K; Lindenberger, Ulman; Mueller"&amp;", Susanne G; Mulligan, Elizabeth M; Ofen, Noa; Palombo, Daniela J; Pasquini, Lorenzo; Pluta, John; Raz, Naftali; Rodrigue, Karen M; Schlichting, Margaret L; Lee Shing, Yee; Stark, Craig E L; Steve, Trevor A; Suthana, Nanthia A; Wang, Lei; Werkle-Bergner, "&amp;"Markus; Yushkevich, Paul A; Yu, Qijing; Wisse, Laura E M; ,")</f>
        <v>Olsen, Rosanna K; Carr, Valerie A; Daugherty, Ana M; La Joie, Renaud; Amaral, Robert S C; Amunts, Katrin; Augustinack, Jean C; Bakker, Arnold; Bender, Andrew R; Berron, David; Boccardi, Marina; Bocchetta, Martina; Burggren, Alison C; Chakravarty, M Mallar; Chételat, Gaël; de Flores, Robin; DeKraker, Jordan; Ding, Song-Lin; Geerlings, Mirjam I; Huang, Yushan; Insausti, Ricardo; Johnson, Elliott G; Kanel, Prabesh; Kedo, Olga; Kennedy, Kristen M; Keresztes, Attila; Lee, Joshua K; Lindenberger, Ulman; Mueller, Susanne G; Mulligan, Elizabeth M; Ofen, Noa; Palombo, Daniela J; Pasquini, Lorenzo; Pluta, John; Raz, Naftali; Rodrigue, Karen M; Schlichting, Margaret L; Lee Shing, Yee; Stark, Craig E L; Steve, Trevor A; Suthana, Nanthia A; Wang, Lei; Werkle-Bergner, Markus; Yushkevich, Paul A; Yu, Qijing; Wisse, Laura E M; ,</v>
      </c>
      <c r="AN460" s="32">
        <f>IFERROR(__xludf.DUMMYFUNCTION("""COMPUTED_VALUE"""),43629.0)</f>
        <v>43629</v>
      </c>
    </row>
    <row r="461">
      <c r="A461" s="32"/>
      <c r="I461" s="31" t="str">
        <f>IFERROR(__xludf.DUMMYFUNCTION("""COMPUTED_VALUE"""),"journal of multimorbidity and comorbidity")</f>
        <v>journal of multimorbidity and comorbidity</v>
      </c>
      <c r="J461" s="38">
        <f>COUNTIF(Data!$F$2:$F9917, $I461)</f>
        <v>1</v>
      </c>
      <c r="T461" s="31" t="s">
        <v>741</v>
      </c>
      <c r="U461" s="31" t="s">
        <v>742</v>
      </c>
      <c r="V461" s="32">
        <v>45354.0</v>
      </c>
      <c r="X461" s="31" t="str">
        <f>IFERROR(__xludf.DUMMYFUNCTION("""COMPUTED_VALUE"""),"What is the Safety of COVID-19 Vaccines in Immunocompromised Patients? Results from the European ""Covid Vaccine Monitor"" Active Surveillance Study.")</f>
        <v>What is the Safety of COVID-19 Vaccines in Immunocompromised Patients? Results from the European "Covid Vaccine Monitor" Active Surveillance Study.</v>
      </c>
      <c r="Y461" s="31" t="str">
        <f>IFERROR(__xludf.DUMMYFUNCTION("""COMPUTED_VALUE"""),"Bellitto, Chiara; Luxi, Nicoletta; Ciccimarra, Francesco; L'Abbate, Luca; Raethke, Monika; van Hunsel, Florence; Lieber, Thomas; Mulder, Erik; Riefolo, Fabio; Villalobos, Felipe; Thurin, Nicolas H; Marques, Francisco B; Morton, Kathryn; O'Shaughnessy, Fer"&amp;"gal; Sonderlichová, Simona; Farcas, Andreea; Janneke, Giele-Eshuis; Sturkenboom, Miriam C; Trifirò, Gianluca")</f>
        <v>Bellitto, Chiara; Luxi, Nicoletta; Ciccimarra, Francesco; L'Abbate, Luca; Raethke, Monika; van Hunsel, Florence; Lieber, Thomas; Mulder, Erik; Riefolo, Fabio; Villalobos, Felipe; Thurin, Nicolas H; Marques, Francisco B; Morton, Kathryn; O'Shaughnessy, Fergal; Sonderlichová, Simona; Farcas, Andreea; Janneke, Giele-Eshuis; Sturkenboom, Miriam C; Trifirò, Gianluca</v>
      </c>
      <c r="Z461" s="31">
        <f>IFERROR(__xludf.DUMMYFUNCTION("""COMPUTED_VALUE"""),2024.0)</f>
        <v>2024</v>
      </c>
      <c r="AA461" s="31">
        <f>IFERROR(__xludf.DUMMYFUNCTION("""COMPUTED_VALUE"""),1.0)</f>
        <v>1</v>
      </c>
      <c r="AF461" s="31" t="str">
        <f>IFERROR(__xludf.DUMMYFUNCTION("""COMPUTED_VALUE"""),"World Antibiotic Awareness Week and European Antibiotic Awareness Day, November 2018: An analysis of the impact of Twitter activity.")</f>
        <v>World Antibiotic Awareness Week and European Antibiotic Awareness Day, November 2018: An analysis of the impact of Twitter activity.</v>
      </c>
      <c r="AG461" s="31" t="str">
        <f>IFERROR(__xludf.DUMMYFUNCTION("""COMPUTED_VALUE"""),"Mackenzie, Douglas Graham; Ong, David S Y; Ashiru-Oredope, Diane")</f>
        <v>Mackenzie, Douglas Graham; Ong, David S Y; Ashiru-Oredope, Diane</v>
      </c>
      <c r="AH461" s="32">
        <f>IFERROR(__xludf.DUMMYFUNCTION("""COMPUTED_VALUE"""),44139.0)</f>
        <v>44139</v>
      </c>
      <c r="AL461" s="31" t="str">
        <f>IFERROR(__xludf.DUMMYFUNCTION("""COMPUTED_VALUE"""),"Antiplatelet Therapy After Noncardioembolic Stroke.")</f>
        <v>Antiplatelet Therapy After Noncardioembolic Stroke.</v>
      </c>
      <c r="AM461" s="31" t="str">
        <f>IFERROR(__xludf.DUMMYFUNCTION("""COMPUTED_VALUE"""),"Greving, Jacoba P; Diener, Hans-Christoph; Reitsma, Johannes B; Bath, Philip M; Csiba, László; Hacke, Werner; Kappelle, L Jaap; Koudstaal, Peter J; Leys, Didier; Mas, Jean-Louis; Sacco, Ralph L; Algra, Ale")</f>
        <v>Greving, Jacoba P; Diener, Hans-Christoph; Reitsma, Johannes B; Bath, Philip M; Csiba, László; Hacke, Werner; Kappelle, L Jaap; Koudstaal, Peter J; Leys, Didier; Mas, Jean-Louis; Sacco, Ralph L; Algra, Ale</v>
      </c>
      <c r="AN461" s="32">
        <f>IFERROR(__xludf.DUMMYFUNCTION("""COMPUTED_VALUE"""),43626.0)</f>
        <v>43626</v>
      </c>
    </row>
    <row r="462">
      <c r="A462" s="32"/>
      <c r="I462" s="31" t="str">
        <f>IFERROR(__xludf.DUMMYFUNCTION("""COMPUTED_VALUE"""),"ghana medical journal")</f>
        <v>ghana medical journal</v>
      </c>
      <c r="J462" s="38">
        <f>COUNTIF(Data!$F$2:$F9917, $I462)</f>
        <v>3</v>
      </c>
      <c r="T462" s="31" t="s">
        <v>746</v>
      </c>
      <c r="U462" s="31" t="s">
        <v>747</v>
      </c>
      <c r="V462" s="32">
        <v>45352.0</v>
      </c>
      <c r="X462" s="31" t="str">
        <f>IFERROR(__xludf.DUMMYFUNCTION("""COMPUTED_VALUE"""),"Are Dutch adults equally susceptible to nudging and pricing strategies? Secondary analyses of the Supreme Nudge parallel cluster-randomised controlled supermarket trial.")</f>
        <v>Are Dutch adults equally susceptible to nudging and pricing strategies? Secondary analyses of the Supreme Nudge parallel cluster-randomised controlled supermarket trial.</v>
      </c>
      <c r="Y462" s="31" t="str">
        <f>IFERROR(__xludf.DUMMYFUNCTION("""COMPUTED_VALUE"""),"Stuber, Josine M; Beulens, Joline W J; van Lierop, Juul J E; Schuurman, Esmee; Lakerveld, Jeroen; Mackenbach, Joreintje D; ,")</f>
        <v>Stuber, Josine M; Beulens, Joline W J; van Lierop, Juul J E; Schuurman, Esmee; Lakerveld, Jeroen; Mackenbach, Joreintje D; ,</v>
      </c>
      <c r="Z462" s="31">
        <f>IFERROR(__xludf.DUMMYFUNCTION("""COMPUTED_VALUE"""),2024.0)</f>
        <v>2024</v>
      </c>
      <c r="AA462" s="31">
        <f>IFERROR(__xludf.DUMMYFUNCTION("""COMPUTED_VALUE"""),0.0)</f>
        <v>0</v>
      </c>
      <c r="AF462" s="31" t="str">
        <f>IFERROR(__xludf.DUMMYFUNCTION("""COMPUTED_VALUE"""),"Multilevel predictors of controlled CD4 count and blood pressure in an integrated chronic disease management model in rural South Africa: a panel study.")</f>
        <v>Multilevel predictors of controlled CD4 count and blood pressure in an integrated chronic disease management model in rural South Africa: a panel study.</v>
      </c>
      <c r="AG462" s="31" t="str">
        <f>IFERROR(__xludf.DUMMYFUNCTION("""COMPUTED_VALUE"""),"Ameh, Soter; Gómez-Olivé, Francesc X; Kahn, Kathleen; Tollman, Stephen; Klipstein-Grobusch, Kerstin")</f>
        <v>Ameh, Soter; Gómez-Olivé, Francesc X; Kahn, Kathleen; Tollman, Stephen; Klipstein-Grobusch, Kerstin</v>
      </c>
      <c r="AH462" s="32">
        <f>IFERROR(__xludf.DUMMYFUNCTION("""COMPUTED_VALUE"""),44138.0)</f>
        <v>44138</v>
      </c>
      <c r="AL462" s="31" t="str">
        <f>IFERROR(__xludf.DUMMYFUNCTION("""COMPUTED_VALUE"""),"Definition and Prioritization of Data Elements for Cohort Studies and Clinical Trials on Patients with Unruptured Intracranial Aneurysms: Proposal of a Multidisciplinary Research Group.")</f>
        <v>Definition and Prioritization of Data Elements for Cohort Studies and Clinical Trials on Patients with Unruptured Intracranial Aneurysms: Proposal of a Multidisciplinary Research Group.</v>
      </c>
      <c r="AM462" s="31" t="str">
        <f>IFERROR(__xludf.DUMMYFUNCTION("""COMPUTED_VALUE"""),"Hackenberg, Katharina A M; Algra, Ale; Al-Shahi Salman, Rustam; Frösen, Juhana; Hasan, David; Juvela, Seppo; Langer, David; Meyers, Philip; Morita, Akio; Rinkel, Gabriel; Etminan, Nima; ,")</f>
        <v>Hackenberg, Katharina A M; Algra, Ale; Al-Shahi Salman, Rustam; Frösen, Juhana; Hasan, David; Juvela, Seppo; Langer, David; Meyers, Philip; Morita, Akio; Rinkel, Gabriel; Etminan, Nima; ,</v>
      </c>
      <c r="AN462" s="32">
        <f>IFERROR(__xludf.DUMMYFUNCTION("""COMPUTED_VALUE"""),43617.0)</f>
        <v>43617</v>
      </c>
    </row>
    <row r="463">
      <c r="A463" s="32"/>
      <c r="I463" s="31" t="str">
        <f>IFERROR(__xludf.DUMMYFUNCTION("""COMPUTED_VALUE"""),"the lancet regional health western pacific")</f>
        <v>the lancet regional health western pacific</v>
      </c>
      <c r="J463" s="38">
        <f>COUNTIF(Data!$F$2:$F9917, $I463)</f>
        <v>1</v>
      </c>
      <c r="T463" s="31" t="s">
        <v>751</v>
      </c>
      <c r="U463" s="31" t="s">
        <v>752</v>
      </c>
      <c r="V463" s="32">
        <v>45352.0</v>
      </c>
      <c r="X463" s="31" t="str">
        <f>IFERROR(__xludf.DUMMYFUNCTION("""COMPUTED_VALUE"""),"Upfront resection versus no resection of the primary tumor in patients with synchronous metastatic colorectal cancer: the randomized phase 3 CAIRO4 study conducted by the Dutch Colorectal Cancer Group and the Danish Colorectal Cancer Group.")</f>
        <v>Upfront resection versus no resection of the primary tumor in patients with synchronous metastatic colorectal cancer: the randomized phase 3 CAIRO4 study conducted by the Dutch Colorectal Cancer Group and the Danish Colorectal Cancer Group.</v>
      </c>
      <c r="Y463" s="31" t="str">
        <f>IFERROR(__xludf.DUMMYFUNCTION("""COMPUTED_VALUE"""),"van der Kruijssen, D E W; Elias, S G; van de Ven, P M; van Rooijen, K L; Lam-Boer, J 't; Mol, L; Punt, C J A; Sommeijer, D W; Tanis, P J; Nielsen, J D; Yilmaz, M K; Van Riel, J M G H; Wasowiz-Kemps, D K; Loosveld, O J L; van der Schelling, G P; de Groot, "&amp;"J W B; van Westreenen, H L; Jakobsen, H L; Fromm, A L; Hamberg, P; Verseveld, M; Jaensch, C; Liposits, G I; van Duijvendijk, P; Hadj, J Oulad; van der Hoeven, J A B; Trajkovic, M; de Wilt, J H W; Koopman, M; ,")</f>
        <v>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Hadj, J Oulad; van der Hoeven, J A B; Trajkovic, M; de Wilt, J H W; Koopman, M; ,</v>
      </c>
      <c r="Z463" s="31">
        <f>IFERROR(__xludf.DUMMYFUNCTION("""COMPUTED_VALUE"""),2024.0)</f>
        <v>2024</v>
      </c>
      <c r="AA463" s="31">
        <f>IFERROR(__xludf.DUMMYFUNCTION("""COMPUTED_VALUE"""),0.0)</f>
        <v>0</v>
      </c>
      <c r="AF463" s="31" t="str">
        <f>IFERROR(__xludf.DUMMYFUNCTION("""COMPUTED_VALUE"""),"Association of Cardiovascular Risk Factors and Lifestyle Behaviors With Hypertension: A Mendelian Randomization Study.")</f>
        <v>Association of Cardiovascular Risk Factors and Lifestyle Behaviors With Hypertension: A Mendelian Randomization Study.</v>
      </c>
      <c r="AG463" s="31" t="str">
        <f>IFERROR(__xludf.DUMMYFUNCTION("""COMPUTED_VALUE"""),"van Oort, Sabine; Beulens, Joline W J; van Ballegooijen, Adriana J; Grobbee, Diederick E; Larsson, Susanna C")</f>
        <v>van Oort, Sabine; Beulens, Joline W J; van Ballegooijen, Adriana J; Grobbee, Diederick E; Larsson, Susanna C</v>
      </c>
      <c r="AH463" s="32">
        <f>IFERROR(__xludf.DUMMYFUNCTION("""COMPUTED_VALUE"""),44137.0)</f>
        <v>44137</v>
      </c>
      <c r="AL463" s="31" t="str">
        <f>IFERROR(__xludf.DUMMYFUNCTION("""COMPUTED_VALUE"""),"When and how to use data from randomised trials to develop or validate prognostic models.")</f>
        <v>When and how to use data from randomised trials to develop or validate prognostic models.</v>
      </c>
      <c r="AM463" s="31" t="str">
        <f>IFERROR(__xludf.DUMMYFUNCTION("""COMPUTED_VALUE"""),"Pajouheshnia, Romin; Groenwold, Rolf H H; Peelen, Linda M; Reitsma, Johannes B; Moons, Karel G M")</f>
        <v>Pajouheshnia, Romin; Groenwold, Rolf H H; Peelen, Linda M; Reitsma, Johannes B; Moons, Karel G M</v>
      </c>
      <c r="AN463" s="32">
        <f>IFERROR(__xludf.DUMMYFUNCTION("""COMPUTED_VALUE"""),43614.0)</f>
        <v>43614</v>
      </c>
    </row>
    <row r="464">
      <c r="A464" s="32"/>
      <c r="I464" s="31" t="str">
        <f>IFERROR(__xludf.DUMMYFUNCTION("""COMPUTED_VALUE"""),"gynecologic oncology")</f>
        <v>gynecologic oncology</v>
      </c>
      <c r="J464" s="38">
        <f>COUNTIF(Data!$F$2:$F9917, $I464)</f>
        <v>5</v>
      </c>
      <c r="T464" s="31" t="s">
        <v>755</v>
      </c>
      <c r="U464" s="31" t="s">
        <v>756</v>
      </c>
      <c r="V464" s="32">
        <v>45352.0</v>
      </c>
      <c r="X464" s="31" t="str">
        <f>IFERROR(__xludf.DUMMYFUNCTION("""COMPUTED_VALUE"""),"Addressing current limitations of household transmission studies by collecting contact data.")</f>
        <v>Addressing current limitations of household transmission studies by collecting contact data.</v>
      </c>
      <c r="Y464" s="31" t="str">
        <f>IFERROR(__xludf.DUMMYFUNCTION("""COMPUTED_VALUE"""),"Layan, Maylis; Hens, Niel; de Hoog, Marieke L A; Bruijning-Verhagen, Patricia C J L; Cowling, Benjamin J; Cauchemez, Simon")</f>
        <v>Layan, Maylis; Hens, Niel; de Hoog, Marieke L A; Bruijning-Verhagen, Patricia C J L; Cowling, Benjamin J; Cauchemez, Simon</v>
      </c>
      <c r="Z464" s="31">
        <f>IFERROR(__xludf.DUMMYFUNCTION("""COMPUTED_VALUE"""),2024.0)</f>
        <v>2024</v>
      </c>
      <c r="AA464" s="31">
        <f>IFERROR(__xludf.DUMMYFUNCTION("""COMPUTED_VALUE"""),0.0)</f>
        <v>0</v>
      </c>
      <c r="AF464" s="31" t="str">
        <f>IFERROR(__xludf.DUMMYFUNCTION("""COMPUTED_VALUE"""),"Candidate Gene Analysis Reveals Strong Association of &lt;i&gt;CETP&lt;/i&gt; Variants With High Density Lipoprotein Cholesterol and &lt;i&gt;PCSK9&lt;/i&gt; Variants With Low Density Lipoprotein Cholesterol in Ghanaian Adults: An AWI-Gen Sub-Study.")</f>
        <v>Candidate Gene Analysis Reveals Strong Association of &lt;i&gt;CETP&lt;/i&gt; Variants With High Density Lipoprotein Cholesterol and &lt;i&gt;PCSK9&lt;/i&gt; Variants With Low Density Lipoprotein Cholesterol in Ghanaian Adults: An AWI-Gen Sub-Study.</v>
      </c>
      <c r="AG464" s="31" t="str">
        <f>IFERROR(__xludf.DUMMYFUNCTION("""COMPUTED_VALUE"""),"Agongo, Godfred; Amenga-Etego, Lucas; Nonterah, Engelbert A; Debpuur, Cornelius; Choudhury, Ananyo; Bentley, Amy R; Oduro, Abraham R; Rotimi, Charles N; Crowther, Nigel J; Ramsay, Michèle; ,; H Africa,")</f>
        <v>Agongo, Godfred; Amenga-Etego, Lucas; Nonterah, Engelbert A; Debpuur, Cornelius; Choudhury, Ananyo; Bentley, Amy R; Oduro, Abraham R; Rotimi, Charles N; Crowther, Nigel J; Ramsay, Michèle; ,; H Africa,</v>
      </c>
      <c r="AH464" s="32">
        <f>IFERROR(__xludf.DUMMYFUNCTION("""COMPUTED_VALUE"""),44134.0)</f>
        <v>44134</v>
      </c>
      <c r="AL464" s="31" t="str">
        <f>IFERROR(__xludf.DUMMYFUNCTION("""COMPUTED_VALUE"""),"Development of practical recommendations for diagnostic accuracy studies in low-prevalence situations.")</f>
        <v>Development of practical recommendations for diagnostic accuracy studies in low-prevalence situations.</v>
      </c>
      <c r="AM464" s="31" t="str">
        <f>IFERROR(__xludf.DUMMYFUNCTION("""COMPUTED_VALUE"""),"Holtman, Gea A; Berger, Marjolein Y; Burger, Huibert; Deeks, Jonathan J; Donner-Banzhoff, Norbert; Fanshawe, Thomas R; Koshiaris, Constantinos; Leeflang, Mariska M; Oke, Jason L; Perera, Rafael; Reitsma, Johannes B; Van den Bruel, Ann")</f>
        <v>Holtman, Gea A; Berger, Marjolein Y; Burger, Huibert; Deeks, Jonathan J; Donner-Banzhoff, Norbert; Fanshawe, Thomas R; Koshiaris, Constantinos; Leeflang, Mariska M; Oke, Jason L; Perera, Rafael; Reitsma, Johannes B; Van den Bruel, Ann</v>
      </c>
      <c r="AN464" s="32">
        <f>IFERROR(__xludf.DUMMYFUNCTION("""COMPUTED_VALUE"""),43613.0)</f>
        <v>43613</v>
      </c>
    </row>
    <row r="465">
      <c r="A465" s="32"/>
      <c r="I465" s="31" t="str">
        <f>IFERROR(__xludf.DUMMYFUNCTION("""COMPUTED_VALUE"""),"epigenetics")</f>
        <v>epigenetics</v>
      </c>
      <c r="J465" s="38">
        <f>COUNTIF(Data!$F$2:$F9917, $I465)</f>
        <v>1</v>
      </c>
      <c r="T465" s="31" t="s">
        <v>760</v>
      </c>
      <c r="U465" s="31" t="s">
        <v>761</v>
      </c>
      <c r="V465" s="32">
        <v>45352.0</v>
      </c>
      <c r="X465" s="31" t="str">
        <f>IFERROR(__xludf.DUMMYFUNCTION("""COMPUTED_VALUE"""),"Prescribed Drug Use and Aneurysmal Subarachnoid Hemorrhage Incidence: A Drug-Wide Association Study.")</f>
        <v>Prescribed Drug Use and Aneurysmal Subarachnoid Hemorrhage Incidence: A Drug-Wide Association Study.</v>
      </c>
      <c r="Y465" s="31" t="str">
        <f>IFERROR(__xludf.DUMMYFUNCTION("""COMPUTED_VALUE"""),"Kanning, Jos P; Abtahi, Shahab; Schnier, Christian; Klungel, Olaf H; Geerlings, Mirjam I; Ruigrok, Ynte M")</f>
        <v>Kanning, Jos P; Abtahi, Shahab; Schnier, Christian; Klungel, Olaf H; Geerlings, Mirjam I; Ruigrok, Ynte M</v>
      </c>
      <c r="Z465" s="31">
        <f>IFERROR(__xludf.DUMMYFUNCTION("""COMPUTED_VALUE"""),2024.0)</f>
        <v>2024</v>
      </c>
      <c r="AA465" s="31">
        <f>IFERROR(__xludf.DUMMYFUNCTION("""COMPUTED_VALUE"""),0.0)</f>
        <v>0</v>
      </c>
      <c r="AF465" s="31" t="str">
        <f>IFERROR(__xludf.DUMMYFUNCTION("""COMPUTED_VALUE"""),"Natriuretic peptides for the detection of diastolic dysfunction and heart failure with preserved ejection fraction-a systematic review and meta-analysis.")</f>
        <v>Natriuretic peptides for the detection of diastolic dysfunction and heart failure with preserved ejection fraction-a systematic review and meta-analysis.</v>
      </c>
      <c r="AG465" s="31" t="str">
        <f>IFERROR(__xludf.DUMMYFUNCTION("""COMPUTED_VALUE"""),"Remmelzwaal, Sharon; van Ballegooijen, Adriana J; Schoonmade, Linda J; Dal Canto, Elisa; Handoko, M Louis; Henkens, Michiel T H M; van Empel, Vanessa; Heymans, Stephane R B; Beulens, Joline W J")</f>
        <v>Remmelzwaal, Sharon; van Ballegooijen, Adriana J; Schoonmade, Linda J; Dal Canto, Elisa; Handoko, M Louis; Henkens, Michiel T H M; van Empel, Vanessa; Heymans, Stephane R B; Beulens, Joline W J</v>
      </c>
      <c r="AH465" s="32">
        <f>IFERROR(__xludf.DUMMYFUNCTION("""COMPUTED_VALUE"""),44134.0)</f>
        <v>44134</v>
      </c>
      <c r="AL465" s="31" t="str">
        <f>IFERROR(__xludf.DUMMYFUNCTION("""COMPUTED_VALUE"""),"The Trials within Cohorts design faced methodological advantages and disadvantages in the exercise oncology setting.")</f>
        <v>The Trials within Cohorts design faced methodological advantages and disadvantages in the exercise oncology setting.</v>
      </c>
      <c r="AM465" s="31" t="str">
        <f>IFERROR(__xludf.DUMMYFUNCTION("""COMPUTED_VALUE"""),"Gal, Roxanne; Monninkhof, Evelyn M; van Gils, Carla H; Groenwold, Rolf H H; van den Bongard, Desirée H J G; Peeters, Petra H M; Verkooijen, Helena M; May, Anne M")</f>
        <v>Gal, Roxanne; Monninkhof, Evelyn M; van Gils, Carla H; Groenwold, Rolf H H; van den Bongard, Desirée H J G; Peeters, Petra H M; Verkooijen, Helena M; May, Anne M</v>
      </c>
      <c r="AN465" s="32">
        <f>IFERROR(__xludf.DUMMYFUNCTION("""COMPUTED_VALUE"""),43613.0)</f>
        <v>43613</v>
      </c>
    </row>
    <row r="466">
      <c r="A466" s="32"/>
      <c r="I466" s="31" t="str">
        <f>IFERROR(__xludf.DUMMYFUNCTION("""COMPUTED_VALUE"""),"jmir mhealth and uhealth")</f>
        <v>jmir mhealth and uhealth</v>
      </c>
      <c r="J466" s="38">
        <f>COUNTIF(Data!$F$2:$F9917, $I466)</f>
        <v>4</v>
      </c>
      <c r="T466" s="31" t="s">
        <v>765</v>
      </c>
      <c r="U466" s="31" t="s">
        <v>766</v>
      </c>
      <c r="V466" s="32">
        <v>45351.0</v>
      </c>
      <c r="X466" s="31" t="str">
        <f>IFERROR(__xludf.DUMMYFUNCTION("""COMPUTED_VALUE"""),"Validity of Mobility-Based Exposure Assessment of Air Pollution: A Comparative Analysis with Home-Based Exposure Assessment.")</f>
        <v>Validity of Mobility-Based Exposure Assessment of Air Pollution: A Comparative Analysis with Home-Based Exposure Assessment.</v>
      </c>
      <c r="Y466" s="31" t="str">
        <f>IFERROR(__xludf.DUMMYFUNCTION("""COMPUTED_VALUE"""),"Wei, Lai; Donaire-Gonzalez, David; Helbich, Marco; van Nunen, Erik; Hoek, Gerard; Vermeulen, Roel C H")</f>
        <v>Wei, Lai; Donaire-Gonzalez, David; Helbich, Marco; van Nunen, Erik; Hoek, Gerard; Vermeulen, Roel C H</v>
      </c>
      <c r="Z466" s="31">
        <f>IFERROR(__xludf.DUMMYFUNCTION("""COMPUTED_VALUE"""),2024.0)</f>
        <v>2024</v>
      </c>
      <c r="AA466" s="31">
        <f>IFERROR(__xludf.DUMMYFUNCTION("""COMPUTED_VALUE"""),0.0)</f>
        <v>0</v>
      </c>
      <c r="AF466" s="31" t="str">
        <f>IFERROR(__xludf.DUMMYFUNCTION("""COMPUTED_VALUE"""),"Ethics and the marketing authorization of pharmaceuticals: what happens to ethical issues discovered post-trial and pre-marketing authorization?")</f>
        <v>Ethics and the marketing authorization of pharmaceuticals: what happens to ethical issues discovered post-trial and pre-marketing authorization?</v>
      </c>
      <c r="AG466" s="31" t="str">
        <f>IFERROR(__xludf.DUMMYFUNCTION("""COMPUTED_VALUE"""),"Bernabe, Rosemarie D L C; van Thiel, Ghislaine J M W; Breekveldt, Nancy S; Gispen, Christine C; van Delden, Johannes J M")</f>
        <v>Bernabe, Rosemarie D L C; van Thiel, Ghislaine J M W; Breekveldt, Nancy S; Gispen, Christine C; van Delden, Johannes J M</v>
      </c>
      <c r="AH466" s="32">
        <f>IFERROR(__xludf.DUMMYFUNCTION("""COMPUTED_VALUE"""),44131.0)</f>
        <v>44131</v>
      </c>
      <c r="AL466" s="31" t="str">
        <f>IFERROR(__xludf.DUMMYFUNCTION("""COMPUTED_VALUE"""),"Radiosurgical, neurosurgical, or no intervention for cerebral cavernous malformations: A decision analysis.")</f>
        <v>Radiosurgical, neurosurgical, or no intervention for cerebral cavernous malformations: A decision analysis.</v>
      </c>
      <c r="AM466" s="31" t="str">
        <f>IFERROR(__xludf.DUMMYFUNCTION("""COMPUTED_VALUE"""),"Rinkel, Leon A; Al-Shahi Salman, Rustam; Rinkel, Gabriel Je; Greving, Jacoba P")</f>
        <v>Rinkel, Leon A; Al-Shahi Salman, Rustam; Rinkel, Gabriel Je; Greving, Jacoba P</v>
      </c>
      <c r="AN466" s="32">
        <f>IFERROR(__xludf.DUMMYFUNCTION("""COMPUTED_VALUE"""),43608.0)</f>
        <v>43608</v>
      </c>
    </row>
    <row r="467">
      <c r="A467" s="32"/>
      <c r="I467" s="31" t="str">
        <f>IFERROR(__xludf.DUMMYFUNCTION("""COMPUTED_VALUE"""),"neurobiology of aging")</f>
        <v>neurobiology of aging</v>
      </c>
      <c r="J467" s="38">
        <f>COUNTIF(Data!$F$2:$F9917, $I467)</f>
        <v>9</v>
      </c>
      <c r="T467" s="31" t="s">
        <v>770</v>
      </c>
      <c r="U467" s="31" t="s">
        <v>771</v>
      </c>
      <c r="V467" s="32">
        <v>45351.0</v>
      </c>
      <c r="X467" s="31"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Y467" s="31" t="str">
        <f>IFERROR(__xludf.DUMMYFUNCTION("""COMPUTED_VALUE"""),"Piccininni, Marco; Wechsung, Maximilian; Van Calster, Ben; Rohmann, Jessica L; Konigorski, Stefan; van Smeden, Maarten")</f>
        <v>Piccininni, Marco; Wechsung, Maximilian; Van Calster, Ben; Rohmann, Jessica L; Konigorski, Stefan; van Smeden, Maarten</v>
      </c>
      <c r="Z467" s="31">
        <f>IFERROR(__xludf.DUMMYFUNCTION("""COMPUTED_VALUE"""),2024.0)</f>
        <v>2024</v>
      </c>
      <c r="AA467" s="31">
        <f>IFERROR(__xludf.DUMMYFUNCTION("""COMPUTED_VALUE"""),0.0)</f>
        <v>0</v>
      </c>
      <c r="AF467" s="31" t="str">
        <f>IFERROR(__xludf.DUMMYFUNCTION("""COMPUTED_VALUE"""),"Association Between β-Blocker Use and Mortality/Morbidity in Patients With Heart Failure With Reduced, Midrange, and Preserved Ejection Fraction and Advanced Chronic Kidney Disease.")</f>
        <v>Association Between β-Blocker Use and Mortality/Morbidity in Patients With Heart Failure With Reduced, Midrange, and Preserved Ejection Fraction and Advanced Chronic Kidney Disease.</v>
      </c>
      <c r="AG467" s="31" t="str">
        <f>IFERROR(__xludf.DUMMYFUNCTION("""COMPUTED_VALUE"""),"Fu, Edouard L; Uijl, Alicia; Dekker, Friedo W; Lund, Lars H; Savarese, Gianluigi; Carrero, Juan J")</f>
        <v>Fu, Edouard L; Uijl, Alicia; Dekker, Friedo W; Lund, Lars H; Savarese, Gianluigi; Carrero, Juan J</v>
      </c>
      <c r="AH467" s="32">
        <f>IFERROR(__xludf.DUMMYFUNCTION("""COMPUTED_VALUE"""),44123.0)</f>
        <v>44123</v>
      </c>
      <c r="AL467" s="31" t="str">
        <f>IFERROR(__xludf.DUMMYFUNCTION("""COMPUTED_VALUE"""),"Stenting for symptomatic vertebral artery stenosis: a preplanned pooled individual patient data analysis.")</f>
        <v>Stenting for symptomatic vertebral artery stenosis: a preplanned pooled individual patient data analysis.</v>
      </c>
      <c r="AM467" s="31" t="str">
        <f>IFERROR(__xludf.DUMMYFUNCTION("""COMPUTED_VALUE"""),"Markus, Hugh S; Harshfield, Eric L; Compter, Annette; Kuker, Wilhelm; Kappelle, L Jaap; Clifton, Andrew; van der Worp, H Bart; Rothwell, Peter; Algra, Ale; ,")</f>
        <v>Markus, Hugh S; Harshfield, Eric L; Compter, Annette; Kuker, Wilhelm; Kappelle, L Jaap; Clifton, Andrew; van der Worp, H Bart; Rothwell, Peter; Algra, Ale; ,</v>
      </c>
      <c r="AN467" s="32">
        <f>IFERROR(__xludf.DUMMYFUNCTION("""COMPUTED_VALUE"""),43608.0)</f>
        <v>43608</v>
      </c>
    </row>
    <row r="468">
      <c r="A468" s="32"/>
      <c r="I468" s="31" t="str">
        <f>IFERROR(__xludf.DUMMYFUNCTION("""COMPUTED_VALUE"""),"pharmaceutical research")</f>
        <v>pharmaceutical research</v>
      </c>
      <c r="J468" s="38">
        <f>COUNTIF(Data!$F$2:$F9917, $I468)</f>
        <v>1</v>
      </c>
      <c r="T468" s="31" t="s">
        <v>774</v>
      </c>
      <c r="U468" s="31" t="s">
        <v>775</v>
      </c>
      <c r="V468" s="32">
        <v>45350.0</v>
      </c>
      <c r="X468" s="31" t="str">
        <f>IFERROR(__xludf.DUMMYFUNCTION("""COMPUTED_VALUE"""),"The epidemiology of drug-related hospital admissions in paediatrics - a systematic review.")</f>
        <v>The epidemiology of drug-related hospital admissions in paediatrics - a systematic review.</v>
      </c>
      <c r="Y468" s="31" t="str">
        <f>IFERROR(__xludf.DUMMYFUNCTION("""COMPUTED_VALUE"""),"Eberl, Sonja; Heus, Pauline; Toni, Irmgard; Bachmat, Igor; Neubert, Antje")</f>
        <v>Eberl, Sonja; Heus, Pauline; Toni, Irmgard; Bachmat, Igor; Neubert, Antje</v>
      </c>
      <c r="Z468" s="31">
        <f>IFERROR(__xludf.DUMMYFUNCTION("""COMPUTED_VALUE"""),2024.0)</f>
        <v>2024</v>
      </c>
      <c r="AA468" s="31">
        <f>IFERROR(__xludf.DUMMYFUNCTION("""COMPUTED_VALUE"""),0.0)</f>
        <v>0</v>
      </c>
      <c r="AF468" s="31" t="str">
        <f>IFERROR(__xludf.DUMMYFUNCTION("""COMPUTED_VALUE"""),"Characteristics associated with polypharmacy in people with type 2 diabetes: the Dutch Diabetes Pearl cohort.")</f>
        <v>Characteristics associated with polypharmacy in people with type 2 diabetes: the Dutch Diabetes Pearl cohort.</v>
      </c>
      <c r="AG468" s="31" t="str">
        <f>IFERROR(__xludf.DUMMYFUNCTION("""COMPUTED_VALUE"""),"van Oort, S; Rutters, F; Warlé-van Herwaarden, M F; Schram, M T; Stehouwer, C D; Tack, C J; Abbink, E J; Wolffenbuttel, B H; van der Klauw, M M; DeVries, J H; Siegelaar, S E; Sijbrands, E J; Özcan, B; de Valk, H W; Silvius, B; Schroijen, M A; Jazet, I M; "&amp;"van Ballegooijen, A J; Beulens, J W J; Elders, P J; Kramers, C; ,")</f>
        <v>van Oort, S; Rutters, F; Warlé-van Herwaarden, M F; Schram, M T; Stehouwer, C D; Tack, C J; Abbink, E J; Wolffenbuttel, B H; van der Klauw, M M; DeVries, J H; Siegelaar, S E; Sijbrands, E J; Özcan, B; de Valk, H W; Silvius, B; Schroijen, M A; Jazet, I M; van Ballegooijen, A J; Beulens, J W J; Elders, P J; Kramers, C; ,</v>
      </c>
      <c r="AH468" s="32">
        <f>IFERROR(__xludf.DUMMYFUNCTION("""COMPUTED_VALUE"""),44121.0)</f>
        <v>44121</v>
      </c>
      <c r="AL468" s="31" t="str">
        <f>IFERROR(__xludf.DUMMYFUNCTION("""COMPUTED_VALUE"""),"Cerebral microbleeds and stroke risk after ischaemic stroke or transient ischaemic attack: a pooled analysis of individual patient data from cohort studies.")</f>
        <v>Cerebral microbleeds and stroke risk after ischaemic stroke or transient ischaemic attack: a pooled analysis of individual patient data from cohort studies.</v>
      </c>
      <c r="AM468" s="31" t="str">
        <f>IFERROR(__xludf.DUMMYFUNCTION("""COMPUTED_VALUE"""),"Wilson, Duncan; Ambler, Gareth; Lee, Keon-Joo; Lim, Jae-Sung; Shiozawa, Masayuki; Koga, Masatoshi; Li, Linxin; Lovelock, Caroline; Chabriat, Hugues; Hennerici, Michael; Wong, Yuen Kwun; Mak, Henry Ka Fung; Prats-Sánchez, Luis; Martínez-Domeño, Alejandro; "&amp;"Inamura, Shigeru; Yoshifuji, Kazuhisa; Arsava, Ethem Murat; Horstmann, Solveig; Purrucker, Jan; Lam, Bonnie Yin Ka; Wong, Adrian; Kim, Young Dae; Song, Tae-Jin; Schrooten, Maarten; Lemmens, Robin; Eppinger, Sebastian; Gattringer, Thomas; Uysal, Ender; Tan"&amp;"riverdi, Zeynep; Bornstein, Natan M; Assayag, Einor Ben; Hallevi, Hen; Tanaka, Jun; Hara, Hideo; Coutts, Shelagh B; Hert, Lisa; Polymeris, Alexandros; Seiffge, David J; Lyrer, Philippe; Algra, Ale; Kappelle, Jaap; Al-Shahi Salman, Rustam; Jäger, Hans R; L"&amp;"ip, Gregory Y H; Mattle, Heinrich P; Panos, Leonidas D; Mas, Jean-Louis; Legrand, Laurence; Karayiannis, Christopher; Phan, Thanh; Gunkel, Sarah; Christ, Nicolas; Abrigo, Jill; Leung, Thomas; Chu, Winnie; Chappell, Francesca; Makin, St")</f>
        <v>Wilson, Duncan; Ambler, Gareth; Lee, Keon-Joo; Lim, Jae-Sung; Shiozawa, Masayuki; Koga, Masatoshi; Li, Linxin; Lovelock, Caroline; Chabriat, Hugues; Hennerici, Michael; Wong, Yuen Kwun; Mak, Henry Ka Fung; Prats-Sánchez, Luis; Martínez-Domeño, Alejandro; Inamura, Shigeru; Yoshifuji, Kazuhisa; Arsava, Ethem Murat; Horstmann, Solveig; Purrucker, Jan; Lam, Bonnie Yin Ka; Wong, Adrian; Kim, Young Dae; Song, Tae-Jin; Schrooten, Maarten; Lemmens, Robin; Eppinger, Sebastian; Gattringer, Thomas; Uysal, Ender; Tanriverdi, Zeynep; Bornstein, Natan M; Assayag, Einor Ben; Hallevi, Hen; Tanaka, Jun; Hara, Hideo; Coutts, Shelagh B; Hert, Lisa; Polymeris, Alexandros; Seiffge, David J; Lyrer, Philippe; Algra, Ale; Kappelle, Jaap; Al-Shahi Salman, Rustam; Jäger, Hans R; Lip, Gregory Y H; Mattle, Heinrich P; Panos, Leonidas D; Mas, Jean-Louis; Legrand, Laurence; Karayiannis, Christopher; Phan, Thanh; Gunkel, Sarah; Christ, Nicolas; Abrigo, Jill; Leung, Thomas; Chu, Winnie; Chappell, Francesca; Makin, St</v>
      </c>
      <c r="AN468" s="32">
        <f>IFERROR(__xludf.DUMMYFUNCTION("""COMPUTED_VALUE"""),43608.0)</f>
        <v>43608</v>
      </c>
    </row>
    <row r="469">
      <c r="A469" s="32"/>
      <c r="I469" s="31" t="str">
        <f>IFERROR(__xludf.DUMMYFUNCTION("""COMPUTED_VALUE"""),"journal of the american medical informatics association jamia")</f>
        <v>journal of the american medical informatics association jamia</v>
      </c>
      <c r="J469" s="38">
        <f>COUNTIF(Data!$F$2:$F9917, $I469)</f>
        <v>3</v>
      </c>
      <c r="T469" s="31" t="s">
        <v>779</v>
      </c>
      <c r="U469" s="31" t="s">
        <v>780</v>
      </c>
      <c r="V469" s="32">
        <v>45350.0</v>
      </c>
      <c r="X469" s="31" t="str">
        <f>IFERROR(__xludf.DUMMYFUNCTION("""COMPUTED_VALUE"""),"Validation of the BOADICEA model in a prospective cohort of &lt;i&gt;BRCA1/2&lt;/i&gt; pathogenic variant carriers.")</f>
        <v>Validation of the BOADICEA model in a prospective cohort of &lt;i&gt;BRCA1/2&lt;/i&gt; pathogenic variant carriers.</v>
      </c>
      <c r="Y469" s="31" t="str">
        <f>IFERROR(__xludf.DUMMYFUNCTION("""COMPUTED_VALUE"""),"Yang, Xin; Mooij, Thea M; Leslie, Goska; Ficorella, Lorenzo; Andrieu, Nadine; Kast, Karin; Singer, Christian F; Jakubowska, Anna; van Gils, Carla H; Tan, Yen Y; Engel, Christoph; Adank, Muriel A; van Asperen, Christi J; Ausems, Margreet G E M; Berthet, Pa"&amp;"scaline; ,; Collee, Margriet J; Cook, Jackie A; Eason, Jacqueline; Spaendonck-Zwarts, Karin Y van; Evans, D Gareth; Gómez García, Encarna B; Hanson, Helen; Izatt, Louise; Kemp, Zoe; Lalloo, Fiona; Lasset, Christine; Lesueur, Fabienne; Musgrave, Hannah; Na"&amp;"mbot, Sophie; Noguès, Catherine; Oosterwijk, Jan C; Stoppa-Lyonnet, Dominique; Tischkowitz, Marc; Tripathi, Vishakha; Wevers, Marijke R; Zhao, Emily; van Leeuwen, Flora E; Schmidt, Marjanka K; Easton, Douglas F; Rookus, Matti A; Antoniou, Antonis C")</f>
        <v>Yang, Xin; Mooij, Thea M; Leslie, Goska; Ficorella, Lorenzo; Andrieu, Nadine; Kast, Karin; Singer, Christian F; Jakubowska, Anna; van Gils, Carla H; Tan, Yen Y; Engel, Christoph; Adank, Muriel A; van Asperen, Christi J; Ausems, Margreet G E M; Berthet, Pascaline; ,; Collee, Margriet J; Cook, Jackie A; Eason, Jacqueline; Spaendonck-Zwarts, Karin Y van; Evans, D Gareth; Gómez García, Encarna B; Hanson, Helen; Izatt, Louise; Kemp, Zoe; Lalloo, Fiona; Lasset, Christine; Lesueur, Fabienne; Musgrave, Hannah; Nambot, Sophie; Noguès, Catherine; Oosterwijk, Jan C; Stoppa-Lyonnet, Dominique; Tischkowitz, Marc; Tripathi, Vishakha; Wevers, Marijke R; Zhao, Emily; van Leeuwen, Flora E; Schmidt, Marjanka K; Easton, Douglas F; Rookus, Matti A; Antoniou, Antonis C</v>
      </c>
      <c r="Z469" s="31">
        <f>IFERROR(__xludf.DUMMYFUNCTION("""COMPUTED_VALUE"""),2024.0)</f>
        <v>2024</v>
      </c>
      <c r="AA469" s="31">
        <f>IFERROR(__xludf.DUMMYFUNCTION("""COMPUTED_VALUE"""),0.0)</f>
        <v>0</v>
      </c>
      <c r="AF469" s="31" t="str">
        <f>IFERROR(__xludf.DUMMYFUNCTION("""COMPUTED_VALUE"""),"Sex differences in the association between major risk factors and the risk of stroke in the UK Biobank cohort study.")</f>
        <v>Sex differences in the association between major risk factors and the risk of stroke in the UK Biobank cohort study.</v>
      </c>
      <c r="AG469" s="31" t="str">
        <f>IFERROR(__xludf.DUMMYFUNCTION("""COMPUTED_VALUE"""),"Peters, Sanne A E; Carcel, Cheryl; Millett, Elizabeth R C; Woodward, Mark")</f>
        <v>Peters, Sanne A E; Carcel, Cheryl; Millett, Elizabeth R C; Woodward, Mark</v>
      </c>
      <c r="AH469" s="32">
        <f>IFERROR(__xludf.DUMMYFUNCTION("""COMPUTED_VALUE"""),44120.0)</f>
        <v>44120</v>
      </c>
      <c r="AL469" s="31" t="str">
        <f>IFERROR(__xludf.DUMMYFUNCTION("""COMPUTED_VALUE"""),"Nonfocal transient neurological attacks are related to cognitive impairment in patients with heart failure.")</f>
        <v>Nonfocal transient neurological attacks are related to cognitive impairment in patients with heart failure.</v>
      </c>
      <c r="AM469" s="31" t="str">
        <f>IFERROR(__xludf.DUMMYFUNCTION("""COMPUTED_VALUE"""),"Oudeman, Eline A; Greving, Jacoba P; Hooghiemstra, Astrid M; Brunner-La Rocca, Hans-Peter; Biessels, Geert Jan; Kappelle, L Jaap; ,")</f>
        <v>Oudeman, Eline A; Greving, Jacoba P; Hooghiemstra, Astrid M; Brunner-La Rocca, Hans-Peter; Biessels, Geert Jan; Kappelle, L Jaap; ,</v>
      </c>
      <c r="AN469" s="32">
        <f>IFERROR(__xludf.DUMMYFUNCTION("""COMPUTED_VALUE"""),43606.0)</f>
        <v>43606</v>
      </c>
    </row>
    <row r="470">
      <c r="A470" s="32"/>
      <c r="I470" s="31" t="str">
        <f>IFERROR(__xludf.DUMMYFUNCTION("""COMPUTED_VALUE"""),"hypertension dallas tex")</f>
        <v>hypertension dallas tex</v>
      </c>
      <c r="J470" s="38">
        <f>COUNTIF(Data!$F$2:$F9917, $I470)</f>
        <v>17</v>
      </c>
      <c r="T470" s="31" t="s">
        <v>783</v>
      </c>
      <c r="U470" s="31" t="s">
        <v>784</v>
      </c>
      <c r="V470" s="32">
        <v>45349.0</v>
      </c>
      <c r="X470" s="31" t="str">
        <f>IFERROR(__xludf.DUMMYFUNCTION("""COMPUTED_VALUE"""),"Ideal cardiovascular health and cardiovascular-related events: a systematic review and meta-analysis.")</f>
        <v>Ideal cardiovascular health and cardiovascular-related events: a systematic review and meta-analysis.</v>
      </c>
      <c r="Y470" s="31" t="str">
        <f>IFERROR(__xludf.DUMMYFUNCTION("""COMPUTED_VALUE"""),"Te Hoonte, Femke; Spronk, Merve; Sun, Qi; Wu, Kangrui; Fan, Shiqi; Wang, Ziyi; Bots, Michiel L; Van der Schouw, Yvonne T; Uijl, Alicia; Vernooij, Robin W M")</f>
        <v>Te Hoonte, Femke; Spronk, Merve; Sun, Qi; Wu, Kangrui; Fan, Shiqi; Wang, Ziyi; Bots, Michiel L; Van der Schouw, Yvonne T; Uijl, Alicia; Vernooij, Robin W M</v>
      </c>
      <c r="Z470" s="31">
        <f>IFERROR(__xludf.DUMMYFUNCTION("""COMPUTED_VALUE"""),2024.0)</f>
        <v>2024</v>
      </c>
      <c r="AA470" s="31">
        <f>IFERROR(__xludf.DUMMYFUNCTION("""COMPUTED_VALUE"""),0.0)</f>
        <v>0</v>
      </c>
      <c r="AF470" s="31" t="str">
        <f>IFERROR(__xludf.DUMMYFUNCTION("""COMPUTED_VALUE"""),"Socioeconomic characteristics of patients with coronary heart disease in relation to their cardiovascular risk profile.")</f>
        <v>Socioeconomic characteristics of patients with coronary heart disease in relation to their cardiovascular risk profile.</v>
      </c>
      <c r="AG470" s="31" t="str">
        <f>IFERROR(__xludf.DUMMYFUNCTION("""COMPUTED_VALUE"""),"De Bacquer, Dirk; van de Luitgaarden, Inge A T; De Smedt, Delphine; Vynckier, Pieter; Bruthans, Jan; Fras, Zlatko; Jankowski, Piotr; Dolzhenko, Marina; Kotseva, Kornelia; Wood, David; De Backer, Guy")</f>
        <v>De Bacquer, Dirk; van de Luitgaarden, Inge A T; De Smedt, Delphine; Vynckier, Pieter; Bruthans, Jan; Fras, Zlatko; Jankowski, Piotr; Dolzhenko, Marina; Kotseva, Kornelia; Wood, David; De Backer, Guy</v>
      </c>
      <c r="AH470" s="32">
        <f>IFERROR(__xludf.DUMMYFUNCTION("""COMPUTED_VALUE"""),44120.0)</f>
        <v>44120</v>
      </c>
      <c r="AL470" s="31" t="str">
        <f>IFERROR(__xludf.DUMMYFUNCTION("""COMPUTED_VALUE"""),"Screening of cardiovascular agents in plasma with LC-MS/MS: A valuable tool for objective drug adherence assessment.")</f>
        <v>Screening of cardiovascular agents in plasma with LC-MS/MS: A valuable tool for objective drug adherence assessment.</v>
      </c>
      <c r="AM470" s="31" t="str">
        <f>IFERROR(__xludf.DUMMYFUNCTION("""COMPUTED_VALUE"""),"Punt, A M; Stienstra, N A; van Kleef, M E A; Lafeber, M; Spiering, W; Blankestijn, P J; Bots, M L; van Maarseveen, E M")</f>
        <v>Punt, A M; Stienstra, N A; van Kleef, M E A; Lafeber, M; Spiering, W; Blankestijn, P J; Bots, M L; van Maarseveen, E M</v>
      </c>
      <c r="AN470" s="32">
        <f>IFERROR(__xludf.DUMMYFUNCTION("""COMPUTED_VALUE"""),43599.0)</f>
        <v>43599</v>
      </c>
    </row>
    <row r="471">
      <c r="A471" s="32"/>
      <c r="I471" s="31" t="str">
        <f>IFERROR(__xludf.DUMMYFUNCTION("""COMPUTED_VALUE"""),"primer leawood kan")</f>
        <v>primer leawood kan</v>
      </c>
      <c r="J471" s="38">
        <f>COUNTIF(Data!$F$2:$F9917, $I471)</f>
        <v>1</v>
      </c>
      <c r="T471" s="31" t="s">
        <v>788</v>
      </c>
      <c r="U471" s="31" t="s">
        <v>789</v>
      </c>
      <c r="V471" s="32">
        <v>45348.0</v>
      </c>
      <c r="X471" s="31" t="str">
        <f>IFERROR(__xludf.DUMMYFUNCTION("""COMPUTED_VALUE"""),"Characteristics and preventability of medication-related admissions for acute kidney injury and dehydration in elderly patients.")</f>
        <v>Characteristics and preventability of medication-related admissions for acute kidney injury and dehydration in elderly patients.</v>
      </c>
      <c r="Y471" s="31" t="str">
        <f>IFERROR(__xludf.DUMMYFUNCTION("""COMPUTED_VALUE"""),"Coppes, Tristan; Hazen, Ankie C M; Zwart, Dorien L M; Koster, Ellen S; van Gelder, Teun; Bouvy, Marcel L")</f>
        <v>Coppes, Tristan; Hazen, Ankie C M; Zwart, Dorien L M; Koster, Ellen S; van Gelder, Teun; Bouvy, Marcel L</v>
      </c>
      <c r="Z471" s="31">
        <f>IFERROR(__xludf.DUMMYFUNCTION("""COMPUTED_VALUE"""),2024.0)</f>
        <v>2024</v>
      </c>
      <c r="AA471" s="31">
        <f>IFERROR(__xludf.DUMMYFUNCTION("""COMPUTED_VALUE"""),0.0)</f>
        <v>0</v>
      </c>
      <c r="AF471" s="31" t="str">
        <f>IFERROR(__xludf.DUMMYFUNCTION("""COMPUTED_VALUE"""),"The association between circulating 25-hydroxyvitamin D metabolites and type 2 diabetes in European populations: A meta-analysis and Mendelian randomisation analysis.")</f>
        <v>The association between circulating 25-hydroxyvitamin D metabolites and type 2 diabetes in European populations: A meta-analysis and Mendelian randomisation analysis.</v>
      </c>
      <c r="AG471" s="31" t="str">
        <f>IFERROR(__xludf.DUMMYFUNCTION("""COMPUTED_VALUE"""),"Zheng, Ju-Sheng; Luan, Jian'an; Sofianopoulou, Eleni; Sharp, Stephen J; Day, Felix R; Imamura, Fumiaki; Gundersen, Thomas E; Lotta, Luca A; Sluijs, Ivonne; Stewart, Isobel D; Shah, Rupal L; van der Schouw, Yvonne T; Wheeler, Eleanor; Ardanaz, Eva; Boeing,"&amp;" Heiner; Dorronsoro, Miren; Dahm, Christina C; Dimou, Niki; El-Fatouhi, Douae; Franks, Paul W; Fagherazzi, Guy; Grioni, Sara; Huerta, José María; Heath, Alicia K; Hansen, Louise; Jenab, Mazda; Jakszyn, Paula; Kaaks, Rudolf; Kühn, Tilman; Khaw, Kay-Tee; La"&amp;"ouali, Nasser; Masala, Giovanna; Nilsson, Peter M; Overvad, Kim; Olsen, Anja; Panico, Salvatore; Quirós, J Ramón; Rolandsson, Olov; Rodríguez-Barranco, Miguel; Sacerdote, Carlotta; Spijkerman, Annemieke M W; Tong, Tammy Y N; Tumino, Rosario; Tsilidis, Kon"&amp;"stantinos K; Danesh, John; Riboli, Elio; Butterworth, Adam S; Langenberg, Claudia; Forouhi, Nita G; Wareham, Nicholas J")</f>
        <v>Zheng, Ju-Sheng; Luan, Jian'an; Sofianopoulou, Eleni; Sharp, Stephen J; Day, Felix R; Imamura, Fumiaki; Gundersen, Thomas E; Lotta, Luca A; Sluijs, Ivonne; Stewart, Isobel D; Shah, Rupal L; van der Schouw, Yvonne T; Wheeler, Eleanor; Ardanaz, Eva; Boeing, Heiner; Dorronsoro, Miren; Dahm, Christina C; Dimou, Niki; El-Fatouhi, Douae; Franks, Paul W; Fagherazzi, Guy; Grioni, Sara; Huerta, José María; Heath, Alicia K; Hansen, Louise; Jenab, Mazda; Jakszyn, Paula; Kaaks, Rudolf; Kühn, Tilman; Khaw, Kay-Tee; Laouali, Nasser; Masala, Giovanna; Nilsson, Peter M; Overvad, Kim; Olsen, Anja; Panico, Salvatore; Quirós, J Ramón; Rolandsson, Olov; Rodríguez-Barranco, Miguel; Sacerdote, Carlotta; Spijkerman, Annemieke M W; Tong, Tammy Y N; Tumino, Rosario; Tsilidis, Konstantinos K; Danesh, John; Riboli, Elio; Butterworth, Adam S; Langenberg, Claudia; Forouhi, Nita G; Wareham, Nicholas J</v>
      </c>
      <c r="AH471" s="32">
        <f>IFERROR(__xludf.DUMMYFUNCTION("""COMPUTED_VALUE"""),44120.0)</f>
        <v>44120</v>
      </c>
      <c r="AL471" s="31" t="str">
        <f>IFERROR(__xludf.DUMMYFUNCTION("""COMPUTED_VALUE"""),"Attendance and compliance with an exercise program during localized breast cancer treatment in a randomized controlled trial: The PACT study.")</f>
        <v>Attendance and compliance with an exercise program during localized breast cancer treatment in a randomized controlled trial: The PACT study.</v>
      </c>
      <c r="AM471" s="31" t="str">
        <f>IFERROR(__xludf.DUMMYFUNCTION("""COMPUTED_VALUE"""),"Witlox, Lenja; Velthuis, Miranda J; Boer, Jennifer H; Steins Bisschop, Charlotte N; Wall, Elsken van der; Meulen, Wout J T M van der; Schröder, Carin D; Peeters, Petra H M; May, Anne M")</f>
        <v>Witlox, Lenja; Velthuis, Miranda J; Boer, Jennifer H; Steins Bisschop, Charlotte N; Wall, Elsken van der; Meulen, Wout J T M van der; Schröder, Carin D; Peeters, Petra H M; May, Anne M</v>
      </c>
      <c r="AN471" s="32">
        <f>IFERROR(__xludf.DUMMYFUNCTION("""COMPUTED_VALUE"""),43593.0)</f>
        <v>43593</v>
      </c>
    </row>
    <row r="472">
      <c r="A472" s="32"/>
      <c r="I472" s="31" t="str">
        <f>IFERROR(__xludf.DUMMYFUNCTION("""COMPUTED_VALUE"""),"geroscience")</f>
        <v>geroscience</v>
      </c>
      <c r="J472" s="38">
        <f>COUNTIF(Data!$F$2:$F9917, $I472)</f>
        <v>1</v>
      </c>
      <c r="T472" s="31" t="s">
        <v>793</v>
      </c>
      <c r="U472" s="31" t="s">
        <v>794</v>
      </c>
      <c r="V472" s="32">
        <v>45346.0</v>
      </c>
      <c r="X472" s="31" t="str">
        <f>IFERROR(__xludf.DUMMYFUNCTION("""COMPUTED_VALUE"""),"Prediction of aneurysmal subarachnoid hemorrhage in comparison with other stroke types using routine care data.")</f>
        <v>Prediction of aneurysmal subarachnoid hemorrhage in comparison with other stroke types using routine care data.</v>
      </c>
      <c r="Y472" s="31" t="str">
        <f>IFERROR(__xludf.DUMMYFUNCTION("""COMPUTED_VALUE"""),"Kanning, Jos P; van Os, Hendrikus J A; Rakers, Margot; Wermer, Marieke J H; Geerlings, Mirjam I; Ruigrok, Ynte M")</f>
        <v>Kanning, Jos P; van Os, Hendrikus J A; Rakers, Margot; Wermer, Marieke J H; Geerlings, Mirjam I; Ruigrok, Ynte M</v>
      </c>
      <c r="Z472" s="31">
        <f>IFERROR(__xludf.DUMMYFUNCTION("""COMPUTED_VALUE"""),2024.0)</f>
        <v>2024</v>
      </c>
      <c r="AA472" s="31">
        <f>IFERROR(__xludf.DUMMYFUNCTION("""COMPUTED_VALUE"""),0.0)</f>
        <v>0</v>
      </c>
      <c r="AF472" s="31" t="str">
        <f>IFERROR(__xludf.DUMMYFUNCTION("""COMPUTED_VALUE"""),"Sex Differences in Incident and Recurrent Coronary Events and All-Cause Mortality.")</f>
        <v>Sex Differences in Incident and Recurrent Coronary Events and All-Cause Mortality.</v>
      </c>
      <c r="AG472" s="31" t="str">
        <f>IFERROR(__xludf.DUMMYFUNCTION("""COMPUTED_VALUE"""),"Peters, Sanne A E; Colantonio, Lisandro D; Chen, Ligong; Bittner, Vera; Farkouh, Michael E; Rosenson, Robert S; Jackson, Elizabeth A; Dluzniewski, Paul; Poudel, Bharat; Muntner, Paul; Woodward, Mark")</f>
        <v>Peters, Sanne A E; Colantonio, Lisandro D; Chen, Ligong; Bittner, Vera; Farkouh, Michael E; Rosenson, Robert S; Jackson, Elizabeth A; Dluzniewski, Paul; Poudel, Bharat; Muntner, Paul; Woodward, Mark</v>
      </c>
      <c r="AH472" s="32">
        <f>IFERROR(__xludf.DUMMYFUNCTION("""COMPUTED_VALUE"""),44117.0)</f>
        <v>44117</v>
      </c>
      <c r="AL472" s="31" t="str">
        <f>IFERROR(__xludf.DUMMYFUNCTION("""COMPUTED_VALUE"""),"Myocardial Injury in Critically Ill Patients with Community-acquired Pneumonia. A Cohort Study.")</f>
        <v>Myocardial Injury in Critically Ill Patients with Community-acquired Pneumonia. A Cohort Study.</v>
      </c>
      <c r="AM472" s="31" t="str">
        <f>IFERROR(__xludf.DUMMYFUNCTION("""COMPUTED_VALUE"""),"Frencken, Jos F; van Baal, Lottie; Kappen, Teus H; Donker, Dirk W; Horn, Janneke; van der Poll, Tom; van Klei, Wilton A; Bonten, Marc J M; Cremer, Olaf L; ,")</f>
        <v>Frencken, Jos F; van Baal, Lottie; Kappen, Teus H; Donker, Dirk W; Horn, Janneke; van der Poll, Tom; van Klei, Wilton A; Bonten, Marc J M; Cremer, Olaf L; ,</v>
      </c>
      <c r="AN472" s="32">
        <f>IFERROR(__xludf.DUMMYFUNCTION("""COMPUTED_VALUE"""),43586.0)</f>
        <v>43586</v>
      </c>
    </row>
    <row r="473">
      <c r="A473" s="32"/>
      <c r="I473" s="31" t="str">
        <f>IFERROR(__xludf.DUMMYFUNCTION("""COMPUTED_VALUE"""),"bmj open sport exercise medicine")</f>
        <v>bmj open sport exercise medicine</v>
      </c>
      <c r="J473" s="38">
        <f>COUNTIF(Data!$F$2:$F9917, $I473)</f>
        <v>1</v>
      </c>
      <c r="T473" s="31" t="s">
        <v>797</v>
      </c>
      <c r="U473" s="31" t="s">
        <v>798</v>
      </c>
      <c r="V473" s="32">
        <v>45346.0</v>
      </c>
      <c r="X473" s="31" t="str">
        <f>IFERROR(__xludf.DUMMYFUNCTION("""COMPUTED_VALUE"""),"Diagnostic accuracy of supplemental three-dimensional breast ultrasound in the work-up of BI-RADS 0 screening recalls.")</f>
        <v>Diagnostic accuracy of supplemental three-dimensional breast ultrasound in the work-up of BI-RADS 0 screening recalls.</v>
      </c>
      <c r="Y473" s="31" t="str">
        <f>IFERROR(__xludf.DUMMYFUNCTION("""COMPUTED_VALUE"""),"den Dekker, Bianca M; Broeders, Mireille J M; Meeuwis, Carla; Setz-Pels, Wikke; Venmans, Alexander; van Gils, Carla H; Pijnappel, Ruud M")</f>
        <v>den Dekker, Bianca M; Broeders, Mireille J M; Meeuwis, Carla; Setz-Pels, Wikke; Venmans, Alexander; van Gils, Carla H; Pijnappel, Ruud M</v>
      </c>
      <c r="Z473" s="31">
        <f>IFERROR(__xludf.DUMMYFUNCTION("""COMPUTED_VALUE"""),2024.0)</f>
        <v>2024</v>
      </c>
      <c r="AA473" s="31">
        <f>IFERROR(__xludf.DUMMYFUNCTION("""COMPUTED_VALUE"""),0.0)</f>
        <v>0</v>
      </c>
      <c r="AF473" s="31" t="str">
        <f>IFERROR(__xludf.DUMMYFUNCTION("""COMPUTED_VALUE"""),"Obesity as a risk factor for COVID-19 mortality in women and men in the UK biobank: Comparisons with influenza/pneumonia and coronary heart disease.")</f>
        <v>Obesity as a risk factor for COVID-19 mortality in women and men in the UK biobank: Comparisons with influenza/pneumonia and coronary heart disease.</v>
      </c>
      <c r="AG473" s="31" t="str">
        <f>IFERROR(__xludf.DUMMYFUNCTION("""COMPUTED_VALUE"""),"Peters, Sanne A E; MacMahon, Stephen; Woodward, Mark")</f>
        <v>Peters, Sanne A E; MacMahon, Stephen; Woodward, Mark</v>
      </c>
      <c r="AH473" s="32">
        <f>IFERROR(__xludf.DUMMYFUNCTION("""COMPUTED_VALUE"""),44115.0)</f>
        <v>44115</v>
      </c>
      <c r="AL473" s="31" t="str">
        <f>IFERROR(__xludf.DUMMYFUNCTION("""COMPUTED_VALUE"""),"Stress in Patients With (Un)ruptured Intracranial Aneurysms vs Population-Based Controls.")</f>
        <v>Stress in Patients With (Un)ruptured Intracranial Aneurysms vs Population-Based Controls.</v>
      </c>
      <c r="AM473" s="31" t="str">
        <f>IFERROR(__xludf.DUMMYFUNCTION("""COMPUTED_VALUE"""),"de Wilde, Arno; Greebe, Paut; Rinkel, Gabriël J E; Algra, Ale")</f>
        <v>de Wilde, Arno; Greebe, Paut; Rinkel, Gabriël J E; Algra, Ale</v>
      </c>
      <c r="AN473" s="32">
        <f>IFERROR(__xludf.DUMMYFUNCTION("""COMPUTED_VALUE"""),43586.0)</f>
        <v>43586</v>
      </c>
    </row>
    <row r="474">
      <c r="A474" s="32"/>
      <c r="I474" s="31" t="str">
        <f>IFERROR(__xludf.DUMMYFUNCTION("""COMPUTED_VALUE"""),"journal of the international aids society")</f>
        <v>journal of the international aids society</v>
      </c>
      <c r="J474" s="38">
        <f>COUNTIF(Data!$F$2:$F9917, $I474)</f>
        <v>1</v>
      </c>
      <c r="T474" s="31" t="s">
        <v>802</v>
      </c>
      <c r="U474" s="31" t="s">
        <v>803</v>
      </c>
      <c r="V474" s="32">
        <v>45345.0</v>
      </c>
      <c r="X474" s="31" t="str">
        <f>IFERROR(__xludf.DUMMYFUNCTION("""COMPUTED_VALUE"""),"The NOS1AP gene rs10494366 common genetic variant does not modify the risk of sudden cardiac death in users of digoxin.")</f>
        <v>The NOS1AP gene rs10494366 common genetic variant does not modify the risk of sudden cardiac death in users of digoxin.</v>
      </c>
      <c r="Y474" s="31" t="str">
        <f>IFERROR(__xludf.DUMMYFUNCTION("""COMPUTED_VALUE"""),"Soroush, Negin; Aarnoudse, Albert-Jan; Kavousi, Maryam; Kors, Jan A; Ikram, M Arfan; Stricker, Bruno H; Ahmadizar, Fariba")</f>
        <v>Soroush, Negin; Aarnoudse, Albert-Jan; Kavousi, Maryam; Kors, Jan A; Ikram, M Arfan; Stricker, Bruno H; Ahmadizar, Fariba</v>
      </c>
      <c r="Z474" s="31">
        <f>IFERROR(__xludf.DUMMYFUNCTION("""COMPUTED_VALUE"""),2024.0)</f>
        <v>2024</v>
      </c>
      <c r="AA474" s="31">
        <f>IFERROR(__xludf.DUMMYFUNCTION("""COMPUTED_VALUE"""),0.0)</f>
        <v>0</v>
      </c>
      <c r="AF474" s="31" t="str">
        <f>IFERROR(__xludf.DUMMYFUNCTION("""COMPUTED_VALUE"""),"Investigator initiated research in times of COVID-19: Let's go digital!")</f>
        <v>Investigator initiated research in times of COVID-19: Let's go digital!</v>
      </c>
      <c r="AG474" s="31" t="str">
        <f>IFERROR(__xludf.DUMMYFUNCTION("""COMPUTED_VALUE"""),"Schuitenmaker, Jeroen M; Oude Nijhuis, Renske A B; Bredenoord, Annelien L; Fockens, Paul; Bredenoord, Albert J")</f>
        <v>Schuitenmaker, Jeroen M; Oude Nijhuis, Renske A B; Bredenoord, Annelien L; Fockens, Paul; Bredenoord, Albert J</v>
      </c>
      <c r="AH474" s="32">
        <f>IFERROR(__xludf.DUMMYFUNCTION("""COMPUTED_VALUE"""),44110.0)</f>
        <v>44110</v>
      </c>
      <c r="AL474" s="31" t="str">
        <f>IFERROR(__xludf.DUMMYFUNCTION("""COMPUTED_VALUE"""),"Worldwide Incidence of Aneurysmal Subarachnoid Hemorrhage According to Region, Time Period, Blood Pressure, and Smoking Prevalence in the Population: A Systematic Review and Meta-analysis.")</f>
        <v>Worldwide Incidence of Aneurysmal Subarachnoid Hemorrhage According to Region, Time Period, Blood Pressure, and Smoking Prevalence in the Population: A Systematic Review and Meta-analysis.</v>
      </c>
      <c r="AM474" s="31" t="str">
        <f>IFERROR(__xludf.DUMMYFUNCTION("""COMPUTED_VALUE"""),"Etminan, Nima; Chang, Han-Sol; Hackenberg, Katharina; de Rooij, Nicolien K; Vergouwen, Mervyn D I; Rinkel, Gabriel J E; Algra, Ale")</f>
        <v>Etminan, Nima; Chang, Han-Sol; Hackenberg, Katharina; de Rooij, Nicolien K; Vergouwen, Mervyn D I; Rinkel, Gabriel J E; Algra, Ale</v>
      </c>
      <c r="AN474" s="32">
        <f>IFERROR(__xludf.DUMMYFUNCTION("""COMPUTED_VALUE"""),43586.0)</f>
        <v>43586</v>
      </c>
    </row>
    <row r="475">
      <c r="A475" s="32"/>
      <c r="I475" s="31" t="str">
        <f>IFERROR(__xludf.DUMMYFUNCTION("""COMPUTED_VALUE"""),"advances in nutrition bethesda md")</f>
        <v>advances in nutrition bethesda md</v>
      </c>
      <c r="J475" s="38">
        <f>COUNTIF(Data!$F$2:$F9917, $I475)</f>
        <v>2</v>
      </c>
      <c r="T475" s="31" t="s">
        <v>806</v>
      </c>
      <c r="U475" s="31" t="s">
        <v>807</v>
      </c>
      <c r="V475" s="32">
        <v>45345.0</v>
      </c>
      <c r="X475" s="31" t="str">
        <f>IFERROR(__xludf.DUMMYFUNCTION("""COMPUTED_VALUE"""),"AmiA and AliA peptide ligands, found in Klebsiella pneumoniae, are imported into pneumococci and alter the transcriptome.")</f>
        <v>AmiA and AliA peptide ligands, found in Klebsiella pneumoniae, are imported into pneumococci and alter the transcriptome.</v>
      </c>
      <c r="Y475" s="31" t="str">
        <f>IFERROR(__xludf.DUMMYFUNCTION("""COMPUTED_VALUE"""),"Lux, Janine; Sánchez García, Lucía; Chaparro Fernández, Patricia; Laloli, Laura; Licheri, Manon F; Gallay, Clement; Hermans, Peter W M; Croucher, Nicholas J; Veening, Jan-Willem; Dijkman, Ronald; Straume, Daniel; Hathaway, Lucy J")</f>
        <v>Lux, Janine; Sánchez García, Lucía; Chaparro Fernández, Patricia; Laloli, Laura; Licheri, Manon F; Gallay, Clement; Hermans, Peter W M; Croucher, Nicholas J; Veening, Jan-Willem; Dijkman, Ronald; Straume, Daniel; Hathaway, Lucy J</v>
      </c>
      <c r="Z475" s="31">
        <f>IFERROR(__xludf.DUMMYFUNCTION("""COMPUTED_VALUE"""),2024.0)</f>
        <v>2024</v>
      </c>
      <c r="AA475" s="31">
        <f>IFERROR(__xludf.DUMMYFUNCTION("""COMPUTED_VALUE"""),0.0)</f>
        <v>0</v>
      </c>
      <c r="AF475" s="31" t="str">
        <f>IFERROR(__xludf.DUMMYFUNCTION("""COMPUTED_VALUE"""),"Diabetes as a risk factor for incident peripheral arterial disease in women compared to men: a systematic review and meta-analysis.")</f>
        <v>Diabetes as a risk factor for incident peripheral arterial disease in women compared to men: a systematic review and meta-analysis.</v>
      </c>
      <c r="AG475" s="31" t="str">
        <f>IFERROR(__xludf.DUMMYFUNCTION("""COMPUTED_VALUE"""),"Chase-Vilchez, Alyssa Z; Chan, Isaac H Y; Peters, Sanne A E; Woodward, Mark")</f>
        <v>Chase-Vilchez, Alyssa Z; Chan, Isaac H Y; Peters, Sanne A E; Woodward, Mark</v>
      </c>
      <c r="AH475" s="32">
        <f>IFERROR(__xludf.DUMMYFUNCTION("""COMPUTED_VALUE"""),44100.0)</f>
        <v>44100</v>
      </c>
      <c r="AL475" s="31" t="str">
        <f>IFERROR(__xludf.DUMMYFUNCTION("""COMPUTED_VALUE"""),"Targeted point-of-care testing compared with syndromic management of urogenital infections in women (WISH): a cross-sectional screening and diagnostic accuracy study.")</f>
        <v>Targeted point-of-care testing compared with syndromic management of urogenital infections in women (WISH): a cross-sectional screening and diagnostic accuracy study.</v>
      </c>
      <c r="AM475" s="31" t="str">
        <f>IFERROR(__xludf.DUMMYFUNCTION("""COMPUTED_VALUE"""),"Verwijs, Marijn C; Agaba, Stephen K; Sumanyi, Jean-Claude; Umulisa, Marie Michele; Mwambarangwe, Lambert; Musengamana, Viateur; Uwineza, Mireille; Cuylaerts, Vicky; Crucitti, Tania; Jespers, Vicky; van de Wijgert, Janneke H H M")</f>
        <v>Verwijs, Marijn C; Agaba, Stephen K; Sumanyi, Jean-Claude; Umulisa, Marie Michele; Mwambarangwe, Lambert; Musengamana, Viateur; Uwineza, Mireille; Cuylaerts, Vicky; Crucitti, Tania; Jespers, Vicky; van de Wijgert, Janneke H H M</v>
      </c>
      <c r="AN475" s="32">
        <f>IFERROR(__xludf.DUMMYFUNCTION("""COMPUTED_VALUE"""),43580.0)</f>
        <v>43580</v>
      </c>
    </row>
    <row r="476">
      <c r="A476" s="32"/>
      <c r="I476" s="31" t="str">
        <f>IFERROR(__xludf.DUMMYFUNCTION("""COMPUTED_VALUE"""),"frontiers in allergy")</f>
        <v>frontiers in allergy</v>
      </c>
      <c r="J476" s="38">
        <f>COUNTIF(Data!$F$2:$F9917, $I476)</f>
        <v>1</v>
      </c>
      <c r="T476" s="31" t="s">
        <v>811</v>
      </c>
      <c r="U476" s="31" t="s">
        <v>812</v>
      </c>
      <c r="V476" s="32">
        <v>45345.0</v>
      </c>
      <c r="X476" s="31" t="str">
        <f>IFERROR(__xludf.DUMMYFUNCTION("""COMPUTED_VALUE"""),"Working on differentiated nursing practices in hospitals: A learning history on enacting new nursing roles.")</f>
        <v>Working on differentiated nursing practices in hospitals: A learning history on enacting new nursing roles.</v>
      </c>
      <c r="Y476" s="31" t="str">
        <f>IFERROR(__xludf.DUMMYFUNCTION("""COMPUTED_VALUE"""),"Martini, Dieke; Schalkwijk, Hugo; Schoonhoven, Lisette; Noordegraaf, Mirko; Lalleman, Pieterbas")</f>
        <v>Martini, Dieke; Schalkwijk, Hugo; Schoonhoven, Lisette; Noordegraaf, Mirko; Lalleman, Pieterbas</v>
      </c>
      <c r="Z476" s="31">
        <f>IFERROR(__xludf.DUMMYFUNCTION("""COMPUTED_VALUE"""),2024.0)</f>
        <v>2024</v>
      </c>
      <c r="AA476" s="31">
        <f>IFERROR(__xludf.DUMMYFUNCTION("""COMPUTED_VALUE"""),0.0)</f>
        <v>0</v>
      </c>
      <c r="AF476" s="31" t="str">
        <f>IFERROR(__xludf.DUMMYFUNCTION("""COMPUTED_VALUE"""),"Supporting maternal and child nutrition: views from community members in rural Northern Ghana.")</f>
        <v>Supporting maternal and child nutrition: views from community members in rural Northern Ghana.</v>
      </c>
      <c r="AG476" s="31" t="str">
        <f>IFERROR(__xludf.DUMMYFUNCTION("""COMPUTED_VALUE"""),"Debpuur, Cornelius; Nonterah, Engelbert A; Chatio, Samuel T; Adoctor, James K; Dambayi, Edith; Beeri, Paula; Nonterah, Esmond W; Ayi-Bisah, Doreen; Watson, Daniella; Kehoe, Sarah H; Dalaba, Maxwell A; Ofosu, Winfred; Aborigo, Raymond; Welaga, Paul; Oduro,"&amp;" Abraham R; Newell, Marie-Louise; Barker, Mary; ,")</f>
        <v>Debpuur, Cornelius; Nonterah, Engelbert A; Chatio, Samuel T; Adoctor, James K; Dambayi, Edith; Beeri, Paula; Nonterah, Esmond W; Ayi-Bisah, Doreen; Watson, Daniella; Kehoe, Sarah H; Dalaba, Maxwell A; Ofosu, Winfred; Aborigo, Raymond; Welaga, Paul; Oduro, Abraham R; Newell, Marie-Louise; Barker, Mary; ,</v>
      </c>
      <c r="AH476" s="32">
        <f>IFERROR(__xludf.DUMMYFUNCTION("""COMPUTED_VALUE"""),44099.0)</f>
        <v>44099</v>
      </c>
      <c r="AL476" s="31" t="str">
        <f>IFERROR(__xludf.DUMMYFUNCTION("""COMPUTED_VALUE"""),"Uniformity in measuring adherence to reporting guidelines: the example of TRIPOD for assessing completeness of reporting of prediction model studies.")</f>
        <v>Uniformity in measuring adherence to reporting guidelines: the example of TRIPOD for assessing completeness of reporting of prediction model studies.</v>
      </c>
      <c r="AM476" s="31" t="str">
        <f>IFERROR(__xludf.DUMMYFUNCTION("""COMPUTED_VALUE"""),"Heus, Pauline; Damen, Johanna A A G; Pajouheshnia, Romin; Scholten, Rob J P M; Reitsma, Johannes B; Collins, Gary S; Altman, Douglas G; Moons, Karel G M; Hooft, Lotty")</f>
        <v>Heus, Pauline; Damen, Johanna A A G; Pajouheshnia, Romin; Scholten, Rob J P M; Reitsma, Johannes B; Collins, Gary S; Altman, Douglas G; Moons, Karel G M; Hooft, Lotty</v>
      </c>
      <c r="AN476" s="32">
        <f>IFERROR(__xludf.DUMMYFUNCTION("""COMPUTED_VALUE"""),43579.0)</f>
        <v>43579</v>
      </c>
    </row>
    <row r="477">
      <c r="A477" s="32"/>
      <c r="I477" s="31" t="str">
        <f>IFERROR(__xludf.DUMMYFUNCTION("""COMPUTED_VALUE"""),"clinical journal of the american society of nephrology cjasn")</f>
        <v>clinical journal of the american society of nephrology cjasn</v>
      </c>
      <c r="J477" s="38">
        <f>COUNTIF(Data!$F$2:$F9917, $I477)</f>
        <v>9</v>
      </c>
      <c r="T477" s="31" t="s">
        <v>815</v>
      </c>
      <c r="U477" s="31" t="s">
        <v>816</v>
      </c>
      <c r="V477" s="32">
        <v>45345.0</v>
      </c>
      <c r="X477" s="31" t="str">
        <f>IFERROR(__xludf.DUMMYFUNCTION("""COMPUTED_VALUE"""),"Impact of green space exposure on blood pressure in Guangzhou, China: Mediation by air pollution, mental health, physical activity, and weight status.")</f>
        <v>Impact of green space exposure on blood pressure in Guangzhou, China: Mediation by air pollution, mental health, physical activity, and weight status.</v>
      </c>
      <c r="Y477" s="31" t="str">
        <f>IFERROR(__xludf.DUMMYFUNCTION("""COMPUTED_VALUE"""),"Liu, Mingwei; Timmermans, Erik J; Zou, Dan; Grobbee, Diederick E; Zhou, Suhong; Vaartjes, Ilonca")</f>
        <v>Liu, Mingwei; Timmermans, Erik J; Zou, Dan; Grobbee, Diederick E; Zhou, Suhong; Vaartjes, Ilonca</v>
      </c>
      <c r="Z477" s="31">
        <f>IFERROR(__xludf.DUMMYFUNCTION("""COMPUTED_VALUE"""),2024.0)</f>
        <v>2024</v>
      </c>
      <c r="AA477" s="31">
        <f>IFERROR(__xludf.DUMMYFUNCTION("""COMPUTED_VALUE"""),0.0)</f>
        <v>0</v>
      </c>
      <c r="AF477" s="31" t="str">
        <f>IFERROR(__xludf.DUMMYFUNCTION("""COMPUTED_VALUE"""),"Trends in Recurrent Coronary Heart Disease After Myocardial Infarction Among US Women and Men Between 2008 and 2017.")</f>
        <v>Trends in Recurrent Coronary Heart Disease After Myocardial Infarction Among US Women and Men Between 2008 and 2017.</v>
      </c>
      <c r="AG477" s="31" t="str">
        <f>IFERROR(__xludf.DUMMYFUNCTION("""COMPUTED_VALUE"""),"Peters, Sanne A E; Colantonio, Lisandro D; Dai, Yuling; Zhao, Hong; Bittner, Vera; Farkouh, Michael E; Dluzniewski, Paul; Poudel, Bharat; Muntner, Paul; Woodward, Mark")</f>
        <v>Peters, Sanne A E; Colantonio, Lisandro D; Dai, Yuling; Zhao, Hong; Bittner, Vera; Farkouh, Michael E; Dluzniewski, Paul; Poudel, Bharat; Muntner, Paul; Woodward, Mark</v>
      </c>
      <c r="AH477" s="32">
        <f>IFERROR(__xludf.DUMMYFUNCTION("""COMPUTED_VALUE"""),44095.0)</f>
        <v>44095</v>
      </c>
      <c r="AL477" s="31" t="str">
        <f>IFERROR(__xludf.DUMMYFUNCTION("""COMPUTED_VALUE"""),"Comparison of Rupture Risk of Intracranial Aneurysms Between Familial and Sporadic Patients.")</f>
        <v>Comparison of Rupture Risk of Intracranial Aneurysms Between Familial and Sporadic Patients.</v>
      </c>
      <c r="AM477" s="31" t="str">
        <f>IFERROR(__xludf.DUMMYFUNCTION("""COMPUTED_VALUE"""),"Mensing, Liselore A; Greving, Jacoba P; Verhoeff, Tessa A; Rinkel, Gabriel J E; Ruigrok, Ynte M")</f>
        <v>Mensing, Liselore A; Greving, Jacoba P; Verhoeff, Tessa A; Rinkel, Gabriel J E; Ruigrok, Ynte M</v>
      </c>
      <c r="AN477" s="32">
        <f>IFERROR(__xludf.DUMMYFUNCTION("""COMPUTED_VALUE"""),43578.0)</f>
        <v>43578</v>
      </c>
    </row>
    <row r="478">
      <c r="A478" s="32"/>
      <c r="I478" s="31" t="str">
        <f>IFERROR(__xludf.DUMMYFUNCTION("""COMPUTED_VALUE"""),"medical education")</f>
        <v>medical education</v>
      </c>
      <c r="J478" s="38">
        <f>COUNTIF(Data!$F$2:$F9917, $I478)</f>
        <v>5</v>
      </c>
      <c r="T478" s="31" t="s">
        <v>819</v>
      </c>
      <c r="U478" s="31" t="s">
        <v>820</v>
      </c>
      <c r="V478" s="32">
        <v>45343.0</v>
      </c>
      <c r="X478" s="31" t="str">
        <f>IFERROR(__xludf.DUMMYFUNCTION("""COMPUTED_VALUE"""),"Examining pancreatic stone protein response in ICU-acquired bloodstream infections: a matched event analysis.")</f>
        <v>Examining pancreatic stone protein response in ICU-acquired bloodstream infections: a matched event analysis.</v>
      </c>
      <c r="Y478" s="31" t="str">
        <f>IFERROR(__xludf.DUMMYFUNCTION("""COMPUTED_VALUE"""),"Verlaan, Diede; Derde, Lennie P G; van der Poll, Tom; Bonten, Marc J M; Cremer, Olaf L")</f>
        <v>Verlaan, Diede; Derde, Lennie P G; van der Poll, Tom; Bonten, Marc J M; Cremer, Olaf L</v>
      </c>
      <c r="Z478" s="31">
        <f>IFERROR(__xludf.DUMMYFUNCTION("""COMPUTED_VALUE"""),2024.0)</f>
        <v>2024</v>
      </c>
      <c r="AA478" s="31">
        <f>IFERROR(__xludf.DUMMYFUNCTION("""COMPUTED_VALUE"""),0.0)</f>
        <v>0</v>
      </c>
      <c r="AF478" s="31" t="str">
        <f>IFERROR(__xludf.DUMMYFUNCTION("""COMPUTED_VALUE"""),"Why magnesium sulfate 'coverage' only is not enough to reduce eclampsia: Lessons learned in a middle-income country.")</f>
        <v>Why magnesium sulfate 'coverage' only is not enough to reduce eclampsia: Lessons learned in a middle-income country.</v>
      </c>
      <c r="AG478" s="31" t="str">
        <f>IFERROR(__xludf.DUMMYFUNCTION("""COMPUTED_VALUE"""),"Verschueren, Kim J C; Paidin, Rubinah R; Broekhuis, Annabel; Ramkhelawan, Olivier S S; Kodan, Lachmi R; Kanhai, Humphrey H H; Browne, Joyce L; Bloemenkamp, Kitty W M; Rijken, Marcus J")</f>
        <v>Verschueren, Kim J C; Paidin, Rubinah R; Broekhuis, Annabel; Ramkhelawan, Olivier S S; Kodan, Lachmi R; Kanhai, Humphrey H H; Browne, Joyce L; Bloemenkamp, Kitty W M; Rijken, Marcus J</v>
      </c>
      <c r="AH478" s="32">
        <f>IFERROR(__xludf.DUMMYFUNCTION("""COMPUTED_VALUE"""),44095.0)</f>
        <v>44095</v>
      </c>
      <c r="AL478" s="31" t="str">
        <f>IFERROR(__xludf.DUMMYFUNCTION("""COMPUTED_VALUE"""),"Development and internal validation of a multinomial NTCP model for the severity of acute dyspnea after radiotherapy for lung cancer.")</f>
        <v>Development and internal validation of a multinomial NTCP model for the severity of acute dyspnea after radiotherapy for lung cancer.</v>
      </c>
      <c r="AM478" s="31" t="str">
        <f>IFERROR(__xludf.DUMMYFUNCTION("""COMPUTED_VALUE"""),"Defraene, Gilles; Schuit, Ewoud; De Ruysscher, Dirk")</f>
        <v>Defraene, Gilles; Schuit, Ewoud; De Ruysscher, Dirk</v>
      </c>
      <c r="AN478" s="32">
        <f>IFERROR(__xludf.DUMMYFUNCTION("""COMPUTED_VALUE"""),43575.0)</f>
        <v>43575</v>
      </c>
    </row>
    <row r="479">
      <c r="A479" s="32"/>
      <c r="I479" s="31" t="str">
        <f>IFERROR(__xludf.DUMMYFUNCTION("""COMPUTED_VALUE"""),"annals of surgery")</f>
        <v>annals of surgery</v>
      </c>
      <c r="J479" s="38">
        <f>COUNTIF(Data!$F$2:$F9917, $I479)</f>
        <v>9</v>
      </c>
      <c r="T479" s="31" t="s">
        <v>25872</v>
      </c>
      <c r="U479" s="31" t="s">
        <v>25873</v>
      </c>
      <c r="V479" s="32">
        <v>45343.0</v>
      </c>
      <c r="X479" s="31" t="str">
        <f>IFERROR(__xludf.DUMMYFUNCTION("""COMPUTED_VALUE"""),"The Effect of Artificial Intelligence on Patient-Physician Trust: Cross-Sectional Vignette Study.")</f>
        <v>The Effect of Artificial Intelligence on Patient-Physician Trust: Cross-Sectional Vignette Study.</v>
      </c>
      <c r="Y479" s="31" t="str">
        <f>IFERROR(__xludf.DUMMYFUNCTION("""COMPUTED_VALUE"""),"Zondag, Anna G M; Rozestraten, Raoul; Grimmelikhuijsen, Stephan G; Jongsma, Karin R; van Solinge, Wouter W; Bots, Michiel L; Vernooij, Robin W M; Haitjema, Saskia")</f>
        <v>Zondag, Anna G M; Rozestraten, Raoul; Grimmelikhuijsen, Stephan G; Jongsma, Karin R; van Solinge, Wouter W; Bots, Michiel L; Vernooij, Robin W M; Haitjema, Saskia</v>
      </c>
      <c r="Z479" s="31">
        <f>IFERROR(__xludf.DUMMYFUNCTION("""COMPUTED_VALUE"""),2024.0)</f>
        <v>2024</v>
      </c>
      <c r="AA479" s="31">
        <f>IFERROR(__xludf.DUMMYFUNCTION("""COMPUTED_VALUE"""),0.0)</f>
        <v>0</v>
      </c>
      <c r="AF479" s="31" t="str">
        <f>IFERROR(__xludf.DUMMYFUNCTION("""COMPUTED_VALUE"""),"Alcohol consumption patterns across Europe and adherence to the European guidelines in coronary patients: Findings from the ESC-EORP EUROASPIRE V survey.")</f>
        <v>Alcohol consumption patterns across Europe and adherence to the European guidelines in coronary patients: Findings from the ESC-EORP EUROASPIRE V survey.</v>
      </c>
      <c r="AG479" s="31" t="str">
        <f>IFERROR(__xludf.DUMMYFUNCTION("""COMPUTED_VALUE"""),"van de Luitgaarden, Inge A T; Schrieks, Ilse C; De Bacquer, Dirk; van Oort, Sabine; Mirrakhimov, Erkin M; Pogosova, Nana; Davletov, Kairat; Dolzhenko, Maryna; van Ballegooijen, Adriana J; Kotseva, Kornelia; Grobbee, Diederick E; Beulens, Joline W J; ,")</f>
        <v>van de Luitgaarden, Inge A T; Schrieks, Ilse C; De Bacquer, Dirk; van Oort, Sabine; Mirrakhimov, Erkin M; Pogosova, Nana; Davletov, Kairat; Dolzhenko, Maryna; van Ballegooijen, Adriana J; Kotseva, Kornelia; Grobbee, Diederick E; Beulens, Joline W J; ,</v>
      </c>
      <c r="AH479" s="32">
        <f>IFERROR(__xludf.DUMMYFUNCTION("""COMPUTED_VALUE"""),44091.0)</f>
        <v>44091</v>
      </c>
      <c r="AL479" s="31" t="str">
        <f>IFERROR(__xludf.DUMMYFUNCTION("""COMPUTED_VALUE"""),"Reporting of artificial intelligence prediction models.")</f>
        <v>Reporting of artificial intelligence prediction models.</v>
      </c>
      <c r="AM479" s="31" t="str">
        <f>IFERROR(__xludf.DUMMYFUNCTION("""COMPUTED_VALUE"""),"Collins, Gary S; Moons, Karel G M")</f>
        <v>Collins, Gary S; Moons, Karel G M</v>
      </c>
      <c r="AN479" s="32">
        <f>IFERROR(__xludf.DUMMYFUNCTION("""COMPUTED_VALUE"""),43575.0)</f>
        <v>43575</v>
      </c>
    </row>
    <row r="480">
      <c r="A480" s="32"/>
      <c r="I480" s="31" t="str">
        <f>IFERROR(__xludf.DUMMYFUNCTION("""COMPUTED_VALUE"""),"expert review of cardiovascular therapy")</f>
        <v>expert review of cardiovascular therapy</v>
      </c>
      <c r="J480" s="38">
        <f>COUNTIF(Data!$F$2:$F9917, $I480)</f>
        <v>1</v>
      </c>
      <c r="T480" s="31" t="s">
        <v>824</v>
      </c>
      <c r="U480" s="31" t="s">
        <v>825</v>
      </c>
      <c r="V480" s="32">
        <v>45341.0</v>
      </c>
      <c r="X480" s="31" t="str">
        <f>IFERROR(__xludf.DUMMYFUNCTION("""COMPUTED_VALUE"""),"Advancing collaboration in health professions education in the general practice domain, developing a national research agenda.")</f>
        <v>Advancing collaboration in health professions education in the general practice domain, developing a national research agenda.</v>
      </c>
      <c r="Y480" s="31" t="str">
        <f>IFERROR(__xludf.DUMMYFUNCTION("""COMPUTED_VALUE"""),"de Groot, Esther; der Vossen, Marianne Mak-van; Slootweg, Irene; Çorum, Meryem; Kramer, Anneke; Muris, Jean; Scherpbier, Nynke; Thoonen, Bart; Damoiseaux, Roger")</f>
        <v>de Groot, Esther; der Vossen, Marianne Mak-van; Slootweg, Irene; Çorum, Meryem; Kramer, Anneke; Muris, Jean; Scherpbier, Nynke; Thoonen, Bart; Damoiseaux, Roger</v>
      </c>
      <c r="Z480" s="31">
        <f>IFERROR(__xludf.DUMMYFUNCTION("""COMPUTED_VALUE"""),2024.0)</f>
        <v>2024</v>
      </c>
      <c r="AA480" s="31">
        <f>IFERROR(__xludf.DUMMYFUNCTION("""COMPUTED_VALUE"""),0.0)</f>
        <v>0</v>
      </c>
      <c r="AF480" s="31" t="str">
        <f>IFERROR(__xludf.DUMMYFUNCTION("""COMPUTED_VALUE"""),"Routinely available antimicrobial susceptibility information can be used to increase the efficiency of screening for carbapenemase-producing &lt;i&gt;Enterobacteriaceae&lt;/i&gt;.")</f>
        <v>Routinely available antimicrobial susceptibility information can be used to increase the efficiency of screening for carbapenemase-producing &lt;i&gt;Enterobacteriaceae&lt;/i&gt;.</v>
      </c>
      <c r="AG480" s="31" t="str">
        <f>IFERROR(__xludf.DUMMYFUNCTION("""COMPUTED_VALUE"""),"Ong, David S Y; Altorf-van der Kuil, Wieke; Vlek, Anne L M; Schouls, Leo M; Schoffelen, Annelot F")</f>
        <v>Ong, David S Y; Altorf-van der Kuil, Wieke; Vlek, Anne L M; Schouls, Leo M; Schoffelen, Annelot F</v>
      </c>
      <c r="AH480" s="32">
        <f>IFERROR(__xludf.DUMMYFUNCTION("""COMPUTED_VALUE"""),44088.0)</f>
        <v>44088</v>
      </c>
      <c r="AL480" s="31" t="str">
        <f>IFERROR(__xludf.DUMMYFUNCTION("""COMPUTED_VALUE"""),"Decontamination Strategies for Critically Ill Patients-Reply.")</f>
        <v>Decontamination Strategies for Critically Ill Patients-Reply.</v>
      </c>
      <c r="AM480" s="31" t="str">
        <f>IFERROR(__xludf.DUMMYFUNCTION("""COMPUTED_VALUE"""),"Wittekamp, Bastiaan H; Plantinga, Nienke L; Bonten, Marc J M")</f>
        <v>Wittekamp, Bastiaan H; Plantinga, Nienke L; Bonten, Marc J M</v>
      </c>
      <c r="AN480" s="32">
        <f>IFERROR(__xludf.DUMMYFUNCTION("""COMPUTED_VALUE"""),43564.0)</f>
        <v>43564</v>
      </c>
    </row>
    <row r="481">
      <c r="A481" s="32"/>
      <c r="I481" s="31" t="str">
        <f>IFERROR(__xludf.DUMMYFUNCTION("""COMPUTED_VALUE"""),"breast cancer research bcr")</f>
        <v>breast cancer research bcr</v>
      </c>
      <c r="J481" s="38">
        <f>COUNTIF(Data!$F$2:$F9917, $I481)</f>
        <v>15</v>
      </c>
      <c r="T481" s="31" t="s">
        <v>828</v>
      </c>
      <c r="U481" s="31" t="s">
        <v>829</v>
      </c>
      <c r="V481" s="32">
        <v>45341.0</v>
      </c>
      <c r="X481" s="31" t="str">
        <f>IFERROR(__xludf.DUMMYFUNCTION("""COMPUTED_VALUE"""),"Dietary habits and compliance with dietary guidelines in patients with established cardiovascular disease.")</f>
        <v>Dietary habits and compliance with dietary guidelines in patients with established cardiovascular disease.</v>
      </c>
      <c r="Y481" s="31" t="str">
        <f>IFERROR(__xludf.DUMMYFUNCTION("""COMPUTED_VALUE"""),"Bonekamp, Nadia E; Geleijnse, Johanna M; van der Schouw, Yvonne T; Dorresteijn, Jannick A N; van der Meer, Manon G; Ruigrok, Ynte M; Teraa, Martin; Visseren, Frank L J; Koopal, Charlotte; ,")</f>
        <v>Bonekamp, Nadia E; Geleijnse, Johanna M; van der Schouw, Yvonne T; Dorresteijn, Jannick A N; van der Meer, Manon G; Ruigrok, Ynte M; Teraa, Martin; Visseren, Frank L J; Koopal, Charlotte; ,</v>
      </c>
      <c r="Z481" s="31">
        <f>IFERROR(__xludf.DUMMYFUNCTION("""COMPUTED_VALUE"""),2024.0)</f>
        <v>2024</v>
      </c>
      <c r="AA481" s="31">
        <f>IFERROR(__xludf.DUMMYFUNCTION("""COMPUTED_VALUE"""),0.0)</f>
        <v>0</v>
      </c>
      <c r="AF481" s="31" t="str">
        <f>IFERROR(__xludf.DUMMYFUNCTION("""COMPUTED_VALUE"""),"The Launch of the European Patients' Academy on Therapeutic Innovation in the Netherlands: A Qualitative Multi-Stakeholder Analysis.")</f>
        <v>The Launch of the European Patients' Academy on Therapeutic Innovation in the Netherlands: A Qualitative Multi-Stakeholder Analysis.</v>
      </c>
      <c r="AG481" s="31" t="str">
        <f>IFERROR(__xludf.DUMMYFUNCTION("""COMPUTED_VALUE"""),"van Rensen, Annemiek; Voogdt-Pruis, Helene R; Vroonland, Eva")</f>
        <v>van Rensen, Annemiek; Voogdt-Pruis, Helene R; Vroonland, Eva</v>
      </c>
      <c r="AH481" s="32">
        <f>IFERROR(__xludf.DUMMYFUNCTION("""COMPUTED_VALUE"""),44085.0)</f>
        <v>44085</v>
      </c>
      <c r="AL481" s="31" t="str">
        <f>IFERROR(__xludf.DUMMYFUNCTION("""COMPUTED_VALUE"""),"Patient and aneurysm characteristics in familial intracranial aneurysms. A systematic review and meta-analysis.")</f>
        <v>Patient and aneurysm characteristics in familial intracranial aneurysms. A systematic review and meta-analysis.</v>
      </c>
      <c r="AM481" s="31" t="str">
        <f>IFERROR(__xludf.DUMMYFUNCTION("""COMPUTED_VALUE"""),"Slot, Emma M H; Rinkel, Gabriel J E; Algra, Ale; Ruigrok, Ynte M")</f>
        <v>Slot, Emma M H; Rinkel, Gabriel J E; Algra, Ale; Ruigrok, Ynte M</v>
      </c>
      <c r="AN481" s="32">
        <f>IFERROR(__xludf.DUMMYFUNCTION("""COMPUTED_VALUE"""),43563.0)</f>
        <v>43563</v>
      </c>
    </row>
    <row r="482">
      <c r="A482" s="32"/>
      <c r="I482" s="31" t="str">
        <f>IFERROR(__xludf.DUMMYFUNCTION("""COMPUTED_VALUE"""),"european journal of trauma and emergency surgery official publication of the european trauma society")</f>
        <v>european journal of trauma and emergency surgery official publication of the european trauma society</v>
      </c>
      <c r="J482" s="38">
        <f>COUNTIF(Data!$F$2:$F9917, $I482)</f>
        <v>1</v>
      </c>
      <c r="T482" s="31" t="s">
        <v>833</v>
      </c>
      <c r="U482" s="31" t="s">
        <v>834</v>
      </c>
      <c r="V482" s="32">
        <v>45340.0</v>
      </c>
      <c r="X482" s="31" t="str">
        <f>IFERROR(__xludf.DUMMYFUNCTION("""COMPUTED_VALUE"""),"Data harmonization and federated learning for multi-cohort dementia research using the OMOP common data model: A Netherlands consortium of dementia cohorts case study.")</f>
        <v>Data harmonization and federated learning for multi-cohort dementia research using the OMOP common data model: A Netherlands consortium of dementia cohorts case study.</v>
      </c>
      <c r="Y482" s="31" t="str">
        <f>IFERROR(__xludf.DUMMYFUNCTION("""COMPUTED_VALUE"""),"Mateus, Pedro; Moonen, Justine; Beran, Magdalena; Jaarsma, Eva; van der Landen, Sophie M; Heuvelink, Joost; Birhanu, Mahlet; Harms, Alexander G J; Bron, Esther; Wolters, Frank J; Cats, Davy; Mei, Hailiang; Oomens, Julie; Jansen, Willemijn; Schram, Miranda"&amp;" T; Dekker, Andre; Bermejo, Inigo")</f>
        <v>Mateus, Pedro; Moonen, Justine; Beran, Magdalena; Jaarsma, Eva; van der Landen, Sophie M; Heuvelink, Joost; Birhanu, Mahlet; Harms, Alexander G J; Bron, Esther; Wolters, Frank J; Cats, Davy; Mei, Hailiang; Oomens, Julie; Jansen, Willemijn; Schram, Miranda T; Dekker, Andre; Bermejo, Inigo</v>
      </c>
      <c r="Z482" s="31">
        <f>IFERROR(__xludf.DUMMYFUNCTION("""COMPUTED_VALUE"""),2024.0)</f>
        <v>2024</v>
      </c>
      <c r="AA482" s="31">
        <f>IFERROR(__xludf.DUMMYFUNCTION("""COMPUTED_VALUE"""),0.0)</f>
        <v>0</v>
      </c>
      <c r="AF482" s="31" t="str">
        <f>IFERROR(__xludf.DUMMYFUNCTION("""COMPUTED_VALUE"""),"Comparison of the GeneFinder&lt;sup&gt;TM&lt;/sup&gt; COVID-19 Plus RealAmp Kit on the sample-to-result Platform ELITe InGenius to the national reference method: An added value of N gene target detection?")</f>
        <v>Comparison of the GeneFinder&lt;sup&gt;TM&lt;/sup&gt; COVID-19 Plus RealAmp Kit on the sample-to-result Platform ELITe InGenius to the national reference method: An added value of N gene target detection?</v>
      </c>
      <c r="AG482" s="31" t="str">
        <f>IFERROR(__xludf.DUMMYFUNCTION("""COMPUTED_VALUE"""),"Ong, David S Y; Claas, Eric C J; Breijer, Simone; Vaessen, Norbert")</f>
        <v>Ong, David S Y; Claas, Eric C J; Breijer, Simone; Vaessen, Norbert</v>
      </c>
      <c r="AH482" s="32">
        <f>IFERROR(__xludf.DUMMYFUNCTION("""COMPUTED_VALUE"""),44081.0)</f>
        <v>44081</v>
      </c>
      <c r="AL482" s="31" t="str">
        <f>IFERROR(__xludf.DUMMYFUNCTION("""COMPUTED_VALUE"""),"Empirical evidence of the impact of study characteristics on the performance of prediction models: a meta-epidemiological study.")</f>
        <v>Empirical evidence of the impact of study characteristics on the performance of prediction models: a meta-epidemiological study.</v>
      </c>
      <c r="AM482" s="31" t="str">
        <f>IFERROR(__xludf.DUMMYFUNCTION("""COMPUTED_VALUE"""),"Damen, Johanna A A G; Debray, Thomas P A; Pajouheshnia, Romin; Reitsma, Johannes B; Scholten, Rob J P M; Moons, Karel G M; Hooft, Lotty")</f>
        <v>Damen, Johanna A A G; Debray, Thomas P A; Pajouheshnia, Romin; Reitsma, Johannes B; Scholten, Rob J P M; Moons, Karel G M; Hooft, Lotty</v>
      </c>
      <c r="AN482" s="32">
        <f>IFERROR(__xludf.DUMMYFUNCTION("""COMPUTED_VALUE"""),43556.0)</f>
        <v>43556</v>
      </c>
    </row>
    <row r="483">
      <c r="A483" s="32"/>
      <c r="I483" s="31" t="str">
        <f>IFERROR(__xludf.DUMMYFUNCTION("""COMPUTED_VALUE"""),"clinical trials london england")</f>
        <v>clinical trials london england</v>
      </c>
      <c r="J483" s="38">
        <f>COUNTIF(Data!$F$2:$F9917, $I483)</f>
        <v>6</v>
      </c>
      <c r="T483" s="31" t="s">
        <v>837</v>
      </c>
      <c r="U483" s="31" t="s">
        <v>838</v>
      </c>
      <c r="V483" s="32">
        <v>45339.0</v>
      </c>
      <c r="X483" s="31" t="str">
        <f>IFERROR(__xludf.DUMMYFUNCTION("""COMPUTED_VALUE"""),"Patient Satisfaction and Experience with Same-Day Discharge After Laparoscopic Roux-en-Y Gastric Bypass: A Mixed-Methods study.")</f>
        <v>Patient Satisfaction and Experience with Same-Day Discharge After Laparoscopic Roux-en-Y Gastric Bypass: A Mixed-Methods study.</v>
      </c>
      <c r="Y483" s="31" t="str">
        <f>IFERROR(__xludf.DUMMYFUNCTION("""COMPUTED_VALUE"""),"Kleipool, Suzanne C; Willinge, Gijs J A; Mathijssen, Elke G E; Romijnders, Kim A G J; de Castro, Steve M M; Marsman, Hendrik A; van Rutte, Pim W J; van Veen, Ruben N")</f>
        <v>Kleipool, Suzanne C; Willinge, Gijs J A; Mathijssen, Elke G E; Romijnders, Kim A G J; de Castro, Steve M M; Marsman, Hendrik A; van Rutte, Pim W J; van Veen, Ruben N</v>
      </c>
      <c r="Z483" s="31">
        <f>IFERROR(__xludf.DUMMYFUNCTION("""COMPUTED_VALUE"""),2024.0)</f>
        <v>2024</v>
      </c>
      <c r="AA483" s="31">
        <f>IFERROR(__xludf.DUMMYFUNCTION("""COMPUTED_VALUE"""),0.0)</f>
        <v>0</v>
      </c>
      <c r="AF483" s="31" t="str">
        <f>IFERROR(__xludf.DUMMYFUNCTION("""COMPUTED_VALUE"""),"LifeTime and improving European healthcare through cell-based interceptive medicine.")</f>
        <v>LifeTime and improving European healthcare through cell-based interceptive medicine.</v>
      </c>
      <c r="AG483" s="31" t="str">
        <f>IFERROR(__xludf.DUMMYFUNCTION("""COMPUTED_VALUE"""),"Rajewsky, Nikolaus; Almouzni, Geneviève; Gorski, Stanislaw A; Aerts, Stein; Amit, Ido; Bertero, Michela G; Bock, Christoph; Bredenoord, Annelien L; Cavalli, Giacomo; Chiocca, Susanna; Clevers, Hans; De Strooper, Bart; Eggert, Angelika; Ellenberg, Jan; Fer"&amp;"nández, Xosé M; Figlerowicz, Marek; Gasser, Susan M; Hubner, Norbert; Kjems, Jørgen; Knoblich, Jürgen A; Krabbe, Grietje; Lichter, Peter; Linnarsson, Sten; Marine, Jean-Christophe; Marioni, John C; Marti-Renom, Marc A; Netea, Mihai G; Nickel, Dörthe; Noll"&amp;"mann, Marcelo; Novak, Halina R; Parkinson, Helen; Piccolo, Stefano; Pinheiro, Inês; Pombo, Ana; Popp, Christian; Reik, Wolf; Roman-Roman, Sergio; Rosenstiel, Philip; Schultze, Joachim L; Stegle, Oliver; Tanay, Amos; Testa, Giuseppe; Thanos, Dimitris; Thei"&amp;"s, Fabian J; Torres-Padilla, Maria-Elena; Valencia, Alfonso; Vallot, Céline; van Oudenaarden, Alexander; Vidal, Marie; Voet, Thierry; ,")</f>
        <v>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v>
      </c>
      <c r="AH483" s="32">
        <f>IFERROR(__xludf.DUMMYFUNCTION("""COMPUTED_VALUE"""),44081.0)</f>
        <v>44081</v>
      </c>
      <c r="AL483" s="31" t="str">
        <f>IFERROR(__xludf.DUMMYFUNCTION("""COMPUTED_VALUE"""),"How often can meta-analyses of individual-level data individualize treatment? A meta-epidemiologic study.")</f>
        <v>How often can meta-analyses of individual-level data individualize treatment? A meta-epidemiologic study.</v>
      </c>
      <c r="AM483" s="31" t="str">
        <f>IFERROR(__xludf.DUMMYFUNCTION("""COMPUTED_VALUE"""),"Schuit, Ewoud; Li, Alvin H; Ioannidis, John P A")</f>
        <v>Schuit, Ewoud; Li, Alvin H; Ioannidis, John P A</v>
      </c>
      <c r="AN483" s="32">
        <f>IFERROR(__xludf.DUMMYFUNCTION("""COMPUTED_VALUE"""),43556.0)</f>
        <v>43556</v>
      </c>
    </row>
    <row r="484">
      <c r="A484" s="32"/>
      <c r="I484" s="31" t="str">
        <f>IFERROR(__xludf.DUMMYFUNCTION("""COMPUTED_VALUE"""),"nutrition journal")</f>
        <v>nutrition journal</v>
      </c>
      <c r="J484" s="38">
        <f>COUNTIF(Data!$F$2:$F9917, $I484)</f>
        <v>10</v>
      </c>
      <c r="T484" s="31" t="s">
        <v>842</v>
      </c>
      <c r="U484" s="31" t="s">
        <v>843</v>
      </c>
      <c r="V484" s="32">
        <v>45339.0</v>
      </c>
      <c r="X484" s="31" t="str">
        <f>IFERROR(__xludf.DUMMYFUNCTION("""COMPUTED_VALUE"""),"The association of obesogenic environments with weight status, blood pressure, and blood lipids: A cross-sectional pooled analysis across five cohorts.")</f>
        <v>The association of obesogenic environments with weight status, blood pressure, and blood lipids: A cross-sectional pooled analysis across five cohorts.</v>
      </c>
      <c r="Y484" s="31" t="str">
        <f>IFERROR(__xludf.DUMMYFUNCTION("""COMPUTED_VALUE"""),"Meijer, Paul; Lam, Thao Minh; Vaartjes, Ilonca; Moll van Charante, Eric; Galenkamp, Henrike; Koster, Annemarie; van den Hurk, Katja; den Braver, Nicole R; Blom, Marieke T; de Jong, Trynke; Grobbee, Diederick E; Beulens, Joline Wj; Lakerveld, Jeroen; ,")</f>
        <v>Meijer, Paul; Lam, Thao Minh; Vaartjes, Ilonca; Moll van Charante, Eric; Galenkamp, Henrike; Koster, Annemarie; van den Hurk, Katja; den Braver, Nicole R; Blom, Marieke T; de Jong, Trynke; Grobbee, Diederick E; Beulens, Joline Wj; Lakerveld, Jeroen; ,</v>
      </c>
      <c r="Z484" s="31">
        <f>IFERROR(__xludf.DUMMYFUNCTION("""COMPUTED_VALUE"""),2024.0)</f>
        <v>2024</v>
      </c>
      <c r="AA484" s="31">
        <f>IFERROR(__xludf.DUMMYFUNCTION("""COMPUTED_VALUE"""),0.0)</f>
        <v>0</v>
      </c>
      <c r="AF484" s="31" t="str">
        <f>IFERROR(__xludf.DUMMYFUNCTION("""COMPUTED_VALUE"""),"Thinking ""ethical"" when designing an international, cross-disciplinary biomedical research consortium.")</f>
        <v>Thinking "ethical" when designing an international, cross-disciplinary biomedical research consortium.</v>
      </c>
      <c r="AG484" s="31" t="str">
        <f>IFERROR(__xludf.DUMMYFUNCTION("""COMPUTED_VALUE"""),"Torres-Padilla, Maria-Elena; Bredenoord, Annelien L; Jongsma, Karin R; Lunkes, Astrid; Marelli, Luca; Pinheiro, Ines; Testa, Giuseppe")</f>
        <v>Torres-Padilla, Maria-Elena; Bredenoord, Annelien L; Jongsma, Karin R; Lunkes, Astrid; Marelli, Luca; Pinheiro, Ines; Testa, Giuseppe</v>
      </c>
      <c r="AH484" s="32">
        <f>IFERROR(__xludf.DUMMYFUNCTION("""COMPUTED_VALUE"""),44081.0)</f>
        <v>44081</v>
      </c>
      <c r="AL484" s="31" t="str">
        <f>IFERROR(__xludf.DUMMYFUNCTION("""COMPUTED_VALUE"""),"Robot-assisted Minimally Invasive Thoracolaparoscopic Esophagectomy Versus Open Transthoracic Esophagectomy for Resectable Esophageal Cancer: A Randomized Controlled Trial.")</f>
        <v>Robot-assisted Minimally Invasive Thoracolaparoscopic Esophagectomy Versus Open Transthoracic Esophagectomy for Resectable Esophageal Cancer: A Randomized Controlled Trial.</v>
      </c>
      <c r="AM484" s="31" t="str">
        <f>IFERROR(__xludf.DUMMYFUNCTION("""COMPUTED_VALUE"""),"van der Sluis, Pieter C; van der Horst, Sylvia; May, Anne M; Schippers, Carlo; Brosens, Lodewijk A A; Joore, Hans C A; Kroese, Christiaan C; Haj Mohammad, Nadia; Mook, Stella; Vleggaar, Frank P; Borel Rinkes, Inne H M; Ruurda, Jelle P; van Hillegersberg, "&amp;"Richard")</f>
        <v>van der Sluis, Pieter C; van der Horst, Sylvia; May, Anne M; Schippers, Carlo; Brosens, Lodewijk A A; Joore, Hans C A; Kroese, Christiaan C; Haj Mohammad, Nadia; Mook, Stella; Vleggaar, Frank P; Borel Rinkes, Inne H M; Ruurda, Jelle P; van Hillegersberg, Richard</v>
      </c>
      <c r="AN484" s="32">
        <f>IFERROR(__xludf.DUMMYFUNCTION("""COMPUTED_VALUE"""),43556.0)</f>
        <v>43556</v>
      </c>
    </row>
    <row r="485">
      <c r="A485" s="32"/>
      <c r="I485" s="31" t="str">
        <f>IFERROR(__xludf.DUMMYFUNCTION("""COMPUTED_VALUE"""),"frontiers in aging neuroscience")</f>
        <v>frontiers in aging neuroscience</v>
      </c>
      <c r="J485" s="38">
        <f>COUNTIF(Data!$F$2:$F9917, $I485)</f>
        <v>2</v>
      </c>
      <c r="T485" s="31" t="s">
        <v>846</v>
      </c>
      <c r="U485" s="31" t="s">
        <v>847</v>
      </c>
      <c r="V485" s="32">
        <v>45339.0</v>
      </c>
      <c r="X485" s="31" t="str">
        <f>IFERROR(__xludf.DUMMYFUNCTION("""COMPUTED_VALUE"""),"Prognostic Factors and Models to Predict Mortality Outcomes in Patients with Peripheral Arterial Disease: A Systematic Review.")</f>
        <v>Prognostic Factors and Models to Predict Mortality Outcomes in Patients with Peripheral Arterial Disease: A Systematic Review.</v>
      </c>
      <c r="Y485" s="31" t="str">
        <f>IFERROR(__xludf.DUMMYFUNCTION("""COMPUTED_VALUE"""),"Porras, Cindy P; Teraa, Martin; Damen, Johanna A A; Hazenberg, Constantijn E V B; Bots, Michiel L; Verhaar, Marianne C; Vernooij, Robin W M")</f>
        <v>Porras, Cindy P; Teraa, Martin; Damen, Johanna A A; Hazenberg, Constantijn E V B; Bots, Michiel L; Verhaar, Marianne C; Vernooij, Robin W M</v>
      </c>
      <c r="Z485" s="31">
        <f>IFERROR(__xludf.DUMMYFUNCTION("""COMPUTED_VALUE"""),2024.0)</f>
        <v>2024</v>
      </c>
      <c r="AA485" s="31">
        <f>IFERROR(__xludf.DUMMYFUNCTION("""COMPUTED_VALUE"""),0.0)</f>
        <v>0</v>
      </c>
      <c r="AF485" s="31" t="str">
        <f>IFERROR(__xludf.DUMMYFUNCTION("""COMPUTED_VALUE"""),"Sex differences in prevalence, treatment and control of cardiovascular risk factors in England.")</f>
        <v>Sex differences in prevalence, treatment and control of cardiovascular risk factors in England.</v>
      </c>
      <c r="AG485" s="31" t="str">
        <f>IFERROR(__xludf.DUMMYFUNCTION("""COMPUTED_VALUE"""),"Pinho-Gomes, Ana Catarina; Peters, Sanne A E; Thomson, Blake; Woodward, Mark")</f>
        <v>Pinho-Gomes, Ana Catarina; Peters, Sanne A E; Thomson, Blake; Woodward, Mark</v>
      </c>
      <c r="AH485" s="32">
        <f>IFERROR(__xludf.DUMMYFUNCTION("""COMPUTED_VALUE"""),44078.0)</f>
        <v>44078</v>
      </c>
      <c r="AL485" s="31" t="str">
        <f>IFERROR(__xludf.DUMMYFUNCTION("""COMPUTED_VALUE"""),"Quality of life after the initiation of dialysis or maximal conservative management in elderly patients: a longitudinal analysis of the Geriatric assessment in OLder patients starting Dialysis (GOLD) study.")</f>
        <v>Quality of life after the initiation of dialysis or maximal conservative management in elderly patients: a longitudinal analysis of the Geriatric assessment in OLder patients starting Dialysis (GOLD) study.</v>
      </c>
      <c r="AM485" s="31" t="str">
        <f>IFERROR(__xludf.DUMMYFUNCTION("""COMPUTED_VALUE"""),"van Loon, I N; Goto, N A; Boereboom, F T J; Verhaar, M C; Bots, M L; Hamaker, M E")</f>
        <v>van Loon, I N; Goto, N A; Boereboom, F T J; Verhaar, M C; Bots, M L; Hamaker, M E</v>
      </c>
      <c r="AN485" s="32">
        <f>IFERROR(__xludf.DUMMYFUNCTION("""COMPUTED_VALUE"""),43553.0)</f>
        <v>43553</v>
      </c>
    </row>
    <row r="486">
      <c r="A486" s="32"/>
      <c r="I486" s="31" t="str">
        <f>IFERROR(__xludf.DUMMYFUNCTION("""COMPUTED_VALUE"""),"journal of clinical medicine")</f>
        <v>journal of clinical medicine</v>
      </c>
      <c r="J486" s="38">
        <f>COUNTIF(Data!$F$2:$F9917, $I486)</f>
        <v>5</v>
      </c>
      <c r="T486" s="31" t="s">
        <v>851</v>
      </c>
      <c r="U486" s="31" t="s">
        <v>852</v>
      </c>
      <c r="V486" s="32">
        <v>45338.0</v>
      </c>
      <c r="X486" s="31" t="str">
        <f>IFERROR(__xludf.DUMMYFUNCTION("""COMPUTED_VALUE"""),"Cardiac organoids do not warrant additional moral scrutiny.")</f>
        <v>Cardiac organoids do not warrant additional moral scrutiny.</v>
      </c>
      <c r="Y486" s="31" t="str">
        <f>IFERROR(__xludf.DUMMYFUNCTION("""COMPUTED_VALUE"""),"Simons, Jannieke N; van der Graaf, Rieke; van Delden, Johannes Jm")</f>
        <v>Simons, Jannieke N; van der Graaf, Rieke; van Delden, Johannes Jm</v>
      </c>
      <c r="Z486" s="31">
        <f>IFERROR(__xludf.DUMMYFUNCTION("""COMPUTED_VALUE"""),2024.0)</f>
        <v>2024</v>
      </c>
      <c r="AA486" s="31">
        <f>IFERROR(__xludf.DUMMYFUNCTION("""COMPUTED_VALUE"""),0.0)</f>
        <v>0</v>
      </c>
      <c r="AF486" s="31" t="str">
        <f>IFERROR(__xludf.DUMMYFUNCTION("""COMPUTED_VALUE"""),"Problems and Promises of Introducing the Magnetic Resonance Imaging Linear Accelerator Into Routine Care: The Case of Prostate Cancer.")</f>
        <v>Problems and Promises of Introducing the Magnetic Resonance Imaging Linear Accelerator Into Routine Care: The Case of Prostate Cancer.</v>
      </c>
      <c r="AG486" s="31" t="str">
        <f>IFERROR(__xludf.DUMMYFUNCTION("""COMPUTED_VALUE"""),"Hehakaya, Charisma; Van der Voort van Zyp, Jochem R; Lagendijk, Jan J W; Grobbee, Diederick E; Verkooijen, Helena M; Moors, Ellen H M")</f>
        <v>Hehakaya, Charisma; Van der Voort van Zyp, Jochem R; Lagendijk, Jan J W; Grobbee, Diederick E; Verkooijen, Helena M; Moors, Ellen H M</v>
      </c>
      <c r="AH486" s="32">
        <f>IFERROR(__xludf.DUMMYFUNCTION("""COMPUTED_VALUE"""),44076.0)</f>
        <v>44076</v>
      </c>
      <c r="AL486" s="31" t="str">
        <f>IFERROR(__xludf.DUMMYFUNCTION("""COMPUTED_VALUE"""),"Association of Chromosome 9p21 With Subsequent Coronary Heart Disease Events.")</f>
        <v>Association of Chromosome 9p21 With Subsequent Coronary Heart Disease Events.</v>
      </c>
      <c r="AM486" s="31" t="str">
        <f>IFERROR(__xludf.DUMMYFUNCTION("""COMPUTED_VALUE"""),"Patel, Riyaz S; Schmidt, Amand F; Tragante, Vinicius; McCubrey, Raymond O; Holmes, Michael V; Howe, Laurence J; Direk, Kenan; Åkerblom, Axel; Leander, Karin; Virani, Salim S; Kaminski, Karol A; Muehlschlegel, Jochen D; Dubé, Marie-Pierre; Allayee, Hooman;"&amp;" Almgren, Peter; Alver, Maris; Baranova, Ekaterina V; Behlouli, Hassan; Boeckx, Bram; Braund, Peter S; Breitling, Lutz P; Delgado, Graciela; Duarte, Nubia E; Dufresne, Line; Eriksson, Niclas; Foco, Luisa; Gijsberts, Crystel M; Gong, Yan; Hartiala, Jaana; "&amp;"Heydarpour, Mahyar; Hubacek, Jaroslav A; Kleber, Marcus; Kofink, Daniel; Kuukasjärvi, Pekka; Lee, Vei-Vei; Leiherer, Andreas; Lenzini, Petra A; Levin, Daniel; Lyytikäinen, Leo-Pekka; Martinelli, Nicola; Mons, Ute; Nelson, Christopher P; Nikus, Kjell; Pilb"&amp;"row, Anna P; Ploski, Rafal; Sun, Yan V; Tanck, Michael W T; Tang, W H Wilson; Trompet, Stella; van der Laan, Sander W; van Setten, Jessica; Vilmundarson, Ragnar O; Viviani Anselmi, Chiara; Vlachopoulou, Efthymia; Boerwinkle, Eric; Brig")</f>
        <v>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v>
      </c>
      <c r="AN486" s="32">
        <f>IFERROR(__xludf.DUMMYFUNCTION("""COMPUTED_VALUE"""),43545.0)</f>
        <v>43545</v>
      </c>
    </row>
    <row r="487">
      <c r="A487" s="32"/>
      <c r="I487" s="31" t="str">
        <f>IFERROR(__xludf.DUMMYFUNCTION("""COMPUTED_VALUE"""),"frontiers in physiology")</f>
        <v>frontiers in physiology</v>
      </c>
      <c r="J487" s="38">
        <f>COUNTIF(Data!$F$2:$F9917, $I487)</f>
        <v>4</v>
      </c>
      <c r="T487" s="31" t="s">
        <v>856</v>
      </c>
      <c r="U487" s="31" t="s">
        <v>857</v>
      </c>
      <c r="V487" s="32">
        <v>45338.0</v>
      </c>
      <c r="X487" s="31" t="str">
        <f>IFERROR(__xludf.DUMMYFUNCTION("""COMPUTED_VALUE"""),"Variation of resection margins in oral cancer in dependence of tumor stage and subsite - a retrospective cohort study.")</f>
        <v>Variation of resection margins in oral cancer in dependence of tumor stage and subsite - a retrospective cohort study.</v>
      </c>
      <c r="Y487" s="31" t="str">
        <f>IFERROR(__xludf.DUMMYFUNCTION("""COMPUTED_VALUE"""),"Moratin, Julius; Horn, Dominik; Oehme, Marcel; Semmelmayer, Karl; Flechtenmacher, Christa; Ristow, Oliver; Held, Thomas; Engel, Michael; Hoffmann, Jürgen; Freudlsperger, Christian")</f>
        <v>Moratin, Julius; Horn, Dominik; Oehme, Marcel; Semmelmayer, Karl; Flechtenmacher, Christa; Ristow, Oliver; Held, Thomas; Engel, Michael; Hoffmann, Jürgen; Freudlsperger, Christian</v>
      </c>
      <c r="Z487" s="31">
        <f>IFERROR(__xludf.DUMMYFUNCTION("""COMPUTED_VALUE"""),2024.0)</f>
        <v>2024</v>
      </c>
      <c r="AA487" s="31">
        <f>IFERROR(__xludf.DUMMYFUNCTION("""COMPUTED_VALUE"""),0.0)</f>
        <v>0</v>
      </c>
      <c r="AF487" s="31" t="str">
        <f>IFERROR(__xludf.DUMMYFUNCTION("""COMPUTED_VALUE"""),"Ethics parallel research: an approach for (early) ethical guidance of biomedical innovation.")</f>
        <v>Ethics parallel research: an approach for (early) ethical guidance of biomedical innovation.</v>
      </c>
      <c r="AG487" s="31" t="str">
        <f>IFERROR(__xludf.DUMMYFUNCTION("""COMPUTED_VALUE"""),"Jongsma, Karin R; Bredenoord, Annelien L")</f>
        <v>Jongsma, Karin R; Bredenoord, Annelien L</v>
      </c>
      <c r="AH487" s="32">
        <f>IFERROR(__xludf.DUMMYFUNCTION("""COMPUTED_VALUE"""),44075.0)</f>
        <v>44075</v>
      </c>
      <c r="AL487" s="31" t="str">
        <f>IFERROR(__xludf.DUMMYFUNCTION("""COMPUTED_VALUE"""),"Subsequent Event Risk in Individuals With Established Coronary Heart Disease.")</f>
        <v>Subsequent Event Risk in Individuals With Established Coronary Heart Disease.</v>
      </c>
      <c r="AM487" s="31" t="str">
        <f>IFERROR(__xludf.DUMMYFUNCTION("""COMPUTED_VALUE"""),"Patel, Riyaz S; Tragante, Vinicius; Schmidt, Amand F; McCubrey, Raymond O; Holmes, Michael V; Howe, Laurence J; Direk, Kenan; Åkerblom, Axel; Leander, Karin; Virani, Salim S; Kaminski, Karol A; Muehlschlegel, Jochen D; Allayee, Hooman; Almgren, Peter; Alv"&amp;"er, Maris; Baranova, Ekaterina V; Behloui, Hassan; Boeckx, Bram; Braund, Peter S; Breitling, Lutz P; Delgado, Graciela; Duarte, Nubia E; Dubé, Marie-Pierre; Dufresne, Line; Eriksson, Niclas; Foco, Luisa; Scholz, Markus; Gijsberts, Crystel M; Glinge, Charl"&amp;"otte; Gong, Yan; Hartiala, Jaana; Heydarpour, Mahyar; Hubacek, Jaroslav A; Kleber, Marcus; Kofink, Daniel; Kotti, Salma; Kuukasjärvi, Pekka; Lee, Vei-Vei; Leiherer, Andreas; Lenzini, Petra A; Levin, Daniel; Lyytikäinen, Leo-Pekka; Martinelli, Nicola; Mons"&amp;", Ute; Nelson, Christopher P; Nikus, Kjell; Pilbrow, Anna P; Ploski, Rafal; Sun, Yan V; Tanck, Michael W T; Tang, W H Wilson; Trompet, Stella; van der Laan, Sander W; Van Setten, Jessica; Vilmundarson, Ragnar O; Viviani Anselmi, Chiara")</f>
        <v>Patel, Riyaz S; Tragante, Vinicius; Schmidt, Amand F; McCubrey, Raymond O; Holmes, Michael V; Howe, Laurence J; Direk, Kenan; Åkerblom, Axel; Leander, Karin; Virani, Salim S; Kaminski, Karol A; Muehlschlegel, Jochen D; Allayee, Hooman; Almgren, Peter; Alver, Maris; Baranova, Ekaterina V; Behloui,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v>
      </c>
      <c r="AN487" s="32">
        <f>IFERROR(__xludf.DUMMYFUNCTION("""COMPUTED_VALUE"""),43545.0)</f>
        <v>43545</v>
      </c>
    </row>
    <row r="488">
      <c r="A488" s="32"/>
      <c r="I488" s="31" t="str">
        <f>IFERROR(__xludf.DUMMYFUNCTION("""COMPUTED_VALUE"""),"influenza and other respiratory viruses")</f>
        <v>influenza and other respiratory viruses</v>
      </c>
      <c r="J488" s="38">
        <f>COUNTIF(Data!$F$2:$F9917, $I488)</f>
        <v>1</v>
      </c>
      <c r="T488" s="31" t="s">
        <v>860</v>
      </c>
      <c r="U488" s="31" t="s">
        <v>861</v>
      </c>
      <c r="V488" s="32">
        <v>45337.0</v>
      </c>
      <c r="X488" s="31" t="str">
        <f>IFERROR(__xludf.DUMMYFUNCTION("""COMPUTED_VALUE"""),"The Ethics of Decentralized Clinical Trials and Informed Consent: Taking Technologies' Soft Impacts into Account.")</f>
        <v>The Ethics of Decentralized Clinical Trials and Informed Consent: Taking Technologies' Soft Impacts into Account.</v>
      </c>
      <c r="Y488" s="31" t="str">
        <f>IFERROR(__xludf.DUMMYFUNCTION("""COMPUTED_VALUE"""),"van Rijssel, Tessa I; van Thiel, Ghislaine J M W; van Delden, Johannes J M; ,")</f>
        <v>van Rijssel, Tessa I; van Thiel, Ghislaine J M W; van Delden, Johannes J M; ,</v>
      </c>
      <c r="Z488" s="31">
        <f>IFERROR(__xludf.DUMMYFUNCTION("""COMPUTED_VALUE"""),2024.0)</f>
        <v>2024</v>
      </c>
      <c r="AA488" s="31">
        <f>IFERROR(__xludf.DUMMYFUNCTION("""COMPUTED_VALUE"""),0.0)</f>
        <v>0</v>
      </c>
      <c r="AF488" s="31" t="str">
        <f>IFERROR(__xludf.DUMMYFUNCTION("""COMPUTED_VALUE"""),"Replacement of Red and Processed Meat With Other Food Sources of Protein and the Risk of Type 2 Diabetes in European Populations: The EPIC-InterAct Study.")</f>
        <v>Replacement of Red and Processed Meat With Other Food Sources of Protein and the Risk of Type 2 Diabetes in European Populations: The EPIC-InterAct Study.</v>
      </c>
      <c r="AG488" s="31" t="str">
        <f>IFERROR(__xludf.DUMMYFUNCTION("""COMPUTED_VALUE"""),"Ibsen, Daniel B; Steur, Marinka; Imamura, Fumiaki; Overvad, Kim; Schulze, Matthias B; Bendinelli, Benedetta; Guevara, Marcela; Agudo, Antonio; Amiano, Pilar; Aune, Dagfinn; Barricarte, Aurelio; Ericson, Ulrika; Fagherazzi, Guy; Franks, Paul W; Freisling, "&amp;"Heinz; Quiros, Jose R; Grioni, Sara; Heath, Alicia K; Huybrechts, Inge; Katze, Verena; Laouali, Nasser; Mancini, Francesca; Masala, Giovanna; Olsen, Anja; Papier, Keren; Ramne, Stina; Rolandsson, Olov; Sacerdote, Carlotta; Sánchez, Maria-José; Santiuste, "&amp;"Carmen; Simeon, Vittorio; Spijkerman, Annemieke M W; Srour, Bernard; Tjønneland, Anne; Tong, Tammy Y N; Tumino, Rosario; van der Schouw, Yvonne T; Weiderpass, Elisabete; Wittenbecher, Clemens; Sharp, Stephen J; Riboli, Elio; Forouhi, Nita G; Wareham, Nick"&amp;" J")</f>
        <v>Ibsen, Daniel B; Steur, Marinka; Imamura, Fumiaki; Overvad, Kim; Schulze, Matthias B; Bendinelli, Benedetta; Guevara, Marcela; Agudo, Antonio; Amiano, Pilar; Aune, Dagfinn; Barricarte, Aurelio; Ericson, Ulrika; Fagherazzi, Guy; Franks, Paul W; Freisling, Heinz; Quiros, Jose R; Grioni, Sara; Heath, Alicia K; Huybrechts, Inge; Katze, Verena; Laouali, Nasser; Mancini, Francesca; Masala, Giovanna; Olsen, Anja; Papier, Keren; Ramne, Stina; Rolandsson, Olov; Sacerdote, Carlotta; Sánchez, Maria-José; Santiuste, Carmen; Simeon, Vittorio; Spijkerman, Annemieke M W; Srour, Bernard; Tjønneland, Anne; Tong, Tammy Y N; Tumino, Rosario; van der Schouw, Yvonne T; Weiderpass, Elisabete; Wittenbecher, Clemens; Sharp, Stephen J; Riboli, Elio; Forouhi, Nita G; Wareham, Nick J</v>
      </c>
      <c r="AH488" s="32">
        <f>IFERROR(__xludf.DUMMYFUNCTION("""COMPUTED_VALUE"""),44074.0)</f>
        <v>44074</v>
      </c>
      <c r="AL488" s="31" t="str">
        <f>IFERROR(__xludf.DUMMYFUNCTION("""COMPUTED_VALUE"""),"Microbleeds colocalize with enlarged juxtacortical perivascular spaces in amnestic mild cognitive impairment and early Alzheimer's disease: A 7 Tesla MRI study.")</f>
        <v>Microbleeds colocalize with enlarged juxtacortical perivascular spaces in amnestic mild cognitive impairment and early Alzheimer's disease: A 7 Tesla MRI study.</v>
      </c>
      <c r="AM488" s="31" t="str">
        <f>IFERROR(__xludf.DUMMYFUNCTION("""COMPUTED_VALUE"""),"Bouvy, Willem H; van Veluw, Susanne J; Kuijf, Hugo J; Zwanenburg, Jaco Jm; Kappelle, Jaap L; Luijten, Peter R; Koek, Huiberdina L; Geerlings, Mirjam I; Biessels, Geert J; ,")</f>
        <v>Bouvy, Willem H; van Veluw, Susanne J; Kuijf, Hugo J; Zwanenburg, Jaco Jm; Kappelle, Jaap L; Luijten, Peter R; Koek, Huiberdina L; Geerlings, Mirjam I; Biessels, Geert J; ,</v>
      </c>
      <c r="AN488" s="32">
        <f>IFERROR(__xludf.DUMMYFUNCTION("""COMPUTED_VALUE"""),43543.0)</f>
        <v>43543</v>
      </c>
    </row>
    <row r="489">
      <c r="A489" s="32"/>
      <c r="I489" s="31" t="str">
        <f>IFERROR(__xludf.DUMMYFUNCTION("""COMPUTED_VALUE"""),"the journal of adolescent health official publication of the society for adolescent medicine")</f>
        <v>the journal of adolescent health official publication of the society for adolescent medicine</v>
      </c>
      <c r="J489" s="38">
        <f>COUNTIF(Data!$F$2:$F9917, $I489)</f>
        <v>2</v>
      </c>
      <c r="T489" s="31" t="s">
        <v>865</v>
      </c>
      <c r="U489" s="31" t="s">
        <v>866</v>
      </c>
      <c r="V489" s="32">
        <v>45336.0</v>
      </c>
      <c r="X489" s="31" t="str">
        <f>IFERROR(__xludf.DUMMYFUNCTION("""COMPUTED_VALUE"""),"Azimuthal Angle Correlations of Muons Produced via Heavy-Flavor Decays in 5.02 TeV Pb+Pb and pp Collisions with the ATLAS Detector.")</f>
        <v>Azimuthal Angle Correlations of Muons Produced via Heavy-Flavor Decays in 5.02 TeV Pb+Pb and pp Collisions with the ATLAS Detector.</v>
      </c>
      <c r="Y489" s="31"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489" s="31">
        <f>IFERROR(__xludf.DUMMYFUNCTION("""COMPUTED_VALUE"""),2024.0)</f>
        <v>2024</v>
      </c>
      <c r="AA489" s="31">
        <f>IFERROR(__xludf.DUMMYFUNCTION("""COMPUTED_VALUE"""),0.0)</f>
        <v>0</v>
      </c>
      <c r="AF489" s="31" t="str">
        <f>IFERROR(__xludf.DUMMYFUNCTION("""COMPUTED_VALUE"""),"The effect of non-organophosphate household pesticides exposure during pregnancy on infants birth sizes and growth rate: a cohort study.")</f>
        <v>The effect of non-organophosphate household pesticides exposure during pregnancy on infants birth sizes and growth rate: a cohort study.</v>
      </c>
      <c r="AG489" s="31" t="str">
        <f>IFERROR(__xludf.DUMMYFUNCTION("""COMPUTED_VALUE"""),"Soesanti, Frida; Idris, Nikmah S; Klipstein-Grobusch, Kerstin; Hendarto, Aryono; Grobbee, Diederick E; Uiterwaal, Cuno S P M")</f>
        <v>Soesanti, Frida; Idris, Nikmah S; Klipstein-Grobusch, Kerstin; Hendarto, Aryono; Grobbee, Diederick E; Uiterwaal, Cuno S P M</v>
      </c>
      <c r="AH489" s="32">
        <f>IFERROR(__xludf.DUMMYFUNCTION("""COMPUTED_VALUE"""),44063.0)</f>
        <v>44063</v>
      </c>
      <c r="AL489" s="31" t="str">
        <f>IFERROR(__xludf.DUMMYFUNCTION("""COMPUTED_VALUE"""),"Impact of sexual trajectories of men who have sex with men on the reduction in HIV transmission by pre-exposure prophylaxis.")</f>
        <v>Impact of sexual trajectories of men who have sex with men on the reduction in HIV transmission by pre-exposure prophylaxis.</v>
      </c>
      <c r="AM489" s="31" t="str">
        <f>IFERROR(__xludf.DUMMYFUNCTION("""COMPUTED_VALUE"""),"Rozhnova, Ganna; Heijne, Janneke C M; Basten, Maartje; den Daas, Chantal; Matser, Amy; Kretzschmar, Mirjam")</f>
        <v>Rozhnova, Ganna; Heijne, Janneke C M; Basten, Maartje; den Daas, Chantal; Matser, Amy; Kretzschmar, Mirjam</v>
      </c>
      <c r="AN489" s="32">
        <f>IFERROR(__xludf.DUMMYFUNCTION("""COMPUTED_VALUE"""),43538.0)</f>
        <v>43538</v>
      </c>
    </row>
    <row r="490">
      <c r="A490" s="32"/>
      <c r="I490" s="31" t="str">
        <f>IFERROR(__xludf.DUMMYFUNCTION("""COMPUTED_VALUE"""),"infection control and hospital epidemiology")</f>
        <v>infection control and hospital epidemiology</v>
      </c>
      <c r="J490" s="38">
        <f>COUNTIF(Data!$F$2:$F9917, $I490)</f>
        <v>5</v>
      </c>
      <c r="T490" s="31" t="s">
        <v>870</v>
      </c>
      <c r="U490" s="31" t="s">
        <v>871</v>
      </c>
      <c r="V490" s="32">
        <v>45336.0</v>
      </c>
      <c r="X490" s="31" t="str">
        <f>IFERROR(__xludf.DUMMYFUNCTION("""COMPUTED_VALUE"""),"Dutch cardio-oncology cohort: Incident cardiovascular disease predisposes to a higher cancer mortality rate.")</f>
        <v>Dutch cardio-oncology cohort: Incident cardiovascular disease predisposes to a higher cancer mortality rate.</v>
      </c>
      <c r="Y490" s="31" t="str">
        <f>IFERROR(__xludf.DUMMYFUNCTION("""COMPUTED_VALUE"""),"Koop, Yvonne; Yousif, Laura; de Boer, Rudolf A; Bots, Michiel L; Meijers, Wouter C; Vaartjes, Ilonca")</f>
        <v>Koop, Yvonne; Yousif, Laura; de Boer, Rudolf A; Bots, Michiel L; Meijers, Wouter C; Vaartjes, Ilonca</v>
      </c>
      <c r="Z490" s="31">
        <f>IFERROR(__xludf.DUMMYFUNCTION("""COMPUTED_VALUE"""),2024.0)</f>
        <v>2024</v>
      </c>
      <c r="AA490" s="31">
        <f>IFERROR(__xludf.DUMMYFUNCTION("""COMPUTED_VALUE"""),0.0)</f>
        <v>0</v>
      </c>
      <c r="AF490" s="31" t="str">
        <f>IFERROR(__xludf.DUMMYFUNCTION("""COMPUTED_VALUE"""),"A Global Analysis of Associations between Fine Particle Air Pollution and Cardiovascular Risk Factors: Feasibility Study on Data Linkage.")</f>
        <v>A Global Analysis of Associations between Fine Particle Air Pollution and Cardiovascular Risk Factors: Feasibility Study on Data Linkage.</v>
      </c>
      <c r="AG490" s="31" t="str">
        <f>IFERROR(__xludf.DUMMYFUNCTION("""COMPUTED_VALUE"""),"Zhao, Min; Hoek, Gerard; Strak, Maciej; Grobbee, Diederick E; Graham, Ian; Klipstein-Grobusch, Kerstin; Vaartjes, Ilonca")</f>
        <v>Zhao, Min; Hoek, Gerard; Strak, Maciej; Grobbee, Diederick E; Graham, Ian; Klipstein-Grobusch, Kerstin; Vaartjes, Ilonca</v>
      </c>
      <c r="AH490" s="32">
        <f>IFERROR(__xludf.DUMMYFUNCTION("""COMPUTED_VALUE"""),44049.0)</f>
        <v>44049</v>
      </c>
      <c r="AL490" s="31" t="str">
        <f>IFERROR(__xludf.DUMMYFUNCTION("""COMPUTED_VALUE"""),"Hypercoagulability and the risk of recurrence in young women with myocardial infarction or ischaemic stroke: a cohort study.")</f>
        <v>Hypercoagulability and the risk of recurrence in young women with myocardial infarction or ischaemic stroke: a cohort study.</v>
      </c>
      <c r="AM490" s="31" t="str">
        <f>IFERROR(__xludf.DUMMYFUNCTION("""COMPUTED_VALUE"""),"Maino, Alberto; Algra, Ale; Peyvandi, Flora; Rosendaal, Frits Richard; Siegerink, Bob")</f>
        <v>Maino, Alberto; Algra, Ale; Peyvandi, Flora; Rosendaal, Frits Richard; Siegerink, Bob</v>
      </c>
      <c r="AN490" s="32">
        <f>IFERROR(__xludf.DUMMYFUNCTION("""COMPUTED_VALUE"""),43531.0)</f>
        <v>43531</v>
      </c>
    </row>
    <row r="491">
      <c r="A491" s="32"/>
      <c r="I491" s="31" t="str">
        <f>IFERROR(__xludf.DUMMYFUNCTION("""COMPUTED_VALUE"""),"clinical kidney journal")</f>
        <v>clinical kidney journal</v>
      </c>
      <c r="J491" s="38">
        <f>COUNTIF(Data!$F$2:$F9917, $I491)</f>
        <v>3</v>
      </c>
      <c r="T491" s="31" t="s">
        <v>875</v>
      </c>
      <c r="U491" s="31" t="s">
        <v>876</v>
      </c>
      <c r="V491" s="32">
        <v>45336.0</v>
      </c>
      <c r="X491" s="31" t="str">
        <f>IFERROR(__xludf.DUMMYFUNCTION("""COMPUTED_VALUE"""),"It's not all about residual confounding: a plea for QBA for epidemiologic researchers and educators.")</f>
        <v>It's not all about residual confounding: a plea for QBA for epidemiologic researchers and educators.</v>
      </c>
      <c r="Y491" s="31" t="str">
        <f>IFERROR(__xludf.DUMMYFUNCTION("""COMPUTED_VALUE"""),"Fox, Matthew P; Adrien, Nedghie; van Smeden, Maarten; Suarez, Elizabeth")</f>
        <v>Fox, Matthew P; Adrien, Nedghie; van Smeden, Maarten; Suarez, Elizabeth</v>
      </c>
      <c r="Z491" s="31">
        <f>IFERROR(__xludf.DUMMYFUNCTION("""COMPUTED_VALUE"""),2024.0)</f>
        <v>2024</v>
      </c>
      <c r="AA491" s="31">
        <f>IFERROR(__xludf.DUMMYFUNCTION("""COMPUTED_VALUE"""),0.0)</f>
        <v>0</v>
      </c>
      <c r="AF491" s="31" t="str">
        <f>IFERROR(__xludf.DUMMYFUNCTION("""COMPUTED_VALUE"""),"From deficit to dialogue in science communication: The dialogue communication model requires additional roles from scientists.")</f>
        <v>From deficit to dialogue in science communication: The dialogue communication model requires additional roles from scientists.</v>
      </c>
      <c r="AG491" s="31" t="str">
        <f>IFERROR(__xludf.DUMMYFUNCTION("""COMPUTED_VALUE"""),"Reincke, Cathelijne M; Bredenoord, Annelien L; van Mil, Marc Hw")</f>
        <v>Reincke, Cathelijne M; Bredenoord, Annelien L; van Mil, Marc Hw</v>
      </c>
      <c r="AH491" s="32">
        <f>IFERROR(__xludf.DUMMYFUNCTION("""COMPUTED_VALUE"""),44047.0)</f>
        <v>44047</v>
      </c>
      <c r="AL491" s="31" t="str">
        <f>IFERROR(__xludf.DUMMYFUNCTION("""COMPUTED_VALUE"""),"Procedural Clinical Complications, Case-Fatality Risks, and Risk Factors in Endovascular and Neurosurgical Treatment of Unruptured Intracranial Aneurysms: A Systematic Review and Meta-analysis.")</f>
        <v>Procedural Clinical Complications, Case-Fatality Risks, and Risk Factors in Endovascular and Neurosurgical Treatment of Unruptured Intracranial Aneurysms: A Systematic Review and Meta-analysis.</v>
      </c>
      <c r="AM491" s="31" t="str">
        <f>IFERROR(__xludf.DUMMYFUNCTION("""COMPUTED_VALUE"""),"Algra, Annemijn M; Lindgren, Antti; Vergouwen, Mervyn D I; Greving, Jacoba P; van der Schaaf, Irene C; van Doormaal, Tristan P C; Rinkel, Gabriel J E")</f>
        <v>Algra, Annemijn M; Lindgren, Antti; Vergouwen, Mervyn D I; Greving, Jacoba P; van der Schaaf, Irene C; van Doormaal, Tristan P C; Rinkel, Gabriel J E</v>
      </c>
      <c r="AN491" s="32">
        <f>IFERROR(__xludf.DUMMYFUNCTION("""COMPUTED_VALUE"""),43525.0)</f>
        <v>43525</v>
      </c>
    </row>
    <row r="492">
      <c r="A492" s="32"/>
      <c r="I492" s="31" t="str">
        <f>IFERROR(__xludf.DUMMYFUNCTION("""COMPUTED_VALUE"""),"orphanet journal of rare diseases")</f>
        <v>orphanet journal of rare diseases</v>
      </c>
      <c r="J492" s="38">
        <f>COUNTIF(Data!$F$2:$F9917, $I492)</f>
        <v>4</v>
      </c>
      <c r="T492" s="31" t="s">
        <v>880</v>
      </c>
      <c r="U492" s="31" t="s">
        <v>881</v>
      </c>
      <c r="V492" s="32">
        <v>45336.0</v>
      </c>
      <c r="X492" s="31" t="str">
        <f>IFERROR(__xludf.DUMMYFUNCTION("""COMPUTED_VALUE"""),"Potential Mediating Role of Iron Biomarkers in the Association of Sex With Glucose, Insulin, and Type 2 Diabetes.")</f>
        <v>Potential Mediating Role of Iron Biomarkers in the Association of Sex With Glucose, Insulin, and Type 2 Diabetes.</v>
      </c>
      <c r="Y492" s="31" t="str">
        <f>IFERROR(__xludf.DUMMYFUNCTION("""COMPUTED_VALUE"""),"Khatami, Farnaz; Lange, Theis; Groothof, Dion; Ahanchi, Noushin Sadat; Quezada-Pinedo, Hugo G; Raeisi-Dehkordi, Hamidreza; De Borst, Martin H; Vidal, Pedro-Marques; Sailesh, Mohan; Prabhakaran, Dorairaj; Bano, Arjola; Bakker, Stephan J L; Muka, Taulant; E"&amp;"isenga, Michele F")</f>
        <v>Khatami, Farnaz; Lange, Theis; Groothof, Dion; Ahanchi, Noushin Sadat; Quezada-Pinedo, Hugo G; Raeisi-Dehkordi, Hamidreza; De Borst, Martin H; Vidal, Pedro-Marques; Sailesh, Mohan; Prabhakaran, Dorairaj; Bano, Arjola; Bakker, Stephan J L; Muka, Taulant; Eisenga, Michele F</v>
      </c>
      <c r="Z492" s="31">
        <f>IFERROR(__xludf.DUMMYFUNCTION("""COMPUTED_VALUE"""),2024.0)</f>
        <v>2024</v>
      </c>
      <c r="AA492" s="31">
        <f>IFERROR(__xludf.DUMMYFUNCTION("""COMPUTED_VALUE"""),0.0)</f>
        <v>0</v>
      </c>
      <c r="AF492" s="31" t="str">
        <f>IFERROR(__xludf.DUMMYFUNCTION("""COMPUTED_VALUE"""),"The effects of nudging and pricing on healthy food purchasing behavior in a virtual supermarket setting: a randomized experiment.")</f>
        <v>The effects of nudging and pricing on healthy food purchasing behavior in a virtual supermarket setting: a randomized experiment.</v>
      </c>
      <c r="AG492" s="31" t="str">
        <f>IFERROR(__xludf.DUMMYFUNCTION("""COMPUTED_VALUE"""),"Hoenink, Jody C; Mackenbach, Joreintje D; Waterlander, Wilma; Lakerveld, Jeroen; van der Laan, Nynke; Beulens, Joline W J")</f>
        <v>Hoenink, Jody C; Mackenbach, Joreintje D; Waterlander, Wilma; Lakerveld, Jeroen; van der Laan, Nynke; Beulens, Joline W J</v>
      </c>
      <c r="AH492" s="32">
        <f>IFERROR(__xludf.DUMMYFUNCTION("""COMPUTED_VALUE"""),44046.0)</f>
        <v>44046</v>
      </c>
      <c r="AL492" s="31" t="str">
        <f>IFERROR(__xludf.DUMMYFUNCTION("""COMPUTED_VALUE"""),"The Evolving Facets of Bacterial Vaginosis: Implications for HIV Transmission.")</f>
        <v>The Evolving Facets of Bacterial Vaginosis: Implications for HIV Transmission.</v>
      </c>
      <c r="AM492" s="31" t="str">
        <f>IFERROR(__xludf.DUMMYFUNCTION("""COMPUTED_VALUE"""),"McKinnon, Lyle R; Achilles, Sharon L; Bradshaw, Catriona S; Burgener, Adam; Crucitti, Tania; Fredricks, David N; Jaspan, Heather B; Kaul, Rupert; Kaushic, Charu; Klatt, Nichole; Kwon, Douglas S; Marrazzo, Jeanne M; Masson, Lindi; McClelland, R Scott; Rave"&amp;"l, Jacques; van de Wijgert, Janneke H H M; Vodstrcil, Lenka A; Tachedjian, Gilda")</f>
        <v>McKinnon, Lyle R; Achilles, Sharon L; Bradshaw, Catriona S; Burgener, Adam; Crucitti, Tania; Fredricks, David N; Jaspan, Heather B; Kaul, Rupert; Kaushic, Charu; Klatt, Nichole; Kwon, Douglas S; Marrazzo, Jeanne M; Masson, Lindi; McClelland, R Scott; Ravel, Jacques; van de Wijgert, Janneke H H M; Vodstrcil, Lenka A; Tachedjian, Gilda</v>
      </c>
      <c r="AN492" s="32">
        <f>IFERROR(__xludf.DUMMYFUNCTION("""COMPUTED_VALUE"""),43525.0)</f>
        <v>43525</v>
      </c>
    </row>
    <row r="493">
      <c r="A493" s="32"/>
      <c r="I493" s="31" t="str">
        <f>IFERROR(__xludf.DUMMYFUNCTION("""COMPUTED_VALUE"""),"reproductive sciences thousand oaks calif")</f>
        <v>reproductive sciences thousand oaks calif</v>
      </c>
      <c r="J493" s="38">
        <f>COUNTIF(Data!$F$2:$F9917, $I493)</f>
        <v>1</v>
      </c>
      <c r="T493" s="31" t="s">
        <v>885</v>
      </c>
      <c r="U493" s="31" t="s">
        <v>886</v>
      </c>
      <c r="V493" s="32">
        <v>45336.0</v>
      </c>
      <c r="X493" s="31" t="str">
        <f>IFERROR(__xludf.DUMMYFUNCTION("""COMPUTED_VALUE"""),"Antihypertensive medication classes and risk of incident dementia in primary care patients: a longitudinal cohort study in the Netherlands.")</f>
        <v>Antihypertensive medication classes and risk of incident dementia in primary care patients: a longitudinal cohort study in the Netherlands.</v>
      </c>
      <c r="Y493" s="31"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Z493" s="31">
        <f>IFERROR(__xludf.DUMMYFUNCTION("""COMPUTED_VALUE"""),2024.0)</f>
        <v>2024</v>
      </c>
      <c r="AA493" s="31">
        <f>IFERROR(__xludf.DUMMYFUNCTION("""COMPUTED_VALUE"""),0.0)</f>
        <v>0</v>
      </c>
      <c r="AF493" s="31" t="str">
        <f>IFERROR(__xludf.DUMMYFUNCTION("""COMPUTED_VALUE"""),"Sex, Gender, and Precision Medicine.")</f>
        <v>Sex, Gender, and Precision Medicine.</v>
      </c>
      <c r="AG493" s="31" t="str">
        <f>IFERROR(__xludf.DUMMYFUNCTION("""COMPUTED_VALUE"""),"Peters, Sanne A E; Woodward, Mark")</f>
        <v>Peters, Sanne A E; Woodward, Mark</v>
      </c>
      <c r="AH493" s="32">
        <f>IFERROR(__xludf.DUMMYFUNCTION("""COMPUTED_VALUE"""),44044.0)</f>
        <v>44044</v>
      </c>
      <c r="AL493" s="31" t="str">
        <f>IFERROR(__xludf.DUMMYFUNCTION("""COMPUTED_VALUE"""),"Breast Cancer Survivors' Experiences With an Activity Tracker Integrated Into a Supervised Exercise Program: Qualitative Study.")</f>
        <v>Breast Cancer Survivors' Experiences With an Activity Tracker Integrated Into a Supervised Exercise Program: Qualitative Study.</v>
      </c>
      <c r="AM493" s="31" t="str">
        <f>IFERROR(__xludf.DUMMYFUNCTION("""COMPUTED_VALUE"""),"Wu, Hoi San; Gal, Roxanne; van Sleeuwen, Niek C; Brombacher, Aarnout C; IJsselsteijn, Wijnand A; May, Anne M; Monninkhof, Evelyn M")</f>
        <v>Wu, Hoi San; Gal, Roxanne; van Sleeuwen, Niek C; Brombacher, Aarnout C; IJsselsteijn, Wijnand A; May, Anne M; Monninkhof, Evelyn M</v>
      </c>
      <c r="AN493" s="32">
        <f>IFERROR(__xludf.DUMMYFUNCTION("""COMPUTED_VALUE"""),43517.0)</f>
        <v>43517</v>
      </c>
    </row>
    <row r="494">
      <c r="A494" s="32"/>
      <c r="I494" s="31" t="str">
        <f>IFERROR(__xludf.DUMMYFUNCTION("""COMPUTED_VALUE"""),"american journal of respiratory and critical care medicine")</f>
        <v>american journal of respiratory and critical care medicine</v>
      </c>
      <c r="J494" s="38">
        <f>COUNTIF(Data!$F$2:$F9917, $I494)</f>
        <v>5</v>
      </c>
      <c r="T494" s="31" t="s">
        <v>890</v>
      </c>
      <c r="U494" s="31" t="s">
        <v>891</v>
      </c>
      <c r="V494" s="32">
        <v>45335.0</v>
      </c>
      <c r="X494" s="31"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Y494" s="31" t="str">
        <f>IFERROR(__xludf.DUMMYFUNCTION("""COMPUTED_VALUE"""),"Fankhauser, Christian D; Wettstein, Marian S; Würnschimmel, Christoph; van Smeden, Maarten; Clarke, Noel W")</f>
        <v>Fankhauser, Christian D; Wettstein, Marian S; Würnschimmel, Christoph; van Smeden, Maarten; Clarke, Noel W</v>
      </c>
      <c r="Z494" s="31">
        <f>IFERROR(__xludf.DUMMYFUNCTION("""COMPUTED_VALUE"""),2024.0)</f>
        <v>2024</v>
      </c>
      <c r="AA494" s="31">
        <f>IFERROR(__xludf.DUMMYFUNCTION("""COMPUTED_VALUE"""),0.0)</f>
        <v>0</v>
      </c>
      <c r="AF494" s="31" t="str">
        <f>IFERROR(__xludf.DUMMYFUNCTION("""COMPUTED_VALUE"""),"Utility of emergency call centre, dispatch and ambulance data for syndromic surveillance of infectious diseases: a scoping review.")</f>
        <v>Utility of emergency call centre, dispatch and ambulance data for syndromic surveillance of infectious diseases: a scoping review.</v>
      </c>
      <c r="AG494" s="31" t="str">
        <f>IFERROR(__xludf.DUMMYFUNCTION("""COMPUTED_VALUE"""),"Duijster, Janneke W; Doreleijers, Simone D A; Pilot, Eva; van der Hoek, Wim; Kommer, Geert Jan; van der Sande, Marianne A B; Krafft, Thomas; van Asten, Liselotte C H I")</f>
        <v>Duijster, Janneke W; Doreleijers, Simone D A; Pilot, Eva; van der Hoek, Wim; Kommer, Geert Jan; van der Sande, Marianne A B; Krafft, Thomas; van Asten, Liselotte C H I</v>
      </c>
      <c r="AH494" s="32">
        <f>IFERROR(__xludf.DUMMYFUNCTION("""COMPUTED_VALUE"""),44044.0)</f>
        <v>44044</v>
      </c>
      <c r="AL494" s="31" t="str">
        <f>IFERROR(__xludf.DUMMYFUNCTION("""COMPUTED_VALUE"""),"Effect of diet with or without exercise on abdominal fat in postmenopausal women - a randomised trial.")</f>
        <v>Effect of diet with or without exercise on abdominal fat in postmenopausal women - a randomised trial.</v>
      </c>
      <c r="AM494" s="31" t="str">
        <f>IFERROR(__xludf.DUMMYFUNCTION("""COMPUTED_VALUE"""),"van Gemert, Willemijn A; Peeters, Petra H; May, Anne M; Doornbos, Adriaan J H; Elias, Sjoerd G; van der Palen, Job; Veldhuis, Wouter; Stapper, Maaike; Schuit, Jantine A; Monninkhof, Evelyn M")</f>
        <v>van Gemert, Willemijn A; Peeters, Petra H; May, Anne M; Doornbos, Adriaan J H; Elias, Sjoerd G; van der Palen, Job; Veldhuis, Wouter; Stapper, Maaike; Schuit, Jantine A; Monninkhof, Evelyn M</v>
      </c>
      <c r="AN494" s="32">
        <f>IFERROR(__xludf.DUMMYFUNCTION("""COMPUTED_VALUE"""),43507.0)</f>
        <v>43507</v>
      </c>
    </row>
    <row r="495">
      <c r="A495" s="32"/>
      <c r="I495" s="31" t="str">
        <f>IFERROR(__xludf.DUMMYFUNCTION("""COMPUTED_VALUE"""),"acta ophthalmologica")</f>
        <v>acta ophthalmologica</v>
      </c>
      <c r="J495" s="38">
        <f>COUNTIF(Data!$F$2:$F9917, $I495)</f>
        <v>1</v>
      </c>
      <c r="T495" s="31" t="s">
        <v>895</v>
      </c>
      <c r="U495" s="31" t="s">
        <v>896</v>
      </c>
      <c r="V495" s="32">
        <v>45335.0</v>
      </c>
      <c r="X495" s="31" t="str">
        <f>IFERROR(__xludf.DUMMYFUNCTION("""COMPUTED_VALUE"""),"Repeatability and reproducibility of the Forskolin-induced swelling (FIS) assay on intestinal organoids from people with Cystic Fibrosis.")</f>
        <v>Repeatability and reproducibility of the Forskolin-induced swelling (FIS) assay on intestinal organoids from people with Cystic Fibrosis.</v>
      </c>
      <c r="Y495" s="31" t="str">
        <f>IFERROR(__xludf.DUMMYFUNCTION("""COMPUTED_VALUE"""),"Bierlaagh, Marlou C; Ramalho, Anabela S; Silva, Iris A L; Vonk, Annelotte M; van den Bor, Rutger M; van Mourik, Peter; Pott, Johanna; Suen, Sylvia W F; Boj, Sylvia F; Vries, Robert G J; Lammertyn, Elise; Vermeulen, François; Amaral, Margarida D; de Boeck,"&amp;" Kris; van der Ent, Cornelis K; Beekman, Jeffrey M")</f>
        <v>Bierlaagh, Marlou C; Ramalho, Anabela S; Silva, Iris A L; Vonk, Annelotte M; van den Bor, Rutger M; van Mourik, Peter; Pott, Johanna; Suen, Sylvia W F; Boj, Sylvia F; Vries, Robert G J; Lammertyn, Elise; Vermeulen, François; Amaral, Margarida D; de Boeck, Kris; van der Ent, Cornelis K; Beekman, Jeffrey M</v>
      </c>
      <c r="Z495" s="31">
        <f>IFERROR(__xludf.DUMMYFUNCTION("""COMPUTED_VALUE"""),2024.0)</f>
        <v>2024</v>
      </c>
      <c r="AA495" s="31">
        <f>IFERROR(__xludf.DUMMYFUNCTION("""COMPUTED_VALUE"""),0.0)</f>
        <v>0</v>
      </c>
      <c r="AF495" s="31" t="str">
        <f>IFERROR(__xludf.DUMMYFUNCTION("""COMPUTED_VALUE"""),"Paradox of HIV stigma in an integrated chronic disease care in rural South Africa: Viewpoints of service users and providers.")</f>
        <v>Paradox of HIV stigma in an integrated chronic disease care in rural South Africa: Viewpoints of service users and providers.</v>
      </c>
      <c r="AG495" s="31" t="str">
        <f>IFERROR(__xludf.DUMMYFUNCTION("""COMPUTED_VALUE"""),"Ameh, Soter; D'Ambruoso, Lucia; Gómez-Olivé, Francesc Xavier; Kahn, Kathleen; Tollman, Stephen M; Klipstein-Grobusch, Kerstin")</f>
        <v>Ameh, Soter; D'Ambruoso, Lucia; Gómez-Olivé, Francesc Xavier; Kahn, Kathleen; Tollman, Stephen M; Klipstein-Grobusch, Kerstin</v>
      </c>
      <c r="AH495" s="32">
        <f>IFERROR(__xludf.DUMMYFUNCTION("""COMPUTED_VALUE"""),44043.0)</f>
        <v>44043</v>
      </c>
      <c r="AL495" s="31" t="str">
        <f>IFERROR(__xludf.DUMMYFUNCTION("""COMPUTED_VALUE"""),"Profile of the SeptiCyte™ LAB gene expression assay to diagnose infection in critically ill patients.")</f>
        <v>Profile of the SeptiCyte™ LAB gene expression assay to diagnose infection in critically ill patients.</v>
      </c>
      <c r="AM495" s="31" t="str">
        <f>IFERROR(__xludf.DUMMYFUNCTION("""COMPUTED_VALUE"""),"Verboom, D M; Koster-Brouwer, M E; Varkila, M R J; Bonten, M J M; Cremer, O L")</f>
        <v>Verboom, D M; Koster-Brouwer, M E; Varkila, M R J; Bonten, M J M; Cremer, O L</v>
      </c>
      <c r="AN495" s="32">
        <f>IFERROR(__xludf.DUMMYFUNCTION("""COMPUTED_VALUE"""),43501.0)</f>
        <v>43501</v>
      </c>
    </row>
    <row r="496">
      <c r="A496" s="32"/>
      <c r="I496" s="31" t="str">
        <f>IFERROR(__xludf.DUMMYFUNCTION("""COMPUTED_VALUE"""),"heart lung the journal of critical care")</f>
        <v>heart lung the journal of critical care</v>
      </c>
      <c r="J496" s="38">
        <f>COUNTIF(Data!$F$2:$F9917, $I496)</f>
        <v>1</v>
      </c>
      <c r="T496" s="31" t="s">
        <v>900</v>
      </c>
      <c r="U496" s="31" t="s">
        <v>901</v>
      </c>
      <c r="V496" s="32">
        <v>45334.0</v>
      </c>
      <c r="X496" s="31" t="str">
        <f>IFERROR(__xludf.DUMMYFUNCTION("""COMPUTED_VALUE"""),"Bacille Calmette-Guérin vaccination to prevent febrile and respiratory illness in adults (BRACE): secondary outcomes of a randomised controlled phase 3 trial.")</f>
        <v>Bacille Calmette-Guérin vaccination to prevent febrile and respiratory illness in adults (BRACE): secondary outcomes of a randomised controlled phase 3 trial.</v>
      </c>
      <c r="Y496" s="31" t="str">
        <f>IFERROR(__xludf.DUMMYFUNCTION("""COMPUTED_VALUE"""),"Pittet, Laure F; Messina, Nicole L; McDonald, Ellie; Orsini, Francesca; Barry, Simone; Bonten, Marc; Campbell, John; Croda, Julio; Croda, Mariana G; Dalcolmo, Margareth; Gardiner, Kaya; Gwee, Amanda; Jardim, Bruno; Lacerda, Marcus V G; Lucas, Michaela; Ly"&amp;"nn, David J; Manning, Laurens; Perrett, Kirsten P; Post, Jeffrey J; Prat-Aymerich, Cristina; Richmond, Peter C; Rocha, Jorge L; Rodriguez-Baño, Jesus; Warris, Adilia; Wood, Nicholas J; Davidson, Andrew; Curtis, Nigel; ,")</f>
        <v>Pittet, Laure F; Messina, Nicole L; McDonald, Ellie; Orsini, Francesca; Barry, Simone; Bonten, Marc; Campbell, John; Croda, Julio; Croda, Mariana G; Dalcolmo, Margareth; Gardiner, Kaya; Gwee, Amanda; Jardim, Bruno; Lacerda, Marcus V G; Lucas, Michaela; Lynn, David J; Manning, Laurens; Perrett, Kirsten P; Post, Jeffrey J; Prat-Aymerich, Cristina; Richmond, Peter C; Rocha, Jorge L; Rodriguez-Baño, Jesus; Warris, Adilia; Wood, Nicholas J; Davidson, Andrew; Curtis, Nigel; ,</v>
      </c>
      <c r="Z496" s="31">
        <f>IFERROR(__xludf.DUMMYFUNCTION("""COMPUTED_VALUE"""),2024.0)</f>
        <v>2024</v>
      </c>
      <c r="AA496" s="31">
        <f>IFERROR(__xludf.DUMMYFUNCTION("""COMPUTED_VALUE"""),0.0)</f>
        <v>0</v>
      </c>
      <c r="AF496" s="31" t="str">
        <f>IFERROR(__xludf.DUMMYFUNCTION("""COMPUTED_VALUE"""),"Relationship between maternal body composition during pregnancy and infant's birth weight in Nairobi informal settlements, Kenya.")</f>
        <v>Relationship between maternal body composition during pregnancy and infant's birth weight in Nairobi informal settlements, Kenya.</v>
      </c>
      <c r="AG496" s="31" t="str">
        <f>IFERROR(__xludf.DUMMYFUNCTION("""COMPUTED_VALUE"""),"Wanjohi, Milkah Njeri; Ogada, Irene; Wekesah, Frederick Murunga; Khayeka-Wandabwa, Christopher; Kimani-Murage, Elizabeth W")</f>
        <v>Wanjohi, Milkah Njeri; Ogada, Irene; Wekesah, Frederick Murunga; Khayeka-Wandabwa, Christopher; Kimani-Murage, Elizabeth W</v>
      </c>
      <c r="AH496" s="32">
        <f>IFERROR(__xludf.DUMMYFUNCTION("""COMPUTED_VALUE"""),44035.0)</f>
        <v>44035</v>
      </c>
      <c r="AL496" s="31" t="str">
        <f>IFERROR(__xludf.DUMMYFUNCTION("""COMPUTED_VALUE"""),"Antimicrobial approaches in the prevention of Staphylococcus aureus infections: a review.")</f>
        <v>Antimicrobial approaches in the prevention of Staphylococcus aureus infections: a review.</v>
      </c>
      <c r="AM496" s="31" t="str">
        <f>IFERROR(__xludf.DUMMYFUNCTION("""COMPUTED_VALUE"""),"Troeman, D P R; Van Hout, D; Kluytmans, J A J W")</f>
        <v>Troeman, D P R; Van Hout, D; Kluytmans, J A J W</v>
      </c>
      <c r="AN496" s="32">
        <f>IFERROR(__xludf.DUMMYFUNCTION("""COMPUTED_VALUE"""),43497.0)</f>
        <v>43497</v>
      </c>
    </row>
    <row r="497">
      <c r="A497" s="32"/>
      <c r="I497" s="31" t="str">
        <f>IFERROR(__xludf.DUMMYFUNCTION("""COMPUTED_VALUE"""),"obesity reviews an official journal of the international association for the study of obesity")</f>
        <v>obesity reviews an official journal of the international association for the study of obesity</v>
      </c>
      <c r="J497" s="38">
        <f>COUNTIF(Data!$F$2:$F9917, $I497)</f>
        <v>1</v>
      </c>
      <c r="T497" s="31" t="s">
        <v>904</v>
      </c>
      <c r="U497" s="31" t="s">
        <v>905</v>
      </c>
      <c r="V497" s="32">
        <v>45334.0</v>
      </c>
      <c r="X497" s="31" t="str">
        <f>IFERROR(__xludf.DUMMYFUNCTION("""COMPUTED_VALUE"""),"Multiomic Signatures of Traffic-Related Air Pollution in London Reveal Potential Short-Term Perturbations in Gut Microbiome-Related Pathways.")</f>
        <v>Multiomic Signatures of Traffic-Related Air Pollution in London Reveal Potential Short-Term Perturbations in Gut Microbiome-Related Pathways.</v>
      </c>
      <c r="Y497" s="31" t="str">
        <f>IFERROR(__xludf.DUMMYFUNCTION("""COMPUTED_VALUE"""),"Cheng, Sibo Lucas; Hedges, Michael; Keski-Rahkonen, Pekka; Chatziioannou, Anastasia Chrysovalantou; Scalbert, Augustin; Chung, Kian Fan; Sinharay, Rudy; Green, David C; de Kok, Theo M C M; Vlaanderen, Jelle; Kyrtopoulos, Soterios A; Kelly, Frank; Portenge"&amp;"n, Lützen; Vineis, Paolo; Vermeulen, Roel C H; Chadeau-Hyam, Marc; Dagnino, Sonia")</f>
        <v>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v>
      </c>
      <c r="Z497" s="31">
        <f>IFERROR(__xludf.DUMMYFUNCTION("""COMPUTED_VALUE"""),2024.0)</f>
        <v>2024</v>
      </c>
      <c r="AA497" s="31">
        <f>IFERROR(__xludf.DUMMYFUNCTION("""COMPUTED_VALUE"""),0.0)</f>
        <v>0</v>
      </c>
      <c r="AF497" s="31" t="str">
        <f>IFERROR(__xludf.DUMMYFUNCTION("""COMPUTED_VALUE"""),"Ethical challenges for pediatric liver organoid transplantation.")</f>
        <v>Ethical challenges for pediatric liver organoid transplantation.</v>
      </c>
      <c r="AG497" s="31" t="str">
        <f>IFERROR(__xludf.DUMMYFUNCTION("""COMPUTED_VALUE"""),"Schneemann, Sarah A; Boers, Sarah N; van Delden, Johannes J M; Nieuwenhuis, Edward E S; Fuchs, Sabine A; Bredenoord, Annelien L")</f>
        <v>Schneemann, Sarah A; Boers, Sarah N; van Delden, Johannes J M; Nieuwenhuis, Edward E S; Fuchs, Sabine A; Bredenoord, Annelien L</v>
      </c>
      <c r="AH497" s="32">
        <f>IFERROR(__xludf.DUMMYFUNCTION("""COMPUTED_VALUE"""),44027.0)</f>
        <v>44027</v>
      </c>
      <c r="AL497" s="31" t="str">
        <f>IFERROR(__xludf.DUMMYFUNCTION("""COMPUTED_VALUE"""),"A guide to systematic review and meta-analysis of prognostic factor studies.")</f>
        <v>A guide to systematic review and meta-analysis of prognostic factor studies.</v>
      </c>
      <c r="AM497" s="31" t="str">
        <f>IFERROR(__xludf.DUMMYFUNCTION("""COMPUTED_VALUE"""),"Riley, Richard D; Moons, Karel G M; Snell, Kym I E; Ensor, Joie; Hooft, Lotty; Altman, Douglas G; Hayden, Jill; Collins, Gary S; Debray, Thomas P A")</f>
        <v>Riley, Richard D; Moons, Karel G M; Snell, Kym I E; Ensor, Joie; Hooft, Lotty; Altman, Douglas G; Hayden, Jill; Collins, Gary S; Debray, Thomas P A</v>
      </c>
      <c r="AN497" s="32">
        <f>IFERROR(__xludf.DUMMYFUNCTION("""COMPUTED_VALUE"""),43495.0)</f>
        <v>43495</v>
      </c>
    </row>
    <row r="498">
      <c r="A498" s="32"/>
      <c r="I498" s="31" t="str">
        <f>IFERROR(__xludf.DUMMYFUNCTION("""COMPUTED_VALUE"""),"health policy amsterdam netherlands")</f>
        <v>health policy amsterdam netherlands</v>
      </c>
      <c r="J498" s="38">
        <f>COUNTIF(Data!$F$2:$F9917, $I498)</f>
        <v>1</v>
      </c>
      <c r="T498" s="31" t="s">
        <v>909</v>
      </c>
      <c r="U498" s="31" t="s">
        <v>910</v>
      </c>
      <c r="V498" s="32">
        <v>45334.0</v>
      </c>
      <c r="X498" s="31" t="str">
        <f>IFERROR(__xludf.DUMMYFUNCTION("""COMPUTED_VALUE"""),"Don't be misled: Three misconceptions about external validation of clinical prediction models.")</f>
        <v>Don't be misled: Three misconceptions about external validation of clinical prediction models.</v>
      </c>
      <c r="Y498" s="31"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Z498" s="31">
        <f>IFERROR(__xludf.DUMMYFUNCTION("""COMPUTED_VALUE"""),2024.0)</f>
        <v>2024</v>
      </c>
      <c r="AA498" s="31">
        <f>IFERROR(__xludf.DUMMYFUNCTION("""COMPUTED_VALUE"""),0.0)</f>
        <v>0</v>
      </c>
      <c r="AF498" s="31" t="str">
        <f>IFERROR(__xludf.DUMMYFUNCTION("""COMPUTED_VALUE"""),"Effectiveness of the baby-friendly community initiative in promoting exclusive breastfeeding among HIV negative and positive mothers: a randomized controlled trial in Koibatek Sub-County, Baringo, Kenya.")</f>
        <v>Effectiveness of the baby-friendly community initiative in promoting exclusive breastfeeding among HIV negative and positive mothers: a randomized controlled trial in Koibatek Sub-County, Baringo, Kenya.</v>
      </c>
      <c r="AG498" s="31" t="str">
        <f>IFERROR(__xludf.DUMMYFUNCTION("""COMPUTED_VALUE"""),"Samburu, Betty Mogesi; Young, Sera Lewise; Wekesah, Frederick Murunga; Wanjohi, Milkah Njeri; Kimiywe, Judith; Muriuki, Peter; Griffiths, Paula L; McGarvey, Stephen T; Madise, Nyovani Janet; Kimani-Murage, Elizabeth W")</f>
        <v>Samburu, Betty Mogesi; Young, Sera Lewise; Wekesah, Frederick Murunga; Wanjohi, Milkah Njeri; Kimiywe, Judith; Muriuki, Peter; Griffiths, Paula L; McGarvey, Stephen T; Madise, Nyovani Janet; Kimani-Murage, Elizabeth W</v>
      </c>
      <c r="AH498" s="32">
        <f>IFERROR(__xludf.DUMMYFUNCTION("""COMPUTED_VALUE"""),44026.0)</f>
        <v>44026</v>
      </c>
      <c r="AL498" s="31" t="str">
        <f>IFERROR(__xludf.DUMMYFUNCTION("""COMPUTED_VALUE"""),"[Advisory statement of the Health Council of the Netherlands on vaccination against meningococcal disease: a missed opportunity?].")</f>
        <v>[Advisory statement of the Health Council of the Netherlands on vaccination against meningococcal disease: a missed opportunity?].</v>
      </c>
      <c r="AM498" s="31" t="str">
        <f>IFERROR(__xludf.DUMMYFUNCTION("""COMPUTED_VALUE"""),"Bruijning-Verhagen, Patricia C J L")</f>
        <v>Bruijning-Verhagen, Patricia C J L</v>
      </c>
      <c r="AN498" s="32">
        <f>IFERROR(__xludf.DUMMYFUNCTION("""COMPUTED_VALUE"""),43489.0)</f>
        <v>43489</v>
      </c>
    </row>
    <row r="499">
      <c r="A499" s="32"/>
      <c r="I499" s="31" t="str">
        <f>IFERROR(__xludf.DUMMYFUNCTION("""COMPUTED_VALUE"""),"health economics policy and law")</f>
        <v>health economics policy and law</v>
      </c>
      <c r="J499" s="38">
        <f>COUNTIF(Data!$F$2:$F9917, $I499)</f>
        <v>1</v>
      </c>
      <c r="T499" s="31" t="s">
        <v>913</v>
      </c>
      <c r="U499" s="31" t="s">
        <v>914</v>
      </c>
      <c r="V499" s="32">
        <v>45333.0</v>
      </c>
      <c r="X499" s="31" t="str">
        <f>IFERROR(__xludf.DUMMYFUNCTION("""COMPUTED_VALUE"""),"Charting a new course in healthcare: early-stage AI algorithm registration to enhance trust and transparency.")</f>
        <v>Charting a new course in healthcare: early-stage AI algorithm registration to enhance trust and transparency.</v>
      </c>
      <c r="Y499" s="31" t="str">
        <f>IFERROR(__xludf.DUMMYFUNCTION("""COMPUTED_VALUE"""),"van Genderen, Michel E; van de Sande, Davy; Hooft, Lotty; Reis, Andreas Alois; Cornet, Alexander D; Oosterhoff, Jacobien H F; van der Ster, Björn J P; Huiskens, Joost; Townsend, Reggie; van Bommel, Jasper; Gommers, Diederik; van den Hoven, Jeroen")</f>
        <v>van Genderen, Michel E; van de Sande, Davy; Hooft, Lotty; Reis, Andreas Alois; Cornet, Alexander D; Oosterhoff, Jacobien H F; van der Ster, Björn J P; Huiskens, Joost; Townsend, Reggie; van Bommel, Jasper; Gommers, Diederik; van den Hoven, Jeroen</v>
      </c>
      <c r="Z499" s="31">
        <f>IFERROR(__xludf.DUMMYFUNCTION("""COMPUTED_VALUE"""),2024.0)</f>
        <v>2024</v>
      </c>
      <c r="AA499" s="31">
        <f>IFERROR(__xludf.DUMMYFUNCTION("""COMPUTED_VALUE"""),0.0)</f>
        <v>0</v>
      </c>
      <c r="AF499" s="31" t="str">
        <f>IFERROR(__xludf.DUMMYFUNCTION("""COMPUTED_VALUE"""),"Understanding the use of observational and randomized data in cardiovascular medicine.")</f>
        <v>Understanding the use of observational and randomized data in cardiovascular medicine.</v>
      </c>
      <c r="AG499" s="31" t="str">
        <f>IFERROR(__xludf.DUMMYFUNCTION("""COMPUTED_VALUE"""),"Bowman, Louise; Baras, Aris; Bombien, René; Califf, Robert M; Chen, Zhengmin; Gale, Chris P; Gaziano, J Michael; Grobbee, Diederick E; Maggioni, Aldo P; Muse, Evan D; Roden, Dan M; Schroeder, Stefan; Wallentin, Lars; Casadei, Barbara")</f>
        <v>Bowman, Louise; Baras, Aris; Bombien, René; Califf, Robert M; Chen, Zhengmin; Gale, Chris P; Gaziano, J Michael; Grobbee, Diederick E; Maggioni, Aldo P; Muse, Evan D; Roden, Dan M; Schroeder, Stefan; Wallentin, Lars; Casadei, Barbara</v>
      </c>
      <c r="AH499" s="32">
        <f>IFERROR(__xludf.DUMMYFUNCTION("""COMPUTED_VALUE"""),44026.0)</f>
        <v>44026</v>
      </c>
      <c r="AL499" s="31" t="str">
        <f>IFERROR(__xludf.DUMMYFUNCTION("""COMPUTED_VALUE"""),"[Cardiac screening in young top athletes: don't do it!].")</f>
        <v>[Cardiac screening in young top athletes: don't do it!].</v>
      </c>
      <c r="AM499" s="31" t="str">
        <f>IFERROR(__xludf.DUMMYFUNCTION("""COMPUTED_VALUE"""),"Bots, Michiel L; Mosterd, Arend")</f>
        <v>Bots, Michiel L; Mosterd, Arend</v>
      </c>
      <c r="AN499" s="32">
        <f>IFERROR(__xludf.DUMMYFUNCTION("""COMPUTED_VALUE"""),43489.0)</f>
        <v>43489</v>
      </c>
    </row>
    <row r="500">
      <c r="A500" s="32"/>
      <c r="I500" s="31" t="str">
        <f>IFERROR(__xludf.DUMMYFUNCTION("""COMPUTED_VALUE"""),"malaria journal")</f>
        <v>malaria journal</v>
      </c>
      <c r="J500" s="38">
        <f>COUNTIF(Data!$F$2:$F9917, $I500)</f>
        <v>2</v>
      </c>
      <c r="T500" s="31" t="s">
        <v>917</v>
      </c>
      <c r="U500" s="31" t="s">
        <v>918</v>
      </c>
      <c r="V500" s="32">
        <v>45331.0</v>
      </c>
      <c r="X500" s="31" t="str">
        <f>IFERROR(__xludf.DUMMYFUNCTION("""COMPUTED_VALUE"""),"Factors influencing presentation delay among cancer patients: a cross-sectional study in Malaysia.")</f>
        <v>Factors influencing presentation delay among cancer patients: a cross-sectional study in Malaysia.</v>
      </c>
      <c r="Y500" s="31" t="str">
        <f>IFERROR(__xludf.DUMMYFUNCTION("""COMPUTED_VALUE"""),"Gyeltshen, Tshewang; Teh, Hoon Shien; Loo, Ching Ee; Hing, Nicholas Yee Liang; Lim, Wei Yin; Subramaniam, Shridevi; Wong, Wen Jun; Wong, Zoie Shui-Yee; Hwong, Wen Yea")</f>
        <v>Gyeltshen, Tshewang; Teh, Hoon Shien; Loo, Ching Ee; Hing, Nicholas Yee Liang; Lim, Wei Yin; Subramaniam, Shridevi; Wong, Wen Jun; Wong, Zoie Shui-Yee; Hwong, Wen Yea</v>
      </c>
      <c r="Z500" s="31">
        <f>IFERROR(__xludf.DUMMYFUNCTION("""COMPUTED_VALUE"""),2024.0)</f>
        <v>2024</v>
      </c>
      <c r="AA500" s="31">
        <f>IFERROR(__xludf.DUMMYFUNCTION("""COMPUTED_VALUE"""),0.0)</f>
        <v>0</v>
      </c>
      <c r="AF500" s="31" t="str">
        <f>IFERROR(__xludf.DUMMYFUNCTION("""COMPUTED_VALUE"""),"Physicians' and Public Attitudes Toward Euthanasia in People with Advanced Dementia.")</f>
        <v>Physicians' and Public Attitudes Toward Euthanasia in People with Advanced Dementia.</v>
      </c>
      <c r="AG500" s="31" t="str">
        <f>IFERROR(__xludf.DUMMYFUNCTION("""COMPUTED_VALUE"""),"Brinkman-Stoppelenburg, Arianne; Evenblij, Kirsten; Pasman, H Roeline W; van Delden, Johannes J M; Onwuteaka-Philipsen, Bregje D; van der Heide, Agnes")</f>
        <v>Brinkman-Stoppelenburg, Arianne; Evenblij, Kirsten; Pasman, H Roeline W; van Delden, Johannes J M; Onwuteaka-Philipsen, Bregje D; van der Heide, Agnes</v>
      </c>
      <c r="AH500" s="32">
        <f>IFERROR(__xludf.DUMMYFUNCTION("""COMPUTED_VALUE"""),44023.0)</f>
        <v>44023</v>
      </c>
      <c r="AL500" s="31" t="str">
        <f>IFERROR(__xludf.DUMMYFUNCTION("""COMPUTED_VALUE"""),"The increasing need for systematic reviews of prognosis studies: strategies to facilitate review production and improve quality of primary research.")</f>
        <v>The increasing need for systematic reviews of prognosis studies: strategies to facilitate review production and improve quality of primary research.</v>
      </c>
      <c r="AM500" s="31" t="str">
        <f>IFERROR(__xludf.DUMMYFUNCTION("""COMPUTED_VALUE"""),"Damen, Johanna A A G; Hooft, Lotty")</f>
        <v>Damen, Johanna A A G; Hooft, Lotty</v>
      </c>
      <c r="AN500" s="32">
        <f>IFERROR(__xludf.DUMMYFUNCTION("""COMPUTED_VALUE"""),43488.0)</f>
        <v>43488</v>
      </c>
    </row>
    <row r="501">
      <c r="A501" s="32"/>
      <c r="I501" s="31" t="str">
        <f>IFERROR(__xludf.DUMMYFUNCTION("""COMPUTED_VALUE"""),"iranian journal of microbiology")</f>
        <v>iranian journal of microbiology</v>
      </c>
      <c r="J501" s="38">
        <f>COUNTIF(Data!$F$2:$F9917, $I501)</f>
        <v>1</v>
      </c>
      <c r="T501" s="31" t="s">
        <v>921</v>
      </c>
      <c r="U501" s="31" t="s">
        <v>922</v>
      </c>
      <c r="V501" s="32">
        <v>45331.0</v>
      </c>
      <c r="X501" s="31" t="str">
        <f>IFERROR(__xludf.DUMMYFUNCTION("""COMPUTED_VALUE"""),"Co-creation of a toolkit to assist risk communication and clinical decision-making in severe preeclampsia: SPOT-Impact study design.")</f>
        <v>Co-creation of a toolkit to assist risk communication and clinical decision-making in severe preeclampsia: SPOT-Impact study design.</v>
      </c>
      <c r="Y501" s="31" t="str">
        <f>IFERROR(__xludf.DUMMYFUNCTION("""COMPUTED_VALUE"""),"Amoakoh, Hannah Brown; De Kok, Bregje C; Yevoo, Linda Lucy; Olde Loohuis, Klaartje M; Srofenyoh, Emmanuel K; Arhinful, Daniel K; Koi-Larbi, Koiwah; Adu-Bonsaffoh, Kwame; Amoakoh-Coleman, Mary; Browne, Joyce L")</f>
        <v>Amoakoh, Hannah Brown; De Kok, Bregje C; Yevoo, Linda Lucy; Olde Loohuis, Klaartje M; Srofenyoh, Emmanuel K; Arhinful, Daniel K; Koi-Larbi, Koiwah; Adu-Bonsaffoh, Kwame; Amoakoh-Coleman, Mary; Browne, Joyce L</v>
      </c>
      <c r="Z501" s="31">
        <f>IFERROR(__xludf.DUMMYFUNCTION("""COMPUTED_VALUE"""),2024.0)</f>
        <v>2024</v>
      </c>
      <c r="AA501" s="31">
        <f>IFERROR(__xludf.DUMMYFUNCTION("""COMPUTED_VALUE"""),0.0)</f>
        <v>0</v>
      </c>
      <c r="AF501" s="31" t="str">
        <f>IFERROR(__xludf.DUMMYFUNCTION("""COMPUTED_VALUE"""),"Value-sensitive design and global digital health.")</f>
        <v>Value-sensitive design and global digital health.</v>
      </c>
      <c r="AG501" s="31" t="str">
        <f>IFERROR(__xludf.DUMMYFUNCTION("""COMPUTED_VALUE"""),"Jongsma, Karin R; Jongepier, Fleur")</f>
        <v>Jongsma, Karin R; Jongepier, Fleur</v>
      </c>
      <c r="AH501" s="32">
        <f>IFERROR(__xludf.DUMMYFUNCTION("""COMPUTED_VALUE"""),44020.0)</f>
        <v>44020</v>
      </c>
      <c r="AL501" s="31" t="str">
        <f>IFERROR(__xludf.DUMMYFUNCTION("""COMPUTED_VALUE"""),"Education Moderates the Relation Between APOE ɛ4 and Memory in Nondemented Non-Hispanic Black Older Adults.")</f>
        <v>Education Moderates the Relation Between APOE ɛ4 and Memory in Nondemented Non-Hispanic Black Older Adults.</v>
      </c>
      <c r="AM501" s="31" t="str">
        <f>IFERROR(__xludf.DUMMYFUNCTION("""COMPUTED_VALUE"""),"Vonk, Jet M J; Arce Rentería, Miguel; Medina, Valerie M; Pericak-Vance, Margaret A; Byrd, Goldie S; Haines, Jonathan; Brickman, Adam M; Manly, Jennifer J")</f>
        <v>Vonk, Jet M J; Arce Rentería, Miguel; Medina, Valerie M; Pericak-Vance, Margaret A; Byrd, Goldie S; Haines, Jonathan; Brickman, Adam M; Manly, Jennifer J</v>
      </c>
      <c r="AN501" s="32">
        <f>IFERROR(__xludf.DUMMYFUNCTION("""COMPUTED_VALUE"""),43466.0)</f>
        <v>43466</v>
      </c>
    </row>
    <row r="502">
      <c r="A502" s="32"/>
      <c r="I502" s="31" t="str">
        <f>IFERROR(__xludf.DUMMYFUNCTION("""COMPUTED_VALUE"""),"family practice")</f>
        <v>family practice</v>
      </c>
      <c r="J502" s="38">
        <f>COUNTIF(Data!$F$2:$F9917, $I502)</f>
        <v>49</v>
      </c>
      <c r="T502" s="31" t="s">
        <v>927</v>
      </c>
      <c r="U502" s="31" t="s">
        <v>928</v>
      </c>
      <c r="V502" s="32">
        <v>45331.0</v>
      </c>
      <c r="X502" s="31" t="str">
        <f>IFERROR(__xludf.DUMMYFUNCTION("""COMPUTED_VALUE"""),"Global variations in funding and use of hemodialysis accesses: an international report using the ISN Global Kidney Health Atlas.")</f>
        <v>Global variations in funding and use of hemodialysis accesses: an international report using the ISN Global Kidney Health Atlas.</v>
      </c>
      <c r="Y502" s="31" t="str">
        <f>IFERROR(__xludf.DUMMYFUNCTION("""COMPUTED_VALUE"""),"Ghimire, Anukul; Shah, Samveg; Chauhan, Utkarsh; Ibrahim, Kwaifa Salihu; Jindal, Kailash; Kazancioglu, Rumeyza; Luyckx, Valerie A; MacRae, Jennifer M; Olanrewaju, Timothy O; Quinn, Robert R; Ravani, Pietro; Shah, Nikhil; Thompson, Stephanie; Tungsanga, So"&amp;"mkanya; Vachharanjani, Tushar; Arruebo, Silvia; Caskey, Fergus J; Damster, Sandrine; Donner, Jo-Ann; Jha, Vivekanand; Levin, Adeera; Malik, Charu; Nangaku, Masaomi; Saad, Syed; Tonelli, Marcello; Ye, Feng; Okpechi, Ikechi G; Bello, Aminu K; Johnson, David"&amp;" W")</f>
        <v>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v>
      </c>
      <c r="Z502" s="31">
        <f>IFERROR(__xludf.DUMMYFUNCTION("""COMPUTED_VALUE"""),2024.0)</f>
        <v>2024</v>
      </c>
      <c r="AA502" s="31">
        <f>IFERROR(__xludf.DUMMYFUNCTION("""COMPUTED_VALUE"""),0.0)</f>
        <v>0</v>
      </c>
      <c r="AF502" s="31" t="str">
        <f>IFERROR(__xludf.DUMMYFUNCTION("""COMPUTED_VALUE"""),"Association of plasma biomarkers of fruit and vegetable intake with incident type 2 diabetes: EPIC-InterAct case-cohort study in eight European countries.")</f>
        <v>Association of plasma biomarkers of fruit and vegetable intake with incident type 2 diabetes: EPIC-InterAct case-cohort study in eight European countries.</v>
      </c>
      <c r="AG502" s="31" t="str">
        <f>IFERROR(__xludf.DUMMYFUNCTION("""COMPUTED_VALUE"""),"Zheng, Ju-Sheng; Sharp, Stephen J; Imamura, Fumiaki; Chowdhury, Rajiv; Gundersen, Thomas E; Steur, Marinka; Sluijs, Ivonne; van der Schouw, Yvonne T; Agudo, Antonio; Aune, Dagfinn; Barricarte, Aurelio; Boeing, Heiner; Chirlaque, María-Dolores; Dorronsoro,"&amp;" Miren; Freisling, Heinz; El-Fatouhi, Douae; Franks, Paul W; Fagherazzi, Guy; Grioni, Sara; Gunter, Marc J; Kyrø, Cecilie; Katzke, Verena; Kühn, Tilman; Khaw, Kay-Tee; Laouali, Nasser; Masala, Giovanna; Nilsson, Peter M; Overvad, Kim; Panico, Salvatore; P"&amp;"apier, Keren; Quirós, J Ramón; Rolandsson, Olov; Redondo-Sánchez, Daniel; Ricceri, Fulvio; Schulze, Matthias B; Spijkerman, Annemieke M W; Tjønneland, Anne; Tong, Tammy Y N; Tumino, Rosario; Weiderpass, Elisabete; Danesh, John; Butterworth, Adam S; Riboli"&amp;", Elio; Forouhi, Nita G; Wareham, Nicholas J")</f>
        <v>Zheng, Ju-Sheng; Sharp, Stephen J; Imamura, Fumiaki; Chowdhury, Rajiv; Gundersen, Thomas E; Steur, Marinka; Sluijs, Ivonne; van der Schouw, Yvonne T; Agudo, Antonio; Aune, Dagfinn; Barricarte, Aurelio; Boeing, Heiner; Chirlaque, María-Dolores; Dorronsoro, Miren; Freisling, Heinz; El-Fatouhi, Douae; Franks, Paul W; Fagherazzi, Guy; Grioni, Sara; Gunter, Marc J; Kyrø, Cecilie; Katzke, Verena; Kühn, Tilman; Khaw, Kay-Tee; Laouali, Nasser; Masala, Giovanna; Nilsson, Peter M; Overvad, Kim; Panico, Salvatore; Papier, Keren; Quirós, J Ramón; Rolandsson, Olov; Redondo-Sánchez, Daniel; Ricceri, Fulvio; Schulze, Matthias B; Spijkerman, Annemieke M W; Tjønneland, Anne; Tong, Tammy Y N; Tumino, Rosario; Weiderpass, Elisabete; Danesh, John; Butterworth, Adam S; Riboli, Elio; Forouhi, Nita G; Wareham, Nicholas J</v>
      </c>
      <c r="AH502" s="32">
        <f>IFERROR(__xludf.DUMMYFUNCTION("""COMPUTED_VALUE"""),44020.0)</f>
        <v>44020</v>
      </c>
      <c r="AL502" s="31" t="str">
        <f>IFERROR(__xludf.DUMMYFUNCTION("""COMPUTED_VALUE"""),"PROBAST: A Tool to Assess Risk of Bias and Applicability of Prediction Model Studies: Explanation and Elaboration.")</f>
        <v>PROBAST: A Tool to Assess Risk of Bias and Applicability of Prediction Model Studies: Explanation and Elaboration.</v>
      </c>
      <c r="AM502" s="31" t="str">
        <f>IFERROR(__xludf.DUMMYFUNCTION("""COMPUTED_VALUE"""),"Moons, Karel G M; Wolff, Robert F; Riley, Richard D; Whiting, Penny F; Westwood, Marie; Collins, Gary S; Reitsma, Johannes B; Kleijnen, Jos; Mallett, Sue")</f>
        <v>Moons, Karel G M; Wolff, Robert F; Riley, Richard D; Whiting, Penny F; Westwood, Marie; Collins, Gary S; Reitsma, Johannes B; Kleijnen, Jos; Mallett, Sue</v>
      </c>
      <c r="AN502" s="32">
        <f>IFERROR(__xludf.DUMMYFUNCTION("""COMPUTED_VALUE"""),43466.0)</f>
        <v>43466</v>
      </c>
    </row>
    <row r="503">
      <c r="A503" s="32"/>
      <c r="I503" s="31" t="str">
        <f>IFERROR(__xludf.DUMMYFUNCTION("""COMPUTED_VALUE"""),"ajnr american journal of neuroradiology")</f>
        <v>ajnr american journal of neuroradiology</v>
      </c>
      <c r="J503" s="38">
        <f>COUNTIF(Data!$F$2:$F9917, $I503)</f>
        <v>9</v>
      </c>
      <c r="T503" s="31" t="s">
        <v>932</v>
      </c>
      <c r="U503" s="31" t="s">
        <v>933</v>
      </c>
      <c r="V503" s="32">
        <v>45330.0</v>
      </c>
      <c r="X503" s="31" t="str">
        <f>IFERROR(__xludf.DUMMYFUNCTION("""COMPUTED_VALUE"""),"Integrative multi-omics analyses to identify the genetic and functional mechanisms underlying ovarian cancer risk regions.")</f>
        <v>Integrative multi-omics analyses to identify the genetic and functional mechanisms underlying ovarian cancer risk regions.</v>
      </c>
      <c r="Y503" s="31" t="str">
        <f>IFERROR(__xludf.DUMMYFUNCTION("""COMPUTED_VALUE"""),"Dareng, Eileen O; Coetzee, Simon G; Tyrer, Jonathan P; Peng, Pei-Chen; Rosenow, Will; Chen, Stephanie; Davis, Brian D; Dezem, Felipe Segato; Seo, Ji-Heui; Nameki, Robbin; Reyes, Alberto L; Aben, Katja K H; Anton-Culver, Hoda; Antonenkova, Natalia N; Arava"&amp;"ntinos, Gerasimos; Bandera, Elisa V; Beane Freeman, Laura E; Beckmann, Matthias W; Beeghly-Fadiel, Alicia; Benitez, Javier; Bernardini, Marcus Q; Bjorge, Line; Black, Amanda; Bogdanova, Natalia V; Bolton, Kelly L; Brenton, James D; Budzilowska, Agnieszka;"&amp;" Butzow, Ralf; Cai, Hui; Campbell, Ian; Cannioto, Rikki; Chang-Claude, Jenny; Chanock, Stephen J; Chen, Kexin; Chenevix-Trench, Georgia; ,; Chiew, Yoke-Eng; Cook, Linda S; DeFazio, Anna; Dennis, Joe; Doherty, Jennifer A; Dörk, Thilo; du Bois, Andreas; Dür"&amp;"st, Matthias; Eccles, Diana M; Ene, Gabrielle; Fasching, Peter A; Flanagan, James M; Fortner, Renée T; Fostira, Florentia; Gentry-Maharaj, Aleksandra; Giles, Graham G; Goodman, Marc T; Gronwald, Jacek; Haiman, Christopher A; Håkansson,")</f>
        <v>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v>
      </c>
      <c r="Z503" s="31">
        <f>IFERROR(__xludf.DUMMYFUNCTION("""COMPUTED_VALUE"""),2024.0)</f>
        <v>2024</v>
      </c>
      <c r="AA503" s="31">
        <f>IFERROR(__xludf.DUMMYFUNCTION("""COMPUTED_VALUE"""),0.0)</f>
        <v>0</v>
      </c>
      <c r="AF503" s="31" t="str">
        <f>IFERROR(__xludf.DUMMYFUNCTION("""COMPUTED_VALUE"""),"What Sex-Disaggregated Metrics Are Needed to Explain Sex Differences in COVID-19?")</f>
        <v>What Sex-Disaggregated Metrics Are Needed to Explain Sex Differences in COVID-19?</v>
      </c>
      <c r="AG503" s="31" t="str">
        <f>IFERROR(__xludf.DUMMYFUNCTION("""COMPUTED_VALUE"""),"Hockham, Carinna; Thompson, Kelly; Carcel, Cheryl; Pinho-Gomes, Ana-Catarina; Woodward, Mark; Peters, Sanne A E")</f>
        <v>Hockham, Carinna; Thompson, Kelly; Carcel, Cheryl; Pinho-Gomes, Ana-Catarina; Woodward, Mark; Peters, Sanne A E</v>
      </c>
      <c r="AH503" s="32">
        <f>IFERROR(__xludf.DUMMYFUNCTION("""COMPUTED_VALUE"""),44015.0)</f>
        <v>44015</v>
      </c>
      <c r="AL503" s="31" t="str">
        <f>IFERROR(__xludf.DUMMYFUNCTION("""COMPUTED_VALUE"""),"PROBAST: A Tool to Assess the Risk of Bias and Applicability of Prediction Model Studies.")</f>
        <v>PROBAST: A Tool to Assess the Risk of Bias and Applicability of Prediction Model Studies.</v>
      </c>
      <c r="AM503" s="31" t="str">
        <f>IFERROR(__xludf.DUMMYFUNCTION("""COMPUTED_VALUE"""),"Wolff, Robert F; Moons, Karel G M; Riley, Richard D; Whiting, Penny F; Westwood, Marie; Collins, Gary S; Reitsma, Johannes B; Kleijnen, Jos; Mallett, Sue; ,")</f>
        <v>Wolff, Robert F; Moons, Karel G M; Riley, Richard D; Whiting, Penny F; Westwood, Marie; Collins, Gary S; Reitsma, Johannes B; Kleijnen, Jos; Mallett, Sue; ,</v>
      </c>
      <c r="AN503" s="32">
        <f>IFERROR(__xludf.DUMMYFUNCTION("""COMPUTED_VALUE"""),43466.0)</f>
        <v>43466</v>
      </c>
    </row>
    <row r="504">
      <c r="A504" s="32"/>
      <c r="I504" s="31" t="str">
        <f>IFERROR(__xludf.DUMMYFUNCTION("""COMPUTED_VALUE"""),"th open companion journal to thrombosis and haemostasis")</f>
        <v>th open companion journal to thrombosis and haemostasis</v>
      </c>
      <c r="J504" s="38">
        <f>COUNTIF(Data!$F$2:$F9917, $I504)</f>
        <v>2</v>
      </c>
      <c r="T504" s="31" t="s">
        <v>937</v>
      </c>
      <c r="U504" s="31" t="s">
        <v>938</v>
      </c>
      <c r="V504" s="32">
        <v>45330.0</v>
      </c>
      <c r="X504" s="31" t="str">
        <f>IFERROR(__xludf.DUMMYFUNCTION("""COMPUTED_VALUE"""),"SARS-CoV-2-specific T cell responses: a comparative analysis between QuantiFERON SARS-CoV-2, T-SPOT.COVID, and an in-house Omicron ELISpot.")</f>
        <v>SARS-CoV-2-specific T cell responses: a comparative analysis between QuantiFERON SARS-CoV-2, T-SPOT.COVID, and an in-house Omicron ELISpot.</v>
      </c>
      <c r="Y504" s="31" t="str">
        <f>IFERROR(__xludf.DUMMYFUNCTION("""COMPUTED_VALUE"""),"Mak, Willem A; Visser, Wendy; Koeleman, Johannes G M; Ong, David S Y")</f>
        <v>Mak, Willem A; Visser, Wendy; Koeleman, Johannes G M; Ong, David S Y</v>
      </c>
      <c r="Z504" s="31">
        <f>IFERROR(__xludf.DUMMYFUNCTION("""COMPUTED_VALUE"""),2024.0)</f>
        <v>2024</v>
      </c>
      <c r="AA504" s="31">
        <f>IFERROR(__xludf.DUMMYFUNCTION("""COMPUTED_VALUE"""),0.0)</f>
        <v>0</v>
      </c>
      <c r="AF504" s="31" t="str">
        <f>IFERROR(__xludf.DUMMYFUNCTION("""COMPUTED_VALUE"""),"Sex-specific associations between cardiovascular risk factors and myocardial infarction in patients with type 2 diabetes: The ADVANCE-ON study.")</f>
        <v>Sex-specific associations between cardiovascular risk factors and myocardial infarction in patients with type 2 diabetes: The ADVANCE-ON study.</v>
      </c>
      <c r="AG504" s="31" t="str">
        <f>IFERROR(__xludf.DUMMYFUNCTION("""COMPUTED_VALUE"""),"Ohkuma, Toshiaki; Peters, Sanne A E; Jun, Min; Harrap, Stephen; Cooper, Mark; Hamet, Pavel; Poulter, Neil; Chalmers, John; Woodward, Mark; ,")</f>
        <v>Ohkuma, Toshiaki; Peters, Sanne A E; Jun, Min; Harrap, Stephen; Cooper, Mark; Hamet, Pavel; Poulter, Neil; Chalmers, John; Woodward, Mark; ,</v>
      </c>
      <c r="AH504" s="32">
        <f>IFERROR(__xludf.DUMMYFUNCTION("""COMPUTED_VALUE"""),44013.0)</f>
        <v>44013</v>
      </c>
      <c r="AL504" s="31" t="str">
        <f>IFERROR(__xludf.DUMMYFUNCTION("""COMPUTED_VALUE"""),"Development of a prediction model for allogenic blood transfusion in children undergoing surgery for developmental dysplasia of the hip.")</f>
        <v>Development of a prediction model for allogenic blood transfusion in children undergoing surgery for developmental dysplasia of the hip.</v>
      </c>
      <c r="AM504" s="31" t="str">
        <f>IFERROR(__xludf.DUMMYFUNCTION("""COMPUTED_VALUE"""),"Alassaf, Nabil; Reitsma, Johannes B")</f>
        <v>Alassaf, Nabil; Reitsma, Johannes B</v>
      </c>
      <c r="AN504" s="32">
        <f>IFERROR(__xludf.DUMMYFUNCTION("""COMPUTED_VALUE"""),43466.0)</f>
        <v>43466</v>
      </c>
    </row>
    <row r="505">
      <c r="A505" s="32"/>
      <c r="I505" s="31" t="str">
        <f>IFERROR(__xludf.DUMMYFUNCTION("""COMPUTED_VALUE"""),"advances in radiation oncology")</f>
        <v>advances in radiation oncology</v>
      </c>
      <c r="J505" s="38">
        <f>COUNTIF(Data!$F$2:$F9917, $I505)</f>
        <v>1</v>
      </c>
      <c r="T505" s="31" t="s">
        <v>940</v>
      </c>
      <c r="U505" s="31" t="s">
        <v>941</v>
      </c>
      <c r="V505" s="32">
        <v>45330.0</v>
      </c>
      <c r="X505" s="31" t="str">
        <f>IFERROR(__xludf.DUMMYFUNCTION("""COMPUTED_VALUE"""),"Associations between low- and high-fat dairy intake and recurrence risk in people with stage I-III colorectal cancer differ by sex and primary tumour location.")</f>
        <v>Associations between low- and high-fat dairy intake and recurrence risk in people with stage I-III colorectal cancer differ by sex and primary tumour location.</v>
      </c>
      <c r="Y505" s="31" t="str">
        <f>IFERROR(__xludf.DUMMYFUNCTION("""COMPUTED_VALUE"""),"van Lanen, Anne-Sophie; Kok, Dieuwertje E; Wesselink, Evertine; Derksen, Jeroen W G; May, Anne M; Smit, Karel C; Koopman, Miriam; de Wilt, Johannes; Kampman, Ellen; van Duijnhoven, Fränzel J B; ,")</f>
        <v>van Lanen, Anne-Sophie; Kok, Dieuwertje E; Wesselink, Evertine; Derksen, Jeroen W G; May, Anne M; Smit, Karel C; Koopman, Miriam; de Wilt, Johannes; Kampman, Ellen; van Duijnhoven, Fränzel J B; ,</v>
      </c>
      <c r="Z505" s="31">
        <f>IFERROR(__xludf.DUMMYFUNCTION("""COMPUTED_VALUE"""),2024.0)</f>
        <v>2024</v>
      </c>
      <c r="AA505" s="31">
        <f>IFERROR(__xludf.DUMMYFUNCTION("""COMPUTED_VALUE"""),0.0)</f>
        <v>0</v>
      </c>
      <c r="AF505" s="31" t="str">
        <f>IFERROR(__xludf.DUMMYFUNCTION("""COMPUTED_VALUE"""),"Changing Practices in the Use of Continuous Sedation at the End of Life: A Systematic Review of the Literature.")</f>
        <v>Changing Practices in the Use of Continuous Sedation at the End of Life: A Systematic Review of the Literature.</v>
      </c>
      <c r="AG505" s="31" t="str">
        <f>IFERROR(__xludf.DUMMYFUNCTION("""COMPUTED_VALUE"""),"Heijltjes, Madelon T; van Thiel, Ghislaine J M W; Rietjens, Judith A C; van der Heide, Agnes; de Graeff, Alexander; van Delden, Johannes J M")</f>
        <v>Heijltjes, Madelon T; van Thiel, Ghislaine J M W; Rietjens, Judith A C; van der Heide, Agnes; de Graeff, Alexander; van Delden, Johannes J M</v>
      </c>
      <c r="AH505" s="32">
        <f>IFERROR(__xludf.DUMMYFUNCTION("""COMPUTED_VALUE"""),44008.0)</f>
        <v>44008</v>
      </c>
      <c r="AL505" s="31" t="str">
        <f>IFERROR(__xludf.DUMMYFUNCTION("""COMPUTED_VALUE"""),"Trajectory of Cardiovascular Risk Factors After Hypertensive Disorders of Pregnancy.")</f>
        <v>Trajectory of Cardiovascular Risk Factors After Hypertensive Disorders of Pregnancy.</v>
      </c>
      <c r="AM505" s="31" t="str">
        <f>IFERROR(__xludf.DUMMYFUNCTION("""COMPUTED_VALUE"""),"Groenhof, T Katrien J; Zoet, Gerbrand A; Franx, Arie; Gansevoort, Ron T; Bots, Michiel L; Groen, Henk; Lely, A Titia; ,")</f>
        <v>Groenhof, T Katrien J; Zoet, Gerbrand A; Franx, Arie; Gansevoort, Ron T; Bots, Michiel L; Groen, Henk; Lely, A Titia; ,</v>
      </c>
      <c r="AN505" s="32">
        <f>IFERROR(__xludf.DUMMYFUNCTION("""COMPUTED_VALUE"""),43466.0)</f>
        <v>43466</v>
      </c>
    </row>
    <row r="506">
      <c r="A506" s="32"/>
      <c r="I506" s="31" t="str">
        <f>IFERROR(__xludf.DUMMYFUNCTION("""COMPUTED_VALUE"""),"bmc genomics")</f>
        <v>bmc genomics</v>
      </c>
      <c r="J506" s="38">
        <f>COUNTIF(Data!$F$2:$F9917, $I506)</f>
        <v>2</v>
      </c>
      <c r="T506" s="31" t="s">
        <v>945</v>
      </c>
      <c r="U506" s="31" t="s">
        <v>946</v>
      </c>
      <c r="V506" s="32">
        <v>45329.0</v>
      </c>
      <c r="X506" s="31" t="str">
        <f>IFERROR(__xludf.DUMMYFUNCTION("""COMPUTED_VALUE"""),"Respiratory syncytial virus vaccination during pregnancy for improving infant outcomes.")</f>
        <v>Respiratory syncytial virus vaccination during pregnancy for improving infant outcomes.</v>
      </c>
      <c r="Y506" s="31" t="str">
        <f>IFERROR(__xludf.DUMMYFUNCTION("""COMPUTED_VALUE"""),"Phijffer, Emily Wem; de Bruin, Odette; Ahmadizar, Fariba; Bont, Louis J; Van der Maas, Nicoline At; Sturkenboom, Miriam Cjm; Wildenbeest, Joanne G; Bloemenkamp, Kitty Wm")</f>
        <v>Phijffer, Emily Wem; de Bruin, Odette; Ahmadizar, Fariba; Bont, Louis J; Van der Maas, Nicoline At; Sturkenboom, Miriam Cjm; Wildenbeest, Joanne G; Bloemenkamp, Kitty Wm</v>
      </c>
      <c r="Z506" s="31">
        <f>IFERROR(__xludf.DUMMYFUNCTION("""COMPUTED_VALUE"""),2024.0)</f>
        <v>2024</v>
      </c>
      <c r="AA506" s="31">
        <f>IFERROR(__xludf.DUMMYFUNCTION("""COMPUTED_VALUE"""),0.0)</f>
        <v>0</v>
      </c>
      <c r="AF506" s="31" t="str">
        <f>IFERROR(__xludf.DUMMYFUNCTION("""COMPUTED_VALUE"""),"Coverage of intermittent preventive treatment of malaria in pregnancy (IPTp) influences delivery outcomes among women with obstetric referrals at the district level in Ghana.")</f>
        <v>Coverage of intermittent preventive treatment of malaria in pregnancy (IPTp) influences delivery outcomes among women with obstetric referrals at the district level in Ghana.</v>
      </c>
      <c r="AG506" s="31" t="str">
        <f>IFERROR(__xludf.DUMMYFUNCTION("""COMPUTED_VALUE"""),"Amoakoh-Coleman, Mary; Arhinful, Daniel K; Klipstein-Grobusch, Kerstin; Ansah, Evelyn K; Koram, Kwadwo A")</f>
        <v>Amoakoh-Coleman, Mary; Arhinful, Daniel K; Klipstein-Grobusch, Kerstin; Ansah, Evelyn K; Koram, Kwadwo A</v>
      </c>
      <c r="AH506" s="32">
        <f>IFERROR(__xludf.DUMMYFUNCTION("""COMPUTED_VALUE"""),44006.0)</f>
        <v>44006</v>
      </c>
      <c r="AL506" s="31" t="str">
        <f>IFERROR(__xludf.DUMMYFUNCTION("""COMPUTED_VALUE"""),"The Need for Policy Change Regarding Progestin-Only Injectable Contraceptives.")</f>
        <v>The Need for Policy Change Regarding Progestin-Only Injectable Contraceptives.</v>
      </c>
      <c r="AM506" s="31" t="str">
        <f>IFERROR(__xludf.DUMMYFUNCTION("""COMPUTED_VALUE"""),"Gollub, Erica L; Jones, Heidi E; Ralph, Lauren J; van de Wijgert, Janneke H H M; Padian, Nancy; Stein, Zena")</f>
        <v>Gollub, Erica L; Jones, Heidi E; Ralph, Lauren J; van de Wijgert, Janneke H H M; Padian, Nancy; Stein, Zena</v>
      </c>
      <c r="AN506" s="32">
        <f>IFERROR(__xludf.DUMMYFUNCTION("""COMPUTED_VALUE"""),43455.0)</f>
        <v>43455</v>
      </c>
    </row>
    <row r="507">
      <c r="A507" s="32"/>
      <c r="I507" s="31" t="str">
        <f>IFERROR(__xludf.DUMMYFUNCTION("""COMPUTED_VALUE"""),"human reproduction oxford england")</f>
        <v>human reproduction oxford england</v>
      </c>
      <c r="J507" s="38">
        <f>COUNTIF(Data!$F$2:$F9917, $I507)</f>
        <v>16</v>
      </c>
      <c r="T507" s="31" t="s">
        <v>950</v>
      </c>
      <c r="U507" s="31" t="s">
        <v>951</v>
      </c>
      <c r="V507" s="32">
        <v>45328.0</v>
      </c>
      <c r="X507" s="31" t="str">
        <f>IFERROR(__xludf.DUMMYFUNCTION("""COMPUTED_VALUE"""),"Novel point-of-care cytokine biomarker lateral flow test for the screening for sexually transmitted infections and bacterial vaginosis: study protocol of a multicentre multidisciplinary prospective observational clinical study to evaluate the performance "&amp;"and feasibility of the Genital InFlammation Test (GIFT).")</f>
        <v>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v>
      </c>
      <c r="Y507" s="31" t="str">
        <f>IFERROR(__xludf.DUMMYFUNCTION("""COMPUTED_VALUE"""),"Ramboarina, Stephanie; Crucitti, Tania; Gill, Katherine; Bekker, Linda Gail; Harding-Esch, Emma Michele; van de Wijgert, Janneke H H M; Huynh, Bich-Tram; Fortas, Camille; Harimanana, Aina; Mayouya Gamana, Théodora; Randremanana, Rindra Vatosoa; Mangahasim"&amp;"bola, Reziky; Dziva Chikwari, Chido; Kranzer, Katharina; Mackworth-Young, Constance R S; Bernays, Sarah; Thomas, Nicola; Anderson, David; Tanko, Fatime Ramla; Manhanzva, Monalisa; Lurie, Micaela; Khumalo, Fezile; Sinanovic, Edina; Honda, Ayako; Pidwell, T"&amp;"anya; Francis, Suzanna C; Masson, Lindi; Passmore, Jo-Anne; ,")</f>
        <v>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v>
      </c>
      <c r="Z507" s="31">
        <f>IFERROR(__xludf.DUMMYFUNCTION("""COMPUTED_VALUE"""),2024.0)</f>
        <v>2024</v>
      </c>
      <c r="AA507" s="31">
        <f>IFERROR(__xludf.DUMMYFUNCTION("""COMPUTED_VALUE"""),0.0)</f>
        <v>0</v>
      </c>
      <c r="AF507" s="31" t="str">
        <f>IFERROR(__xludf.DUMMYFUNCTION("""COMPUTED_VALUE"""),"A registry-based algorithm to predict ejection fraction in patients with heart failure.")</f>
        <v>A registry-based algorithm to predict ejection fraction in patients with heart failure.</v>
      </c>
      <c r="AG507" s="31" t="str">
        <f>IFERROR(__xludf.DUMMYFUNCTION("""COMPUTED_VALUE"""),"Uijl, Alicia; Lund, Lars H; Vaartjes, Ilonca; Brugts, Jasper J; Linssen, Gerard C; Asselbergs, Folkert W; Hoes, Arno W; Dahlström, Ulf; Koudstaal, Stefan; Savarese, Gianluigi")</f>
        <v>Uijl, Alicia; Lund, Lars H; Vaartjes, Ilonca; Brugts, Jasper J; Linssen, Gerard C; Asselbergs, Folkert W; Hoes, Arno W; Dahlström, Ulf; Koudstaal, Stefan; Savarese, Gianluigi</v>
      </c>
      <c r="AH507" s="32">
        <f>IFERROR(__xludf.DUMMYFUNCTION("""COMPUTED_VALUE"""),43999.0)</f>
        <v>43999</v>
      </c>
      <c r="AL507" s="31" t="str">
        <f>IFERROR(__xludf.DUMMYFUNCTION("""COMPUTED_VALUE"""),"Nonfocal transient neurological attacks in patients with carotid artery occlusion.")</f>
        <v>Nonfocal transient neurological attacks in patients with carotid artery occlusion.</v>
      </c>
      <c r="AM507" s="31" t="str">
        <f>IFERROR(__xludf.DUMMYFUNCTION("""COMPUTED_VALUE"""),"Oudeman, Eline A; Volkers, Eline J; Greving, Jacoba P; Klijn, Catharina Jm; Algra, Ale; Kappelle, L Jaap")</f>
        <v>Oudeman, Eline A; Volkers, Eline J; Greving, Jacoba P; Klijn, Catharina Jm; Algra, Ale; Kappelle, L Jaap</v>
      </c>
      <c r="AN507" s="32">
        <f>IFERROR(__xludf.DUMMYFUNCTION("""COMPUTED_VALUE"""),43446.0)</f>
        <v>43446</v>
      </c>
    </row>
    <row r="508">
      <c r="A508" s="32"/>
      <c r="I508" s="31" t="str">
        <f>IFERROR(__xludf.DUMMYFUNCTION("""COMPUTED_VALUE"""),"obstetrics and gynecology")</f>
        <v>obstetrics and gynecology</v>
      </c>
      <c r="J508" s="38">
        <f>COUNTIF(Data!$F$2:$F9917, $I508)</f>
        <v>6</v>
      </c>
      <c r="T508" s="31" t="s">
        <v>955</v>
      </c>
      <c r="U508" s="31" t="s">
        <v>956</v>
      </c>
      <c r="V508" s="32">
        <v>45327.0</v>
      </c>
      <c r="X508" s="31" t="str">
        <f>IFERROR(__xludf.DUMMYFUNCTION("""COMPUTED_VALUE"""),"Do efficacy results obtained from randomized controlled trials translate to effectiveness data from observational studies for relapsing-remitting multiple sclerosis?")</f>
        <v>Do efficacy results obtained from randomized controlled trials translate to effectiveness data from observational studies for relapsing-remitting multiple sclerosis?</v>
      </c>
      <c r="Y508" s="31" t="str">
        <f>IFERROR(__xludf.DUMMYFUNCTION("""COMPUTED_VALUE"""),"Verweij, Stefan; Ahmed, Wouter; Zhou, Guiling; Mavridis, Dimitris; Nikolakopoulos, Stavros; Elferink, Andre J; Rengerink, Katrien Oude; Bijlsma, Maarten J; Mol, Peter G M; Hak, Eelko")</f>
        <v>Verweij, Stefan; Ahmed, Wouter; Zhou, Guiling; Mavridis, Dimitris; Nikolakopoulos, Stavros; Elferink, Andre J; Rengerink, Katrien Oude; Bijlsma, Maarten J; Mol, Peter G M; Hak, Eelko</v>
      </c>
      <c r="Z508" s="31">
        <f>IFERROR(__xludf.DUMMYFUNCTION("""COMPUTED_VALUE"""),2024.0)</f>
        <v>2024</v>
      </c>
      <c r="AA508" s="31">
        <f>IFERROR(__xludf.DUMMYFUNCTION("""COMPUTED_VALUE"""),0.0)</f>
        <v>0</v>
      </c>
      <c r="AF508" s="31" t="str">
        <f>IFERROR(__xludf.DUMMYFUNCTION("""COMPUTED_VALUE"""),"Modifiable lifestyle factors and heart failure: A Mendelian randomization study.")</f>
        <v>Modifiable lifestyle factors and heart failure: A Mendelian randomization study.</v>
      </c>
      <c r="AG508" s="31" t="str">
        <f>IFERROR(__xludf.DUMMYFUNCTION("""COMPUTED_VALUE"""),"van Oort, Sabine; Beulens, Joline W J; van Ballegooijen, Adriana J; Handoko, M Louis; Larsson, Susanna C")</f>
        <v>van Oort, Sabine; Beulens, Joline W J; van Ballegooijen, Adriana J; Handoko, M Louis; Larsson, Susanna C</v>
      </c>
      <c r="AH508" s="32">
        <f>IFERROR(__xludf.DUMMYFUNCTION("""COMPUTED_VALUE"""),43997.0)</f>
        <v>43997</v>
      </c>
      <c r="AL508" s="31" t="str">
        <f>IFERROR(__xludf.DUMMYFUNCTION("""COMPUTED_VALUE"""),"Peptide Ligands of AmiA, AliA, and AliB Proteins Determine Pneumococcal Phenotype.")</f>
        <v>Peptide Ligands of AmiA, AliA, and AliB Proteins Determine Pneumococcal Phenotype.</v>
      </c>
      <c r="AM508" s="31" t="str">
        <f>IFERROR(__xludf.DUMMYFUNCTION("""COMPUTED_VALUE"""),"Nasher, Fauzy; Aguilar, Fernando; Aebi, Suzanne; Hermans, Peter W M; Heller, Manfred; Hathaway, Lucy J")</f>
        <v>Nasher, Fauzy; Aguilar, Fernando; Aebi, Suzanne; Hermans, Peter W M; Heller, Manfred; Hathaway, Lucy J</v>
      </c>
      <c r="AN508" s="32">
        <f>IFERROR(__xludf.DUMMYFUNCTION("""COMPUTED_VALUE"""),43439.0)</f>
        <v>43439</v>
      </c>
    </row>
    <row r="509">
      <c r="A509" s="32"/>
      <c r="I509" s="31" t="str">
        <f>IFERROR(__xludf.DUMMYFUNCTION("""COMPUTED_VALUE"""),"the international journal of behavioral nutrition and physical activity")</f>
        <v>the international journal of behavioral nutrition and physical activity</v>
      </c>
      <c r="J509" s="38">
        <f>COUNTIF(Data!$F$2:$F9917, $I509)</f>
        <v>8</v>
      </c>
      <c r="T509" s="31" t="s">
        <v>960</v>
      </c>
      <c r="U509" s="31" t="s">
        <v>961</v>
      </c>
      <c r="V509" s="32">
        <v>45326.0</v>
      </c>
      <c r="X509" s="31" t="str">
        <f>IFERROR(__xludf.DUMMYFUNCTION("""COMPUTED_VALUE"""),"Sex Differences in Mortality Risk after the First Hospitalisation with Lower Extremity Peripheral Arterial Disease.")</f>
        <v>Sex Differences in Mortality Risk after the First Hospitalisation with Lower Extremity Peripheral Arterial Disease.</v>
      </c>
      <c r="Y509" s="31" t="str">
        <f>IFERROR(__xludf.DUMMYFUNCTION("""COMPUTED_VALUE"""),"Porras, Cindy P; de Boer, Annemarijn R; Koop, Yvonne; Vaartjes, Ilonca; Teraa, Martin; Hazenberg, Constantijn E V B; Verhaar, Marianne C; Vernooij, Robin W M")</f>
        <v>Porras, Cindy P; de Boer, Annemarijn R; Koop, Yvonne; Vaartjes, Ilonca; Teraa, Martin; Hazenberg, Constantijn E V B; Verhaar, Marianne C; Vernooij, Robin W M</v>
      </c>
      <c r="Z509" s="31">
        <f>IFERROR(__xludf.DUMMYFUNCTION("""COMPUTED_VALUE"""),2024.0)</f>
        <v>2024</v>
      </c>
      <c r="AA509" s="31">
        <f>IFERROR(__xludf.DUMMYFUNCTION("""COMPUTED_VALUE"""),0.0)</f>
        <v>0</v>
      </c>
      <c r="AF509" s="31" t="str">
        <f>IFERROR(__xludf.DUMMYFUNCTION("""COMPUTED_VALUE"""),"The impact of socioeconomic position (SEP) on women's health over the lifetime.")</f>
        <v>The impact of socioeconomic position (SEP) on women's health over the lifetime.</v>
      </c>
      <c r="AG509" s="31" t="str">
        <f>IFERROR(__xludf.DUMMYFUNCTION("""COMPUTED_VALUE"""),"O'Neil, Adrienne; Russell, Josephine D; Thompson, Kelly; Martinson, Melissa L; Peters, Sanne A E")</f>
        <v>O'Neil, Adrienne; Russell, Josephine D; Thompson, Kelly; Martinson, Melissa L; Peters, Sanne A E</v>
      </c>
      <c r="AH509" s="32">
        <f>IFERROR(__xludf.DUMMYFUNCTION("""COMPUTED_VALUE"""),43987.0)</f>
        <v>43987</v>
      </c>
      <c r="AL509" s="31" t="str">
        <f>IFERROR(__xludf.DUMMYFUNCTION("""COMPUTED_VALUE"""),"[The polypill for cardiovascular disease: why is it used so infrequently?].")</f>
        <v>[The polypill for cardiovascular disease: why is it used so infrequently?].</v>
      </c>
      <c r="AM509" s="31" t="str">
        <f>IFERROR(__xludf.DUMMYFUNCTION("""COMPUTED_VALUE"""),"Bots, Michiel L; Lafeber, Melvin")</f>
        <v>Bots, Michiel L; Lafeber, Melvin</v>
      </c>
      <c r="AN509" s="32">
        <f>IFERROR(__xludf.DUMMYFUNCTION("""COMPUTED_VALUE"""),43439.0)</f>
        <v>43439</v>
      </c>
    </row>
    <row r="510">
      <c r="A510" s="32"/>
      <c r="I510" s="31" t="str">
        <f>IFERROR(__xludf.DUMMYFUNCTION("""COMPUTED_VALUE"""),"science medicine in football")</f>
        <v>science medicine in football</v>
      </c>
      <c r="J510" s="38">
        <f>COUNTIF(Data!$F$2:$F9917, $I510)</f>
        <v>1</v>
      </c>
      <c r="T510" s="31" t="s">
        <v>965</v>
      </c>
      <c r="U510" s="31" t="s">
        <v>966</v>
      </c>
      <c r="V510" s="32">
        <v>45324.0</v>
      </c>
      <c r="X510" s="31"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Y510" s="31"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Z510" s="31">
        <f>IFERROR(__xludf.DUMMYFUNCTION("""COMPUTED_VALUE"""),2024.0)</f>
        <v>2024</v>
      </c>
      <c r="AA510" s="31">
        <f>IFERROR(__xludf.DUMMYFUNCTION("""COMPUTED_VALUE"""),0.0)</f>
        <v>0</v>
      </c>
      <c r="AF510" s="31" t="str">
        <f>IFERROR(__xludf.DUMMYFUNCTION("""COMPUTED_VALUE"""),"Advancing non-communicable diseases research in Ghana: key stakeholders' recommendations from a symposium.")</f>
        <v>Advancing non-communicable diseases research in Ghana: key stakeholders' recommendations from a symposium.</v>
      </c>
      <c r="AG510" s="31" t="str">
        <f>IFERROR(__xludf.DUMMYFUNCTION("""COMPUTED_VALUE"""),"Tindana, Paulina; Ramsay, Michèle; Klipstein-Grobusch, Kerstin; Amoakoh-Coleman, Mary")</f>
        <v>Tindana, Paulina; Ramsay, Michèle; Klipstein-Grobusch, Kerstin; Amoakoh-Coleman, Mary</v>
      </c>
      <c r="AH510" s="32">
        <f>IFERROR(__xludf.DUMMYFUNCTION("""COMPUTED_VALUE"""),43983.0)</f>
        <v>43983</v>
      </c>
      <c r="AL510" s="31" t="str">
        <f>IFERROR(__xludf.DUMMYFUNCTION("""COMPUTED_VALUE"""),"The quality of studies evaluating antimicrobial stewardship interventions: a systematic review.")</f>
        <v>The quality of studies evaluating antimicrobial stewardship interventions: a systematic review.</v>
      </c>
      <c r="AM510" s="31" t="str">
        <f>IFERROR(__xludf.DUMMYFUNCTION("""COMPUTED_VALUE"""),"Schweitzer, V A; van Heijl, I; van Werkhoven, C H; Islam, J; Hendriks-Spoor, K D; Bielicki, J; Bonten, M J M; Walker, A S; Llewelyn, M J; ,")</f>
        <v>Schweitzer, V A; van Heijl, I; van Werkhoven, C H; Islam, J; Hendriks-Spoor, K D; Bielicki, J; Bonten, M J M; Walker, A S; Llewelyn, M J; ,</v>
      </c>
      <c r="AN510" s="32">
        <f>IFERROR(__xludf.DUMMYFUNCTION("""COMPUTED_VALUE"""),43427.0)</f>
        <v>43427</v>
      </c>
    </row>
    <row r="511">
      <c r="A511" s="32"/>
      <c r="I511" s="31" t="str">
        <f>IFERROR(__xludf.DUMMYFUNCTION("""COMPUTED_VALUE"""),"annals of the american thoracic society")</f>
        <v>annals of the american thoracic society</v>
      </c>
      <c r="J511" s="38">
        <f>COUNTIF(Data!$F$2:$F9917, $I511)</f>
        <v>3</v>
      </c>
      <c r="T511" s="31" t="s">
        <v>969</v>
      </c>
      <c r="U511" s="31" t="s">
        <v>970</v>
      </c>
      <c r="V511" s="32">
        <v>45324.0</v>
      </c>
      <c r="X511" s="31" t="str">
        <f>IFERROR(__xludf.DUMMYFUNCTION("""COMPUTED_VALUE"""),"The mediating role of health behaviors in the association between depression, anxiety and cancer incidence: an individual participant data meta-analysis.")</f>
        <v>The mediating role of health behaviors in the association between depression, anxiety and cancer incidence: an individual participant data meta-analysis.</v>
      </c>
      <c r="Y511" s="31" t="str">
        <f>IFERROR(__xludf.DUMMYFUNCTION("""COMPUTED_VALUE"""),"Pan, Kuan-Yu; van Tuijl, Lonneke; Basten, Maartje; Rijnhart, Judith J M; de Graeff, Alexander; Dekker, Joost; Geerlings, Mirjam I; Hoogendoorn, Adriaan; Ranchor, Adelita V; Vermeulen, Roel; Portengen, Lützen; Voogd, Adri C; Abell, Jessica; Awadalla, Phili"&amp;"p; Beekman, Aartjan T F; Bjerkeset, Ottar; Boyd, Andy; Cui, Yunsong; Frank, Philipp; Galenkamp, Henrike; Garssen, Bert; Hellingman, Sean; Hollander, Monika; Huisman, Martijn; Huss, Anke; Keats, Melanie R; Kok, Almar A L; Krokstad, Steinar; van Leeuwen, Fl"&amp;"ora E; Luik, Annemarie I; Noisel, Nolwenn; Payette, Yves; Penninx, Brenda W J H; Picavet, Susan; Rissanen, Ina; Roest, Annelieke M; Rosmalen, Judith G M; Ruiter, Rikje; Schoevers, Robert A; Soave, David; Spaan, Mandy; Steptoe, Andrew; Stronks, Karien; Sun"&amp;"d, Erik R; Sweeney, Ellen; Teyhan, Alison; Twait, Emma L; van der Willik, Kimberly D; Lamers, Femke")</f>
        <v>Pan, Kuan-Yu; van Tuijl, Lonneke; Basten, Maartje; Rijnhart, Judith J M; de Graeff, Alexander; Dekker, Joost; Geerlings, Mirjam I; Hoogendoorn, Adriaan; Ranchor, Adelita V; Vermeulen, Roel; Portengen, Lützen; Voogd, Adri C; Abell, Jessica; Awadalla, Philip; Beekman, Aartjan T F; Bjerkeset, Ottar; Boyd, Andy; Cui, Yunsong; Frank, Philipp; Galenkamp, Henrike; Garssen, Bert; Hellingman, Sean; Hollander, Monika; Huisman, Martijn; Huss, Anke; Keats, Melanie R; Kok, Almar A L; Krokstad, Steinar; van Leeuwen, Flora E; Luik, Annemarie I; Noisel, Nolwenn; Payette, Yves; Penninx, Brenda W J H; Picavet, Susan; Rissanen, Ina; Roest, Annelieke M; Rosmalen, Judith G M; Ruiter, Rikje; Schoevers, Robert A; Soave, David; Spaan, Mandy; Steptoe, Andrew; Stronks, Karien; Sund, Erik R; Sweeney, Ellen; Teyhan, Alison; Twait, Emma L; van der Willik, Kimberly D; Lamers, Femke</v>
      </c>
      <c r="Z511" s="31">
        <f>IFERROR(__xludf.DUMMYFUNCTION("""COMPUTED_VALUE"""),2024.0)</f>
        <v>2024</v>
      </c>
      <c r="AA511" s="31">
        <f>IFERROR(__xludf.DUMMYFUNCTION("""COMPUTED_VALUE"""),0.0)</f>
        <v>0</v>
      </c>
      <c r="AF511" s="31" t="str">
        <f>IFERROR(__xludf.DUMMYFUNCTION("""COMPUTED_VALUE"""),"Gender differences in the accuracy of dietary assessment methods to measure energy intake in adults: protocol for a systematic review and meta-analysis.")</f>
        <v>Gender differences in the accuracy of dietary assessment methods to measure energy intake in adults: protocol for a systematic review and meta-analysis.</v>
      </c>
      <c r="AG511" s="31" t="str">
        <f>IFERROR(__xludf.DUMMYFUNCTION("""COMPUTED_VALUE"""),"McKenzie, Briar L; Coyle, Daisy H; Burrows, Tracy; Rosewarne, Emalie; Peters, Sanne A E; Carcel, Cheryl; Collins, Clare E; Norton, Robyn; Woodward, Mark; Jaacks, Lindsay M; Webster, Jacqui")</f>
        <v>McKenzie, Briar L; Coyle, Daisy H; Burrows, Tracy; Rosewarne, Emalie; Peters, Sanne A E; Carcel, Cheryl; Collins, Clare E; Norton, Robyn; Woodward, Mark; Jaacks, Lindsay M; Webster, Jacqui</v>
      </c>
      <c r="AH511" s="32">
        <f>IFERROR(__xludf.DUMMYFUNCTION("""COMPUTED_VALUE"""),43983.0)</f>
        <v>43983</v>
      </c>
      <c r="AL511" s="31" t="str">
        <f>IFERROR(__xludf.DUMMYFUNCTION("""COMPUTED_VALUE"""),"Elimination prospects of the Dutch HIV epidemic among men who have sex with men in the era of preexposure prophylaxis.")</f>
        <v>Elimination prospects of the Dutch HIV epidemic among men who have sex with men in the era of preexposure prophylaxis.</v>
      </c>
      <c r="AM511" s="31" t="str">
        <f>IFERROR(__xludf.DUMMYFUNCTION("""COMPUTED_VALUE"""),"Rozhnova, Ganna; Heijne, Janneke; Bezemer, Daniela; van Sighem, Ard; Presanis, Anne; De Angelis, Daniela; Kretzschmar, Mirjam")</f>
        <v>Rozhnova, Ganna; Heijne, Janneke; Bezemer, Daniela; van Sighem, Ard; Presanis, Anne; De Angelis, Daniela; Kretzschmar, Mirjam</v>
      </c>
      <c r="AN511" s="32">
        <f>IFERROR(__xludf.DUMMYFUNCTION("""COMPUTED_VALUE"""),43417.0)</f>
        <v>43417</v>
      </c>
    </row>
    <row r="512">
      <c r="A512" s="32"/>
      <c r="I512" s="31" t="str">
        <f>IFERROR(__xludf.DUMMYFUNCTION("""COMPUTED_VALUE"""),"radiology imaging cancer")</f>
        <v>radiology imaging cancer</v>
      </c>
      <c r="J512" s="38">
        <f>COUNTIF(Data!$F$2:$F9917, $I512)</f>
        <v>1</v>
      </c>
      <c r="T512" s="31" t="s">
        <v>973</v>
      </c>
      <c r="U512" s="31" t="s">
        <v>974</v>
      </c>
      <c r="V512" s="32">
        <v>45324.0</v>
      </c>
      <c r="X512" s="31" t="str">
        <f>IFERROR(__xludf.DUMMYFUNCTION("""COMPUTED_VALUE"""),"Development and validation of a risk prediction model for hospital admission in COVID-19 patients presenting to primary care.")</f>
        <v>Development and validation of a risk prediction model for hospital admission in COVID-19 patients presenting to primary care.</v>
      </c>
      <c r="Y512" s="31" t="str">
        <f>IFERROR(__xludf.DUMMYFUNCTION("""COMPUTED_VALUE"""),"Wynants, Laure; Broers, Natascha Jh; Platteel, Tamara N; Venekamp, Roderick P; Barten, Dennis G; Leers, Mathie Pg; Verheij, Theo Jm; Stassen, Patricia M; Cals, Jochen Wl; de Bont, Eefje Gpm")</f>
        <v>Wynants, Laure; Broers, Natascha Jh; Platteel, Tamara N; Venekamp, Roderick P; Barten, Dennis G; Leers, Mathie Pg; Verheij, Theo Jm; Stassen, Patricia M; Cals, Jochen Wl; de Bont, Eefje Gpm</v>
      </c>
      <c r="Z512" s="31">
        <f>IFERROR(__xludf.DUMMYFUNCTION("""COMPUTED_VALUE"""),2024.0)</f>
        <v>2024</v>
      </c>
      <c r="AA512" s="31">
        <f>IFERROR(__xludf.DUMMYFUNCTION("""COMPUTED_VALUE"""),0.0)</f>
        <v>0</v>
      </c>
      <c r="AF512" s="31" t="str">
        <f>IFERROR(__xludf.DUMMYFUNCTION("""COMPUTED_VALUE"""),"Prevalence and adverse obstetric outcomes of female genital mutilation among women in rural Northern Ghana.")</f>
        <v>Prevalence and adverse obstetric outcomes of female genital mutilation among women in rural Northern Ghana.</v>
      </c>
      <c r="AG512" s="31" t="str">
        <f>IFERROR(__xludf.DUMMYFUNCTION("""COMPUTED_VALUE"""),"Nonterah, Engelbert A; Kanmiki, Edmund W; Agorinya, Isaiah A; Sakeah, Evelyn; Tamimu, Mariatu; Kagura, Juliana; Kaburise, Michael B; Ayamba, Emmanuel Y; Nonterah, Esmond W; Awuni, Denis A; Al-Hassan, Majeedallahi; Ofosu, Winfred; Awoonor-Williams, John K;"&amp;" Oduro, Abraham R")</f>
        <v>Nonterah, Engelbert A; Kanmiki, Edmund W; Agorinya, Isaiah A; Sakeah, Evelyn; Tamimu, Mariatu; Kagura, Juliana; Kaburise, Michael B; Ayamba, Emmanuel Y; Nonterah, Esmond W; Awuni, Denis A; Al-Hassan, Majeedallahi; Ofosu, Winfred; Awoonor-Williams, John K; Oduro, Abraham R</v>
      </c>
      <c r="AH512" s="32">
        <f>IFERROR(__xludf.DUMMYFUNCTION("""COMPUTED_VALUE"""),43983.0)</f>
        <v>43983</v>
      </c>
      <c r="AL512" s="31" t="str">
        <f>IFERROR(__xludf.DUMMYFUNCTION("""COMPUTED_VALUE"""),"(Cost-)effectiveness of an internet-based physical activity support program (with and without physiotherapy counselling) on physical activity levels of breast and prostate cancer survivors: design of the PABLO trial.")</f>
        <v>(Cost-)effectiveness of an internet-based physical activity support program (with and without physiotherapy counselling) on physical activity levels of breast and prostate cancer survivors: design of the PABLO trial.</v>
      </c>
      <c r="AM512" s="31" t="str">
        <f>IFERROR(__xludf.DUMMYFUNCTION("""COMPUTED_VALUE"""),"van de Wiel, H J; Stuiver, M M; May, A M; van Grinsven, S; Aaronson, N K; Retèl, V P; Oldenburg, H S A; van der Poel, H G; Horenblas, S; van Harten, W H; Groen, W G")</f>
        <v>van de Wiel, H J; Stuiver, M M; May, A M; van Grinsven, S; Aaronson, N K; Retèl, V P; Oldenburg, H S A; van der Poel, H G; Horenblas, S; van Harten, W H; Groen, W G</v>
      </c>
      <c r="AN512" s="32">
        <f>IFERROR(__xludf.DUMMYFUNCTION("""COMPUTED_VALUE"""),43410.0)</f>
        <v>43410</v>
      </c>
    </row>
    <row r="513">
      <c r="A513" s="32"/>
      <c r="I513" s="31" t="str">
        <f>IFERROR(__xludf.DUMMYFUNCTION("""COMPUTED_VALUE"""),"european journal of oral sciences")</f>
        <v>european journal of oral sciences</v>
      </c>
      <c r="J513" s="38">
        <f>COUNTIF(Data!$F$2:$F9917, $I513)</f>
        <v>1</v>
      </c>
      <c r="T513" s="31" t="s">
        <v>977</v>
      </c>
      <c r="U513" s="31" t="s">
        <v>978</v>
      </c>
      <c r="V513" s="32">
        <v>45323.0</v>
      </c>
      <c r="X513" s="31" t="str">
        <f>IFERROR(__xludf.DUMMYFUNCTION("""COMPUTED_VALUE"""),"Paving the path for implementation of clinical genomic sequencing globally: Are we ready?")</f>
        <v>Paving the path for implementation of clinical genomic sequencing globally: Are we ready?</v>
      </c>
      <c r="Y513" s="31" t="str">
        <f>IFERROR(__xludf.DUMMYFUNCTION("""COMPUTED_VALUE"""),"Marshall, Deborah A; Hua, Nicolle; Buchanan, James; Christensen, Kurt D; Frederix, Geert W J; Goranitis, Ilias; Ijzerman, Maarten; Jansen, Jeroen P; Lavelle, Tara A; Regier, Dean A; Smith, Hadley S; Ungar, Wendy J; Weymann, Deirdre; Wordsworth, Sarah; Phi"&amp;"llips, Kathryn A")</f>
        <v>Marshall, Deborah A; Hua, Nicolle; Buchanan, James; Christensen, Kurt D; Frederix, Geert W J; Goranitis, Ilias; Ijzerman, Maarten; Jansen, Jeroen P; Lavelle, Tara A; Regier, Dean A; Smith, Hadley S; Ungar, Wendy J; Weymann, Deirdre; Wordsworth, Sarah; Phillips, Kathryn A</v>
      </c>
      <c r="Z513" s="31">
        <f>IFERROR(__xludf.DUMMYFUNCTION("""COMPUTED_VALUE"""),2024.0)</f>
        <v>2024</v>
      </c>
      <c r="AA513" s="31">
        <f>IFERROR(__xludf.DUMMYFUNCTION("""COMPUTED_VALUE"""),0.0)</f>
        <v>0</v>
      </c>
      <c r="AF513" s="31" t="str">
        <f>IFERROR(__xludf.DUMMYFUNCTION("""COMPUTED_VALUE"""),"Sex Differences in Cardiovascular Medication Prescription in Primary Care: A Systematic Review and Meta-Analysis.")</f>
        <v>Sex Differences in Cardiovascular Medication Prescription in Primary Care: A Systematic Review and Meta-Analysis.</v>
      </c>
      <c r="AG513" s="31" t="str">
        <f>IFERROR(__xludf.DUMMYFUNCTION("""COMPUTED_VALUE"""),"Zhao, Min; Woodward, Mark; Vaartjes, Ilonca; Millett, Elizabeth R C; Klipstein-Grobusch, Kerstin; Hyun, Karice; Carcel, Cheryl; Peters, Sanne A E")</f>
        <v>Zhao, Min; Woodward, Mark; Vaartjes, Ilonca; Millett, Elizabeth R C; Klipstein-Grobusch, Kerstin; Hyun, Karice; Carcel, Cheryl; Peters, Sanne A E</v>
      </c>
      <c r="AH513" s="32">
        <f>IFERROR(__xludf.DUMMYFUNCTION("""COMPUTED_VALUE"""),43971.0)</f>
        <v>43971</v>
      </c>
      <c r="AL513" s="31" t="str">
        <f>IFERROR(__xludf.DUMMYFUNCTION("""COMPUTED_VALUE"""),"Geriatric Assessment in Elderly Patients with End-Stage Kidney Disease.")</f>
        <v>Geriatric Assessment in Elderly Patients with End-Stage Kidney Disease.</v>
      </c>
      <c r="AM513" s="31" t="str">
        <f>IFERROR(__xludf.DUMMYFUNCTION("""COMPUTED_VALUE"""),"Goto, Namiko A; van Loon, Ismay N; Morpey, Moira I; Verhaar, Marianne C; Willems, Hanna C; Emmelot-Vonk, Mariëlle H; Bots, Michiel L; Boereboom, Franciscus T J; Hamaker, Marije E")</f>
        <v>Goto, Namiko A; van Loon, Ismay N; Morpey, Moira I; Verhaar, Marianne C; Willems, Hanna C; Emmelot-Vonk, Mariëlle H; Bots, Michiel L; Boereboom, Franciscus T J; Hamaker, Marije E</v>
      </c>
      <c r="AN513" s="32">
        <f>IFERROR(__xludf.DUMMYFUNCTION("""COMPUTED_VALUE"""),43405.0)</f>
        <v>43405</v>
      </c>
    </row>
    <row r="514">
      <c r="A514" s="32"/>
      <c r="I514" s="31" t="str">
        <f>IFERROR(__xludf.DUMMYFUNCTION("""COMPUTED_VALUE"""),"journal of neural engineering")</f>
        <v>journal of neural engineering</v>
      </c>
      <c r="J514" s="38">
        <f>COUNTIF(Data!$F$2:$F9917, $I514)</f>
        <v>1</v>
      </c>
      <c r="T514" s="31" t="s">
        <v>982</v>
      </c>
      <c r="U514" s="31" t="s">
        <v>983</v>
      </c>
      <c r="V514" s="32">
        <v>45323.0</v>
      </c>
      <c r="X514" s="31" t="str">
        <f>IFERROR(__xludf.DUMMYFUNCTION("""COMPUTED_VALUE"""),"Vaccine effectiveness against COVID-19 related hospital admission in the Netherlands by medical risk condition: A test-negative case-control study.")</f>
        <v>Vaccine effectiveness against COVID-19 related hospital admission in the Netherlands by medical risk condition: A test-negative case-control study.</v>
      </c>
      <c r="Y514" s="31" t="str">
        <f>IFERROR(__xludf.DUMMYFUNCTION("""COMPUTED_VALUE"""),"Niessen, F A; Bruijning-Verhagen, P C J L; Bonten, M J M; ,; Knol, M J")</f>
        <v>Niessen, F A; Bruijning-Verhagen, P C J L; Bonten, M J M; ,; Knol, M J</v>
      </c>
      <c r="Z514" s="31">
        <f>IFERROR(__xludf.DUMMYFUNCTION("""COMPUTED_VALUE"""),2024.0)</f>
        <v>2024</v>
      </c>
      <c r="AA514" s="31">
        <f>IFERROR(__xludf.DUMMYFUNCTION("""COMPUTED_VALUE"""),0.0)</f>
        <v>0</v>
      </c>
      <c r="AF514" s="31" t="str">
        <f>IFERROR(__xludf.DUMMYFUNCTION("""COMPUTED_VALUE"""),"Childbirth outcomes and ethnic disparities in Suriname: a nationwide registry-based study in a middle-income country.")</f>
        <v>Childbirth outcomes and ethnic disparities in Suriname: a nationwide registry-based study in a middle-income country.</v>
      </c>
      <c r="AG514" s="31" t="str">
        <f>IFERROR(__xludf.DUMMYFUNCTION("""COMPUTED_VALUE"""),"Verschueren, Kim J C; Prüst, Zita D; Paidin, Raëz R; Kodan, Lachmi R; Bloemenkamp, Kitty W M; Rijken, Marcus J; Browne, Joyce L")</f>
        <v>Verschueren, Kim J C; Prüst, Zita D; Paidin, Raëz R; Kodan, Lachmi R; Bloemenkamp, Kitty W M; Rijken, Marcus J; Browne, Joyce L</v>
      </c>
      <c r="AH514" s="32">
        <f>IFERROR(__xludf.DUMMYFUNCTION("""COMPUTED_VALUE"""),43958.0)</f>
        <v>43958</v>
      </c>
      <c r="AL514" s="31" t="str">
        <f>IFERROR(__xludf.DUMMYFUNCTION("""COMPUTED_VALUE"""),"Adaptive designs in clinical trials in critically ill patients: principles, advantages and pitfalls.")</f>
        <v>Adaptive designs in clinical trials in critically ill patients: principles, advantages and pitfalls.</v>
      </c>
      <c r="AM514" s="31" t="str">
        <f>IFERROR(__xludf.DUMMYFUNCTION("""COMPUTED_VALUE"""),"van Werkhoven, C H; Harbarth, S; Bonten, M J M")</f>
        <v>van Werkhoven, C H; Harbarth, S; Bonten, M J M</v>
      </c>
      <c r="AN514" s="32">
        <f>IFERROR(__xludf.DUMMYFUNCTION("""COMPUTED_VALUE"""),43403.0)</f>
        <v>43403</v>
      </c>
    </row>
    <row r="515">
      <c r="A515" s="32"/>
      <c r="I515" s="31" t="str">
        <f>IFERROR(__xludf.DUMMYFUNCTION("""COMPUTED_VALUE"""),"journal of the american chemical society")</f>
        <v>journal of the american chemical society</v>
      </c>
      <c r="J515" s="38">
        <f>COUNTIF(Data!$F$2:$F9917, $I515)</f>
        <v>1</v>
      </c>
      <c r="T515" s="31" t="s">
        <v>985</v>
      </c>
      <c r="U515" s="31" t="s">
        <v>986</v>
      </c>
      <c r="V515" s="32">
        <v>45323.0</v>
      </c>
      <c r="X515" s="31" t="str">
        <f>IFERROR(__xludf.DUMMYFUNCTION("""COMPUTED_VALUE"""),"From algorithms to action: improving patient care requires causality.")</f>
        <v>From algorithms to action: improving patient care requires causality.</v>
      </c>
      <c r="Y515" s="31" t="str">
        <f>IFERROR(__xludf.DUMMYFUNCTION("""COMPUTED_VALUE"""),"van Amsterdam, Wouter A C; de Jong, Pim A; Verhoeff, Joost J C; Leiner, Tim; Ranganath, Rajesh")</f>
        <v>van Amsterdam, Wouter A C; de Jong, Pim A; Verhoeff, Joost J C; Leiner, Tim; Ranganath, Rajesh</v>
      </c>
      <c r="Z515" s="31">
        <f>IFERROR(__xludf.DUMMYFUNCTION("""COMPUTED_VALUE"""),2024.0)</f>
        <v>2024</v>
      </c>
      <c r="AA515" s="31">
        <f>IFERROR(__xludf.DUMMYFUNCTION("""COMPUTED_VALUE"""),0.0)</f>
        <v>0</v>
      </c>
      <c r="AF515" s="31" t="str">
        <f>IFERROR(__xludf.DUMMYFUNCTION("""COMPUTED_VALUE"""),"Blood Pressure Indices and Associated Risk Factors in a Rural West African Adult Population: Insights from an AWI-Gen Substudy in Ghana.")</f>
        <v>Blood Pressure Indices and Associated Risk Factors in a Rural West African Adult Population: Insights from an AWI-Gen Substudy in Ghana.</v>
      </c>
      <c r="AG515" s="31" t="str">
        <f>IFERROR(__xludf.DUMMYFUNCTION("""COMPUTED_VALUE"""),"Agongo, Godfred; Nonterah, Engelbert A; Amenga-Etego, Lucas; Debpuur, Cornelius; Kaburise, Michael B; Ali, Stuart A; Crowther, Nigel J; Ramsay, Michèle; Oduro, Abraham R")</f>
        <v>Agongo, Godfred; Nonterah, Engelbert A; Amenga-Etego, Lucas; Debpuur, Cornelius; Kaburise, Michael B; Ali, Stuart A; Crowther, Nigel J; Ramsay, Michèle; Oduro, Abraham R</v>
      </c>
      <c r="AH515" s="32">
        <f>IFERROR(__xludf.DUMMYFUNCTION("""COMPUTED_VALUE"""),43947.0)</f>
        <v>43947</v>
      </c>
      <c r="AL515" s="31" t="str">
        <f>IFERROR(__xludf.DUMMYFUNCTION("""COMPUTED_VALUE"""),"Comparing Arabidopsis receptor kinase and receptor protein-mediated immune signaling reveals BIK1-dependent differences.")</f>
        <v>Comparing Arabidopsis receptor kinase and receptor protein-mediated immune signaling reveals BIK1-dependent differences.</v>
      </c>
      <c r="AM515" s="31" t="str">
        <f>IFERROR(__xludf.DUMMYFUNCTION("""COMPUTED_VALUE"""),"Wan, Wei-Lin; Zhang, Lisha; Pruitt, Rory; Zaidem, Maricris; Brugman, Rik; Ma, Xiyu; Krol, Elzbieta; Perraki, Artemis; Kilian, Joachim; Grossmann, Guido; Stahl, Mark; Shan, Libo; Zipfel, Cyril; van Kan, Jan A L; Hedrich, Rainer; Weigel, Detlef; Gust, Andre"&amp;"a A; Nürnberger, Thorsten")</f>
        <v>Wan, Wei-Lin; Zhang, Lisha; Pruitt, Rory; Zaidem, Maricris; Brugman, Rik; Ma, Xiyu; Krol, Elzbieta; Perraki, Artemis; Kilian, Joachim; Grossmann, Guido; Stahl, Mark; Shan, Libo; Zipfel, Cyril; van Kan, Jan A L; Hedrich, Rainer; Weigel, Detlef; Gust, Andrea A; Nürnberger, Thorsten</v>
      </c>
      <c r="AN515" s="32">
        <f>IFERROR(__xludf.DUMMYFUNCTION("""COMPUTED_VALUE"""),43398.0)</f>
        <v>43398</v>
      </c>
    </row>
    <row r="516">
      <c r="A516" s="32"/>
      <c r="I516" s="31" t="str">
        <f>IFERROR(__xludf.DUMMYFUNCTION("""COMPUTED_VALUE"""),"biomed research international")</f>
        <v>biomed research international</v>
      </c>
      <c r="J516" s="38">
        <f>COUNTIF(Data!$F$2:$F9917, $I516)</f>
        <v>2</v>
      </c>
      <c r="T516" s="31" t="s">
        <v>990</v>
      </c>
      <c r="U516" s="31" t="s">
        <v>991</v>
      </c>
      <c r="V516" s="32">
        <v>45323.0</v>
      </c>
      <c r="X516" s="31" t="str">
        <f>IFERROR(__xludf.DUMMYFUNCTION("""COMPUTED_VALUE"""),"Polypharmacy in Patients with Chronic Kidney Disease.")</f>
        <v>Polypharmacy in Patients with Chronic Kidney Disease.</v>
      </c>
      <c r="Y516" s="31" t="str">
        <f>IFERROR(__xludf.DUMMYFUNCTION("""COMPUTED_VALUE"""),"Oosting, Ilse J; Colombijn, Julia M T; Kaasenbrood, Lotte; Liabeuf, Sophie; Laville, Solène M; Hooft, Lotty; Bots, Michiel L; Verhaar, Marianne C; Vernooij, Robin W M")</f>
        <v>Oosting, Ilse J; Colombijn, Julia M T; Kaasenbrood, Lotte; Liabeuf, Sophie; Laville, Solène M; Hooft, Lotty; Bots, Michiel L; Verhaar, Marianne C; Vernooij, Robin W M</v>
      </c>
      <c r="Z516" s="31">
        <f>IFERROR(__xludf.DUMMYFUNCTION("""COMPUTED_VALUE"""),2024.0)</f>
        <v>2024</v>
      </c>
      <c r="AA516" s="31">
        <f>IFERROR(__xludf.DUMMYFUNCTION("""COMPUTED_VALUE"""),0.0)</f>
        <v>0</v>
      </c>
      <c r="AF516" s="31" t="str">
        <f>IFERROR(__xludf.DUMMYFUNCTION("""COMPUTED_VALUE"""),"Systematic review of prediction models for gestational hypertension and preeclampsia.")</f>
        <v>Systematic review of prediction models for gestational hypertension and preeclampsia.</v>
      </c>
      <c r="AG516" s="31" t="str">
        <f>IFERROR(__xludf.DUMMYFUNCTION("""COMPUTED_VALUE"""),"Antwi, Edward; Amoakoh-Coleman, Mary; Vieira, Dorice L; Madhavaram, Shreya; Koram, Kwadwo A; Grobbee, Diederick E; Agyepong, Irene A; Klipstein-Grobusch, Kerstin")</f>
        <v>Antwi, Edward; Amoakoh-Coleman, Mary; Vieira, Dorice L; Madhavaram, Shreya; Koram, Kwadwo A; Grobbee, Diederick E; Agyepong, Irene A; Klipstein-Grobusch, Kerstin</v>
      </c>
      <c r="AH516" s="32">
        <f>IFERROR(__xludf.DUMMYFUNCTION("""COMPUTED_VALUE"""),43942.0)</f>
        <v>43942</v>
      </c>
      <c r="AL516" s="31" t="str">
        <f>IFERROR(__xludf.DUMMYFUNCTION("""COMPUTED_VALUE"""),"Overinterpretation and misreporting of prognostic factor studies in oncology: a systematic review.")</f>
        <v>Overinterpretation and misreporting of prognostic factor studies in oncology: a systematic review.</v>
      </c>
      <c r="AM516" s="31" t="str">
        <f>IFERROR(__xludf.DUMMYFUNCTION("""COMPUTED_VALUE"""),"Kempf, Emmanuelle; de Beyer, Jennifer A; Cook, Jonathan; Holmes, Jane; Mohammed, Seid; Nguyên, Tri-Long; Simera, Iveta; Trivella, Marialena; Altman, Douglas G; Hopewell, Sally; Moons, Karel G M; Porcher, Raphael; Reitsma, Johannes B; Sauerbrei, Willi; Col"&amp;"lins, Gary S")</f>
        <v>Kempf, Emmanuelle; de Beyer, Jennifer A; Cook, Jonathan; Holmes, Jane; Mohammed, Seid; Nguyên, Tri-Long; Simera, Iveta; Trivella, Marialena; Altman, Douglas G; Hopewell, Sally; Moons, Karel G M; Porcher, Raphael; Reitsma, Johannes B; Sauerbrei, Willi; Collins, Gary S</v>
      </c>
      <c r="AN516" s="32">
        <f>IFERROR(__xludf.DUMMYFUNCTION("""COMPUTED_VALUE"""),43397.0)</f>
        <v>43397</v>
      </c>
    </row>
    <row r="517">
      <c r="A517" s="32"/>
      <c r="I517" s="31" t="str">
        <f>IFERROR(__xludf.DUMMYFUNCTION("""COMPUTED_VALUE"""),"british journal of cancer")</f>
        <v>british journal of cancer</v>
      </c>
      <c r="J517" s="38">
        <f>COUNTIF(Data!$F$2:$F9917, $I517)</f>
        <v>18</v>
      </c>
      <c r="T517" s="31" t="s">
        <v>994</v>
      </c>
      <c r="U517" s="31" t="s">
        <v>995</v>
      </c>
      <c r="V517" s="32">
        <v>45323.0</v>
      </c>
      <c r="X517" s="31" t="str">
        <f>IFERROR(__xludf.DUMMYFUNCTION("""COMPUTED_VALUE"""),"Training in optical diagnosis in community hospitals is associated with improved recognition and treatment of T1 CRC: a prospective multicenter intervention study (OPTICAL II).")</f>
        <v>Training in optical diagnosis in community hospitals is associated with improved recognition and treatment of T1 CRC: a prospective multicenter intervention study (OPTICAL II).</v>
      </c>
      <c r="Y517" s="31" t="str">
        <f>IFERROR(__xludf.DUMMYFUNCTION("""COMPUTED_VALUE"""),"Meulen, Lonne W T; Haasnoot, Krijn Jan Cornelis; Vlug, Marije S; Wolfhagen, Frank H J; Baven-Pronk, Martine A M C; van der Voorn, Michael P J A; Schwartz, M P; Vogelaar, Lauran; de Vos Tot Nederveen Cappel, Wouter H; Seerden, Tom C J; Hazen, W L; Schrauwe"&amp;"n, R W M; Alvarez Herrero, Lorenza; Schreuder, Ramon Michel; van Nunen, Annick B; Stoop, Esther; de Bruin, Gijs J; Bos, Philip; Marsman, Willem A; Kuiper, Edith; de Bièvre, Marc; Roomer, Robert; Groen, John; Bigirwamungu-Bargeman, Marloes; Siersema, Peter"&amp;" D; Elias, Sjoerd G; Masclee, Ad; Moons, Leon Mg")</f>
        <v>Meulen, Lonne W T; Haasnoot, Krijn Jan Cornelis; Vlug, Marije S; Wolfhagen, Frank H J; Baven-Pronk, Martine A M C; van der Voorn, Michael P J A; Schwartz, M P; Vogelaar, Lauran; de Vos Tot Nederveen Cappel, Wouter H; Seerden, Tom C J; Hazen, W L; Schrauwen, R W M; Alvarez Herrero, Lorenza; Schreuder, Ramon Michel; van Nunen, Annick B; Stoop, Esther; de Bruin, Gijs J; Bos, Philip; Marsman, Willem A; Kuiper, Edith; de Bièvre, Marc; Roomer, Robert; Groen, John; Bigirwamungu-Bargeman, Marloes; Siersema, Peter D; Elias, Sjoerd G; Masclee, Ad; Moons, Leon Mg</v>
      </c>
      <c r="Z517" s="31">
        <f>IFERROR(__xludf.DUMMYFUNCTION("""COMPUTED_VALUE"""),2024.0)</f>
        <v>2024</v>
      </c>
      <c r="AA517" s="31">
        <f>IFERROR(__xludf.DUMMYFUNCTION("""COMPUTED_VALUE"""),0.0)</f>
        <v>0</v>
      </c>
      <c r="AF517" s="31" t="str">
        <f>IFERROR(__xludf.DUMMYFUNCTION("""COMPUTED_VALUE"""),"Short-term immunogenicity and safety of hepatitis-A and varicella vaccines in HIV-exposed uninfected and HIV-unexposed South African children.")</f>
        <v>Short-term immunogenicity and safety of hepatitis-A and varicella vaccines in HIV-exposed uninfected and HIV-unexposed South African children.</v>
      </c>
      <c r="AG517" s="31" t="str">
        <f>IFERROR(__xludf.DUMMYFUNCTION("""COMPUTED_VALUE"""),"Mutsaerts, Eleonora A M L; Nunes, Marta C; Bhikha, Sutika; Ikulinda, Benit T; Jose, Lisa; Koen, Anthonet; Moultrie, Andrew; Grobbee, Diederick E; Klipstein-Grobusch, Kerstin; Weinberg, Adriana; Madhi, Shabir A")</f>
        <v>Mutsaerts, Eleonora A M L; Nunes, Marta C; Bhikha, Sutika; Ikulinda, Benit T; Jose, Lisa; Koen, Anthonet; Moultrie, Andrew; Grobbee, Diederick E; Klipstein-Grobusch, Kerstin; Weinberg, Adriana; Madhi, Shabir A</v>
      </c>
      <c r="AH517" s="32">
        <f>IFERROR(__xludf.DUMMYFUNCTION("""COMPUTED_VALUE"""),43937.0)</f>
        <v>43937</v>
      </c>
      <c r="AL517" s="31" t="str">
        <f>IFERROR(__xludf.DUMMYFUNCTION("""COMPUTED_VALUE"""),"Minimum sample size for developing a multivariable prediction model: Part I - Continuous outcomes.")</f>
        <v>Minimum sample size for developing a multivariable prediction model: Part I - Continuous outcomes.</v>
      </c>
      <c r="AM517" s="31" t="str">
        <f>IFERROR(__xludf.DUMMYFUNCTION("""COMPUTED_VALUE"""),"Riley, Richard D; Snell, Kym I E; Ensor, Joie; Burke, Danielle L; Harrell, Frank E; Moons, Karel G M; Collins, Gary S")</f>
        <v>Riley, Richard D; Snell, Kym I E; Ensor, Joie; Burke, Danielle L; Harrell, Frank E; Moons, Karel G M; Collins, Gary S</v>
      </c>
      <c r="AN517" s="32">
        <f>IFERROR(__xludf.DUMMYFUNCTION("""COMPUTED_VALUE"""),43395.0)</f>
        <v>43395</v>
      </c>
    </row>
    <row r="518">
      <c r="A518" s="32"/>
      <c r="I518" s="31" t="str">
        <f>IFERROR(__xludf.DUMMYFUNCTION("""COMPUTED_VALUE"""),"applied neuropsychology adult")</f>
        <v>applied neuropsychology adult</v>
      </c>
      <c r="J518" s="38">
        <f>COUNTIF(Data!$F$2:$F9917, $I518)</f>
        <v>1</v>
      </c>
      <c r="T518" s="31" t="s">
        <v>999</v>
      </c>
      <c r="U518" s="31" t="s">
        <v>1000</v>
      </c>
      <c r="V518" s="32">
        <v>45323.0</v>
      </c>
      <c r="X518" s="31" t="str">
        <f>IFERROR(__xludf.DUMMYFUNCTION("""COMPUTED_VALUE"""),"Early life ambient air pollution, household fuel use, and under-5 mortality in Ghana.")</f>
        <v>Early life ambient air pollution, household fuel use, and under-5 mortality in Ghana.</v>
      </c>
      <c r="Y518" s="31" t="str">
        <f>IFERROR(__xludf.DUMMYFUNCTION("""COMPUTED_VALUE"""),"Moro, Ali; Nonterah, Engelbert A; Klipstein-Grobusch, Kerstin; Oladokun, Samuel; Welaga, Paul; Ansah, Patrick O; Hystad, Perry; Vermeulen, Roel; Oduro, Abraham R; Downward, George")</f>
        <v>Moro, Ali; Nonterah, Engelbert A; Klipstein-Grobusch, Kerstin; Oladokun, Samuel; Welaga, Paul; Ansah, Patrick O; Hystad, Perry; Vermeulen, Roel; Oduro, Abraham R; Downward, George</v>
      </c>
      <c r="Z518" s="31">
        <f>IFERROR(__xludf.DUMMYFUNCTION("""COMPUTED_VALUE"""),2024.0)</f>
        <v>2024</v>
      </c>
      <c r="AA518" s="31">
        <f>IFERROR(__xludf.DUMMYFUNCTION("""COMPUTED_VALUE"""),0.0)</f>
        <v>0</v>
      </c>
      <c r="AF518" s="31" t="str">
        <f>IFERROR(__xludf.DUMMYFUNCTION("""COMPUTED_VALUE"""),"Successfully Recruiting Adults with a Low Socioeconomic Position into Community-Based Lifestyle Programs: A Qualitative Study on Expert Opinions.")</f>
        <v>Successfully Recruiting Adults with a Low Socioeconomic Position into Community-Based Lifestyle Programs: A Qualitative Study on Expert Opinions.</v>
      </c>
      <c r="AG518" s="31" t="str">
        <f>IFERROR(__xludf.DUMMYFUNCTION("""COMPUTED_VALUE"""),"Stuber, Josine M; Middel, Cédric N H; Mackenbach, Joreintje D; Beulens, Joline W J; Lakerveld, Jeroen")</f>
        <v>Stuber, Josine M; Middel, Cédric N H; Mackenbach, Joreintje D; Beulens, Joline W J; Lakerveld, Jeroen</v>
      </c>
      <c r="AH518" s="32">
        <f>IFERROR(__xludf.DUMMYFUNCTION("""COMPUTED_VALUE"""),43937.0)</f>
        <v>43937</v>
      </c>
      <c r="AL518" s="31" t="str">
        <f>IFERROR(__xludf.DUMMYFUNCTION("""COMPUTED_VALUE"""),"Receptor activator of nuclear factor kB ligand, osteoprotegerin, and risk of death following a breast cancer diagnosis: results from the EPIC cohort.")</f>
        <v>Receptor activator of nuclear factor kB ligand, osteoprotegerin, and risk of death following a breast cancer diagnosis: results from the EPIC cohort.</v>
      </c>
      <c r="AM518" s="31" t="str">
        <f>IFERROR(__xludf.DUMMYFUNCTION("""COMPUTED_VALUE"""),"Sarink, Danja; Schock, Helena; Johnson, Theron; Chang-Claude, Jenny; Overvad, Kim; Olsen, Anja; Tjønneland, Anne; Arveux, Patrick; Fournier, Agnès; Kvaskoff, Marina; Boeing, Heiner; Karakatsani, Anna; Trichopoulou, Antonia; La Vecchia, Carlo; Masala, Giov"&amp;"anna; Agnoli, Claudia; Panico, Salvatore; Tumino, Rosario; Sacerdote, Carlotta; van Gils, Carla H; Peeters, Petra H M; Weiderpass, Elisabete; Agudo, Antonio; Rodríguez-Barranco, Miguel; Huerta, José María; Ardanaz, Eva; Gil, Leire; Kaw, Kay Tee; Schmidt, "&amp;"Julie A; Dossus, Laure; His, Mathilde; Aune, Dagfinn; Riboli, Elio; Kaaks, Rudolf; Fortner, Renée T")</f>
        <v>Sarink, Danja; Schock, Helena; Johnson, Theron; Chang-Claude, Jenny; Overvad, Kim; Olsen, Anja; Tjønneland, Anne; Arveux, Patrick; Fournier, Agnès; Kvaskoff, Marina; Boeing, Heiner; Karakatsani, Anna; Trichopoulou, Antonia; La Vecchia, Carlo; Masala, Giovanna; Agnoli, Claudia; Panico, Salvatore; Tumino, Rosario; Sacerdote, Carlotta; van Gils, Carla H; Peeters, Petra H M; Weiderpass, Elisabete; Agudo, Antonio; Rodríguez-Barranco, Miguel; Huerta, José María; Ardanaz, Eva; Gil, Leire; Kaw, Kay Tee; Schmidt, Julie A; Dossus, Laure; His, Mathilde; Aune, Dagfinn; Riboli, Elio; Kaaks, Rudolf; Fortner, Renée T</v>
      </c>
      <c r="AN518" s="32">
        <f>IFERROR(__xludf.DUMMYFUNCTION("""COMPUTED_VALUE"""),43395.0)</f>
        <v>43395</v>
      </c>
    </row>
    <row r="519">
      <c r="A519" s="32"/>
      <c r="I519" s="31" t="str">
        <f>IFERROR(__xludf.DUMMYFUNCTION("""COMPUTED_VALUE"""),"journal of clinical virology the official publication of the pan american society for clinical virology")</f>
        <v>journal of clinical virology the official publication of the pan american society for clinical virology</v>
      </c>
      <c r="J519" s="38">
        <f>COUNTIF(Data!$F$2:$F9917, $I519)</f>
        <v>7</v>
      </c>
      <c r="T519" s="31" t="s">
        <v>994</v>
      </c>
      <c r="U519" s="31" t="s">
        <v>995</v>
      </c>
      <c r="V519" s="32">
        <v>45323.0</v>
      </c>
      <c r="X519" s="31" t="str">
        <f>IFERROR(__xludf.DUMMYFUNCTION("""COMPUTED_VALUE"""),"Time-to-Event Genome-Wide Association Study for Incident Cardiovascular Disease in People With Type 2 Diabetes.")</f>
        <v>Time-to-Event Genome-Wide Association Study for Incident Cardiovascular Disease in People With Type 2 Diabetes.</v>
      </c>
      <c r="Y519" s="31" t="str">
        <f>IFERROR(__xludf.DUMMYFUNCTION("""COMPUTED_VALUE"""),"Kwak, Soo Heon; Hernandez-Cancela, Ryan B; DiCorpo, Daniel A; Condon, David E; Merino, Jordi; Wu, Peitao; Brody, Jennifer A; Yao, Jie; Guo, Xiuqing; Ahmadizar, Fariba; Meyer, Mariah; Sincan, Murat; Mercader, Josep M; Lee, Sujin; Haessler, Jeffrey; Vy, Ha "&amp;"My T; Lin, Zhaotong; Armstrong, Nicole D; Gu, Shaopeng; Tsao, Noah L; Lange, Leslie A; Wang, Ningyuan; Wiggins, Kerri L; Trompet, Stella; Liu, Simin; Loos, Ruth J F; Judy, Renae; Schroeder, Philip H; Hasbani, Natalie R; Bos, Maxime M; Morrison, Alanna C; "&amp;"Jackson, Rebecca D; Reiner, Alexander P; Manson, JoAnn E; Chaudhary, Ninad S; Carmichael, Lynn K; Chen, Yii-Der Ida; Taylor, Kent D; Ghanbari, Mohsen; van Meurs, Joyce; Pitsillides, Achilleas N; Psaty, Bruce M; Noordam, Raymond; Do, Ron; Park, Kyong Soo; "&amp;"Jukema, J Wouter; Kavousi, Maryam; Correa, Adolfo; Rich, Stephen S; Damrauer, Scott M; Hajek, Catherine; Cho, Nam H; Irvin, Marguerite R; Pankow, James S; Nadkarni, Girish N; Sladek, Robert; Goodarzi, Mark O; Florez, Jose C; Chasman, D")</f>
        <v>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v>
      </c>
      <c r="Z519" s="31">
        <f>IFERROR(__xludf.DUMMYFUNCTION("""COMPUTED_VALUE"""),2024.0)</f>
        <v>2024</v>
      </c>
      <c r="AA519" s="31">
        <f>IFERROR(__xludf.DUMMYFUNCTION("""COMPUTED_VALUE"""),0.0)</f>
        <v>0</v>
      </c>
      <c r="AF519" s="31" t="str">
        <f>IFERROR(__xludf.DUMMYFUNCTION("""COMPUTED_VALUE"""),"Determinants of Mortality from Cardiovascular Disease in the Slums of Nairobi, Kenya.")</f>
        <v>Determinants of Mortality from Cardiovascular Disease in the Slums of Nairobi, Kenya.</v>
      </c>
      <c r="AG519" s="31" t="str">
        <f>IFERROR(__xludf.DUMMYFUNCTION("""COMPUTED_VALUE"""),"Wekesah, Frederick M; Klipstein-Grobusch, Kerstin; Grobbee, Diederick E; Kadengye, Damazo; Asiki, Gershim; Kyobutungi, Catherine K")</f>
        <v>Wekesah, Frederick M; Klipstein-Grobusch, Kerstin; Grobbee, Diederick E; Kadengye, Damazo; Asiki, Gershim; Kyobutungi, Catherine K</v>
      </c>
      <c r="AH519" s="32">
        <f>IFERROR(__xludf.DUMMYFUNCTION("""COMPUTED_VALUE"""),43931.0)</f>
        <v>43931</v>
      </c>
      <c r="AL519" s="31" t="str">
        <f>IFERROR(__xludf.DUMMYFUNCTION("""COMPUTED_VALUE"""),"Aneurysm characteristics and risk of rebleeding after subarachnoid haemorrhage.")</f>
        <v>Aneurysm characteristics and risk of rebleeding after subarachnoid haemorrhage.</v>
      </c>
      <c r="AM519" s="31" t="str">
        <f>IFERROR(__xludf.DUMMYFUNCTION("""COMPUTED_VALUE"""),"Koopman, Inez; Greving, Jacoba P; van der Schaaf, Irene C; van der Zwan, Albert; Rinkel, Gabriel Je; Vergouwen, Mervyn DI")</f>
        <v>Koopman, Inez; Greving, Jacoba P; van der Schaaf, Irene C; van der Zwan, Albert; Rinkel, Gabriel Je; Vergouwen, Mervyn DI</v>
      </c>
      <c r="AN519" s="32">
        <f>IFERROR(__xludf.DUMMYFUNCTION("""COMPUTED_VALUE"""),43381.0)</f>
        <v>43381</v>
      </c>
    </row>
    <row r="520">
      <c r="A520" s="32"/>
      <c r="I520" s="31" t="str">
        <f>IFERROR(__xludf.DUMMYFUNCTION("""COMPUTED_VALUE"""),"psychooncology")</f>
        <v>psychooncology</v>
      </c>
      <c r="J520" s="38">
        <f>COUNTIF(Data!$F$2:$F9917, $I520)</f>
        <v>7</v>
      </c>
      <c r="T520" s="31" t="s">
        <v>1004</v>
      </c>
      <c r="U520" s="31" t="s">
        <v>1005</v>
      </c>
      <c r="V520" s="32">
        <v>45322.0</v>
      </c>
      <c r="X520" s="31" t="str">
        <f>IFERROR(__xludf.DUMMYFUNCTION("""COMPUTED_VALUE"""),"Non-specific effects of the inactivated influenza vaccine. A test-negative study: The inactivated influenza vaccine and SARS-CoV-2 infections.")</f>
        <v>Non-specific effects of the inactivated influenza vaccine. A test-negative study: The inactivated influenza vaccine and SARS-CoV-2 infections.</v>
      </c>
      <c r="Y520" s="31" t="str">
        <f>IFERROR(__xludf.DUMMYFUNCTION("""COMPUTED_VALUE"""),"Sellies, Anne Jasmijn; Knol, Mirjam J; de Melker, Hester E; Bruijning-Verhagen, Patricia C J L; de Boer, Annemarijn R")</f>
        <v>Sellies, Anne Jasmijn; Knol, Mirjam J; de Melker, Hester E; Bruijning-Verhagen, Patricia C J L; de Boer, Annemarijn R</v>
      </c>
      <c r="Z520" s="31">
        <f>IFERROR(__xludf.DUMMYFUNCTION("""COMPUTED_VALUE"""),2024.0)</f>
        <v>2024</v>
      </c>
      <c r="AA520" s="31">
        <f>IFERROR(__xludf.DUMMYFUNCTION("""COMPUTED_VALUE"""),0.0)</f>
        <v>0</v>
      </c>
      <c r="AF520" s="31" t="str">
        <f>IFERROR(__xludf.DUMMYFUNCTION("""COMPUTED_VALUE"""),"World Heart Federation Briefing on Prevention: Coronavirus Disease 2019 (COVID-19) in Low-Income Countries.")</f>
        <v>World Heart Federation Briefing on Prevention: Coronavirus Disease 2019 (COVID-19) in Low-Income Countries.</v>
      </c>
      <c r="AG520" s="31" t="str">
        <f>IFERROR(__xludf.DUMMYFUNCTION("""COMPUTED_VALUE"""),"Thienemann, Friedrich; Pinto, Fausto; Grobbee, Diederick E; Boehm, Michael; Bazargani, Nooshin; Ge, Junbo; Sliwa, Karen")</f>
        <v>Thienemann, Friedrich; Pinto, Fausto; Grobbee, Diederick E; Boehm, Michael; Bazargani, Nooshin; Ge, Junbo; Sliwa, Karen</v>
      </c>
      <c r="AH520" s="32">
        <f>IFERROR(__xludf.DUMMYFUNCTION("""COMPUTED_VALUE"""),43930.0)</f>
        <v>43930</v>
      </c>
      <c r="AL520" s="31" t="str">
        <f>IFERROR(__xludf.DUMMYFUNCTION("""COMPUTED_VALUE"""),"Clinical evidence on haemodiafiltration.")</f>
        <v>Clinical evidence on haemodiafiltration.</v>
      </c>
      <c r="AM520" s="31" t="str">
        <f>IFERROR(__xludf.DUMMYFUNCTION("""COMPUTED_VALUE"""),"Blankestijn, Peter J; Grooteman, Muriel P; Nube, Menso J; Bots, Michiel L")</f>
        <v>Blankestijn, Peter J; Grooteman, Muriel P; Nube, Menso J; Bots, Michiel L</v>
      </c>
      <c r="AN520" s="32">
        <f>IFERROR(__xludf.DUMMYFUNCTION("""COMPUTED_VALUE"""),43374.0)</f>
        <v>43374</v>
      </c>
    </row>
    <row r="521">
      <c r="A521" s="32"/>
      <c r="I521" s="31" t="str">
        <f>IFERROR(__xludf.DUMMYFUNCTION("""COMPUTED_VALUE"""),"journal of oncology pharmacy practice official publication of the international society of oncology pharmacy practitioners")</f>
        <v>journal of oncology pharmacy practice official publication of the international society of oncology pharmacy practitioners</v>
      </c>
      <c r="J521" s="38">
        <f>COUNTIF(Data!$F$2:$F9917, $I521)</f>
        <v>1</v>
      </c>
      <c r="T521" s="31" t="s">
        <v>1009</v>
      </c>
      <c r="U521" s="31" t="s">
        <v>1010</v>
      </c>
      <c r="V521" s="32">
        <v>45322.0</v>
      </c>
      <c r="X521" s="31" t="str">
        <f>IFERROR(__xludf.DUMMYFUNCTION("""COMPUTED_VALUE"""),"Non-dispensing pharmacists integrated into general practices as a new interprofessional model: a qualitative evaluation of general practitioners' experiences and views.")</f>
        <v>Non-dispensing pharmacists integrated into general practices as a new interprofessional model: a qualitative evaluation of general practitioners' experiences and views.</v>
      </c>
      <c r="Y521" s="31" t="str">
        <f>IFERROR(__xludf.DUMMYFUNCTION("""COMPUTED_VALUE"""),"Hazen, A C M; Sloeserwij, V M; de Groot, E; de Gier, J J; de Wit, N J; de Bont, A A; Zwart, D L M")</f>
        <v>Hazen, A C M; Sloeserwij, V M; de Groot, E; de Gier, J J; de Wit, N J; de Bont, A A; Zwart, D L M</v>
      </c>
      <c r="Z521" s="31">
        <f>IFERROR(__xludf.DUMMYFUNCTION("""COMPUTED_VALUE"""),2024.0)</f>
        <v>2024</v>
      </c>
      <c r="AA521" s="31">
        <f>IFERROR(__xludf.DUMMYFUNCTION("""COMPUTED_VALUE"""),0.0)</f>
        <v>0</v>
      </c>
      <c r="AF521" s="31" t="str">
        <f>IFERROR(__xludf.DUMMYFUNCTION("""COMPUTED_VALUE"""),"The Moderate Alcohol and Cardiovascular Health Trial (MACH15): Design and methods for a randomized trial of moderate alcohol consumption and cardiometabolic risk.")</f>
        <v>The Moderate Alcohol and Cardiovascular Health Trial (MACH15): Design and methods for a randomized trial of moderate alcohol consumption and cardiometabolic risk.</v>
      </c>
      <c r="AG521" s="31" t="str">
        <f>IFERROR(__xludf.DUMMYFUNCTION("""COMPUTED_VALUE"""),"Spiegelman, Donna; Lovato, Laura C; Khudyakov, Polyna; Wilkens, Trine L; Adebamowo, Clement A; Adebamowo, Sally N; Appel, Lawrence J; Beulens, Joline Wj; Coughlin, Janelle W; Dragsted, Lars Ove; Edenberg, Howard J; Eriksen, Jane N; Estruch, Ramon; Grobbee"&amp;", Diederick E; Gulayin, Pablo E; Irazola, Vilma; Krystal, John H; Lazo, Mariana; Murray, Margaret M; Rimm, Eric B; Schrieks, Ilse C; Williamson, Jeff D; Mukamal, Kenneth J")</f>
        <v>Spiegelman, Donna; Lovato, Laura C; Khudyakov, Polyna; Wilkens, Trine L; Adebamowo, Clement A; Adebamowo, Sally N; Appel, Lawrence J; Beulens, Joline Wj; Coughlin, Janelle W; Dragsted, Lars Ove; Edenberg, Howard J; Eriksen, Jane N; Estruch, Ramon; Grobbee, Diederick E; Gulayin, Pablo E; Irazola, Vilma; Krystal, John H; Lazo, Mariana; Murray, Margaret M; Rimm, Eric B; Schrieks, Ilse C; Williamson, Jeff D; Mukamal, Kenneth J</v>
      </c>
      <c r="AH521" s="32">
        <f>IFERROR(__xludf.DUMMYFUNCTION("""COMPUTED_VALUE"""),43927.0)</f>
        <v>43927</v>
      </c>
      <c r="AL521" s="31" t="str">
        <f>IFERROR(__xludf.DUMMYFUNCTION("""COMPUTED_VALUE"""),"Determinants of Gadolinium-Enhancement of the Aneurysm Wall in Unruptured Intracranial Aneurysms.")</f>
        <v>Determinants of Gadolinium-Enhancement of the Aneurysm Wall in Unruptured Intracranial Aneurysms.</v>
      </c>
      <c r="AM521" s="31" t="str">
        <f>IFERROR(__xludf.DUMMYFUNCTION("""COMPUTED_VALUE"""),"Backes, Daan; Hendrikse, Jeroen; van der Schaaf, Irene; Algra, Ale; Lindgren, Antti E; Verweij, Bon H; Rinkel, Gabriel J E; Vergouwen, Mervyn D I")</f>
        <v>Backes, Daan; Hendrikse, Jeroen; van der Schaaf, Irene; Algra, Ale; Lindgren, Antti E; Verweij, Bon H; Rinkel, Gabriel J E; Vergouwen, Mervyn D I</v>
      </c>
      <c r="AN521" s="32">
        <f>IFERROR(__xludf.DUMMYFUNCTION("""COMPUTED_VALUE"""),43374.0)</f>
        <v>43374</v>
      </c>
    </row>
    <row r="522">
      <c r="A522" s="32"/>
      <c r="I522" s="31" t="str">
        <f>IFERROR(__xludf.DUMMYFUNCTION("""COMPUTED_VALUE"""),"australian critical care official journal of the confederation of australian critical care nurses")</f>
        <v>australian critical care official journal of the confederation of australian critical care nurses</v>
      </c>
      <c r="J522" s="38">
        <f>COUNTIF(Data!$F$2:$F9917, $I522)</f>
        <v>1</v>
      </c>
      <c r="T522" s="31" t="s">
        <v>1013</v>
      </c>
      <c r="U522" s="31" t="s">
        <v>1014</v>
      </c>
      <c r="V522" s="32">
        <v>45322.0</v>
      </c>
      <c r="X522" s="31" t="str">
        <f>IFERROR(__xludf.DUMMYFUNCTION("""COMPUTED_VALUE"""),"Correction to: Second primary squamous cell carcinoma of the oral cavity - a retrospective cohort study of therapeutic procedures and oncological outcome.")</f>
        <v>Correction to: Second primary squamous cell carcinoma of the oral cavity - a retrospective cohort study of therapeutic procedures and oncological outcome.</v>
      </c>
      <c r="Y522" s="31"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Z522" s="31">
        <f>IFERROR(__xludf.DUMMYFUNCTION("""COMPUTED_VALUE"""),2024.0)</f>
        <v>2024</v>
      </c>
      <c r="AA522" s="31">
        <f>IFERROR(__xludf.DUMMYFUNCTION("""COMPUTED_VALUE"""),0.0)</f>
        <v>0</v>
      </c>
      <c r="AF522" s="31" t="str">
        <f>IFERROR(__xludf.DUMMYFUNCTION("""COMPUTED_VALUE"""),"Non-typhoidal Salmonella bloodstream infections in Kisantu, DR Congo: Emergence of O5-negative Salmonella Typhimurium and extensive drug resistance.")</f>
        <v>Non-typhoidal Salmonella bloodstream infections in Kisantu, DR Congo: Emergence of O5-negative Salmonella Typhimurium and extensive drug resistance.</v>
      </c>
      <c r="AG522" s="31" t="str">
        <f>IFERROR(__xludf.DUMMYFUNCTION("""COMPUTED_VALUE"""),"Tack, Bieke; Phoba, Marie-France; Barbé, Barbara; Kalonji, Lisette M; Hardy, Liselotte; Van Puyvelde, Sandra; Ingelbeen, Brecht; Falay, Dadi; Ngonda, Dauly; van der Sande, Marianne A B; Deborggraeve, Stijn; Jacobs, Jan; Lunguya, Octavie")</f>
        <v>Tack, Bieke; Phoba, Marie-France; Barbé, Barbara; Kalonji, Lisette M; Hardy, Liselotte; Van Puyvelde, Sandra; Ingelbeen, Brecht; Falay, Dadi; Ngonda, Dauly; van der Sande, Marianne A B; Deborggraeve, Stijn; Jacobs, Jan; Lunguya, Octavie</v>
      </c>
      <c r="AH522" s="32">
        <f>IFERROR(__xludf.DUMMYFUNCTION("""COMPUTED_VALUE"""),43923.0)</f>
        <v>43923</v>
      </c>
      <c r="AL522" s="31" t="str">
        <f>IFERROR(__xludf.DUMMYFUNCTION("""COMPUTED_VALUE"""),"Development of diagnostic prediction tools for bacteraemia caused by 3rd generation cephalosporin-resistant Enterobacteriaceae in suspected bacterial infections' - Author's reply.")</f>
        <v>Development of diagnostic prediction tools for bacteraemia caused by 3rd generation cephalosporin-resistant Enterobacteriaceae in suspected bacterial infections' - Author's reply.</v>
      </c>
      <c r="AM522" s="31" t="str">
        <f>IFERROR(__xludf.DUMMYFUNCTION("""COMPUTED_VALUE"""),"Rottier, W C; Deelen, J W T; van Werkhoven, C H; Bonten, M J M")</f>
        <v>Rottier, W C; Deelen, J W T; van Werkhoven, C H; Bonten, M J M</v>
      </c>
      <c r="AN522" s="32">
        <f>IFERROR(__xludf.DUMMYFUNCTION("""COMPUTED_VALUE"""),43369.0)</f>
        <v>43369</v>
      </c>
    </row>
    <row r="523">
      <c r="A523" s="32"/>
      <c r="I523" s="31" t="str">
        <f>IFERROR(__xludf.DUMMYFUNCTION("""COMPUTED_VALUE"""),"journal of population ageing")</f>
        <v>journal of population ageing</v>
      </c>
      <c r="J523" s="38">
        <f>COUNTIF(Data!$F$2:$F9917, $I523)</f>
        <v>1</v>
      </c>
      <c r="T523" s="31" t="s">
        <v>1018</v>
      </c>
      <c r="U523" s="31" t="s">
        <v>1019</v>
      </c>
      <c r="V523" s="32">
        <v>45322.0</v>
      </c>
      <c r="X523" s="31" t="str">
        <f>IFERROR(__xludf.DUMMYFUNCTION("""COMPUTED_VALUE"""),"Trends in body mass index in the pre-dolutegravir period in South Africa.")</f>
        <v>Trends in body mass index in the pre-dolutegravir period in South Africa.</v>
      </c>
      <c r="Y523" s="31" t="str">
        <f>IFERROR(__xludf.DUMMYFUNCTION("""COMPUTED_VALUE"""),"van Ginkel, Florian; Barth, Roos E; Tempelman, Hugo; Klipstein-Grobusch, Kerstin; Grobbee, Diederick E; Scheuermaier, Karine; Venter, Francois W D; Vos-Seda, Alinda G")</f>
        <v>van Ginkel, Florian; Barth, Roos E; Tempelman, Hugo; Klipstein-Grobusch, Kerstin; Grobbee, Diederick E; Scheuermaier, Karine; Venter, Francois W D; Vos-Seda, Alinda G</v>
      </c>
      <c r="Z523" s="31">
        <f>IFERROR(__xludf.DUMMYFUNCTION("""COMPUTED_VALUE"""),2024.0)</f>
        <v>2024</v>
      </c>
      <c r="AA523" s="31">
        <f>IFERROR(__xludf.DUMMYFUNCTION("""COMPUTED_VALUE"""),0.0)</f>
        <v>0</v>
      </c>
      <c r="AF523" s="31" t="str">
        <f>IFERROR(__xludf.DUMMYFUNCTION("""COMPUTED_VALUE"""),"Cardiovascular Disease Burden in Rural Africa: Does HIV and Antiretroviral Treatment Play a Role?: Baseline Analysis of the Ndlovu Cohort Study.")</f>
        <v>Cardiovascular Disease Burden in Rural Africa: Does HIV and Antiretroviral Treatment Play a Role?: Baseline Analysis of the Ndlovu Cohort Study.</v>
      </c>
      <c r="AG523" s="31" t="str">
        <f>IFERROR(__xludf.DUMMYFUNCTION("""COMPUTED_VALUE"""),"Vos, Alinda G; Barth, Roos E; Klipstein-Grobusch, Kerstin; Tempelman, Hugo A; Devillé, Walter L J; Dodd, Caitlin; Coutinho, Roel A; Grobbee, Diederick E; ,")</f>
        <v>Vos, Alinda G; Barth, Roos E; Klipstein-Grobusch, Kerstin; Tempelman, Hugo A; Devillé, Walter L J; Dodd, Caitlin; Coutinho, Roel A; Grobbee, Diederick E; ,</v>
      </c>
      <c r="AH523" s="32">
        <f>IFERROR(__xludf.DUMMYFUNCTION("""COMPUTED_VALUE"""),43920.0)</f>
        <v>43920</v>
      </c>
      <c r="AL523" s="31" t="str">
        <f>IFERROR(__xludf.DUMMYFUNCTION("""COMPUTED_VALUE"""),"Modelling the dynamics of population viral load measures under HIV treatment as prevention.")</f>
        <v>Modelling the dynamics of population viral load measures under HIV treatment as prevention.</v>
      </c>
      <c r="AM523" s="31" t="str">
        <f>IFERROR(__xludf.DUMMYFUNCTION("""COMPUTED_VALUE"""),"Rozhnova, Ganna; Anastasaki, Marilena; Kretzschmar, Mirjam")</f>
        <v>Rozhnova, Ganna; Anastasaki, Marilena; Kretzschmar, Mirjam</v>
      </c>
      <c r="AN523" s="32">
        <f>IFERROR(__xludf.DUMMYFUNCTION("""COMPUTED_VALUE"""),43364.0)</f>
        <v>43364</v>
      </c>
    </row>
    <row r="524">
      <c r="A524" s="32"/>
      <c r="I524" s="31" t="str">
        <f>IFERROR(__xludf.DUMMYFUNCTION("""COMPUTED_VALUE"""),"patient preference and adherence")</f>
        <v>patient preference and adherence</v>
      </c>
      <c r="J524" s="38">
        <f>COUNTIF(Data!$F$2:$F9917, $I524)</f>
        <v>8</v>
      </c>
      <c r="T524" s="31" t="s">
        <v>1023</v>
      </c>
      <c r="U524" s="31" t="s">
        <v>1024</v>
      </c>
      <c r="V524" s="32">
        <v>45321.0</v>
      </c>
      <c r="X524" s="31" t="str">
        <f>IFERROR(__xludf.DUMMYFUNCTION("""COMPUTED_VALUE"""),"The effect of immunosuppressive therapies on the endothelial host response in critically ill COVID-19 patients.")</f>
        <v>The effect of immunosuppressive therapies on the endothelial host response in critically ill COVID-19 patients.</v>
      </c>
      <c r="Y524" s="31" t="str">
        <f>IFERROR(__xludf.DUMMYFUNCTION("""COMPUTED_VALUE"""),"Slim, M A; Lim, E H T; van Vught, L A; Boer, A M Tuip-de; Rademaker, E; Mulier, J L G Haitsma; Engel, J J; ,; ,; Pickkers, P; van de Veerdonk, F L; Vlaar, A P J; Derde, L P G; Juffermans, N P")</f>
        <v>Slim, M A; Lim, E H T; van Vught, L A; Boer, A M Tuip-de; Rademaker, E; Mulier, J L G Haitsma; Engel, J J; ,; ,; Pickkers, P; van de Veerdonk, F L; Vlaar, A P J; Derde, L P G; Juffermans, N P</v>
      </c>
      <c r="Z524" s="31">
        <f>IFERROR(__xludf.DUMMYFUNCTION("""COMPUTED_VALUE"""),2024.0)</f>
        <v>2024</v>
      </c>
      <c r="AA524" s="31">
        <f>IFERROR(__xludf.DUMMYFUNCTION("""COMPUTED_VALUE"""),0.0)</f>
        <v>0</v>
      </c>
      <c r="AF524" s="31" t="str">
        <f>IFERROR(__xludf.DUMMYFUNCTION("""COMPUTED_VALUE"""),"Bivalent Vaccine Effectiveness Against Anal Human Papillomavirus Positivity Among Female Sexually Transmitted Infection Clinic Visitors in the Netherlands.")</f>
        <v>Bivalent Vaccine Effectiveness Against Anal Human Papillomavirus Positivity Among Female Sexually Transmitted Infection Clinic Visitors in the Netherlands.</v>
      </c>
      <c r="AG524" s="31" t="str">
        <f>IFERROR(__xludf.DUMMYFUNCTION("""COMPUTED_VALUE"""),"Woestenberg, Petra J; King, Audrey J; Van Benthem, Birgit H B; Leussink, Suzan; Van der Sande, Marianne A B; Hoebe, Christian J P A; Bogaards, Johannes A; ,")</f>
        <v>Woestenberg, Petra J; King, Audrey J; Van Benthem, Birgit H B; Leussink, Suzan; Van der Sande, Marianne A B; Hoebe, Christian J P A; Bogaards, Johannes A; ,</v>
      </c>
      <c r="AH524" s="32">
        <f>IFERROR(__xludf.DUMMYFUNCTION("""COMPUTED_VALUE"""),43918.0)</f>
        <v>43918</v>
      </c>
      <c r="AL524" s="31" t="str">
        <f>IFERROR(__xludf.DUMMYFUNCTION("""COMPUTED_VALUE"""),"Role of Albumin Assay on Calcium Levels and Prescription of Phosphate Binders in Chronic Hemodialysis Patients.")</f>
        <v>Role of Albumin Assay on Calcium Levels and Prescription of Phosphate Binders in Chronic Hemodialysis Patients.</v>
      </c>
      <c r="AM524" s="31" t="str">
        <f>IFERROR(__xludf.DUMMYFUNCTION("""COMPUTED_VALUE"""),"de Roij van Zuijdewijn, Camiel L M; de Haseth, Dinky E; van Dam, Bastiaan; Bax, Willem A; Grooteman, Muriel P C; Bots, Michiel L; Blankestijn, Peter J; Nubé, Menso J; van den Dorpel, Marinus A; Ter Wee, Pieter M; Penne, Erik L")</f>
        <v>de Roij van Zuijdewijn, Camiel L M; de Haseth, Dinky E; van Dam, Bastiaan; Bax, Willem A; Grooteman, Muriel P C; Bots, Michiel L; Blankestijn, Peter J; Nubé, Menso J; van den Dorpel, Marinus A; Ter Wee, Pieter M; Penne, Erik L</v>
      </c>
      <c r="AN524" s="32">
        <f>IFERROR(__xludf.DUMMYFUNCTION("""COMPUTED_VALUE"""),43356.0)</f>
        <v>43356</v>
      </c>
    </row>
    <row r="525">
      <c r="A525" s="32"/>
      <c r="I525" s="31" t="str">
        <f>IFERROR(__xludf.DUMMYFUNCTION("""COMPUTED_VALUE"""),"oral diseases")</f>
        <v>oral diseases</v>
      </c>
      <c r="J525" s="38">
        <f>COUNTIF(Data!$F$2:$F9917, $I525)</f>
        <v>1</v>
      </c>
      <c r="T525" s="31" t="s">
        <v>1027</v>
      </c>
      <c r="U525" s="31" t="s">
        <v>1028</v>
      </c>
      <c r="V525" s="32">
        <v>45321.0</v>
      </c>
      <c r="X525" s="31" t="str">
        <f>IFERROR(__xludf.DUMMYFUNCTION("""COMPUTED_VALUE"""),"Unfair knowledge practices in global health: a realist synthesis.")</f>
        <v>Unfair knowledge practices in global health: a realist synthesis.</v>
      </c>
      <c r="Y525" s="31" t="str">
        <f>IFERROR(__xludf.DUMMYFUNCTION("""COMPUTED_VALUE"""),"Abimbola, Seye; van de Kamp, Judith; Lariat, Joni; Rathod, Lekha; Klipstein-Grobusch, Kerstin; van der Graaf, Rieke; Bhakuni, Himani")</f>
        <v>Abimbola, Seye; van de Kamp, Judith; Lariat, Joni; Rathod, Lekha; Klipstein-Grobusch, Kerstin; van der Graaf, Rieke; Bhakuni, Himani</v>
      </c>
      <c r="Z525" s="31">
        <f>IFERROR(__xludf.DUMMYFUNCTION("""COMPUTED_VALUE"""),2024.0)</f>
        <v>2024</v>
      </c>
      <c r="AA525" s="31">
        <f>IFERROR(__xludf.DUMMYFUNCTION("""COMPUTED_VALUE"""),0.0)</f>
        <v>0</v>
      </c>
      <c r="AF525" s="31" t="str">
        <f>IFERROR(__xludf.DUMMYFUNCTION("""COMPUTED_VALUE"""),"The Heart in the Time of the 'Coronavirus'.")</f>
        <v>The Heart in the Time of the 'Coronavirus'.</v>
      </c>
      <c r="AG525" s="31" t="str">
        <f>IFERROR(__xludf.DUMMYFUNCTION("""COMPUTED_VALUE"""),"Perel, Pablo; Grobbee, Diederick E")</f>
        <v>Perel, Pablo; Grobbee, Diederick E</v>
      </c>
      <c r="AH525" s="32">
        <f>IFERROR(__xludf.DUMMYFUNCTION("""COMPUTED_VALUE"""),43914.0)</f>
        <v>43914</v>
      </c>
      <c r="AL525" s="31" t="str">
        <f>IFERROR(__xludf.DUMMYFUNCTION("""COMPUTED_VALUE"""),"Antigenic evolution of viruses in host populations.")</f>
        <v>Antigenic evolution of viruses in host populations.</v>
      </c>
      <c r="AM525" s="31" t="str">
        <f>IFERROR(__xludf.DUMMYFUNCTION("""COMPUTED_VALUE"""),"Rouzine, Igor M; Rozhnova, Ganna")</f>
        <v>Rouzine, Igor M; Rozhnova, Ganna</v>
      </c>
      <c r="AN525" s="32">
        <f>IFERROR(__xludf.DUMMYFUNCTION("""COMPUTED_VALUE"""),43355.0)</f>
        <v>43355</v>
      </c>
    </row>
    <row r="526">
      <c r="A526" s="32"/>
      <c r="I526" s="31" t="str">
        <f>IFERROR(__xludf.DUMMYFUNCTION("""COMPUTED_VALUE"""),"the journal of hospital infection")</f>
        <v>the journal of hospital infection</v>
      </c>
      <c r="J526" s="38">
        <f>COUNTIF(Data!$F$2:$F9917, $I526)</f>
        <v>6</v>
      </c>
      <c r="T526" s="31" t="s">
        <v>1031</v>
      </c>
      <c r="U526" s="31" t="s">
        <v>1032</v>
      </c>
      <c r="V526" s="32">
        <v>45321.0</v>
      </c>
      <c r="X526" s="31" t="str">
        <f>IFERROR(__xludf.DUMMYFUNCTION("""COMPUTED_VALUE"""),"Application of causal inference methods in individual-participant data meta-analyses in medicine: addressing data handling and reporting gaps with new proposed reporting guidelines.")</f>
        <v>Application of causal inference methods in individual-participant data meta-analyses in medicine: addressing data handling and reporting gaps with new proposed reporting guidelines.</v>
      </c>
      <c r="Y526" s="31" t="str">
        <f>IFERROR(__xludf.DUMMYFUNCTION("""COMPUTED_VALUE"""),"Hufstedler, Heather; Mauer, Nicole; Yeboah, Edmund; Carr, Sinclair; Rahman, Sabahat; Danzer, Alexander M; Debray, Thomas P A; de Jong, Valentijn M T; Campbell, Harlan; Gustafson, Paul; Maxwell, Lauren; Jaenisch, Thomas; Matthay, Ellicott C; Bärnighausen, "&amp;"Till")</f>
        <v>Hufstedler, Heather; Mauer, Nicole; Yeboah, Edmund; Carr, Sinclair; Rahman, Sabahat; Danzer, Alexander M; Debray, Thomas P A; de Jong, Valentijn M T; Campbell, Harlan; Gustafson, Paul; Maxwell, Lauren; Jaenisch, Thomas; Matthay, Ellicott C; Bärnighausen, Till</v>
      </c>
      <c r="Z526" s="31">
        <f>IFERROR(__xludf.DUMMYFUNCTION("""COMPUTED_VALUE"""),2024.0)</f>
        <v>2024</v>
      </c>
      <c r="AA526" s="31">
        <f>IFERROR(__xludf.DUMMYFUNCTION("""COMPUTED_VALUE"""),0.0)</f>
        <v>0</v>
      </c>
      <c r="AF526" s="31" t="str">
        <f>IFERROR(__xludf.DUMMYFUNCTION("""COMPUTED_VALUE"""),"Urinary Ethyl Glucuronide as Measure of Alcohol Consumption and Risk of Cardiovascular Disease: A Population-Based Cohort Study.")</f>
        <v>Urinary Ethyl Glucuronide as Measure of Alcohol Consumption and Risk of Cardiovascular Disease: A Population-Based Cohort Study.</v>
      </c>
      <c r="AG526" s="31" t="str">
        <f>IFERROR(__xludf.DUMMYFUNCTION("""COMPUTED_VALUE"""),"van de Luitgaarden, Inge A T; Schrieks, Ilse C; Kieneker, Lyanne M; Touw, Daan J; van Ballegooijen, Adriana J; van Oort, Sabine; Grobbee, Diederick E; Mukamal, Kenneth J; Kootstra-Ros, Jenny E; Muller Kobold, Anneke C; Bakker, Stephan J L; Beulens, Joline"&amp;" W J")</f>
        <v>van de Luitgaarden, Inge A T; Schrieks, Ilse C; Kieneker, Lyanne M; Touw, Daan J; van Ballegooijen, Adriana J; van Oort, Sabine; Grobbee, Diederick E; Mukamal, Kenneth J; Kootstra-Ros, Jenny E; Muller Kobold, Anneke C; Bakker, Stephan J L; Beulens, Joline W J</v>
      </c>
      <c r="AH526" s="32">
        <f>IFERROR(__xludf.DUMMYFUNCTION("""COMPUTED_VALUE"""),43911.0)</f>
        <v>43911</v>
      </c>
      <c r="AL526" s="31" t="str">
        <f>IFERROR(__xludf.DUMMYFUNCTION("""COMPUTED_VALUE"""),"[A trial to study the effect of influenza vaccination in the elderly: ethical, feasible and badly needed].")</f>
        <v>[A trial to study the effect of influenza vaccination in the elderly: ethical, feasible and badly needed].</v>
      </c>
      <c r="AM526" s="31" t="str">
        <f>IFERROR(__xludf.DUMMYFUNCTION("""COMPUTED_VALUE"""),"Ekkelenkamp, Miquel B; van Werkhoven, C H; Bruijning-Verhagen, Patricia C J; Bonten, Marc J M")</f>
        <v>Ekkelenkamp, Miquel B; van Werkhoven, C H; Bruijning-Verhagen, Patricia C J; Bonten, Marc J M</v>
      </c>
      <c r="AN526" s="32">
        <f>IFERROR(__xludf.DUMMYFUNCTION("""COMPUTED_VALUE"""),43349.0)</f>
        <v>43349</v>
      </c>
    </row>
    <row r="527">
      <c r="A527" s="32"/>
      <c r="I527" s="31" t="str">
        <f>IFERROR(__xludf.DUMMYFUNCTION("""COMPUTED_VALUE"""),"acta oncologica stockholm sweden")</f>
        <v>acta oncologica stockholm sweden</v>
      </c>
      <c r="J527" s="38">
        <f>COUNTIF(Data!$F$2:$F9917, $I527)</f>
        <v>8</v>
      </c>
      <c r="T527" s="31" t="s">
        <v>1037</v>
      </c>
      <c r="U527" s="31" t="s">
        <v>1032</v>
      </c>
      <c r="V527" s="32">
        <v>45321.0</v>
      </c>
      <c r="X527" s="31" t="str">
        <f>IFERROR(__xludf.DUMMYFUNCTION("""COMPUTED_VALUE"""),"Re-attendance in supplemental breast MRI screening rounds of the DENSE trial for women with extremely dense breasts.")</f>
        <v>Re-attendance in supplemental breast MRI screening rounds of the DENSE trial for women with extremely dense breasts.</v>
      </c>
      <c r="Y527" s="31" t="str">
        <f>IFERROR(__xludf.DUMMYFUNCTION("""COMPUTED_VALUE"""),"Veenhuizen, Stefanie G A; van Grinsven, Sophie E L; Laseur, Isabelle L; Bakker, Marije F; Monninkhof, Evelyn M; de Lange, Stéphanie V; Pijnappel, Ruud M; Mann, Ritse M; Lobbes, Marc B I; Duvivier, Katya M; de Jong, Mathijn D F; Loo, Claudette E; Karssemei"&amp;"jer, Nico; van Diest, Paul J; Veldhuis, Wouter B; van Gils, Carla H; ,")</f>
        <v>Veenhuizen, Stefanie G A; van Grinsven, Sophie E L; Laseur, Isabelle L; Bakker, Marije F; Monninkhof, Evelyn M; de Lange, Stéphanie V; Pijnappel, Ruud M; Mann, Ritse M; Lobbes, Marc B I; Duvivier, Katya M; de Jong, Mathijn D F; Loo, Claudette E; Karssemeijer, Nico; van Diest, Paul J; Veldhuis, Wouter B; van Gils, Carla H; ,</v>
      </c>
      <c r="Z527" s="31">
        <f>IFERROR(__xludf.DUMMYFUNCTION("""COMPUTED_VALUE"""),2024.0)</f>
        <v>2024</v>
      </c>
      <c r="AA527" s="31">
        <f>IFERROR(__xludf.DUMMYFUNCTION("""COMPUTED_VALUE"""),0.0)</f>
        <v>0</v>
      </c>
      <c r="AF527" s="31" t="str">
        <f>IFERROR(__xludf.DUMMYFUNCTION("""COMPUTED_VALUE"""),"HPV infections among young MSM visiting sexual health centers in the Netherlands: Opportunities for targeted HPV vaccination.")</f>
        <v>HPV infections among young MSM visiting sexual health centers in the Netherlands: Opportunities for targeted HPV vaccination.</v>
      </c>
      <c r="AG527" s="31" t="str">
        <f>IFERROR(__xludf.DUMMYFUNCTION("""COMPUTED_VALUE"""),"Woestenberg, Petra J; van Benthem, Birgit H B; Bogaards, Johannes A; King, Audrey J; van der Klis, Fiona R M; Pasmans, Hella; Leussink, Suzan; van der Sande, Marianne A B; Hoebe, Christian J P A; ,")</f>
        <v>Woestenberg, Petra J; van Benthem, Birgit H B; Bogaards, Johannes A; King, Audrey J; van der Klis, Fiona R M; Pasmans, Hella; Leussink, Suzan; van der Sande, Marianne A B; Hoebe, Christian J P A; ,</v>
      </c>
      <c r="AH527" s="32">
        <f>IFERROR(__xludf.DUMMYFUNCTION("""COMPUTED_VALUE"""),43909.0)</f>
        <v>43909</v>
      </c>
      <c r="AL527" s="31" t="str">
        <f>IFERROR(__xludf.DUMMYFUNCTION("""COMPUTED_VALUE"""),"Effect of magnesium on cognition after aneurysmal subarachnoid haemorrhage in a randomized trial.")</f>
        <v>Effect of magnesium on cognition after aneurysmal subarachnoid haemorrhage in a randomized trial.</v>
      </c>
      <c r="AM527" s="31" t="str">
        <f>IFERROR(__xludf.DUMMYFUNCTION("""COMPUTED_VALUE"""),"Huenges Wajer, I M C; Dorhout Mees, S M; van den Bergh, W M; Algra, A; Visser-Meily, J M A; Rinkel, G J E; van Zandvoort, M J E")</f>
        <v>Huenges Wajer, I M C; Dorhout Mees, S M; van den Bergh, W M; Algra, A; Visser-Meily, J M A; Rinkel, G J E; van Zandvoort, M J E</v>
      </c>
      <c r="AN527" s="32">
        <f>IFERROR(__xludf.DUMMYFUNCTION("""COMPUTED_VALUE"""),43346.0)</f>
        <v>43346</v>
      </c>
    </row>
    <row r="528">
      <c r="A528" s="32"/>
      <c r="I528" s="31" t="str">
        <f>IFERROR(__xludf.DUMMYFUNCTION("""COMPUTED_VALUE"""),"jnci cancer spectrum")</f>
        <v>jnci cancer spectrum</v>
      </c>
      <c r="J528" s="38">
        <f>COUNTIF(Data!$F$2:$F9917, $I528)</f>
        <v>5</v>
      </c>
      <c r="T528" s="31" t="s">
        <v>1038</v>
      </c>
      <c r="U528" s="31" t="s">
        <v>1039</v>
      </c>
      <c r="V528" s="32">
        <v>45320.0</v>
      </c>
      <c r="X528" s="31" t="str">
        <f>IFERROR(__xludf.DUMMYFUNCTION("""COMPUTED_VALUE"""),"The Value of Warning Signs From the WHO 2009 Dengue Classification in Detecting Severe Dengue in Children.")</f>
        <v>The Value of Warning Signs From the WHO 2009 Dengue Classification in Detecting Severe Dengue in Children.</v>
      </c>
      <c r="Y528" s="31" t="str">
        <f>IFERROR(__xludf.DUMMYFUNCTION("""COMPUTED_VALUE"""),"Karyanti, Mulya Rahma; Uiterwaal, Cuno S P M; Hadinegoro, Sri Rezeki; Widyahening, Indah Suci; Saldi, Siti Rizny F; Heesterbeek, J A P Hans; Hoes, Arno W; Bruijning-Verhagen, Patricia")</f>
        <v>Karyanti, Mulya Rahma; Uiterwaal, Cuno S P M; Hadinegoro, Sri Rezeki; Widyahening, Indah Suci; Saldi, Siti Rizny F; Heesterbeek, J A P Hans; Hoes, Arno W; Bruijning-Verhagen, Patricia</v>
      </c>
      <c r="Z528" s="31">
        <f>IFERROR(__xludf.DUMMYFUNCTION("""COMPUTED_VALUE"""),2024.0)</f>
        <v>2024</v>
      </c>
      <c r="AA528" s="31">
        <f>IFERROR(__xludf.DUMMYFUNCTION("""COMPUTED_VALUE"""),0.0)</f>
        <v>0</v>
      </c>
      <c r="AF528" s="31" t="str">
        <f>IFERROR(__xludf.DUMMYFUNCTION("""COMPUTED_VALUE"""),"Early detection of diabetic kidney disease by urinary proteomics and subsequent intervention with spironolactone to delay progression (PRIORITY): a prospective observational study and embedded randomised placebo-controlled trial.")</f>
        <v>Early detection of diabetic kidney disease by urinary proteomics and subsequent intervention with spironolactone to delay progression (PRIORITY): a prospective observational study and embedded randomised placebo-controlled trial.</v>
      </c>
      <c r="AG528" s="31" t="str">
        <f>IFERROR(__xludf.DUMMYFUNCTION("""COMPUTED_VALUE"""),"Tofte, Nete; Lindhardt, Morten; Adamova, Katarina; Bakker, Stephan J L; Beige, Joachim; Beulens, Joline W J; Birkenfeld, Andreas L; Currie, Gemma; Delles, Christian; Dimos, Ingo; Francová, Lidmila; Frimodt-Møller, Marie; Girman, Peter; Göke, Rüdiger; Havr"&amp;"dova, Tereza; Heerspink, Hiddo J L; Kooy, Adriaan; Laverman, Gozewijn D; Mischak, Harald; Navis, Gerjan; Nijpels, Giel; Noutsou, Marina; Ortiz, Alberto; Parvanova, Aneliya; Persson, Frederik; Petrie, John R; Ruggenenti, Piero L; Rutters, Femke; Rychlík, I"&amp;"van; Siwy, Justyna; Spasovski, Goce; Speeckaert, Marijn; Trillini, Matias; Zürbig, Petra; von der Leyen, Heiko; Rossing, Peter; ,")</f>
        <v>Tofte, Nete; Lindhardt, Morten; Adamova, Katarina; Bakker, Stephan J L; Beige, Joachim; Beulens, Joline W J; Birkenfeld, Andreas L; Currie, Gemma; Delles, Christian; Dimos, Ingo; Francová, Lidmila; Frimodt-Møller, Marie; Girman, Peter; Göke, Rüdiger; Havrdova, Tereza; Heerspink, Hiddo J L; Kooy, Adriaan; Laverman, Gozewijn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AH528" s="32">
        <f>IFERROR(__xludf.DUMMYFUNCTION("""COMPUTED_VALUE"""),43892.0)</f>
        <v>43892</v>
      </c>
      <c r="AL528" s="31" t="str">
        <f>IFERROR(__xludf.DUMMYFUNCTION("""COMPUTED_VALUE"""),"Biennial Pattern of Rotavirus Gastroenteritis in The Netherlands and a Shifting Age Distribution After a Low Rotavirus Season, 2010-2016.")</f>
        <v>Biennial Pattern of Rotavirus Gastroenteritis in The Netherlands and a Shifting Age Distribution After a Low Rotavirus Season, 2010-2016.</v>
      </c>
      <c r="AM528" s="31" t="str">
        <f>IFERROR(__xludf.DUMMYFUNCTION("""COMPUTED_VALUE"""),"Verberk, Janneke D M; Pijnacker, Roan; Bruijning-Verhagen, Patricia; Franz, Eelco; Vennema, Harry; Hooiveld, Mariëtte; Hahné, Susan J M; de Melker, Hester E")</f>
        <v>Verberk, Janneke D M; Pijnacker, Roan; Bruijning-Verhagen, Patricia; Franz, Eelco; Vennema, Harry; Hooiveld, Mariëtte; Hahné, Susan J M; de Melker, Hester E</v>
      </c>
      <c r="AN528" s="32">
        <f>IFERROR(__xludf.DUMMYFUNCTION("""COMPUTED_VALUE"""),43344.0)</f>
        <v>43344</v>
      </c>
    </row>
    <row r="529">
      <c r="A529" s="32"/>
      <c r="I529" s="31" t="str">
        <f>IFERROR(__xludf.DUMMYFUNCTION("""COMPUTED_VALUE"""),"jco global oncology")</f>
        <v>jco global oncology</v>
      </c>
      <c r="J529" s="38">
        <f>COUNTIF(Data!$F$2:$F9917, $I529)</f>
        <v>1</v>
      </c>
      <c r="T529" s="31" t="s">
        <v>1043</v>
      </c>
      <c r="U529" s="31" t="s">
        <v>1044</v>
      </c>
      <c r="V529" s="32">
        <v>45320.0</v>
      </c>
      <c r="X529" s="31" t="str">
        <f>IFERROR(__xludf.DUMMYFUNCTION("""COMPUTED_VALUE"""),"Atherosclerotic Plaque Epigenetic Age Acceleration Predicts a Poor Prognosis and Is Associated With Endothelial-to-Mesenchymal Transition in Humans.")</f>
        <v>Atherosclerotic Plaque Epigenetic Age Acceleration Predicts a Poor Prognosis and Is Associated With Endothelial-to-Mesenchymal Transition in Humans.</v>
      </c>
      <c r="Y529" s="31" t="str">
        <f>IFERROR(__xludf.DUMMYFUNCTION("""COMPUTED_VALUE"""),"Diez Benavente, Ernest; Hartman, Robin J G; Sakkers, Tim R; Wesseling, Marian; Sloots, Yannicke; Slenders, Lotte; Boltjes, Arjan; Mol, Barend M; de Borst, Gert J; de Kleijn, Dominique P V; Prange, Koen H M; de Winther, Menno P J; Kuiper, Johan; Civelek, M"&amp;"ete; van der Laan, Sander W; Horvath, Steve; Onland-Moret, N Charlotte; Mokry, Michal; Pasterkamp, Gerard; den Ruijter, Hester M")</f>
        <v>Diez Benavente, Ernest; Hartman, Robin J G; Sakkers, Tim R; Wesseling, Marian; Sloots, Yannicke; Slenders, Lotte; Boltjes, Arjan; Mol, Barend M; de Borst, Gert J; de Kleijn, Dominique P V; Prange, Koen H M; de Winther, Menno P J; Kuiper, Johan; Civelek, Mete; van der Laan, Sander W; Horvath, Steve; Onland-Moret, N Charlotte; Mokry, Michal; Pasterkamp, Gerard; den Ruijter, Hester M</v>
      </c>
      <c r="Z529" s="31">
        <f>IFERROR(__xludf.DUMMYFUNCTION("""COMPUTED_VALUE"""),2024.0)</f>
        <v>2024</v>
      </c>
      <c r="AA529" s="31">
        <f>IFERROR(__xludf.DUMMYFUNCTION("""COMPUTED_VALUE"""),0.0)</f>
        <v>0</v>
      </c>
      <c r="AF529" s="31" t="str">
        <f>IFERROR(__xludf.DUMMYFUNCTION("""COMPUTED_VALUE"""),"Autism, autonomy, and authenticity.")</f>
        <v>Autism, autonomy, and authenticity.</v>
      </c>
      <c r="AG529" s="31" t="str">
        <f>IFERROR(__xludf.DUMMYFUNCTION("""COMPUTED_VALUE"""),"Späth, Elisabeth M A; Jongsma, Karin R")</f>
        <v>Späth, Elisabeth M A; Jongsma, Karin R</v>
      </c>
      <c r="AH529" s="32">
        <f>IFERROR(__xludf.DUMMYFUNCTION("""COMPUTED_VALUE"""),43891.0)</f>
        <v>43891</v>
      </c>
      <c r="AL529" s="31" t="str">
        <f>IFERROR(__xludf.DUMMYFUNCTION("""COMPUTED_VALUE"""),"Circulating levels of P-selectin and E-selectin relate to cardiovascular magnetic resonance-derived aortic characteristics in young adults from the general population, a cross-sectional study.")</f>
        <v>Circulating levels of P-selectin and E-selectin relate to cardiovascular magnetic resonance-derived aortic characteristics in young adults from the general population, a cross-sectional study.</v>
      </c>
      <c r="AM529" s="31" t="str">
        <f>IFERROR(__xludf.DUMMYFUNCTION("""COMPUTED_VALUE"""),"Eikendal, Anouk L M; Bots, Michiel L; Gohar, Aisha; Lutgens, Esther; Hoefer, Imo E; den Ruijter, Hester M; Leiner, Tim")</f>
        <v>Eikendal, Anouk L M; Bots, Michiel L; Gohar, Aisha; Lutgens, Esther; Hoefer, Imo E; den Ruijter, Hester M; Leiner, Tim</v>
      </c>
      <c r="AN529" s="32">
        <f>IFERROR(__xludf.DUMMYFUNCTION("""COMPUTED_VALUE"""),43314.0)</f>
        <v>43314</v>
      </c>
    </row>
    <row r="530">
      <c r="A530" s="32"/>
      <c r="I530" s="31" t="str">
        <f>IFERROR(__xludf.DUMMYFUNCTION("""COMPUTED_VALUE"""),"european journal of medical genetics")</f>
        <v>european journal of medical genetics</v>
      </c>
      <c r="J530" s="38">
        <f>COUNTIF(Data!$F$2:$F9917, $I530)</f>
        <v>1</v>
      </c>
      <c r="T530" s="31" t="s">
        <v>1048</v>
      </c>
      <c r="U530" s="31" t="s">
        <v>1049</v>
      </c>
      <c r="V530" s="32">
        <v>45320.0</v>
      </c>
      <c r="X530" s="31" t="str">
        <f>IFERROR(__xludf.DUMMYFUNCTION("""COMPUTED_VALUE"""),"Perinatal exposure to traffic related air pollutants and the risk of infection in the first six months of life: a cohort study from a low-middle income country.")</f>
        <v>Perinatal exposure to traffic related air pollutants and the risk of infection in the first six months of life: a cohort study from a low-middle income country.</v>
      </c>
      <c r="Y530" s="31" t="str">
        <f>IFERROR(__xludf.DUMMYFUNCTION("""COMPUTED_VALUE"""),"Soesanti, Frida; Hoek, Gerard; Brunekreef, Bert; Meliefste, Kees; Chen, Jie; Idris, Nikmah S; Putri, Nina D; Uiterwaal, Cuno S P M; Grobbee, Diederick E; Klipstein-Grobusch, Kerstin")</f>
        <v>Soesanti, Frida; Hoek, Gerard; Brunekreef, Bert; Meliefste, Kees; Chen, Jie; Idris, Nikmah S; Putri, Nina D; Uiterwaal, Cuno S P M; Grobbee, Diederick E; Klipstein-Grobusch, Kerstin</v>
      </c>
      <c r="Z530" s="31">
        <f>IFERROR(__xludf.DUMMYFUNCTION("""COMPUTED_VALUE"""),2024.0)</f>
        <v>2024</v>
      </c>
      <c r="AA530" s="31">
        <f>IFERROR(__xludf.DUMMYFUNCTION("""COMPUTED_VALUE"""),0.0)</f>
        <v>0</v>
      </c>
      <c r="AF530" s="31" t="str">
        <f>IFERROR(__xludf.DUMMYFUNCTION("""COMPUTED_VALUE"""),"Household fuel use and adverse pregnancy outcomes in a Ghanaian cohort study.")</f>
        <v>Household fuel use and adverse pregnancy outcomes in a Ghanaian cohort study.</v>
      </c>
      <c r="AG530" s="31" t="str">
        <f>IFERROR(__xludf.DUMMYFUNCTION("""COMPUTED_VALUE"""),"Weber, Eartha; Adu-Bonsaffoh, Kwame; Vermeulen, Roel; Klipstein-Grobusch, Kerstin; Grobbee, Diederick E; Browne, Joyce L; Downward, George S")</f>
        <v>Weber, Eartha; Adu-Bonsaffoh, Kwame; Vermeulen, Roel; Klipstein-Grobusch, Kerstin; Grobbee, Diederick E; Browne, Joyce L; Downward, George S</v>
      </c>
      <c r="AH530" s="32">
        <f>IFERROR(__xludf.DUMMYFUNCTION("""COMPUTED_VALUE"""),43883.0)</f>
        <v>43883</v>
      </c>
      <c r="AL530" s="31" t="str">
        <f>IFERROR(__xludf.DUMMYFUNCTION("""COMPUTED_VALUE"""),"Effect of exercise and/or reduced calorie dietary interventions on breast cancer-related endogenous sex hormones in healthy postmenopausal women.")</f>
        <v>Effect of exercise and/or reduced calorie dietary interventions on breast cancer-related endogenous sex hormones in healthy postmenopausal women.</v>
      </c>
      <c r="AM530" s="31" t="str">
        <f>IFERROR(__xludf.DUMMYFUNCTION("""COMPUTED_VALUE"""),"de Roon, Martijn; May, Anne M; McTiernan, Anne; Scholten, Rob J P M; Peeters, Petra H M; Friedenreich, Christine M; Monninkhof, Evelyn M")</f>
        <v>de Roon, Martijn; May, Anne M; McTiernan, Anne; Scholten, Rob J P M; Peeters, Petra H M; Friedenreich, Christine M; Monninkhof, Evelyn M</v>
      </c>
      <c r="AN530" s="32">
        <f>IFERROR(__xludf.DUMMYFUNCTION("""COMPUTED_VALUE"""),43314.0)</f>
        <v>43314</v>
      </c>
    </row>
    <row r="531">
      <c r="A531" s="32"/>
      <c r="I531" s="31" t="str">
        <f>IFERROR(__xludf.DUMMYFUNCTION("""COMPUTED_VALUE"""),"jco precision oncology")</f>
        <v>jco precision oncology</v>
      </c>
      <c r="J531" s="38">
        <f>COUNTIF(Data!$F$2:$F9917, $I531)</f>
        <v>2</v>
      </c>
      <c r="T531" s="31" t="s">
        <v>25052</v>
      </c>
      <c r="U531" s="31" t="s">
        <v>25053</v>
      </c>
      <c r="V531" s="32">
        <v>45320.0</v>
      </c>
      <c r="X531" s="31"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Y531" s="31" t="str">
        <f>IFERROR(__xludf.DUMMYFUNCTION("""COMPUTED_VALUE"""),"van Royen, Florien Sophie-Anne; van Smeden, Maarten; van Doorn, Sander; Rutten, Frans H; Geersing, Geert-Jan")</f>
        <v>van Royen, Florien Sophie-Anne; van Smeden, Maarten; van Doorn, Sander; Rutten, Frans H; Geersing, Geert-Jan</v>
      </c>
      <c r="Z531" s="31">
        <f>IFERROR(__xludf.DUMMYFUNCTION("""COMPUTED_VALUE"""),2024.0)</f>
        <v>2024</v>
      </c>
      <c r="AA531" s="31">
        <f>IFERROR(__xludf.DUMMYFUNCTION("""COMPUTED_VALUE"""),0.0)</f>
        <v>0</v>
      </c>
      <c r="AF531" s="31" t="str">
        <f>IFERROR(__xludf.DUMMYFUNCTION("""COMPUTED_VALUE"""),"Trends and risk factors associated with stillbirths: A case study of the Navrongo War Memorial Hospital in Northern Ghana.")</f>
        <v>Trends and risk factors associated with stillbirths: A case study of the Navrongo War Memorial Hospital in Northern Ghana.</v>
      </c>
      <c r="AG531" s="31" t="str">
        <f>IFERROR(__xludf.DUMMYFUNCTION("""COMPUTED_VALUE"""),"Nonterah, Engelbert A; Agorinya, Isaiah A; Kanmiki, Edmund W; Kagura, Juliana; Tamimu, Mariatu; Ayamba, Emmanuel Y; Nonterah, Esmond W; Kaburise, Michael B; Al-Hassan, Majeedallahi; Ofosu, Winfred; Oduro, Abraham R; Awonoor-Williams, John K")</f>
        <v>Nonterah, Engelbert A; Agorinya, Isaiah A; Kanmiki, Edmund W; Kagura, Juliana; Tamimu, Mariatu; Ayamba, Emmanuel Y; Nonterah, Esmond W; Kaburise, Michael B; Al-Hassan, Majeedallahi; Ofosu, Winfred; Oduro, Abraham R; Awonoor-Williams, John K</v>
      </c>
      <c r="AH531" s="32">
        <f>IFERROR(__xludf.DUMMYFUNCTION("""COMPUTED_VALUE"""),43882.0)</f>
        <v>43882</v>
      </c>
      <c r="AL531" s="31" t="str">
        <f>IFERROR(__xludf.DUMMYFUNCTION("""COMPUTED_VALUE"""),"Nonsteroidal anti-inflammatory drug use and breast cancer risk in a European prospective cohort study.")</f>
        <v>Nonsteroidal anti-inflammatory drug use and breast cancer risk in a European prospective cohort study.</v>
      </c>
      <c r="AM531" s="31" t="str">
        <f>IFERROR(__xludf.DUMMYFUNCTION("""COMPUTED_VALUE"""),"Cairat, Manon; Fournier, Agnès; Murphy, Neil; Biessy, Carine; Scalbert, Augustin; Rinaldi, Sabina; Tjønneland, Anne; Olsen, Anja; Overvad, Kim; Arveux, Patrick; Boutron-Ruault, Marie-Christine; Cadeau, Claire; Fortner, Renée Turzanski; Kaaks, Rudolf; Boei"&amp;"ng, Heiner; Aleksandrova, Krasimira; Peeters, Petra H M; Van Gils, Carla H; Wareham, Nicholas J; Khaw, Kay-Tee; Aune, Dagfinn; Riboli, Elio; Gunter, Marc J; Dossus, Laure")</f>
        <v>Cairat, Manon; Fournier, Agnès; Murphy, Neil; Biessy, Carine; Scalbert, Augustin; Rinaldi, Sabina; Tjønneland, Anne; Olsen, Anja; Overvad, Kim; Arveux, Patrick; Boutron-Ruault, Marie-Christine; Cadeau, Claire; Fortner, Renée Turzanski; Kaaks, Rudolf; Boeing, Heiner; Aleksandrova, Krasimira; Peeters, Petra H M; Van Gils, Carla H; Wareham, Nicholas J; Khaw, Kay-Tee; Aune, Dagfinn; Riboli, Elio; Gunter, Marc J; Dossus, Laure</v>
      </c>
      <c r="AN531" s="32">
        <f>IFERROR(__xludf.DUMMYFUNCTION("""COMPUTED_VALUE"""),43305.0)</f>
        <v>43305</v>
      </c>
    </row>
    <row r="532">
      <c r="A532" s="32"/>
      <c r="I532" s="31" t="str">
        <f>IFERROR(__xludf.DUMMYFUNCTION("""COMPUTED_VALUE"""),"international journal of std aids")</f>
        <v>international journal of std aids</v>
      </c>
      <c r="J532" s="38">
        <f>COUNTIF(Data!$F$2:$F9917, $I532)</f>
        <v>2</v>
      </c>
      <c r="T532" s="31" t="s">
        <v>1053</v>
      </c>
      <c r="U532" s="31" t="s">
        <v>1054</v>
      </c>
      <c r="V532" s="32">
        <v>45318.0</v>
      </c>
      <c r="X532" s="31" t="str">
        <f>IFERROR(__xludf.DUMMYFUNCTION("""COMPUTED_VALUE"""),"Health effects of holistic housing renovation in a disadvantaged neighbourhood in the Netherlands: a qualitative exploration among residents and professionals.")</f>
        <v>Health effects of holistic housing renovation in a disadvantaged neighbourhood in the Netherlands: a qualitative exploration among residents and professionals.</v>
      </c>
      <c r="Y532" s="31" t="str">
        <f>IFERROR(__xludf.DUMMYFUNCTION("""COMPUTED_VALUE"""),"Koops-Van Hoffen, H E; Vendrig-De Punder, Y M R; Van Lenthe, F J; Borlée, F; Jambroes, M; Kamphuis, C B M")</f>
        <v>Koops-Van Hoffen, H E; Vendrig-De Punder, Y M R; Van Lenthe, F J; Borlée, F; Jambroes, M; Kamphuis, C B M</v>
      </c>
      <c r="Z532" s="31">
        <f>IFERROR(__xludf.DUMMYFUNCTION("""COMPUTED_VALUE"""),2024.0)</f>
        <v>2024</v>
      </c>
      <c r="AA532" s="31">
        <f>IFERROR(__xludf.DUMMYFUNCTION("""COMPUTED_VALUE"""),0.0)</f>
        <v>0</v>
      </c>
      <c r="AF532" s="31" t="str">
        <f>IFERROR(__xludf.DUMMYFUNCTION("""COMPUTED_VALUE"""),"Challenges of Interpreting Cytomegalovirus DNAemia and Its Potential Association With Chronic Lung Disease in Children and Adolescents With Perinatally Acquired Human Immunodeficiency Virus Infection.")</f>
        <v>Challenges of Interpreting Cytomegalovirus DNAemia and Its Potential Association With Chronic Lung Disease in Children and Adolescents With Perinatally Acquired Human Immunodeficiency Virus Infection.</v>
      </c>
      <c r="AG532" s="31" t="str">
        <f>IFERROR(__xludf.DUMMYFUNCTION("""COMPUTED_VALUE"""),"Cevik, Muge; Russell, Clark D; Ong, David S Y")</f>
        <v>Cevik, Muge; Russell, Clark D; Ong, David S Y</v>
      </c>
      <c r="AH532" s="32">
        <f>IFERROR(__xludf.DUMMYFUNCTION("""COMPUTED_VALUE"""),43875.0)</f>
        <v>43875</v>
      </c>
      <c r="AL532" s="31" t="str">
        <f>IFERROR(__xludf.DUMMYFUNCTION("""COMPUTED_VALUE"""),"A framework for meta-analysis of prediction model studies with binary and time-to-event outcomes.")</f>
        <v>A framework for meta-analysis of prediction model studies with binary and time-to-event outcomes.</v>
      </c>
      <c r="AM532" s="31" t="str">
        <f>IFERROR(__xludf.DUMMYFUNCTION("""COMPUTED_VALUE"""),"Debray, Thomas Pa; Damen, Johanna Aag; Riley, Richard D; Snell, Kym; Reitsma, Johannes B; Hooft, Lotty; Collins, Gary S; Moons, Karel Gm")</f>
        <v>Debray, Thomas Pa; Damen, Johanna Aag; Riley, Richard D; Snell, Kym; Reitsma, Johannes B; Hooft, Lotty; Collins, Gary S; Moons, Karel Gm</v>
      </c>
      <c r="AN532" s="32">
        <f>IFERROR(__xludf.DUMMYFUNCTION("""COMPUTED_VALUE"""),43304.0)</f>
        <v>43304</v>
      </c>
    </row>
    <row r="533">
      <c r="A533" s="32"/>
      <c r="I533" s="31" t="str">
        <f>IFERROR(__xludf.DUMMYFUNCTION("""COMPUTED_VALUE"""),"journal of virus eradication")</f>
        <v>journal of virus eradication</v>
      </c>
      <c r="J533" s="38">
        <f>COUNTIF(Data!$F$2:$F9917, $I533)</f>
        <v>1</v>
      </c>
      <c r="T533" s="31" t="s">
        <v>1058</v>
      </c>
      <c r="U533" s="31" t="s">
        <v>1059</v>
      </c>
      <c r="V533" s="32">
        <v>45315.0</v>
      </c>
      <c r="X533" s="31" t="str">
        <f>IFERROR(__xludf.DUMMYFUNCTION("""COMPUTED_VALUE"""),"Trajectories of clinical characteristics, complications and treatment choices in data-driven subgroups of type 2 diabetes.")</f>
        <v>Trajectories of clinical characteristics, complications and treatment choices in data-driven subgroups of type 2 diabetes.</v>
      </c>
      <c r="Y533" s="31" t="str">
        <f>IFERROR(__xludf.DUMMYFUNCTION("""COMPUTED_VALUE"""),"Li, Xinyu; Donnelly, Louise A; Slieker, Roderick C; Beulens, Joline W J; 't Hart, Leen M; Elders, Petra J M; Pearson, Ewan R; van Giessen, Anoukh; Leal, Jose; Feenstra, Talitha")</f>
        <v>Li, Xinyu; Donnelly, Louise A; Slieker, Roderick C; Beulens, Joline W J; 't Hart, Leen M; Elders, Petra J M; Pearson, Ewan R; van Giessen, Anoukh; Leal, Jose; Feenstra, Talitha</v>
      </c>
      <c r="Z533" s="31">
        <f>IFERROR(__xludf.DUMMYFUNCTION("""COMPUTED_VALUE"""),2024.0)</f>
        <v>2024</v>
      </c>
      <c r="AA533" s="31">
        <f>IFERROR(__xludf.DUMMYFUNCTION("""COMPUTED_VALUE"""),0.0)</f>
        <v>0</v>
      </c>
      <c r="AF533" s="31" t="str">
        <f>IFERROR(__xludf.DUMMYFUNCTION("""COMPUTED_VALUE"""),"Heart Rate Variability, HIV and the Risk of Cardiovascular Diseases in Rural South Africa.")</f>
        <v>Heart Rate Variability, HIV and the Risk of Cardiovascular Diseases in Rural South Africa.</v>
      </c>
      <c r="AG533" s="31" t="str">
        <f>IFERROR(__xludf.DUMMYFUNCTION("""COMPUTED_VALUE"""),"Godijk, Noortje G; Vos, Alinda G; Jongen, Vita W; Moraba, Robert; Tempelman, Hugo; Grobbee, Diederick E; Coutinho, Roel A; Devillé, Walter; Klipstein-Grobusch, Kerstin")</f>
        <v>Godijk, Noortje G; Vos, Alinda G; Jongen, Vita W; Moraba, Robert; Tempelman, Hugo; Grobbee, Diederick E; Coutinho, Roel A; Devillé, Walter; Klipstein-Grobusch, Kerstin</v>
      </c>
      <c r="AH533" s="32">
        <f>IFERROR(__xludf.DUMMYFUNCTION("""COMPUTED_VALUE"""),43873.0)</f>
        <v>43873</v>
      </c>
      <c r="AL533" s="31" t="str">
        <f>IFERROR(__xludf.DUMMYFUNCTION("""COMPUTED_VALUE"""),"Increased Levels of Oxidative Damage in Liver Metastases Compared with Corresponding Primary Colorectal Tumors: Association with Molecular Subtype and Prior Treatment.")</f>
        <v>Increased Levels of Oxidative Damage in Liver Metastases Compared with Corresponding Primary Colorectal Tumors: Association with Molecular Subtype and Prior Treatment.</v>
      </c>
      <c r="AM533" s="31" t="str">
        <f>IFERROR(__xludf.DUMMYFUNCTION("""COMPUTED_VALUE"""),"van der Waals, Lizet M; Jongen, Jennifer M J; Elias, Sjoerd G; Veremiyenko, Kateryna; Trumpi, Kari; Trinh, Anne; Laoukili, Jamila; Ubink, Inge; Schenning-van Schelven, Susanne J; van Diest, Paul J; Borel Rinkes, Inne H M; Kranenburg, Onno")</f>
        <v>van der Waals, Lizet M; Jongen, Jennifer M J; Elias, Sjoerd G; Veremiyenko, Kateryna; Trumpi, Kari; Trinh, Anne; Laoukili, Jamila; Ubink, Inge; Schenning-van Schelven, Susanne J; van Diest, Paul J; Borel Rinkes, Inne H M; Kranenburg, Onno</v>
      </c>
      <c r="AN533" s="32">
        <f>IFERROR(__xludf.DUMMYFUNCTION("""COMPUTED_VALUE"""),43301.0)</f>
        <v>43301</v>
      </c>
    </row>
    <row r="534">
      <c r="A534" s="32"/>
      <c r="I534" s="31" t="str">
        <f>IFERROR(__xludf.DUMMYFUNCTION("""COMPUTED_VALUE"""),"bmc research notes")</f>
        <v>bmc research notes</v>
      </c>
      <c r="J534" s="38">
        <f>COUNTIF(Data!$F$2:$F9917, $I534)</f>
        <v>5</v>
      </c>
      <c r="T534" s="31" t="s">
        <v>1063</v>
      </c>
      <c r="U534" s="31" t="s">
        <v>1064</v>
      </c>
      <c r="V534" s="32">
        <v>45315.0</v>
      </c>
      <c r="X534" s="31" t="str">
        <f>IFERROR(__xludf.DUMMYFUNCTION("""COMPUTED_VALUE"""),"SPIN-PM: A consensus framework to evaluate the presence of spin in studies on prediction models.")</f>
        <v>SPIN-PM: A consensus framework to evaluate the presence of spin in studies on prediction models.</v>
      </c>
      <c r="Y534" s="31" t="str">
        <f>IFERROR(__xludf.DUMMYFUNCTION("""COMPUTED_VALUE"""),"Andaur Navarro, Constanza L; Damen, Johanna Aa; Ghannad, Mona; Dhiman, Paula; van Smeden, Maarten; Reitsma, Johannes B; Collins, Gary S; Riley, Richard D; Moons, Karel Gm; Hooft, Lotty")</f>
        <v>Andaur Navarro, Constanza L; Damen, Johanna Aa; Ghannad, Mona; Dhiman, Paula; van Smeden, Maarten; Reitsma, Johannes B; Collins, Gary S; Riley, Richard D; Moons, Karel Gm; Hooft, Lotty</v>
      </c>
      <c r="Z534" s="31">
        <f>IFERROR(__xludf.DUMMYFUNCTION("""COMPUTED_VALUE"""),2024.0)</f>
        <v>2024</v>
      </c>
      <c r="AA534" s="31">
        <f>IFERROR(__xludf.DUMMYFUNCTION("""COMPUTED_VALUE"""),0.0)</f>
        <v>0</v>
      </c>
      <c r="AF534" s="31" t="str">
        <f>IFERROR(__xludf.DUMMYFUNCTION("""COMPUTED_VALUE"""),"Obesity and cardiovascular disease risk among Africans residing in Europe and Africa: the RODAM study.")</f>
        <v>Obesity and cardiovascular disease risk among Africans residing in Europe and Africa: the RODAM study.</v>
      </c>
      <c r="AG534" s="31" t="str">
        <f>IFERROR(__xludf.DUMMYFUNCTION("""COMPUTED_VALUE"""),"Commodore-Mensah, Y; Agyemang, C; Aboagye, J A; Echouffo-Tcheugui, J B; Beune, E; Smeeth, L; Klipstein-Grobusch, K; Danquah, I; Schulze, M; Boateng, D; Meeks, K A C; Bahendeka, S; Ahima, R S")</f>
        <v>Commodore-Mensah, Y; Agyemang, C; Aboagye, J A; Echouffo-Tcheugui, J B; Beune, E; Smeeth, L; Klipstein-Grobusch, K; Danquah, I; Schulze, M; Boateng, D; Meeks, K A C; Bahendeka, S; Ahima, R S</v>
      </c>
      <c r="AH534" s="32">
        <f>IFERROR(__xludf.DUMMYFUNCTION("""COMPUTED_VALUE"""),43873.0)</f>
        <v>43873</v>
      </c>
      <c r="AL534" s="31" t="str">
        <f>IFERROR(__xludf.DUMMYFUNCTION("""COMPUTED_VALUE"""),"Poor reporting of multivariable prediction model studies: towards a targeted implementation strategy of the TRIPOD statement.")</f>
        <v>Poor reporting of multivariable prediction model studies: towards a targeted implementation strategy of the TRIPOD statement.</v>
      </c>
      <c r="AM534" s="31" t="str">
        <f>IFERROR(__xludf.DUMMYFUNCTION("""COMPUTED_VALUE"""),"Heus, Pauline; Damen, Johanna A A G; Pajouheshnia, Romin; Scholten, Rob J P M; Reitsma, Johannes B; Collins, Gary S; Altman, Douglas G; Moons, Karel G M; Hooft, Lotty")</f>
        <v>Heus, Pauline; Damen, Johanna A A G; Pajouheshnia, Romin; Scholten, Rob J P M; Reitsma, Johannes B; Collins, Gary S; Altman, Douglas G; Moons, Karel G M; Hooft, Lotty</v>
      </c>
      <c r="AN534" s="32">
        <f>IFERROR(__xludf.DUMMYFUNCTION("""COMPUTED_VALUE"""),43300.0)</f>
        <v>43300</v>
      </c>
    </row>
    <row r="535">
      <c r="A535" s="32"/>
      <c r="I535" s="31" t="str">
        <f>IFERROR(__xludf.DUMMYFUNCTION("""COMPUTED_VALUE"""),"scandinavian journal of primary health care")</f>
        <v>scandinavian journal of primary health care</v>
      </c>
      <c r="J535" s="38">
        <f>COUNTIF(Data!$F$2:$F9917, $I535)</f>
        <v>7</v>
      </c>
      <c r="T535" s="31" t="s">
        <v>1067</v>
      </c>
      <c r="U535" s="31" t="s">
        <v>1068</v>
      </c>
      <c r="V535" s="32">
        <v>45314.0</v>
      </c>
      <c r="X535" s="31" t="str">
        <f>IFERROR(__xludf.DUMMYFUNCTION("""COMPUTED_VALUE"""),"A Blueprint for Multi-use Disease Modeling in Health Economics: Results from Two Expert-Panel Consultations.")</f>
        <v>A Blueprint for Multi-use Disease Modeling in Health Economics: Results from Two Expert-Panel Consultations.</v>
      </c>
      <c r="Y535" s="31" t="str">
        <f>IFERROR(__xludf.DUMMYFUNCTION("""COMPUTED_VALUE"""),"Wang, Junfeng; Pouwels, Xavier; Ramaekers, Bram; Frederix, Geert; van Lieshout, Chris; Hoogenveen, Rudolf; Li, Xinyu; de Wit, G Ardine; Joore, Manuela; Koffijberg, Hendrik; van Giessen, Anoukh; Knies, Saskia; Feenstra, Talitha; ,")</f>
        <v>Wang, Junfeng; Pouwels, Xavier; Ramaekers, Bram; Frederix, Geert; van Lieshout, Chris; Hoogenveen, Rudolf; Li, Xinyu; de Wit, G Ardine; Joore, Manuela; Koffijberg, Hendrik; van Giessen, Anoukh; Knies, Saskia; Feenstra, Talitha; ,</v>
      </c>
      <c r="Z535" s="31">
        <f>IFERROR(__xludf.DUMMYFUNCTION("""COMPUTED_VALUE"""),2024.0)</f>
        <v>2024</v>
      </c>
      <c r="AA535" s="31">
        <f>IFERROR(__xludf.DUMMYFUNCTION("""COMPUTED_VALUE"""),0.0)</f>
        <v>0</v>
      </c>
      <c r="AF535" s="31" t="str">
        <f>IFERROR(__xludf.DUMMYFUNCTION("""COMPUTED_VALUE"""),"Novel and Known Gene-Smoking Interactions With cIMT Identified as Potential Drivers for Atherosclerosis Risk in West-African Populations of the AWI-Gen Study.")</f>
        <v>Novel and Known Gene-Smoking Interactions With cIMT Identified as Potential Drivers for Atherosclerosis Risk in West-African Populations of the AWI-Gen Study.</v>
      </c>
      <c r="AG535" s="31" t="str">
        <f>IFERROR(__xludf.DUMMYFUNCTION("""COMPUTED_VALUE"""),"Boua, Palwende Romuald; Brandenburg, Jean-Tristan; Choudhury, Ananyo; Hazelhurst, Scott; Sengupta, Dhriti; Agongo, Godfred; Nonterah, Engelbert A; Oduro, Abraham R; Tinto, Halidou; Mathew, Christopher G; Sorgho, Hermann; Ramsay, Michèle")</f>
        <v>Boua, Palwende Romuald; Brandenburg, Jean-Tristan; Choudhury, Ananyo; Hazelhurst, Scott; Sengupta, Dhriti; Agongo, Godfred; Nonterah, Engelbert A; Oduro, Abraham R; Tinto, Halidou; Mathew, Christopher G; Sorgho, Hermann; Ramsay, Michèle</v>
      </c>
      <c r="AH535" s="32">
        <f>IFERROR(__xludf.DUMMYFUNCTION("""COMPUTED_VALUE"""),43868.0)</f>
        <v>43868</v>
      </c>
      <c r="AL535" s="31" t="str">
        <f>IFERROR(__xludf.DUMMYFUNCTION("""COMPUTED_VALUE"""),"Monitoring potentially modifiable lifestyle factors in cancer survivors: A narrative review on currently available methodologies and innovations for large-scale surveillance.")</f>
        <v>Monitoring potentially modifiable lifestyle factors in cancer survivors: A narrative review on currently available methodologies and innovations for large-scale surveillance.</v>
      </c>
      <c r="AM535" s="31" t="str">
        <f>IFERROR(__xludf.DUMMYFUNCTION("""COMPUTED_VALUE"""),"Derksen, Jeroen W G; Beijer, Sandra; Koopman, Miriam; Verkooijen, Helena M; van de Poll-Franse, Lonneke V; May, Anne M")</f>
        <v>Derksen, Jeroen W G; Beijer, Sandra; Koopman, Miriam; Verkooijen, Helena M; van de Poll-Franse, Lonneke V; May, Anne M</v>
      </c>
      <c r="AN535" s="32">
        <f>IFERROR(__xludf.DUMMYFUNCTION("""COMPUTED_VALUE"""),43294.0)</f>
        <v>43294</v>
      </c>
    </row>
    <row r="536">
      <c r="A536" s="32"/>
      <c r="I536" s="31" t="str">
        <f>IFERROR(__xludf.DUMMYFUNCTION("""COMPUTED_VALUE"""),"epidemics")</f>
        <v>epidemics</v>
      </c>
      <c r="J536" s="38">
        <f>COUNTIF(Data!$F$2:$F9917, $I536)</f>
        <v>6</v>
      </c>
      <c r="T536" s="31" t="s">
        <v>1072</v>
      </c>
      <c r="U536" s="31" t="s">
        <v>1073</v>
      </c>
      <c r="V536" s="32">
        <v>45314.0</v>
      </c>
      <c r="X536" s="31" t="str">
        <f>IFERROR(__xludf.DUMMYFUNCTION("""COMPUTED_VALUE"""),"High adherence to intermittent and continuous use of a contraceptive vaginal ring among women in a randomized controlled trial in Kigali, Rwanda.")</f>
        <v>High adherence to intermittent and continuous use of a contraceptive vaginal ring among women in a randomized controlled trial in Kigali, Rwanda.</v>
      </c>
      <c r="Y536" s="31" t="str">
        <f>IFERROR(__xludf.DUMMYFUNCTION("""COMPUTED_VALUE"""),"Kestelyn, Evelyne; Van Nuil, Jennifer Ilo; Umulisa, Marie Michelle; Umutoni, Grace; Uwingabire, Alice; De Baetselier, Irith; Uwineza, Mireille; Agaba, Stephen; Crucitti, Tania; Delvaux, Thérèse; van de Wijgert, Janneke H H M")</f>
        <v>Kestelyn, Evelyne; Van Nuil, Jennifer Ilo; Umulisa, Marie Michelle; Umutoni, Grace; Uwingabire, Alice; De Baetselier, Irith; Uwineza, Mireille; Agaba, Stephen; Crucitti, Tania; Delvaux, Thérèse; van de Wijgert, Janneke H H M</v>
      </c>
      <c r="Z536" s="31">
        <f>IFERROR(__xludf.DUMMYFUNCTION("""COMPUTED_VALUE"""),2024.0)</f>
        <v>2024</v>
      </c>
      <c r="AA536" s="31">
        <f>IFERROR(__xludf.DUMMYFUNCTION("""COMPUTED_VALUE"""),0.0)</f>
        <v>0</v>
      </c>
      <c r="AF536" s="31" t="str">
        <f>IFERROR(__xludf.DUMMYFUNCTION("""COMPUTED_VALUE"""),"Early recurrences of atrial tachyarrhythmias post pulmonary vein isolation.")</f>
        <v>Early recurrences of atrial tachyarrhythmias post pulmonary vein isolation.</v>
      </c>
      <c r="AG536" s="31" t="str">
        <f>IFERROR(__xludf.DUMMYFUNCTION("""COMPUTED_VALUE"""),"von Olshausen, Gesa; Uijl, Alicia; Jensen-Urstad, Mats; Schwieler, Jonas; Drca, Nikola; Bastani, Hamid; Tapanainen, Jari; Saluveer, Ott; Bourke, Tara; Kennebäck, Göran; Insulander, Per; Deisenhofer, Isabel; Braunschweig, Frieder")</f>
        <v>von Olshausen, Gesa; Uijl, Alicia; Jensen-Urstad, Mats; Schwieler, Jonas; Drca, Nikola; Bastani, Hamid; Tapanainen, Jari; Saluveer, Ott; Bourke, Tara; Kennebäck, Göran; Insulander, Per; Deisenhofer, Isabel; Braunschweig, Frieder</v>
      </c>
      <c r="AH536" s="32">
        <f>IFERROR(__xludf.DUMMYFUNCTION("""COMPUTED_VALUE"""),43861.0)</f>
        <v>43861</v>
      </c>
      <c r="AL536" s="31" t="str">
        <f>IFERROR(__xludf.DUMMYFUNCTION("""COMPUTED_VALUE"""),"Experience of a single center in the conservative approach of 20 consecutive cases of asymptomatic extracranial carotid artery aneurysms.")</f>
        <v>Experience of a single center in the conservative approach of 20 consecutive cases of asymptomatic extracranial carotid artery aneurysms.</v>
      </c>
      <c r="AM536" s="31" t="str">
        <f>IFERROR(__xludf.DUMMYFUNCTION("""COMPUTED_VALUE"""),"Pourier, V E C; Welleweerd, J C; Kappelle, L J; Rinkel, G J E; Ruigrok, Y M; van der Worp, H B; Lo, T H; Bots, M L; Moll, F L; de Borst, G J")</f>
        <v>Pourier, V E C; Welleweerd, J C; Kappelle, L J; Rinkel, G J E; Ruigrok, Y M; van der Worp, H B; Lo, T H; Bots, M L; Moll, F L; de Borst, G J</v>
      </c>
      <c r="AN536" s="32">
        <f>IFERROR(__xludf.DUMMYFUNCTION("""COMPUTED_VALUE"""),43292.0)</f>
        <v>43292</v>
      </c>
    </row>
    <row r="537">
      <c r="A537" s="32"/>
      <c r="I537" s="31" t="str">
        <f>IFERROR(__xludf.DUMMYFUNCTION("""COMPUTED_VALUE"""),"journal of hypertension")</f>
        <v>journal of hypertension</v>
      </c>
      <c r="J537" s="38">
        <f>COUNTIF(Data!$F$2:$F9917, $I537)</f>
        <v>28</v>
      </c>
      <c r="T537" s="31" t="s">
        <v>1076</v>
      </c>
      <c r="U537" s="31" t="s">
        <v>1077</v>
      </c>
      <c r="V537" s="32">
        <v>45313.0</v>
      </c>
      <c r="X537" s="31" t="str">
        <f>IFERROR(__xludf.DUMMYFUNCTION("""COMPUTED_VALUE"""),"Rationale and design for the randomized placebo-controlled double-blind trial studying the effect of single antiplatelet therapy (clopidogrel) versus dual antiplatelet therapy (clopidogrel/acetylsalicylic acid) on the occurrence of atherothrombotic events"&amp;" following lower extremity peripheral transluminal angioplasty (CLEAR-PATH).")</f>
        <v>Rationale and design for the randomized placebo-controlled double-blind trial studying the effect of single antiplatelet therapy (clopidogrel) versus dual antiplatelet therapy (clopidogrel/acetylsalicylic acid) on the occurrence of atherothrombotic events following lower extremity peripheral transluminal angioplasty (CLEAR-PATH).</v>
      </c>
      <c r="Y537" s="31" t="str">
        <f>IFERROR(__xludf.DUMMYFUNCTION("""COMPUTED_VALUE"""),"Wegerif, Emilien C J; Ünlü, Çağdaş; Generaal, Manon I; van den Bor, Rutger; van de Ven, Peter M; Bots, Michiel L; de Borst, Gert J")</f>
        <v>Wegerif, Emilien C J; Ünlü, Çağdaş; Generaal, Manon I; van den Bor, Rutger; van de Ven, Peter M; Bots, Michiel L; de Borst, Gert J</v>
      </c>
      <c r="Z537" s="31">
        <f>IFERROR(__xludf.DUMMYFUNCTION("""COMPUTED_VALUE"""),2024.0)</f>
        <v>2024</v>
      </c>
      <c r="AA537" s="31">
        <f>IFERROR(__xludf.DUMMYFUNCTION("""COMPUTED_VALUE"""),0.0)</f>
        <v>0</v>
      </c>
      <c r="AF537" s="31" t="str">
        <f>IFERROR(__xludf.DUMMYFUNCTION("""COMPUTED_VALUE"""),"Plasma polyphenols associated with lower high-sensitivity C-reactive protein concentrations: a cross-sectional study within the European Prospective Investigation into Cancer and Nutrition (EPIC) cohort.")</f>
        <v>Plasma polyphenols associated with lower high-sensitivity C-reactive protein concentrations: a cross-sectional study within the European Prospective Investigation into Cancer and Nutrition (EPIC) cohort.</v>
      </c>
      <c r="AG537" s="31" t="str">
        <f>IFERROR(__xludf.DUMMYFUNCTION("""COMPUTED_VALUE"""),"Harms, Laura M; Scalbert, Augustin; Zamora-Ros, Raul; Rinaldi, Sabina; Jenab, Mazda; Murphy, Neil; Achaintre, David; Tjønneland, Anne; Olsen, Anja; Overvad, Kim; Romana Mancini, Francesca; Mahamat-Saleh, Yahya; Boutron-Ruault, Marie-Christine; Kühn, Tilma"&amp;"n; Katzke, Verena; Trichopoulou, Antonia; Martimianaki, Georgia; Karakatsani, Anna; Palli, Domenico; Panico, Salvatore; Sieri, Sabina; Tumino, Rosario; Sacerdote, Carlotta; Bueno-de-Mesquita, Bas; Vermeulen, Roel C H; Weiderpass, Elisabete; Nøst, Therese "&amp;"Haugdahl; Lasheras, Cristina; Rodríguez-Barranco, Miguel; Huerta, José María; Barricarte, Aurelio; Dorronsoro, Miren; Hultdin, Johan; Schmidt, Julie A; Gunter, Marc; Riboli, Elio; Aleksandrova, Krasimira")</f>
        <v>Harms, Laura M; Scalbert, Augustin; Zamora-Ros, Raul; Rinaldi, Sabina; Jenab, Mazda; Murphy, Neil; Achaintre, David; Tjønneland, Anne; Olsen, Anja; Overvad, Kim; Romana Mancini, Francesca; Mahamat-Saleh, Yahya; Boutron-Ruault, Marie-Christine; Kühn, Tilman; Katzke, Verena; Trichopoulou, Antonia; Martimianaki, Georgia; Karakatsani, Anna; Palli, Domenico; Panico, Salvatore; Sieri, Sabina; Tumino, Rosario; Sacerdote, Carlotta; Bueno-de-Mesquita, Bas; Vermeulen, Roel C H; Weiderpass, Elisabete; Nøst, Therese Haugdahl; Lasheras, Cristina; Rodríguez-Barranco, Miguel; Huerta, José María; Barricarte, Aurelio; Dorronsoro, Miren; Hultdin, Johan; Schmidt, Julie A; Gunter, Marc; Riboli, Elio; Aleksandrova, Krasimira</v>
      </c>
      <c r="AH537" s="32">
        <f>IFERROR(__xludf.DUMMYFUNCTION("""COMPUTED_VALUE"""),43858.0)</f>
        <v>43858</v>
      </c>
      <c r="AL537" s="31" t="str">
        <f>IFERROR(__xludf.DUMMYFUNCTION("""COMPUTED_VALUE"""),"Social networks in relation to self-reported symptomatic infections in individuals aged 40-75 - the Maastricht study.")</f>
        <v>Social networks in relation to self-reported symptomatic infections in individuals aged 40-75 - the Maastricht study.</v>
      </c>
      <c r="AM537" s="31" t="str">
        <f>IFERROR(__xludf.DUMMYFUNCTION("""COMPUTED_VALUE"""),"Brinkhues, Stephanie; Schram, Miranda T; Hoebe, Christian J P A; Kretzschmar, Mirjam E E; Koster, Annemarie; Dagnelie, Pieter C; Sep, Simone J S; van Kuijk, Sander M J; Savelkoul, Paul H M; Dukers-Muijrers, Nicole H T M")</f>
        <v>Brinkhues, Stephanie; Schram, Miranda T; Hoebe, Christian J P A; Kretzschmar, Mirjam E E; Koster, Annemarie; Dagnelie, Pieter C; Sep, Simone J S; van Kuijk, Sander M J; Savelkoul, Paul H M; Dukers-Muijrers, Nicole H T M</v>
      </c>
      <c r="AN537" s="32">
        <f>IFERROR(__xludf.DUMMYFUNCTION("""COMPUTED_VALUE"""),43285.0)</f>
        <v>43285</v>
      </c>
    </row>
    <row r="538">
      <c r="A538" s="32"/>
      <c r="I538" s="31" t="str">
        <f>IFERROR(__xludf.DUMMYFUNCTION("""COMPUTED_VALUE"""),"cell reports medicine")</f>
        <v>cell reports medicine</v>
      </c>
      <c r="J538" s="38">
        <f>COUNTIF(Data!$F$2:$F9917, $I538)</f>
        <v>3</v>
      </c>
      <c r="T538" s="31" t="s">
        <v>1079</v>
      </c>
      <c r="U538" s="31" t="s">
        <v>1080</v>
      </c>
      <c r="V538" s="32">
        <v>45311.0</v>
      </c>
      <c r="X538" s="31" t="str">
        <f>IFERROR(__xludf.DUMMYFUNCTION("""COMPUTED_VALUE"""),"The Utility of Risk Factors to Define Complicated Staphylococcus aureus Bacteremia in a Setting With Low Methicillin-Resistant S. aureus Prevalence.")</f>
        <v>The Utility of Risk Factors to Define Complicated Staphylococcus aureus Bacteremia in a Setting With Low Methicillin-Resistant S. aureus Prevalence.</v>
      </c>
      <c r="Y538" s="31" t="str">
        <f>IFERROR(__xludf.DUMMYFUNCTION("""COMPUTED_VALUE"""),"van der Vaart, Thomas W; Prins, Jan M; Goorhuis, Abraham; Lemkes, Bregtje A; Sigaloff, Kim C E; Spoorenberg, Veroniek; Stijnis, Cornelis; Bonten, Marc J M; van der Meer, Jan T M")</f>
        <v>van der Vaart, Thomas W; Prins, Jan M; Goorhuis, Abraham; Lemkes, Bregtje A; Sigaloff, Kim C E; Spoorenberg, Veroniek; Stijnis, Cornelis; Bonten, Marc J M; van der Meer, Jan T M</v>
      </c>
      <c r="Z538" s="31">
        <f>IFERROR(__xludf.DUMMYFUNCTION("""COMPUTED_VALUE"""),2024.0)</f>
        <v>2024</v>
      </c>
      <c r="AA538" s="31">
        <f>IFERROR(__xludf.DUMMYFUNCTION("""COMPUTED_VALUE"""),0.0)</f>
        <v>0</v>
      </c>
      <c r="AF538" s="31" t="str">
        <f>IFERROR(__xludf.DUMMYFUNCTION("""COMPUTED_VALUE"""),"Obesity and the heart: The impact of obesity beyond the body mass index.")</f>
        <v>Obesity and the heart: The impact of obesity beyond the body mass index.</v>
      </c>
      <c r="AG538" s="31" t="str">
        <f>IFERROR(__xludf.DUMMYFUNCTION("""COMPUTED_VALUE"""),"Vos, A G")</f>
        <v>Vos, A G</v>
      </c>
      <c r="AH538" s="32">
        <f>IFERROR(__xludf.DUMMYFUNCTION("""COMPUTED_VALUE"""),43846.0)</f>
        <v>43846</v>
      </c>
      <c r="AL538" s="31" t="str">
        <f>IFERROR(__xludf.DUMMYFUNCTION("""COMPUTED_VALUE"""),"Effectiveness of Dural Sealants in Prevention of Cerebrospinal Fluid Leakage After Craniotomy: A Systematic Review.")</f>
        <v>Effectiveness of Dural Sealants in Prevention of Cerebrospinal Fluid Leakage After Craniotomy: A Systematic Review.</v>
      </c>
      <c r="AM538" s="31" t="str">
        <f>IFERROR(__xludf.DUMMYFUNCTION("""COMPUTED_VALUE"""),"Kinaci, Ahmet; Algra, Ale; Heuts, Simon; O'Donnell, Devon; van der Zwan, Albert; van Doormaal, Tristan")</f>
        <v>Kinaci, Ahmet; Algra, Ale; Heuts, Simon; O'Donnell, Devon; van der Zwan, Albert; van Doormaal, Tristan</v>
      </c>
      <c r="AN538" s="32">
        <f>IFERROR(__xludf.DUMMYFUNCTION("""COMPUTED_VALUE"""),43281.0)</f>
        <v>43281</v>
      </c>
    </row>
    <row r="539">
      <c r="A539" s="32"/>
      <c r="I539" s="31" t="str">
        <f>IFERROR(__xludf.DUMMYFUNCTION("""COMPUTED_VALUE"""),"the science of the total environment")</f>
        <v>the science of the total environment</v>
      </c>
      <c r="J539" s="38">
        <f>COUNTIF(Data!$F$2:$F9917, $I539)</f>
        <v>3</v>
      </c>
      <c r="T539" s="31" t="s">
        <v>1084</v>
      </c>
      <c r="U539" s="31" t="s">
        <v>1085</v>
      </c>
      <c r="V539" s="32">
        <v>45311.0</v>
      </c>
      <c r="X539" s="31" t="str">
        <f>IFERROR(__xludf.DUMMYFUNCTION("""COMPUTED_VALUE"""),"Noncommunicable Disease Conditions and HIV in Rural and Urban South Africa: 2005-2015.")</f>
        <v>Noncommunicable Disease Conditions and HIV in Rural and Urban South Africa: 2005-2015.</v>
      </c>
      <c r="Y539" s="31" t="str">
        <f>IFERROR(__xludf.DUMMYFUNCTION("""COMPUTED_VALUE"""),"Lammertyn, Leandi; Klipstein-Grobusch, Kerstin; Kruger, Herculina S; Kruger, Iolanthe M; Fourie, Carla M T")</f>
        <v>Lammertyn, Leandi; Klipstein-Grobusch, Kerstin; Kruger, Herculina S; Kruger, Iolanthe M; Fourie, Carla M T</v>
      </c>
      <c r="Z539" s="31">
        <f>IFERROR(__xludf.DUMMYFUNCTION("""COMPUTED_VALUE"""),2024.0)</f>
        <v>2024</v>
      </c>
      <c r="AA539" s="31">
        <f>IFERROR(__xludf.DUMMYFUNCTION("""COMPUTED_VALUE"""),0.0)</f>
        <v>0</v>
      </c>
      <c r="AF539" s="31" t="str">
        <f>IFERROR(__xludf.DUMMYFUNCTION("""COMPUTED_VALUE"""),"Responsible data sharing in a big data-driven translational research platform: lessons learned.")</f>
        <v>Responsible data sharing in a big data-driven translational research platform: lessons learned.</v>
      </c>
      <c r="AG539" s="31" t="str">
        <f>IFERROR(__xludf.DUMMYFUNCTION("""COMPUTED_VALUE"""),"Kalkman, S; Mostert, M; Udo-Beauvisage, N; van Delden, J J; van Thiel, G J")</f>
        <v>Kalkman, S; Mostert, M; Udo-Beauvisage, N; van Delden, J J; van Thiel, G J</v>
      </c>
      <c r="AH539" s="32">
        <f>IFERROR(__xludf.DUMMYFUNCTION("""COMPUTED_VALUE"""),43829.0)</f>
        <v>43829</v>
      </c>
      <c r="AL539" s="31" t="str">
        <f>IFERROR(__xludf.DUMMYFUNCTION("""COMPUTED_VALUE"""),"Whole-exome sequencing in intellectual disability; cost before and after a diagnosis.")</f>
        <v>Whole-exome sequencing in intellectual disability; cost before and after a diagnosis.</v>
      </c>
      <c r="AM539" s="31" t="str">
        <f>IFERROR(__xludf.DUMMYFUNCTION("""COMPUTED_VALUE"""),"Vrijenhoek, Terry; Middelburg, Eline M; Monroe, Glen R; van Gassen, Koen L I; Geenen, Joost W; Hövels, Anke M; Knoers, Nine V; van Amstel, Hans Kristian Ploos; Frederix, Gerardus W J")</f>
        <v>Vrijenhoek, Terry; Middelburg, Eline M; Monroe, Glen R; van Gassen, Koen L I; Geenen, Joost W; Hövels, Anke M; Knoers, Nine V; van Amstel, Hans Kristian Ploos; Frederix, Gerardus W J</v>
      </c>
      <c r="AN539" s="32">
        <f>IFERROR(__xludf.DUMMYFUNCTION("""COMPUTED_VALUE"""),43280.0)</f>
        <v>43280</v>
      </c>
    </row>
    <row r="540">
      <c r="A540" s="32"/>
      <c r="I540" s="31" t="str">
        <f>IFERROR(__xludf.DUMMYFUNCTION("""COMPUTED_VALUE"""),"clinical translational immunology")</f>
        <v>clinical translational immunology</v>
      </c>
      <c r="J540" s="38">
        <f>COUNTIF(Data!$F$2:$F9917, $I540)</f>
        <v>1</v>
      </c>
      <c r="T540" s="31" t="s">
        <v>1089</v>
      </c>
      <c r="U540" s="31" t="s">
        <v>1090</v>
      </c>
      <c r="V540" s="32">
        <v>45310.0</v>
      </c>
      <c r="X540" s="31" t="str">
        <f>IFERROR(__xludf.DUMMYFUNCTION("""COMPUTED_VALUE"""),"Development and validation of a lifetime prediction model for incident type 2 diabetes in patients with established cardiovascular disease: the CVD2DM model.")</f>
        <v>Development and validation of a lifetime prediction model for incident type 2 diabetes in patients with established cardiovascular disease: the CVD2DM model.</v>
      </c>
      <c r="Y540" s="31" t="str">
        <f>IFERROR(__xludf.DUMMYFUNCTION("""COMPUTED_VALUE"""),"Helmink, Marga A G; Peters, Sanne A E; Westerink, Jan; Harris, Katie; Tillmann, Taavi; Woodward, Mark; van Sloten, Thomas T; van der Meer, Manon G; Teraa, Martin; Dorresteijn, Jannick A N; Ruigrok, Ynte M; Visseren, Frank L J; Hageman, Steven H J; ,")</f>
        <v>Helmink, Marga A G; Peters, Sanne A E; Westerink, Jan; Harris, Katie; Tillmann, Taavi; Woodward, Mark; van Sloten, Thomas T; van der Meer, Manon G; Teraa, Martin; Dorresteijn, Jannick A N; Ruigrok, Ynte M; Visseren, Frank L J; Hageman, Steven H J; ,</v>
      </c>
      <c r="Z540" s="31">
        <f>IFERROR(__xludf.DUMMYFUNCTION("""COMPUTED_VALUE"""),2024.0)</f>
        <v>2024</v>
      </c>
      <c r="AA540" s="31">
        <f>IFERROR(__xludf.DUMMYFUNCTION("""COMPUTED_VALUE"""),0.0)</f>
        <v>0</v>
      </c>
      <c r="AF540" s="31" t="str">
        <f>IFERROR(__xludf.DUMMYFUNCTION("""COMPUTED_VALUE"""),"Cardiovascular disease risk and its determinants in people living with HIV across different settings in South Africa.")</f>
        <v>Cardiovascular disease risk and its determinants in people living with HIV across different settings in South Africa.</v>
      </c>
      <c r="AG540" s="31" t="str">
        <f>IFERROR(__xludf.DUMMYFUNCTION("""COMPUTED_VALUE"""),"Roozen, G V T; Vos, A G; Tempelman, H A; Venter, W D F; Grobbee, D E; Scheuermaier, K; Klipstein-Grobusch, K")</f>
        <v>Roozen, G V T; Vos, A G; Tempelman, H A; Venter, W D F; Grobbee, D E; Scheuermaier, K; Klipstein-Grobusch, K</v>
      </c>
      <c r="AH540" s="32">
        <f>IFERROR(__xludf.DUMMYFUNCTION("""COMPUTED_VALUE"""),43817.0)</f>
        <v>43817</v>
      </c>
      <c r="AL540" s="31" t="str">
        <f>IFERROR(__xludf.DUMMYFUNCTION("""COMPUTED_VALUE"""),"Fosfomycin Etest for Enterobacteriaceae: Interobserver and interlaboratory agreement.")</f>
        <v>Fosfomycin Etest for Enterobacteriaceae: Interobserver and interlaboratory agreement.</v>
      </c>
      <c r="AM540" s="31" t="str">
        <f>IFERROR(__xludf.DUMMYFUNCTION("""COMPUTED_VALUE"""),"van Mens, S P; Ten Doesschate, T; Kluytmans-van den Bergh, M F Q; Mouton, J W; Rossen, J W A; Verhulst, C; Bonten, M J M; Kluytmans, J A J W")</f>
        <v>van Mens, S P; Ten Doesschate, T; Kluytmans-van den Bergh, M F Q; Mouton, J W; Rossen, J W A; Verhulst, C; Bonten, M J M; Kluytmans, J A J W</v>
      </c>
      <c r="AN540" s="32">
        <f>IFERROR(__xludf.DUMMYFUNCTION("""COMPUTED_VALUE"""),43278.0)</f>
        <v>43278</v>
      </c>
    </row>
    <row r="541">
      <c r="A541" s="32"/>
      <c r="I541" s="31" t="str">
        <f>IFERROR(__xludf.DUMMYFUNCTION("""COMPUTED_VALUE"""),"british journal of haematology")</f>
        <v>british journal of haematology</v>
      </c>
      <c r="J541" s="38">
        <f>COUNTIF(Data!$F$2:$F9917, $I541)</f>
        <v>3</v>
      </c>
      <c r="T541" s="31" t="s">
        <v>1093</v>
      </c>
      <c r="U541" s="31" t="s">
        <v>1094</v>
      </c>
      <c r="V541" s="32">
        <v>45310.0</v>
      </c>
      <c r="X541" s="31" t="str">
        <f>IFERROR(__xludf.DUMMYFUNCTION("""COMPUTED_VALUE"""),"Mobile Technology Use in Clinical Research Examining Challenges and Implications for Health Promotion in South Africa: Mixed Methods Study.")</f>
        <v>Mobile Technology Use in Clinical Research Examining Challenges and Implications for Health Promotion in South Africa: Mixed Methods Study.</v>
      </c>
      <c r="Y541" s="31" t="str">
        <f>IFERROR(__xludf.DUMMYFUNCTION("""COMPUTED_VALUE"""),"Mabetha, Khuthala; Soepnel, Larske M; Mabena, Gugulethu; Motlhatlhedi, Molebogeng; Nyati, Lukhanyo; Norris, Shane A; Draper, Catherine E")</f>
        <v>Mabetha, Khuthala; Soepnel, Larske M; Mabena, Gugulethu; Motlhatlhedi, Molebogeng; Nyati, Lukhanyo; Norris, Shane A; Draper, Catherine E</v>
      </c>
      <c r="Z541" s="31">
        <f>IFERROR(__xludf.DUMMYFUNCTION("""COMPUTED_VALUE"""),2024.0)</f>
        <v>2024</v>
      </c>
      <c r="AA541" s="31">
        <f>IFERROR(__xludf.DUMMYFUNCTION("""COMPUTED_VALUE"""),0.0)</f>
        <v>0</v>
      </c>
      <c r="AF541" s="31" t="str">
        <f>IFERROR(__xludf.DUMMYFUNCTION("""COMPUTED_VALUE"""),"Physicians' experiences with euthanasia: a cross-sectional survey amongst a random sample of Dutch physicians to explore their concerns, feelings and pressure.")</f>
        <v>Physicians' experiences with euthanasia: a cross-sectional survey amongst a random sample of Dutch physicians to explore their concerns, feelings and pressure.</v>
      </c>
      <c r="AG541" s="31" t="str">
        <f>IFERROR(__xludf.DUMMYFUNCTION("""COMPUTED_VALUE"""),"Evenblij, Kirsten; Pasman, H Roeline W; van Delden, Johannes J M; van der Heide, Agnes; van de Vathorst, Suzanne; Willems, Dick L; Onwuteaka-Philipsen, Bregje D")</f>
        <v>Evenblij, Kirsten; Pasman, H Roeline W; van Delden, Johannes J M; van der Heide, Agnes; van de Vathorst, Suzanne; Willems, Dick L; Onwuteaka-Philipsen, Bregje D</v>
      </c>
      <c r="AH541" s="32">
        <f>IFERROR(__xludf.DUMMYFUNCTION("""COMPUTED_VALUE"""),43816.0)</f>
        <v>43816</v>
      </c>
      <c r="AL541" s="31" t="str">
        <f>IFERROR(__xludf.DUMMYFUNCTION("""COMPUTED_VALUE"""),"Outlier classification performance of risk adjustment methods when profiling multiple providers.")</f>
        <v>Outlier classification performance of risk adjustment methods when profiling multiple providers.</v>
      </c>
      <c r="AM541" s="31" t="str">
        <f>IFERROR(__xludf.DUMMYFUNCTION("""COMPUTED_VALUE"""),"Brakenhoff, Timo B; Roes, Kit C B; Moons, Karel G M; Groenwold, Rolf H H")</f>
        <v>Brakenhoff, Timo B; Roes, Kit C B; Moons, Karel G M; Groenwold, Rolf H H</v>
      </c>
      <c r="AN541" s="32">
        <f>IFERROR(__xludf.DUMMYFUNCTION("""COMPUTED_VALUE"""),43266.0)</f>
        <v>43266</v>
      </c>
    </row>
    <row r="542">
      <c r="A542" s="32"/>
      <c r="I542" s="31" t="str">
        <f>IFERROR(__xludf.DUMMYFUNCTION("""COMPUTED_VALUE"""),"sexually transmitted diseases")</f>
        <v>sexually transmitted diseases</v>
      </c>
      <c r="J542" s="38">
        <f>COUNTIF(Data!$F$2:$F9917, $I542)</f>
        <v>3</v>
      </c>
      <c r="T542" s="31" t="s">
        <v>1098</v>
      </c>
      <c r="U542" s="31" t="s">
        <v>1099</v>
      </c>
      <c r="V542" s="32">
        <v>45308.0</v>
      </c>
      <c r="X542" s="31" t="str">
        <f>IFERROR(__xludf.DUMMYFUNCTION("""COMPUTED_VALUE"""),"Malaria risk mapping among children under five in Togo.")</f>
        <v>Malaria risk mapping among children under five in Togo.</v>
      </c>
      <c r="Y542" s="31" t="str">
        <f>IFERROR(__xludf.DUMMYFUNCTION("""COMPUTED_VALUE"""),"Kombate, Gountante; Kone, Issouf; Douti, Bili; Soubeiga, Kamba André-Marie; Grobbee, Diederick E; van der Sande, Marianne A B")</f>
        <v>Kombate, Gountante; Kone, Issouf; Douti, Bili; Soubeiga, Kamba André-Marie; Grobbee, Diederick E; van der Sande, Marianne A B</v>
      </c>
      <c r="Z542" s="31">
        <f>IFERROR(__xludf.DUMMYFUNCTION("""COMPUTED_VALUE"""),2024.0)</f>
        <v>2024</v>
      </c>
      <c r="AA542" s="31">
        <f>IFERROR(__xludf.DUMMYFUNCTION("""COMPUTED_VALUE"""),0.0)</f>
        <v>0</v>
      </c>
      <c r="AF542" s="31" t="str">
        <f>IFERROR(__xludf.DUMMYFUNCTION("""COMPUTED_VALUE"""),"Global Capacity Building for Global Challenges in Cardiovascular Disease.")</f>
        <v>Global Capacity Building for Global Challenges in Cardiovascular Disease.</v>
      </c>
      <c r="AG542" s="31" t="str">
        <f>IFERROR(__xludf.DUMMYFUNCTION("""COMPUTED_VALUE"""),"Grobbee, Diederick E")</f>
        <v>Grobbee, Diederick E</v>
      </c>
      <c r="AH542" s="32">
        <f>IFERROR(__xludf.DUMMYFUNCTION("""COMPUTED_VALUE"""),43800.0)</f>
        <v>43800</v>
      </c>
      <c r="AL542" s="31" t="str">
        <f>IFERROR(__xludf.DUMMYFUNCTION("""COMPUTED_VALUE"""),"Evaluating the impact of prediction models: lessons learned, challenges, and recommendations.")</f>
        <v>Evaluating the impact of prediction models: lessons learned, challenges, and recommendations.</v>
      </c>
      <c r="AM542" s="31" t="str">
        <f>IFERROR(__xludf.DUMMYFUNCTION("""COMPUTED_VALUE"""),"Kappen, Teus H; van Klei, Wilton A; van Wolfswinkel, Leo; Kalkman, Cor J; Vergouwe, Yvonne; Moons, Karel G M")</f>
        <v>Kappen, Teus H; van Klei, Wilton A; van Wolfswinkel, Leo; Kalkman, Cor J; Vergouwe, Yvonne; Moons, Karel G M</v>
      </c>
      <c r="AN542" s="32">
        <f>IFERROR(__xludf.DUMMYFUNCTION("""COMPUTED_VALUE"""),43263.0)</f>
        <v>43263</v>
      </c>
    </row>
    <row r="543">
      <c r="A543" s="32"/>
      <c r="I543" s="31" t="str">
        <f>IFERROR(__xludf.DUMMYFUNCTION("""COMPUTED_VALUE"""),"cortex a journal devoted to the study of the nervous system and behavior")</f>
        <v>cortex a journal devoted to the study of the nervous system and behavior</v>
      </c>
      <c r="J543" s="38">
        <f>COUNTIF(Data!$F$2:$F9917, $I543)</f>
        <v>1</v>
      </c>
      <c r="T543" s="31" t="s">
        <v>1102</v>
      </c>
      <c r="U543" s="31" t="s">
        <v>1103</v>
      </c>
      <c r="V543" s="32">
        <v>45308.0</v>
      </c>
      <c r="X543" s="31" t="str">
        <f>IFERROR(__xludf.DUMMYFUNCTION("""COMPUTED_VALUE"""),"Being Seen as a Unique Person is Essential in Palliative Care at Home and Nursing Homes: A Qualitative Study With Patients and Relatives.")</f>
        <v>Being Seen as a Unique Person is Essential in Palliative Care at Home and Nursing Homes: A Qualitative Study With Patients and Relatives.</v>
      </c>
      <c r="Y543" s="31" t="str">
        <f>IFERROR(__xludf.DUMMYFUNCTION("""COMPUTED_VALUE"""),"Kochems, Katrin; de Graaf, Everlien; Hesselmann, Ginette M; Teunissen, Saskia C C M")</f>
        <v>Kochems, Katrin; de Graaf, Everlien; Hesselmann, Ginette M; Teunissen, Saskia C C M</v>
      </c>
      <c r="Z543" s="31">
        <f>IFERROR(__xludf.DUMMYFUNCTION("""COMPUTED_VALUE"""),2024.0)</f>
        <v>2024</v>
      </c>
      <c r="AA543" s="31">
        <f>IFERROR(__xludf.DUMMYFUNCTION("""COMPUTED_VALUE"""),0.0)</f>
        <v>0</v>
      </c>
      <c r="AF543" s="31" t="str">
        <f>IFERROR(__xludf.DUMMYFUNCTION("""COMPUTED_VALUE"""),"Urinary Ethyl Glucuronide Can Be Used as a Biomarker of Habitual Alcohol Consumption in the General Population.")</f>
        <v>Urinary Ethyl Glucuronide Can Be Used as a Biomarker of Habitual Alcohol Consumption in the General Population.</v>
      </c>
      <c r="AG543" s="31" t="str">
        <f>IFERROR(__xludf.DUMMYFUNCTION("""COMPUTED_VALUE"""),"van de Luitgaarden, Inge A T; Beulens, Joline W J; Schrieks, Ilse C; Kieneker, Lyanne M; Touw, Daan J; van Ballegooijen, Adriana J; van Oort, Sabine; Grobbee, Diederick E; Bakker, Stephan J L")</f>
        <v>van de Luitgaarden, Inge A T; Beulens, Joline W J; Schrieks, Ilse C; Kieneker, Lyanne M; Touw, Daan J; van Ballegooijen, Adriana J; van Oort, Sabine; Grobbee, Diederick E; Bakker, Stephan J L</v>
      </c>
      <c r="AH543" s="32">
        <f>IFERROR(__xludf.DUMMYFUNCTION("""COMPUTED_VALUE"""),43800.0)</f>
        <v>43800</v>
      </c>
      <c r="AL543" s="31" t="str">
        <f>IFERROR(__xludf.DUMMYFUNCTION("""COMPUTED_VALUE"""),"Four-year effects of exercise on fatigue and physical activity in patients with cancer.")</f>
        <v>Four-year effects of exercise on fatigue and physical activity in patients with cancer.</v>
      </c>
      <c r="AM543" s="31" t="str">
        <f>IFERROR(__xludf.DUMMYFUNCTION("""COMPUTED_VALUE"""),"Witlox, Lenja; Hiensch, Anouk E; Velthuis, Miranda J; Steins Bisschop, Charlotte N; Los, Maartje; Erdkamp, Frans L G; Bloemendal, Haiko J; Verhaar, Marlies; Ten Bokkel Huinink, Daan; van der Wall, Elsken; Peeters, Petra H M; May, Anne M")</f>
        <v>Witlox, Lenja; Hiensch, Anouk E; Velthuis, Miranda J; Steins Bisschop, Charlotte N; Los, Maartje; Erdkamp, Frans L G; Bloemendal, Haiko J; Verhaar, Marlies; Ten Bokkel Huinink, Daan; van der Wall, Elsken; Peeters, Petra H M; May, Anne M</v>
      </c>
      <c r="AN543" s="32">
        <f>IFERROR(__xludf.DUMMYFUNCTION("""COMPUTED_VALUE"""),43259.0)</f>
        <v>43259</v>
      </c>
    </row>
    <row r="544">
      <c r="A544" s="32"/>
      <c r="I544" s="31" t="str">
        <f>IFERROR(__xludf.DUMMYFUNCTION("""COMPUTED_VALUE"""),"hemasphere")</f>
        <v>hemasphere</v>
      </c>
      <c r="J544" s="38">
        <f>COUNTIF(Data!$F$2:$F9917, $I544)</f>
        <v>1</v>
      </c>
      <c r="T544" s="31" t="s">
        <v>1107</v>
      </c>
      <c r="U544" s="31" t="s">
        <v>1108</v>
      </c>
      <c r="V544" s="32">
        <v>45308.0</v>
      </c>
      <c r="X544" s="31" t="str">
        <f>IFERROR(__xludf.DUMMYFUNCTION("""COMPUTED_VALUE"""),"Introducing re-weighted range voting in clinical practice guideline prioritization: Development and testing of the re-weighted priority-setting (REPS) tool.")</f>
        <v>Introducing re-weighted range voting in clinical practice guideline prioritization: Development and testing of the re-weighted priority-setting (REPS) tool.</v>
      </c>
      <c r="Y544" s="31" t="str">
        <f>IFERROR(__xludf.DUMMYFUNCTION("""COMPUTED_VALUE"""),"Oerbekke, Michiel S; Gaasterland, Charlotte M W; van der Laan, Maarten J; Hooft, Lotty")</f>
        <v>Oerbekke, Michiel S; Gaasterland, Charlotte M W; van der Laan, Maarten J; Hooft, Lotty</v>
      </c>
      <c r="Z544" s="31">
        <f>IFERROR(__xludf.DUMMYFUNCTION("""COMPUTED_VALUE"""),2024.0)</f>
        <v>2024</v>
      </c>
      <c r="AA544" s="31">
        <f>IFERROR(__xludf.DUMMYFUNCTION("""COMPUTED_VALUE"""),0.0)</f>
        <v>0</v>
      </c>
      <c r="AF544" s="31" t="str">
        <f>IFERROR(__xludf.DUMMYFUNCTION("""COMPUTED_VALUE"""),"Prevalence and determinants of type 2 diabetes among lean African migrants and non-migrants: the RODAM study.")</f>
        <v>Prevalence and determinants of type 2 diabetes among lean African migrants and non-migrants: the RODAM study.</v>
      </c>
      <c r="AG544" s="31" t="str">
        <f>IFERROR(__xludf.DUMMYFUNCTION("""COMPUTED_VALUE"""),"Chilunga, Felix P; Henneman, Peter; Meeks, Karlijn Ac; Beune, Erik; Requena-Méndez, Ana; Smeeth, Liam; Addo, Juliet; Bahendeka, Silver; Danquah, Ina; Schulze, Matthias B; Spranger, Joachim; Owusu-Dabo, Ellis; Klipstein-Grobusch, Kerstin; Mannens, Marcel M"&amp;"am; Agyemang, Charles")</f>
        <v>Chilunga, Felix P; Henneman, Peter; Meeks, Karlijn Ac; Beune, Erik; Requena-Méndez, Ana; Smeeth, Liam; Addo, Juliet; Bahendeka, Silver; Danquah, Ina; Schulze, Matthias B; Spranger, Joachim; Owusu-Dabo, Ellis; Klipstein-Grobusch, Kerstin; Mannens, Marcel Mam; Agyemang, Charles</v>
      </c>
      <c r="AH544" s="32">
        <f>IFERROR(__xludf.DUMMYFUNCTION("""COMPUTED_VALUE"""),43800.0)</f>
        <v>43800</v>
      </c>
      <c r="AL544" s="31" t="str">
        <f>IFERROR(__xludf.DUMMYFUNCTION("""COMPUTED_VALUE"""),"Receptor Conversion in Distant Breast Cancer Metastases: A Systematic Review and Meta-analysis.")</f>
        <v>Receptor Conversion in Distant Breast Cancer Metastases: A Systematic Review and Meta-analysis.</v>
      </c>
      <c r="AM544" s="31" t="str">
        <f>IFERROR(__xludf.DUMMYFUNCTION("""COMPUTED_VALUE"""),"Schrijver, Willemijne A M E; Suijkerbuijk, Karijn P M; van Gils, Carla H; van der Wall, Elsken; Moelans, Cathy B; van Diest, Paul J")</f>
        <v>Schrijver, Willemijne A M E; Suijkerbuijk, Karijn P M; van Gils, Carla H; van der Wall, Elsken; Moelans, Cathy B; van Diest, Paul J</v>
      </c>
      <c r="AN544" s="32">
        <f>IFERROR(__xludf.DUMMYFUNCTION("""COMPUTED_VALUE"""),43252.0)</f>
        <v>43252</v>
      </c>
    </row>
    <row r="545">
      <c r="A545" s="32"/>
      <c r="I545" s="31" t="str">
        <f>IFERROR(__xludf.DUMMYFUNCTION("""COMPUTED_VALUE"""),"frontiers in digital health")</f>
        <v>frontiers in digital health</v>
      </c>
      <c r="J545" s="38">
        <f>COUNTIF(Data!$F$2:$F9917, $I545)</f>
        <v>1</v>
      </c>
      <c r="T545" s="31" t="s">
        <v>1111</v>
      </c>
      <c r="U545" s="31" t="s">
        <v>1112</v>
      </c>
      <c r="V545" s="32">
        <v>45306.0</v>
      </c>
      <c r="X545" s="31" t="str">
        <f>IFERROR(__xludf.DUMMYFUNCTION("""COMPUTED_VALUE"""),"Sex differences in the intensity of statin prescriptions at initiation in a primary care setting.")</f>
        <v>Sex differences in the intensity of statin prescriptions at initiation in a primary care setting.</v>
      </c>
      <c r="Y545" s="31" t="str">
        <f>IFERROR(__xludf.DUMMYFUNCTION("""COMPUTED_VALUE"""),"Kiss, Pauline A J; Uijl, Alicia; de Boer, Annemarijn R; Duk, Tessa C X; Grobbee, Diederick E; Hollander, Monika; Smits, Elisabeth; Sturkenboom, Miriam C J M; Peters, Sanne A E")</f>
        <v>Kiss, Pauline A J; Uijl, Alicia; de Boer, Annemarijn R; Duk, Tessa C X; Grobbee, Diederick E; Hollander, Monika; Smits, Elisabeth; Sturkenboom, Miriam C J M; Peters, Sanne A E</v>
      </c>
      <c r="Z545" s="31">
        <f>IFERROR(__xludf.DUMMYFUNCTION("""COMPUTED_VALUE"""),2024.0)</f>
        <v>2024</v>
      </c>
      <c r="AA545" s="31">
        <f>IFERROR(__xludf.DUMMYFUNCTION("""COMPUTED_VALUE"""),0.0)</f>
        <v>0</v>
      </c>
      <c r="AF545" s="31" t="str">
        <f>IFERROR(__xludf.DUMMYFUNCTION("""COMPUTED_VALUE"""),"Coping strategies of patients with advanced lung or colorectal cancer in six European countries: Insights from the ACTION Study.")</f>
        <v>Coping strategies of patients with advanced lung or colorectal cancer in six European countries: Insights from the ACTION Study.</v>
      </c>
      <c r="AG545" s="31" t="str">
        <f>IFERROR(__xludf.DUMMYFUNCTION("""COMPUTED_VALUE"""),"Jabbarian, Lea J; Korfage, Ida J; Červ, Branka; van Delden, Johannes J M; Deliens, Luc; Miccinesi, Guido; Payne, Sheila; Thit Johnsen, Anna; Verkissen, Mariëtte N; Wilcock, Andrew; van der Heide, Agnes; Rietjens, Judith A C; ,")</f>
        <v>Jabbarian, Lea J; Korfage, Ida J; Červ, Branka; van Delden, Johannes J M; Deliens, Luc; Miccinesi, Guido; Payne, Sheila; Thit Johnsen, Anna; Verkissen, Mariëtte N; Wilcock, Andrew; van der Heide, Agnes; Rietjens, Judith A C; ,</v>
      </c>
      <c r="AH545" s="32">
        <f>IFERROR(__xludf.DUMMYFUNCTION("""COMPUTED_VALUE"""),43789.0)</f>
        <v>43789</v>
      </c>
      <c r="AL545" s="31" t="str">
        <f>IFERROR(__xludf.DUMMYFUNCTION("""COMPUTED_VALUE"""),"Population distribution of traditional and the emerging cardiovascular risk factors carotid plaque and IMT: the REFINE-Reykjavik study with comparison with the Tromsø study.")</f>
        <v>Population distribution of traditional and the emerging cardiovascular risk factors carotid plaque and IMT: the REFINE-Reykjavik study with comparison with the Tromsø study.</v>
      </c>
      <c r="AM545" s="31" t="str">
        <f>IFERROR(__xludf.DUMMYFUNCTION("""COMPUTED_VALUE"""),"Thorsson, Bolli; Eiriksdottir, Gudny; Sigurdsson, Sigurdur; Gudmundsson, Elias Freyr; Bots, Michael L; Aspelund, Thor; Arntzen, Kjell Arne; Mathiesen, Ellisiv B; Gudnason, Vilmundur")</f>
        <v>Thorsson, Bolli; Eiriksdottir, Gudny; Sigurdsson, Sigurdur; Gudmundsson, Elias Freyr; Bots, Michael L; Aspelund, Thor; Arntzen, Kjell Arne; Mathiesen, Ellisiv B; Gudnason, Vilmundur</v>
      </c>
      <c r="AN545" s="32">
        <f>IFERROR(__xludf.DUMMYFUNCTION("""COMPUTED_VALUE"""),43251.0)</f>
        <v>43251</v>
      </c>
    </row>
    <row r="546">
      <c r="A546" s="32"/>
      <c r="I546" s="31" t="str">
        <f>IFERROR(__xludf.DUMMYFUNCTION("""COMPUTED_VALUE"""),"jmir medical informatics")</f>
        <v>jmir medical informatics</v>
      </c>
      <c r="J546" s="38">
        <f>COUNTIF(Data!$F$2:$F9917, $I546)</f>
        <v>3</v>
      </c>
      <c r="T546" s="31" t="s">
        <v>1116</v>
      </c>
      <c r="U546" s="31" t="s">
        <v>1117</v>
      </c>
      <c r="V546" s="32">
        <v>45306.0</v>
      </c>
      <c r="X546" s="31" t="str">
        <f>IFERROR(__xludf.DUMMYFUNCTION("""COMPUTED_VALUE"""),"Qualitative study on shared decision making in cystitis management in general practice.")</f>
        <v>Qualitative study on shared decision making in cystitis management in general practice.</v>
      </c>
      <c r="Y546" s="31" t="str">
        <f>IFERROR(__xludf.DUMMYFUNCTION("""COMPUTED_VALUE"""),"van Horrik, Tessa Mzxk; Colliers, Annelies; Blanker, Marco H; de Bont, Eefje Gpm; van Driel, Antoinette A; Laan, Bart J; Geerlings, Suzanne E; Venekamp, Roderick P; Anthierens, Sibyl; Platteel, Tamara N")</f>
        <v>van Horrik, Tessa Mzxk; Colliers, Annelies; Blanker, Marco H; de Bont, Eefje Gpm; van Driel, Antoinette A; Laan, Bart J; Geerlings, Suzanne E; Venekamp, Roderick P; Anthierens, Sibyl; Platteel, Tamara N</v>
      </c>
      <c r="Z546" s="31">
        <f>IFERROR(__xludf.DUMMYFUNCTION("""COMPUTED_VALUE"""),2024.0)</f>
        <v>2024</v>
      </c>
      <c r="AA546" s="31">
        <f>IFERROR(__xludf.DUMMYFUNCTION("""COMPUTED_VALUE"""),0.0)</f>
        <v>0</v>
      </c>
      <c r="AF546" s="31" t="str">
        <f>IFERROR(__xludf.DUMMYFUNCTION("""COMPUTED_VALUE"""),"Patients' and public views and attitudes towards the sharing of health data for research: a narrative review of the empirical evidence.")</f>
        <v>Patients' and public views and attitudes towards the sharing of health data for research: a narrative review of the empirical evidence.</v>
      </c>
      <c r="AG546" s="31" t="str">
        <f>IFERROR(__xludf.DUMMYFUNCTION("""COMPUTED_VALUE"""),"Kalkman, Shona; van Delden, Johannes; Banerjee, Amitava; Tyl, Benoît; Mostert, Menno; van Thiel, Ghislaine")</f>
        <v>Kalkman, Shona; van Delden, Johannes; Banerjee, Amitava; Tyl, Benoît; Mostert, Menno; van Thiel, Ghislaine</v>
      </c>
      <c r="AH546" s="32">
        <f>IFERROR(__xludf.DUMMYFUNCTION("""COMPUTED_VALUE"""),43781.0)</f>
        <v>43781</v>
      </c>
      <c r="AL546" s="31" t="str">
        <f>IFERROR(__xludf.DUMMYFUNCTION("""COMPUTED_VALUE"""),"Renal denervation in uncontrolled hypertension: the story continues to unfold.")</f>
        <v>Renal denervation in uncontrolled hypertension: the story continues to unfold.</v>
      </c>
      <c r="AM546" s="31" t="str">
        <f>IFERROR(__xludf.DUMMYFUNCTION("""COMPUTED_VALUE"""),"Blankestijn, Peter J; Bots, Michiel L")</f>
        <v>Blankestijn, Peter J; Bots, Michiel L</v>
      </c>
      <c r="AN546" s="32">
        <f>IFERROR(__xludf.DUMMYFUNCTION("""COMPUTED_VALUE"""),43243.0)</f>
        <v>43243</v>
      </c>
    </row>
    <row r="547">
      <c r="A547" s="32"/>
      <c r="I547" s="31" t="str">
        <f>IFERROR(__xludf.DUMMYFUNCTION("""COMPUTED_VALUE"""),"sociology of health illness")</f>
        <v>sociology of health illness</v>
      </c>
      <c r="J547" s="38">
        <f>COUNTIF(Data!$F$2:$F9917, $I547)</f>
        <v>1</v>
      </c>
      <c r="T547" s="31" t="s">
        <v>1121</v>
      </c>
      <c r="U547" s="31" t="s">
        <v>1122</v>
      </c>
      <c r="V547" s="32">
        <v>45306.0</v>
      </c>
      <c r="X547" s="31" t="str">
        <f>IFERROR(__xludf.DUMMYFUNCTION("""COMPUTED_VALUE"""),"Automated, Point-of-Care mobile flow cytometry: Bringing the laboratory to the sample.")</f>
        <v>Automated, Point-of-Care mobile flow cytometry: Bringing the laboratory to the sample.</v>
      </c>
      <c r="Y547" s="31" t="str">
        <f>IFERROR(__xludf.DUMMYFUNCTION("""COMPUTED_VALUE"""),"Jukema, B N; Pelgrim, T C; Spoelder, M; Bongers, C C W G; Hopman, M T E; Smit, K; Rijk, M H; Venekamp, R P; Vrisekoop, N; Koenderman, L")</f>
        <v>Jukema, B N; Pelgrim, T C; Spoelder, M; Bongers, C C W G; Hopman, M T E; Smit, K; Rijk, M H; Venekamp, R P; Vrisekoop, N; Koenderman, L</v>
      </c>
      <c r="Z547" s="31">
        <f>IFERROR(__xludf.DUMMYFUNCTION("""COMPUTED_VALUE"""),2024.0)</f>
        <v>2024</v>
      </c>
      <c r="AA547" s="31">
        <f>IFERROR(__xludf.DUMMYFUNCTION("""COMPUTED_VALUE"""),0.0)</f>
        <v>0</v>
      </c>
      <c r="AF547" s="31" t="str">
        <f>IFERROR(__xludf.DUMMYFUNCTION("""COMPUTED_VALUE"""),"Autoimmunity plays a role in the onset of diabetes after 40 years of age.")</f>
        <v>Autoimmunity plays a role in the onset of diabetes after 40 years of age.</v>
      </c>
      <c r="AG547" s="31" t="str">
        <f>IFERROR(__xludf.DUMMYFUNCTION("""COMPUTED_VALUE"""),"Rolandsson, Olov; Hampe, Christiane S; Sharp, Stephen J; Ardanaz, Eva; Boeing, Heiner; Fagherazzi, Guy; Mancini, Francesca Romana; Nilsson, Peter M; Overvad, Kim; Chirlaque, Maria-Dolores; Dorronsoro, Miren; Gunter, Marc J; Kaaks, Rudolf; Key, Timothy J; "&amp;"Khaw, Kay-Tee; Krogh, Vittorio; Kühn, Tilman; Palli, Domenico; Panico, Salvatore; Sacerdote, Carlotta; Sánchez, Maria-José; Severi, Gianluca; Spijkerman, Annemieke M W; Tumino, Rosario; van der Schouw, Yvonne T; Riboli, Elio; Forouhi, Nita G; Langenberg, "&amp;"Claudia; Wareham, Nicholas J")</f>
        <v>Rolandsson, Olov; Hampe, Christiane S; Sharp, Stephen J; Ardanaz, Eva; Boeing, Heiner; Fagherazzi, Guy; Mancini, Francesca Romana; Nilsson, Peter M; Overvad, Kim; Chirlaque, Maria-Dolores; Dorronsoro, Miren; Gunter, Marc J; Kaaks, Rudolf; Key, Timothy J; Khaw, Kay-Tee; Krogh, Vittorio; Kühn, Tilman; Palli, Domenico; Panico, Salvatore; Sacerdote, Carlotta; Sánchez, Maria-José; Severi, Gianluca; Spijkerman, Annemieke M W; Tumino, Rosario; van der Schouw, Yvonne T; Riboli, Elio; Forouhi, Nita G; Langenberg, Claudia; Wareham, Nicholas J</v>
      </c>
      <c r="AH547" s="32">
        <f>IFERROR(__xludf.DUMMYFUNCTION("""COMPUTED_VALUE"""),43780.0)</f>
        <v>43780</v>
      </c>
      <c r="AL547" s="31" t="str">
        <f>IFERROR(__xludf.DUMMYFUNCTION("""COMPUTED_VALUE"""),"Antibiotic Resistance and the Risk of Recurrent Bacteremia.")</f>
        <v>Antibiotic Resistance and the Risk of Recurrent Bacteremia.</v>
      </c>
      <c r="AM547" s="31" t="str">
        <f>IFERROR(__xludf.DUMMYFUNCTION("""COMPUTED_VALUE"""),"Woudt, Sjoukje H S; de Greeff, Sabine C; Schoffelen, Annelot F; Vlek, Anne L M; Bonten, Marc J M; ,")</f>
        <v>Woudt, Sjoukje H S; de Greeff, Sabine C; Schoffelen, Annelot F; Vlek, Anne L M; Bonten, Marc J M; ,</v>
      </c>
      <c r="AN547" s="32">
        <f>IFERROR(__xludf.DUMMYFUNCTION("""COMPUTED_VALUE"""),43237.0)</f>
        <v>43237</v>
      </c>
    </row>
    <row r="548">
      <c r="A548" s="32"/>
      <c r="I548" s="31" t="str">
        <f>IFERROR(__xludf.DUMMYFUNCTION("""COMPUTED_VALUE"""),"public health nutrition")</f>
        <v>public health nutrition</v>
      </c>
      <c r="J548" s="38">
        <f>COUNTIF(Data!$F$2:$F9917, $I548)</f>
        <v>6</v>
      </c>
      <c r="T548" s="31" t="s">
        <v>1126</v>
      </c>
      <c r="U548" s="31" t="s">
        <v>1127</v>
      </c>
      <c r="V548" s="32">
        <v>45306.0</v>
      </c>
      <c r="X548" s="31" t="str">
        <f>IFERROR(__xludf.DUMMYFUNCTION("""COMPUTED_VALUE"""),"Developer perspectives on the ethics of AI-driven neural implants: a qualitative study.")</f>
        <v>Developer perspectives on the ethics of AI-driven neural implants: a qualitative study.</v>
      </c>
      <c r="Y548" s="31" t="str">
        <f>IFERROR(__xludf.DUMMYFUNCTION("""COMPUTED_VALUE"""),"van Stuijvenberg, Odile C; Broekman, Marike L D; Wolff, Samantha E C; Bredenoord, Annelien L; Jongsma, Karin R")</f>
        <v>van Stuijvenberg, Odile C; Broekman, Marike L D; Wolff, Samantha E C; Bredenoord, Annelien L; Jongsma, Karin R</v>
      </c>
      <c r="Z548" s="31">
        <f>IFERROR(__xludf.DUMMYFUNCTION("""COMPUTED_VALUE"""),2024.0)</f>
        <v>2024</v>
      </c>
      <c r="AA548" s="31">
        <f>IFERROR(__xludf.DUMMYFUNCTION("""COMPUTED_VALUE"""),0.0)</f>
        <v>0</v>
      </c>
      <c r="AF548" s="31" t="str">
        <f>IFERROR(__xludf.DUMMYFUNCTION("""COMPUTED_VALUE"""),"Can Menopause Prediction Be Improved With Multiple AMH Measurements? Results From the Prospective Doetinchem Cohort Study.")</f>
        <v>Can Menopause Prediction Be Improved With Multiple AMH Measurements? Results From the Prospective Doetinchem Cohort Study.</v>
      </c>
      <c r="AG548" s="31" t="str">
        <f>IFERROR(__xludf.DUMMYFUNCTION("""COMPUTED_VALUE"""),"de Kat, Annelien C; van der Schouw, Yvonne T; Eijkemans, Marinus J C; Broer, Simone L; Verschuren, W M Monique; Broekmans, Frank J M")</f>
        <v>de Kat, Annelien C; van der Schouw, Yvonne T; Eijkemans, Marinus J C; Broer, Simone L; Verschuren, W M Monique; Broekmans, Frank J M</v>
      </c>
      <c r="AH548" s="32">
        <f>IFERROR(__xludf.DUMMYFUNCTION("""COMPUTED_VALUE"""),43770.0)</f>
        <v>43770</v>
      </c>
      <c r="AL548" s="31" t="str">
        <f>IFERROR(__xludf.DUMMYFUNCTION("""COMPUTED_VALUE"""),"Conventional Pathology Versus Gene Signatures for Assessing Luminal A and B Type Breast Cancers: Results of a Prospective Cohort Study.")</f>
        <v>Conventional Pathology Versus Gene Signatures for Assessing Luminal A and B Type Breast Cancers: Results of a Prospective Cohort Study.</v>
      </c>
      <c r="AM548" s="31" t="str">
        <f>IFERROR(__xludf.DUMMYFUNCTION("""COMPUTED_VALUE"""),"van Steenhoven, Julia E C; Kuijer, Anne; van Diest, Paul J; van Gorp, Joost M; Straver, Marieke; Elias, Sjoerd G; Wesseling, Jelle; Rutgers, Emiel; Timmer-Bonte, Johanna N H; Nieboer, Peter; Smilde, Tineke J; Imholz, Alex; Blanken, Charlotte F J M; Siesli"&amp;"ng, Sabine; van Dalen, Thijs")</f>
        <v>van Steenhoven, Julia E C; Kuijer, Anne; van Diest, Paul J; van Gorp, Joost M; Straver, Marieke; Elias, Sjoerd G; Wesseling, Jelle; Rutgers, Emiel; Timmer-Bonte, Johanna N H; Nieboer, Peter; Smilde, Tineke J; Imholz, Alex; Blanken, Charlotte F J M; Siesling, Sabine; van Dalen, Thijs</v>
      </c>
      <c r="AN548" s="32">
        <f>IFERROR(__xludf.DUMMYFUNCTION("""COMPUTED_VALUE"""),43237.0)</f>
        <v>43237</v>
      </c>
    </row>
    <row r="549">
      <c r="A549" s="32"/>
      <c r="I549" s="31" t="str">
        <f>IFERROR(__xludf.DUMMYFUNCTION("""COMPUTED_VALUE"""),"heart rhythm")</f>
        <v>heart rhythm</v>
      </c>
      <c r="J549" s="38">
        <f>COUNTIF(Data!$F$2:$F9917, $I549)</f>
        <v>1</v>
      </c>
      <c r="T549" s="31" t="s">
        <v>1131</v>
      </c>
      <c r="U549" s="31" t="s">
        <v>1132</v>
      </c>
      <c r="V549" s="32">
        <v>45305.0</v>
      </c>
      <c r="X549" s="31" t="str">
        <f>IFERROR(__xludf.DUMMYFUNCTION("""COMPUTED_VALUE"""),"Diagnosis-linked antibiotic prescribing quality indicators: demonstrating feasibility using practice-based routine primary care data, reliability, validity and their potential in antimicrobial stewardship.")</f>
        <v>Diagnosis-linked antibiotic prescribing quality indicators: demonstrating feasibility using practice-based routine primary care data, reliability, validity and their potential in antimicrobial stewardship.</v>
      </c>
      <c r="Y549" s="31" t="str">
        <f>IFERROR(__xludf.DUMMYFUNCTION("""COMPUTED_VALUE"""),"van den Eijnde, Sharon E J D; van der Linden, Paul D; van der Velden, Alike W")</f>
        <v>van den Eijnde, Sharon E J D; van der Linden, Paul D; van der Velden, Alike W</v>
      </c>
      <c r="Z549" s="31">
        <f>IFERROR(__xludf.DUMMYFUNCTION("""COMPUTED_VALUE"""),2024.0)</f>
        <v>2024</v>
      </c>
      <c r="AA549" s="31">
        <f>IFERROR(__xludf.DUMMYFUNCTION("""COMPUTED_VALUE"""),0.0)</f>
        <v>0</v>
      </c>
      <c r="AF549" s="31" t="str">
        <f>IFERROR(__xludf.DUMMYFUNCTION("""COMPUTED_VALUE"""),"Cardiovascular guidelines based on high-quality evidence: Are we getting there?")</f>
        <v>Cardiovascular guidelines based on high-quality evidence: Are we getting there?</v>
      </c>
      <c r="AG549" s="31" t="str">
        <f>IFERROR(__xludf.DUMMYFUNCTION("""COMPUTED_VALUE"""),"van Dijk, Wouter B; Grobbee, Diederick E")</f>
        <v>van Dijk, Wouter B; Grobbee, Diederick E</v>
      </c>
      <c r="AH549" s="32">
        <f>IFERROR(__xludf.DUMMYFUNCTION("""COMPUTED_VALUE"""),43770.0)</f>
        <v>43770</v>
      </c>
      <c r="AL549" s="31" t="str">
        <f>IFERROR(__xludf.DUMMYFUNCTION("""COMPUTED_VALUE"""),"Defining Host Responses during Systemic Bacterial Infection through Construction of a Murine Organ Proteome Atlas.")</f>
        <v>Defining Host Responses during Systemic Bacterial Infection through Construction of a Murine Organ Proteome Atlas.</v>
      </c>
      <c r="AM549" s="31" t="str">
        <f>IFERROR(__xludf.DUMMYFUNCTION("""COMPUTED_VALUE"""),"Lapek, John D; Mills, Robert H; Wozniak, Jacob M; Campeau, Anaamika; Fang, Ronnie H; Wei, Xiaoli; van de Groep, Kirsten; Perez-Lopez, Araceli; van Sorge, Nina M; Raffatellu, Manuela; Knight, Rob; Zhang, Liangfang; Gonzalez, David J")</f>
        <v>Lapek, John D; Mills, Robert H; Wozniak, Jacob M; Campeau, Anaamika; Fang, Ronnie H; Wei, Xiaoli; van de Groep, Kirsten; Perez-Lopez, Araceli; van Sorge, Nina M; Raffatellu, Manuela; Knight, Rob; Zhang, Liangfang; Gonzalez, David J</v>
      </c>
      <c r="AN549" s="32">
        <f>IFERROR(__xludf.DUMMYFUNCTION("""COMPUTED_VALUE"""),43236.0)</f>
        <v>43236</v>
      </c>
    </row>
    <row r="550">
      <c r="A550" s="32"/>
      <c r="I550" s="31" t="str">
        <f>IFERROR(__xludf.DUMMYFUNCTION("""COMPUTED_VALUE"""),"ajog global reports")</f>
        <v>ajog global reports</v>
      </c>
      <c r="J550" s="38">
        <f>COUNTIF(Data!$F$2:$F9917, $I550)</f>
        <v>3</v>
      </c>
      <c r="T550" s="31" t="s">
        <v>1135</v>
      </c>
      <c r="U550" s="31" t="s">
        <v>1136</v>
      </c>
      <c r="V550" s="32">
        <v>45305.0</v>
      </c>
      <c r="X550" s="31" t="str">
        <f>IFERROR(__xludf.DUMMYFUNCTION("""COMPUTED_VALUE"""),"Evaluating the introduction of positive health on the amount of received home care among older patients: A pre-post study.")</f>
        <v>Evaluating the introduction of positive health on the amount of received home care among older patients: A pre-post study.</v>
      </c>
      <c r="Y550" s="31" t="str">
        <f>IFERROR(__xludf.DUMMYFUNCTION("""COMPUTED_VALUE"""),"Klein Holte, Yvanka N; Bleijenberg, Nienke")</f>
        <v>Klein Holte, Yvanka N; Bleijenberg, Nienke</v>
      </c>
      <c r="Z550" s="31">
        <f>IFERROR(__xludf.DUMMYFUNCTION("""COMPUTED_VALUE"""),2024.0)</f>
        <v>2024</v>
      </c>
      <c r="AA550" s="31">
        <f>IFERROR(__xludf.DUMMYFUNCTION("""COMPUTED_VALUE"""),0.0)</f>
        <v>0</v>
      </c>
      <c r="AF550" s="31" t="str">
        <f>IFERROR(__xludf.DUMMYFUNCTION("""COMPUTED_VALUE"""),"Cross-sectional study of the health of southern African truck drivers.")</f>
        <v>Cross-sectional study of the health of southern African truck drivers.</v>
      </c>
      <c r="AG550" s="31" t="str">
        <f>IFERROR(__xludf.DUMMYFUNCTION("""COMPUTED_VALUE"""),"Lalla-Edward, Samanta Tresha; Fischer, Alex Emilio; Venter, W D Francois; Scheuermaier, Karine; Meel, Ruchika; Hankins, Catherine; Gomez, Gabriela; Klipstein-Grobusch, Kerstin; Draaijer, Melvin; Vos, Alinda G")</f>
        <v>Lalla-Edward, Samanta Tresha; Fischer, Alex Emilio; Venter, W D Francois; Scheuermaier, Karine; Meel, Ruchika; Hankins, Catherine; Gomez, Gabriela; Klipstein-Grobusch, Kerstin; Draaijer, Melvin; Vos, Alinda G</v>
      </c>
      <c r="AH550" s="32">
        <f>IFERROR(__xludf.DUMMYFUNCTION("""COMPUTED_VALUE"""),43766.0)</f>
        <v>43766</v>
      </c>
      <c r="AL550" s="31" t="str">
        <f>IFERROR(__xludf.DUMMYFUNCTION("""COMPUTED_VALUE"""),"Prediction of vascular abnormalities on CT angiography in patients with acute headache.")</f>
        <v>Prediction of vascular abnormalities on CT angiography in patients with acute headache.</v>
      </c>
      <c r="AM550" s="31" t="str">
        <f>IFERROR(__xludf.DUMMYFUNCTION("""COMPUTED_VALUE"""),"Alons, Imanda M E; Goudsmit, Ben F J; Jellema, Korné; van Walderveen, Marianne A A; Wermer, Marieke J H; Algra, Ale")</f>
        <v>Alons, Imanda M E; Goudsmit, Ben F J; Jellema, Korné; van Walderveen, Marianne A A; Wermer, Marieke J H; Algra, Ale</v>
      </c>
      <c r="AN550" s="32">
        <f>IFERROR(__xludf.DUMMYFUNCTION("""COMPUTED_VALUE"""),43229.0)</f>
        <v>43229</v>
      </c>
    </row>
    <row r="551">
      <c r="A551" s="32"/>
      <c r="I551" s="31" t="str">
        <f>IFERROR(__xludf.DUMMYFUNCTION("""COMPUTED_VALUE"""),"international journal of stroke official journal of the international stroke society")</f>
        <v>international journal of stroke official journal of the international stroke society</v>
      </c>
      <c r="J551" s="38">
        <f>COUNTIF(Data!$F$2:$F9917, $I551)</f>
        <v>17</v>
      </c>
      <c r="T551" s="31" t="s">
        <v>1140</v>
      </c>
      <c r="U551" s="31" t="s">
        <v>1141</v>
      </c>
      <c r="V551" s="32">
        <v>45303.0</v>
      </c>
      <c r="X551" s="31" t="str">
        <f>IFERROR(__xludf.DUMMYFUNCTION("""COMPUTED_VALUE"""),"Quality of life endpoints in cancer cachexia clinical trials: Systematic review 3 of the cachexia endpoints series.")</f>
        <v>Quality of life endpoints in cancer cachexia clinical trials: Systematic review 3 of the cachexia endpoints series.</v>
      </c>
      <c r="Y551" s="31" t="str">
        <f>IFERROR(__xludf.DUMMYFUNCTION("""COMPUTED_VALUE"""),"Hjermstad, Marianne J; Jakobsen, Gunnhild; Arends, Jann; Balstad, Trude; Brown, Leo R; Bye, Asta; Coats, Andrew J S; Dajani, Olav F; Dolan, Ross D; Fallon, Marie T; Greil, Christine; Grzyb, Alexandra; Kaasa, Stein; Koteng, Lisa H; May, Anne M; McDonald, J"&amp;"ames; Ottestad, Inger; Philips, Iain; Roeland, Eric J; Sayers, Judith; Simpson, Melanie R; Skipworth, Richard J E; Solheim, Tora S; Sousa, Mariana S; Vagnildhaug, Ola M; Laird, Barry J A; ,")</f>
        <v>Hjermstad, Marianne J; Jakobsen, Gunnhild; Arends, Jann; Balstad, Trude; Brown, Leo R; Bye, Asta; Coats, Andrew J S; Dajani, Olav F; Dolan, Ross D; Fallon, Marie T; Greil, Christine; Grzyb, Alexandra; Kaasa, Stein; Koteng, Lisa H; May, Anne M; McDonald, James; Ottestad, Inger; Philips, Iain; Roeland, Eric J; Sayers, Judith; Simpson, Melanie R; Skipworth, Richard J E; Solheim, Tora S; Sousa, Mariana S; Vagnildhaug, Ola M; Laird, Barry J A; ,</v>
      </c>
      <c r="Z551" s="31">
        <f>IFERROR(__xludf.DUMMYFUNCTION("""COMPUTED_VALUE"""),2024.0)</f>
        <v>2024</v>
      </c>
      <c r="AA551" s="31">
        <f>IFERROR(__xludf.DUMMYFUNCTION("""COMPUTED_VALUE"""),0.0)</f>
        <v>0</v>
      </c>
      <c r="AF551" s="31" t="str">
        <f>IFERROR(__xludf.DUMMYFUNCTION("""COMPUTED_VALUE"""),"Causal relationships between obesity and the leading causes of death in women and men.")</f>
        <v>Causal relationships between obesity and the leading causes of death in women and men.</v>
      </c>
      <c r="AG551" s="31" t="str">
        <f>IFERROR(__xludf.DUMMYFUNCTION("""COMPUTED_VALUE"""),"Censin, Jenny C; Peters, Sanne A E; Bovijn, Jonas; Ferreira, Teresa; Pulit, Sara L; Mägi, Reedik; Mahajan, Anubha; Holmes, Michael V; Lindgren, Cecilia M")</f>
        <v>Censin, Jenny C; Peters, Sanne A E; Bovijn, Jonas; Ferreira, Teresa; Pulit, Sara L; Mägi, Reedik; Mahajan, Anubha; Holmes, Michael V; Lindgren, Cecilia M</v>
      </c>
      <c r="AH551" s="32">
        <f>IFERROR(__xludf.DUMMYFUNCTION("""COMPUTED_VALUE"""),43762.0)</f>
        <v>43762</v>
      </c>
      <c r="AL551" s="31" t="str">
        <f>IFERROR(__xludf.DUMMYFUNCTION("""COMPUTED_VALUE"""),"Contemporary cardiovascular risk prediction.")</f>
        <v>Contemporary cardiovascular risk prediction.</v>
      </c>
      <c r="AM551" s="31" t="str">
        <f>IFERROR(__xludf.DUMMYFUNCTION("""COMPUTED_VALUE"""),"Damen, Johanna A A G; Hooft, Lotty; Moons, Karel G M")</f>
        <v>Damen, Johanna A A G; Hooft, Lotty; Moons, Karel G M</v>
      </c>
      <c r="AN551" s="32">
        <f>IFERROR(__xludf.DUMMYFUNCTION("""COMPUTED_VALUE"""),43224.0)</f>
        <v>43224</v>
      </c>
    </row>
    <row r="552">
      <c r="A552" s="32"/>
      <c r="I552" s="31" t="str">
        <f>IFERROR(__xludf.DUMMYFUNCTION("""COMPUTED_VALUE"""),"maternal child nutrition")</f>
        <v>maternal child nutrition</v>
      </c>
      <c r="J552" s="38">
        <f>COUNTIF(Data!$F$2:$F9917, $I552)</f>
        <v>2</v>
      </c>
      <c r="T552" s="31" t="s">
        <v>1144</v>
      </c>
      <c r="U552" s="31" t="s">
        <v>1145</v>
      </c>
      <c r="V552" s="32">
        <v>45303.0</v>
      </c>
      <c r="X552" s="31" t="str">
        <f>IFERROR(__xludf.DUMMYFUNCTION("""COMPUTED_VALUE"""),"Study of High-Transverse-Momentum Higgs Boson Production in Association with a Vector Boson in the qqbb Final State with the ATLAS Detector.")</f>
        <v>Study of High-Transverse-Momentum Higgs Boson Production in Association with a Vector Boson in the qqbb Final State with the ATLAS Detector.</v>
      </c>
      <c r="Y552" s="31"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552" s="31">
        <f>IFERROR(__xludf.DUMMYFUNCTION("""COMPUTED_VALUE"""),2024.0)</f>
        <v>2024</v>
      </c>
      <c r="AA552" s="31">
        <f>IFERROR(__xludf.DUMMYFUNCTION("""COMPUTED_VALUE"""),0.0)</f>
        <v>0</v>
      </c>
      <c r="AF552" s="31" t="str">
        <f>IFERROR(__xludf.DUMMYFUNCTION("""COMPUTED_VALUE"""),"Association between beta-blocker use and mortality/morbidity in older patients with heart failure with reduced ejection fraction. A propensity score-matched analysis from the Swedish Heart Failure Registry.")</f>
        <v>Association between beta-blocker use and mortality/morbidity in older patients with heart failure with reduced ejection fraction. A propensity score-matched analysis from the Swedish Heart Failure Registry.</v>
      </c>
      <c r="AG552" s="31" t="str">
        <f>IFERROR(__xludf.DUMMYFUNCTION("""COMPUTED_VALUE"""),"Stolfo, Davide; Uijl, Alicia; Benson, Lina; Schrage, Benedikt; Fudim, Marat; Asselbergs, Folkert W; Koudstaal, Stefan; Sinagra, Gianfranco; Dahlström, Ulf; Rosano, Giuseppe; Savarese, Gianluigi")</f>
        <v>Stolfo, Davide; Uijl, Alicia; Benson, Lina; Schrage, Benedikt; Fudim, Marat; Asselbergs, Folkert W; Koudstaal, Stefan; Sinagra, Gianfranco; Dahlström, Ulf; Rosano, Giuseppe; Savarese, Gianluigi</v>
      </c>
      <c r="AH552" s="32">
        <f>IFERROR(__xludf.DUMMYFUNCTION("""COMPUTED_VALUE"""),43761.0)</f>
        <v>43761</v>
      </c>
      <c r="AL552" s="31" t="str">
        <f>IFERROR(__xludf.DUMMYFUNCTION("""COMPUTED_VALUE"""),"Short versus long duration of dual antiplatelet therapy following drug-eluting stents: a meta-analysis of randomised trials.")</f>
        <v>Short versus long duration of dual antiplatelet therapy following drug-eluting stents: a meta-analysis of randomised trials.</v>
      </c>
      <c r="AM552" s="31" t="str">
        <f>IFERROR(__xludf.DUMMYFUNCTION("""COMPUTED_VALUE"""),"Rozemeijer, R; Voskuil, M; Greving, J P; Bots, M L; Doevendans, P A; Stella, P R")</f>
        <v>Rozemeijer, R; Voskuil, M; Greving, J P; Bots, M L; Doevendans, P A; Stella, P R</v>
      </c>
      <c r="AN552" s="32">
        <f>IFERROR(__xludf.DUMMYFUNCTION("""COMPUTED_VALUE"""),43221.0)</f>
        <v>43221</v>
      </c>
    </row>
    <row r="553">
      <c r="A553" s="32"/>
      <c r="I553" s="31" t="str">
        <f>IFERROR(__xludf.DUMMYFUNCTION("""COMPUTED_VALUE"""),"drug and alcohol dependence")</f>
        <v>drug and alcohol dependence</v>
      </c>
      <c r="J553" s="38">
        <f>COUNTIF(Data!$F$2:$F9917, $I553)</f>
        <v>2</v>
      </c>
      <c r="T553" s="31" t="s">
        <v>1148</v>
      </c>
      <c r="U553" s="31" t="s">
        <v>1149</v>
      </c>
      <c r="V553" s="32">
        <v>45303.0</v>
      </c>
      <c r="X553" s="31" t="str">
        <f>IFERROR(__xludf.DUMMYFUNCTION("""COMPUTED_VALUE"""),"Rheumatoid arthritis patients' perspective on the use of prediction models in clinical decision-making.")</f>
        <v>Rheumatoid arthritis patients' perspective on the use of prediction models in clinical decision-making.</v>
      </c>
      <c r="Y553" s="31" t="str">
        <f>IFERROR(__xludf.DUMMYFUNCTION("""COMPUTED_VALUE"""),"Messelink, Marianne A; Fadaei, Sina; Verhoef, Lise M; Welsing, Paco; Nijhof, Nienke C; Westland, Heleen")</f>
        <v>Messelink, Marianne A; Fadaei, Sina; Verhoef, Lise M; Welsing, Paco; Nijhof, Nienke C; Westland, Heleen</v>
      </c>
      <c r="Z553" s="31">
        <f>IFERROR(__xludf.DUMMYFUNCTION("""COMPUTED_VALUE"""),2024.0)</f>
        <v>2024</v>
      </c>
      <c r="AA553" s="31">
        <f>IFERROR(__xludf.DUMMYFUNCTION("""COMPUTED_VALUE"""),0.0)</f>
        <v>0</v>
      </c>
      <c r="AF553" s="31" t="str">
        <f>IFERROR(__xludf.DUMMYFUNCTION("""COMPUTED_VALUE"""),"Effects of HIV Infection on Pulmonary Artery Pressure in Children.")</f>
        <v>Effects of HIV Infection on Pulmonary Artery Pressure in Children.</v>
      </c>
      <c r="AG553" s="31" t="str">
        <f>IFERROR(__xludf.DUMMYFUNCTION("""COMPUTED_VALUE"""),"Idris, Nikmah S; Uiterwaal, Cuno S P M; Burgner, David P; Grobbee, Diederick E; Kurniati, Nia; Cheung, Michael M H")</f>
        <v>Idris, Nikmah S; Uiterwaal, Cuno S P M; Burgner, David P; Grobbee, Diederick E; Kurniati, Nia; Cheung, Michael M H</v>
      </c>
      <c r="AH553" s="32">
        <f>IFERROR(__xludf.DUMMYFUNCTION("""COMPUTED_VALUE"""),43749.0)</f>
        <v>43749</v>
      </c>
      <c r="AL553" s="31" t="str">
        <f>IFERROR(__xludf.DUMMYFUNCTION("""COMPUTED_VALUE"""),"Perimesencephalic Hemorrhage: A Review of Epidemiology, Risk Factors, Presumed Cause, Clinical Course, and Outcome.")</f>
        <v>Perimesencephalic Hemorrhage: A Review of Epidemiology, Risk Factors, Presumed Cause, Clinical Course, and Outcome.</v>
      </c>
      <c r="AM553" s="31" t="str">
        <f>IFERROR(__xludf.DUMMYFUNCTION("""COMPUTED_VALUE"""),"Mensing, Liselore A; Vergouwen, Mervyn D I; Laban, Kamil G; Ruigrok, Ynte M; Velthuis, Birgitta K; Algra, Ale; Rinkel, Gabriel J E")</f>
        <v>Mensing, Liselore A; Vergouwen, Mervyn D I; Laban, Kamil G; Ruigrok, Ynte M; Velthuis, Birgitta K; Algra, Ale; Rinkel, Gabriel J E</v>
      </c>
      <c r="AN553" s="32">
        <f>IFERROR(__xludf.DUMMYFUNCTION("""COMPUTED_VALUE"""),43215.0)</f>
        <v>43215</v>
      </c>
    </row>
    <row r="554">
      <c r="A554" s="32"/>
      <c r="I554" s="31" t="str">
        <f>IFERROR(__xludf.DUMMYFUNCTION("""COMPUTED_VALUE"""),"maternal and child health journal")</f>
        <v>maternal and child health journal</v>
      </c>
      <c r="J554" s="38">
        <f>COUNTIF(Data!$F$2:$F9917, $I554)</f>
        <v>1</v>
      </c>
      <c r="T554" s="31" t="s">
        <v>1152</v>
      </c>
      <c r="U554" s="31" t="s">
        <v>1153</v>
      </c>
      <c r="V554" s="32">
        <v>45301.0</v>
      </c>
      <c r="X554" s="31" t="str">
        <f>IFERROR(__xludf.DUMMYFUNCTION("""COMPUTED_VALUE"""),"Cost-effectiveness of Mediterranean diet and physical activity in secondary CVD prevention: results from the UCC-SMART cohort study.")</f>
        <v>Cost-effectiveness of Mediterranean diet and physical activity in secondary CVD prevention: results from the UCC-SMART cohort study.</v>
      </c>
      <c r="Y554" s="31" t="str">
        <f>IFERROR(__xludf.DUMMYFUNCTION("""COMPUTED_VALUE"""),"Bonekamp, Nadia E; Visseren, Frank L J; van der Schouw, Yvonne T; van der Meer, Manon G; Teraa, Martin; Ruigrok, Ynte; Geleijnse, Johanna M; Koopal, Charlotte; ,")</f>
        <v>Bonekamp, Nadia E; Visseren, Frank L J; van der Schouw, Yvonne T; van der Meer, Manon G; Teraa, Martin; Ruigrok, Ynte; Geleijnse, Johanna M; Koopal, Charlotte; ,</v>
      </c>
      <c r="Z554" s="31">
        <f>IFERROR(__xludf.DUMMYFUNCTION("""COMPUTED_VALUE"""),2024.0)</f>
        <v>2024</v>
      </c>
      <c r="AA554" s="31">
        <f>IFERROR(__xludf.DUMMYFUNCTION("""COMPUTED_VALUE"""),0.0)</f>
        <v>0</v>
      </c>
      <c r="AF554" s="31" t="str">
        <f>IFERROR(__xludf.DUMMYFUNCTION("""COMPUTED_VALUE"""),"Smartphones as mobile microbiological laboratories.")</f>
        <v>Smartphones as mobile microbiological laboratories.</v>
      </c>
      <c r="AG554" s="31" t="str">
        <f>IFERROR(__xludf.DUMMYFUNCTION("""COMPUTED_VALUE"""),"Ong, D S Y; Poljak, M")</f>
        <v>Ong, D S Y; Poljak, M</v>
      </c>
      <c r="AH554" s="32">
        <f>IFERROR(__xludf.DUMMYFUNCTION("""COMPUTED_VALUE"""),43749.0)</f>
        <v>43749</v>
      </c>
      <c r="AL554" s="31" t="str">
        <f>IFERROR(__xludf.DUMMYFUNCTION("""COMPUTED_VALUE"""),"Predictive value for cardiovascular events of common carotid intima media thickness and its rate of change in individuals at high cardiovascular risk - Results from the PROG-IMT collaboration.")</f>
        <v>Predictive value for cardiovascular events of common carotid intima media thickness and its rate of change in individuals at high cardiovascular risk - Results from the PROG-IMT collaboration.</v>
      </c>
      <c r="AM554" s="31" t="str">
        <f>IFERROR(__xludf.DUMMYFUNCTION("""COMPUTED_VALUE"""),"Lorenz, Matthias W; Gao, Lu; Ziegelbauer, Kathrin; Norata, Giuseppe Danilo; Empana, Jean Philippe; Schmidtmann, Irene; Lin, Hung-Ju; McLachlan, Stela; Bokemark, Lena; Ronkainen, Kimmo; Amato, Mauro; Schminke, Ulf; Srinivasan, Sathanur R; Lind, Lars; Okaza"&amp;"ki, Shuhei; Stehouwer, Coen D A; Willeit, Peter; Polak, Joseph F; Steinmetz, Helmuth; Sander, Dirk; Poppert, Holger; Desvarieux, Moise; Ikram, M Arfan; Johnsen, Stein Harald; Staub, Daniel; Sirtori, Cesare R; Iglseder, Bernhard; Beloqui, Oscar; Engström, "&amp;"Gunnar; Friera, Alfonso; Rozza, Francesco; Xie, Wuxiang; Parraga, Grace; Grigore, Liliana; Plichart, Matthieu; Blankenberg, Stefan; Su, Ta-Chen; Schmidt, Caroline; Tuomainen, Tomi-Pekka; Veglia, Fabrizio; Völzke, Henry; Nijpels, Giel; Willeit, Johann; Sac"&amp;"co, Ralph L; Franco, Oscar H; Uthoff, Heiko; Hedblad, Bo; Suarez, Carmen; Izzo, Raffaele; Zhao, Dong; Wannarong, Thapat; Catapano, Alberico; Ducimetiere, Pierre; Espinola-Klein, Christine; Chien, Kuo-Liong; Price, Jackie F; Bergström, ")</f>
        <v>Lorenz, Matthias W; Gao, Lu; Ziegelbauer, Kathrin; Norata, Giuseppe Danilo; Empana, Jean Philippe; Schmidtmann, Irene; Lin, Hung-Ju; McLachlan, Stela; Bokemark, Lena; Ronkainen, Kimmo; Amato, Mauro; Schminke, Ulf; Srinivasan, Sathanur R; Lind, Lars; Okazaki, Shuhei; Stehouwer, Coen D A; Willeit, Peter; Polak, Joseph F; Steinmetz, Helmuth; Sander, Dirk; Poppert, Holger; Desvarieux, Moise; Ikram, M Arfan; Johnsen, Stein Harald; Staub, Daniel; Sirtori, Cesare R; Iglseder, Bernhard; Beloqui, Oscar; Engström, Gunnar; Friera, Alfonso; Rozza, Francesco; Xie, Wuxiang; Parraga, Grace; Grigore, Liliana; Plichart, Matthieu; Blankenberg, Stefan; Su, Ta-Chen; Schmidt, Caroline; Tuomainen, Tomi-Pekka; Veglia, Fabrizio; Völzke, Henry; Nijpels, Giel; Willeit, Johann; Sacco, Ralph L; Franco, Oscar H; Uthoff, Heiko; Hedblad, Bo; Suarez, Carmen; Izzo, Raffaele; Zhao, Dong; Wannarong, Thapat; Catapano, Alberico; Ducimetiere, Pierre; Espinola-Klein, Christine; Chien, Kuo-Liong; Price, Jackie F; Bergström, </v>
      </c>
      <c r="AN554" s="32">
        <f>IFERROR(__xludf.DUMMYFUNCTION("""COMPUTED_VALUE"""),43202.0)</f>
        <v>43202</v>
      </c>
    </row>
    <row r="555">
      <c r="A555" s="32"/>
      <c r="I555" s="31" t="str">
        <f>IFERROR(__xludf.DUMMYFUNCTION("""COMPUTED_VALUE"""),"clinical oncology royal college of radiologists great britain")</f>
        <v>clinical oncology royal college of radiologists great britain</v>
      </c>
      <c r="J555" s="38">
        <f>COUNTIF(Data!$F$2:$F9917, $I555)</f>
        <v>2</v>
      </c>
      <c r="T555" s="31" t="s">
        <v>1157</v>
      </c>
      <c r="U555" s="31" t="s">
        <v>1158</v>
      </c>
      <c r="V555" s="32">
        <v>45301.0</v>
      </c>
      <c r="X555" s="31" t="str">
        <f>IFERROR(__xludf.DUMMYFUNCTION("""COMPUTED_VALUE"""),"Increased interleukin-6 is associated with higher risk of heart failure in people with type 2 diabetes.")</f>
        <v>Increased interleukin-6 is associated with higher risk of heart failure in people with type 2 diabetes.</v>
      </c>
      <c r="Y555" s="31" t="str">
        <f>IFERROR(__xludf.DUMMYFUNCTION("""COMPUTED_VALUE"""),"Remmelzwaal, Sharon; Yeung, Stanley M H; Blom, Marieke T; de Borst, Martin H; Elders, Petra J M; Beulens, Joline W J")</f>
        <v>Remmelzwaal, Sharon; Yeung, Stanley M H; Blom, Marieke T; de Borst, Martin H; Elders, Petra J M; Beulens, Joline W J</v>
      </c>
      <c r="Z555" s="31">
        <f>IFERROR(__xludf.DUMMYFUNCTION("""COMPUTED_VALUE"""),2024.0)</f>
        <v>2024</v>
      </c>
      <c r="AA555" s="31">
        <f>IFERROR(__xludf.DUMMYFUNCTION("""COMPUTED_VALUE"""),0.0)</f>
        <v>0</v>
      </c>
      <c r="AF555" s="31" t="str">
        <f>IFERROR(__xludf.DUMMYFUNCTION("""COMPUTED_VALUE"""),"Acculturation and Food Intake Among Ghanaian Migrants in Europe: Findings From the RODAM Study.")</f>
        <v>Acculturation and Food Intake Among Ghanaian Migrants in Europe: Findings From the RODAM Study.</v>
      </c>
      <c r="AG555" s="31" t="str">
        <f>IFERROR(__xludf.DUMMYFUNCTION("""COMPUTED_VALUE"""),"Osei-Kwasi, Hibbah Araba; Boateng, Daniel; Danquah, Ina; Holdsworth, Michelle; Mejean, Caroline; Terragni, Laura; Powell, Katie; Schulze, Matthias B; Owusu-Dabo, Ellis; Meeks, Karlijn; Beune, Erik; Agyemang, Charles; Klipstein-Grobusch, Kerstin; Stronks, "&amp;"Karien; Galbete, Cecilia; Nicolaou, Mary")</f>
        <v>Osei-Kwasi, Hibbah Araba; Boateng, Daniel; Danquah, Ina; Holdsworth, Michelle; Mejean, Caroline; Terragni, Laura; Powell, Katie; Schulze, Matthias B; Owusu-Dabo, Ellis; Meeks, Karlijn; Beune, Erik; Agyemang, Charles; Klipstein-Grobusch, Kerstin; Stronks, Karien; Galbete, Cecilia; Nicolaou, Mary</v>
      </c>
      <c r="AH555" s="32">
        <f>IFERROR(__xludf.DUMMYFUNCTION("""COMPUTED_VALUE"""),43745.0)</f>
        <v>43745</v>
      </c>
      <c r="AL555" s="31" t="str">
        <f>IFERROR(__xludf.DUMMYFUNCTION("""COMPUTED_VALUE"""),"Optical correction of refractive error for preventing and treating eye symptoms in computer users.")</f>
        <v>Optical correction of refractive error for preventing and treating eye symptoms in computer users.</v>
      </c>
      <c r="AM555" s="31" t="str">
        <f>IFERROR(__xludf.DUMMYFUNCTION("""COMPUTED_VALUE"""),"Heus, Pauline; Verbeek, Jos H; Tikka, Christina")</f>
        <v>Heus, Pauline; Verbeek, Jos H; Tikka, Christina</v>
      </c>
      <c r="AN555" s="32">
        <f>IFERROR(__xludf.DUMMYFUNCTION("""COMPUTED_VALUE"""),43200.0)</f>
        <v>43200</v>
      </c>
    </row>
    <row r="556">
      <c r="A556" s="32"/>
      <c r="I556" s="31" t="str">
        <f>IFERROR(__xludf.DUMMYFUNCTION("""COMPUTED_VALUE"""),"journal of stroke and cerebrovascular diseases the official journal of national stroke association")</f>
        <v>journal of stroke and cerebrovascular diseases the official journal of national stroke association</v>
      </c>
      <c r="J556" s="38">
        <f>COUNTIF(Data!$F$2:$F9917, $I556)</f>
        <v>7</v>
      </c>
      <c r="T556" s="31" t="s">
        <v>1160</v>
      </c>
      <c r="U556" s="31" t="s">
        <v>1161</v>
      </c>
      <c r="V556" s="32">
        <v>45300.0</v>
      </c>
      <c r="X556" s="31" t="str">
        <f>IFERROR(__xludf.DUMMYFUNCTION("""COMPUTED_VALUE"""),"Gut barrier dysfunction and the risk of ICU-acquired bacteremia- a case-control study.")</f>
        <v>Gut barrier dysfunction and the risk of ICU-acquired bacteremia- a case-control study.</v>
      </c>
      <c r="Y556" s="31" t="str">
        <f>IFERROR(__xludf.DUMMYFUNCTION("""COMPUTED_VALUE"""),"Varkila, Meri R J; Verboom, Diana M; Derde, Lennie P G; van der Poll, Tom; Bonten, Marc J M; Cremer, Olaf L; ,")</f>
        <v>Varkila, Meri R J; Verboom, Diana M; Derde, Lennie P G; van der Poll, Tom; Bonten, Marc J M; Cremer, Olaf L; ,</v>
      </c>
      <c r="Z556" s="31">
        <f>IFERROR(__xludf.DUMMYFUNCTION("""COMPUTED_VALUE"""),2024.0)</f>
        <v>2024</v>
      </c>
      <c r="AA556" s="31">
        <f>IFERROR(__xludf.DUMMYFUNCTION("""COMPUTED_VALUE"""),0.0)</f>
        <v>0</v>
      </c>
      <c r="AF556" s="31" t="str">
        <f>IFERROR(__xludf.DUMMYFUNCTION("""COMPUTED_VALUE"""),"Exposure and response analysis of aleglitazar on cardiovascular risk markers and safety outcomes: An analysis of the AleCardio trial.")</f>
        <v>Exposure and response analysis of aleglitazar on cardiovascular risk markers and safety outcomes: An analysis of the AleCardio trial.</v>
      </c>
      <c r="AG556" s="31" t="str">
        <f>IFERROR(__xludf.DUMMYFUNCTION("""COMPUTED_VALUE"""),"Koomen, Jeroen V; Heerspink, Hiddo J L; Schrieks, Ilse C; Schwartz, Gregory G; Lincoff, A Michael; Nicholls, Stephen J; Svensson, Anders; Wedel, Hans; Weichert, Arlette; Grobbee, Diederick E; Stevens, Jasper")</f>
        <v>Koomen, Jeroen V; Heerspink, Hiddo J L; Schrieks, Ilse C; Schwartz, Gregory G; Lincoff, A Michael; Nicholls, Stephen J; Svensson, Anders; Wedel, Hans; Weichert, Arlette; Grobbee, Diederick E; Stevens, Jasper</v>
      </c>
      <c r="AH556" s="32">
        <f>IFERROR(__xludf.DUMMYFUNCTION("""COMPUTED_VALUE"""),43739.0)</f>
        <v>43739</v>
      </c>
      <c r="AL556" s="31" t="str">
        <f>IFERROR(__xludf.DUMMYFUNCTION("""COMPUTED_VALUE"""),"Catheter-based renal denervation as therapy for chronic severe kidney-related pain.")</f>
        <v>Catheter-based renal denervation as therapy for chronic severe kidney-related pain.</v>
      </c>
      <c r="AM556" s="31" t="str">
        <f>IFERROR(__xludf.DUMMYFUNCTION("""COMPUTED_VALUE"""),"de Jager, Rosa L; Casteleijn, Niek F; de Beus, Esther; Bots, Michiel L; Vonken, Evert-Jan E; Gansevoort, Ron T; Blankestijn, Peter J")</f>
        <v>de Jager, Rosa L; Casteleijn, Niek F; de Beus, Esther; Bots, Michiel L; Vonken, Evert-Jan E; Gansevoort, Ron T; Blankestijn, Peter J</v>
      </c>
      <c r="AN556" s="32">
        <f>IFERROR(__xludf.DUMMYFUNCTION("""COMPUTED_VALUE"""),43191.0)</f>
        <v>43191</v>
      </c>
    </row>
    <row r="557">
      <c r="A557" s="32"/>
      <c r="I557" s="31" t="str">
        <f>IFERROR(__xludf.DUMMYFUNCTION("""COMPUTED_VALUE"""),"europace european pacing arrhythmias and cardiac electrophysiology journal of the working groups on cardiac pacing arrhythmias and cardiac cellular electrophysiology of the european society of cardiology")</f>
        <v>europace european pacing arrhythmias and cardiac electrophysiology journal of the working groups on cardiac pacing arrhythmias and cardiac cellular electrophysiology of the european society of cardiology</v>
      </c>
      <c r="J557" s="38">
        <f>COUNTIF(Data!$F$2:$F9917, $I557)</f>
        <v>11</v>
      </c>
      <c r="T557" s="31" t="s">
        <v>1164</v>
      </c>
      <c r="U557" s="31" t="s">
        <v>1165</v>
      </c>
      <c r="V557" s="32">
        <v>45299.0</v>
      </c>
      <c r="X557" s="31"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Y557" s="31"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Z557" s="31">
        <f>IFERROR(__xludf.DUMMYFUNCTION("""COMPUTED_VALUE"""),2024.0)</f>
        <v>2024</v>
      </c>
      <c r="AA557" s="31">
        <f>IFERROR(__xludf.DUMMYFUNCTION("""COMPUTED_VALUE"""),0.0)</f>
        <v>0</v>
      </c>
      <c r="AF557" s="31" t="str">
        <f>IFERROR(__xludf.DUMMYFUNCTION("""COMPUTED_VALUE"""),"Moderate and heavy alcohol consumption are prospectively associated with decreased left ventricular ejection fraction: The Hoorn Study.")</f>
        <v>Moderate and heavy alcohol consumption are prospectively associated with decreased left ventricular ejection fraction: The Hoorn Study.</v>
      </c>
      <c r="AG557" s="31" t="str">
        <f>IFERROR(__xludf.DUMMYFUNCTION("""COMPUTED_VALUE"""),"van Oort, Sabine; Beulens, Joline W; van der Heijden, Amber A W A; Elders, Petra J M; Stehouwer, Coen D A; van de Luitgaarden, Inge A T; Schrieks, Ilse C; Grobbee, Diederick E; van Ballegooijen, Adriana J")</f>
        <v>van Oort, Sabine; Beulens, Joline W; van der Heijden, Amber A W A; Elders, Petra J M; Stehouwer, Coen D A; van de Luitgaarden, Inge A T; Schrieks, Ilse C; Grobbee, Diederick E; van Ballegooijen, Adriana J</v>
      </c>
      <c r="AH557" s="32">
        <f>IFERROR(__xludf.DUMMYFUNCTION("""COMPUTED_VALUE"""),43738.0)</f>
        <v>43738</v>
      </c>
      <c r="AL557" s="31" t="str">
        <f>IFERROR(__xludf.DUMMYFUNCTION("""COMPUTED_VALUE"""),"Clinical Trial Strategies to Compare Protons With Photons.")</f>
        <v>Clinical Trial Strategies to Compare Protons With Photons.</v>
      </c>
      <c r="AM557" s="31" t="str">
        <f>IFERROR(__xludf.DUMMYFUNCTION("""COMPUTED_VALUE"""),"Langendijk, Johannes A; Boersma, Liesbeth J; Rasch, Coen R N; van Vulpen, Marco; Reitsma, Johannes B; van der Schaaf, Arjen; Schuit, Ewoud")</f>
        <v>Langendijk, Johannes A; Boersma, Liesbeth J; Rasch, Coen R N; van Vulpen, Marco; Reitsma, Johannes B; van der Schaaf, Arjen; Schuit, Ewoud</v>
      </c>
      <c r="AN557" s="32">
        <f>IFERROR(__xludf.DUMMYFUNCTION("""COMPUTED_VALUE"""),43191.0)</f>
        <v>43191</v>
      </c>
    </row>
    <row r="558">
      <c r="A558" s="32"/>
      <c r="I558" s="31" t="str">
        <f>IFERROR(__xludf.DUMMYFUNCTION("""COMPUTED_VALUE"""),"gerontology")</f>
        <v>gerontology</v>
      </c>
      <c r="J558" s="38">
        <f>COUNTIF(Data!$F$2:$F9917, $I558)</f>
        <v>3</v>
      </c>
      <c r="T558" s="31" t="s">
        <v>1168</v>
      </c>
      <c r="U558" s="31" t="s">
        <v>1169</v>
      </c>
      <c r="V558" s="32">
        <v>45299.0</v>
      </c>
      <c r="X558" s="31" t="str">
        <f>IFERROR(__xludf.DUMMYFUNCTION("""COMPUTED_VALUE"""),"The effect of preprandial versus postprandial physical activity on glycaemia: Meta-analysis of human intervention studies.")</f>
        <v>The effect of preprandial versus postprandial physical activity on glycaemia: Meta-analysis of human intervention studies.</v>
      </c>
      <c r="Y558" s="31" t="str">
        <f>IFERROR(__xludf.DUMMYFUNCTION("""COMPUTED_VALUE"""),"Slebe, Romy; Wenker, Eva; Schoonmade, Linda J; Bouman, Emma J; Blondin, Denis P; Campbell, David J T; Carpentier, André C; Hoeks, Joris; Raina, Parminder; Schrauwen, Patrick; Serlie, Mireille J; Stenvers, Dirk Jan; de Mutsert, Renée; Beulens, Joline W J; "&amp;"Rutters, Femke")</f>
        <v>Slebe, Romy; Wenker, Eva; Schoonmade, Linda J; Bouman, Emma J; Blondin, Denis P; Campbell, David J T; Carpentier, André C; Hoeks, Joris; Raina, Parminder; Schrauwen, Patrick; Serlie, Mireille J; Stenvers, Dirk Jan; de Mutsert, Renée; Beulens, Joline W J; Rutters, Femke</v>
      </c>
      <c r="Z558" s="31">
        <f>IFERROR(__xludf.DUMMYFUNCTION("""COMPUTED_VALUE"""),2024.0)</f>
        <v>2024</v>
      </c>
      <c r="AA558" s="31">
        <f>IFERROR(__xludf.DUMMYFUNCTION("""COMPUTED_VALUE"""),0.0)</f>
        <v>0</v>
      </c>
      <c r="AF558" s="31" t="str">
        <f>IFERROR(__xludf.DUMMYFUNCTION("""COMPUTED_VALUE"""),"Early-life exposures and cardiovascular disease risk among Ghanaian migrant and home populations: the RODAM study.")</f>
        <v>Early-life exposures and cardiovascular disease risk among Ghanaian migrant and home populations: the RODAM study.</v>
      </c>
      <c r="AG558" s="31" t="str">
        <f>IFERROR(__xludf.DUMMYFUNCTION("""COMPUTED_VALUE"""),"Boateng, Daniel; Danquah, Ina; Said-Mohamed, Rihlat; Smeeth, Liam; Nicolaou, Mary; Meeks, Karlijn; Beune, Erik; Addo, Juliet; Bahendeka, Silver; Agyei-Baffour, Peter; Mockenhaupt, Frank P; Spranger, Joachim; Schulze, Matthias B; Grobbee, Diederick E; Agye"&amp;"mang, Charles; Klipstein-Grobusch, Kerstin")</f>
        <v>Boateng, Daniel; Danquah, Ina; Said-Mohamed, Rihlat; Smeeth, Liam; Nicolaou, Mary; Meeks, Karlijn; Beune, Erik; Addo, Juliet; Bahendeka, Silver; Agyei-Baffour, Peter; Mockenhaupt, Frank P; Spranger, Joachim; Schulze, Matthias B; Grobbee, Diederick E; Agyemang, Charles; Klipstein-Grobusch, Kerstin</v>
      </c>
      <c r="AH558" s="32">
        <f>IFERROR(__xludf.DUMMYFUNCTION("""COMPUTED_VALUE"""),43734.0)</f>
        <v>43734</v>
      </c>
      <c r="AL558" s="31" t="str">
        <f>IFERROR(__xludf.DUMMYFUNCTION("""COMPUTED_VALUE"""),"Double trouble: modelling the impact of low risk perception and high-risk sexual behaviour on chlamydia transmission.")</f>
        <v>Double trouble: modelling the impact of low risk perception and high-risk sexual behaviour on chlamydia transmission.</v>
      </c>
      <c r="AM558" s="31" t="str">
        <f>IFERROR(__xludf.DUMMYFUNCTION("""COMPUTED_VALUE"""),"van Wees, Daphne A; den Daas, Chantal; Kretzschmar, Mirjam E E; Heijne, Janneke C M")</f>
        <v>van Wees, Daphne A; den Daas, Chantal; Kretzschmar, Mirjam E E; Heijne, Janneke C M</v>
      </c>
      <c r="AN558" s="32">
        <f>IFERROR(__xludf.DUMMYFUNCTION("""COMPUTED_VALUE"""),43191.0)</f>
        <v>43191</v>
      </c>
    </row>
    <row r="559">
      <c r="A559" s="32"/>
      <c r="I559" s="31" t="str">
        <f>IFERROR(__xludf.DUMMYFUNCTION("""COMPUTED_VALUE"""),"journal of alzheimers disease jad")</f>
        <v>journal of alzheimers disease jad</v>
      </c>
      <c r="J559" s="38">
        <f>COUNTIF(Data!$F$2:$F9917, $I559)</f>
        <v>14</v>
      </c>
      <c r="T559" s="31" t="s">
        <v>1173</v>
      </c>
      <c r="U559" s="31" t="s">
        <v>1174</v>
      </c>
      <c r="V559" s="32">
        <v>45299.0</v>
      </c>
      <c r="X559" s="31" t="str">
        <f>IFERROR(__xludf.DUMMYFUNCTION("""COMPUTED_VALUE"""),"Clonal Expansion of a Streptococcus pneumoniae Serotype 3 Capsule Variant Sequence Type 700 With Enhanced Vaccine Escape Potential After 13-Valent Pneumococcal Conjugate Vaccine Introduction.")</f>
        <v>Clonal Expansion of a Streptococcus pneumoniae Serotype 3 Capsule Variant Sequence Type 700 With Enhanced Vaccine Escape Potential After 13-Valent Pneumococcal Conjugate Vaccine Introduction.</v>
      </c>
      <c r="Y559" s="31" t="str">
        <f>IFERROR(__xludf.DUMMYFUNCTION("""COMPUTED_VALUE"""),"Kalizang'oma, Akuzike; Swarthout, Todd D; Mwalukomo, Thandie S; Kamng'ona, Arox; Brown, Comfort; Msefula, Jacquline; Demetriou, Hayley; Chan, Jia Mun; Roalfe, Lucy; Obolski, Uri; Lourenço, Jose; Goldblatt, David; Chaguza, Chrispin; French, Neil; Heyderman"&amp;", Robert S")</f>
        <v>Kalizang'oma, Akuzike; Swarthout, Todd D; Mwalukomo, Thandie S; Kamng'ona, Arox; Brown, Comfort; Msefula, Jacquline; Demetriou, Hayley; Chan, Jia Mun; Roalfe, Lucy; Obolski, Uri; Lourenço, Jose; Goldblatt, David; Chaguza, Chrispin; French, Neil; Heyderman, Robert S</v>
      </c>
      <c r="Z559" s="31">
        <f>IFERROR(__xludf.DUMMYFUNCTION("""COMPUTED_VALUE"""),2024.0)</f>
        <v>2024</v>
      </c>
      <c r="AA559" s="31">
        <f>IFERROR(__xludf.DUMMYFUNCTION("""COMPUTED_VALUE"""),0.0)</f>
        <v>0</v>
      </c>
      <c r="AF559" s="31" t="str">
        <f>IFERROR(__xludf.DUMMYFUNCTION("""COMPUTED_VALUE"""),"Immunogenicity and Safety of an Early Measles Vaccination Schedule at 6 and 12 Months of Age in Human Immunodeficiency Virus (HIV)-Unexposed and HIV-Exposed, Uninfected South African Children.")</f>
        <v>Immunogenicity and Safety of an Early Measles Vaccination Schedule at 6 and 12 Months of Age in Human Immunodeficiency Virus (HIV)-Unexposed and HIV-Exposed, Uninfected South African Children.</v>
      </c>
      <c r="AG559" s="31" t="str">
        <f>IFERROR(__xludf.DUMMYFUNCTION("""COMPUTED_VALUE"""),"Mutsaerts, Eleonora A M L; Nunes, Marta C; Bhikha, Sutika; Ikulinda, Benit T; Boyce, Welekazi; Jose, Lisa; Koen, Anthonet; Moultrie, Andrew; Cutland, Clare L; Grobbee, Diederick E; Klipstein-Grobusch, Kerstin; Madhi, Shabir A")</f>
        <v>Mutsaerts, Eleonora A M L; Nunes, Marta C; Bhikha, Sutika; Ikulinda, Benit T; Boyce, Welekazi; Jose, Lisa; Koen, Anthonet; Moultrie, Andrew; Cutland, Clare L; Grobbee, Diederick E; Klipstein-Grobusch, Kerstin; Madhi, Shabir A</v>
      </c>
      <c r="AH559" s="32">
        <f>IFERROR(__xludf.DUMMYFUNCTION("""COMPUTED_VALUE"""),43734.0)</f>
        <v>43734</v>
      </c>
      <c r="AL559" s="31" t="str">
        <f>IFERROR(__xludf.DUMMYFUNCTION("""COMPUTED_VALUE"""),"Response to Letter to the Editor Regarding ""Yield of Computed Tomography (CT) Angiography in Patients with Acute Headache, Normal Neurological Examination, and Normal Non Contrast CT: A Meta-Analysis."".")</f>
        <v>Response to Letter to the Editor Regarding "Yield of Computed Tomography (CT) Angiography in Patients with Acute Headache, Normal Neurological Examination, and Normal Non Contrast CT: A Meta-Analysis.".</v>
      </c>
      <c r="AM559" s="31" t="str">
        <f>IFERROR(__xludf.DUMMYFUNCTION("""COMPUTED_VALUE"""),"Alons, Imanda M E; Goudsmit, Ben F J; Jellema, Korne; van Walderveen, Marianne A A; Wermer, Marieke J H; Algra, Ale")</f>
        <v>Alons, Imanda M E; Goudsmit, Ben F J; Jellema, Korne; van Walderveen, Marianne A A; Wermer, Marieke J H; Algra, Ale</v>
      </c>
      <c r="AN559" s="32">
        <f>IFERROR(__xludf.DUMMYFUNCTION("""COMPUTED_VALUE"""),43186.0)</f>
        <v>43186</v>
      </c>
    </row>
    <row r="560">
      <c r="A560" s="32"/>
      <c r="I560" s="31" t="str">
        <f>IFERROR(__xludf.DUMMYFUNCTION("""COMPUTED_VALUE"""),"journal of patient safety")</f>
        <v>journal of patient safety</v>
      </c>
      <c r="J560" s="38">
        <f>COUNTIF(Data!$F$2:$F9917, $I560)</f>
        <v>2</v>
      </c>
      <c r="T560" s="31" t="s">
        <v>1177</v>
      </c>
      <c r="U560" s="31" t="s">
        <v>1178</v>
      </c>
      <c r="V560" s="32">
        <v>45299.0</v>
      </c>
      <c r="X560" s="31" t="str">
        <f>IFERROR(__xludf.DUMMYFUNCTION("""COMPUTED_VALUE"""),"Cost-effectiveness of treating advanced melanoma with tumor-infiltrating lymphocytes based on an international randomized phase 3 clinical trial.")</f>
        <v>Cost-effectiveness of treating advanced melanoma with tumor-infiltrating lymphocytes based on an international randomized phase 3 clinical trial.</v>
      </c>
      <c r="Y560" s="31" t="str">
        <f>IFERROR(__xludf.DUMMYFUNCTION("""COMPUTED_VALUE"""),"Ten Ham, Renske M T; Rohaan, Maartje W; Jedema, Inge; Kessels, Rob; Stegeman, Wim; Scheepmaker, Walter; Nuijen, Bastiaan; Nijenhuis, Cynthia; Lindenberg, Melanie; Borch, Troels Holz; Monberg, Tine; Donia, Marco; Marie Svane, Inge; van Harten, Wim; Haanen,"&amp;" John; Retel, Valesca P")</f>
        <v>Ten Ham, Renske M T; Rohaan, Maartje W; Jedema, Inge; Kessels, Rob; Stegeman, Wim; Scheepmaker, Walter; Nuijen, Bastiaan; Nijenhuis, Cynthia; Lindenberg, Melanie; Borch, Troels Holz; Monberg, Tine; Donia, Marco; Marie Svane, Inge; van Harten, Wim; Haanen, John; Retel, Valesca P</v>
      </c>
      <c r="Z560" s="31">
        <f>IFERROR(__xludf.DUMMYFUNCTION("""COMPUTED_VALUE"""),2024.0)</f>
        <v>2024</v>
      </c>
      <c r="AA560" s="31">
        <f>IFERROR(__xludf.DUMMYFUNCTION("""COMPUTED_VALUE"""),0.0)</f>
        <v>0</v>
      </c>
      <c r="AF560" s="31" t="str">
        <f>IFERROR(__xludf.DUMMYFUNCTION("""COMPUTED_VALUE"""),"Unexpected low frequency of respiratory symptoms in an HIV-positive urban sub-Saharan population compared to an HIV-negative control group.")</f>
        <v>Unexpected low frequency of respiratory symptoms in an HIV-positive urban sub-Saharan population compared to an HIV-negative control group.</v>
      </c>
      <c r="AG560" s="31" t="str">
        <f>IFERROR(__xludf.DUMMYFUNCTION("""COMPUTED_VALUE"""),"Kummerow, Maren; Shaddock, Erica J; Klipstein-Grobusch, Kerstin; Barth, Roos B; Grobbee, Diederick E; Venter, Francois D F; Feldman, Charles; Vos, Alinda")</f>
        <v>Kummerow, Maren; Shaddock, Erica J; Klipstein-Grobusch, Kerstin; Barth, Roos B; Grobbee, Diederick E; Venter, Francois D F; Feldman, Charles; Vos, Alinda</v>
      </c>
      <c r="AH560" s="32">
        <f>IFERROR(__xludf.DUMMYFUNCTION("""COMPUTED_VALUE"""),43734.0)</f>
        <v>43734</v>
      </c>
      <c r="AL560" s="31" t="str">
        <f>IFERROR(__xludf.DUMMYFUNCTION("""COMPUTED_VALUE"""),"Acute Brain Dysfunction: Development and Validation of a Daily Prediction Model.")</f>
        <v>Acute Brain Dysfunction: Development and Validation of a Daily Prediction Model.</v>
      </c>
      <c r="AM560" s="31" t="str">
        <f>IFERROR(__xludf.DUMMYFUNCTION("""COMPUTED_VALUE"""),"Marra, Annachiara; Pandharipande, Pratik P; Shotwell, Matthew S; Chandrasekhar, Rameela; Girard, Timothy D; Shintani, Ayumi K; Peelen, Linda M; Moons, Karl G M; Dittus, Robert S; Ely, E Wesley; Vasilevskis, Eduard E")</f>
        <v>Marra, Annachiara; Pandharipande, Pratik P; Shotwell, Matthew S; Chandrasekhar, Rameela; Girard, Timothy D; Shintani, Ayumi K; Peelen, Linda M; Moons, Karl G M; Dittus, Robert S; Ely, E Wesley; Vasilevskis, Eduard E</v>
      </c>
      <c r="AN560" s="32">
        <f>IFERROR(__xludf.DUMMYFUNCTION("""COMPUTED_VALUE"""),43183.0)</f>
        <v>43183</v>
      </c>
    </row>
    <row r="561">
      <c r="A561" s="32"/>
      <c r="I561" s="31" t="str">
        <f>IFERROR(__xludf.DUMMYFUNCTION("""COMPUTED_VALUE"""),"amyotrophic lateral sclerosis frontotemporal degeneration")</f>
        <v>amyotrophic lateral sclerosis frontotemporal degeneration</v>
      </c>
      <c r="J561" s="38">
        <f>COUNTIF(Data!$F$2:$F9917, $I561)</f>
        <v>2</v>
      </c>
      <c r="T561" s="31" t="s">
        <v>1181</v>
      </c>
      <c r="U561" s="31" t="s">
        <v>1182</v>
      </c>
      <c r="V561" s="32">
        <v>45296.0</v>
      </c>
      <c r="X561" s="31" t="str">
        <f>IFERROR(__xludf.DUMMYFUNCTION("""COMPUTED_VALUE"""),"Second primary squamous cell carcinoma of the oral cavity - a retrospective cohort study of therapeutic procedures and oncological outcome.")</f>
        <v>Second primary squamous cell carcinoma of the oral cavity - a retrospective cohort study of therapeutic procedures and oncological outcome.</v>
      </c>
      <c r="Y561" s="31"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Z561" s="31">
        <f>IFERROR(__xludf.DUMMYFUNCTION("""COMPUTED_VALUE"""),2024.0)</f>
        <v>2024</v>
      </c>
      <c r="AA561" s="31">
        <f>IFERROR(__xludf.DUMMYFUNCTION("""COMPUTED_VALUE"""),0.0)</f>
        <v>0</v>
      </c>
      <c r="AF561" s="31" t="str">
        <f>IFERROR(__xludf.DUMMYFUNCTION("""COMPUTED_VALUE"""),"Maternal and neonatal outcomes following a diabetic pregnancy within the context of HIV.")</f>
        <v>Maternal and neonatal outcomes following a diabetic pregnancy within the context of HIV.</v>
      </c>
      <c r="AG561" s="31" t="str">
        <f>IFERROR(__xludf.DUMMYFUNCTION("""COMPUTED_VALUE"""),"Soepnel, Larske M; Nicolaou, Veronique; Huddle, Kenneth R L; Klipstein-Grobusch, Kerstin; Levitt, Naomi S; Norris, Shane A")</f>
        <v>Soepnel, Larske M; Nicolaou, Veronique; Huddle, Kenneth R L; Klipstein-Grobusch, Kerstin; Levitt, Naomi S; Norris, Shane A</v>
      </c>
      <c r="AH561" s="32">
        <f>IFERROR(__xludf.DUMMYFUNCTION("""COMPUTED_VALUE"""),43723.0)</f>
        <v>43723</v>
      </c>
      <c r="AL561" s="31" t="str">
        <f>IFERROR(__xludf.DUMMYFUNCTION("""COMPUTED_VALUE"""),"Long-term clinical parameters after switching to nocturnal haemodialysis: a Dutch propensity-score-matched cohort study comparing patients on nocturnal haemodialysis with patients on three-times-a-week haemodialysis/haemodiafiltration.")</f>
        <v>Long-term clinical parameters after switching to nocturnal haemodialysis: a Dutch propensity-score-matched cohort study comparing patients on nocturnal haemodialysis with patients on three-times-a-week haemodialysis/haemodiafiltration.</v>
      </c>
      <c r="AM561" s="31" t="str">
        <f>IFERROR(__xludf.DUMMYFUNCTION("""COMPUTED_VALUE"""),"Jansz, Thijs Thomas; Özyilmaz, Akin; Grooteman, Muriel P C; Hoekstra, Tiny; Romijn, Marieke; Blankestijn, Peter J; Bots, Michael L; van Jaarsveld, Brigit C")</f>
        <v>Jansz, Thijs Thomas; Özyilmaz, Akin; Grooteman, Muriel P C; Hoekstra, Tiny; Romijn, Marieke; Blankestijn, Peter J; Bots, Michael L; van Jaarsveld, Brigit C</v>
      </c>
      <c r="AN561" s="32">
        <f>IFERROR(__xludf.DUMMYFUNCTION("""COMPUTED_VALUE"""),43167.0)</f>
        <v>43167</v>
      </c>
    </row>
    <row r="562">
      <c r="A562" s="32"/>
      <c r="I562" s="31" t="str">
        <f>IFERROR(__xludf.DUMMYFUNCTION("""COMPUTED_VALUE"""),"the journal of arthroplasty")</f>
        <v>the journal of arthroplasty</v>
      </c>
      <c r="J562" s="38">
        <f>COUNTIF(Data!$F$2:$F9917, $I562)</f>
        <v>1</v>
      </c>
      <c r="T562" s="31" t="s">
        <v>1185</v>
      </c>
      <c r="U562" s="31" t="s">
        <v>1186</v>
      </c>
      <c r="V562" s="32">
        <v>45296.0</v>
      </c>
      <c r="X562" s="31" t="str">
        <f>IFERROR(__xludf.DUMMYFUNCTION("""COMPUTED_VALUE"""),"Impact of &lt;sup&gt;18F&lt;/sup&gt;FDG-PET/CT and Laparoscopy in Staging of Locally Advanced Gastric Cancer: A Cost Analysis in the Prospective Multicenter PLASTIC-Study.")</f>
        <v>Impact of &lt;sup&gt;18F&lt;/sup&gt;FDG-PET/CT and Laparoscopy in Staging of Locally Advanced Gastric Cancer: A Cost Analysis in the Prospective Multicenter PLASTIC-Study.</v>
      </c>
      <c r="Y562" s="31" t="str">
        <f>IFERROR(__xludf.DUMMYFUNCTION("""COMPUTED_VALUE"""),"de Jongh, Cas; van der Meulen, Miriam P; Gertsen, Emma C; Brenkman, Hylke J F; van Sandick, Johanna W; van Berge Henegouwen, Mark I; Gisbertz, Suzanne S; Luyer, Misha D P; Nieuwenhuijzen, Grard A P; van Lanschot, Jan J B; Lagarde, Sjoerd M; Wijnhoven, Bas"&amp;" P L; de Steur, Wobbe O; Hartgrink, Henk H; Stoot, Jan H M B; Hulsewe, Karel W E; Spillenaar Bilgen, Ernst Jan; van Det, Marc J; Kouwenhoven, Ewout A; Daams, Freek; van der Peet, Donald L; van Grieken, Nicole C T; Heisterkamp, Joos; van Etten, Boudewijn; "&amp;"van den Berg, Jan-Willem; Pierie, Jean-Pierre; Eker, Hasan H; Thijssen, Annemieke Y; Belt, Eric J T; van Duijvendijk, Peter; Wassenaar, Eelco; Wevers, Kevin P; Hol, Lieke; Wessels, Frank J; Haj Mohammad, Nadia; Frederix, Geert W J; van Hillegersberg, Rich"&amp;"ard; Siersema, Peter D; Vegt, Erik; Ruurda, Jelle P; ,")</f>
        <v>de Jongh, Cas; van der Meulen, Miriam P; Gertsen, Emma C; Brenkman, Hylke J F; van Sandick, Johanna W; van Berge Henegouwen, Mark I; Gisbertz, Suzanne S; Luyer, Misha D P; Nieuwenhuijzen, Grard A P; van Lanschot, Jan J B; Lagarde, Sjoerd M; Wijnhoven, Bas P L; de Steur, Wobbe O; Hartgrink, Henk H; Stoot, Jan H M B; Hulsewe, Karel W E; Spillenaar Bilgen, Ernst Jan; van Det, Marc J; Kouwenhoven, Ewout A; Daams, Freek; van der Peet, Donald L; van Grieken, Nicole C T; Heisterkamp, Joos; van Etten, Boudewijn; van den Berg, Jan-Willem; Pierie, Jean-Pierre; Eker, Hasan H; Thijssen, Annemieke Y; Belt, Eric J T; van Duijvendijk, Peter; Wassenaar, Eelco; Wevers, Kevin P; Hol, Lieke; Wessels, Frank J; Haj Mohammad, Nadia; Frederix, Geert W J; van Hillegersberg, Richard; Siersema, Peter D; Vegt, Erik; Ruurda, Jelle P; ,</v>
      </c>
      <c r="Z562" s="31">
        <f>IFERROR(__xludf.DUMMYFUNCTION("""COMPUTED_VALUE"""),2024.0)</f>
        <v>2024</v>
      </c>
      <c r="AA562" s="31">
        <f>IFERROR(__xludf.DUMMYFUNCTION("""COMPUTED_VALUE"""),0.0)</f>
        <v>0</v>
      </c>
      <c r="AF562" s="31" t="str">
        <f>IFERROR(__xludf.DUMMYFUNCTION("""COMPUTED_VALUE"""),"Completeness of obstetric referral letters/notes from subdistrict to district level in three rural districts in Greater Accra region of Ghana: an implementation research using mixed methods.")</f>
        <v>Completeness of obstetric referral letters/notes from subdistrict to district level in three rural districts in Greater Accra region of Ghana: an implementation research using mixed methods.</v>
      </c>
      <c r="AG562" s="31" t="str">
        <f>IFERROR(__xludf.DUMMYFUNCTION("""COMPUTED_VALUE"""),"Amoakoh-Coleman, Mary; Ansah, Evelyn; Klipstein-Grobusch, Kerstin; Arhinful, Daniel")</f>
        <v>Amoakoh-Coleman, Mary; Ansah, Evelyn; Klipstein-Grobusch, Kerstin; Arhinful, Daniel</v>
      </c>
      <c r="AH562" s="32">
        <f>IFERROR(__xludf.DUMMYFUNCTION("""COMPUTED_VALUE"""),43721.0)</f>
        <v>43721</v>
      </c>
      <c r="AL562" s="31" t="str">
        <f>IFERROR(__xludf.DUMMYFUNCTION("""COMPUTED_VALUE"""),"Editor's Choice - Spinal Cord Ischaemia in Endovascular Thoracic and Thoraco-abdominal Aortic Repair: Review of Preventive Strategies.")</f>
        <v>Editor's Choice - Spinal Cord Ischaemia in Endovascular Thoracic and Thoraco-abdominal Aortic Repair: Review of Preventive Strategies.</v>
      </c>
      <c r="AM562" s="31" t="str">
        <f>IFERROR(__xludf.DUMMYFUNCTION("""COMPUTED_VALUE"""),"Dijkstra, Martijn L; Vainas, Tryfon; Zeebregts, Clark J; Hooft, Lotty; van der Laan, Maarten J")</f>
        <v>Dijkstra, Martijn L; Vainas, Tryfon; Zeebregts, Clark J; Hooft, Lotty; van der Laan, Maarten J</v>
      </c>
      <c r="AN562" s="32">
        <f>IFERROR(__xludf.DUMMYFUNCTION("""COMPUTED_VALUE"""),43166.0)</f>
        <v>43166</v>
      </c>
    </row>
    <row r="563">
      <c r="A563" s="32"/>
      <c r="I563" s="31" t="str">
        <f>IFERROR(__xludf.DUMMYFUNCTION("""COMPUTED_VALUE"""),"european urology focus")</f>
        <v>european urology focus</v>
      </c>
      <c r="J563" s="38">
        <f>COUNTIF(Data!$F$2:$F9917, $I563)</f>
        <v>1</v>
      </c>
      <c r="T563" s="31" t="s">
        <v>1188</v>
      </c>
      <c r="U563" s="31" t="s">
        <v>1189</v>
      </c>
      <c r="V563" s="32">
        <v>45295.0</v>
      </c>
      <c r="X563" s="31" t="str">
        <f>IFERROR(__xludf.DUMMYFUNCTION("""COMPUTED_VALUE"""),"Automated rating of background parenchymal enhancement in MRI of extremely dense breasts without compromising the association with breast cancer in the DENSE trial.")</f>
        <v>Automated rating of background parenchymal enhancement in MRI of extremely dense breasts without compromising the association with breast cancer in the DENSE trial.</v>
      </c>
      <c r="Y563" s="31" t="str">
        <f>IFERROR(__xludf.DUMMYFUNCTION("""COMPUTED_VALUE"""),"Wang, Hui; H M van der Velden, Bas; Verburg, Erik; Bakker, Marije F; Pijnappel, Ruud M; Veldhuis, Wouter B; van Gils, Carla H; Gilhuijs, Kenneth G A")</f>
        <v>Wang, Hui; H M van der Velden, Bas; Verburg, Erik; Bakker, Marije F; Pijnappel, Ruud M; Veldhuis, Wouter B; van Gils, Carla H; Gilhuijs, Kenneth G A</v>
      </c>
      <c r="Z563" s="31">
        <f>IFERROR(__xludf.DUMMYFUNCTION("""COMPUTED_VALUE"""),2024.0)</f>
        <v>2024</v>
      </c>
      <c r="AA563" s="31">
        <f>IFERROR(__xludf.DUMMYFUNCTION("""COMPUTED_VALUE"""),0.0)</f>
        <v>0</v>
      </c>
      <c r="AF563" s="31" t="str">
        <f>IFERROR(__xludf.DUMMYFUNCTION("""COMPUTED_VALUE"""),"Public and physicians' support for euthanasia in people suffering from psychiatric disorders: a cross-sectional survey study.")</f>
        <v>Public and physicians' support for euthanasia in people suffering from psychiatric disorders: a cross-sectional survey study.</v>
      </c>
      <c r="AG563" s="31" t="str">
        <f>IFERROR(__xludf.DUMMYFUNCTION("""COMPUTED_VALUE"""),"Evenblij, Kirsten; Pasman, H Roeline W; van der Heide, Agnes; van Delden, Johannes J M; Onwuteaka-Philipsen, Bregje D")</f>
        <v>Evenblij, Kirsten; Pasman, H Roeline W; van der Heide, Agnes; van Delden, Johannes J M; Onwuteaka-Philipsen, Bregje D</v>
      </c>
      <c r="AH563" s="32">
        <f>IFERROR(__xludf.DUMMYFUNCTION("""COMPUTED_VALUE"""),43719.0)</f>
        <v>43719</v>
      </c>
      <c r="AL563" s="31" t="str">
        <f>IFERROR(__xludf.DUMMYFUNCTION("""COMPUTED_VALUE"""),"Designing Surveillance of Healthcare-Associated Infections in the Era of Automation and Reporting Mandates.")</f>
        <v>Designing Surveillance of Healthcare-Associated Infections in the Era of Automation and Reporting Mandates.</v>
      </c>
      <c r="AM563" s="31" t="str">
        <f>IFERROR(__xludf.DUMMYFUNCTION("""COMPUTED_VALUE"""),"van Mourik, Maaike S M; Perencevich, Eli N; Gastmeier, Petra; Bonten, Marc J M")</f>
        <v>van Mourik, Maaike S M; Perencevich, Eli N; Gastmeier, Petra; Bonten, Marc J M</v>
      </c>
      <c r="AN563" s="32">
        <f>IFERROR(__xludf.DUMMYFUNCTION("""COMPUTED_VALUE"""),43164.0)</f>
        <v>43164</v>
      </c>
    </row>
    <row r="564">
      <c r="A564" s="32"/>
      <c r="I564" s="31" t="str">
        <f>IFERROR(__xludf.DUMMYFUNCTION("""COMPUTED_VALUE"""),"comprehensive psychiatry")</f>
        <v>comprehensive psychiatry</v>
      </c>
      <c r="J564" s="38">
        <f>COUNTIF(Data!$F$2:$F9917, $I564)</f>
        <v>1</v>
      </c>
      <c r="T564" s="31" t="s">
        <v>1193</v>
      </c>
      <c r="U564" s="31" t="s">
        <v>1194</v>
      </c>
      <c r="V564" s="32">
        <v>45295.0</v>
      </c>
      <c r="X564" s="31"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Y564" s="31"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Z564" s="31">
        <f>IFERROR(__xludf.DUMMYFUNCTION("""COMPUTED_VALUE"""),2024.0)</f>
        <v>2024</v>
      </c>
      <c r="AA564" s="31">
        <f>IFERROR(__xludf.DUMMYFUNCTION("""COMPUTED_VALUE"""),0.0)</f>
        <v>0</v>
      </c>
      <c r="AF564" s="31" t="str">
        <f>IFERROR(__xludf.DUMMYFUNCTION("""COMPUTED_VALUE"""),"Birth asphyxia following delayed recognition and response to abnormal labour progress and fetal distress in a 31-year-old multiparous Malawian woman.")</f>
        <v>Birth asphyxia following delayed recognition and response to abnormal labour progress and fetal distress in a 31-year-old multiparous Malawian woman.</v>
      </c>
      <c r="AG564" s="31" t="str">
        <f>IFERROR(__xludf.DUMMYFUNCTION("""COMPUTED_VALUE"""),"Löwensteyn, Yvette N; Housseine, Natasha; Masina, Thokozani; Browne, Joyce L; Rijken, Marcus J")</f>
        <v>Löwensteyn, Yvette N; Housseine, Natasha; Masina, Thokozani; Browne, Joyce L; Rijken, Marcus J</v>
      </c>
      <c r="AH564" s="32">
        <f>IFERROR(__xludf.DUMMYFUNCTION("""COMPUTED_VALUE"""),43719.0)</f>
        <v>43719</v>
      </c>
      <c r="AL564" s="31" t="str">
        <f>IFERROR(__xludf.DUMMYFUNCTION("""COMPUTED_VALUE"""),"Intestinal carriage of ampicillin- and vancomycin-resistant Enterococcus faecium in humans, dogs and cats in the Netherlands.")</f>
        <v>Intestinal carriage of ampicillin- and vancomycin-resistant Enterococcus faecium in humans, dogs and cats in the Netherlands.</v>
      </c>
      <c r="AM564" s="31" t="str">
        <f>IFERROR(__xludf.DUMMYFUNCTION("""COMPUTED_VALUE"""),"van den Bunt, G; Top, J; Hordijk, J; de Greeff, S C; Mughini-Gras, L; Corander, J; van Pelt, W; Bonten, M J M; Fluit, A C; Willems, R J L")</f>
        <v>van den Bunt, G; Top, J; Hordijk, J; de Greeff, S C; Mughini-Gras, L; Corander, J; van Pelt, W; Bonten, M J M; Fluit, A C; Willems, R J L</v>
      </c>
      <c r="AN564" s="32">
        <f>IFERROR(__xludf.DUMMYFUNCTION("""COMPUTED_VALUE"""),43160.0)</f>
        <v>43160</v>
      </c>
    </row>
    <row r="565">
      <c r="A565" s="32"/>
      <c r="I565" s="31" t="str">
        <f>IFERROR(__xludf.DUMMYFUNCTION("""COMPUTED_VALUE"""),"frontiers in cardiovascular medicine")</f>
        <v>frontiers in cardiovascular medicine</v>
      </c>
      <c r="J565" s="38">
        <f>COUNTIF(Data!$F$2:$F9917, $I565)</f>
        <v>4</v>
      </c>
      <c r="T565" s="31" t="s">
        <v>1197</v>
      </c>
      <c r="U565" s="31" t="s">
        <v>1198</v>
      </c>
      <c r="V565" s="32">
        <v>45294.0</v>
      </c>
      <c r="X565" s="31" t="str">
        <f>IFERROR(__xludf.DUMMYFUNCTION("""COMPUTED_VALUE"""),"Association between work sick-leave absenteeism and SARS-CoV-2 notifications in the Netherlands during the COVID-19 epidemic.")</f>
        <v>Association between work sick-leave absenteeism and SARS-CoV-2 notifications in the Netherlands during the COVID-19 epidemic.</v>
      </c>
      <c r="Y565" s="31" t="str">
        <f>IFERROR(__xludf.DUMMYFUNCTION("""COMPUTED_VALUE"""),"Keet, Martijn G; Boudewijns, Bronke; Jongenotter, Femke; van Iersel, Senna; van Werkhoven, Cornelis H; van Gageldonk-Lafeber, Rianne B; Wisse, Bram W; van Asten, Liselotte")</f>
        <v>Keet, Martijn G; Boudewijns, Bronke; Jongenotter, Femke; van Iersel, Senna; van Werkhoven, Cornelis H; van Gageldonk-Lafeber, Rianne B; Wisse, Bram W; van Asten, Liselotte</v>
      </c>
      <c r="Z565" s="31">
        <f>IFERROR(__xludf.DUMMYFUNCTION("""COMPUTED_VALUE"""),2024.0)</f>
        <v>2024</v>
      </c>
      <c r="AA565" s="31">
        <f>IFERROR(__xludf.DUMMYFUNCTION("""COMPUTED_VALUE"""),0.0)</f>
        <v>0</v>
      </c>
      <c r="AF565" s="31" t="str">
        <f>IFERROR(__xludf.DUMMYFUNCTION("""COMPUTED_VALUE"""),"Bottom-up development of national obstetric guidelines in middle-income country Suriname.")</f>
        <v>Bottom-up development of national obstetric guidelines in middle-income country Suriname.</v>
      </c>
      <c r="AG565" s="31" t="str">
        <f>IFERROR(__xludf.DUMMYFUNCTION("""COMPUTED_VALUE"""),"Verschueren, Kim J C; Kodan, Lachmi R; Brinkman, Tom K; Paidin, Raez R; Henar, Sheran S; Kanhai, Humphrey H H; Browne, Joyce L; Rijken, Marcus J; Bloemenkamp, Kitty W M")</f>
        <v>Verschueren, Kim J C; Kodan, Lachmi R; Brinkman, Tom K; Paidin, Raez R; Henar, Sheran S; Kanhai, Humphrey H H; Browne, Joyce L; Rijken, Marcus J; Bloemenkamp, Kitty W M</v>
      </c>
      <c r="AH565" s="32">
        <f>IFERROR(__xludf.DUMMYFUNCTION("""COMPUTED_VALUE"""),43717.0)</f>
        <v>43717</v>
      </c>
      <c r="AL565" s="31" t="str">
        <f>IFERROR(__xludf.DUMMYFUNCTION("""COMPUTED_VALUE"""),"Validation of a Novel Molecular Host Response Assay to Diagnose Infection in Hospitalized Patients Admitted to the ICU With Acute Respiratory Failure.")</f>
        <v>Validation of a Novel Molecular Host Response Assay to Diagnose Infection in Hospitalized Patients Admitted to the ICU With Acute Respiratory Failure.</v>
      </c>
      <c r="AM565" s="31" t="str">
        <f>IFERROR(__xludf.DUMMYFUNCTION("""COMPUTED_VALUE"""),"Koster-Brouwer, Maria E; Verboom, Diana M; Scicluna, Brendon P; van de Groep, Kirsten; Frencken, Jos F; Janssen, Davy; Schuurman, Rob; Schultz, Marcus J; van der Poll, Tom; Bonten, Marc J M; Cremer, Olaf L; ,")</f>
        <v>Koster-Brouwer, Maria E; Verboom, Diana M; Scicluna, Brendon P; van de Groep, Kirsten; Frencken, Jos F; Janssen, Davy; Schuurman, Rob; Schultz, Marcus J; van der Poll, Tom; Bonten, Marc J M; Cremer, Olaf L; ,</v>
      </c>
      <c r="AN565" s="32">
        <f>IFERROR(__xludf.DUMMYFUNCTION("""COMPUTED_VALUE"""),43160.0)</f>
        <v>43160</v>
      </c>
    </row>
    <row r="566">
      <c r="A566" s="32"/>
      <c r="I566" s="31" t="str">
        <f>IFERROR(__xludf.DUMMYFUNCTION("""COMPUTED_VALUE"""),"retrovirology")</f>
        <v>retrovirology</v>
      </c>
      <c r="J566" s="38">
        <f>COUNTIF(Data!$F$2:$F9917, $I566)</f>
        <v>3</v>
      </c>
      <c r="T566" s="31" t="s">
        <v>1202</v>
      </c>
      <c r="U566" s="31" t="s">
        <v>1203</v>
      </c>
      <c r="V566" s="32">
        <v>45294.0</v>
      </c>
      <c r="X566" s="31" t="str">
        <f>IFERROR(__xludf.DUMMYFUNCTION("""COMPUTED_VALUE"""),"Interprofessional education for healthcare professionals. A BEME realist review of what works, why, for whom and in what circumstances in undergraduate health sciences education: BEME Guide No. 83.")</f>
        <v>Interprofessional education for healthcare professionals. A BEME realist review of what works, why, for whom and in what circumstances in undergraduate health sciences education: BEME Guide No. 83.</v>
      </c>
      <c r="Y566" s="31" t="str">
        <f>IFERROR(__xludf.DUMMYFUNCTION("""COMPUTED_VALUE"""),"Krystallidou, Demi; Kersbergen, Maria J; de Groot, Esther; Fluit, Cornelia R M G; Kuijer-Siebelink, Wietske; Mertens, Fien; Oosterbaan-Lodder, Saskia C M; Scherpbier, Nynke; Versluis, Marco A C; Pype, Peter")</f>
        <v>Krystallidou, Demi; Kersbergen, Maria J; de Groot, Esther; Fluit, Cornelia R M G; Kuijer-Siebelink, Wietske; Mertens, Fien; Oosterbaan-Lodder, Saskia C M; Scherpbier, Nynke; Versluis, Marco A C; Pype, Peter</v>
      </c>
      <c r="Z566" s="31">
        <f>IFERROR(__xludf.DUMMYFUNCTION("""COMPUTED_VALUE"""),2024.0)</f>
        <v>2024</v>
      </c>
      <c r="AA566" s="31">
        <f>IFERROR(__xludf.DUMMYFUNCTION("""COMPUTED_VALUE"""),0.0)</f>
        <v>0</v>
      </c>
      <c r="AF566" s="31" t="str">
        <f>IFERROR(__xludf.DUMMYFUNCTION("""COMPUTED_VALUE"""),"Association Between Use of Primary-Prevention Implantable Cardioverter-Defibrillators and Mortality in Patients With Heart Failure: A Prospective Propensity Score-Matched Analysis From the Swedish Heart Failure Registry.")</f>
        <v>Association Between Use of Primary-Prevention Implantable Cardioverter-Defibrillators and Mortality in Patients With Heart Failure: A Prospective Propensity Score-Matched Analysis From the Swedish Heart Failure Registry.</v>
      </c>
      <c r="AG566" s="31" t="str">
        <f>IFERROR(__xludf.DUMMYFUNCTION("""COMPUTED_VALUE"""),"Schrage, Benedikt; Uijl, Alicia; Benson, Lina; Westermann, Dirk; Ståhlberg, Marcus; Stolfo, Davide; Dahlström, Ulf; Linde, Cecilia; Braunschweig, Frieder; Savarese, Gianluigi")</f>
        <v>Schrage, Benedikt; Uijl, Alicia; Benson, Lina; Westermann, Dirk; Ståhlberg, Marcus; Stolfo, Davide; Dahlström, Ulf; Linde, Cecilia; Braunschweig, Frieder; Savarese, Gianluigi</v>
      </c>
      <c r="AH566" s="32">
        <f>IFERROR(__xludf.DUMMYFUNCTION("""COMPUTED_VALUE"""),43711.0)</f>
        <v>43711</v>
      </c>
      <c r="AL566" s="31" t="str">
        <f>IFERROR(__xludf.DUMMYFUNCTION("""COMPUTED_VALUE"""),"External Validation of Risk Scores for Major Bleeding in a Population-Based Cohort of Transient Ischemic Attack and Ischemic Stroke Patients.")</f>
        <v>External Validation of Risk Scores for Major Bleeding in a Population-Based Cohort of Transient Ischemic Attack and Ischemic Stroke Patients.</v>
      </c>
      <c r="AM566" s="31" t="str">
        <f>IFERROR(__xludf.DUMMYFUNCTION("""COMPUTED_VALUE"""),"Hilkens, Nina A; Li, Linxin; Rothwell, Peter M; Algra, Ale; Greving, Jacoba P")</f>
        <v>Hilkens, Nina A; Li, Linxin; Rothwell, Peter M; Algra, Ale; Greving, Jacoba P</v>
      </c>
      <c r="AN566" s="32">
        <f>IFERROR(__xludf.DUMMYFUNCTION("""COMPUTED_VALUE"""),43150.0)</f>
        <v>43150</v>
      </c>
    </row>
    <row r="567">
      <c r="A567" s="32"/>
      <c r="I567" s="31" t="str">
        <f>IFERROR(__xludf.DUMMYFUNCTION("""COMPUTED_VALUE"""),"journal of tissue viability")</f>
        <v>journal of tissue viability</v>
      </c>
      <c r="J567" s="38">
        <f>COUNTIF(Data!$F$2:$F9917, $I567)</f>
        <v>4</v>
      </c>
      <c r="T567" s="31" t="s">
        <v>1207</v>
      </c>
      <c r="U567" s="31" t="s">
        <v>1208</v>
      </c>
      <c r="V567" s="32">
        <v>45294.0</v>
      </c>
      <c r="X567" s="31" t="str">
        <f>IFERROR(__xludf.DUMMYFUNCTION("""COMPUTED_VALUE"""),"Economic evaluations in medical technological innovations a mapping review of methodologies.")</f>
        <v>Economic evaluations in medical technological innovations a mapping review of methodologies.</v>
      </c>
      <c r="Y567" s="31" t="str">
        <f>IFERROR(__xludf.DUMMYFUNCTION("""COMPUTED_VALUE"""),"van Lieshout, C; Frederix, G W J; Schoonhoven, L")</f>
        <v>van Lieshout, C; Frederix, G W J; Schoonhoven, L</v>
      </c>
      <c r="Z567" s="31">
        <f>IFERROR(__xludf.DUMMYFUNCTION("""COMPUTED_VALUE"""),2024.0)</f>
        <v>2024</v>
      </c>
      <c r="AA567" s="31">
        <f>IFERROR(__xludf.DUMMYFUNCTION("""COMPUTED_VALUE"""),0.0)</f>
        <v>0</v>
      </c>
      <c r="AF567" s="31" t="str">
        <f>IFERROR(__xludf.DUMMYFUNCTION("""COMPUTED_VALUE"""),"Raising Cardiovascular Health in Low Resource Settings: Challenges and Road Maps Ahead.")</f>
        <v>Raising Cardiovascular Health in Low Resource Settings: Challenges and Road Maps Ahead.</v>
      </c>
      <c r="AG567" s="31" t="str">
        <f>IFERROR(__xludf.DUMMYFUNCTION("""COMPUTED_VALUE"""),"Grobbee, Diederick E")</f>
        <v>Grobbee, Diederick E</v>
      </c>
      <c r="AH567" s="32">
        <f>IFERROR(__xludf.DUMMYFUNCTION("""COMPUTED_VALUE"""),43709.0)</f>
        <v>43709</v>
      </c>
      <c r="AL567" s="31" t="str">
        <f>IFERROR(__xludf.DUMMYFUNCTION("""COMPUTED_VALUE"""),"Associations Between Enteral Colonization With Gram-Negative Bacteria and Intensive Care Unit-Acquired Infections and Colonization of the Respiratory Tract.")</f>
        <v>Associations Between Enteral Colonization With Gram-Negative Bacteria and Intensive Care Unit-Acquired Infections and Colonization of the Respiratory Tract.</v>
      </c>
      <c r="AM567" s="31" t="str">
        <f>IFERROR(__xludf.DUMMYFUNCTION("""COMPUTED_VALUE"""),"Frencken, Jos F; Wittekamp, Bastiaan H J; Plantinga, Nienke L; Spitoni, Cristian; van de Groep, Kirsten; Cremer, Olaf L; Bonten, Marc J M")</f>
        <v>Frencken, Jos F; Wittekamp, Bastiaan H J; Plantinga, Nienke L; Spitoni, Cristian; van de Groep, Kirsten; Cremer, Olaf L; Bonten, Marc J M</v>
      </c>
      <c r="AN567" s="32">
        <f>IFERROR(__xludf.DUMMYFUNCTION("""COMPUTED_VALUE"""),43132.0)</f>
        <v>43132</v>
      </c>
    </row>
    <row r="568">
      <c r="A568" s="32"/>
      <c r="I568" s="31" t="str">
        <f>IFERROR(__xludf.DUMMYFUNCTION("""COMPUTED_VALUE"""),"biological psychiatry")</f>
        <v>biological psychiatry</v>
      </c>
      <c r="J568" s="38">
        <f>COUNTIF(Data!$F$2:$F9917, $I568)</f>
        <v>6</v>
      </c>
      <c r="T568" s="31" t="s">
        <v>25431</v>
      </c>
      <c r="U568" s="31" t="s">
        <v>1208</v>
      </c>
      <c r="V568" s="32">
        <v>45294.0</v>
      </c>
      <c r="X568" s="31" t="str">
        <f>IFERROR(__xludf.DUMMYFUNCTION("""COMPUTED_VALUE"""),"Health-related quality of life during the COVID-19 pandemic: The impact of restrictive measures using data from two Dutch population-based cohort studies.")</f>
        <v>Health-related quality of life during the COVID-19 pandemic: The impact of restrictive measures using data from two Dutch population-based cohort studies.</v>
      </c>
      <c r="Y568" s="31" t="str">
        <f>IFERROR(__xludf.DUMMYFUNCTION("""COMPUTED_VALUE"""),"van Hagen, Cheyenne C E; Huiberts, Anne J; Mutubuki, Elizabeth N; de Melker, Hester E; Vos, Eric R A; van de Wijgert, Janneke H H M; van den Hof, Susan; Knol, Mirjam J; van Hoek, Albert Jan")</f>
        <v>van Hagen, Cheyenne C E; Huiberts, Anne J; Mutubuki, Elizabeth N; de Melker, Hester E; Vos, Eric R A; van de Wijgert, Janneke H H M; van den Hof, Susan; Knol, Mirjam J; van Hoek, Albert Jan</v>
      </c>
      <c r="Z568" s="31">
        <f>IFERROR(__xludf.DUMMYFUNCTION("""COMPUTED_VALUE"""),2024.0)</f>
        <v>2024</v>
      </c>
      <c r="AA568" s="31">
        <f>IFERROR(__xludf.DUMMYFUNCTION("""COMPUTED_VALUE"""),0.0)</f>
        <v>0</v>
      </c>
      <c r="AF568" s="31" t="str">
        <f>IFERROR(__xludf.DUMMYFUNCTION("""COMPUTED_VALUE"""),"Announcing Global Heart's activities for 2019.")</f>
        <v>Announcing Global Heart's activities for 2019.</v>
      </c>
      <c r="AG568" s="31" t="str">
        <f>IFERROR(__xludf.DUMMYFUNCTION("""COMPUTED_VALUE"""),"Grobbee, Diederick E")</f>
        <v>Grobbee, Diederick E</v>
      </c>
      <c r="AH568" s="32">
        <f>IFERROR(__xludf.DUMMYFUNCTION("""COMPUTED_VALUE"""),43698.0)</f>
        <v>43698</v>
      </c>
      <c r="AL568" s="31" t="str">
        <f>IFERROR(__xludf.DUMMYFUNCTION("""COMPUTED_VALUE"""),"Molecular relatedness of ESBL/AmpC-producing Escherichia coli from humans, animals, food and the environment: a pooled analysis.")</f>
        <v>Molecular relatedness of ESBL/AmpC-producing Escherichia coli from humans, animals, food and the environment: a pooled analysis.</v>
      </c>
      <c r="AM568" s="31" t="str">
        <f>IFERROR(__xludf.DUMMYFUNCTION("""COMPUTED_VALUE"""),"Dorado-García, Alejandro; Smid, Joost H; van Pelt, Wilfrid; Bonten, Marc J M; Fluit, Ad C; van den Bunt, Gerrita; Wagenaar, Jaap A; Hordijk, Joost; Dierikx, Cindy M; Veldman, Kees T; de Koeijer, Aline; Dohmen, Wietske; Schmitt, Heike; Liakopoulos, Apostol"&amp;"os; Pacholewicz, Ewa; Lam, Theo J G M; Velthuis, Annet G; Heuvelink, Annet; Gonggrijp, Maaike A; van Duijkeren, Engeline; van Hoek, Angela H A M; de Roda Husman, Ana Maria; Blaak, Hetty; Havelaar, Arie H; Mevius, Dik J; Heederik, Dick J J")</f>
        <v>Dorado-García, Alejandro; Smid, Joost H; van Pelt, Wilfrid; Bonten, Marc J M; Fluit, Ad C; van den Bunt, Gerrita; Wagenaar, Jaap A; Hordijk, Joost; Dierikx, Cindy M; Veldman, Kees T; de Koeijer, Aline; Dohmen, Wietske; Schmitt, Heike; Liakopoulos, Apostolos; Pacholewicz, Ewa; Lam, Theo J G M; Velthuis, Annet G; Heuvelink, Annet; Gonggrijp, Maaike A; van Duijkeren, Engeline; van Hoek, Angela H A M; de Roda Husman, Ana Maria; Blaak, Hetty; Havelaar, Arie H; Mevius, Dik J; Heederik, Dick J J</v>
      </c>
      <c r="AN568" s="32">
        <f>IFERROR(__xludf.DUMMYFUNCTION("""COMPUTED_VALUE"""),43132.0)</f>
        <v>43132</v>
      </c>
    </row>
    <row r="569">
      <c r="A569" s="32"/>
      <c r="I569" s="31" t="str">
        <f>IFERROR(__xludf.DUMMYFUNCTION("""COMPUTED_VALUE"""),"neurocritical care")</f>
        <v>neurocritical care</v>
      </c>
      <c r="J569" s="38">
        <f>COUNTIF(Data!$F$2:$F9917, $I569)</f>
        <v>4</v>
      </c>
      <c r="T569" s="31" t="s">
        <v>1212</v>
      </c>
      <c r="U569" s="31" t="s">
        <v>1213</v>
      </c>
      <c r="V569" s="32">
        <v>45292.0</v>
      </c>
      <c r="X569" s="31" t="str">
        <f>IFERROR(__xludf.DUMMYFUNCTION("""COMPUTED_VALUE"""),"Genomics Research of Lifetime Depression in the Netherlands: The BIObanks Netherlands Internet Collaboration (BIONIC) Project.")</f>
        <v>Genomics Research of Lifetime Depression in the Netherlands: The BIObanks Netherlands Internet Collaboration (BIONIC) Project.</v>
      </c>
      <c r="Y569" s="31" t="str">
        <f>IFERROR(__xludf.DUMMYFUNCTION("""COMPUTED_VALUE"""),"Huider, Floris; Milaneschi, Yuri; Hottenga, Jouke-Jan; Bot, Mariska; Rietman, M Liset; Kok, Almar A L; Galesloot, Tessel E; 't Hart, Leen M; Rutters, Femke; Blom, Marieke T; Rhebergen, Didi; Visser, Marjolein; Brouwer, Ingeborg; Feskens, Edith; Hartman, C"&amp;"atharina A; Oldehinkel, Albertine J; de Geus, Eco J C; Kiemeney, Lambertus A; Huisman, Martijn; Picavet, H Susan J; Verschuren, W M Monique; van Loo, Hanna M; Penninx, Brenda W J H; Boomsma, Dorret I")</f>
        <v>Huider, Floris; Milaneschi, Yuri; Hottenga, Jouke-Jan; Bot, Mariska; Rietman, M Liset; Kok, Almar A L; Galesloot, Tessel E; 't Hart, Leen M; Rutters, Femke; Blom, Marieke T; Rhebergen, Didi; Visser, Marjolein; Brouwer, Ingeborg; Feskens, Edith; Hartman, Catharina A; Oldehinkel, Albertine J; de Geus, Eco J C; Kiemeney, Lambertus A; Huisman, Martijn; Picavet, H Susan J; Verschuren, W M Monique; van Loo, Hanna M; Penninx, Brenda W J H; Boomsma, Dorret I</v>
      </c>
      <c r="Z569" s="31">
        <f>IFERROR(__xludf.DUMMYFUNCTION("""COMPUTED_VALUE"""),2024.0)</f>
        <v>2024</v>
      </c>
      <c r="AA569" s="31">
        <f>IFERROR(__xludf.DUMMYFUNCTION("""COMPUTED_VALUE"""),0.0)</f>
        <v>0</v>
      </c>
      <c r="AF569" s="31" t="str">
        <f>IFERROR(__xludf.DUMMYFUNCTION("""COMPUTED_VALUE"""),"Associations of neighbourhood safety with leisure-time walking and cycling in population subgroups: The HELIUS study.")</f>
        <v>Associations of neighbourhood safety with leisure-time walking and cycling in population subgroups: The HELIUS study.</v>
      </c>
      <c r="AG569" s="31" t="str">
        <f>IFERROR(__xludf.DUMMYFUNCTION("""COMPUTED_VALUE"""),"Timmermans, Erik J; Veldhuizen, Eleonore M; Mäki-Opas, Tomi; Snijder, Marieke B; Lakerveld, Jeroen; Kunst, Anton E")</f>
        <v>Timmermans, Erik J; Veldhuizen, Eleonore M; Mäki-Opas, Tomi; Snijder, Marieke B; Lakerveld, Jeroen; Kunst, Anton E</v>
      </c>
      <c r="AH569" s="32">
        <f>IFERROR(__xludf.DUMMYFUNCTION("""COMPUTED_VALUE"""),43684.0)</f>
        <v>43684</v>
      </c>
      <c r="AL569" s="31" t="str">
        <f>IFERROR(__xludf.DUMMYFUNCTION("""COMPUTED_VALUE"""),"Early time course of major bleeding on antiplatelet therapy after TIA or ischemic stroke.")</f>
        <v>Early time course of major bleeding on antiplatelet therapy after TIA or ischemic stroke.</v>
      </c>
      <c r="AM569" s="31" t="str">
        <f>IFERROR(__xludf.DUMMYFUNCTION("""COMPUTED_VALUE"""),"Hilkens, Nina A; Algra, Ale; Kappelle, L Jaap; Bath, Philip M; Csiba, László; Rothwell, Peter M; Greving, Jacoba P; ,")</f>
        <v>Hilkens, Nina A; Algra, Ale; Kappelle, L Jaap; Bath, Philip M; Csiba, László; Rothwell, Peter M; Greving, Jacoba P; ,</v>
      </c>
      <c r="AN569" s="32">
        <f>IFERROR(__xludf.DUMMYFUNCTION("""COMPUTED_VALUE"""),43126.0)</f>
        <v>43126</v>
      </c>
    </row>
    <row r="570">
      <c r="A570" s="32"/>
      <c r="I570" s="31" t="str">
        <f>IFERROR(__xludf.DUMMYFUNCTION("""COMPUTED_VALUE"""),"pediatrics")</f>
        <v>pediatrics</v>
      </c>
      <c r="J570" s="38">
        <f>COUNTIF(Data!$F$2:$F9917, $I570)</f>
        <v>10</v>
      </c>
      <c r="T570" s="31" t="s">
        <v>1217</v>
      </c>
      <c r="U570" s="31" t="s">
        <v>1218</v>
      </c>
      <c r="V570" s="32">
        <v>45292.0</v>
      </c>
      <c r="X570" s="31" t="str">
        <f>IFERROR(__xludf.DUMMYFUNCTION("""COMPUTED_VALUE"""),"Sex differences in modifiable risk factors for stroke incidence and recurrence: the UCC-SMART study.")</f>
        <v>Sex differences in modifiable risk factors for stroke incidence and recurrence: the UCC-SMART study.</v>
      </c>
      <c r="Y570" s="31" t="str">
        <f>IFERROR(__xludf.DUMMYFUNCTION("""COMPUTED_VALUE"""),"Rissanen, Ina; Basten, Maartje; Exalto, Lieza G; Peters, Sanne A E; Visseren, Frank L J; Geerlings, Mirjam I; ,")</f>
        <v>Rissanen, Ina; Basten, Maartje; Exalto, Lieza G; Peters, Sanne A E; Visseren, Frank L J; Geerlings, Mirjam I; ,</v>
      </c>
      <c r="Z570" s="31">
        <f>IFERROR(__xludf.DUMMYFUNCTION("""COMPUTED_VALUE"""),2024.0)</f>
        <v>2024</v>
      </c>
      <c r="AA570" s="31">
        <f>IFERROR(__xludf.DUMMYFUNCTION("""COMPUTED_VALUE"""),0.0)</f>
        <v>0</v>
      </c>
      <c r="AF570" s="31" t="str">
        <f>IFERROR(__xludf.DUMMYFUNCTION("""COMPUTED_VALUE"""),"Comparing Different Residential Neighborhood Definitions and the Association Between Density of Restaurants and Home Cooking Among Dutch Adults.")</f>
        <v>Comparing Different Residential Neighborhood Definitions and the Association Between Density of Restaurants and Home Cooking Among Dutch Adults.</v>
      </c>
      <c r="AG570" s="31" t="str">
        <f>IFERROR(__xludf.DUMMYFUNCTION("""COMPUTED_VALUE"""),"Pinho, Maria Gabriela M; Mackenbach, Joreintje D; Charreire, Hélène; Oppert, Jean-Michel; Rutter, Harry; Beulens, Joline W J; Brug, Johannes; Lakerveld, Jeroen")</f>
        <v>Pinho, Maria Gabriela M; Mackenbach, Joreintje D; Charreire, Hélène; Oppert, Jean-Michel; Rutter, Harry; Beulens, Joline W J; Brug, Johannes; Lakerveld, Jeroen</v>
      </c>
      <c r="AH570" s="32">
        <f>IFERROR(__xludf.DUMMYFUNCTION("""COMPUTED_VALUE"""),43680.0)</f>
        <v>43680</v>
      </c>
      <c r="AL570" s="31" t="str">
        <f>IFERROR(__xludf.DUMMYFUNCTION("""COMPUTED_VALUE"""),"Predicting the presence of macrovascular causes in non-traumatic intracerebral haemorrhage: the DIAGRAM prediction score.")</f>
        <v>Predicting the presence of macrovascular causes in non-traumatic intracerebral haemorrhage: the DIAGRAM prediction score.</v>
      </c>
      <c r="AM570" s="31" t="str">
        <f>IFERROR(__xludf.DUMMYFUNCTION("""COMPUTED_VALUE"""),"Hilkens, Nina A; van Asch, Charlotte J J; Werring, David J; Wilson, Duncan; Rinkel, Gabriël J E; Algra, Ale; Velthuis, Birgitta K; de Kort, Gérard A P; Witkamp, Theo D; van Nieuwenhuizen, Koen M; de Leeuw, Frank-Erik; Schonewille, Wouter J; de Kort, Paul "&amp;"L M; Dippel, Diederik W J; Raaymakers, Theodora W M; Hofmeijer, Jeannette; Wermer, Marieke J H; Kerkhoff, Henk; Jellema, Korné; Bronner, Irene M; Remmers, Michel J M; Bienfait, Henri Paul; Witjes, Ron J G M; Jäger, H Rolf; Greving, Jacoba P; Klijn, Cathar"&amp;"ina J M; ,")</f>
        <v>Hilkens, Nina A; van Asch, Charlotte J J; Werring, David J; Wilson, Duncan; Rinkel, Gabriël J E; Algra, Ale; Velthuis, Birgitta K; de Kort, Gérard A P; Witkamp, Theo D; van Nieuwenhuizen, Koen M; de Leeuw, Frank-Erik; Schonewille, Wouter J; de Kort, Paul L M; Dippel, Diederik W J; Raaymakers, Theodora W M; Hofmeijer, Jeannette; Wermer, Marieke J H; Kerkhoff, Henk; Jellema, Korné; Bronner, Irene M; Remmers, Michel J M; Bienfait, Henri Paul; Witjes, Ron J G M; Jäger, H Rolf; Greving, Jacoba P; Klijn, Catharina J M; ,</v>
      </c>
      <c r="AN570" s="32">
        <f>IFERROR(__xludf.DUMMYFUNCTION("""COMPUTED_VALUE"""),43118.0)</f>
        <v>43118</v>
      </c>
    </row>
    <row r="571">
      <c r="A571" s="32"/>
      <c r="I571" s="31" t="str">
        <f>IFERROR(__xludf.DUMMYFUNCTION("""COMPUTED_VALUE"""),"european journal of paediatric neurology ejpn official journal of the european paediatric neurology society")</f>
        <v>european journal of paediatric neurology ejpn official journal of the european paediatric neurology society</v>
      </c>
      <c r="J571" s="38">
        <f>COUNTIF(Data!$F$2:$F9917, $I571)</f>
        <v>2</v>
      </c>
      <c r="T571" s="31" t="s">
        <v>1222</v>
      </c>
      <c r="U571" s="31" t="s">
        <v>1223</v>
      </c>
      <c r="V571" s="32">
        <v>45292.0</v>
      </c>
      <c r="X571" s="31" t="str">
        <f>IFERROR(__xludf.DUMMYFUNCTION("""COMPUTED_VALUE"""),"Embodiment and regenerative implants: a proposal for entanglement.")</f>
        <v>Embodiment and regenerative implants: a proposal for entanglement.</v>
      </c>
      <c r="Y571" s="31" t="str">
        <f>IFERROR(__xludf.DUMMYFUNCTION("""COMPUTED_VALUE"""),"van Daal, Manon; de Kanter, Anne-Floor J; Jongsma, Karin R; Bredenoord, Annelien L; de Graeff, Nienke")</f>
        <v>van Daal, Manon; de Kanter, Anne-Floor J; Jongsma, Karin R; Bredenoord, Annelien L; de Graeff, Nienke</v>
      </c>
      <c r="Z571" s="31">
        <f>IFERROR(__xludf.DUMMYFUNCTION("""COMPUTED_VALUE"""),2024.0)</f>
        <v>2024</v>
      </c>
      <c r="AA571" s="31">
        <f>IFERROR(__xludf.DUMMYFUNCTION("""COMPUTED_VALUE"""),0.0)</f>
        <v>0</v>
      </c>
      <c r="AF571" s="31" t="str">
        <f>IFERROR(__xludf.DUMMYFUNCTION("""COMPUTED_VALUE"""),"Cross-sectional study of association between psychosocial stressors with chronic kidney disease among migrant and non-migrant Ghanaians living in Europe and Ghana: the RODAM study.")</f>
        <v>Cross-sectional study of association between psychosocial stressors with chronic kidney disease among migrant and non-migrant Ghanaians living in Europe and Ghana: the RODAM study.</v>
      </c>
      <c r="AG571" s="31" t="str">
        <f>IFERROR(__xludf.DUMMYFUNCTION("""COMPUTED_VALUE"""),"Adjei, David Nana; Stronks, Karien; Adu, Dwomoa; Beune, Erik; Meeks, Karlijn; Smeeth, Liam; Addo, Juliet; Owusu-Dabo, Ellis; Klipstein-Grobusch, Kerstin; Mockenhaupt, Frank; Schulze, Matthias; Danquah, Ina; Spranger, Joachim; Bahendeka, Silver Karaireho; "&amp;"Agyemang, Charles")</f>
        <v>Adjei, David Nana; Stronks, Karien; Adu, Dwomoa; Beune, Erik; Meeks, Karlijn; Smeeth, Liam; Addo, Juliet; Owusu-Dabo, Ellis; Klipstein-Grobusch, Kerstin; Mockenhaupt, Frank; Schulze, Matthias; Danquah, Ina; Spranger, Joachim; Bahendeka, Silver Karaireho; Agyemang, Charles</v>
      </c>
      <c r="AH571" s="32">
        <f>IFERROR(__xludf.DUMMYFUNCTION("""COMPUTED_VALUE"""),43678.0)</f>
        <v>43678</v>
      </c>
      <c r="AL571" s="31" t="str">
        <f>IFERROR(__xludf.DUMMYFUNCTION("""COMPUTED_VALUE"""),"Report of the 5th European expert meeting on rotavirus vaccination (EEROVAC).")</f>
        <v>Report of the 5th European expert meeting on rotavirus vaccination (EEROVAC).</v>
      </c>
      <c r="AM571" s="31" t="str">
        <f>IFERROR(__xludf.DUMMYFUNCTION("""COMPUTED_VALUE"""),"de Hoog, Marieke L A; Vesikari, Timo; Giaquinto, Carlo; Huppertz, Hans-Iko; Martinon-Torres, Federico; Bruijning-Verhagen, Patricia")</f>
        <v>de Hoog, Marieke L A; Vesikari, Timo; Giaquinto, Carlo; Huppertz, Hans-Iko; Martinon-Torres, Federico; Bruijning-Verhagen, Patricia</v>
      </c>
      <c r="AN571" s="32">
        <f>IFERROR(__xludf.DUMMYFUNCTION("""COMPUTED_VALUE"""),43118.0)</f>
        <v>43118</v>
      </c>
    </row>
    <row r="572">
      <c r="A572" s="32"/>
      <c r="I572" s="31" t="str">
        <f>IFERROR(__xludf.DUMMYFUNCTION("""COMPUTED_VALUE"""),"mycoscience")</f>
        <v>mycoscience</v>
      </c>
      <c r="J572" s="38">
        <f>COUNTIF(Data!$F$2:$F9917, $I572)</f>
        <v>1</v>
      </c>
      <c r="T572" s="31" t="s">
        <v>1226</v>
      </c>
      <c r="U572" s="31" t="s">
        <v>1227</v>
      </c>
      <c r="V572" s="32">
        <v>45292.0</v>
      </c>
      <c r="X572" s="31" t="str">
        <f>IFERROR(__xludf.DUMMYFUNCTION("""COMPUTED_VALUE"""),"Machine learning-based models to predict the conversion of normal blood pressure to hypertension within 5-year follow-up.")</f>
        <v>Machine learning-based models to predict the conversion of normal blood pressure to hypertension within 5-year follow-up.</v>
      </c>
      <c r="Y572" s="31" t="str">
        <f>IFERROR(__xludf.DUMMYFUNCTION("""COMPUTED_VALUE"""),"Andishgar, Aref; Bazmi, Sina; Tabrizi, Reza; Rismani, Maziyar; Keshavarzian, Omid; Pezeshki, Babak; Ahmadizar, Fariba")</f>
        <v>Andishgar, Aref; Bazmi, Sina; Tabrizi, Reza; Rismani, Maziyar; Keshavarzian, Omid; Pezeshki, Babak; Ahmadizar, Fariba</v>
      </c>
      <c r="Z572" s="31">
        <f>IFERROR(__xludf.DUMMYFUNCTION("""COMPUTED_VALUE"""),2024.0)</f>
        <v>2024</v>
      </c>
      <c r="AA572" s="31">
        <f>IFERROR(__xludf.DUMMYFUNCTION("""COMPUTED_VALUE"""),0.0)</f>
        <v>0</v>
      </c>
      <c r="AF572" s="31" t="str">
        <f>IFERROR(__xludf.DUMMYFUNCTION("""COMPUTED_VALUE"""),"Measles Immunity at 4.5 Years of Age Following Vaccination at 9 and 15-18 Months of Age Among Human Immunodeficiency Virus (HIV)-infected, HIV-exposed-uninfected, and HIV-unexposed Children.")</f>
        <v>Measles Immunity at 4.5 Years of Age Following Vaccination at 9 and 15-18 Months of Age Among Human Immunodeficiency Virus (HIV)-infected, HIV-exposed-uninfected, and HIV-unexposed Children.</v>
      </c>
      <c r="AG572" s="31" t="str">
        <f>IFERROR(__xludf.DUMMYFUNCTION("""COMPUTED_VALUE"""),"Mutsaerts, Eleonora A M L; Nunes, Marta C; van Rijswijk, Martijn N; Klipstein-Grobusch, Kerstin; Otwombe, Kennedy; Cotton, Mark F; Violari, Avy; Madhi, Shabir A")</f>
        <v>Mutsaerts, Eleonora A M L; Nunes, Marta C; van Rijswijk, Martijn N; Klipstein-Grobusch, Kerstin; Otwombe, Kennedy; Cotton, Mark F; Violari, Avy; Madhi, Shabir A</v>
      </c>
      <c r="AH572" s="32">
        <f>IFERROR(__xludf.DUMMYFUNCTION("""COMPUTED_VALUE"""),43678.0)</f>
        <v>43678</v>
      </c>
      <c r="AL572" s="31" t="str">
        <f>IFERROR(__xludf.DUMMYFUNCTION("""COMPUTED_VALUE"""),"Standard whole prostate gland radiotherapy with and without lesion boost in prostate cancer: Toxicity in the FLAME randomized controlled trial.")</f>
        <v>Standard whole prostate gland radiotherapy with and without lesion boost in prostate cancer: Toxicity in the FLAME randomized controlled trial.</v>
      </c>
      <c r="AM572" s="31" t="str">
        <f>IFERROR(__xludf.DUMMYFUNCTION("""COMPUTED_VALUE"""),"Monninkhof, Evelyn M; van Loon, Juliette W L; van Vulpen, Marco; Kerkmeijer, Linda G W; Pos, Floris J; Haustermans, Karin; van den Bergh, Laura; Isebaert, Sofie; McColl, Gill M; Smeenk, Robert Jan; Noteboom, Juus; Walraven, Iris; Peeters, Petra H M; van d"&amp;"er Heide, Uulke A")</f>
        <v>Monninkhof, Evelyn M; van Loon, Juliette W L; van Vulpen, Marco; Kerkmeijer, Linda G W; Pos, Floris J; Haustermans, Karin; van den Bergh, Laura; Isebaert, Sofie; McColl, Gill M; Smeenk, Robert Jan; Noteboom, Juus; Walraven, Iris; Peeters, Petra H M; van der Heide, Uulke A</v>
      </c>
      <c r="AN572" s="32">
        <f>IFERROR(__xludf.DUMMYFUNCTION("""COMPUTED_VALUE"""),43111.0)</f>
        <v>43111</v>
      </c>
    </row>
    <row r="573">
      <c r="A573" s="32"/>
      <c r="I573" s="31" t="str">
        <f>IFERROR(__xludf.DUMMYFUNCTION("""COMPUTED_VALUE"""),"thorax")</f>
        <v>thorax</v>
      </c>
      <c r="J573" s="38">
        <f>COUNTIF(Data!$F$2:$F9917, $I573)</f>
        <v>8</v>
      </c>
      <c r="T573" s="31" t="s">
        <v>1231</v>
      </c>
      <c r="U573" s="31" t="s">
        <v>1232</v>
      </c>
      <c r="V573" s="32">
        <v>45292.0</v>
      </c>
      <c r="X573" s="31" t="str">
        <f>IFERROR(__xludf.DUMMYFUNCTION("""COMPUTED_VALUE"""),"A qualitative analysis of community health worker perspectives on the implementation of the preconception and pregnancy phases of the Bukhali randomised controlled trial.")</f>
        <v>A qualitative analysis of community health worker perspectives on the implementation of the preconception and pregnancy phases of the Bukhali randomised controlled trial.</v>
      </c>
      <c r="Y573" s="31" t="str">
        <f>IFERROR(__xludf.DUMMYFUNCTION("""COMPUTED_VALUE"""),"Soepnel, Larske M; Norris, Shane A; Mabetha, Khuthala; Motlhatlhedi, Molebogeng; Nkosi, Nokuthula; Lye, Stephen; Draper, Catherine E")</f>
        <v>Soepnel, Larske M; Norris, Shane A; Mabetha, Khuthala; Motlhatlhedi, Molebogeng; Nkosi, Nokuthula; Lye, Stephen; Draper, Catherine E</v>
      </c>
      <c r="Z573" s="31">
        <f>IFERROR(__xludf.DUMMYFUNCTION("""COMPUTED_VALUE"""),2024.0)</f>
        <v>2024</v>
      </c>
      <c r="AA573" s="31">
        <f>IFERROR(__xludf.DUMMYFUNCTION("""COMPUTED_VALUE"""),0.0)</f>
        <v>0</v>
      </c>
      <c r="AF573" s="31" t="str">
        <f>IFERROR(__xludf.DUMMYFUNCTION("""COMPUTED_VALUE"""),"The Rising Frequency of Continuous Deep Sedation in the Netherlands, a Repeated Cross-Sectional Survey in 2005, 2010, and 2015.")</f>
        <v>The Rising Frequency of Continuous Deep Sedation in the Netherlands, a Repeated Cross-Sectional Survey in 2005, 2010, and 2015.</v>
      </c>
      <c r="AG573" s="31" t="str">
        <f>IFERROR(__xludf.DUMMYFUNCTION("""COMPUTED_VALUE"""),"Rietjens, Judith A C; Heijltjes, Madelon T; van Delden, Johannes J M; Onwuteaka-Philipsen, Bregje D; van der Heide, Agnes")</f>
        <v>Rietjens, Judith A C; Heijltjes, Madelon T; van Delden, Johannes J M; Onwuteaka-Philipsen, Bregje D; van der Heide, Agnes</v>
      </c>
      <c r="AH573" s="32">
        <f>IFERROR(__xludf.DUMMYFUNCTION("""COMPUTED_VALUE"""),43678.0)</f>
        <v>43678</v>
      </c>
      <c r="AL573" s="31" t="str">
        <f>IFERROR(__xludf.DUMMYFUNCTION("""COMPUTED_VALUE"""),"Automated Multi-Atlas Segmentation of Hippocampal and Extrahippocampal Subregions in Alzheimer's Disease at 3T and 7T: What Atlas Composition Works Best?")</f>
        <v>Automated Multi-Atlas Segmentation of Hippocampal and Extrahippocampal Subregions in Alzheimer's Disease at 3T and 7T: What Atlas Composition Works Best?</v>
      </c>
      <c r="AM573" s="31" t="str">
        <f>IFERROR(__xludf.DUMMYFUNCTION("""COMPUTED_VALUE"""),"Xie, Long; Shinohara, Russell T; Ittyerah, Ranjit; Kuijf, Hugo J; Pluta, John B; Blom, Kim; Kooistra, Minke; Reijmer, Yael D; Koek, Huiberdina L; Zwanenburg, Jaco J M; Wang, Hongzhi; Luijten, Peter R; Geerlings, Mirjam I; Das, Sandhitsu R; Biessels, Geert"&amp;" Jan; Wolk, David A; Yushkevich, Paul A; Wisse, Laura E M")</f>
        <v>Xie, Long; Shinohara, Russell T; Ittyerah, Ranjit; Kuijf, Hugo J; Pluta, John B; Blom, Kim; Kooistra, Minke; Reijmer, Yael D; Koek, Huiberdina L; Zwanenburg, Jaco J M; Wang, Hongzhi; Luijten, Peter R; Geerlings, Mirjam I; Das, Sandhitsu R; Biessels, Geert Jan; Wolk, David A; Yushkevich, Paul A; Wisse, Laura E M</v>
      </c>
      <c r="AN573" s="32">
        <f>IFERROR(__xludf.DUMMYFUNCTION("""COMPUTED_VALUE"""),43101.0)</f>
        <v>43101</v>
      </c>
    </row>
    <row r="574">
      <c r="A574" s="32"/>
      <c r="I574" s="31" t="str">
        <f>IFERROR(__xludf.DUMMYFUNCTION("""COMPUTED_VALUE"""),"journal of cardiothoracic surgery")</f>
        <v>journal of cardiothoracic surgery</v>
      </c>
      <c r="J574" s="38">
        <f>COUNTIF(Data!$F$2:$F9917, $I574)</f>
        <v>3</v>
      </c>
      <c r="T574" s="31" t="s">
        <v>1236</v>
      </c>
      <c r="U574" s="31" t="s">
        <v>1237</v>
      </c>
      <c r="V574" s="32">
        <v>45291.0</v>
      </c>
      <c r="X574" s="31" t="str">
        <f>IFERROR(__xludf.DUMMYFUNCTION("""COMPUTED_VALUE"""),"Oncologic outcomes of screen-detected and non-screen-detected T1 colorectal cancers.")</f>
        <v>Oncologic outcomes of screen-detected and non-screen-detected T1 colorectal cancers.</v>
      </c>
      <c r="Y574" s="31" t="str">
        <f>IFERROR(__xludf.DUMMYFUNCTION("""COMPUTED_VALUE"""),"van der Schee, Lisa; Haasnoot, Krijn J C; Elias, Sjoerd G; Gijsbers, Kim M; Alderlieste, Yasser A; Backes, Yara; van Berkel, Anne-Marie; Boersma, Femke; Ter Borg, Frank; Breekveldt, Emilie C H; Kessels, Koen; Koopman, Miriam; Lansdorp-Vogelaar, Iris; van "&amp;"Leerdam, Monique E; Rasschaert, Gertjan; Schreuder, Ramon-Michel; Schrauwen, Ruud W M; Seerden, Tom C J; Spanier, Marcel B W; Terhaar Sive Droste, Jochim S; Toes-Zoutendijk, Esther; Tuynman, Jurriaan B; Vink, Geraldine R; de Vos Tot Nederveen Cappel, Wout"&amp;"er H; Vleggaar, Frank P; Laclé, Miangela M; Moons, Leon M G")</f>
        <v>van der Schee, Lisa; Haasnoot, Krijn J C; Elias, Sjoerd G; Gijsbers, Kim M; Alderlieste, Yasser A; Backes, Yara; van Berkel, Anne-Marie; Boersma, Femke; Ter Borg, Frank; Breekveldt, Emilie C H; Kessels, Koen; Koopman, Miriam; Lansdorp-Vogelaar, Iris; van Leerdam, Monique E; Rasschaert, Gertjan; Schreuder, Ramon-Michel; Schrauwen, Ruud W M; Seerden, Tom C J; Spanier, Marcel B W; Terhaar Sive Droste, Jochim S; Toes-Zoutendijk, Esther; Tuynman, Jurriaan B; Vink, Geraldine R; de Vos Tot Nederveen Cappel, Wouter H; Vleggaar, Frank P; Laclé, Miangela M; Moons, Leon M G</v>
      </c>
      <c r="Z574" s="31">
        <f>IFERROR(__xludf.DUMMYFUNCTION("""COMPUTED_VALUE"""),2024.0)</f>
        <v>2024</v>
      </c>
      <c r="AA574" s="31">
        <f>IFERROR(__xludf.DUMMYFUNCTION("""COMPUTED_VALUE"""),0.0)</f>
        <v>0</v>
      </c>
      <c r="AF574" s="31" t="str">
        <f>IFERROR(__xludf.DUMMYFUNCTION("""COMPUTED_VALUE"""),"Early-life factors are associated with waist circumference and type 2 diabetes among Ghanaian adults: The RODAM Study.")</f>
        <v>Early-life factors are associated with waist circumference and type 2 diabetes among Ghanaian adults: The RODAM Study.</v>
      </c>
      <c r="AG574" s="31" t="str">
        <f>IFERROR(__xludf.DUMMYFUNCTION("""COMPUTED_VALUE"""),"Danquah, Ina; Addo, Juliet; Boateng, Daniel; Klipstein-Grobusch, Kerstin; Meeks, Karlijn; Galbete, Cecilia; Beune, Erik; Bahendeka, Silver; Spranger, Joachim; Mockenhaupt, Frank P; Stronks, Karien; Agyemang, Charles; Schulze, Matthias B; Smeeth, Liam")</f>
        <v>Danquah, Ina; Addo, Juliet; Boateng, Daniel; Klipstein-Grobusch, Kerstin; Meeks, Karlijn; Galbete, Cecilia; Beune, Erik; Bahendeka, Silver; Spranger, Joachim; Mockenhaupt, Frank P; Stronks, Karien; Agyemang, Charles; Schulze, Matthias B; Smeeth, Liam</v>
      </c>
      <c r="AH574" s="32">
        <f>IFERROR(__xludf.DUMMYFUNCTION("""COMPUTED_VALUE"""),43672.0)</f>
        <v>43672</v>
      </c>
      <c r="AL574" s="31" t="str">
        <f>IFERROR(__xludf.DUMMYFUNCTION("""COMPUTED_VALUE"""),"[Prevention of postoperative infections: patient safety subordinated to antibiotic stewardship].")</f>
        <v>[Prevention of postoperative infections: patient safety subordinated to antibiotic stewardship].</v>
      </c>
      <c r="AM574" s="31" t="str">
        <f>IFERROR(__xludf.DUMMYFUNCTION("""COMPUTED_VALUE"""),"Bonten, M J M; Kluytmans, J")</f>
        <v>Bonten, M J M; Kluytmans, J</v>
      </c>
      <c r="AN574" s="32">
        <f>IFERROR(__xludf.DUMMYFUNCTION("""COMPUTED_VALUE"""),43101.0)</f>
        <v>43101</v>
      </c>
    </row>
    <row r="575">
      <c r="A575" s="32"/>
      <c r="I575" s="31" t="str">
        <f>IFERROR(__xludf.DUMMYFUNCTION("""COMPUTED_VALUE"""),"thrombosis and haemostasis")</f>
        <v>thrombosis and haemostasis</v>
      </c>
      <c r="J575" s="38">
        <f>COUNTIF(Data!$F$2:$F9917, $I575)</f>
        <v>7</v>
      </c>
      <c r="T575" s="31" t="s">
        <v>1241</v>
      </c>
      <c r="U575" s="31" t="s">
        <v>1242</v>
      </c>
      <c r="V575" s="32">
        <v>45289.0</v>
      </c>
      <c r="X575" s="31" t="str">
        <f>IFERROR(__xludf.DUMMYFUNCTION("""COMPUTED_VALUE"""),"Practice visitations in primary care to improve performance of cardiovascular risk management.")</f>
        <v>Practice visitations in primary care to improve performance of cardiovascular risk management.</v>
      </c>
      <c r="Y575" s="31" t="str">
        <f>IFERROR(__xludf.DUMMYFUNCTION("""COMPUTED_VALUE"""),"Smits, Geert Hjm; Bots, Michiel L; Hollander, Monika; Wit, Ardine de; van Doorn, Sander")</f>
        <v>Smits, Geert Hjm; Bots, Michiel L; Hollander, Monika; Wit, Ardine de; van Doorn, Sander</v>
      </c>
      <c r="Z575" s="31">
        <f>IFERROR(__xludf.DUMMYFUNCTION("""COMPUTED_VALUE"""),2024.0)</f>
        <v>2024</v>
      </c>
      <c r="AA575" s="31">
        <f>IFERROR(__xludf.DUMMYFUNCTION("""COMPUTED_VALUE"""),0.0)</f>
        <v>0</v>
      </c>
      <c r="AF575" s="31" t="str">
        <f>IFERROR(__xludf.DUMMYFUNCTION("""COMPUTED_VALUE"""),"Frailty is associated with elevated CRP trajectories and higher numbers of neutrophils and monocytes.")</f>
        <v>Frailty is associated with elevated CRP trajectories and higher numbers of neutrophils and monocytes.</v>
      </c>
      <c r="AG575" s="31" t="str">
        <f>IFERROR(__xludf.DUMMYFUNCTION("""COMPUTED_VALUE"""),"Samson, Leonard Daniël; Boots, A Mieke H; Verschuren, W M Monique; Picavet, H Susan J; Engelfriet, Peter; Buisman, Anne-Marie")</f>
        <v>Samson, Leonard Daniël; Boots, A Mieke H; Verschuren, W M Monique; Picavet, H Susan J; Engelfriet, Peter; Buisman, Anne-Marie</v>
      </c>
      <c r="AH575" s="32">
        <f>IFERROR(__xludf.DUMMYFUNCTION("""COMPUTED_VALUE"""),43666.0)</f>
        <v>43666</v>
      </c>
      <c r="AL575" s="31" t="str">
        <f>IFERROR(__xludf.DUMMYFUNCTION("""COMPUTED_VALUE"""),"The vaginal microbiome and sexually transmitted infections are interlinked: Consequences for treatment and prevention.")</f>
        <v>The vaginal microbiome and sexually transmitted infections are interlinked: Consequences for treatment and prevention.</v>
      </c>
      <c r="AM575" s="31" t="str">
        <f>IFERROR(__xludf.DUMMYFUNCTION("""COMPUTED_VALUE"""),"van de Wijgert, Janneke H H M")</f>
        <v>van de Wijgert, Janneke H H M</v>
      </c>
      <c r="AN575" s="32">
        <f>IFERROR(__xludf.DUMMYFUNCTION("""COMPUTED_VALUE"""),43096.0)</f>
        <v>43096</v>
      </c>
    </row>
    <row r="576">
      <c r="A576" s="32"/>
      <c r="I576" s="31" t="str">
        <f>IFERROR(__xludf.DUMMYFUNCTION("""COMPUTED_VALUE"""),"contraception")</f>
        <v>contraception</v>
      </c>
      <c r="J576" s="38">
        <f>COUNTIF(Data!$F$2:$F9917, $I576)</f>
        <v>1</v>
      </c>
      <c r="T576" s="31" t="s">
        <v>1245</v>
      </c>
      <c r="U576" s="31" t="s">
        <v>1246</v>
      </c>
      <c r="V576" s="32">
        <v>45289.0</v>
      </c>
      <c r="X576" s="31" t="str">
        <f>IFERROR(__xludf.DUMMYFUNCTION("""COMPUTED_VALUE"""),"Healthy ageing in a multi-ethnic population: A descriptive cross-sectional analysis from the HELIUS study.")</f>
        <v>Healthy ageing in a multi-ethnic population: A descriptive cross-sectional analysis from the HELIUS study.</v>
      </c>
      <c r="Y576" s="31" t="str">
        <f>IFERROR(__xludf.DUMMYFUNCTION("""COMPUTED_VALUE"""),"Menassa, Marilyne; Franco, Oscar H; Galenkamp, Henrike; Moll van Charante, Eric P; van den Born, Bert-Jan H; Vriend, Esther M C; Vidal, Pedro Marques; Stronks, Karien")</f>
        <v>Menassa, Marilyne; Franco, Oscar H; Galenkamp, Henrike; Moll van Charante, Eric P; van den Born, Bert-Jan H; Vriend, Esther M C; Vidal, Pedro Marques; Stronks, Karien</v>
      </c>
      <c r="Z576" s="31">
        <f>IFERROR(__xludf.DUMMYFUNCTION("""COMPUTED_VALUE"""),2024.0)</f>
        <v>2024</v>
      </c>
      <c r="AA576" s="31">
        <f>IFERROR(__xludf.DUMMYFUNCTION("""COMPUTED_VALUE"""),0.0)</f>
        <v>0</v>
      </c>
      <c r="AF576" s="31" t="str">
        <f>IFERROR(__xludf.DUMMYFUNCTION("""COMPUTED_VALUE"""),"Regulatory sanctions for ethically relevant GCP violations.")</f>
        <v>Regulatory sanctions for ethically relevant GCP violations.</v>
      </c>
      <c r="AG576" s="31" t="str">
        <f>IFERROR(__xludf.DUMMYFUNCTION("""COMPUTED_VALUE"""),"Bernabe, Rosemarie de la Cruz; van Thiel, Ghislaine J M W; Breekveldt, Nancy S; Gispen, Christine C; van Delden, Johannes J M")</f>
        <v>Bernabe, Rosemarie de la Cruz; van Thiel, Ghislaine J M W; Breekveldt, Nancy S; Gispen, Christine C; van Delden, Johannes J M</v>
      </c>
      <c r="AH576" s="32">
        <f>IFERROR(__xludf.DUMMYFUNCTION("""COMPUTED_VALUE"""),43652.0)</f>
        <v>43652</v>
      </c>
      <c r="AL576" s="31" t="str">
        <f>IFERROR(__xludf.DUMMYFUNCTION("""COMPUTED_VALUE"""),"Yield of Computed Tomography (CT) Angiography in Patients with Acute Headache, Normal Neurological Examination, and Normal Non Contrast CT: A Meta-Analysis.")</f>
        <v>Yield of Computed Tomography (CT) Angiography in Patients with Acute Headache, Normal Neurological Examination, and Normal Non Contrast CT: A Meta-Analysis.</v>
      </c>
      <c r="AM576" s="31" t="str">
        <f>IFERROR(__xludf.DUMMYFUNCTION("""COMPUTED_VALUE"""),"Alons, Imanda M E; Goudsmit, Ben F J; Jellema, Korne; van Walderveen, Marianne A A; Wermer, Marieke J H; Algra, Ale")</f>
        <v>Alons, Imanda M E; Goudsmit, Ben F J; Jellema, Korne; van Walderveen, Marianne A A; Wermer, Marieke J H; Algra, Ale</v>
      </c>
      <c r="AN576" s="32">
        <f>IFERROR(__xludf.DUMMYFUNCTION("""COMPUTED_VALUE"""),43092.0)</f>
        <v>43092</v>
      </c>
    </row>
    <row r="577">
      <c r="A577" s="32"/>
      <c r="I577" s="31" t="str">
        <f>IFERROR(__xludf.DUMMYFUNCTION("""COMPUTED_VALUE"""),"blood")</f>
        <v>blood</v>
      </c>
      <c r="J577" s="38">
        <f>COUNTIF(Data!$F$2:$F9917, $I577)</f>
        <v>4</v>
      </c>
      <c r="T577" s="31" t="s">
        <v>1249</v>
      </c>
      <c r="U577" s="31" t="s">
        <v>1250</v>
      </c>
      <c r="V577" s="32">
        <v>45288.0</v>
      </c>
      <c r="X577" s="31" t="str">
        <f>IFERROR(__xludf.DUMMYFUNCTION("""COMPUTED_VALUE"""),"Machine Learning Did Not Outperform Conventional Competing Risk Modeling to Predict Revision Arthroplasty.")</f>
        <v>Machine Learning Did Not Outperform Conventional Competing Risk Modeling to Predict Revision Arthroplasty.</v>
      </c>
      <c r="Y577" s="31" t="str">
        <f>IFERROR(__xludf.DUMMYFUNCTION("""COMPUTED_VALUE"""),"Oosterhoff, Jacobien H F; de Hond, Anne A H; Peters, Rinne M; van Steenbergen, Liza N; Sorel, Juliette C; Zijlstra, Wierd P; Poolman, Rudolf W; Ring, David; Jutte, Paul C; Kerkhoffs, Gino M M J; Putter, Hein; Steyerberg, Ewout W; Doornberg, Job N; ,")</f>
        <v>Oosterhoff, Jacobien H F; de Hond, Anne A H; Peters, Rinne M; van Steenbergen, Liza N; Sorel, Juliette C; Zijlstra, Wierd P; Poolman, Rudolf W; Ring, David; Jutte, Paul C; Kerkhoffs, Gino M M J; Putter, Hein; Steyerberg, Ewout W; Doornberg, Job N; ,</v>
      </c>
      <c r="Z577" s="31">
        <f>IFERROR(__xludf.DUMMYFUNCTION("""COMPUTED_VALUE"""),2024.0)</f>
        <v>2024</v>
      </c>
      <c r="AA577" s="31">
        <f>IFERROR(__xludf.DUMMYFUNCTION("""COMPUTED_VALUE"""),0.0)</f>
        <v>0</v>
      </c>
      <c r="AF577" s="31" t="str">
        <f>IFERROR(__xludf.DUMMYFUNCTION("""COMPUTED_VALUE"""),"Top 10 Research Priorities in Spatial Lifecourse Epidemiology.")</f>
        <v>Top 10 Research Priorities in Spatial Lifecourse Epidemiology.</v>
      </c>
      <c r="AG577" s="31" t="str">
        <f>IFERROR(__xludf.DUMMYFUNCTION("""COMPUTED_VALUE"""),"Jia, Peng; Lakerveld, Jeroen; Wu, Jianguo; Stein, Alfred; Root, Elisabeth D; Sabel, Clive E; Vermeulen, Roel; Remais, Justin V; Chen, Xi; Brownson, Ross C; Amer, Sherif; Xiao, Qian; Wang, Limin; Verschuren, W M Monique; Wu, Tong; Wang, Youfa; James, Peter")</f>
        <v>Jia, Peng; Lakerveld, Jeroen; Wu, Jianguo; Stein, Alfred; Root, Elisabeth D; Sabel, Clive E; Vermeulen, Roel; Remais, Justin V; Chen, Xi; Brownson, Ross C; Amer, Sherif; Xiao, Qian; Wang, Limin; Verschuren, W M Monique; Wu, Tong; Wang, Youfa; James, Peter</v>
      </c>
      <c r="AH577" s="32">
        <f>IFERROR(__xludf.DUMMYFUNCTION("""COMPUTED_VALUE"""),43650.0)</f>
        <v>43650</v>
      </c>
      <c r="AL577" s="31" t="str">
        <f>IFERROR(__xludf.DUMMYFUNCTION("""COMPUTED_VALUE"""),"Protein-altering variants associated with body mass index implicate pathways that control energy intake and expenditure in obesity.")</f>
        <v>Protein-altering variants associated with body mass index implicate pathways that control energy intake and expenditure in obesity.</v>
      </c>
      <c r="AM577" s="31" t="str">
        <f>IFERROR(__xludf.DUMMYFUNCTION("""COMPUTED_VALUE"""),"Turcot, Valérie; Lu, Yingchang; Highland, Heather M; Schurmann, Claudia; Justice, Anne E; Fine, Rebecca S; Bradfield, Jonathan P; Esko, Tõnu; Giri, Ayush; Graff, Mariaelisa; Guo, Xiuqing; Hendricks, Audrey E; Karaderi, Tugce; Lempradl, Adelheid; Locke, Ad"&amp;"am E; Mahajan, Anubha; Marouli, Eirini; Sivapalaratnam, Suthesh; Young, Kristin L; Alfred, Tamuno; Feitosa, Mary F; Masca, Nicholas G D; Manning, Alisa K; Medina-Gomez, Carolina; Mudgal, Poorva; Ng, Maggie C Y; Reiner, Alex P; Vedantam, Sailaja; Willems, "&amp;"Sara M; Winkler, Thomas W; Abecasis, Gonçalo; Aben, Katja K; Alam, Dewan S; Alharthi, Sameer E; Allison, Matthew; Amouyel, Philippe; Asselbergs, Folkert W; Auer, Paul L; Balkau, Beverley; Bang, Lia E; Barroso, Inês; Bastarache, Lisa; Benn, Marianne; Bergm"&amp;"ann, Sven; Bielak, Lawrence F; Blüher, Matthias; Boehnke, Michael; Boeing, Heiner; Boerwinkle, Eric; Böger, Carsten A; Bork-Jensen, Jette; Bots, Michiel L; Bottinger, Erwin P; Bowden, Donald W; Brandslund, Ivan; Breen, Gerome; Brillian")</f>
        <v>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v>
      </c>
      <c r="AN577" s="32">
        <f>IFERROR(__xludf.DUMMYFUNCTION("""COMPUTED_VALUE"""),43091.0)</f>
        <v>43091</v>
      </c>
    </row>
    <row r="578">
      <c r="A578" s="32"/>
      <c r="I578" s="31" t="str">
        <f>IFERROR(__xludf.DUMMYFUNCTION("""COMPUTED_VALUE"""),"breast edinburgh scotland")</f>
        <v>breast edinburgh scotland</v>
      </c>
      <c r="J578" s="38">
        <f>COUNTIF(Data!$F$2:$F9917, $I578)</f>
        <v>2</v>
      </c>
      <c r="T578" s="31" t="s">
        <v>1253</v>
      </c>
      <c r="U578" s="31" t="s">
        <v>58</v>
      </c>
      <c r="V578" s="32">
        <v>45287.0</v>
      </c>
      <c r="X578" s="31" t="str">
        <f>IFERROR(__xludf.DUMMYFUNCTION("""COMPUTED_VALUE"""),"Five pathways into one profession: Fifty years of debate on differentiated nursing practice.")</f>
        <v>Five pathways into one profession: Fifty years of debate on differentiated nursing practice.</v>
      </c>
      <c r="Y578" s="31" t="str">
        <f>IFERROR(__xludf.DUMMYFUNCTION("""COMPUTED_VALUE"""),"Schalkwijk, Hugo; Felder, Martijn; Lalleman, Pieterbas; Parry, Manon S; Schoonhoven, Lisette; Wallenburg, Iris")</f>
        <v>Schalkwijk, Hugo; Felder, Martijn; Lalleman, Pieterbas; Parry, Manon S; Schoonhoven, Lisette; Wallenburg, Iris</v>
      </c>
      <c r="Z578" s="31">
        <f>IFERROR(__xludf.DUMMYFUNCTION("""COMPUTED_VALUE"""),2024.0)</f>
        <v>2024</v>
      </c>
      <c r="AA578" s="31">
        <f>IFERROR(__xludf.DUMMYFUNCTION("""COMPUTED_VALUE"""),0.0)</f>
        <v>0</v>
      </c>
      <c r="AF578" s="31" t="str">
        <f>IFERROR(__xludf.DUMMYFUNCTION("""COMPUTED_VALUE"""),"A duty to recontact in genetics: context matters.")</f>
        <v>A duty to recontact in genetics: context matters.</v>
      </c>
      <c r="AG578" s="31" t="str">
        <f>IFERROR(__xludf.DUMMYFUNCTION("""COMPUTED_VALUE"""),"Giesbertz, Noor A A; van Harten, Wim H; Bredenoord, Annelien L")</f>
        <v>Giesbertz, Noor A A; van Harten, Wim H; Bredenoord, Annelien L</v>
      </c>
      <c r="AH578" s="32">
        <f>IFERROR(__xludf.DUMMYFUNCTION("""COMPUTED_VALUE"""),43647.0)</f>
        <v>43647</v>
      </c>
      <c r="AL578" s="31" t="str">
        <f>IFERROR(__xludf.DUMMYFUNCTION("""COMPUTED_VALUE"""),"Chronic kidney disease and bleeding risk in patients at high cardiovascular risk: a cohort study.")</f>
        <v>Chronic kidney disease and bleeding risk in patients at high cardiovascular risk: a cohort study.</v>
      </c>
      <c r="AM578" s="31" t="str">
        <f>IFERROR(__xludf.DUMMYFUNCTION("""COMPUTED_VALUE"""),"Ocak, G; Rookmaaker, M B; Algra, A; de Borst, G J; Doevendans, P A; Kappelle, L J; Verhaar, M C; Visseren, F L; ,")</f>
        <v>Ocak, G; Rookmaaker, M B; Algra, A; de Borst, G J; Doevendans, P A; Kappelle, L J; Verhaar, M C; Visseren, F L; ,</v>
      </c>
      <c r="AN578" s="32">
        <f>IFERROR(__xludf.DUMMYFUNCTION("""COMPUTED_VALUE"""),43089.0)</f>
        <v>43089</v>
      </c>
    </row>
    <row r="579">
      <c r="A579" s="32"/>
      <c r="I579" s="31" t="str">
        <f>IFERROR(__xludf.DUMMYFUNCTION("""COMPUTED_VALUE"""),"journal of medical economics")</f>
        <v>journal of medical economics</v>
      </c>
      <c r="J579" s="38">
        <f>COUNTIF(Data!$F$2:$F9917, $I579)</f>
        <v>1</v>
      </c>
      <c r="T579" s="31" t="s">
        <v>1255</v>
      </c>
      <c r="U579" s="31" t="s">
        <v>1256</v>
      </c>
      <c r="V579" s="32">
        <v>45286.0</v>
      </c>
      <c r="X579" s="31" t="str">
        <f>IFERROR(__xludf.DUMMYFUNCTION("""COMPUTED_VALUE"""),"Depressive Symptoms and Plasma Markers of Alzheimer's Disease and Neurodegeneration: A Coordinated Meta-Analysis of 8 Cohort Studies.")</f>
        <v>Depressive Symptoms and Plasma Markers of Alzheimer's Disease and Neurodegeneration: A Coordinated Meta-Analysis of 8 Cohort Studies.</v>
      </c>
      <c r="Y579" s="31" t="str">
        <f>IFERROR(__xludf.DUMMYFUNCTION("""COMPUTED_VALUE"""),"Twait, Emma L; Kamarioti, Maria; Verberk, Inge M W; Teunissen, Charlotte E; Nooyens, Astrid C J; Monique Verschuren, W M; Visser, Pieter Jelle; Huisman, Martijn; Kok, Almar A L; Eline Slagboom, P; Beekman, Marian; Vojinovic, Dina; Lakenberg, Nico; Arfan I"&amp;"kram, M; Schuurmans, Isabel K; Wolters, Frank J; Moonen, Justine E F; Gerritsen, Lotte; van der Flier, Wiesje M; Geerlings, Mirjam I; ,")</f>
        <v>Twait, Emma L; Kamarioti, Maria; Verberk, Inge M W; Teunissen, Charlotte E; Nooyens, Astrid C J; Monique Verschuren, W M; Visser, Pieter Jelle; Huisman, Martijn; Kok, Almar A L; Eline Slagboom, P; Beekman, Marian; Vojinovic, Dina; Lakenberg, Nico; Arfan Ikram, M; Schuurmans, Isabel K; Wolters, Frank J; Moonen, Justine E F; Gerritsen, Lotte; van der Flier, Wiesje M; Geerlings, Mirjam I; ,</v>
      </c>
      <c r="Z579" s="31">
        <f>IFERROR(__xludf.DUMMYFUNCTION("""COMPUTED_VALUE"""),2024.0)</f>
        <v>2024</v>
      </c>
      <c r="AA579" s="31">
        <f>IFERROR(__xludf.DUMMYFUNCTION("""COMPUTED_VALUE"""),0.0)</f>
        <v>0</v>
      </c>
      <c r="AF579" s="31" t="str">
        <f>IFERROR(__xludf.DUMMYFUNCTION("""COMPUTED_VALUE"""),"Pre-pregnancy parental BMI and offspring blood pressure in infancy.")</f>
        <v>Pre-pregnancy parental BMI and offspring blood pressure in infancy.</v>
      </c>
      <c r="AG579" s="31" t="str">
        <f>IFERROR(__xludf.DUMMYFUNCTION("""COMPUTED_VALUE"""),"Jansen, Maria Adriana Cornelia; Dalmeijer, Geertje W; Saldi, Siti Rf; Grobbee, Diederick E; Baharuddin, Mohammad; Uiterwaal, Cuno Spm; Idris, Nikmah S")</f>
        <v>Jansen, Maria Adriana Cornelia; Dalmeijer, Geertje W; Saldi, Siti Rf; Grobbee, Diederick E; Baharuddin, Mohammad; Uiterwaal, Cuno Spm; Idris, Nikmah S</v>
      </c>
      <c r="AH579" s="32">
        <f>IFERROR(__xludf.DUMMYFUNCTION("""COMPUTED_VALUE"""),43641.0)</f>
        <v>43641</v>
      </c>
      <c r="AL579" s="31" t="str">
        <f>IFERROR(__xludf.DUMMYFUNCTION("""COMPUTED_VALUE"""),"Exploratory efficacy endpoints in the Community-Acquired Pneumonia Immunization Trial in Adults (CAPiTA).")</f>
        <v>Exploratory efficacy endpoints in the Community-Acquired Pneumonia Immunization Trial in Adults (CAPiTA).</v>
      </c>
      <c r="AM579" s="31" t="str">
        <f>IFERROR(__xludf.DUMMYFUNCTION("""COMPUTED_VALUE"""),"Webber, Chris; Patton, Michael; Bonten, Marc J M; ,")</f>
        <v>Webber, Chris; Patton, Michael; Bonten, Marc J M; ,</v>
      </c>
      <c r="AN579" s="32">
        <f>IFERROR(__xludf.DUMMYFUNCTION("""COMPUTED_VALUE"""),43087.0)</f>
        <v>43087</v>
      </c>
    </row>
    <row r="580">
      <c r="A580" s="32"/>
      <c r="I580" s="31" t="str">
        <f>IFERROR(__xludf.DUMMYFUNCTION("""COMPUTED_VALUE"""),"frontiers in cellular and infection microbiology")</f>
        <v>frontiers in cellular and infection microbiology</v>
      </c>
      <c r="J580" s="38">
        <f>COUNTIF(Data!$F$2:$F9917, $I580)</f>
        <v>2</v>
      </c>
      <c r="T580" s="31" t="s">
        <v>1259</v>
      </c>
      <c r="U580" s="31" t="s">
        <v>1260</v>
      </c>
      <c r="V580" s="32">
        <v>45285.0</v>
      </c>
      <c r="X580" s="31" t="str">
        <f>IFERROR(__xludf.DUMMYFUNCTION("""COMPUTED_VALUE"""),"Within-episode repeat antibiotic prescriptions in patients with respiratory tract infections: A population-based cohort study.")</f>
        <v>Within-episode repeat antibiotic prescriptions in patients with respiratory tract infections: A population-based cohort study.</v>
      </c>
      <c r="Y580" s="31" t="str">
        <f>IFERROR(__xludf.DUMMYFUNCTION("""COMPUTED_VALUE"""),"Lalmohamed, Arief; Venekamp, Roderick P; Bolhuis, Albert; Souverein, Patrick C; van de Wijgert, Janneke H H M; Gulliford, Martin C; Hay, Alastair D")</f>
        <v>Lalmohamed, Arief; Venekamp, Roderick P; Bolhuis, Albert; Souverein, Patrick C; van de Wijgert, Janneke H H M; Gulliford, Martin C; Hay, Alastair D</v>
      </c>
      <c r="Z580" s="31">
        <f>IFERROR(__xludf.DUMMYFUNCTION("""COMPUTED_VALUE"""),2024.0)</f>
        <v>2024</v>
      </c>
      <c r="AA580" s="31">
        <f>IFERROR(__xludf.DUMMYFUNCTION("""COMPUTED_VALUE"""),0.0)</f>
        <v>0</v>
      </c>
      <c r="AF580" s="31" t="str">
        <f>IFERROR(__xludf.DUMMYFUNCTION("""COMPUTED_VALUE"""),"Passive data collection and use in healthcare: A systematic review of ethical issues.")</f>
        <v>Passive data collection and use in healthcare: A systematic review of ethical issues.</v>
      </c>
      <c r="AG580" s="31" t="str">
        <f>IFERROR(__xludf.DUMMYFUNCTION("""COMPUTED_VALUE"""),"Maher, Nicole A; Senders, Joeky T; Hulsbergen, Alexander F C; Lamba, Nayan; Parker, Michael; Onnela, Jukka-Pekka; Bredenoord, Annelien L; Smith, Timothy R; Broekman, Marike L D")</f>
        <v>Maher, Nicole A; Senders, Joeky T; Hulsbergen, Alexander F C; Lamba, Nayan; Parker, Michael; Onnela, Jukka-Pekka; Bredenoord, Annelien L; Smith, Timothy R; Broekman, Marike L D</v>
      </c>
      <c r="AH580" s="32">
        <f>IFERROR(__xludf.DUMMYFUNCTION("""COMPUTED_VALUE"""),43638.0)</f>
        <v>43638</v>
      </c>
      <c r="AL580" s="31" t="str">
        <f>IFERROR(__xludf.DUMMYFUNCTION("""COMPUTED_VALUE"""),"Overlapping network meta-analyses on the same topic: survey of published studies.")</f>
        <v>Overlapping network meta-analyses on the same topic: survey of published studies.</v>
      </c>
      <c r="AM580" s="31" t="str">
        <f>IFERROR(__xludf.DUMMYFUNCTION("""COMPUTED_VALUE"""),"Naudet, F; Schuit, E; Ioannidis, J P A")</f>
        <v>Naudet, F; Schuit, E; Ioannidis, J P A</v>
      </c>
      <c r="AN580" s="32">
        <f>IFERROR(__xludf.DUMMYFUNCTION("""COMPUTED_VALUE"""),43070.0)</f>
        <v>43070</v>
      </c>
    </row>
    <row r="581">
      <c r="A581" s="32"/>
      <c r="I581" s="31" t="str">
        <f>IFERROR(__xludf.DUMMYFUNCTION("""COMPUTED_VALUE"""),"current opinion in hiv and aids")</f>
        <v>current opinion in hiv and aids</v>
      </c>
      <c r="J581" s="38">
        <f>COUNTIF(Data!$F$2:$F9917, $I581)</f>
        <v>1</v>
      </c>
      <c r="T581" s="31" t="s">
        <v>1263</v>
      </c>
      <c r="U581" s="31" t="s">
        <v>1264</v>
      </c>
      <c r="V581" s="32">
        <v>45285.0</v>
      </c>
      <c r="X581" s="31" t="str">
        <f>IFERROR(__xludf.DUMMYFUNCTION("""COMPUTED_VALUE"""),"Measurement of the Centrality Dependence of the Dijet Yield in p+Pb Collisions at sqrt[s_{NN}]=8.16  TeV with the ATLAS Detector.")</f>
        <v>Measurement of the Centrality Dependence of the Dijet Yield in p+Pb Collisions at sqrt[s_{NN}]=8.16  TeV with the ATLAS Detector.</v>
      </c>
      <c r="Y581" s="31"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581" s="31">
        <f>IFERROR(__xludf.DUMMYFUNCTION("""COMPUTED_VALUE"""),2024.0)</f>
        <v>2024</v>
      </c>
      <c r="AA581" s="31">
        <f>IFERROR(__xludf.DUMMYFUNCTION("""COMPUTED_VALUE"""),0.0)</f>
        <v>0</v>
      </c>
      <c r="AF581" s="31" t="str">
        <f>IFERROR(__xludf.DUMMYFUNCTION("""COMPUTED_VALUE"""),"Antenatal exposure to second hand smoke of non-smoking mothers and growth rate of their infants.")</f>
        <v>Antenatal exposure to second hand smoke of non-smoking mothers and growth rate of their infants.</v>
      </c>
      <c r="AG581" s="31" t="str">
        <f>IFERROR(__xludf.DUMMYFUNCTION("""COMPUTED_VALUE"""),"Soesanti, Frida; Uiterwaal, Cuno S P M; Grobbee, Diederick E; Hendarto, Aryono; Dalmeijer, Geertje W; Idris, Nikmah Salamia")</f>
        <v>Soesanti, Frida; Uiterwaal, Cuno S P M; Grobbee, Diederick E; Hendarto, Aryono; Dalmeijer, Geertje W; Idris, Nikmah Salamia</v>
      </c>
      <c r="AH581" s="32">
        <f>IFERROR(__xludf.DUMMYFUNCTION("""COMPUTED_VALUE"""),43636.0)</f>
        <v>43636</v>
      </c>
      <c r="AL581" s="31" t="str">
        <f>IFERROR(__xludf.DUMMYFUNCTION("""COMPUTED_VALUE"""),"Safety of a 1-hour Rule-out High-sensitive Troponin T Protocol in Patients With Chest Pain at the Emergency Department.")</f>
        <v>Safety of a 1-hour Rule-out High-sensitive Troponin T Protocol in Patients With Chest Pain at the Emergency Department.</v>
      </c>
      <c r="AM581" s="31" t="str">
        <f>IFERROR(__xludf.DUMMYFUNCTION("""COMPUTED_VALUE"""),"Röttger, E; de Vries-Spithoven, S; Reitsma, J B; Limburg, A; van Ofwegen-Hanekamp, C E E; Hoes, A W; Poldervaart, J M")</f>
        <v>Röttger, E; de Vries-Spithoven, S; Reitsma, J B; Limburg, A; van Ofwegen-Hanekamp, C E E; Hoes, A W; Poldervaart, J M</v>
      </c>
      <c r="AN581" s="32">
        <f>IFERROR(__xludf.DUMMYFUNCTION("""COMPUTED_VALUE"""),43070.0)</f>
        <v>43070</v>
      </c>
    </row>
    <row r="582">
      <c r="A582" s="32"/>
      <c r="I582" s="31" t="str">
        <f>IFERROR(__xludf.DUMMYFUNCTION("""COMPUTED_VALUE"""),"sexually transmitted infections")</f>
        <v>sexually transmitted infections</v>
      </c>
      <c r="J582" s="38">
        <f>COUNTIF(Data!$F$2:$F9917, $I582)</f>
        <v>9</v>
      </c>
      <c r="T582" s="31" t="s">
        <v>1268</v>
      </c>
      <c r="U582" s="31" t="s">
        <v>1141</v>
      </c>
      <c r="V582" s="32">
        <v>45282.0</v>
      </c>
      <c r="X582" s="31" t="str">
        <f>IFERROR(__xludf.DUMMYFUNCTION("""COMPUTED_VALUE"""),"Lifetime and 10-year cardiovascular risk prediction in individuals with type 1 diabetes: The LIFE-T1D model.")</f>
        <v>Lifetime and 10-year cardiovascular risk prediction in individuals with type 1 diabetes: The LIFE-T1D model.</v>
      </c>
      <c r="Y582" s="31" t="str">
        <f>IFERROR(__xludf.DUMMYFUNCTION("""COMPUTED_VALUE"""),"Helmink, Marga A G; Hageman, Steven H J; Eliasson, Björn; Sattar, Naveed; Visseren, Frank L J; Dorresteijn, Jannick A N; Harris, Katie; Peters, Sanne A E; Woodward, Mark; Szentkúti, Péter; Højlund, Kurt; Henriksen, Jan Erik; Sørensen, Henrik Toft; Serné, "&amp;"Erik H; van Sloten, Thomas T; Thomsen, Reimar W; Westerink, Jan")</f>
        <v>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v>
      </c>
      <c r="Z582" s="31">
        <f>IFERROR(__xludf.DUMMYFUNCTION("""COMPUTED_VALUE"""),2024.0)</f>
        <v>2024</v>
      </c>
      <c r="AA582" s="31">
        <f>IFERROR(__xludf.DUMMYFUNCTION("""COMPUTED_VALUE"""),0.0)</f>
        <v>0</v>
      </c>
      <c r="AF582" s="31" t="str">
        <f>IFERROR(__xludf.DUMMYFUNCTION("""COMPUTED_VALUE"""),"Understanding of and perceptions towards cardiovascular diseases and their risk factors: a qualitative study among residents of urban informal settings in Nairobi.")</f>
        <v>Understanding of and perceptions towards cardiovascular diseases and their risk factors: a qualitative study among residents of urban informal settings in Nairobi.</v>
      </c>
      <c r="AG582" s="31" t="str">
        <f>IFERROR(__xludf.DUMMYFUNCTION("""COMPUTED_VALUE"""),"Wekesah, Frederick Murunga; Kyobutungi, Catherine; Grobbee, Diederick E; Klipstein-Grobusch, Kerstin")</f>
        <v>Wekesah, Frederick Murunga; Kyobutungi, Catherine; Grobbee, Diederick E; Klipstein-Grobusch, Kerstin</v>
      </c>
      <c r="AH582" s="32">
        <f>IFERROR(__xludf.DUMMYFUNCTION("""COMPUTED_VALUE"""),43632.0)</f>
        <v>43632</v>
      </c>
      <c r="AL582" s="31" t="str">
        <f>IFERROR(__xludf.DUMMYFUNCTION("""COMPUTED_VALUE"""),"Detecting small-study effects and funnel plot asymmetry in meta-analysis of survival data: A comparison of new and existing tests.")</f>
        <v>Detecting small-study effects and funnel plot asymmetry in meta-analysis of survival data: A comparison of new and existing tests.</v>
      </c>
      <c r="AM582" s="31" t="str">
        <f>IFERROR(__xludf.DUMMYFUNCTION("""COMPUTED_VALUE"""),"Debray, Thomas P A; Moons, Karel G M; Riley, Richard D")</f>
        <v>Debray, Thomas P A; Moons, Karel G M; Riley, Richard D</v>
      </c>
      <c r="AN582" s="32">
        <f>IFERROR(__xludf.DUMMYFUNCTION("""COMPUTED_VALUE"""),43067.0)</f>
        <v>43067</v>
      </c>
    </row>
    <row r="583">
      <c r="A583" s="32"/>
      <c r="I583" s="31" t="str">
        <f>IFERROR(__xludf.DUMMYFUNCTION("""COMPUTED_VALUE"""),"annals of surgery open perspectives of surgical history education and clinical approaches")</f>
        <v>annals of surgery open perspectives of surgical history education and clinical approaches</v>
      </c>
      <c r="J583" s="38">
        <f>COUNTIF(Data!$F$2:$F9917, $I583)</f>
        <v>2</v>
      </c>
      <c r="T583" s="31" t="s">
        <v>1271</v>
      </c>
      <c r="U583" s="31" t="s">
        <v>1272</v>
      </c>
      <c r="V583" s="32">
        <v>45282.0</v>
      </c>
      <c r="X583" s="31" t="str">
        <f>IFERROR(__xludf.DUMMYFUNCTION("""COMPUTED_VALUE"""),"Frequency and timing of adverse reactions to COVID-19 vaccines; A multi-country cohort event monitoring study.")</f>
        <v>Frequency and timing of adverse reactions to COVID-19 vaccines; A multi-country cohort event monitoring study.</v>
      </c>
      <c r="Y583" s="31" t="str">
        <f>IFERROR(__xludf.DUMMYFUNCTION("""COMPUTED_VALUE"""),"Raethke, Monika; van Hunsel, Florence; Luxi, Nicoletta; Lieber, Thomas; Bellitto, Chiara; Mulder, Erik; Ciccimarra, Francesco; Riefolo, Fabio; Thurin, Nicolas H; Roy, Debabrata; Morton, Kathryn; Villalobos, Felipe; Batel Marques, Francisco; Farcas, Andree"&amp;"a; Sonderlichová, Simona; Belitser, Svetlana; Klungel, Olaf; Trifirò, Gianluca; Sturkenboom, Miriam C")</f>
        <v>Raethke, Monika; van Hunsel, Florence; Luxi, Nicoletta; Lieber, Thomas; Bellitto, Chiara; Mulder, Erik; Ciccimarra, Francesco; Riefolo, Fabio; Thurin, Nicolas H; Roy, Debabrata; Morton, Kathryn; Villalobos, Felipe; Batel Marques, Francisco; Farcas, Andreea; Sonderlichová, Simona; Belitser, Svetlana; Klungel, Olaf; Trifirò, Gianluca; Sturkenboom, Miriam C</v>
      </c>
      <c r="Z583" s="31">
        <f>IFERROR(__xludf.DUMMYFUNCTION("""COMPUTED_VALUE"""),2024.0)</f>
        <v>2024</v>
      </c>
      <c r="AA583" s="31">
        <f>IFERROR(__xludf.DUMMYFUNCTION("""COMPUTED_VALUE"""),0.0)</f>
        <v>0</v>
      </c>
      <c r="AF583" s="31" t="str">
        <f>IFERROR(__xludf.DUMMYFUNCTION("""COMPUTED_VALUE"""),"Exploring causality of the association between smoking and Parkinson's disease.")</f>
        <v>Exploring causality of the association between smoking and Parkinson's disease.</v>
      </c>
      <c r="AG583" s="31" t="str">
        <f>IFERROR(__xludf.DUMMYFUNCTION("""COMPUTED_VALUE"""),"Gallo, Valentina; Vineis, Paolo; Cancellieri, Mariagrazia; Chiodini, Paolo; Barker, Roger A; Brayne, Carol; Pearce, Neil; Vermeulen, Roel; Panico, Salvatore; Bueno-de-Mesquita, Bas; Vanacore, Nicola; Forsgren, Lars; Ramat, Silvia; Ardanaz, Eva; Arriola, L"&amp;"arraitz; Peterson, Jesper; Hansson, Oskar; Gavrila, Diana; Sacerdote, Carlotta; Sieri, Sabina; Kühn, Tilman; Katzke, Verena A; van der Schouw, Yvonne T; Kyrozis, Andreas; Masala, Giovanna; Mattiello, Amalia; Perneczky, Robert; Middleton, Lefkos; Saracci, "&amp;"Rodolfo; Riboli, Elio")</f>
        <v>Gallo, Valentina; Vineis, Paolo; Cancellieri, Mariagrazia; Chiodini, Paolo; Barker, Roger A; Brayne, Carol; Pearce, Neil; Vermeulen, Roel; Panico, Salvatore; Bueno-de-Mesquita, Bas; Vanacore, Nicola; Forsgren, Lars; Ramat, Silvia; Ardanaz, Eva; Arriola, Larraitz; Peterson, Jesper; Hansson, Oskar; Gavrila, Diana; Sacerdote, Carlotta; Sieri, Sabina; Kühn, Tilman; Katzke, Verena A; van der Schouw, Yvonne T; Kyrozis, Andreas; Masala, Giovanna; Mattiello, Amalia; Perneczky, Robert; Middleton, Lefkos; Saracci, Rodolfo; Riboli, Elio</v>
      </c>
      <c r="AH583" s="32">
        <f>IFERROR(__xludf.DUMMYFUNCTION("""COMPUTED_VALUE"""),43617.0)</f>
        <v>43617</v>
      </c>
      <c r="AL583" s="31" t="str">
        <f>IFERROR(__xludf.DUMMYFUNCTION("""COMPUTED_VALUE"""),"Influence of breast compression pressure on the performance of population-based mammography screening.")</f>
        <v>Influence of breast compression pressure on the performance of population-based mammography screening.</v>
      </c>
      <c r="AM583" s="31" t="str">
        <f>IFERROR(__xludf.DUMMYFUNCTION("""COMPUTED_VALUE"""),"Holland, Katharina; Sechopoulos, Ioannis; Mann, Ritse M; den Heeten, Gerard J; van Gils, Carla H; Karssemeijer, Nico")</f>
        <v>Holland, Katharina; Sechopoulos, Ioannis; Mann, Ritse M; den Heeten, Gerard J; van Gils, Carla H; Karssemeijer, Nico</v>
      </c>
      <c r="AN583" s="32">
        <f>IFERROR(__xludf.DUMMYFUNCTION("""COMPUTED_VALUE"""),43067.0)</f>
        <v>43067</v>
      </c>
    </row>
    <row r="584">
      <c r="A584" s="32"/>
      <c r="I584" s="31" t="str">
        <f>IFERROR(__xludf.DUMMYFUNCTION("""COMPUTED_VALUE"""),"the british journal of nutrition")</f>
        <v>the british journal of nutrition</v>
      </c>
      <c r="J584" s="38">
        <f>COUNTIF(Data!$F$2:$F9917, $I584)</f>
        <v>10</v>
      </c>
      <c r="T584" s="31" t="s">
        <v>1275</v>
      </c>
      <c r="U584" s="31" t="s">
        <v>1276</v>
      </c>
      <c r="V584" s="32">
        <v>45282.0</v>
      </c>
      <c r="X584" s="31" t="str">
        <f>IFERROR(__xludf.DUMMYFUNCTION("""COMPUTED_VALUE"""),"Sex-specific differences in physiological parameters related to SARS-CoV-2 infections among a national cohort (COVI-GAPP study).")</f>
        <v>Sex-specific differences in physiological parameters related to SARS-CoV-2 infections among a national cohort (COVI-GAPP study).</v>
      </c>
      <c r="Y584" s="31" t="str">
        <f>IFERROR(__xludf.DUMMYFUNCTION("""COMPUTED_VALUE"""),"Grossmann, Kirsten; Risch, Martin; Markovic, Andjela; Aeschbacher, Stefanie; Weideli, Ornella C; Velez, Laura; Kovac, Marc; Pereira, Fiona; Wohlwend, Nadia; Risch, Corina; Hillmann, Dorothea; Lung, Thomas; Renz, Harald; Twerenbold, Raphael; Rothenbühler, "&amp;"Martina; Leibovitz, Daniel; Kovacevic, Vladimir; Klaver, Paul; Brakenhoff, Timo B; Franks, Billy; Mitratza, Marianna; Downward, George S; Dowling, Ariel; Montes, Santiago; Veen, Duco; Grobbee, Diederick E; Cronin, Maureen; Conen, David; Goodale, Brianna M"&amp;"; Risch, Lorenz; ,")</f>
        <v>Grossmann, Kirsten; Risch, Martin; Markovic, Andjela; Aeschbacher, Stefanie; Weideli, Ornella C; Velez, Laura; Kovac, Marc; Pereira, Fiona; Wohlwend, Nadia; Risch, Corina; Hillmann, Dorothea; Lung, Thomas; Renz, Harald; Twerenbold, Raphael; Rothenbühler, Martina; Leibovitz, Daniel; Kovacevic, Vladimir; Klaver, Paul; Brakenhoff, Timo B; Franks, Billy; Mitratza, Marianna; Downward, George S; Dowling, Ariel; Montes, Santiago; Veen, Duco; Grobbee, Diederick E; Cronin, Maureen; Conen, David; Goodale, Brianna M; Risch, Lorenz; ,</v>
      </c>
      <c r="Z584" s="31">
        <f>IFERROR(__xludf.DUMMYFUNCTION("""COMPUTED_VALUE"""),2024.0)</f>
        <v>2024</v>
      </c>
      <c r="AA584" s="31">
        <f>IFERROR(__xludf.DUMMYFUNCTION("""COMPUTED_VALUE"""),0.0)</f>
        <v>0</v>
      </c>
      <c r="AF584" s="31" t="str">
        <f>IFERROR(__xludf.DUMMYFUNCTION("""COMPUTED_VALUE"""),"Sex-Based Differences in Heart Failure Across the Ejection Fraction Spectrum: Phenotyping, and Prognostic and Therapeutic Implications.")</f>
        <v>Sex-Based Differences in Heart Failure Across the Ejection Fraction Spectrum: Phenotyping, and Prognostic and Therapeutic Implications.</v>
      </c>
      <c r="AG584" s="31" t="str">
        <f>IFERROR(__xludf.DUMMYFUNCTION("""COMPUTED_VALUE"""),"Stolfo, Davide; Uijl, Alicia; Vedin, Ola; Strömberg, Anna; Faxén, Ulrika Ljung; Rosano, Giuseppe M C; Sinagra, Gianfranco; Dahlström, Ulf; Savarese, Gianluigi")</f>
        <v>Stolfo, Davide; Uijl, Alicia; Vedin, Ola; Strömberg, Anna; Faxén, Ulrika Ljung; Rosano, Giuseppe M C; Sinagra, Gianfranco; Dahlström, Ulf; Savarese, Gianluigi</v>
      </c>
      <c r="AH584" s="32">
        <f>IFERROR(__xludf.DUMMYFUNCTION("""COMPUTED_VALUE"""),43617.0)</f>
        <v>43617</v>
      </c>
      <c r="AL584" s="31" t="str">
        <f>IFERROR(__xludf.DUMMYFUNCTION("""COMPUTED_VALUE"""),"A comprehensive analysis of polymorphic variants in steroid hormone and insulin-like growth factor-1 metabolism and risk of in situ breast cancer: Results from the Breast and Prostate Cancer Cohort Consortium.")</f>
        <v>A comprehensive analysis of polymorphic variants in steroid hormone and insulin-like growth factor-1 metabolism and risk of in situ breast cancer: Results from the Breast and Prostate Cancer Cohort Consortium.</v>
      </c>
      <c r="AM584" s="31" t="str">
        <f>IFERROR(__xludf.DUMMYFUNCTION("""COMPUTED_VALUE"""),"Barrdahl, Myrto; Canzian, Federico; Gaudet, Mia M; Gapstur, Susan M; Trichopoulou, Antonia; Tsilidis, Kostas; van Gils, Carla H; Borgquist, Signe; Weiderpass, Elisabete; Khaw, Kay-Tee; Giles, Graham G; Milne, Roger L; Le Marchand, Loic; Haiman, Christophe"&amp;"r; Lindström, Sara; Kraft, Peter; Hunter, David J; Ziegler, Regina; Chanock, Stephen J; Yang, Xiaohong R; Buring, Julie E; Lee, I-Min; Kaaks, Rudolf; Campa, Daniele")</f>
        <v>Barrdahl, Myrto; Canzian, Federico; Gaudet, Mia M; Gapstur, Susan M; Trichopoulou, Antonia; Tsilidis, Kostas; van Gils, Carla H; Borgquist, Signe; Weiderpass, Elisabete; Khaw, Kay-Tee; Giles, Graham G; Milne, Roger L; Le Marchand, Loic; Haiman, Christopher; Lindström, Sara; Kraft, Peter; Hunter, David J; Ziegler, Regina; Chanock, Stephen J; Yang, Xiaohong R; Buring, Julie E; Lee, I-Min; Kaaks, Rudolf; Campa, Daniele</v>
      </c>
      <c r="AN584" s="32">
        <f>IFERROR(__xludf.DUMMYFUNCTION("""COMPUTED_VALUE"""),43056.0)</f>
        <v>43056</v>
      </c>
    </row>
    <row r="585">
      <c r="A585" s="32"/>
      <c r="I585" s="31" t="str">
        <f>IFERROR(__xludf.DUMMYFUNCTION("""COMPUTED_VALUE"""),"bmc medical imaging")</f>
        <v>bmc medical imaging</v>
      </c>
      <c r="J585" s="38">
        <f>COUNTIF(Data!$F$2:$F9917, $I585)</f>
        <v>2</v>
      </c>
      <c r="T585" s="31" t="s">
        <v>1280</v>
      </c>
      <c r="U585" s="31" t="s">
        <v>1281</v>
      </c>
      <c r="V585" s="32">
        <v>45279.0</v>
      </c>
      <c r="X585" s="31" t="str">
        <f>IFERROR(__xludf.DUMMYFUNCTION("""COMPUTED_VALUE"""),"Survival trends among people living with human immunodeficiency virus on antiretroviral treatment in two rural districts in Ghana.")</f>
        <v>Survival trends among people living with human immunodeficiency virus on antiretroviral treatment in two rural districts in Ghana.</v>
      </c>
      <c r="Y585" s="31" t="str">
        <f>IFERROR(__xludf.DUMMYFUNCTION("""COMPUTED_VALUE"""),"Sackeya, Eugene; Beru, Martin Muonibe; Angmortey, Richard Nomo; Opoku, Douglas Aninng; Boakye, Kingsley; Baatira, Musah; Yakubu, Mohammed Sheriff; Mohammed, Aliyu; Ayisi-Boateng, Nana Kwame; Boateng, Daniel; Nakua, Emmanuel Kweku; Edusei, Anthony Kweku")</f>
        <v>Sackeya, Eugene; Beru, Martin Muonibe; Angmortey, Richard Nomo; Opoku, Douglas Aninng; Boakye, Kingsley; Baatira, Musah; Yakubu, Mohammed Sheriff; Mohammed, Aliyu; Ayisi-Boateng, Nana Kwame; Boateng, Daniel; Nakua, Emmanuel Kweku; Edusei, Anthony Kweku</v>
      </c>
      <c r="Z585" s="31">
        <f>IFERROR(__xludf.DUMMYFUNCTION("""COMPUTED_VALUE"""),2024.0)</f>
        <v>2024</v>
      </c>
      <c r="AA585" s="31">
        <f>IFERROR(__xludf.DUMMYFUNCTION("""COMPUTED_VALUE"""),0.0)</f>
        <v>0</v>
      </c>
      <c r="AF585" s="31" t="str">
        <f>IFERROR(__xludf.DUMMYFUNCTION("""COMPUTED_VALUE"""),"[The option of non-treatment as part of end-of-life care].")</f>
        <v>[The option of non-treatment as part of end-of-life care].</v>
      </c>
      <c r="AG585" s="31" t="str">
        <f>IFERROR(__xludf.DUMMYFUNCTION("""COMPUTED_VALUE"""),"Hendriksen, Geeske; van Delden, J J M")</f>
        <v>Hendriksen, Geeske; van Delden, J J M</v>
      </c>
      <c r="AH585" s="32">
        <f>IFERROR(__xludf.DUMMYFUNCTION("""COMPUTED_VALUE"""),43616.0)</f>
        <v>43616</v>
      </c>
      <c r="AL585" s="31" t="str">
        <f>IFERROR(__xludf.DUMMYFUNCTION("""COMPUTED_VALUE"""),"Hypertension: Device therapy for uncontrolled hypertension: new approaches to an old problem.")</f>
        <v>Hypertension: Device therapy for uncontrolled hypertension: new approaches to an old problem.</v>
      </c>
      <c r="AM585" s="31" t="str">
        <f>IFERROR(__xludf.DUMMYFUNCTION("""COMPUTED_VALUE"""),"Blankestijn, Peter J; Bots, Michiel L")</f>
        <v>Blankestijn, Peter J; Bots, Michiel L</v>
      </c>
      <c r="AN585" s="32">
        <f>IFERROR(__xludf.DUMMYFUNCTION("""COMPUTED_VALUE"""),43054.0)</f>
        <v>43054</v>
      </c>
    </row>
    <row r="586">
      <c r="A586" s="32"/>
      <c r="I586" s="31" t="str">
        <f>IFERROR(__xludf.DUMMYFUNCTION("""COMPUTED_VALUE"""),"anatomical sciences education")</f>
        <v>anatomical sciences education</v>
      </c>
      <c r="J586" s="38">
        <f>COUNTIF(Data!$F$2:$F9917, $I586)</f>
        <v>1</v>
      </c>
      <c r="T586" s="31" t="s">
        <v>1285</v>
      </c>
      <c r="U586" s="31" t="s">
        <v>1286</v>
      </c>
      <c r="V586" s="32">
        <v>45278.0</v>
      </c>
      <c r="X586" s="31" t="str">
        <f>IFERROR(__xludf.DUMMYFUNCTION("""COMPUTED_VALUE"""),"A reference standard for urinary tract infection research: a multidisciplinary Delphi consensus study.")</f>
        <v>A reference standard for urinary tract infection research: a multidisciplinary Delphi consensus study.</v>
      </c>
      <c r="Y586" s="31" t="str">
        <f>IFERROR(__xludf.DUMMYFUNCTION("""COMPUTED_VALUE"""),"Bilsen, Manu P; Conroy, Simon P; Schneeberger, Caroline; Platteel, Tamara N; van Nieuwkoop, Cees; Mody, Lona; Caterino, Jeffrey M; Geerlings, Suzanne E; Köves, Bela; Wagenlehner, Florian; Kunneman, Marleen; Visser, Leo G; Lambregts, Merel M C; ,")</f>
        <v>Bilsen, Manu P; Conroy, Simon P; Schneeberger, Caroline; Platteel, Tamara N; van Nieuwkoop, Cees; Mody, Lona; Caterino, Jeffrey M; Geerlings, Suzanne E; Köves, Bela; Wagenlehner, Florian; Kunneman, Marleen; Visser, Leo G; Lambregts, Merel M C; ,</v>
      </c>
      <c r="Z586" s="31">
        <f>IFERROR(__xludf.DUMMYFUNCTION("""COMPUTED_VALUE"""),2024.0)</f>
        <v>2024</v>
      </c>
      <c r="AA586" s="31">
        <f>IFERROR(__xludf.DUMMYFUNCTION("""COMPUTED_VALUE"""),0.0)</f>
        <v>0</v>
      </c>
      <c r="AF586" s="31" t="str">
        <f>IFERROR(__xludf.DUMMYFUNCTION("""COMPUTED_VALUE"""),"Cross-sectional study of association between socioeconomic indicators and chronic kidney disease in rural-urban Ghana: the RODAM study.")</f>
        <v>Cross-sectional study of association between socioeconomic indicators and chronic kidney disease in rural-urban Ghana: the RODAM study.</v>
      </c>
      <c r="AG586" s="31" t="str">
        <f>IFERROR(__xludf.DUMMYFUNCTION("""COMPUTED_VALUE"""),"Adjei, David N; Stronks, Karien; Adu, Dwomoa; Beune, Erik; Meeks, Karlijn; Smeeth, Liam; Addo, Juliet; Owusu-Dabo, Ellis; Klipstein-Grobusch, Kerstin; Mockenhaupt, Frank P; Danquah, Ina; Spranger, Joachim; Bahendeka, Silver; De-Graft Aikins, Ama; Agyemang"&amp;", Charles")</f>
        <v>Adjei, David N; Stronks, Karien; Adu, Dwomoa; Beune, Erik; Meeks, Karlijn; Smeeth, Liam; Addo, Juliet; Owusu-Dabo, Ellis; Klipstein-Grobusch, Kerstin; Mockenhaupt, Frank P; Danquah, Ina; Spranger, Joachim; Bahendeka, Silver; De-Graft Aikins, Ama; Agyemang, Charles</v>
      </c>
      <c r="AH586" s="32">
        <f>IFERROR(__xludf.DUMMYFUNCTION("""COMPUTED_VALUE"""),43609.0)</f>
        <v>43609</v>
      </c>
      <c r="AL586" s="31" t="str">
        <f>IFERROR(__xludf.DUMMYFUNCTION("""COMPUTED_VALUE"""),"Long-term health-related quality of life after pancreatic resection for malignancy in patients with and without severe postoperative complications.")</f>
        <v>Long-term health-related quality of life after pancreatic resection for malignancy in patients with and without severe postoperative complications.</v>
      </c>
      <c r="AM586" s="31" t="str">
        <f>IFERROR(__xludf.DUMMYFUNCTION("""COMPUTED_VALUE"""),"Heerkens, Hanne D; van Berkel, Lisanne; Tseng, Dorine S J; Monninkhof, Evelyn M; van Santvoort, Hjalmar C; Hagendoorn, Jeroen; Borel Rinkes, Inne H M; Lips, Irene M; Intven, Martijn; Molenaar, I Quintus")</f>
        <v>Heerkens, Hanne D; van Berkel, Lisanne; Tseng, Dorine S J; Monninkhof, Evelyn M; van Santvoort, Hjalmar C; Hagendoorn, Jeroen; Borel Rinkes, Inne H M; Lips, Irene M; Intven, Martijn; Molenaar, I Quintus</v>
      </c>
      <c r="AN586" s="32">
        <f>IFERROR(__xludf.DUMMYFUNCTION("""COMPUTED_VALUE"""),43037.0)</f>
        <v>43037</v>
      </c>
    </row>
    <row r="587">
      <c r="A587" s="32"/>
      <c r="I587" s="31" t="str">
        <f>IFERROR(__xludf.DUMMYFUNCTION("""COMPUTED_VALUE"""),"cellular oncology dordrecht")</f>
        <v>cellular oncology dordrecht</v>
      </c>
      <c r="J587" s="38">
        <f>COUNTIF(Data!$F$2:$F9917, $I587)</f>
        <v>1</v>
      </c>
      <c r="T587" s="31" t="s">
        <v>1289</v>
      </c>
      <c r="U587" s="31" t="s">
        <v>1290</v>
      </c>
      <c r="V587" s="32">
        <v>45278.0</v>
      </c>
      <c r="X587" s="31" t="str">
        <f>IFERROR(__xludf.DUMMYFUNCTION("""COMPUTED_VALUE"""),"Nature-versus-nurture considered harmful: Actionability as an alternative tool for understanding the exposome from an ethical perspective.")</f>
        <v>Nature-versus-nurture considered harmful: Actionability as an alternative tool for understanding the exposome from an ethical perspective.</v>
      </c>
      <c r="Y587" s="31" t="str">
        <f>IFERROR(__xludf.DUMMYFUNCTION("""COMPUTED_VALUE"""),"Safarlou, Caspar W; Bredenoord, Annelien L; Vermeulen, Roel; Jongsma, Karin R")</f>
        <v>Safarlou, Caspar W; Bredenoord, Annelien L; Vermeulen, Roel; Jongsma, Karin R</v>
      </c>
      <c r="Z587" s="31">
        <f>IFERROR(__xludf.DUMMYFUNCTION("""COMPUTED_VALUE"""),2024.0)</f>
        <v>2024</v>
      </c>
      <c r="AA587" s="31">
        <f>IFERROR(__xludf.DUMMYFUNCTION("""COMPUTED_VALUE"""),0.0)</f>
        <v>0</v>
      </c>
      <c r="AF587" s="31" t="str">
        <f>IFERROR(__xludf.DUMMYFUNCTION("""COMPUTED_VALUE"""),"Using Mobile Health to Support Clinical Decision-Making to Improve Maternal and Neonatal Health Outcomes in Ghana: Insights of Frontline Health Worker Information Needs.")</f>
        <v>Using Mobile Health to Support Clinical Decision-Making to Improve Maternal and Neonatal Health Outcomes in Ghana: Insights of Frontline Health Worker Information Needs.</v>
      </c>
      <c r="AG587" s="31" t="str">
        <f>IFERROR(__xludf.DUMMYFUNCTION("""COMPUTED_VALUE"""),"Amoakoh, Hannah Brown; Klipstein-Grobusch, Kerstin; Grobbee, Diederick E; Amoakoh-Coleman, Mary; Oduro-Mensah, Ebenezer; Sarpong, Charity; Frimpong, Edith; Kayode, Gbenga A; Agyepong, Irene Akua; Ansah, Evelyn K")</f>
        <v>Amoakoh, Hannah Brown; Klipstein-Grobusch, Kerstin; Grobbee, Diederick E; Amoakoh-Coleman, Mary; Oduro-Mensah, Ebenezer; Sarpong, Charity; Frimpong, Edith; Kayode, Gbenga A; Agyepong, Irene Akua; Ansah, Evelyn K</v>
      </c>
      <c r="AH587" s="32">
        <f>IFERROR(__xludf.DUMMYFUNCTION("""COMPUTED_VALUE"""),43609.0)</f>
        <v>43609</v>
      </c>
      <c r="AL587" s="31" t="str">
        <f>IFERROR(__xludf.DUMMYFUNCTION("""COMPUTED_VALUE"""),"Is the coronary artery calcium score associated with acute coronary events in breast cancer patients treated with radiotherapy?")</f>
        <v>Is the coronary artery calcium score associated with acute coronary events in breast cancer patients treated with radiotherapy?</v>
      </c>
      <c r="AM587" s="31" t="str">
        <f>IFERROR(__xludf.DUMMYFUNCTION("""COMPUTED_VALUE"""),"Roos, Catharina T G; van den Bogaard, Veerle A B; Greuter, Marcel J W; Vliegenthart, Rozemarijn; Schuit, Ewoud; Langendijk, Johannes A; van der Schaaf, Arjen; Crijns, Anne P G; Maduro, John H")</f>
        <v>Roos, Catharina T G; van den Bogaard, Veerle A B; Greuter, Marcel J W; Vliegenthart, Rozemarijn; Schuit, Ewoud; Langendijk, Johannes A; van der Schaaf, Arjen; Crijns, Anne P G; Maduro, John H</v>
      </c>
      <c r="AN587" s="32">
        <f>IFERROR(__xludf.DUMMYFUNCTION("""COMPUTED_VALUE"""),43036.0)</f>
        <v>43036</v>
      </c>
    </row>
    <row r="588">
      <c r="A588" s="32"/>
      <c r="I588" s="31" t="str">
        <f>IFERROR(__xludf.DUMMYFUNCTION("""COMPUTED_VALUE"""),"journal of pain and symptom management")</f>
        <v>journal of pain and symptom management</v>
      </c>
      <c r="J588" s="38">
        <f>COUNTIF(Data!$F$2:$F9917, $I588)</f>
        <v>10</v>
      </c>
      <c r="T588" s="31" t="s">
        <v>1293</v>
      </c>
      <c r="U588" s="31" t="s">
        <v>1294</v>
      </c>
      <c r="V588" s="32">
        <v>45276.0</v>
      </c>
      <c r="X588" s="31" t="str">
        <f>IFERROR(__xludf.DUMMYFUNCTION("""COMPUTED_VALUE"""),"The role of a community health worker-delivered preconception and pregnancy intervention in achieving a more positive pregnancy experience: the Bukhali trial in Soweto, South Africa.")</f>
        <v>The role of a community health worker-delivered preconception and pregnancy intervention in achieving a more positive pregnancy experience: the Bukhali trial in Soweto, South Africa.</v>
      </c>
      <c r="Y588" s="31" t="str">
        <f>IFERROR(__xludf.DUMMYFUNCTION("""COMPUTED_VALUE"""),"Soepnel, Larske M; Mabetha, Khuthala; Norris, Shane A; Motlhatlhedi, Molebogeng; Nkosi, Nokuthula; Klingberg, Sonja; Lye, Stephen; Draper, Catherine E")</f>
        <v>Soepnel, Larske M; Mabetha, Khuthala; Norris, Shane A; Motlhatlhedi, Molebogeng; Nkosi, Nokuthula; Klingberg, Sonja; Lye, Stephen; Draper, Catherine E</v>
      </c>
      <c r="Z588" s="31">
        <f>IFERROR(__xludf.DUMMYFUNCTION("""COMPUTED_VALUE"""),2024.0)</f>
        <v>2024</v>
      </c>
      <c r="AA588" s="31">
        <f>IFERROR(__xludf.DUMMYFUNCTION("""COMPUTED_VALUE"""),0.0)</f>
        <v>0</v>
      </c>
      <c r="AF588" s="31" t="str">
        <f>IFERROR(__xludf.DUMMYFUNCTION("""COMPUTED_VALUE"""),"Anthropometric and reproductive factors and risk of esophageal and gastric cancer by subtype and subsite: Results from the European Prospective Investigation into Cancer and Nutrition (EPIC) cohort.")</f>
        <v>Anthropometric and reproductive factors and risk of esophageal and gastric cancer by subtype and subsite: Results from the European Prospective Investigation into Cancer and Nutrition (EPIC) cohort.</v>
      </c>
      <c r="AG588" s="31" t="str">
        <f>IFERROR(__xludf.DUMMYFUNCTION("""COMPUTED_VALUE"""),"Sanikini, Harinakshi; Muller, David C; Sophiea, Marisa; Rinaldi, Sabina; Agudo, Antonio; Duell, Eric J; Weiderpass, Elisabete; Overvad, Kim; Tjønneland, Anne; Halkjaer, Jytte; Boutron-Ruault, Marie-Christine; Carbonnel, Franck; Cervenka, Iris; Boeing, Hei"&amp;"ner; Kaaks, Rudolf; Kühn, Tilman; Trichopoulou, Antonia; Martimianaki, Georgia; Karakatsani, Anna; Pala, Valeria; Palli, Domenico; Mattiello, Amalia; Tumino, Rosario; Sacerdote, Carlotta; Skeie, Guri; Rylander, Charlotta; Chirlaque López, María-Dolores; S"&amp;"ánchez, Maria-Jose; Ardanaz, Eva; Regnér, Sara; Stocks, Tanja; Bueno-de-Mesquita, Bas; Vermeulen, Roel C H; Aune, Dagfinn; Tong, Tammy Y N; Kliemann, Nathalie; Murphy, Neil; Chadeau-Hyam, Marc; Gunter, Marc J; Cross, Amanda J")</f>
        <v>Sanikini, Harinakshi; Muller, David C; Sophiea, Marisa; Rinaldi, Sabina; Agudo, Antonio; Duell, Eric J; Weiderpass, Elisabete; Overvad, Kim; Tjønneland, Anne; Halkjaer, Jytte; Boutron-Ruault, Marie-Christine; Carbonnel, Franck; Cervenka, Iris; Boeing, Heiner; Kaaks, Rudolf; Kühn, Tilman; Trichopoulou, Antonia; Martimianaki, Georgia; Karakatsani, Anna; Pala, Valeria; Palli, Domenico; Mattiello, Amalia; Tumino, Rosario; Sacerdote, Carlotta; Skeie, Guri; Rylander, Charlotta; Chirlaque López, María-Dolores; Sánchez, Maria-Jose; Ardanaz, Eva; Regnér, Sara; Stocks, Tanja; Bueno-de-Mesquita, Bas; Vermeulen, Roel C H; Aune, Dagfinn; Tong, Tammy Y N; Kliemann, Nathalie; Murphy, Neil; Chadeau-Hyam, Marc; Gunter, Marc J; Cross, Amanda J</v>
      </c>
      <c r="AH588" s="32">
        <f>IFERROR(__xludf.DUMMYFUNCTION("""COMPUTED_VALUE"""),43606.0)</f>
        <v>43606</v>
      </c>
      <c r="AL588" s="31" t="str">
        <f>IFERROR(__xludf.DUMMYFUNCTION("""COMPUTED_VALUE"""),"The effects of exercise on the quality of life of patients with breast cancer (the UMBRELLA Fit study): study protocol for a randomized controlled trial.")</f>
        <v>The effects of exercise on the quality of life of patients with breast cancer (the UMBRELLA Fit study): study protocol for a randomized controlled trial.</v>
      </c>
      <c r="AM588" s="31" t="str">
        <f>IFERROR(__xludf.DUMMYFUNCTION("""COMPUTED_VALUE"""),"Gal, Roxanne; Monninkhof, Evelyn M; Groenwold, Rolf H H; van Gils, Carla H; van den Bongard, Desiree H J G; Peeters, Petra H M; Verkooijen, Helena M; May, Anne M")</f>
        <v>Gal, Roxanne; Monninkhof, Evelyn M; Groenwold, Rolf H H; van Gils, Carla H; van den Bongard, Desiree H J G; Peeters, Petra H M; Verkooijen, Helena M; May, Anne M</v>
      </c>
      <c r="AN588" s="32">
        <f>IFERROR(__xludf.DUMMYFUNCTION("""COMPUTED_VALUE"""),43035.0)</f>
        <v>43035</v>
      </c>
    </row>
    <row r="589">
      <c r="A589" s="32"/>
      <c r="I589" s="31" t="str">
        <f>IFERROR(__xludf.DUMMYFUNCTION("""COMPUTED_VALUE"""),"journal of eating disorders")</f>
        <v>journal of eating disorders</v>
      </c>
      <c r="J589" s="38">
        <f>COUNTIF(Data!$F$2:$F9917, $I589)</f>
        <v>2</v>
      </c>
      <c r="T589" s="31" t="s">
        <v>1298</v>
      </c>
      <c r="U589" s="31" t="s">
        <v>1299</v>
      </c>
      <c r="V589" s="32">
        <v>45276.0</v>
      </c>
      <c r="X589" s="31" t="str">
        <f>IFERROR(__xludf.DUMMYFUNCTION("""COMPUTED_VALUE"""),"Representation of Patients With Chronic Kidney Disease in Clinical Trials of Cardiovascular Disease Medications: A Systematic Review.")</f>
        <v>Representation of Patients With Chronic Kidney Disease in Clinical Trials of Cardiovascular Disease Medications: A Systematic Review.</v>
      </c>
      <c r="Y589" s="31" t="str">
        <f>IFERROR(__xludf.DUMMYFUNCTION("""COMPUTED_VALUE"""),"Colombijn, Julia M T; Idema, Demy L; van Beem, Sanne; Blokland, Anna Marthe; van der Braak, Kim; Handoko, M Louis; In 't Veld, Linde F Huis; Kaul, Tabea; Kolagasigil-Akdemir, Nurda; Kusters, Mike P T; Meijvis, Sabine C A; Oosting, Ilse J; Spijker, Rene; B"&amp;"ots, Michiel L; Hooft, Lotty; Verhaar, Marianne C; Vernooij, Robin W M")</f>
        <v>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v>
      </c>
      <c r="Z589" s="31">
        <f>IFERROR(__xludf.DUMMYFUNCTION("""COMPUTED_VALUE"""),2024.0)</f>
        <v>2024</v>
      </c>
      <c r="AA589" s="31">
        <f>IFERROR(__xludf.DUMMYFUNCTION("""COMPUTED_VALUE"""),0.0)</f>
        <v>0</v>
      </c>
      <c r="AF589" s="31" t="str">
        <f>IFERROR(__xludf.DUMMYFUNCTION("""COMPUTED_VALUE"""),"How scientists and physicians use Twitter during a medical congress.")</f>
        <v>How scientists and physicians use Twitter during a medical congress.</v>
      </c>
      <c r="AG589" s="31" t="str">
        <f>IFERROR(__xludf.DUMMYFUNCTION("""COMPUTED_VALUE"""),"Cevik, M; Ong, D S Y; Mackenzie, G")</f>
        <v>Cevik, M; Ong, D S Y; Mackenzie, G</v>
      </c>
      <c r="AH589" s="32">
        <f>IFERROR(__xludf.DUMMYFUNCTION("""COMPUTED_VALUE"""),43601.0)</f>
        <v>43601</v>
      </c>
      <c r="AL589" s="31" t="str">
        <f>IFERROR(__xludf.DUMMYFUNCTION("""COMPUTED_VALUE"""),"Secondary analysis of frequency, circumstances and consequences of calculation errors of the HEART (history, ECG, age, risk factors and troponin) score at the emergency departments of nine hospitals in the Netherlands.")</f>
        <v>Secondary analysis of frequency, circumstances and consequences of calculation errors of the HEART (history, ECG, age, risk factors and troponin) score at the emergency departments of nine hospitals in the Netherlands.</v>
      </c>
      <c r="AM589" s="31" t="str">
        <f>IFERROR(__xludf.DUMMYFUNCTION("""COMPUTED_VALUE"""),"Ras, Marten; Reitsma, Johannes B; Hoes, Arno W; Six, Alfred Jacob; Poldervaart, Judith M")</f>
        <v>Ras, Marten; Reitsma, Johannes B; Hoes, Arno W; Six, Alfred Jacob; Poldervaart, Judith M</v>
      </c>
      <c r="AN589" s="32">
        <f>IFERROR(__xludf.DUMMYFUNCTION("""COMPUTED_VALUE"""),43030.0)</f>
        <v>43030</v>
      </c>
    </row>
    <row r="590">
      <c r="A590" s="32"/>
      <c r="I590" s="31" t="str">
        <f>IFERROR(__xludf.DUMMYFUNCTION("""COMPUTED_VALUE"""),"nursing in critical care")</f>
        <v>nursing in critical care</v>
      </c>
      <c r="J590" s="38">
        <f>COUNTIF(Data!$F$2:$F9917, $I590)</f>
        <v>2</v>
      </c>
      <c r="T590" s="31" t="s">
        <v>1303</v>
      </c>
      <c r="U590" s="31" t="s">
        <v>1304</v>
      </c>
      <c r="V590" s="32">
        <v>45274.0</v>
      </c>
      <c r="X590" s="31" t="str">
        <f>IFERROR(__xludf.DUMMYFUNCTION("""COMPUTED_VALUE"""),"Epidemiology and risk factors for hyperkalaemia in heart failure.")</f>
        <v>Epidemiology and risk factors for hyperkalaemia in heart failure.</v>
      </c>
      <c r="Y590" s="31" t="str">
        <f>IFERROR(__xludf.DUMMYFUNCTION("""COMPUTED_VALUE"""),"Grobbee, Diederick E; Filippatos, Gerasimos; Desai, Nihar R; Coats, Andrew J S; Pinto, Fausto; Rosano, Giuseppe M C; Cleland, John G F; Kammerer, Jennifer; de Arellano, Antonio Ramirez")</f>
        <v>Grobbee, Diederick E; Filippatos, Gerasimos; Desai, Nihar R; Coats, Andrew J S; Pinto, Fausto; Rosano, Giuseppe M C; Cleland, John G F; Kammerer, Jennifer; de Arellano, Antonio Ramirez</v>
      </c>
      <c r="Z590" s="31">
        <f>IFERROR(__xludf.DUMMYFUNCTION("""COMPUTED_VALUE"""),2024.0)</f>
        <v>2024</v>
      </c>
      <c r="AA590" s="31">
        <f>IFERROR(__xludf.DUMMYFUNCTION("""COMPUTED_VALUE"""),0.0)</f>
        <v>0</v>
      </c>
      <c r="AF590" s="31" t="str">
        <f>IFERROR(__xludf.DUMMYFUNCTION("""COMPUTED_VALUE"""),"The ethics of genome editing in non-human animals: a systematic review of reasons reported in the academic literature.")</f>
        <v>The ethics of genome editing in non-human animals: a systematic review of reasons reported in the academic literature.</v>
      </c>
      <c r="AG590" s="31" t="str">
        <f>IFERROR(__xludf.DUMMYFUNCTION("""COMPUTED_VALUE"""),"de Graeff, Nienke; Jongsma, Karin R; Johnston, Josephine; Hartley, Sarah; Bredenoord, Annelien L")</f>
        <v>de Graeff, Nienke; Jongsma, Karin R; Johnston, Josephine; Hartley, Sarah; Bredenoord, Annelien L</v>
      </c>
      <c r="AH590" s="32">
        <f>IFERROR(__xludf.DUMMYFUNCTION("""COMPUTED_VALUE"""),43598.0)</f>
        <v>43598</v>
      </c>
      <c r="AL590" s="31" t="str">
        <f>IFERROR(__xludf.DUMMYFUNCTION("""COMPUTED_VALUE"""),"Influence of Risk Category and Screening Round on the Performance of an MR Imaging and Mammography Screening Program in Carriers of the BRCA Mutation and Other Women at Increased Risk.")</f>
        <v>Influence of Risk Category and Screening Round on the Performance of an MR Imaging and Mammography Screening Program in Carriers of the BRCA Mutation and Other Women at Increased Risk.</v>
      </c>
      <c r="AM590" s="31" t="str">
        <f>IFERROR(__xludf.DUMMYFUNCTION("""COMPUTED_VALUE"""),"Vreemann, Suzan; Gubern-Mérida, Albert; Schlooz-Vries, Margrethe S; Bult, Peter; van Gils, Carla H; Hoogerbrugge, Nicoline; Karssemeijer, Nico; Mann, Ritse M")</f>
        <v>Vreemann, Suzan; Gubern-Mérida, Albert; Schlooz-Vries, Margrethe S; Bult, Peter; van Gils, Carla H; Hoogerbrugge, Nicoline; Karssemeijer, Nico; Mann, Ritse M</v>
      </c>
      <c r="AN590" s="32">
        <f>IFERROR(__xludf.DUMMYFUNCTION("""COMPUTED_VALUE"""),43024.0)</f>
        <v>43024</v>
      </c>
    </row>
    <row r="591">
      <c r="A591" s="32"/>
      <c r="I591" s="31" t="str">
        <f>IFERROR(__xludf.DUMMYFUNCTION("""COMPUTED_VALUE"""),"journal of clinical virology plus")</f>
        <v>journal of clinical virology plus</v>
      </c>
      <c r="J591" s="38">
        <f>COUNTIF(Data!$F$2:$F9917, $I591)</f>
        <v>1</v>
      </c>
      <c r="T591" s="31" t="s">
        <v>1308</v>
      </c>
      <c r="U591" s="31" t="s">
        <v>1309</v>
      </c>
      <c r="V591" s="32">
        <v>45274.0</v>
      </c>
      <c r="X591" s="31" t="str">
        <f>IFERROR(__xludf.DUMMYFUNCTION("""COMPUTED_VALUE"""),"Why we should not mistake accuracy of medical AI for efficiency.")</f>
        <v>Why we should not mistake accuracy of medical AI for efficiency.</v>
      </c>
      <c r="Y591" s="31" t="str">
        <f>IFERROR(__xludf.DUMMYFUNCTION("""COMPUTED_VALUE"""),"Jongsma, Karin Rolanda; Sand, Martin; Milota, Megan")</f>
        <v>Jongsma, Karin Rolanda; Sand, Martin; Milota, Megan</v>
      </c>
      <c r="Z591" s="31">
        <f>IFERROR(__xludf.DUMMYFUNCTION("""COMPUTED_VALUE"""),2024.0)</f>
        <v>2024</v>
      </c>
      <c r="AA591" s="31">
        <f>IFERROR(__xludf.DUMMYFUNCTION("""COMPUTED_VALUE"""),0.0)</f>
        <v>0</v>
      </c>
      <c r="AF591" s="31" t="str">
        <f>IFERROR(__xludf.DUMMYFUNCTION("""COMPUTED_VALUE"""),"Circulating phylloquinone, inactive Matrix Gla protein and coronary heart disease risk: A two-sample Mendelian Randomization study.")</f>
        <v>Circulating phylloquinone, inactive Matrix Gla protein and coronary heart disease risk: A two-sample Mendelian Randomization study.</v>
      </c>
      <c r="AG591" s="31" t="str">
        <f>IFERROR(__xludf.DUMMYFUNCTION("""COMPUTED_VALUE"""),"Zwakenberg, Sabine R; Burgess, Stephen; Sluijs, Ivonne; Weiderpass, Elisabete; ,; Beulens, Joline W J; van der Schouw, Yvonne T")</f>
        <v>Zwakenberg, Sabine R; Burgess, Stephen; Sluijs, Ivonne; Weiderpass, Elisabete; ,; Beulens, Joline W J; van der Schouw, Yvonne T</v>
      </c>
      <c r="AH591" s="32">
        <f>IFERROR(__xludf.DUMMYFUNCTION("""COMPUTED_VALUE"""),43592.0)</f>
        <v>43592</v>
      </c>
      <c r="AL591" s="31" t="str">
        <f>IFERROR(__xludf.DUMMYFUNCTION("""COMPUTED_VALUE"""),"Changing costs of metastatic non small cell lung cancer in the Netherlands.")</f>
        <v>Changing costs of metastatic non small cell lung cancer in the Netherlands.</v>
      </c>
      <c r="AM591" s="31" t="str">
        <f>IFERROR(__xludf.DUMMYFUNCTION("""COMPUTED_VALUE"""),"Keusters, W R; de Weger, V A; Hövels, A; Schellens, J H M; Frederix, G W J")</f>
        <v>Keusters, W R; de Weger, V A; Hövels, A; Schellens, J H M; Frederix, G W J</v>
      </c>
      <c r="AN591" s="32">
        <f>IFERROR(__xludf.DUMMYFUNCTION("""COMPUTED_VALUE"""),43021.0)</f>
        <v>43021</v>
      </c>
    </row>
    <row r="592">
      <c r="A592" s="32"/>
      <c r="I592" s="31" t="str">
        <f>IFERROR(__xludf.DUMMYFUNCTION("""COMPUTED_VALUE"""),"journal of the american medical directors association")</f>
        <v>journal of the american medical directors association</v>
      </c>
      <c r="J592" s="38">
        <f>COUNTIF(Data!$F$2:$F9917, $I592)</f>
        <v>7</v>
      </c>
      <c r="T592" s="31" t="s">
        <v>1311</v>
      </c>
      <c r="U592" s="31" t="s">
        <v>1312</v>
      </c>
      <c r="V592" s="32">
        <v>45273.0</v>
      </c>
      <c r="X592" s="31" t="str">
        <f>IFERROR(__xludf.DUMMYFUNCTION("""COMPUTED_VALUE"""),"Towards a conceptualization of nurses' support of hospitalised patients' self-management-A modified Delphi study'.")</f>
        <v>Towards a conceptualization of nurses' support of hospitalised patients' self-management-A modified Delphi study'.</v>
      </c>
      <c r="Y592" s="31" t="str">
        <f>IFERROR(__xludf.DUMMYFUNCTION("""COMPUTED_VALUE"""),"Otter, Caroline E M; de Man-van Ginkel, Janneke M; Keers, Joost C; Smit, Jakobus; Schoonhoven, Lisette")</f>
        <v>Otter, Caroline E M; de Man-van Ginkel, Janneke M; Keers, Joost C; Smit, Jakobus; Schoonhoven, Lisette</v>
      </c>
      <c r="Z592" s="31">
        <f>IFERROR(__xludf.DUMMYFUNCTION("""COMPUTED_VALUE"""),2024.0)</f>
        <v>2024</v>
      </c>
      <c r="AA592" s="31">
        <f>IFERROR(__xludf.DUMMYFUNCTION("""COMPUTED_VALUE"""),0.0)</f>
        <v>0</v>
      </c>
      <c r="AF592" s="31" t="str">
        <f>IFERROR(__xludf.DUMMYFUNCTION("""COMPUTED_VALUE"""),"Dietary Patterns Are Associated with Predicted 10-Year Risk of Cardiovascular Disease Among Ghanaian Populations: the Research on Obesity and Diabetes in African Migrants (RODAM) Study.")</f>
        <v>Dietary Patterns Are Associated with Predicted 10-Year Risk of Cardiovascular Disease Among Ghanaian Populations: the Research on Obesity and Diabetes in African Migrants (RODAM) Study.</v>
      </c>
      <c r="AG592" s="31" t="str">
        <f>IFERROR(__xludf.DUMMYFUNCTION("""COMPUTED_VALUE"""),"Boateng, Daniel; Galbete, Cecilia; Nicolaou, Mary; Meeks, Karlijn; Beune, Erik; Smeeth, Liam; Osei-Kwasi, Hibbah Araba; Bahendeka, Silver; Agyei-Baffour, Peter; Mockenhaupt, Frank P; Spranger, Joachim; Grobbee, Diederick E; Schulze, Matthias B; Stronks, K"&amp;"arien; Agyemang, Charles; Danquah, Ina; Klipstein-Grobusch, Kerstin")</f>
        <v>Boateng, Daniel; Galbete, Cecilia; Nicolaou, Mary; Meeks, Karlijn; Beune, Erik; Smeeth, Liam; Osei-Kwasi, Hibbah Araba; Bahendeka, Silver; Agyei-Baffour, Peter; Mockenhaupt, Frank P; Spranger, Joachim; Grobbee, Diederick E; Schulze, Matthias B; Stronks, Karien; Agyemang, Charles; Danquah, Ina; Klipstein-Grobusch, Kerstin</v>
      </c>
      <c r="AH592" s="32">
        <f>IFERROR(__xludf.DUMMYFUNCTION("""COMPUTED_VALUE"""),43586.0)</f>
        <v>43586</v>
      </c>
      <c r="AL592" s="31" t="str">
        <f>IFERROR(__xludf.DUMMYFUNCTION("""COMPUTED_VALUE"""),"Medication adherence in patients with apparent resistant hypertension: findings from the SYMPATHY trial.")</f>
        <v>Medication adherence in patients with apparent resistant hypertension: findings from the SYMPATHY trial.</v>
      </c>
      <c r="AM592" s="31" t="str">
        <f>IFERROR(__xludf.DUMMYFUNCTION("""COMPUTED_VALUE"""),"de Jager, Rosa L; van Maarseveen, Erik M; Bots, Michiel L; Blankestijn, Peter J; ,")</f>
        <v>de Jager, Rosa L; van Maarseveen, Erik M; Bots, Michiel L; Blankestijn, Peter J; ,</v>
      </c>
      <c r="AN592" s="32">
        <f>IFERROR(__xludf.DUMMYFUNCTION("""COMPUTED_VALUE"""),43018.0)</f>
        <v>43018</v>
      </c>
    </row>
    <row r="593">
      <c r="A593" s="32"/>
      <c r="I593" s="31" t="str">
        <f>IFERROR(__xludf.DUMMYFUNCTION("""COMPUTED_VALUE"""),"jmir cancer")</f>
        <v>jmir cancer</v>
      </c>
      <c r="J593" s="38">
        <f>COUNTIF(Data!$F$2:$F9917, $I593)</f>
        <v>2</v>
      </c>
      <c r="T593" s="31" t="s">
        <v>1315</v>
      </c>
      <c r="U593" s="31" t="s">
        <v>1316</v>
      </c>
      <c r="V593" s="32">
        <v>45273.0</v>
      </c>
      <c r="X593" s="31" t="str">
        <f>IFERROR(__xludf.DUMMYFUNCTION("""COMPUTED_VALUE"""),"Machine-learning algorithms in screening for type 2 diabetes mellitus: Data from Fasa Adults Cohort Study.")</f>
        <v>Machine-learning algorithms in screening for type 2 diabetes mellitus: Data from Fasa Adults Cohort Study.</v>
      </c>
      <c r="Y593" s="31" t="str">
        <f>IFERROR(__xludf.DUMMYFUNCTION("""COMPUTED_VALUE"""),"Karmand, Hanieh; Andishgar, Aref; Tabrizi, Reza; Sadeghi, Alireza; Pezeshki, Babak; Ravankhah, Mahdi; Taherifard, Erfan; Ahmadizar, Fariba")</f>
        <v>Karmand, Hanieh; Andishgar, Aref; Tabrizi, Reza; Sadeghi, Alireza; Pezeshki, Babak; Ravankhah, Mahdi; Taherifard, Erfan; Ahmadizar, Fariba</v>
      </c>
      <c r="Z593" s="31">
        <f>IFERROR(__xludf.DUMMYFUNCTION("""COMPUTED_VALUE"""),2024.0)</f>
        <v>2024</v>
      </c>
      <c r="AA593" s="31">
        <f>IFERROR(__xludf.DUMMYFUNCTION("""COMPUTED_VALUE"""),0.0)</f>
        <v>0</v>
      </c>
      <c r="AF593" s="31" t="str">
        <f>IFERROR(__xludf.DUMMYFUNCTION("""COMPUTED_VALUE"""),"The Convergent Effect of International Collaboration between Young Leaders of Two Global Societies: Strengthening Microbiology Education and Training Practices Worldwide.")</f>
        <v>The Convergent Effect of International Collaboration between Young Leaders of Two Global Societies: Strengthening Microbiology Education and Training Practices Worldwide.</v>
      </c>
      <c r="AG593" s="31" t="str">
        <f>IFERROR(__xludf.DUMMYFUNCTION("""COMPUTED_VALUE"""),"Meštrović, Tomislav; Cevik, Muge; Pinto, Tatiana Castro Abreu; Barać, Aleksandra; Servín-Garcidueñas, Luis E; Ong, David S Y")</f>
        <v>Meštrović, Tomislav; Cevik, Muge; Pinto, Tatiana Castro Abreu; Barać, Aleksandra; Servín-Garcidueñas, Luis E; Ong, David S Y</v>
      </c>
      <c r="AH593" s="32">
        <f>IFERROR(__xludf.DUMMYFUNCTION("""COMPUTED_VALUE"""),43581.0)</f>
        <v>43581</v>
      </c>
      <c r="AL593" s="31" t="str">
        <f>IFERROR(__xludf.DUMMYFUNCTION("""COMPUTED_VALUE"""),"Selective digestive and oropharyngeal decontamination in medical and surgical ICU patients: authors' reply.")</f>
        <v>Selective digestive and oropharyngeal decontamination in medical and surgical ICU patients: authors' reply.</v>
      </c>
      <c r="AM593" s="31" t="str">
        <f>IFERROR(__xludf.DUMMYFUNCTION("""COMPUTED_VALUE"""),"Plantinga, N L; Bonten, M J M")</f>
        <v>Plantinga, N L; Bonten, M J M</v>
      </c>
      <c r="AN593" s="32">
        <f>IFERROR(__xludf.DUMMYFUNCTION("""COMPUTED_VALUE"""),43015.0)</f>
        <v>43015</v>
      </c>
    </row>
    <row r="594">
      <c r="A594" s="32"/>
      <c r="I594" s="31" t="str">
        <f>IFERROR(__xludf.DUMMYFUNCTION("""COMPUTED_VALUE"""),"jama neurology")</f>
        <v>jama neurology</v>
      </c>
      <c r="J594" s="38">
        <f>COUNTIF(Data!$F$2:$F9917, $I594)</f>
        <v>5</v>
      </c>
      <c r="T594" s="31" t="s">
        <v>1320</v>
      </c>
      <c r="U594" s="31" t="s">
        <v>1321</v>
      </c>
      <c r="V594" s="32">
        <v>45273.0</v>
      </c>
      <c r="X594" s="31" t="str">
        <f>IFERROR(__xludf.DUMMYFUNCTION("""COMPUTED_VALUE"""),"Finding the balance between person-centred and treatment-centred discussions in advance care planning-a qualitative analysis of conversations within the MUTUAL (Multidisciplinary Timely Undertaken Advance Care Planning conversations) intervention using a "&amp;"narrative analysis.")</f>
        <v>Finding the balance between person-centred and treatment-centred discussions in advance care planning-a qualitative analysis of conversations within the MUTUAL (Multidisciplinary Timely Undertaken Advance Care Planning conversations) intervention using a narrative analysis.</v>
      </c>
      <c r="Y594" s="31" t="str">
        <f>IFERROR(__xludf.DUMMYFUNCTION("""COMPUTED_VALUE"""),"van Lummel, Eline V T J; Ietswaard, Larissa; Rigter, Marloes; Tjan, Dave H T; van Delden, Johannes J M; Milota, Megan")</f>
        <v>van Lummel, Eline V T J; Ietswaard, Larissa; Rigter, Marloes; Tjan, Dave H T; van Delden, Johannes J M; Milota, Megan</v>
      </c>
      <c r="Z594" s="31">
        <f>IFERROR(__xludf.DUMMYFUNCTION("""COMPUTED_VALUE"""),2024.0)</f>
        <v>2024</v>
      </c>
      <c r="AA594" s="31">
        <f>IFERROR(__xludf.DUMMYFUNCTION("""COMPUTED_VALUE"""),0.0)</f>
        <v>0</v>
      </c>
      <c r="AF594" s="31" t="str">
        <f>IFERROR(__xludf.DUMMYFUNCTION("""COMPUTED_VALUE"""),"An ethics framework and practical guidance for post-trial access to an RSV maternal vaccine.")</f>
        <v>An ethics framework and practical guidance for post-trial access to an RSV maternal vaccine.</v>
      </c>
      <c r="AG594" s="31" t="str">
        <f>IFERROR(__xludf.DUMMYFUNCTION("""COMPUTED_VALUE"""),"Mazur, Natalie I; Bont, Louis J; van Delden, Johannes J M; Omer, Saad B")</f>
        <v>Mazur, Natalie I; Bont, Louis J; van Delden, Johannes J M; Omer, Saad B</v>
      </c>
      <c r="AH594" s="32">
        <f>IFERROR(__xludf.DUMMYFUNCTION("""COMPUTED_VALUE"""),43571.0)</f>
        <v>43571</v>
      </c>
      <c r="AL594" s="31" t="str">
        <f>IFERROR(__xludf.DUMMYFUNCTION("""COMPUTED_VALUE"""),"Magnifying chromoendoscopy does not seem helpful in avoiding unnecessary surgery once deep submucosal invasion is suspected.")</f>
        <v>Magnifying chromoendoscopy does not seem helpful in avoiding unnecessary surgery once deep submucosal invasion is suspected.</v>
      </c>
      <c r="AM594" s="31" t="str">
        <f>IFERROR(__xludf.DUMMYFUNCTION("""COMPUTED_VALUE"""),"Backes, Yara; Reitsma, Johannes B; Moons, Leon M G")</f>
        <v>Backes, Yara; Reitsma, Johannes B; Moons, Leon M G</v>
      </c>
      <c r="AN594" s="32">
        <f>IFERROR(__xludf.DUMMYFUNCTION("""COMPUTED_VALUE"""),43005.0)</f>
        <v>43005</v>
      </c>
    </row>
    <row r="595">
      <c r="A595" s="32"/>
      <c r="I595" s="31" t="str">
        <f>IFERROR(__xludf.DUMMYFUNCTION("""COMPUTED_VALUE"""),"epilepsy behavior eb")</f>
        <v>epilepsy behavior eb</v>
      </c>
      <c r="J595" s="38">
        <f>COUNTIF(Data!$F$2:$F9917, $I595)</f>
        <v>1</v>
      </c>
      <c r="T595" s="31" t="s">
        <v>1324</v>
      </c>
      <c r="U595" s="31" t="s">
        <v>1325</v>
      </c>
      <c r="V595" s="32">
        <v>45273.0</v>
      </c>
      <c r="X595" s="31" t="str">
        <f>IFERROR(__xludf.DUMMYFUNCTION("""COMPUTED_VALUE"""),"Dynamic Prediction of Advanced Colorectal Neoplasia in Inflammatory Bowel Disease.")</f>
        <v>Dynamic Prediction of Advanced Colorectal Neoplasia in Inflammatory Bowel Disease.</v>
      </c>
      <c r="Y595" s="31" t="str">
        <f>IFERROR(__xludf.DUMMYFUNCTION("""COMPUTED_VALUE"""),"Wijnands, Anouk M; Penning de Vries, Bas B L; Lutgens, Maurice W M D; Bakhshi, Zeinab; Al Bakir, Ibrahim; Beaugerie, Laurent; Bernstein, Charles N; Chang-Ho Choi, Ryan; Coelho-Prabhu, Nayantara; Graham, Trevor A; Hart, Ailsa L; Ten Hove, Joren R; Itzkowit"&amp;"z, Steven H; Kirchgesner, Julien; Mooiweer, Erik; Shaffer, Seth R; Shah, Shailja C; Elias, Sjoerd G; Oldenburg, Bas; ,")</f>
        <v>Wijnands, Anouk M; Penning de Vries, Bas B L; Lutgens, Maurice W M D; Bakhshi, Zeinab; Al Bakir, Ibrahim; Beaugerie, Laurent; Bernstein, Charles N; Chang-Ho Choi, Ryan; Coelho-Prabhu, Nayantara; Graham, Trevor A; Hart, Ailsa L; Ten Hove, Joren R; Itzkowitz, Steven H; Kirchgesner, Julien; Mooiweer, Erik; Shaffer, Seth R; Shah, Shailja C; Elias, Sjoerd G; Oldenburg, Bas; ,</v>
      </c>
      <c r="Z595" s="31">
        <f>IFERROR(__xludf.DUMMYFUNCTION("""COMPUTED_VALUE"""),2024.0)</f>
        <v>2024</v>
      </c>
      <c r="AA595" s="31">
        <f>IFERROR(__xludf.DUMMYFUNCTION("""COMPUTED_VALUE"""),0.0)</f>
        <v>0</v>
      </c>
      <c r="AF595" s="31" t="str">
        <f>IFERROR(__xludf.DUMMYFUNCTION("""COMPUTED_VALUE"""),"Narrative medicine as a medical education tool: A systematic review.")</f>
        <v>Narrative medicine as a medical education tool: A systematic review.</v>
      </c>
      <c r="AG595" s="31" t="str">
        <f>IFERROR(__xludf.DUMMYFUNCTION("""COMPUTED_VALUE"""),"Milota, M M; van Thiel, G J M W; van Delden, J J M")</f>
        <v>Milota, M M; van Thiel, G J M W; van Delden, J J M</v>
      </c>
      <c r="AH595" s="32">
        <f>IFERROR(__xludf.DUMMYFUNCTION("""COMPUTED_VALUE"""),43569.0)</f>
        <v>43569</v>
      </c>
      <c r="AL595" s="31" t="str">
        <f>IFERROR(__xludf.DUMMYFUNCTION("""COMPUTED_VALUE"""),"Cardiac imaging to detect coronary artery disease in athletes aged 35 years and older. A scoping review.")</f>
        <v>Cardiac imaging to detect coronary artery disease in athletes aged 35 years and older. A scoping review.</v>
      </c>
      <c r="AM595" s="31" t="str">
        <f>IFERROR(__xludf.DUMMYFUNCTION("""COMPUTED_VALUE"""),"Braber, T L; Reitsma, J B; Mosterd, A; Willemink, M J; Prakken, N H J; Halle, M; Sharma, S; Velthuis, B K")</f>
        <v>Braber, T L; Reitsma, J B; Mosterd, A; Willemink, M J; Prakken, N H J; Halle, M; Sharma, S; Velthuis, B K</v>
      </c>
      <c r="AN595" s="32">
        <f>IFERROR(__xludf.DUMMYFUNCTION("""COMPUTED_VALUE"""),42999.0)</f>
        <v>42999</v>
      </c>
    </row>
    <row r="596">
      <c r="A596" s="32"/>
      <c r="I596" s="31" t="str">
        <f>IFERROR(__xludf.DUMMYFUNCTION("""COMPUTED_VALUE"""),"cell systems")</f>
        <v>cell systems</v>
      </c>
      <c r="J596" s="38">
        <f>COUNTIF(Data!$F$2:$F9917, $I596)</f>
        <v>2</v>
      </c>
      <c r="T596" s="31" t="s">
        <v>25149</v>
      </c>
      <c r="U596" s="31" t="s">
        <v>25150</v>
      </c>
      <c r="V596" s="32">
        <v>45273.0</v>
      </c>
      <c r="X596" s="31" t="str">
        <f>IFERROR(__xludf.DUMMYFUNCTION("""COMPUTED_VALUE"""),"Geospatial and multilevel clustering of zero-dose children in Kikwit, Democratic Republic of the Congo in 2022.")</f>
        <v>Geospatial and multilevel clustering of zero-dose children in Kikwit, Democratic Republic of the Congo in 2022.</v>
      </c>
      <c r="Y596" s="31" t="str">
        <f>IFERROR(__xludf.DUMMYFUNCTION("""COMPUTED_VALUE"""),"Mutwadi, Armand Malembe; Madinga, Joule Ntwan; Vanlerberghe, Veerle; Mbala, Placide K; van der Sande, Marianne A B")</f>
        <v>Mutwadi, Armand Malembe; Madinga, Joule Ntwan; Vanlerberghe, Veerle; Mbala, Placide K; van der Sande, Marianne A B</v>
      </c>
      <c r="Z596" s="31">
        <f>IFERROR(__xludf.DUMMYFUNCTION("""COMPUTED_VALUE"""),2024.0)</f>
        <v>2024</v>
      </c>
      <c r="AA596" s="31">
        <f>IFERROR(__xludf.DUMMYFUNCTION("""COMPUTED_VALUE"""),0.0)</f>
        <v>0</v>
      </c>
      <c r="AF596" s="31" t="str">
        <f>IFERROR(__xludf.DUMMYFUNCTION("""COMPUTED_VALUE"""),"Knowledge and perceptions of type 2 diabetes among Ghanaian migrants in three European countries and Ghanaians in rural and urban Ghana: The RODAM qualitative study.")</f>
        <v>Knowledge and perceptions of type 2 diabetes among Ghanaian migrants in three European countries and Ghanaians in rural and urban Ghana: The RODAM qualitative study.</v>
      </c>
      <c r="AG596" s="31" t="str">
        <f>IFERROR(__xludf.DUMMYFUNCTION("""COMPUTED_VALUE"""),"de-Graft Aikins, Ama; Dodoo, Francis; Awuah, Raphael Baffour; Owusu-Dabo, Ellis; Addo, Juliet; Nicolaou, Mary; Beune, Erik; Mockenhaupt, Frank P; Danquah, Ina; Bahendeka, Silver; Meeks, Karlijn; Klipstein-Grobusch, Kirstin; Afrifa-Anane, Ernest; Smeeth, L"&amp;"iam; Stronks, Karien; Agyemang, Charles")</f>
        <v>de-Graft Aikins, Ama; Dodoo, Francis; Awuah, Raphael Baffour; Owusu-Dabo, Ellis; Addo, Juliet; Nicolaou, Mary; Beune, Erik; Mockenhaupt, Frank P; Danquah, Ina; Bahendeka, Silver; Meeks, Karlijn; Klipstein-Grobusch, Kirstin; Afrifa-Anane, Ernest; Smeeth, Liam; Stronks, Karien; Agyemang, Charles</v>
      </c>
      <c r="AH596" s="32">
        <f>IFERROR(__xludf.DUMMYFUNCTION("""COMPUTED_VALUE"""),43557.0)</f>
        <v>43557</v>
      </c>
      <c r="AL596" s="31" t="str">
        <f>IFERROR(__xludf.DUMMYFUNCTION("""COMPUTED_VALUE"""),"Longitudinal analysis of colon crypt stem cell dynamics in sulindac treated Familial Adenomatous Polyposis patients.")</f>
        <v>Longitudinal analysis of colon crypt stem cell dynamics in sulindac treated Familial Adenomatous Polyposis patients.</v>
      </c>
      <c r="AM596" s="31" t="str">
        <f>IFERROR(__xludf.DUMMYFUNCTION("""COMPUTED_VALUE"""),"Ma, Huiying; Brosens, Lodewijk A A; Elias, Sjoerd G; Morsink, Folkert H M; Nijman, Isaac J; Hylind, Linda M; Montgomery, Elizabeth A; Offerhaus, G Johan A; Giardiello, Francis M; de Leng, Wendy W J")</f>
        <v>Ma, Huiying; Brosens, Lodewijk A A; Elias, Sjoerd G; Morsink, Folkert H M; Nijman, Isaac J; Hylind, Linda M; Montgomery, Elizabeth A; Offerhaus, G Johan A; Giardiello, Francis M; de Leng, Wendy W J</v>
      </c>
      <c r="AN596" s="32">
        <f>IFERROR(__xludf.DUMMYFUNCTION("""COMPUTED_VALUE"""),42998.0)</f>
        <v>42998</v>
      </c>
    </row>
    <row r="597">
      <c r="A597" s="32"/>
      <c r="I597" s="31" t="str">
        <f>IFERROR(__xludf.DUMMYFUNCTION("""COMPUTED_VALUE"""),"metabolites")</f>
        <v>metabolites</v>
      </c>
      <c r="J597" s="38">
        <f>COUNTIF(Data!$F$2:$F9917, $I597)</f>
        <v>2</v>
      </c>
      <c r="T597" s="31" t="s">
        <v>1328</v>
      </c>
      <c r="U597" s="31" t="s">
        <v>1329</v>
      </c>
      <c r="V597" s="32">
        <v>45272.0</v>
      </c>
      <c r="X597" s="31" t="str">
        <f>IFERROR(__xludf.DUMMYFUNCTION("""COMPUTED_VALUE"""),"Evaluation of Less Invasive Sampling Tools for the Diagnosis of Cutaneous Leishmaniasis.")</f>
        <v>Evaluation of Less Invasive Sampling Tools for the Diagnosis of Cutaneous Leishmaniasis.</v>
      </c>
      <c r="Y597" s="31" t="str">
        <f>IFERROR(__xludf.DUMMYFUNCTION("""COMPUTED_VALUE"""),"van Henten, Saskia; Kassa, Mekibib; Fikre, Helina; Melkamu, Roma; Mekonnen, Tigist; Dessie, Dilargachew; Mulaw, Tadele; Bogale, Tadfe; Engidaw, Asinakew; Yeshanew, Arega; Cnops, Lieselotte; Vogt, Florian; Moons, Karel G M; van Griensven, Johan; Pareyn, My"&amp;"rthe")</f>
        <v>van Henten, Saskia; Kassa, Mekibib; Fikre, Helina; Melkamu, Roma; Mekonnen, Tigist; Dessie, Dilargachew; Mulaw, Tadele; Bogale, Tadfe; Engidaw, Asinakew; Yeshanew, Arega; Cnops, Lieselotte; Vogt, Florian; Moons, Karel G M; van Griensven, Johan; Pareyn, Myrthe</v>
      </c>
      <c r="Z597" s="31">
        <f>IFERROR(__xludf.DUMMYFUNCTION("""COMPUTED_VALUE"""),2024.0)</f>
        <v>2024</v>
      </c>
      <c r="AA597" s="31">
        <f>IFERROR(__xludf.DUMMYFUNCTION("""COMPUTED_VALUE"""),0.0)</f>
        <v>0</v>
      </c>
      <c r="AF597" s="31" t="str">
        <f>IFERROR(__xludf.DUMMYFUNCTION("""COMPUTED_VALUE"""),"Consumption of Alcoholic and Sugar-Sweetened Beverages is Associated with Increased Liver Fat Content in Middle-Aged Men and Women.")</f>
        <v>Consumption of Alcoholic and Sugar-Sweetened Beverages is Associated with Increased Liver Fat Content in Middle-Aged Men and Women.</v>
      </c>
      <c r="AG597" s="31" t="str">
        <f>IFERROR(__xludf.DUMMYFUNCTION("""COMPUTED_VALUE"""),"van Eekelen, Esther; Beulens, Joline W J; Geelen, Anouk; Schrauwen-Hinderling, Vera B; Lamb, Hildo; de Roos, Albert; Rosendaal, Frits; de Mutsert, Renée")</f>
        <v>van Eekelen, Esther; Beulens, Joline W J; Geelen, Anouk; Schrauwen-Hinderling, Vera B; Lamb, Hildo; de Roos, Albert; Rosendaal, Frits; de Mutsert, Renée</v>
      </c>
      <c r="AH597" s="32">
        <f>IFERROR(__xludf.DUMMYFUNCTION("""COMPUTED_VALUE"""),43556.0)</f>
        <v>43556</v>
      </c>
      <c r="AL597" s="31" t="str">
        <f>IFERROR(__xludf.DUMMYFUNCTION("""COMPUTED_VALUE"""),"Predicting Major Bleeding in Ischemic Stroke Patients With Atrial Fibrillation.")</f>
        <v>Predicting Major Bleeding in Ischemic Stroke Patients With Atrial Fibrillation.</v>
      </c>
      <c r="AM597" s="31" t="str">
        <f>IFERROR(__xludf.DUMMYFUNCTION("""COMPUTED_VALUE"""),"Hilkens, Nina A; Algra, Ale; Greving, Jacoba P")</f>
        <v>Hilkens, Nina A; Algra, Ale; Greving, Jacoba P</v>
      </c>
      <c r="AN597" s="32">
        <f>IFERROR(__xludf.DUMMYFUNCTION("""COMPUTED_VALUE"""),42998.0)</f>
        <v>42998</v>
      </c>
    </row>
    <row r="598">
      <c r="A598" s="32"/>
      <c r="I598" s="31" t="str">
        <f>IFERROR(__xludf.DUMMYFUNCTION("""COMPUTED_VALUE"""),"clinical endocrinology")</f>
        <v>clinical endocrinology</v>
      </c>
      <c r="J598" s="38">
        <f>COUNTIF(Data!$F$2:$F9917, $I598)</f>
        <v>4</v>
      </c>
      <c r="T598" s="31" t="s">
        <v>1333</v>
      </c>
      <c r="U598" s="31" t="s">
        <v>1334</v>
      </c>
      <c r="V598" s="32">
        <v>45272.0</v>
      </c>
      <c r="X598" s="31" t="str">
        <f>IFERROR(__xludf.DUMMYFUNCTION("""COMPUTED_VALUE"""),"Two cosmoses, one universe: a narrative review exploring the gut microbiome's role in the effect of urban risk factors on vascular ageing.")</f>
        <v>Two cosmoses, one universe: a narrative review exploring the gut microbiome's role in the effect of urban risk factors on vascular ageing.</v>
      </c>
      <c r="Y598" s="31" t="str">
        <f>IFERROR(__xludf.DUMMYFUNCTION("""COMPUTED_VALUE"""),"Bridge, Lara Anne; Hernández Vargas, Juliana Alexandra; Trujillo-Cáceres, Silvia Juliana; Beigrezaei, Sara; Chatelan, Angeline; Salehi-Abargouei, Amin; Muka, Taulant; Uriza-Pinzón, Julieth Pilar; Raeisi-Dehkordi, Hamidreza; Franco, Oscar H; Grompone, Gian"&amp;"franco; Artola Arita, Vicente")</f>
        <v>Bridge, Lara Anne; Hernández Vargas, Juliana Alexandra; Trujillo-Cáceres, Silvia Juliana; Beigrezaei, Sara; Chatelan, Angeline; Salehi-Abargouei, Amin; Muka, Taulant; Uriza-Pinzón, Julieth Pilar; Raeisi-Dehkordi, Hamidreza; Franco, Oscar H; Grompone, Gianfranco; Artola Arita, Vicente</v>
      </c>
      <c r="Z598" s="31">
        <f>IFERROR(__xludf.DUMMYFUNCTION("""COMPUTED_VALUE"""),2024.0)</f>
        <v>2024</v>
      </c>
      <c r="AA598" s="31">
        <f>IFERROR(__xludf.DUMMYFUNCTION("""COMPUTED_VALUE"""),0.0)</f>
        <v>0</v>
      </c>
      <c r="AF598" s="31" t="str">
        <f>IFERROR(__xludf.DUMMYFUNCTION("""COMPUTED_VALUE"""),"Responsible data sharing in international health research: a systematic review of principles and norms.")</f>
        <v>Responsible data sharing in international health research: a systematic review of principles and norms.</v>
      </c>
      <c r="AG598" s="31" t="str">
        <f>IFERROR(__xludf.DUMMYFUNCTION("""COMPUTED_VALUE"""),"Kalkman, Shona; Mostert, Menno; Gerlinger, Christoph; van Delden, Johannes J M; van Thiel, Ghislaine J M W")</f>
        <v>Kalkman, Shona; Mostert, Menno; Gerlinger, Christoph; van Delden, Johannes J M; van Thiel, Ghislaine J M W</v>
      </c>
      <c r="AH598" s="32">
        <f>IFERROR(__xludf.DUMMYFUNCTION("""COMPUTED_VALUE"""),43552.0)</f>
        <v>43552</v>
      </c>
      <c r="AL598" s="31" t="str">
        <f>IFERROR(__xludf.DUMMYFUNCTION("""COMPUTED_VALUE"""),"Salt intake and blood pressure response to percutaneous renal denervation in resistant hypertension.")</f>
        <v>Salt intake and blood pressure response to percutaneous renal denervation in resistant hypertension.</v>
      </c>
      <c r="AM598" s="31" t="str">
        <f>IFERROR(__xludf.DUMMYFUNCTION("""COMPUTED_VALUE"""),"de Beus, Esther; de Jager, Rosa L; Beeftink, Martine M; Sanders, Margreet F; Spiering, Wilko; Vonken, Evert-Jan; Voskuil, Michiel; Bots, Michiel L; Blankestijn, Peter J; ,")</f>
        <v>de Beus, Esther; de Jager, Rosa L; Beeftink, Martine M; Sanders, Margreet F; Spiering, Wilko; Vonken, Evert-Jan; Voskuil, Michiel; Bots, Michiel L; Blankestijn, Peter J; ,</v>
      </c>
      <c r="AN598" s="32">
        <f>IFERROR(__xludf.DUMMYFUNCTION("""COMPUTED_VALUE"""),42997.0)</f>
        <v>42997</v>
      </c>
    </row>
    <row r="599">
      <c r="A599" s="32"/>
      <c r="I599" s="31" t="str">
        <f>IFERROR(__xludf.DUMMYFUNCTION("""COMPUTED_VALUE"""),"journal of womens health")</f>
        <v>journal of womens health</v>
      </c>
      <c r="J599" s="38">
        <f>COUNTIF(Data!$F$2:$F9917, $I599)</f>
        <v>2</v>
      </c>
      <c r="T599" s="31" t="s">
        <v>1338</v>
      </c>
      <c r="U599" s="31" t="s">
        <v>1339</v>
      </c>
      <c r="V599" s="32">
        <v>45271.0</v>
      </c>
      <c r="X599" s="31" t="str">
        <f>IFERROR(__xludf.DUMMYFUNCTION("""COMPUTED_VALUE"""),"Safety Monitoring of COVID-19 Vaccines in Persons with Prior SARS-CoV-2 Infection: A European Multi-Country Study.")</f>
        <v>Safety Monitoring of COVID-19 Vaccines in Persons with Prior SARS-CoV-2 Infection: A European Multi-Country Study.</v>
      </c>
      <c r="Y599" s="31" t="str">
        <f>IFERROR(__xludf.DUMMYFUNCTION("""COMPUTED_VALUE"""),"Ciccimarra, Francesco; Luxi, Nicoletta; Bellitto, Chiara; L'Abbate, Luca; Raethke, Monika; van Hunsel, Florence; Lieber, Thomas; Mulder, Erik; Riefolo, Fabio; Dureau-Pournin, Caroline; Farcas, Andreea; Batel Marques, Francisco; Morton, Kathryn; Roy, Debab"&amp;"rata; Sonderlichová, Simona; Thurin, Nicolas H; Villalobos, Felipe; Sturkenboom, Miriam C; Trifirò, Gianluca")</f>
        <v>Ciccimarra, Francesco; Luxi, Nicoletta; Bellitto, Chiara; L'Abbate, Luca; Raethke, Monika; van Hunsel, Florence; Lieber, Thomas; Mulder, Erik; Riefolo, Fabio; Dureau-Pournin, Caroline; Farcas, Andreea; Batel Marques, Francisco; Morton, Kathryn; Roy, Debabrata; Sonderlichová, Simona; Thurin, Nicolas H; Villalobos, Felipe; Sturkenboom, Miriam C; Trifirò, Gianluca</v>
      </c>
      <c r="Z599" s="31">
        <f>IFERROR(__xludf.DUMMYFUNCTION("""COMPUTED_VALUE"""),2024.0)</f>
        <v>2024</v>
      </c>
      <c r="AA599" s="31">
        <f>IFERROR(__xludf.DUMMYFUNCTION("""COMPUTED_VALUE"""),0.0)</f>
        <v>0</v>
      </c>
      <c r="AF599" s="31" t="str">
        <f>IFERROR(__xludf.DUMMYFUNCTION("""COMPUTED_VALUE"""),"Socioeconomic and ethnic differences in the relation between dietary costs and dietary quality: the HELIUS study.")</f>
        <v>Socioeconomic and ethnic differences in the relation between dietary costs and dietary quality: the HELIUS study.</v>
      </c>
      <c r="AG599" s="31" t="str">
        <f>IFERROR(__xludf.DUMMYFUNCTION("""COMPUTED_VALUE"""),"Mackenbach, Joreintje D; Dijkstra, S Coosje; Beulens, Joline W J; Seidell, Jacob C; Snijder, Marieke B; Stronks, Karien; Monsivais, Pablo; Nicolaou, Mary")</f>
        <v>Mackenbach, Joreintje D; Dijkstra, S Coosje; Beulens, Joline W J; Seidell, Jacob C; Snijder, Marieke B; Stronks, Karien; Monsivais, Pablo; Nicolaou, Mary</v>
      </c>
      <c r="AH599" s="32">
        <f>IFERROR(__xludf.DUMMYFUNCTION("""COMPUTED_VALUE"""),43552.0)</f>
        <v>43552</v>
      </c>
      <c r="AL599" s="31" t="str">
        <f>IFERROR(__xludf.DUMMYFUNCTION("""COMPUTED_VALUE"""),"Construction of Full-length Infectious cDNA Clones of Apple chlorotic leaf spot virus and Their Agroinoculation to Woody Plants by a Novel Method of Vacuum Infiltration.")</f>
        <v>Construction of Full-length Infectious cDNA Clones of Apple chlorotic leaf spot virus and Their Agroinoculation to Woody Plants by a Novel Method of Vacuum Infiltration.</v>
      </c>
      <c r="AM599" s="31" t="str">
        <f>IFERROR(__xludf.DUMMYFUNCTION("""COMPUTED_VALUE"""),"Zhang, Lei; Jelkmann, Wilhelm")</f>
        <v>Zhang, Lei; Jelkmann, Wilhelm</v>
      </c>
      <c r="AN599" s="32">
        <f>IFERROR(__xludf.DUMMYFUNCTION("""COMPUTED_VALUE"""),42993.0)</f>
        <v>42993</v>
      </c>
    </row>
    <row r="600">
      <c r="A600" s="32"/>
      <c r="I600" s="31" t="str">
        <f>IFERROR(__xludf.DUMMYFUNCTION("""COMPUTED_VALUE"""),"environmental health perspectives")</f>
        <v>environmental health perspectives</v>
      </c>
      <c r="J600" s="38">
        <f>COUNTIF(Data!$F$2:$F9917, $I600)</f>
        <v>9</v>
      </c>
      <c r="T600" s="31" t="s">
        <v>1343</v>
      </c>
      <c r="U600" s="31" t="s">
        <v>1344</v>
      </c>
      <c r="V600" s="32">
        <v>45271.0</v>
      </c>
      <c r="X600" s="31" t="str">
        <f>IFERROR(__xludf.DUMMYFUNCTION("""COMPUTED_VALUE"""),"Both clinical trial register and electronic bibliographic database searches were needed to identify randomized clinical trials for systematic reviews: an evaluation study.")</f>
        <v>Both clinical trial register and electronic bibliographic database searches were needed to identify randomized clinical trials for systematic reviews: an evaluation study.</v>
      </c>
      <c r="Y600" s="31" t="str">
        <f>IFERROR(__xludf.DUMMYFUNCTION("""COMPUTED_VALUE"""),"Kaul, Tabea; Colombijn, Julia M T; Vernooij, Robin W M; Spijker, Rene; Idema, Demy L; Huis In 't Veld, Linde F; Damen, Johanna A A; Hooft, Lotty")</f>
        <v>Kaul, Tabea; Colombijn, Julia M T; Vernooij, Robin W M; Spijker, Rene; Idema, Demy L; Huis In 't Veld, Linde F; Damen, Johanna A A; Hooft, Lotty</v>
      </c>
      <c r="Z600" s="31">
        <f>IFERROR(__xludf.DUMMYFUNCTION("""COMPUTED_VALUE"""),2024.0)</f>
        <v>2024</v>
      </c>
      <c r="AA600" s="31">
        <f>IFERROR(__xludf.DUMMYFUNCTION("""COMPUTED_VALUE"""),0.0)</f>
        <v>0</v>
      </c>
      <c r="AF600" s="31" t="str">
        <f>IFERROR(__xludf.DUMMYFUNCTION("""COMPUTED_VALUE"""),"Is social support associated with hypertension control among Ghanaian migrants in Europe and non-migrants in Ghana? The RODAM study.")</f>
        <v>Is social support associated with hypertension control among Ghanaian migrants in Europe and non-migrants in Ghana? The RODAM study.</v>
      </c>
      <c r="AG600" s="31" t="str">
        <f>IFERROR(__xludf.DUMMYFUNCTION("""COMPUTED_VALUE"""),"Nyaaba, Gertrude Nsorma; Stronks, Karien; Meeks, Karlijn; Beune, Erik; Owusu-Dabo, Ellis; Addo, Juliet; de-Graft Aikins, Ama; Mockenhaupt, Frank; Bahendeka, Silver; Klipstein-Grobusch, Kerstin; Smeeth, Liam; Agyemang, Charles")</f>
        <v>Nyaaba, Gertrude Nsorma; Stronks, Karien; Meeks, Karlijn; Beune, Erik; Owusu-Dabo, Ellis; Addo, Juliet; de-Graft Aikins, Ama; Mockenhaupt, Frank; Bahendeka, Silver; Klipstein-Grobusch, Kerstin; Smeeth, Liam; Agyemang, Charles</v>
      </c>
      <c r="AH600" s="32">
        <f>IFERROR(__xludf.DUMMYFUNCTION("""COMPUTED_VALUE"""),43550.0)</f>
        <v>43550</v>
      </c>
      <c r="AL600" s="31" t="str">
        <f>IFERROR(__xludf.DUMMYFUNCTION("""COMPUTED_VALUE"""),"A novel statistical model for analyzing data of a systematic review generates optimal cutoff values for fractional exhaled nitric oxide for asthma diagnosis.")</f>
        <v>A novel statistical model for analyzing data of a systematic review generates optimal cutoff values for fractional exhaled nitric oxide for asthma diagnosis.</v>
      </c>
      <c r="AM600" s="31" t="str">
        <f>IFERROR(__xludf.DUMMYFUNCTION("""COMPUTED_VALUE"""),"Schneider, Antonius; Linde, Klaus; Reitsma, Johannes B; Steinhauser, Susanne; Rücker, Gerta")</f>
        <v>Schneider, Antonius; Linde, Klaus; Reitsma, Johannes B; Steinhauser, Susanne; Rücker, Gerta</v>
      </c>
      <c r="AN600" s="32">
        <f>IFERROR(__xludf.DUMMYFUNCTION("""COMPUTED_VALUE"""),42990.0)</f>
        <v>42990</v>
      </c>
    </row>
    <row r="601">
      <c r="A601" s="32"/>
      <c r="I601" s="31" t="str">
        <f>IFERROR(__xludf.DUMMYFUNCTION("""COMPUTED_VALUE"""),"brain and behavior")</f>
        <v>brain and behavior</v>
      </c>
      <c r="J601" s="38">
        <f>COUNTIF(Data!$F$2:$F9917, $I601)</f>
        <v>4</v>
      </c>
      <c r="T601" s="31" t="s">
        <v>1347</v>
      </c>
      <c r="U601" s="31" t="s">
        <v>1348</v>
      </c>
      <c r="V601" s="32">
        <v>45270.0</v>
      </c>
      <c r="X601" s="31" t="str">
        <f>IFERROR(__xludf.DUMMYFUNCTION("""COMPUTED_VALUE"""),"A systematic review of the association between modifiable lifestyle factors and circulating anti-Müllerian hormone.")</f>
        <v>A systematic review of the association between modifiable lifestyle factors and circulating anti-Müllerian hormone.</v>
      </c>
      <c r="Y601" s="31" t="str">
        <f>IFERROR(__xludf.DUMMYFUNCTION("""COMPUTED_VALUE"""),"Werner, Lotte; van der Schouw, Yvonne T; de Kat, Annelien C")</f>
        <v>Werner, Lotte; van der Schouw, Yvonne T; de Kat, Annelien C</v>
      </c>
      <c r="Z601" s="31">
        <f>IFERROR(__xludf.DUMMYFUNCTION("""COMPUTED_VALUE"""),2024.0)</f>
        <v>2024</v>
      </c>
      <c r="AA601" s="31">
        <f>IFERROR(__xludf.DUMMYFUNCTION("""COMPUTED_VALUE"""),0.0)</f>
        <v>0</v>
      </c>
      <c r="AF601" s="31" t="str">
        <f>IFERROR(__xludf.DUMMYFUNCTION("""COMPUTED_VALUE"""),"Hypertension in a rural community in South Africa: what they know, what they think they know and what they recommend.")</f>
        <v>Hypertension in a rural community in South Africa: what they know, what they think they know and what they recommend.</v>
      </c>
      <c r="AG601" s="31" t="str">
        <f>IFERROR(__xludf.DUMMYFUNCTION("""COMPUTED_VALUE"""),"Jongen, Vita W; Lalla-Edward, Samanta T; Vos, Alinda G; Godijk, Noortje G; Tempelman, Hugo; Grobbee, Diederick E; Devillé, Walter; Klipstein-Grobusch, Kerstin")</f>
        <v>Jongen, Vita W; Lalla-Edward, Samanta T; Vos, Alinda G; Godijk, Noortje G; Tempelman, Hugo; Grobbee, Diederick E; Devillé, Walter; Klipstein-Grobusch, Kerstin</v>
      </c>
      <c r="AH601" s="32">
        <f>IFERROR(__xludf.DUMMYFUNCTION("""COMPUTED_VALUE"""),43549.0)</f>
        <v>43549</v>
      </c>
      <c r="AL601" s="31" t="str">
        <f>IFERROR(__xludf.DUMMYFUNCTION("""COMPUTED_VALUE"""),"Severe depression more common in patients with ductal carcinoma in situ than early-stage invasive breast cancer patients.")</f>
        <v>Severe depression more common in patients with ductal carcinoma in situ than early-stage invasive breast cancer patients.</v>
      </c>
      <c r="AM601" s="31" t="str">
        <f>IFERROR(__xludf.DUMMYFUNCTION("""COMPUTED_VALUE"""),"Gregorowitsch, M L; van den Bongard, H J G D; Young-Afat, D A; Pignol, J P; van Gils, C H; May, A M; Verkooijen, H M")</f>
        <v>Gregorowitsch, M L; van den Bongard, H J G D; Young-Afat, D A; Pignol, J P; van Gils, C H; May, A M; Verkooijen, H M</v>
      </c>
      <c r="AN601" s="32">
        <f>IFERROR(__xludf.DUMMYFUNCTION("""COMPUTED_VALUE"""),42989.0)</f>
        <v>42989</v>
      </c>
    </row>
    <row r="602">
      <c r="A602" s="32"/>
      <c r="I602" s="31" t="str">
        <f>IFERROR(__xludf.DUMMYFUNCTION("""COMPUTED_VALUE"""),"health technology assessment winchester england")</f>
        <v>health technology assessment winchester england</v>
      </c>
      <c r="J602" s="38">
        <f>COUNTIF(Data!$F$2:$F9917, $I602)</f>
        <v>1</v>
      </c>
      <c r="T602" s="31" t="s">
        <v>1352</v>
      </c>
      <c r="U602" s="31" t="s">
        <v>1353</v>
      </c>
      <c r="V602" s="32">
        <v>45269.0</v>
      </c>
      <c r="X602" s="31"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Y602" s="31"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Z602" s="31">
        <f>IFERROR(__xludf.DUMMYFUNCTION("""COMPUTED_VALUE"""),2024.0)</f>
        <v>2024</v>
      </c>
      <c r="AA602" s="31">
        <f>IFERROR(__xludf.DUMMYFUNCTION("""COMPUTED_VALUE"""),0.0)</f>
        <v>0</v>
      </c>
      <c r="AF602" s="31" t="str">
        <f>IFERROR(__xludf.DUMMYFUNCTION("""COMPUTED_VALUE"""),"Determinants of coronary artery disease risk factor management across three world regions.")</f>
        <v>Determinants of coronary artery disease risk factor management across three world regions.</v>
      </c>
      <c r="AG602" s="31" t="str">
        <f>IFERROR(__xludf.DUMMYFUNCTION("""COMPUTED_VALUE"""),"Zhao, Min; Graham, Ian; Cooney, Marie Therese; Grobbee, Diederick E; Vaartjes, Ilonca; Klipstein-Grobusch, Kerstin")</f>
        <v>Zhao, Min; Graham, Ian; Cooney, Marie Therese; Grobbee, Diederick E; Vaartjes, Ilonca; Klipstein-Grobusch, Kerstin</v>
      </c>
      <c r="AH602" s="32">
        <f>IFERROR(__xludf.DUMMYFUNCTION("""COMPUTED_VALUE"""),43532.0)</f>
        <v>43532</v>
      </c>
      <c r="AL602" s="31" t="str">
        <f>IFERROR(__xludf.DUMMYFUNCTION("""COMPUTED_VALUE"""),"Cost-effectiveness of human papillomavirus vaccination in Germany.")</f>
        <v>Cost-effectiveness of human papillomavirus vaccination in Germany.</v>
      </c>
      <c r="AM602" s="31" t="str">
        <f>IFERROR(__xludf.DUMMYFUNCTION("""COMPUTED_VALUE"""),"Damm, Oliver; Horn, Johannes; Mikolajczyk, Rafael T; Kretzschmar, Mirjam E E; Kaufmann, Andreas M; Deleré, Yvonne; Ultsch, Bernhard; Wichmann, Ole; Krämer, Alexander; Greiner, Wolfgang")</f>
        <v>Damm, Oliver; Horn, Johannes; Mikolajczyk, Rafael T; Kretzschmar, Mirjam E E; Kaufmann, Andreas M; Deleré, Yvonne; Ultsch, Bernhard; Wichmann, Ole; Krämer, Alexander; Greiner, Wolfgang</v>
      </c>
      <c r="AN602" s="32">
        <f>IFERROR(__xludf.DUMMYFUNCTION("""COMPUTED_VALUE"""),42982.0)</f>
        <v>42982</v>
      </c>
    </row>
    <row r="603">
      <c r="A603" s="32"/>
      <c r="I603" s="31" t="str">
        <f>IFERROR(__xludf.DUMMYFUNCTION("""COMPUTED_VALUE"""),"bmc pediatrics")</f>
        <v>bmc pediatrics</v>
      </c>
      <c r="J603" s="38">
        <f>COUNTIF(Data!$F$2:$F9917, $I603)</f>
        <v>3</v>
      </c>
      <c r="T603" s="31" t="s">
        <v>1356</v>
      </c>
      <c r="U603" s="31" t="s">
        <v>1357</v>
      </c>
      <c r="V603" s="32">
        <v>45269.0</v>
      </c>
      <c r="X603" s="31" t="str">
        <f>IFERROR(__xludf.DUMMYFUNCTION("""COMPUTED_VALUE"""),"Real-World Evidence to Inform Regulatory Decision Making: A Scoping Review.")</f>
        <v>Real-World Evidence to Inform Regulatory Decision Making: A Scoping Review.</v>
      </c>
      <c r="Y603" s="31"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Z603" s="31">
        <f>IFERROR(__xludf.DUMMYFUNCTION("""COMPUTED_VALUE"""),2024.0)</f>
        <v>2024</v>
      </c>
      <c r="AA603" s="31">
        <f>IFERROR(__xludf.DUMMYFUNCTION("""COMPUTED_VALUE"""),0.0)</f>
        <v>0</v>
      </c>
      <c r="AF603" s="31" t="str">
        <f>IFERROR(__xludf.DUMMYFUNCTION("""COMPUTED_VALUE"""),"How and why front-line health workers (did not) use a multifaceted mHealth intervention to support maternal and neonatal healthcare decision-making in Ghana.")</f>
        <v>How and why front-line health workers (did not) use a multifaceted mHealth intervention to support maternal and neonatal healthcare decision-making in Ghana.</v>
      </c>
      <c r="AG603" s="31" t="str">
        <f>IFERROR(__xludf.DUMMYFUNCTION("""COMPUTED_VALUE"""),"Amoakoh, Hannah Brown; Klipstein-Grobusch, Kerstin; Ansah, Evelyn Korkor; Grobbee, Diederick E; Yveoo, Linda; Agyepong, Irene")</f>
        <v>Amoakoh, Hannah Brown; Klipstein-Grobusch, Kerstin; Ansah, Evelyn Korkor; Grobbee, Diederick E; Yveoo, Linda; Agyepong, Irene</v>
      </c>
      <c r="AH603" s="32">
        <f>IFERROR(__xludf.DUMMYFUNCTION("""COMPUTED_VALUE"""),43532.0)</f>
        <v>43532</v>
      </c>
      <c r="AL603" s="31" t="str">
        <f>IFERROR(__xludf.DUMMYFUNCTION("""COMPUTED_VALUE"""),"Renal safety of catheter-based renal denervation: systematic review and meta-analysis.")</f>
        <v>Renal safety of catheter-based renal denervation: systematic review and meta-analysis.</v>
      </c>
      <c r="AM603" s="31" t="str">
        <f>IFERROR(__xludf.DUMMYFUNCTION("""COMPUTED_VALUE"""),"Sanders, Margreet F; Reitsma, Johannes B; Morpey, Moira; Gremmels, Hendrik; Bots, Michiel L; Pisano, Anna; Bolignano, Davide; Zoccali, Carmine; Blankestijn, Peter J")</f>
        <v>Sanders, Margreet F; Reitsma, Johannes B; Morpey, Moira; Gremmels, Hendrik; Bots, Michiel L; Pisano, Anna; Bolignano, Davide; Zoccali, Carmine; Blankestijn, Peter J</v>
      </c>
      <c r="AN603" s="32">
        <f>IFERROR(__xludf.DUMMYFUNCTION("""COMPUTED_VALUE"""),42979.0)</f>
        <v>42979</v>
      </c>
    </row>
    <row r="604">
      <c r="A604" s="32"/>
      <c r="I604" s="31" t="str">
        <f>IFERROR(__xludf.DUMMYFUNCTION("""COMPUTED_VALUE"""),"academic pediatrics")</f>
        <v>academic pediatrics</v>
      </c>
      <c r="J604" s="38">
        <f>COUNTIF(Data!$F$2:$F9917, $I604)</f>
        <v>1</v>
      </c>
      <c r="T604" s="31" t="s">
        <v>1360</v>
      </c>
      <c r="U604" s="31" t="s">
        <v>1361</v>
      </c>
      <c r="V604" s="32">
        <v>45268.0</v>
      </c>
      <c r="X604" s="31"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Y604" s="31"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Z604" s="31">
        <f>IFERROR(__xludf.DUMMYFUNCTION("""COMPUTED_VALUE"""),2024.0)</f>
        <v>2024</v>
      </c>
      <c r="AA604" s="31">
        <f>IFERROR(__xludf.DUMMYFUNCTION("""COMPUTED_VALUE"""),0.0)</f>
        <v>0</v>
      </c>
      <c r="AF604" s="31" t="str">
        <f>IFERROR(__xludf.DUMMYFUNCTION("""COMPUTED_VALUE"""),"Salmonella Typhi From Blood Cultures in the Democratic Republic of the Congo: A 10-Year Surveillance.")</f>
        <v>Salmonella Typhi From Blood Cultures in the Democratic Republic of the Congo: A 10-Year Surveillance.</v>
      </c>
      <c r="AG604" s="31" t="str">
        <f>IFERROR(__xludf.DUMMYFUNCTION("""COMPUTED_VALUE"""),"Tack, Bieke; Phoba, Marie-France; Van Puyvelde, Sandra; Kalonji, Lisette M; Hardy, Liselotte; Barbé, Barbara; Van der Sande, Marianne A B; Monsieurs, Elise; Deborggraeve, Stijn; Lunguya, Octavie; Jacobs, Jan")</f>
        <v>Tack, Bieke; Phoba, Marie-France; Van Puyvelde, Sandra; Kalonji, Lisette M; Hardy, Liselotte; Barbé, Barbara; Van der Sande, Marianne A B; Monsieurs, Elise; Deborggraeve, Stijn; Lunguya, Octavie; Jacobs, Jan</v>
      </c>
      <c r="AH604" s="32">
        <f>IFERROR(__xludf.DUMMYFUNCTION("""COMPUTED_VALUE"""),43531.0)</f>
        <v>43531</v>
      </c>
      <c r="AL604" s="31" t="str">
        <f>IFERROR(__xludf.DUMMYFUNCTION("""COMPUTED_VALUE"""),"Selective digestive and oropharyngeal decontamination in medical and surgical ICU patients: individual patient data meta-analysis.")</f>
        <v>Selective digestive and oropharyngeal decontamination in medical and surgical ICU patients: individual patient data meta-analysis.</v>
      </c>
      <c r="AM604" s="31" t="str">
        <f>IFERROR(__xludf.DUMMYFUNCTION("""COMPUTED_VALUE"""),"Plantinga, N L; de Smet, A M G A; Oostdijk, E A N; de Jonge, E; Camus, C; Krueger, W A; Bergmans, D; Reitsma, J B; Bonten, M J M")</f>
        <v>Plantinga, N L; de Smet, A M G A; Oostdijk, E A N; de Jonge, E; Camus, C; Krueger, W A; Bergmans, D; Reitsma, J B; Bonten, M J M</v>
      </c>
      <c r="AN604" s="32">
        <f>IFERROR(__xludf.DUMMYFUNCTION("""COMPUTED_VALUE"""),42979.0)</f>
        <v>42979</v>
      </c>
    </row>
    <row r="605">
      <c r="A605" s="32"/>
      <c r="I605" s="31" t="str">
        <f>IFERROR(__xludf.DUMMYFUNCTION("""COMPUTED_VALUE"""),"journal of cardiology")</f>
        <v>journal of cardiology</v>
      </c>
      <c r="J605" s="38">
        <f>COUNTIF(Data!$F$2:$F9917, $I605)</f>
        <v>2</v>
      </c>
      <c r="T605" s="31" t="s">
        <v>1364</v>
      </c>
      <c r="U605" s="31" t="s">
        <v>1365</v>
      </c>
      <c r="V605" s="32">
        <v>45267.0</v>
      </c>
      <c r="X605" s="31" t="str">
        <f>IFERROR(__xludf.DUMMYFUNCTION("""COMPUTED_VALUE"""),"An omics-based machine learning approach to predict diabetes progression: a RHAPSODY study.")</f>
        <v>An omics-based machine learning approach to predict diabetes progression: a RHAPSODY study.</v>
      </c>
      <c r="Y605" s="31" t="str">
        <f>IFERROR(__xludf.DUMMYFUNCTION("""COMPUTED_VALUE"""),"Slieker, Roderick C; Münch, Magnus; Donnelly, Louise A; Bouland, Gerard A; Dragan, Iulian; Kuznetsov, Dmitry; Elders, Petra J M; Rutter, Guy A; Ibberson, Mark; Pearson, Ewan R; 't Hart, Leen M; van de Wiel, Mark A; Beulens, Joline W J")</f>
        <v>Slieker, Roderick C; Münch, Magnus; Donnelly, Louise A; Bouland, Gerard A; Dragan, Iulian; Kuznetsov, Dmitry; Elders, Petra J M; Rutter, Guy A; Ibberson, Mark; Pearson, Ewan R; 't Hart, Leen M; van de Wiel, Mark A; Beulens, Joline W J</v>
      </c>
      <c r="Z605" s="31">
        <f>IFERROR(__xludf.DUMMYFUNCTION("""COMPUTED_VALUE"""),2024.0)</f>
        <v>2024</v>
      </c>
      <c r="AA605" s="31">
        <f>IFERROR(__xludf.DUMMYFUNCTION("""COMPUTED_VALUE"""),0.0)</f>
        <v>0</v>
      </c>
      <c r="AF605" s="31" t="str">
        <f>IFERROR(__xludf.DUMMYFUNCTION("""COMPUTED_VALUE"""),"Prevalence and Prognostic Implications of Longitudinal Ejection Fraction Change in Heart Failure.")</f>
        <v>Prevalence and Prognostic Implications of Longitudinal Ejection Fraction Change in Heart Failure.</v>
      </c>
      <c r="AG605" s="31" t="str">
        <f>IFERROR(__xludf.DUMMYFUNCTION("""COMPUTED_VALUE"""),"Savarese, Gianluigi; Vedin, Ola; D'Amario, Domenico; Uijl, Alicia; Dahlström, Ulf; Rosano, Giuseppe; Lam, Carolyn S P; Lund, Lars H")</f>
        <v>Savarese, Gianluigi; Vedin, Ola; D'Amario, Domenico; Uijl, Alicia; Dahlström, Ulf; Rosano, Giuseppe; Lam, Carolyn S P; Lund, Lars H</v>
      </c>
      <c r="AH605" s="32">
        <f>IFERROR(__xludf.DUMMYFUNCTION("""COMPUTED_VALUE"""),43530.0)</f>
        <v>43530</v>
      </c>
      <c r="AL605" s="31" t="str">
        <f>IFERROR(__xludf.DUMMYFUNCTION("""COMPUTED_VALUE"""),"Physical ExeRcise Following Esophageal Cancer Treatment (PERFECT) study: design of a randomized controlled trial.")</f>
        <v>Physical ExeRcise Following Esophageal Cancer Treatment (PERFECT) study: design of a randomized controlled trial.</v>
      </c>
      <c r="AM605" s="31" t="str">
        <f>IFERROR(__xludf.DUMMYFUNCTION("""COMPUTED_VALUE"""),"van Vulpen, Jonna K; Siersema, Peter D; van Hillegersberg, Richard; Nieuwenhuijzen, Grard A P; Kouwenhoven, Ewout A; Groenendijk, Richard P R; van der Peet, Donald L; Hazebroek, Eric J; Rosman, Camiel; Schippers, Carlo C G; Steenhagen, Elles; Peeters, Pet"&amp;"ra H M; May, Anne M")</f>
        <v>van Vulpen, Jonna K; Siersema, Peter D; van Hillegersberg, Richard; Nieuwenhuijzen, Grard A P; Kouwenhoven, Ewout A; Groenendijk, Richard P R; van der Peet, Donald L; Hazebroek, Eric J; Rosman, Camiel; Schippers, Carlo C G; Steenhagen, Elles; Peeters, Petra H M; May, Anne M</v>
      </c>
      <c r="AN605" s="32">
        <f>IFERROR(__xludf.DUMMYFUNCTION("""COMPUTED_VALUE"""),42965.0)</f>
        <v>42965</v>
      </c>
    </row>
    <row r="606">
      <c r="A606" s="32"/>
      <c r="I606" s="31" t="str">
        <f>IFERROR(__xludf.DUMMYFUNCTION("""COMPUTED_VALUE"""),"appetite")</f>
        <v>appetite</v>
      </c>
      <c r="J606" s="38">
        <f>COUNTIF(Data!$F$2:$F9917, $I606)</f>
        <v>1</v>
      </c>
      <c r="T606" s="31" t="s">
        <v>1369</v>
      </c>
      <c r="U606" s="31" t="s">
        <v>1370</v>
      </c>
      <c r="V606" s="32">
        <v>45267.0</v>
      </c>
      <c r="X606" s="31" t="str">
        <f>IFERROR(__xludf.DUMMYFUNCTION("""COMPUTED_VALUE"""),"Is the association between social jetlag and BMI mediated by lifestyle? A cross-sectional survey study in the Dutch general population.")</f>
        <v>Is the association between social jetlag and BMI mediated by lifestyle? A cross-sectional survey study in the Dutch general population.</v>
      </c>
      <c r="Y606" s="31" t="str">
        <f>IFERROR(__xludf.DUMMYFUNCTION("""COMPUTED_VALUE"""),"Bouman, Emma J; Mackenbach, Joreintje D; Twisk, Jos W R; Raimondo, Laura; Beulens, Joline W J; Elders, Petra J M; Rutters, Femke")</f>
        <v>Bouman, Emma J; Mackenbach, Joreintje D; Twisk, Jos W R; Raimondo, Laura; Beulens, Joline W J; Elders, Petra J M; Rutters, Femke</v>
      </c>
      <c r="Z606" s="31">
        <f>IFERROR(__xludf.DUMMYFUNCTION("""COMPUTED_VALUE"""),2024.0)</f>
        <v>2024</v>
      </c>
      <c r="AA606" s="31">
        <f>IFERROR(__xludf.DUMMYFUNCTION("""COMPUTED_VALUE"""),0.0)</f>
        <v>0</v>
      </c>
      <c r="AF606" s="31" t="str">
        <f>IFERROR(__xludf.DUMMYFUNCTION("""COMPUTED_VALUE"""),"Global Heart: The Prime Journal for Global Cardiovascular Research Findings, Implementation and Interpretation.")</f>
        <v>Global Heart: The Prime Journal for Global Cardiovascular Research Findings, Implementation and Interpretation.</v>
      </c>
      <c r="AG606" s="31" t="str">
        <f>IFERROR(__xludf.DUMMYFUNCTION("""COMPUTED_VALUE"""),"Grobbee, Diederick E")</f>
        <v>Grobbee, Diederick E</v>
      </c>
      <c r="AH606" s="32">
        <f>IFERROR(__xludf.DUMMYFUNCTION("""COMPUTED_VALUE"""),43525.0)</f>
        <v>43525</v>
      </c>
      <c r="AL606" s="31" t="str">
        <f>IFERROR(__xludf.DUMMYFUNCTION("""COMPUTED_VALUE"""),"STARD for Abstracts: essential items for reporting diagnostic accuracy studies in journal or conference abstracts.")</f>
        <v>STARD for Abstracts: essential items for reporting diagnostic accuracy studies in journal or conference abstracts.</v>
      </c>
      <c r="AM606" s="31" t="str">
        <f>IFERROR(__xludf.DUMMYFUNCTION("""COMPUTED_VALUE"""),"Cohen, Jérémie F; Korevaar, Daniël A; Gatsonis, Constantine A; Glasziou, Paul P; Hooft, Lotty; Moher, David; Reitsma, Johannes B; de Vet, Henrica Cw; Bossuyt, Patrick M; ,")</f>
        <v>Cohen, Jérémie F; Korevaar, Daniël A; Gatsonis, Constantine A; Glasziou, Paul P; Hooft, Lotty; Moher, David; Reitsma, Johannes B; de Vet, Henrica Cw; Bossuyt, Patrick M; ,</v>
      </c>
      <c r="AN606" s="32">
        <f>IFERROR(__xludf.DUMMYFUNCTION("""COMPUTED_VALUE"""),42964.0)</f>
        <v>42964</v>
      </c>
    </row>
    <row r="607">
      <c r="A607" s="32"/>
      <c r="I607" s="31" t="str">
        <f>IFERROR(__xludf.DUMMYFUNCTION("""COMPUTED_VALUE"""),"applied ergonomics")</f>
        <v>applied ergonomics</v>
      </c>
      <c r="J607" s="38">
        <f>COUNTIF(Data!$F$2:$F9917, $I607)</f>
        <v>1</v>
      </c>
      <c r="T607" s="31" t="s">
        <v>1374</v>
      </c>
      <c r="U607" s="31" t="s">
        <v>1375</v>
      </c>
      <c r="V607" s="32">
        <v>45266.0</v>
      </c>
      <c r="X607" s="31" t="str">
        <f>IFERROR(__xludf.DUMMYFUNCTION("""COMPUTED_VALUE"""),"Response to letter to the editor regarding ""External validation of a lung cancer-based prediction model for two-year mortality in esophageal cancer patient cohorts"" by M. Berbée et al.")</f>
        <v>Response to letter to the editor regarding "External validation of a lung cancer-based prediction model for two-year mortality in esophageal cancer patient cohorts" by M. Berbée et al.</v>
      </c>
      <c r="Y607" s="31" t="str">
        <f>IFERROR(__xludf.DUMMYFUNCTION("""COMPUTED_VALUE"""),"Berbée, M; Muijs, C T; Schuit, E")</f>
        <v>Berbée, M; Muijs, C T; Schuit, E</v>
      </c>
      <c r="Z607" s="31">
        <f>IFERROR(__xludf.DUMMYFUNCTION("""COMPUTED_VALUE"""),2024.0)</f>
        <v>2024</v>
      </c>
      <c r="AA607" s="31">
        <f>IFERROR(__xludf.DUMMYFUNCTION("""COMPUTED_VALUE"""),0.0)</f>
        <v>0</v>
      </c>
      <c r="AF607" s="31" t="str">
        <f>IFERROR(__xludf.DUMMYFUNCTION("""COMPUTED_VALUE"""),"Current mentorship practices in the training of the next generation of clinical microbiology and infectious disease specialists: an international cross-sectional survey.")</f>
        <v>Current mentorship practices in the training of the next generation of clinical microbiology and infectious disease specialists: an international cross-sectional survey.</v>
      </c>
      <c r="AG607" s="31" t="str">
        <f>IFERROR(__xludf.DUMMYFUNCTION("""COMPUTED_VALUE"""),"Ong, David S Y; Zapf, Thea Christine; Cevik, Muge; Palacios-Baena, Zaira R; Barać, Aleksandra; Cimen, Cansu; Maraolo, Alberto E; Rönnberg, Caroline; Cambau, Emmanuelle; Poljak, Mario; ,")</f>
        <v>Ong, David S Y; Zapf, Thea Christine; Cevik, Muge; Palacios-Baena, Zaira R; Barać, Aleksandra; Cimen, Cansu; Maraolo, Alberto E; Rönnberg, Caroline; Cambau, Emmanuelle; Poljak, Mario; ,</v>
      </c>
      <c r="AH607" s="32">
        <f>IFERROR(__xludf.DUMMYFUNCTION("""COMPUTED_VALUE"""),43515.0)</f>
        <v>43515</v>
      </c>
      <c r="AL607" s="31" t="str">
        <f>IFERROR(__xludf.DUMMYFUNCTION("""COMPUTED_VALUE"""),"Predicting major bleeding in patients with noncardioembolic stroke on antiplatelets: S&lt;sub&gt;2&lt;/sub&gt;TOP-BLEED.")</f>
        <v>Predicting major bleeding in patients with noncardioembolic stroke on antiplatelets: S&lt;sub&gt;2&lt;/sub&gt;TOP-BLEED.</v>
      </c>
      <c r="AM607" s="31" t="str">
        <f>IFERROR(__xludf.DUMMYFUNCTION("""COMPUTED_VALUE"""),"Hilkens, Nina A; Algra, Ale; Diener, Hans-Christoph; Reitsma, Johannes B; Bath, Philip M; Csiba, Laszlo; Hacke, Werner; Kappelle, L Jaap; Koudstaal, Peter J; Leys, Didier; Mas, Jean-Louis; Sacco, Ralph L; Amarenco, Pierre; Sissani, Leila; Greving, Jacoba "&amp;"P; ,")</f>
        <v>Hilkens, Nina A; Algra, Ale; Diener, Hans-Christoph; Reitsma, Johannes B; Bath, Philip M; Csiba, Laszlo; Hacke, Werner; Kappelle, L Jaap; Koudstaal, Peter J; Leys, Didier; Mas, Jean-Louis; Sacco, Ralph L; Amarenco, Pierre; Sissani, Leila; Greving, Jacoba P; ,</v>
      </c>
      <c r="AN607" s="32">
        <f>IFERROR(__xludf.DUMMYFUNCTION("""COMPUTED_VALUE"""),42949.0)</f>
        <v>42949</v>
      </c>
    </row>
    <row r="608">
      <c r="A608" s="32"/>
      <c r="I608" s="31" t="str">
        <f>IFERROR(__xludf.DUMMYFUNCTION("""COMPUTED_VALUE"""),"breast care basel switzerland")</f>
        <v>breast care basel switzerland</v>
      </c>
      <c r="J608" s="38">
        <f>COUNTIF(Data!$F$2:$F9917, $I608)</f>
        <v>1</v>
      </c>
      <c r="T608" s="31" t="s">
        <v>1379</v>
      </c>
      <c r="U608" s="31" t="s">
        <v>1380</v>
      </c>
      <c r="V608" s="32">
        <v>45262.0</v>
      </c>
      <c r="X608" s="31" t="str">
        <f>IFERROR(__xludf.DUMMYFUNCTION("""COMPUTED_VALUE"""),"Harnessing the Potential of Real-World Evidence in the Treatment of Colorectal Cancer: Where Do We Stand?")</f>
        <v>Harnessing the Potential of Real-World Evidence in the Treatment of Colorectal Cancer: Where Do We Stand?</v>
      </c>
      <c r="Y608" s="31" t="str">
        <f>IFERROR(__xludf.DUMMYFUNCTION("""COMPUTED_VALUE"""),"van Nassau, Sietske C M W; Bol, Guus M; van der Baan, Frederieke H; Roodhart, Jeanine M L; Vink, Geraldine R; Punt, Cornelis J A; May, Anne M; Koopman, Miriam; Derksen, Jeroen W G")</f>
        <v>van Nassau, Sietske C M W; Bol, Guus M; van der Baan, Frederieke H; Roodhart, Jeanine M L; Vink, Geraldine R; Punt, Cornelis J A; May, Anne M; Koopman, Miriam; Derksen, Jeroen W G</v>
      </c>
      <c r="Z608" s="31">
        <f>IFERROR(__xludf.DUMMYFUNCTION("""COMPUTED_VALUE"""),2024.0)</f>
        <v>2024</v>
      </c>
      <c r="AA608" s="31">
        <f>IFERROR(__xludf.DUMMYFUNCTION("""COMPUTED_VALUE"""),0.0)</f>
        <v>0</v>
      </c>
      <c r="AF608" s="31" t="str">
        <f>IFERROR(__xludf.DUMMYFUNCTION("""COMPUTED_VALUE"""),"Sex Differences in the Prevalence of, and Trends in, Cardiovascular Risk Factors, Treatment, and Control in the United States, 2001 to 2016.")</f>
        <v>Sex Differences in the Prevalence of, and Trends in, Cardiovascular Risk Factors, Treatment, and Control in the United States, 2001 to 2016.</v>
      </c>
      <c r="AG608" s="31" t="str">
        <f>IFERROR(__xludf.DUMMYFUNCTION("""COMPUTED_VALUE"""),"Peters, Sanne A E; Muntner, Paul; Woodward, Mark")</f>
        <v>Peters, Sanne A E; Muntner, Paul; Woodward, Mark</v>
      </c>
      <c r="AH608" s="32">
        <f>IFERROR(__xludf.DUMMYFUNCTION("""COMPUTED_VALUE"""),43515.0)</f>
        <v>43515</v>
      </c>
      <c r="AL608" s="31" t="str">
        <f>IFERROR(__xludf.DUMMYFUNCTION("""COMPUTED_VALUE"""),"A Novel Diagnostic Tool for Selecting Patients With Mesenchymal-Type Colon Cancer Reveals Intratumor Subtype Heterogeneity.")</f>
        <v>A Novel Diagnostic Tool for Selecting Patients With Mesenchymal-Type Colon Cancer Reveals Intratumor Subtype Heterogeneity.</v>
      </c>
      <c r="AM608" s="31" t="str">
        <f>IFERROR(__xludf.DUMMYFUNCTION("""COMPUTED_VALUE"""),"Ubink, Inge; Elias, Sjoerd G; Moelans, Cathy B; Laclé, Miangela M; van Grevenstein, Wilhelmina M U; van Diest, Paul J; Borel Rinkes, Inne H M; Kranenburg, Onno")</f>
        <v>Ubink, Inge; Elias, Sjoerd G; Moelans, Cathy B; Laclé, Miangela M; van Grevenstein, Wilhelmina M U; van Diest, Paul J; Borel Rinkes, Inne H M; Kranenburg, Onno</v>
      </c>
      <c r="AN608" s="32">
        <f>IFERROR(__xludf.DUMMYFUNCTION("""COMPUTED_VALUE"""),42948.0)</f>
        <v>42948</v>
      </c>
    </row>
    <row r="609">
      <c r="A609" s="32"/>
      <c r="I609" s="31" t="str">
        <f>IFERROR(__xludf.DUMMYFUNCTION("""COMPUTED_VALUE"""),"diabetes")</f>
        <v>diabetes</v>
      </c>
      <c r="J609" s="38">
        <f>COUNTIF(Data!$F$2:$F9917, $I609)</f>
        <v>6</v>
      </c>
      <c r="T609" s="31" t="s">
        <v>1384</v>
      </c>
      <c r="U609" s="31" t="s">
        <v>1385</v>
      </c>
      <c r="V609" s="32">
        <v>45262.0</v>
      </c>
      <c r="X609" s="31" t="str">
        <f>IFERROR(__xludf.DUMMYFUNCTION("""COMPUTED_VALUE"""),"How do patients with rheumatoid arthritis perceive their self-care and self-care support? A mixed-method study.")</f>
        <v>How do patients with rheumatoid arthritis perceive their self-care and self-care support? A mixed-method study.</v>
      </c>
      <c r="Y609" s="31" t="str">
        <f>IFERROR(__xludf.DUMMYFUNCTION("""COMPUTED_VALUE"""),"Westland, Heleen; Kuiper, Stefan; van den Bovenkamp, Cheryl; Blaas, Etienne; Jaarsma, Tiny")</f>
        <v>Westland, Heleen; Kuiper, Stefan; van den Bovenkamp, Cheryl; Blaas, Etienne; Jaarsma, Tiny</v>
      </c>
      <c r="Z609" s="31">
        <f>IFERROR(__xludf.DUMMYFUNCTION("""COMPUTED_VALUE"""),2024.0)</f>
        <v>2024</v>
      </c>
      <c r="AA609" s="31">
        <f>IFERROR(__xludf.DUMMYFUNCTION("""COMPUTED_VALUE"""),0.0)</f>
        <v>0</v>
      </c>
      <c r="AF609" s="31" t="str">
        <f>IFERROR(__xludf.DUMMYFUNCTION("""COMPUTED_VALUE"""),"The Stability of Treatment Preferences Among Patients With Advanced Cancer.")</f>
        <v>The Stability of Treatment Preferences Among Patients With Advanced Cancer.</v>
      </c>
      <c r="AG609" s="31" t="str">
        <f>IFERROR(__xludf.DUMMYFUNCTION("""COMPUTED_VALUE"""),"Jabbarian, Lea J; Maciejewski, Renee C; Maciejewski, Paul K; Rietjens, Judith A C; Korfage, Ida J; van der Heide, Agnes; van Delden, Johannes J M; Prigerson, Holly G")</f>
        <v>Jabbarian, Lea J; Maciejewski, Renee C; Maciejewski, Paul K; Rietjens, Judith A C; Korfage, Ida J; van der Heide, Agnes; van Delden, Johannes J M; Prigerson, Holly G</v>
      </c>
      <c r="AH609" s="32">
        <f>IFERROR(__xludf.DUMMYFUNCTION("""COMPUTED_VALUE"""),43515.0)</f>
        <v>43515</v>
      </c>
      <c r="AL609" s="31" t="str">
        <f>IFERROR(__xludf.DUMMYFUNCTION("""COMPUTED_VALUE"""),"Frailty Screening Tools for Elderly Patients Incident to Dialysis.")</f>
        <v>Frailty Screening Tools for Elderly Patients Incident to Dialysis.</v>
      </c>
      <c r="AM609" s="31" t="str">
        <f>IFERROR(__xludf.DUMMYFUNCTION("""COMPUTED_VALUE"""),"van Loon, Ismay N; Goto, Namiko A; Boereboom, Franciscus T J; Bots, Michiel L; Verhaar, Marianne C; Hamaker, Marije E")</f>
        <v>van Loon, Ismay N; Goto, Namiko A; Boereboom, Franciscus T J; Bots, Michiel L; Verhaar, Marianne C; Hamaker, Marije E</v>
      </c>
      <c r="AN609" s="32">
        <f>IFERROR(__xludf.DUMMYFUNCTION("""COMPUTED_VALUE"""),42933.0)</f>
        <v>42933</v>
      </c>
    </row>
    <row r="610">
      <c r="A610" s="32"/>
      <c r="I610" s="31" t="str">
        <f>IFERROR(__xludf.DUMMYFUNCTION("""COMPUTED_VALUE"""),"medical care")</f>
        <v>medical care</v>
      </c>
      <c r="J610" s="38">
        <f>COUNTIF(Data!$F$2:$F9917, $I610)</f>
        <v>1</v>
      </c>
      <c r="T610" s="31" t="s">
        <v>1389</v>
      </c>
      <c r="U610" s="31" t="s">
        <v>1390</v>
      </c>
      <c r="V610" s="32">
        <v>45261.0</v>
      </c>
      <c r="X610" s="31" t="str">
        <f>IFERROR(__xludf.DUMMYFUNCTION("""COMPUTED_VALUE"""),"Hope, but never expect? Comparing parents' pre- and post-disclosure attitudes toward return of results from diagnostic exome sequencing for their child.")</f>
        <v>Hope, but never expect? Comparing parents' pre- and post-disclosure attitudes toward return of results from diagnostic exome sequencing for their child.</v>
      </c>
      <c r="Y610" s="31" t="str">
        <f>IFERROR(__xludf.DUMMYFUNCTION("""COMPUTED_VALUE"""),"Cornelis, Candice; Tibben, Aad; Brilstra, Eva; Bolt, Ineke; van Summeren, Marieke; Knoers, Nine; Bredenoord, Annelien L")</f>
        <v>Cornelis, Candice; Tibben, Aad; Brilstra, Eva; Bolt, Ineke; van Summeren, Marieke; Knoers, Nine; Bredenoord, Annelien L</v>
      </c>
      <c r="Z610" s="31">
        <f>IFERROR(__xludf.DUMMYFUNCTION("""COMPUTED_VALUE"""),2024.0)</f>
        <v>2024</v>
      </c>
      <c r="AA610" s="31">
        <f>IFERROR(__xludf.DUMMYFUNCTION("""COMPUTED_VALUE"""),0.0)</f>
        <v>0</v>
      </c>
      <c r="AF610" s="31" t="str">
        <f>IFERROR(__xludf.DUMMYFUNCTION("""COMPUTED_VALUE"""),"Dairy Product Intake and Risk of Type 2 Diabetes in EPIC-InterAct: A Mendelian Randomization Study.")</f>
        <v>Dairy Product Intake and Risk of Type 2 Diabetes in EPIC-InterAct: A Mendelian Randomization Study.</v>
      </c>
      <c r="AG610" s="31" t="str">
        <f>IFERROR(__xludf.DUMMYFUNCTION("""COMPUTED_VALUE"""),"Vissers, Linda E T; Sluijs, Ivonne; van der Schouw, Yvonne T; Forouhi, Nita G; Imamura, Fumiaki; Burgess, Stephen; Barricarte, Aurelio; Boeing, Heiner; Bonet, Catalina; Chirlaque, Maria-Dolores; Fagherazzi, Guy; Franks, Paul W; Freisling, Heinz; Gunter, M"&amp;"arc J; Quirós, J Ramón; Ibsen, Daniel B; Kaaks, Rudolf; Key, Timothy; Khaw, Kay T; Kühn, Tilman; Mokoroa, Olatz; Nilsson, Peter M; Overvad, Kim; Pala, Valeria; Palli, Domenico; Panico, Salvatore; Sacerdote, Carlotta; Spijkerman, Annemieke M W; Tjonneland,"&amp;" Anne; Tumino, Rosario; Rodríguez-Barranco, Miguel; Rolandsson, Olov; Riboli, Elio; Sharp, Stephen J; Langenberg, Claudia; Wareham, Nicholas J")</f>
        <v>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v>
      </c>
      <c r="AH610" s="32">
        <f>IFERROR(__xludf.DUMMYFUNCTION("""COMPUTED_VALUE"""),43502.0)</f>
        <v>43502</v>
      </c>
      <c r="AL610" s="31" t="str">
        <f>IFERROR(__xludf.DUMMYFUNCTION("""COMPUTED_VALUE"""),"Accounting for treatment use when validating a prognostic model: a simulation study.")</f>
        <v>Accounting for treatment use when validating a prognostic model: a simulation study.</v>
      </c>
      <c r="AM610" s="31" t="str">
        <f>IFERROR(__xludf.DUMMYFUNCTION("""COMPUTED_VALUE"""),"Pajouheshnia, Romin; Peelen, Linda M; Moons, Karel G M; Reitsma, Johannes B; Groenwold, Rolf H H")</f>
        <v>Pajouheshnia, Romin; Peelen, Linda M; Moons, Karel G M; Reitsma, Johannes B; Groenwold, Rolf H H</v>
      </c>
      <c r="AN610" s="32">
        <f>IFERROR(__xludf.DUMMYFUNCTION("""COMPUTED_VALUE"""),42930.0)</f>
        <v>42930</v>
      </c>
    </row>
    <row r="611">
      <c r="A611" s="32"/>
      <c r="I611" s="31" t="str">
        <f>IFERROR(__xludf.DUMMYFUNCTION("""COMPUTED_VALUE"""),"digestive surgery")</f>
        <v>digestive surgery</v>
      </c>
      <c r="J611" s="38">
        <f>COUNTIF(Data!$F$2:$F9917, $I611)</f>
        <v>1</v>
      </c>
      <c r="T611" s="31" t="s">
        <v>1394</v>
      </c>
      <c r="U611" s="31" t="s">
        <v>1395</v>
      </c>
      <c r="V611" s="32">
        <v>45261.0</v>
      </c>
      <c r="X611" s="31" t="str">
        <f>IFERROR(__xludf.DUMMYFUNCTION("""COMPUTED_VALUE"""),"A Federated Database for Obesity Research: An IMI-SOPHIA Study.")</f>
        <v>A Federated Database for Obesity Research: An IMI-SOPHIA Study.</v>
      </c>
      <c r="Y611" s="31" t="str">
        <f>IFERROR(__xludf.DUMMYFUNCTION("""COMPUTED_VALUE"""),"Delfin, Carl; Dragan, Iulian; Kuznetsov, Dmitry; Tajes, Juan Fernandez; Smit, Femke; Coral, Daniel E; Farzaneh, Ali; Haugg, André; Hungele, Andreas; Niknejad, Anne; Hall, Christopher; Jacobs, Daan; Marek, Diana; Fraser, Diane P; Thuillier, Dorothee; Ahmad"&amp;"izar, Fariba; Mehl, Florence; Pattou, Francois; Burdet, Frederic; Hawkes, Gareth; Arts, Ilja C W; Blanch, Jordi; Van Soest, Johan; Fernández-Real, José-Manuel; Boehl, Juergen; Fink, Katharina; van Greevenbroek, Marleen M J; Kavousi, Maryam; Minten, Michie"&amp;"l; Prinz, Nicole; Ipsen, Niels; Franks, Paul W; Ramos, Rafael; Holl, Reinhard W; Horban, Scott; Duarte-Salles, Talita; Tran, Van Du T; Raverdy, Violeta; Leal, Yenny; Lenart, Adam; Pearson, Ewan; Sparsø, Thomas; Giordano, Giuseppe N; Ioannidis, Vassilios; "&amp;"Soh, Keng; Frayling, Timothy M; Le Roux, Carel W; Ibberson, Mark")</f>
        <v>Delfin, Carl; Dragan, Iulian; Kuznetsov, Dmitry; Tajes, Juan Fernandez; Smit, Femke; Coral, Daniel E; Farzaneh, Ali; Haugg, André; Hungele, Andreas; Niknejad, Anne; Hall, Christopher; Jacobs, Daan; Marek, Diana; Fraser, Diane P; Thuillier, Dorothee; Ahmadizar, Fariba; Mehl, Florence; Pattou, Francois; Burdet, Frederic; Hawkes, Gareth; Arts, Ilja C W; Blanch, Jordi; Van Soest, Johan; Fernández-Real, José-Manuel; Boehl, Juergen; Fink, Katharina; van Greevenbroek, Marleen M J; Kavousi, Maryam; Minten, Michiel; Prinz, Nicole; Ipsen, Niels; Franks, Paul W; Ramos, Rafael; Holl, Reinhard W; Horban, Scott; Duarte-Salles, Talita; Tran, Van Du T; Raverdy, Violeta; Leal, Yenny; Lenart, Adam; Pearson, Ewan; Sparsø, Thomas; Giordano, Giuseppe N; Ioannidis, Vassilios; Soh, Keng; Frayling, Timothy M; Le Roux, Carel W; Ibberson, Mark</v>
      </c>
      <c r="Z611" s="31">
        <f>IFERROR(__xludf.DUMMYFUNCTION("""COMPUTED_VALUE"""),2024.0)</f>
        <v>2024</v>
      </c>
      <c r="AA611" s="31">
        <f>IFERROR(__xludf.DUMMYFUNCTION("""COMPUTED_VALUE"""),0.0)</f>
        <v>0</v>
      </c>
      <c r="AF611" s="31" t="str">
        <f>IFERROR(__xludf.DUMMYFUNCTION("""COMPUTED_VALUE"""),"Cardiovascular Risk Factors Associated With Venous Thromboembolism.")</f>
        <v>Cardiovascular Risk Factors Associated With Venous Thromboembolism.</v>
      </c>
      <c r="AG611" s="31" t="str">
        <f>IFERROR(__xludf.DUMMYFUNCTION("""COMPUTED_VALUE"""),"Gregson, John; Kaptoge, Stephen; Bolton, Thomas; Pennells, Lisa; Willeit, Peter; Burgess, Stephen; Bell, Steven; Sweeting, Michael; Rimm, Eric B; Kabrhel, Christopher; Zöller, Bengt; Assmann, Gerd; Gudnason, Vilmundur; Folsom, Aaron R; Arndt, Volker; Flet"&amp;"cher, Astrid; Norman, Paul E; Nordestgaard, Børge G; Kitamura, Akihiko; Mahmoodi, Bakhtawar K; Whincup, Peter H; Knuiman, Matthew; Salomaa, Veikko; Meisinger, Christa; Koenig, Wolfgang; Kavousi, Maryam; Völzke, Henry; Cooper, Jackie A; Ninomiya, Toshiharu"&amp;"; Casiglia, Edoardo; Rodriguez, Beatriz; Ben-Shlomo, Yoav; Després, Jean-Pierre; Simons, Leon; Barrett-Connor, Elizabeth; Björkelund, Cecilia; Notdurfter, Marlene; Kromhout, Daan; Price, Jackie; Sutherland, Susan E; Sundström, Johan; Kauhanen, Jussi; Gall"&amp;"acher, John; Beulens, Joline W J; Dankner, Rachel; Cooper, Cyrus; Giampaoli, Simona; Deen, Jason F; Gómez de la Cámara, Agustín; Kuller, Lewis H; Rosengren, Annika; Svensson, Peter J; Nagel, Dorothea; Crespo, Carlos J; Brenner, Hermann")</f>
        <v>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Gómez de la Cámara, Agustín; Kuller, Lewis H; Rosengren, Annika; Svensson, Peter J; Nagel, Dorothea; Crespo, Carlos J; Brenner, Hermann</v>
      </c>
      <c r="AH611" s="32">
        <f>IFERROR(__xludf.DUMMYFUNCTION("""COMPUTED_VALUE"""),43497.0)</f>
        <v>43497</v>
      </c>
      <c r="AL611" s="31" t="str">
        <f>IFERROR(__xludf.DUMMYFUNCTION("""COMPUTED_VALUE"""),"Circulating RANKL and RANKL/OPG and Breast Cancer Risk by ER and PR Subtype: Results from the EPIC Cohort.")</f>
        <v>Circulating RANKL and RANKL/OPG and Breast Cancer Risk by ER and PR Subtype: Results from the EPIC Cohort.</v>
      </c>
      <c r="AM611" s="31" t="str">
        <f>IFERROR(__xludf.DUMMYFUNCTION("""COMPUTED_VALUE"""),"Sarink, Danja; Schock, Helena; Johnson, Theron; Overvad, Kim; Holm, Marianne; Tjønneland, Anne; Boutron-Ruault, Marie-Christine; His, Mathilde; Kvaskoff, Marina; Boeing, Heiner; Lagiou, Pagona; Papatesta, Eleni-Maria; Trichopoulou, Antonia; Palli, Domenic"&amp;"o; Pala, Valeria; Mattiello, Amalia; Tumino, Rosario; Sacerdote, Carlotta; Bueno-de-Mesquita, H B As; van Gils, Carla H; Peeters, Petra H; Weiderpass, Elisabete; Agudo, Antonio; Sánchez, Maria-José; Chirlaque, Maria-Dolores; Ardanaz, Eva; Amiano, Pilar; K"&amp;"haw, Kay Tee; Travis, Ruth; Dossus, Laure; Gunter, Mark; Rinaldi, Sabina; Merritt, Melissa; Riboli, Elio; Kaaks, Rudolf; Fortner, Renée T")</f>
        <v>Sarink, Danja; Schock, Helena; Johnson, Theron; Overvad, Kim; Holm, Marianne; Tjønneland, Anne; Boutron-Ruault, Marie-Christine; His, Mathilde; Kvaskoff, Marina; Boeing, Heiner; Lagiou, Pagona; Papatesta, Eleni-Maria; Trichopoulou, Antonia; Palli, Domenico; Pala, Valeria; Mattiello, Amalia; Tumino, Rosario; Sacerdote, Carlotta; Bueno-de-Mesquita, H B As; van Gils, Carla H; Peeters, Petra H; Weiderpass, Elisabete; Agudo, Antonio; Sánchez, Maria-José; Chirlaque, Maria-Dolores; Ardanaz, Eva; Amiano, Pilar; Khaw, Kay Tee; Travis, Ruth; Dossus, Laure; Gunter, Mark; Rinaldi, Sabina; Merritt, Melissa; Riboli, Elio; Kaaks, Rudolf; Fortner, Renée T</v>
      </c>
      <c r="AN611" s="32">
        <f>IFERROR(__xludf.DUMMYFUNCTION("""COMPUTED_VALUE"""),42928.0)</f>
        <v>42928</v>
      </c>
    </row>
    <row r="612">
      <c r="A612" s="32"/>
      <c r="I612" s="31" t="str">
        <f>IFERROR(__xludf.DUMMYFUNCTION("""COMPUTED_VALUE"""),"journal of the american geriatrics society")</f>
        <v>journal of the american geriatrics society</v>
      </c>
      <c r="J612" s="38">
        <f>COUNTIF(Data!$F$2:$F9917, $I612)</f>
        <v>10</v>
      </c>
      <c r="T612" s="31" t="s">
        <v>1399</v>
      </c>
      <c r="U612" s="31" t="s">
        <v>1400</v>
      </c>
      <c r="V612" s="32">
        <v>45261.0</v>
      </c>
      <c r="X612" s="31" t="str">
        <f>IFERROR(__xludf.DUMMYFUNCTION("""COMPUTED_VALUE"""),"Imaging of intracranial arterial disease: a comparison between MRI and unenhanced CT.")</f>
        <v>Imaging of intracranial arterial disease: a comparison between MRI and unenhanced CT.</v>
      </c>
      <c r="Y612" s="31" t="str">
        <f>IFERROR(__xludf.DUMMYFUNCTION("""COMPUTED_VALUE"""),"Lucci, Carlo; Rissanen, Ina; Takx, Richard A P; van der Kolk, Anja G; Harteveld, Anita A; Dankbaar, Jan W; Geerlings, Mirjam I; de Jong, Pim A; Hendrikse, Jeroen")</f>
        <v>Lucci, Carlo; Rissanen, Ina; Takx, Richard A P; van der Kolk, Anja G; Harteveld, Anita A; Dankbaar, Jan W; Geerlings, Mirjam I; de Jong, Pim A; Hendrikse, Jeroen</v>
      </c>
      <c r="Z612" s="31">
        <f>IFERROR(__xludf.DUMMYFUNCTION("""COMPUTED_VALUE"""),2024.0)</f>
        <v>2024</v>
      </c>
      <c r="AA612" s="31">
        <f>IFERROR(__xludf.DUMMYFUNCTION("""COMPUTED_VALUE"""),0.0)</f>
        <v>0</v>
      </c>
      <c r="AF612" s="31" t="str">
        <f>IFERROR(__xludf.DUMMYFUNCTION("""COMPUTED_VALUE"""),"Shift work, chronotype and the risk of cardiometabolic risk factors.")</f>
        <v>Shift work, chronotype and the risk of cardiometabolic risk factors.</v>
      </c>
      <c r="AG612" s="31" t="str">
        <f>IFERROR(__xludf.DUMMYFUNCTION("""COMPUTED_VALUE"""),"Hulsegge, Gerben; Picavet, H Susan J; van der Beek, Allard J; Verschuren, W M Monique; Twisk, Jos W; Proper, Karin I")</f>
        <v>Hulsegge, Gerben; Picavet, H Susan J; van der Beek, Allard J; Verschuren, W M Monique; Twisk, Jos W; Proper, Karin I</v>
      </c>
      <c r="AH612" s="32">
        <f>IFERROR(__xludf.DUMMYFUNCTION("""COMPUTED_VALUE"""),43497.0)</f>
        <v>43497</v>
      </c>
      <c r="AL612" s="31" t="str">
        <f>IFERROR(__xludf.DUMMYFUNCTION("""COMPUTED_VALUE"""),"Reply to: Late-Life Depression, Cortisol, and the Hippocampus: On the Need to Consider Depressive, Hippocampal, and Pharmacological Complexities.")</f>
        <v>Reply to: Late-Life Depression, Cortisol, and the Hippocampus: On the Need to Consider Depressive, Hippocampal, and Pharmacological Complexities.</v>
      </c>
      <c r="AM612" s="31" t="str">
        <f>IFERROR(__xludf.DUMMYFUNCTION("""COMPUTED_VALUE"""),"Geerlings, Mirjam I; Gerritsen, Lotte")</f>
        <v>Geerlings, Mirjam I; Gerritsen, Lotte</v>
      </c>
      <c r="AN612" s="32">
        <f>IFERROR(__xludf.DUMMYFUNCTION("""COMPUTED_VALUE"""),42928.0)</f>
        <v>42928</v>
      </c>
    </row>
    <row r="613">
      <c r="A613" s="32"/>
      <c r="I613" s="31" t="str">
        <f>IFERROR(__xludf.DUMMYFUNCTION("""COMPUTED_VALUE"""),"clinical drug investigation")</f>
        <v>clinical drug investigation</v>
      </c>
      <c r="J613" s="38">
        <f>COUNTIF(Data!$F$2:$F9917, $I613)</f>
        <v>1</v>
      </c>
      <c r="T613" s="31" t="s">
        <v>1403</v>
      </c>
      <c r="U613" s="31" t="s">
        <v>1404</v>
      </c>
      <c r="V613" s="32">
        <v>45261.0</v>
      </c>
      <c r="X613" s="31" t="str">
        <f>IFERROR(__xludf.DUMMYFUNCTION("""COMPUTED_VALUE"""),"Correlation between Histopathological Prognostic Tumor Characteristics and [&lt;sup&gt;18&lt;/sup&gt;F]FDG Uptake in Corresponding Metastases in Newly Diagnosed Metastatic Breast Cancer.")</f>
        <v>Correlation between Histopathological Prognostic Tumor Characteristics and [&lt;sup&gt;18&lt;/sup&gt;F]FDG Uptake in Corresponding Metastases in Newly Diagnosed Metastatic Breast Cancer.</v>
      </c>
      <c r="Y613" s="31" t="str">
        <f>IFERROR(__xludf.DUMMYFUNCTION("""COMPUTED_VALUE"""),"Boers, Jorianne; Eisses, Bertha; Zwager, Mieke C; van Geel, Jasper J L; Bensch, Frederike; de Vries, Erik F J; Hospers, Geke A P; Glaudemans, Andor W J M; Brouwers, Adrienne H; den Dekker, Martijn A M; Elias, Sjoerd G; Kuip, Evelien J M; van Herpen, Carla"&amp;" M L; Jager, Agnes; van der Veldt, Astrid A M; Oprea-Lager, Daniela E; de Vries, Elisabeth G E; van der Vegt, Bert; Menke-van der Houven van Oordt, Willemien C; Schröder, Carolina P; ,")</f>
        <v>Boers, Jorianne; Eisses, Bertha; Zwager, Mieke C; van Geel, Jasper J L; Bensch, Frederike; de Vries, Erik F J; Hospers, Geke A P; Glaudemans, Andor W J M; Brouwers, Adrienne H; den Dekker, Martijn A M; Elias, Sjoerd G; Kuip, Evelien J M; van Herpen, Carla M L; Jager, Agnes; van der Veldt, Astrid A M; Oprea-Lager, Daniela E; de Vries, Elisabeth G E; van der Vegt, Bert; Menke-van der Houven van Oordt, Willemien C; Schröder, Carolina P; ,</v>
      </c>
      <c r="Z613" s="31">
        <f>IFERROR(__xludf.DUMMYFUNCTION("""COMPUTED_VALUE"""),2024.0)</f>
        <v>2024</v>
      </c>
      <c r="AA613" s="31">
        <f>IFERROR(__xludf.DUMMYFUNCTION("""COMPUTED_VALUE"""),0.0)</f>
        <v>0</v>
      </c>
      <c r="AF613" s="31" t="str">
        <f>IFERROR(__xludf.DUMMYFUNCTION("""COMPUTED_VALUE"""),"Excess early postnatal weight gain and blood pressure in healthy young children.")</f>
        <v>Excess early postnatal weight gain and blood pressure in healthy young children.</v>
      </c>
      <c r="AG613" s="31" t="str">
        <f>IFERROR(__xludf.DUMMYFUNCTION("""COMPUTED_VALUE"""),"Jansen, M A C; Uiterwaal, C S P M; van der Ent, C K; Grobbee, D E; Dalmeijer, G W")</f>
        <v>Jansen, M A C; Uiterwaal, C S P M; van der Ent, C K; Grobbee, D E; Dalmeijer, G W</v>
      </c>
      <c r="AH613" s="32">
        <f>IFERROR(__xludf.DUMMYFUNCTION("""COMPUTED_VALUE"""),43495.0)</f>
        <v>43495</v>
      </c>
      <c r="AL613" s="31" t="str">
        <f>IFERROR(__xludf.DUMMYFUNCTION("""COMPUTED_VALUE"""),"Quality of life as indicator of poor outcome in hemodialysis: relation with mortality in different age groups.")</f>
        <v>Quality of life as indicator of poor outcome in hemodialysis: relation with mortality in different age groups.</v>
      </c>
      <c r="AM613" s="31" t="str">
        <f>IFERROR(__xludf.DUMMYFUNCTION("""COMPUTED_VALUE"""),"van Loon, I N; Bots, M L; Boereboom, F T J; Grooteman, M P C; Blankestijn, P J; van den Dorpel, M A; Nubé, M J; Ter Wee, P M; Verhaar, M C; Hamaker, M E")</f>
        <v>van Loon, I N; Bots, M L; Boereboom, F T J; Grooteman, M P C; Blankestijn, P J; van den Dorpel, M A; Nubé, M J; Ter Wee, P M; Verhaar, M C; Hamaker, M E</v>
      </c>
      <c r="AN613" s="32">
        <f>IFERROR(__xludf.DUMMYFUNCTION("""COMPUTED_VALUE"""),42922.0)</f>
        <v>42922</v>
      </c>
    </row>
    <row r="614">
      <c r="A614" s="32"/>
      <c r="I614" s="31" t="str">
        <f>IFERROR(__xludf.DUMMYFUNCTION("""COMPUTED_VALUE"""),"aas open research")</f>
        <v>aas open research</v>
      </c>
      <c r="J614" s="38">
        <f>COUNTIF(Data!$F$2:$F9917, $I614)</f>
        <v>3</v>
      </c>
      <c r="T614" s="31" t="s">
        <v>1408</v>
      </c>
      <c r="U614" s="31" t="s">
        <v>1409</v>
      </c>
      <c r="V614" s="32">
        <v>45260.0</v>
      </c>
      <c r="X614" s="31" t="str">
        <f>IFERROR(__xludf.DUMMYFUNCTION("""COMPUTED_VALUE"""),"Determinants of Dutch public health professionals' intention to use digital contact tracing support tools: A cross-sectional online questionnaire study.")</f>
        <v>Determinants of Dutch public health professionals' intention to use digital contact tracing support tools: A cross-sectional online questionnaire study.</v>
      </c>
      <c r="Y614" s="31" t="str">
        <f>IFERROR(__xludf.DUMMYFUNCTION("""COMPUTED_VALUE"""),"Helms, Yannick B; Stein, Mart L; Hamdiui, Nora; van der Meer, Akke; Ferreira, José A; Crutzen, Rik; Timen, Aura; Kretzschmar, Mirjam E E")</f>
        <v>Helms, Yannick B; Stein, Mart L; Hamdiui, Nora; van der Meer, Akke; Ferreira, José A; Crutzen, Rik; Timen, Aura; Kretzschmar, Mirjam E E</v>
      </c>
      <c r="Z614" s="31">
        <f>IFERROR(__xludf.DUMMYFUNCTION("""COMPUTED_VALUE"""),2024.0)</f>
        <v>2024</v>
      </c>
      <c r="AA614" s="31">
        <f>IFERROR(__xludf.DUMMYFUNCTION("""COMPUTED_VALUE"""),0.0)</f>
        <v>0</v>
      </c>
      <c r="AF614" s="31" t="str">
        <f>IFERROR(__xludf.DUMMYFUNCTION("""COMPUTED_VALUE"""),"Effect of 6-Month Vitamin D Supplementation on Plasma Matrix Gla Protein in Older Adults.")</f>
        <v>Effect of 6-Month Vitamin D Supplementation on Plasma Matrix Gla Protein in Older Adults.</v>
      </c>
      <c r="AG614" s="31" t="str">
        <f>IFERROR(__xludf.DUMMYFUNCTION("""COMPUTED_VALUE"""),"van Ballegooijen, Adriana J; Beulens, Joline W J; Schurgers, Leon J; de Koning, Elisa J; Lips, Paul; van Schoor, Natasja M; Vervloet, Marc G")</f>
        <v>van Ballegooijen, Adriana J; Beulens, Joline W J; Schurgers, Leon J; de Koning, Elisa J; Lips, Paul; van Schoor, Natasja M; Vervloet, Marc G</v>
      </c>
      <c r="AH614" s="32">
        <f>IFERROR(__xludf.DUMMYFUNCTION("""COMPUTED_VALUE"""),43487.0)</f>
        <v>43487</v>
      </c>
      <c r="AL614" s="31" t="str">
        <f>IFERROR(__xludf.DUMMYFUNCTION("""COMPUTED_VALUE"""),"A closer look at the trajectory of physical functioning in chronic hemodialysis.")</f>
        <v>A closer look at the trajectory of physical functioning in chronic hemodialysis.</v>
      </c>
      <c r="AM614" s="31" t="str">
        <f>IFERROR(__xludf.DUMMYFUNCTION("""COMPUTED_VALUE"""),"van Loon, Ismay; Hamaker, Marije E; Boereboom, Franciscus T J; Grooteman, Muriel P C; Blankestijn, Peter J; van den Dorpel, Rene M A; Nubé, Menso J; Ter Wee, Piet M; Verhaar, Marianne C; Bots, Michiel L")</f>
        <v>van Loon, Ismay; Hamaker, Marije E; Boereboom, Franciscus T J; Grooteman, Muriel P C; Blankestijn, Peter J; van den Dorpel, Rene M A; Nubé, Menso J; Ter Wee, Piet M; Verhaar, Marianne C; Bots, Michiel L</v>
      </c>
      <c r="AN614" s="32">
        <f>IFERROR(__xludf.DUMMYFUNCTION("""COMPUTED_VALUE"""),42917.0)</f>
        <v>42917</v>
      </c>
    </row>
    <row r="615">
      <c r="A615" s="32"/>
      <c r="I615" s="31" t="str">
        <f>IFERROR(__xludf.DUMMYFUNCTION("""COMPUTED_VALUE"""),"bmc nutrition")</f>
        <v>bmc nutrition</v>
      </c>
      <c r="J615" s="38">
        <f>COUNTIF(Data!$F$2:$F9917, $I615)</f>
        <v>1</v>
      </c>
      <c r="T615" s="31" t="s">
        <v>1413</v>
      </c>
      <c r="U615" s="31" t="s">
        <v>1414</v>
      </c>
      <c r="V615" s="32">
        <v>45259.0</v>
      </c>
      <c r="X615" s="31" t="str">
        <f>IFERROR(__xludf.DUMMYFUNCTION("""COMPUTED_VALUE"""),"Heart failure with preserved ejection fraction: everything the clinician needs to know.")</f>
        <v>Heart failure with preserved ejection fraction: everything the clinician needs to know.</v>
      </c>
      <c r="Y615" s="31" t="str">
        <f>IFERROR(__xludf.DUMMYFUNCTION("""COMPUTED_VALUE"""),"Campbell, Patricia; Rutten, Frans H; Lee, Matthew My; Hawkins, Nathaniel M; Petrie, Mark C")</f>
        <v>Campbell, Patricia; Rutten, Frans H; Lee, Matthew My; Hawkins, Nathaniel M; Petrie, Mark C</v>
      </c>
      <c r="Z615" s="31">
        <f>IFERROR(__xludf.DUMMYFUNCTION("""COMPUTED_VALUE"""),2024.0)</f>
        <v>2024</v>
      </c>
      <c r="AA615" s="31">
        <f>IFERROR(__xludf.DUMMYFUNCTION("""COMPUTED_VALUE"""),0.0)</f>
        <v>0</v>
      </c>
      <c r="AF615" s="31" t="str">
        <f>IFERROR(__xludf.DUMMYFUNCTION("""COMPUTED_VALUE"""),"Performance of Prediction Algorithms for Modeling Outdoor Air Pollution Spatial Surfaces.")</f>
        <v>Performance of Prediction Algorithms for Modeling Outdoor Air Pollution Spatial Surfaces.</v>
      </c>
      <c r="AG615" s="31" t="str">
        <f>IFERROR(__xludf.DUMMYFUNCTION("""COMPUTED_VALUE"""),"Kerckhoffs, Jules; Hoek, Gerard; Portengen, Lützen; Brunekreef, Bert; Vermeulen, Roel C H")</f>
        <v>Kerckhoffs, Jules; Hoek, Gerard; Portengen, Lützen; Brunekreef, Bert; Vermeulen, Roel C H</v>
      </c>
      <c r="AH615" s="32">
        <f>IFERROR(__xludf.DUMMYFUNCTION("""COMPUTED_VALUE"""),43483.0)</f>
        <v>43483</v>
      </c>
      <c r="AL615" s="31" t="str">
        <f>IFERROR(__xludf.DUMMYFUNCTION("""COMPUTED_VALUE"""),"Serum sclerostin: relation with mortality and impact of hemodiafiltration.")</f>
        <v>Serum sclerostin: relation with mortality and impact of hemodiafiltration.</v>
      </c>
      <c r="AM615" s="31" t="str">
        <f>IFERROR(__xludf.DUMMYFUNCTION("""COMPUTED_VALUE"""),"Lips, Lotte; de Roij van Zuijdewijn, Camiel L M; Ter Wee, Piet M; Bots, Michiel L; Blankestijn, Peter J; van den Dorpel, Marinus A; Fouque, Denis; de Jongh, Renate; Pelletier, Solenne; Vervloet, Marc G; Nubé, Menso J; Grooteman, Muriel P C")</f>
        <v>Lips, Lotte; de Roij van Zuijdewijn, Camiel L M; Ter Wee, Piet M; Bots, Michiel L; Blankestijn, Peter J; van den Dorpel, Marinus A; Fouque, Denis; de Jongh, Renate; Pelletier, Solenne; Vervloet, Marc G; Nubé, Menso J; Grooteman, Muriel P C</v>
      </c>
      <c r="AN615" s="32">
        <f>IFERROR(__xludf.DUMMYFUNCTION("""COMPUTED_VALUE"""),42917.0)</f>
        <v>42917</v>
      </c>
    </row>
    <row r="616">
      <c r="A616" s="32"/>
      <c r="I616" s="31" t="str">
        <f>IFERROR(__xludf.DUMMYFUNCTION("""COMPUTED_VALUE"""),"intensive care medicine")</f>
        <v>intensive care medicine</v>
      </c>
      <c r="J616" s="38">
        <f>COUNTIF(Data!$F$2:$F9917, $I616)</f>
        <v>14</v>
      </c>
      <c r="T616" s="31" t="s">
        <v>1418</v>
      </c>
      <c r="U616" s="31" t="s">
        <v>1419</v>
      </c>
      <c r="V616" s="32">
        <v>45258.0</v>
      </c>
      <c r="X616" s="31" t="str">
        <f>IFERROR(__xludf.DUMMYFUNCTION("""COMPUTED_VALUE"""),"Breaking the chains of lipoprotein lipase deficiency: A pediatric perspective on the efficacy and safety of Volanesorsen.")</f>
        <v>Breaking the chains of lipoprotein lipase deficiency: A pediatric perspective on the efficacy and safety of Volanesorsen.</v>
      </c>
      <c r="Y616" s="31" t="str">
        <f>IFERROR(__xludf.DUMMYFUNCTION("""COMPUTED_VALUE"""),"den Hollander, Bibiche; Brands, Marion M; Nijhuis, Ilse J M; Doude van Troostwijk, Lous J A E; van Essen, Peter; Hofsteenge, Ageeth H; Koot, Bart G; Müller, Annelieke R; Tseng, Laura A; Stroes, Erik S G; van de Ven, Peter M; Wiegman, Albert; van Karnebeek"&amp;", Clara D M")</f>
        <v>den Hollander, Bibiche; Brands, Marion M; Nijhuis, Ilse J M; Doude van Troostwijk, Lous J A E; van Essen, Peter; Hofsteenge, Ageeth H; Koot, Bart G; Müller, Annelieke R; Tseng, Laura A; Stroes, Erik S G; van de Ven, Peter M; Wiegman, Albert; van Karnebeek, Clara D M</v>
      </c>
      <c r="Z616" s="31">
        <f>IFERROR(__xludf.DUMMYFUNCTION("""COMPUTED_VALUE"""),2024.0)</f>
        <v>2024</v>
      </c>
      <c r="AA616" s="31">
        <f>IFERROR(__xludf.DUMMYFUNCTION("""COMPUTED_VALUE"""),0.0)</f>
        <v>0</v>
      </c>
      <c r="AF616" s="31" t="str">
        <f>IFERROR(__xludf.DUMMYFUNCTION("""COMPUTED_VALUE"""),"How pharmacoepidemiology networks can manage distributed analyses to improve replicability and transparency and minimize bias.")</f>
        <v>How pharmacoepidemiology networks can manage distributed analyses to improve replicability and transparency and minimize bias.</v>
      </c>
      <c r="AG616" s="31" t="str">
        <f>IFERROR(__xludf.DUMMYFUNCTION("""COMPUTED_VALUE"""),"Platt, Robert W; Platt, Richard; Brown, Jeffrey S; Henry, David A; Klungel, Olaf H; Suissa, Samy")</f>
        <v>Platt, Robert W; Platt, Richard; Brown, Jeffrey S; Henry, David A; Klungel, Olaf H; Suissa, Samy</v>
      </c>
      <c r="AH616" s="32">
        <f>IFERROR(__xludf.DUMMYFUNCTION("""COMPUTED_VALUE"""),43480.0)</f>
        <v>43480</v>
      </c>
      <c r="AL616" s="31" t="str">
        <f>IFERROR(__xludf.DUMMYFUNCTION("""COMPUTED_VALUE"""),"The effect of volumetric breast density on the risk of screen-detected and interval breast cancers: a cohort study.")</f>
        <v>The effect of volumetric breast density on the risk of screen-detected and interval breast cancers: a cohort study.</v>
      </c>
      <c r="AM616" s="31" t="str">
        <f>IFERROR(__xludf.DUMMYFUNCTION("""COMPUTED_VALUE"""),"Wanders, Johanna O P; Holland, Katharina; Karssemeijer, Nico; Peeters, Petra H M; Veldhuis, Wouter B; Mann, Ritse M; van Gils, Carla H")</f>
        <v>Wanders, Johanna O P; Holland, Katharina; Karssemeijer, Nico; Peeters, Petra H M; Veldhuis, Wouter B; Mann, Ritse M; van Gils, Carla H</v>
      </c>
      <c r="AN616" s="32">
        <f>IFERROR(__xludf.DUMMYFUNCTION("""COMPUTED_VALUE"""),42891.0)</f>
        <v>42891</v>
      </c>
    </row>
    <row r="617">
      <c r="A617" s="32"/>
      <c r="I617" s="31" t="str">
        <f>IFERROR(__xludf.DUMMYFUNCTION("""COMPUTED_VALUE"""),"journal of pediatric nursing")</f>
        <v>journal of pediatric nursing</v>
      </c>
      <c r="J617" s="38">
        <f>COUNTIF(Data!$F$2:$F9917, $I617)</f>
        <v>2</v>
      </c>
      <c r="T617" s="31" t="s">
        <v>1424</v>
      </c>
      <c r="U617" s="31" t="s">
        <v>1425</v>
      </c>
      <c r="V617" s="32">
        <v>45258.0</v>
      </c>
      <c r="X617" s="31" t="str">
        <f>IFERROR(__xludf.DUMMYFUNCTION("""COMPUTED_VALUE"""),"Substituting Low-Calorie Sweetened Beverages for Sugar-Sweetened Beverages to Prevent Obesity and Cardiometabolic Diseases: Still a Good Idea?")</f>
        <v>Substituting Low-Calorie Sweetened Beverages for Sugar-Sweetened Beverages to Prevent Obesity and Cardiometabolic Diseases: Still a Good Idea?</v>
      </c>
      <c r="Y617" s="31" t="str">
        <f>IFERROR(__xludf.DUMMYFUNCTION("""COMPUTED_VALUE"""),"Chatelan, Angeline; Raeisi-Dehkordi, Hamidreza; Salehi-Abargouei, Amin")</f>
        <v>Chatelan, Angeline; Raeisi-Dehkordi, Hamidreza; Salehi-Abargouei, Amin</v>
      </c>
      <c r="Z617" s="31">
        <f>IFERROR(__xludf.DUMMYFUNCTION("""COMPUTED_VALUE"""),2024.0)</f>
        <v>2024</v>
      </c>
      <c r="AA617" s="31">
        <f>IFERROR(__xludf.DUMMYFUNCTION("""COMPUTED_VALUE"""),0.0)</f>
        <v>0</v>
      </c>
      <c r="AF617" s="31" t="str">
        <f>IFERROR(__xludf.DUMMYFUNCTION("""COMPUTED_VALUE"""),"The association between HIV infection and pulmonary function in a rural African population.")</f>
        <v>The association between HIV infection and pulmonary function in a rural African population.</v>
      </c>
      <c r="AG617" s="31" t="str">
        <f>IFERROR(__xludf.DUMMYFUNCTION("""COMPUTED_VALUE"""),"Varkila, Meri R J; Vos, Alinda G; Barth, Roos E; Tempelman, Hugo A; Devillé, Walter L J; Coutinho, Roel A; Grobbee, Diederick E; Klipstein-Grobusch, Kerstin")</f>
        <v>Varkila, Meri R J; Vos, Alinda G; Barth, Roos E; Tempelman, Hugo A; Devillé, Walter L J; Coutinho, Roel A; Grobbee, Diederick E; Klipstein-Grobusch, Kerstin</v>
      </c>
      <c r="AH617" s="32">
        <f>IFERROR(__xludf.DUMMYFUNCTION("""COMPUTED_VALUE"""),43480.0)</f>
        <v>43480</v>
      </c>
      <c r="AL617" s="31" t="str">
        <f>IFERROR(__xludf.DUMMYFUNCTION("""COMPUTED_VALUE"""),"Sex, body mass index, and blood pressure are related to aortic characteristics in healthy, young adults using magnetic resonance vessel wall imaging: the AMBITYON study.")</f>
        <v>Sex, body mass index, and blood pressure are related to aortic characteristics in healthy, young adults using magnetic resonance vessel wall imaging: the AMBITYON study.</v>
      </c>
      <c r="AM617" s="31" t="str">
        <f>IFERROR(__xludf.DUMMYFUNCTION("""COMPUTED_VALUE"""),"Eikendal, Anouk L M; den Ruijter, Hester M; Haaring, Cees; Saam, Tobias; van der Geest, Rob J; Westenberg, Jos J M; Bots, Michiel L; Hoefer, Imo E; Leiner, Tim")</f>
        <v>Eikendal, Anouk L M; den Ruijter, Hester M; Haaring, Cees; Saam, Tobias; van der Geest, Rob J; Westenberg, Jos J M; Bots, Michiel L; Hoefer, Imo E; Leiner, Tim</v>
      </c>
      <c r="AN617" s="32">
        <f>IFERROR(__xludf.DUMMYFUNCTION("""COMPUTED_VALUE"""),42886.0)</f>
        <v>42886</v>
      </c>
    </row>
    <row r="618">
      <c r="A618" s="32"/>
      <c r="I618" s="31" t="str">
        <f>IFERROR(__xludf.DUMMYFUNCTION("""COMPUTED_VALUE"""),"journal of healthcare engineering")</f>
        <v>journal of healthcare engineering</v>
      </c>
      <c r="J618" s="38">
        <f>COUNTIF(Data!$F$2:$F9917, $I618)</f>
        <v>1</v>
      </c>
      <c r="T618" s="31" t="s">
        <v>1428</v>
      </c>
      <c r="U618" s="31" t="s">
        <v>1429</v>
      </c>
      <c r="V618" s="32">
        <v>45258.0</v>
      </c>
      <c r="X618" s="31" t="str">
        <f>IFERROR(__xludf.DUMMYFUNCTION("""COMPUTED_VALUE"""),"COVID-19 and pregnancy: A European study on pre- and post-infection medication use.")</f>
        <v>COVID-19 and pregnancy: A European study on pre- and post-infection medication use.</v>
      </c>
      <c r="Y618" s="31" t="str">
        <f>IFERROR(__xludf.DUMMYFUNCTION("""COMPUTED_VALUE"""),"Hurley, Eimir; Geisler, Benjamin P; Lupattelli, Angela; Poblador-Plou, Beatriz; Lassalle, Régis; Jové, Jérémy; Bernard, Marie-Agnes; Sakr, Dunia; Sanfélix-Gimeno, Gabriel; Sánchez-Saez, Francisco; Rodríguez-Bernal, Clara L; Sabaté, Mònica; Ballarín, Elena"&amp;"; Aguilera, Cristina; Jordan, Sue; Thayer, Daniel; Farr, Ian; Ahmed, Saira; Bartolini, Claudia; Limoncella, Giorgio; Paoletti, Olga; Gini, Rosa; Maglanoc, Luigi A; Dudukina, Elena; Ehrenstein, Vera; Alsina, Ema; Vaz, Tiago A; Riera-Arnau, Judit; Sturkenbo"&amp;"om, Miriam C J M; Nordeng, Hedvig M E")</f>
        <v>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v>
      </c>
      <c r="Z618" s="31">
        <f>IFERROR(__xludf.DUMMYFUNCTION("""COMPUTED_VALUE"""),2024.0)</f>
        <v>2024</v>
      </c>
      <c r="AA618" s="31">
        <f>IFERROR(__xludf.DUMMYFUNCTION("""COMPUTED_VALUE"""),0.0)</f>
        <v>0</v>
      </c>
      <c r="AF618" s="31" t="str">
        <f>IFERROR(__xludf.DUMMYFUNCTION("""COMPUTED_VALUE"""),"Risk factors for incident heart failure in age- and sex-specific strata: a population-based cohort using linked electronic health records.")</f>
        <v>Risk factors for incident heart failure in age- and sex-specific strata: a population-based cohort using linked electronic health records.</v>
      </c>
      <c r="AG618" s="31" t="str">
        <f>IFERROR(__xludf.DUMMYFUNCTION("""COMPUTED_VALUE"""),"Uijl, Alicia; Koudstaal, Stefan; Direk, Kenan; Denaxas, Spiros; Groenwold, Rolf H H; Banerjee, Amitava; Hoes, Arno W; Hemingway, Harry; Asselbergs, Folkert W")</f>
        <v>Uijl, Alicia; Koudstaal, Stefan; Direk, Kenan; Denaxas, Spiros; Groenwold, Rolf H H; Banerjee, Amitava; Hoes, Arno W; Hemingway, Harry; Asselbergs, Folkert W</v>
      </c>
      <c r="AH618" s="32">
        <f>IFERROR(__xludf.DUMMYFUNCTION("""COMPUTED_VALUE"""),43472.0)</f>
        <v>43472</v>
      </c>
      <c r="AL618" s="31" t="str">
        <f>IFERROR(__xludf.DUMMYFUNCTION("""COMPUTED_VALUE"""),"Multisite external validation of a risk prediction model for the diagnosis of blood stream infections in febrile pediatric oncology patients without severe neutropenia.")</f>
        <v>Multisite external validation of a risk prediction model for the diagnosis of blood stream infections in febrile pediatric oncology patients without severe neutropenia.</v>
      </c>
      <c r="AM618" s="31" t="str">
        <f>IFERROR(__xludf.DUMMYFUNCTION("""COMPUTED_VALUE"""),"Esbenshade, Adam J; Zhao, Zhiguo; Aftandilian, Catherine; Saab, Raya; Wattier, Rachel L; Beauchemin, Melissa; Miller, Tamara P; Wilkes, Jennifer J; Kelly, Michael J; Fernbach, Alison; Jeng, Michael; Schwartz, Cindy L; Dvorak, Christopher C; Shyr, Yu; Moon"&amp;"s, Karl G M; Sulis, Maria-Luisa; Friedman, Debra L")</f>
        <v>Esbenshade, Adam J; Zhao, Zhiguo; Aftandilian, Catherine; Saab, Raya; Wattier, Rachel L; Beauchemin, Melissa; Miller, Tamara P; Wilkes, Jennifer J; Kelly, Michael J; Fernbach, Alison; Jeng, Michael; Schwartz, Cindy L; Dvorak, Christopher C; Shyr, Yu; Moons, Karl G M; Sulis, Maria-Luisa; Friedman, Debra L</v>
      </c>
      <c r="AN618" s="32">
        <f>IFERROR(__xludf.DUMMYFUNCTION("""COMPUTED_VALUE"""),42878.0)</f>
        <v>42878</v>
      </c>
    </row>
    <row r="619">
      <c r="A619" s="32"/>
      <c r="I619" s="31" t="str">
        <f>IFERROR(__xludf.DUMMYFUNCTION("""COMPUTED_VALUE"""),"perspectives in psychiatric care")</f>
        <v>perspectives in psychiatric care</v>
      </c>
      <c r="J619" s="38">
        <f>COUNTIF(Data!$F$2:$F9917, $I619)</f>
        <v>2</v>
      </c>
      <c r="T619" s="31" t="s">
        <v>1432</v>
      </c>
      <c r="U619" s="31" t="s">
        <v>1433</v>
      </c>
      <c r="V619" s="32">
        <v>45257.0</v>
      </c>
      <c r="X619" s="31" t="str">
        <f>IFERROR(__xludf.DUMMYFUNCTION("""COMPUTED_VALUE"""),"Patient characteristics and reasons for discontinuation in a cardiovascular risk management programme in The Netherlands.")</f>
        <v>Patient characteristics and reasons for discontinuation in a cardiovascular risk management programme in The Netherlands.</v>
      </c>
      <c r="Y619" s="31" t="str">
        <f>IFERROR(__xludf.DUMMYFUNCTION("""COMPUTED_VALUE"""),"Smits, Geert H J M; van Doorn, Sander; Bots, Michiel L; Hollander, Monika")</f>
        <v>Smits, Geert H J M; van Doorn, Sander; Bots, Michiel L; Hollander, Monika</v>
      </c>
      <c r="Z619" s="31">
        <f>IFERROR(__xludf.DUMMYFUNCTION("""COMPUTED_VALUE"""),2024.0)</f>
        <v>2024</v>
      </c>
      <c r="AA619" s="31">
        <f>IFERROR(__xludf.DUMMYFUNCTION("""COMPUTED_VALUE"""),0.0)</f>
        <v>0</v>
      </c>
      <c r="AF619" s="31" t="str">
        <f>IFERROR(__xludf.DUMMYFUNCTION("""COMPUTED_VALUE"""),"Relation between &lt;i&gt;Chlamydia trachomatis&lt;/i&gt; infection and pelvic inflammatory disease, ectopic pregnancy and tubal factor infertility in a Dutch cohort of women previously tested for chlamydia in a chlamydia screening trial.")</f>
        <v>Relation between &lt;i&gt;Chlamydia trachomatis&lt;/i&gt; infection and pelvic inflammatory disease, ectopic pregnancy and tubal factor infertility in a Dutch cohort of women previously tested for chlamydia in a chlamydia screening trial.</v>
      </c>
      <c r="AG619" s="31" t="str">
        <f>IFERROR(__xludf.DUMMYFUNCTION("""COMPUTED_VALUE"""),"Hoenderboom, Bernice M; van Benthem, Birgit H B; van Bergen, Jan E A M; Dukers-Muijrers, Nicole H T M; Götz, Hannelore M; Hoebe, Christian J P A; Hogewoning, Arjan A; Land, Jolande A; van der Sande, Marianne A B; Morré, Servaas A; van den Broek, Ingrid V "&amp;"F")</f>
        <v>Hoenderboom, Bernice M; van Benthem, Birgit H B; van Bergen, Jan E A M; Dukers-Muijrers, Nicole H T M; Götz, Hannelore M; Hoebe, Christian J P A; Hogewoning, Arjan A; Land, Jolande A; van der Sande, Marianne A B; Morré, Servaas A; van den Broek, Ingrid V F</v>
      </c>
      <c r="AH619" s="32">
        <f>IFERROR(__xludf.DUMMYFUNCTION("""COMPUTED_VALUE"""),43468.0)</f>
        <v>43468</v>
      </c>
      <c r="AL619" s="31" t="str">
        <f>IFERROR(__xludf.DUMMYFUNCTION("""COMPUTED_VALUE"""),"Nutrition in peri-operative esophageal cancer management.")</f>
        <v>Nutrition in peri-operative esophageal cancer management.</v>
      </c>
      <c r="AM619" s="31" t="str">
        <f>IFERROR(__xludf.DUMMYFUNCTION("""COMPUTED_VALUE"""),"Steenhagen, Elles; van Vulpen, Jonna K; van Hillegersberg, Richard; May, Anne M; Siersema, Peter D")</f>
        <v>Steenhagen, Elles; van Vulpen, Jonna K; van Hillegersberg, Richard; May, Anne M; Siersema, Peter D</v>
      </c>
      <c r="AN619" s="32">
        <f>IFERROR(__xludf.DUMMYFUNCTION("""COMPUTED_VALUE"""),42865.0)</f>
        <v>42865</v>
      </c>
    </row>
    <row r="620">
      <c r="A620" s="32"/>
      <c r="I620" s="31" t="str">
        <f>IFERROR(__xludf.DUMMYFUNCTION("""COMPUTED_VALUE"""),"public health")</f>
        <v>public health</v>
      </c>
      <c r="J620" s="38">
        <f>COUNTIF(Data!$F$2:$F9917, $I620)</f>
        <v>1</v>
      </c>
      <c r="T620" s="31" t="s">
        <v>1436</v>
      </c>
      <c r="U620" s="31" t="s">
        <v>1437</v>
      </c>
      <c r="V620" s="32">
        <v>45257.0</v>
      </c>
      <c r="X620" s="31" t="str">
        <f>IFERROR(__xludf.DUMMYFUNCTION("""COMPUTED_VALUE"""),"Epidemiology of heart failure in diabetes: a disease in disguise.")</f>
        <v>Epidemiology of heart failure in diabetes: a disease in disguise.</v>
      </c>
      <c r="Y620" s="31" t="str">
        <f>IFERROR(__xludf.DUMMYFUNCTION("""COMPUTED_VALUE"""),"Hoek, Anna G; Dal Canto, Elisa; Wenker, Eva; Bindraban, Navin; Handoko, M Louis; Elders, Petra J M; Beulens, Joline W J")</f>
        <v>Hoek, Anna G; Dal Canto, Elisa; Wenker, Eva; Bindraban, Navin; Handoko, M Louis; Elders, Petra J M; Beulens, Joline W J</v>
      </c>
      <c r="Z620" s="31">
        <f>IFERROR(__xludf.DUMMYFUNCTION("""COMPUTED_VALUE"""),2024.0)</f>
        <v>2024</v>
      </c>
      <c r="AA620" s="31">
        <f>IFERROR(__xludf.DUMMYFUNCTION("""COMPUTED_VALUE"""),0.0)</f>
        <v>0</v>
      </c>
      <c r="AF620" s="31" t="str">
        <f>IFERROR(__xludf.DUMMYFUNCTION("""COMPUTED_VALUE"""),"The Utility of the Lipoprotein-Associated Phospholipase A&lt;sub&gt;2&lt;/sub&gt; (Lp-PLA&lt;sub&gt;2&lt;/sub&gt;) Assay in Detecting Abnormalities in Lipid Metabolism and Cardiovascular Risk in an HIV-Infected South African Cohort.")</f>
        <v>The Utility of the Lipoprotein-Associated Phospholipase A&lt;sub&gt;2&lt;/sub&gt; (Lp-PLA&lt;sub&gt;2&lt;/sub&gt;) Assay in Detecting Abnormalities in Lipid Metabolism and Cardiovascular Risk in an HIV-Infected South African Cohort.</v>
      </c>
      <c r="AG620" s="31" t="str">
        <f>IFERROR(__xludf.DUMMYFUNCTION("""COMPUTED_VALUE"""),"Mayne, Elizabeth S; Moabi, Hellen; Grobbee, Diederick E; Barth, Roos E; Klipstein-Grobusch, Kersten; Stevens, Wendy S; Vos, Alinda G; Louw, Susan")</f>
        <v>Mayne, Elizabeth S; Moabi, Hellen; Grobbee, Diederick E; Barth, Roos E; Klipstein-Grobusch, Kersten; Stevens, Wendy S; Vos, Alinda G; Louw, Susan</v>
      </c>
      <c r="AH620" s="32">
        <f>IFERROR(__xludf.DUMMYFUNCTION("""COMPUTED_VALUE"""),43466.0)</f>
        <v>43466</v>
      </c>
      <c r="AL620" s="31" t="str">
        <f>IFERROR(__xludf.DUMMYFUNCTION("""COMPUTED_VALUE"""),"Clostridium difficile in England: can we stop washing our hands?")</f>
        <v>Clostridium difficile in England: can we stop washing our hands?</v>
      </c>
      <c r="AM620" s="31" t="str">
        <f>IFERROR(__xludf.DUMMYFUNCTION("""COMPUTED_VALUE"""),"van Kleef, Esther; Kuijper, Ed J; Bonten, Marc J M; Cooper, Ben S")</f>
        <v>van Kleef, Esther; Kuijper, Ed J; Bonten, Marc J M; Cooper, Ben S</v>
      </c>
      <c r="AN620" s="32">
        <f>IFERROR(__xludf.DUMMYFUNCTION("""COMPUTED_VALUE"""),42856.0)</f>
        <v>42856</v>
      </c>
    </row>
    <row r="621">
      <c r="A621" s="32"/>
      <c r="I621" s="31" t="str">
        <f>IFERROR(__xludf.DUMMYFUNCTION("""COMPUTED_VALUE"""),"pediatric rheumatology online journal")</f>
        <v>pediatric rheumatology online journal</v>
      </c>
      <c r="J621" s="38">
        <f>COUNTIF(Data!$F$2:$F9917, $I621)</f>
        <v>2</v>
      </c>
      <c r="T621" s="31" t="s">
        <v>1440</v>
      </c>
      <c r="U621" s="31" t="s">
        <v>1441</v>
      </c>
      <c r="V621" s="32">
        <v>45257.0</v>
      </c>
      <c r="X621" s="31" t="str">
        <f>IFERROR(__xludf.DUMMYFUNCTION("""COMPUTED_VALUE"""),"Competing risk analysis of cardiovascular disease risk in breast cancer patients receiving a radiation boost.")</f>
        <v>Competing risk analysis of cardiovascular disease risk in breast cancer patients receiving a radiation boost.</v>
      </c>
      <c r="Y621" s="31" t="str">
        <f>IFERROR(__xludf.DUMMYFUNCTION("""COMPUTED_VALUE"""),"Koop, Yvonne; Atsma, Femke; Batenburg, Marilot C T; Meijer, Hanneke; van der Leij, Femke; Gal, Roxanne; van Velzen, Sanne G M; Išgum, Ivana; Vermeulen, Hester; Maas, Angela H E M; Messaoudi, Saloua El; Verkooijen, Helena M")</f>
        <v>Koop, Yvonne; Atsma, Femke; Batenburg, Marilot C T; Meijer, Hanneke; van der Leij, Femke; Gal, Roxanne; van Velzen, Sanne G M; Išgum, Ivana; Vermeulen, Hester; Maas, Angela H E M; Messaoudi, Saloua El; Verkooijen, Helena M</v>
      </c>
      <c r="Z621" s="31">
        <f>IFERROR(__xludf.DUMMYFUNCTION("""COMPUTED_VALUE"""),2024.0)</f>
        <v>2024</v>
      </c>
      <c r="AA621" s="31">
        <f>IFERROR(__xludf.DUMMYFUNCTION("""COMPUTED_VALUE"""),0.0)</f>
        <v>0</v>
      </c>
      <c r="AF621" s="31" t="str">
        <f>IFERROR(__xludf.DUMMYFUNCTION("""COMPUTED_VALUE"""),"Perceived discrimination and stressful life events are associated with cardiovascular risk score in migrant and non-migrant populations: The RODAM study.")</f>
        <v>Perceived discrimination and stressful life events are associated with cardiovascular risk score in migrant and non-migrant populations: The RODAM study.</v>
      </c>
      <c r="AG621" s="31" t="str">
        <f>IFERROR(__xludf.DUMMYFUNCTION("""COMPUTED_VALUE"""),"Chilunga, Felix P; Boateng, Daniel; Henneman, Peter; Beune, Erik; Requena-Méndez, Ana; Meeks, Karlijn; Smeeth, Liam; Addo, Juliet; Bahendeka, Silver; Danquah, Ina; Schulze, Matthias B; Klipstein-Grobusch, Kerstin; Mannens, Marcel M A M; Agyemang, Charles")</f>
        <v>Chilunga, Felix P; Boateng, Daniel; Henneman, Peter; Beune, Erik; Requena-Méndez, Ana; Meeks, Karlijn; Smeeth, Liam; Addo, Juliet; Bahendeka, Silver; Danquah, Ina; Schulze, Matthias B; Klipstein-Grobusch, Kerstin; Mannens, Marcel M A M; Agyemang, Charles</v>
      </c>
      <c r="AH621" s="32">
        <f>IFERROR(__xludf.DUMMYFUNCTION("""COMPUTED_VALUE"""),43455.0)</f>
        <v>43455</v>
      </c>
      <c r="AL621" s="31" t="str">
        <f>IFERROR(__xludf.DUMMYFUNCTION("""COMPUTED_VALUE"""),"Characteristics of Esophageal Cancer Cases in Tanzania.")</f>
        <v>Characteristics of Esophageal Cancer Cases in Tanzania.</v>
      </c>
      <c r="AM621" s="31" t="str">
        <f>IFERROR(__xludf.DUMMYFUNCTION("""COMPUTED_VALUE"""),"Mmbaga, Elia J; Deardorff, Katrina V; Mushi, Beatrice; Mgisha, William; Merritt, Megan; Hiatt, Robert A; Mwaiselage, Julius; Zhang, Li; Van Loon, Katherine")</f>
        <v>Mmbaga, Elia J; Deardorff, Katrina V; Mushi, Beatrice; Mgisha, William; Merritt, Megan; Hiatt, Robert A; Mwaiselage, Julius; Zhang, Li; Van Loon, Katherine</v>
      </c>
      <c r="AN621" s="32">
        <f>IFERROR(__xludf.DUMMYFUNCTION("""COMPUTED_VALUE"""),42852.0)</f>
        <v>42852</v>
      </c>
    </row>
    <row r="622">
      <c r="A622" s="32"/>
      <c r="I622" s="31" t="str">
        <f>IFERROR(__xludf.DUMMYFUNCTION("""COMPUTED_VALUE"""),"ajob empirical bioethics")</f>
        <v>ajob empirical bioethics</v>
      </c>
      <c r="J622" s="38">
        <f>COUNTIF(Data!$F$2:$F9917, $I622)</f>
        <v>1</v>
      </c>
      <c r="T622" s="31" t="s">
        <v>1445</v>
      </c>
      <c r="U622" s="31" t="s">
        <v>1446</v>
      </c>
      <c r="V622" s="32">
        <v>45257.0</v>
      </c>
      <c r="X622" s="31" t="str">
        <f>IFERROR(__xludf.DUMMYFUNCTION("""COMPUTED_VALUE"""),"Empowering Tomorrow's Cancer Specialists: Evaluating the Co-creation and Impact of Malawi's First Surgical Oncology Summerschool.")</f>
        <v>Empowering Tomorrow's Cancer Specialists: Evaluating the Co-creation and Impact of Malawi's First Surgical Oncology Summerschool.</v>
      </c>
      <c r="Y622" s="31" t="str">
        <f>IFERROR(__xludf.DUMMYFUNCTION("""COMPUTED_VALUE"""),"van Egmond, Remco; van Kesteren, Jurre; Kaomba, Lucy; Philipo, Godfrey Sama; Borgstein, Eric; Rinkes, Inne Borel; Rijken, Marcus; Kruijff, Schelto; Stortelder, Eva")</f>
        <v>van Egmond, Remco; van Kesteren, Jurre; Kaomba, Lucy; Philipo, Godfrey Sama; Borgstein, Eric; Rinkes, Inne Borel; Rijken, Marcus; Kruijff, Schelto; Stortelder, Eva</v>
      </c>
      <c r="Z622" s="31">
        <f>IFERROR(__xludf.DUMMYFUNCTION("""COMPUTED_VALUE"""),2024.0)</f>
        <v>2024</v>
      </c>
      <c r="AA622" s="31">
        <f>IFERROR(__xludf.DUMMYFUNCTION("""COMPUTED_VALUE"""),0.0)</f>
        <v>0</v>
      </c>
      <c r="AF622" s="31" t="str">
        <f>IFERROR(__xludf.DUMMYFUNCTION("""COMPUTED_VALUE"""),"The burden of dyslipidaemia and factors associated with lipid levels among adults in rural northern Ghana: An AWI-Gen sub-study.")</f>
        <v>The burden of dyslipidaemia and factors associated with lipid levels among adults in rural northern Ghana: An AWI-Gen sub-study.</v>
      </c>
      <c r="AG622" s="31" t="str">
        <f>IFERROR(__xludf.DUMMYFUNCTION("""COMPUTED_VALUE"""),"Agongo, Godfred; Nonterah, Engelbert Adamwaba; Debpuur, Cornelius; Amenga-Etego, Lucas; Ali, Stuart; Oduro, Abraham; Crowther, Nigel J; Ramsay, Michèle; ,")</f>
        <v>Agongo, Godfred; Nonterah, Engelbert Adamwaba; Debpuur, Cornelius; Amenga-Etego, Lucas; Ali, Stuart; Oduro, Abraham; Crowther, Nigel J; Ramsay, Michèle; ,</v>
      </c>
      <c r="AH622" s="32">
        <f>IFERROR(__xludf.DUMMYFUNCTION("""COMPUTED_VALUE"""),43432.0)</f>
        <v>43432</v>
      </c>
      <c r="AL622" s="31" t="str">
        <f>IFERROR(__xludf.DUMMYFUNCTION("""COMPUTED_VALUE"""),"The Utrecht cohort for Multiple BREast cancer intervention studies and Long-term evaLuAtion (UMBRELLA): objectives, design, and baseline results.")</f>
        <v>The Utrecht cohort for Multiple BREast cancer intervention studies and Long-term evaLuAtion (UMBRELLA): objectives, design, and baseline results.</v>
      </c>
      <c r="AM622" s="31" t="str">
        <f>IFERROR(__xludf.DUMMYFUNCTION("""COMPUTED_VALUE"""),"Young-Afat, D A; van Gils, C H; van den Bongard, H J G D; Verkooijen, H M; ,")</f>
        <v>Young-Afat, D A; van Gils, C H; van den Bongard, H J G D; Verkooijen, H M; ,</v>
      </c>
      <c r="AN622" s="32">
        <f>IFERROR(__xludf.DUMMYFUNCTION("""COMPUTED_VALUE"""),42850.0)</f>
        <v>42850</v>
      </c>
    </row>
    <row r="623">
      <c r="A623" s="32"/>
      <c r="I623" s="31" t="str">
        <f>IFERROR(__xludf.DUMMYFUNCTION("""COMPUTED_VALUE"""),"environmental epidemiology philadelphia pa")</f>
        <v>environmental epidemiology philadelphia pa</v>
      </c>
      <c r="J623" s="38">
        <f>COUNTIF(Data!$F$2:$F9917, $I623)</f>
        <v>1</v>
      </c>
      <c r="T623" s="31" t="s">
        <v>1449</v>
      </c>
      <c r="U623" s="31" t="s">
        <v>1450</v>
      </c>
      <c r="V623" s="32">
        <v>45257.0</v>
      </c>
      <c r="X623" s="31" t="str">
        <f>IFERROR(__xludf.DUMMYFUNCTION("""COMPUTED_VALUE"""),"Perspectives and Concerns on Late Effects Regarding Sexuality among Adolescents and Young Adults Treated for Testicular Germ Cell Tumor: The PRICELESS-Study-A Qualitative Study.")</f>
        <v>Perspectives and Concerns on Late Effects Regarding Sexuality among Adolescents and Young Adults Treated for Testicular Germ Cell Tumor: The PRICELESS-Study-A Qualitative Study.</v>
      </c>
      <c r="Y623" s="31" t="str">
        <f>IFERROR(__xludf.DUMMYFUNCTION("""COMPUTED_VALUE"""),"Kuiper, Stefan T; Zweers, Daniëlle; Suelmann, Britt B M; Meijer, Richard P; Vervoort, Sigrid C J M")</f>
        <v>Kuiper, Stefan T; Zweers, Daniëlle; Suelmann, Britt B M; Meijer, Richard P; Vervoort, Sigrid C J M</v>
      </c>
      <c r="Z623" s="31">
        <f>IFERROR(__xludf.DUMMYFUNCTION("""COMPUTED_VALUE"""),2024.0)</f>
        <v>2024</v>
      </c>
      <c r="AA623" s="31">
        <f>IFERROR(__xludf.DUMMYFUNCTION("""COMPUTED_VALUE"""),0.0)</f>
        <v>0</v>
      </c>
      <c r="AF623" s="31" t="str">
        <f>IFERROR(__xludf.DUMMYFUNCTION("""COMPUTED_VALUE"""),"Systematic review showed that stepped-wedge cluster randomized trials often did not reach their planned sample size.")</f>
        <v>Systematic review showed that stepped-wedge cluster randomized trials often did not reach their planned sample size.</v>
      </c>
      <c r="AG623" s="31" t="str">
        <f>IFERROR(__xludf.DUMMYFUNCTION("""COMPUTED_VALUE"""),"Eichner, Felizitas A; Groenwold, Rolf H H; Grobbee, Diederick E; Oude Rengerink, Katrien")</f>
        <v>Eichner, Felizitas A; Groenwold, Rolf H H; Grobbee, Diederick E; Oude Rengerink, Katrien</v>
      </c>
      <c r="AH623" s="32">
        <f>IFERROR(__xludf.DUMMYFUNCTION("""COMPUTED_VALUE"""),43421.0)</f>
        <v>43421</v>
      </c>
      <c r="AL623" s="31" t="str">
        <f>IFERROR(__xludf.DUMMYFUNCTION("""COMPUTED_VALUE"""),"Reporting of Bayesian analysis in epidemiologic research should become more transparent.")</f>
        <v>Reporting of Bayesian analysis in epidemiologic research should become more transparent.</v>
      </c>
      <c r="AM623" s="31" t="str">
        <f>IFERROR(__xludf.DUMMYFUNCTION("""COMPUTED_VALUE"""),"Rietbergen, Charlotte; Debray, Thomas P A; Klugkist, Irene; Janssen, Kristel J M; Moons, Karel G M")</f>
        <v>Rietbergen, Charlotte; Debray, Thomas P A; Klugkist, Irene; Janssen, Kristel J M; Moons, Karel G M</v>
      </c>
      <c r="AN623" s="32">
        <f>IFERROR(__xludf.DUMMYFUNCTION("""COMPUTED_VALUE"""),42843.0)</f>
        <v>42843</v>
      </c>
    </row>
    <row r="624">
      <c r="A624" s="32"/>
      <c r="I624" s="31" t="str">
        <f>IFERROR(__xludf.DUMMYFUNCTION("""COMPUTED_VALUE"""),"microbial genomics")</f>
        <v>microbial genomics</v>
      </c>
      <c r="J624" s="38">
        <f>COUNTIF(Data!$F$2:$F9917, $I624)</f>
        <v>2</v>
      </c>
      <c r="T624" s="31" t="s">
        <v>25056</v>
      </c>
      <c r="U624" s="31" t="s">
        <v>25057</v>
      </c>
      <c r="V624" s="32">
        <v>45257.0</v>
      </c>
      <c r="X624" s="31" t="str">
        <f>IFERROR(__xludf.DUMMYFUNCTION("""COMPUTED_VALUE"""),"Building a Sustainable Learning Health Care System for Pregnant and Lactating People: Interview Study Among Data Access Providers.")</f>
        <v>Building a Sustainable Learning Health Care System for Pregnant and Lactating People: Interview Study Among Data Access Providers.</v>
      </c>
      <c r="Y624" s="31" t="str">
        <f>IFERROR(__xludf.DUMMYFUNCTION("""COMPUTED_VALUE"""),"Hollestelle, Marieke J; van der Graaf, Rieke; Sturkenboom, Miriam C J M; Cunnington, Marianne; van Delden, Johannes J M")</f>
        <v>Hollestelle, Marieke J; van der Graaf, Rieke; Sturkenboom, Miriam C J M; Cunnington, Marianne; van Delden, Johannes J M</v>
      </c>
      <c r="Z624" s="31">
        <f>IFERROR(__xludf.DUMMYFUNCTION("""COMPUTED_VALUE"""),2024.0)</f>
        <v>2024</v>
      </c>
      <c r="AA624" s="31">
        <f>IFERROR(__xludf.DUMMYFUNCTION("""COMPUTED_VALUE"""),0.0)</f>
        <v>0</v>
      </c>
      <c r="AF624" s="31" t="str">
        <f>IFERROR(__xludf.DUMMYFUNCTION("""COMPUTED_VALUE"""),"Socio-demographic determinants of low birth weight: Evidence from the Kassena-Nankana districts of the Upper East Region of Ghana.")</f>
        <v>Socio-demographic determinants of low birth weight: Evidence from the Kassena-Nankana districts of the Upper East Region of Ghana.</v>
      </c>
      <c r="AG624" s="31" t="str">
        <f>IFERROR(__xludf.DUMMYFUNCTION("""COMPUTED_VALUE"""),"Agorinya, Isaiah Awintuen; Kanmiki, Edmund Wedam; Nonterah, Engelbert Adamwaba; Tediosi, Fabrizio; Akazili, James; Welaga, Paul; Azongo, Daniel; Oduro, Abraham Rexford")</f>
        <v>Agorinya, Isaiah Awintuen; Kanmiki, Edmund Wedam; Nonterah, Engelbert Adamwaba; Tediosi, Fabrizio; Akazili, James; Welaga, Paul; Azongo, Daniel; Oduro, Abraham Rexford</v>
      </c>
      <c r="AH624" s="32">
        <f>IFERROR(__xludf.DUMMYFUNCTION("""COMPUTED_VALUE"""),43418.0)</f>
        <v>43418</v>
      </c>
      <c r="AL624" s="31" t="str">
        <f>IFERROR(__xludf.DUMMYFUNCTION("""COMPUTED_VALUE"""),"Home or foster home care versus institutional long-term care for functionally dependent older people.")</f>
        <v>Home or foster home care versus institutional long-term care for functionally dependent older people.</v>
      </c>
      <c r="AM624" s="31" t="str">
        <f>IFERROR(__xludf.DUMMYFUNCTION("""COMPUTED_VALUE"""),"Young, Camilla; Hall, Amanda M; Gonçalves-Bradley, Daniela C; Quinn, Terry J; Hooft, Lotty; van Munster, Barbara C; Stott, David J")</f>
        <v>Young, Camilla; Hall, Amanda M; Gonçalves-Bradley, Daniela C; Quinn, Terry J; Hooft, Lotty; van Munster, Barbara C; Stott, David J</v>
      </c>
      <c r="AN624" s="32">
        <f>IFERROR(__xludf.DUMMYFUNCTION("""COMPUTED_VALUE"""),42828.0)</f>
        <v>42828</v>
      </c>
    </row>
    <row r="625">
      <c r="A625" s="32"/>
      <c r="I625" s="31" t="str">
        <f>IFERROR(__xludf.DUMMYFUNCTION("""COMPUTED_VALUE"""),"american journal of clinical oncology")</f>
        <v>american journal of clinical oncology</v>
      </c>
      <c r="J625" s="38">
        <f>COUNTIF(Data!$F$2:$F9917, $I625)</f>
        <v>1</v>
      </c>
      <c r="T625" s="31" t="s">
        <v>1453</v>
      </c>
      <c r="U625" s="31" t="s">
        <v>1454</v>
      </c>
      <c r="V625" s="32">
        <v>45255.0</v>
      </c>
      <c r="X625" s="31" t="str">
        <f>IFERROR(__xludf.DUMMYFUNCTION("""COMPUTED_VALUE"""),"Identification and development of implementation strategies: the important role of codesign.")</f>
        <v>Identification and development of implementation strategies: the important role of codesign.</v>
      </c>
      <c r="Y625" s="31" t="str">
        <f>IFERROR(__xludf.DUMMYFUNCTION("""COMPUTED_VALUE"""),"van der Laag, Patricia J; Dorhout, Berber G; Heeren, Aaron A; Veenhof, Cindy; Barten, Di-Janne J A; Schoonhoven, Lisette")</f>
        <v>van der Laag, Patricia J; Dorhout, Berber G; Heeren, Aaron A; Veenhof, Cindy; Barten, Di-Janne J A; Schoonhoven, Lisette</v>
      </c>
      <c r="Z625" s="31">
        <f>IFERROR(__xludf.DUMMYFUNCTION("""COMPUTED_VALUE"""),2024.0)</f>
        <v>2024</v>
      </c>
      <c r="AA625" s="31">
        <f>IFERROR(__xludf.DUMMYFUNCTION("""COMPUTED_VALUE"""),0.0)</f>
        <v>0</v>
      </c>
      <c r="AF625" s="31" t="str">
        <f>IFERROR(__xludf.DUMMYFUNCTION("""COMPUTED_VALUE"""),"Sex differences in risk factors for myocardial infarction: cohort study of UK Biobank participants.")</f>
        <v>Sex differences in risk factors for myocardial infarction: cohort study of UK Biobank participants.</v>
      </c>
      <c r="AG625" s="31" t="str">
        <f>IFERROR(__xludf.DUMMYFUNCTION("""COMPUTED_VALUE"""),"Millett, Elizabeth R C; Peters, Sanne A E; Woodward, Mark")</f>
        <v>Millett, Elizabeth R C; Peters, Sanne A E; Woodward, Mark</v>
      </c>
      <c r="AH625" s="32">
        <f>IFERROR(__xludf.DUMMYFUNCTION("""COMPUTED_VALUE"""),43411.0)</f>
        <v>43411</v>
      </c>
      <c r="AL625" s="31" t="str">
        <f>IFERROR(__xludf.DUMMYFUNCTION("""COMPUTED_VALUE"""),"Impact of Medication Adherence on the Effect of Renal Denervation: The SYMPATHY Trial.")</f>
        <v>Impact of Medication Adherence on the Effect of Renal Denervation: The SYMPATHY Trial.</v>
      </c>
      <c r="AM625" s="31" t="str">
        <f>IFERROR(__xludf.DUMMYFUNCTION("""COMPUTED_VALUE"""),"de Jager, Rosa L; de Beus, Esther; Beeftink, Martine M A; Sanders, Margreet F; Vonken, Evert-Jan; Voskuil, Michiel; van Maarseveen, Erik M; Bots, Michiel L; Blankestijn, Peter J; ,")</f>
        <v>de Jager, Rosa L; de Beus, Esther; Beeftink, Martine M A; Sanders, Margreet F; Vonken, Evert-Jan; Voskuil, Michiel; van Maarseveen, Erik M; Bots, Michiel L; Blankestijn, Peter J; ,</v>
      </c>
      <c r="AN625" s="32">
        <f>IFERROR(__xludf.DUMMYFUNCTION("""COMPUTED_VALUE"""),42826.0)</f>
        <v>42826</v>
      </c>
    </row>
    <row r="626">
      <c r="A626" s="32"/>
      <c r="I626" s="31" t="str">
        <f>IFERROR(__xludf.DUMMYFUNCTION("""COMPUTED_VALUE"""),"the british journal of radiology")</f>
        <v>the british journal of radiology</v>
      </c>
      <c r="J626" s="38">
        <f>COUNTIF(Data!$F$2:$F9917, $I626)</f>
        <v>1</v>
      </c>
      <c r="T626" s="31" t="s">
        <v>1457</v>
      </c>
      <c r="U626" s="31" t="s">
        <v>1458</v>
      </c>
      <c r="V626" s="32">
        <v>45255.0</v>
      </c>
      <c r="X626" s="31" t="str">
        <f>IFERROR(__xludf.DUMMYFUNCTION("""COMPUTED_VALUE"""),"Global positioning system-based food environment exposures, diet-related, and cardiometabolic health outcomes: a systematic review and research agenda.")</f>
        <v>Global positioning system-based food environment exposures, diet-related, and cardiometabolic health outcomes: a systematic review and research agenda.</v>
      </c>
      <c r="Y626" s="31" t="str">
        <f>IFERROR(__xludf.DUMMYFUNCTION("""COMPUTED_VALUE"""),"Siddiqui, Noreen Z; Wei, Lai; Mackenbach, Joreintje D; Pinho, Maria G M; Helbich, Marco; Schoonmade, Linda J; Beulens, Joline W J")</f>
        <v>Siddiqui, Noreen Z; Wei, Lai; Mackenbach, Joreintje D; Pinho, Maria G M; Helbich, Marco; Schoonmade, Linda J; Beulens, Joline W J</v>
      </c>
      <c r="Z626" s="31">
        <f>IFERROR(__xludf.DUMMYFUNCTION("""COMPUTED_VALUE"""),2024.0)</f>
        <v>2024</v>
      </c>
      <c r="AA626" s="31">
        <f>IFERROR(__xludf.DUMMYFUNCTION("""COMPUTED_VALUE"""),0.0)</f>
        <v>0</v>
      </c>
      <c r="AF626" s="31" t="str">
        <f>IFERROR(__xludf.DUMMYFUNCTION("""COMPUTED_VALUE"""),"Gestational weight gain charts for different body mass index groups for women in Europe, North America, and Oceania.")</f>
        <v>Gestational weight gain charts for different body mass index groups for women in Europe, North America, and Oceania.</v>
      </c>
      <c r="AG626" s="31" t="str">
        <f>IFERROR(__xludf.DUMMYFUNCTION("""COMPUTED_VALUE"""),"Santos, Susana; Eekhout, Iris; Voerman, Ellis; Gaillard, Romy; Barros, Henrique; Charles, Marie-Aline; Chatzi, Leda; Chevrier, Cécile; Chrousos, George P; Corpeleijn, Eva; Costet, Nathalie; Crozier, Sarah; Doyon, Myriam; Eggesbø, Merete; Fantini, Maria Pi"&amp;"a; Farchi, Sara; Forastiere, Francesco; Gagliardi, Luigi; Georgiu, Vagelis; Godfrey, Keith M; Gori, Davide; Grote, Veit; Hanke, Wojciech; Hertz-Picciotto, Irva; Heude, Barbara; Hivert, Marie-France; Hryhorczuk, Daniel; Huang, Rae-Chi; Inskip, Hazel; Jusko"&amp;", Todd A; Karvonen, Anne M; Koletzko, Berthold; Küpers, Leanne K; Lagström, Hanna; Lawlor, Debbie A; Lehmann, Irina; Lopez-Espinosa, Maria-Jose; Magnus, Per; Majewska, Renata; Mäkelä, Johanna; Manios, Yannis; McDonald, Sheila W; Mommers, Monique; Morgen, "&amp;"Camilla S; Moschonis, George; Murínová, Ľubica; Newnham, John; Nohr, Ellen A; Andersen, Anne-Marie Nybo; Oken, Emily; Oostvogels, Adriëtte J J M; Pac, Agnieszka; Papadopoulou, Eleni; Pekkanen, Juha; Pizzi, Costanza; Polanska, Kinga; Po")</f>
        <v>Santos, Susana; Eekhout, Iris; Voerman, Ellis; Gaillard, Romy; Barros, Henrique; Charles, Marie-Aline; Chatzi, Leda; Chevrier, Cécile; Chrousos, George P; Corpeleijn, Eva; Costet, Nathalie; Crozier, Sarah; Doyon, Myriam; Eggesbø, Merete; Fantini, Maria Pia; Farchi, Sara; Forastiere, Francesco; Gagliardi, Luigi; Georgiu, Vagelis; Godfrey, Keith M; Gori, Davide; Grote, Veit; Hanke, Wojciech; Hertz-Picciotto, Irva; Heude, Barbara; Hivert, Marie-France; Hryhorczuk, Daniel; Huang, Rae-Chi; Inskip, Hazel; Jusko, Todd A; Karvonen, Anne M; Koletzko, Berthold; Küpers, Leanne K; Lagström, Hanna; Lawlor, Debbie A; Lehmann, Irina; Lopez-Espinosa, Maria-Jose; Magnus, Per; Majewska, Renata; Mäkelä, Johanna; Manios, Yannis; McDonald, Sheila W; Mommers, Monique; Morgen, Camilla S; Moschonis, George; Murínová, Ľubica; Newnham, John; Nohr, Ellen A; Andersen, Anne-Marie Nybo; Oken, Emily; Oostvogels, Adriëtte J J M; Pac, Agnieszka; Papadopoulou, Eleni; Pekkanen, Juha; Pizzi, Costanza; Polanska, Kinga; Po</v>
      </c>
      <c r="AH626" s="32">
        <f>IFERROR(__xludf.DUMMYFUNCTION("""COMPUTED_VALUE"""),43409.0)</f>
        <v>43409</v>
      </c>
      <c r="AL626" s="31" t="str">
        <f>IFERROR(__xludf.DUMMYFUNCTION("""COMPUTED_VALUE"""),"ELAPSS score for prediction of risk of growth of unruptured intracranial aneurysms.")</f>
        <v>ELAPSS score for prediction of risk of growth of unruptured intracranial aneurysms.</v>
      </c>
      <c r="AM626" s="31" t="str">
        <f>IFERROR(__xludf.DUMMYFUNCTION("""COMPUTED_VALUE"""),"Backes, Daan; Rinkel, Gabriel J E; Greving, Jacoba P; Velthuis, Birgitta K; Murayama, Yuichi; Takao, Hiroyuki; Ishibashi, Toshihiro; Igase, Michiya; terBrugge, Karel G; Agid, Ronit; Jääskeläinen, Juha E; Lindgren, Antti E; Koivisto, Timo; von Und Zu Fraun"&amp;"berg, Mikael; Matsubara, Shunji; Moroi, Junta; Wong, George K C; Abrigo, Jill M; Igase, Keiji; Matsumoto, Katsumi; Wermer, Marieke J H; van Walderveen, Marianne A A; Algra, Ale; Vergouwen, Mervyn D I")</f>
        <v>Backes, Daan; Rinkel, Gabriel J E; Greving, Jacoba P; Velthuis, Birgitta K; Murayama, Yuichi; Takao, Hiroyuki; Ishibashi, Toshihiro; Igase, Michiya; terBrugge, Karel G; Agid, Ronit; Jääskeläinen, Juha E; Lindgren, Antti E; Koivisto, Timo; von Und Zu Fraunberg, Mikael; Matsubara, Shunji; Moroi, Junta; Wong, George K C; Abrigo, Jill M; Igase, Keiji; Matsumoto, Katsumi; Wermer, Marieke J H; van Walderveen, Marianne A A; Algra, Ale; Vergouwen, Mervyn D I</v>
      </c>
      <c r="AN626" s="32">
        <f>IFERROR(__xludf.DUMMYFUNCTION("""COMPUTED_VALUE"""),42825.0)</f>
        <v>42825</v>
      </c>
    </row>
    <row r="627">
      <c r="A627" s="32"/>
      <c r="I627" s="31" t="str">
        <f>IFERROR(__xludf.DUMMYFUNCTION("""COMPUTED_VALUE"""),"european journal of nuclear medicine and molecular imaging")</f>
        <v>european journal of nuclear medicine and molecular imaging</v>
      </c>
      <c r="J627" s="38">
        <f>COUNTIF(Data!$F$2:$F9917, $I627)</f>
        <v>6</v>
      </c>
      <c r="T627" s="31" t="s">
        <v>1462</v>
      </c>
      <c r="U627" s="31" t="s">
        <v>1463</v>
      </c>
      <c r="V627" s="32">
        <v>45253.0</v>
      </c>
      <c r="X627" s="31" t="str">
        <f>IFERROR(__xludf.DUMMYFUNCTION("""COMPUTED_VALUE"""),"Maternal history of Alzheimer's disease predisposes to altered serum cholesterol levels in adult offspring.")</f>
        <v>Maternal history of Alzheimer's disease predisposes to altered serum cholesterol levels in adult offspring.</v>
      </c>
      <c r="Y627" s="31" t="str">
        <f>IFERROR(__xludf.DUMMYFUNCTION("""COMPUTED_VALUE"""),"Liang, Yuehui; Deng, Ming-Gang; Jian, Qinghong; Liu, Mingwei; Fang, Kui; Chen, Shuai")</f>
        <v>Liang, Yuehui; Deng, Ming-Gang; Jian, Qinghong; Liu, Mingwei; Fang, Kui; Chen, Shuai</v>
      </c>
      <c r="Z627" s="31">
        <f>IFERROR(__xludf.DUMMYFUNCTION("""COMPUTED_VALUE"""),2024.0)</f>
        <v>2024</v>
      </c>
      <c r="AA627" s="31">
        <f>IFERROR(__xludf.DUMMYFUNCTION("""COMPUTED_VALUE"""),0.0)</f>
        <v>0</v>
      </c>
      <c r="AF627" s="31" t="str">
        <f>IFERROR(__xludf.DUMMYFUNCTION("""COMPUTED_VALUE"""),"Differences in alcohol consumption and drinking patterns in Ghanaians in Europe and Africa: The RODAM Study.")</f>
        <v>Differences in alcohol consumption and drinking patterns in Ghanaians in Europe and Africa: The RODAM Study.</v>
      </c>
      <c r="AG627" s="31" t="str">
        <f>IFERROR(__xludf.DUMMYFUNCTION("""COMPUTED_VALUE"""),"Addo, Juliet; Cook, Sarah; Galbete, Cecilia; Agyemang, Charles; Klipstein-Grobusch, Kerstin; Nicolaou, Mary; Danquah, Ina; Schulze, Matthias B; Brathwaite, Rachel; Mockenhaupt, Frank P; Beune, Erik; Meeks, Karlijn; de-Graft Aikins, Ama; Bahendaka, Silver;"&amp;" Owusu-Dabo, Ellis; Smeeth, Liam")</f>
        <v>Addo, Juliet; Cook, Sarah; Galbete, Cecilia; Agyemang, Charles; Klipstein-Grobusch, Kerstin; Nicolaou, Mary; Danquah, Ina; Schulze, Matthias B; Brathwaite, Rachel; Mockenhaupt, Frank P; Beune, Erik; Meeks, Karlijn; de-Graft Aikins, Ama; Bahendaka, Silver; Owusu-Dabo, Ellis; Smeeth, Liam</v>
      </c>
      <c r="AH627" s="32">
        <f>IFERROR(__xludf.DUMMYFUNCTION("""COMPUTED_VALUE"""),43406.0)</f>
        <v>43406</v>
      </c>
      <c r="AL627" s="31" t="str">
        <f>IFERROR(__xludf.DUMMYFUNCTION("""COMPUTED_VALUE"""),"Risk factors for ESBL-producing Escherichia coli on pig farms: A longitudinal study in the context of reduced use of antimicrobials.")</f>
        <v>Risk factors for ESBL-producing Escherichia coli on pig farms: A longitudinal study in the context of reduced use of antimicrobials.</v>
      </c>
      <c r="AM627" s="31" t="str">
        <f>IFERROR(__xludf.DUMMYFUNCTION("""COMPUTED_VALUE"""),"Dohmen, Wietske; Dorado-García, Alejandro; Bonten, Marc J M; Wagenaar, Jaap A; Mevius, Dik; Heederik, Dick J J")</f>
        <v>Dohmen, Wietske; Dorado-García, Alejandro; Bonten, Marc J M; Wagenaar, Jaap A; Mevius, Dik; Heederik, Dick J J</v>
      </c>
      <c r="AN627" s="32">
        <f>IFERROR(__xludf.DUMMYFUNCTION("""COMPUTED_VALUE"""),42815.0)</f>
        <v>42815</v>
      </c>
    </row>
    <row r="628">
      <c r="A628" s="32"/>
      <c r="I628" s="31" t="str">
        <f>IFERROR(__xludf.DUMMYFUNCTION("""COMPUTED_VALUE"""),"stem cell reports")</f>
        <v>stem cell reports</v>
      </c>
      <c r="J628" s="38">
        <f>COUNTIF(Data!$F$2:$F9917, $I628)</f>
        <v>2</v>
      </c>
      <c r="T628" s="31" t="s">
        <v>1466</v>
      </c>
      <c r="U628" s="31" t="s">
        <v>1467</v>
      </c>
      <c r="V628" s="32">
        <v>45253.0</v>
      </c>
      <c r="X628" s="31" t="str">
        <f>IFERROR(__xludf.DUMMYFUNCTION("""COMPUTED_VALUE"""),"Expectations and Experiences of Participating in a Supervised and Home-Based Physical Exercise Intervention in Patients with Head and Neck Cancer during Chemoradiotherapy: A Qualitative Study.")</f>
        <v>Expectations and Experiences of Participating in a Supervised and Home-Based Physical Exercise Intervention in Patients with Head and Neck Cancer during Chemoradiotherapy: A Qualitative Study.</v>
      </c>
      <c r="Y628" s="31" t="str">
        <f>IFERROR(__xludf.DUMMYFUNCTION("""COMPUTED_VALUE"""),"Kok, Annemieke; Passchier, Ellen; May, Anne M; Jager-Wittenaar, Harriët; Veenhof, Cindy; de Bree, Remco; Stuiver, Martijn M; Speksnijder, Caroline M")</f>
        <v>Kok, Annemieke; Passchier, Ellen; May, Anne M; Jager-Wittenaar, Harriët; Veenhof, Cindy; de Bree, Remco; Stuiver, Martijn M; Speksnijder, Caroline M</v>
      </c>
      <c r="Z628" s="31">
        <f>IFERROR(__xludf.DUMMYFUNCTION("""COMPUTED_VALUE"""),2024.0)</f>
        <v>2024</v>
      </c>
      <c r="AA628" s="31">
        <f>IFERROR(__xludf.DUMMYFUNCTION("""COMPUTED_VALUE"""),0.0)</f>
        <v>0</v>
      </c>
      <c r="AF628" s="31" t="str">
        <f>IFERROR(__xludf.DUMMYFUNCTION("""COMPUTED_VALUE"""),"Developments in euthanasia practice in the Netherlands: Balancing professional responsibility and the patient's autonomy.")</f>
        <v>Developments in euthanasia practice in the Netherlands: Balancing professional responsibility and the patient's autonomy.</v>
      </c>
      <c r="AG628" s="31" t="str">
        <f>IFERROR(__xludf.DUMMYFUNCTION("""COMPUTED_VALUE"""),"Kouwenhoven, Pauline S C; van Thiel, Ghislaine J M W; van der Heide, Agnes; Rietjens, Judith A C; van Delden, Johannes J M")</f>
        <v>Kouwenhoven, Pauline S C; van Thiel, Ghislaine J M W; van der Heide, Agnes; Rietjens, Judith A C; van Delden, Johannes J M</v>
      </c>
      <c r="AH628" s="32">
        <f>IFERROR(__xludf.DUMMYFUNCTION("""COMPUTED_VALUE"""),43405.0)</f>
        <v>43405</v>
      </c>
      <c r="AL628" s="31" t="str">
        <f>IFERROR(__xludf.DUMMYFUNCTION("""COMPUTED_VALUE"""),"Predictors for individual patient antibiotic treatment effect in hospitalized community-acquired pneumonia patients.")</f>
        <v>Predictors for individual patient antibiotic treatment effect in hospitalized community-acquired pneumonia patients.</v>
      </c>
      <c r="AM628" s="31" t="str">
        <f>IFERROR(__xludf.DUMMYFUNCTION("""COMPUTED_VALUE"""),"Simonetti, A F; van Werkhoven, C H; Schweitzer, V A; Viasus, D; Carratalà, J; Postma, D F; Oosterheert, J J; Bonten, M J M")</f>
        <v>Simonetti, A F; van Werkhoven, C H; Schweitzer, V A; Viasus, D; Carratalà, J; Postma, D F; Oosterheert, J J; Bonten, M J M</v>
      </c>
      <c r="AN628" s="32">
        <f>IFERROR(__xludf.DUMMYFUNCTION("""COMPUTED_VALUE"""),42814.0)</f>
        <v>42814</v>
      </c>
    </row>
    <row r="629">
      <c r="A629" s="32"/>
      <c r="I629" s="31" t="str">
        <f>IFERROR(__xludf.DUMMYFUNCTION("""COMPUTED_VALUE"""),"international journal of particle therapy")</f>
        <v>international journal of particle therapy</v>
      </c>
      <c r="J629" s="38">
        <f>COUNTIF(Data!$F$2:$F9917, $I629)</f>
        <v>1</v>
      </c>
      <c r="T629" s="31" t="s">
        <v>1470</v>
      </c>
      <c r="U629" s="31" t="s">
        <v>1471</v>
      </c>
      <c r="V629" s="32">
        <v>45252.0</v>
      </c>
      <c r="X629" s="31" t="str">
        <f>IFERROR(__xludf.DUMMYFUNCTION("""COMPUTED_VALUE"""),"Designing tailored maintenance strategies for systematic reviews and clinical practice guidelines using the Portfolio Maintenance by Test-Treatment (POMBYTT) framework.")</f>
        <v>Designing tailored maintenance strategies for systematic reviews and clinical practice guidelines using the Portfolio Maintenance by Test-Treatment (POMBYTT) framework.</v>
      </c>
      <c r="Y629" s="31" t="str">
        <f>IFERROR(__xludf.DUMMYFUNCTION("""COMPUTED_VALUE"""),"Oerbekke, Michiel S; Elbers, Roy G; van der Laan, Maarten J; Hooft, Lotty")</f>
        <v>Oerbekke, Michiel S; Elbers, Roy G; van der Laan, Maarten J; Hooft, Lotty</v>
      </c>
      <c r="Z629" s="31">
        <f>IFERROR(__xludf.DUMMYFUNCTION("""COMPUTED_VALUE"""),2024.0)</f>
        <v>2024</v>
      </c>
      <c r="AA629" s="31">
        <f>IFERROR(__xludf.DUMMYFUNCTION("""COMPUTED_VALUE"""),0.0)</f>
        <v>0</v>
      </c>
      <c r="AF629" s="31" t="str">
        <f>IFERROR(__xludf.DUMMYFUNCTION("""COMPUTED_VALUE"""),"Ethics in clinical trial regulation: ethically relevant issues from EMA inspection reports.")</f>
        <v>Ethics in clinical trial regulation: ethically relevant issues from EMA inspection reports.</v>
      </c>
      <c r="AG629" s="31" t="str">
        <f>IFERROR(__xludf.DUMMYFUNCTION("""COMPUTED_VALUE"""),"Bernabe, R D L C; van Thiel, G J M W; Breekveldt, N S; Gispen-de Wied, C C; van Delden, J J M")</f>
        <v>Bernabe, R D L C; van Thiel, G J M W; Breekveldt, N S; Gispen-de Wied, C C; van Delden, J J M</v>
      </c>
      <c r="AH629" s="32">
        <f>IFERROR(__xludf.DUMMYFUNCTION("""COMPUTED_VALUE"""),43402.0)</f>
        <v>43402</v>
      </c>
      <c r="AL629" s="31" t="str">
        <f>IFERROR(__xludf.DUMMYFUNCTION("""COMPUTED_VALUE"""),"Biomarkers of folate and vitamin B12 and breast cancer risk: report from the EPIC cohort.")</f>
        <v>Biomarkers of folate and vitamin B12 and breast cancer risk: report from the EPIC cohort.</v>
      </c>
      <c r="AM629" s="31" t="str">
        <f>IFERROR(__xludf.DUMMYFUNCTION("""COMPUTED_VALUE"""),"Matejcic, M; de Batlle, J; Ricci, C; Biessy, C; Perrier, F; Huybrechts, I; Weiderpass, E; Boutron-Ruault, M C; Cadeau, C; His, M; Cox, D G; Boeing, H; Fortner, R T; Kaaks, R; Lagiou, P; Trichopoulou, A; Benetou, V; Tumino, R; Panico, S; Sieri, S; Palli, D"&amp;"; Ricceri, F; Bueno-de-Mesquita, H B As; Skeie, G; Amiano, P; Sánchez, M J; Chirlaque, M D; Barricarte, A; Quirós, J R; Buckland, G; van Gils, C H; Peeters, P H; Key, T J; Riboli, E; Gylling, B; Zeleniuch-Jacquotte, A; Gunter, M J; Romieu, I; Chajès, V")</f>
        <v>Matejcic, M; de Batlle, J; Ricci, C; Biessy, C; Perrier, F; Huybrechts, I; Weiderpass, E; Boutron-Ruault, M C; Cadeau, C; His, M; Cox, D G; Boeing, H; Fortner, R T; Kaaks, R; Lagiou, P; Trichopoulou, A; Benetou, V; Tumino, R; Panico, S; Sieri, S; Palli, D; Ricceri, F; Bueno-de-Mesquita, H B As; Skeie, G; Amiano, P; Sánchez, M J; Chirlaque, M D; Barricarte, A; Quirós, J R; Buckland, G; van Gils, C H; Peeters, P H; Key, T J; Riboli, E; Gylling, B; Zeleniuch-Jacquotte, A; Gunter, M J; Romieu, I; Chajès, V</v>
      </c>
      <c r="AN629" s="32">
        <f>IFERROR(__xludf.DUMMYFUNCTION("""COMPUTED_VALUE"""),42809.0)</f>
        <v>42809</v>
      </c>
    </row>
    <row r="630">
      <c r="A630" s="32"/>
      <c r="I630" s="31" t="str">
        <f>IFERROR(__xludf.DUMMYFUNCTION("""COMPUTED_VALUE"""),"human genetics")</f>
        <v>human genetics</v>
      </c>
      <c r="J630" s="38">
        <f>COUNTIF(Data!$F$2:$F9917, $I630)</f>
        <v>1</v>
      </c>
      <c r="T630" s="31" t="s">
        <v>1474</v>
      </c>
      <c r="U630" s="31" t="s">
        <v>1475</v>
      </c>
      <c r="V630" s="32">
        <v>45250.0</v>
      </c>
      <c r="X630" s="31" t="str">
        <f>IFERROR(__xludf.DUMMYFUNCTION("""COMPUTED_VALUE"""),"Corrigendum to ""Effectiveness of L-serine supplementation in children with a GRIN2B loss-of-function mutation: Rationale and protocol for single patient (n-of-1) multiple cross-over trials"" [Contemp. Clin. Trials Commun. 36 (2023)/ DOI: 10.1016/j.conctc"&amp;".2023.101233].")</f>
        <v>Corrigendum to "Effectiveness of L-serine supplementation in children with a GRIN2B loss-of-function mutation: Rationale and protocol for single patient (n-of-1) multiple cross-over trials" [Contemp. Clin. Trials Commun. 36 (2023)/ DOI: 10.1016/j.conctc.2023.101233].</v>
      </c>
      <c r="Y630" s="31" t="str">
        <f>IFERROR(__xludf.DUMMYFUNCTION("""COMPUTED_VALUE"""),"Hollander, Bibiche den; Rothuizen-Lindenschot, Marieke; Geertjens, Lisa; Vaz, Frédéric M; Brands, Marion M; Le, Hoang Lan; van Eeghen, Agnies M; van de Ven, Peter M; Cornel, Martina C; Jacobs, Bart A W; Bruining, Hilgo; van Karnebeek, Clara D")</f>
        <v>Hollander, Bibiche den; Rothuizen-Lindenschot, Marieke; Geertjens, Lisa; Vaz, Frédéric M; Brands, Marion M; Le, Hoang Lan; van Eeghen, Agnies M; van de Ven, Peter M; Cornel, Martina C; Jacobs, Bart A W; Bruining, Hilgo; van Karnebeek, Clara D</v>
      </c>
      <c r="Z630" s="31">
        <f>IFERROR(__xludf.DUMMYFUNCTION("""COMPUTED_VALUE"""),2024.0)</f>
        <v>2024</v>
      </c>
      <c r="AA630" s="31">
        <f>IFERROR(__xludf.DUMMYFUNCTION("""COMPUTED_VALUE"""),0.0)</f>
        <v>0</v>
      </c>
      <c r="AF630" s="31" t="str">
        <f>IFERROR(__xludf.DUMMYFUNCTION("""COMPUTED_VALUE"""),"Organoids as hybrids: ethical implications for the exchange of human tissues.")</f>
        <v>Organoids as hybrids: ethical implications for the exchange of human tissues.</v>
      </c>
      <c r="AG630" s="31" t="str">
        <f>IFERROR(__xludf.DUMMYFUNCTION("""COMPUTED_VALUE"""),"Boers, Sarah N; van Delden, Johannes J M; Bredenoord, Annelien L")</f>
        <v>Boers, Sarah N; van Delden, Johannes J M; Bredenoord, Annelien L</v>
      </c>
      <c r="AH630" s="32">
        <f>IFERROR(__xludf.DUMMYFUNCTION("""COMPUTED_VALUE"""),43399.0)</f>
        <v>43399</v>
      </c>
      <c r="AL630" s="31" t="str">
        <f>IFERROR(__xludf.DUMMYFUNCTION("""COMPUTED_VALUE"""),"PAIS 2 (Paracetamol [Acetaminophen] in Stroke 2): Results of a Randomized, Double-Blind Placebo-Controlled Clinical Trial.")</f>
        <v>PAIS 2 (Paracetamol [Acetaminophen] in Stroke 2): Results of a Randomized, Double-Blind Placebo-Controlled Clinical Trial.</v>
      </c>
      <c r="AM630" s="31" t="str">
        <f>IFERROR(__xludf.DUMMYFUNCTION("""COMPUTED_VALUE"""),"de Ridder, Inger R; den Hertog, Heleen M; van Gemert, H Maarten A; Schreuder, A H C M L Tobien; Ruitenberg, Annemieke; Maasland, E Lisette; Saxena, Ritu; van Tuijl, Jordie H; Jansen, Ben P W; Van den Berg-Vos, Renske M; Vermeij, Frederique; Koudstaal, Pet"&amp;"er J; Kappelle, L Jaap; Algra, Ale; van der Worp, H Bart; Dippel, Diederik W J; ,")</f>
        <v>de Ridder, Inger R; den Hertog, Heleen M; van Gemert, H Maarten A; Schreuder, A H C M L Tobien; Ruitenberg, Annemieke; Maasland, E Lisette; Saxena, Ritu; van Tuijl, Jordie H; Jansen, Ben P W; Van den Berg-Vos, Renske M; Vermeij, Frederique; Koudstaal, Peter J; Kappelle, L Jaap; Algra, Ale; van der Worp, H Bart; Dippel, Diederik W J; ,</v>
      </c>
      <c r="AN630" s="32">
        <f>IFERROR(__xludf.DUMMYFUNCTION("""COMPUTED_VALUE"""),42807.0)</f>
        <v>42807</v>
      </c>
    </row>
    <row r="631">
      <c r="A631" s="32"/>
      <c r="I631" s="31" t="str">
        <f>IFERROR(__xludf.DUMMYFUNCTION("""COMPUTED_VALUE"""),"journal of animal physiology and animal nutrition")</f>
        <v>journal of animal physiology and animal nutrition</v>
      </c>
      <c r="J631" s="38">
        <f>COUNTIF(Data!$F$2:$F9917, $I631)</f>
        <v>1</v>
      </c>
      <c r="T631" s="31" t="s">
        <v>1478</v>
      </c>
      <c r="U631" s="31" t="s">
        <v>1479</v>
      </c>
      <c r="V631" s="32">
        <v>45250.0</v>
      </c>
      <c r="X631" s="31" t="str">
        <f>IFERROR(__xludf.DUMMYFUNCTION("""COMPUTED_VALUE"""),"Correction to: Comparative effectiveness of β-lactams for empirical treatment of methicillin-susceptible Staphylococcus aureus bacteraemia: a prospective cohort study.")</f>
        <v>Correction to: Comparative effectiveness of β-lactams for empirical treatment of methicillin-susceptible Staphylococcus aureus bacteraemia: a prospective cohort study.</v>
      </c>
      <c r="Y631" s="31" t="str">
        <f>IFERROR(__xludf.DUMMYFUNCTION("""COMPUTED_VALUE"""),"Buis, D T P; van der Vaart, T W; Prins, J M; van der Meer, J T M; Bonten, M J M; Sieswerda, E; van Werkhoven, C H; Sigaloff, K C E")</f>
        <v>Buis, D T P; van der Vaart, T W; Prins, J M; van der Meer, J T M; Bonten, M J M; Sieswerda, E; van Werkhoven, C H; Sigaloff, K C E</v>
      </c>
      <c r="Z631" s="31">
        <f>IFERROR(__xludf.DUMMYFUNCTION("""COMPUTED_VALUE"""),2024.0)</f>
        <v>2024</v>
      </c>
      <c r="AA631" s="31">
        <f>IFERROR(__xludf.DUMMYFUNCTION("""COMPUTED_VALUE"""),0.0)</f>
        <v>0</v>
      </c>
      <c r="AF631" s="31" t="str">
        <f>IFERROR(__xludf.DUMMYFUNCTION("""COMPUTED_VALUE"""),"Circulating Phylloquinone Concentrations and Risk of Type 2 Diabetes: A Mendelian Randomization Study.")</f>
        <v>Circulating Phylloquinone Concentrations and Risk of Type 2 Diabetes: A Mendelian Randomization Study.</v>
      </c>
      <c r="AG631" s="31" t="str">
        <f>IFERROR(__xludf.DUMMYFUNCTION("""COMPUTED_VALUE"""),"Zwakenberg, Sabine R; Remmelzwaal, Sharon; Beulens, Joline W J; Booth, Sarah L; Burgess, Stephen; Dashti, Hassan S; Imamura, Fumiaki; Feskens, Edith J M; van der Schouw, Yvonne T; Sluijs, Ivonne")</f>
        <v>Zwakenberg, Sabine R; Remmelzwaal, Sharon; Beulens, Joline W J; Booth, Sarah L; Burgess, Stephen; Dashti, Hassan S; Imamura, Fumiaki; Feskens, Edith J M; van der Schouw, Yvonne T; Sluijs, Ivonne</v>
      </c>
      <c r="AH631" s="32">
        <f>IFERROR(__xludf.DUMMYFUNCTION("""COMPUTED_VALUE"""),43396.0)</f>
        <v>43396</v>
      </c>
      <c r="AL631" s="31" t="str">
        <f>IFERROR(__xludf.DUMMYFUNCTION("""COMPUTED_VALUE"""),"Redefining radiotherapy for early-stage breast cancer with single dose ablative treatment: a study protocol.")</f>
        <v>Redefining radiotherapy for early-stage breast cancer with single dose ablative treatment: a study protocol.</v>
      </c>
      <c r="AM631" s="31" t="str">
        <f>IFERROR(__xludf.DUMMYFUNCTION("""COMPUTED_VALUE"""),"Charaghvandi, R K; van Asselen, B; Philippens, M E P; Verkooijen, H M; van Gils, C H; van Diest, P J; Pijnappel, R M; Hobbelink, M G G; Witkamp, A J; van Dalen, T; van der Wall, E; van Heijst, T C; Koelemij, R; van Vulpen, M; van den Bongard, H J G D")</f>
        <v>Charaghvandi, R K; van Asselen, B; Philippens, M E P; Verkooijen, H M; van Gils, C H; van Diest, P J; Pijnappel, R M; Hobbelink, M G G; Witkamp, A J; van Dalen, T; van der Wall, E; van Heijst, T C; Koelemij, R; van Vulpen, M; van den Bongard, H J G D</v>
      </c>
      <c r="AN631" s="32">
        <f>IFERROR(__xludf.DUMMYFUNCTION("""COMPUTED_VALUE"""),42803.0)</f>
        <v>42803</v>
      </c>
    </row>
    <row r="632">
      <c r="A632" s="32"/>
      <c r="I632" s="31" t="str">
        <f>IFERROR(__xludf.DUMMYFUNCTION("""COMPUTED_VALUE"""),"computer methods and programs in biomedicine")</f>
        <v>computer methods and programs in biomedicine</v>
      </c>
      <c r="J632" s="38">
        <f>COUNTIF(Data!$F$2:$F9917, $I632)</f>
        <v>1</v>
      </c>
      <c r="T632" s="31" t="s">
        <v>1483</v>
      </c>
      <c r="U632" s="31" t="s">
        <v>1484</v>
      </c>
      <c r="V632" s="32">
        <v>45247.0</v>
      </c>
      <c r="X632" s="31" t="str">
        <f>IFERROR(__xludf.DUMMYFUNCTION("""COMPUTED_VALUE"""),"Dropout from exercise trials among cancer survivors-An individual patient data meta-analysis from the POLARIS study.")</f>
        <v>Dropout from exercise trials among cancer survivors-An individual patient data meta-analysis from the POLARIS study.</v>
      </c>
      <c r="Y632" s="31" t="str">
        <f>IFERROR(__xludf.DUMMYFUNCTION("""COMPUTED_VALUE"""),"Western, Benedikte; Ivarsson, Andreas; Vistad, Ingvild; Demmelmaier, Ingrid; Aaronson, Neil K; Radcliffe, Gillian; van Beurden, Marc; Bohus, Martin; Courneya, Kerry S; Daley, Amanda J; Galvão, Daniel A; Garrod, Rachel; Goedendorp, Martine M; Griffith, Kat"&amp;"hleen A; van Harten, Wim H; Hayes, Sandi C; Herrero-Roman, Fernando; Hiensch, Anouk E; Irwin, Melinda L; James, Erica; Kenkhuis, Marlou-Floor; Kersten, Marie José; Knoop, Hans; Lucia, Alejandro; May, Anne M; McConnachie, Alex; van Mechelen, Willem; Mutrie"&amp;", Nanette; Newton, Robert U; Nollet, Frans; Oldenburg, Hester S; Plotnikoff, Ron; Schmidt, Martina E; Schmitz, Katie H; Schulz, Karl-Heinz; Short, Camille E; Sonke, Gabe S; Steindorf, Karen; Stuiver, Martijn M; Taaffe, Dennis R; Thorsen, Lene; Velthuis, M"&amp;"iranda J; Wenzel, Jennifer; Winters-Stone, Kerri M; Wiskemann, Joachim; Berntsen, Sveinung; Buffart, Laurien M")</f>
        <v>Western, Benedikte; Ivarsson, Andreas; Vistad, Ingvild; Demmelmaier, Ingrid; Aaronson, Neil K; Radcliffe, Gillian; van Beurden, Marc; Bohus, Martin; Courneya, Kerry S; Daley, Amanda J; Galvão, Daniel A; Garrod, Rachel; Goedendorp, Martine M; Griffith, Kathleen A; van Harten, Wim H; Hayes, Sandi C; Herrero-Roman, Fernando; Hiensch, Anouk E; Irwin, Melinda L; James, Erica; Kenkhuis, Marlou-Floor; Kersten, Marie José; Knoop, Hans; Lucia, Alejandro; May, Anne M; McConnachie, Alex; van Mechelen, Willem; Mutrie, Nanette; Newton, Robert U; Nollet, Frans; Oldenburg, Hester S; Plotnikoff, Ron; Schmidt, Martina E; Schmitz, Katie H; Schulz, Karl-Heinz; Short, Camille E; Sonke, Gabe S; Steindorf, Karen; Stuiver, Martijn M; Taaffe, Dennis R; Thorsen, Lene; Velthuis, Miranda J; Wenzel, Jennifer; Winters-Stone, Kerri M; Wiskemann, Joachim; Berntsen, Sveinung; Buffart, Laurien M</v>
      </c>
      <c r="Z632" s="31">
        <f>IFERROR(__xludf.DUMMYFUNCTION("""COMPUTED_VALUE"""),2024.0)</f>
        <v>2024</v>
      </c>
      <c r="AA632" s="31">
        <f>IFERROR(__xludf.DUMMYFUNCTION("""COMPUTED_VALUE"""),0.0)</f>
        <v>0</v>
      </c>
      <c r="AF632" s="31" t="str">
        <f>IFERROR(__xludf.DUMMYFUNCTION("""COMPUTED_VALUE"""),"Consumption of individual saturated fatty acids and the risk of myocardial infarction in a UK and a Danish cohort.")</f>
        <v>Consumption of individual saturated fatty acids and the risk of myocardial infarction in a UK and a Danish cohort.</v>
      </c>
      <c r="AG632" s="31" t="str">
        <f>IFERROR(__xludf.DUMMYFUNCTION("""COMPUTED_VALUE"""),"Praagman, Jaike; Vissers, Linda E T; Mulligan, Angela A; Laursen, Anne Sofie Dam; Beulens, Joline W J; van der Schouw, Yvonne T; Wareham, Nicholas J; Hansen, Camilla Plambeck; Khaw, Kay-Tee; Jakobsen, Marianne Uhre; Sluijs, Ivonne")</f>
        <v>Praagman, Jaike; Vissers, Linda E T; Mulligan, Angela A; Laursen, Anne Sofie Dam; Beulens, Joline W J; van der Schouw, Yvonne T; Wareham, Nicholas J; Hansen, Camilla Plambeck; Khaw, Kay-Tee; Jakobsen, Marianne Uhre; Sluijs, Ivonne</v>
      </c>
      <c r="AH632" s="32">
        <f>IFERROR(__xludf.DUMMYFUNCTION("""COMPUTED_VALUE"""),43395.0)</f>
        <v>43395</v>
      </c>
      <c r="AL632" s="31" t="str">
        <f>IFERROR(__xludf.DUMMYFUNCTION("""COMPUTED_VALUE"""),"Renal artery and parenchymal changes after renal denervation: assessment by magnetic resonance angiography.")</f>
        <v>Renal artery and parenchymal changes after renal denervation: assessment by magnetic resonance angiography.</v>
      </c>
      <c r="AM632" s="31" t="str">
        <f>IFERROR(__xludf.DUMMYFUNCTION("""COMPUTED_VALUE"""),"Sanders, Margreet F; van Doormaal, Pieter Jan; Beeftink, Martine M A; Bots, Michiel L; Fadl Elmula, Fadl Elmula M; Habets, Jesse; Hammer, Frank; Hoffmann, Pavel; Jacobs, Lotte; Mark, Patrick B; Persu, Alexandre; Renkin, Jean; Roditi, Giles; Spiering, Wilk"&amp;"o; Staessen, Jan A; Taylor, Alison H; Verloop, Willemien L; Vink, Eva E; Vonken, Evert-Jan; Voskuil, Michiel; Leiner, Tim; Blankestijn, Peter J; ,")</f>
        <v>Sanders, Margreet F; van Doormaal, Pieter Jan; Beeftink, Martine M A; Bots, Michiel L; Fadl Elmula, Fadl Elmula M; Habets, Jesse; Hammer, Frank; Hoffmann, Pavel; Jacobs, Lotte; Mark, Patrick B; Persu, Alexandre; Renkin, Jean; Roditi, Giles; Spiering, Wilko; Staessen, Jan A; Taylor, Alison H; Verloop, Willemien L; Vink, Eva E; Vonken, Evert-Jan; Voskuil, Michiel; Leiner, Tim; Blankestijn, Peter J; ,</v>
      </c>
      <c r="AN632" s="32">
        <f>IFERROR(__xludf.DUMMYFUNCTION("""COMPUTED_VALUE"""),42801.0)</f>
        <v>42801</v>
      </c>
    </row>
    <row r="633">
      <c r="A633" s="32"/>
      <c r="I633" s="31" t="str">
        <f>IFERROR(__xludf.DUMMYFUNCTION("""COMPUTED_VALUE"""),"journal of translational genetics and genomics")</f>
        <v>journal of translational genetics and genomics</v>
      </c>
      <c r="J633" s="38">
        <f>COUNTIF(Data!$F$2:$F9917, $I633)</f>
        <v>1</v>
      </c>
      <c r="T633" s="31" t="s">
        <v>1487</v>
      </c>
      <c r="U633" s="31" t="s">
        <v>1488</v>
      </c>
      <c r="V633" s="32">
        <v>45247.0</v>
      </c>
      <c r="X633" s="31" t="str">
        <f>IFERROR(__xludf.DUMMYFUNCTION("""COMPUTED_VALUE"""),"I am proud of how I handled it'. Exploring the impact of the COVID-19 pandemic and related restrictions on well-being of adults with severe mental illness using qualitative methods.")</f>
        <v>I am proud of how I handled it'. Exploring the impact of the COVID-19 pandemic and related restrictions on well-being of adults with severe mental illness using qualitative methods.</v>
      </c>
      <c r="Y633" s="31" t="str">
        <f>IFERROR(__xludf.DUMMYFUNCTION("""COMPUTED_VALUE"""),"van Rijn, L; Metz, M J; van der Velden, P R; Mathijsen, P; Swildens, W E; Schellekens, A F A; Cahn, W; Milota, M M; Zinkstok, J R")</f>
        <v>van Rijn, L; Metz, M J; van der Velden, P R; Mathijsen, P; Swildens, W E; Schellekens, A F A; Cahn, W; Milota, M M; Zinkstok, J R</v>
      </c>
      <c r="Z633" s="31">
        <f>IFERROR(__xludf.DUMMYFUNCTION("""COMPUTED_VALUE"""),2024.0)</f>
        <v>2024</v>
      </c>
      <c r="AA633" s="31">
        <f>IFERROR(__xludf.DUMMYFUNCTION("""COMPUTED_VALUE"""),0.0)</f>
        <v>0</v>
      </c>
      <c r="AF633" s="31" t="str">
        <f>IFERROR(__xludf.DUMMYFUNCTION("""COMPUTED_VALUE"""),"National Standards for Public Involvement in Research: missing the forest for the trees.")</f>
        <v>National Standards for Public Involvement in Research: missing the forest for the trees.</v>
      </c>
      <c r="AG633" s="31" t="str">
        <f>IFERROR(__xludf.DUMMYFUNCTION("""COMPUTED_VALUE"""),"McCoy, Matthew S; Jongsma, Karin Rolanda; Friesen, Phoebe; Dunn, Michael; Neuhaus, Carolyn Plunkett; Rand, Leah; Sheehan, Mark")</f>
        <v>McCoy, Matthew S; Jongsma, Karin Rolanda; Friesen, Phoebe; Dunn, Michael; Neuhaus, Carolyn Plunkett; Rand, Leah; Sheehan, Mark</v>
      </c>
      <c r="AH633" s="32">
        <f>IFERROR(__xludf.DUMMYFUNCTION("""COMPUTED_VALUE"""),43391.0)</f>
        <v>43391</v>
      </c>
      <c r="AL633" s="31" t="str">
        <f>IFERROR(__xludf.DUMMYFUNCTION("""COMPUTED_VALUE"""),"Response to Zhang et al.")</f>
        <v>Response to Zhang et al.</v>
      </c>
      <c r="AM633" s="31" t="str">
        <f>IFERROR(__xludf.DUMMYFUNCTION("""COMPUTED_VALUE"""),"Backes, Y; Moss, A; Reitsma, J B; Siersema, P D; Moons, Leon M G")</f>
        <v>Backes, Y; Moss, A; Reitsma, J B; Siersema, P D; Moons, Leon M G</v>
      </c>
      <c r="AN633" s="32">
        <f>IFERROR(__xludf.DUMMYFUNCTION("""COMPUTED_VALUE"""),42795.0)</f>
        <v>42795</v>
      </c>
    </row>
    <row r="634">
      <c r="A634" s="32"/>
      <c r="I634" s="31" t="str">
        <f>IFERROR(__xludf.DUMMYFUNCTION("""COMPUTED_VALUE"""),"journal of medical ethics")</f>
        <v>journal of medical ethics</v>
      </c>
      <c r="J634" s="38">
        <f>COUNTIF(Data!$F$2:$F9917, $I634)</f>
        <v>17</v>
      </c>
      <c r="T634" s="31" t="s">
        <v>1491</v>
      </c>
      <c r="U634" s="31" t="s">
        <v>1492</v>
      </c>
      <c r="V634" s="32">
        <v>45245.0</v>
      </c>
      <c r="X634" s="31" t="str">
        <f>IFERROR(__xludf.DUMMYFUNCTION("""COMPUTED_VALUE"""),"Past or Present; Which Exposures Predict Metabolomic Aging Better? The Doetinchem Cohort Study.")</f>
        <v>Past or Present; Which Exposures Predict Metabolomic Aging Better? The Doetinchem Cohort Study.</v>
      </c>
      <c r="Y634" s="31" t="str">
        <f>IFERROR(__xludf.DUMMYFUNCTION("""COMPUTED_VALUE"""),"Smit, Annelot P; Herber, Gerrie-Cor M; Kuiper, Lieke M; Loef, Bette; Picavet, H Susan J; Verschuren, W M Monique")</f>
        <v>Smit, Annelot P; Herber, Gerrie-Cor M; Kuiper, Lieke M; Loef, Bette; Picavet, H Susan J; Verschuren, W M Monique</v>
      </c>
      <c r="Z634" s="31">
        <f>IFERROR(__xludf.DUMMYFUNCTION("""COMPUTED_VALUE"""),2024.0)</f>
        <v>2024</v>
      </c>
      <c r="AA634" s="31">
        <f>IFERROR(__xludf.DUMMYFUNCTION("""COMPUTED_VALUE"""),0.0)</f>
        <v>0</v>
      </c>
      <c r="AF634" s="31" t="str">
        <f>IFERROR(__xludf.DUMMYFUNCTION("""COMPUTED_VALUE"""),"Medication non-adherence and blood pressure control among hypertensive migrant and non-migrant populations of sub-Saharan African origin: the RODAM study.")</f>
        <v>Medication non-adherence and blood pressure control among hypertensive migrant and non-migrant populations of sub-Saharan African origin: the RODAM study.</v>
      </c>
      <c r="AG634" s="31" t="str">
        <f>IFERROR(__xludf.DUMMYFUNCTION("""COMPUTED_VALUE"""),"Beune, Erik; Nieuwkerk, Pythia; Stronks, Karien; Meeks, Karlijn; Schulze, Matthias B; Mockenhaupt, Frank P; Danquah, Ina; Klipstein-Grobusch, Kerstin; Agyei-Baffour, Peter; Spranger, Joachim; Addo, Juliet; Smeeth, Liam; Agyemang, Charles")</f>
        <v>Beune, Erik; Nieuwkerk, Pythia; Stronks, Karien; Meeks, Karlijn; Schulze, Matthias B; Mockenhaupt, Frank P; Danquah, Ina; Klipstein-Grobusch, Kerstin; Agyei-Baffour, Peter; Spranger, Joachim; Addo, Juliet; Smeeth, Liam; Agyemang, Charles</v>
      </c>
      <c r="AH634" s="32">
        <f>IFERROR(__xludf.DUMMYFUNCTION("""COMPUTED_VALUE"""),43388.0)</f>
        <v>43388</v>
      </c>
      <c r="AL634" s="31" t="str">
        <f>IFERROR(__xludf.DUMMYFUNCTION("""COMPUTED_VALUE"""),"No benefits of hypothermia in patients treated with hemicraniectomy for large ischemic stroke.")</f>
        <v>No benefits of hypothermia in patients treated with hemicraniectomy for large ischemic stroke.</v>
      </c>
      <c r="AM634" s="31" t="str">
        <f>IFERROR(__xludf.DUMMYFUNCTION("""COMPUTED_VALUE"""),"Schneider, Hauke; Krüger, Philipp; Algra, Ale; Hofmeijer, Jeannette; van der Worp, H Bart; Jüttler, Eric; Vahedi, Katayoun; Schackert, Gabriele; Reichmann, Heinz; Puetz, Volker")</f>
        <v>Schneider, Hauke; Krüger, Philipp; Algra, Ale; Hofmeijer, Jeannette; van der Worp, H Bart; Jüttler, Eric; Vahedi, Katayoun; Schackert, Gabriele; Reichmann, Heinz; Puetz, Volker</v>
      </c>
      <c r="AN634" s="32">
        <f>IFERROR(__xludf.DUMMYFUNCTION("""COMPUTED_VALUE"""),42790.0)</f>
        <v>42790</v>
      </c>
    </row>
    <row r="635">
      <c r="A635" s="32"/>
      <c r="I635" s="31" t="str">
        <f>IFERROR(__xludf.DUMMYFUNCTION("""COMPUTED_VALUE"""),"clinical implant dentistry and related research")</f>
        <v>clinical implant dentistry and related research</v>
      </c>
      <c r="J635" s="38">
        <f>COUNTIF(Data!$F$2:$F9917, $I635)</f>
        <v>1</v>
      </c>
      <c r="T635" s="31" t="s">
        <v>1495</v>
      </c>
      <c r="U635" s="31" t="s">
        <v>1496</v>
      </c>
      <c r="V635" s="32">
        <v>45245.0</v>
      </c>
      <c r="X635" s="31" t="str">
        <f>IFERROR(__xludf.DUMMYFUNCTION("""COMPUTED_VALUE"""),"ANOCA patients with and without coronary vasomotor dysfunction present with limited electrocardiographic remodeling.")</f>
        <v>ANOCA patients with and without coronary vasomotor dysfunction present with limited electrocardiographic remodeling.</v>
      </c>
      <c r="Y635" s="31" t="str">
        <f>IFERROR(__xludf.DUMMYFUNCTION("""COMPUTED_VALUE"""),"Schipaanboord, Diantha J M; Jansen, Tijn P J; Crooijmans, Caïa; Onland-Moret, N Charlotte; Elias-Smale, Suzette E; Dimitriu-Leen, Aukelien C; van der Harst, Pim; van de Hoef, Tim P; van Es, René; Damman, Peter; den Ruijter, Hester M; ,")</f>
        <v>Schipaanboord, Diantha J M; Jansen, Tijn P J; Crooijmans, Caïa; Onland-Moret, N Charlotte; Elias-Smale, Suzette E; Dimitriu-Leen, Aukelien C; van der Harst, Pim; van de Hoef, Tim P; van Es, René; Damman, Peter; den Ruijter, Hester M; ,</v>
      </c>
      <c r="Z635" s="31">
        <f>IFERROR(__xludf.DUMMYFUNCTION("""COMPUTED_VALUE"""),2024.0)</f>
        <v>2024</v>
      </c>
      <c r="AA635" s="31">
        <f>IFERROR(__xludf.DUMMYFUNCTION("""COMPUTED_VALUE"""),0.0)</f>
        <v>0</v>
      </c>
      <c r="AF635" s="31" t="str">
        <f>IFERROR(__xludf.DUMMYFUNCTION("""COMPUTED_VALUE"""),"Chronic kidney disease burden among African migrants in three European countries and in urban and rural Ghana: the RODAM cross-sectional study.")</f>
        <v>Chronic kidney disease burden among African migrants in three European countries and in urban and rural Ghana: the RODAM cross-sectional study.</v>
      </c>
      <c r="AG635" s="31" t="str">
        <f>IFERROR(__xludf.DUMMYFUNCTION("""COMPUTED_VALUE"""),"Adjei, David N; Stronks, Karien; Adu, Dwomoa; Beune, Erik; Meeks, Karlijn; Smeeth, Liam; Addo, Juliet; Owuso-Dabo, Ellis; Klipstein-Grobusch, Kerstin; Mockenhaupt, Frank P; Schulze, Matthias B; Danquah, Ina; Spranger, Joachim; Bahendeka, Silver; de-Graft "&amp;"Aikins, Ama; Agyemang, Charles")</f>
        <v>Adjei, David N; Stronks, Karien; Adu, Dwomoa; Beune, Erik; Meeks, Karlijn; Smeeth, Liam; Addo, Juliet; Owuso-Dabo, Ellis; Klipstein-Grobusch, Kerstin; Mockenhaupt, Frank P; Schulze, Matthias B; Danquah, Ina; Spranger, Joachim; Bahendeka, Silver; de-Graft Aikins, Ama; Agyemang, Charles</v>
      </c>
      <c r="AH635" s="32">
        <f>IFERROR(__xludf.DUMMYFUNCTION("""COMPUTED_VALUE"""),43374.0)</f>
        <v>43374</v>
      </c>
      <c r="AL635" s="31" t="str">
        <f>IFERROR(__xludf.DUMMYFUNCTION("""COMPUTED_VALUE"""),"Selection of individuals for genetic testing for familial hypercholesterolaemia: development and external validation of a prediction model for the presence of a mutation causing familial hypercholesterolaemia.")</f>
        <v>Selection of individuals for genetic testing for familial hypercholesterolaemia: development and external validation of a prediction model for the presence of a mutation causing familial hypercholesterolaemia.</v>
      </c>
      <c r="AM635" s="31" t="str">
        <f>IFERROR(__xludf.DUMMYFUNCTION("""COMPUTED_VALUE"""),"Besseling, Joost; Reitsma, Johannes B; Gaudet, Daniel; Brisson, Diane; Kastelein, John J P; Hovingh, G Kees; Hutten, Barbara A")</f>
        <v>Besseling, Joost; Reitsma, Johannes B; Gaudet, Daniel; Brisson, Diane; Kastelein, John J P; Hovingh, G Kees; Hutten, Barbara A</v>
      </c>
      <c r="AN635" s="32">
        <f>IFERROR(__xludf.DUMMYFUNCTION("""COMPUTED_VALUE"""),42787.0)</f>
        <v>42787</v>
      </c>
    </row>
    <row r="636">
      <c r="A636" s="32"/>
      <c r="I636" s="31" t="str">
        <f>IFERROR(__xludf.DUMMYFUNCTION("""COMPUTED_VALUE"""),"npj genomic medicine")</f>
        <v>npj genomic medicine</v>
      </c>
      <c r="J636" s="38">
        <f>COUNTIF(Data!$F$2:$F9917, $I636)</f>
        <v>1</v>
      </c>
      <c r="T636" s="31" t="s">
        <v>1499</v>
      </c>
      <c r="U636" s="31" t="s">
        <v>1500</v>
      </c>
      <c r="V636" s="32">
        <v>45245.0</v>
      </c>
      <c r="X636" s="31" t="str">
        <f>IFERROR(__xludf.DUMMYFUNCTION("""COMPUTED_VALUE"""),"A prediction model for response to immune checkpoint inhibition in advanced melanoma.")</f>
        <v>A prediction model for response to immune checkpoint inhibition in advanced melanoma.</v>
      </c>
      <c r="Y636" s="31" t="str">
        <f>IFERROR(__xludf.DUMMYFUNCTION("""COMPUTED_VALUE"""),"van Duin, Isabella A J; Verheijden, Rik J; van Diest, Paul J; Blokx, Willeke A M; El-Sharouni, Mary-Ann; Verhoeff, Joost J C; Leiner, Tim; van den Eertwegh, Alfonsus J M; de Groot, Jan Willem B; van Not, Olivier J; Aarts, Maureen J B; van den Berkmortel, "&amp;"Franchette W P J; Blank, Christian U; Haanen, John B A G; Hospers, Geke A P; Piersma, Djura; van Rijn, Rozemarijn S; van der Veldt, Astrid A M; Vreugdenhil, Gerard; Wouters, Michel W J M; Stevense-den Boer, Marion A M; Boers-Sonderen, Marye J; Kapiteijn, "&amp;"Ellen; Suijkerbuijk, Karijn P M; Elias, Sjoerd G")</f>
        <v>van Duin, Isabella A J; Verheijden, Rik J; van Diest, Paul J; Blokx, Willeke A M; El-Sharouni, Mary-Ann; Verhoeff, Joost J C; Leiner, Tim; van den Eertwegh, Alfonsus J M; de Groot, Jan Willem B; van Not, Olivier J; Aarts, Maureen J B; van den Berkmortel, Franchette W P J; Blank, Christian U; Haanen, John B A G; Hospers, Geke A P; Piersma, Djura; van Rijn, Rozemarijn S; van der Veldt, Astrid A M; Vreugdenhil, Gerard; Wouters, Michel W J M; Stevense-den Boer, Marion A M; Boers-Sonderen, Marye J; Kapiteijn, Ellen; Suijkerbuijk, Karijn P M; Elias, Sjoerd G</v>
      </c>
      <c r="Z636" s="31">
        <f>IFERROR(__xludf.DUMMYFUNCTION("""COMPUTED_VALUE"""),2024.0)</f>
        <v>2024</v>
      </c>
      <c r="AA636" s="31">
        <f>IFERROR(__xludf.DUMMYFUNCTION("""COMPUTED_VALUE"""),0.0)</f>
        <v>0</v>
      </c>
      <c r="AF636" s="31" t="str">
        <f>IFERROR(__xludf.DUMMYFUNCTION("""COMPUTED_VALUE"""),"How are trainees in clinical microbiology and infectious diseases supervised in Europe? An international cross-sectional questionnaire survey by the Trainee Association of ESCMID.")</f>
        <v>How are trainees in clinical microbiology and infectious diseases supervised in Europe? An international cross-sectional questionnaire survey by the Trainee Association of ESCMID.</v>
      </c>
      <c r="AG636" s="31" t="str">
        <f>IFERROR(__xludf.DUMMYFUNCTION("""COMPUTED_VALUE"""),"Palacios-Baena, Zaira R; Zapf, Thea Christine; Ong, David S Y; Maraolo, Alberto E; Rönnberg, Caroline; Çimen, Cansu; Pulcini, Céline; Rodríguez-Baño, Jesús; Sanguinetti, Maurizio; ,")</f>
        <v>Palacios-Baena, Zaira R; Zapf, Thea Christine; Ong, David S Y; Maraolo, Alberto E; Rönnberg, Caroline; Çimen, Cansu; Pulcini, Céline; Rodríguez-Baño, Jesús; Sanguinetti, Maurizio; ,</v>
      </c>
      <c r="AH636" s="32">
        <f>IFERROR(__xludf.DUMMYFUNCTION("""COMPUTED_VALUE"""),43368.0)</f>
        <v>43368</v>
      </c>
      <c r="AL636" s="31" t="str">
        <f>IFERROR(__xludf.DUMMYFUNCTION("""COMPUTED_VALUE"""),"Bladder wall thickness has no role in the diagnosis of detrusor overactivity.")</f>
        <v>Bladder wall thickness has no role in the diagnosis of detrusor overactivity.</v>
      </c>
      <c r="AM636" s="31" t="str">
        <f>IFERROR(__xludf.DUMMYFUNCTION("""COMPUTED_VALUE"""),"Schuit, E")</f>
        <v>Schuit, E</v>
      </c>
      <c r="AN636" s="32">
        <f>IFERROR(__xludf.DUMMYFUNCTION("""COMPUTED_VALUE"""),42786.0)</f>
        <v>42786</v>
      </c>
    </row>
    <row r="637">
      <c r="A637" s="32"/>
      <c r="I637" s="31" t="str">
        <f>IFERROR(__xludf.DUMMYFUNCTION("""COMPUTED_VALUE"""),"cardiovascular research")</f>
        <v>cardiovascular research</v>
      </c>
      <c r="J637" s="38">
        <f>COUNTIF(Data!$F$2:$F9917, $I637)</f>
        <v>2</v>
      </c>
      <c r="T637" s="31" t="s">
        <v>1503</v>
      </c>
      <c r="U637" s="31" t="s">
        <v>1504</v>
      </c>
      <c r="V637" s="32">
        <v>45244.0</v>
      </c>
      <c r="X637" s="31" t="str">
        <f>IFERROR(__xludf.DUMMYFUNCTION("""COMPUTED_VALUE"""),"The prognostic potential of mammographic growth rate of invasive breast cancer in the Nijmegen breast cancer screening cohort.")</f>
        <v>The prognostic potential of mammographic growth rate of invasive breast cancer in the Nijmegen breast cancer screening cohort.</v>
      </c>
      <c r="Y637" s="31" t="str">
        <f>IFERROR(__xludf.DUMMYFUNCTION("""COMPUTED_VALUE"""),"Peters, Jim; van Dijck, Jos A A M; Elias, Sjoerd G; Otten, Johannes D M; Broeders, Mireille J M")</f>
        <v>Peters, Jim; van Dijck, Jos A A M; Elias, Sjoerd G; Otten, Johannes D M; Broeders, Mireille J M</v>
      </c>
      <c r="Z637" s="31">
        <f>IFERROR(__xludf.DUMMYFUNCTION("""COMPUTED_VALUE"""),2024.0)</f>
        <v>2024</v>
      </c>
      <c r="AA637" s="31">
        <f>IFERROR(__xludf.DUMMYFUNCTION("""COMPUTED_VALUE"""),0.0)</f>
        <v>0</v>
      </c>
      <c r="AF637" s="31" t="str">
        <f>IFERROR(__xludf.DUMMYFUNCTION("""COMPUTED_VALUE"""),"Effectiveness of short message services and voice call interventions for antiretroviral therapy adherence and other outcomes: A systematic review and meta-analysis.")</f>
        <v>Effectiveness of short message services and voice call interventions for antiretroviral therapy adherence and other outcomes: A systematic review and meta-analysis.</v>
      </c>
      <c r="AG637" s="31" t="str">
        <f>IFERROR(__xludf.DUMMYFUNCTION("""COMPUTED_VALUE"""),"Amankwaa, Isaac; Boateng, Daniel; Quansah, Dan Yedu; Akuoko, Cynthia Pomaa; Evans, Catrin")</f>
        <v>Amankwaa, Isaac; Boateng, Daniel; Quansah, Dan Yedu; Akuoko, Cynthia Pomaa; Evans, Catrin</v>
      </c>
      <c r="AH637" s="32">
        <f>IFERROR(__xludf.DUMMYFUNCTION("""COMPUTED_VALUE"""),43364.0)</f>
        <v>43364</v>
      </c>
      <c r="AL637" s="31" t="str">
        <f>IFERROR(__xludf.DUMMYFUNCTION("""COMPUTED_VALUE"""),"Erratum to: Scaling up strategies of the chronic respiratory disease programme of the European Innovation Partnership on Active and Healthy Ageing (Action Plan B3: Area 5).")</f>
        <v>Erratum to: Scaling up strategies of the chronic respiratory disease programme of the European Innovation Partnership on Active and Healthy Ageing (Action Plan B3: Area 5).</v>
      </c>
      <c r="AM637" s="31" t="str">
        <f>IFERROR(__xludf.DUMMYFUNCTION("""COMPUTED_VALUE"""),"Bousquet, J; Farrell, J; Crooks, G; Hellings, P; Bel, E H; Bewick, M; Chavannes, N H; de Sousa, J Correia; Cruz, A A; Haahtela, T; Joos, G; Khaltaev, N; Malva, J; Muraro, A; Nogues, M; Palkonen, S; Pedersen, S; Robalo-Cordeiro, C; Samolinski, B; Strandber"&amp;"g, T; Valiulis, A; Yorgancioglu, A; Zuberbier, T; Bedbrook, A; Aberer, W; Adachi, M; Agusti, A; Akdis, C A; Akdis, M; Ankri, J; Alonso, A; Annesi-Maesano, I; Ansotegui, I J; Anto, J M; Arnavielhe, S; Arshad, H; Bai, C; Baiardini, I; Bachert, C; Baigenzhin"&amp;", A K; Barbara, C; Bateman, E D; Beghé, B; Kheder, A Ben; Bennoor, K S; Benson, M; Bergmann, K C; Bieber, T; Bindslev-Jensen, C; Bjermer, L; Blain, H; Blasi, F; Boner, A L; Bonini, M; Bonini, S; Bosnic-Anticevitch, S; Boulet, L P; Bourret, R; Bousquet, P "&amp;"J; Braido, F; Briggs, A H; Brightling, C E; Brozek, J; Buhl, R; Burney, P G; Bush, A; Caballero-Fonseca, F; Caimmi, D; Calderon, M A; Calverley, P M; Camargos, P A M; Canonica, G W; Camuzat, T; Carlsen, K H; Carr, W; Carriazo, A; Casal")</f>
        <v>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v>
      </c>
      <c r="AN637" s="32">
        <f>IFERROR(__xludf.DUMMYFUNCTION("""COMPUTED_VALUE"""),42786.0)</f>
        <v>42786</v>
      </c>
    </row>
    <row r="638">
      <c r="A638" s="32"/>
      <c r="I638" s="31" t="str">
        <f>IFERROR(__xludf.DUMMYFUNCTION("""COMPUTED_VALUE"""),"european journal of clinical microbiology infectious diseases official publication of the european society of clinical microbiology")</f>
        <v>european journal of clinical microbiology infectious diseases official publication of the european society of clinical microbiology</v>
      </c>
      <c r="J638" s="38">
        <f>COUNTIF(Data!$F$2:$F9917, $I638)</f>
        <v>9</v>
      </c>
      <c r="T638" s="31" t="s">
        <v>1508</v>
      </c>
      <c r="U638" s="31" t="s">
        <v>1509</v>
      </c>
      <c r="V638" s="32">
        <v>45244.0</v>
      </c>
      <c r="X638" s="31" t="str">
        <f>IFERROR(__xludf.DUMMYFUNCTION("""COMPUTED_VALUE"""),"Home-based management of hypoxaemic COVID-19 patients: design of the Therapy@Home pilot study.")</f>
        <v>Home-based management of hypoxaemic COVID-19 patients: design of the Therapy@Home pilot study.</v>
      </c>
      <c r="Y638" s="31" t="str">
        <f>IFERROR(__xludf.DUMMYFUNCTION("""COMPUTED_VALUE"""),"Boeijen, Josi A; van de Pol, Alma C; van Uum, Rick T; Venekamp, Roderick P; Smit, Karin; Kaasjager, Karin A H; van den Broek, Robert; Bijsterbosch, Wilma; Schoonhoven, Lisette; Rutten, Frans H; Zwart, Dorien L M")</f>
        <v>Boeijen, Josi A; van de Pol, Alma C; van Uum, Rick T; Venekamp, Roderick P; Smit, Karin; Kaasjager, Karin A H; van den Broek, Robert; Bijsterbosch, Wilma; Schoonhoven, Lisette; Rutten, Frans H; Zwart, Dorien L M</v>
      </c>
      <c r="Z638" s="31">
        <f>IFERROR(__xludf.DUMMYFUNCTION("""COMPUTED_VALUE"""),2024.0)</f>
        <v>2024</v>
      </c>
      <c r="AA638" s="31">
        <f>IFERROR(__xludf.DUMMYFUNCTION("""COMPUTED_VALUE"""),0.0)</f>
        <v>0</v>
      </c>
      <c r="AF638" s="31" t="str">
        <f>IFERROR(__xludf.DUMMYFUNCTION("""COMPUTED_VALUE"""),"Causes and prevention of postoperative myocardial injury.")</f>
        <v>Causes and prevention of postoperative myocardial injury.</v>
      </c>
      <c r="AG638" s="31" t="str">
        <f>IFERROR(__xludf.DUMMYFUNCTION("""COMPUTED_VALUE"""),"Verbree-Willemsen, Laura; Grobben, Remco B; van Waes, Judith Ar; Peelen, Linda M; Nathoe, Hendrik M; van Klei, Wilton A; Grobbee, Diederick E")</f>
        <v>Verbree-Willemsen, Laura; Grobben, Remco B; van Waes, Judith Ar; Peelen, Linda M; Nathoe, Hendrik M; van Klei, Wilton A; Grobbee, Diederick E</v>
      </c>
      <c r="AH638" s="32">
        <f>IFERROR(__xludf.DUMMYFUNCTION("""COMPUTED_VALUE"""),43355.0)</f>
        <v>43355</v>
      </c>
      <c r="AL638" s="31" t="str">
        <f>IFERROR(__xludf.DUMMYFUNCTION("""COMPUTED_VALUE"""),"Achieving high convection volumes in postdilution online hemodiafiltration: a prospective multicenter study.")</f>
        <v>Achieving high convection volumes in postdilution online hemodiafiltration: a prospective multicenter study.</v>
      </c>
      <c r="AM638" s="31" t="str">
        <f>IFERROR(__xludf.DUMMYFUNCTION("""COMPUTED_VALUE"""),"de Roij van Zuijdewijn, Camiel L M; Chapdelaine, Isabelle; Nubé, Menso J; Blankestijn, Peter J; Bots, Michiel L; Konings, Constantijn J A M; Kremer Hovinga, Ton K; Molenaar, Femke M; van der Weerd, Neelke C; Grooteman, Muriel P C")</f>
        <v>de Roij van Zuijdewijn, Camiel L M; Chapdelaine, Isabelle; Nubé, Menso J; Blankestijn, Peter J; Bots, Michiel L; Konings, Constantijn J A M; Kremer Hovinga, Ton K; Molenaar, Femke M; van der Weerd, Neelke C; Grooteman, Muriel P C</v>
      </c>
      <c r="AN638" s="32">
        <f>IFERROR(__xludf.DUMMYFUNCTION("""COMPUTED_VALUE"""),42781.0)</f>
        <v>42781</v>
      </c>
    </row>
    <row r="639">
      <c r="A639" s="32"/>
      <c r="I639" s="31" t="str">
        <f>IFERROR(__xludf.DUMMYFUNCTION("""COMPUTED_VALUE"""),"neuroimage")</f>
        <v>neuroimage</v>
      </c>
      <c r="J639" s="38">
        <f>COUNTIF(Data!$F$2:$F9917, $I639)</f>
        <v>4</v>
      </c>
      <c r="T639" s="31" t="s">
        <v>1512</v>
      </c>
      <c r="U639" s="31" t="s">
        <v>1513</v>
      </c>
      <c r="V639" s="32">
        <v>45243.0</v>
      </c>
      <c r="X639" s="31" t="str">
        <f>IFERROR(__xludf.DUMMYFUNCTION("""COMPUTED_VALUE"""),"""What should be next in lifelong posterior hypospadias: Conclusions from the 2023 ERN eUROGEN and EJP-RD networking meeting"".")</f>
        <v>"What should be next in lifelong posterior hypospadias: Conclusions from the 2023 ERN eUROGEN and EJP-RD networking meeting".</v>
      </c>
      <c r="Y639" s="31" t="str">
        <f>IFERROR(__xludf.DUMMYFUNCTION("""COMPUTED_VALUE"""),"Lammers, Rianne J M; Tsachouridis, George; Andersson, Marie K; Dormeus, Sarah; Ekerhult, Teresa O; Frankiewicz, Mikołaj; Gunn, Callum J; Matuszewski, Marcin; de Mooij, Keetje L; Schroeder, Rogier P J; Wyndaele, Michel I A; Xing, Zhentao; De Kort, Laetitia"&amp;" M O; de Graaf, Petra")</f>
        <v>Lammers, Rianne J M; Tsachouridis, George; Andersson, Marie K; Dormeus, Sarah; Ekerhult, Teresa O; Frankiewicz, Mikołaj; Gunn, Callum J; Matuszewski, Marcin; de Mooij, Keetje L; Schroeder, Rogier P J; Wyndaele, Michel I A; Xing, Zhentao; De Kort, Laetitia M O; de Graaf, Petra</v>
      </c>
      <c r="Z639" s="31">
        <f>IFERROR(__xludf.DUMMYFUNCTION("""COMPUTED_VALUE"""),2024.0)</f>
        <v>2024</v>
      </c>
      <c r="AA639" s="31">
        <f>IFERROR(__xludf.DUMMYFUNCTION("""COMPUTED_VALUE"""),0.0)</f>
        <v>0</v>
      </c>
      <c r="AF639" s="31" t="str">
        <f>IFERROR(__xludf.DUMMYFUNCTION("""COMPUTED_VALUE"""),"Should the 14-day rule for embryo research become the 28-day rule?")</f>
        <v>Should the 14-day rule for embryo research become the 28-day rule?</v>
      </c>
      <c r="AG639" s="31" t="str">
        <f>IFERROR(__xludf.DUMMYFUNCTION("""COMPUTED_VALUE"""),"Appleby, John B; Bredenoord, Annelien L")</f>
        <v>Appleby, John B; Bredenoord, Annelien L</v>
      </c>
      <c r="AH639" s="32">
        <f>IFERROR(__xludf.DUMMYFUNCTION("""COMPUTED_VALUE"""),43344.0)</f>
        <v>43344</v>
      </c>
      <c r="AL639" s="31" t="str">
        <f>IFERROR(__xludf.DUMMYFUNCTION("""COMPUTED_VALUE"""),"A new community for those involved and interested in diagnosis and prognosis.")</f>
        <v>A new community for those involved and interested in diagnosis and prognosis.</v>
      </c>
      <c r="AM639" s="31" t="str">
        <f>IFERROR(__xludf.DUMMYFUNCTION("""COMPUTED_VALUE"""),"Moons, Karel G M; Cook, Nancy; Collins, Gary")</f>
        <v>Moons, Karel G M; Cook, Nancy; Collins, Gary</v>
      </c>
      <c r="AN639" s="32">
        <f>IFERROR(__xludf.DUMMYFUNCTION("""COMPUTED_VALUE"""),42774.0)</f>
        <v>42774</v>
      </c>
    </row>
    <row r="640">
      <c r="A640" s="32"/>
      <c r="I640" s="31" t="str">
        <f>IFERROR(__xludf.DUMMYFUNCTION("""COMPUTED_VALUE"""),"cancer reports hoboken nj")</f>
        <v>cancer reports hoboken nj</v>
      </c>
      <c r="J640" s="38">
        <f>COUNTIF(Data!$F$2:$F9917, $I640)</f>
        <v>1</v>
      </c>
      <c r="T640" s="31" t="s">
        <v>1517</v>
      </c>
      <c r="U640" s="31" t="s">
        <v>1518</v>
      </c>
      <c r="V640" s="32">
        <v>45243.0</v>
      </c>
      <c r="X640" s="31" t="str">
        <f>IFERROR(__xludf.DUMMYFUNCTION("""COMPUTED_VALUE"""),"What should be next in lifelong posterior hypospadias: Conclusions from the 2023 ERN eUROGEN and EJP-RD networking meeting.")</f>
        <v>What should be next in lifelong posterior hypospadias: Conclusions from the 2023 ERN eUROGEN and EJP-RD networking meeting.</v>
      </c>
      <c r="Y640" s="31" t="str">
        <f>IFERROR(__xludf.DUMMYFUNCTION("""COMPUTED_VALUE"""),"Lammers, Rianne J M; Tsachouridis, George; Andersson, Marie K; Dormeus, Sarah; Ekerhult, Teresa O; Frankiewicz, Mikołaj; Gunn, Callum J; Matuszewski, Marcin; de Mooij, Keetje L; Schroeder, Rogier P J; Wyndaele, Michel I A; Xing, Zhentao; De Kort, Laetitia"&amp;" M O; de Graaf, Petra")</f>
        <v>Lammers, Rianne J M; Tsachouridis, George; Andersson, Marie K; Dormeus, Sarah; Ekerhult, Teresa O; Frankiewicz, Mikołaj; Gunn, Callum J; Matuszewski, Marcin; de Mooij, Keetje L; Schroeder, Rogier P J; Wyndaele, Michel I A; Xing, Zhentao; De Kort, Laetitia M O; de Graaf, Petra</v>
      </c>
      <c r="Z640" s="31">
        <f>IFERROR(__xludf.DUMMYFUNCTION("""COMPUTED_VALUE"""),2024.0)</f>
        <v>2024</v>
      </c>
      <c r="AA640" s="31">
        <f>IFERROR(__xludf.DUMMYFUNCTION("""COMPUTED_VALUE"""),0.0)</f>
        <v>0</v>
      </c>
      <c r="AF640" s="31" t="str">
        <f>IFERROR(__xludf.DUMMYFUNCTION("""COMPUTED_VALUE"""),"Cardiovascular disease risk prediction in low income settings: A call for context specific risk equations.")</f>
        <v>Cardiovascular disease risk prediction in low income settings: A call for context specific risk equations.</v>
      </c>
      <c r="AG640" s="31" t="str">
        <f>IFERROR(__xludf.DUMMYFUNCTION("""COMPUTED_VALUE"""),"Boateng, Daniel; Agyemang, Charles; Kengne, Andre P; Grobbee, Diederick E; Klipstein-Grobusch, Kerstin; ,")</f>
        <v>Boateng, Daniel; Agyemang, Charles; Kengne, Andre P; Grobbee, Diederick E; Klipstein-Grobusch, Kerstin; ,</v>
      </c>
      <c r="AH640" s="32">
        <f>IFERROR(__xludf.DUMMYFUNCTION("""COMPUTED_VALUE"""),43327.0)</f>
        <v>43327</v>
      </c>
      <c r="AL640" s="31" t="str">
        <f>IFERROR(__xludf.DUMMYFUNCTION("""COMPUTED_VALUE"""),"Osteoprotegerin and breast cancer risk by hormone receptor subtype: a nested case-control study in the EPIC cohort.")</f>
        <v>Osteoprotegerin and breast cancer risk by hormone receptor subtype: a nested case-control study in the EPIC cohort.</v>
      </c>
      <c r="AM640" s="31" t="str">
        <f>IFERROR(__xludf.DUMMYFUNCTION("""COMPUTED_VALUE"""),"Fortner, Renée T; Sarink, Danja; Schock, Helena; Johnson, Theron; Tjønneland, Anne; Olsen, Anja; Overvad, Kim; Affret, Aurélie; His, Mathilde; Boutron-Ruault, Marie-Christine; Boeing, Heiner; Trichopoulou, Antonia; Naska, Androniki; Orfanos, Philippos; Pa"&amp;"lli, Domenico; Sieri, Sabina; Mattiello, Amalia; Tumino, Rosario; Ricceri, Fulvio; Bueno-de-Mesquita, H Bas; Peeters, Petra H M; Van Gils, Carla H; Weiderpass, Elisabete; Lund, Eiliv; Quirós, J Ramón; Agudo, Antonio; Sánchez, Maria-José; Chirlaque, María-"&amp;"Dolores; Ardanaz, Eva; Dorronsoro, Miren; Key, Tim; Khaw, Kay-Tee; Rinaldi, Sabina; Dossus, Laure; Gunter, Marc; Merritt, Melissa A; Riboli, Elio; Kaaks, Rudolf")</f>
        <v>Fortner, Renée T; Sarink, Danja; Schock, Helena; Johnson, Theron; Tjønneland, Anne; Olsen, Anja; Overvad, Kim; Affret, Aurélie; His, Mathilde; Boutron-Ruault, Marie-Christine; Boeing, Heiner; Trichopoulou, Antonia; Naska, Androniki; Orfanos, Philippos; Palli, Domenico; Sieri, Sabina; Mattiello, Amalia; Tumino, Rosario; Ricceri, Fulvio; Bueno-de-Mesquita, H Bas; Peeters, Petra H M; Van Gils, Carla H; Weiderpass, Elisabete; Lund, Eiliv; Quirós, J Ramón; Agudo, Antonio; Sánchez, Maria-José; Chirlaque, María-Dolores; Ardanaz, Eva; Dorronsoro, Miren; Key, Tim; Khaw, Kay-Tee; Rinaldi, Sabina; Dossus, Laure; Gunter, Marc; Merritt, Melissa A; Riboli, Elio; Kaaks, Rudolf</v>
      </c>
      <c r="AN640" s="32">
        <f>IFERROR(__xludf.DUMMYFUNCTION("""COMPUTED_VALUE"""),42774.0)</f>
        <v>42774</v>
      </c>
    </row>
    <row r="641">
      <c r="A641" s="32"/>
      <c r="I641" s="31" t="str">
        <f>IFERROR(__xludf.DUMMYFUNCTION("""COMPUTED_VALUE"""),"international breastfeeding journal")</f>
        <v>international breastfeeding journal</v>
      </c>
      <c r="J641" s="38">
        <f>COUNTIF(Data!$F$2:$F9917, $I641)</f>
        <v>2</v>
      </c>
      <c r="T641" s="31" t="s">
        <v>1522</v>
      </c>
      <c r="U641" s="31" t="s">
        <v>1523</v>
      </c>
      <c r="V641" s="32">
        <v>45242.0</v>
      </c>
      <c r="X641" s="31" t="str">
        <f>IFERROR(__xludf.DUMMYFUNCTION("""COMPUTED_VALUE"""),"Effects of physical exercise during adjuvant chemotherapy for breast cancer on long-term tested and perceived cognition: results of a pragmatic follow-up study.")</f>
        <v>Effects of physical exercise during adjuvant chemotherapy for breast cancer on long-term tested and perceived cognition: results of a pragmatic follow-up study.</v>
      </c>
      <c r="Y641" s="31" t="str">
        <f>IFERROR(__xludf.DUMMYFUNCTION("""COMPUTED_VALUE"""),"Naaktgeboren, Willeke R; Koevoets, Emmie W; Stuiver, Martijn M; van Harten, Wim H; Aaronson, Neil K; van der Wall, Elsken; Velthuis, Miranda; Sonke, Gabe; Schagen, Sanne B; Groen, Wim G; May, Anne M")</f>
        <v>Naaktgeboren, Willeke R; Koevoets, Emmie W; Stuiver, Martijn M; van Harten, Wim H; Aaronson, Neil K; van der Wall, Elsken; Velthuis, Miranda; Sonke, Gabe; Schagen, Sanne B; Groen, Wim G; May, Anne M</v>
      </c>
      <c r="Z641" s="31">
        <f>IFERROR(__xludf.DUMMYFUNCTION("""COMPUTED_VALUE"""),2024.0)</f>
        <v>2024</v>
      </c>
      <c r="AA641" s="31">
        <f>IFERROR(__xludf.DUMMYFUNCTION("""COMPUTED_VALUE"""),0.0)</f>
        <v>0</v>
      </c>
      <c r="AF641" s="31" t="str">
        <f>IFERROR(__xludf.DUMMYFUNCTION("""COMPUTED_VALUE"""),"Postauthorization Changes to Specific Obligations of Conditionally Authorized Medicines in the European Union: A Retrospective Cohort Study.")</f>
        <v>Postauthorization Changes to Specific Obligations of Conditionally Authorized Medicines in the European Union: A Retrospective Cohort Study.</v>
      </c>
      <c r="AG641" s="31" t="str">
        <f>IFERROR(__xludf.DUMMYFUNCTION("""COMPUTED_VALUE"""),"Bloem, Lourens T; Mantel-Teeuwisse, Aukje K; Leufkens, Hubert G M; De Bruin, Marie L; Klungel, Olaf H; Hoekman, Jarno")</f>
        <v>Bloem, Lourens T; Mantel-Teeuwisse, Aukje K; Leufkens, Hubert G M; De Bruin, Marie L; Klungel, Olaf H; Hoekman, Jarno</v>
      </c>
      <c r="AH641" s="32">
        <f>IFERROR(__xludf.DUMMYFUNCTION("""COMPUTED_VALUE"""),43324.0)</f>
        <v>43324</v>
      </c>
      <c r="AL641" s="31" t="str">
        <f>IFERROR(__xludf.DUMMYFUNCTION("""COMPUTED_VALUE"""),"Quantification of masking risk in screening mammography with volumetric breast density maps.")</f>
        <v>Quantification of masking risk in screening mammography with volumetric breast density maps.</v>
      </c>
      <c r="AM641" s="31" t="str">
        <f>IFERROR(__xludf.DUMMYFUNCTION("""COMPUTED_VALUE"""),"Holland, Katharina; van Gils, Carla H; Mann, Ritse M; Karssemeijer, Nico")</f>
        <v>Holland, Katharina; van Gils, Carla H; Mann, Ritse M; Karssemeijer, Nico</v>
      </c>
      <c r="AN641" s="32">
        <f>IFERROR(__xludf.DUMMYFUNCTION("""COMPUTED_VALUE"""),42770.0)</f>
        <v>42770</v>
      </c>
    </row>
    <row r="642">
      <c r="A642" s="32"/>
      <c r="I642" s="31" t="str">
        <f>IFERROR(__xludf.DUMMYFUNCTION("""COMPUTED_VALUE"""),"expert review of pharmacoeconomics outcomes research")</f>
        <v>expert review of pharmacoeconomics outcomes research</v>
      </c>
      <c r="J642" s="38">
        <f>COUNTIF(Data!$F$2:$F9917, $I642)</f>
        <v>1</v>
      </c>
      <c r="T642" s="31" t="s">
        <v>1526</v>
      </c>
      <c r="U642" s="31" t="s">
        <v>1527</v>
      </c>
      <c r="V642" s="32">
        <v>45241.0</v>
      </c>
      <c r="X642" s="31" t="str">
        <f>IFERROR(__xludf.DUMMYFUNCTION("""COMPUTED_VALUE"""),"[Coumarin or DOAC in frail elderly patients with atrial fibrillation?].")</f>
        <v>[Coumarin or DOAC in frail elderly patients with atrial fibrillation?].</v>
      </c>
      <c r="Y642" s="31" t="str">
        <f>IFERROR(__xludf.DUMMYFUNCTION("""COMPUTED_VALUE"""),"Joosten, Linda P T; van Doorn, Sander; Hemels, Martin E W; Huisman, Menno V; Rutten, Frans H; Geersing, Geert-Jan")</f>
        <v>Joosten, Linda P T; van Doorn, Sander; Hemels, Martin E W; Huisman, Menno V; Rutten, Frans H; Geersing, Geert-Jan</v>
      </c>
      <c r="Z642" s="31">
        <f>IFERROR(__xludf.DUMMYFUNCTION("""COMPUTED_VALUE"""),2024.0)</f>
        <v>2024</v>
      </c>
      <c r="AA642" s="31">
        <f>IFERROR(__xludf.DUMMYFUNCTION("""COMPUTED_VALUE"""),0.0)</f>
        <v>0</v>
      </c>
      <c r="AF642" s="31" t="str">
        <f>IFERROR(__xludf.DUMMYFUNCTION("""COMPUTED_VALUE"""),"KIM-1 as a Blood-Based Marker for Early Detection of Kidney Cancer: A Prospective Nested Case-Control Study.")</f>
        <v>KIM-1 as a Blood-Based Marker for Early Detection of Kidney Cancer: A Prospective Nested Case-Control Study.</v>
      </c>
      <c r="AG642" s="31" t="str">
        <f>IFERROR(__xludf.DUMMYFUNCTION("""COMPUTED_VALUE"""),"Scelo, Ghislaine; Muller, David C; Riboli, Elio; Johansson, Mattias; Cross, Amanda J; Vineis, Paolo; Tsilidis, Konstantinos K; Brennan, Paul; Boeing, Heiner; Peeters, Petra H M; Vermeulen, Roel C H; Overvad, Kim; Bueno-de-Mesquita, H Bas; Severi, Gianluca"&amp;"; Perduca, Vittorio; Kvaskoff, Marina; Trichopoulou, Antonia; La Vecchia, Carlo; Karakatsani, Anna; Palli, Domenico; Sieri, Sabina; Panico, Salvatore; Weiderpass, Elisabete; Sandanger, Torkjel M; Nøst, Therese H; Agudo, Antonio; Quirós, J Ramón; Rodríguez"&amp;"-Barranco, Miguel; Chirlaque, Maria-Dolores; Key, Timothy J; Khanna, Prateek; Bonventre, Joseph V; Sabbisetti, Venkata S; Bhatt, Rupal S")</f>
        <v>Scelo, Ghislaine; Muller, David C; Riboli, Elio; Johansson, Mattias; Cross, Amanda J; Vineis, Paolo; Tsilidis, Konstantinos K; Brennan, Paul; Boeing, Heiner; Peeters, Petra H M; Vermeulen, Roel C H; Overvad, Kim; Bueno-de-Mesquita, H Bas; Severi, Gianluca; Perduca, Vittorio; Kvaskoff, Marina; Trichopoulou, Antonia; La Vecchia, Carlo; Karakatsani, Anna; Palli, Domenico; Sieri, Sabina; Panico, Salvatore; Weiderpass, Elisabete; Sandanger, Torkjel M; Nøst, Therese H; Agudo, Antonio; Quirós, J Ramón; Rodríguez-Barranco, Miguel; Chirlaque, Maria-Dolores; Key, Timothy J; Khanna, Prateek; Bonventre, Joseph V; Sabbisetti, Venkata S; Bhatt, Rupal S</v>
      </c>
      <c r="AH642" s="32">
        <f>IFERROR(__xludf.DUMMYFUNCTION("""COMPUTED_VALUE"""),43304.0)</f>
        <v>43304</v>
      </c>
      <c r="AL642" s="31" t="str">
        <f>IFERROR(__xludf.DUMMYFUNCTION("""COMPUTED_VALUE"""),"Rare and low-frequency coding variants alter human adult height.")</f>
        <v>Rare and low-frequency coding variants alter human adult height.</v>
      </c>
      <c r="AM642" s="31" t="str">
        <f>IFERROR(__xludf.DUMMYFUNCTION("""COMPUTED_VALUE"""),"Marouli, Eirini; Graff, Mariaelisa; Medina-Gomez, Carolina; Lo, Ken Sin; Wood, Andrew R; Kjaer, Troels R; Fine, Rebecca S; Lu, Yingchang; Schurmann, Claudia; Highland, Heather M; Rüeger, Sina; Thorleifsson, Gudmar; Justice, Anne E; Lamparter, David; Stirr"&amp;"ups, Kathleen E; Turcot, Valérie; Young, Kristin L; Winkler, Thomas W; Esko, Tõnu; Karaderi, Tugce; Locke, Adam E; Masca, Nicholas G D; Ng, Maggie C Y; Mudgal, Poorva; Rivas, Manuel A; Vedantam, Sailaja; Mahajan, Anubha; Guo, Xiuqing; Abecasis, Goncalo; A"&amp;"ben, Katja K; Adair, Linda S; Alam, Dewan S; Albrecht, Eva; Allin, Kristine H; Allison, Matthew; Amouyel, Philippe; Appel, Emil V; Arveiler, Dominique; Asselbergs, Folkert W; Auer, Paul L; Balkau, Beverley; Banas, Bernhard; Bang, Lia E; Benn, Marianne; Be"&amp;"rgmann, Sven; Bielak, Lawrence F; Blüher, Matthias; Boeing, Heiner; Boerwinkle, Eric; Böger, Carsten A; Bonnycastle, Lori L; Bork-Jensen, Jette; Bots, Michiel L; Bottinger, Erwin P; Bowden, Donald W; Brandslund, Ivan; Breen, Gerome; Br")</f>
        <v>Marouli, Eirini; Graff, Mariaelisa; Medina-Gomez, Carolina; Lo, Ken Sin; Wood, Andrew R; Kjaer, Troels R; Fine, Rebecca S; Lu, Yingchang; Schurmann, Claudia; Highland, Heather M; Rüeger, Sina; Thorleifsson, Gudmar; Justice, Anne E; Lamparter, David; Stirrups, Kathleen E; Turcot, Valérie; Young, Kristin L; Winkler, Thomas W; Esko, Tõnu; Karaderi, Tugce; Locke, Adam E; Masca, Nicholas G D; Ng, Maggie C Y; Mudgal, Poorva; Rivas, Manuel A; Vedantam, Sailaja; Mahajan, Anubha; Guo, Xiuqing; Abecasis, Goncalo; Aben, Katja K; Adair, Linda S; Alam, Dewan S; Albrecht, Eva; Allin, Kristine H; Allison, Matthew; Amouyel, Philippe; Appel, Emil V; Arveiler, Dominique; Asselbergs, Folkert W; Auer, Paul L; Balkau, Beverley; Banas, Bernhard; Bang, Lia E; Benn, Marianne; Bergmann, Sven; Bielak, Lawrence F; Blüher, Matthias; Boeing, Heiner; Boerwinkle, Eric; Böger, Carsten A; Bonnycastle, Lori L; Bork-Jensen, Jette; Bots, Michiel L; Bottinger, Erwin P; Bowden, Donald W; Brandslund, Ivan; Breen, Gerome; Br</v>
      </c>
      <c r="AN642" s="32">
        <f>IFERROR(__xludf.DUMMYFUNCTION("""COMPUTED_VALUE"""),42767.0)</f>
        <v>42767</v>
      </c>
    </row>
    <row r="643">
      <c r="A643" s="32"/>
      <c r="I643" s="31" t="str">
        <f>IFERROR(__xludf.DUMMYFUNCTION("""COMPUTED_VALUE"""),"food nutrition research")</f>
        <v>food nutrition research</v>
      </c>
      <c r="J643" s="38">
        <f>COUNTIF(Data!$F$2:$F9917, $I643)</f>
        <v>2</v>
      </c>
      <c r="T643" s="31" t="s">
        <v>1531</v>
      </c>
      <c r="U643" s="31" t="s">
        <v>1532</v>
      </c>
      <c r="V643" s="32">
        <v>45241.0</v>
      </c>
      <c r="X643" s="31" t="str">
        <f>IFERROR(__xludf.DUMMYFUNCTION("""COMPUTED_VALUE"""),"Trends in cataract surgery and healthcare system response during the COVID-19 lockdown in Malaysia: Lessons to be learned.")</f>
        <v>Trends in cataract surgery and healthcare system response during the COVID-19 lockdown in Malaysia: Lessons to be learned.</v>
      </c>
      <c r="Y643" s="31" t="str">
        <f>IFERROR(__xludf.DUMMYFUNCTION("""COMPUTED_VALUE"""),"Lim, Amanda Wei-Yin; Leong, Chin Tho; Salowi, Mohamad Aziz; Lim, Yvonne Mei Fong; Wong, Wen Jun; Hwong, Wen Yea")</f>
        <v>Lim, Amanda Wei-Yin; Leong, Chin Tho; Salowi, Mohamad Aziz; Lim, Yvonne Mei Fong; Wong, Wen Jun; Hwong, Wen Yea</v>
      </c>
      <c r="Z643" s="31">
        <f>IFERROR(__xludf.DUMMYFUNCTION("""COMPUTED_VALUE"""),2024.0)</f>
        <v>2024</v>
      </c>
      <c r="AA643" s="31">
        <f>IFERROR(__xludf.DUMMYFUNCTION("""COMPUTED_VALUE"""),0.0)</f>
        <v>0</v>
      </c>
      <c r="AF643" s="31" t="str">
        <f>IFERROR(__xludf.DUMMYFUNCTION("""COMPUTED_VALUE"""),"Privacy in Big Data psychiatric and behavioural research: A multiple-case study.")</f>
        <v>Privacy in Big Data psychiatric and behavioural research: A multiple-case study.</v>
      </c>
      <c r="AG643" s="31" t="str">
        <f>IFERROR(__xludf.DUMMYFUNCTION("""COMPUTED_VALUE"""),"Mostert, M; Koomen, B M; van Delden, J J M; Bredenoord, A L")</f>
        <v>Mostert, M; Koomen, B M; van Delden, J J M; Bredenoord, A L</v>
      </c>
      <c r="AH643" s="32">
        <f>IFERROR(__xludf.DUMMYFUNCTION("""COMPUTED_VALUE"""),43304.0)</f>
        <v>43304</v>
      </c>
      <c r="AL643" s="31" t="str">
        <f>IFERROR(__xludf.DUMMYFUNCTION("""COMPUTED_VALUE"""),"Late-Life Depression, Hippocampal Volumes, and Hypothalamic-Pituitary-Adrenal Axis Regulation: A Systematic Review and Meta-analysis.")</f>
        <v>Late-Life Depression, Hippocampal Volumes, and Hypothalamic-Pituitary-Adrenal Axis Regulation: A Systematic Review and Meta-analysis.</v>
      </c>
      <c r="AM643" s="31" t="str">
        <f>IFERROR(__xludf.DUMMYFUNCTION("""COMPUTED_VALUE"""),"Geerlings, Mirjam I; Gerritsen, Lotte")</f>
        <v>Geerlings, Mirjam I; Gerritsen, Lotte</v>
      </c>
      <c r="AN643" s="32">
        <f>IFERROR(__xludf.DUMMYFUNCTION("""COMPUTED_VALUE"""),42762.0)</f>
        <v>42762</v>
      </c>
    </row>
    <row r="644">
      <c r="A644" s="32"/>
      <c r="I644" s="31" t="str">
        <f>IFERROR(__xludf.DUMMYFUNCTION("""COMPUTED_VALUE"""),"annals of human biology")</f>
        <v>annals of human biology</v>
      </c>
      <c r="J644" s="38">
        <f>COUNTIF(Data!$F$2:$F9917, $I644)</f>
        <v>1</v>
      </c>
      <c r="T644" s="31" t="s">
        <v>1535</v>
      </c>
      <c r="U644" s="31" t="s">
        <v>1536</v>
      </c>
      <c r="V644" s="32">
        <v>45239.0</v>
      </c>
      <c r="X644" s="31" t="str">
        <f>IFERROR(__xludf.DUMMYFUNCTION("""COMPUTED_VALUE"""),"Corrigendum: Diabetes-Tuberculosis Care in Eswatini: A Qualitative Study of Opportunities and Recommendations for Effective Services Integration.")</f>
        <v>Corrigendum: Diabetes-Tuberculosis Care in Eswatini: A Qualitative Study of Opportunities and Recommendations for Effective Services Integration.</v>
      </c>
      <c r="Y644" s="31"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Z644" s="31">
        <f>IFERROR(__xludf.DUMMYFUNCTION("""COMPUTED_VALUE"""),2024.0)</f>
        <v>2024</v>
      </c>
      <c r="AA644" s="31">
        <f>IFERROR(__xludf.DUMMYFUNCTION("""COMPUTED_VALUE"""),0.0)</f>
        <v>0</v>
      </c>
      <c r="AF644" s="31" t="str">
        <f>IFERROR(__xludf.DUMMYFUNCTION("""COMPUTED_VALUE"""),"Short-Term Daily Intake of Polydextrose Fiber Does Not Shorten Intestinal Transit Time in Constipated Adults: A Randomized Controlled Trial.")</f>
        <v>Short-Term Daily Intake of Polydextrose Fiber Does Not Shorten Intestinal Transit Time in Constipated Adults: A Randomized Controlled Trial.</v>
      </c>
      <c r="AG644" s="31" t="str">
        <f>IFERROR(__xludf.DUMMYFUNCTION("""COMPUTED_VALUE"""),"Duncan, Peter I; Enters-Weijnen, Catherine F; Emami, Nashmil; McLean, Peter; Nunes, Tiago; Beaumont, Maurice; Crabbe, Rafael; Whelan, Kevin; Scott, S Mark; deWit, Niek J; Weits, Teunis; Bergonzelli, Gabriela; Grobbee, Diederick E")</f>
        <v>Duncan, Peter I; Enters-Weijnen, Catherine F; Emami, Nashmil; McLean, Peter; Nunes, Tiago; Beaumont, Maurice; Crabbe, Rafael; Whelan, Kevin; Scott, S Mark; deWit, Niek J; Weits, Teunis; Bergonzelli, Gabriela; Grobbee, Diederick E</v>
      </c>
      <c r="AH644" s="32">
        <f>IFERROR(__xludf.DUMMYFUNCTION("""COMPUTED_VALUE"""),43300.0)</f>
        <v>43300</v>
      </c>
      <c r="AL644" s="31" t="str">
        <f>IFERROR(__xludf.DUMMYFUNCTION("""COMPUTED_VALUE"""),"Stroke in 2016: Stroke is treatable, but prevention is the key.")</f>
        <v>Stroke in 2016: Stroke is treatable, but prevention is the key.</v>
      </c>
      <c r="AM644" s="31" t="str">
        <f>IFERROR(__xludf.DUMMYFUNCTION("""COMPUTED_VALUE"""),"Algra, Ale; Wermer, Marieke J H")</f>
        <v>Algra, Ale; Wermer, Marieke J H</v>
      </c>
      <c r="AN644" s="32">
        <f>IFERROR(__xludf.DUMMYFUNCTION("""COMPUTED_VALUE"""),42755.0)</f>
        <v>42755</v>
      </c>
    </row>
    <row r="645">
      <c r="A645" s="32"/>
      <c r="I645" s="31" t="str">
        <f>IFERROR(__xludf.DUMMYFUNCTION("""COMPUTED_VALUE"""),"journal of oral rehabilitation")</f>
        <v>journal of oral rehabilitation</v>
      </c>
      <c r="J645" s="38">
        <f>COUNTIF(Data!$F$2:$F9917, $I645)</f>
        <v>2</v>
      </c>
      <c r="T645" s="31" t="s">
        <v>1539</v>
      </c>
      <c r="U645" s="31" t="s">
        <v>1540</v>
      </c>
      <c r="V645" s="32">
        <v>45239.0</v>
      </c>
      <c r="X645" s="31" t="str">
        <f>IFERROR(__xludf.DUMMYFUNCTION("""COMPUTED_VALUE"""),"Impact of age on the predictive value of NT-proBNP in patients with diabetes mellitus stabilised after an acute coronary syndrome.")</f>
        <v>Impact of age on the predictive value of NT-proBNP in patients with diabetes mellitus stabilised after an acute coronary syndrome.</v>
      </c>
      <c r="Y645" s="31" t="str">
        <f>IFERROR(__xludf.DUMMYFUNCTION("""COMPUTED_VALUE"""),"Savonitto, Stefano; Morici, Nuccia; Pancani, Silvia; Nozza, Anna; Cosentino, Francesco; Perrone Filardi, Pasquale; Cavallini, Claudio; Angeli, Fabio; Stähli, Barbara E; Heerspink, Hiddo J L; Mannini, Andrea; Schwartz, Gregory G; Lincoff, A Michael; Tardif"&amp;", Jean-Claude; Grobbee, Diederick E")</f>
        <v>Savonitto, Stefano; Morici, Nuccia; Pancani, Silvia; Nozza, Anna; Cosentino, Francesco; Perrone Filardi, Pasquale; Cavallini, Claudio; Angeli, Fabio; Stähli, Barbara E; Heerspink, Hiddo J L; Mannini, Andrea; Schwartz, Gregory G; Lincoff, A Michael; Tardif, Jean-Claude; Grobbee, Diederick E</v>
      </c>
      <c r="Z645" s="31">
        <f>IFERROR(__xludf.DUMMYFUNCTION("""COMPUTED_VALUE"""),2024.0)</f>
        <v>2024</v>
      </c>
      <c r="AA645" s="31">
        <f>IFERROR(__xludf.DUMMYFUNCTION("""COMPUTED_VALUE"""),0.0)</f>
        <v>0</v>
      </c>
      <c r="AF645" s="31" t="str">
        <f>IFERROR(__xludf.DUMMYFUNCTION("""COMPUTED_VALUE"""),"Longitudinal associations between risk appraisal of base stations for mobile phones, radio or television and non-specific symptoms.")</f>
        <v>Longitudinal associations between risk appraisal of base stations for mobile phones, radio or television and non-specific symptoms.</v>
      </c>
      <c r="AG645" s="31" t="str">
        <f>IFERROR(__xludf.DUMMYFUNCTION("""COMPUTED_VALUE"""),"Martens, Astrid L; Slottje, Pauline; Smid, Tjabe; Kromhout, Hans; Vermeulen, Roel C H; Timmermans, Danielle R M")</f>
        <v>Martens, Astrid L; Slottje, Pauline; Smid, Tjabe; Kromhout, Hans; Vermeulen, Roel C H; Timmermans, Danielle R M</v>
      </c>
      <c r="AH645" s="32">
        <f>IFERROR(__xludf.DUMMYFUNCTION("""COMPUTED_VALUE"""),43299.0)</f>
        <v>43299</v>
      </c>
      <c r="AL645" s="31" t="str">
        <f>IFERROR(__xludf.DUMMYFUNCTION("""COMPUTED_VALUE"""),"A guide to systematic review and meta-analysis of prediction model performance.")</f>
        <v>A guide to systematic review and meta-analysis of prediction model performance.</v>
      </c>
      <c r="AM645" s="31" t="str">
        <f>IFERROR(__xludf.DUMMYFUNCTION("""COMPUTED_VALUE"""),"Debray, Thomas P A; Damen, Johanna A A G; Snell, Kym I E; Ensor, Joie; Hooft, Lotty; Reitsma, Johannes B; Riley, Richard D; Moons, Karel G M")</f>
        <v>Debray, Thomas P A; Damen, Johanna A A G; Snell, Kym I E; Ensor, Joie; Hooft, Lotty; Reitsma, Johannes B; Riley, Richard D; Moons, Karel G M</v>
      </c>
      <c r="AN645" s="32">
        <f>IFERROR(__xludf.DUMMYFUNCTION("""COMPUTED_VALUE"""),42740.0)</f>
        <v>42740</v>
      </c>
    </row>
    <row r="646">
      <c r="A646" s="32"/>
      <c r="I646" s="31" t="str">
        <f>IFERROR(__xludf.DUMMYFUNCTION("""COMPUTED_VALUE"""),"journal of crohns colitis")</f>
        <v>journal of crohns colitis</v>
      </c>
      <c r="J646" s="38">
        <f>COUNTIF(Data!$F$2:$F9917, $I646)</f>
        <v>1</v>
      </c>
      <c r="T646" s="31" t="s">
        <v>1543</v>
      </c>
      <c r="U646" s="31" t="s">
        <v>1544</v>
      </c>
      <c r="V646" s="32">
        <v>45239.0</v>
      </c>
      <c r="X646" s="31" t="str">
        <f>IFERROR(__xludf.DUMMYFUNCTION("""COMPUTED_VALUE"""),"Modest performance of text mining to extract health outcomes may be almost sufficient for high-quality prognostic model development.")</f>
        <v>Modest performance of text mining to extract health outcomes may be almost sufficient for high-quality prognostic model development.</v>
      </c>
      <c r="Y646" s="31" t="str">
        <f>IFERROR(__xludf.DUMMYFUNCTION("""COMPUTED_VALUE"""),"Grotenhuis, Zwierd; Mosteiro, Pablo J; Leeuwenberg, Artuur M")</f>
        <v>Grotenhuis, Zwierd; Mosteiro, Pablo J; Leeuwenberg, Artuur M</v>
      </c>
      <c r="Z646" s="31">
        <f>IFERROR(__xludf.DUMMYFUNCTION("""COMPUTED_VALUE"""),2024.0)</f>
        <v>2024</v>
      </c>
      <c r="AA646" s="31">
        <f>IFERROR(__xludf.DUMMYFUNCTION("""COMPUTED_VALUE"""),0.0)</f>
        <v>0</v>
      </c>
      <c r="AF646" s="31" t="str">
        <f>IFERROR(__xludf.DUMMYFUNCTION("""COMPUTED_VALUE"""),"New prospects for PCSK9 inhibition?")</f>
        <v>New prospects for PCSK9 inhibition?</v>
      </c>
      <c r="AG646" s="31" t="str">
        <f>IFERROR(__xludf.DUMMYFUNCTION("""COMPUTED_VALUE"""),"Landmesser, Ulf; Chapman, M John; Stock, Jane K; Amarenco, Pierre; Belch, Jill J F; Borén, Jan; Farnier, Michel; Ference, Brian A; Gielen, Stephan; Graham, Ian; Grobbee, Diederick E; Hovingh, G Kees; Lüscher, Thomas F; Piepoli, Massimo F; Ray, Kausik K; S"&amp;"troes, Erik S; Wiklund, Olov; Windecker, Stephan; Zamorano, Jose Luis; Pinto, Fausto; Tokgözoglu, Lale; Bax, Jeroen J; Catapano, Alberico L; ,")</f>
        <v>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 ,</v>
      </c>
      <c r="AH646" s="32">
        <f>IFERROR(__xludf.DUMMYFUNCTION("""COMPUTED_VALUE"""),43295.0)</f>
        <v>43295</v>
      </c>
      <c r="AL646" s="31" t="str">
        <f>IFERROR(__xludf.DUMMYFUNCTION("""COMPUTED_VALUE"""),"[Lowering LDL-cholesterol: the lower the better?].")</f>
        <v>[Lowering LDL-cholesterol: the lower the better?].</v>
      </c>
      <c r="AM646" s="31" t="str">
        <f>IFERROR(__xludf.DUMMYFUNCTION("""COMPUTED_VALUE"""),"Bots, M L")</f>
        <v>Bots, M L</v>
      </c>
      <c r="AN646" s="32">
        <f>IFERROR(__xludf.DUMMYFUNCTION("""COMPUTED_VALUE"""),42736.0)</f>
        <v>42736</v>
      </c>
    </row>
    <row r="647">
      <c r="A647" s="32"/>
      <c r="I647" s="31" t="str">
        <f>IFERROR(__xludf.DUMMYFUNCTION("""COMPUTED_VALUE"""),"nature genetics")</f>
        <v>nature genetics</v>
      </c>
      <c r="J647" s="38">
        <f>COUNTIF(Data!$F$2:$F9917, $I647)</f>
        <v>11</v>
      </c>
      <c r="T647" s="31" t="s">
        <v>1547</v>
      </c>
      <c r="U647" s="31" t="s">
        <v>1548</v>
      </c>
      <c r="V647" s="32">
        <v>45239.0</v>
      </c>
      <c r="X647" s="31" t="str">
        <f>IFERROR(__xludf.DUMMYFUNCTION("""COMPUTED_VALUE"""),"Communication training for general practitioners aimed at improving antibiotic prescribing: a controlled before-after study in multicultural Dutch cities.")</f>
        <v>Communication training for general practitioners aimed at improving antibiotic prescribing: a controlled before-after study in multicultural Dutch cities.</v>
      </c>
      <c r="Y647" s="31" t="str">
        <f>IFERROR(__xludf.DUMMYFUNCTION("""COMPUTED_VALUE"""),"Lescure, Dominique L A; Erdem, Özcan; Nieboer, Daan; Huijser van Reenen, Natascha; Tjon-A-Tsien, Aimée M L; van Oorschot, Wilbert; Brouwer, Rob; Vos, Margreet C; van der Velden, Alike W; Richardus, Jan Hendrik; Voeten, Hélène A C M")</f>
        <v>Lescure, Dominique L A; Erdem, Özcan; Nieboer, Daan; Huijser van Reenen, Natascha; Tjon-A-Tsien, Aimée M L; van Oorschot, Wilbert; Brouwer, Rob; Vos, Margreet C; van der Velden, Alike W; Richardus, Jan Hendrik; Voeten, Hélène A C M</v>
      </c>
      <c r="Z647" s="31">
        <f>IFERROR(__xludf.DUMMYFUNCTION("""COMPUTED_VALUE"""),2024.0)</f>
        <v>2024</v>
      </c>
      <c r="AA647" s="31">
        <f>IFERROR(__xludf.DUMMYFUNCTION("""COMPUTED_VALUE"""),0.0)</f>
        <v>0</v>
      </c>
      <c r="AF647" s="31" t="str">
        <f>IFERROR(__xludf.DUMMYFUNCTION("""COMPUTED_VALUE"""),"Does body mass index early in pregnancy influence the risk of maternal anaemia? An observational study in Indonesian and Ghanaian women.")</f>
        <v>Does body mass index early in pregnancy influence the risk of maternal anaemia? An observational study in Indonesian and Ghanaian women.</v>
      </c>
      <c r="AG647" s="31" t="str">
        <f>IFERROR(__xludf.DUMMYFUNCTION("""COMPUTED_VALUE"""),"Mocking, Martina; Savitri, Ary I; Uiterwaal, Cuno S P M; Amelia, Dwirani; Antwi, Edward; Baharuddin, Mohammad; Grobbee, Diederick E; Klipstein-Grobusch, Kerstin; Browne, Joyce L")</f>
        <v>Mocking, Martina; Savitri, Ary I; Uiterwaal, Cuno S P M; Amelia, Dwirani; Antwi, Edward; Baharuddin, Mohammad; Grobbee, Diederick E; Klipstein-Grobusch, Kerstin; Browne, Joyce L</v>
      </c>
      <c r="AH647" s="32">
        <f>IFERROR(__xludf.DUMMYFUNCTION("""COMPUTED_VALUE"""),43294.0)</f>
        <v>43294</v>
      </c>
      <c r="AL647" s="31" t="str">
        <f>IFERROR(__xludf.DUMMYFUNCTION("""COMPUTED_VALUE"""),"Volumetric breast density affects performance of digital screening mammography.")</f>
        <v>Volumetric breast density affects performance of digital screening mammography.</v>
      </c>
      <c r="AM647" s="31" t="str">
        <f>IFERROR(__xludf.DUMMYFUNCTION("""COMPUTED_VALUE"""),"Wanders, Johanna O P; Holland, Katharina; Veldhuis, Wouter B; Mann, Ritse M; Pijnappel, Ruud M; Peeters, Petra H M; van Gils, Carla H; Karssemeijer, Nico")</f>
        <v>Wanders, Johanna O P; Holland, Katharina; Veldhuis, Wouter B; Mann, Ritse M; Pijnappel, Ruud M; Peeters, Petra H M; van Gils, Carla H; Karssemeijer, Nico</v>
      </c>
      <c r="AN647" s="32">
        <f>IFERROR(__xludf.DUMMYFUNCTION("""COMPUTED_VALUE"""),42727.0)</f>
        <v>42727</v>
      </c>
    </row>
    <row r="648">
      <c r="A648" s="32"/>
      <c r="I648" s="31" t="str">
        <f>IFERROR(__xludf.DUMMYFUNCTION("""COMPUTED_VALUE"""),"journal of epidemiology and community health")</f>
        <v>journal of epidemiology and community health</v>
      </c>
      <c r="J648" s="38">
        <f>COUNTIF(Data!$F$2:$F9917, $I648)</f>
        <v>8</v>
      </c>
      <c r="T648" s="31" t="s">
        <v>1551</v>
      </c>
      <c r="U648" s="31" t="s">
        <v>1552</v>
      </c>
      <c r="V648" s="32">
        <v>45239.0</v>
      </c>
      <c r="X648" s="31" t="str">
        <f>IFERROR(__xludf.DUMMYFUNCTION("""COMPUTED_VALUE"""),"Evaluation of a New Standardized Nasal Sampling Method for Detection of SARS-CoV-2 RNA via RT-PCR.")</f>
        <v>Evaluation of a New Standardized Nasal Sampling Method for Detection of SARS-CoV-2 RNA via RT-PCR.</v>
      </c>
      <c r="Y648" s="31" t="str">
        <f>IFERROR(__xludf.DUMMYFUNCTION("""COMPUTED_VALUE"""),"Koeleman, Johannes G M; Mol, Sander; Brand, Henk; Ong, David S Y")</f>
        <v>Koeleman, Johannes G M; Mol, Sander; Brand, Henk; Ong, David S Y</v>
      </c>
      <c r="Z648" s="31">
        <f>IFERROR(__xludf.DUMMYFUNCTION("""COMPUTED_VALUE"""),2024.0)</f>
        <v>2024</v>
      </c>
      <c r="AA648" s="31">
        <f>IFERROR(__xludf.DUMMYFUNCTION("""COMPUTED_VALUE"""),0.0)</f>
        <v>0</v>
      </c>
      <c r="AF648" s="31" t="str">
        <f>IFERROR(__xludf.DUMMYFUNCTION("""COMPUTED_VALUE"""),"Changes in (risk) behavior and HPV knowledge among Dutch girls eligible for HPV vaccination: an observational cohort study.")</f>
        <v>Changes in (risk) behavior and HPV knowledge among Dutch girls eligible for HPV vaccination: an observational cohort study.</v>
      </c>
      <c r="AG648" s="31" t="str">
        <f>IFERROR(__xludf.DUMMYFUNCTION("""COMPUTED_VALUE"""),"Donken, Robine; Tami, Adriana; Knol, Mirjam J; Lubbers, Karin; van der Sande, Marianne A B; Nijman, Hans W; Daemen, Toos; Weijmar Schultz, Willibrord C M; de Melker, Hester E")</f>
        <v>Donken, Robine; Tami, Adriana; Knol, Mirjam J; Lubbers, Karin; van der Sande, Marianne A B; Nijman, Hans W; Daemen, Toos; Weijmar Schultz, Willibrord C M; de Melker, Hester E</v>
      </c>
      <c r="AH648" s="32">
        <f>IFERROR(__xludf.DUMMYFUNCTION("""COMPUTED_VALUE"""),43286.0)</f>
        <v>43286</v>
      </c>
      <c r="AL648" s="31" t="str">
        <f>IFERROR(__xludf.DUMMYFUNCTION("""COMPUTED_VALUE"""),"Long-term effects of a weight loss intervention with or without exercise component in postmenopausal women: A randomized trial.")</f>
        <v>Long-term effects of a weight loss intervention with or without exercise component in postmenopausal women: A randomized trial.</v>
      </c>
      <c r="AM648" s="31" t="str">
        <f>IFERROR(__xludf.DUMMYFUNCTION("""COMPUTED_VALUE"""),"de Roon, Martijn; van Gemert, Willemijn A; Peeters, Petra H; Schuit, Albertine J; Monninkhof, Evelyn M")</f>
        <v>de Roon, Martijn; van Gemert, Willemijn A; Peeters, Petra H; Schuit, Albertine J; Monninkhof, Evelyn M</v>
      </c>
      <c r="AN648" s="32">
        <f>IFERROR(__xludf.DUMMYFUNCTION("""COMPUTED_VALUE"""),42713.0)</f>
        <v>42713</v>
      </c>
    </row>
    <row r="649">
      <c r="A649" s="32"/>
      <c r="I649" s="31" t="str">
        <f>IFERROR(__xludf.DUMMYFUNCTION("""COMPUTED_VALUE"""),"epigenomics")</f>
        <v>epigenomics</v>
      </c>
      <c r="J649" s="38">
        <f>COUNTIF(Data!$F$2:$F9917, $I649)</f>
        <v>1</v>
      </c>
      <c r="T649" s="31" t="s">
        <v>1555</v>
      </c>
      <c r="U649" s="31" t="s">
        <v>1556</v>
      </c>
      <c r="V649" s="32">
        <v>45238.0</v>
      </c>
      <c r="X649" s="31" t="str">
        <f>IFERROR(__xludf.DUMMYFUNCTION("""COMPUTED_VALUE"""),"Sex Differences in the Primary Prevention of Cardiovascular Diseases in a Dutch Primary Care Setting.")</f>
        <v>Sex Differences in the Primary Prevention of Cardiovascular Diseases in a Dutch Primary Care Setting.</v>
      </c>
      <c r="Y649" s="31" t="str">
        <f>IFERROR(__xludf.DUMMYFUNCTION("""COMPUTED_VALUE"""),"Kiss, Pauline A J; Uijl, Alicia; Betancur, Estefania; de Boer, Annemarijn R; Grobbee, Diederick E; Hollander, Monika; Onland-Moret, Charlotte N; Sturkenboom, Miriam C J M; Peters, Sanne A E")</f>
        <v>Kiss, Pauline A J; Uijl, Alicia; Betancur, Estefania; de Boer, Annemarijn R; Grobbee, Diederick E; Hollander, Monika; Onland-Moret, Charlotte N; Sturkenboom, Miriam C J M; Peters, Sanne A E</v>
      </c>
      <c r="Z649" s="31">
        <f>IFERROR(__xludf.DUMMYFUNCTION("""COMPUTED_VALUE"""),2024.0)</f>
        <v>2024</v>
      </c>
      <c r="AA649" s="31">
        <f>IFERROR(__xludf.DUMMYFUNCTION("""COMPUTED_VALUE"""),0.0)</f>
        <v>0</v>
      </c>
      <c r="AF649" s="31" t="str">
        <f>IFERROR(__xludf.DUMMYFUNCTION("""COMPUTED_VALUE"""),"Safety and Immunogenicity of Measles Vaccination in HIV-Infected and HIV-Exposed Uninfected Children: A Systematic Review and Meta-Analysis.")</f>
        <v>Safety and Immunogenicity of Measles Vaccination in HIV-Infected and HIV-Exposed Uninfected Children: A Systematic Review and Meta-Analysis.</v>
      </c>
      <c r="AG649" s="31" t="str">
        <f>IFERROR(__xludf.DUMMYFUNCTION("""COMPUTED_VALUE"""),"Mutsaerts, Eleonora A M L; Nunes, Marta C; van Rijswijk, Martijn N; Klipstein-Grobusch, Kerstin; Grobbee, Diederick E; Madhi, Shabir A")</f>
        <v>Mutsaerts, Eleonora A M L; Nunes, Marta C; van Rijswijk, Martijn N; Klipstein-Grobusch, Kerstin; Grobbee, Diederick E; Madhi, Shabir A</v>
      </c>
      <c r="AH649" s="32">
        <f>IFERROR(__xludf.DUMMYFUNCTION("""COMPUTED_VALUE"""),43283.0)</f>
        <v>43283</v>
      </c>
      <c r="AL649" s="31" t="str">
        <f>IFERROR(__xludf.DUMMYFUNCTION("""COMPUTED_VALUE"""),"Blood pressure levels and the risk of intracerebral hemorrhage after ischemic stroke.")</f>
        <v>Blood pressure levels and the risk of intracerebral hemorrhage after ischemic stroke.</v>
      </c>
      <c r="AM649" s="31" t="str">
        <f>IFERROR(__xludf.DUMMYFUNCTION("""COMPUTED_VALUE"""),"Hilkens, Nina A; Greving, Jacoba P; Algra, Ale; Klijn, Catharina J M")</f>
        <v>Hilkens, Nina A; Greving, Jacoba P; Algra, Ale; Klijn, Catharina J M</v>
      </c>
      <c r="AN649" s="32">
        <f>IFERROR(__xludf.DUMMYFUNCTION("""COMPUTED_VALUE"""),42711.0)</f>
        <v>42711</v>
      </c>
    </row>
    <row r="650">
      <c r="A650" s="32"/>
      <c r="I650" s="31" t="str">
        <f>IFERROR(__xludf.DUMMYFUNCTION("""COMPUTED_VALUE"""),"frontiers in veterinary science")</f>
        <v>frontiers in veterinary science</v>
      </c>
      <c r="J650" s="38">
        <f>COUNTIF(Data!$F$2:$F9917, $I650)</f>
        <v>1</v>
      </c>
      <c r="T650" s="31" t="s">
        <v>1560</v>
      </c>
      <c r="U650" s="31" t="s">
        <v>1561</v>
      </c>
      <c r="V650" s="32">
        <v>45237.0</v>
      </c>
      <c r="X650" s="31" t="str">
        <f>IFERROR(__xludf.DUMMYFUNCTION("""COMPUTED_VALUE"""),"Potential impact of a new sepsis prediction model for the primary care setting: early health economic evaluation using an observational cohort.")</f>
        <v>Potential impact of a new sepsis prediction model for the primary care setting: early health economic evaluation using an observational cohort.</v>
      </c>
      <c r="Y650" s="31" t="str">
        <f>IFERROR(__xludf.DUMMYFUNCTION("""COMPUTED_VALUE"""),"Loots, Feike J; van der Meulen, Miriam P; Smits, Marleen; Hopstaken, Rogier M; de Bont, Eefje Gpm; van Bussel, Bas Ct; Latten, Gideon Hp; Oosterheert, Jan Jelrik; van Zanten, Arthur Rh; Verheij, Theo Jm; Frederix, Geert Wj")</f>
        <v>Loots, Feike J; van der Meulen, Miriam P; Smits, Marleen; Hopstaken, Rogier M; de Bont, Eefje Gpm; van Bussel, Bas Ct; Latten, Gideon Hp; Oosterheert, Jan Jelrik; van Zanten, Arthur Rh; Verheij, Theo Jm; Frederix, Geert Wj</v>
      </c>
      <c r="Z650" s="31">
        <f>IFERROR(__xludf.DUMMYFUNCTION("""COMPUTED_VALUE"""),2024.0)</f>
        <v>2024</v>
      </c>
      <c r="AA650" s="31">
        <f>IFERROR(__xludf.DUMMYFUNCTION("""COMPUTED_VALUE"""),0.0)</f>
        <v>0</v>
      </c>
      <c r="AF650" s="31" t="str">
        <f>IFERROR(__xludf.DUMMYFUNCTION("""COMPUTED_VALUE"""),"Homeostasis Model Assessment of Insulin Resistance and Survival in Patients With Diabetes and Acute Coronary Syndrome.")</f>
        <v>Homeostasis Model Assessment of Insulin Resistance and Survival in Patients With Diabetes and Acute Coronary Syndrome.</v>
      </c>
      <c r="AG650" s="31" t="str">
        <f>IFERROR(__xludf.DUMMYFUNCTION("""COMPUTED_VALUE"""),"Stähli, Barbara E; Nozza, Anna; Schrieks, Ilse C; Buse, John B; Malmberg, Klas; Mellbin, Linda; Neal, Bruce; Nicholls, Stephen J; Rydén, Lars; Svensson, Anders; Wedel, Hans; Weichert, Arlette; Lincoff, A Michael; Grobbee, Diederick E; Tardif, Jean-Claude;"&amp;" Schwartz, Gregory G")</f>
        <v>Stähli, Barbara E; Nozza, Anna; Schrieks, Ilse C; Buse, John B; Malmberg, Klas; Mellbin, Linda; Neal, Bruce; Nicholls, Stephen J; Rydén, Lars; Svensson, Anders; Wedel, Hans; Weichert, Arlette; Lincoff, A Michael; Grobbee, Diederick E; Tardif, Jean-Claude; Schwartz, Gregory G</v>
      </c>
      <c r="AH650" s="32">
        <f>IFERROR(__xludf.DUMMYFUNCTION("""COMPUTED_VALUE"""),43282.0)</f>
        <v>43282</v>
      </c>
      <c r="AL650" s="31" t="str">
        <f>IFERROR(__xludf.DUMMYFUNCTION("""COMPUTED_VALUE"""),"A closed testing procedure to select an appropriate method for updating prediction models.")</f>
        <v>A closed testing procedure to select an appropriate method for updating prediction models.</v>
      </c>
      <c r="AM650" s="31" t="str">
        <f>IFERROR(__xludf.DUMMYFUNCTION("""COMPUTED_VALUE"""),"Vergouwe, Yvonne; Nieboer, Daan; Oostenbrink, Rianne; Debray, Thomas P A; Murray, Gordon D; Kattan, Michael W; Koffijberg, Hendrik; Moons, Karel G M; Steyerberg, Ewout W")</f>
        <v>Vergouwe, Yvonne; Nieboer, Daan; Oostenbrink, Rianne; Debray, Thomas P A; Murray, Gordon D; Kattan, Michael W; Koffijberg, Hendrik; Moons, Karel G M; Steyerberg, Ewout W</v>
      </c>
      <c r="AN650" s="32">
        <f>IFERROR(__xludf.DUMMYFUNCTION("""COMPUTED_VALUE"""),42702.0)</f>
        <v>42702</v>
      </c>
    </row>
    <row r="651">
      <c r="A651" s="32"/>
      <c r="I651" s="31" t="str">
        <f>IFERROR(__xludf.DUMMYFUNCTION("""COMPUTED_VALUE"""),"bmc family practice")</f>
        <v>bmc family practice</v>
      </c>
      <c r="J651" s="38">
        <f>COUNTIF(Data!$F$2:$F9917, $I651)</f>
        <v>26</v>
      </c>
      <c r="T651" s="31" t="s">
        <v>1565</v>
      </c>
      <c r="U651" s="31" t="s">
        <v>1566</v>
      </c>
      <c r="V651" s="32">
        <v>45234.0</v>
      </c>
      <c r="X651" s="31" t="str">
        <f>IFERROR(__xludf.DUMMYFUNCTION("""COMPUTED_VALUE"""),"Replicability of simulation studies for the investigation of statistical methods: the RepliSims project.")</f>
        <v>Replicability of simulation studies for the investigation of statistical methods: the RepliSims project.</v>
      </c>
      <c r="Y651" s="31" t="str">
        <f>IFERROR(__xludf.DUMMYFUNCTION("""COMPUTED_VALUE"""),"Luijken, K; Lohmann, A; Alter, U; Claramunt Gonzalez, J; Clouth, F J; Fossum, J L; Hesen, L; Huizing, A H J; Ketelaar, J; Montoya, A K; Nab, L; Nijman, R C C; Penning de Vries, B B L; Tibbe, T D; Wang, Y A; Groenwold, R H H")</f>
        <v>Luijken, K; Lohmann, A; Alter, U; Claramunt Gonzalez, J; Clouth, F J; Fossum, J L; Hesen, L; Huizing, A H J; Ketelaar, J; Montoya, A K; Nab, L; Nijman, R C C; Penning de Vries, B B L; Tibbe, T D; Wang, Y A; Groenwold, R H H</v>
      </c>
      <c r="Z651" s="31">
        <f>IFERROR(__xludf.DUMMYFUNCTION("""COMPUTED_VALUE"""),2024.0)</f>
        <v>2024</v>
      </c>
      <c r="AA651" s="31">
        <f>IFERROR(__xludf.DUMMYFUNCTION("""COMPUTED_VALUE"""),0.0)</f>
        <v>0</v>
      </c>
      <c r="AF651" s="31" t="str">
        <f>IFERROR(__xludf.DUMMYFUNCTION("""COMPUTED_VALUE"""),"Opportunities and challenges for evidence-informed HIV-noncommunicable disease integrated care policies and programs: lessons from Malawi, South Africa, Swaziland and Kenya.")</f>
        <v>Opportunities and challenges for evidence-informed HIV-noncommunicable disease integrated care policies and programs: lessons from Malawi, South Africa, Swaziland and Kenya.</v>
      </c>
      <c r="AG651" s="31" t="str">
        <f>IFERROR(__xludf.DUMMYFUNCTION("""COMPUTED_VALUE"""),"Matanje Mwagomba, Beatrice L; Ameh, Soter; Bongomin, Pido; Juma, Pamela A; MacKenzie, Rachel K; Kyobutungi, Catherine; Lukhele, Nomthandazo; Mwangi, Kibachio Joseph Muiruri; Amberbir, Alemayehu; Klipstein-Grobusch, Kerstin; Gómez-Olivé, Francesc Xavier; B"&amp;"erman, Josh")</f>
        <v>Matanje Mwagomba, Beatrice L; Ameh, Soter; Bongomin, Pido; Juma, Pamela A; MacKenzie, Rachel K; Kyobutungi, Catherine; Lukhele, Nomthandazo; Mwangi, Kibachio Joseph Muiruri; Amberbir, Alemayehu; Klipstein-Grobusch, Kerstin; Gómez-Olivé, Francesc Xavier; Berman, Josh</v>
      </c>
      <c r="AH651" s="32">
        <f>IFERROR(__xludf.DUMMYFUNCTION("""COMPUTED_VALUE"""),43282.0)</f>
        <v>43282</v>
      </c>
      <c r="AL651" s="31" t="str">
        <f>IFERROR(__xludf.DUMMYFUNCTION("""COMPUTED_VALUE"""),"STARD 2015 guidelines for reporting diagnostic accuracy studies: explanation and elaboration.")</f>
        <v>STARD 2015 guidelines for reporting diagnostic accuracy studies: explanation and elaboration.</v>
      </c>
      <c r="AM651" s="31" t="str">
        <f>IFERROR(__xludf.DUMMYFUNCTION("""COMPUTED_VALUE"""),"Cohen, Jérémie F; Korevaar, Daniël A; Altman, Douglas G; Bruns, David E; Gatsonis, Constantine A; Hooft, Lotty; Irwig, Les; Levine, Deborah; Reitsma, Johannes B; de Vet, Henrica C W; Bossuyt, Patrick M M")</f>
        <v>Cohen, Jérémie F; Korevaar, Daniël A; Altman, Douglas G; Bruns, David E; Gatsonis, Constantine A; Hooft, Lotty; Irwig, Les; Levine, Deborah; Reitsma, Johannes B; de Vet, Henrica C W; Bossuyt, Patrick M M</v>
      </c>
      <c r="AN651" s="32">
        <f>IFERROR(__xludf.DUMMYFUNCTION("""COMPUTED_VALUE"""),42688.0)</f>
        <v>42688</v>
      </c>
    </row>
    <row r="652">
      <c r="A652" s="32"/>
      <c r="I652" s="31" t="str">
        <f>IFERROR(__xludf.DUMMYFUNCTION("""COMPUTED_VALUE"""),"journal of the academy of nutrition and dietetics")</f>
        <v>journal of the academy of nutrition and dietetics</v>
      </c>
      <c r="J652" s="38">
        <f>COUNTIF(Data!$F$2:$F9917, $I652)</f>
        <v>1</v>
      </c>
      <c r="T652" s="31" t="s">
        <v>1570</v>
      </c>
      <c r="U652" s="31" t="s">
        <v>1571</v>
      </c>
      <c r="V652" s="32">
        <v>45233.0</v>
      </c>
      <c r="X652" s="31" t="str">
        <f>IFERROR(__xludf.DUMMYFUNCTION("""COMPUTED_VALUE"""),"The Impact of Hospice Care Structures on Care Processes: A Retrospective Cohort Study.")</f>
        <v>The Impact of Hospice Care Structures on Care Processes: A Retrospective Cohort Study.</v>
      </c>
      <c r="Y652" s="31" t="str">
        <f>IFERROR(__xludf.DUMMYFUNCTION("""COMPUTED_VALUE"""),"de Graaf, Everlien; Grant, Matthew; van der Baan, Frederieke; Ausems, Marieke; Leget, Carlo; Teunissen, Saskia")</f>
        <v>de Graaf, Everlien; Grant, Matthew; van der Baan, Frederieke; Ausems, Marieke; Leget, Carlo; Teunissen, Saskia</v>
      </c>
      <c r="Z652" s="31">
        <f>IFERROR(__xludf.DUMMYFUNCTION("""COMPUTED_VALUE"""),2024.0)</f>
        <v>2024</v>
      </c>
      <c r="AA652" s="31">
        <f>IFERROR(__xludf.DUMMYFUNCTION("""COMPUTED_VALUE"""),0.0)</f>
        <v>0</v>
      </c>
      <c r="AF652" s="31" t="str">
        <f>IFERROR(__xludf.DUMMYFUNCTION("""COMPUTED_VALUE"""),"A mobile revolution for healthcare? Setting the agenda for bioethics.")</f>
        <v>A mobile revolution for healthcare? Setting the agenda for bioethics.</v>
      </c>
      <c r="AG652" s="31" t="str">
        <f>IFERROR(__xludf.DUMMYFUNCTION("""COMPUTED_VALUE"""),"Lucivero, Federica; Jongsma, Karin R")</f>
        <v>Lucivero, Federica; Jongsma, Karin R</v>
      </c>
      <c r="AH652" s="32">
        <f>IFERROR(__xludf.DUMMYFUNCTION("""COMPUTED_VALUE"""),43266.0)</f>
        <v>43266</v>
      </c>
      <c r="AL652" s="31" t="str">
        <f>IFERROR(__xludf.DUMMYFUNCTION("""COMPUTED_VALUE"""),"Defining the clinical pathway in cochrane diagnostic test accuracy reviews.")</f>
        <v>Defining the clinical pathway in cochrane diagnostic test accuracy reviews.</v>
      </c>
      <c r="AM652" s="31" t="str">
        <f>IFERROR(__xludf.DUMMYFUNCTION("""COMPUTED_VALUE"""),"Gopalakrishna, G; Langendam, Miranda W; Scholten, Rob J P M; Bossuyt, Patrick M M; Leeflang, Mariska M G")</f>
        <v>Gopalakrishna, G; Langendam, Miranda W; Scholten, Rob J P M; Bossuyt, Patrick M M; Leeflang, Mariska M G</v>
      </c>
      <c r="AN652" s="32">
        <f>IFERROR(__xludf.DUMMYFUNCTION("""COMPUTED_VALUE"""),42684.0)</f>
        <v>42684</v>
      </c>
    </row>
    <row r="653">
      <c r="A653" s="32"/>
      <c r="I653" s="31" t="str">
        <f>IFERROR(__xludf.DUMMYFUNCTION("""COMPUTED_VALUE"""),"plos biology")</f>
        <v>plos biology</v>
      </c>
      <c r="J653" s="38">
        <f>COUNTIF(Data!$F$2:$F9917, $I653)</f>
        <v>2</v>
      </c>
      <c r="T653" s="31" t="s">
        <v>1574</v>
      </c>
      <c r="U653" s="31" t="s">
        <v>1575</v>
      </c>
      <c r="V653" s="32">
        <v>45233.0</v>
      </c>
      <c r="X653" s="31" t="str">
        <f>IFERROR(__xludf.DUMMYFUNCTION("""COMPUTED_VALUE"""),"Association of amyloid-beta with depression or depressive symptoms in older adults without dementia: a systematic review and meta-analysis.")</f>
        <v>Association of amyloid-beta with depression or depressive symptoms in older adults without dementia: a systematic review and meta-analysis.</v>
      </c>
      <c r="Y653" s="31" t="str">
        <f>IFERROR(__xludf.DUMMYFUNCTION("""COMPUTED_VALUE"""),"Twait, Emma L; Wu, Jen-Hao; Kamarioti, Maria; Basten, Maartje; van der Flier, Wiesje M; Gerritsen, Lotte; Geerlings, Mirjam I")</f>
        <v>Twait, Emma L; Wu, Jen-Hao; Kamarioti, Maria; Basten, Maartje; van der Flier, Wiesje M; Gerritsen, Lotte; Geerlings, Mirjam I</v>
      </c>
      <c r="Z653" s="31">
        <f>IFERROR(__xludf.DUMMYFUNCTION("""COMPUTED_VALUE"""),2024.0)</f>
        <v>2024</v>
      </c>
      <c r="AA653" s="31">
        <f>IFERROR(__xludf.DUMMYFUNCTION("""COMPUTED_VALUE"""),0.0)</f>
        <v>0</v>
      </c>
      <c r="AF653" s="31" t="str">
        <f>IFERROR(__xludf.DUMMYFUNCTION("""COMPUTED_VALUE"""),"Adiponectin, Free Fatty Acids, and Cardiovascular Outcomes in Patients With Type 2 Diabetes and Acute Coronary Syndrome.")</f>
        <v>Adiponectin, Free Fatty Acids, and Cardiovascular Outcomes in Patients With Type 2 Diabetes and Acute Coronary Syndrome.</v>
      </c>
      <c r="AG653" s="31" t="str">
        <f>IFERROR(__xludf.DUMMYFUNCTION("""COMPUTED_VALUE"""),"Schrieks, Ilse C; Nozza, Anna; Stähli, Barbara E; Buse, John B; Henry, Robert R; Malmberg, Klas; Neal, Bruce; Nicholls, Stephen J; Rydén, Lars; Mellbin, Linda; Svensson, Anders; Wedel, Hans; Weichert, Arlette; Lincoff, A Michael; Tardif, Jean-Claude; Grob"&amp;"bee, Diederick E; Schwartz, Gregory G")</f>
        <v>Schrieks, Ilse C; Nozza, Anna; Stähli, Barbara E; Buse, John B; Henry, Robert R; Malmberg, Klas; Neal, Bruce; Nicholls, Stephen J; Rydén, Lars; Mellbin, Linda; Svensson, Anders; Wedel, Hans; Weichert, Arlette; Lincoff, A Michael; Tardif, Jean-Claude; Grobbee, Diederick E; Schwartz, Gregory G</v>
      </c>
      <c r="AH653" s="32">
        <f>IFERROR(__xludf.DUMMYFUNCTION("""COMPUTED_VALUE"""),43265.0)</f>
        <v>43265</v>
      </c>
      <c r="AL653" s="31" t="str">
        <f>IFERROR(__xludf.DUMMYFUNCTION("""COMPUTED_VALUE"""),"Comparison of the GRACE, HEART and TIMI score to predict major adverse cardiac events in chest pain patients at the emergency department.")</f>
        <v>Comparison of the GRACE, HEART and TIMI score to predict major adverse cardiac events in chest pain patients at the emergency department.</v>
      </c>
      <c r="AM653" s="31" t="str">
        <f>IFERROR(__xludf.DUMMYFUNCTION("""COMPUTED_VALUE"""),"Poldervaart, J M; Langedijk, M; Backus, B E; Dekker, I M C; Six, A J; Doevendans, P A; Hoes, A W; Reitsma, J B")</f>
        <v>Poldervaart, J M; Langedijk, M; Backus, B E; Dekker, I M C; Six, A J; Doevendans, P A; Hoes, A W; Reitsma, J B</v>
      </c>
      <c r="AN653" s="32">
        <f>IFERROR(__xludf.DUMMYFUNCTION("""COMPUTED_VALUE"""),42673.0)</f>
        <v>42673</v>
      </c>
    </row>
    <row r="654">
      <c r="A654" s="32"/>
      <c r="I654" s="31" t="str">
        <f>IFERROR(__xludf.DUMMYFUNCTION("""COMPUTED_VALUE"""),"surgical oncology")</f>
        <v>surgical oncology</v>
      </c>
      <c r="J654" s="38">
        <f>COUNTIF(Data!$F$2:$F9917, $I654)</f>
        <v>2</v>
      </c>
      <c r="T654" s="31" t="s">
        <v>1578</v>
      </c>
      <c r="U654" s="31" t="s">
        <v>1579</v>
      </c>
      <c r="V654" s="32">
        <v>45232.0</v>
      </c>
      <c r="X654" s="31" t="str">
        <f>IFERROR(__xludf.DUMMYFUNCTION("""COMPUTED_VALUE"""),"Prophylactic pectoralis major flap to compensate for increased risk of pharyngocutaneous fistula in laryngectomy patients with low skeletal muscle mass (PECTORALIS): study protocol for a randomized controlled trial.")</f>
        <v>Prophylactic pectoralis major flap to compensate for increased risk of pharyngocutaneous fistula in laryngectomy patients with low skeletal muscle mass (PECTORALIS): study protocol for a randomized controlled trial.</v>
      </c>
      <c r="Y654" s="31" t="str">
        <f>IFERROR(__xludf.DUMMYFUNCTION("""COMPUTED_VALUE"""),"van Beers, Maartje A; Speksnijder, Caroline M; van Gils, Carla H; Frederix, Geert W J; Dankbaar, Jan Willem; de Bree, Remco")</f>
        <v>van Beers, Maartje A; Speksnijder, Caroline M; van Gils, Carla H; Frederix, Geert W J; Dankbaar, Jan Willem; de Bree, Remco</v>
      </c>
      <c r="Z654" s="31">
        <f>IFERROR(__xludf.DUMMYFUNCTION("""COMPUTED_VALUE"""),2024.0)</f>
        <v>2024</v>
      </c>
      <c r="AA654" s="31">
        <f>IFERROR(__xludf.DUMMYFUNCTION("""COMPUTED_VALUE"""),0.0)</f>
        <v>0</v>
      </c>
      <c r="AF654" s="31" t="str">
        <f>IFERROR(__xludf.DUMMYFUNCTION("""COMPUTED_VALUE"""),"Pragmatic clinical trials: ethical imperatives and opportunities.")</f>
        <v>Pragmatic clinical trials: ethical imperatives and opportunities.</v>
      </c>
      <c r="AG654" s="31" t="str">
        <f>IFERROR(__xludf.DUMMYFUNCTION("""COMPUTED_VALUE"""),"Kalkman, Shona; van Thiel, Ghislaine J M W; Grobbee, Diederick E; van Delden, Johannes J M")</f>
        <v>Kalkman, Shona; van Thiel, Ghislaine J M W; Grobbee, Diederick E; van Delden, Johannes J M</v>
      </c>
      <c r="AH654" s="32">
        <f>IFERROR(__xludf.DUMMYFUNCTION("""COMPUTED_VALUE"""),43263.0)</f>
        <v>43263</v>
      </c>
      <c r="AL654" s="31" t="str">
        <f>IFERROR(__xludf.DUMMYFUNCTION("""COMPUTED_VALUE"""),"Reference Values for Cardiac and Aortic Magnetic Resonance Imaging in Healthy, Young Caucasian Adults.")</f>
        <v>Reference Values for Cardiac and Aortic Magnetic Resonance Imaging in Healthy, Young Caucasian Adults.</v>
      </c>
      <c r="AM654" s="31" t="str">
        <f>IFERROR(__xludf.DUMMYFUNCTION("""COMPUTED_VALUE"""),"Eikendal, Anouk L M; Bots, Michiel L; Haaring, Cees; Saam, Tobias; van der Geest, Rob J; Westenberg, Jos J M; den Ruijter, Hester M; Hoefer, Imo E; Leiner, Tim")</f>
        <v>Eikendal, Anouk L M; Bots, Michiel L; Haaring, Cees; Saam, Tobias; van der Geest, Rob J; Westenberg, Jos J M; den Ruijter, Hester M; Hoefer, Imo E; Leiner, Tim</v>
      </c>
      <c r="AN654" s="32">
        <f>IFERROR(__xludf.DUMMYFUNCTION("""COMPUTED_VALUE"""),42655.0)</f>
        <v>42655</v>
      </c>
    </row>
    <row r="655">
      <c r="A655" s="32"/>
      <c r="I655" s="31" t="str">
        <f>IFERROR(__xludf.DUMMYFUNCTION("""COMPUTED_VALUE"""),"journal of nutrition in gerontology and geriatrics")</f>
        <v>journal of nutrition in gerontology and geriatrics</v>
      </c>
      <c r="J655" s="38">
        <f>COUNTIF(Data!$F$2:$F9917, $I655)</f>
        <v>1</v>
      </c>
      <c r="T655" s="31" t="s">
        <v>1582</v>
      </c>
      <c r="U655" s="31" t="s">
        <v>1583</v>
      </c>
      <c r="V655" s="32">
        <v>45232.0</v>
      </c>
      <c r="X655" s="31"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Y655" s="31" t="str">
        <f>IFERROR(__xludf.DUMMYFUNCTION("""COMPUTED_VALUE"""),"Sushil, Madhumita; Butte, Atul J; Schuit, Ewoud; van Smeden, Maarten; Leeuwenberg, Artuur M")</f>
        <v>Sushil, Madhumita; Butte, Atul J; Schuit, Ewoud; van Smeden, Maarten; Leeuwenberg, Artuur M</v>
      </c>
      <c r="Z655" s="31">
        <f>IFERROR(__xludf.DUMMYFUNCTION("""COMPUTED_VALUE"""),2024.0)</f>
        <v>2024</v>
      </c>
      <c r="AA655" s="31">
        <f>IFERROR(__xludf.DUMMYFUNCTION("""COMPUTED_VALUE"""),0.0)</f>
        <v>0</v>
      </c>
      <c r="AF655" s="31" t="str">
        <f>IFERROR(__xludf.DUMMYFUNCTION("""COMPUTED_VALUE"""),"[Real-time access via the patient portal; is this desirable for good care provision?].")</f>
        <v>[Real-time access via the patient portal; is this desirable for good care provision?].</v>
      </c>
      <c r="AG655" s="31" t="str">
        <f>IFERROR(__xludf.DUMMYFUNCTION("""COMPUTED_VALUE"""),"Kooiman, Stephanie A; Mostert, Menno; Biesaart, Monique C I H")</f>
        <v>Kooiman, Stephanie A; Mostert, Menno; Biesaart, Monique C I H</v>
      </c>
      <c r="AH655" s="32">
        <f>IFERROR(__xludf.DUMMYFUNCTION("""COMPUTED_VALUE"""),43258.0)</f>
        <v>43258</v>
      </c>
      <c r="AL655" s="31" t="str">
        <f>IFERROR(__xludf.DUMMYFUNCTION("""COMPUTED_VALUE"""),"Concurrent validity and reliability of wireless instrumented insoles measuring postural balance and temporal gait parameters.")</f>
        <v>Concurrent validity and reliability of wireless instrumented insoles measuring postural balance and temporal gait parameters.</v>
      </c>
      <c r="AM655" s="31" t="str">
        <f>IFERROR(__xludf.DUMMYFUNCTION("""COMPUTED_VALUE"""),"Oerbekke, Michiel S; Stukstette, Mirelle J; Schütte, Kurt; de Bie, Rob A; Pisters, Martijn F; Vanwanseele, Benedicte")</f>
        <v>Oerbekke, Michiel S; Stukstette, Mirelle J; Schütte, Kurt; de Bie, Rob A; Pisters, Martijn F; Vanwanseele, Benedicte</v>
      </c>
      <c r="AN655" s="32">
        <f>IFERROR(__xludf.DUMMYFUNCTION("""COMPUTED_VALUE"""),42649.0)</f>
        <v>42649</v>
      </c>
    </row>
    <row r="656">
      <c r="A656" s="32"/>
      <c r="I656" s="31" t="str">
        <f>IFERROR(__xludf.DUMMYFUNCTION("""COMPUTED_VALUE"""),"personalized medicine")</f>
        <v>personalized medicine</v>
      </c>
      <c r="J656" s="38">
        <f>COUNTIF(Data!$F$2:$F9917, $I656)</f>
        <v>1</v>
      </c>
      <c r="T656" s="31" t="s">
        <v>1586</v>
      </c>
      <c r="U656" s="31" t="s">
        <v>1587</v>
      </c>
      <c r="V656" s="32">
        <v>45231.0</v>
      </c>
      <c r="X656" s="31" t="str">
        <f>IFERROR(__xludf.DUMMYFUNCTION("""COMPUTED_VALUE"""),"Prevalence and determinants of self-reported low-fat-, low-salt-, and vegetarian diets in patients with cardiovascular disease between 1996 and 2019.")</f>
        <v>Prevalence and determinants of self-reported low-fat-, low-salt-, and vegetarian diets in patients with cardiovascular disease between 1996 and 2019.</v>
      </c>
      <c r="Y656" s="31" t="str">
        <f>IFERROR(__xludf.DUMMYFUNCTION("""COMPUTED_VALUE"""),"Hoes, L L F; Geleijnse, J M; Bonekamp, N E; Dorresteijn, J A N; van der Meer, M G; van der Schouw, Yvonne T; Visseren, Frank L J; Koopal, Charlotte; ,")</f>
        <v>Hoes, L L F; Geleijnse, J M; Bonekamp, N E; Dorresteijn, J A N; van der Meer, M G; van der Schouw, Yvonne T; Visseren, Frank L J; Koopal, Charlotte; ,</v>
      </c>
      <c r="Z656" s="31">
        <f>IFERROR(__xludf.DUMMYFUNCTION("""COMPUTED_VALUE"""),2024.0)</f>
        <v>2024</v>
      </c>
      <c r="AA656" s="31">
        <f>IFERROR(__xludf.DUMMYFUNCTION("""COMPUTED_VALUE"""),0.0)</f>
        <v>0</v>
      </c>
      <c r="AF656" s="31" t="str">
        <f>IFERROR(__xludf.DUMMYFUNCTION("""COMPUTED_VALUE"""),"Characteristics of high- and low-risk individuals in the PRIORITY study: urinary proteomics and mineralocorticoid receptor antagonism for prevention of diabetic nephropathy in Type 2 diabetes.")</f>
        <v>Characteristics of high- and low-risk individuals in the PRIORITY study: urinary proteomics and mineralocorticoid receptor antagonism for prevention of diabetic nephropathy in Type 2 diabetes.</v>
      </c>
      <c r="AG656" s="31" t="str">
        <f>IFERROR(__xludf.DUMMYFUNCTION("""COMPUTED_VALUE"""),"Tofte, N; Lindhardt, M; Adamova, K; Beige, J; Beulens, J W J; Birkenfeld, A L; Currie, G; Delles, C; Dimos, I; Francová, L; Frimodt-Møller, M; Girman, P; Göke, R; Havrdova, T; Kooy, A; Mischak, H; Navis, G; Nijpels, G; Noutsou, M; Ortiz, A; Parvanova, A; "&amp;"Persson, F; Ruggenenti, P L; Rutters, F; Rychlík, I; Spasovski, G; Speeckaert, M; Trillini, M; von der Leyen, H; Rossing, P")</f>
        <v>Tofte, N; Lindhardt, M; Adamova, K; Beige, J; Beulens, J W J; Birkenfeld, A L; Currie, G; Delles, C; Dimos, I; Francová, L; Frimodt-Møller, M; Girman, P; Göke, R; Havrdova, T; Kooy, A; Mischak, H; Navis, G; Nijpels, G; Noutsou, M; Ortiz, A; Parvanova, A; Persson, F; Ruggenenti, P L; Rutters, F; Rychlík, I; Spasovski, G; Speeckaert, M; Trillini, M; von der Leyen, H; Rossing, P</v>
      </c>
      <c r="AH656" s="32">
        <f>IFERROR(__xludf.DUMMYFUNCTION("""COMPUTED_VALUE"""),43257.0)</f>
        <v>43257</v>
      </c>
      <c r="AL656" s="31" t="str">
        <f>IFERROR(__xludf.DUMMYFUNCTION("""COMPUTED_VALUE"""),"CT-angiography source images indicate less fatal outcome despite coma of patients in the Basilar Artery International Cooperation Study.")</f>
        <v>CT-angiography source images indicate less fatal outcome despite coma of patients in the Basilar Artery International Cooperation Study.</v>
      </c>
      <c r="AM656" s="31" t="str">
        <f>IFERROR(__xludf.DUMMYFUNCTION("""COMPUTED_VALUE"""),"Pallesen, Lars P; Khomenko, Andrei; Dzialowski, Imanuel; Barlinn, Jessica; Barlinn, Kristian; Zerna, Charlotte; van der Hoeven, Erik Jrj; Algra, Ale; Kapelle, L Jaap; Michel, Patrik; Bodechtel, Ulf; Demchuk, Andrew M; Schonewille, Wouter; Puetz, Volker; ,")</f>
        <v>Pallesen, Lars P; Khomenko, Andrei; Dzialowski, Imanuel; Barlinn, Jessica; Barlinn, Kristian; Zerna, Charlotte; van der Hoeven, Erik Jrj; Algra, Ale; Kapelle, L Jaap; Michel, Patrik; Bodechtel, Ulf; Demchuk, Andrew M; Schonewille, Wouter; Puetz, Volker; ,</v>
      </c>
      <c r="AN656" s="32">
        <f>IFERROR(__xludf.DUMMYFUNCTION("""COMPUTED_VALUE"""),42646.0)</f>
        <v>42646</v>
      </c>
    </row>
    <row r="657">
      <c r="A657" s="32"/>
      <c r="I657" s="31" t="str">
        <f>IFERROR(__xludf.DUMMYFUNCTION("""COMPUTED_VALUE"""),"the american journal of bioethics ajob")</f>
        <v>the american journal of bioethics ajob</v>
      </c>
      <c r="J657" s="38">
        <f>COUNTIF(Data!$F$2:$F9917, $I657)</f>
        <v>7</v>
      </c>
      <c r="T657" s="31" t="s">
        <v>1590</v>
      </c>
      <c r="U657" s="31" t="s">
        <v>1591</v>
      </c>
      <c r="V657" s="32">
        <v>45231.0</v>
      </c>
      <c r="X657" s="31" t="str">
        <f>IFERROR(__xludf.DUMMYFUNCTION("""COMPUTED_VALUE"""),"No Evidence for an Association of HIV and Antiviral Treatment With Changes in Framingham Cardiovascular Risk Score in the Ndlovu Cohort Study.")</f>
        <v>No Evidence for an Association of HIV and Antiviral Treatment With Changes in Framingham Cardiovascular Risk Score in the Ndlovu Cohort Study.</v>
      </c>
      <c r="Y657" s="31" t="str">
        <f>IFERROR(__xludf.DUMMYFUNCTION("""COMPUTED_VALUE"""),"Verstraeten, Rita; Vos-Seda, Alinda G; Boateng, Daniel; Scheuermaier, Karine; Tempelman, Hugo; Barth, Roos E; Devillé, Walter; Coutinho, Roel A; Venter, Francois; Grobbee, Diederick E; Klipstein-Grobusch, Kerstin")</f>
        <v>Verstraeten, Rita; Vos-Seda, Alinda G; Boateng, Daniel; Scheuermaier, Karine; Tempelman, Hugo; Barth, Roos E; Devillé, Walter; Coutinho, Roel A; Venter, Francois; Grobbee, Diederick E; Klipstein-Grobusch, Kerstin</v>
      </c>
      <c r="Z657" s="31">
        <f>IFERROR(__xludf.DUMMYFUNCTION("""COMPUTED_VALUE"""),2024.0)</f>
        <v>2024</v>
      </c>
      <c r="AA657" s="31">
        <f>IFERROR(__xludf.DUMMYFUNCTION("""COMPUTED_VALUE"""),0.0)</f>
        <v>0</v>
      </c>
      <c r="AF657" s="31" t="str">
        <f>IFERROR(__xludf.DUMMYFUNCTION("""COMPUTED_VALUE"""),"Consent for governance in the ethical use of organoids.")</f>
        <v>Consent for governance in the ethical use of organoids.</v>
      </c>
      <c r="AG657" s="31" t="str">
        <f>IFERROR(__xludf.DUMMYFUNCTION("""COMPUTED_VALUE"""),"Boers, Sarah N; Bredenoord, Annelien L")</f>
        <v>Boers, Sarah N; Bredenoord, Annelien L</v>
      </c>
      <c r="AH657" s="32">
        <f>IFERROR(__xludf.DUMMYFUNCTION("""COMPUTED_VALUE"""),43252.0)</f>
        <v>43252</v>
      </c>
      <c r="AL657" s="31" t="str">
        <f>IFERROR(__xludf.DUMMYFUNCTION("""COMPUTED_VALUE"""),"Predictors of adherence to isoniazid preventive therapy in people living with HIV in Ethiopia.")</f>
        <v>Predictors of adherence to isoniazid preventive therapy in people living with HIV in Ethiopia.</v>
      </c>
      <c r="AM657" s="31" t="str">
        <f>IFERROR(__xludf.DUMMYFUNCTION("""COMPUTED_VALUE"""),"Ayele, H T; van Mourik, M S M; Bonten, M J M")</f>
        <v>Ayele, H T; van Mourik, M S M; Bonten, M J M</v>
      </c>
      <c r="AN657" s="32">
        <f>IFERROR(__xludf.DUMMYFUNCTION("""COMPUTED_VALUE"""),42644.0)</f>
        <v>42644</v>
      </c>
    </row>
    <row r="658">
      <c r="A658" s="32"/>
      <c r="I658" s="31" t="str">
        <f>IFERROR(__xludf.DUMMYFUNCTION("""COMPUTED_VALUE"""),"plos pathogens")</f>
        <v>plos pathogens</v>
      </c>
      <c r="J658" s="38">
        <f>COUNTIF(Data!$F$2:$F9917, $I658)</f>
        <v>2</v>
      </c>
      <c r="T658" s="31" t="s">
        <v>1595</v>
      </c>
      <c r="U658" s="31" t="s">
        <v>1596</v>
      </c>
      <c r="V658" s="32">
        <v>45231.0</v>
      </c>
      <c r="X658" s="31" t="str">
        <f>IFERROR(__xludf.DUMMYFUNCTION("""COMPUTED_VALUE"""),"Non-pharmacological interventions feasible in the nursing scope of practice for pain relief in palliative care patients: a systematic review.")</f>
        <v>Non-pharmacological interventions feasible in the nursing scope of practice for pain relief in palliative care patients: a systematic review.</v>
      </c>
      <c r="Y658" s="31" t="str">
        <f>IFERROR(__xludf.DUMMYFUNCTION("""COMPUTED_VALUE"""),"van Veen, Suzan; Drenth, Hans; Hobbelen, Hans; Finnema, Evelyn; Teunissen, Saskia; de Graaf, Everlien")</f>
        <v>van Veen, Suzan; Drenth, Hans; Hobbelen, Hans; Finnema, Evelyn; Teunissen, Saskia; de Graaf, Everlien</v>
      </c>
      <c r="Z658" s="31">
        <f>IFERROR(__xludf.DUMMYFUNCTION("""COMPUTED_VALUE"""),2024.0)</f>
        <v>2024</v>
      </c>
      <c r="AA658" s="31">
        <f>IFERROR(__xludf.DUMMYFUNCTION("""COMPUTED_VALUE"""),0.0)</f>
        <v>0</v>
      </c>
      <c r="AF658" s="31" t="str">
        <f>IFERROR(__xludf.DUMMYFUNCTION("""COMPUTED_VALUE"""),"Reasons for being in favour of or against genome modification: a survey of the Dutch general public.")</f>
        <v>Reasons for being in favour of or against genome modification: a survey of the Dutch general public.</v>
      </c>
      <c r="AG658" s="31" t="str">
        <f>IFERROR(__xludf.DUMMYFUNCTION("""COMPUTED_VALUE"""),"Hendriks, S; Giesbertz, N A A; Bredenoord, A L; Repping, S")</f>
        <v>Hendriks, S; Giesbertz, N A A; Bredenoord, A L; Repping, S</v>
      </c>
      <c r="AH658" s="32">
        <f>IFERROR(__xludf.DUMMYFUNCTION("""COMPUTED_VALUE"""),43236.0)</f>
        <v>43236</v>
      </c>
      <c r="AL658" s="31" t="str">
        <f>IFERROR(__xludf.DUMMYFUNCTION("""COMPUTED_VALUE"""),"Validation of Noninvasive In Vivo Compound Ultrasound Strain Imaging Using Histologic Plaque Vulnerability Features.")</f>
        <v>Validation of Noninvasive In Vivo Compound Ultrasound Strain Imaging Using Histologic Plaque Vulnerability Features.</v>
      </c>
      <c r="AM658" s="31" t="str">
        <f>IFERROR(__xludf.DUMMYFUNCTION("""COMPUTED_VALUE"""),"Hansen, Hendrik H G; de Borst, Gert Jan; Bots, Michiel L; Moll, Frans L; Pasterkamp, Gerard; de Korte, Chris L")</f>
        <v>Hansen, Hendrik H G; de Borst, Gert Jan; Bots, Michiel L; Moll, Frans L; Pasterkamp, Gerard; de Korte, Chris L</v>
      </c>
      <c r="AN658" s="32">
        <f>IFERROR(__xludf.DUMMYFUNCTION("""COMPUTED_VALUE"""),42642.0)</f>
        <v>42642</v>
      </c>
    </row>
    <row r="659">
      <c r="A659" s="32"/>
      <c r="I659" s="31" t="str">
        <f>IFERROR(__xludf.DUMMYFUNCTION("""COMPUTED_VALUE"""),"health science reports")</f>
        <v>health science reports</v>
      </c>
      <c r="J659" s="38">
        <f>COUNTIF(Data!$F$2:$F9917, $I659)</f>
        <v>1</v>
      </c>
      <c r="T659" s="31" t="s">
        <v>1599</v>
      </c>
      <c r="U659" s="31" t="s">
        <v>1600</v>
      </c>
      <c r="V659" s="32">
        <v>45231.0</v>
      </c>
      <c r="X659" s="31" t="str">
        <f>IFERROR(__xludf.DUMMYFUNCTION("""COMPUTED_VALUE"""),"Availability of evidence and comparative effectiveness for surgical versus drug interventions: an overview of systematic reviews and meta-analyses.")</f>
        <v>Availability of evidence and comparative effectiveness for surgical versus drug interventions: an overview of systematic reviews and meta-analyses.</v>
      </c>
      <c r="Y659" s="31" t="str">
        <f>IFERROR(__xludf.DUMMYFUNCTION("""COMPUTED_VALUE"""),"Zavalis, Emmanuel A; Rameau, Anaïs; Saraswathula, Anirudh; Vist, Joachim; Schuit, Ewoud; Ioannidis, John P")</f>
        <v>Zavalis, Emmanuel A; Rameau, Anaïs; Saraswathula, Anirudh; Vist, Joachim; Schuit, Ewoud; Ioannidis, John P</v>
      </c>
      <c r="Z659" s="31">
        <f>IFERROR(__xludf.DUMMYFUNCTION("""COMPUTED_VALUE"""),2024.0)</f>
        <v>2024</v>
      </c>
      <c r="AA659" s="31">
        <f>IFERROR(__xludf.DUMMYFUNCTION("""COMPUTED_VALUE"""),0.0)</f>
        <v>0</v>
      </c>
      <c r="AF659" s="31" t="str">
        <f>IFERROR(__xludf.DUMMYFUNCTION("""COMPUTED_VALUE"""),"[Sexual delinquency and surgical castration: a 'measure of last resort' in the Netherlands from 1920-1970].")</f>
        <v>[Sexual delinquency and surgical castration: a 'measure of last resort' in the Netherlands from 1920-1970].</v>
      </c>
      <c r="AG659" s="31" t="str">
        <f>IFERROR(__xludf.DUMMYFUNCTION("""COMPUTED_VALUE"""),"Bertens, Roland M")</f>
        <v>Bertens, Roland M</v>
      </c>
      <c r="AH659" s="32">
        <f>IFERROR(__xludf.DUMMYFUNCTION("""COMPUTED_VALUE"""),43234.0)</f>
        <v>43234</v>
      </c>
      <c r="AL659" s="31" t="str">
        <f>IFERROR(__xludf.DUMMYFUNCTION("""COMPUTED_VALUE"""),"Narrow Band Imaging, Magnifying Chromoendoscopy, and Gross Morphological Features for the Optical Diagnosis of T1 Colorectal Cancer and Deep Submucosal Invasion: A Systematic Review and Meta-Analysis.")</f>
        <v>Narrow Band Imaging, Magnifying Chromoendoscopy, and Gross Morphological Features for the Optical Diagnosis of T1 Colorectal Cancer and Deep Submucosal Invasion: A Systematic Review and Meta-Analysis.</v>
      </c>
      <c r="AM659" s="31" t="str">
        <f>IFERROR(__xludf.DUMMYFUNCTION("""COMPUTED_VALUE"""),"Backes, Y; Moss, A; Reitsma, J B; Siersema, P D; Moons, L M G")</f>
        <v>Backes, Y; Moss, A; Reitsma, J B; Siersema, P D; Moons, L M G</v>
      </c>
      <c r="AN659" s="32">
        <f>IFERROR(__xludf.DUMMYFUNCTION("""COMPUTED_VALUE"""),42633.0)</f>
        <v>42633</v>
      </c>
    </row>
    <row r="660">
      <c r="A660" s="32"/>
      <c r="I660" s="31" t="str">
        <f>IFERROR(__xludf.DUMMYFUNCTION("""COMPUTED_VALUE"""),"international urogynecology journal")</f>
        <v>international urogynecology journal</v>
      </c>
      <c r="J660" s="38">
        <f>COUNTIF(Data!$F$2:$F9917, $I660)</f>
        <v>1</v>
      </c>
      <c r="T660" s="31" t="s">
        <v>1603</v>
      </c>
      <c r="U660" s="31" t="s">
        <v>1604</v>
      </c>
      <c r="V660" s="32">
        <v>45230.0</v>
      </c>
      <c r="X660" s="31" t="str">
        <f>IFERROR(__xludf.DUMMYFUNCTION("""COMPUTED_VALUE"""),"A robust microbiome signature for autism spectrum disorder across different studies using machine learning.")</f>
        <v>A robust microbiome signature for autism spectrum disorder across different studies using machine learning.</v>
      </c>
      <c r="Y660" s="31" t="str">
        <f>IFERROR(__xludf.DUMMYFUNCTION("""COMPUTED_VALUE"""),"Peralta-Marzal, Lucia N; Rojas-Velazquez, David; Rigters, Douwe; Prince, Naika; Garssen, Johan; Kraneveld, Aletta D; Perez-Pardo, Paula; Lopez-Rincon, Alejandro")</f>
        <v>Peralta-Marzal, Lucia N; Rojas-Velazquez, David; Rigters, Douwe; Prince, Naika; Garssen, Johan; Kraneveld, Aletta D; Perez-Pardo, Paula; Lopez-Rincon, Alejandro</v>
      </c>
      <c r="Z660" s="31">
        <f>IFERROR(__xludf.DUMMYFUNCTION("""COMPUTED_VALUE"""),2024.0)</f>
        <v>2024</v>
      </c>
      <c r="AA660" s="31">
        <f>IFERROR(__xludf.DUMMYFUNCTION("""COMPUTED_VALUE"""),0.0)</f>
        <v>0</v>
      </c>
      <c r="AF660" s="31" t="str">
        <f>IFERROR(__xludf.DUMMYFUNCTION("""COMPUTED_VALUE"""),"Unexpected Cardiac Computed Tomography Findings in Patients With Postoperative Myocardial Injury.")</f>
        <v>Unexpected Cardiac Computed Tomography Findings in Patients With Postoperative Myocardial Injury.</v>
      </c>
      <c r="AG660" s="31" t="str">
        <f>IFERROR(__xludf.DUMMYFUNCTION("""COMPUTED_VALUE"""),"Grobben, Remco B; van Waes, Judith A R; Leiner, Tim; Peelen, Linda M; de Borst, Gert Jan; Vogely, Henri C; Grobbee, Diederick E; Doevendans, Pieter A; van Klei, Wilton A; Nathoe, Hendrik M; ,")</f>
        <v>Grobben, Remco B; van Waes, Judith A R; Leiner, Tim; Peelen, Linda M; de Borst, Gert Jan; Vogely, Henri C; Grobbee, Diederick E; Doevendans, Pieter A; van Klei, Wilton A; Nathoe, Hendrik M; ,</v>
      </c>
      <c r="AH660" s="32">
        <f>IFERROR(__xludf.DUMMYFUNCTION("""COMPUTED_VALUE"""),43221.0)</f>
        <v>43221</v>
      </c>
      <c r="AL660" s="31" t="str">
        <f>IFERROR(__xludf.DUMMYFUNCTION("""COMPUTED_VALUE"""),"Renal Denervation in a Real Life Setting: A Gradual Decrease in Home Blood Pressure.")</f>
        <v>Renal Denervation in a Real Life Setting: A Gradual Decrease in Home Blood Pressure.</v>
      </c>
      <c r="AM660" s="31" t="str">
        <f>IFERROR(__xludf.DUMMYFUNCTION("""COMPUTED_VALUE"""),"Beeftink, Martine M A; Spiering, Wilko; Bots, Michiel L; Verloop, Willemien L; De Jager, Rosa L; Sanders, Margreet F; Vonken, Evert-Jan; Blankestijn, Peter J; Voskuil, Michiel")</f>
        <v>Beeftink, Martine M A; Spiering, Wilko; Bots, Michiel L; Verloop, Willemien L; De Jager, Rosa L; Sanders, Margreet F; Vonken, Evert-Jan; Blankestijn, Peter J; Voskuil, Michiel</v>
      </c>
      <c r="AN660" s="32">
        <f>IFERROR(__xludf.DUMMYFUNCTION("""COMPUTED_VALUE"""),42628.0)</f>
        <v>42628</v>
      </c>
    </row>
    <row r="661">
      <c r="A661" s="32"/>
      <c r="I661" s="31" t="str">
        <f>IFERROR(__xludf.DUMMYFUNCTION("""COMPUTED_VALUE"""),"journal of thoracic oncology official publication of the international association for the study of lung cancer")</f>
        <v>journal of thoracic oncology official publication of the international association for the study of lung cancer</v>
      </c>
      <c r="J661" s="38">
        <f>COUNTIF(Data!$F$2:$F9917, $I661)</f>
        <v>1</v>
      </c>
      <c r="T661" s="31" t="s">
        <v>1607</v>
      </c>
      <c r="U661" s="31" t="s">
        <v>1608</v>
      </c>
      <c r="V661" s="32">
        <v>45230.0</v>
      </c>
      <c r="X661" s="31" t="str">
        <f>IFERROR(__xludf.DUMMYFUNCTION("""COMPUTED_VALUE"""),"A comparison of hyperparameter tuning procedures for clinical prediction models: A simulation study.")</f>
        <v>A comparison of hyperparameter tuning procedures for clinical prediction models: A simulation study.</v>
      </c>
      <c r="Y661" s="31" t="str">
        <f>IFERROR(__xludf.DUMMYFUNCTION("""COMPUTED_VALUE"""),"Dunias, Zoë S; Van Calster, Ben; Timmerman, Dirk; Boulesteix, Anne-Laure; van Smeden, Maarten")</f>
        <v>Dunias, Zoë S; Van Calster, Ben; Timmerman, Dirk; Boulesteix, Anne-Laure; van Smeden, Maarten</v>
      </c>
      <c r="Z661" s="31">
        <f>IFERROR(__xludf.DUMMYFUNCTION("""COMPUTED_VALUE"""),2024.0)</f>
        <v>2024</v>
      </c>
      <c r="AA661" s="31">
        <f>IFERROR(__xludf.DUMMYFUNCTION("""COMPUTED_VALUE"""),0.0)</f>
        <v>0</v>
      </c>
      <c r="AF661" s="31" t="str">
        <f>IFERROR(__xludf.DUMMYFUNCTION("""COMPUTED_VALUE"""),"Dietary patterns and type 2 diabetes among Ghanaian migrants in Europe and their compatriots in Ghana: the RODAM study.")</f>
        <v>Dietary patterns and type 2 diabetes among Ghanaian migrants in Europe and their compatriots in Ghana: the RODAM study.</v>
      </c>
      <c r="AG661" s="31" t="str">
        <f>IFERROR(__xludf.DUMMYFUNCTION("""COMPUTED_VALUE"""),"Galbete, Cecilia; Nicolaou, Mary; Meeks, Karlijn; Klipstein-Grobusch, Kerstin; de-Graft Aikins, Ama; Addo, Juliet; Amoah, Stephen K; Smeeth, Liam; Owusu-Dabo, Ellis; Spranger, Joachim; Agyemang, Charles; Mockenhaupt, Frank P; Beune, Erik; Stronks, Karien;"&amp;" Schulze, Matthias B; Danquah, Ina")</f>
        <v>Galbete, Cecilia; Nicolaou, Mary; Meeks, Karlijn; Klipstein-Grobusch, Kerstin; de-Graft Aikins, Ama; Addo, Juliet; Amoah, Stephen K; Smeeth, Liam; Owusu-Dabo, Ellis; Spranger, Joachim; Agyemang, Charles; Mockenhaupt, Frank P; Beune, Erik; Stronks, Karien; Schulze, Matthias B; Danquah, Ina</v>
      </c>
      <c r="AH661" s="32">
        <f>IFERROR(__xludf.DUMMYFUNCTION("""COMPUTED_VALUE"""),43215.0)</f>
        <v>43215</v>
      </c>
      <c r="AL661" s="31" t="str">
        <f>IFERROR(__xludf.DUMMYFUNCTION("""COMPUTED_VALUE"""),"Whole-Genome Multilocus Sequence Typing of Extended-Spectrum-Beta-Lactamase-Producing Enterobacteriaceae.")</f>
        <v>Whole-Genome Multilocus Sequence Typing of Extended-Spectrum-Beta-Lactamase-Producing Enterobacteriaceae.</v>
      </c>
      <c r="AM661" s="31" t="str">
        <f>IFERROR(__xludf.DUMMYFUNCTION("""COMPUTED_VALUE"""),"Kluytmans-van den Bergh, Marjolein F Q; Rossen, John W A; Bruijning-Verhagen, Patricia C J; Bonten, Marc J M; Friedrich, Alexander W; Vandenbroucke-Grauls, Christina M J E; Willems, Rob J L; Kluytmans, Jan A J W")</f>
        <v>Kluytmans-van den Bergh, Marjolein F Q; Rossen, John W A; Bruijning-Verhagen, Patricia C J; Bonten, Marc J M; Friedrich, Alexander W; Vandenbroucke-Grauls, Christina M J E; Willems, Rob J L; Kluytmans, Jan A J W</v>
      </c>
      <c r="AN661" s="32">
        <f>IFERROR(__xludf.DUMMYFUNCTION("""COMPUTED_VALUE"""),42627.0)</f>
        <v>42627</v>
      </c>
    </row>
    <row r="662">
      <c r="A662" s="32"/>
      <c r="I662" s="31" t="str">
        <f>IFERROR(__xludf.DUMMYFUNCTION("""COMPUTED_VALUE"""),"journal of nephrology")</f>
        <v>journal of nephrology</v>
      </c>
      <c r="J662" s="38">
        <f>COUNTIF(Data!$F$2:$F9917, $I662)</f>
        <v>2</v>
      </c>
      <c r="T662" s="31" t="s">
        <v>1612</v>
      </c>
      <c r="U662" s="31" t="s">
        <v>1613</v>
      </c>
      <c r="V662" s="32">
        <v>45226.0</v>
      </c>
      <c r="X662" s="31" t="str">
        <f>IFERROR(__xludf.DUMMYFUNCTION("""COMPUTED_VALUE"""),"Correction: COVID-19 Vaccine-Induced Myocarditis and Pericarditis: Towards Identification of Risk Factors.")</f>
        <v>Correction: COVID-19 Vaccine-Induced Myocarditis and Pericarditis: Towards Identification of Risk Factors.</v>
      </c>
      <c r="Y662" s="31" t="str">
        <f>IFERROR(__xludf.DUMMYFUNCTION("""COMPUTED_VALUE"""),"Zwiers, Laura C; Ong, David S Y; Grobbee, Diederick E")</f>
        <v>Zwiers, Laura C; Ong, David S Y; Grobbee, Diederick E</v>
      </c>
      <c r="Z662" s="31">
        <f>IFERROR(__xludf.DUMMYFUNCTION("""COMPUTED_VALUE"""),2024.0)</f>
        <v>2024</v>
      </c>
      <c r="AA662" s="31">
        <f>IFERROR(__xludf.DUMMYFUNCTION("""COMPUTED_VALUE"""),0.0)</f>
        <v>0</v>
      </c>
      <c r="AF662" s="31" t="str">
        <f>IFERROR(__xludf.DUMMYFUNCTION("""COMPUTED_VALUE"""),"Automatic quantification of calcifications in the coronary arteries and thoracic aorta on radiotherapy planning CT scans of Western and Asian breast cancer patients.")</f>
        <v>Automatic quantification of calcifications in the coronary arteries and thoracic aorta on radiotherapy planning CT scans of Western and Asian breast cancer patients.</v>
      </c>
      <c r="AG662" s="31" t="str">
        <f>IFERROR(__xludf.DUMMYFUNCTION("""COMPUTED_VALUE"""),"Gernaat, Sofie A M; van Velzen, Sanne G M; Koh, Vicky; Emaus, Marleen J; Išgum, Ivana; Lessmann, Nikolas; Moes, Shinta; Jacobson, Anouk; Tan, Poey W; Grobbee, Diederick E; van den Bongard, Desiree H J; Tang, Johann I; Verkooijen, Helena M")</f>
        <v>Gernaat, Sofie A M; van Velzen, Sanne G M; Koh, Vicky; Emaus, Marleen J; Išgum, Ivana; Lessmann, Nikolas; Moes, Shinta; Jacobson, Anouk; Tan, Poey W; Grobbee, Diederick E; van den Bongard, Desiree H J; Tang, Johann I; Verkooijen, Helena M</v>
      </c>
      <c r="AH662" s="32">
        <f>IFERROR(__xludf.DUMMYFUNCTION("""COMPUTED_VALUE"""),43214.0)</f>
        <v>43214</v>
      </c>
      <c r="AL662" s="31" t="str">
        <f>IFERROR(__xludf.DUMMYFUNCTION("""COMPUTED_VALUE"""),"Premature trial discontinuation often not accurately reflected in registries: comparison of registry records with publications.")</f>
        <v>Premature trial discontinuation often not accurately reflected in registries: comparison of registry records with publications.</v>
      </c>
      <c r="AM662" s="31" t="str">
        <f>IFERROR(__xludf.DUMMYFUNCTION("""COMPUTED_VALUE"""),"Alturki, Reem; Schandelmaier, Stefan; Olu, Kelechi Kalu; von Niederhäusern, Belinda; Agarwal, Arnav; Frei, Roy; Bhatnagar, Neera; Hooft, Lotty; von Elm, Erik; Briel, Matthias")</f>
        <v>Alturki, Reem; Schandelmaier, Stefan; Olu, Kelechi Kalu; von Niederhäusern, Belinda; Agarwal, Arnav; Frei, Roy; Bhatnagar, Neera; Hooft, Lotty; von Elm, Erik; Briel, Matthias</v>
      </c>
      <c r="AN662" s="32">
        <f>IFERROR(__xludf.DUMMYFUNCTION("""COMPUTED_VALUE"""),42621.0)</f>
        <v>42621</v>
      </c>
    </row>
    <row r="663">
      <c r="A663" s="32"/>
      <c r="I663" s="31" t="str">
        <f>IFERROR(__xludf.DUMMYFUNCTION("""COMPUTED_VALUE"""),"therapeutic advances in gastroenterology")</f>
        <v>therapeutic advances in gastroenterology</v>
      </c>
      <c r="J663" s="38">
        <f>COUNTIF(Data!$F$2:$F9917, $I663)</f>
        <v>1</v>
      </c>
      <c r="T663" s="31" t="s">
        <v>1617</v>
      </c>
      <c r="U663" s="31" t="s">
        <v>1618</v>
      </c>
      <c r="V663" s="32">
        <v>45226.0</v>
      </c>
      <c r="X663" s="31" t="str">
        <f>IFERROR(__xludf.DUMMYFUNCTION("""COMPUTED_VALUE"""),"Identifying factors in the provision of intravenous stroke thrombolysis in Malaysia: a multiple case study from the healthcare providers' perspective.")</f>
        <v>Identifying factors in the provision of intravenous stroke thrombolysis in Malaysia: a multiple case study from the healthcare providers' perspective.</v>
      </c>
      <c r="Y663" s="31" t="str">
        <f>IFERROR(__xludf.DUMMYFUNCTION("""COMPUTED_VALUE"""),"Hwong, Wen Yea; Ng, Sock Wen; Tong, Seng Fah; Ab Rahman, Norazida; Law, Wan Chung; Wong, Sing Keat; Puvanarajah, Santhi Datuk; Mohd Norzi, Aisyah; Lian, Fiona Suling; Sivasampu, Sheamini")</f>
        <v>Hwong, Wen Yea; Ng, Sock Wen; Tong, Seng Fah; Ab Rahman, Norazida; Law, Wan Chung; Wong, Sing Keat; Puvanarajah, Santhi Datuk; Mohd Norzi, Aisyah; Lian, Fiona Suling; Sivasampu, Sheamini</v>
      </c>
      <c r="Z663" s="31">
        <f>IFERROR(__xludf.DUMMYFUNCTION("""COMPUTED_VALUE"""),2024.0)</f>
        <v>2024</v>
      </c>
      <c r="AA663" s="31">
        <f>IFERROR(__xludf.DUMMYFUNCTION("""COMPUTED_VALUE"""),0.0)</f>
        <v>0</v>
      </c>
      <c r="AF663" s="31" t="str">
        <f>IFERROR(__xludf.DUMMYFUNCTION("""COMPUTED_VALUE"""),"Big data from electronic health records for early and late translational cardiovascular research: challenges and potential.")</f>
        <v>Big data from electronic health records for early and late translational cardiovascular research: challenges and potential.</v>
      </c>
      <c r="AG663" s="31" t="str">
        <f>IFERROR(__xludf.DUMMYFUNCTION("""COMPUTED_VALUE"""),"Hemingway, Harry; Asselbergs, Folkert W; Danesh, John; Dobson, Richard; Maniadakis, Nikolaos; Maggioni, Aldo; van Thiel, Ghislaine J M; Cronin, Maureen; Brobert, Gunnar; Vardas, Panos; Anker, Stefan D; Grobbee, Diederick E; Denaxas, Spiros; ,")</f>
        <v>Hemingway, Harry; Asselbergs, Folkert W; Danesh, John; Dobson, Richard; Maniadakis, Nikolaos; Maggioni, Aldo; van Thiel, Ghislaine J M; Cronin, Maureen; Brobert, Gunnar; Vardas, Panos; Anker, Stefan D; Grobbee, Diederick E; Denaxas, Spiros; ,</v>
      </c>
      <c r="AH663" s="32">
        <f>IFERROR(__xludf.DUMMYFUNCTION("""COMPUTED_VALUE"""),43211.0)</f>
        <v>43211</v>
      </c>
      <c r="AL663" s="31" t="str">
        <f>IFERROR(__xludf.DUMMYFUNCTION("""COMPUTED_VALUE"""),"Recurrent hemorrhage risk and mortality in hereditary and sporadic cerebral amyloid angiopathy.")</f>
        <v>Recurrent hemorrhage risk and mortality in hereditary and sporadic cerebral amyloid angiopathy.</v>
      </c>
      <c r="AM663" s="31" t="str">
        <f>IFERROR(__xludf.DUMMYFUNCTION("""COMPUTED_VALUE"""),"van Etten, Ellis S; Gurol, M Edip; van der Grond, Jeroen; Haan, Joost; Viswanathan, Anand; Schwab, Kristin M; Ayres, Alison M; Algra, Ale; Rosand, Jonathan; van Buchem, Mark A; Terwindt, Gisela M; Greenberg, Steven M; Wermer, Marieke J H")</f>
        <v>van Etten, Ellis S; Gurol, M Edip; van der Grond, Jeroen; Haan, Joost; Viswanathan, Anand; Schwab, Kristin M; Ayres, Alison M; Algra, Ale; Rosand, Jonathan; van Buchem, Mark A; Terwindt, Gisela M; Greenberg, Steven M; Wermer, Marieke J H</v>
      </c>
      <c r="AN663" s="32">
        <f>IFERROR(__xludf.DUMMYFUNCTION("""COMPUTED_VALUE"""),42615.0)</f>
        <v>42615</v>
      </c>
    </row>
    <row r="664">
      <c r="A664" s="32"/>
      <c r="I664" s="31" t="str">
        <f>IFERROR(__xludf.DUMMYFUNCTION("""COMPUTED_VALUE"""),"nursing outlook")</f>
        <v>nursing outlook</v>
      </c>
      <c r="J664" s="38">
        <f>COUNTIF(Data!$F$2:$F9917, $I664)</f>
        <v>1</v>
      </c>
      <c r="T664" s="31" t="s">
        <v>1622</v>
      </c>
      <c r="U664" s="31" t="s">
        <v>1623</v>
      </c>
      <c r="V664" s="32">
        <v>45226.0</v>
      </c>
      <c r="X664" s="31" t="str">
        <f>IFERROR(__xludf.DUMMYFUNCTION("""COMPUTED_VALUE"""),"Smoking threats beyond being a smoker: a burden on children and adolescents' healthy living.")</f>
        <v>Smoking threats beyond being a smoker: a burden on children and adolescents' healthy living.</v>
      </c>
      <c r="Y664" s="31" t="str">
        <f>IFERROR(__xludf.DUMMYFUNCTION("""COMPUTED_VALUE"""),"Artola Arita, Vicente; Trujillo-Cáceres, Silvia Juliana; Menassa, Marilyne")</f>
        <v>Artola Arita, Vicente; Trujillo-Cáceres, Silvia Juliana; Menassa, Marilyne</v>
      </c>
      <c r="Z664" s="31">
        <f>IFERROR(__xludf.DUMMYFUNCTION("""COMPUTED_VALUE"""),2024.0)</f>
        <v>2024</v>
      </c>
      <c r="AA664" s="31">
        <f>IFERROR(__xludf.DUMMYFUNCTION("""COMPUTED_VALUE"""),0.0)</f>
        <v>0</v>
      </c>
      <c r="AF664" s="31" t="str">
        <f>IFERROR(__xludf.DUMMYFUNCTION("""COMPUTED_VALUE"""),"Ideal cardiovascular health among Ghanaian populations in three European countries and rural and urban Ghana: the RODAM study.")</f>
        <v>Ideal cardiovascular health among Ghanaian populations in three European countries and rural and urban Ghana: the RODAM study.</v>
      </c>
      <c r="AG664" s="31" t="str">
        <f>IFERROR(__xludf.DUMMYFUNCTION("""COMPUTED_VALUE"""),"van Nieuwenhuizen, Benjamin; Zafarmand, Mohammad Hadi; Beune, Erik; Meeks, Karlijn; Aikins, Ama de-Graft; Addo, Juliet; Owusu-Dabo, Ellis; Mockenhaupt, Frank P; Bahendeka, Silver; Schulze, Matthias B; Danquah, Ina; Spranger, Joachim; Klipstein-Grobusch, K"&amp;"erstin; Appiah, Lambert Tetteh; Smeeth, Liam; Stronks, Karien; Agyemang, Charles")</f>
        <v>van Nieuwenhuizen, Benjamin; Zafarmand, Mohammad Hadi; Beune, Erik; Meeks, Karlijn; Aikins, Ama de-Graft; Addo, Juliet; Owusu-Dabo, Ellis; Mockenhaupt, Frank P; Bahendeka, Silver; Schulze, Matthias B; Danquah, Ina; Spranger, Joachim; Klipstein-Grobusch, Kerstin; Appiah, Lambert Tetteh; Smeeth, Liam; Stronks, Karien; Agyemang, Charles</v>
      </c>
      <c r="AH664" s="32">
        <f>IFERROR(__xludf.DUMMYFUNCTION("""COMPUTED_VALUE"""),43207.0)</f>
        <v>43207</v>
      </c>
      <c r="AL664" s="31" t="str">
        <f>IFERROR(__xludf.DUMMYFUNCTION("""COMPUTED_VALUE"""),"Neurologic Examination at 24 to 48 Hours Predicts Functional Outcomes in Basilar Artery Occlusion Stroke.")</f>
        <v>Neurologic Examination at 24 to 48 Hours Predicts Functional Outcomes in Basilar Artery Occlusion Stroke.</v>
      </c>
      <c r="AM664" s="31" t="str">
        <f>IFERROR(__xludf.DUMMYFUNCTION("""COMPUTED_VALUE"""),"Rangaraju, Srikant; Jovin, Tudor G; Frankel, Michael; Schonewille, Wouter J; Algra, Ale; Kappelle, L Jaap; Nogueira, Raul G; ,")</f>
        <v>Rangaraju, Srikant; Jovin, Tudor G; Frankel, Michael; Schonewille, Wouter J; Algra, Ale; Kappelle, L Jaap; Nogueira, Raul G; ,</v>
      </c>
      <c r="AN664" s="32">
        <f>IFERROR(__xludf.DUMMYFUNCTION("""COMPUTED_VALUE"""),42614.0)</f>
        <v>42614</v>
      </c>
    </row>
    <row r="665">
      <c r="A665" s="32"/>
      <c r="I665" s="31" t="str">
        <f>IFERROR(__xludf.DUMMYFUNCTION("""COMPUTED_VALUE"""),"blood cancer journal")</f>
        <v>blood cancer journal</v>
      </c>
      <c r="J665" s="38">
        <f>COUNTIF(Data!$F$2:$F9917, $I665)</f>
        <v>1</v>
      </c>
      <c r="T665" s="31" t="s">
        <v>1626</v>
      </c>
      <c r="U665" s="31" t="s">
        <v>1627</v>
      </c>
      <c r="V665" s="32">
        <v>45226.0</v>
      </c>
      <c r="X665" s="31" t="str">
        <f>IFERROR(__xludf.DUMMYFUNCTION("""COMPUTED_VALUE"""),"Comparing Discrete Choice Experiment with Swing Weighting to Estimate Attribute Relative Importance: A Case Study in Lung Cancer Patient Preferences.")</f>
        <v>Comparing Discrete Choice Experiment with Swing Weighting to Estimate Attribute Relative Importance: A Case Study in Lung Cancer Patient Preferences.</v>
      </c>
      <c r="Y665" s="31" t="str">
        <f>IFERROR(__xludf.DUMMYFUNCTION("""COMPUTED_VALUE"""),"Veldwijk, J; Smith, I P; Oliveri, S; Petrocchi, S; Smith, M Y; Lanzoni, L; Janssens, R; Huys, I; de Wit, G A; Groothuis-Oudshoorn, C G M")</f>
        <v>Veldwijk, J; Smith, I P; Oliveri, S; Petrocchi, S; Smith, M Y; Lanzoni, L; Janssens, R; Huys, I; de Wit, G A; Groothuis-Oudshoorn, C G M</v>
      </c>
      <c r="Z665" s="31">
        <f>IFERROR(__xludf.DUMMYFUNCTION("""COMPUTED_VALUE"""),2024.0)</f>
        <v>2024</v>
      </c>
      <c r="AA665" s="31">
        <f>IFERROR(__xludf.DUMMYFUNCTION("""COMPUTED_VALUE"""),0.0)</f>
        <v>0</v>
      </c>
      <c r="AF665" s="31" t="str">
        <f>IFERROR(__xludf.DUMMYFUNCTION("""COMPUTED_VALUE"""),"2017 Update of ESC/EAS Task Force on practical clinical guidance for proprotein convertase subtilisin/kexin type 9 inhibition in patients with atherosclerotic cardiovascular disease or in familial hypercholesterolaemia.")</f>
        <v>2017 Update of ESC/EAS Task Force on practical clinical guidance for proprotein convertase subtilisin/kexin type 9 inhibition in patients with atherosclerotic cardiovascular disease or in familial hypercholesterolaemia.</v>
      </c>
      <c r="AG665" s="31" t="str">
        <f>IFERROR(__xludf.DUMMYFUNCTION("""COMPUTED_VALUE"""),"Landmesser, Ulf; Chapman, M John; Stock, Jane K; Amarenco, Pierre; Belch, Jill J F; Borén, Jan; Farnier, Michel; Ference, Brian A; Gielen, Stephan; Graham, Ian; Grobbee, Diederick E; Hovingh, G Kees; Lüscher, Thomas F; Piepoli, Massimo F; Ray, Kausik K; S"&amp;"troes, Erik S; Wiklund, Olov; Windecker, Stephan; Zamorano, Jose Luis; Pinto, Fausto; Tokgözoglu, Lale; Bax, Jeroen J; Catapano, Alberico L")</f>
        <v>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v>
      </c>
      <c r="AH665" s="32">
        <f>IFERROR(__xludf.DUMMYFUNCTION("""COMPUTED_VALUE"""),43197.0)</f>
        <v>43197</v>
      </c>
      <c r="AL665" s="31" t="str">
        <f>IFERROR(__xludf.DUMMYFUNCTION("""COMPUTED_VALUE"""),"Comparing Three Different Techniques for Magnetic Resonance Imaging-targeted Prostate Biopsies: A Systematic Review of In-bore versus Magnetic Resonance Imaging-transrectal Ultrasound fusion versus Cognitive Registration. Is There a Preferred Technique?")</f>
        <v>Comparing Three Different Techniques for Magnetic Resonance Imaging-targeted Prostate Biopsies: A Systematic Review of In-bore versus Magnetic Resonance Imaging-transrectal Ultrasound fusion versus Cognitive Registration. Is There a Preferred Technique?</v>
      </c>
      <c r="AM665" s="31" t="str">
        <f>IFERROR(__xludf.DUMMYFUNCTION("""COMPUTED_VALUE"""),"Wegelin, Olivier; van Melick, Harm H E; Hooft, Lotty; Bosch, J L H Ruud; Reitsma, Hans B; Barentsz, Jelle O; Somford, Diederik M")</f>
        <v>Wegelin, Olivier; van Melick, Harm H E; Hooft, Lotty; Bosch, J L H Ruud; Reitsma, Hans B; Barentsz, Jelle O; Somford, Diederik M</v>
      </c>
      <c r="AN665" s="32">
        <f>IFERROR(__xludf.DUMMYFUNCTION("""COMPUTED_VALUE"""),42607.0)</f>
        <v>42607</v>
      </c>
    </row>
    <row r="666">
      <c r="A666" s="32"/>
      <c r="I666" s="31" t="str">
        <f>IFERROR(__xludf.DUMMYFUNCTION("""COMPUTED_VALUE"""),"resources policy")</f>
        <v>resources policy</v>
      </c>
      <c r="J666" s="38">
        <f>COUNTIF(Data!$F$2:$F9917, $I666)</f>
        <v>1</v>
      </c>
      <c r="T666" s="31" t="s">
        <v>1631</v>
      </c>
      <c r="U666" s="31" t="s">
        <v>1632</v>
      </c>
      <c r="V666" s="32">
        <v>45225.0</v>
      </c>
      <c r="X666" s="31" t="str">
        <f>IFERROR(__xludf.DUMMYFUNCTION("""COMPUTED_VALUE"""),"RELEASE-HF study: a protocol for an observational, registry-based study on the effectiveness of telemedicine in heart failure in the Netherlands.")</f>
        <v>RELEASE-HF study: a protocol for an observational, registry-based study on the effectiveness of telemedicine in heart failure in the Netherlands.</v>
      </c>
      <c r="Y666" s="31" t="str">
        <f>IFERROR(__xludf.DUMMYFUNCTION("""COMPUTED_VALUE"""),"van Eijk, Jorna; Luijken, Kim; Jaarsma, Tiny; Reitsma, Johannes B; Schuit, Ewoud; Frederix, Geert W J; Derks, Lineke; Schaap, Jeroen; Rutten, Frans H; Brugts, Jasper; de Boer, Rudolf A; Asselbergs, Folkert W; Trappenburg, Jaap C A; ,")</f>
        <v>van Eijk, Jorna; Luijken, Kim; Jaarsma, Tiny; Reitsma, Johannes B; Schuit, Ewoud; Frederix, Geert W J; Derks, Lineke; Schaap, Jeroen; Rutten, Frans H; Brugts, Jasper; de Boer, Rudolf A; Asselbergs, Folkert W; Trappenburg, Jaap C A; ,</v>
      </c>
      <c r="Z666" s="31">
        <f>IFERROR(__xludf.DUMMYFUNCTION("""COMPUTED_VALUE"""),2024.0)</f>
        <v>2024</v>
      </c>
      <c r="AA666" s="31">
        <f>IFERROR(__xludf.DUMMYFUNCTION("""COMPUTED_VALUE"""),0.0)</f>
        <v>0</v>
      </c>
      <c r="AF666" s="31" t="str">
        <f>IFERROR(__xludf.DUMMYFUNCTION("""COMPUTED_VALUE"""),"Improved prediction of gestational hypertension by inclusion of placental growth factor and pregnancy associated plasma protein-a in a sample of Ghanaian women.")</f>
        <v>Improved prediction of gestational hypertension by inclusion of placental growth factor and pregnancy associated plasma protein-a in a sample of Ghanaian women.</v>
      </c>
      <c r="AG666" s="31" t="str">
        <f>IFERROR(__xludf.DUMMYFUNCTION("""COMPUTED_VALUE"""),"Antwi, Edward; Klipstein-Grobusch, Kerstin; Browne, Joyce L; Schielen, Peter C; Koram, Kwadwo A; Agyepong, Irene A; Grobbee, Diederick E")</f>
        <v>Antwi, Edward; Klipstein-Grobusch, Kerstin; Browne, Joyce L; Schielen, Peter C; Koram, Kwadwo A; Agyepong, Irene A; Grobbee, Diederick E</v>
      </c>
      <c r="AH666" s="32">
        <f>IFERROR(__xludf.DUMMYFUNCTION("""COMPUTED_VALUE"""),43186.0)</f>
        <v>43186</v>
      </c>
      <c r="AL666" s="31" t="str">
        <f>IFERROR(__xludf.DUMMYFUNCTION("""COMPUTED_VALUE"""),"Use of a Dose-Response Model to Study Temporal Trends in Spatial Exposure to Coxiella burnetii: Analysis of a Multiyear Outbreak of Q Fever.")</f>
        <v>Use of a Dose-Response Model to Study Temporal Trends in Spatial Exposure to Coxiella burnetii: Analysis of a Multiyear Outbreak of Q Fever.</v>
      </c>
      <c r="AM666" s="31" t="str">
        <f>IFERROR(__xludf.DUMMYFUNCTION("""COMPUTED_VALUE"""),"Brooke, R J; Teunis, P F M; Kretzschmar, M E E; Wielders, C C H; Schneeberger, P M; Waller, L A")</f>
        <v>Brooke, R J; Teunis, P F M; Kretzschmar, M E E; Wielders, C C H; Schneeberger, P M; Waller, L A</v>
      </c>
      <c r="AN666" s="32">
        <f>IFERROR(__xludf.DUMMYFUNCTION("""COMPUTED_VALUE"""),42605.0)</f>
        <v>42605</v>
      </c>
    </row>
    <row r="667">
      <c r="A667" s="32"/>
      <c r="I667" s="31" t="str">
        <f>IFERROR(__xludf.DUMMYFUNCTION("""COMPUTED_VALUE"""),"cells")</f>
        <v>cells</v>
      </c>
      <c r="J667" s="38">
        <f>COUNTIF(Data!$F$2:$F9917, $I667)</f>
        <v>2</v>
      </c>
      <c r="T667" s="31" t="s">
        <v>1635</v>
      </c>
      <c r="U667" s="31" t="s">
        <v>1636</v>
      </c>
      <c r="V667" s="32">
        <v>45225.0</v>
      </c>
      <c r="X667" s="31" t="str">
        <f>IFERROR(__xludf.DUMMYFUNCTION("""COMPUTED_VALUE"""),"Shared decision-making in pediatric palliative care in the Netherlands.")</f>
        <v>Shared decision-making in pediatric palliative care in the Netherlands.</v>
      </c>
      <c r="Y667" s="31" t="str">
        <f>IFERROR(__xludf.DUMMYFUNCTION("""COMPUTED_VALUE"""),"Em, Michiels; Cy, Joren; Mc, Kars; Jl, Aris; Aae, Verhagen")</f>
        <v>Em, Michiels; Cy, Joren; Mc, Kars; Jl, Aris; Aae, Verhagen</v>
      </c>
      <c r="Z667" s="31">
        <f>IFERROR(__xludf.DUMMYFUNCTION("""COMPUTED_VALUE"""),2024.0)</f>
        <v>2024</v>
      </c>
      <c r="AA667" s="31">
        <f>IFERROR(__xludf.DUMMYFUNCTION("""COMPUTED_VALUE"""),0.0)</f>
        <v>0</v>
      </c>
      <c r="AF667" s="31" t="str">
        <f>IFERROR(__xludf.DUMMYFUNCTION("""COMPUTED_VALUE"""),"Health literacy among older adults is associated with their 10-years' cognitive functioning and decline - the Doetinchem Cohort Study.")</f>
        <v>Health literacy among older adults is associated with their 10-years' cognitive functioning and decline - the Doetinchem Cohort Study.</v>
      </c>
      <c r="AG667" s="31" t="str">
        <f>IFERROR(__xludf.DUMMYFUNCTION("""COMPUTED_VALUE"""),"Geboers, Bas; Uiters, Ellen; Reijneveld, Sijmen A; Jansen, Carel J M; Almansa, Josué; Nooyens, Astrid C J; Verschuren, W M Monique; de Winter, Andrea F; Picavet, H Susan J")</f>
        <v>Geboers, Bas; Uiters, Ellen; Reijneveld, Sijmen A; Jansen, Carel J M; Almansa, Josué; Nooyens, Astrid C J; Verschuren, W M Monique; de Winter, Andrea F; Picavet, H Susan J</v>
      </c>
      <c r="AH667" s="32">
        <f>IFERROR(__xludf.DUMMYFUNCTION("""COMPUTED_VALUE"""),43179.0)</f>
        <v>43179</v>
      </c>
      <c r="AL667" s="31" t="str">
        <f>IFERROR(__xludf.DUMMYFUNCTION("""COMPUTED_VALUE"""),"Author's reply to Woodward.")</f>
        <v>Author's reply to Woodward.</v>
      </c>
      <c r="AM667" s="31" t="str">
        <f>IFERROR(__xludf.DUMMYFUNCTION("""COMPUTED_VALUE"""),"Damen, Johanna A A G")</f>
        <v>Damen, Johanna A A G</v>
      </c>
      <c r="AN667" s="32">
        <f>IFERROR(__xludf.DUMMYFUNCTION("""COMPUTED_VALUE"""),42598.0)</f>
        <v>42598</v>
      </c>
    </row>
    <row r="668">
      <c r="A668" s="32"/>
      <c r="I668" s="31" t="str">
        <f>IFERROR(__xludf.DUMMYFUNCTION("""COMPUTED_VALUE"""),"medical devices auckland nz")</f>
        <v>medical devices auckland nz</v>
      </c>
      <c r="J668" s="38">
        <f>COUNTIF(Data!$F$2:$F9917, $I668)</f>
        <v>1</v>
      </c>
      <c r="T668" s="31" t="s">
        <v>1640</v>
      </c>
      <c r="U668" s="31" t="s">
        <v>1641</v>
      </c>
      <c r="V668" s="32">
        <v>45225.0</v>
      </c>
      <c r="X668" s="31" t="str">
        <f>IFERROR(__xludf.DUMMYFUNCTION("""COMPUTED_VALUE"""),"Impact of wearable wireless continuous vital sign monitoring in abdominal surgical patients: before-after study.")</f>
        <v>Impact of wearable wireless continuous vital sign monitoring in abdominal surgical patients: before-after study.</v>
      </c>
      <c r="Y668" s="31" t="str">
        <f>IFERROR(__xludf.DUMMYFUNCTION("""COMPUTED_VALUE"""),"Leenen, Jobbe P L; Ardesch, Vera; Kalkman, Cor J; Schoonhoven, Lisette; Patijn, Gijs A")</f>
        <v>Leenen, Jobbe P L; Ardesch, Vera; Kalkman, Cor J; Schoonhoven, Lisette; Patijn, Gijs A</v>
      </c>
      <c r="Z668" s="31">
        <f>IFERROR(__xludf.DUMMYFUNCTION("""COMPUTED_VALUE"""),2024.0)</f>
        <v>2024</v>
      </c>
      <c r="AA668" s="31">
        <f>IFERROR(__xludf.DUMMYFUNCTION("""COMPUTED_VALUE"""),0.0)</f>
        <v>0</v>
      </c>
      <c r="AF668" s="31" t="str">
        <f>IFERROR(__xludf.DUMMYFUNCTION("""COMPUTED_VALUE"""),"Circulating Fetuin-A and Risk of Type 2 Diabetes: A Mendelian Randomization Analysis.")</f>
        <v>Circulating Fetuin-A and Risk of Type 2 Diabetes: A Mendelian Randomization Analysis.</v>
      </c>
      <c r="AG668" s="31" t="str">
        <f>IFERROR(__xludf.DUMMYFUNCTION("""COMPUTED_VALUE"""),"Kröger, Janine; Meidtner, Karina; Stefan, Norbert; Guevara, Marcela; Kerrison, Nicola D; Ardanaz, Eva; Aune, Dagfinn; Boeing, Heiner; Dorronsoro, Miren; Dow, Courtney; Fagherazzi, Guy; Franks, Paul W; Freisling, Heinz; Gunter, Marc J; Huerta, José María; "&amp;"Kaaks, Rudolf; Key, Timothy J; Khaw, Kay Tee; Krogh, Vittorio; Kühn, Tilman; Mancini, Francesca Romana; Mattiello, Amalia; Nilsson, Peter M; Olsen, Anja; Overvad, Kim; Palli, Domenico; Quirós, J Ramón; Rolandsson, Olov; Sacerdote, Carlotta; Sala, Núria; S"&amp;"alamanca-Fernández, Elena; Sluijs, Ivonne; Spijkerman, Annemieke M W; Tjonneland, Anne; Tsilidis, Konstantinos K; Tumino, Rosario; van der Schouw, Yvonne T; Forouhi, Nita G; Sharp, Stephen J; Langenberg, Claudia; Riboli, Elio; Schulze, Matthias B; Wareham"&amp;", Nicholas J")</f>
        <v>Kröger, Janine; Meidtner, Karina; Stefan, Norbert; Guevara, Marcela; Kerrison, Nicola D; Ardanaz, Eva; Aune, Dagfinn; Boeing, Heiner; Dorronsoro, Miren; Dow, Courtney; Fagherazzi, Guy; Franks, Paul W; Freisling, Heinz; Gunter, Marc J; Huerta, José María; Kaaks, Rudolf; Key, Timothy J; Khaw, Kay Tee; Krogh, Vittorio; Kühn, Tilman; Mancini, Francesca Romana; Mattiello, Amalia; Nilsson, Peter M; Olsen, Anja; Overvad, Kim; Palli, Domenico; Quirós, J Ramón; Rolandsson, Olov; Sacerdote, Carlotta; Sala, Núria; Salamanca-Fernández, Elena; Sluijs, Ivonne; Spijkerman, Annemieke M W; Tjonneland, Anne; Tsilidis, Konstantinos K; Tumino, Rosario; van der Schouw, Yvonne T; Forouhi, Nita G; Sharp, Stephen J; Langenberg, Claudia; Riboli, Elio; Schulze, Matthias B; Wareham, Nicholas J</v>
      </c>
      <c r="AH668" s="32">
        <f>IFERROR(__xludf.DUMMYFUNCTION("""COMPUTED_VALUE"""),43168.0)</f>
        <v>43168</v>
      </c>
      <c r="AL668" s="31" t="str">
        <f>IFERROR(__xludf.DUMMYFUNCTION("""COMPUTED_VALUE"""),"Procalcitonin in cerebrospinal fluid in meningitis: a prospective diagnostic study.")</f>
        <v>Procalcitonin in cerebrospinal fluid in meningitis: a prospective diagnostic study.</v>
      </c>
      <c r="AM668" s="31" t="str">
        <f>IFERROR(__xludf.DUMMYFUNCTION("""COMPUTED_VALUE"""),"Alons, Imanda M E; Verheul, Rolf J; Kuipers, Irma; Jellema, Korné; Wermer, Marieke J H; Algra, Ale; Ponjee, Gabriëlle")</f>
        <v>Alons, Imanda M E; Verheul, Rolf J; Kuipers, Irma; Jellema, Korné; Wermer, Marieke J H; Algra, Ale; Ponjee, Gabriëlle</v>
      </c>
      <c r="AN668" s="32">
        <f>IFERROR(__xludf.DUMMYFUNCTION("""COMPUTED_VALUE"""),42598.0)</f>
        <v>42598</v>
      </c>
    </row>
    <row r="669">
      <c r="A669" s="32"/>
      <c r="I669" s="31" t="str">
        <f>IFERROR(__xludf.DUMMYFUNCTION("""COMPUTED_VALUE"""),"occupational and environmental medicine")</f>
        <v>occupational and environmental medicine</v>
      </c>
      <c r="J669" s="38">
        <f>COUNTIF(Data!$F$2:$F9917, $I669)</f>
        <v>4</v>
      </c>
      <c r="T669" s="31" t="s">
        <v>1644</v>
      </c>
      <c r="U669" s="31" t="s">
        <v>1645</v>
      </c>
      <c r="V669" s="32">
        <v>45225.0</v>
      </c>
      <c r="X669" s="31" t="str">
        <f>IFERROR(__xludf.DUMMYFUNCTION("""COMPUTED_VALUE"""),"Associations between HbA1c Reduction and Change in Depressive Symptoms following Glucose-lowering Treatment in Adults: A Systematic Review of Intervention Studies.")</f>
        <v>Associations between HbA1c Reduction and Change in Depressive Symptoms following Glucose-lowering Treatment in Adults: A Systematic Review of Intervention Studies.</v>
      </c>
      <c r="Y669" s="31" t="str">
        <f>IFERROR(__xludf.DUMMYFUNCTION("""COMPUTED_VALUE"""),"Schmitt, Andreas; Beran, Magdalena; Geraets, Anouk; Iversen, Marjolein M; Nefs, Giesje; Nouwen, Arie; Pouwer, Frans; Huber, Jörg W; Schram, Miranda T")</f>
        <v>Schmitt, Andreas; Beran, Magdalena; Geraets, Anouk; Iversen, Marjolein M; Nefs, Giesje; Nouwen, Arie; Pouwer, Frans; Huber, Jörg W; Schram, Miranda T</v>
      </c>
      <c r="Z669" s="31">
        <f>IFERROR(__xludf.DUMMYFUNCTION("""COMPUTED_VALUE"""),2024.0)</f>
        <v>2024</v>
      </c>
      <c r="AA669" s="31">
        <f>IFERROR(__xludf.DUMMYFUNCTION("""COMPUTED_VALUE"""),0.0)</f>
        <v>0</v>
      </c>
      <c r="AF669" s="31" t="str">
        <f>IFERROR(__xludf.DUMMYFUNCTION("""COMPUTED_VALUE"""),"Intake of dietary saturated fatty acids and risk of type 2 diabetes in the European Prospective Investigation into Cancer and Nutrition-Netherlands cohort: associations by types, sources of fatty acids and substitution by macronutrients.")</f>
        <v>Intake of dietary saturated fatty acids and risk of type 2 diabetes in the European Prospective Investigation into Cancer and Nutrition-Netherlands cohort: associations by types, sources of fatty acids and substitution by macronutrients.</v>
      </c>
      <c r="AG669" s="31" t="str">
        <f>IFERROR(__xludf.DUMMYFUNCTION("""COMPUTED_VALUE"""),"Liu, Shengxin; van der Schouw, Yvonne T; Soedamah-Muthu, Sabita S; Spijkerman, Annemieke M W; Sluijs, Ivonne")</f>
        <v>Liu, Shengxin; van der Schouw, Yvonne T; Soedamah-Muthu, Sabita S; Spijkerman, Annemieke M W; Sluijs, Ivonne</v>
      </c>
      <c r="AH669" s="32">
        <f>IFERROR(__xludf.DUMMYFUNCTION("""COMPUTED_VALUE"""),43168.0)</f>
        <v>43168</v>
      </c>
      <c r="AL669" s="31" t="str">
        <f>IFERROR(__xludf.DUMMYFUNCTION("""COMPUTED_VALUE"""),"Adjuvant systemic therapy in early breast cancer: impact of guideline changes and clinicopathological factors associated with nonadherence at a nation-wide level.")</f>
        <v>Adjuvant systemic therapy in early breast cancer: impact of guideline changes and clinicopathological factors associated with nonadherence at a nation-wide level.</v>
      </c>
      <c r="AM669" s="31" t="str">
        <f>IFERROR(__xludf.DUMMYFUNCTION("""COMPUTED_VALUE"""),"Verschoor, A M F; Kuijer, A; Verloop, J; Van Gils, C H; Sonke, G S; Jager, A; van Dalen, T; Elias, S G")</f>
        <v>Verschoor, A M F; Kuijer, A; Verloop, J; Van Gils, C H; Sonke, G S; Jager, A; van Dalen, T; Elias, S G</v>
      </c>
      <c r="AN669" s="32">
        <f>IFERROR(__xludf.DUMMYFUNCTION("""COMPUTED_VALUE"""),42594.0)</f>
        <v>42594</v>
      </c>
    </row>
    <row r="670">
      <c r="A670" s="32"/>
      <c r="I670" s="31" t="str">
        <f>IFERROR(__xludf.DUMMYFUNCTION("""COMPUTED_VALUE"""),"cytotherapy")</f>
        <v>cytotherapy</v>
      </c>
      <c r="J670" s="38">
        <f>COUNTIF(Data!$F$2:$F9917, $I670)</f>
        <v>2</v>
      </c>
      <c r="T670" s="31" t="s">
        <v>1647</v>
      </c>
      <c r="U670" s="31" t="s">
        <v>1648</v>
      </c>
      <c r="V670" s="32">
        <v>45224.0</v>
      </c>
      <c r="X670" s="31" t="str">
        <f>IFERROR(__xludf.DUMMYFUNCTION("""COMPUTED_VALUE"""),"Ethnic and socioeconomic inequalities in air pollution exposure: a cross-sectional analysis of nationwide individual-level data from the Netherlands.")</f>
        <v>Ethnic and socioeconomic inequalities in air pollution exposure: a cross-sectional analysis of nationwide individual-level data from the Netherlands.</v>
      </c>
      <c r="Y670" s="31" t="str">
        <f>IFERROR(__xludf.DUMMYFUNCTION("""COMPUTED_VALUE"""),"van den Brekel, Lieke; Lenters, Virissa; Mackenbach, Joreintje D; Hoek, Gerard; Wagtendonk, Alfred; Lakerveld, Jeroen; Grobbee, Diederick E; Vaartjes, Ilonca")</f>
        <v>van den Brekel, Lieke; Lenters, Virissa; Mackenbach, Joreintje D; Hoek, Gerard; Wagtendonk, Alfred; Lakerveld, Jeroen; Grobbee, Diederick E; Vaartjes, Ilonca</v>
      </c>
      <c r="Z670" s="31">
        <f>IFERROR(__xludf.DUMMYFUNCTION("""COMPUTED_VALUE"""),2024.0)</f>
        <v>2024</v>
      </c>
      <c r="AA670" s="31">
        <f>IFERROR(__xludf.DUMMYFUNCTION("""COMPUTED_VALUE"""),0.0)</f>
        <v>0</v>
      </c>
      <c r="AF670" s="31" t="str">
        <f>IFERROR(__xludf.DUMMYFUNCTION("""COMPUTED_VALUE"""),"Elements of the complete blood count associated with cardiovascular disease incidence: Findings from the EPIC-NL cohort study.")</f>
        <v>Elements of the complete blood count associated with cardiovascular disease incidence: Findings from the EPIC-NL cohort study.</v>
      </c>
      <c r="AG670" s="31" t="str">
        <f>IFERROR(__xludf.DUMMYFUNCTION("""COMPUTED_VALUE"""),"Lassale, Camille; Curtis, Alyscia; Abete, Itziar; van der Schouw, Yvonne T; Verschuren, W M Monique; Lu, Yunxia; Bueno-de-Mesquita, H B As")</f>
        <v>Lassale, Camille; Curtis, Alyscia; Abete, Itziar; van der Schouw, Yvonne T; Verschuren, W M Monique; Lu, Yunxia; Bueno-de-Mesquita, H B As</v>
      </c>
      <c r="AH670" s="32">
        <f>IFERROR(__xludf.DUMMYFUNCTION("""COMPUTED_VALUE"""),43150.0)</f>
        <v>43150</v>
      </c>
      <c r="AL670" s="31" t="str">
        <f>IFERROR(__xludf.DUMMYFUNCTION("""COMPUTED_VALUE"""),"An overview of methods for network meta-analysis using individual participant data: when do benefits arise?")</f>
        <v>An overview of methods for network meta-analysis using individual participant data: when do benefits arise?</v>
      </c>
      <c r="AM670" s="31" t="str">
        <f>IFERROR(__xludf.DUMMYFUNCTION("""COMPUTED_VALUE"""),"Debray, Thomas Pa; Schuit, Ewoud; Efthimiou, Orestis; Reitsma, Johannes B; Ioannidis, John Pa; Salanti, Georgia; Moons, Karel Gm; ,")</f>
        <v>Debray, Thomas Pa; Schuit, Ewoud; Efthimiou, Orestis; Reitsma, Johannes B; Ioannidis, John Pa; Salanti, Georgia; Moons, Karel Gm; ,</v>
      </c>
      <c r="AN670" s="32">
        <f>IFERROR(__xludf.DUMMYFUNCTION("""COMPUTED_VALUE"""),42593.0)</f>
        <v>42593</v>
      </c>
    </row>
    <row r="671">
      <c r="A671" s="32"/>
      <c r="I671" s="31" t="str">
        <f>IFERROR(__xludf.DUMMYFUNCTION("""COMPUTED_VALUE"""),"european journal of neurology")</f>
        <v>european journal of neurology</v>
      </c>
      <c r="J671" s="38">
        <f>COUNTIF(Data!$F$2:$F9917, $I671)</f>
        <v>5</v>
      </c>
      <c r="T671" s="31" t="s">
        <v>1652</v>
      </c>
      <c r="U671" s="31" t="s">
        <v>1653</v>
      </c>
      <c r="V671" s="32">
        <v>45223.0</v>
      </c>
      <c r="X671" s="31" t="str">
        <f>IFERROR(__xludf.DUMMYFUNCTION("""COMPUTED_VALUE"""),"Involving older people in the preparedness, response, and recovery phases in humanitarian emergencies: a theoretical framework on ageism, epistemic injustice, and participation.")</f>
        <v>Involving older people in the preparedness, response, and recovery phases in humanitarian emergencies: a theoretical framework on ageism, epistemic injustice, and participation.</v>
      </c>
      <c r="Y671" s="31" t="str">
        <f>IFERROR(__xludf.DUMMYFUNCTION("""COMPUTED_VALUE"""),"van Boetzelaer, Elburg; van de Kamp, Judith; Keating, Patrick; Sharma, Sunita; Pellecchia, Umberto; Browne, Joyce L; Sheather, Julian; Franco, Oscar H")</f>
        <v>van Boetzelaer, Elburg; van de Kamp, Judith; Keating, Patrick; Sharma, Sunita; Pellecchia, Umberto; Browne, Joyce L; Sheather, Julian; Franco, Oscar H</v>
      </c>
      <c r="Z671" s="31">
        <f>IFERROR(__xludf.DUMMYFUNCTION("""COMPUTED_VALUE"""),2024.0)</f>
        <v>2024</v>
      </c>
      <c r="AA671" s="31">
        <f>IFERROR(__xludf.DUMMYFUNCTION("""COMPUTED_VALUE"""),0.0)</f>
        <v>0</v>
      </c>
      <c r="AF671" s="31" t="str">
        <f>IFERROR(__xludf.DUMMYFUNCTION("""COMPUTED_VALUE"""),"Task shifting in active management of the third stage of labor: a systematic review.")</f>
        <v>Task shifting in active management of the third stage of labor: a systematic review.</v>
      </c>
      <c r="AG671" s="31" t="str">
        <f>IFERROR(__xludf.DUMMYFUNCTION("""COMPUTED_VALUE"""),"Raams, Tessa M; Browne, Joyce L; Festen-Schrier, Verena J M M; Klipstein-Grobusch, Kerstin; Rijken, Marcus J")</f>
        <v>Raams, Tessa M; Browne, Joyce L; Festen-Schrier, Verena J M M; Klipstein-Grobusch, Kerstin; Rijken, Marcus J</v>
      </c>
      <c r="AH671" s="32">
        <f>IFERROR(__xludf.DUMMYFUNCTION("""COMPUTED_VALUE"""),43137.0)</f>
        <v>43137</v>
      </c>
      <c r="AL671" s="31" t="str">
        <f>IFERROR(__xludf.DUMMYFUNCTION("""COMPUTED_VALUE"""),"Cerebral blood flow in small vessel disease: A systematic review and meta-analysis.")</f>
        <v>Cerebral blood flow in small vessel disease: A systematic review and meta-analysis.</v>
      </c>
      <c r="AM671" s="31" t="str">
        <f>IFERROR(__xludf.DUMMYFUNCTION("""COMPUTED_VALUE"""),"Shi, Yulu; Thrippleton, Michael J; Makin, Stephen D; Marshall, Ian; Geerlings, Mirjam I; de Craen, Anton J M; van Buchem, Mark A; Wardlaw, Joanna M")</f>
        <v>Shi, Yulu; Thrippleton, Michael J; Makin, Stephen D; Marshall, Ian; Geerlings, Mirjam I; de Craen, Anton J M; van Buchem, Mark A; Wardlaw, Joanna M</v>
      </c>
      <c r="AN671" s="32">
        <f>IFERROR(__xludf.DUMMYFUNCTION("""COMPUTED_VALUE"""),42587.0)</f>
        <v>42587</v>
      </c>
    </row>
    <row r="672">
      <c r="A672" s="32"/>
      <c r="I672" s="31" t="str">
        <f>IFERROR(__xludf.DUMMYFUNCTION("""COMPUTED_VALUE"""),"the international journal of cardiovascular imaging")</f>
        <v>the international journal of cardiovascular imaging</v>
      </c>
      <c r="J672" s="38">
        <f>COUNTIF(Data!$F$2:$F9917, $I672)</f>
        <v>1</v>
      </c>
      <c r="T672" s="31" t="s">
        <v>1657</v>
      </c>
      <c r="U672" s="31" t="s">
        <v>1658</v>
      </c>
      <c r="V672" s="32">
        <v>45222.0</v>
      </c>
      <c r="X672" s="31" t="str">
        <f>IFERROR(__xludf.DUMMYFUNCTION("""COMPUTED_VALUE"""),"Speech correcting surgery after primary palatoplasty: a systematic literature review and meta-analysis.")</f>
        <v>Speech correcting surgery after primary palatoplasty: a systematic literature review and meta-analysis.</v>
      </c>
      <c r="Y672" s="31" t="str">
        <f>IFERROR(__xludf.DUMMYFUNCTION("""COMPUTED_VALUE"""),"Hofman, Lieke; van Dongen, Joris A; van Rees, Rosalie C M; Jenniskens, Kevin; Haverkamp, Sarah J; Beentjes, Yente S; van der Molen, Aebele B Mink; Paes, Emma C")</f>
        <v>Hofman, Lieke; van Dongen, Joris A; van Rees, Rosalie C M; Jenniskens, Kevin; Haverkamp, Sarah J; Beentjes, Yente S; van der Molen, Aebele B Mink; Paes, Emma C</v>
      </c>
      <c r="Z672" s="31">
        <f>IFERROR(__xludf.DUMMYFUNCTION("""COMPUTED_VALUE"""),2023.0)</f>
        <v>2023</v>
      </c>
      <c r="AA672" s="31">
        <f>IFERROR(__xludf.DUMMYFUNCTION("""COMPUTED_VALUE"""),0.0)</f>
        <v>0</v>
      </c>
      <c r="AF672" s="31" t="str">
        <f>IFERROR(__xludf.DUMMYFUNCTION("""COMPUTED_VALUE"""),"Ramadan during pregnancy and birth weight of newborns.")</f>
        <v>Ramadan during pregnancy and birth weight of newborns.</v>
      </c>
      <c r="AG672" s="31" t="str">
        <f>IFERROR(__xludf.DUMMYFUNCTION("""COMPUTED_VALUE"""),"Savitri, Ary I; Amelia, Dwirani; Painter, Rebecca C; Baharuddin, Mohammad; Roseboom, Tessa J; Grobbee, Diederick E; Uiterwaal, Cuno S P M")</f>
        <v>Savitri, Ary I; Amelia, Dwirani; Painter, Rebecca C; Baharuddin, Mohammad; Roseboom, Tessa J; Grobbee, Diederick E; Uiterwaal, Cuno S P M</v>
      </c>
      <c r="AH672" s="32">
        <f>IFERROR(__xludf.DUMMYFUNCTION("""COMPUTED_VALUE"""),43132.0)</f>
        <v>43132</v>
      </c>
      <c r="AL672" s="31" t="str">
        <f>IFERROR(__xludf.DUMMYFUNCTION("""COMPUTED_VALUE"""),"Sensitivity analysis for the effects of multiple unmeasured confounders.")</f>
        <v>Sensitivity analysis for the effects of multiple unmeasured confounders.</v>
      </c>
      <c r="AM672" s="31" t="str">
        <f>IFERROR(__xludf.DUMMYFUNCTION("""COMPUTED_VALUE"""),"Groenwold, Rolf H H; Sterne, Jonathan A C; Lawlor, Debbie A; Moons, Karel G M; Hoes, Arno W; Tilling, Kate")</f>
        <v>Groenwold, Rolf H H; Sterne, Jonathan A C; Lawlor, Debbie A; Moons, Karel G M; Hoes, Arno W; Tilling, Kate</v>
      </c>
      <c r="AN672" s="32">
        <f>IFERROR(__xludf.DUMMYFUNCTION("""COMPUTED_VALUE"""),42585.0)</f>
        <v>42585</v>
      </c>
    </row>
    <row r="673">
      <c r="A673" s="32"/>
      <c r="I673" s="31" t="str">
        <f>IFERROR(__xludf.DUMMYFUNCTION("""COMPUTED_VALUE"""),"autophagy")</f>
        <v>autophagy</v>
      </c>
      <c r="J673" s="38">
        <f>COUNTIF(Data!$F$2:$F9917, $I673)</f>
        <v>1</v>
      </c>
      <c r="T673" s="31" t="s">
        <v>1662</v>
      </c>
      <c r="U673" s="31" t="s">
        <v>1663</v>
      </c>
      <c r="V673" s="32">
        <v>45222.0</v>
      </c>
      <c r="X673" s="31" t="str">
        <f>IFERROR(__xludf.DUMMYFUNCTION("""COMPUTED_VALUE"""),"The epidemiological impact of digital and manual contact tracing on the SARS-CoV-2 epidemic in the Netherlands: Empirical evidence.")</f>
        <v>The epidemiological impact of digital and manual contact tracing on the SARS-CoV-2 epidemic in the Netherlands: Empirical evidence.</v>
      </c>
      <c r="Y673" s="31" t="str">
        <f>IFERROR(__xludf.DUMMYFUNCTION("""COMPUTED_VALUE"""),"Ter Haar, Wianne; Bosdriesz, Jizzo; Venekamp, Roderick P; Schuit, Ewoud; van den Hof, Susan; Ebbers, Wolfgang; Kretzschmar, Mirjam; Kluijtmans, Jan; Moons, Carl; Schim van der Loeff, Maarten; Matser, Amy; van de Wijgert, Janneke H H M")</f>
        <v>Ter Haar, Wianne; Bosdriesz, Jizzo; Venekamp, Roderick P; Schuit, Ewoud; van den Hof, Susan; Ebbers, Wolfgang; Kretzschmar, Mirjam; Kluijtmans, Jan; Moons, Carl; Schim van der Loeff, Maarten; Matser, Amy; van de Wijgert, Janneke H H M</v>
      </c>
      <c r="Z673" s="31">
        <f>IFERROR(__xludf.DUMMYFUNCTION("""COMPUTED_VALUE"""),2023.0)</f>
        <v>2023</v>
      </c>
      <c r="AA673" s="31">
        <f>IFERROR(__xludf.DUMMYFUNCTION("""COMPUTED_VALUE"""),0.0)</f>
        <v>0</v>
      </c>
      <c r="AF673" s="31" t="str">
        <f>IFERROR(__xludf.DUMMYFUNCTION("""COMPUTED_VALUE"""),"Built environmental characteristics and diabetes: a systematic review and meta-analysis.")</f>
        <v>Built environmental characteristics and diabetes: a systematic review and meta-analysis.</v>
      </c>
      <c r="AG673" s="31" t="str">
        <f>IFERROR(__xludf.DUMMYFUNCTION("""COMPUTED_VALUE"""),"den Braver, N R; Lakerveld, J; Rutters, F; Schoonmade, L J; Brug, J; Beulens, J W J")</f>
        <v>den Braver, N R; Lakerveld, J; Rutters, F; Schoonmade, L J; Brug, J; Beulens, J W J</v>
      </c>
      <c r="AH673" s="32">
        <f>IFERROR(__xludf.DUMMYFUNCTION("""COMPUTED_VALUE"""),43131.0)</f>
        <v>43131</v>
      </c>
      <c r="AL673" s="31" t="str">
        <f>IFERROR(__xludf.DUMMYFUNCTION("""COMPUTED_VALUE"""),"Impact of Heterogeneity in Sexual Behavior on Effectiveness in Reducing HIV Transmission with Test-and-Treat Strategy.")</f>
        <v>Impact of Heterogeneity in Sexual Behavior on Effectiveness in Reducing HIV Transmission with Test-and-Treat Strategy.</v>
      </c>
      <c r="AM673" s="31" t="str">
        <f>IFERROR(__xludf.DUMMYFUNCTION("""COMPUTED_VALUE"""),"Rozhnova, Ganna; van der Loeff, Maarten F Schim; Heijne, Janneke C M; Kretzschmar, Mirjam E")</f>
        <v>Rozhnova, Ganna; van der Loeff, Maarten F Schim; Heijne, Janneke C M; Kretzschmar, Mirjam E</v>
      </c>
      <c r="AN673" s="32">
        <f>IFERROR(__xludf.DUMMYFUNCTION("""COMPUTED_VALUE"""),42583.0)</f>
        <v>42583</v>
      </c>
    </row>
    <row r="674">
      <c r="A674" s="32"/>
      <c r="I674" s="31" t="str">
        <f>IFERROR(__xludf.DUMMYFUNCTION("""COMPUTED_VALUE"""),"developmental medicine and child neurology")</f>
        <v>developmental medicine and child neurology</v>
      </c>
      <c r="J674" s="38">
        <f>COUNTIF(Data!$F$2:$F9917, $I674)</f>
        <v>3</v>
      </c>
      <c r="T674" s="31" t="s">
        <v>1666</v>
      </c>
      <c r="U674" s="31" t="s">
        <v>1667</v>
      </c>
      <c r="V674" s="32">
        <v>45222.0</v>
      </c>
      <c r="X674" s="31" t="str">
        <f>IFERROR(__xludf.DUMMYFUNCTION("""COMPUTED_VALUE"""),"Genital tract infections, the vaginal microbiome and gestational age at birth among pregnant women in South Africa: a cohort study protocol.")</f>
        <v>Genital tract infections, the vaginal microbiome and gestational age at birth among pregnant women in South Africa: a cohort study protocol.</v>
      </c>
      <c r="Y674" s="31" t="str">
        <f>IFERROR(__xludf.DUMMYFUNCTION("""COMPUTED_VALUE"""),"Gigi, Ranjana M S; Mdingi, Mandisa M; Jung, Hyunsul; Claassen-Weitz, Shantelle; Bütikofer, Lukas; Klausner, Jeffrey D; Muzny, Christina A; Taylor, Christopher M; van de Wijgert, Janneke H H M; Peters, Remco P H; Low, Nicola")</f>
        <v>Gigi, Ranjana M S; Mdingi, Mandisa M; Jung, Hyunsul; Claassen-Weitz, Shantelle; Bütikofer, Lukas; Klausner, Jeffrey D; Muzny, Christina A; Taylor, Christopher M; van de Wijgert, Janneke H H M; Peters, Remco P H; Low, Nicola</v>
      </c>
      <c r="Z674" s="31">
        <f>IFERROR(__xludf.DUMMYFUNCTION("""COMPUTED_VALUE"""),2023.0)</f>
        <v>2023</v>
      </c>
      <c r="AA674" s="31">
        <f>IFERROR(__xludf.DUMMYFUNCTION("""COMPUTED_VALUE"""),0.0)</f>
        <v>0</v>
      </c>
      <c r="AF674" s="31" t="str">
        <f>IFERROR(__xludf.DUMMYFUNCTION("""COMPUTED_VALUE"""),"Cardiovascular disease risk prediction in sub-Saharan African populations - Comparative analysis of risk algorithms in the RODAM study.")</f>
        <v>Cardiovascular disease risk prediction in sub-Saharan African populations - Comparative analysis of risk algorithms in the RODAM study.</v>
      </c>
      <c r="AG674" s="31" t="str">
        <f>IFERROR(__xludf.DUMMYFUNCTION("""COMPUTED_VALUE"""),"Boateng, Daniel; Agyemang, Charles; Beune, Erik; Meeks, Karlijn; Smeeth, Liam; Schulze, Matthias B; Addo, Juliet; de-Graft Aikins, Ama; Galbete, Cecilia; Bahendeka, Silver; Danquah, Ina; Agyei-Baffour, Peter; Owusu-Dabo, Ellis; Mockenhaupt, Frank P; Spran"&amp;"ger, Joachim; Kengne, Andre P; Grobbee, Diederick E; Klipstein-Grobusch, Kerstin")</f>
        <v>Boateng, Daniel; Agyemang, Charles; Beune, Erik; Meeks, Karlijn; Smeeth, Liam; Schulze, Matthias B; Addo, Juliet; de-Graft Aikins, Ama; Galbete, Cecilia; Bahendeka, Silver; Danquah, Ina; Agyei-Baffour, Peter; Owusu-Dabo, Ellis; Mockenhaupt, Frank P; Spranger, Joachim; Kengne, Andre P; Grobbee, Diederick E; Klipstein-Grobusch, Kerstin</v>
      </c>
      <c r="AH674" s="32">
        <f>IFERROR(__xludf.DUMMYFUNCTION("""COMPUTED_VALUE"""),43128.0)</f>
        <v>43128</v>
      </c>
      <c r="AL674" s="31" t="str">
        <f>IFERROR(__xludf.DUMMYFUNCTION("""COMPUTED_VALUE"""),"Scaling up strategies of the chronic respiratory disease programme of the European Innovation Partnership on Active and Healthy Ageing (Action Plan B3: Area 5).")</f>
        <v>Scaling up strategies of the chronic respiratory disease programme of the European Innovation Partnership on Active and Healthy Ageing (Action Plan B3: Area 5).</v>
      </c>
      <c r="AM674" s="31" t="str">
        <f>IFERROR(__xludf.DUMMYFUNCTION("""COMPUTED_VALUE"""),"Bousquet, J; Farrell, J; Crooks, G; Hellings, P; Bel, E H; Bewick, M; Chavannes, N H; de Sousa, J Correia; Cruz, A A; Haahtela, T; Joos, G; Khaltaev, N; Malva, J; Muraro, A; Nogues, M; Palkonen, S; Pedersen, S; Robalo-Cordeiro, C; Samolinski, B; Strandber"&amp;"g, T; Valiulis, A; Yorgancioglu, A; Zuberbier, T; Bedbrook, A; Aberer, W; Adachi, M; Agusti, A; Akdis, C A; Akdis, M; Ankri, J; Alonso, A; Annesi-Maesano, I; Ansotegui, I J; Anto, J M; Arnavielhe, S; Arshad, H; Bai, C; Baiardini, I; Bachert, C; Baigenzhin"&amp;", A K; Barbara, C; Bateman, E D; Beghé, B; Kheder, A Ben; Bennoor, K S; Benson, M; Bergmann, K C; Bieber, T; Bindslev-Jensen, C; Bjermer, L; Blain, H; Blasi, F; Boner, A L; Bonini, M; Bonini, S; Bosnic-Anticevitch, S; Boulet, L P; Bourret, R; Bousquet, P "&amp;"J; Braido, F; Briggs, A H; Brightling, C E; Brozek, J; Buhl, R; Burney, P G; Bush, A; Caballero-Fonseca, F; Caimmi, D; Calderon, M A; Calverley, P M; Camargos, P A M; Canonica, G W; Camuzat, T; Carlsen, K H; Carr, W; Carriazo, A; Casal")</f>
        <v>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v>
      </c>
      <c r="AN674" s="32">
        <f>IFERROR(__xludf.DUMMYFUNCTION("""COMPUTED_VALUE"""),42580.0)</f>
        <v>42580</v>
      </c>
    </row>
    <row r="675">
      <c r="A675" s="32"/>
      <c r="I675" s="31" t="str">
        <f>IFERROR(__xludf.DUMMYFUNCTION("""COMPUTED_VALUE"""),"childs nervous system chns official journal of the international society for pediatric neurosurgery")</f>
        <v>childs nervous system chns official journal of the international society for pediatric neurosurgery</v>
      </c>
      <c r="J675" s="38">
        <f>COUNTIF(Data!$F$2:$F9917, $I675)</f>
        <v>1</v>
      </c>
      <c r="T675" s="31" t="s">
        <v>1671</v>
      </c>
      <c r="U675" s="31" t="s">
        <v>1672</v>
      </c>
      <c r="V675" s="32">
        <v>45222.0</v>
      </c>
      <c r="X675" s="31" t="str">
        <f>IFERROR(__xludf.DUMMYFUNCTION("""COMPUTED_VALUE"""),"Ideal cardiovascular health and cardiovascular related events: a systematic review and meta-analysis.")</f>
        <v>Ideal cardiovascular health and cardiovascular related events: a systematic review and meta-analysis.</v>
      </c>
      <c r="Y675" s="31" t="str">
        <f>IFERROR(__xludf.DUMMYFUNCTION("""COMPUTED_VALUE"""),"Te Hoonte, Femke; Spronk, Merve; Sun, Qi; Wu, Kangrui; Fan, Shiqi; Wang, Ziyi; Bots, Michiel L; Van der Schouw, Yvonne T; Uijl, Alicia; Vernooij, Robin W M")</f>
        <v>Te Hoonte, Femke; Spronk, Merve; Sun, Qi; Wu, Kangrui; Fan, Shiqi; Wang, Ziyi; Bots, Michiel L; Van der Schouw, Yvonne T; Uijl, Alicia; Vernooij, Robin W M</v>
      </c>
      <c r="Z675" s="31">
        <f>IFERROR(__xludf.DUMMYFUNCTION("""COMPUTED_VALUE"""),2023.0)</f>
        <v>2023</v>
      </c>
      <c r="AA675" s="31">
        <f>IFERROR(__xludf.DUMMYFUNCTION("""COMPUTED_VALUE"""),0.0)</f>
        <v>0</v>
      </c>
      <c r="AF675" s="31" t="str">
        <f>IFERROR(__xludf.DUMMYFUNCTION("""COMPUTED_VALUE"""),"The Young Community of the European Association of Preventive Cardiology: The future in motion.")</f>
        <v>The Young Community of the European Association of Preventive Cardiology: The future in motion.</v>
      </c>
      <c r="AG675" s="31" t="str">
        <f>IFERROR(__xludf.DUMMYFUNCTION("""COMPUTED_VALUE"""),"D'Ascenzi, Flavio; Adami, Paolo Emilio; Eichler, Sarah; Castelletti, Silvia; Wagenaar, Kim P; Pelliccia, Antonio; Dendale, Paul; Grobbee, Diederick E")</f>
        <v>D'Ascenzi, Flavio; Adami, Paolo Emilio; Eichler, Sarah; Castelletti, Silvia; Wagenaar, Kim P; Pelliccia, Antonio; Dendale, Paul; Grobbee, Diederick E</v>
      </c>
      <c r="AH675" s="32">
        <f>IFERROR(__xludf.DUMMYFUNCTION("""COMPUTED_VALUE"""),43126.0)</f>
        <v>43126</v>
      </c>
      <c r="AL675" s="31" t="str">
        <f>IFERROR(__xludf.DUMMYFUNCTION("""COMPUTED_VALUE"""),"Consistency of breast density categories in serial screening mammograms: A comparison between automated and human assessment.")</f>
        <v>Consistency of breast density categories in serial screening mammograms: A comparison between automated and human assessment.</v>
      </c>
      <c r="AM675" s="31" t="str">
        <f>IFERROR(__xludf.DUMMYFUNCTION("""COMPUTED_VALUE"""),"Holland, Katharina; van Zelst, Jan; den Heeten, Gerard J; Imhof-Tas, Mechli; Mann, Ritse M; van Gils, Carla H; Karssemeijer, Nico")</f>
        <v>Holland, Katharina; van Zelst, Jan; den Heeten, Gerard J; Imhof-Tas, Mechli; Mann, Ritse M; van Gils, Carla H; Karssemeijer, Nico</v>
      </c>
      <c r="AN675" s="32">
        <f>IFERROR(__xludf.DUMMYFUNCTION("""COMPUTED_VALUE"""),42564.0)</f>
        <v>42564</v>
      </c>
    </row>
    <row r="676">
      <c r="A676" s="32"/>
      <c r="I676" s="31" t="str">
        <f>IFERROR(__xludf.DUMMYFUNCTION("""COMPUTED_VALUE"""),"journal of general internal medicine")</f>
        <v>journal of general internal medicine</v>
      </c>
      <c r="J676" s="38">
        <f>COUNTIF(Data!$F$2:$F9917, $I676)</f>
        <v>3</v>
      </c>
      <c r="T676" s="31" t="s">
        <v>1675</v>
      </c>
      <c r="U676" s="31" t="s">
        <v>1676</v>
      </c>
      <c r="V676" s="32">
        <v>45222.0</v>
      </c>
      <c r="X676" s="31" t="str">
        <f>IFERROR(__xludf.DUMMYFUNCTION("""COMPUTED_VALUE"""),"Hypertensive disorders of pregnancy and cardiovascular disease risk: a Mendelian randomisation study.")</f>
        <v>Hypertensive disorders of pregnancy and cardiovascular disease risk: a Mendelian randomisation study.</v>
      </c>
      <c r="Y676" s="31" t="str">
        <f>IFERROR(__xludf.DUMMYFUNCTION("""COMPUTED_VALUE"""),"Tschiderer, Lena; van der Schouw, Yvonne T; Burgess, Stephen; Bloemenkamp, Kitty W M; Seekircher, Lisa; Willeit, Peter; Onland-Moret, Charlotte; Peters, Sanne A E")</f>
        <v>Tschiderer, Lena; van der Schouw, Yvonne T; Burgess, Stephen; Bloemenkamp, Kitty W M; Seekircher, Lisa; Willeit, Peter; Onland-Moret, Charlotte; Peters, Sanne A E</v>
      </c>
      <c r="Z676" s="31">
        <f>IFERROR(__xludf.DUMMYFUNCTION("""COMPUTED_VALUE"""),2023.0)</f>
        <v>2023</v>
      </c>
      <c r="AA676" s="31">
        <f>IFERROR(__xludf.DUMMYFUNCTION("""COMPUTED_VALUE"""),0.0)</f>
        <v>0</v>
      </c>
      <c r="AF676" s="31" t="str">
        <f>IFERROR(__xludf.DUMMYFUNCTION("""COMPUTED_VALUE"""),"Spatial access to restaurants and grocery stores in relation to frequency of home cooking.")</f>
        <v>Spatial access to restaurants and grocery stores in relation to frequency of home cooking.</v>
      </c>
      <c r="AG676" s="31" t="str">
        <f>IFERROR(__xludf.DUMMYFUNCTION("""COMPUTED_VALUE"""),"Pinho, Maria Gabriela M; Mackenbach, Joreintje D; Charreire, Hélène; Oppert, Jean-Michel; Bárdos, Helga; Rutter, Harry; Compernolle, Sofie; Beulens, Joline W J; Brug, Johannes; Lakerveld, Jeroen")</f>
        <v>Pinho, Maria Gabriela M; Mackenbach, Joreintje D; Charreire, Hélène; Oppert, Jean-Michel; Bárdos, Helga; Rutter, Harry; Compernolle, Sofie; Beulens, Joline W J; Brug, Johannes; Lakerveld, Jeroen</v>
      </c>
      <c r="AH676" s="32">
        <f>IFERROR(__xludf.DUMMYFUNCTION("""COMPUTED_VALUE"""),43116.0)</f>
        <v>43116</v>
      </c>
      <c r="AL676" s="31" t="str">
        <f>IFERROR(__xludf.DUMMYFUNCTION("""COMPUTED_VALUE"""),"GetReal: from efficacy in clinical trials to relative effectiveness in the real world.")</f>
        <v>GetReal: from efficacy in clinical trials to relative effectiveness in the real world.</v>
      </c>
      <c r="AM676" s="31" t="str">
        <f>IFERROR(__xludf.DUMMYFUNCTION("""COMPUTED_VALUE"""),"Egger, Matthias; Moons, Karel G M; Fletcher, Christine; ,")</f>
        <v>Egger, Matthias; Moons, Karel G M; Fletcher, Christine; ,</v>
      </c>
      <c r="AN676" s="32">
        <f>IFERROR(__xludf.DUMMYFUNCTION("""COMPUTED_VALUE"""),42558.0)</f>
        <v>42558</v>
      </c>
    </row>
    <row r="677">
      <c r="A677" s="32"/>
      <c r="I677" s="31" t="str">
        <f>IFERROR(__xludf.DUMMYFUNCTION("""COMPUTED_VALUE"""),"global spine journal")</f>
        <v>global spine journal</v>
      </c>
      <c r="J677" s="38">
        <f>COUNTIF(Data!$F$2:$F9917, $I677)</f>
        <v>1</v>
      </c>
      <c r="T677" s="31" t="s">
        <v>1679</v>
      </c>
      <c r="U677" s="31" t="s">
        <v>1680</v>
      </c>
      <c r="V677" s="32">
        <v>45222.0</v>
      </c>
      <c r="X677" s="31" t="str">
        <f>IFERROR(__xludf.DUMMYFUNCTION("""COMPUTED_VALUE"""),"Search for Dark Photons in Rare Z Boson Decays with the ATLAS Detector.")</f>
        <v>Search for Dark Photons in Rare Z Boson Decays with the ATLAS Detector.</v>
      </c>
      <c r="Y677" s="31"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677" s="31">
        <f>IFERROR(__xludf.DUMMYFUNCTION("""COMPUTED_VALUE"""),2023.0)</f>
        <v>2023</v>
      </c>
      <c r="AA677" s="31">
        <f>IFERROR(__xludf.DUMMYFUNCTION("""COMPUTED_VALUE"""),0.0)</f>
        <v>0</v>
      </c>
      <c r="AF677" s="31" t="str">
        <f>IFERROR(__xludf.DUMMYFUNCTION("""COMPUTED_VALUE"""),"Bivalent Vaccine Effectiveness Against Type-Specific HPV Positivity: Evidence for Cross-Protection Against Oncogenic Types Among Dutch STI Clinic Visitors.")</f>
        <v>Bivalent Vaccine Effectiveness Against Type-Specific HPV Positivity: Evidence for Cross-Protection Against Oncogenic Types Among Dutch STI Clinic Visitors.</v>
      </c>
      <c r="AG677" s="31" t="str">
        <f>IFERROR(__xludf.DUMMYFUNCTION("""COMPUTED_VALUE"""),"Woestenberg, Petra J; King, Audrey J; van Benthem, Birgit H B; Donken, Robine; Leussink, Suzan; van der Klis, Fiona R M; de Melker, Hester E; van der Sande, Marianne A B; Hoebe, Christian J P A; Bogaards, Johannes A; ,")</f>
        <v>Woestenberg, Petra J; King, Audrey J; van Benthem, Birgit H B; Donken, Robine; Leussink, Suzan; van der Klis, Fiona R M; de Melker, Hester E; van der Sande, Marianne A B; Hoebe, Christian J P A; Bogaards, Johannes A; ,</v>
      </c>
      <c r="AH677" s="32">
        <f>IFERROR(__xludf.DUMMYFUNCTION("""COMPUTED_VALUE"""),43104.0)</f>
        <v>43104</v>
      </c>
      <c r="AL677" s="31" t="str">
        <f>IFERROR(__xludf.DUMMYFUNCTION("""COMPUTED_VALUE"""),"What's wrong with the current design of trials in infectious disease? How can it be improved?")</f>
        <v>What's wrong with the current design of trials in infectious disease? How can it be improved?</v>
      </c>
      <c r="AM677" s="31" t="str">
        <f>IFERROR(__xludf.DUMMYFUNCTION("""COMPUTED_VALUE"""),"Bonten, M J M")</f>
        <v>Bonten, M J M</v>
      </c>
      <c r="AN677" s="32">
        <f>IFERROR(__xludf.DUMMYFUNCTION("""COMPUTED_VALUE"""),42544.0)</f>
        <v>42544</v>
      </c>
    </row>
    <row r="678">
      <c r="A678" s="32"/>
      <c r="I678" s="31" t="str">
        <f>IFERROR(__xludf.DUMMYFUNCTION("""COMPUTED_VALUE"""),"bmj evidencebased medicine")</f>
        <v>bmj evidencebased medicine</v>
      </c>
      <c r="J678" s="38">
        <f>COUNTIF(Data!$F$2:$F9917, $I678)</f>
        <v>1</v>
      </c>
      <c r="T678" s="31" t="s">
        <v>1683</v>
      </c>
      <c r="U678" s="31" t="s">
        <v>1684</v>
      </c>
      <c r="V678" s="32">
        <v>45222.0</v>
      </c>
      <c r="X678" s="31" t="str">
        <f>IFERROR(__xludf.DUMMYFUNCTION("""COMPUTED_VALUE"""),"Combined Measurement of the Higgs Boson Mass from the H→γγ and H→ZZ^{*}→4ℓ Decay Channels with the ATLAS Detector Using sqrt[s]=7, 8, and 13 TeV pp Collision Data.")</f>
        <v>Combined Measurement of the Higgs Boson Mass from the H→γγ and H→ZZ^{*}→4ℓ Decay Channels with the ATLAS Detector Using sqrt[s]=7, 8, and 13 TeV pp Collision Data.</v>
      </c>
      <c r="Y678" s="31"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Al Khoury, K; Alberghi,"&amp;" G L; Albert, J; Albicocco, P; Albouy, G L; Alderweireldt, S; Aleksa, M; Aleksandrov, I N; Alexa, C; Alexopoulos, T; Alfonsi, F; Algren, M; Alhroob, M; Ali, B; Ali, H M J; Ali, S; Alibocus, S W; Aliev, M; Alimonti, G; Alkakhi, W; Allaire, C; Allbrooke, B "&amp;"M M; Allen, J F; Allendes Flores, C A; Allport, P P; Aloisio, A; Alonso, F; Alpigiani, C; Alvarez Estevez, M; Alvarez Fernandez, A; Alves Cardoso, M; Alviggi, M G; Aly, M; Amaral Coutinho, Y; Ambler, A; Amelung, C; Amerl, M; Ames, C 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 Ames, C G;</v>
      </c>
      <c r="Z678" s="31">
        <f>IFERROR(__xludf.DUMMYFUNCTION("""COMPUTED_VALUE"""),2023.0)</f>
        <v>2023</v>
      </c>
      <c r="AA678" s="31">
        <f>IFERROR(__xludf.DUMMYFUNCTION("""COMPUTED_VALUE"""),0.0)</f>
        <v>0</v>
      </c>
      <c r="AF678" s="31" t="str">
        <f>IFERROR(__xludf.DUMMYFUNCTION("""COMPUTED_VALUE"""),"Parental Attitude Toward the Prenatal Diagnosis of Oral Cleft: A Prospective Cohort Study.")</f>
        <v>Parental Attitude Toward the Prenatal Diagnosis of Oral Cleft: A Prospective Cohort Study.</v>
      </c>
      <c r="AG678" s="31" t="str">
        <f>IFERROR(__xludf.DUMMYFUNCTION("""COMPUTED_VALUE"""),"Maarse, Wies; Boonacker, Chantal W B; Swanenburg de Veye, Henriette F N; Kon, Moshe; Breugem, Corstiaan C; Mink van der Molen, Aebele B; van Delden, Johannes J M")</f>
        <v>Maarse, Wies; Boonacker, Chantal W B; Swanenburg de Veye, Henriette F N; Kon, Moshe; Breugem, Corstiaan C; Mink van der Molen, Aebele B; van Delden, Johannes J M</v>
      </c>
      <c r="AH678" s="32">
        <f>IFERROR(__xludf.DUMMYFUNCTION("""COMPUTED_VALUE"""),43101.0)</f>
        <v>43101</v>
      </c>
      <c r="AL678" s="31" t="str">
        <f>IFERROR(__xludf.DUMMYFUNCTION("""COMPUTED_VALUE"""),"External validation of clinical prediction models using big datasets from e-health records or IPD meta-analysis: opportunities and challenges.")</f>
        <v>External validation of clinical prediction models using big datasets from e-health records or IPD meta-analysis: opportunities and challenges.</v>
      </c>
      <c r="AM678" s="31" t="str">
        <f>IFERROR(__xludf.DUMMYFUNCTION("""COMPUTED_VALUE"""),"Riley, Richard D; Ensor, Joie; Snell, Kym I E; Debray, Thomas P A; Altman, Doug G; Moons, Karel G M; Collins, Gary S")</f>
        <v>Riley, Richard D; Ensor, Joie; Snell, Kym I E; Debray, Thomas P A; Altman, Doug G; Moons, Karel G M; Collins, Gary S</v>
      </c>
      <c r="AN678" s="32">
        <f>IFERROR(__xludf.DUMMYFUNCTION("""COMPUTED_VALUE"""),42543.0)</f>
        <v>42543</v>
      </c>
    </row>
    <row r="679">
      <c r="A679" s="32"/>
      <c r="I679" s="31" t="str">
        <f>IFERROR(__xludf.DUMMYFUNCTION("""COMPUTED_VALUE"""),"european journal of pain london england")</f>
        <v>european journal of pain london england</v>
      </c>
      <c r="J679" s="38">
        <f>COUNTIF(Data!$F$2:$F9917, $I679)</f>
        <v>1</v>
      </c>
      <c r="T679" s="31" t="s">
        <v>1687</v>
      </c>
      <c r="U679" s="31" t="s">
        <v>1688</v>
      </c>
      <c r="V679" s="32">
        <v>45222.0</v>
      </c>
      <c r="X679" s="31" t="str">
        <f>IFERROR(__xludf.DUMMYFUNCTION("""COMPUTED_VALUE"""),"Diagnostic yield of a proactive strategy for early detection of cardiovascular disease versus usual care in adults with type 2 diabetes or chronic obstructive pulmonary disease in primary care in the Netherlands (RED-CVD): a multicentre, pragmatic, cluste"&amp;"r-randomised, controlled trial.")</f>
        <v>Diagnostic yield of a proactive strategy for early detection of cardiovascular disease versus usual care in adults with type 2 diabetes or chronic obstructive pulmonary disease in primary care in the Netherlands (RED-CVD): a multicentre, pragmatic, cluster-randomised, controlled trial.</v>
      </c>
      <c r="Y679" s="31" t="str">
        <f>IFERROR(__xludf.DUMMYFUNCTION("""COMPUTED_VALUE"""),"Groenewegen, Amy; Zwartkruis, Victor W; Rienstra, Michiel; Zuithoff, Nicolaas P A; Hollander, Monika; Koffijberg, Hendrik; Oude Wolcherink, Martijn; Cramer, Maarten J; van der Schouw, Yvonne T; Hoes, Arno W; Rutten, Frans H; de Boer, Rudolf A")</f>
        <v>Groenewegen, Amy; Zwartkruis, Victor W; Rienstra, Michiel; Zuithoff, Nicolaas P A; Hollander, Monika; Koffijberg, Hendrik; Oude Wolcherink, Martijn; Cramer, Maarten J; van der Schouw, Yvonne T; Hoes, Arno W; Rutten, Frans H; de Boer, Rudolf A</v>
      </c>
      <c r="Z679" s="31">
        <f>IFERROR(__xludf.DUMMYFUNCTION("""COMPUTED_VALUE"""),2023.0)</f>
        <v>2023</v>
      </c>
      <c r="AA679" s="31">
        <f>IFERROR(__xludf.DUMMYFUNCTION("""COMPUTED_VALUE"""),0.0)</f>
        <v>0</v>
      </c>
      <c r="AF679" s="31" t="str">
        <f>IFERROR(__xludf.DUMMYFUNCTION("""COMPUTED_VALUE"""),"Socio-demographic and behavioural determinants of body mass index among an adult population in rural Northern Ghana: the AWI-Gen study.")</f>
        <v>Socio-demographic and behavioural determinants of body mass index among an adult population in rural Northern Ghana: the AWI-Gen study.</v>
      </c>
      <c r="AG679" s="31" t="str">
        <f>IFERROR(__xludf.DUMMYFUNCTION("""COMPUTED_VALUE"""),"Nonterah, Engelbert Adamwaba; Debpuur, Cornelius; Agongo, Godfred; Amenga-Etego, Lucas; Crowther, Nigel J; Ramsay, Michèle; Rexford Oduro, Abraham; ,")</f>
        <v>Nonterah, Engelbert Adamwaba; Debpuur, Cornelius; Agongo, Godfred; Amenga-Etego, Lucas; Crowther, Nigel J; Ramsay, Michèle; Rexford Oduro, Abraham; ,</v>
      </c>
      <c r="AH679" s="32">
        <f>IFERROR(__xludf.DUMMYFUNCTION("""COMPUTED_VALUE"""),43101.0)</f>
        <v>43101</v>
      </c>
      <c r="AL679" s="31" t="str">
        <f>IFERROR(__xludf.DUMMYFUNCTION("""COMPUTED_VALUE"""),"Transient monocular blindness and the risk of vascular complications according to subtype: a prospective cohort study.")</f>
        <v>Transient monocular blindness and the risk of vascular complications according to subtype: a prospective cohort study.</v>
      </c>
      <c r="AM679" s="31" t="str">
        <f>IFERROR(__xludf.DUMMYFUNCTION("""COMPUTED_VALUE"""),"Volkers, Eline J; Donders, Richard C J M; Koudstaal, Peter J; van Gijn, Jan; Algra, Ale; Jaap Kappelle, L")</f>
        <v>Volkers, Eline J; Donders, Richard C J M; Koudstaal, Peter J; van Gijn, Jan; Algra, Ale; Jaap Kappelle, L</v>
      </c>
      <c r="AN679" s="32">
        <f>IFERROR(__xludf.DUMMYFUNCTION("""COMPUTED_VALUE"""),42538.0)</f>
        <v>42538</v>
      </c>
    </row>
    <row r="680">
      <c r="A680" s="32"/>
      <c r="I680" s="31" t="str">
        <f>IFERROR(__xludf.DUMMYFUNCTION("""COMPUTED_VALUE"""),"pediatric and developmental pathology the official journal of the society for pediatric pathology and the paediatric pathology society")</f>
        <v>pediatric and developmental pathology the official journal of the society for pediatric pathology and the paediatric pathology society</v>
      </c>
      <c r="J680" s="38">
        <f>COUNTIF(Data!$F$2:$F9917, $I680)</f>
        <v>1</v>
      </c>
      <c r="T680" s="31" t="s">
        <v>1691</v>
      </c>
      <c r="U680" s="31" t="s">
        <v>1692</v>
      </c>
      <c r="V680" s="32">
        <v>45219.0</v>
      </c>
      <c r="X680" s="31" t="str">
        <f>IFERROR(__xludf.DUMMYFUNCTION("""COMPUTED_VALUE"""),"Development and Evaluation of an NTM-IGRA to Guide Pediatric Lymphadenitis Diagnosis.")</f>
        <v>Development and Evaluation of an NTM-IGRA to Guide Pediatric Lymphadenitis Diagnosis.</v>
      </c>
      <c r="Y680" s="31" t="str">
        <f>IFERROR(__xludf.DUMMYFUNCTION("""COMPUTED_VALUE"""),"Villar-Hernández, Raquel; Latorre, Irene; Noguera-Julian, Antoni; Martínez-Planas, Aina; Minguell, Laura; Vallmanya, Teresa; Méndez, María; Soriano-Arandes, Antoni; Baquero-Artigao, Fernando; Rodríguez-Molino, Paula; Guillén-Martín, Sara; Toro-Rueda, Carl"&amp;"os; De Souza-Galvão, M Luiza; Jiménez-Fuentes, M Ángeles; Stojanovic, Zoran; Sabriá, Josefina; Santos, José Ramón; Puig, Jordi; Domínguez-Álvarez, Marisol; Millet, Joan-Pau; Altet, Neus; Galea, Yolanda; Muriel-Moreno, Beatriz; García-García, Esther; Bach-"&amp;"Griera, Marc; Prat-Aymerich, Cristina; Julián, Esther; Torrelles, Jordi B; Rodrigo, Carlos; Domínguez, José")</f>
        <v>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v>
      </c>
      <c r="Z680" s="31">
        <f>IFERROR(__xludf.DUMMYFUNCTION("""COMPUTED_VALUE"""),2023.0)</f>
        <v>2023</v>
      </c>
      <c r="AA680" s="31">
        <f>IFERROR(__xludf.DUMMYFUNCTION("""COMPUTED_VALUE"""),0.0)</f>
        <v>0</v>
      </c>
      <c r="AF680" s="31" t="str">
        <f>IFERROR(__xludf.DUMMYFUNCTION("""COMPUTED_VALUE"""),"Variations in hypertension awareness, treatment, and control among Ghanaian migrants living in Amsterdam, Berlin, London, and nonmigrant Ghanaians living in rural and urban Ghana - the RODAM study.")</f>
        <v>Variations in hypertension awareness, treatment, and control among Ghanaian migrants living in Amsterdam, Berlin, London, and nonmigrant Ghanaians living in rural and urban Ghana - the RODAM study.</v>
      </c>
      <c r="AG680" s="31" t="str">
        <f>IFERROR(__xludf.DUMMYFUNCTION("""COMPUTED_VALUE"""),"Agyemang, Charles; Nyaaba, Gertrude; Beune, Erik; Meeks, Karlijn; Owusu-Dabo, Ellis; Addo, Juliet; Aikins, Ama de-Graft; Mockenhaupt, Frank P; Bahendeka, Silver; Danquah, Ina; Schulze, Matthias B; Galbete, Cecilia; Spranger, Joachim; Agyei-Baffour, Peter;"&amp;" Henneman, Peter; Klipstein-Grobusch, Kerstin; Adeyemo, Adebowale; van Straalen, Jan; Commodore-Mensah, Yvonne; Appiah, Lambert T; Smeeth, Liam; Stronks, Karien")</f>
        <v>Agyemang, Charles; Nyaaba, Gertrude; Beune, Erik; Meeks, Karlijn; Owusu-Dabo, Ellis; Addo, Juliet; Aikins, Ama de-Graft; Mockenhaupt, Frank P; Bahendeka, Silver; Danquah, Ina; Schulze, Matthias B; Galbete, Cecilia; Spranger, Joachim; Agyei-Baffour, Peter; Henneman, Peter; Klipstein-Grobusch, Kerstin; Adeyemo, Adebowale; van Straalen, Jan; Commodore-Mensah, Yvonne; Appiah, Lambert T; Smeeth, Liam; Stronks, Karien</v>
      </c>
      <c r="AH680" s="32">
        <f>IFERROR(__xludf.DUMMYFUNCTION("""COMPUTED_VALUE"""),43101.0)</f>
        <v>43101</v>
      </c>
      <c r="AL680" s="31" t="str">
        <f>IFERROR(__xludf.DUMMYFUNCTION("""COMPUTED_VALUE"""),"Medical consumption compared for TIMI and HEART score in chest pain patients at the emergency department: a retrospective cost analysis.")</f>
        <v>Medical consumption compared for TIMI and HEART score in chest pain patients at the emergency department: a retrospective cost analysis.</v>
      </c>
      <c r="AM680" s="31" t="str">
        <f>IFERROR(__xludf.DUMMYFUNCTION("""COMPUTED_VALUE"""),"Nieuwets, A; Poldervaart, J M; Reitsma, J B; Buitendijk, S; Six, A J; Backus, B E; Hoes, A W; Doevendans, P A")</f>
        <v>Nieuwets, A; Poldervaart, J M; Reitsma, J B; Buitendijk, S; Six, A J; Backus, B E; Hoes, A W; Doevendans, P A</v>
      </c>
      <c r="AN680" s="32">
        <f>IFERROR(__xludf.DUMMYFUNCTION("""COMPUTED_VALUE"""),42537.0)</f>
        <v>42537</v>
      </c>
    </row>
    <row r="681">
      <c r="A681" s="32"/>
      <c r="I681" s="31" t="str">
        <f>IFERROR(__xludf.DUMMYFUNCTION("""COMPUTED_VALUE"""),"journal of the neurological sciences")</f>
        <v>journal of the neurological sciences</v>
      </c>
      <c r="J681" s="38">
        <f>COUNTIF(Data!$F$2:$F9917, $I681)</f>
        <v>8</v>
      </c>
      <c r="T681" s="31" t="s">
        <v>1695</v>
      </c>
      <c r="U681" s="31" t="s">
        <v>1696</v>
      </c>
      <c r="V681" s="32">
        <v>45219.0</v>
      </c>
      <c r="X681" s="31" t="str">
        <f>IFERROR(__xludf.DUMMYFUNCTION("""COMPUTED_VALUE"""),"New methodology to assess the excess burden of antibiotic resistance using country-specific parameters: a case study regarding &lt;i&gt;E. coli&lt;/i&gt; urinary tract infections.")</f>
        <v>New methodology to assess the excess burden of antibiotic resistance using country-specific parameters: a case study regarding &lt;i&gt;E. coli&lt;/i&gt; urinary tract infections.</v>
      </c>
      <c r="Y681" s="31" t="str">
        <f>IFERROR(__xludf.DUMMYFUNCTION("""COMPUTED_VALUE"""),"Godijk, Noortje Grejanne; McDonald, Scott A; Altorf-van der Kuil, Wieke; Schoffelen, Annelot F; Franz, Eelco; Bootsma, Martin C J")</f>
        <v>Godijk, Noortje Grejanne; McDonald, Scott A; Altorf-van der Kuil, Wieke; Schoffelen, Annelot F; Franz, Eelco; Bootsma, Martin C J</v>
      </c>
      <c r="Z681" s="31">
        <f>IFERROR(__xludf.DUMMYFUNCTION("""COMPUTED_VALUE"""),2023.0)</f>
        <v>2023</v>
      </c>
      <c r="AA681" s="31">
        <f>IFERROR(__xludf.DUMMYFUNCTION("""COMPUTED_VALUE"""),0.0)</f>
        <v>0</v>
      </c>
      <c r="AF681" s="31" t="str">
        <f>IFERROR(__xludf.DUMMYFUNCTION("""COMPUTED_VALUE"""),"Blood pressure patterns and body mass index status in pregnancy: An assessment among women reporting for antenatal care at the Korle-Bu Teaching hospital, Ghana.")</f>
        <v>Blood pressure patterns and body mass index status in pregnancy: An assessment among women reporting for antenatal care at the Korle-Bu Teaching hospital, Ghana.</v>
      </c>
      <c r="AG681" s="31" t="str">
        <f>IFERROR(__xludf.DUMMYFUNCTION("""COMPUTED_VALUE"""),"Amoakoh-Coleman, Mary; Ogum-Alangea, Deda; Modey-Amoah, Emefa; Ntumy, Michael Yao; Adanu, Richard M; Oppong, Samuel A")</f>
        <v>Amoakoh-Coleman, Mary; Ogum-Alangea, Deda; Modey-Amoah, Emefa; Ntumy, Michael Yao; Adanu, Richard M; Oppong, Samuel A</v>
      </c>
      <c r="AH681" s="32">
        <f>IFERROR(__xludf.DUMMYFUNCTION("""COMPUTED_VALUE"""),43075.0)</f>
        <v>43075</v>
      </c>
      <c r="AL681" s="31" t="str">
        <f>IFERROR(__xludf.DUMMYFUNCTION("""COMPUTED_VALUE"""),"Reported estimates of diagnostic accuracy in ophthalmology conference abstracts were not associated with full-text publication.")</f>
        <v>Reported estimates of diagnostic accuracy in ophthalmology conference abstracts were not associated with full-text publication.</v>
      </c>
      <c r="AM681" s="31" t="str">
        <f>IFERROR(__xludf.DUMMYFUNCTION("""COMPUTED_VALUE"""),"Korevaar, Daniël A; Cohen, Jérémie F; Spijker, René; Saldanha, Ian J; Dickersin, Kay; Virgili, Gianni; Hooft, Lotty; Bossuyt, Patrick M M")</f>
        <v>Korevaar, Daniël A; Cohen, Jérémie F; Spijker, René; Saldanha, Ian J; Dickersin, Kay; Virgili, Gianni; Hooft, Lotty; Bossuyt, Patrick M M</v>
      </c>
      <c r="AN681" s="32">
        <f>IFERROR(__xludf.DUMMYFUNCTION("""COMPUTED_VALUE"""),42535.0)</f>
        <v>42535</v>
      </c>
    </row>
    <row r="682">
      <c r="A682" s="32"/>
      <c r="I682" s="31" t="str">
        <f>IFERROR(__xludf.DUMMYFUNCTION("""COMPUTED_VALUE"""),"journal of science and medicine in sport")</f>
        <v>journal of science and medicine in sport</v>
      </c>
      <c r="J682" s="38">
        <f>COUNTIF(Data!$F$2:$F9917, $I682)</f>
        <v>1</v>
      </c>
      <c r="T682" s="31" t="s">
        <v>1699</v>
      </c>
      <c r="U682" s="31" t="s">
        <v>1700</v>
      </c>
      <c r="V682" s="32">
        <v>45218.0</v>
      </c>
      <c r="X682" s="31" t="str">
        <f>IFERROR(__xludf.DUMMYFUNCTION("""COMPUTED_VALUE"""),"Research Priorities to Increase Confidence in and Acceptance of Health Preference Research: What Questions Should be Prioritized Now?")</f>
        <v>Research Priorities to Increase Confidence in and Acceptance of Health Preference Research: What Questions Should be Prioritized Now?</v>
      </c>
      <c r="Y682" s="31" t="str">
        <f>IFERROR(__xludf.DUMMYFUNCTION("""COMPUTED_VALUE"""),"DiSantostefano, Rachael L; Smith, Ian P; Falahee, Marie; Jiménez-Moreno, Aura Cecilia; Oliveri, Serena; Veldwijk, Jorien; de Wit, G Ardine; Janssen, Ellen M; Berlin, Conny; Groothuis-Oudshoorn, Catharina G M")</f>
        <v>DiSantostefano, Rachael L; Smith, Ian P; Falahee, Marie; Jiménez-Moreno, Aura Cecilia; Oliveri, Serena; Veldwijk, Jorien; de Wit, G Ardine; Janssen, Ellen M; Berlin, Conny; Groothuis-Oudshoorn, Catharina G M</v>
      </c>
      <c r="Z682" s="31">
        <f>IFERROR(__xludf.DUMMYFUNCTION("""COMPUTED_VALUE"""),2023.0)</f>
        <v>2023</v>
      </c>
      <c r="AA682" s="31">
        <f>IFERROR(__xludf.DUMMYFUNCTION("""COMPUTED_VALUE"""),0.0)</f>
        <v>0</v>
      </c>
      <c r="AF682" s="31" t="str">
        <f>IFERROR(__xludf.DUMMYFUNCTION("""COMPUTED_VALUE"""),"Cohort Profile Update: The Doetinchem Cohort Study 1987-2017: lifestyle, health and chronic diseases in a life course and ageing perspective.")</f>
        <v>Cohort Profile Update: The Doetinchem Cohort Study 1987-2017: lifestyle, health and chronic diseases in a life course and ageing perspective.</v>
      </c>
      <c r="AG682" s="31" t="str">
        <f>IFERROR(__xludf.DUMMYFUNCTION("""COMPUTED_VALUE"""),"Picavet, H S J; Blokstra, Anneke; Spijkerman, Annemieke M W; Verschuren, W M Monique")</f>
        <v>Picavet, H S J; Blokstra, Anneke; Spijkerman, Annemieke M W; Verschuren, W M Monique</v>
      </c>
      <c r="AH682" s="32">
        <f>IFERROR(__xludf.DUMMYFUNCTION("""COMPUTED_VALUE"""),43070.0)</f>
        <v>43070</v>
      </c>
      <c r="AL682" s="31" t="str">
        <f>IFERROR(__xludf.DUMMYFUNCTION("""COMPUTED_VALUE"""),"Updating standards for reporting diagnostic accuracy: the development of STARD 2015.")</f>
        <v>Updating standards for reporting diagnostic accuracy: the development of STARD 2015.</v>
      </c>
      <c r="AM682" s="31" t="str">
        <f>IFERROR(__xludf.DUMMYFUNCTION("""COMPUTED_VALUE"""),"Korevaar, Daniël A; Cohen, Jérémie F; Reitsma, Johannes B; Bruns, David E; Gatsonis, Constantine A; Glasziou, Paul P; Irwig, Les; Moher, David; de Vet, Henrica C W; Altman, Douglas G; Hooft, Lotty; Bossuyt, Patrick M M")</f>
        <v>Korevaar, Daniël A; Cohen, Jérémie F; Reitsma, Johannes B; Bruns, David E; Gatsonis, Constantine A; Glasziou, Paul P; Irwig, Les; Moher, David; de Vet, Henrica C W; Altman, Douglas G; Hooft, Lotty; Bossuyt, Patrick M M</v>
      </c>
      <c r="AN682" s="32">
        <f>IFERROR(__xludf.DUMMYFUNCTION("""COMPUTED_VALUE"""),42528.0)</f>
        <v>42528</v>
      </c>
    </row>
    <row r="683">
      <c r="A683" s="32"/>
      <c r="I683" s="31" t="str">
        <f>IFERROR(__xludf.DUMMYFUNCTION("""COMPUTED_VALUE"""),"international journal of medical informatics")</f>
        <v>international journal of medical informatics</v>
      </c>
      <c r="J683" s="38">
        <f>COUNTIF(Data!$F$2:$F9917, $I683)</f>
        <v>2</v>
      </c>
      <c r="T683" s="31" t="s">
        <v>1703</v>
      </c>
      <c r="U683" s="31" t="s">
        <v>1704</v>
      </c>
      <c r="V683" s="32">
        <v>45218.0</v>
      </c>
      <c r="X683" s="31" t="str">
        <f>IFERROR(__xludf.DUMMYFUNCTION("""COMPUTED_VALUE"""),"Genome-wide association study meta-analysis of blood pressure traits and hypertension in sub-Saharan African populations: an AWI-Gen study.")</f>
        <v>Genome-wide association study meta-analysis of blood pressure traits and hypertension in sub-Saharan African populations: an AWI-Gen study.</v>
      </c>
      <c r="Y683" s="31" t="str">
        <f>IFERROR(__xludf.DUMMYFUNCTION("""COMPUTED_VALUE"""),"Singh, Surina; Choudhury, Ananyo; Hazelhurst, Scott; Crowther, Nigel J; Boua, Palwendé R; Sorgho, Hermann; Agongo, Godfred; Nonterah, Engelbert A; Micklesfield, Lisa K; Norris, Shane A; Kisiangani, Isaac; Mohamed, Shukri; Gómez-Olivé, Francesc X; Tollman,"&amp;" Stephen M; Choma, Solomon; Brandenburg, J-T; Ramsay, Michèle")</f>
        <v>Singh, Surina; Choudhury, Ananyo; Hazelhurst, Scott; Crowther, Nigel J; Boua, Palwendé R; Sorgho, Hermann; Agongo, Godfred; Nonterah, Engelbert A; Micklesfield, Lisa K; Norris, Shane A; Kisiangani, Isaac; Mohamed, Shukri; Gómez-Olivé, Francesc X; Tollman, Stephen M; Choma, Solomon; Brandenburg, J-T; Ramsay, Michèle</v>
      </c>
      <c r="Z683" s="31">
        <f>IFERROR(__xludf.DUMMYFUNCTION("""COMPUTED_VALUE"""),2023.0)</f>
        <v>2023</v>
      </c>
      <c r="AA683" s="31">
        <f>IFERROR(__xludf.DUMMYFUNCTION("""COMPUTED_VALUE"""),0.0)</f>
        <v>0</v>
      </c>
      <c r="AF683" s="31" t="str">
        <f>IFERROR(__xludf.DUMMYFUNCTION("""COMPUTED_VALUE"""),"Type 2 diabetes mellitus management among Ghanaian migrants resident in three European countries and their compatriots in rural and urban Ghana - The RODAM study.")</f>
        <v>Type 2 diabetes mellitus management among Ghanaian migrants resident in three European countries and their compatriots in rural and urban Ghana - The RODAM study.</v>
      </c>
      <c r="AG683" s="31" t="str">
        <f>IFERROR(__xludf.DUMMYFUNCTION("""COMPUTED_VALUE"""),"Bijlholt, Margriet; Meeks, Karlijn A C; Beune, Erik; Addo, Juliet; Smeeth, Liam; Schulze, Matthias B; Danquah, Ina; Galbete, Cecilia; de-Graft Aikins, Ama; Klipstein-Grobusch, Kerstin; Owusu-Dabo, Ellis; Spranger, Joachim; Mockenhaupt, Frank P; Amoah, Ste"&amp;"phen K; Bahendeka, Silver; Stronks, Karien; Agyemang, Charles")</f>
        <v>Bijlholt, Margriet; Meeks, Karlijn A C; Beune, Erik; Addo, Juliet; Smeeth, Liam; Schulze, Matthias B; Danquah, Ina; Galbete, Cecilia; de-Graft Aikins, Ama; Klipstein-Grobusch, Kerstin; Owusu-Dabo, Ellis; Spranger, Joachim; Mockenhaupt, Frank P; Amoah, Stephen K; Bahendeka, Silver; Stronks, Karien; Agyemang, Charles</v>
      </c>
      <c r="AH683" s="32">
        <f>IFERROR(__xludf.DUMMYFUNCTION("""COMPUTED_VALUE"""),43070.0)</f>
        <v>43070</v>
      </c>
      <c r="AL683" s="31" t="str">
        <f>IFERROR(__xludf.DUMMYFUNCTION("""COMPUTED_VALUE"""),"Sex-Related Differences in Outcome in Patients with Aneurysmal Subarachnoid Hemorrhage.")</f>
        <v>Sex-Related Differences in Outcome in Patients with Aneurysmal Subarachnoid Hemorrhage.</v>
      </c>
      <c r="AM683" s="31" t="str">
        <f>IFERROR(__xludf.DUMMYFUNCTION("""COMPUTED_VALUE"""),"Duijghuisen, Jesse J; Greebe, Paut; Nieuwkamp, Dennis J; Algra, Ale; Rinkel, Gabriël J E")</f>
        <v>Duijghuisen, Jesse J; Greebe, Paut; Nieuwkamp, Dennis J; Algra, Ale; Rinkel, Gabriël J E</v>
      </c>
      <c r="AN683" s="32">
        <f>IFERROR(__xludf.DUMMYFUNCTION("""COMPUTED_VALUE"""),42522.0)</f>
        <v>42522</v>
      </c>
    </row>
    <row r="684">
      <c r="A684" s="32"/>
      <c r="I684" s="31" t="str">
        <f>IFERROR(__xludf.DUMMYFUNCTION("""COMPUTED_VALUE"""),"the lancet respiratory medicine")</f>
        <v>the lancet respiratory medicine</v>
      </c>
      <c r="J684" s="38">
        <f>COUNTIF(Data!$F$2:$F9917, $I684)</f>
        <v>6</v>
      </c>
      <c r="T684" s="31" t="s">
        <v>1708</v>
      </c>
      <c r="U684" s="31" t="s">
        <v>1709</v>
      </c>
      <c r="V684" s="32">
        <v>45217.0</v>
      </c>
      <c r="X684" s="31" t="str">
        <f>IFERROR(__xludf.DUMMYFUNCTION("""COMPUTED_VALUE"""),"Perspectives on systematic review protocol registration: a survey amongst stakeholders in the clinical research publication process.")</f>
        <v>Perspectives on systematic review protocol registration: a survey amongst stakeholders in the clinical research publication process.</v>
      </c>
      <c r="Y684" s="31" t="str">
        <f>IFERROR(__xludf.DUMMYFUNCTION("""COMPUTED_VALUE"""),"van der Braak, Kim; Heus, Pauline; Orelio, Claudia; Netterström-Wedin, Fredh; Robinson, Karen A; Lund, Hans; Hooft, Lotty")</f>
        <v>van der Braak, Kim; Heus, Pauline; Orelio, Claudia; Netterström-Wedin, Fredh; Robinson, Karen A; Lund, Hans; Hooft, Lotty</v>
      </c>
      <c r="Z684" s="31">
        <f>IFERROR(__xludf.DUMMYFUNCTION("""COMPUTED_VALUE"""),2023.0)</f>
        <v>2023</v>
      </c>
      <c r="AA684" s="31">
        <f>IFERROR(__xludf.DUMMYFUNCTION("""COMPUTED_VALUE"""),0.0)</f>
        <v>0</v>
      </c>
      <c r="AF684" s="31" t="str">
        <f>IFERROR(__xludf.DUMMYFUNCTION("""COMPUTED_VALUE"""),"Newly identified risk factors for MRSA carriage in The Netherlands.")</f>
        <v>Newly identified risk factors for MRSA carriage in The Netherlands.</v>
      </c>
      <c r="AG684" s="31" t="str">
        <f>IFERROR(__xludf.DUMMYFUNCTION("""COMPUTED_VALUE"""),"Lekkerkerk, W S N; Haenen, A; van der Sande, M A B; Leenstra, T; de Greeff, S; Timen, A; Tjon-A-Tsien, A; Richardus, J H; van de Sande-Bruinsma, N; Vos, M C")</f>
        <v>Lekkerkerk, W S N; Haenen, A; van der Sande, M A B; Leenstra, T; de Greeff, S; Timen, A; Tjon-A-Tsien, A; Richardus, J H; van de Sande-Bruinsma, N; Vos, M C</v>
      </c>
      <c r="AH684" s="32">
        <f>IFERROR(__xludf.DUMMYFUNCTION("""COMPUTED_VALUE"""),43069.0)</f>
        <v>43069</v>
      </c>
      <c r="AL684" s="31" t="str">
        <f>IFERROR(__xludf.DUMMYFUNCTION("""COMPUTED_VALUE"""),"Effects of aspirin on risk and severity of early recurrent stroke after transient ischaemic attack and ischaemic stroke: time-course analysis of randomised trials.")</f>
        <v>Effects of aspirin on risk and severity of early recurrent stroke after transient ischaemic attack and ischaemic stroke: time-course analysis of randomised trials.</v>
      </c>
      <c r="AM684" s="31" t="str">
        <f>IFERROR(__xludf.DUMMYFUNCTION("""COMPUTED_VALUE"""),"Rothwell, Peter M; Algra, Ale; Chen, Zhengming; Diener, Hans-Christoph; Norrving, Bo; Mehta, Ziyah")</f>
        <v>Rothwell, Peter M; Algra, Ale; Chen, Zhengming; Diener, Hans-Christoph; Norrving, Bo; Mehta, Ziyah</v>
      </c>
      <c r="AN684" s="32">
        <f>IFERROR(__xludf.DUMMYFUNCTION("""COMPUTED_VALUE"""),42508.0)</f>
        <v>42508</v>
      </c>
    </row>
    <row r="685">
      <c r="A685" s="32"/>
      <c r="I685" s="31" t="str">
        <f>IFERROR(__xludf.DUMMYFUNCTION("""COMPUTED_VALUE"""),"pathogens basel switzerland")</f>
        <v>pathogens basel switzerland</v>
      </c>
      <c r="J685" s="38">
        <f>COUNTIF(Data!$F$2:$F9917, $I685)</f>
        <v>1</v>
      </c>
      <c r="T685" s="31" t="s">
        <v>1712</v>
      </c>
      <c r="U685" s="31" t="s">
        <v>1713</v>
      </c>
      <c r="V685" s="32">
        <v>45216.0</v>
      </c>
      <c r="X685" s="31" t="str">
        <f>IFERROR(__xludf.DUMMYFUNCTION("""COMPUTED_VALUE"""),"Risk factors for cardiovascular disease: the known unknown.")</f>
        <v>Risk factors for cardiovascular disease: the known unknown.</v>
      </c>
      <c r="Y685" s="31" t="str">
        <f>IFERROR(__xludf.DUMMYFUNCTION("""COMPUTED_VALUE"""),"Artola Arita, Vicente; Beigrezaei, Sara; Franco, Oscar H")</f>
        <v>Artola Arita, Vicente; Beigrezaei, Sara; Franco, Oscar H</v>
      </c>
      <c r="Z685" s="31">
        <f>IFERROR(__xludf.DUMMYFUNCTION("""COMPUTED_VALUE"""),2023.0)</f>
        <v>2023</v>
      </c>
      <c r="AA685" s="31">
        <f>IFERROR(__xludf.DUMMYFUNCTION("""COMPUTED_VALUE"""),0.0)</f>
        <v>0</v>
      </c>
      <c r="AF685" s="31" t="str">
        <f>IFERROR(__xludf.DUMMYFUNCTION("""COMPUTED_VALUE"""),"The Montreal Cognitive Assessment-Basic (MoCA-B) is not a reliable screening tool for cognitive decline in HIV patients receiving combination antiretroviral therapy in rural South Africa.")</f>
        <v>The Montreal Cognitive Assessment-Basic (MoCA-B) is not a reliable screening tool for cognitive decline in HIV patients receiving combination antiretroviral therapy in rural South Africa.</v>
      </c>
      <c r="AG685" s="31" t="str">
        <f>IFERROR(__xludf.DUMMYFUNCTION("""COMPUTED_VALUE"""),"Hakkers, C S; Beunders, A J M; Ensing, M H M; Barth, R E; Boelema, S; Devillé, W L J; Tempelman, H A; Coutinho, R A; Hoepelman, A I M; Arends, J E; van Zandvoort, M J E")</f>
        <v>Hakkers, C S; Beunders, A J M; Ensing, M H M; Barth, R E; Boelema, S; Devillé, W L J; Tempelman, H A; Coutinho, R A; Hoepelman, A I M; Arends, J E; van Zandvoort, M J E</v>
      </c>
      <c r="AH685" s="32">
        <f>IFERROR(__xludf.DUMMYFUNCTION("""COMPUTED_VALUE"""),43065.0)</f>
        <v>43065</v>
      </c>
      <c r="AL685" s="31" t="str">
        <f>IFERROR(__xludf.DUMMYFUNCTION("""COMPUTED_VALUE"""),"Quality of Reporting and Study Design of CKD Cohort Studies Assessing Mortality in the Elderly Before and After STROBE: A Systematic Review.")</f>
        <v>Quality of Reporting and Study Design of CKD Cohort Studies Assessing Mortality in the Elderly Before and After STROBE: A Systematic Review.</v>
      </c>
      <c r="AM685" s="31" t="str">
        <f>IFERROR(__xludf.DUMMYFUNCTION("""COMPUTED_VALUE"""),"Rao, Anirudh; Brück, Katharina; Methven, Shona; Evans, Rebecca; Stel, Vianda S; Jager, Kitty J; Hooft, Lotty; Ben-Shlomo, Yoav; Caskey, Fergus")</f>
        <v>Rao, Anirudh; Brück, Katharina; Methven, Shona; Evans, Rebecca; Stel, Vianda S; Jager, Kitty J; Hooft, Lotty; Ben-Shlomo, Yoav; Caskey, Fergus</v>
      </c>
      <c r="AN685" s="32">
        <f>IFERROR(__xludf.DUMMYFUNCTION("""COMPUTED_VALUE"""),42501.0)</f>
        <v>42501</v>
      </c>
    </row>
    <row r="686">
      <c r="A686" s="32"/>
      <c r="I686" s="31" t="str">
        <f>IFERROR(__xludf.DUMMYFUNCTION("""COMPUTED_VALUE"""),"pilot and feasibility studies")</f>
        <v>pilot and feasibility studies</v>
      </c>
      <c r="J686" s="38">
        <f>COUNTIF(Data!$F$2:$F9917, $I686)</f>
        <v>1</v>
      </c>
      <c r="T686" s="31" t="s">
        <v>1717</v>
      </c>
      <c r="U686" s="31" t="s">
        <v>1718</v>
      </c>
      <c r="V686" s="32">
        <v>45216.0</v>
      </c>
      <c r="X686" s="31" t="str">
        <f>IFERROR(__xludf.DUMMYFUNCTION("""COMPUTED_VALUE"""),"Predicting sepsis-related mortality and ICU admissions from telephone triage information of patients presenting to out-of-hours GP cooperatives with acute infections: A cohort study of linked routine care databases.")</f>
        <v>Predicting sepsis-related mortality and ICU admissions from telephone triage information of patients presenting to out-of-hours GP cooperatives with acute infections: A cohort study of linked routine care databases.</v>
      </c>
      <c r="Y686" s="31" t="str">
        <f>IFERROR(__xludf.DUMMYFUNCTION("""COMPUTED_VALUE"""),"Loots, Feike J; Smits, Marleen; Jenniskens, Kevin; Leeuwenberg, Artuur M; Giesen, Paul H J; Ramerman, Lotte; Verheij, Robert; van Zanten, Arthur R H; Venekamp, Roderick P")</f>
        <v>Loots, Feike J; Smits, Marleen; Jenniskens, Kevin; Leeuwenberg, Artuur M; Giesen, Paul H J; Ramerman, Lotte; Verheij, Robert; van Zanten, Arthur R H; Venekamp, Roderick P</v>
      </c>
      <c r="Z686" s="31">
        <f>IFERROR(__xludf.DUMMYFUNCTION("""COMPUTED_VALUE"""),2023.0)</f>
        <v>2023</v>
      </c>
      <c r="AA686" s="31">
        <f>IFERROR(__xludf.DUMMYFUNCTION("""COMPUTED_VALUE"""),0.0)</f>
        <v>0</v>
      </c>
      <c r="AF686" s="31" t="str">
        <f>IFERROR(__xludf.DUMMYFUNCTION("""COMPUTED_VALUE"""),"THE AUTHORS REPLY.")</f>
        <v>THE AUTHORS REPLY.</v>
      </c>
      <c r="AG686" s="31" t="str">
        <f>IFERROR(__xludf.DUMMYFUNCTION("""COMPUTED_VALUE"""),"Martens, Astrid L; Slottje, Pauline; Timmermans, Danielle R M; Kromhout, Hans; Reedijk, Marije; Smid, Tjabe; Vermeulen, Roel C H")</f>
        <v>Martens, Astrid L; Slottje, Pauline; Timmermans, Danielle R M; Kromhout, Hans; Reedijk, Marije; Smid, Tjabe; Vermeulen, Roel C H</v>
      </c>
      <c r="AH686" s="32">
        <f>IFERROR(__xludf.DUMMYFUNCTION("""COMPUTED_VALUE"""),43054.0)</f>
        <v>43054</v>
      </c>
      <c r="AL686" s="31" t="str">
        <f>IFERROR(__xludf.DUMMYFUNCTION("""COMPUTED_VALUE"""),"Burden of Cancer in a Large Consortium of Prospective Cohorts in Europe.")</f>
        <v>Burden of Cancer in a Large Consortium of Prospective Cohorts in Europe.</v>
      </c>
      <c r="AM686" s="31" t="str">
        <f>IFERROR(__xludf.DUMMYFUNCTION("""COMPUTED_VALUE"""),"Tsilidis, Konstantinos K; Papadimitriou, Nikos; Capothanassi, Despoina; Bamia, Christina; Benetou, Vassiliki; Jenab, Mazda; Freisling, Heinz; Kee, Frank; Nelen, Annemarie; O'Doherty, Mark G; Scott, Angela; Soerjomataram, Isabelle; Tjønneland, Anne; May, A"&amp;"nne M; Ramón Quirós, J; Pettersson-Kymmer, Ulrika; Brenner, Hermann; Schöttker, Ben; Ordóñez-Mena, José M; Karina Dieffenbach, Aida; Eriksson, Sture; Bøgeberg Mathiesen, Ellisiv; Njølstad, Inger; Siganos, Galatios; Wilsgaard, Tom; Boffetta, Paolo; Trichop"&amp;"oulos, Dimitrios; Trichopoulou, Antonia")</f>
        <v>Tsilidis, Konstantinos K; Papadimitriou, Nikos; Capothanassi, Despoina; Bamia, Christina; Benetou, Vassiliki; Jenab, Mazda; Freisling, Heinz; Kee, Frank; Nelen, Annemarie; O'Doherty, Mark G; Scott, Angela; Soerjomataram, Isabelle; Tjønneland, Anne; May, Anne M; Ramón Quirós, J; Pettersson-Kymmer, Ulrika; Brenner, Hermann; Schöttker, Ben; Ordóñez-Mena, José M; Karina Dieffenbach, Aida; Eriksson, Sture; Bøgeberg Mathiesen, Ellisiv; Njølstad, Inger; Siganos, Galatios; Wilsgaard, Tom; Boffetta, Paolo; Trichopoulos, Dimitrios; Trichopoulou, Antonia</v>
      </c>
      <c r="AN686" s="32">
        <f>IFERROR(__xludf.DUMMYFUNCTION("""COMPUTED_VALUE"""),42496.0)</f>
        <v>42496</v>
      </c>
    </row>
    <row r="687">
      <c r="A687" s="32"/>
      <c r="I687" s="31" t="str">
        <f>IFERROR(__xludf.DUMMYFUNCTION("""COMPUTED_VALUE"""),"harm reduction journal")</f>
        <v>harm reduction journal</v>
      </c>
      <c r="J687" s="38">
        <f>COUNTIF(Data!$F$2:$F9917, $I687)</f>
        <v>1</v>
      </c>
      <c r="T687" s="31" t="s">
        <v>1721</v>
      </c>
      <c r="U687" s="31" t="s">
        <v>1722</v>
      </c>
      <c r="V687" s="32">
        <v>45215.0</v>
      </c>
      <c r="X687" s="31" t="str">
        <f>IFERROR(__xludf.DUMMYFUNCTION("""COMPUTED_VALUE"""),"Lymphocyte and neutrophil count combined with intestinal bacteria abundance predict the severity of COVID-19.")</f>
        <v>Lymphocyte and neutrophil count combined with intestinal bacteria abundance predict the severity of COVID-19.</v>
      </c>
      <c r="Y687" s="31" t="str">
        <f>IFERROR(__xludf.DUMMYFUNCTION("""COMPUTED_VALUE"""),"Chen, Liuying; Yin, Zhongwei; Zhou, Dan; Li, Xin; Yu, Cheng; Luo, Chang; Jin, Yu; Zhang, Lei; Song, Jun; Rasche, Leo; Einsele, Hermann; Tu, Lei; Zhou, Xiang; Bai, Tao; Hou, Xiaohua")</f>
        <v>Chen, Liuying; Yin, Zhongwei; Zhou, Dan; Li, Xin; Yu, Cheng; Luo, Chang; Jin, Yu; Zhang, Lei; Song, Jun; Rasche, Leo; Einsele, Hermann; Tu, Lei; Zhou, Xiang; Bai, Tao; Hou, Xiaohua</v>
      </c>
      <c r="Z687" s="31">
        <f>IFERROR(__xludf.DUMMYFUNCTION("""COMPUTED_VALUE"""),2023.0)</f>
        <v>2023</v>
      </c>
      <c r="AA687" s="31">
        <f>IFERROR(__xludf.DUMMYFUNCTION("""COMPUTED_VALUE"""),0.0)</f>
        <v>0</v>
      </c>
      <c r="AF687" s="31" t="str">
        <f>IFERROR(__xludf.DUMMYFUNCTION("""COMPUTED_VALUE"""),"Migration and Cardiovascular Disease Risk Among Ghanaian Populations in Europe: The RODAM Study (Research on Obesity and Diabetes Among African Migrants).")</f>
        <v>Migration and Cardiovascular Disease Risk Among Ghanaian Populations in Europe: The RODAM Study (Research on Obesity and Diabetes Among African Migrants).</v>
      </c>
      <c r="AG687" s="31" t="str">
        <f>IFERROR(__xludf.DUMMYFUNCTION("""COMPUTED_VALUE"""),"Boateng, Daniel; Agyemang, Charles; Beune, Erik; Meeks, Karlijn; Smeeth, Liam; Schulze, Matthias; Addo, Juliet; de-Graft Aikins, Ama; Galbete, Cecilia; Bahendeka, Silver; Danquah, Ina; Agyei-Baffour, Peter; Owusu-Dabo, Ellis; Mockenhaupt, Frank P; Sprange"&amp;"r, Joachim; Kengne, Andre P; Grobbee, Diederick E; Stronks, Karien; Klipstein-Grobusch, Kerstin")</f>
        <v>Boateng, Daniel; Agyemang, Charles; Beune, Erik; Meeks, Karlijn; Smeeth, Liam; Schulze, Matthias; Addo, Juliet; de-Graft Aikins, Ama; Galbete, Cecilia; Bahendeka, Silver; Danquah, Ina; Agyei-Baffour, Peter; Owusu-Dabo, Ellis; Mockenhaupt, Frank P; Spranger, Joachim; Kengne, Andre P; Grobbee, Diederick E; Stronks, Karien; Klipstein-Grobusch, Kerstin</v>
      </c>
      <c r="AH687" s="32">
        <f>IFERROR(__xludf.DUMMYFUNCTION("""COMPUTED_VALUE"""),43040.0)</f>
        <v>43040</v>
      </c>
      <c r="AL687" s="31" t="str">
        <f>IFERROR(__xludf.DUMMYFUNCTION("""COMPUTED_VALUE"""),"Perivascular spaces on 7 Tesla brain MRI are related to markers of small vessel disease but not to age or cardiovascular risk factors.")</f>
        <v>Perivascular spaces on 7 Tesla brain MRI are related to markers of small vessel disease but not to age or cardiovascular risk factors.</v>
      </c>
      <c r="AM687" s="31" t="str">
        <f>IFERROR(__xludf.DUMMYFUNCTION("""COMPUTED_VALUE"""),"Bouvy, Willem H; Zwanenburg, Jaco J M; Reinink, Rik; Wisse, Laura E M; Luijten, Peter R; Kappelle, L Jaap; Geerlings, Mirjam I; Biessels, Geert Jan; ,")</f>
        <v>Bouvy, Willem H; Zwanenburg, Jaco J M; Reinink, Rik; Wisse, Laura E M; Luijten, Peter R; Kappelle, L Jaap; Geerlings, Mirjam I; Biessels, Geert Jan; ,</v>
      </c>
      <c r="AN687" s="32">
        <f>IFERROR(__xludf.DUMMYFUNCTION("""COMPUTED_VALUE"""),42496.0)</f>
        <v>42496</v>
      </c>
    </row>
    <row r="688">
      <c r="A688" s="32"/>
      <c r="I688" s="31" t="str">
        <f>IFERROR(__xludf.DUMMYFUNCTION("""COMPUTED_VALUE"""),"bmc psychiatry")</f>
        <v>bmc psychiatry</v>
      </c>
      <c r="J688" s="38">
        <f>COUNTIF(Data!$F$2:$F9917, $I688)</f>
        <v>2</v>
      </c>
      <c r="T688" s="31" t="s">
        <v>1725</v>
      </c>
      <c r="U688" s="31" t="s">
        <v>1726</v>
      </c>
      <c r="V688" s="32">
        <v>45214.0</v>
      </c>
      <c r="X688" s="31" t="str">
        <f>IFERROR(__xludf.DUMMYFUNCTION("""COMPUTED_VALUE"""),"Patient preferences for disposable and reusable vaginal specula and their willingness to compromise in the era of climate change: A cross-sectional study.")</f>
        <v>Patient preferences for disposable and reusable vaginal specula and their willingness to compromise in the era of climate change: A cross-sectional study.</v>
      </c>
      <c r="Y688" s="31" t="str">
        <f>IFERROR(__xludf.DUMMYFUNCTION("""COMPUTED_VALUE"""),"Ten Buuren, Amber A A; Poolman, Tessa B; Bongers, Marlies Y; Bullens, Lauren M; Van Hanegem, Nehalennia; Klerkx, Wenche M; Timmermans, Anne; Zuithoff, Nicolaas P A; Kwee, Anneke")</f>
        <v>Ten Buuren, Amber A A; Poolman, Tessa B; Bongers, Marlies Y; Bullens, Lauren M; Van Hanegem, Nehalennia; Klerkx, Wenche M; Timmermans, Anne; Zuithoff, Nicolaas P A; Kwee, Anneke</v>
      </c>
      <c r="Z688" s="31">
        <f>IFERROR(__xludf.DUMMYFUNCTION("""COMPUTED_VALUE"""),2023.0)</f>
        <v>2023</v>
      </c>
      <c r="AA688" s="31">
        <f>IFERROR(__xludf.DUMMYFUNCTION("""COMPUTED_VALUE"""),0.0)</f>
        <v>0</v>
      </c>
      <c r="AF688" s="31" t="str">
        <f>IFERROR(__xludf.DUMMYFUNCTION("""COMPUTED_VALUE"""),"Variation in neonatal mortality and its relation to country characteristics in sub-Saharan Africa: an ecological study.")</f>
        <v>Variation in neonatal mortality and its relation to country characteristics in sub-Saharan Africa: an ecological study.</v>
      </c>
      <c r="AG688" s="31" t="str">
        <f>IFERROR(__xludf.DUMMYFUNCTION("""COMPUTED_VALUE"""),"Kayode, Gbenga Ayodele; Grobbee, Diederick E; Amoakoh-Coleman, Mary; Ansah, Evelyn; Uthman, Olalekan A; Klipstein-Grobusch, Kerstin")</f>
        <v>Kayode, Gbenga Ayodele; Grobbee, Diederick E; Amoakoh-Coleman, Mary; Ansah, Evelyn; Uthman, Olalekan A; Klipstein-Grobusch, Kerstin</v>
      </c>
      <c r="AH688" s="32">
        <f>IFERROR(__xludf.DUMMYFUNCTION("""COMPUTED_VALUE"""),43033.0)</f>
        <v>43033</v>
      </c>
      <c r="AL688" s="31" t="str">
        <f>IFERROR(__xludf.DUMMYFUNCTION("""COMPUTED_VALUE"""),"Risk factors for the acquisition of OXA-48-producing Enterobacteriaceae in a hospital outbreak setting: a matched case-control study.")</f>
        <v>Risk factors for the acquisition of OXA-48-producing Enterobacteriaceae in a hospital outbreak setting: a matched case-control study.</v>
      </c>
      <c r="AM688" s="31" t="str">
        <f>IFERROR(__xludf.DUMMYFUNCTION("""COMPUTED_VALUE"""),"Dautzenberg, M J D; Ossewaarde, J M; de Greeff, S C; Troelstra, A; Bonten, M J M")</f>
        <v>Dautzenberg, M J D; Ossewaarde, J M; de Greeff, S C; Troelstra, A; Bonten, M J M</v>
      </c>
      <c r="AN688" s="32">
        <f>IFERROR(__xludf.DUMMYFUNCTION("""COMPUTED_VALUE"""),42486.0)</f>
        <v>42486</v>
      </c>
    </row>
    <row r="689">
      <c r="A689" s="32"/>
      <c r="I689" s="31" t="str">
        <f>IFERROR(__xludf.DUMMYFUNCTION("""COMPUTED_VALUE"""),"indian journal of dermatology venereology and leprology")</f>
        <v>indian journal of dermatology venereology and leprology</v>
      </c>
      <c r="J689" s="38">
        <f>COUNTIF(Data!$F$2:$F9917, $I689)</f>
        <v>1</v>
      </c>
      <c r="T689" s="31" t="s">
        <v>1730</v>
      </c>
      <c r="U689" s="31" t="s">
        <v>1692</v>
      </c>
      <c r="V689" s="32">
        <v>45212.0</v>
      </c>
      <c r="X689" s="31" t="str">
        <f>IFERROR(__xludf.DUMMYFUNCTION("""COMPUTED_VALUE"""),"DeltaScan for the Assessment of Acute Encephalopathy and Delirium in ICU and non-ICU Patients, a Prospective Cross-Sectional Multicenter Validation Study.")</f>
        <v>DeltaScan for the Assessment of Acute Encephalopathy and Delirium in ICU and non-ICU Patients, a Prospective Cross-Sectional Multicenter Validation Study.</v>
      </c>
      <c r="Y689" s="31" t="str">
        <f>IFERROR(__xludf.DUMMYFUNCTION("""COMPUTED_VALUE"""),"Ditzel, Fienke L; Hut, Suzanne C A; van den Boogaard, Mark; Boonstra, Michel; Leijten, Frans S S; Wils, Evert-Jan; van Nesselrooij, Tim; Kromkamp, Marjan; Rood, Paul J T; Röder, Christian; Bouvy, Paul F; Coesmans, Michiel; Osse, Robert Jan; Pop-Purceleanu"&amp;", Monica; van Dellen, Edwin; Krulder, Jaap W M; Milisen, Koen; Faaij, Richard; Vondeling, Ariël M; Kamper, Ad M; van Munster, Barbara C; de Jonghe, Annemarieke; Winters, Marian A M; van der Ploeg, Jeanette; van der Zwaag, Sanneke; Koek, Dineke H L; Drenth"&amp;"-van Maanen, Clara A C; Beishuizen, Albertus; van den Bos, Deirdre M; Cahn, Wiepke; Schuit, Ewoud; Slooter, Arjen J C")</f>
        <v>Ditzel, Fienke L; Hut, Suzanne C A; van den Boogaard, Mark; Boonstra, Michel; Leijten, Frans S S; Wils, Evert-Jan; van Nesselrooij, Tim; Kromkamp, Marjan; Rood, Paul J T; Röder, Christian; Bouvy, Paul F; Coesmans, Michiel; Osse, Robert Jan; Pop-Purceleanu, Monica; van Dellen, Edwin; Krulder, Jaap W M; Milisen, Koen; Faaij, Richard; Vondeling, Ariël M; Kamper, Ad M; van Munster, Barbara C; de Jonghe, Annemarieke; Winters, Marian A M; van der Ploeg, Jeanette; van der Zwaag, Sanneke; Koek, Dineke H L; Drenth-van Maanen, Clara A C; Beishuizen, Albertus; van den Bos, Deirdre M; Cahn, Wiepke; Schuit, Ewoud; Slooter, Arjen J C</v>
      </c>
      <c r="Z689" s="31">
        <f>IFERROR(__xludf.DUMMYFUNCTION("""COMPUTED_VALUE"""),2023.0)</f>
        <v>2023</v>
      </c>
      <c r="AA689" s="31">
        <f>IFERROR(__xludf.DUMMYFUNCTION("""COMPUTED_VALUE"""),0.0)</f>
        <v>0</v>
      </c>
      <c r="AF689" s="31" t="str">
        <f>IFERROR(__xludf.DUMMYFUNCTION("""COMPUTED_VALUE"""),"Predictors of mortality in hospital survivors with type 2 diabetes mellitus and acute coronary syndromes.")</f>
        <v>Predictors of mortality in hospital survivors with type 2 diabetes mellitus and acute coronary syndromes.</v>
      </c>
      <c r="AG689" s="31" t="str">
        <f>IFERROR(__xludf.DUMMYFUNCTION("""COMPUTED_VALUE"""),"Savonitto, Stefano; Morici, Nuccia; Nozza, Anna; Cosentino, Francesco; Perrone Filardi, Pasquale; Murena, Ernesto; Morocutti, Giorgio; Ferri, Marco; Cavallini, Claudio; Eijkemans, Marinus Jc; Stähli, Barbara E; Schrieks, Ilse C; Toyama, Tadashi; Lambers H"&amp;"eerspink, H J; Malmberg, Klas; Schwartz, Gregory G; Lincoff, A Michael; Ryden, Lars; Tardif, Jean Claude; Grobbee, Diederick E")</f>
        <v>Savonitto, Stefano; Morici, Nuccia; Nozza, Anna; Cosentino, Francesco; Perrone Filardi, Pasquale; Murena, Ernesto; Morocutti, Giorgio; Ferri, Marco; Cavallini, Claudio; Eijkemans, Marinus Jc; Stähli, Barbara E; Schrieks, Ilse C; Toyama, Tadashi; Lambers Heerspink, H J; Malmberg, Klas; Schwartz, Gregory G; Lincoff, A Michael; Ryden, Lars; Tardif, Jean Claude; Grobbee, Diederick E</v>
      </c>
      <c r="AH689" s="32">
        <f>IFERROR(__xludf.DUMMYFUNCTION("""COMPUTED_VALUE"""),43028.0)</f>
        <v>43028</v>
      </c>
      <c r="AL689" s="31" t="str">
        <f>IFERROR(__xludf.DUMMYFUNCTION("""COMPUTED_VALUE"""),"Renal denervation in hypertensive patients not on blood pressure lowering drugs.")</f>
        <v>Renal denervation in hypertensive patients not on blood pressure lowering drugs.</v>
      </c>
      <c r="AM689" s="31" t="str">
        <f>IFERROR(__xludf.DUMMYFUNCTION("""COMPUTED_VALUE"""),"De Jager, Rosa L; Sanders, Margreet F; Bots, Michiel L; Lobo, Melvin D; Ewen, Sebastian; Beeftink, Martine M A; Böhm, Michael; Daemen, Joost; Dörr, Oliver; Hering, Dagmara; Mahfoud, Felix; Nef, Holger; Ott, Christian; Saxena, Manish; Schmieder, Roland E; "&amp;"Schlaich, Markus P; Spiering, Wilko; Tonino, Pim A L; Verloop, Willemien L; Vink, Eva E; Vonken, Evert-Jan; Voskuil, Michiel; Worthley, Stephen G; Blankestijn, Peter J")</f>
        <v>De Jager, Rosa L; Sanders, Margreet F; Bots, Michiel L; Lobo, Melvin D; Ewen, Sebastian; Beeftink, Martine M A; Böhm, Michael; Daemen, Joost; Dörr, Oliver; Hering, Dagmara; Mahfoud, Felix; Nef, Holger; Ott, Christian; Saxena, Manish; Schmieder, Roland E; Schlaich, Markus P; Spiering, Wilko; Tonino, Pim A L; Verloop, Willemien L; Vink, Eva E; Vonken, Evert-Jan; Voskuil, Michiel; Worthley, Stephen G; Blankestijn, Peter J</v>
      </c>
      <c r="AN689" s="32">
        <f>IFERROR(__xludf.DUMMYFUNCTION("""COMPUTED_VALUE"""),42482.0)</f>
        <v>42482</v>
      </c>
    </row>
    <row r="690">
      <c r="A690" s="32"/>
      <c r="I690" s="31" t="str">
        <f>IFERROR(__xludf.DUMMYFUNCTION("""COMPUTED_VALUE"""),"theoretical biology forum")</f>
        <v>theoretical biology forum</v>
      </c>
      <c r="J690" s="38">
        <f>COUNTIF(Data!$F$2:$F9917, $I690)</f>
        <v>2</v>
      </c>
      <c r="T690" s="31" t="s">
        <v>1733</v>
      </c>
      <c r="U690" s="31" t="s">
        <v>1575</v>
      </c>
      <c r="V690" s="32">
        <v>45212.0</v>
      </c>
      <c r="X690" s="31" t="str">
        <f>IFERROR(__xludf.DUMMYFUNCTION("""COMPUTED_VALUE"""),"Determining the effect of pneumococcal vaccination on antibiotic prescriptions: is prescription sequence symmetry analysis a valid approach?")</f>
        <v>Determining the effect of pneumococcal vaccination on antibiotic prescriptions: is prescription sequence symmetry analysis a valid approach?</v>
      </c>
      <c r="Y690" s="31" t="str">
        <f>IFERROR(__xludf.DUMMYFUNCTION("""COMPUTED_VALUE"""),"Niessen, Annabel F; de Boer, Annemarijn R; van Werkhoven, Cornelis H")</f>
        <v>Niessen, Annabel F; de Boer, Annemarijn R; van Werkhoven, Cornelis H</v>
      </c>
      <c r="Z690" s="31">
        <f>IFERROR(__xludf.DUMMYFUNCTION("""COMPUTED_VALUE"""),2023.0)</f>
        <v>2023</v>
      </c>
      <c r="AA690" s="31">
        <f>IFERROR(__xludf.DUMMYFUNCTION("""COMPUTED_VALUE"""),0.0)</f>
        <v>0</v>
      </c>
      <c r="AF690" s="31" t="str">
        <f>IFERROR(__xludf.DUMMYFUNCTION("""COMPUTED_VALUE"""),"Screening for HIV, hepatitis B and syphilis on dried blood spots: A promising method to better reach hidden high-risk populations with self-collected sampling.")</f>
        <v>Screening for HIV, hepatitis B and syphilis on dried blood spots: A promising method to better reach hidden high-risk populations with self-collected sampling.</v>
      </c>
      <c r="AG690" s="31" t="str">
        <f>IFERROR(__xludf.DUMMYFUNCTION("""COMPUTED_VALUE"""),"van Loo, Inge H M; Dukers-Muijrers, Nicole H T M; Heuts, Rosalie; van der Sande, Marianne A B; Hoebe, Christian J P A")</f>
        <v>van Loo, Inge H M; Dukers-Muijrers, Nicole H T M; Heuts, Rosalie; van der Sande, Marianne A B; Hoebe, Christian J P A</v>
      </c>
      <c r="AH690" s="32">
        <f>IFERROR(__xludf.DUMMYFUNCTION("""COMPUTED_VALUE"""),43028.0)</f>
        <v>43028</v>
      </c>
      <c r="AL690" s="31" t="str">
        <f>IFERROR(__xludf.DUMMYFUNCTION("""COMPUTED_VALUE"""),"Decision aids to help older people make health decisions: a systematic review and meta-analysis.")</f>
        <v>Decision aids to help older people make health decisions: a systematic review and meta-analysis.</v>
      </c>
      <c r="AM690" s="31" t="str">
        <f>IFERROR(__xludf.DUMMYFUNCTION("""COMPUTED_VALUE"""),"van Weert, Julia C M; van Munster, Barbara C; Sanders, Remco; Spijker, René; Hooft, Lotty; Jansen, Jesse")</f>
        <v>van Weert, Julia C M; van Munster, Barbara C; Sanders, Remco; Spijker, René; Hooft, Lotty; Jansen, Jesse</v>
      </c>
      <c r="AN690" s="32">
        <f>IFERROR(__xludf.DUMMYFUNCTION("""COMPUTED_VALUE"""),42481.0)</f>
        <v>42481</v>
      </c>
    </row>
    <row r="691">
      <c r="A691" s="32"/>
      <c r="I691" s="31" t="str">
        <f>IFERROR(__xludf.DUMMYFUNCTION("""COMPUTED_VALUE"""),"gut microbes")</f>
        <v>gut microbes</v>
      </c>
      <c r="J691" s="38">
        <f>COUNTIF(Data!$F$2:$F9917, $I691)</f>
        <v>1</v>
      </c>
      <c r="T691" s="31" t="s">
        <v>1736</v>
      </c>
      <c r="U691" s="31" t="s">
        <v>946</v>
      </c>
      <c r="V691" s="32">
        <v>45210.0</v>
      </c>
      <c r="X691" s="31"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Y691" s="31"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Z691" s="31">
        <f>IFERROR(__xludf.DUMMYFUNCTION("""COMPUTED_VALUE"""),2023.0)</f>
        <v>2023</v>
      </c>
      <c r="AA691" s="31">
        <f>IFERROR(__xludf.DUMMYFUNCTION("""COMPUTED_VALUE"""),0.0)</f>
        <v>0</v>
      </c>
      <c r="AF691" s="31" t="str">
        <f>IFERROR(__xludf.DUMMYFUNCTION("""COMPUTED_VALUE"""),"A combination of plasma phospholipid fatty acids and its association with incidence of type 2 diabetes: The EPIC-InterAct case-cohort study.")</f>
        <v>A combination of plasma phospholipid fatty acids and its association with incidence of type 2 diabetes: The EPIC-InterAct case-cohort study.</v>
      </c>
      <c r="AG691" s="31" t="str">
        <f>IFERROR(__xludf.DUMMYFUNCTION("""COMPUTED_VALUE"""),"Imamura, Fumiaki; Sharp, Stephen J; Koulman, Albert; Schulze, Matthias B; Kröger, Janine; Griffin, Julian L; Huerta, José M; Guevara, Marcela; Sluijs, Ivonne; Agudo, Antonio; Ardanaz, Eva; Balkau, Beverley; Boeing, Heiner; Chajes, Veronique; Dahm, Christi"&amp;"na C; Dow, Courtney; Fagherazzi, Guy; Feskens, Edith J M; Franks, Paul W; Gavrila, Diana; Gunter, Marc; Kaaks, Rudolf; Key, Timothy J; Khaw, Kay-Tee; Kühn, Tilman; Melander, Olle; Molina-Portillo, Elena; Nilsson, Peter M; Olsen, Anja; Overvad, Kim; Palli,"&amp;" Domenico; Panico, Salvatore; Rolandsson, Olov; Sieri, Sabina; Sacerdote, Carlotta; Slimani, Nadia; Spijkerman, Annemieke M W; Tjønneland, Anne; Tumino, Rosario; van der Schouw, Yvonne T; Langenberg, Claudia; Riboli, Elio; Forouhi, Nita G; Wareham, Nick J")</f>
        <v>Imamura, Fumiaki; Sharp, Stephen J; Koulman, Albert; Schulze, Matthias B; Kröger, Janine; Griffin, Julian L; Huerta, José M; Guevara, Marcela; Sluijs, Ivonne; Agudo, Antonio; Ardanaz, Eva; Balkau, Beverley; Boeing, Heiner; Chajes, Veronique; Dahm, Christina C; Dow, Courtney; Fagherazzi, Guy; Feskens, Edith J M; Franks, Paul W; Gavrila, Diana; Gunter, Marc; Kaaks, Rudolf; Key, Timothy J; Khaw, Kay-Tee; Kühn, Tilman; Melander, Olle; Molina-Portillo, Elena; Nilsson, Peter M; Olsen, Anja; Overvad, Kim; Palli, Domenico; Panico, Salvatore; Rolandsson, Olov; Sieri, Sabina; Sacerdote, Carlotta; Slimani, Nadia; Spijkerman, Annemieke M W; Tjønneland, Anne; Tumino, Rosario; van der Schouw, Yvonne T; Langenberg, Claudia; Riboli, Elio; Forouhi, Nita G; Wareham, Nick J</v>
      </c>
      <c r="AH691" s="32">
        <f>IFERROR(__xludf.DUMMYFUNCTION("""COMPUTED_VALUE"""),43019.0)</f>
        <v>43019</v>
      </c>
      <c r="AL691" s="31" t="str">
        <f>IFERROR(__xludf.DUMMYFUNCTION("""COMPUTED_VALUE"""),"Changes over time in the impact of gene-expression profiles on the administration of adjuvant chemotherapy in estrogen receptor positive early stage breast cancer patients: A nationwide study.")</f>
        <v>Changes over time in the impact of gene-expression profiles on the administration of adjuvant chemotherapy in estrogen receptor positive early stage breast cancer patients: A nationwide study.</v>
      </c>
      <c r="AM691" s="31" t="str">
        <f>IFERROR(__xludf.DUMMYFUNCTION("""COMPUTED_VALUE"""),"Kuijer, A; Drukker, C A; Elias, S G; Smorenburg, C H; Th Rutgers, E J; Siesling, S; van Dalen, Th")</f>
        <v>Kuijer, A; Drukker, C A; Elias, S G; Smorenburg, C H; Th Rutgers, E J; Siesling, S; van Dalen, Th</v>
      </c>
      <c r="AN691" s="32">
        <f>IFERROR(__xludf.DUMMYFUNCTION("""COMPUTED_VALUE"""),42479.0)</f>
        <v>42479</v>
      </c>
    </row>
    <row r="692">
      <c r="A692" s="32"/>
      <c r="I692" s="31" t="str">
        <f>IFERROR(__xludf.DUMMYFUNCTION("""COMPUTED_VALUE"""),"gastroenterology")</f>
        <v>gastroenterology</v>
      </c>
      <c r="J692" s="38">
        <f>COUNTIF(Data!$F$2:$F9917, $I692)</f>
        <v>4</v>
      </c>
      <c r="T692" s="31" t="s">
        <v>1740</v>
      </c>
      <c r="U692" s="31" t="s">
        <v>1741</v>
      </c>
      <c r="V692" s="32">
        <v>45210.0</v>
      </c>
      <c r="X692" s="31" t="str">
        <f>IFERROR(__xludf.DUMMYFUNCTION("""COMPUTED_VALUE"""),"Predicting the next pandemic: VACCELERATE ranking of the WorldHealth Organization's Blueprint forAction toPreventEpidemics.")</f>
        <v>Predicting the next pandemic: VACCELERATE ranking of the WorldHealth Organization's Blueprint forAction toPreventEpidemics.</v>
      </c>
      <c r="Y692" s="31" t="str">
        <f>IFERROR(__xludf.DUMMYFUNCTION("""COMPUTED_VALUE"""),"Salmanton-García, Jon; Wipfler, Pauline; Leckler, Janina; Nauclér, Pontus; Mallon, Patrick W; Bruijning-Verhagen, Patricia C J L; Schmitt, Heinz-Joseph; Bethe, Ullrich; Olesen, Ole F; Stewart, Fiona A; Albus, Kerstin; Cornely, Oliver A; ,")</f>
        <v>Salmanton-García, Jon; Wipfler, Pauline; Leckler, Janina; Nauclér, Pontus; Mallon, Patrick W; Bruijning-Verhagen, Patricia C J L; Schmitt, Heinz-Joseph; Bethe, Ullrich; Olesen, Ole F; Stewart, Fiona A; Albus, Kerstin; Cornely, Oliver A; ,</v>
      </c>
      <c r="Z692" s="31">
        <f>IFERROR(__xludf.DUMMYFUNCTION("""COMPUTED_VALUE"""),2023.0)</f>
        <v>2023</v>
      </c>
      <c r="AA692" s="31">
        <f>IFERROR(__xludf.DUMMYFUNCTION("""COMPUTED_VALUE"""),0.0)</f>
        <v>0</v>
      </c>
      <c r="AF692" s="31" t="str">
        <f>IFERROR(__xludf.DUMMYFUNCTION("""COMPUTED_VALUE"""),"Global respiratory syncytial virus-associated mortality in young children (RSV GOLD): a retrospective case series.")</f>
        <v>Global respiratory syncytial virus-associated mortality in young children (RSV GOLD): a retrospective case series.</v>
      </c>
      <c r="AG692" s="31" t="str">
        <f>IFERROR(__xludf.DUMMYFUNCTION("""COMPUTED_VALUE"""),"Scheltema, Nienke M; Gentile, Angela; Lucion, Florencia; Nokes, D James; Munywoki, Patrick K; Madhi, Shabir A; Groome, Michelle J; Cohen, Cheryl; Moyes, Jocelyn; Thorburn, Kentigern; Thamthitiwat, Somsak; Oshitani, Hitoshi; Lupisan, Socorro P; Gordon, Aub"&amp;"ree; Sánchez, José F; O'Brien, Katherine L; ,; Gessner, Bradford D; Sutanto, Agustinus; Mejias, Asuncion; Ramilo, Octavio; Khuri-Bulos, Najwa; Halasa, Natasha; de-Paris, Fernanda; Pires, Márcia Rosane; Spaeder, Michael C; Paes, Bosco A; Simões, Eric A F; "&amp;"Leung, Ting F; da Costa Oliveira, Maria Tereza; de Freitas Lázaro Emediato, Carla Cecília; Bassat, Quique; Butt, Warwick; Chi, Hsin; Aamir, Uzma Bashir; Ali, Asad; Lucero, Marilla G; Fasce, Rodrigo A; Lopez, Olga; Rath, Barbara A; Polack, Fernando P; Pape"&amp;"nburg, Jesse; Roglić, Srđan; Ito, Hisato; Goka, Edward A; Grobbee, Diederick E; Nair, Harish; Bont, Louis J")</f>
        <v>Scheltema, Nienke M; Gentile, Angela; Lucion, Florencia; Nokes, D James; Munywoki, Patrick K; Madhi, Shabir A; Groome, Michelle J; Cohen, Cheryl; Moyes, Jocelyn; Thorburn, Kentigern; Thamthitiwat, Somsak; Oshitani, Hitoshi; Lupisan, Socorro P; Gordon, Aubree; Sánchez, José F; O'Brien, Katherine L; ,; Gessner, Bradford D; Sutanto, Agustinus; Mejias, Asuncion; Ramilo, Octavio; Khuri-Bulos, Najwa; Halasa, Natasha; de-Paris, Fernanda; Pires, Márcia Rosane; Spaeder, Michael C; Paes, Bosco A; Simões, Eric A F; Leung, Ting F; da Costa Oliveira, Maria Tereza; de Freitas Lázaro Emediato, Carla Cecília; Bassat, Quique; Butt, Warwick; Chi, Hsin; Aamir, Uzma Bashir; Ali, Asad; Lucero, Marilla G; Fasce, Rodrigo A; Lopez, Olga; Rath, Barbara A; Polack, Fernando P; Papenburg, Jesse; Roglić, Srđan; Ito, Hisato; Goka, Edward A; Grobbee, Diederick E; Nair, Harish; Bont, Louis J</v>
      </c>
      <c r="AH692" s="32">
        <f>IFERROR(__xludf.DUMMYFUNCTION("""COMPUTED_VALUE"""),43009.0)</f>
        <v>43009</v>
      </c>
      <c r="AL692" s="31" t="str">
        <f>IFERROR(__xludf.DUMMYFUNCTION("""COMPUTED_VALUE"""),"PHASES and the natural history of unruptured aneurysms: science or pseudoscience?")</f>
        <v>PHASES and the natural history of unruptured aneurysms: science or pseudoscience?</v>
      </c>
      <c r="AM692" s="31" t="str">
        <f>IFERROR(__xludf.DUMMYFUNCTION("""COMPUTED_VALUE"""),"Rinkel, G J E; Algra, A; Greving, J P; Vergouwen, M D I; Etminan, N")</f>
        <v>Rinkel, G J E; Algra, A; Greving, J P; Vergouwen, M D I; Etminan, N</v>
      </c>
      <c r="AN692" s="32">
        <f>IFERROR(__xludf.DUMMYFUNCTION("""COMPUTED_VALUE"""),42478.0)</f>
        <v>42478</v>
      </c>
    </row>
    <row r="693">
      <c r="A693" s="32"/>
      <c r="I693" s="31" t="str">
        <f>IFERROR(__xludf.DUMMYFUNCTION("""COMPUTED_VALUE"""),"developmental cognitive neuroscience")</f>
        <v>developmental cognitive neuroscience</v>
      </c>
      <c r="J693" s="38">
        <f>COUNTIF(Data!$F$2:$F9917, $I693)</f>
        <v>2</v>
      </c>
      <c r="T693" s="31" t="s">
        <v>1744</v>
      </c>
      <c r="U693" s="31" t="s">
        <v>1745</v>
      </c>
      <c r="V693" s="32">
        <v>45210.0</v>
      </c>
      <c r="X693" s="31" t="str">
        <f>IFERROR(__xludf.DUMMYFUNCTION("""COMPUTED_VALUE"""),"Adjuvant chemotherapy in patients with clinically node-negative but pathologically node-positive rectal cancer in the Netherlands: A retrospective analysis.")</f>
        <v>Adjuvant chemotherapy in patients with clinically node-negative but pathologically node-positive rectal cancer in the Netherlands: A retrospective analysis.</v>
      </c>
      <c r="Y693" s="31" t="str">
        <f>IFERROR(__xludf.DUMMYFUNCTION("""COMPUTED_VALUE"""),"Kwakman, Johannes J M; Bond, Marinde J G; Demichelis, Ramzi M; Koopman, Miriam; Hompes, Roel; Elferink, Marloes A G; Punt, Cornelis J A")</f>
        <v>Kwakman, Johannes J M; Bond, Marinde J G; Demichelis, Ramzi M; Koopman, Miriam; Hompes, Roel; Elferink, Marloes A G; Punt, Cornelis J A</v>
      </c>
      <c r="Z693" s="31">
        <f>IFERROR(__xludf.DUMMYFUNCTION("""COMPUTED_VALUE"""),2023.0)</f>
        <v>2023</v>
      </c>
      <c r="AA693" s="31">
        <f>IFERROR(__xludf.DUMMYFUNCTION("""COMPUTED_VALUE"""),0.0)</f>
        <v>0</v>
      </c>
      <c r="AF693" s="31" t="str">
        <f>IFERROR(__xludf.DUMMYFUNCTION("""COMPUTED_VALUE"""),"Medications Recommended for Secondary Prevention After First Acute Coronary Syndrome: Effectiveness of Treatment Combinations in a Real-Life Setting.")</f>
        <v>Medications Recommended for Secondary Prevention After First Acute Coronary Syndrome: Effectiveness of Treatment Combinations in a Real-Life Setting.</v>
      </c>
      <c r="AG693" s="31" t="str">
        <f>IFERROR(__xludf.DUMMYFUNCTION("""COMPUTED_VALUE"""),"Bezin, Julien; Klungel, Olaf H; Lassalle, Régis; Dureau-Pournin, Caroline; Moore, Nicholas; Pariente, Antoine")</f>
        <v>Bezin, Julien; Klungel, Olaf H; Lassalle, Régis; Dureau-Pournin, Caroline; Moore, Nicholas; Pariente, Antoine</v>
      </c>
      <c r="AH693" s="32">
        <f>IFERROR(__xludf.DUMMYFUNCTION("""COMPUTED_VALUE"""),43006.0)</f>
        <v>43006</v>
      </c>
      <c r="AL693" s="31" t="str">
        <f>IFERROR(__xludf.DUMMYFUNCTION("""COMPUTED_VALUE"""),"In 2035, will all bacteria be multidrug-resistant? No.")</f>
        <v>In 2035, will all bacteria be multidrug-resistant? No.</v>
      </c>
      <c r="AM693" s="31" t="str">
        <f>IFERROR(__xludf.DUMMYFUNCTION("""COMPUTED_VALUE"""),"Barbier, François; Lipman, Jeffrey; Bonten, Marc J M")</f>
        <v>Barbier, François; Lipman, Jeffrey; Bonten, Marc J M</v>
      </c>
      <c r="AN693" s="32">
        <f>IFERROR(__xludf.DUMMYFUNCTION("""COMPUTED_VALUE"""),42478.0)</f>
        <v>42478</v>
      </c>
    </row>
    <row r="694">
      <c r="A694" s="32"/>
      <c r="I694" s="31" t="str">
        <f>IFERROR(__xludf.DUMMYFUNCTION("""COMPUTED_VALUE"""),"archivos de bronconeumologia")</f>
        <v>archivos de bronconeumologia</v>
      </c>
      <c r="J694" s="38">
        <f>COUNTIF(Data!$F$2:$F9917, $I694)</f>
        <v>1</v>
      </c>
      <c r="T694" s="31" t="s">
        <v>1748</v>
      </c>
      <c r="U694" s="31" t="s">
        <v>1749</v>
      </c>
      <c r="V694" s="32">
        <v>45209.0</v>
      </c>
      <c r="X694" s="31" t="str">
        <f>IFERROR(__xludf.DUMMYFUNCTION("""COMPUTED_VALUE"""),"Deep learning models for automatic tumor segmentation and total tumor volume assessment in patients with colorectal liver metastases.")</f>
        <v>Deep learning models for automatic tumor segmentation and total tumor volume assessment in patients with colorectal liver metastases.</v>
      </c>
      <c r="Y694" s="31" t="str">
        <f>IFERROR(__xludf.DUMMYFUNCTION("""COMPUTED_VALUE"""),"Wesdorp, Nina J; Zeeuw, J Michiel; Postma, Sam C J; Roor, Joran; van Waesberghe, Jan Hein T M; van den Bergh, Janneke E; Nota, Irene M; Moos, Shira; Kemna, Ruby; Vadakkumpadan, Fijoy; Ambrozic, Courtney; van Dieren, Susan; van Amerongen, Martinus J; Chape"&amp;"lle, Thiery; Engelbrecht, Marc R W; Gerhards, Michael F; Grunhagen, Dirk; van Gulik, Thomas M; Hermans, John J; de Jong, Koert P; Klaase, Joost M; Liem, Mike S L; van Lienden, Krijn P; Molenaar, I Quintus; Patijn, Gijs A; Rijken, Arjen M; Ruers, Theo M; V"&amp;"erhoef, Cornelis; de Wilt, Johannes H W; Marquering, Henk A; Stoker, Jaap; Swijnenburg, Rutger-Jan; Punt, Cornelis J A; Huiskens, Joost; Kazemier, Geert")</f>
        <v>Wesdorp, Nina J; Zeeuw, J Michiel; Postma, Sam C J; Roor, Joran; van Waesberghe, Jan Hein T M; van den Bergh, Janneke E; Nota, Irene M; Moos, Shira; Kemna, Ruby; Vadakkumpadan, Fijoy; Ambrozic, Courtney; van Dieren, Susan; van Amerongen, Martinus J; Chapelle, Thiery; Engelbrecht, Marc R W; Gerhards, Michael F; Grunhagen, Dirk; van Gulik, Thomas M; Hermans, John J; de Jong, Koert P; Klaase, Joost M; Liem, Mike S L; van Lienden, Krijn P; Molenaar, I Quintus; Patijn, Gijs A; Rijken, Arjen M; Ruers, Theo M; Verhoef, Cornelis; de Wilt, Johannes H W; Marquering, Henk A; Stoker, Jaap; Swijnenburg, Rutger-Jan; Punt, Cornelis J A; Huiskens, Joost; Kazemier, Geert</v>
      </c>
      <c r="Z694" s="31">
        <f>IFERROR(__xludf.DUMMYFUNCTION("""COMPUTED_VALUE"""),2023.0)</f>
        <v>2023</v>
      </c>
      <c r="AA694" s="31">
        <f>IFERROR(__xludf.DUMMYFUNCTION("""COMPUTED_VALUE"""),0.0)</f>
        <v>0</v>
      </c>
      <c r="AF694" s="31" t="str">
        <f>IFERROR(__xludf.DUMMYFUNCTION("""COMPUTED_VALUE"""),"Food variety, dietary diversity, and type 2 diabetes in a multi-center cross-sectional study among Ghanaian migrants in Europe and their compatriots in Ghana: the RODAM study.")</f>
        <v>Food variety, dietary diversity, and type 2 diabetes in a multi-center cross-sectional study among Ghanaian migrants in Europe and their compatriots in Ghana: the RODAM study.</v>
      </c>
      <c r="AG694" s="31" t="str">
        <f>IFERROR(__xludf.DUMMYFUNCTION("""COMPUTED_VALUE"""),"Danquah, Ina; Galbete, Cecilia; Meeks, Karlijn; Nicolaou, Mary; Klipstein-Grobusch, Kerstin; Addo, Juliet; Aikins, Ama de-Graft; Amoah, Stephen K; Agyei-Baffour, Peter; Boateng, Daniel; Bedu-Addo, George; Spranger, Joachim; Smeeth, Liam; Owusu-Dabo, Ellis"&amp;"; Agyemang, Charles; Mockenhaupt, Frank P; Beune, Erik; Schulze, Matthias B")</f>
        <v>Danquah, Ina; Galbete, Cecilia; Meeks, Karlijn; Nicolaou, Mary; Klipstein-Grobusch, Kerstin; Addo, Juliet; Aikins, Ama de-Graft; Amoah, Stephen K; Agyei-Baffour, Peter; Boateng, Daniel; Bedu-Addo, George; Spranger, Joachim; Smeeth, Liam; Owusu-Dabo, Ellis; Agyemang, Charles; Mockenhaupt, Frank P; Beune, Erik; Schulze, Matthias B</v>
      </c>
      <c r="AH694" s="32">
        <f>IFERROR(__xludf.DUMMYFUNCTION("""COMPUTED_VALUE"""),43003.0)</f>
        <v>43003</v>
      </c>
      <c r="AL694" s="31" t="str">
        <f>IFERROR(__xludf.DUMMYFUNCTION("""COMPUTED_VALUE"""),"Pregnancy loss and risk of ischaemic stroke and myocardial infarction.")</f>
        <v>Pregnancy loss and risk of ischaemic stroke and myocardial infarction.</v>
      </c>
      <c r="AM694" s="31" t="str">
        <f>IFERROR(__xludf.DUMMYFUNCTION("""COMPUTED_VALUE"""),"Maino, Alberto; Siegerink, Bob; Algra, Ale; Martinelli, Ida; Peyvandi, Flora; Rosendaal, Frits R")</f>
        <v>Maino, Alberto; Siegerink, Bob; Algra, Ale; Martinelli, Ida; Peyvandi, Flora; Rosendaal, Frits R</v>
      </c>
      <c r="AN694" s="32">
        <f>IFERROR(__xludf.DUMMYFUNCTION("""COMPUTED_VALUE"""),42467.0)</f>
        <v>42467</v>
      </c>
    </row>
    <row r="695">
      <c r="A695" s="32"/>
      <c r="I695" s="31" t="str">
        <f>IFERROR(__xludf.DUMMYFUNCTION("""COMPUTED_VALUE"""),"teaching and learning in medicine")</f>
        <v>teaching and learning in medicine</v>
      </c>
      <c r="J695" s="38">
        <f>COUNTIF(Data!$F$2:$F9917, $I695)</f>
        <v>2</v>
      </c>
      <c r="T695" s="31" t="s">
        <v>1753</v>
      </c>
      <c r="U695" s="31" t="s">
        <v>1754</v>
      </c>
      <c r="V695" s="32">
        <v>45208.0</v>
      </c>
      <c r="X695" s="31" t="str">
        <f>IFERROR(__xludf.DUMMYFUNCTION("""COMPUTED_VALUE"""),"Validation of spot urine in estimating 24-h urinary sodium, potassium and sodium-to-potassium ratio during three different sodium diets in healthy adults.")</f>
        <v>Validation of spot urine in estimating 24-h urinary sodium, potassium and sodium-to-potassium ratio during three different sodium diets in healthy adults.</v>
      </c>
      <c r="Y695" s="31" t="str">
        <f>IFERROR(__xludf.DUMMYFUNCTION("""COMPUTED_VALUE"""),"Groenland, Eline H; Vendeville, Jean-Paul A C; Bots, Michiel L; Visseren, Frank L J; Musson, Ruben E A; Spiering, Wilko")</f>
        <v>Groenland, Eline H; Vendeville, Jean-Paul A C; Bots, Michiel L; Visseren, Frank L J; Musson, Ruben E A; Spiering, Wilko</v>
      </c>
      <c r="Z695" s="31">
        <f>IFERROR(__xludf.DUMMYFUNCTION("""COMPUTED_VALUE"""),2023.0)</f>
        <v>2023</v>
      </c>
      <c r="AA695" s="31">
        <f>IFERROR(__xludf.DUMMYFUNCTION("""COMPUTED_VALUE"""),0.0)</f>
        <v>0</v>
      </c>
      <c r="AF695" s="31" t="str">
        <f>IFERROR(__xludf.DUMMYFUNCTION("""COMPUTED_VALUE"""),"Sex differences in risk factor management of coronary heart disease across three regions.")</f>
        <v>Sex differences in risk factor management of coronary heart disease across three regions.</v>
      </c>
      <c r="AG695" s="31" t="str">
        <f>IFERROR(__xludf.DUMMYFUNCTION("""COMPUTED_VALUE"""),"Zhao, Min; Vaartjes, Ilonca; Graham, Ian; Grobbee, Diederick; Spiering, Wilko; Klipstein-Grobusch, Kerstin; Woodward, Mark; Peters, Sanne Ae")</f>
        <v>Zhao, Min; Vaartjes, Ilonca; Graham, Ian; Grobbee, Diederick; Spiering, Wilko; Klipstein-Grobusch, Kerstin; Woodward, Mark; Peters, Sanne Ae</v>
      </c>
      <c r="AH695" s="32">
        <f>IFERROR(__xludf.DUMMYFUNCTION("""COMPUTED_VALUE"""),42998.0)</f>
        <v>42998</v>
      </c>
      <c r="AL695" s="31" t="str">
        <f>IFERROR(__xludf.DUMMYFUNCTION("""COMPUTED_VALUE"""),"Explicit inclusion of treatment in prognostic modeling was recommended in observational and randomized settings.")</f>
        <v>Explicit inclusion of treatment in prognostic modeling was recommended in observational and randomized settings.</v>
      </c>
      <c r="AM695" s="31" t="str">
        <f>IFERROR(__xludf.DUMMYFUNCTION("""COMPUTED_VALUE"""),"Groenwold, Rolf H H; Moons, Karel G M; Pajouheshnia, Romin; Altman, Doug G; Collins, Gary S; Debray, Thomas P A; Reitsma, Johannes B; Riley, Richard D; Peelen, Linda M")</f>
        <v>Groenwold, Rolf H H; Moons, Karel G M; Pajouheshnia, Romin; Altman, Doug G; Collins, Gary S; Debray, Thomas P A; Reitsma, Johannes B; Riley, Richard D; Peelen, Linda M</v>
      </c>
      <c r="AN695" s="32">
        <f>IFERROR(__xludf.DUMMYFUNCTION("""COMPUTED_VALUE"""),42461.0)</f>
        <v>42461</v>
      </c>
    </row>
    <row r="696">
      <c r="A696" s="32"/>
      <c r="I696" s="31" t="str">
        <f>IFERROR(__xludf.DUMMYFUNCTION("""COMPUTED_VALUE"""),"aids reviews")</f>
        <v>aids reviews</v>
      </c>
      <c r="J696" s="38">
        <f>COUNTIF(Data!$F$2:$F9917, $I696)</f>
        <v>1</v>
      </c>
      <c r="T696" s="31" t="s">
        <v>1757</v>
      </c>
      <c r="U696" s="31" t="s">
        <v>1758</v>
      </c>
      <c r="V696" s="32">
        <v>45208.0</v>
      </c>
      <c r="X696" s="31" t="str">
        <f>IFERROR(__xludf.DUMMYFUNCTION("""COMPUTED_VALUE"""),"Barriers and facilitators that hospital clinicians perceive to discuss the personal values, wishes, and needs of patients in palliative care: a mixed-methods systematic review.")</f>
        <v>Barriers and facilitators that hospital clinicians perceive to discuss the personal values, wishes, and needs of patients in palliative care: a mixed-methods systematic review.</v>
      </c>
      <c r="Y696" s="31" t="str">
        <f>IFERROR(__xludf.DUMMYFUNCTION("""COMPUTED_VALUE"""),"de Vries, Sita; Verhoef, Mary-Joanne; Vervoort, Sigrid Cornelia Johanna Maria; van der Linden, Yvette Milene; Teunissen, Saskia Cornelia Constantia Maria; de Graaf, Everlien")</f>
        <v>de Vries, Sita; Verhoef, Mary-Joanne; Vervoort, Sigrid Cornelia Johanna Maria; van der Linden, Yvette Milene; Teunissen, Saskia Cornelia Constantia Maria; de Graaf, Everlien</v>
      </c>
      <c r="Z696" s="31">
        <f>IFERROR(__xludf.DUMMYFUNCTION("""COMPUTED_VALUE"""),2023.0)</f>
        <v>2023</v>
      </c>
      <c r="AA696" s="31">
        <f>IFERROR(__xludf.DUMMYFUNCTION("""COMPUTED_VALUE"""),0.0)</f>
        <v>0</v>
      </c>
      <c r="AF696" s="31" t="str">
        <f>IFERROR(__xludf.DUMMYFUNCTION("""COMPUTED_VALUE"""),"Mitochondrial Replacement Techniques: Remaining Ethical Challenges.")</f>
        <v>Mitochondrial Replacement Techniques: Remaining Ethical Challenges.</v>
      </c>
      <c r="AG696" s="31" t="str">
        <f>IFERROR(__xludf.DUMMYFUNCTION("""COMPUTED_VALUE"""),"Bredenoord, Annelien L; Appleby, John B")</f>
        <v>Bredenoord, Annelien L; Appleby, John B</v>
      </c>
      <c r="AH696" s="32">
        <f>IFERROR(__xludf.DUMMYFUNCTION("""COMPUTED_VALUE"""),42985.0)</f>
        <v>42985</v>
      </c>
      <c r="AL696" s="31" t="str">
        <f>IFERROR(__xludf.DUMMYFUNCTION("""COMPUTED_VALUE"""),"Value of systematic detection of physical child abuse at emergency rooms: a cross-sectional diagnostic accuracy study.")</f>
        <v>Value of systematic detection of physical child abuse at emergency rooms: a cross-sectional diagnostic accuracy study.</v>
      </c>
      <c r="AM696" s="31" t="str">
        <f>IFERROR(__xludf.DUMMYFUNCTION("""COMPUTED_VALUE"""),"Sittig, Judith S; Uiterwaal, Cuno S P M; Moons, Karel G M; Russel, Ingrid M B; Nievelstein, Rutger A J; Nieuwenhuis, Edward E S; van de Putte, Elise M")</f>
        <v>Sittig, Judith S; Uiterwaal, Cuno S P M; Moons, Karel G M; Russel, Ingrid M B; Nievelstein, Rutger A J; Nieuwenhuis, Edward E S; van de Putte, Elise M</v>
      </c>
      <c r="AN696" s="32">
        <f>IFERROR(__xludf.DUMMYFUNCTION("""COMPUTED_VALUE"""),42451.0)</f>
        <v>42451</v>
      </c>
    </row>
    <row r="697">
      <c r="A697" s="32"/>
      <c r="I697" s="31" t="str">
        <f>IFERROR(__xludf.DUMMYFUNCTION("""COMPUTED_VALUE"""),"the journal of nutrition")</f>
        <v>the journal of nutrition</v>
      </c>
      <c r="J697" s="38">
        <f>COUNTIF(Data!$F$2:$F9917, $I697)</f>
        <v>15</v>
      </c>
      <c r="T697" s="31" t="s">
        <v>1760</v>
      </c>
      <c r="U697" s="31" t="s">
        <v>1761</v>
      </c>
      <c r="V697" s="32">
        <v>45206.0</v>
      </c>
      <c r="X697" s="31" t="str">
        <f>IFERROR(__xludf.DUMMYFUNCTION("""COMPUTED_VALUE"""),"Clinical supervision under pressure: a qualitative study amongst health care professionals working on the ICU during COVID-19.")</f>
        <v>Clinical supervision under pressure: a qualitative study amongst health care professionals working on the ICU during COVID-19.</v>
      </c>
      <c r="Y697" s="31" t="str">
        <f>IFERROR(__xludf.DUMMYFUNCTION("""COMPUTED_VALUE"""),"van Dam, Marjel; van Hamersvelt, Hanneke; Schoonhoven, Lisette; Hoff, Reinier G; Ten Cate, Olle; Hennus, Marije P")</f>
        <v>van Dam, Marjel; van Hamersvelt, Hanneke; Schoonhoven, Lisette; Hoff, Reinier G; Ten Cate, Olle; Hennus, Marije P</v>
      </c>
      <c r="Z697" s="31">
        <f>IFERROR(__xludf.DUMMYFUNCTION("""COMPUTED_VALUE"""),2023.0)</f>
        <v>2023</v>
      </c>
      <c r="AA697" s="31">
        <f>IFERROR(__xludf.DUMMYFUNCTION("""COMPUTED_VALUE"""),0.0)</f>
        <v>0</v>
      </c>
      <c r="AF697" s="31" t="str">
        <f>IFERROR(__xludf.DUMMYFUNCTION("""COMPUTED_VALUE"""),"Non-specific effects of measles, mumps, and rubella (MMR) vaccination in high income setting: population based cohort study in the Netherlands.")</f>
        <v>Non-specific effects of measles, mumps, and rubella (MMR) vaccination in high income setting: population based cohort study in the Netherlands.</v>
      </c>
      <c r="AG697" s="31" t="str">
        <f>IFERROR(__xludf.DUMMYFUNCTION("""COMPUTED_VALUE"""),"Tielemans, Susanne M A J; de Melker, Hester E; Hahné, Susan J M; Boef, Anna G C; van der Klis, Fiona R M; Sanders, Elisabeth A M; van der Sande, Marianne A B; Knol, Mirjam J")</f>
        <v>Tielemans, Susanne M A J; de Melker, Hester E; Hahné, Susan J M; Boef, Anna G C; van der Klis, Fiona R M; Sanders, Elisabeth A M; van der Sande, Marianne A B; Knol, Mirjam J</v>
      </c>
      <c r="AH697" s="32">
        <f>IFERROR(__xludf.DUMMYFUNCTION("""COMPUTED_VALUE"""),42977.0)</f>
        <v>42977</v>
      </c>
      <c r="AL697" s="31" t="str">
        <f>IFERROR(__xludf.DUMMYFUNCTION("""COMPUTED_VALUE"""),"Survival and quality of life after surgical aortic valve replacement in octogenarians.")</f>
        <v>Survival and quality of life after surgical aortic valve replacement in octogenarians.</v>
      </c>
      <c r="AM697" s="31" t="str">
        <f>IFERROR(__xludf.DUMMYFUNCTION("""COMPUTED_VALUE"""),"Jansen Klomp, Wouter W; Nierich, Arno P; Peelen, Linda M; Brandon Bravo Bruinsma, George J; Dambrink, Jan-Henk E; Moons, Karel G M; Van't Hof, Arnoud W J")</f>
        <v>Jansen Klomp, Wouter W; Nierich, Arno P; Peelen, Linda M; Brandon Bravo Bruinsma, George J; Dambrink, Jan-Henk E; Moons, Karel G M; Van't Hof, Arnoud W J</v>
      </c>
      <c r="AN697" s="32">
        <f>IFERROR(__xludf.DUMMYFUNCTION("""COMPUTED_VALUE"""),42448.0)</f>
        <v>42448</v>
      </c>
    </row>
    <row r="698">
      <c r="A698" s="32"/>
      <c r="I698" s="31" t="str">
        <f>IFERROR(__xludf.DUMMYFUNCTION("""COMPUTED_VALUE"""),"frontiers in microbiology")</f>
        <v>frontiers in microbiology</v>
      </c>
      <c r="J698" s="38">
        <f>COUNTIF(Data!$F$2:$F9917, $I698)</f>
        <v>3</v>
      </c>
      <c r="T698" s="31" t="s">
        <v>1765</v>
      </c>
      <c r="U698" s="31" t="s">
        <v>1766</v>
      </c>
      <c r="V698" s="32">
        <v>45205.0</v>
      </c>
      <c r="X698" s="31" t="str">
        <f>IFERROR(__xludf.DUMMYFUNCTION("""COMPUTED_VALUE"""),"Patients' and GPs' views and expectations of home monitoring with a pulse oximeter: a mixed-methods process evaluation of a pilot randomised controlled trial.")</f>
        <v>Patients' and GPs' views and expectations of home monitoring with a pulse oximeter: a mixed-methods process evaluation of a pilot randomised controlled trial.</v>
      </c>
      <c r="Y698" s="31" t="str">
        <f>IFERROR(__xludf.DUMMYFUNCTION("""COMPUTED_VALUE"""),"Smit, Karin; Venekamp, Roderick P; Geersing, Geert-Jan; Rutten, Frans H; Schoonhoven, Lisette; Zwart, Dorien Lm")</f>
        <v>Smit, Karin; Venekamp, Roderick P; Geersing, Geert-Jan; Rutten, Frans H; Schoonhoven, Lisette; Zwart, Dorien Lm</v>
      </c>
      <c r="Z698" s="31">
        <f>IFERROR(__xludf.DUMMYFUNCTION("""COMPUTED_VALUE"""),2023.0)</f>
        <v>2023</v>
      </c>
      <c r="AA698" s="31">
        <f>IFERROR(__xludf.DUMMYFUNCTION("""COMPUTED_VALUE"""),0.0)</f>
        <v>0</v>
      </c>
      <c r="AF698" s="31" t="str">
        <f>IFERROR(__xludf.DUMMYFUNCTION("""COMPUTED_VALUE"""),"Challenge in interpretation of Mendelian randomization studies using lactase persistence as instrumental variable.")</f>
        <v>Challenge in interpretation of Mendelian randomization studies using lactase persistence as instrumental variable.</v>
      </c>
      <c r="AG698" s="31" t="str">
        <f>IFERROR(__xludf.DUMMYFUNCTION("""COMPUTED_VALUE"""),"Vissers, L E T; van der Schouw, Y T; Sluijs, I")</f>
        <v>Vissers, L E T; van der Schouw, Y T; Sluijs, I</v>
      </c>
      <c r="AH698" s="32">
        <f>IFERROR(__xludf.DUMMYFUNCTION("""COMPUTED_VALUE"""),42963.0)</f>
        <v>42963</v>
      </c>
      <c r="AL698" s="31" t="str">
        <f>IFERROR(__xludf.DUMMYFUNCTION("""COMPUTED_VALUE"""),"Epidemic potential of Escherichia coli ST131 and Klebsiella pneumoniae ST258: a systematic review and meta-analysis.")</f>
        <v>Epidemic potential of Escherichia coli ST131 and Klebsiella pneumoniae ST258: a systematic review and meta-analysis.</v>
      </c>
      <c r="AM698" s="31" t="str">
        <f>IFERROR(__xludf.DUMMYFUNCTION("""COMPUTED_VALUE"""),"Dautzenberg, M J D; Haverkate, M R; Bonten, M J M; Bootsma, M C J")</f>
        <v>Dautzenberg, M J D; Haverkate, M R; Bonten, M J M; Bootsma, M C J</v>
      </c>
      <c r="AN698" s="32">
        <f>IFERROR(__xludf.DUMMYFUNCTION("""COMPUTED_VALUE"""),42446.0)</f>
        <v>42446</v>
      </c>
    </row>
    <row r="699">
      <c r="A699" s="32"/>
      <c r="I699" s="31" t="str">
        <f>IFERROR(__xludf.DUMMYFUNCTION("""COMPUTED_VALUE"""),"aids and behavior")</f>
        <v>aids and behavior</v>
      </c>
      <c r="J699" s="38">
        <f>COUNTIF(Data!$F$2:$F9917, $I699)</f>
        <v>1</v>
      </c>
      <c r="T699" s="31" t="s">
        <v>1770</v>
      </c>
      <c r="U699" s="31" t="s">
        <v>1771</v>
      </c>
      <c r="V699" s="32">
        <v>45205.0</v>
      </c>
      <c r="X699" s="31" t="str">
        <f>IFERROR(__xludf.DUMMYFUNCTION("""COMPUTED_VALUE"""),"Seroprevalence of SARS-CoV-2 antibodies among healthcare workers in Dutch hospitals after the 2020 first wave: a multicentre cross-sectional study with prospective follow-up.")</f>
        <v>Seroprevalence of SARS-CoV-2 antibodies among healthcare workers in Dutch hospitals after the 2020 first wave: a multicentre cross-sectional study with prospective follow-up.</v>
      </c>
      <c r="Y699" s="31" t="str">
        <f>IFERROR(__xludf.DUMMYFUNCTION("""COMPUTED_VALUE"""),"Recanatini, Claudia; GeurtsvanKessel, Corine H; Pas, Suzan D; Broens, Els M; Maas, Martje; van Mansfeld, Rosa; Mutsaers-van Oudheusden, Anne J G; van Rijen, Miranda; Schippers, Emile F; Stegeman, Arjan; Tami, Adriana; Veldkamp, Karin Ellen; Visser, Hannah"&amp;"; Voss, Andreas; Wegdam-Blans, Marjolijn C A; Wertheim, Heiman F L; Wever, Peter C; Koopmans, Marion P G; Kluytmans, Jan A J W; Kluytmans-van den Bergh, Marjolein F Q; ,")</f>
        <v>Recanatini, Claudia; GeurtsvanKessel, Corine H; Pas, Suzan D; Broens, Els M; Maas, Martje; van Mansfeld, Rosa; Mutsaers-van Oudheusden, Anne J G; van Rijen, Miranda; Schippers, Emile F; Stegeman, Arjan; Tami, Adriana; Veldkamp, Karin Ellen; Visser, Hannah; Voss, Andreas; Wegdam-Blans, Marjolijn C A; Wertheim, Heiman F L; Wever, Peter C; Koopmans, Marion P G; Kluytmans, Jan A J W; Kluytmans-van den Bergh, Marjolein F Q; ,</v>
      </c>
      <c r="Z699" s="31">
        <f>IFERROR(__xludf.DUMMYFUNCTION("""COMPUTED_VALUE"""),2023.0)</f>
        <v>2023</v>
      </c>
      <c r="AA699" s="31">
        <f>IFERROR(__xludf.DUMMYFUNCTION("""COMPUTED_VALUE"""),0.0)</f>
        <v>0</v>
      </c>
      <c r="AF699" s="31" t="str">
        <f>IFERROR(__xludf.DUMMYFUNCTION("""COMPUTED_VALUE"""),"Effectiveness of an Integrated Approach to HIV and Hypertension Care in Rural South Africa: Controlled Interrupted Time-Series Analysis.")</f>
        <v>Effectiveness of an Integrated Approach to HIV and Hypertension Care in Rural South Africa: Controlled Interrupted Time-Series Analysis.</v>
      </c>
      <c r="AG699" s="31" t="str">
        <f>IFERROR(__xludf.DUMMYFUNCTION("""COMPUTED_VALUE"""),"Ameh, Soter; Klipstein-Grobusch, Kerstin; Musenge, Eustasius; Kahn, Kathleen; Tollman, Stephen; Gómez-Olivé, Francesc Xavier")</f>
        <v>Ameh, Soter; Klipstein-Grobusch, Kerstin; Musenge, Eustasius; Kahn, Kathleen; Tollman, Stephen; Gómez-Olivé, Francesc Xavier</v>
      </c>
      <c r="AH699" s="32">
        <f>IFERROR(__xludf.DUMMYFUNCTION("""COMPUTED_VALUE"""),42948.0)</f>
        <v>42948</v>
      </c>
      <c r="AL699" s="31" t="str">
        <f>IFERROR(__xludf.DUMMYFUNCTION("""COMPUTED_VALUE"""),"Prediction model of RSV-hospitalization in late preterm infants: An update and validation study.")</f>
        <v>Prediction model of RSV-hospitalization in late preterm infants: An update and validation study.</v>
      </c>
      <c r="AM699" s="31" t="str">
        <f>IFERROR(__xludf.DUMMYFUNCTION("""COMPUTED_VALUE"""),"Korsten, Koos; Blanken, Maarten O; Nibbelke, Elisabeth E; Moons, Karel G M; Bont, Louis; ,")</f>
        <v>Korsten, Koos; Blanken, Maarten O; Nibbelke, Elisabeth E; Moons, Karel G M; Bont, Louis; ,</v>
      </c>
      <c r="AN699" s="32">
        <f>IFERROR(__xludf.DUMMYFUNCTION("""COMPUTED_VALUE"""),42427.0)</f>
        <v>42427</v>
      </c>
    </row>
    <row r="700">
      <c r="A700" s="32"/>
      <c r="I700" s="31" t="str">
        <f>IFERROR(__xludf.DUMMYFUNCTION("""COMPUTED_VALUE"""),"primary health care research development")</f>
        <v>primary health care research development</v>
      </c>
      <c r="J700" s="38">
        <f>COUNTIF(Data!$F$2:$F9917, $I700)</f>
        <v>1</v>
      </c>
      <c r="T700" s="31" t="s">
        <v>1775</v>
      </c>
      <c r="U700" s="31" t="s">
        <v>1776</v>
      </c>
      <c r="V700" s="32">
        <v>45205.0</v>
      </c>
      <c r="X700" s="31" t="str">
        <f>IFERROR(__xludf.DUMMYFUNCTION("""COMPUTED_VALUE"""),"[Blueprint of the 2035 specialty landscape in the Netherlands].")</f>
        <v>[Blueprint of the 2035 specialty landscape in the Netherlands].</v>
      </c>
      <c r="Y700" s="31" t="str">
        <f>IFERROR(__xludf.DUMMYFUNCTION("""COMPUTED_VALUE"""),"Jambroes, Marielle; Van Veenendaal, Nadine; Damoiseaux, Roger A M J")</f>
        <v>Jambroes, Marielle; Van Veenendaal, Nadine; Damoiseaux, Roger A M J</v>
      </c>
      <c r="Z700" s="31">
        <f>IFERROR(__xludf.DUMMYFUNCTION("""COMPUTED_VALUE"""),2023.0)</f>
        <v>2023</v>
      </c>
      <c r="AA700" s="31">
        <f>IFERROR(__xludf.DUMMYFUNCTION("""COMPUTED_VALUE"""),0.0)</f>
        <v>0</v>
      </c>
      <c r="AF700" s="31" t="str">
        <f>IFERROR(__xludf.DUMMYFUNCTION("""COMPUTED_VALUE"""),"The association between HIV (treatment), pregnancy serum lipid concentrations and pregnancy outcomes: a systematic review.")</f>
        <v>The association between HIV (treatment), pregnancy serum lipid concentrations and pregnancy outcomes: a systematic review.</v>
      </c>
      <c r="AG700" s="31" t="str">
        <f>IFERROR(__xludf.DUMMYFUNCTION("""COMPUTED_VALUE"""),"Harmsen, Marissa J; Browne, Joyce L; Venter, Francois; Klipstein-Grobusch, Kerstin; Rijken, Marcus J")</f>
        <v>Harmsen, Marissa J; Browne, Joyce L; Venter, Francois; Klipstein-Grobusch, Kerstin; Rijken, Marcus J</v>
      </c>
      <c r="AH700" s="32">
        <f>IFERROR(__xludf.DUMMYFUNCTION("""COMPUTED_VALUE"""),42927.0)</f>
        <v>42927</v>
      </c>
      <c r="AL700" s="31" t="str">
        <f>IFERROR(__xludf.DUMMYFUNCTION("""COMPUTED_VALUE"""),"Patient- and Aneurysm-Specific Risk Factors for Intracranial Aneurysm Growth: A Systematic Review and Meta-Analysis.")</f>
        <v>Patient- and Aneurysm-Specific Risk Factors for Intracranial Aneurysm Growth: A Systematic Review and Meta-Analysis.</v>
      </c>
      <c r="AM700" s="31" t="str">
        <f>IFERROR(__xludf.DUMMYFUNCTION("""COMPUTED_VALUE"""),"Backes, Daan; Rinkel, Gabriel J E; Laban, Kamil G; Algra, Ale; Vergouwen, Mervyn D I")</f>
        <v>Backes, Daan; Rinkel, Gabriel J E; Laban, Kamil G; Algra, Ale; Vergouwen, Mervyn D I</v>
      </c>
      <c r="AN700" s="32">
        <f>IFERROR(__xludf.DUMMYFUNCTION("""COMPUTED_VALUE"""),42423.0)</f>
        <v>42423</v>
      </c>
    </row>
    <row r="701">
      <c r="A701" s="32"/>
      <c r="I701" s="31" t="str">
        <f>IFERROR(__xludf.DUMMYFUNCTION("""COMPUTED_VALUE"""),"journal of global health")</f>
        <v>journal of global health</v>
      </c>
      <c r="J701" s="38">
        <f>COUNTIF(Data!$F$2:$F9917, $I701)</f>
        <v>2</v>
      </c>
      <c r="T701" s="31" t="s">
        <v>1780</v>
      </c>
      <c r="U701" s="31" t="s">
        <v>1781</v>
      </c>
      <c r="V701" s="32">
        <v>45204.0</v>
      </c>
      <c r="X701" s="31" t="str">
        <f>IFERROR(__xludf.DUMMYFUNCTION("""COMPUTED_VALUE"""),"Towards Better Culturally Tailored Cardiometabolic Prevention Among the South-Asian Surinamese in the Netherlands.")</f>
        <v>Towards Better Culturally Tailored Cardiometabolic Prevention Among the South-Asian Surinamese in the Netherlands.</v>
      </c>
      <c r="Y701" s="31" t="str">
        <f>IFERROR(__xludf.DUMMYFUNCTION("""COMPUTED_VALUE"""),"Voogdt-Pruis, Helene R; van den Brekel, Lieke; Wispelweij, Lian; Jawalapershad, Laxmie; Narain, Soerin; Vaartjes, Ilonca C H; Grobbee, Diederick E; Klipstein-Grobusch, Kerstin")</f>
        <v>Voogdt-Pruis, Helene R; van den Brekel, Lieke; Wispelweij, Lian; Jawalapershad, Laxmie; Narain, Soerin; Vaartjes, Ilonca C H; Grobbee, Diederick E; Klipstein-Grobusch, Kerstin</v>
      </c>
      <c r="Z701" s="31">
        <f>IFERROR(__xludf.DUMMYFUNCTION("""COMPUTED_VALUE"""),2023.0)</f>
        <v>2023</v>
      </c>
      <c r="AA701" s="31">
        <f>IFERROR(__xludf.DUMMYFUNCTION("""COMPUTED_VALUE"""),0.0)</f>
        <v>0</v>
      </c>
      <c r="AF701" s="31" t="str">
        <f>IFERROR(__xludf.DUMMYFUNCTION("""COMPUTED_VALUE"""),"Series: Pragmatic trials and real world evidence: Paper 5. Usual care and real life comparators.")</f>
        <v>Series: Pragmatic trials and real world evidence: Paper 5. Usual care and real life comparators.</v>
      </c>
      <c r="AG701" s="31" t="str">
        <f>IFERROR(__xludf.DUMMYFUNCTION("""COMPUTED_VALUE"""),"Zuidgeest, Mira G P; Welsing, Paco M J; van Thiel, Ghislaine J M W; Ciaglia, Antonio; Alfonso-Cristancho, Rafael; Eckert, Laurent; Eijkemans, Marinus J C; Egger, Matthias; ,")</f>
        <v>Zuidgeest, Mira G P; Welsing, Paco M J; van Thiel, Ghislaine J M W; Ciaglia, Antonio; Alfonso-Cristancho, Rafael; Eckert, Laurent; Eijkemans, Marinus J C; Egger, Matthias; ,</v>
      </c>
      <c r="AH701" s="32">
        <f>IFERROR(__xludf.DUMMYFUNCTION("""COMPUTED_VALUE"""),42924.0)</f>
        <v>42924</v>
      </c>
      <c r="AL701" s="31" t="str">
        <f>IFERROR(__xludf.DUMMYFUNCTION("""COMPUTED_VALUE"""),"Effect of Weight Loss with or without Exercise on Inflammatory Markers and Adipokines in Postmenopausal Women: The SHAPE-2 Trial, A Randomized Controlled Trial.")</f>
        <v>Effect of Weight Loss with or without Exercise on Inflammatory Markers and Adipokines in Postmenopausal Women: The SHAPE-2 Trial, A Randomized Controlled Trial.</v>
      </c>
      <c r="AM701" s="31" t="str">
        <f>IFERROR(__xludf.DUMMYFUNCTION("""COMPUTED_VALUE"""),"van Gemert, Willemijn A; May, Anne M; Schuit, Albertine J; Oosterhof, Blanche Y M; Peeters, Petra H; Monninkhof, Evelyn M")</f>
        <v>van Gemert, Willemijn A; May, Anne M; Schuit, Albertine J; Oosterhof, Blanche Y M; Peeters, Petra H; Monninkhof, Evelyn M</v>
      </c>
      <c r="AN701" s="32">
        <f>IFERROR(__xludf.DUMMYFUNCTION("""COMPUTED_VALUE"""),42416.0)</f>
        <v>42416</v>
      </c>
    </row>
    <row r="702">
      <c r="A702" s="32"/>
      <c r="I702" s="31" t="str">
        <f>IFERROR(__xludf.DUMMYFUNCTION("""COMPUTED_VALUE"""),"european heart journal acute cardiovascular care")</f>
        <v>european heart journal acute cardiovascular care</v>
      </c>
      <c r="J702" s="38">
        <f>COUNTIF(Data!$F$2:$F9917, $I702)</f>
        <v>1</v>
      </c>
      <c r="T702" s="31" t="s">
        <v>1785</v>
      </c>
      <c r="U702" s="31" t="s">
        <v>1786</v>
      </c>
      <c r="V702" s="32">
        <v>45202.0</v>
      </c>
      <c r="X702" s="31" t="str">
        <f>IFERROR(__xludf.DUMMYFUNCTION("""COMPUTED_VALUE"""),"A Bayesian inference method to estimate transmission trees with multiple introductions; applied to SARS-CoV-2 in Dutch mink farms.")</f>
        <v>A Bayesian inference method to estimate transmission trees with multiple introductions; applied to SARS-CoV-2 in Dutch mink farms.</v>
      </c>
      <c r="Y702" s="31" t="str">
        <f>IFERROR(__xludf.DUMMYFUNCTION("""COMPUTED_VALUE"""),"Van der Roest, Bastiaan R; Bootsma, Martin C J; Fischer, Egil A J; Klinkenberg, Don; Kretzschmar, Mirjam E E")</f>
        <v>Van der Roest, Bastiaan R; Bootsma, Martin C J; Fischer, Egil A J; Klinkenberg, Don; Kretzschmar, Mirjam E E</v>
      </c>
      <c r="Z702" s="31">
        <f>IFERROR(__xludf.DUMMYFUNCTION("""COMPUTED_VALUE"""),2023.0)</f>
        <v>2023</v>
      </c>
      <c r="AA702" s="31">
        <f>IFERROR(__xludf.DUMMYFUNCTION("""COMPUTED_VALUE"""),0.0)</f>
        <v>0</v>
      </c>
      <c r="AF702" s="31" t="str">
        <f>IFERROR(__xludf.DUMMYFUNCTION("""COMPUTED_VALUE"""),"Food consumption, nutrient intake, and dietary patterns in Ghanaian migrants in Europe and their compatriots in Ghana.")</f>
        <v>Food consumption, nutrient intake, and dietary patterns in Ghanaian migrants in Europe and their compatriots in Ghana.</v>
      </c>
      <c r="AG702" s="31" t="str">
        <f>IFERROR(__xludf.DUMMYFUNCTION("""COMPUTED_VALUE"""),"Galbete, Cecilia; Nicolaou, Mary; Meeks, Karlijn A; de-Graft Aikins, Ama; Addo, Juliet; Amoah, Stephen K; Smeeth, Liam; Owusu-Dabo, Ellis; Klipstein-Grobusch, Kerstin; Bahendeka, Silver; Agyemang, Charles; Mockenhaupt, Frank P; Beune, Erik J; Stronks, Kar"&amp;"ien; Schulze, Matthias B; Danquah, Ina")</f>
        <v>Galbete, Cecilia; Nicolaou, Mary; Meeks, Karlijn A; de-Graft Aikins, Ama; Addo, Juliet; Amoah, Stephen K; Smeeth, Liam; Owusu-Dabo, Ellis; Klipstein-Grobusch, Kerstin; Bahendeka, Silver; Agyemang, Charles; Mockenhaupt, Frank P; Beune, Erik J; Stronks, Karien; Schulze, Matthias B; Danquah, Ina</v>
      </c>
      <c r="AH702" s="32">
        <f>IFERROR(__xludf.DUMMYFUNCTION("""COMPUTED_VALUE"""),42922.0)</f>
        <v>42922</v>
      </c>
      <c r="AL702" s="31" t="str">
        <f>IFERROR(__xludf.DUMMYFUNCTION("""COMPUTED_VALUE"""),"Oral mucosal adverse events with chlorhexidine 2% mouthwash in ICU.")</f>
        <v>Oral mucosal adverse events with chlorhexidine 2% mouthwash in ICU.</v>
      </c>
      <c r="AM702" s="31" t="str">
        <f>IFERROR(__xludf.DUMMYFUNCTION("""COMPUTED_VALUE"""),"Plantinga, Nienke L; Wittekamp, Bastiaan H J; Leleu, Kris; Depuydt, Pieter; Van den Abeele, Anne-Marie; Brun-Buisson, Christian; Bonten, Marc J M")</f>
        <v>Plantinga, Nienke L; Wittekamp, Bastiaan H J; Leleu, Kris; Depuydt, Pieter; Van den Abeele, Anne-Marie; Brun-Buisson, Christian; Bonten, Marc J M</v>
      </c>
      <c r="AN702" s="32">
        <f>IFERROR(__xludf.DUMMYFUNCTION("""COMPUTED_VALUE"""),42405.0)</f>
        <v>42405</v>
      </c>
    </row>
    <row r="703">
      <c r="A703" s="32"/>
      <c r="I703" s="31" t="str">
        <f>IFERROR(__xludf.DUMMYFUNCTION("""COMPUTED_VALUE"""),"acta neuropathologica")</f>
        <v>acta neuropathologica</v>
      </c>
      <c r="J703" s="38">
        <f>COUNTIF(Data!$F$2:$F9917, $I703)</f>
        <v>1</v>
      </c>
      <c r="T703" s="31" t="s">
        <v>1789</v>
      </c>
      <c r="U703" s="31" t="s">
        <v>1790</v>
      </c>
      <c r="V703" s="32">
        <v>45201.0</v>
      </c>
      <c r="X703" s="31" t="str">
        <f>IFERROR(__xludf.DUMMYFUNCTION("""COMPUTED_VALUE"""),"Determinants of Physical Activity among Patients with Colorectal Cancer: From Diagnosis to 5 Years after Diagnosis.")</f>
        <v>Determinants of Physical Activity among Patients with Colorectal Cancer: From Diagnosis to 5 Years after Diagnosis.</v>
      </c>
      <c r="Y703" s="31" t="str">
        <f>IFERROR(__xludf.DUMMYFUNCTION("""COMPUTED_VALUE"""),"Smit, Karel C; Derksen, Jeroen W G; Stellato, Rebecca K; VAN Lanen, Anne-Sophie; Wesselink, Evertine; Belt, Eric J Th; Balen, Marissa Cloos-VAN; Coene, Peter Paul L O; Dekker, Jan Willem T; DE Groot, Jan Willem; Haringhuizen, Annebeth W; VAN Halteren, Hen"&amp;"k K; VAN Heek, Tjarda T; Helgason, Helgi H; Hendriks, Mathijs P; DE Hingh, Ignace H J T; Hoekstra, Ronald; Houtsma, Danny; Janssen, Johan J B; Kok, Niels; Konsten, Joop L M; Los, Maartje; Meijerink, Martijn R; Mekenkamp, Leonie J M; Peeters, Koen C M J; P"&amp;"olée, Marco B; Rietbroek, Ron C; Schiphorst, Anandi H W; Schrauwen, Ruud W M; Schreinemakers, Jennifer; Sie, Mark P S; Simkens, Lieke; Sonneveld, Eric J A; Terheggen, Frederiek; Iersel, Liselot Valkenburg-VAN; Vles, Wouter J; Wasowicz-Kemps, Daria K; DE W"&amp;"ilt, Johannes H W; Kok, Dieuwertje E; Winkels, Renate M; Kampman, Ellen; VAN Duijnhoven, Fränzel J B; Koopman, Miriam; May, Anne M")</f>
        <v>Smit, Karel C; Derksen, Jeroen W G; Stellato, Rebecca K; VAN Lanen, Anne-Sophie; Wesselink, Evertine; Belt, Eric J Th; Balen, Marissa Cloos-VAN; Coene, Peter Paul L O; Dekker, Jan Willem T; DE Groot, Jan Willem; Haringhuizen, Annebeth W; VAN Halteren, Henk K; VAN Heek, Tjarda T; Helgason, Helgi H; Hendriks, Mathijs P; DE Hingh, Ignace H J T; Hoekstra, Ronald; Houtsma, Danny; Janssen, Johan J B; Kok, Niels; Konsten, Joop L M; Los, Maartje; Meijerink, Martijn R; Mekenkamp, Leonie J M; Peeters, Koen C M J; Polée, Marco B; Rietbroek, Ron C; Schiphorst, Anandi H W; Schrauwen, Ruud W M; Schreinemakers, Jennifer; Sie, Mark P S; Simkens, Lieke; Sonneveld, Eric J A; Terheggen, Frederiek; Iersel, Liselot Valkenburg-VAN; Vles, Wouter J; Wasowicz-Kemps, Daria K; DE Wilt, Johannes H W; Kok, Dieuwertje E; Winkels, Renate M; Kampman, Ellen; VAN Duijnhoven, Fränzel J B; Koopman, Miriam; May, Anne M</v>
      </c>
      <c r="Z703" s="31">
        <f>IFERROR(__xludf.DUMMYFUNCTION("""COMPUTED_VALUE"""),2023.0)</f>
        <v>2023</v>
      </c>
      <c r="AA703" s="31">
        <f>IFERROR(__xludf.DUMMYFUNCTION("""COMPUTED_VALUE"""),0.0)</f>
        <v>0</v>
      </c>
      <c r="AF703" s="31" t="str">
        <f>IFERROR(__xludf.DUMMYFUNCTION("""COMPUTED_VALUE"""),"Cardiac Stress and Inflammatory Markers as Predictors of Heart Failure in Patients With Type 2 Diabetes: The ADVANCE Trial.")</f>
        <v>Cardiac Stress and Inflammatory Markers as Predictors of Heart Failure in Patients With Type 2 Diabetes: The ADVANCE Trial.</v>
      </c>
      <c r="AG703" s="31" t="str">
        <f>IFERROR(__xludf.DUMMYFUNCTION("""COMPUTED_VALUE"""),"Ohkuma, Toshiaki; Jun, Min; Woodward, Mark; Zoungas, Sophia; Cooper, Mark E; Grobbee, Diederick E; Hamet, Pavel; Mancia, Giuseppe; Williams, Bryan; Welsh, Paul; Sattar, Naveed; Shaw, Jonathan E; Rahimi, Kazem; Chalmers, John; ,")</f>
        <v>Ohkuma, Toshiaki; Jun, Min; Woodward, Mark; Zoungas, Sophia; Cooper, Mark E; Grobbee, Diederick E; Hamet, Pavel; Mancia, Giuseppe; Williams, Bryan; Welsh, Paul; Sattar, Naveed; Shaw, Jonathan E; Rahimi, Kazem; Chalmers, John; ,</v>
      </c>
      <c r="AH703" s="32">
        <f>IFERROR(__xludf.DUMMYFUNCTION("""COMPUTED_VALUE"""),42922.0)</f>
        <v>42922</v>
      </c>
      <c r="AL703" s="31" t="str">
        <f>IFERROR(__xludf.DUMMYFUNCTION("""COMPUTED_VALUE"""),"Automated Hippocampal Subfield Segmentation at 7T MRI.")</f>
        <v>Automated Hippocampal Subfield Segmentation at 7T MRI.</v>
      </c>
      <c r="AM703" s="31" t="str">
        <f>IFERROR(__xludf.DUMMYFUNCTION("""COMPUTED_VALUE"""),"Wisse, L E M; Kuijf, H J; Honingh, A M; Wang, H; Pluta, J B; Das, S R; Wolk, D A; Zwanenburg, J J M; Yushkevich, P A; Geerlings, M I")</f>
        <v>Wisse, L E M; Kuijf, H J; Honingh, A M; Wang, H; Pluta, J B; Das, S R; Wolk, D A; Zwanenburg, J J M; Yushkevich, P A; Geerlings, M I</v>
      </c>
      <c r="AN703" s="32">
        <f>IFERROR(__xludf.DUMMYFUNCTION("""COMPUTED_VALUE"""),42404.0)</f>
        <v>42404</v>
      </c>
    </row>
    <row r="704">
      <c r="A704" s="32"/>
      <c r="I704" s="31" t="str">
        <f>IFERROR(__xludf.DUMMYFUNCTION("""COMPUTED_VALUE"""),"nature human behaviour")</f>
        <v>nature human behaviour</v>
      </c>
      <c r="J704" s="38">
        <f>COUNTIF(Data!$F$2:$F9917, $I704)</f>
        <v>1</v>
      </c>
      <c r="T704" s="31" t="s">
        <v>1793</v>
      </c>
      <c r="U704" s="31" t="s">
        <v>1794</v>
      </c>
      <c r="V704" s="32">
        <v>45201.0</v>
      </c>
      <c r="X704" s="31" t="str">
        <f>IFERROR(__xludf.DUMMYFUNCTION("""COMPUTED_VALUE"""),"Low dose cisplatin weekly versus high dose cisplatin every three weeks in primary chemoradiotherapy in head and neck cancer patients with low skeletal muscle mass: The CISLOW-study protocol.")</f>
        <v>Low dose cisplatin weekly versus high dose cisplatin every three weeks in primary chemoradiotherapy in head and neck cancer patients with low skeletal muscle mass: The CISLOW-study protocol.</v>
      </c>
      <c r="Y704" s="31" t="str">
        <f>IFERROR(__xludf.DUMMYFUNCTION("""COMPUTED_VALUE"""),"Schaeffers, Anouk W M A; Devriese, Lot A; van Gils, Carla H; Dankbaar, Jan Willem; Voortman, Jens; de Boer, Jan Paul; Slingerland, Marije; Hendriks, Mathijs P; Smid, Ernst J; Frederix, Geert W J; de Bree, Remco")</f>
        <v>Schaeffers, Anouk W M A; Devriese, Lot A; van Gils, Carla H; Dankbaar, Jan Willem; Voortman, Jens; de Boer, Jan Paul; Slingerland, Marije; Hendriks, Mathijs P; Smid, Ernst J; Frederix, Geert W J; de Bree, Remco</v>
      </c>
      <c r="Z704" s="31">
        <f>IFERROR(__xludf.DUMMYFUNCTION("""COMPUTED_VALUE"""),2023.0)</f>
        <v>2023</v>
      </c>
      <c r="AA704" s="31">
        <f>IFERROR(__xludf.DUMMYFUNCTION("""COMPUTED_VALUE"""),0.0)</f>
        <v>0</v>
      </c>
      <c r="AF704" s="31" t="str">
        <f>IFERROR(__xludf.DUMMYFUNCTION("""COMPUTED_VALUE"""),"Characterizing Adult Sleep Behavior Over 20 Years-The Population-Based Doetinchem Cohort Study.")</f>
        <v>Characterizing Adult Sleep Behavior Over 20 Years-The Population-Based Doetinchem Cohort Study.</v>
      </c>
      <c r="AG704" s="31" t="str">
        <f>IFERROR(__xludf.DUMMYFUNCTION("""COMPUTED_VALUE"""),"Zomers, Margot L; Hulsegge, Gerben; van Oostrom, Sandra H; Proper, Karin I; Verschuren, W M Monique; Picavet, H Susan J")</f>
        <v>Zomers, Margot L; Hulsegge, Gerben; van Oostrom, Sandra H; Proper, Karin I; Verschuren, W M Monique; Picavet, H Susan J</v>
      </c>
      <c r="AH704" s="32">
        <f>IFERROR(__xludf.DUMMYFUNCTION("""COMPUTED_VALUE"""),42917.0)</f>
        <v>42917</v>
      </c>
      <c r="AL704" s="31" t="str">
        <f>IFERROR(__xludf.DUMMYFUNCTION("""COMPUTED_VALUE"""),"Preventive Antibiotics and Delayed Cerebral Ischaemia in Patients with Aneurysmal Subarachnoid Haemorrhage Admitted to the Intensive Care Unit.")</f>
        <v>Preventive Antibiotics and Delayed Cerebral Ischaemia in Patients with Aneurysmal Subarachnoid Haemorrhage Admitted to the Intensive Care Unit.</v>
      </c>
      <c r="AM704" s="31" t="str">
        <f>IFERROR(__xludf.DUMMYFUNCTION("""COMPUTED_VALUE"""),"Gathier, Celine S; Oostdijk, Evelien A; Rinkel, Gabriel J E; Dorhout Mees, Sanne M; Vergouwen, Mervyn D I; de Smet, Anne Marie G A; van de Beek, Diederik; Vandertop, W Peter; Verbaan, Dagmar; Algra, Ale; Bonten, Marc J M; van den Bergh, Walter M")</f>
        <v>Gathier, Celine S; Oostdijk, Evelien A; Rinkel, Gabriel J E; Dorhout Mees, Sanne M; Vergouwen, Mervyn D I; de Smet, Anne Marie G A; van de Beek, Diederik; Vandertop, W Peter; Verbaan, Dagmar; Algra, Ale; Bonten, Marc J M; van den Bergh, Walter M</v>
      </c>
      <c r="AN704" s="32">
        <f>IFERROR(__xludf.DUMMYFUNCTION("""COMPUTED_VALUE"""),42401.0)</f>
        <v>42401</v>
      </c>
    </row>
    <row r="705">
      <c r="A705" s="32"/>
      <c r="I705" s="31" t="str">
        <f>IFERROR(__xludf.DUMMYFUNCTION("""COMPUTED_VALUE"""),"comprehensive psychoneuroendocrinology")</f>
        <v>comprehensive psychoneuroendocrinology</v>
      </c>
      <c r="J705" s="38">
        <f>COUNTIF(Data!$F$2:$F9917, $I705)</f>
        <v>1</v>
      </c>
      <c r="T705" s="31" t="s">
        <v>1798</v>
      </c>
      <c r="U705" s="31" t="s">
        <v>1799</v>
      </c>
      <c r="V705" s="32">
        <v>45200.0</v>
      </c>
      <c r="X705" s="31" t="str">
        <f>IFERROR(__xludf.DUMMYFUNCTION("""COMPUTED_VALUE"""),"Using microbiological data to improve the use of antibiotics for respiratory tract infections: A protocol for an individual patient data meta-analysis.")</f>
        <v>Using microbiological data to improve the use of antibiotics for respiratory tract infections: A protocol for an individual patient data meta-analysis.</v>
      </c>
      <c r="Y705" s="31" t="str">
        <f>IFERROR(__xludf.DUMMYFUNCTION("""COMPUTED_VALUE"""),"Boateng, Irene; Stuart, Beth; Becque, Taeko; Barrett, Bruce; Bostock, Jennifer; Bruyndonckx, Robin; Carr-Knox, Lucy; Ciccone, Emily J; Coenen, Samuel; Ebell, Mark; Gillespie, David; Hayward, Gail; Hedin, Katarina; Hood, Kerenza; Lau, Tin Man Mandy; Little"&amp;", Paul; Merenstein, Dan; Mulogo, Edgar; Ordóñez-Mena, Jose; Muir, Peter; Samuel, Kirsty; Shaikh, Nader; Tonner, Sharon; van der Velden, Alike W; Verheij, Theo; Wang, Kay; Hay, Alastair D; Francis, Nick")</f>
        <v>Boateng, Irene; Stuart, Beth; Becque, Taeko; Barrett, Bruce; Bostock, Jennifer; Bruyndonckx, Robin; Carr-Knox, Lucy; Ciccone, Emily J; Coenen, Samuel; Ebell, Mark; Gillespie, David; Hayward, Gail; Hedin, Katarina; Hood, Kerenza; Lau, Tin Man Mandy; Little, Paul; Merenstein, Dan; Mulogo, Edgar; Ordóñez-Mena, Jose; Muir, Peter; Samuel, Kirsty; Shaikh, Nader; Tonner, Sharon; van der Velden, Alike W; Verheij, Theo; Wang, Kay; Hay, Alastair D; Francis, Nick</v>
      </c>
      <c r="Z705" s="31">
        <f>IFERROR(__xludf.DUMMYFUNCTION("""COMPUTED_VALUE"""),2023.0)</f>
        <v>2023</v>
      </c>
      <c r="AA705" s="31">
        <f>IFERROR(__xludf.DUMMYFUNCTION("""COMPUTED_VALUE"""),0.0)</f>
        <v>0</v>
      </c>
      <c r="AF705" s="31" t="str">
        <f>IFERROR(__xludf.DUMMYFUNCTION("""COMPUTED_VALUE"""),"Randomized trial of switching from prescribed non-selective non-steroidal anti-inflammatory drugs to prescribed celecoxib: the Standard care vs. Celecoxib Outcome Trial (SCOT).")</f>
        <v>Randomized trial of switching from prescribed non-selective non-steroidal anti-inflammatory drugs to prescribed celecoxib: the Standard care vs. Celecoxib Outcome Trial (SCOT).</v>
      </c>
      <c r="AG705" s="31" t="str">
        <f>IFERROR(__xludf.DUMMYFUNCTION("""COMPUTED_VALUE"""),"MacDonald, Thomas M; Hawkey, Chris J; Ford, Ian; McMurray, John J V; Scheiman, James M; Hallas, Jesper; Findlay, Evelyn; Grobbee, Diederick E; Hobbs, F D Richard; Ralston, Stuart H; Reid, David M; Walters, Matthew R; Webster, John; Ruschitzka, Frank; Ritc"&amp;"hie, Lewis D; Perez-Gutthann, Susana; Connolly, Eugene; Greenlaw, Nicola; Wilson, Adam; Wei, Li; Mackenzie, Isla S")</f>
        <v>MacDonald, Thomas M; Hawkey, Chris J; Ford, Ian; McMurray, John J V; Scheiman, James M; Hallas, Jesper; Findlay, Evelyn; Grobbee, Diederick E; Hobbs, F D Richard; Ralston, Stuart H; Reid, David M; Walters, Matthew R; Webster, John; Ruschitzka, Frank; Ritchie, Lewis D; Perez-Gutthann, Susana; Connolly, Eugene; Greenlaw, Nicola; Wilson, Adam; Wei, Li; Mackenzie, Isla S</v>
      </c>
      <c r="AH705" s="32">
        <f>IFERROR(__xludf.DUMMYFUNCTION("""COMPUTED_VALUE"""),42900.0)</f>
        <v>42900</v>
      </c>
      <c r="AL705" s="31" t="str">
        <f>IFERROR(__xludf.DUMMYFUNCTION("""COMPUTED_VALUE"""),"Preventing ventriculostomy-related infections with antibiotic-impregnated drains in hospitals: a two-centre Dutch study.")</f>
        <v>Preventing ventriculostomy-related infections with antibiotic-impregnated drains in hospitals: a two-centre Dutch study.</v>
      </c>
      <c r="AM705" s="31" t="str">
        <f>IFERROR(__xludf.DUMMYFUNCTION("""COMPUTED_VALUE"""),"Verberk, J D M; Berkelbach van der Sprenkel, J W; Arts, M P; Dennesen, P J W; Bonten, M J M; van Mourik, M S M")</f>
        <v>Verberk, J D M; Berkelbach van der Sprenkel, J W; Arts, M P; Dennesen, P J W; Bonten, M J M; van Mourik, M S M</v>
      </c>
      <c r="AN705" s="32">
        <f>IFERROR(__xludf.DUMMYFUNCTION("""COMPUTED_VALUE"""),42390.0)</f>
        <v>42390</v>
      </c>
    </row>
    <row r="706">
      <c r="A706" s="32"/>
      <c r="I706" s="31" t="str">
        <f>IFERROR(__xludf.DUMMYFUNCTION("""COMPUTED_VALUE"""),"journal of internal medicine")</f>
        <v>journal of internal medicine</v>
      </c>
      <c r="J706" s="38">
        <f>COUNTIF(Data!$F$2:$F9917, $I706)</f>
        <v>12</v>
      </c>
      <c r="T706" s="31" t="s">
        <v>1803</v>
      </c>
      <c r="U706" s="31" t="s">
        <v>1804</v>
      </c>
      <c r="V706" s="32">
        <v>45200.0</v>
      </c>
      <c r="X706" s="31" t="str">
        <f>IFERROR(__xludf.DUMMYFUNCTION("""COMPUTED_VALUE"""),"Daily intranasal palivizumab to prevent respiratory syncytial virus infection in healthy preterm infants: a phase 1/2b randomized placebo-controlled trial.")</f>
        <v>Daily intranasal palivizumab to prevent respiratory syncytial virus infection in healthy preterm infants: a phase 1/2b randomized placebo-controlled trial.</v>
      </c>
      <c r="Y706" s="31" t="str">
        <f>IFERROR(__xludf.DUMMYFUNCTION("""COMPUTED_VALUE"""),"Mazur, Natalie I; Löwensteyn, Yvette N; Terstappen, Jonne; Leusen, Jeanette; Schobben, Fred; Cianci, Daniela; van de Ven, Peter M; Nierkens, Stefan; Bont, Louis J; ,")</f>
        <v>Mazur, Natalie I; Löwensteyn, Yvette N; Terstappen, Jonne; Leusen, Jeanette; Schobben, Fred; Cianci, Daniela; van de Ven, Peter M; Nierkens, Stefan; Bont, Louis J; ,</v>
      </c>
      <c r="Z706" s="31">
        <f>IFERROR(__xludf.DUMMYFUNCTION("""COMPUTED_VALUE"""),2023.0)</f>
        <v>2023</v>
      </c>
      <c r="AA706" s="31">
        <f>IFERROR(__xludf.DUMMYFUNCTION("""COMPUTED_VALUE"""),0.0)</f>
        <v>0</v>
      </c>
      <c r="AF706" s="31" t="str">
        <f>IFERROR(__xludf.DUMMYFUNCTION("""COMPUTED_VALUE"""),"Quality assurance and the need to evaluate interventions and audit programme outcomes.")</f>
        <v>Quality assurance and the need to evaluate interventions and audit programme outcomes.</v>
      </c>
      <c r="AG706" s="31" t="str">
        <f>IFERROR(__xludf.DUMMYFUNCTION("""COMPUTED_VALUE"""),"Zhao, Min; Vaartjes, Ilonca; Klipstein-Grobusch, Kerstin; Kotseva, Kornelia; Jennings, Catriona; Grobbee, Diederick E; Graham, Ian")</f>
        <v>Zhao, Min; Vaartjes, Ilonca; Klipstein-Grobusch, Kerstin; Kotseva, Kornelia; Jennings, Catriona; Grobbee, Diederick E; Graham, Ian</v>
      </c>
      <c r="AH706" s="32">
        <f>IFERROR(__xludf.DUMMYFUNCTION("""COMPUTED_VALUE"""),42887.0)</f>
        <v>42887</v>
      </c>
      <c r="AL706" s="31" t="str">
        <f>IFERROR(__xludf.DUMMYFUNCTION("""COMPUTED_VALUE"""),"Improving GRADE evidence tables part 3: detailed guidance for explanatory footnotes supports creating and understanding GRADE certainty in the evidence judgments.")</f>
        <v>Improving GRADE evidence tables part 3: detailed guidance for explanatory footnotes supports creating and understanding GRADE certainty in the evidence judgments.</v>
      </c>
      <c r="AM706" s="31" t="str">
        <f>IFERROR(__xludf.DUMMYFUNCTION("""COMPUTED_VALUE"""),"Santesso, Nancy; Carrasco-Labra, Alonso; Langendam, Miranda; Brignardello-Petersen, Romina; Mustafa, Reem A; Heus, Pauline; Lasserson, Toby; Opiyo, Newton; Kunnamo, Ilkka; Sinclair, David; Garner, Paul; Treweek, Shaun; Tovey, David; Akl, Elie A; Tugwell, "&amp;"Peter; Brozek, Jan L; Guyatt, Gordon; Schünemann, Holger J")</f>
        <v>Santesso, Nancy; Carrasco-Labra, Alonso; Langendam, Miranda; Brignardello-Petersen, Romina; Mustafa, Reem A; Heus, Pauline; Lasserson, Toby; Opiyo, Newton; Kunnamo, Ilkka; Sinclair, David; Garner, Paul; Treweek, Shaun; Tovey, David; Akl, Elie A; Tugwell, Peter; Brozek, Jan L; Guyatt, Gordon; Schünemann, Holger J</v>
      </c>
      <c r="AN706" s="32">
        <f>IFERROR(__xludf.DUMMYFUNCTION("""COMPUTED_VALUE"""),42381.0)</f>
        <v>42381</v>
      </c>
    </row>
    <row r="707">
      <c r="A707" s="32"/>
      <c r="I707" s="31" t="str">
        <f>IFERROR(__xludf.DUMMYFUNCTION("""COMPUTED_VALUE"""),"scientific data")</f>
        <v>scientific data</v>
      </c>
      <c r="J707" s="38">
        <f>COUNTIF(Data!$F$2:$F9917, $I707)</f>
        <v>2</v>
      </c>
      <c r="T707" s="31" t="s">
        <v>1807</v>
      </c>
      <c r="U707" s="31" t="s">
        <v>1808</v>
      </c>
      <c r="V707" s="32">
        <v>45200.0</v>
      </c>
      <c r="X707" s="31" t="str">
        <f>IFERROR(__xludf.DUMMYFUNCTION("""COMPUTED_VALUE"""),"Validation of prevalent diabetes risk scores based on non-invasively measured predictors in Ghanaian migrant and non-migrant populations - The RODAM study.")</f>
        <v>Validation of prevalent diabetes risk scores based on non-invasively measured predictors in Ghanaian migrant and non-migrant populations - The RODAM study.</v>
      </c>
      <c r="Y707" s="31" t="str">
        <f>IFERROR(__xludf.DUMMYFUNCTION("""COMPUTED_VALUE"""),"Osei-Yeboah, James; Kengne, Andre-Pascal; Owusu-Dabo, Ellis; Schulze, Matthias B; Meeks, Karlijn A C; Klipstein-Grobusch, Kerstin; Smeeth, Liam; Bahendeka, Silver; Beune, Erik; Moll van Charante, Eric P; Agyemang, Charles")</f>
        <v>Osei-Yeboah, James; Kengne, Andre-Pascal; Owusu-Dabo, Ellis; Schulze, Matthias B; Meeks, Karlijn A C; Klipstein-Grobusch, Kerstin; Smeeth, Liam; Bahendeka, Silver; Beune, Erik; Moll van Charante, Eric P; Agyemang, Charles</v>
      </c>
      <c r="Z707" s="31">
        <f>IFERROR(__xludf.DUMMYFUNCTION("""COMPUTED_VALUE"""),2023.0)</f>
        <v>2023</v>
      </c>
      <c r="AA707" s="31">
        <f>IFERROR(__xludf.DUMMYFUNCTION("""COMPUTED_VALUE"""),0.0)</f>
        <v>0</v>
      </c>
      <c r="AF707" s="31" t="str">
        <f>IFERROR(__xludf.DUMMYFUNCTION("""COMPUTED_VALUE"""),"Chance of surgery in adult congenital heart disease.")</f>
        <v>Chance of surgery in adult congenital heart disease.</v>
      </c>
      <c r="AG707" s="31" t="str">
        <f>IFERROR(__xludf.DUMMYFUNCTION("""COMPUTED_VALUE"""),"Verheugt, Carianne L; Uiterwaal, Cuno Spm; Vaartjes, Ilonca; van der Velde, Enno T; Zomer, A C; Meijboom, Folkert J; Pieper, Petronella G; Post, Marco C; Vliegen, Hubert W; Hazekamp, Mark G; Grobbee, Diederick E; Mulder, Barbara Jm")</f>
        <v>Verheugt, Carianne L; Uiterwaal, Cuno Spm; Vaartjes, Ilonca; van der Velde, Enno T; Zomer, A C; Meijboom, Folkert J; Pieper, Petronella G; Post, Marco C; Vliegen, Hubert W; Hazekamp, Mark G; Grobbee, Diederick E; Mulder, Barbara Jm</v>
      </c>
      <c r="AH707" s="32">
        <f>IFERROR(__xludf.DUMMYFUNCTION("""COMPUTED_VALUE"""),42880.0)</f>
        <v>42880</v>
      </c>
      <c r="AL707" s="31" t="str">
        <f>IFERROR(__xludf.DUMMYFUNCTION("""COMPUTED_VALUE"""),"GetReal in network meta-analysis: a review of the methodology.")</f>
        <v>GetReal in network meta-analysis: a review of the methodology.</v>
      </c>
      <c r="AM707" s="31" t="str">
        <f>IFERROR(__xludf.DUMMYFUNCTION("""COMPUTED_VALUE"""),"Efthimiou, Orestis; Debray, Thomas P A; van Valkenhoef, Gert; Trelle, Sven; Panayidou, Klea; Moons, Karel G M; Reitsma, Johannes B; Shang, Aijing; Salanti, Georgia; ,")</f>
        <v>Efthimiou, Orestis; Debray, Thomas P A; van Valkenhoef, Gert; Trelle, Sven; Panayidou, Klea; Moons, Karel G M; Reitsma, Johannes B; Shang, Aijing; Salanti, Georgia; ,</v>
      </c>
      <c r="AN707" s="32">
        <f>IFERROR(__xludf.DUMMYFUNCTION("""COMPUTED_VALUE"""),42380.0)</f>
        <v>42380</v>
      </c>
    </row>
    <row r="708">
      <c r="A708" s="32"/>
      <c r="I708" s="31" t="str">
        <f>IFERROR(__xludf.DUMMYFUNCTION("""COMPUTED_VALUE"""),"international journal of antimicrobial agents")</f>
        <v>international journal of antimicrobial agents</v>
      </c>
      <c r="J708" s="38">
        <f>COUNTIF(Data!$F$2:$F9917, $I708)</f>
        <v>2</v>
      </c>
      <c r="T708" s="31" t="s">
        <v>1812</v>
      </c>
      <c r="U708" s="31" t="s">
        <v>1813</v>
      </c>
      <c r="V708" s="32">
        <v>45200.0</v>
      </c>
      <c r="X708" s="31" t="str">
        <f>IFERROR(__xludf.DUMMYFUNCTION("""COMPUTED_VALUE"""),"Salivary concentrations of secretory leukocyte protease inhibitor and matrix metallopeptidase-9 following a single bout of exercise are associated with intensity and hydration status.")</f>
        <v>Salivary concentrations of secretory leukocyte protease inhibitor and matrix metallopeptidase-9 following a single bout of exercise are associated with intensity and hydration status.</v>
      </c>
      <c r="Y708" s="31" t="str">
        <f>IFERROR(__xludf.DUMMYFUNCTION("""COMPUTED_VALUE"""),"Knipping, Karen; Kartaram, Shirley W; Teunis, Marc; Zuithoff, Nicolaas P A; Buurman, Nicole; M'Rabet, Laura; van Norren, Klaske; Witkamp, Renger; Pieters, Raymond; Garssen, Johan")</f>
        <v>Knipping, Karen; Kartaram, Shirley W; Teunis, Marc; Zuithoff, Nicolaas P A; Buurman, Nicole; M'Rabet, Laura; van Norren, Klaske; Witkamp, Renger; Pieters, Raymond; Garssen, Johan</v>
      </c>
      <c r="Z708" s="31">
        <f>IFERROR(__xludf.DUMMYFUNCTION("""COMPUTED_VALUE"""),2023.0)</f>
        <v>2023</v>
      </c>
      <c r="AA708" s="31">
        <f>IFERROR(__xludf.DUMMYFUNCTION("""COMPUTED_VALUE"""),0.0)</f>
        <v>0</v>
      </c>
      <c r="AF708" s="31" t="str">
        <f>IFERROR(__xludf.DUMMYFUNCTION("""COMPUTED_VALUE"""),"Series: Pragmatic trials and real world evidence: Paper 1. Introduction.")</f>
        <v>Series: Pragmatic trials and real world evidence: Paper 1. Introduction.</v>
      </c>
      <c r="AG708" s="31" t="str">
        <f>IFERROR(__xludf.DUMMYFUNCTION("""COMPUTED_VALUE"""),"Zuidgeest, Mira G P; Goetz, Iris; Groenwold, Rolf H H; Irving, Elaine; van Thiel, Ghislaine J M W; Grobbee, Diederick E; ,")</f>
        <v>Zuidgeest, Mira G P; Goetz, Iris; Groenwold, Rolf H H; Irving, Elaine; van Thiel, Ghislaine J M W; Grobbee, Diederick E; ,</v>
      </c>
      <c r="AH708" s="32">
        <f>IFERROR(__xludf.DUMMYFUNCTION("""COMPUTED_VALUE"""),42879.0)</f>
        <v>42879</v>
      </c>
      <c r="AL708" s="31" t="str">
        <f>IFERROR(__xludf.DUMMYFUNCTION("""COMPUTED_VALUE"""),"Improving GRADE evidence tables part 2: a systematic survey of explanatory notes shows more guidance is needed.")</f>
        <v>Improving GRADE evidence tables part 2: a systematic survey of explanatory notes shows more guidance is needed.</v>
      </c>
      <c r="AM708" s="31" t="str">
        <f>IFERROR(__xludf.DUMMYFUNCTION("""COMPUTED_VALUE"""),"Langendam, Miranda; Carrasco-Labra, Alonso; Santesso, Nancy; Mustafa, Reem A; Brignardello-Petersen, Romina; Ventresca, Matthew; Heus, Pauline; Lasserson, Toby; Moustgaard, Rasmus; Brozek, Jan; Schünemann, Holger J")</f>
        <v>Langendam, Miranda; Carrasco-Labra, Alonso; Santesso, Nancy; Mustafa, Reem A; Brignardello-Petersen, Romina; Ventresca, Matthew; Heus, Pauline; Lasserson, Toby; Moustgaard, Rasmus; Brozek, Jan; Schünemann, Holger J</v>
      </c>
      <c r="AN708" s="32">
        <f>IFERROR(__xludf.DUMMYFUNCTION("""COMPUTED_VALUE"""),42380.0)</f>
        <v>42380</v>
      </c>
    </row>
    <row r="709">
      <c r="A709" s="32"/>
      <c r="I709" s="31" t="str">
        <f>IFERROR(__xludf.DUMMYFUNCTION("""COMPUTED_VALUE"""),"acta medica portuguesa")</f>
        <v>acta medica portuguesa</v>
      </c>
      <c r="J709" s="38">
        <f>COUNTIF(Data!$F$2:$F9917, $I709)</f>
        <v>1</v>
      </c>
      <c r="T709" s="31" t="s">
        <v>1816</v>
      </c>
      <c r="U709" s="31" t="s">
        <v>1817</v>
      </c>
      <c r="V709" s="32">
        <v>45200.0</v>
      </c>
      <c r="X709" s="31" t="str">
        <f>IFERROR(__xludf.DUMMYFUNCTION("""COMPUTED_VALUE"""),"Low-value home-based nursing care: A national survey study.")</f>
        <v>Low-value home-based nursing care: A national survey study.</v>
      </c>
      <c r="Y709" s="31" t="str">
        <f>IFERROR(__xludf.DUMMYFUNCTION("""COMPUTED_VALUE"""),"Wendt, Benjamin; Cremers, Milou; Ista, Erwin; van Dijk, Monique; Schoonhoven, Lisette; Nieuwboer, Minke S; Vermeulen, Hester; Van Dulmen, Simone A; Huisman-de Waal, Getty")</f>
        <v>Wendt, Benjamin; Cremers, Milou; Ista, Erwin; van Dijk, Monique; Schoonhoven, Lisette; Nieuwboer, Minke S; Vermeulen, Hester; Van Dulmen, Simone A; Huisman-de Waal, Getty</v>
      </c>
      <c r="Z709" s="31">
        <f>IFERROR(__xludf.DUMMYFUNCTION("""COMPUTED_VALUE"""),2023.0)</f>
        <v>2023</v>
      </c>
      <c r="AA709" s="31">
        <f>IFERROR(__xludf.DUMMYFUNCTION("""COMPUTED_VALUE"""),0.0)</f>
        <v>0</v>
      </c>
      <c r="AF709" s="31" t="str">
        <f>IFERROR(__xludf.DUMMYFUNCTION("""COMPUTED_VALUE"""),"Antenatal coffee and tea consumption and the effect on birth outcome and hypertensive pregnancy disorders.")</f>
        <v>Antenatal coffee and tea consumption and the effect on birth outcome and hypertensive pregnancy disorders.</v>
      </c>
      <c r="AG709" s="31" t="str">
        <f>IFERROR(__xludf.DUMMYFUNCTION("""COMPUTED_VALUE"""),"van der Hoeven, Timothy; Browne, Joyce L; Uiterwaal, Cuno S P M; van der Ent, Cornelis K; Grobbee, Diederick E; Dalmeijer, Geertje W")</f>
        <v>van der Hoeven, Timothy; Browne, Joyce L; Uiterwaal, Cuno S P M; van der Ent, Cornelis K; Grobbee, Diederick E; Dalmeijer, Geertje W</v>
      </c>
      <c r="AH709" s="32">
        <f>IFERROR(__xludf.DUMMYFUNCTION("""COMPUTED_VALUE"""),42871.0)</f>
        <v>42871</v>
      </c>
      <c r="AL709" s="31" t="str">
        <f>IFERROR(__xludf.DUMMYFUNCTION("""COMPUTED_VALUE"""),"Prediction models for intracranial hemorrhage or major bleeding in patients on antiplatelet therapy: a systematic review and external validation study.")</f>
        <v>Prediction models for intracranial hemorrhage or major bleeding in patients on antiplatelet therapy: a systematic review and external validation study.</v>
      </c>
      <c r="AM709" s="31" t="str">
        <f>IFERROR(__xludf.DUMMYFUNCTION("""COMPUTED_VALUE"""),"Hilkens, N A; Algra, A; Greving, J P")</f>
        <v>Hilkens, N A; Algra, A; Greving, J P</v>
      </c>
      <c r="AN709" s="32">
        <f>IFERROR(__xludf.DUMMYFUNCTION("""COMPUTED_VALUE"""),42373.0)</f>
        <v>42373</v>
      </c>
    </row>
    <row r="710">
      <c r="A710" s="32"/>
      <c r="I710" s="31" t="str">
        <f>IFERROR(__xludf.DUMMYFUNCTION("""COMPUTED_VALUE"""),"emergencias revista de la sociedad espanola de medicina de emergencias")</f>
        <v>emergencias revista de la sociedad espanola de medicina de emergencias</v>
      </c>
      <c r="J710" s="38">
        <f>COUNTIF(Data!$F$2:$F9917, $I710)</f>
        <v>1</v>
      </c>
      <c r="T710" s="31" t="s">
        <v>1820</v>
      </c>
      <c r="U710" s="31" t="s">
        <v>1821</v>
      </c>
      <c r="V710" s="32">
        <v>45198.0</v>
      </c>
      <c r="X710" s="31" t="str">
        <f>IFERROR(__xludf.DUMMYFUNCTION("""COMPUTED_VALUE"""),"Exploring infant and young child-feeding practices among mothers of well-nourished children in northern Ghana: An INPreP substudy.")</f>
        <v>Exploring infant and young child-feeding practices among mothers of well-nourished children in northern Ghana: An INPreP substudy.</v>
      </c>
      <c r="Y710" s="31" t="str">
        <f>IFERROR(__xludf.DUMMYFUNCTION("""COMPUTED_VALUE"""),"Dambayi, Edith; Nakua, Emmanuel; Aborigo, Raymond A; Chatio, Samuel T; Dalaba, Maxwell A; Sekwo, Enos; Adoctor, James K; Ofosu, Winfred; Oduro, Abraham R; Nonterah, Engelbert A; ,")</f>
        <v>Dambayi, Edith; Nakua, Emmanuel; Aborigo, Raymond A; Chatio, Samuel T; Dalaba, Maxwell A; Sekwo, Enos; Adoctor, James K; Ofosu, Winfred; Oduro, Abraham R; Nonterah, Engelbert A; ,</v>
      </c>
      <c r="Z710" s="31">
        <f>IFERROR(__xludf.DUMMYFUNCTION("""COMPUTED_VALUE"""),2023.0)</f>
        <v>2023</v>
      </c>
      <c r="AA710" s="31">
        <f>IFERROR(__xludf.DUMMYFUNCTION("""COMPUTED_VALUE"""),0.0)</f>
        <v>0</v>
      </c>
      <c r="AF710" s="31" t="str">
        <f>IFERROR(__xludf.DUMMYFUNCTION("""COMPUTED_VALUE"""),"Ethics of Informed Consent for Pragmatic Trials with New Interventions.")</f>
        <v>Ethics of Informed Consent for Pragmatic Trials with New Interventions.</v>
      </c>
      <c r="AG710" s="31" t="str">
        <f>IFERROR(__xludf.DUMMYFUNCTION("""COMPUTED_VALUE"""),"Kalkman, Shona; Kim, Scott Y H; van Thiel, Ghislaine J M W; Grobbee, Diederick E; van Delden, Johannes J M")</f>
        <v>Kalkman, Shona; Kim, Scott Y H; van Thiel, Ghislaine J M W; Grobbee, Diederick E; van Delden, Johannes J M</v>
      </c>
      <c r="AH710" s="32">
        <f>IFERROR(__xludf.DUMMYFUNCTION("""COMPUTED_VALUE"""),42871.0)</f>
        <v>42871</v>
      </c>
      <c r="AL710" s="31" t="str">
        <f>IFERROR(__xludf.DUMMYFUNCTION("""COMPUTED_VALUE"""),"[The threat of antibiotic resistance to nursing homes].")</f>
        <v>[The threat of antibiotic resistance to nursing homes].</v>
      </c>
      <c r="AM710" s="31" t="str">
        <f>IFERROR(__xludf.DUMMYFUNCTION("""COMPUTED_VALUE"""),"Bonten, M J M")</f>
        <v>Bonten, M J M</v>
      </c>
      <c r="AN710" s="32">
        <f>IFERROR(__xludf.DUMMYFUNCTION("""COMPUTED_VALUE"""),42370.0)</f>
        <v>42370</v>
      </c>
    </row>
    <row r="711">
      <c r="A711" s="32"/>
      <c r="I711" s="31" t="str">
        <f>IFERROR(__xludf.DUMMYFUNCTION("""COMPUTED_VALUE"""),"journal of craniomaxillofacial surgery official publication of the european association for craniomaxillofacial surgery")</f>
        <v>journal of craniomaxillofacial surgery official publication of the european association for craniomaxillofacial surgery</v>
      </c>
      <c r="J711" s="38">
        <f>COUNTIF(Data!$F$2:$F9917, $I711)</f>
        <v>3</v>
      </c>
      <c r="T711" s="31" t="s">
        <v>1825</v>
      </c>
      <c r="U711" s="31" t="s">
        <v>1826</v>
      </c>
      <c r="V711" s="32">
        <v>45198.0</v>
      </c>
      <c r="X711" s="31" t="str">
        <f>IFERROR(__xludf.DUMMYFUNCTION("""COMPUTED_VALUE"""),"Effectiveness of L-serine supplementation in children with a &lt;i&gt;GRIN2B&lt;/i&gt; loss-of-function mutation: Rationale and protocol for single patient (n-of-1) multiple cross-over trials.")</f>
        <v>Effectiveness of L-serine supplementation in children with a &lt;i&gt;GRIN2B&lt;/i&gt; loss-of-function mutation: Rationale and protocol for single patient (n-of-1) multiple cross-over trials.</v>
      </c>
      <c r="Y711" s="31" t="str">
        <f>IFERROR(__xludf.DUMMYFUNCTION("""COMPUTED_VALUE"""),"den Hollander, Bibiche; Rothuizen-Lindenschot, Marieke; Geertjens, Lisa; Vaz, Frédéric M; Brands, Marion M; Le, Hoang Lan; van Eeghen, Agnies M; van de Ven, Peter M; Cornel, Martina C; Jacobs, Bart A W; Bruining, Hilgo; van Karnebeek, Clara D")</f>
        <v>den Hollander, Bibiche; Rothuizen-Lindenschot, Marieke; Geertjens, Lisa; Vaz, Frédéric M; Brands, Marion M; Le, Hoang Lan; van Eeghen, Agnies M; van de Ven, Peter M; Cornel, Martina C; Jacobs, Bart A W; Bruining, Hilgo; van Karnebeek, Clara D</v>
      </c>
      <c r="Z711" s="31">
        <f>IFERROR(__xludf.DUMMYFUNCTION("""COMPUTED_VALUE"""),2023.0)</f>
        <v>2023</v>
      </c>
      <c r="AA711" s="31">
        <f>IFERROR(__xludf.DUMMYFUNCTION("""COMPUTED_VALUE"""),0.0)</f>
        <v>0</v>
      </c>
      <c r="AF711" s="31" t="str">
        <f>IFERROR(__xludf.DUMMYFUNCTION("""COMPUTED_VALUE"""),"Series: Pragmatic trials and real world evidence: Paper 3. Patient selection challenges and consequences.")</f>
        <v>Series: Pragmatic trials and real world evidence: Paper 3. Patient selection challenges and consequences.</v>
      </c>
      <c r="AG711" s="31" t="str">
        <f>IFERROR(__xludf.DUMMYFUNCTION("""COMPUTED_VALUE"""),"Oude Rengerink, Katrien; Kalkman, Shona; Collier, Susan; Ciaglia, Antonio; Worsley, Sally D; Lightbourne, Alison; Eckert, Laurent; Groenwold, Rolf H H; Grobbee, Diederick E; Irving, Elaine A; ,")</f>
        <v>Oude Rengerink, Katrien; Kalkman, Shona; Collier, Susan; Ciaglia, Antonio; Worsley, Sally D; Lightbourne, Alison; Eckert, Laurent; Groenwold, Rolf H H; Grobbee, Diederick E; Irving, Elaine A; ,</v>
      </c>
      <c r="AH711" s="32">
        <f>IFERROR(__xludf.DUMMYFUNCTION("""COMPUTED_VALUE"""),42866.0)</f>
        <v>42866</v>
      </c>
      <c r="AL711" s="31" t="str">
        <f>IFERROR(__xludf.DUMMYFUNCTION("""COMPUTED_VALUE"""),"Effects of physical exercise during adjuvant breast cancer treatment on physical and psychosocial dimensions of cancer-related fatigue: A meta-analysis.")</f>
        <v>Effects of physical exercise during adjuvant breast cancer treatment on physical and psychosocial dimensions of cancer-related fatigue: A meta-analysis.</v>
      </c>
      <c r="AM711" s="31" t="str">
        <f>IFERROR(__xludf.DUMMYFUNCTION("""COMPUTED_VALUE"""),"van Vulpen, Jonna K; Peeters, Petra H M; Velthuis, Miranda J; van der Wall, Elsken; May, Anne M")</f>
        <v>van Vulpen, Jonna K; Peeters, Petra H M; Velthuis, Miranda J; van der Wall, Elsken; May, Anne M</v>
      </c>
      <c r="AN711" s="32">
        <f>IFERROR(__xludf.DUMMYFUNCTION("""COMPUTED_VALUE"""),42366.0)</f>
        <v>42366</v>
      </c>
    </row>
    <row r="712">
      <c r="A712" s="32"/>
      <c r="I712" s="31" t="str">
        <f>IFERROR(__xludf.DUMMYFUNCTION("""COMPUTED_VALUE"""),"frontiers in genetics")</f>
        <v>frontiers in genetics</v>
      </c>
      <c r="J712" s="38">
        <f>COUNTIF(Data!$F$2:$F9917, $I712)</f>
        <v>3</v>
      </c>
      <c r="T712" s="31" t="s">
        <v>1829</v>
      </c>
      <c r="U712" s="31" t="s">
        <v>1830</v>
      </c>
      <c r="V712" s="32">
        <v>45198.0</v>
      </c>
      <c r="X712" s="31" t="str">
        <f>IFERROR(__xludf.DUMMYFUNCTION("""COMPUTED_VALUE"""),"Perspectives of patients with metastatic breast cancer on physical exercise programs: results from a survey in five European countries.")</f>
        <v>Perspectives of patients with metastatic breast cancer on physical exercise programs: results from a survey in five European countries.</v>
      </c>
      <c r="Y712" s="31" t="str">
        <f>IFERROR(__xludf.DUMMYFUNCTION("""COMPUTED_VALUE"""),"Sweegers, Maike G; Depenbusch, Johanna; Kampshoff, Caroline S; Aaronson, Neil K; Hiensch, Anouk; Wengström, Yvonne; Backman, Malin; Gunasekara, Nadira; Clauss, Dorothea; Pelaez, Mireia; Lachowicz, Milena; May, Anne M; Steindorf, Karen; Stuiver, Martijn M;"&amp;" ,")</f>
        <v>Sweegers, Maike G; Depenbusch, Johanna; Kampshoff, Caroline S; Aaronson, Neil K; Hiensch, Anouk; Wengström, Yvonne; Backman, Malin; Gunasekara, Nadira; Clauss, Dorothea; Pelaez, Mireia; Lachowicz, Milena; May, Anne M; Steindorf, Karen; Stuiver, Martijn M; ,</v>
      </c>
      <c r="Z712" s="31">
        <f>IFERROR(__xludf.DUMMYFUNCTION("""COMPUTED_VALUE"""),2023.0)</f>
        <v>2023</v>
      </c>
      <c r="AA712" s="31">
        <f>IFERROR(__xludf.DUMMYFUNCTION("""COMPUTED_VALUE"""),0.0)</f>
        <v>0</v>
      </c>
      <c r="AF712" s="31" t="str">
        <f>IFERROR(__xludf.DUMMYFUNCTION("""COMPUTED_VALUE"""),"Series: Pragmatic trials and real world evidence: Paper 4. Informed consent.")</f>
        <v>Series: Pragmatic trials and real world evidence: Paper 4. Informed consent.</v>
      </c>
      <c r="AG712" s="31" t="str">
        <f>IFERROR(__xludf.DUMMYFUNCTION("""COMPUTED_VALUE"""),"Kalkman, Shona; van Thiel, Ghislaine J M W; Zuidgeest, Mira G P; Goetz, Iris; Pfeiffer, Boris M; Grobbee, Diederick E; van Delden, Johannes J M; ,")</f>
        <v>Kalkman, Shona; van Thiel, Ghislaine J M W; Zuidgeest, Mira G P; Goetz, Iris; Pfeiffer, Boris M; Grobbee, Diederick E; van Delden, Johannes J M; ,</v>
      </c>
      <c r="AH712" s="32">
        <f>IFERROR(__xludf.DUMMYFUNCTION("""COMPUTED_VALUE"""),42866.0)</f>
        <v>42866</v>
      </c>
      <c r="AL712" s="31" t="str">
        <f>IFERROR(__xludf.DUMMYFUNCTION("""COMPUTED_VALUE"""),"Gram-positive cocci in Dutch ICUs with and without selective decontamination of the oropharyngeal and digestive tract: a retrospective database analysis.")</f>
        <v>Gram-positive cocci in Dutch ICUs with and without selective decontamination of the oropharyngeal and digestive tract: a retrospective database analysis.</v>
      </c>
      <c r="AM712" s="31" t="str">
        <f>IFERROR(__xludf.DUMMYFUNCTION("""COMPUTED_VALUE"""),"van der Bij, A K; Frentz, D; Bonten, M J M; ,")</f>
        <v>van der Bij, A K; Frentz, D; Bonten, M J M; ,</v>
      </c>
      <c r="AN712" s="32">
        <f>IFERROR(__xludf.DUMMYFUNCTION("""COMPUTED_VALUE"""),42349.0)</f>
        <v>42349</v>
      </c>
    </row>
    <row r="713">
      <c r="A713" s="32"/>
      <c r="I713" s="31" t="str">
        <f>IFERROR(__xludf.DUMMYFUNCTION("""COMPUTED_VALUE"""),"mechanisms of ageing and development")</f>
        <v>mechanisms of ageing and development</v>
      </c>
      <c r="J713" s="38">
        <f>COUNTIF(Data!$F$2:$F9917, $I713)</f>
        <v>3</v>
      </c>
      <c r="T713" s="31" t="s">
        <v>1834</v>
      </c>
      <c r="U713" s="31" t="s">
        <v>1835</v>
      </c>
      <c r="V713" s="32">
        <v>45197.0</v>
      </c>
      <c r="X713" s="31" t="str">
        <f>IFERROR(__xludf.DUMMYFUNCTION("""COMPUTED_VALUE"""),"Barriers to the spiritual care of parents taking care of their child with a life-limiting condition at home.")</f>
        <v>Barriers to the spiritual care of parents taking care of their child with a life-limiting condition at home.</v>
      </c>
      <c r="Y713" s="31" t="str">
        <f>IFERROR(__xludf.DUMMYFUNCTION("""COMPUTED_VALUE"""),"Brouwer, Marije A; Bas-Douw, Barbara C; Leget, Carlo J W; Engel, Marijanne; Teunissen, Saskia C C M; Kars, Marijke C")</f>
        <v>Brouwer, Marije A; Bas-Douw, Barbara C; Leget, Carlo J W; Engel, Marijanne; Teunissen, Saskia C C M; Kars, Marijke C</v>
      </c>
      <c r="Z713" s="31">
        <f>IFERROR(__xludf.DUMMYFUNCTION("""COMPUTED_VALUE"""),2023.0)</f>
        <v>2023</v>
      </c>
      <c r="AA713" s="31">
        <f>IFERROR(__xludf.DUMMYFUNCTION("""COMPUTED_VALUE"""),0.0)</f>
        <v>0</v>
      </c>
      <c r="AF713" s="31" t="str">
        <f>IFERROR(__xludf.DUMMYFUNCTION("""COMPUTED_VALUE"""),"Smoking prevalence differs by location of residence among Ghanaians in Africa and Europe: The RODAM study.")</f>
        <v>Smoking prevalence differs by location of residence among Ghanaians in Africa and Europe: The RODAM study.</v>
      </c>
      <c r="AG713" s="31" t="str">
        <f>IFERROR(__xludf.DUMMYFUNCTION("""COMPUTED_VALUE"""),"Brathwaite, Rachel; Addo, Juliet; Kunst, Anton E; Agyemang, Charles; Owusu-Dabo, Ellis; de-Graft Aikins, Ama; Beune, Erik; Meeks, Karlijn; Klipstein-Grobusch, Kerstin; Bahendeka, Silver; Mockenhaupt, Frank P; Amoah, Stephen; Galbete, Cecilia; Schulze, Mat"&amp;"thias B; Danquah, Ina; Smeeth, Liam")</f>
        <v>Brathwaite, Rachel; Addo, Juliet; Kunst, Anton E; Agyemang, Charles; Owusu-Dabo, Ellis; de-Graft Aikins, Ama; Beune, Erik; Meeks, Karlijn; Klipstein-Grobusch, Kerstin; Bahendeka, Silver; Mockenhaupt, Frank P; Amoah, Stephen; Galbete, Cecilia; Schulze, Matthias B; Danquah, Ina; Smeeth, Liam</v>
      </c>
      <c r="AH713" s="32">
        <f>IFERROR(__xludf.DUMMYFUNCTION("""COMPUTED_VALUE"""),42860.0)</f>
        <v>42860</v>
      </c>
      <c r="AL713" s="31" t="str">
        <f>IFERROR(__xludf.DUMMYFUNCTION("""COMPUTED_VALUE"""),"Acetaminophen for self-reported sleep problems in an elderly population (ASLEEP): a randomized double-blind placebo-controlled trial.")</f>
        <v>Acetaminophen for self-reported sleep problems in an elderly population (ASLEEP): a randomized double-blind placebo-controlled trial.</v>
      </c>
      <c r="AM713" s="31" t="str">
        <f>IFERROR(__xludf.DUMMYFUNCTION("""COMPUTED_VALUE"""),"van de Glind, Esther M M; Hooft, Lotty; Tulner, Linda R; Tulen, Joke H M; Te Water, Wilma; Kuper, Ingeborg M J A; Hamburger, Hans L; de Rooij, Sophia E; van Munster, Barbara C")</f>
        <v>van de Glind, Esther M M; Hooft, Lotty; Tulner, Linda R; Tulen, Joke H M; Te Water, Wilma; Kuper, Ingeborg M J A; Hamburger, Hans L; de Rooij, Sophia E; van Munster, Barbara C</v>
      </c>
      <c r="AN713" s="32">
        <f>IFERROR(__xludf.DUMMYFUNCTION("""COMPUTED_VALUE"""),42345.0)</f>
        <v>42345</v>
      </c>
    </row>
    <row r="714">
      <c r="A714" s="32"/>
      <c r="I714" s="31" t="str">
        <f>IFERROR(__xludf.DUMMYFUNCTION("""COMPUTED_VALUE"""),"the journals of gerontology series b psychological sciences and social sciences")</f>
        <v>the journals of gerontology series b psychological sciences and social sciences</v>
      </c>
      <c r="J714" s="38">
        <f>COUNTIF(Data!$F$2:$F9917, $I714)</f>
        <v>1</v>
      </c>
      <c r="T714" s="31" t="s">
        <v>1839</v>
      </c>
      <c r="U714" s="31" t="s">
        <v>1840</v>
      </c>
      <c r="V714" s="32">
        <v>45197.0</v>
      </c>
      <c r="X714" s="31" t="str">
        <f>IFERROR(__xludf.DUMMYFUNCTION("""COMPUTED_VALUE"""),"Uncertain futures and unsolicited findings in pediatric genomic sequencing: guidelines for return of results in cases of developmental delay.")</f>
        <v>Uncertain futures and unsolicited findings in pediatric genomic sequencing: guidelines for return of results in cases of developmental delay.</v>
      </c>
      <c r="Y714" s="31" t="str">
        <f>IFERROR(__xludf.DUMMYFUNCTION("""COMPUTED_VALUE"""),"Cornelis, Candice; Dondorp, Wybo; Bolt, Ineke; de Wert, Guido; van Summeren, Marieke; Brilstra, Eva; Knoers, Nine; Bredenoord, Annelien L")</f>
        <v>Cornelis, Candice; Dondorp, Wybo; Bolt, Ineke; de Wert, Guido; van Summeren, Marieke; Brilstra, Eva; Knoers, Nine; Bredenoord, Annelien L</v>
      </c>
      <c r="Z714" s="31">
        <f>IFERROR(__xludf.DUMMYFUNCTION("""COMPUTED_VALUE"""),2023.0)</f>
        <v>2023</v>
      </c>
      <c r="AA714" s="31">
        <f>IFERROR(__xludf.DUMMYFUNCTION("""COMPUTED_VALUE"""),0.0)</f>
        <v>0</v>
      </c>
      <c r="AF714" s="31" t="str">
        <f>IFERROR(__xludf.DUMMYFUNCTION("""COMPUTED_VALUE"""),"Relationship Between Lifelong Exercise Volume and Coronary Atherosclerosis in Athletes.")</f>
        <v>Relationship Between Lifelong Exercise Volume and Coronary Atherosclerosis in Athletes.</v>
      </c>
      <c r="AG714" s="31" t="str">
        <f>IFERROR(__xludf.DUMMYFUNCTION("""COMPUTED_VALUE"""),"Aengevaeren, Vincent L; Mosterd, Arend; Braber, Thijs L; Prakken, Niek H J; Doevendans, Pieter A; Grobbee, Diederick E; Thompson, Paul D; Eijsvogels, Thijs M H; Velthuis, Birgitta K")</f>
        <v>Aengevaeren, Vincent L; Mosterd, Arend; Braber, Thijs L; Prakken, Niek H J; Doevendans, Pieter A; Grobbee, Diederick E; Thompson, Paul D; Eijsvogels, Thijs M H; Velthuis, Birgitta K</v>
      </c>
      <c r="AH714" s="32">
        <f>IFERROR(__xludf.DUMMYFUNCTION("""COMPUTED_VALUE"""),42852.0)</f>
        <v>42852</v>
      </c>
      <c r="AL714" s="31" t="str">
        <f>IFERROR(__xludf.DUMMYFUNCTION("""COMPUTED_VALUE"""),"Prognosis of cerebral cavernomas: on to treatment decisions.")</f>
        <v>Prognosis of cerebral cavernomas: on to treatment decisions.</v>
      </c>
      <c r="AM714" s="31" t="str">
        <f>IFERROR(__xludf.DUMMYFUNCTION("""COMPUTED_VALUE"""),"Algra, Ale; Rinkel, Gabriël J E")</f>
        <v>Algra, Ale; Rinkel, Gabriël J E</v>
      </c>
      <c r="AN714" s="32">
        <f>IFERROR(__xludf.DUMMYFUNCTION("""COMPUTED_VALUE"""),42340.0)</f>
        <v>42340</v>
      </c>
    </row>
    <row r="715">
      <c r="A715" s="32"/>
      <c r="I715" s="31" t="str">
        <f>IFERROR(__xludf.DUMMYFUNCTION("""COMPUTED_VALUE"""),"spine")</f>
        <v>spine</v>
      </c>
      <c r="J715" s="38">
        <f>COUNTIF(Data!$F$2:$F9917, $I715)</f>
        <v>2</v>
      </c>
      <c r="T715" s="31" t="s">
        <v>1844</v>
      </c>
      <c r="U715" s="31" t="s">
        <v>1845</v>
      </c>
      <c r="V715" s="32">
        <v>45197.0</v>
      </c>
      <c r="X715" s="31" t="str">
        <f>IFERROR(__xludf.DUMMYFUNCTION("""COMPUTED_VALUE"""),"External validation of a lung cancer-based prediction model for two-year mortality in esophageal cancer patient cohorts.")</f>
        <v>External validation of a lung cancer-based prediction model for two-year mortality in esophageal cancer patient cohorts.</v>
      </c>
      <c r="Y715" s="31" t="str">
        <f>IFERROR(__xludf.DUMMYFUNCTION("""COMPUTED_VALUE"""),"Berbée, M; Muijs, C T; Voncken, F E M; Wee, L; Sosef, M; van Etten, B; van Sandick, J W; Warmerdam, F A R M; de Haan, J J; Oldehinkel, E; van Dieren, J M; Boersma, L; Langendijk, J A; van der Schaaf, A; Reitsma, J B; Schuit, E")</f>
        <v>Berbée, M; Muijs, C T; Voncken, F E M; Wee, L; Sosef, M; van Etten, B; van Sandick, J W; Warmerdam, F A R M; de Haan, J J; Oldehinkel, E; van Dieren, J M; Boersma, L; Langendijk, J A; van der Schaaf, A; Reitsma, J B; Schuit, E</v>
      </c>
      <c r="Z715" s="31">
        <f>IFERROR(__xludf.DUMMYFUNCTION("""COMPUTED_VALUE"""),2023.0)</f>
        <v>2023</v>
      </c>
      <c r="AA715" s="31">
        <f>IFERROR(__xludf.DUMMYFUNCTION("""COMPUTED_VALUE"""),0.0)</f>
        <v>0</v>
      </c>
      <c r="AF715" s="31" t="str">
        <f>IFERROR(__xludf.DUMMYFUNCTION("""COMPUTED_VALUE"""),"Exploring the relationship between perceived barriers to healthy eating and dietary behaviours in European adults.")</f>
        <v>Exploring the relationship between perceived barriers to healthy eating and dietary behaviours in European adults.</v>
      </c>
      <c r="AG715" s="31" t="str">
        <f>IFERROR(__xludf.DUMMYFUNCTION("""COMPUTED_VALUE"""),"Pinho, M G M; Mackenbach, J D; Charreire, H; Oppert, J-M; Bárdos, H; Glonti, K; Rutter, H; Compernolle, S; De Bourdeaudhuij, I; Beulens, J W J; Brug, J; Lakerveld, J")</f>
        <v>Pinho, M G M; Mackenbach, J D; Charreire, H; Oppert, J-M; Bárdos, H; Glonti, K; Rutter, H; Compernolle, S; De Bourdeaudhuij, I; Beulens, J W J; Brug, J; Lakerveld, J</v>
      </c>
      <c r="AH715" s="32">
        <f>IFERROR(__xludf.DUMMYFUNCTION("""COMPUTED_VALUE"""),42851.0)</f>
        <v>42851</v>
      </c>
      <c r="AL715" s="31" t="str">
        <f>IFERROR(__xludf.DUMMYFUNCTION("""COMPUTED_VALUE"""),"Cost-Effectiveness Analysis of High-Efficiency Hemodiafiltration Versus Low-Flux Hemodialysis Based on the Canadian Arm of the CONTRAST Study.")</f>
        <v>Cost-Effectiveness Analysis of High-Efficiency Hemodiafiltration Versus Low-Flux Hemodialysis Based on the Canadian Arm of the CONTRAST Study.</v>
      </c>
      <c r="AM715" s="31" t="str">
        <f>IFERROR(__xludf.DUMMYFUNCTION("""COMPUTED_VALUE"""),"Lévesque, Renee; Marcelli, Daniele; Cardinal, Héloïse; Caron, Marie-Line; Grooteman, Muriel P C; Bots, Michiel L; Blankestijn, Peter J; Nubé, Menso J; Grassmann, Aileen; Canaud, Bernard; Gandjour, Afschin")</f>
        <v>Lévesque, Renee; Marcelli, Daniele; Cardinal, Héloïse; Caron, Marie-Line; Grooteman, Muriel P C; Bots, Michiel L; Blankestijn, Peter J; Nubé, Menso J; Grassmann, Aileen; Canaud, Bernard; Gandjour, Afschin</v>
      </c>
      <c r="AN715" s="32">
        <f>IFERROR(__xludf.DUMMYFUNCTION("""COMPUTED_VALUE"""),42339.0)</f>
        <v>42339</v>
      </c>
    </row>
    <row r="716">
      <c r="A716" s="32"/>
      <c r="I716" s="31" t="str">
        <f>IFERROR(__xludf.DUMMYFUNCTION("""COMPUTED_VALUE"""),"journal of the american college of cardiology")</f>
        <v>journal of the american college of cardiology</v>
      </c>
      <c r="J716" s="38">
        <f>COUNTIF(Data!$F$2:$F9917, $I716)</f>
        <v>10</v>
      </c>
      <c r="T716" s="31" t="s">
        <v>1849</v>
      </c>
      <c r="U716" s="31" t="s">
        <v>1850</v>
      </c>
      <c r="V716" s="32">
        <v>45195.0</v>
      </c>
      <c r="X716" s="31" t="str">
        <f>IFERROR(__xludf.DUMMYFUNCTION("""COMPUTED_VALUE"""),"Hypertensive disorders of pregnancy and cardiovascular disease risk: A Mendelian Randomisation study.")</f>
        <v>Hypertensive disorders of pregnancy and cardiovascular disease risk: A Mendelian Randomisation study.</v>
      </c>
      <c r="Y716" s="31" t="str">
        <f>IFERROR(__xludf.DUMMYFUNCTION("""COMPUTED_VALUE"""),"Tschiderer, Lena; van der Schouw, Yvonne T; Burgess, Stephen; Bloemenkamp, Kitty Wm; Seekircher, Lisa; Willeit, Peter; Onland-Moret, N Charlotte; Peters, Sanne Ae")</f>
        <v>Tschiderer, Lena; van der Schouw, Yvonne T; Burgess, Stephen; Bloemenkamp, Kitty Wm; Seekircher, Lisa; Willeit, Peter; Onland-Moret, N Charlotte; Peters, Sanne Ae</v>
      </c>
      <c r="Z716" s="31">
        <f>IFERROR(__xludf.DUMMYFUNCTION("""COMPUTED_VALUE"""),2023.0)</f>
        <v>2023</v>
      </c>
      <c r="AA716" s="31">
        <f>IFERROR(__xludf.DUMMYFUNCTION("""COMPUTED_VALUE"""),0.0)</f>
        <v>0</v>
      </c>
      <c r="AF716" s="31" t="str">
        <f>IFERROR(__xludf.DUMMYFUNCTION("""COMPUTED_VALUE"""),"A quantitative comparison of anti-Müllerian hormone measurement and its shifting boundaries between two assays.")</f>
        <v>A quantitative comparison of anti-Müllerian hormone measurement and its shifting boundaries between two assays.</v>
      </c>
      <c r="AG716" s="31" t="str">
        <f>IFERROR(__xludf.DUMMYFUNCTION("""COMPUTED_VALUE"""),"de Kat, A C; Broekmans, F J M; van Westing, A C; Lentjes, E; Verschuren, W M M; van der Schouw, Y T")</f>
        <v>de Kat, A C; Broekmans, F J M; van Westing, A C; Lentjes, E; Verschuren, W M M; van der Schouw, Y T</v>
      </c>
      <c r="AH716" s="32">
        <f>IFERROR(__xludf.DUMMYFUNCTION("""COMPUTED_VALUE"""),42836.0)</f>
        <v>42836</v>
      </c>
      <c r="AL716" s="31" t="str">
        <f>IFERROR(__xludf.DUMMYFUNCTION("""COMPUTED_VALUE"""),"Vegetable and fruit consumption and the risk of hormone receptor-defined breast cancer in the EPIC cohort.")</f>
        <v>Vegetable and fruit consumption and the risk of hormone receptor-defined breast cancer in the EPIC cohort.</v>
      </c>
      <c r="AM716" s="31" t="str">
        <f>IFERROR(__xludf.DUMMYFUNCTION("""COMPUTED_VALUE"""),"Emaus, Marleen J; Peeters, Petra H M; Bakker, Marije F; Overvad, Kim; Tjønneland, Anne; Olsen, Anja; Romieu, Isabelle; Ferrari, Pietro; Dossus, Laure; Boutron-Ruault, Marie Christine; Baglietto, Laura; Fortner, Renée T; Kaaks, Rudolf; Boeing, Heiner; Tric"&amp;"hopoulou, Antonia; Lagiou, Pagona; Trichopoulos, Dimitrios; Masala, Giovanna; Pala, Valeria; Panico, Salvatore; Tumino, Rosario; Polidoro, Silvia; Skeie, Guri; Lund, Eiliv; Weiderpass, Elisabete; Quirós, J Ramón; Travier, Noémie; Sánchez, María-José; Chir"&amp;"laque, Maria-Dolores; Ardanaz, Eva; Dorronsoro, Miren; Winkvist, Anna; Wennberg, Maria; Bueno-de-Mesquita, H Bas; Khaw, Kay-Tee; Travis, Ruth C; Key, Timothy J; Aune, Dagfinn; Gunter, Marc; Riboli, Elio; van Gils, Carla H")</f>
        <v>Emaus, Marleen J; Peeters, Petra H M; Bakker, Marije F; Overvad, Kim; Tjønneland, Anne; Olsen, Anja; Romieu, Isabelle; Ferrari, Pietro; Dossus, Laure; Boutron-Ruault, Marie Christine; Baglietto, Laura; Fortner, Renée T; Kaaks, Rudolf; Boeing, Heiner; Trichopoulou, Antonia; Lagiou, Pagona; Trichopoulos, Dimitrios; Masala, Giovanna; Pala, Valeria; Panico, Salvatore; Tumino, Rosario; Polidoro, Silvia; Skeie, Guri; Lund, Eiliv; Weiderpass, Elisabete; Quirós, J Ramón; Travier, Noémie; Sánchez, María-José; Chirlaque, Maria-Dolores; Ardanaz, Eva; Dorronsoro, Miren; Winkvist, Anna; Wennberg, Maria; Bueno-de-Mesquita, H Bas; Khaw, Kay-Tee; Travis, Ruth C; Key, Timothy J; Aune, Dagfinn; Gunter, Marc; Riboli, Elio; van Gils, Carla H</v>
      </c>
      <c r="AN716" s="32">
        <f>IFERROR(__xludf.DUMMYFUNCTION("""COMPUTED_VALUE"""),42333.0)</f>
        <v>42333</v>
      </c>
    </row>
    <row r="717">
      <c r="A717" s="32"/>
      <c r="I717" s="31" t="str">
        <f>IFERROR(__xludf.DUMMYFUNCTION("""COMPUTED_VALUE"""),"cancer treatment reviews")</f>
        <v>cancer treatment reviews</v>
      </c>
      <c r="J717" s="38">
        <f>COUNTIF(Data!$F$2:$F9917, $I717)</f>
        <v>2</v>
      </c>
      <c r="T717" s="31" t="s">
        <v>1853</v>
      </c>
      <c r="U717" s="31" t="s">
        <v>1854</v>
      </c>
      <c r="V717" s="32">
        <v>45195.0</v>
      </c>
      <c r="X717" s="31" t="str">
        <f>IFERROR(__xludf.DUMMYFUNCTION("""COMPUTED_VALUE"""),"The effects of the COVID-19 pandemic on PICU admissions for severe asthma exacerbations: A single-center experience.")</f>
        <v>The effects of the COVID-19 pandemic on PICU admissions for severe asthma exacerbations: A single-center experience.</v>
      </c>
      <c r="Y717" s="31" t="str">
        <f>IFERROR(__xludf.DUMMYFUNCTION("""COMPUTED_VALUE"""),"Bazdar, Somayeh; van den Berg, Sarah; Rutjes, Niels W; Bloemsma, Lizan D; Downward, George S; De Weger, Letty A; Terheggen-Lagro, Suzanne W J; van Wijck, Yolanda; Maitland van der Zee, Anke H; Kapitein, Berber")</f>
        <v>Bazdar, Somayeh; van den Berg, Sarah; Rutjes, Niels W; Bloemsma, Lizan D; Downward, George S; De Weger, Letty A; Terheggen-Lagro, Suzanne W J; van Wijck, Yolanda; Maitland van der Zee, Anke H; Kapitein, Berber</v>
      </c>
      <c r="Z717" s="31">
        <f>IFERROR(__xludf.DUMMYFUNCTION("""COMPUTED_VALUE"""),2023.0)</f>
        <v>2023</v>
      </c>
      <c r="AA717" s="31">
        <f>IFERROR(__xludf.DUMMYFUNCTION("""COMPUTED_VALUE"""),0.0)</f>
        <v>0</v>
      </c>
      <c r="AF717" s="31" t="str">
        <f>IFERROR(__xludf.DUMMYFUNCTION("""COMPUTED_VALUE"""),"The effect of a clinical decision-making mHealth support system on maternal and neonatal mortality and morbidity in Ghana: study protocol for a cluster randomized controlled trial.")</f>
        <v>The effect of a clinical decision-making mHealth support system on maternal and neonatal mortality and morbidity in Ghana: study protocol for a cluster randomized controlled trial.</v>
      </c>
      <c r="AG717" s="31" t="str">
        <f>IFERROR(__xludf.DUMMYFUNCTION("""COMPUTED_VALUE"""),"Amoakoh, Hannah Brown; Klipstein-Grobusch, Kerstin; Amoakoh-Coleman, Mary; Agyepong, Irene Akua; Kayode, Gbenga A; Sarpong, Charity; Grobbee, Diederick E; Ansah, Evelyn K")</f>
        <v>Amoakoh, Hannah Brown; Klipstein-Grobusch, Kerstin; Amoakoh-Coleman, Mary; Agyepong, Irene Akua; Kayode, Gbenga A; Sarpong, Charity; Grobbee, Diederick E; Ansah, Evelyn K</v>
      </c>
      <c r="AH717" s="32">
        <f>IFERROR(__xludf.DUMMYFUNCTION("""COMPUTED_VALUE"""),42829.0)</f>
        <v>42829</v>
      </c>
      <c r="AL717" s="31" t="str">
        <f>IFERROR(__xludf.DUMMYFUNCTION("""COMPUTED_VALUE"""),"Making sense of universal screening for MRSA.")</f>
        <v>Making sense of universal screening for MRSA.</v>
      </c>
      <c r="AM717" s="31" t="str">
        <f>IFERROR(__xludf.DUMMYFUNCTION("""COMPUTED_VALUE"""),"Bonten, Marc J M; Weinstein, Robert A")</f>
        <v>Bonten, Marc J M; Weinstein, Robert A</v>
      </c>
      <c r="AN717" s="32">
        <f>IFERROR(__xludf.DUMMYFUNCTION("""COMPUTED_VALUE"""),42332.0)</f>
        <v>42332</v>
      </c>
    </row>
    <row r="718">
      <c r="A718" s="32"/>
      <c r="I718" s="31" t="str">
        <f>IFERROR(__xludf.DUMMYFUNCTION("""COMPUTED_VALUE"""),"minerva")</f>
        <v>minerva</v>
      </c>
      <c r="J718" s="38">
        <f>COUNTIF(Data!$F$2:$F9917, $I718)</f>
        <v>1</v>
      </c>
      <c r="T718" s="31" t="s">
        <v>1857</v>
      </c>
      <c r="U718" s="31" t="s">
        <v>1858</v>
      </c>
      <c r="V718" s="32">
        <v>45194.0</v>
      </c>
      <c r="X718" s="31" t="str">
        <f>IFERROR(__xludf.DUMMYFUNCTION("""COMPUTED_VALUE"""),"Effect of a Standardized Family Participation Program in the ICU: A Multicenter Stepped-Wedge Cluster Randomized Controlled Trial.")</f>
        <v>Effect of a Standardized Family Participation Program in the ICU: A Multicenter Stepped-Wedge Cluster Randomized Controlled Trial.</v>
      </c>
      <c r="Y718" s="31" t="str">
        <f>IFERROR(__xludf.DUMMYFUNCTION("""COMPUTED_VALUE"""),"Dijkstra, Boukje M; Rood, Paul J T; Teerenstra, Steven; Rutten, Anne M F; Leerentveld, Crista; Burgers-Bonthuis, Dominique C; Festen-Spanjer, Barbara; Klarenbeek, Toine; Van Den Boogaard, Mark; Ewalds, Esther; Schoonhoven, Lisette; Van Der Hoeven, Johanne"&amp;"s G; Vloet, Lilian C M; ,")</f>
        <v>Dijkstra, Boukje M; Rood, Paul J T; Teerenstra, Steven; Rutten, Anne M F; Leerentveld, Crista; Burgers-Bonthuis, Dominique C; Festen-Spanjer, Barbara; Klarenbeek, Toine; Van Den Boogaard, Mark; Ewalds, Esther; Schoonhoven, Lisette; Van Der Hoeven, Johannes G; Vloet, Lilian C M; ,</v>
      </c>
      <c r="Z718" s="31">
        <f>IFERROR(__xludf.DUMMYFUNCTION("""COMPUTED_VALUE"""),2023.0)</f>
        <v>2023</v>
      </c>
      <c r="AA718" s="31">
        <f>IFERROR(__xludf.DUMMYFUNCTION("""COMPUTED_VALUE"""),0.0)</f>
        <v>0</v>
      </c>
      <c r="AF718" s="31" t="str">
        <f>IFERROR(__xludf.DUMMYFUNCTION("""COMPUTED_VALUE"""),"Ethics of stem cell-derived gametes made in a dish: fertility for everyone?")</f>
        <v>Ethics of stem cell-derived gametes made in a dish: fertility for everyone?</v>
      </c>
      <c r="AG718" s="31" t="str">
        <f>IFERROR(__xludf.DUMMYFUNCTION("""COMPUTED_VALUE"""),"Bredenoord, Annelien L; Hyun, Insoo")</f>
        <v>Bredenoord, Annelien L; Hyun, Insoo</v>
      </c>
      <c r="AH718" s="32">
        <f>IFERROR(__xludf.DUMMYFUNCTION("""COMPUTED_VALUE"""),42826.0)</f>
        <v>42826</v>
      </c>
      <c r="AL718" s="31" t="str">
        <f>IFERROR(__xludf.DUMMYFUNCTION("""COMPUTED_VALUE"""),"Serum Magnesium and Sudden Death in European Hemodialysis Patients.")</f>
        <v>Serum Magnesium and Sudden Death in European Hemodialysis Patients.</v>
      </c>
      <c r="AM718" s="31" t="str">
        <f>IFERROR(__xludf.DUMMYFUNCTION("""COMPUTED_VALUE"""),"de Roij van Zuijdewijn, Camiel L M; Grooteman, Muriel P C; Bots, Michiel L; Blankestijn, Peter J; Steppan, Sonja; Büchel, Janine; Groenwold, Rolf H H; Brandenburg, Vincent; van den Dorpel, Marinus A; Ter Wee, Piet M; Nubé, Menso J; Vervloet, Marc G")</f>
        <v>de Roij van Zuijdewijn, Camiel L M; Grooteman, Muriel P C; Bots, Michiel L; Blankestijn, Peter J; Steppan, Sonja; Büchel, Janine; Groenwold, Rolf H H; Brandenburg, Vincent; van den Dorpel, Marinus A; Ter Wee, Piet M; Nubé, Menso J; Vervloet, Marc G</v>
      </c>
      <c r="AN718" s="32">
        <f>IFERROR(__xludf.DUMMYFUNCTION("""COMPUTED_VALUE"""),42331.0)</f>
        <v>42331</v>
      </c>
    </row>
    <row r="719">
      <c r="A719" s="32"/>
      <c r="I719" s="31" t="str">
        <f>IFERROR(__xludf.DUMMYFUNCTION("""COMPUTED_VALUE"""),"neurogastroenterology and motility")</f>
        <v>neurogastroenterology and motility</v>
      </c>
      <c r="J719" s="38">
        <f>COUNTIF(Data!$F$2:$F9917, $I719)</f>
        <v>1</v>
      </c>
      <c r="T719" s="31" t="s">
        <v>1862</v>
      </c>
      <c r="U719" s="31" t="s">
        <v>1863</v>
      </c>
      <c r="V719" s="32">
        <v>45194.0</v>
      </c>
      <c r="X719" s="31" t="str">
        <f>IFERROR(__xludf.DUMMYFUNCTION("""COMPUTED_VALUE"""),"Utility of iron biomarkers in differentiating menopausal status: Findings from CoLaus and PREVEND.")</f>
        <v>Utility of iron biomarkers in differentiating menopausal status: Findings from CoLaus and PREVEND.</v>
      </c>
      <c r="Y719" s="31" t="str">
        <f>IFERROR(__xludf.DUMMYFUNCTION("""COMPUTED_VALUE"""),"Kastrati, Lum; Groothof, Dion; Quezada-Pinedo, Hugo G; Raeisi-Dehkordi, Hamidreza; Bally, Lia; De Borst, Martin H; Bakker, Stephan J L; Vidal, Pedro-Marques; Eisenga, Michele F; Muka, Taulant")</f>
        <v>Kastrati, Lum; Groothof, Dion; Quezada-Pinedo, Hugo G; Raeisi-Dehkordi, Hamidreza; Bally, Lia; De Borst, Martin H; Bakker, Stephan J L; Vidal, Pedro-Marques; Eisenga, Michele F; Muka, Taulant</v>
      </c>
      <c r="Z719" s="31">
        <f>IFERROR(__xludf.DUMMYFUNCTION("""COMPUTED_VALUE"""),2023.0)</f>
        <v>2023</v>
      </c>
      <c r="AA719" s="31">
        <f>IFERROR(__xludf.DUMMYFUNCTION("""COMPUTED_VALUE"""),0.0)</f>
        <v>0</v>
      </c>
      <c r="AF719" s="31" t="str">
        <f>IFERROR(__xludf.DUMMYFUNCTION("""COMPUTED_VALUE"""),"A pro-inflammatory diet is associated with increased risk of developing hypertension among middle-aged women.")</f>
        <v>A pro-inflammatory diet is associated with increased risk of developing hypertension among middle-aged women.</v>
      </c>
      <c r="AG719" s="31" t="str">
        <f>IFERROR(__xludf.DUMMYFUNCTION("""COMPUTED_VALUE"""),"Vissers, L E T; Waller, M; van der Schouw, Y T; Hébert, J R; Shivappa, N; Schoenaker, D A J M; Mishra, G D")</f>
        <v>Vissers, L E T; Waller, M; van der Schouw, Y T; Hébert, J R; Shivappa, N; Schoenaker, D A J M; Mishra, G D</v>
      </c>
      <c r="AH719" s="32">
        <f>IFERROR(__xludf.DUMMYFUNCTION("""COMPUTED_VALUE"""),42823.0)</f>
        <v>42823</v>
      </c>
      <c r="AL719" s="31" t="str">
        <f>IFERROR(__xludf.DUMMYFUNCTION("""COMPUTED_VALUE"""),"The ThRombolysis in UnconTrolled Hypertension (TRUTH) protocol: an observational study on treatment strategy of elevated blood pressure in stroke patients eligible for IVT.")</f>
        <v>The ThRombolysis in UnconTrolled Hypertension (TRUTH) protocol: an observational study on treatment strategy of elevated blood pressure in stroke patients eligible for IVT.</v>
      </c>
      <c r="AM719" s="31" t="str">
        <f>IFERROR(__xludf.DUMMYFUNCTION("""COMPUTED_VALUE"""),"Zonneveld, T P; Algra, A; Dippel, D W J; Kappelle, L J; van Oostenbrugge, R J; Roos, Y B W E M; Wermer, M J; van der Worp, H B; Nederkoorn, P J; Kruyt, N D; ,")</f>
        <v>Zonneveld, T P; Algra, A; Dippel, D W J; Kappelle, L J; van Oostenbrugge, R J; Roos, Y B W E M; Wermer, M J; van der Worp, H B; Nederkoorn, P J; Kruyt, N D; ,</v>
      </c>
      <c r="AN719" s="32">
        <f>IFERROR(__xludf.DUMMYFUNCTION("""COMPUTED_VALUE"""),42331.0)</f>
        <v>42331</v>
      </c>
    </row>
    <row r="720">
      <c r="A720" s="32"/>
      <c r="I720" s="31" t="str">
        <f>IFERROR(__xludf.DUMMYFUNCTION("""COMPUTED_VALUE"""),"jacc cardiovascular imaging")</f>
        <v>jacc cardiovascular imaging</v>
      </c>
      <c r="J720" s="38">
        <f>COUNTIF(Data!$F$2:$F9917, $I720)</f>
        <v>1</v>
      </c>
      <c r="T720" s="31" t="s">
        <v>1867</v>
      </c>
      <c r="U720" s="31" t="s">
        <v>1868</v>
      </c>
      <c r="V720" s="32">
        <v>45191.0</v>
      </c>
      <c r="X720" s="31" t="str">
        <f>IFERROR(__xludf.DUMMYFUNCTION("""COMPUTED_VALUE"""),"Correction: Plasma protein biomarkers reflective of the host response in patients developing Intensive Care Unit-acquired pneumonia.")</f>
        <v>Correction: Plasma protein biomarkers reflective of the host response in patients developing Intensive Care Unit-acquired pneumonia.</v>
      </c>
      <c r="Y720" s="31" t="str">
        <f>IFERROR(__xludf.DUMMYFUNCTION("""COMPUTED_VALUE"""),"van Engelen, Tjitske S R; Reijnders, Tom D Y; Paling, Fleur P; Bonten, Marc J M; Timbermont, Leen; Malhotra-Kumar, Surbhi; Kluytmans, Jan A J W; Peters-Sengers, Hessel; van der Poll, Tom; ,")</f>
        <v>van Engelen, Tjitske S R; Reijnders, Tom D Y; Paling, Fleur P; Bonten, Marc J M; Timbermont, Leen; Malhotra-Kumar, Surbhi; Kluytmans, Jan A J W; Peters-Sengers, Hessel; van der Poll, Tom; ,</v>
      </c>
      <c r="Z720" s="31">
        <f>IFERROR(__xludf.DUMMYFUNCTION("""COMPUTED_VALUE"""),2023.0)</f>
        <v>2023</v>
      </c>
      <c r="AA720" s="31">
        <f>IFERROR(__xludf.DUMMYFUNCTION("""COMPUTED_VALUE"""),0.0)</f>
        <v>0</v>
      </c>
      <c r="AF720" s="31" t="str">
        <f>IFERROR(__xludf.DUMMYFUNCTION("""COMPUTED_VALUE"""),"Association between socioeconomic position and the prevalence of type 2 diabetes in Ghanaians in different geographic locations: the RODAM study.")</f>
        <v>Association between socioeconomic position and the prevalence of type 2 diabetes in Ghanaians in different geographic locations: the RODAM study.</v>
      </c>
      <c r="AG720" s="31" t="str">
        <f>IFERROR(__xludf.DUMMYFUNCTION("""COMPUTED_VALUE"""),"Addo, Juliet; Agyemang, Charles; de-Graft Aikins, Ama; Beune, Erik; Schulze, Matthias B; Danquah, Ina; Galbete, Cecilia; Nicolaou, Mary; Meeks, Karlijn; Klipstein-Grobusch, Kerstin; Bahendaka, Silver; Mockenhaupt, Frank P; Owusu-Dabo, Ellis; Kunst, Anton;"&amp;" Stronks, Karien; Smeeth, Liam")</f>
        <v>Addo, Juliet; Agyemang, Charles; de-Graft Aikins, Ama; Beune, Erik; Schulze, Matthias B; Danquah, Ina; Galbete, Cecilia; Nicolaou, Mary; Meeks, Karlijn; Klipstein-Grobusch, Kerstin; Bahendaka, Silver; Mockenhaupt, Frank P; Owusu-Dabo, Ellis; Kunst, Anton; Stronks, Karien; Smeeth, Liam</v>
      </c>
      <c r="AH720" s="32">
        <f>IFERROR(__xludf.DUMMYFUNCTION("""COMPUTED_VALUE"""),42821.0)</f>
        <v>42821</v>
      </c>
      <c r="AL720" s="31" t="str">
        <f>IFERROR(__xludf.DUMMYFUNCTION("""COMPUTED_VALUE"""),"Time trends in causes of death after aneurysmal subarachnoid hemorrhage: A hospital-based study.")</f>
        <v>Time trends in causes of death after aneurysmal subarachnoid hemorrhage: A hospital-based study.</v>
      </c>
      <c r="AM720" s="31" t="str">
        <f>IFERROR(__xludf.DUMMYFUNCTION("""COMPUTED_VALUE"""),"Vergouwen, Mervyn D I; Jong-Tjien-Fa, Amy V; Algra, Ale; Rinkel, Gabriel J E")</f>
        <v>Vergouwen, Mervyn D I; Jong-Tjien-Fa, Amy V; Algra, Ale; Rinkel, Gabriel J E</v>
      </c>
      <c r="AN720" s="32">
        <f>IFERROR(__xludf.DUMMYFUNCTION("""COMPUTED_VALUE"""),42328.0)</f>
        <v>42328</v>
      </c>
    </row>
    <row r="721">
      <c r="A721" s="32"/>
      <c r="I721" s="31" t="str">
        <f>IFERROR(__xludf.DUMMYFUNCTION("""COMPUTED_VALUE"""),"ejnmmi research")</f>
        <v>ejnmmi research</v>
      </c>
      <c r="J721" s="38">
        <f>COUNTIF(Data!$F$2:$F9917, $I721)</f>
        <v>1</v>
      </c>
      <c r="T721" s="31" t="s">
        <v>1871</v>
      </c>
      <c r="U721" s="31" t="s">
        <v>1872</v>
      </c>
      <c r="V721" s="32">
        <v>45191.0</v>
      </c>
      <c r="X721" s="31" t="str">
        <f>IFERROR(__xludf.DUMMYFUNCTION("""COMPUTED_VALUE"""),"Prediction of fetal and neonatal outcomes after preterm manifestations of placental insufficiency: systematic review of prediction models.")</f>
        <v>Prediction of fetal and neonatal outcomes after preterm manifestations of placental insufficiency: systematic review of prediction models.</v>
      </c>
      <c r="Y721" s="31" t="str">
        <f>IFERROR(__xludf.DUMMYFUNCTION("""COMPUTED_VALUE"""),"Kleuskens, D G; Van Veen, C M C; Groenendaal, F; Ganzevoort, W; Gordijn, S J; Van Rijn, B B; Lely, A T; Schuit, E; Kooiman, J")</f>
        <v>Kleuskens, D G; Van Veen, C M C; Groenendaal, F; Ganzevoort, W; Gordijn, S J; Van Rijn, B B; Lely, A T; Schuit, E; Kooiman, J</v>
      </c>
      <c r="Z721" s="31">
        <f>IFERROR(__xludf.DUMMYFUNCTION("""COMPUTED_VALUE"""),2023.0)</f>
        <v>2023</v>
      </c>
      <c r="AA721" s="31">
        <f>IFERROR(__xludf.DUMMYFUNCTION("""COMPUTED_VALUE"""),0.0)</f>
        <v>0</v>
      </c>
      <c r="AF721" s="31" t="str">
        <f>IFERROR(__xludf.DUMMYFUNCTION("""COMPUTED_VALUE"""),"Post-Discharge Worsening Renal Function in Patients with Type 2 Diabetes and Recent Acute Coronary Syndrome.")</f>
        <v>Post-Discharge Worsening Renal Function in Patients with Type 2 Diabetes and Recent Acute Coronary Syndrome.</v>
      </c>
      <c r="AG721" s="31" t="str">
        <f>IFERROR(__xludf.DUMMYFUNCTION("""COMPUTED_VALUE"""),"Morici, Nuccia; Savonitto, Stefano; Ponticelli, Claudio; Schrieks, Ilse C; Nozza, Anna; Cosentino, Francesco; Stähli, Barbara E; Perrone Filardi, Pasquale; Schwartz, Gregory G; Mellbin, Linda; Lincoff, A Michael; Tardif, Jean-Claude; Grobbee, Diederick E")</f>
        <v>Morici, Nuccia; Savonitto, Stefano; Ponticelli, Claudio; Schrieks, Ilse C; Nozza, Anna; Cosentino, Francesco; Stähli, Barbara E; Perrone Filardi, Pasquale; Schwartz, Gregory G; Mellbin, Linda; Lincoff, A Michael; Tardif, Jean-Claude; Grobbee, Diederick E</v>
      </c>
      <c r="AH721" s="32">
        <f>IFERROR(__xludf.DUMMYFUNCTION("""COMPUTED_VALUE"""),42818.0)</f>
        <v>42818</v>
      </c>
      <c r="AL721" s="31" t="str">
        <f>IFERROR(__xludf.DUMMYFUNCTION("""COMPUTED_VALUE"""),"Using a gene expression signature when controversy exists regarding the indication for adjuvant systemic treatment reduces the proportion of patients receiving adjuvant chemotherapy: a nationwide study.")</f>
        <v>Using a gene expression signature when controversy exists regarding the indication for adjuvant systemic treatment reduces the proportion of patients receiving adjuvant chemotherapy: a nationwide study.</v>
      </c>
      <c r="AM721" s="31" t="str">
        <f>IFERROR(__xludf.DUMMYFUNCTION("""COMPUTED_VALUE"""),"Kuijer, A; van Bommel, A C M; Drukker, C A; van der Heiden-van der Loo, M; Smorenburg, C H; Westenend, P J; Linn, S C; Rutgers, E J Th; Elias, S G; van Dalen, Th")</f>
        <v>Kuijer, A; van Bommel, A C M; Drukker, C A; van der Heiden-van der Loo, M; Smorenburg, C H; Westenend, P J; Linn, S C; Rutgers, E J Th; Elias, S G; van Dalen, Th</v>
      </c>
      <c r="AN721" s="32">
        <f>IFERROR(__xludf.DUMMYFUNCTION("""COMPUTED_VALUE"""),42327.0)</f>
        <v>42327</v>
      </c>
    </row>
    <row r="722">
      <c r="A722" s="32"/>
      <c r="I722" s="31" t="str">
        <f>IFERROR(__xludf.DUMMYFUNCTION("""COMPUTED_VALUE"""),"the journal of molecular diagnostics jmd")</f>
        <v>the journal of molecular diagnostics jmd</v>
      </c>
      <c r="J722" s="38">
        <f>COUNTIF(Data!$F$2:$F9917, $I722)</f>
        <v>2</v>
      </c>
      <c r="T722" s="31" t="s">
        <v>1876</v>
      </c>
      <c r="U722" s="31" t="s">
        <v>1877</v>
      </c>
      <c r="V722" s="32">
        <v>45191.0</v>
      </c>
      <c r="X722" s="31" t="str">
        <f>IFERROR(__xludf.DUMMYFUNCTION("""COMPUTED_VALUE"""),"Ethnic Differences in the Association Between Age at Natural Menopause and Risk of Type 2 Diabetes Among Postmenopausal Women: A Pooled Analysis of Individual Data From 13 Cohort Studies.")</f>
        <v>Ethnic Differences in the Association Between Age at Natural Menopause and Risk of Type 2 Diabetes Among Postmenopausal Women: A Pooled Analysis of Individual Data From 13 Cohort Studies.</v>
      </c>
      <c r="Y722" s="31" t="str">
        <f>IFERROR(__xludf.DUMMYFUNCTION("""COMPUTED_VALUE"""),"Chung, Hsin-Fang; Dobson, Annette J; Hayashi, Kunihiko; Hardy, Rebecca; Kuh, Diana; Anderson, Debra J; van der Schouw, Yvonne T; Greenwood, Darren C; Cade, Janet E; Demakakos, Panayotes; Brunner, Eric J; Eastwood, Sophie V; Sandin, Sven; Weiderpass, Elisa"&amp;"bete; Mishra, Gita D")</f>
        <v>Chung, Hsin-Fang; Dobson, Annette J; Hayashi, Kunihiko; Hardy, Rebecca; Kuh, Diana; Anderson, Debra J; van der Schouw, Yvonne T; Greenwood, Darren C; Cade, Janet E; Demakakos, Panayotes; Brunner, Eric J; Eastwood, Sophie V; Sandin, Sven; Weiderpass, Elisabete; Mishra, Gita D</v>
      </c>
      <c r="Z722" s="31">
        <f>IFERROR(__xludf.DUMMYFUNCTION("""COMPUTED_VALUE"""),2023.0)</f>
        <v>2023</v>
      </c>
      <c r="AA722" s="31">
        <f>IFERROR(__xludf.DUMMYFUNCTION("""COMPUTED_VALUE"""),0.0)</f>
        <v>0</v>
      </c>
      <c r="AF722" s="31" t="str">
        <f>IFERROR(__xludf.DUMMYFUNCTION("""COMPUTED_VALUE"""),"Relationships between structure, process and outcome to assess quality of integrated chronic disease management in a rural South African setting: applying a structural equation model.")</f>
        <v>Relationships between structure, process and outcome to assess quality of integrated chronic disease management in a rural South African setting: applying a structural equation model.</v>
      </c>
      <c r="AG722" s="31" t="str">
        <f>IFERROR(__xludf.DUMMYFUNCTION("""COMPUTED_VALUE"""),"Ameh, Soter; Gómez-Olivé, Francesc Xavier; Kahn, Kathleen; Tollman, Stephen M; Klipstein-Grobusch, Kerstin")</f>
        <v>Ameh, Soter; Gómez-Olivé, Francesc Xavier; Kahn, Kathleen; Tollman, Stephen M; Klipstein-Grobusch, Kerstin</v>
      </c>
      <c r="AH722" s="32">
        <f>IFERROR(__xludf.DUMMYFUNCTION("""COMPUTED_VALUE"""),42817.0)</f>
        <v>42817</v>
      </c>
      <c r="AL722" s="31" t="str">
        <f>IFERROR(__xludf.DUMMYFUNCTION("""COMPUTED_VALUE"""),"The Innovative Medicines Initiative's New Drugs for Bad Bugs programme: European public-private partnerships for the development of new strategies to tackle antibiotic resistance.")</f>
        <v>The Innovative Medicines Initiative's New Drugs for Bad Bugs programme: European public-private partnerships for the development of new strategies to tackle antibiotic resistance.</v>
      </c>
      <c r="AM722" s="31" t="str">
        <f>IFERROR(__xludf.DUMMYFUNCTION("""COMPUTED_VALUE"""),"Kostyanev, T; Bonten, M J M; O'Brien, S; Steel, H; Ross, S; François, B; Tacconelli, E; Winterhalter, M; Stavenger, R A; Karlén, A; Harbarth, S; Hackett, J; Jafri, H S; Vuong, C; MacGowan, A; Witschi, A; Angyalosi, G; Elborn, J S; deWinter, R; Goossens, H")</f>
        <v>Kostyanev, T; Bonten, M J M; O'Brien, S; Steel, H; Ross, S; François, B; Tacconelli, E; Winterhalter, M; Stavenger, R A; Karlén, A; Harbarth, S; Hackett, J; Jafri, H S; Vuong, C; MacGowan, A; Witschi, A; Angyalosi, G; Elborn, J S; deWinter, R; Goossens, H</v>
      </c>
      <c r="AN722" s="32">
        <f>IFERROR(__xludf.DUMMYFUNCTION("""COMPUTED_VALUE"""),42323.0)</f>
        <v>42323</v>
      </c>
    </row>
    <row r="723">
      <c r="A723" s="32"/>
      <c r="I723" s="31" t="str">
        <f>IFERROR(__xludf.DUMMYFUNCTION("""COMPUTED_VALUE"""),"research in social administrative pharmacy rsap")</f>
        <v>research in social administrative pharmacy rsap</v>
      </c>
      <c r="J723" s="38">
        <f>COUNTIF(Data!$F$2:$F9917, $I723)</f>
        <v>2</v>
      </c>
      <c r="T723" s="31" t="s">
        <v>1879</v>
      </c>
      <c r="U723" s="31" t="s">
        <v>1880</v>
      </c>
      <c r="V723" s="32">
        <v>45190.0</v>
      </c>
      <c r="X723" s="31" t="str">
        <f>IFERROR(__xludf.DUMMYFUNCTION("""COMPUTED_VALUE"""),"Reducing the gap of chronic kidney disease in low- and middle-income countries: what is missing?")</f>
        <v>Reducing the gap of chronic kidney disease in low- and middle-income countries: what is missing?</v>
      </c>
      <c r="Y723" s="31" t="str">
        <f>IFERROR(__xludf.DUMMYFUNCTION("""COMPUTED_VALUE"""),"López, Darío Sebastián; Hernández Vargas, Juliana Alexandra; Urina-Jassir, Manuel; Urina-Triana, Miguel; Franco, Oscar H")</f>
        <v>López, Darío Sebastián; Hernández Vargas, Juliana Alexandra; Urina-Jassir, Manuel; Urina-Triana, Miguel; Franco, Oscar H</v>
      </c>
      <c r="Z723" s="31">
        <f>IFERROR(__xludf.DUMMYFUNCTION("""COMPUTED_VALUE"""),2023.0)</f>
        <v>2023</v>
      </c>
      <c r="AA723" s="31">
        <f>IFERROR(__xludf.DUMMYFUNCTION("""COMPUTED_VALUE"""),0.0)</f>
        <v>0</v>
      </c>
      <c r="AF723" s="31" t="str">
        <f>IFERROR(__xludf.DUMMYFUNCTION("""COMPUTED_VALUE"""),"Quality of integrated chronic disease care in rural South Africa: user and provider perspectives.")</f>
        <v>Quality of integrated chronic disease care in rural South Africa: user and provider perspectives.</v>
      </c>
      <c r="AG723" s="31" t="str">
        <f>IFERROR(__xludf.DUMMYFUNCTION("""COMPUTED_VALUE"""),"Ameh, Soter; Klipstein-Grobusch, Kerstin; D'ambruoso, Lucia; Kahn, Kathleen; Tollman, Stephen M; Gómez-Olivé, Francesc Xavier")</f>
        <v>Ameh, Soter; Klipstein-Grobusch, Kerstin; D'ambruoso, Lucia; Kahn, Kathleen; Tollman, Stephen M; Gómez-Olivé, Francesc Xavier</v>
      </c>
      <c r="AH723" s="32">
        <f>IFERROR(__xludf.DUMMYFUNCTION("""COMPUTED_VALUE"""),42795.0)</f>
        <v>42795</v>
      </c>
      <c r="AL723" s="31" t="str">
        <f>IFERROR(__xludf.DUMMYFUNCTION("""COMPUTED_VALUE"""),"Tracking social contact networks with online respondent-driven detection: who recruits whom?")</f>
        <v>Tracking social contact networks with online respondent-driven detection: who recruits whom?</v>
      </c>
      <c r="AM723" s="31" t="str">
        <f>IFERROR(__xludf.DUMMYFUNCTION("""COMPUTED_VALUE"""),"Stein, Mart L; van der Heijden, Peter G M; Buskens, Vincent; van Steenbergen, Jim E; Bengtsson, Linus; Koppeschaar, Carl E; Thorson, Anna; Kretzschmar, Mirjam E E")</f>
        <v>Stein, Mart L; van der Heijden, Peter G M; Buskens, Vincent; van Steenbergen, Jim E; Bengtsson, Linus; Koppeschaar, Carl E; Thorson, Anna; Kretzschmar, Mirjam E E</v>
      </c>
      <c r="AN723" s="32">
        <f>IFERROR(__xludf.DUMMYFUNCTION("""COMPUTED_VALUE"""),42322.0)</f>
        <v>42322</v>
      </c>
    </row>
    <row r="724">
      <c r="A724" s="32"/>
      <c r="I724" s="31" t="str">
        <f>IFERROR(__xludf.DUMMYFUNCTION("""COMPUTED_VALUE"""),"journal of evaluation in clinical practice")</f>
        <v>journal of evaluation in clinical practice</v>
      </c>
      <c r="J724" s="38">
        <f>COUNTIF(Data!$F$2:$F9917, $I724)</f>
        <v>3</v>
      </c>
      <c r="T724" s="31" t="s">
        <v>1884</v>
      </c>
      <c r="U724" s="31" t="s">
        <v>1885</v>
      </c>
      <c r="V724" s="32">
        <v>45190.0</v>
      </c>
      <c r="X724" s="31" t="str">
        <f>IFERROR(__xludf.DUMMYFUNCTION("""COMPUTED_VALUE"""),"Patterns and drivers of atmospheric inorganic nitrogen deposition in Northeast Asia.")</f>
        <v>Patterns and drivers of atmospheric inorganic nitrogen deposition in Northeast Asia.</v>
      </c>
      <c r="Y724" s="31" t="str">
        <f>IFERROR(__xludf.DUMMYFUNCTION("""COMPUTED_VALUE"""),"Mgelwa, Abubakari Said; Zhu, Feifei; Huang, Dan; Song, Linlin; Wang, Yingying; Gurmesa, Geshere Abdisa; Wang, Ang; Liu, Miao; Huang, Shaonan; Qiu, Qingyan; Sase, Hiroyuki; Zhu, Weixing; Fang, Yunting")</f>
        <v>Mgelwa, Abubakari Said; Zhu, Feifei; Huang, Dan; Song, Linlin; Wang, Yingying; Gurmesa, Geshere Abdisa; Wang, Ang; Liu, Miao; Huang, Shaonan; Qiu, Qingyan; Sase, Hiroyuki; Zhu, Weixing; Fang, Yunting</v>
      </c>
      <c r="Z724" s="31">
        <f>IFERROR(__xludf.DUMMYFUNCTION("""COMPUTED_VALUE"""),2023.0)</f>
        <v>2023</v>
      </c>
      <c r="AA724" s="31">
        <f>IFERROR(__xludf.DUMMYFUNCTION("""COMPUTED_VALUE"""),0.0)</f>
        <v>0</v>
      </c>
      <c r="AF724" s="31" t="str">
        <f>IFERROR(__xludf.DUMMYFUNCTION("""COMPUTED_VALUE"""),"Severity of Respiratory Syncytial Virus Lower Respiratory Tract Infection With Viral Coinfection in HIV-Uninfected Children.")</f>
        <v>Severity of Respiratory Syncytial Virus Lower Respiratory Tract Infection With Viral Coinfection in HIV-Uninfected Children.</v>
      </c>
      <c r="AG724" s="31" t="str">
        <f>IFERROR(__xludf.DUMMYFUNCTION("""COMPUTED_VALUE"""),"Mazur, Natalie I; Bont, Louis; Cohen, Adam L; Cohen, Cheryl; von Gottberg, Anne; Groome, Michelle J; Hellferscee, Orienka; Klipstein-Grobusch, Kerstin; Mekgoe, Omphile; Naby, Fathima; Moyes, Jocelyn; Tempia, Stefano; Treurnicht, Florette K; Venter, Mariet"&amp;"je; Walaza, Sibongile; Wolter, Nicole; Madhi, Shabir A; ,")</f>
        <v>Mazur, Natalie I; Bont, Louis; Cohen, Adam L; Cohen, Cheryl; von Gottberg, Anne; Groome, Michelle J; Hellferscee, Orienka; Klipstein-Grobusch, Kerstin; Mekgoe, Omphile; Naby, Fathima; Moyes, Jocelyn; Tempia, Stefano; Treurnicht, Florette K; Venter, Marietje; Walaza, Sibongile; Wolter, Nicole; Madhi, Shabir A; ,</v>
      </c>
      <c r="AH724" s="32">
        <f>IFERROR(__xludf.DUMMYFUNCTION("""COMPUTED_VALUE"""),42781.0)</f>
        <v>42781</v>
      </c>
      <c r="AL724" s="31" t="str">
        <f>IFERROR(__xludf.DUMMYFUNCTION("""COMPUTED_VALUE"""),"Diagnostic yield and accuracy of CT angiography, MR angiography, and digital subtraction angiography for detection of macrovascular causes of intracerebral haemorrhage: prospective, multicentre cohort study.")</f>
        <v>Diagnostic yield and accuracy of CT angiography, MR angiography, and digital subtraction angiography for detection of macrovascular causes of intracerebral haemorrhage: prospective, multicentre cohort study.</v>
      </c>
      <c r="AM724" s="31" t="str">
        <f>IFERROR(__xludf.DUMMYFUNCTION("""COMPUTED_VALUE"""),"van Asch, Charlotte J J; Velthuis, Birgitta K; Rinkel, Gabriël J E; Algra, Ale; de Kort, Gérard A P; Witkamp, Theo D; de Ridder, Johanna C M; van Nieuwenhuizen, Koen M; de Leeuw, Frank-Erik; Schonewille, Wouter J; de Kort, Paul L M; Dippel, Diederik W; Ra"&amp;"aymakers, Theodora W M; Hofmeijer, Jeannette; Wermer, Marieke J H; Kerkhoff, Henk; Jellema, Korné; Bronner, Irene M; Remmers, Michel J M; Bienfait, Henri Paul; Witjes, Ron J G M; Greving, Jacoba P; Klijn, Catharina J M; ,")</f>
        <v>van Asch, Charlotte J J; Velthuis, Birgitta K; Rinkel, Gabriël J E; Algra, Ale; de Kort, Gérard A P; Witkamp, Theo D; de Ridder, Johanna C M; van Nieuwenhuizen, Koen M; de Leeuw, Frank-Erik; Schonewille, Wouter J; de Kort, Paul L M; Dippel, Diederik W; Raaymakers, Theodora W M; Hofmeijer, Jeannette; Wermer, Marieke J H; Kerkhoff, Henk; Jellema, Korné; Bronner, Irene M; Remmers, Michel J M; Bienfait, Henri Paul; Witjes, Ron J G M; Greving, Jacoba P; Klijn, Catharina J M; ,</v>
      </c>
      <c r="AN724" s="32">
        <f>IFERROR(__xludf.DUMMYFUNCTION("""COMPUTED_VALUE"""),42317.0)</f>
        <v>42317</v>
      </c>
    </row>
    <row r="725">
      <c r="A725" s="32"/>
      <c r="I725" s="31" t="str">
        <f>IFERROR(__xludf.DUMMYFUNCTION("""COMPUTED_VALUE"""),"journal of medical microbiology")</f>
        <v>journal of medical microbiology</v>
      </c>
      <c r="J725" s="38">
        <f>COUNTIF(Data!$F$2:$F9917, $I725)</f>
        <v>1</v>
      </c>
      <c r="T725" s="31" t="s">
        <v>1888</v>
      </c>
      <c r="U725" s="31" t="s">
        <v>1889</v>
      </c>
      <c r="V725" s="32">
        <v>45189.0</v>
      </c>
      <c r="X725" s="31" t="str">
        <f>IFERROR(__xludf.DUMMYFUNCTION("""COMPUTED_VALUE"""),"Physical exercise in patients with testicular cancer treated with bleomycin, etoposide and cisplatin chemotherapy: pulmonary and vascular endothelial function-an exploratory analysis.")</f>
        <v>Physical exercise in patients with testicular cancer treated with bleomycin, etoposide and cisplatin chemotherapy: pulmonary and vascular endothelial function-an exploratory analysis.</v>
      </c>
      <c r="Y725" s="31" t="str">
        <f>IFERROR(__xludf.DUMMYFUNCTION("""COMPUTED_VALUE"""),"van der Schoot, Gabriela G F; Ormel, Harm L; Westerink, Nico-Derk L; Wempe, Johan B; Lefrandt, Joop D; May, Anne M; Vrieling, Aline H; Meijer, Coby; Gietema, Jourik A; Walenkamp, Annemiek M E")</f>
        <v>van der Schoot, Gabriela G F; Ormel, Harm L; Westerink, Nico-Derk L; Wempe, Johan B; Lefrandt, Joop D; May, Anne M; Vrieling, Aline H; Meijer, Coby; Gietema, Jourik A; Walenkamp, Annemiek M E</v>
      </c>
      <c r="Z725" s="31">
        <f>IFERROR(__xludf.DUMMYFUNCTION("""COMPUTED_VALUE"""),2023.0)</f>
        <v>2023</v>
      </c>
      <c r="AA725" s="31">
        <f>IFERROR(__xludf.DUMMYFUNCTION("""COMPUTED_VALUE"""),0.0)</f>
        <v>0</v>
      </c>
      <c r="AF725" s="31" t="str">
        <f>IFERROR(__xludf.DUMMYFUNCTION("""COMPUTED_VALUE"""),"Barriers to early presentation and diagnosis of breast cancer among African women living in sub-Saharan Africa.")</f>
        <v>Barriers to early presentation and diagnosis of breast cancer among African women living in sub-Saharan Africa.</v>
      </c>
      <c r="AG725" s="31" t="str">
        <f>IFERROR(__xludf.DUMMYFUNCTION("""COMPUTED_VALUE"""),"Akuoko, Cynthia Pomaa; Armah, Ernestina; Sarpong, Theresa; Quansah, Dan Yedu; Amankwaa, Isaac; Boateng, Daniel")</f>
        <v>Akuoko, Cynthia Pomaa; Armah, Ernestina; Sarpong, Theresa; Quansah, Dan Yedu; Amankwaa, Isaac; Boateng, Daniel</v>
      </c>
      <c r="AH725" s="32">
        <f>IFERROR(__xludf.DUMMYFUNCTION("""COMPUTED_VALUE"""),42779.0)</f>
        <v>42779</v>
      </c>
      <c r="AL725" s="31" t="str">
        <f>IFERROR(__xludf.DUMMYFUNCTION("""COMPUTED_VALUE"""),"Isoniazid Prophylactic Therapy for the Prevention of Tuberculosis in HIV Infected Adults: A Systematic Review and Meta-Analysis of Randomized Trials.")</f>
        <v>Isoniazid Prophylactic Therapy for the Prevention of Tuberculosis in HIV Infected Adults: A Systematic Review and Meta-Analysis of Randomized Trials.</v>
      </c>
      <c r="AM725" s="31" t="str">
        <f>IFERROR(__xludf.DUMMYFUNCTION("""COMPUTED_VALUE"""),"Ayele, Henok Tadesse; Mourik, Maaike S M van; Debray, Thomas P A; Bonten, Marc J M")</f>
        <v>Ayele, Henok Tadesse; Mourik, Maaike S M van; Debray, Thomas P A; Bonten, Marc J M</v>
      </c>
      <c r="AN725" s="32">
        <f>IFERROR(__xludf.DUMMYFUNCTION("""COMPUTED_VALUE"""),42317.0)</f>
        <v>42317</v>
      </c>
    </row>
    <row r="726">
      <c r="A726" s="32"/>
      <c r="I726" s="31" t="str">
        <f>IFERROR(__xludf.DUMMYFUNCTION("""COMPUTED_VALUE"""),"pragmatic and observational research")</f>
        <v>pragmatic and observational research</v>
      </c>
      <c r="J726" s="38">
        <f>COUNTIF(Data!$F$2:$F9917, $I726)</f>
        <v>1</v>
      </c>
      <c r="T726" s="31" t="s">
        <v>1892</v>
      </c>
      <c r="U726" s="31" t="s">
        <v>1893</v>
      </c>
      <c r="V726" s="32">
        <v>45189.0</v>
      </c>
      <c r="X726" s="31" t="str">
        <f>IFERROR(__xludf.DUMMYFUNCTION("""COMPUTED_VALUE"""),"Measurement of Suppression of Large-Radius Jets and Its Dependence on Substructure in Pb+Pb Collisions at sqrt[s_{NN}]=5.02  TeV with the ATLAS Detector.")</f>
        <v>Measurement of Suppression of Large-Radius Jets and Its Dependence on Substructure in Pb+Pb Collisions at sqrt[s_{NN}]=5.02  TeV with the ATLAS Detector.</v>
      </c>
      <c r="Y726" s="31" t="str">
        <f>IFERROR(__xludf.DUMMYFUNCTION("""COMPUTED_VALUE"""),"Aad, G; Abbott, B; Abeling, K; Abidi, S H; Aboulhorma, A; Abramowicz, H; Abreu, H; Abulaiti, Y; Abusleme Hoffman, A C; Acharya, B S; Adam Bourdarios, C; Adamczyk, L; Adamek, L; Addepalli, S V; Adelman, J; Adiguzel, A; Adorni, S; Adye, T; Affolder, A A; Af"&amp;"ik, Y; Agaras, M N; Agarwala, J; Aggarwal, A; Agheorghiesei, C; Aguilar-Saavedra, J A; Ahmad, A; Ahmadov, F; Ahmed, W S; Ahuja, S; Ai, X; Aielli, G; Ait Tamlihat, M; Aitbenchikh, B; Aizenberg, I; Akbiyik, M; Åkesson, T P A; Akimov, A V; Al Khoury, K; Albe"&amp;"rghi, G L; Albert, J; Albicocco, P; Alderweireldt, S; Aleksa, M; Aleksandrov, I N; Alexa, C; Alexopoulos, T; Alfonsi, A; Alfonsi, F; Alhroob, M; Ali, B; Ali, S; Aliev, M; Alimonti, G; Alkakhi, W; Allaire, C; Allbrooke, B M M; Allendes Flores, C A; Allport"&amp;", P P; Aloisio, A; Alonso, F; Alpigiani, C; Alvarez Estevez, M; Alvarez Fernandez, A; Alviggi, M G; Aly, M; Amaral Coutinho, Y; Ambler, A; Amelung, C; Amerl, M; Ames, C G; Amidei, D; Amor Dos Santos, S P; Amos, K R; Ananiev, V; Anastop")</f>
        <v>Aad, G; Abbott, B; Abeling, K; Abidi, S H; Aboulhorma, A; Abramowicz, H; Abreu, H; Abulaiti, Y; Abusleme Hoffman, A C; Acharya, B S; Adam Bourdarios, C; Adamczyk, L; Adamek, L; Addepalli, S V; Adelman, J; Adiguzel, A; Adorni, S; Adye, T; Affolder, A A; Afik, Y; Agaras, M N; Agarwala, J; Aggarwal, A; Agheorghiesei, C; Aguilar-Saavedra, J A; Ahmad, A; Ahmadov, F; Ahmed, W S; Ahuja, S; Ai, X; Aielli, G; Ait Tamlihat, M; Aitbenchikh, B; Aizenberg, I; Akbiyik, M; Åkesson, T P A; Akimov, A V; Al Khoury, K; Alberghi, G L; Albert, J; Albicocco, P; Alderweireldt, S; Aleksa, M; Aleksandrov, I N; Alexa, C; Alexopoulos, T; Alfonsi, A; Alfonsi, F; Alhroob, M; Ali, B; Ali, S; Aliev, M; Alimonti, G; Alkakhi, W; Allaire, C; Allbrooke, B M M; Allendes Flores, C A; Allport, P P; Aloisio, A; Alonso, F; Alpigiani, C; Alvarez Estevez, M; Alvarez Fernandez, A; Alviggi, M G; Aly, M; Amaral Coutinho, Y; Ambler, A; Amelung, C; Amerl, M; Ames, C G; Amidei, D; Amor Dos Santos, S P; Amos, K R; Ananiev, V; Anastop</v>
      </c>
      <c r="Z726" s="31">
        <f>IFERROR(__xludf.DUMMYFUNCTION("""COMPUTED_VALUE"""),2023.0)</f>
        <v>2023</v>
      </c>
      <c r="AA726" s="31">
        <f>IFERROR(__xludf.DUMMYFUNCTION("""COMPUTED_VALUE"""),0.0)</f>
        <v>0</v>
      </c>
      <c r="AF726" s="31" t="str">
        <f>IFERROR(__xludf.DUMMYFUNCTION("""COMPUTED_VALUE"""),"Anti-Müllerian Hormone Trajectories Are Associated With Cardiovascular Disease in Women: Results From the Doetinchem Cohort Study.")</f>
        <v>Anti-Müllerian Hormone Trajectories Are Associated With Cardiovascular Disease in Women: Results From the Doetinchem Cohort Study.</v>
      </c>
      <c r="AG726" s="31" t="str">
        <f>IFERROR(__xludf.DUMMYFUNCTION("""COMPUTED_VALUE"""),"de Kat, Annelien C; Verschuren, W Monique; Eijkemans, Marinus J C; Broekmans, Frank J M; van der Schouw, Yvonne T")</f>
        <v>de Kat, Annelien C; Verschuren, W Monique; Eijkemans, Marinus J C; Broekmans, Frank J M; van der Schouw, Yvonne T</v>
      </c>
      <c r="AH726" s="32">
        <f>IFERROR(__xludf.DUMMYFUNCTION("""COMPUTED_VALUE"""),42773.0)</f>
        <v>42773</v>
      </c>
      <c r="AL726" s="31" t="str">
        <f>IFERROR(__xludf.DUMMYFUNCTION("""COMPUTED_VALUE"""),"Erratum to ""Subfields of the hippocampal formation at 7T MRI: In vivo volumetric assessment"" [NeuroImage 61 (2012) 1043-1049].")</f>
        <v>Erratum to "Subfields of the hippocampal formation at 7T MRI: In vivo volumetric assessment" [NeuroImage 61 (2012) 1043-1049].</v>
      </c>
      <c r="AM726" s="31" t="str">
        <f>IFERROR(__xludf.DUMMYFUNCTION("""COMPUTED_VALUE"""),"Wisse, L E M; Gerritsen, L; Zwanenburg, J J M; Kuijf, H J; Luijten, P R; Biessels, G J; Geerlings, M I")</f>
        <v>Wisse, L E M; Gerritsen, L; Zwanenburg, J J M; Kuijf, H J; Luijten, P R; Biessels, G J; Geerlings, M I</v>
      </c>
      <c r="AN726" s="32">
        <f>IFERROR(__xludf.DUMMYFUNCTION("""COMPUTED_VALUE"""),42314.0)</f>
        <v>42314</v>
      </c>
    </row>
    <row r="727">
      <c r="A727" s="32"/>
      <c r="I727" s="31" t="str">
        <f>IFERROR(__xludf.DUMMYFUNCTION("""COMPUTED_VALUE"""),"the embo journal")</f>
        <v>the embo journal</v>
      </c>
      <c r="J727" s="38">
        <f>COUNTIF(Data!$F$2:$F9917, $I727)</f>
        <v>1</v>
      </c>
      <c r="T727" s="31" t="s">
        <v>1897</v>
      </c>
      <c r="U727" s="31" t="s">
        <v>1898</v>
      </c>
      <c r="V727" s="32">
        <v>45187.0</v>
      </c>
      <c r="X727" s="31" t="str">
        <f>IFERROR(__xludf.DUMMYFUNCTION("""COMPUTED_VALUE"""),"Sharing Medical Big Data While Preserving Patient Confidentiality in Innovative Medicines Initiative: A Summary and Case Report from BigData@Heart.")</f>
        <v>Sharing Medical Big Data While Preserving Patient Confidentiality in Innovative Medicines Initiative: A Summary and Case Report from BigData@Heart.</v>
      </c>
      <c r="Y727" s="31" t="str">
        <f>IFERROR(__xludf.DUMMYFUNCTION("""COMPUTED_VALUE"""),"Schröder, Megan; Muller, Sam H A; Vradi, Eleni; Mielke, Johanna; Lim, Yvonne M F; Couvelard, Fabrice; Mostert, Menno; Koudstaal, Stefan; Eijkemans, Marinus J C; Gerlinger, Christoph")</f>
        <v>Schröder, Megan; Muller, Sam H A; Vradi, Eleni; Mielke, Johanna; Lim, Yvonne M F; Couvelard, Fabrice; Mostert, Menno; Koudstaal, Stefan; Eijkemans, Marinus J C; Gerlinger, Christoph</v>
      </c>
      <c r="Z727" s="31">
        <f>IFERROR(__xludf.DUMMYFUNCTION("""COMPUTED_VALUE"""),2023.0)</f>
        <v>2023</v>
      </c>
      <c r="AA727" s="31">
        <f>IFERROR(__xludf.DUMMYFUNCTION("""COMPUTED_VALUE"""),0.0)</f>
        <v>0</v>
      </c>
      <c r="AF727" s="31" t="str">
        <f>IFERROR(__xludf.DUMMYFUNCTION("""COMPUTED_VALUE"""),"The polypill approach - An innovative strategy to improve cardiovascular health in Europe.")</f>
        <v>The polypill approach - An innovative strategy to improve cardiovascular health in Europe.</v>
      </c>
      <c r="AG727" s="31" t="str">
        <f>IFERROR(__xludf.DUMMYFUNCTION("""COMPUTED_VALUE"""),"Fuster, Valentín; Gambús, Francesc; Patriciello, Aldo; Hamrin, Margaretha; Grobbee, Diederick E")</f>
        <v>Fuster, Valentín; Gambús, Francesc; Patriciello, Aldo; Hamrin, Margaretha; Grobbee, Diederick E</v>
      </c>
      <c r="AH727" s="32">
        <f>IFERROR(__xludf.DUMMYFUNCTION("""COMPUTED_VALUE"""),42773.0)</f>
        <v>42773</v>
      </c>
      <c r="AL727" s="31" t="str">
        <f>IFERROR(__xludf.DUMMYFUNCTION("""COMPUTED_VALUE"""),"Risk Factors for Lobar and Non-Lobar Intracerebral Hemorrhage in Patients with Vascular Disease.")</f>
        <v>Risk Factors for Lobar and Non-Lobar Intracerebral Hemorrhage in Patients with Vascular Disease.</v>
      </c>
      <c r="AM727" s="31" t="str">
        <f>IFERROR(__xludf.DUMMYFUNCTION("""COMPUTED_VALUE"""),"Kremer, Philip H C; Jolink, Wilmar M T; Kappelle, L Jaap; Algra, Ale; Klijn, Catharina J M; ,")</f>
        <v>Kremer, Philip H C; Jolink, Wilmar M T; Kappelle, L Jaap; Algra, Ale; Klijn, Catharina J M; ,</v>
      </c>
      <c r="AN727" s="32">
        <f>IFERROR(__xludf.DUMMYFUNCTION("""COMPUTED_VALUE"""),42313.0)</f>
        <v>42313</v>
      </c>
    </row>
    <row r="728">
      <c r="A728" s="32"/>
      <c r="I728" s="31" t="str">
        <f>IFERROR(__xludf.DUMMYFUNCTION("""COMPUTED_VALUE"""),"neuroradiology")</f>
        <v>neuroradiology</v>
      </c>
      <c r="J728" s="38">
        <f>COUNTIF(Data!$F$2:$F9917, $I728)</f>
        <v>5</v>
      </c>
      <c r="T728" s="31" t="s">
        <v>1902</v>
      </c>
      <c r="U728" s="31" t="s">
        <v>1903</v>
      </c>
      <c r="V728" s="32">
        <v>45187.0</v>
      </c>
      <c r="X728" s="31" t="str">
        <f>IFERROR(__xludf.DUMMYFUNCTION("""COMPUTED_VALUE"""),"Continuous deep sedation at the end of life: a qualitative interview-study among health care providers on an evolving practice.")</f>
        <v>Continuous deep sedation at the end of life: a qualitative interview-study among health care providers on an evolving practice.</v>
      </c>
      <c r="Y728" s="31" t="str">
        <f>IFERROR(__xludf.DUMMYFUNCTION("""COMPUTED_VALUE"""),"Heijltjes, Madelon T; van Thiel, Ghislaine Jmw; Rietjens, Judith Ac; van der Heide, Agnes; Hendriksen, Geeske; van Delden, Johannes Jm")</f>
        <v>Heijltjes, Madelon T; van Thiel, Ghislaine Jmw; Rietjens, Judith Ac; van der Heide, Agnes; Hendriksen, Geeske; van Delden, Johannes Jm</v>
      </c>
      <c r="Z728" s="31">
        <f>IFERROR(__xludf.DUMMYFUNCTION("""COMPUTED_VALUE"""),2023.0)</f>
        <v>2023</v>
      </c>
      <c r="AA728" s="31">
        <f>IFERROR(__xludf.DUMMYFUNCTION("""COMPUTED_VALUE"""),0.0)</f>
        <v>0</v>
      </c>
      <c r="AF728" s="31" t="str">
        <f>IFERROR(__xludf.DUMMYFUNCTION("""COMPUTED_VALUE"""),"Peripheral insulin resistance rather than beta cell dysfunction accounts for geographical differences in impaired fasting blood glucose among sub-Saharan African individuals: findings from the RODAM study.")</f>
        <v>Peripheral insulin resistance rather than beta cell dysfunction accounts for geographical differences in impaired fasting blood glucose among sub-Saharan African individuals: findings from the RODAM study.</v>
      </c>
      <c r="AG728" s="31" t="str">
        <f>IFERROR(__xludf.DUMMYFUNCTION("""COMPUTED_VALUE"""),"Meeks, Karlijn A C; Stronks, Karien; Adeyemo, Adebowale; Addo, Juliet; Bahendeka, Silver; Beune, Erik; Owusu-Dabo, Ellis; Danquah, Ina; Galbete, Cecilia; Henneman, Peter; Klipstein-Grobusch, Kerstin; Mockenhaupt, Frank P; Osei, Kwame; Schulze, Matthias B;"&amp;" Spranger, Joachim; Smeeth, Liam; Agyemang, Charles")</f>
        <v>Meeks, Karlijn A C; Stronks, Karien; Adeyemo, Adebowale; Addo, Juliet; Bahendeka, Silver; Beune, Erik; Owusu-Dabo, Ellis; Danquah, Ina; Galbete, Cecilia; Henneman, Peter; Klipstein-Grobusch, Kerstin; Mockenhaupt, Frank P; Osei, Kwame; Schulze, Matthias B; Spranger, Joachim; Smeeth, Liam; Agyemang, Charles</v>
      </c>
      <c r="AH728" s="32">
        <f>IFERROR(__xludf.DUMMYFUNCTION("""COMPUTED_VALUE"""),42766.0)</f>
        <v>42766</v>
      </c>
      <c r="AL728" s="31" t="str">
        <f>IFERROR(__xludf.DUMMYFUNCTION("""COMPUTED_VALUE"""),"STARD 2015: an updated list of essential items for reporting diagnostic accuracy studies.")</f>
        <v>STARD 2015: an updated list of essential items for reporting diagnostic accuracy studies.</v>
      </c>
      <c r="AM728" s="31" t="str">
        <f>IFERROR(__xludf.DUMMYFUNCTION("""COMPUTED_VALUE"""),"Bossuyt, Patrick M; Reitsma, Johannes B; Bruns, David E; Gatsonis, Constantine A; Glasziou, Paul P; Irwig, Les; Lijmer, Jeroen G; Moher, David; Rennie, Drummond; de Vet, Henrica C W; Kressel, Herbert Y; Rifai, Nader; Golub, Robert M; Altman, Douglas G; Ho"&amp;"oft, Lotty; Korevaar, Daniël A; Cohen, Jérémie F; ,")</f>
        <v>Bossuyt, Patrick M; Reitsma, Johannes B; Bruns, David E; Gatsonis, Constantine A; Glasziou, Paul P; Irwig, Les; Lijmer, Jeroen G; Moher, David; Rennie, Drummond; de Vet, Henrica C W; Kressel, Herbert Y; Rifai, Nader; Golub, Robert M; Altman, Douglas G; Hooft, Lotty; Korevaar, Daniël A; Cohen, Jérémie F; ,</v>
      </c>
      <c r="AN728" s="32">
        <f>IFERROR(__xludf.DUMMYFUNCTION("""COMPUTED_VALUE"""),42305.0)</f>
        <v>42305</v>
      </c>
    </row>
    <row r="729">
      <c r="A729" s="32"/>
      <c r="I729" s="31" t="str">
        <f>IFERROR(__xludf.DUMMYFUNCTION("""COMPUTED_VALUE"""),"injury prevention journal of the international society for child and adolescent injury prevention")</f>
        <v>injury prevention journal of the international society for child and adolescent injury prevention</v>
      </c>
      <c r="J729" s="38">
        <f>COUNTIF(Data!$F$2:$F9917, $I729)</f>
        <v>1</v>
      </c>
      <c r="T729" s="31" t="s">
        <v>1907</v>
      </c>
      <c r="U729" s="31" t="s">
        <v>1908</v>
      </c>
      <c r="V729" s="32">
        <v>45185.0</v>
      </c>
      <c r="X729" s="31" t="str">
        <f>IFERROR(__xludf.DUMMYFUNCTION("""COMPUTED_VALUE"""),"Is our destiny written in our genes? A sentence or an opportunity to prevent cardiovascular diseases?")</f>
        <v>Is our destiny written in our genes? A sentence or an opportunity to prevent cardiovascular diseases?</v>
      </c>
      <c r="Y729" s="31" t="str">
        <f>IFERROR(__xludf.DUMMYFUNCTION("""COMPUTED_VALUE"""),"Artola Arita, Vicente; Hernández Vargas, Juliana Alexandra; Franco, Oscar H")</f>
        <v>Artola Arita, Vicente; Hernández Vargas, Juliana Alexandra; Franco, Oscar H</v>
      </c>
      <c r="Z729" s="31">
        <f>IFERROR(__xludf.DUMMYFUNCTION("""COMPUTED_VALUE"""),2023.0)</f>
        <v>2023</v>
      </c>
      <c r="AA729" s="31">
        <f>IFERROR(__xludf.DUMMYFUNCTION("""COMPUTED_VALUE"""),0.0)</f>
        <v>0</v>
      </c>
      <c r="AF729" s="31" t="str">
        <f>IFERROR(__xludf.DUMMYFUNCTION("""COMPUTED_VALUE"""),"Will genetic studies deliver the next generation of cardioprotective therapies?")</f>
        <v>Will genetic studies deliver the next generation of cardioprotective therapies?</v>
      </c>
      <c r="AG729" s="31" t="str">
        <f>IFERROR(__xludf.DUMMYFUNCTION("""COMPUTED_VALUE"""),"Nicholls, Stephen J; Ray, Kausik K; Grobbee, Diederick E")</f>
        <v>Nicholls, Stephen J; Ray, Kausik K; Grobbee, Diederick E</v>
      </c>
      <c r="AH729" s="32">
        <f>IFERROR(__xludf.DUMMYFUNCTION("""COMPUTED_VALUE"""),42760.0)</f>
        <v>42760</v>
      </c>
      <c r="AL729" s="31" t="str">
        <f>IFERROR(__xludf.DUMMYFUNCTION("""COMPUTED_VALUE"""),"STARD 2015: An Updated List of Essential Items for Reporting Diagnostic Accuracy Studies.")</f>
        <v>STARD 2015: An Updated List of Essential Items for Reporting Diagnostic Accuracy Studies.</v>
      </c>
      <c r="AM729" s="31" t="str">
        <f>IFERROR(__xludf.DUMMYFUNCTION("""COMPUTED_VALUE"""),"Bossuyt, Patrick M; Reitsma, Johannes B; Bruns, David E; Gatsonis, Constantine A; Glasziou, Paul P; Irwig, Les; Lijmer, Jeroen G; Moher, David; Rennie, Drummond; de Vet, Henrica C W; Kressel, Herbert Y; Rifai, Nader; Golub, Robert M; Altman, Douglas G; Ho"&amp;"oft, Lotty; Korevaar, Daniël A; Cohen, Jérémie F; ,")</f>
        <v>Bossuyt, Patrick M; Reitsma, Johannes B; Bruns, David E; Gatsonis, Constantine A; Glasziou, Paul P; Irwig, Les; Lijmer, Jeroen G; Moher, David; Rennie, Drummond; de Vet, Henrica C W; Kressel, Herbert Y; Rifai, Nader; Golub, Robert M; Altman, Douglas G; Hooft, Lotty; Korevaar, Daniël A; Cohen, Jérémie F; ,</v>
      </c>
      <c r="AN729" s="32">
        <f>IFERROR(__xludf.DUMMYFUNCTION("""COMPUTED_VALUE"""),42305.0)</f>
        <v>42305</v>
      </c>
    </row>
    <row r="730">
      <c r="A730" s="32"/>
      <c r="I730" s="31" t="str">
        <f>IFERROR(__xludf.DUMMYFUNCTION("""COMPUTED_VALUE"""),"research in nursing health")</f>
        <v>research in nursing health</v>
      </c>
      <c r="J730" s="38">
        <f>COUNTIF(Data!$F$2:$F9917, $I730)</f>
        <v>1</v>
      </c>
      <c r="T730" s="31" t="s">
        <v>1911</v>
      </c>
      <c r="U730" s="31" t="s">
        <v>1912</v>
      </c>
      <c r="V730" s="32">
        <v>45184.0</v>
      </c>
      <c r="X730" s="31" t="str">
        <f>IFERROR(__xludf.DUMMYFUNCTION("""COMPUTED_VALUE"""),"Why the grass isn't always greener on the machine learning side.")</f>
        <v>Why the grass isn't always greener on the machine learning side.</v>
      </c>
      <c r="Y730" s="31" t="str">
        <f>IFERROR(__xludf.DUMMYFUNCTION("""COMPUTED_VALUE"""),"de Hond, Anne; Huisman, Menno; Van Smeden, Maarten")</f>
        <v>de Hond, Anne; Huisman, Menno; Van Smeden, Maarten</v>
      </c>
      <c r="Z730" s="31">
        <f>IFERROR(__xludf.DUMMYFUNCTION("""COMPUTED_VALUE"""),2023.0)</f>
        <v>2023</v>
      </c>
      <c r="AA730" s="31">
        <f>IFERROR(__xludf.DUMMYFUNCTION("""COMPUTED_VALUE"""),0.0)</f>
        <v>0</v>
      </c>
      <c r="AF730" s="31" t="str">
        <f>IFERROR(__xludf.DUMMYFUNCTION("""COMPUTED_VALUE"""),"A systematic literature review on the efficacy-effectiveness gap: comparison of randomized controlled trials and observational studies of glucose-lowering drugs.")</f>
        <v>A systematic literature review on the efficacy-effectiveness gap: comparison of randomized controlled trials and observational studies of glucose-lowering drugs.</v>
      </c>
      <c r="AG730" s="31" t="str">
        <f>IFERROR(__xludf.DUMMYFUNCTION("""COMPUTED_VALUE"""),"Ankarfeldt, Mikkel Z; Adalsteinsson, Erpur; Groenwold, Rolf Hh; Ali, M Sanni; Klungel, Olaf H")</f>
        <v>Ankarfeldt, Mikkel Z; Adalsteinsson, Erpur; Groenwold, Rolf Hh; Ali, M Sanni; Klungel, Olaf H</v>
      </c>
      <c r="AH730" s="32">
        <f>IFERROR(__xludf.DUMMYFUNCTION("""COMPUTED_VALUE"""),42758.0)</f>
        <v>42758</v>
      </c>
      <c r="AL730" s="31" t="str">
        <f>IFERROR(__xludf.DUMMYFUNCTION("""COMPUTED_VALUE"""),"Impact of provision of cardiovascular disease risk estimates to healthcare professionals and patients: a systematic review.")</f>
        <v>Impact of provision of cardiovascular disease risk estimates to healthcare professionals and patients: a systematic review.</v>
      </c>
      <c r="AM730" s="31" t="str">
        <f>IFERROR(__xludf.DUMMYFUNCTION("""COMPUTED_VALUE"""),"Usher-Smith, Juliet A; Silarova, Barbora; Schuit, Ewoud; Moons, Karel G M; Griffin, Simon J")</f>
        <v>Usher-Smith, Juliet A; Silarova, Barbora; Schuit, Ewoud; Moons, Karel G M; Griffin, Simon J</v>
      </c>
      <c r="AN730" s="32">
        <f>IFERROR(__xludf.DUMMYFUNCTION("""COMPUTED_VALUE"""),42303.0)</f>
        <v>42303</v>
      </c>
    </row>
    <row r="731">
      <c r="A731" s="32"/>
      <c r="I731" s="31" t="str">
        <f>IFERROR(__xludf.DUMMYFUNCTION("""COMPUTED_VALUE"""),"international journal of oral and maxillofacial surgery")</f>
        <v>international journal of oral and maxillofacial surgery</v>
      </c>
      <c r="J731" s="38">
        <f>COUNTIF(Data!$F$2:$F9917, $I731)</f>
        <v>2</v>
      </c>
      <c r="T731" s="31" t="s">
        <v>1916</v>
      </c>
      <c r="U731" s="31" t="s">
        <v>1917</v>
      </c>
      <c r="V731" s="32">
        <v>45184.0</v>
      </c>
      <c r="X731" s="31" t="str">
        <f>IFERROR(__xludf.DUMMYFUNCTION("""COMPUTED_VALUE"""),"Immunoglobulin treatment for hospitalised infants and young children with respiratory syncytial virus infection.")</f>
        <v>Immunoglobulin treatment for hospitalised infants and young children with respiratory syncytial virus infection.</v>
      </c>
      <c r="Y731" s="31" t="str">
        <f>IFERROR(__xludf.DUMMYFUNCTION("""COMPUTED_VALUE"""),"Sanders, Sharon L; Agwan, Sushil; Hassan, Mohamed; Bont, Louis J; Venekamp, Roderick P")</f>
        <v>Sanders, Sharon L; Agwan, Sushil; Hassan, Mohamed; Bont, Louis J; Venekamp, Roderick P</v>
      </c>
      <c r="Z731" s="31">
        <f>IFERROR(__xludf.DUMMYFUNCTION("""COMPUTED_VALUE"""),2023.0)</f>
        <v>2023</v>
      </c>
      <c r="AA731" s="31">
        <f>IFERROR(__xludf.DUMMYFUNCTION("""COMPUTED_VALUE"""),0.0)</f>
        <v>0</v>
      </c>
      <c r="AF731" s="31" t="str">
        <f>IFERROR(__xludf.DUMMYFUNCTION("""COMPUTED_VALUE"""),"No evidence for cross-protection of the HPV-16/18 vaccine against HPV-6/11 positivity in female STI clinic visitors.")</f>
        <v>No evidence for cross-protection of the HPV-16/18 vaccine against HPV-6/11 positivity in female STI clinic visitors.</v>
      </c>
      <c r="AG731" s="31" t="str">
        <f>IFERROR(__xludf.DUMMYFUNCTION("""COMPUTED_VALUE"""),"Woestenberg, Petra J; King, Audrey J; van der Sande, Marianne A B; Donken, Robine; Leussink, Suzan; van der Klis, Fiona R M; Hoebe, Christian J P A; Bogaards, Johannes A; van Benthem, Birgit H B; ,; ,")</f>
        <v>Woestenberg, Petra J; King, Audrey J; van der Sande, Marianne A B; Donken, Robine; Leussink, Suzan; van der Klis, Fiona R M; Hoebe, Christian J P A; Bogaards, Johannes A; van Benthem, Birgit H B; ,; ,</v>
      </c>
      <c r="AH731" s="32">
        <f>IFERROR(__xludf.DUMMYFUNCTION("""COMPUTED_VALUE"""),42758.0)</f>
        <v>42758</v>
      </c>
      <c r="AL731" s="31" t="str">
        <f>IFERROR(__xludf.DUMMYFUNCTION("""COMPUTED_VALUE"""),"Comparing Tests Assessing Protein-Energy Wasting: Relation With Quality of Life.")</f>
        <v>Comparing Tests Assessing Protein-Energy Wasting: Relation With Quality of Life.</v>
      </c>
      <c r="AM731" s="31" t="str">
        <f>IFERROR(__xludf.DUMMYFUNCTION("""COMPUTED_VALUE"""),"de Roij van Zuijdewijn, Camiel L M; Grooteman, Muriel P C; Bots, Michiel L; Blankestijn, Peter J; van den Dorpel, Marinus A; Nubé, Menso J; ter Wee, Piet M")</f>
        <v>de Roij van Zuijdewijn, Camiel L M; Grooteman, Muriel P C; Bots, Michiel L; Blankestijn, Peter J; van den Dorpel, Marinus A; Nubé, Menso J; ter Wee, Piet M</v>
      </c>
      <c r="AN731" s="32">
        <f>IFERROR(__xludf.DUMMYFUNCTION("""COMPUTED_VALUE"""),42300.0)</f>
        <v>42300</v>
      </c>
    </row>
    <row r="732">
      <c r="A732" s="32"/>
      <c r="I732" s="31" t="str">
        <f>IFERROR(__xludf.DUMMYFUNCTION("""COMPUTED_VALUE"""),"circulation genomic and precision medicine")</f>
        <v>circulation genomic and precision medicine</v>
      </c>
      <c r="J732" s="38">
        <f>COUNTIF(Data!$F$2:$F9917, $I732)</f>
        <v>5</v>
      </c>
      <c r="T732" s="31" t="s">
        <v>1920</v>
      </c>
      <c r="U732" s="31" t="s">
        <v>1921</v>
      </c>
      <c r="V732" s="32">
        <v>45182.0</v>
      </c>
      <c r="X732" s="31" t="str">
        <f>IFERROR(__xludf.DUMMYFUNCTION("""COMPUTED_VALUE"""),"Measurement of the Sensitivity of Two-Particle Correlations in pp Collisions to the Presence of Hard Scatterings.")</f>
        <v>Measurement of the Sensitivity of Two-Particle Correlations in pp Collisions to the Presence of Hard Scatterings.</v>
      </c>
      <c r="Y732" s="31"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Alviggi, M G; Aly, M; Amaral Coutinho, Y; Ambler, A; Amelung, C; Am")</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v>
      </c>
      <c r="Z732" s="31">
        <f>IFERROR(__xludf.DUMMYFUNCTION("""COMPUTED_VALUE"""),2023.0)</f>
        <v>2023</v>
      </c>
      <c r="AA732" s="31">
        <f>IFERROR(__xludf.DUMMYFUNCTION("""COMPUTED_VALUE"""),0.0)</f>
        <v>0</v>
      </c>
      <c r="AF732" s="31" t="str">
        <f>IFERROR(__xludf.DUMMYFUNCTION("""COMPUTED_VALUE"""),"The Use of Antidepressants, Anxiolytics, and Hypnotics in People with Type 2 Diabetes and Patterns Associated with Use: The Hoorn Diabetes Care System Cohort.")</f>
        <v>The Use of Antidepressants, Anxiolytics, and Hypnotics in People with Type 2 Diabetes and Patterns Associated with Use: The Hoorn Diabetes Care System Cohort.</v>
      </c>
      <c r="AG732" s="31" t="str">
        <f>IFERROR(__xludf.DUMMYFUNCTION("""COMPUTED_VALUE"""),"Mast, R; Rauh, S P; Groeneveld, L; Koopman, A D; Beulens, J W J; Jansen, A P D; Bremmer, M; van der Heijden, A A W A; Elders, P J; Dekker, J M; Nijpels, G; Hugtenburg, J G; Rutters, F")</f>
        <v>Mast, R; Rauh, S P; Groeneveld, L; Koopman, A D; Beulens, J W J; Jansen, A P D; Bremmer, M; van der Heijden, A A W A; Elders, P J; Dekker, J M; Nijpels, G; Hugtenburg, J G; Rutters, F</v>
      </c>
      <c r="AH732" s="32">
        <f>IFERROR(__xludf.DUMMYFUNCTION("""COMPUTED_VALUE"""),42758.0)</f>
        <v>42758</v>
      </c>
      <c r="AL732" s="31" t="str">
        <f>IFERROR(__xludf.DUMMYFUNCTION("""COMPUTED_VALUE"""),"Individual participant data (IPD) meta-analyses of diagnostic and prognostic modeling studies: guidance on their use.")</f>
        <v>Individual participant data (IPD) meta-analyses of diagnostic and prognostic modeling studies: guidance on their use.</v>
      </c>
      <c r="AM732" s="31" t="str">
        <f>IFERROR(__xludf.DUMMYFUNCTION("""COMPUTED_VALUE"""),"Debray, Thomas P A; Riley, Richard D; Rovers, Maroeska M; Reitsma, Johannes B; Moons, Karel G M; ,")</f>
        <v>Debray, Thomas P A; Riley, Richard D; Rovers, Maroeska M; Reitsma, Johannes B; Moons, Karel G M; ,</v>
      </c>
      <c r="AN732" s="32">
        <f>IFERROR(__xludf.DUMMYFUNCTION("""COMPUTED_VALUE"""),42290.0)</f>
        <v>42290</v>
      </c>
    </row>
    <row r="733">
      <c r="A733" s="32"/>
      <c r="I733" s="31" t="str">
        <f>IFERROR(__xludf.DUMMYFUNCTION("""COMPUTED_VALUE"""),"journal of nuclear medicine official publication society of nuclear medicine")</f>
        <v>journal of nuclear medicine official publication society of nuclear medicine</v>
      </c>
      <c r="J733" s="38">
        <f>COUNTIF(Data!$F$2:$F9917, $I733)</f>
        <v>7</v>
      </c>
      <c r="T733" s="31" t="s">
        <v>1925</v>
      </c>
      <c r="U733" s="31" t="s">
        <v>1926</v>
      </c>
      <c r="V733" s="32">
        <v>45182.0</v>
      </c>
      <c r="X733" s="31" t="str">
        <f>IFERROR(__xludf.DUMMYFUNCTION("""COMPUTED_VALUE"""),"Cardiovascular disease prevention: Community Based Asset Mapping within religious networks in a rural Sub-Saharan African neighbourhood.")</f>
        <v>Cardiovascular disease prevention: Community Based Asset Mapping within religious networks in a rural Sub-Saharan African neighbourhood.</v>
      </c>
      <c r="Y733" s="31" t="str">
        <f>IFERROR(__xludf.DUMMYFUNCTION("""COMPUTED_VALUE"""),"Willis, Andrew; Chatio, Samuel; Darko, Natalie; Nonterah, Engelbert A; Zakariah-Akoto, Sawudatu; Alale, Joseph; Jones, Ceri R; Curtis, Ffion; Kunutsor, Setor; Ansah, Patrick O; Seidu, Sam")</f>
        <v>Willis, Andrew; Chatio, Samuel; Darko, Natalie; Nonterah, Engelbert A; Zakariah-Akoto, Sawudatu; Alale, Joseph; Jones, Ceri R; Curtis, Ffion; Kunutsor, Setor; Ansah, Patrick O; Seidu, Sam</v>
      </c>
      <c r="Z733" s="31">
        <f>IFERROR(__xludf.DUMMYFUNCTION("""COMPUTED_VALUE"""),2023.0)</f>
        <v>2023</v>
      </c>
      <c r="AA733" s="31">
        <f>IFERROR(__xludf.DUMMYFUNCTION("""COMPUTED_VALUE"""),0.0)</f>
        <v>0</v>
      </c>
      <c r="AF733" s="31" t="str">
        <f>IFERROR(__xludf.DUMMYFUNCTION("""COMPUTED_VALUE"""),"Human tissues in a dish: The research and ethical implications of organoid technology.")</f>
        <v>Human tissues in a dish: The research and ethical implications of organoid technology.</v>
      </c>
      <c r="AG733" s="31" t="str">
        <f>IFERROR(__xludf.DUMMYFUNCTION("""COMPUTED_VALUE"""),"Bredenoord, Annelien L; Clevers, Hans; Knoblich, Juergen A")</f>
        <v>Bredenoord, Annelien L; Clevers, Hans; Knoblich, Juergen A</v>
      </c>
      <c r="AH733" s="32">
        <f>IFERROR(__xludf.DUMMYFUNCTION("""COMPUTED_VALUE"""),42755.0)</f>
        <v>42755</v>
      </c>
      <c r="AL733" s="31" t="str">
        <f>IFERROR(__xludf.DUMMYFUNCTION("""COMPUTED_VALUE"""),"Clinical Outcomes in Early-stage NSCLC Treated with Stereotactic Body Radiotherapy Versus Surgical Resection.")</f>
        <v>Clinical Outcomes in Early-stage NSCLC Treated with Stereotactic Body Radiotherapy Versus Surgical Resection.</v>
      </c>
      <c r="AM733" s="31" t="str">
        <f>IFERROR(__xludf.DUMMYFUNCTION("""COMPUTED_VALUE"""),"Kastelijn, Elisabeth A; El Sharouni, Sherif Y; Hofman, Frederik N; Van Putte, Bart P; Monninkhof, Evelyn M; Van Vulpen, Marco; Schramel, Franz M N H")</f>
        <v>Kastelijn, Elisabeth A; El Sharouni, Sherif Y; Hofman, Frederik N; Van Putte, Bart P; Monninkhof, Evelyn M; Van Vulpen, Marco; Schramel, Franz M N H</v>
      </c>
      <c r="AN733" s="32">
        <f>IFERROR(__xludf.DUMMYFUNCTION("""COMPUTED_VALUE"""),42278.0)</f>
        <v>42278</v>
      </c>
    </row>
    <row r="734">
      <c r="A734" s="32"/>
      <c r="I734" s="31" t="str">
        <f>IFERROR(__xludf.DUMMYFUNCTION("""COMPUTED_VALUE"""),"international journal of clinical pharmacy")</f>
        <v>international journal of clinical pharmacy</v>
      </c>
      <c r="J734" s="38">
        <f>COUNTIF(Data!$F$2:$F9917, $I734)</f>
        <v>5</v>
      </c>
      <c r="T734" s="31" t="s">
        <v>1929</v>
      </c>
      <c r="U734" s="31" t="s">
        <v>1930</v>
      </c>
      <c r="V734" s="32">
        <v>45182.0</v>
      </c>
      <c r="X734" s="31" t="str">
        <f>IFERROR(__xludf.DUMMYFUNCTION("""COMPUTED_VALUE"""),"Ethical aspects of hemophilia gene therapy: a qualitative interview study with stakeholders.")</f>
        <v>Ethical aspects of hemophilia gene therapy: a qualitative interview study with stakeholders.</v>
      </c>
      <c r="Y734" s="31" t="str">
        <f>IFERROR(__xludf.DUMMYFUNCTION("""COMPUTED_VALUE"""),"Baas, Lieke; Meijer, Karina; Driessens, Mariëtte; Bredenoord, Annelien L; van der Graaf, Rieke; ,; ,")</f>
        <v>Baas, Lieke; Meijer, Karina; Driessens, Mariëtte; Bredenoord, Annelien L; van der Graaf, Rieke; ,; ,</v>
      </c>
      <c r="Z734" s="31">
        <f>IFERROR(__xludf.DUMMYFUNCTION("""COMPUTED_VALUE"""),2023.0)</f>
        <v>2023</v>
      </c>
      <c r="AA734" s="31">
        <f>IFERROR(__xludf.DUMMYFUNCTION("""COMPUTED_VALUE"""),0.0)</f>
        <v>0</v>
      </c>
      <c r="AF734" s="31" t="str">
        <f>IFERROR(__xludf.DUMMYFUNCTION("""COMPUTED_VALUE"""),"Assessment of channeling bias among initiators of glucose-lowering drugs: A UK cohort study.")</f>
        <v>Assessment of channeling bias among initiators of glucose-lowering drugs: A UK cohort study.</v>
      </c>
      <c r="AG734" s="31" t="str">
        <f>IFERROR(__xludf.DUMMYFUNCTION("""COMPUTED_VALUE"""),"Ankarfeldt, Mikkel Z; Thorsted, Brian L; Groenwold, Rolf Hh; Adalsteinsson, Erpur; Ali, M Sanni; Klungel, Olaf H")</f>
        <v>Ankarfeldt, Mikkel Z; Thorsted, Brian L; Groenwold, Rolf Hh; Adalsteinsson, Erpur; Ali, M Sanni; Klungel, Olaf H</v>
      </c>
      <c r="AH734" s="32">
        <f>IFERROR(__xludf.DUMMYFUNCTION("""COMPUTED_VALUE"""),42753.0)</f>
        <v>42753</v>
      </c>
      <c r="AL734" s="31" t="str">
        <f>IFERROR(__xludf.DUMMYFUNCTION("""COMPUTED_VALUE"""),"Molecular epidemiology of MRSA in 13 ICUs from eight European countries.")</f>
        <v>Molecular epidemiology of MRSA in 13 ICUs from eight European countries.</v>
      </c>
      <c r="AM734" s="31" t="str">
        <f>IFERROR(__xludf.DUMMYFUNCTION("""COMPUTED_VALUE"""),"Hetem, D J; Derde, L P G; Empel, J; Mroczkowska, A; Orczykowska-Kotyna, M; Kozińska, A; Hryniewicz, W; Goossens, H; Bonten, M J M; ,")</f>
        <v>Hetem, D J; Derde, L P G; Empel, J; Mroczkowska, A; Orczykowska-Kotyna, M; Kozińska, A; Hryniewicz, W; Goossens, H; Bonten, M J M; ,</v>
      </c>
      <c r="AN734" s="32">
        <f>IFERROR(__xludf.DUMMYFUNCTION("""COMPUTED_VALUE"""),42276.0)</f>
        <v>42276</v>
      </c>
    </row>
    <row r="735">
      <c r="A735" s="32"/>
      <c r="I735" s="31" t="str">
        <f>IFERROR(__xludf.DUMMYFUNCTION("""COMPUTED_VALUE"""),"clinical therapeutics")</f>
        <v>clinical therapeutics</v>
      </c>
      <c r="J735" s="38">
        <f>COUNTIF(Data!$F$2:$F9917, $I735)</f>
        <v>1</v>
      </c>
      <c r="T735" s="31" t="s">
        <v>1932</v>
      </c>
      <c r="U735" s="31" t="s">
        <v>1933</v>
      </c>
      <c r="V735" s="32">
        <v>45180.0</v>
      </c>
      <c r="X735" s="31" t="str">
        <f>IFERROR(__xludf.DUMMYFUNCTION("""COMPUTED_VALUE"""),"Experiences and perceptions of continuous deep sedation: An interview study among Dutch patients and relatives.")</f>
        <v>Experiences and perceptions of continuous deep sedation: An interview study among Dutch patients and relatives.</v>
      </c>
      <c r="Y735" s="31" t="str">
        <f>IFERROR(__xludf.DUMMYFUNCTION("""COMPUTED_VALUE"""),"Jonker, Louise Annemoon; Heijltjes, Madelon T; Rietjens, Judith A C; van der Heide, Agnes; Hendriksen, Geeske; van Delden, Johannes J M; van Thiel, Ghislaine J M W")</f>
        <v>Jonker, Louise Annemoon; Heijltjes, Madelon T; Rietjens, Judith A C; van der Heide, Agnes; Hendriksen, Geeske; van Delden, Johannes J M; van Thiel, Ghislaine J M W</v>
      </c>
      <c r="Z735" s="31">
        <f>IFERROR(__xludf.DUMMYFUNCTION("""COMPUTED_VALUE"""),2023.0)</f>
        <v>2023</v>
      </c>
      <c r="AA735" s="31">
        <f>IFERROR(__xludf.DUMMYFUNCTION("""COMPUTED_VALUE"""),0.0)</f>
        <v>0</v>
      </c>
      <c r="AF735" s="31" t="str">
        <f>IFERROR(__xludf.DUMMYFUNCTION("""COMPUTED_VALUE"""),"Development and validation of a prediction model for gestational hypertension in a Ghanaian cohort.")</f>
        <v>Development and validation of a prediction model for gestational hypertension in a Ghanaian cohort.</v>
      </c>
      <c r="AG735" s="31" t="str">
        <f>IFERROR(__xludf.DUMMYFUNCTION("""COMPUTED_VALUE"""),"Antwi, Edward; Groenwold, Rolf H H; Browne, Joyce L; Franx, Arie; Agyepong, Irene A; Koram, Kwadwo A; Klipstein-Grobusch, Kerstin; Grobbee, Diederick E")</f>
        <v>Antwi, Edward; Groenwold, Rolf H H; Browne, Joyce L; Franx, Arie; Agyepong, Irene A; Koram, Kwadwo A; Klipstein-Grobusch, Kerstin; Grobbee, Diederick E</v>
      </c>
      <c r="AH735" s="32">
        <f>IFERROR(__xludf.DUMMYFUNCTION("""COMPUTED_VALUE"""),42751.0)</f>
        <v>42751</v>
      </c>
      <c r="AL735" s="31" t="str">
        <f>IFERROR(__xludf.DUMMYFUNCTION("""COMPUTED_VALUE"""),"Barriers and facilitators perceived by physicians when using prediction models in practice.")</f>
        <v>Barriers and facilitators perceived by physicians when using prediction models in practice.</v>
      </c>
      <c r="AM735" s="31" t="str">
        <f>IFERROR(__xludf.DUMMYFUNCTION("""COMPUTED_VALUE"""),"Kappen, Teus H; van Loon, Kim; Kappen, Martinus A M; van Wolfswinkel, Leo; Vergouwe, Yvonne; van Klei, Wilton A; Moons, Karel G M; Kalkman, Cor J")</f>
        <v>Kappen, Teus H; van Loon, Kim; Kappen, Martinus A M; van Wolfswinkel, Leo; Vergouwe, Yvonne; van Klei, Wilton A; Moons, Karel G M; Kalkman, Cor J</v>
      </c>
      <c r="AN735" s="32">
        <f>IFERROR(__xludf.DUMMYFUNCTION("""COMPUTED_VALUE"""),42268.0)</f>
        <v>42268</v>
      </c>
    </row>
    <row r="736">
      <c r="A736" s="32"/>
      <c r="I736" s="31" t="str">
        <f>IFERROR(__xludf.DUMMYFUNCTION("""COMPUTED_VALUE"""),"pharmaceutical statistics")</f>
        <v>pharmaceutical statistics</v>
      </c>
      <c r="J736" s="38">
        <f>COUNTIF(Data!$F$2:$F9917, $I736)</f>
        <v>2</v>
      </c>
      <c r="T736" s="31" t="s">
        <v>1936</v>
      </c>
      <c r="U736" s="31" t="s">
        <v>1937</v>
      </c>
      <c r="V736" s="32">
        <v>45178.0</v>
      </c>
      <c r="X736" s="31" t="str">
        <f>IFERROR(__xludf.DUMMYFUNCTION("""COMPUTED_VALUE"""),"The association of resilience with self-care and quality of life in people with chronic obstructive pulmonary disease: A cross-sectional study.")</f>
        <v>The association of resilience with self-care and quality of life in people with chronic obstructive pulmonary disease: A cross-sectional study.</v>
      </c>
      <c r="Y736" s="31" t="str">
        <f>IFERROR(__xludf.DUMMYFUNCTION("""COMPUTED_VALUE"""),"Pouw, Tamara; de Man-van Ginkel, Janneke; Hardeman, Johannes A; Mager, Johannes-Jurgen; Trapman, Lian; Jaarsma, Tiny; Weldam, Saskia")</f>
        <v>Pouw, Tamara; de Man-van Ginkel, Janneke; Hardeman, Johannes A; Mager, Johannes-Jurgen; Trapman, Lian; Jaarsma, Tiny; Weldam, Saskia</v>
      </c>
      <c r="Z736" s="31">
        <f>IFERROR(__xludf.DUMMYFUNCTION("""COMPUTED_VALUE"""),2023.0)</f>
        <v>2023</v>
      </c>
      <c r="AA736" s="31">
        <f>IFERROR(__xludf.DUMMYFUNCTION("""COMPUTED_VALUE"""),0.0)</f>
        <v>0</v>
      </c>
      <c r="AF736" s="31" t="str">
        <f>IFERROR(__xludf.DUMMYFUNCTION("""COMPUTED_VALUE"""),"Association between Immune Markers and Surrogate Markers of Cardiovascular Disease in HIV Positive Patients: A Systematic Review.")</f>
        <v>Association between Immune Markers and Surrogate Markers of Cardiovascular Disease in HIV Positive Patients: A Systematic Review.</v>
      </c>
      <c r="AG736" s="31" t="str">
        <f>IFERROR(__xludf.DUMMYFUNCTION("""COMPUTED_VALUE"""),"Vos, Alinda G; Hulzebosch, Annelieke; Grobbee, Diederick E; Barth, Roos E; Klipstein-Grobusch, Kerstin")</f>
        <v>Vos, Alinda G; Hulzebosch, Annelieke; Grobbee, Diederick E; Barth, Roos E; Klipstein-Grobusch, Kerstin</v>
      </c>
      <c r="AH736" s="32">
        <f>IFERROR(__xludf.DUMMYFUNCTION("""COMPUTED_VALUE"""),42748.0)</f>
        <v>42748</v>
      </c>
      <c r="AL736" s="31" t="str">
        <f>IFERROR(__xludf.DUMMYFUNCTION("""COMPUTED_VALUE"""),"Prevalence of Apparent Therapy-Resistant Hypertension and Its Effect on Outcome in Patients With Chronic Kidney Disease.")</f>
        <v>Prevalence of Apparent Therapy-Resistant Hypertension and Its Effect on Outcome in Patients With Chronic Kidney Disease.</v>
      </c>
      <c r="AM736" s="31" t="str">
        <f>IFERROR(__xludf.DUMMYFUNCTION("""COMPUTED_VALUE"""),"de Beus, Esther; Bots, Michiel L; van Zuilen, Arjan D; Wetzels, Jack F M; Blankestijn, Peter J; ,")</f>
        <v>de Beus, Esther; Bots, Michiel L; van Zuilen, Arjan D; Wetzels, Jack F M; Blankestijn, Peter J; ,</v>
      </c>
      <c r="AN736" s="32">
        <f>IFERROR(__xludf.DUMMYFUNCTION("""COMPUTED_VALUE"""),42255.0)</f>
        <v>42255</v>
      </c>
    </row>
    <row r="737">
      <c r="A737" s="32"/>
      <c r="I737" s="31" t="str">
        <f>IFERROR(__xludf.DUMMYFUNCTION("""COMPUTED_VALUE"""),"alzheimers dementia amsterdam netherlands")</f>
        <v>alzheimers dementia amsterdam netherlands</v>
      </c>
      <c r="J737" s="38">
        <f>COUNTIF(Data!$F$2:$F9917, $I737)</f>
        <v>2</v>
      </c>
      <c r="T737" s="31" t="s">
        <v>1941</v>
      </c>
      <c r="U737" s="31" t="s">
        <v>1942</v>
      </c>
      <c r="V737" s="32">
        <v>45177.0</v>
      </c>
      <c r="X737" s="31" t="str">
        <f>IFERROR(__xludf.DUMMYFUNCTION("""COMPUTED_VALUE"""),"Author Correction: Enhancer hijacking at the ARHGAP36 locus is associated with connective tissue to bone transformation.")</f>
        <v>Author Correction: Enhancer hijacking at the ARHGAP36 locus is associated with connective tissue to bone transformation.</v>
      </c>
      <c r="Y737" s="31"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Z737" s="31">
        <f>IFERROR(__xludf.DUMMYFUNCTION("""COMPUTED_VALUE"""),2023.0)</f>
        <v>2023</v>
      </c>
      <c r="AA737" s="31">
        <f>IFERROR(__xludf.DUMMYFUNCTION("""COMPUTED_VALUE"""),0.0)</f>
        <v>0</v>
      </c>
      <c r="AF737" s="31" t="str">
        <f>IFERROR(__xludf.DUMMYFUNCTION("""COMPUTED_VALUE"""),"The association between HIV, antiretroviral therapy, and gestational diabetes mellitus.")</f>
        <v>The association between HIV, antiretroviral therapy, and gestational diabetes mellitus.</v>
      </c>
      <c r="AG737" s="31" t="str">
        <f>IFERROR(__xludf.DUMMYFUNCTION("""COMPUTED_VALUE"""),"Soepnel, Larske M; Norris, Shane A; Schrier, Verena J M M; Browne, Joyce L; Rijken, Marcus J; Gray, Glenda; Klipstein-Grobusch, Kerstin")</f>
        <v>Soepnel, Larske M; Norris, Shane A; Schrier, Verena J M M; Browne, Joyce L; Rijken, Marcus J; Gray, Glenda; Klipstein-Grobusch, Kerstin</v>
      </c>
      <c r="AH737" s="32">
        <f>IFERROR(__xludf.DUMMYFUNCTION("""COMPUTED_VALUE"""),42737.0)</f>
        <v>42737</v>
      </c>
      <c r="AL737" s="31" t="str">
        <f>IFERROR(__xludf.DUMMYFUNCTION("""COMPUTED_VALUE"""),"Apixaban versus Antiplatelet drugs or no antithrombotic drugs after anticoagulation-associated intraCerebral HaEmorrhage in patients with Atrial Fibrillation (APACHE-AF): study protocol for a randomised controlled trial.")</f>
        <v>Apixaban versus Antiplatelet drugs or no antithrombotic drugs after anticoagulation-associated intraCerebral HaEmorrhage in patients with Atrial Fibrillation (APACHE-AF): study protocol for a randomised controlled trial.</v>
      </c>
      <c r="AM737" s="31" t="str">
        <f>IFERROR(__xludf.DUMMYFUNCTION("""COMPUTED_VALUE"""),"van Nieuwenhuizen, Koen M; van der Worp, H Bart; Algra, Ale; Kappelle, L Jaap; Rinkel, Gabriel J E; van Gelder, Isabelle C; Schutgens, Roger E G; Klijn, Catharina J M; ,")</f>
        <v>van Nieuwenhuizen, Koen M; van der Worp, H Bart; Algra, Ale; Kappelle, L Jaap; Rinkel, Gabriel J E; van Gelder, Isabelle C; Schutgens, Roger E G; Klijn, Catharina J M; ,</v>
      </c>
      <c r="AN737" s="32">
        <f>IFERROR(__xludf.DUMMYFUNCTION("""COMPUTED_VALUE"""),42251.0)</f>
        <v>42251</v>
      </c>
    </row>
    <row r="738">
      <c r="A738" s="32"/>
      <c r="I738" s="31" t="str">
        <f>IFERROR(__xludf.DUMMYFUNCTION("""COMPUTED_VALUE"""),"embo reports")</f>
        <v>embo reports</v>
      </c>
      <c r="J738" s="38">
        <f>COUNTIF(Data!$F$2:$F9917, $I738)</f>
        <v>2</v>
      </c>
      <c r="T738" s="31" t="s">
        <v>1945</v>
      </c>
      <c r="U738" s="31" t="s">
        <v>1946</v>
      </c>
      <c r="V738" s="32">
        <v>45177.0</v>
      </c>
      <c r="X738" s="31" t="str">
        <f>IFERROR(__xludf.DUMMYFUNCTION("""COMPUTED_VALUE"""),"Dietary amino acids and risk of stroke subtypes: a prospective analysis of 356,000 participants in seven European countries.")</f>
        <v>Dietary amino acids and risk of stroke subtypes: a prospective analysis of 356,000 participants in seven European countries.</v>
      </c>
      <c r="Y738" s="31" t="str">
        <f>IFERROR(__xludf.DUMMYFUNCTION("""COMPUTED_VALUE"""),"Tong, Tammy Y N; Clarke, Robert; Schmidt, Julie A; Huybrechts, Inge; Noor, Urwah; Forouhi, Nita G; Imamura, Fumiaki; Travis, Ruth C; Weiderpass, Elisabete; Aleksandrova, Krasimira; Dahm, Christina C; van der Schouw, Yvonne T; Overvad, Kim; Kyrø, Cecilie; "&amp;"Tjønneland, Anne; Kaaks, Rudolf; Katzke, Verena; Schiborn, Catarina; Schulze, Matthias B; Mayen-Chacon, Ana-Lucia; Masala, Giovanna; Sieri, Sabina; de Magistris, Maria Santucci; Tumino, Rosario; Sacerdote, Carlotta; Boer, Jolanda M A; Verschuren, W M Moni"&amp;"que; Brustad, Magritt; Nøst, Therese Haugdahl; Crous-Bou, Marta; Petrova, Dafina; Amiano, Pilar; Huerta, José María; Moreno-Iribas, Conchi; Engström, Gunnar; Melander, Olle; Johansson, Kristina; Lindvall, Kristina; Aglago, Elom K; Heath, Alicia K; Butterw"&amp;"orth, Adam S; Danesh, John; Key, Timothy J")</f>
        <v>Tong, Tammy Y N; Clarke, Robert; Schmidt, Julie A; Huybrechts, Inge; Noor, Urwah; Forouhi, Nita G; Imamura, Fumiaki; Travis, Ruth C; Weiderpass, Elisabete; Aleksandrova, Krasimira; Dahm, Christina C; van der Schouw, Yvonne T; Overvad, Kim; Kyrø, Cecilie; Tjønneland, Anne; Kaaks, Rudolf; Katzke, Verena; Schiborn, Catarina; Schulze, Matthias B; Mayen-Chacon, Ana-Lucia; Masala, Giovanna; Sieri, Sabina; de Magistris, Maria Santucci; Tumino, Rosario; Sacerdote, Carlotta; Boer, Jolanda M A; Verschuren, W M Monique; Brustad, Magritt; Nøst, Therese Haugdahl; Crous-Bou, Marta; Petrova, Dafina; Amiano, Pilar; Huerta, José María; Moreno-Iribas, Conchi; Engström, Gunnar; Melander, Olle; Johansson, Kristina; Lindvall, Kristina; Aglago, Elom K; Heath, Alicia K; Butterworth, Adam S; Danesh, John; Key, Timothy J</v>
      </c>
      <c r="Z738" s="31">
        <f>IFERROR(__xludf.DUMMYFUNCTION("""COMPUTED_VALUE"""),2023.0)</f>
        <v>2023</v>
      </c>
      <c r="AA738" s="31">
        <f>IFERROR(__xludf.DUMMYFUNCTION("""COMPUTED_VALUE"""),0.0)</f>
        <v>0</v>
      </c>
      <c r="AF738" s="31" t="str">
        <f>IFERROR(__xludf.DUMMYFUNCTION("""COMPUTED_VALUE"""),"[The objective of advance care planning].")</f>
        <v>[The objective of advance care planning].</v>
      </c>
      <c r="AG738" s="31" t="str">
        <f>IFERROR(__xludf.DUMMYFUNCTION("""COMPUTED_VALUE"""),"van Delden, J J M")</f>
        <v>van Delden, J J M</v>
      </c>
      <c r="AH738" s="32">
        <f>IFERROR(__xludf.DUMMYFUNCTION("""COMPUTED_VALUE"""),42736.0)</f>
        <v>42736</v>
      </c>
      <c r="AL738" s="31" t="str">
        <f>IFERROR(__xludf.DUMMYFUNCTION("""COMPUTED_VALUE"""),"Effect of weight loss, with or without exercise, on body composition and sex hormones in postmenopausal women: the SHAPE-2 trial.")</f>
        <v>Effect of weight loss, with or without exercise, on body composition and sex hormones in postmenopausal women: the SHAPE-2 trial.</v>
      </c>
      <c r="AM738" s="31" t="str">
        <f>IFERROR(__xludf.DUMMYFUNCTION("""COMPUTED_VALUE"""),"van Gemert, Willemijn A M; Schuit, Albertine J; van der Palen, Job; May, Anne M; Iestra, Jolein A; Wittink, Harriet; Peeters, Petra H; Monninkhof, Evelyn M")</f>
        <v>van Gemert, Willemijn A M; Schuit, Albertine J; van der Palen, Job; May, Anne M; Iestra, Jolein A; Wittink, Harriet; Peeters, Petra H; Monninkhof, Evelyn M</v>
      </c>
      <c r="AN738" s="32">
        <f>IFERROR(__xludf.DUMMYFUNCTION("""COMPUTED_VALUE"""),42249.0)</f>
        <v>42249</v>
      </c>
    </row>
    <row r="739">
      <c r="A739" s="32"/>
      <c r="I739" s="31" t="str">
        <f>IFERROR(__xludf.DUMMYFUNCTION("""COMPUTED_VALUE"""),"anticancer research")</f>
        <v>anticancer research</v>
      </c>
      <c r="J739" s="38">
        <f>COUNTIF(Data!$F$2:$F9917, $I739)</f>
        <v>2</v>
      </c>
      <c r="T739" s="31" t="s">
        <v>1949</v>
      </c>
      <c r="U739" s="31" t="s">
        <v>1950</v>
      </c>
      <c r="V739" s="32">
        <v>45176.0</v>
      </c>
      <c r="X739" s="31" t="str">
        <f>IFERROR(__xludf.DUMMYFUNCTION("""COMPUTED_VALUE"""),"The effect of six-month oral vitamin K supplementation on calcification propensity time in individuals with type 2 diabetes mellitus: A post hoc analysis of a randomized, double-blind, placebo-controlled trial.")</f>
        <v>The effect of six-month oral vitamin K supplementation on calcification propensity time in individuals with type 2 diabetes mellitus: A post hoc analysis of a randomized, double-blind, placebo-controlled trial.</v>
      </c>
      <c r="Y739" s="31" t="str">
        <f>IFERROR(__xludf.DUMMYFUNCTION("""COMPUTED_VALUE"""),"Meer, R; Romero Prats, M L; Vervloet, M G; van der Schouw, Y T; de Jong, P A; Beulens, J W J")</f>
        <v>Meer, R; Romero Prats, M L; Vervloet, M G; van der Schouw, Y T; de Jong, P A; Beulens, J W J</v>
      </c>
      <c r="Z739" s="31">
        <f>IFERROR(__xludf.DUMMYFUNCTION("""COMPUTED_VALUE"""),2023.0)</f>
        <v>2023</v>
      </c>
      <c r="AA739" s="31">
        <f>IFERROR(__xludf.DUMMYFUNCTION("""COMPUTED_VALUE"""),0.0)</f>
        <v>0</v>
      </c>
      <c r="AF739" s="31" t="str">
        <f>IFERROR(__xludf.DUMMYFUNCTION("""COMPUTED_VALUE"""),"A longitudinal study of atrazine and 2,4-D exposure and oxidative stress markers among iowa corn farmers.")</f>
        <v>A longitudinal study of atrazine and 2,4-D exposure and oxidative stress markers among iowa corn farmers.</v>
      </c>
      <c r="AG739" s="31" t="str">
        <f>IFERROR(__xludf.DUMMYFUNCTION("""COMPUTED_VALUE"""),"Lerro, Catherine C; Beane Freeman, Laura E; Portengen, Lützen; Kang, Daehee; Lee, Kyoungho; Blair, Aaron; Lynch, Charles F; Bakke, Berit; De Roos, Anneclaire J; Vermeulen, Roel C H")</f>
        <v>Lerro, Catherine C; Beane Freeman, Laura E; Portengen, Lützen; Kang, Daehee; Lee, Kyoungho; Blair, Aaron; Lynch, Charles F; Bakke, Berit; De Roos, Anneclaire J; Vermeulen, Roel C H</v>
      </c>
      <c r="AH739" s="32">
        <f>IFERROR(__xludf.DUMMYFUNCTION("""COMPUTED_VALUE"""),42736.0)</f>
        <v>42736</v>
      </c>
      <c r="AL739" s="31" t="str">
        <f>IFERROR(__xludf.DUMMYFUNCTION("""COMPUTED_VALUE"""),"New Guideline for the Reporting of Studies Developing, Validating, or Updating a Multivariable Clinical Prediction Model: The TRIPOD Statement.")</f>
        <v>New Guideline for the Reporting of Studies Developing, Validating, or Updating a Multivariable Clinical Prediction Model: The TRIPOD Statement.</v>
      </c>
      <c r="AM739" s="31" t="str">
        <f>IFERROR(__xludf.DUMMYFUNCTION("""COMPUTED_VALUE"""),"Moons, Karel G M; Altman, Douglas G; Reitsma, Johannes B; Collins, Gary S; ,")</f>
        <v>Moons, Karel G M; Altman, Douglas G; Reitsma, Johannes B; Collins, Gary S; ,</v>
      </c>
      <c r="AN739" s="32">
        <f>IFERROR(__xludf.DUMMYFUNCTION("""COMPUTED_VALUE"""),42248.0)</f>
        <v>42248</v>
      </c>
    </row>
    <row r="740">
      <c r="A740" s="32"/>
      <c r="I740" s="31" t="str">
        <f>IFERROR(__xludf.DUMMYFUNCTION("""COMPUTED_VALUE"""),"jama internal medicine")</f>
        <v>jama internal medicine</v>
      </c>
      <c r="J740" s="38">
        <f>COUNTIF(Data!$F$2:$F9917, $I740)</f>
        <v>3</v>
      </c>
      <c r="T740" s="31" t="s">
        <v>1954</v>
      </c>
      <c r="U740" s="31" t="s">
        <v>1955</v>
      </c>
      <c r="V740" s="32">
        <v>45175.0</v>
      </c>
      <c r="X740" s="31" t="str">
        <f>IFERROR(__xludf.DUMMYFUNCTION("""COMPUTED_VALUE"""),"How to support children to develop and express their coping preferences around minor invasive medical procedures: children's and parents' perspectives.")</f>
        <v>How to support children to develop and express their coping preferences around minor invasive medical procedures: children's and parents' perspectives.</v>
      </c>
      <c r="Y740" s="31" t="str">
        <f>IFERROR(__xludf.DUMMYFUNCTION("""COMPUTED_VALUE"""),"Segers, Elisabeth W; Ketelaar, Marjolijn; de Man, Marjorie A C P; Schoonhoven, Lisette; van de Putte, Elise M; van den Hoogen, Agnes")</f>
        <v>Segers, Elisabeth W; Ketelaar, Marjolijn; de Man, Marjorie A C P; Schoonhoven, Lisette; van de Putte, Elise M; van den Hoogen, Agnes</v>
      </c>
      <c r="Z740" s="31">
        <f>IFERROR(__xludf.DUMMYFUNCTION("""COMPUTED_VALUE"""),2023.0)</f>
        <v>2023</v>
      </c>
      <c r="AA740" s="31">
        <f>IFERROR(__xludf.DUMMYFUNCTION("""COMPUTED_VALUE"""),0.0)</f>
        <v>0</v>
      </c>
      <c r="AF740" s="31" t="str">
        <f>IFERROR(__xludf.DUMMYFUNCTION("""COMPUTED_VALUE"""),"Overweight and obesity epidemic in Ghana-a systematic review and meta-analysis.")</f>
        <v>Overweight and obesity epidemic in Ghana-a systematic review and meta-analysis.</v>
      </c>
      <c r="AG740" s="31" t="str">
        <f>IFERROR(__xludf.DUMMYFUNCTION("""COMPUTED_VALUE"""),"Ofori-Asenso, Richard; Agyeman, Akosua Adom; Laar, Amos; Boateng, Daniel")</f>
        <v>Ofori-Asenso, Richard; Agyeman, Akosua Adom; Laar, Amos; Boateng, Daniel</v>
      </c>
      <c r="AH740" s="32">
        <f>IFERROR(__xludf.DUMMYFUNCTION("""COMPUTED_VALUE"""),42713.0)</f>
        <v>42713</v>
      </c>
      <c r="AL740" s="31" t="str">
        <f>IFERROR(__xludf.DUMMYFUNCTION("""COMPUTED_VALUE"""),"Risks of stenting in patients with extracranial and intracranial vertebral artery stenosis.")</f>
        <v>Risks of stenting in patients with extracranial and intracranial vertebral artery stenosis.</v>
      </c>
      <c r="AM740" s="31" t="str">
        <f>IFERROR(__xludf.DUMMYFUNCTION("""COMPUTED_VALUE"""),"Compter, Annette; van der Worp, H Bart; Algra, Ale; Kappelle, L Jaap; ,")</f>
        <v>Compter, Annette; van der Worp, H Bart; Algra, Ale; Kappelle, L Jaap; ,</v>
      </c>
      <c r="AN740" s="32">
        <f>IFERROR(__xludf.DUMMYFUNCTION("""COMPUTED_VALUE"""),42248.0)</f>
        <v>42248</v>
      </c>
    </row>
    <row r="741">
      <c r="A741" s="32"/>
      <c r="I741" s="31" t="str">
        <f>IFERROR(__xludf.DUMMYFUNCTION("""COMPUTED_VALUE"""),"journal of the american academy of child and adolescent psychiatry")</f>
        <v>journal of the american academy of child and adolescent psychiatry</v>
      </c>
      <c r="J741" s="38">
        <f>COUNTIF(Data!$F$2:$F9917, $I741)</f>
        <v>1</v>
      </c>
      <c r="T741" s="31" t="s">
        <v>1959</v>
      </c>
      <c r="U741" s="31" t="s">
        <v>1960</v>
      </c>
      <c r="V741" s="32">
        <v>45174.0</v>
      </c>
      <c r="X741" s="31" t="str">
        <f>IFERROR(__xludf.DUMMYFUNCTION("""COMPUTED_VALUE"""),"Apolipoprotein-CIII &lt;i&gt;O&lt;/i&gt;-Glycosylation, a Link between &lt;i&gt;GALNT2&lt;/i&gt; and Plasma Lipids.")</f>
        <v>Apolipoprotein-CIII &lt;i&gt;O&lt;/i&gt;-Glycosylation, a Link between &lt;i&gt;GALNT2&lt;/i&gt; and Plasma Lipids.</v>
      </c>
      <c r="Y741" s="31" t="str">
        <f>IFERROR(__xludf.DUMMYFUNCTION("""COMPUTED_VALUE"""),"Naber, Annemieke; Demus, Daniel; Slieker, Roderick; Nicolardi, Simone; Beulens, Joline W J; Elders, Petra J M; Lieverse, Aloysius G; Sijbrands, Eric J G; 't Hart, Leen M; Wuhrer, Manfred; van Hoek, Mandy")</f>
        <v>Naber, Annemieke; Demus, Daniel; Slieker, Roderick; Nicolardi, Simone; Beulens, Joline W J; Elders, Petra J M; Lieverse, Aloysius G; Sijbrands, Eric J G; 't Hart, Leen M; Wuhrer, Manfred; van Hoek, Mandy</v>
      </c>
      <c r="Z741" s="31">
        <f>IFERROR(__xludf.DUMMYFUNCTION("""COMPUTED_VALUE"""),2023.0)</f>
        <v>2023</v>
      </c>
      <c r="AA741" s="31">
        <f>IFERROR(__xludf.DUMMYFUNCTION("""COMPUTED_VALUE"""),0.0)</f>
        <v>0</v>
      </c>
      <c r="AF741" s="31" t="str">
        <f>IFERROR(__xludf.DUMMYFUNCTION("""COMPUTED_VALUE"""),"Ethical clinical translation of stem cell interventions for neurologic disease.")</f>
        <v>Ethical clinical translation of stem cell interventions for neurologic disease.</v>
      </c>
      <c r="AG741" s="31" t="str">
        <f>IFERROR(__xludf.DUMMYFUNCTION("""COMPUTED_VALUE"""),"Cote, David J; Bredenoord, Annelien L; Smith, Timothy R; Ammirati, Mario; Brennum, Jannick; Mendez, Ivar; Ammar, Ahmed S; Balak, Naci; Bolles, Gene; Esene, Ignatius Ngene; Mathiesen, Tiit; Broekman, Marike L")</f>
        <v>Cote, David J; Bredenoord, Annelien L; Smith, Timothy R; Ammirati, Mario; Brennum, Jannick; Mendez, Ivar; Ammar, Ahmed S; Balak, Naci; Bolles, Gene; Esene, Ignatius Ngene; Mathiesen, Tiit; Broekman, Marike L</v>
      </c>
      <c r="AH741" s="32">
        <f>IFERROR(__xludf.DUMMYFUNCTION("""COMPUTED_VALUE"""),42711.0)</f>
        <v>42711</v>
      </c>
      <c r="AL741" s="31" t="str">
        <f>IFERROR(__xludf.DUMMYFUNCTION("""COMPUTED_VALUE"""),"Accuracy of administrative data for surveillance of healthcare-associated infections: a systematic review.")</f>
        <v>Accuracy of administrative data for surveillance of healthcare-associated infections: a systematic review.</v>
      </c>
      <c r="AM741" s="31" t="str">
        <f>IFERROR(__xludf.DUMMYFUNCTION("""COMPUTED_VALUE"""),"van Mourik, Maaike S M; van Duijn, Pleun Joppe; Moons, Karel G M; Bonten, Marc J M; Lee, Grace M")</f>
        <v>van Mourik, Maaike S M; van Duijn, Pleun Joppe; Moons, Karel G M; Bonten, Marc J M; Lee, Grace M</v>
      </c>
      <c r="AN741" s="32">
        <f>IFERROR(__xludf.DUMMYFUNCTION("""COMPUTED_VALUE"""),42243.0)</f>
        <v>42243</v>
      </c>
    </row>
    <row r="742">
      <c r="A742" s="32"/>
      <c r="I742" s="31" t="str">
        <f>IFERROR(__xludf.DUMMYFUNCTION("""COMPUTED_VALUE"""),"emergency radiology")</f>
        <v>emergency radiology</v>
      </c>
      <c r="J742" s="38">
        <f>COUNTIF(Data!$F$2:$F9917, $I742)</f>
        <v>1</v>
      </c>
      <c r="T742" s="31" t="s">
        <v>1963</v>
      </c>
      <c r="U742" s="31" t="s">
        <v>1964</v>
      </c>
      <c r="V742" s="32">
        <v>45174.0</v>
      </c>
      <c r="X742" s="31" t="str">
        <f>IFERROR(__xludf.DUMMYFUNCTION("""COMPUTED_VALUE"""),"Are maternal vaccines effective and safe for mothers and infants? A systematic review and meta-analysis of randomised controlled trials.")</f>
        <v>Are maternal vaccines effective and safe for mothers and infants? A systematic review and meta-analysis of randomised controlled trials.</v>
      </c>
      <c r="Y742" s="31" t="str">
        <f>IFERROR(__xludf.DUMMYFUNCTION("""COMPUTED_VALUE"""),"de Bruin, Odette; Phijffer, Emily; Ahmadizar, Fariba; van der Maas, Nicoline; Wildenbeest, Joanne; Sturkenboom, Miriam; Bont, Louis; Bloemenkamp, Kitty")</f>
        <v>de Bruin, Odette; Phijffer, Emily; Ahmadizar, Fariba; van der Maas, Nicoline; Wildenbeest, Joanne; Sturkenboom, Miriam; Bont, Louis; Bloemenkamp, Kitty</v>
      </c>
      <c r="Z742" s="31">
        <f>IFERROR(__xludf.DUMMYFUNCTION("""COMPUTED_VALUE"""),2023.0)</f>
        <v>2023</v>
      </c>
      <c r="AA742" s="31">
        <f>IFERROR(__xludf.DUMMYFUNCTION("""COMPUTED_VALUE"""),0.0)</f>
        <v>0</v>
      </c>
      <c r="AF742" s="31" t="str">
        <f>IFERROR(__xludf.DUMMYFUNCTION("""COMPUTED_VALUE"""),"Psilocybin: promising results in double-blind trials require confirmation by real-world evidence.")</f>
        <v>Psilocybin: promising results in double-blind trials require confirmation by real-world evidence.</v>
      </c>
      <c r="AG742" s="31" t="str">
        <f>IFERROR(__xludf.DUMMYFUNCTION("""COMPUTED_VALUE"""),"Breckenridge, Alasdair; Grobbee, Diederick E")</f>
        <v>Breckenridge, Alasdair; Grobbee, Diederick E</v>
      </c>
      <c r="AH742" s="32">
        <f>IFERROR(__xludf.DUMMYFUNCTION("""COMPUTED_VALUE"""),42705.0)</f>
        <v>42705</v>
      </c>
      <c r="AL742" s="31" t="str">
        <f>IFERROR(__xludf.DUMMYFUNCTION("""COMPUTED_VALUE"""),"Phylogenetic lineages, clones and β-lactamases in an international collection of Klebsiella oxytoca isolates non-susceptible to expanded-spectrum cephalosporins.")</f>
        <v>Phylogenetic lineages, clones and β-lactamases in an international collection of Klebsiella oxytoca isolates non-susceptible to expanded-spectrum cephalosporins.</v>
      </c>
      <c r="AM742" s="31" t="str">
        <f>IFERROR(__xludf.DUMMYFUNCTION("""COMPUTED_VALUE"""),"Izdebski, R; Fiett, J; Urbanowicz, P; Baraniak, A; Derde, L P G; Bonten, M J M; Carmeli, Y; Goossens, H; Hryniewicz, W; Brun-Buisson, C; Brisse, S; Gniadkowski, M; ,; ,")</f>
        <v>Izdebski, R; Fiett, J; Urbanowicz, P; Baraniak, A; Derde, L P G; Bonten, M J M; Carmeli, Y; Goossens, H; Hryniewicz, W; Brun-Buisson, C; Brisse, S; Gniadkowski, M; ,; ,</v>
      </c>
      <c r="AN742" s="32">
        <f>IFERROR(__xludf.DUMMYFUNCTION("""COMPUTED_VALUE"""),42243.0)</f>
        <v>42243</v>
      </c>
    </row>
    <row r="743">
      <c r="A743" s="32"/>
      <c r="I743" s="31" t="str">
        <f>IFERROR(__xludf.DUMMYFUNCTION("""COMPUTED_VALUE"""),"vascular and endovascular surgery")</f>
        <v>vascular and endovascular surgery</v>
      </c>
      <c r="J743" s="38">
        <f>COUNTIF(Data!$F$2:$F9917, $I743)</f>
        <v>2</v>
      </c>
      <c r="T743" s="31" t="s">
        <v>1968</v>
      </c>
      <c r="U743" s="31" t="s">
        <v>1969</v>
      </c>
      <c r="V743" s="32">
        <v>45174.0</v>
      </c>
      <c r="X743" s="31" t="str">
        <f>IFERROR(__xludf.DUMMYFUNCTION("""COMPUTED_VALUE"""),"Correction: Distinct germline genetic susceptibility profiles identified for common non-Hodgkin lymphoma subtypes.")</f>
        <v>Correction: Distinct germline genetic susceptibility profiles identified for common non-Hodgkin lymphoma subtypes.</v>
      </c>
      <c r="Y743" s="31" t="str">
        <f>IFERROR(__xludf.DUMMYFUNCTION("""COMPUTED_VALUE"""),"Berndt, Sonja I; Vijai, Joseph; Benavente, Yolanda; Camp, Nicola J; Nieters, Alexandra; Wang, Zhaoming; Smedby, Karin E; Kleinstern, Geffen; Hjalgrim, Henrik; Besson, Caroline; Skibola, Christine F; Morton, Lindsay M; Brooks-Wilson, Angela R; Teras, Laure"&amp;"n R; Breeze, Charles; Arias, Joshua; Adami, Hans-Olov; Albanes, Demetrius; Anderson, Kenneth C; Ansell, Stephen M; Bassig, Bryan; Becker, Nikolaus; Bhatti, Parveen; Birmann, Brenda M; Boffetta, Paolo; Bracci, Paige M; Brennan, Paul; Brown, Elizabeth E; Bu"&amp;"rdett, Laurie; Cannon-Albright, Lisa A; Chang, Ellen T; Chiu, Brian C H; Chung, Charles C; Clavel, Jacqueline; Cocco, Pierluigi; Colditz, Graham; Conde, Lucia; Conti, David V; Cox, David G; Curtin, Karen; Casabonne, Delphine; De Vivo, Immaculata; Diepstra"&amp;", Arjan; Diver, W Ryan; Dogan, Ahmet; Edlund, Christopher K; Foretova, Lenka; Fraumeni, Joseph F; Gabbas, Attilio; Ghesquières, Hervé; Giles, Graham G; Glaser, Sally; Glenn, Martha; Glimelius, Bengt; Gu, Jian; Habermann, Thomas M; Haim")</f>
        <v>Berndt, Sonja I; Vijai, Joseph; Benavente, Yolanda; Camp, Nicola J; Nieters, Alexandra; Wang, Zhaoming; Smedby, Karin E; Kleinstern, Geffen; Hjalgrim, Henrik; Besson, Caroline; Skibola, Christine F; Morton, Lindsay M; Brooks-Wilson, Angela R; Teras, Lauren R; Breeze, Charles; Arias, Joshua; Adami, Hans-Olov; Albanes, Demetrius; Anderson, Kenneth C; Ansell, Stephen M; Bassig, Bryan; Becker, Nikolaus; Bhatti, Parveen; Birmann, Brenda M; Boffetta, Paolo; Bracci, Paige M; Brennan, Paul; Brown, Elizabeth E; Burdett, Laurie; Cannon-Albright, Lisa A; Chang, Ellen T; Chiu, Brian C H; Chung, Charles C; Clavel, Jacqueline; Cocco, Pierluigi; Colditz, Graham; Conde, Lucia; Conti, David V; Cox, David G; Curtin, Karen; Casabonne, Delphine; De Vivo, Immaculata; Diepstra, Arjan; Diver, W Ryan; Dogan, Ahmet; Edlund, Christopher K; Foretova, Lenka; Fraumeni, Joseph F; Gabbas, Attilio; Ghesquières, Hervé; Giles, Graham G; Glaser, Sally; Glenn, Martha; Glimelius, Bengt; Gu, Jian; Habermann, Thomas M; Haim</v>
      </c>
      <c r="Z743" s="31">
        <f>IFERROR(__xludf.DUMMYFUNCTION("""COMPUTED_VALUE"""),2023.0)</f>
        <v>2023</v>
      </c>
      <c r="AA743" s="31">
        <f>IFERROR(__xludf.DUMMYFUNCTION("""COMPUTED_VALUE"""),0.0)</f>
        <v>0</v>
      </c>
      <c r="AF743" s="31" t="str">
        <f>IFERROR(__xludf.DUMMYFUNCTION("""COMPUTED_VALUE"""),"Hyperemesis gravidarum and placental dysfunction disorders.")</f>
        <v>Hyperemesis gravidarum and placental dysfunction disorders.</v>
      </c>
      <c r="AG743" s="31" t="str">
        <f>IFERROR(__xludf.DUMMYFUNCTION("""COMPUTED_VALUE"""),"Koudijs, Heleen M; Savitri, Ary I; Browne, Joyce L; Amelia, Dwirani; Baharuddin, Mohammad; Grobbee, Diederick E; Uiterwaal, Cuno S P M")</f>
        <v>Koudijs, Heleen M; Savitri, Ary I; Browne, Joyce L; Amelia, Dwirani; Baharuddin, Mohammad; Grobbee, Diederick E; Uiterwaal, Cuno S P M</v>
      </c>
      <c r="AH743" s="32">
        <f>IFERROR(__xludf.DUMMYFUNCTION("""COMPUTED_VALUE"""),42699.0)</f>
        <v>42699</v>
      </c>
      <c r="AL743" s="31" t="str">
        <f>IFERROR(__xludf.DUMMYFUNCTION("""COMPUTED_VALUE"""),"Hypercoagulability and the risk of myocardial infarction and ischemic stroke in young women.")</f>
        <v>Hypercoagulability and the risk of myocardial infarction and ischemic stroke in young women.</v>
      </c>
      <c r="AM743" s="31" t="str">
        <f>IFERROR(__xludf.DUMMYFUNCTION("""COMPUTED_VALUE"""),"Siegerink, B; Maino, A; Algra, A; Rosendaal, F R")</f>
        <v>Siegerink, B; Maino, A; Algra, A; Rosendaal, F R</v>
      </c>
      <c r="AN743" s="32">
        <f>IFERROR(__xludf.DUMMYFUNCTION("""COMPUTED_VALUE"""),42237.0)</f>
        <v>42237</v>
      </c>
    </row>
    <row r="744">
      <c r="A744" s="32"/>
      <c r="I744" s="31" t="str">
        <f>IFERROR(__xludf.DUMMYFUNCTION("""COMPUTED_VALUE"""),"bulletin of the world health organization")</f>
        <v>bulletin of the world health organization</v>
      </c>
      <c r="J744" s="38">
        <f>COUNTIF(Data!$F$2:$F9917, $I744)</f>
        <v>1</v>
      </c>
      <c r="T744" s="31" t="s">
        <v>1972</v>
      </c>
      <c r="U744" s="31" t="s">
        <v>1973</v>
      </c>
      <c r="V744" s="32">
        <v>45171.0</v>
      </c>
      <c r="X744" s="31"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Y744" s="31" t="str">
        <f>IFERROR(__xludf.DUMMYFUNCTION("""COMPUTED_VALUE"""),"Morris, Tim P; van Smeden, Maarten; Pham, Tra My")</f>
        <v>Morris, Tim P; van Smeden, Maarten; Pham, Tra My</v>
      </c>
      <c r="Z744" s="31">
        <f>IFERROR(__xludf.DUMMYFUNCTION("""COMPUTED_VALUE"""),2023.0)</f>
        <v>2023</v>
      </c>
      <c r="AA744" s="31">
        <f>IFERROR(__xludf.DUMMYFUNCTION("""COMPUTED_VALUE"""),0.0)</f>
        <v>0</v>
      </c>
      <c r="AF744" s="31" t="str">
        <f>IFERROR(__xludf.DUMMYFUNCTION("""COMPUTED_VALUE"""),"The unique status of first-in-human studies: strengthening the social value requirement.")</f>
        <v>The unique status of first-in-human studies: strengthening the social value requirement.</v>
      </c>
      <c r="AG744" s="31" t="str">
        <f>IFERROR(__xludf.DUMMYFUNCTION("""COMPUTED_VALUE"""),"Habets, Michelle G J L; van Delden, Johannes J M; Bredenoord, Annelien L")</f>
        <v>Habets, Michelle G J L; van Delden, Johannes J M; Bredenoord, Annelien L</v>
      </c>
      <c r="AH744" s="32">
        <f>IFERROR(__xludf.DUMMYFUNCTION("""COMPUTED_VALUE"""),42699.0)</f>
        <v>42699</v>
      </c>
      <c r="AL744" s="31" t="str">
        <f>IFERROR(__xludf.DUMMYFUNCTION("""COMPUTED_VALUE"""),"Get real in individual participant data (IPD) meta-analysis: a review of the methodology.")</f>
        <v>Get real in individual participant data (IPD) meta-analysis: a review of the methodology.</v>
      </c>
      <c r="AM744" s="31" t="str">
        <f>IFERROR(__xludf.DUMMYFUNCTION("""COMPUTED_VALUE"""),"Debray, Thomas P A; Moons, Karel G M; van Valkenhoef, Gert; Efthimiou, Orestis; Hummel, Noemi; Groenwold, Rolf H H; Reitsma, Johannes B; ,")</f>
        <v>Debray, Thomas P A; Moons, Karel G M; van Valkenhoef, Gert; Efthimiou, Orestis; Hummel, Noemi; Groenwold, Rolf H H; Reitsma, Johannes B; ,</v>
      </c>
      <c r="AN744" s="32">
        <f>IFERROR(__xludf.DUMMYFUNCTION("""COMPUTED_VALUE"""),42235.0)</f>
        <v>42235</v>
      </c>
    </row>
    <row r="745">
      <c r="A745" s="32"/>
      <c r="I745" s="31" t="str">
        <f>IFERROR(__xludf.DUMMYFUNCTION("""COMPUTED_VALUE"""),"modern pathology an official journal of the united states and canadian academy of pathology inc")</f>
        <v>modern pathology an official journal of the united states and canadian academy of pathology inc</v>
      </c>
      <c r="J745" s="38">
        <f>COUNTIF(Data!$F$2:$F9917, $I745)</f>
        <v>1</v>
      </c>
      <c r="T745" s="31" t="s">
        <v>1977</v>
      </c>
      <c r="U745" s="31" t="s">
        <v>1978</v>
      </c>
      <c r="V745" s="32">
        <v>45170.0</v>
      </c>
      <c r="X745" s="31" t="str">
        <f>IFERROR(__xludf.DUMMYFUNCTION("""COMPUTED_VALUE"""),"Regularized parametric survival modeling to improve risk prediction models.")</f>
        <v>Regularized parametric survival modeling to improve risk prediction models.</v>
      </c>
      <c r="Y745" s="31" t="str">
        <f>IFERROR(__xludf.DUMMYFUNCTION("""COMPUTED_VALUE"""),"Hoogland, J; Debray, T P A; Crowther, M J; Riley, R D; IntHout, J; Reitsma, J B; Zwinderman, A H")</f>
        <v>Hoogland, J; Debray, T P A; Crowther, M J; Riley, R D; IntHout, J; Reitsma, J B; Zwinderman, A H</v>
      </c>
      <c r="Z745" s="31">
        <f>IFERROR(__xludf.DUMMYFUNCTION("""COMPUTED_VALUE"""),2023.0)</f>
        <v>2023</v>
      </c>
      <c r="AA745" s="31">
        <f>IFERROR(__xludf.DUMMYFUNCTION("""COMPUTED_VALUE"""),0.0)</f>
        <v>0</v>
      </c>
      <c r="AF745" s="31" t="str">
        <f>IFERROR(__xludf.DUMMYFUNCTION("""COMPUTED_VALUE"""),"Provider adherence to first antenatal care guidelines and risk of pregnancy complications in public sector facilities: a Ghanaian cohort study.")</f>
        <v>Provider adherence to first antenatal care guidelines and risk of pregnancy complications in public sector facilities: a Ghanaian cohort study.</v>
      </c>
      <c r="AG745" s="31" t="str">
        <f>IFERROR(__xludf.DUMMYFUNCTION("""COMPUTED_VALUE"""),"Amoakoh-Coleman, Mary; Klipstein-Grobusch, Kerstin; Agyepong, Irene Akua; Kayode, Gbenga A; Grobbee, Diederick E; Ansah, Evelyn K")</f>
        <v>Amoakoh-Coleman, Mary; Klipstein-Grobusch, Kerstin; Agyepong, Irene Akua; Kayode, Gbenga A; Grobbee, Diederick E; Ansah, Evelyn K</v>
      </c>
      <c r="AH745" s="32">
        <f>IFERROR(__xludf.DUMMYFUNCTION("""COMPUTED_VALUE"""),42698.0)</f>
        <v>42698</v>
      </c>
      <c r="AL745" s="31" t="str">
        <f>IFERROR(__xludf.DUMMYFUNCTION("""COMPUTED_VALUE"""),"Salivary cortisol, brain volumes, and cognition in community-dwelling elderly without dementia.")</f>
        <v>Salivary cortisol, brain volumes, and cognition in community-dwelling elderly without dementia.</v>
      </c>
      <c r="AM745" s="31" t="str">
        <f>IFERROR(__xludf.DUMMYFUNCTION("""COMPUTED_VALUE"""),"Geerlings, Mirjam I; Sigurdsson, Sigurdur; Eiriksdottir, Gudny; Garcia, Melissa E; Harris, Tamara B; Gudnason, Vilmundur; Launer, Lenore J")</f>
        <v>Geerlings, Mirjam I; Sigurdsson, Sigurdur; Eiriksdottir, Gudny; Garcia, Melissa E; Harris, Tamara B; Gudnason, Vilmundur; Launer, Lenore J</v>
      </c>
      <c r="AN745" s="32">
        <f>IFERROR(__xludf.DUMMYFUNCTION("""COMPUTED_VALUE"""),42235.0)</f>
        <v>42235</v>
      </c>
    </row>
    <row r="746">
      <c r="A746" s="32"/>
      <c r="I746" s="31" t="str">
        <f>IFERROR(__xludf.DUMMYFUNCTION("""COMPUTED_VALUE"""),"clinical breast cancer")</f>
        <v>clinical breast cancer</v>
      </c>
      <c r="J746" s="38">
        <f>COUNTIF(Data!$F$2:$F9917, $I746)</f>
        <v>1</v>
      </c>
      <c r="T746" s="31" t="s">
        <v>1980</v>
      </c>
      <c r="U746" s="31" t="s">
        <v>1981</v>
      </c>
      <c r="V746" s="32">
        <v>45170.0</v>
      </c>
      <c r="X746" s="31" t="str">
        <f>IFERROR(__xludf.DUMMYFUNCTION("""COMPUTED_VALUE"""),"The impact of Bacillus Calmette-Guérin vaccination on antibody response after COVID-19 vaccination.")</f>
        <v>The impact of Bacillus Calmette-Guérin vaccination on antibody response after COVID-19 vaccination.</v>
      </c>
      <c r="Y746" s="31" t="str">
        <f>IFERROR(__xludf.DUMMYFUNCTION("""COMPUTED_VALUE"""),"Taks, Esther J M; Moorlag, Simone J C F M; Föhse, Konstantin; Simonetti, Elles; van der Gaast-de Jongh, Christa E; van Werkhoven, Cornelis H; Bonten, Marc J M; Oever, Jaap Ten; de Jonge, Marien I; van de Wijgert, Janneke H H M; Netea, Mihai G")</f>
        <v>Taks, Esther J M; Moorlag, Simone J C F M; Föhse, Konstantin; Simonetti, Elles; van der Gaast-de Jongh, Christa E; van Werkhoven, Cornelis H; Bonten, Marc J M; Oever, Jaap Ten; de Jonge, Marien I; van de Wijgert, Janneke H H M; Netea, Mihai G</v>
      </c>
      <c r="Z746" s="31">
        <f>IFERROR(__xludf.DUMMYFUNCTION("""COMPUTED_VALUE"""),2023.0)</f>
        <v>2023</v>
      </c>
      <c r="AA746" s="31">
        <f>IFERROR(__xludf.DUMMYFUNCTION("""COMPUTED_VALUE"""),0.0)</f>
        <v>0</v>
      </c>
      <c r="AF746" s="31" t="str">
        <f>IFERROR(__xludf.DUMMYFUNCTION("""COMPUTED_VALUE"""),"Non-occupational physical activity levels of shift workers compared with non-shift workers.")</f>
        <v>Non-occupational physical activity levels of shift workers compared with non-shift workers.</v>
      </c>
      <c r="AG746" s="31" t="str">
        <f>IFERROR(__xludf.DUMMYFUNCTION("""COMPUTED_VALUE"""),"Loef, Bette; Hulsegge, Gerben; Wendel-Vos, G C Wanda; Verschuren, W M Monique; Vermeulen, Roel C H; Bakker, Marije F; van der Beek, Allard J; Proper, Karin I")</f>
        <v>Loef, Bette; Hulsegge, Gerben; Wendel-Vos, G C Wanda; Verschuren, W M Monique; Vermeulen, Roel C H; Bakker, Marije F; van der Beek, Allard J; Proper, Karin I</v>
      </c>
      <c r="AH746" s="32">
        <f>IFERROR(__xludf.DUMMYFUNCTION("""COMPUTED_VALUE"""),42695.0)</f>
        <v>42695</v>
      </c>
      <c r="AL746" s="31" t="str">
        <f>IFERROR(__xludf.DUMMYFUNCTION("""COMPUTED_VALUE"""),"The Effect of Online Hemodiafiltration on Infections: Results from the CONvective TRAnsport STudy.")</f>
        <v>The Effect of Online Hemodiafiltration on Infections: Results from the CONvective TRAnsport STudy.</v>
      </c>
      <c r="AM746" s="31" t="str">
        <f>IFERROR(__xludf.DUMMYFUNCTION("""COMPUTED_VALUE"""),"den Hoedt, Claire H; Grooteman, Muriel P C; Bots, Michiel L; Blankestijn, Peter J; van der Tweel, Ingeborg; van der Weerd, Neelke C; Penne, E Lars; Mazairac, Albert H A; Levesque, Renée; ter Wee, Piet M; Nubé, Menso J; van den Dorpel, Marinus A; ,")</f>
        <v>den Hoedt, Claire H; Grooteman, Muriel P C; Bots, Michiel L; Blankestijn, Peter J; van der Tweel, Ingeborg; van der Weerd, Neelke C; Penne, E Lars; Mazairac, Albert H A; Levesque, Renée; ter Wee, Piet M; Nubé, Menso J; van den Dorpel, Marinus A; ,</v>
      </c>
      <c r="AN746" s="32">
        <f>IFERROR(__xludf.DUMMYFUNCTION("""COMPUTED_VALUE"""),42235.0)</f>
        <v>42235</v>
      </c>
    </row>
    <row r="747">
      <c r="A747" s="32"/>
      <c r="I747" s="31" t="str">
        <f>IFERROR(__xludf.DUMMYFUNCTION("""COMPUTED_VALUE"""),"critical pathways in cardiology")</f>
        <v>critical pathways in cardiology</v>
      </c>
      <c r="J747" s="38">
        <f>COUNTIF(Data!$F$2:$F9917, $I747)</f>
        <v>2</v>
      </c>
      <c r="T747" s="31" t="s">
        <v>1985</v>
      </c>
      <c r="U747" s="31" t="s">
        <v>1986</v>
      </c>
      <c r="V747" s="32">
        <v>45170.0</v>
      </c>
      <c r="X747" s="31"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Y747" s="31"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Z747" s="31">
        <f>IFERROR(__xludf.DUMMYFUNCTION("""COMPUTED_VALUE"""),2023.0)</f>
        <v>2023</v>
      </c>
      <c r="AA747" s="31">
        <f>IFERROR(__xludf.DUMMYFUNCTION("""COMPUTED_VALUE"""),0.0)</f>
        <v>0</v>
      </c>
      <c r="AF747" s="31" t="str">
        <f>IFERROR(__xludf.DUMMYFUNCTION("""COMPUTED_VALUE"""),"Obesity and type 2 diabetes in sub-Saharan Africans - Is the burden in today's Africa similar to African migrants in Europe? The RODAM study.")</f>
        <v>Obesity and type 2 diabetes in sub-Saharan Africans - Is the burden in today's Africa similar to African migrants in Europe? The RODAM study.</v>
      </c>
      <c r="AG747" s="31" t="str">
        <f>IFERROR(__xludf.DUMMYFUNCTION("""COMPUTED_VALUE"""),"Agyemang, Charles; Meeks, Karlijn; Beune, Erik; Owusu-Dabo, Ellis; Mockenhaupt, Frank P; Addo, Juliet; de Graft Aikins, Ama; Bahendeka, Silver; Danquah, Ina; Schulze, Matthias B; Spranger, Joachim; Burr, Tom; Agyei-Baffour, Peter; Amoah, Stephen K; Galbet"&amp;"e, Cecilia; Henneman, Peter; Klipstein-Grobusch, Kerstin; Nicolaou, Mary; Adeyemo, Adebowale; van Straalen, Jan; Smeeth, Liam; Stronks, Karien")</f>
        <v>Agyemang, Charles; Meeks, Karlijn; Beune, Erik; Owusu-Dabo, Ellis; Mockenhaupt, Frank P; Addo, Juliet; de Graft Aikins, Ama; Bahendeka, Silver; Danquah, Ina; Schulze, Matthias B; Spranger, Joachim; Burr, Tom; Agyei-Baffour, Peter; Amoah, Stephen K; Galbete, Cecilia; Henneman, Peter; Klipstein-Grobusch, Kerstin; Nicolaou, Mary; Adeyemo, Adebowale; van Straalen, Jan; Smeeth, Liam; Stronks, Karien</v>
      </c>
      <c r="AH747" s="32">
        <f>IFERROR(__xludf.DUMMYFUNCTION("""COMPUTED_VALUE"""),42664.0)</f>
        <v>42664</v>
      </c>
      <c r="AL747" s="31" t="str">
        <f>IFERROR(__xludf.DUMMYFUNCTION("""COMPUTED_VALUE"""),"Individual patient data meta-analysis of antiplatelet regimens after noncardioembolic stroke or TIA: rationale and design.")</f>
        <v>Individual patient data meta-analysis of antiplatelet regimens after noncardioembolic stroke or TIA: rationale and design.</v>
      </c>
      <c r="AM747" s="31" t="str">
        <f>IFERROR(__xludf.DUMMYFUNCTION("""COMPUTED_VALUE"""),"Greving, Jacoba P; Diener, Hans-Christoph; Csiba, László; Hacke, Werner; Kappelle, L Jaap; Koudstaal, Peter J; Leys, Didier; Mas, Jean-Louis; Sacco, Ralph L; Sivenius, Juhani; Algra, Ale; ,")</f>
        <v>Greving, Jacoba P; Diener, Hans-Christoph; Csiba, László; Hacke, Werner; Kappelle, L Jaap; Koudstaal, Peter J; Leys, Didier; Mas, Jean-Louis; Sacco, Ralph L; Sivenius, Juhani; Algra, Ale; ,</v>
      </c>
      <c r="AN747" s="32">
        <f>IFERROR(__xludf.DUMMYFUNCTION("""COMPUTED_VALUE"""),42234.0)</f>
        <v>42234</v>
      </c>
    </row>
    <row r="748">
      <c r="A748" s="32"/>
      <c r="I748" s="31" t="str">
        <f>IFERROR(__xludf.DUMMYFUNCTION("""COMPUTED_VALUE"""),"journal of scleroderma and related disorders")</f>
        <v>journal of scleroderma and related disorders</v>
      </c>
      <c r="J748" s="38">
        <f>COUNTIF(Data!$F$2:$F9917, $I748)</f>
        <v>1</v>
      </c>
      <c r="T748" s="31" t="s">
        <v>1989</v>
      </c>
      <c r="U748" s="31" t="s">
        <v>1990</v>
      </c>
      <c r="V748" s="32">
        <v>45169.0</v>
      </c>
      <c r="X748" s="31" t="str">
        <f>IFERROR(__xludf.DUMMYFUNCTION("""COMPUTED_VALUE"""),"Biomarker-confirmed suboptimal adherence to isoniazid preventive therapy among children with HIV in western Kenya.")</f>
        <v>Biomarker-confirmed suboptimal adherence to isoniazid preventive therapy among children with HIV in western Kenya.</v>
      </c>
      <c r="Y748" s="31" t="str">
        <f>IFERROR(__xludf.DUMMYFUNCTION("""COMPUTED_VALUE"""),"Onyango, Dickens Otieno; van der Sande, Marianne A B; Yuen, Courtney M; Were, Joyce; Mecha, Jerphason; Njagi, Lilian N; Panpradist, Nuttada; Matemo, Daniel; Leon, Daniel; Lutz, Barry; Kinuthia, John; John-Stewart, Grace; Lacourse, Sylvia M")</f>
        <v>Onyango, Dickens Otieno; van der Sande, Marianne A B; Yuen, Courtney M; Were, Joyce; Mecha, Jerphason; Njagi, Lilian N; Panpradist, Nuttada; Matemo, Daniel; Leon, Daniel; Lutz, Barry; Kinuthia, John; John-Stewart, Grace; Lacourse, Sylvia M</v>
      </c>
      <c r="Z748" s="31">
        <f>IFERROR(__xludf.DUMMYFUNCTION("""COMPUTED_VALUE"""),2023.0)</f>
        <v>2023</v>
      </c>
      <c r="AA748" s="31">
        <f>IFERROR(__xludf.DUMMYFUNCTION("""COMPUTED_VALUE"""),0.0)</f>
        <v>0</v>
      </c>
      <c r="AF748" s="31" t="str">
        <f>IFERROR(__xludf.DUMMYFUNCTION("""COMPUTED_VALUE"""),"Personalized assent for pediatric biobanks.")</f>
        <v>Personalized assent for pediatric biobanks.</v>
      </c>
      <c r="AG748" s="31" t="str">
        <f>IFERROR(__xludf.DUMMYFUNCTION("""COMPUTED_VALUE"""),"Giesbertz, Noor A A; Melham, Karen; Kaye, Jane; van Delden, Johannes J M; Bredenoord, Annelien L")</f>
        <v>Giesbertz, Noor A A; Melham, Karen; Kaye, Jane; van Delden, Johannes J M; Bredenoord, Annelien L</v>
      </c>
      <c r="AH748" s="32">
        <f>IFERROR(__xludf.DUMMYFUNCTION("""COMPUTED_VALUE"""),42655.0)</f>
        <v>42655</v>
      </c>
      <c r="AL748" s="31" t="str">
        <f>IFERROR(__xludf.DUMMYFUNCTION("""COMPUTED_VALUE"""),"Effect of isoniazid preventive therapy on tuberculosis or death in persons with HIV: a retrospective cohort study.")</f>
        <v>Effect of isoniazid preventive therapy on tuberculosis or death in persons with HIV: a retrospective cohort study.</v>
      </c>
      <c r="AM748" s="31" t="str">
        <f>IFERROR(__xludf.DUMMYFUNCTION("""COMPUTED_VALUE"""),"Ayele, Henok Tadesse; van Mourik, Maaike S M; Bonten, Marc J M")</f>
        <v>Ayele, Henok Tadesse; van Mourik, Maaike S M; Bonten, Marc J M</v>
      </c>
      <c r="AN748" s="32">
        <f>IFERROR(__xludf.DUMMYFUNCTION("""COMPUTED_VALUE"""),42229.0)</f>
        <v>42229</v>
      </c>
    </row>
    <row r="749">
      <c r="A749" s="32"/>
      <c r="I749" s="31" t="str">
        <f>IFERROR(__xludf.DUMMYFUNCTION("""COMPUTED_VALUE"""),"scandinavian journal of clinical and laboratory investigation")</f>
        <v>scandinavian journal of clinical and laboratory investigation</v>
      </c>
      <c r="J749" s="38">
        <f>COUNTIF(Data!$F$2:$F9917, $I749)</f>
        <v>3</v>
      </c>
      <c r="T749" s="31" t="s">
        <v>1993</v>
      </c>
      <c r="U749" s="31" t="s">
        <v>1994</v>
      </c>
      <c r="V749" s="32">
        <v>45169.0</v>
      </c>
      <c r="X749" s="31" t="str">
        <f>IFERROR(__xludf.DUMMYFUNCTION("""COMPUTED_VALUE"""),"Neuropsychiatric sequelae following extracorporeal membrane oxygenation in the intensive care unit.")</f>
        <v>Neuropsychiatric sequelae following extracorporeal membrane oxygenation in the intensive care unit.</v>
      </c>
      <c r="Y749" s="31" t="str">
        <f>IFERROR(__xludf.DUMMYFUNCTION("""COMPUTED_VALUE"""),"Pladet, Lara C A; Luijken, Kim; Donker, Dirk W; Cremer, Olaf L; Meuwese, Christiaan L")</f>
        <v>Pladet, Lara C A; Luijken, Kim; Donker, Dirk W; Cremer, Olaf L; Meuwese, Christiaan L</v>
      </c>
      <c r="Z749" s="31">
        <f>IFERROR(__xludf.DUMMYFUNCTION("""COMPUTED_VALUE"""),2023.0)</f>
        <v>2023</v>
      </c>
      <c r="AA749" s="31">
        <f>IFERROR(__xludf.DUMMYFUNCTION("""COMPUTED_VALUE"""),0.0)</f>
        <v>0</v>
      </c>
      <c r="AF749" s="31" t="str">
        <f>IFERROR(__xludf.DUMMYFUNCTION("""COMPUTED_VALUE"""),"Osteoporosis management in patients with breast cancer: EMAS position statement.")</f>
        <v>Osteoporosis management in patients with breast cancer: EMAS position statement.</v>
      </c>
      <c r="AG749" s="31" t="str">
        <f>IFERROR(__xludf.DUMMYFUNCTION("""COMPUTED_VALUE"""),"Trémollieres, Florence A; Ceausu, Iuliana; Depypere, Herman; Lambrinoudaki, Irene; Mueck, Alfred; Pérez-López, Faustino R; van der Schouw, Yvonne T; Senturk, Levent M; Simoncini, Tommaso; Stevenson, John C; Stute, Petra; Rees, Margaret")</f>
        <v>Trémollieres, Florence A; Ceausu, Iuliana; Depypere, Herman; Lambrinoudaki, Irene; Mueck, Alfred; Pérez-López, Faustino R; van der Schouw, Yvonne T; Senturk, Levent M; Simoncini, Tommaso; Stevenson, John C; Stute, Petra; Rees, Margaret</v>
      </c>
      <c r="AH749" s="32">
        <f>IFERROR(__xludf.DUMMYFUNCTION("""COMPUTED_VALUE"""),42649.0)</f>
        <v>42649</v>
      </c>
      <c r="AL749" s="31" t="str">
        <f>IFERROR(__xludf.DUMMYFUNCTION("""COMPUTED_VALUE"""),"Hypercoagulability Is a Stronger Risk Factor for Ischaemic Stroke than for Myocardial Infarction: A Systematic Review.")</f>
        <v>Hypercoagulability Is a Stronger Risk Factor for Ischaemic Stroke than for Myocardial Infarction: A Systematic Review.</v>
      </c>
      <c r="AM749" s="31" t="str">
        <f>IFERROR(__xludf.DUMMYFUNCTION("""COMPUTED_VALUE"""),"Maino, Alberto; Rosendaal, Frits R; Algra, Ale; Peyvandi, Flora; Siegerink, Bob")</f>
        <v>Maino, Alberto; Rosendaal, Frits R; Algra, Ale; Peyvandi, Flora; Siegerink, Bob</v>
      </c>
      <c r="AN749" s="32">
        <f>IFERROR(__xludf.DUMMYFUNCTION("""COMPUTED_VALUE"""),42223.0)</f>
        <v>42223</v>
      </c>
    </row>
    <row r="750">
      <c r="A750" s="32"/>
      <c r="I750" s="31" t="str">
        <f>IFERROR(__xludf.DUMMYFUNCTION("""COMPUTED_VALUE"""),"journal of nursing scholarship an official publication of sigma theta tau international honor society of nursing")</f>
        <v>journal of nursing scholarship an official publication of sigma theta tau international honor society of nursing</v>
      </c>
      <c r="J750" s="38">
        <f>COUNTIF(Data!$F$2:$F9917, $I750)</f>
        <v>3</v>
      </c>
      <c r="T750" s="31" t="s">
        <v>1998</v>
      </c>
      <c r="U750" s="31" t="s">
        <v>1999</v>
      </c>
      <c r="V750" s="32">
        <v>45167.0</v>
      </c>
      <c r="X750" s="31" t="str">
        <f>IFERROR(__xludf.DUMMYFUNCTION("""COMPUTED_VALUE"""),"Bear in mind: the role of personal background in semantic animal fluency - The SMART-MR study.")</f>
        <v>Bear in mind: the role of personal background in semantic animal fluency - The SMART-MR study.</v>
      </c>
      <c r="Y750" s="31" t="str">
        <f>IFERROR(__xludf.DUMMYFUNCTION("""COMPUTED_VALUE"""),"Smit, Annelot P; Beran, Magdalena; Twait, Emma L; Geerlings, Mirjam I; Vonk, Jet M J")</f>
        <v>Smit, Annelot P; Beran, Magdalena; Twait, Emma L; Geerlings, Mirjam I; Vonk, Jet M J</v>
      </c>
      <c r="Z750" s="31">
        <f>IFERROR(__xludf.DUMMYFUNCTION("""COMPUTED_VALUE"""),2023.0)</f>
        <v>2023</v>
      </c>
      <c r="AA750" s="31">
        <f>IFERROR(__xludf.DUMMYFUNCTION("""COMPUTED_VALUE"""),0.0)</f>
        <v>0</v>
      </c>
      <c r="AF750" s="31" t="str">
        <f>IFERROR(__xludf.DUMMYFUNCTION("""COMPUTED_VALUE"""),"Innovative ways of studying the effect of migration on obesity and diabetes beyond the common designs: lessons from the RODAM study.")</f>
        <v>Innovative ways of studying the effect of migration on obesity and diabetes beyond the common designs: lessons from the RODAM study.</v>
      </c>
      <c r="AG750" s="31" t="str">
        <f>IFERROR(__xludf.DUMMYFUNCTION("""COMPUTED_VALUE"""),"Agyemang, Charles; Beune, Erik; Meeks, Karlijn; Addo, Juliet; Aikins, Ama de-Graft; Bahendeka, Silver; Danquah, Ina; Mockenhaupt, Frank P; Schulze, Matthias B; Klipstein-Grobusch, Kerstin; Smeeth, Liam; Stronks, Karien")</f>
        <v>Agyemang, Charles; Beune, Erik; Meeks, Karlijn; Addo, Juliet; Aikins, Ama de-Graft; Bahendeka, Silver; Danquah, Ina; Mockenhaupt, Frank P; Schulze, Matthias B; Klipstein-Grobusch, Kerstin; Smeeth, Liam; Stronks, Karien</v>
      </c>
      <c r="AH750" s="32">
        <f>IFERROR(__xludf.DUMMYFUNCTION("""COMPUTED_VALUE"""),42648.0)</f>
        <v>42648</v>
      </c>
      <c r="AL750" s="31" t="str">
        <f>IFERROR(__xludf.DUMMYFUNCTION("""COMPUTED_VALUE"""),"D-dimer for the exclusion of cerebral venous thrombosis: a meta-analysis of low risk patients with isolated headache.")</f>
        <v>D-dimer for the exclusion of cerebral venous thrombosis: a meta-analysis of low risk patients with isolated headache.</v>
      </c>
      <c r="AM750" s="31" t="str">
        <f>IFERROR(__xludf.DUMMYFUNCTION("""COMPUTED_VALUE"""),"Alons, Imanda M E; Jellema, Korné; Wermer, Marieke J H; Algra, Ale")</f>
        <v>Alons, Imanda M E; Jellema, Korné; Wermer, Marieke J H; Algra, Ale</v>
      </c>
      <c r="AN750" s="32">
        <f>IFERROR(__xludf.DUMMYFUNCTION("""COMPUTED_VALUE"""),42213.0)</f>
        <v>42213</v>
      </c>
    </row>
    <row r="751">
      <c r="A751" s="32"/>
      <c r="I751" s="31" t="str">
        <f>IFERROR(__xludf.DUMMYFUNCTION("""COMPUTED_VALUE"""),"journal of human nutrition and dietetics the official journal of the british dietetic association")</f>
        <v>journal of human nutrition and dietetics the official journal of the british dietetic association</v>
      </c>
      <c r="J751" s="38">
        <f>COUNTIF(Data!$F$2:$F9917, $I751)</f>
        <v>1</v>
      </c>
      <c r="T751" s="31" t="s">
        <v>2001</v>
      </c>
      <c r="U751" s="31" t="s">
        <v>2002</v>
      </c>
      <c r="V751" s="32">
        <v>45166.0</v>
      </c>
      <c r="X751" s="31" t="str">
        <f>IFERROR(__xludf.DUMMYFUNCTION("""COMPUTED_VALUE"""),"Tuberculosis and immigration: the challenges in the Latin American and Colombian context.")</f>
        <v>Tuberculosis and immigration: the challenges in the Latin American and Colombian context.</v>
      </c>
      <c r="Y751" s="31" t="str">
        <f>IFERROR(__xludf.DUMMYFUNCTION("""COMPUTED_VALUE"""),"López, Darío Sebastián; Valderrama Vergara, José Fernando; Fernández-Niño, Julián Alfredo; Trujillo-Cáceres, Silvia Juliana")</f>
        <v>López, Darío Sebastián; Valderrama Vergara, José Fernando; Fernández-Niño, Julián Alfredo; Trujillo-Cáceres, Silvia Juliana</v>
      </c>
      <c r="Z751" s="31">
        <f>IFERROR(__xludf.DUMMYFUNCTION("""COMPUTED_VALUE"""),2023.0)</f>
        <v>2023</v>
      </c>
      <c r="AA751" s="31">
        <f>IFERROR(__xludf.DUMMYFUNCTION("""COMPUTED_VALUE"""),0.0)</f>
        <v>0</v>
      </c>
      <c r="AF751" s="31" t="str">
        <f>IFERROR(__xludf.DUMMYFUNCTION("""COMPUTED_VALUE"""),"Public health facility resource availability and provider adherence to first antenatal guidelines in a low resource setting in Accra, Ghana.")</f>
        <v>Public health facility resource availability and provider adherence to first antenatal guidelines in a low resource setting in Accra, Ghana.</v>
      </c>
      <c r="AG751" s="31" t="str">
        <f>IFERROR(__xludf.DUMMYFUNCTION("""COMPUTED_VALUE"""),"Amoakoh-Coleman, Mary; Agyepong, Irene Akua; Kayode, Gbenga A; Grobbee, Diederick E; Klipstein-Grobusch, Kerstin; Ansah, Evelyn K")</f>
        <v>Amoakoh-Coleman, Mary; Agyepong, Irene Akua; Kayode, Gbenga A; Grobbee, Diederick E; Klipstein-Grobusch, Kerstin; Ansah, Evelyn K</v>
      </c>
      <c r="AH751" s="32">
        <f>IFERROR(__xludf.DUMMYFUNCTION("""COMPUTED_VALUE"""),42634.0)</f>
        <v>42634</v>
      </c>
      <c r="AL751" s="31" t="str">
        <f>IFERROR(__xludf.DUMMYFUNCTION("""COMPUTED_VALUE"""),"Alcohol intake and breast cancer in the European prospective investigation into cancer and nutrition.")</f>
        <v>Alcohol intake and breast cancer in the European prospective investigation into cancer and nutrition.</v>
      </c>
      <c r="AM751" s="31" t="str">
        <f>IFERROR(__xludf.DUMMYFUNCTION("""COMPUTED_VALUE"""),"Romieu, Isabelle; Scoccianti, Chiara; Chajès, Véronique; de Batlle, Jordi; Biessy, Carine; Dossus, Laure; Baglietto, Laura; Clavel-Chapelon, Françoise; Overvad, Kim; Olsen, Anja; Tjønneland, Anne; Kaaks, Rudolf; Lukanova, Annekatrin; Boeing, Heiner; Trich"&amp;"opoulou, Antonia; Lagiou, Pagona; Trichopoulos, Dimitrios; Palli, Domenico; Sieri, Sabina; Tumino, Rosario; Vineis, Paolo; Panico, Salvatore; Bueno-de-Mesquita, H B As; van Gils, Carla H; Peeters, Petra H; Lund, Eiliv; Skeie, Guri; Weiderpass, Elisabete; "&amp;"Quirós García, José Ramón; Chirlaque, María-Dolores; Ardanaz, Eva; Sánchez, María-José; Duell, Eric J; Amiano, Pilar; Borgquist, Signe; Wirfält, Elisabet; Hallmans, Göran; Johansson, Ingegerd; Nilsson, Lena Maria; Khaw, Kay-Tee; Wareham, Nick; Key, Timoth"&amp;"y J; Travis, Ruth C; Murphy, Neil; Wark, Petra A; Ferrari, Pietro; Riboli, Elio")</f>
        <v>Romieu, Isabelle; Scoccianti, Chiara; Chajès, Véronique; de Batlle, Jordi; Biessy, Carine; Dossus, Laure; Baglietto, Laura; Clavel-Chapelon, Françoise; Overvad, Kim; Olsen, Anja; Tjønneland, Anne; Kaaks, Rudolf; Lukanova, Annekatrin; Boeing, Heiner; Trichopoulou, Antonia; Lagiou, Pagona; Trichopoulos, Dimitrios; Palli, Domenico; Sieri, Sabina; Tumino, Rosario; Vineis, Paolo; Panico, Salvatore; Bueno-de-Mesquita, H B As; van Gils, Carla H; Peeters, Petra H; Lund, Eiliv; Skeie, Guri; Weiderpass, Elisabete; Quirós García, José Ramón; Chirlaque, María-Dolores; Ardanaz, Eva; Sánchez, María-José; Duell, Eric J; Amiano, Pilar; Borgquist, Signe; Wirfält, Elisabet; Hallmans, Göran; Johansson, Ingegerd; Nilsson, Lena Maria; Khaw, Kay-Tee; Wareham, Nick; Key, Timothy J; Travis, Ruth C; Murphy, Neil; Wark, Petra A; Ferrari, Pietro; Riboli, Elio</v>
      </c>
      <c r="AN751" s="32">
        <f>IFERROR(__xludf.DUMMYFUNCTION("""COMPUTED_VALUE"""),42199.0)</f>
        <v>42199</v>
      </c>
    </row>
    <row r="752">
      <c r="A752" s="32"/>
      <c r="I752" s="31" t="str">
        <f>IFERROR(__xludf.DUMMYFUNCTION("""COMPUTED_VALUE"""),"journal of laparoendoscopic advanced surgical techniques part a")</f>
        <v>journal of laparoendoscopic advanced surgical techniques part a</v>
      </c>
      <c r="J752" s="38">
        <f>COUNTIF(Data!$F$2:$F9917, $I752)</f>
        <v>1</v>
      </c>
      <c r="T752" s="31" t="s">
        <v>2005</v>
      </c>
      <c r="U752" s="31" t="s">
        <v>2006</v>
      </c>
      <c r="V752" s="32">
        <v>45165.0</v>
      </c>
      <c r="X752" s="31" t="str">
        <f>IFERROR(__xludf.DUMMYFUNCTION("""COMPUTED_VALUE"""),"Comparing supervised and semi-supervised machine learning approaches in NTCP modeling to predict complications in head and neck cancer patients.")</f>
        <v>Comparing supervised and semi-supervised machine learning approaches in NTCP modeling to predict complications in head and neck cancer patients.</v>
      </c>
      <c r="Y752" s="31" t="str">
        <f>IFERROR(__xludf.DUMMYFUNCTION("""COMPUTED_VALUE"""),"Spiero, I; Schuit, E; Wijers, O B; Hoebers, F J P; Langendijk, J A; Leeuwenberg, A M")</f>
        <v>Spiero, I; Schuit, E; Wijers, O B; Hoebers, F J P; Langendijk, J A; Leeuwenberg, A M</v>
      </c>
      <c r="Z752" s="31">
        <f>IFERROR(__xludf.DUMMYFUNCTION("""COMPUTED_VALUE"""),2023.0)</f>
        <v>2023</v>
      </c>
      <c r="AA752" s="31">
        <f>IFERROR(__xludf.DUMMYFUNCTION("""COMPUTED_VALUE"""),0.0)</f>
        <v>0</v>
      </c>
      <c r="AF752" s="31" t="str">
        <f>IFERROR(__xludf.DUMMYFUNCTION("""COMPUTED_VALUE"""),"Stakeholders' views on the ethical challenges of pragmatic trials investigating pharmaceutical drugs.")</f>
        <v>Stakeholders' views on the ethical challenges of pragmatic trials investigating pharmaceutical drugs.</v>
      </c>
      <c r="AG752" s="31" t="str">
        <f>IFERROR(__xludf.DUMMYFUNCTION("""COMPUTED_VALUE"""),"Kalkman, Shona; van Thiel, Ghislaine J M W; Grobbee, Diederick E; Meinecke, Anna-Katharina; Zuidgeest, Mira G P; van Delden, Johannes J M; ,")</f>
        <v>Kalkman, Shona; van Thiel, Ghislaine J M W; Grobbee, Diederick E; Meinecke, Anna-Katharina; Zuidgeest, Mira G P; van Delden, Johannes J M; ,</v>
      </c>
      <c r="AH752" s="32">
        <f>IFERROR(__xludf.DUMMYFUNCTION("""COMPUTED_VALUE"""),42604.0)</f>
        <v>42604</v>
      </c>
      <c r="AL752" s="31" t="str">
        <f>IFERROR(__xludf.DUMMYFUNCTION("""COMPUTED_VALUE"""),"Dangers and opportunities of guidelines in the data-free zone.")</f>
        <v>Dangers and opportunities of guidelines in the data-free zone.</v>
      </c>
      <c r="AM752" s="31" t="str">
        <f>IFERROR(__xludf.DUMMYFUNCTION("""COMPUTED_VALUE"""),"Bonten, Marc J M")</f>
        <v>Bonten, Marc J M</v>
      </c>
      <c r="AN752" s="32">
        <f>IFERROR(__xludf.DUMMYFUNCTION("""COMPUTED_VALUE"""),42199.0)</f>
        <v>42199</v>
      </c>
    </row>
    <row r="753">
      <c r="A753" s="32"/>
      <c r="I753" s="31" t="str">
        <f>IFERROR(__xludf.DUMMYFUNCTION("""COMPUTED_VALUE"""),"medical science educator")</f>
        <v>medical science educator</v>
      </c>
      <c r="J753" s="38">
        <f>COUNTIF(Data!$F$2:$F9917, $I753)</f>
        <v>1</v>
      </c>
      <c r="T753" s="31" t="s">
        <v>2010</v>
      </c>
      <c r="U753" s="31" t="s">
        <v>2011</v>
      </c>
      <c r="V753" s="32">
        <v>45163.0</v>
      </c>
      <c r="X753" s="31" t="str">
        <f>IFERROR(__xludf.DUMMYFUNCTION("""COMPUTED_VALUE"""),"[Treatment of traumatic rib fractures].")</f>
        <v>[Treatment of traumatic rib fractures].</v>
      </c>
      <c r="Y753" s="31" t="str">
        <f>IFERROR(__xludf.DUMMYFUNCTION("""COMPUTED_VALUE"""),"Hoepelman, Ruben J; Kik, Charlotte C; Beeres, Frank J P; Zwart, Dorien L M; Groenwold, Rolf H H; Houwert, Roderick M")</f>
        <v>Hoepelman, Ruben J; Kik, Charlotte C; Beeres, Frank J P; Zwart, Dorien L M; Groenwold, Rolf H H; Houwert, Roderick M</v>
      </c>
      <c r="Z753" s="31">
        <f>IFERROR(__xludf.DUMMYFUNCTION("""COMPUTED_VALUE"""),2023.0)</f>
        <v>2023</v>
      </c>
      <c r="AA753" s="31">
        <f>IFERROR(__xludf.DUMMYFUNCTION("""COMPUTED_VALUE"""),0.0)</f>
        <v>0</v>
      </c>
      <c r="AF753" s="31" t="str">
        <f>IFERROR(__xludf.DUMMYFUNCTION("""COMPUTED_VALUE"""),"Effectiveness of mHealth Interventions Targeting Health Care Workers to Improve Pregnancy Outcomes in Low- and Middle-Income Countries: A Systematic Review.")</f>
        <v>Effectiveness of mHealth Interventions Targeting Health Care Workers to Improve Pregnancy Outcomes in Low- and Middle-Income Countries: A Systematic Review.</v>
      </c>
      <c r="AG753" s="31" t="str">
        <f>IFERROR(__xludf.DUMMYFUNCTION("""COMPUTED_VALUE"""),"Amoakoh-Coleman, Mary; Borgstein, Alexander Berend-Jan; Sondaal, Stephanie Fv; Grobbee, Diederick E; Miltenburg, Andrea Solnes; Verwijs, Mirjam; Ansah, Evelyn K; Browne, Joyce L; Klipstein-Grobusch, Kerstin")</f>
        <v>Amoakoh-Coleman, Mary; Borgstein, Alexander Berend-Jan; Sondaal, Stephanie Fv; Grobbee, Diederick E; Miltenburg, Andrea Solnes; Verwijs, Mirjam; Ansah, Evelyn K; Browne, Joyce L; Klipstein-Grobusch, Kerstin</v>
      </c>
      <c r="AH753" s="32">
        <f>IFERROR(__xludf.DUMMYFUNCTION("""COMPUTED_VALUE"""),42601.0)</f>
        <v>42601</v>
      </c>
      <c r="AL753" s="31" t="str">
        <f>IFERROR(__xludf.DUMMYFUNCTION("""COMPUTED_VALUE"""),"Identifying Coronary Artery Disease in Asymptomatic Middle-Aged Sportsmen: The Additional Value of Pulse Wave Velocity.")</f>
        <v>Identifying Coronary Artery Disease in Asymptomatic Middle-Aged Sportsmen: The Additional Value of Pulse Wave Velocity.</v>
      </c>
      <c r="AM753" s="31" t="str">
        <f>IFERROR(__xludf.DUMMYFUNCTION("""COMPUTED_VALUE"""),"Braber, Thijs L; Prakken, Niek H J; Mosterd, Arend; Mali, Willem P Th M; Doevendans, Pieter A F M; Bots, Michiel L; Velthuis, Birgitta K")</f>
        <v>Braber, Thijs L; Prakken, Niek H J; Mosterd, Arend; Mali, Willem P Th M; Doevendans, Pieter A F M; Bots, Michiel L; Velthuis, Birgitta K</v>
      </c>
      <c r="AN753" s="32">
        <f>IFERROR(__xludf.DUMMYFUNCTION("""COMPUTED_VALUE"""),42191.0)</f>
        <v>42191</v>
      </c>
    </row>
    <row r="754">
      <c r="A754" s="32"/>
      <c r="I754" s="31" t="str">
        <f>IFERROR(__xludf.DUMMYFUNCTION("""COMPUTED_VALUE"""),"alzheimers dementia new york n y")</f>
        <v>alzheimers dementia new york n y</v>
      </c>
      <c r="J754" s="38">
        <f>COUNTIF(Data!$F$2:$F9917, $I754)</f>
        <v>1</v>
      </c>
      <c r="T754" s="31" t="s">
        <v>2015</v>
      </c>
      <c r="U754" s="31" t="s">
        <v>2016</v>
      </c>
      <c r="V754" s="32">
        <v>45163.0</v>
      </c>
      <c r="X754" s="31" t="str">
        <f>IFERROR(__xludf.DUMMYFUNCTION("""COMPUTED_VALUE"""),"Sex hormones and the risk of myocardial infarction in women and men: a prospective cohort study in the UK Biobank.")</f>
        <v>Sex hormones and the risk of myocardial infarction in women and men: a prospective cohort study in the UK Biobank.</v>
      </c>
      <c r="Y754" s="31" t="str">
        <f>IFERROR(__xludf.DUMMYFUNCTION("""COMPUTED_VALUE"""),"Harris, Katie; Peters, Sanne A E; Woodward, Mark")</f>
        <v>Harris, Katie; Peters, Sanne A E; Woodward, Mark</v>
      </c>
      <c r="Z754" s="31">
        <f>IFERROR(__xludf.DUMMYFUNCTION("""COMPUTED_VALUE"""),2023.0)</f>
        <v>2023</v>
      </c>
      <c r="AA754" s="31">
        <f>IFERROR(__xludf.DUMMYFUNCTION("""COMPUTED_VALUE"""),0.0)</f>
        <v>0</v>
      </c>
      <c r="AF754" s="31" t="str">
        <f>IFERROR(__xludf.DUMMYFUNCTION("""COMPUTED_VALUE"""),"Pregnancy Associated Plasma Protein-A and Placental Growth Factor in a Sub-Saharan African Population: A Nested Cross-Sectional Study.")</f>
        <v>Pregnancy Associated Plasma Protein-A and Placental Growth Factor in a Sub-Saharan African Population: A Nested Cross-Sectional Study.</v>
      </c>
      <c r="AG754" s="31" t="str">
        <f>IFERROR(__xludf.DUMMYFUNCTION("""COMPUTED_VALUE"""),"Browne, Joyce L; Klipstein-Grobusch, Kerstin; Koster, Maria P H; Ramamoorthy, Dhivya; Antwi, Edward; Belmouden, Idder; Franx, Arie; Grobbee, Diederick E; Schielen, Peter C J I")</f>
        <v>Browne, Joyce L; Klipstein-Grobusch, Kerstin; Koster, Maria P H; Ramamoorthy, Dhivya; Antwi, Edward; Belmouden, Idder; Franx, Arie; Grobbee, Diederick E; Schielen, Peter C J I</v>
      </c>
      <c r="AH754" s="32">
        <f>IFERROR(__xludf.DUMMYFUNCTION("""COMPUTED_VALUE"""),42599.0)</f>
        <v>42599</v>
      </c>
      <c r="AL754" s="31" t="str">
        <f>IFERROR(__xludf.DUMMYFUNCTION("""COMPUTED_VALUE"""),"Prodromal Transient Ischemic Attack or Minor Stroke and Outcome in Basilar Artery Occlusion.")</f>
        <v>Prodromal Transient Ischemic Attack or Minor Stroke and Outcome in Basilar Artery Occlusion.</v>
      </c>
      <c r="AM754" s="31" t="str">
        <f>IFERROR(__xludf.DUMMYFUNCTION("""COMPUTED_VALUE"""),"Conforto, Adriana B; de Freitas, Gabriel R; Schonewille, Wouter J; Kappelle, L Jaap; Algra, Ale; ,")</f>
        <v>Conforto, Adriana B; de Freitas, Gabriel R; Schonewille, Wouter J; Kappelle, L Jaap; Algra, Ale; ,</v>
      </c>
      <c r="AN754" s="32">
        <f>IFERROR(__xludf.DUMMYFUNCTION("""COMPUTED_VALUE"""),42189.0)</f>
        <v>42189</v>
      </c>
    </row>
    <row r="755">
      <c r="A755" s="32"/>
      <c r="I755" s="31" t="str">
        <f>IFERROR(__xludf.DUMMYFUNCTION("""COMPUTED_VALUE"""),"international journal of nanomedicine")</f>
        <v>international journal of nanomedicine</v>
      </c>
      <c r="J755" s="38">
        <f>COUNTIF(Data!$F$2:$F9917, $I755)</f>
        <v>1</v>
      </c>
      <c r="T755" s="31" t="s">
        <v>2020</v>
      </c>
      <c r="U755" s="31" t="s">
        <v>2021</v>
      </c>
      <c r="V755" s="32">
        <v>45162.0</v>
      </c>
      <c r="X755" s="31" t="str">
        <f>IFERROR(__xludf.DUMMYFUNCTION("""COMPUTED_VALUE"""),"Risk Modeling for Individualization of the FLAME Focal Boost Approach in External Beam Radiation Therapy for Patients With Localized Prostate Cancer.")</f>
        <v>Risk Modeling for Individualization of the FLAME Focal Boost Approach in External Beam Radiation Therapy for Patients With Localized Prostate Cancer.</v>
      </c>
      <c r="Y755" s="31" t="str">
        <f>IFERROR(__xludf.DUMMYFUNCTION("""COMPUTED_VALUE"""),"Menne Guricová, Karolína; Groen, Veerle; Pos, Floris; Monninkhof, Evelyn; Elias, Sjoerd G; Haustermans, Karin; Smeenk, Robert J; van der Voort van Zyp, Jochem; Draulans, Cédric; Isebaert, Sofie; van Houdt, Petra J; Kerkmeijer, Linda G W; van der Heide, Uu"&amp;"lke A")</f>
        <v>Menne Guricová, Karolína; Groen, Veerle; Pos, Floris; Monninkhof, Evelyn; Elias, Sjoerd G; Haustermans, Karin; Smeenk, Robert J; van der Voort van Zyp, Jochem; Draulans, Cédric; Isebaert, Sofie; van Houdt, Petra J; Kerkmeijer, Linda G W; van der Heide, Uulke A</v>
      </c>
      <c r="Z755" s="31">
        <f>IFERROR(__xludf.DUMMYFUNCTION("""COMPUTED_VALUE"""),2023.0)</f>
        <v>2023</v>
      </c>
      <c r="AA755" s="31">
        <f>IFERROR(__xludf.DUMMYFUNCTION("""COMPUTED_VALUE"""),0.0)</f>
        <v>0</v>
      </c>
      <c r="AF755" s="31" t="str">
        <f>IFERROR(__xludf.DUMMYFUNCTION("""COMPUTED_VALUE"""),"Herpes simplex virus type 1 and type 2 in the Netherlands: seroprevalence, risk factors and changes during a 12-year period.")</f>
        <v>Herpes simplex virus type 1 and type 2 in the Netherlands: seroprevalence, risk factors and changes during a 12-year period.</v>
      </c>
      <c r="AG755" s="31" t="str">
        <f>IFERROR(__xludf.DUMMYFUNCTION("""COMPUTED_VALUE"""),"Woestenberg, Petra J; Tjhie, Jeroen H T; de Melker, Hester E; van der Klis, Fiona R M; van Bergen, Jan E A M; van der Sande, Marianne A B; van Benthem, Birgit H B")</f>
        <v>Woestenberg, Petra J; Tjhie, Jeroen H T; de Melker, Hester E; van der Klis, Fiona R M; van Bergen, Jan E A M; van der Sande, Marianne A B; van Benthem, Birgit H B</v>
      </c>
      <c r="AH755" s="32">
        <f>IFERROR(__xludf.DUMMYFUNCTION("""COMPUTED_VALUE"""),42584.0)</f>
        <v>42584</v>
      </c>
      <c r="AL755" s="31" t="str">
        <f>IFERROR(__xludf.DUMMYFUNCTION("""COMPUTED_VALUE"""),"Relationship between recurrent miscarriage and early preterm delivery and recurrent events in patients with manifest vascular disease: The SMART study.")</f>
        <v>Relationship between recurrent miscarriage and early preterm delivery and recurrent events in patients with manifest vascular disease: The SMART study.</v>
      </c>
      <c r="AM755" s="31" t="str">
        <f>IFERROR(__xludf.DUMMYFUNCTION("""COMPUTED_VALUE"""),"Heida, Karst Y; Koster, Maria Ph; Franx, Arie; Veerbeek, Jan Hw; Westerink, Jan; Bots, Michiel L; Spiering, Wilko; ,")</f>
        <v>Heida, Karst Y; Koster, Maria Ph; Franx, Arie; Veerbeek, Jan Hw; Westerink, Jan; Bots, Michiel L; Spiering, Wilko; ,</v>
      </c>
      <c r="AN755" s="32">
        <f>IFERROR(__xludf.DUMMYFUNCTION("""COMPUTED_VALUE"""),42185.0)</f>
        <v>42185</v>
      </c>
    </row>
    <row r="756">
      <c r="A756" s="32"/>
      <c r="I756" s="31" t="str">
        <f>IFERROR(__xludf.DUMMYFUNCTION("""COMPUTED_VALUE"""),"european journal of cardiovascular nursing")</f>
        <v>european journal of cardiovascular nursing</v>
      </c>
      <c r="J756" s="38">
        <f>COUNTIF(Data!$F$2:$F9917, $I756)</f>
        <v>4</v>
      </c>
      <c r="T756" s="31" t="s">
        <v>2025</v>
      </c>
      <c r="U756" s="31" t="s">
        <v>2026</v>
      </c>
      <c r="V756" s="32">
        <v>45161.0</v>
      </c>
      <c r="X756" s="31" t="str">
        <f>IFERROR(__xludf.DUMMYFUNCTION("""COMPUTED_VALUE"""),"Separable mixing: The general formulation and a particular example focusing on mask efficiency.")</f>
        <v>Separable mixing: The general formulation and a particular example focusing on mask efficiency.</v>
      </c>
      <c r="Y756" s="31" t="str">
        <f>IFERROR(__xludf.DUMMYFUNCTION("""COMPUTED_VALUE"""),"Bootsma, M C J; Chan, K M D; Diekmann, O; Inaba, H")</f>
        <v>Bootsma, M C J; Chan, K M D; Diekmann, O; Inaba, H</v>
      </c>
      <c r="Z756" s="31">
        <f>IFERROR(__xludf.DUMMYFUNCTION("""COMPUTED_VALUE"""),2023.0)</f>
        <v>2023</v>
      </c>
      <c r="AA756" s="31">
        <f>IFERROR(__xludf.DUMMYFUNCTION("""COMPUTED_VALUE"""),0.0)</f>
        <v>0</v>
      </c>
      <c r="AF756" s="31" t="str">
        <f>IFERROR(__xludf.DUMMYFUNCTION("""COMPUTED_VALUE"""),"The relationship between the dietary inflammatory index and risk of total cardiovascular disease, ischemic heart disease and cerebrovascular disease: Findings from an Australian population-based prospective cohort study of women.")</f>
        <v>The relationship between the dietary inflammatory index and risk of total cardiovascular disease, ischemic heart disease and cerebrovascular disease: Findings from an Australian population-based prospective cohort study of women.</v>
      </c>
      <c r="AG756" s="31" t="str">
        <f>IFERROR(__xludf.DUMMYFUNCTION("""COMPUTED_VALUE"""),"Vissers, Linda E T; Waller, Michael A; van der Schouw, Yvonne T; Hebert, James R; Shivappa, Nitin; Schoenaker, Danielle A J M; Mishra, Gita D")</f>
        <v>Vissers, Linda E T; Waller, Michael A; van der Schouw, Yvonne T; Hebert, James R; Shivappa, Nitin; Schoenaker, Danielle A J M; Mishra, Gita D</v>
      </c>
      <c r="AH756" s="32">
        <f>IFERROR(__xludf.DUMMYFUNCTION("""COMPUTED_VALUE"""),42581.0)</f>
        <v>42581</v>
      </c>
      <c r="AL756" s="31" t="str">
        <f>IFERROR(__xludf.DUMMYFUNCTION("""COMPUTED_VALUE"""),"Carotid arterial stiffness and risk of incident cerebral microbleeds in older people: the Age, Gene/Environment Susceptibility (AGES)-Reykjavik study.")</f>
        <v>Carotid arterial stiffness and risk of incident cerebral microbleeds in older people: the Age, Gene/Environment Susceptibility (AGES)-Reykjavik study.</v>
      </c>
      <c r="AM756" s="31" t="str">
        <f>IFERROR(__xludf.DUMMYFUNCTION("""COMPUTED_VALUE"""),"Ding, Jie; Mitchell, Gary F; Bots, Michiel L; Sigurdsson, Sigurdur; Harris, Tamara B; Garcia, Melissa; Eiriksdottir, Gudny; van Buchem, Mark A; Gudnason, Vilmundur; Launer, Lenore J")</f>
        <v>Ding, Jie; Mitchell, Gary F; Bots, Michiel L; Sigurdsson, Sigurdur; Harris, Tamara B; Garcia, Melissa; Eiriksdottir, Gudny; van Buchem, Mark A; Gudnason, Vilmundur; Launer, Lenore J</v>
      </c>
      <c r="AN756" s="32">
        <f>IFERROR(__xludf.DUMMYFUNCTION("""COMPUTED_VALUE"""),42180.0)</f>
        <v>42180</v>
      </c>
    </row>
    <row r="757">
      <c r="A757" s="32"/>
      <c r="I757" s="31" t="str">
        <f>IFERROR(__xludf.DUMMYFUNCTION("""COMPUTED_VALUE"""),"bmc medical education")</f>
        <v>bmc medical education</v>
      </c>
      <c r="J757" s="38">
        <f>COUNTIF(Data!$F$2:$F9917, $I757)</f>
        <v>4</v>
      </c>
      <c r="T757" s="31" t="s">
        <v>2029</v>
      </c>
      <c r="U757" s="31" t="s">
        <v>2030</v>
      </c>
      <c r="V757" s="32">
        <v>45161.0</v>
      </c>
      <c r="X757" s="31" t="str">
        <f>IFERROR(__xludf.DUMMYFUNCTION("""COMPUTED_VALUE"""),"Childhood infection burden, recent antibiotic exposure and vascular phenotypes in preschool children.")</f>
        <v>Childhood infection burden, recent antibiotic exposure and vascular phenotypes in preschool children.</v>
      </c>
      <c r="Y757" s="31" t="str">
        <f>IFERROR(__xludf.DUMMYFUNCTION("""COMPUTED_VALUE"""),"Yu, Angela; Jansen, Maria A C; Dalmeijer, Geertje W; Bruijning-Verhagen, Patricia; van der Ent, Cornelis K; Grobbee, Diederick E; Burgner, David P; Uiterwaal, Cuno S P M")</f>
        <v>Yu, Angela; Jansen, Maria A C; Dalmeijer, Geertje W; Bruijning-Verhagen, Patricia; van der Ent, Cornelis K; Grobbee, Diederick E; Burgner, David P; Uiterwaal, Cuno S P M</v>
      </c>
      <c r="Z757" s="31">
        <f>IFERROR(__xludf.DUMMYFUNCTION("""COMPUTED_VALUE"""),2023.0)</f>
        <v>2023</v>
      </c>
      <c r="AA757" s="31">
        <f>IFERROR(__xludf.DUMMYFUNCTION("""COMPUTED_VALUE"""),0.0)</f>
        <v>0</v>
      </c>
      <c r="AF757" s="31" t="str">
        <f>IFERROR(__xludf.DUMMYFUNCTION("""COMPUTED_VALUE"""),"Whole-exome sequencing in pediatrics: parents' considerations toward return of unsolicited findings for their child.")</f>
        <v>Whole-exome sequencing in pediatrics: parents' considerations toward return of unsolicited findings for their child.</v>
      </c>
      <c r="AG757" s="31" t="str">
        <f>IFERROR(__xludf.DUMMYFUNCTION("""COMPUTED_VALUE"""),"Cornelis, Candice; Tibben, Aad; Dondorp, Wybo; van Haelst, Mieke; Bredenoord, Annelien L; Knoers, Nine; Düwell, Marcus; Bolt, Ineke; van Summeren, Marieke")</f>
        <v>Cornelis, Candice; Tibben, Aad; Dondorp, Wybo; van Haelst, Mieke; Bredenoord, Annelien L; Knoers, Nine; Düwell, Marcus; Bolt, Ineke; van Summeren, Marieke</v>
      </c>
      <c r="AH757" s="32">
        <f>IFERROR(__xludf.DUMMYFUNCTION("""COMPUTED_VALUE"""),42578.0)</f>
        <v>42578</v>
      </c>
      <c r="AL757" s="31" t="str">
        <f>IFERROR(__xludf.DUMMYFUNCTION("""COMPUTED_VALUE"""),"Enhancing Syndromic Surveillance With Online Respondent-Driven Detection.")</f>
        <v>Enhancing Syndromic Surveillance With Online Respondent-Driven Detection.</v>
      </c>
      <c r="AM757" s="31" t="str">
        <f>IFERROR(__xludf.DUMMYFUNCTION("""COMPUTED_VALUE"""),"Stein, Mart L; van Steenbergen, Jim E; Buskens, Vincent; van der Heijden, Peter G M; Koppeschaar, Carl E; Bengtsson, Linus; Thorson, Anna; Kretzschmar, Mirjam E E")</f>
        <v>Stein, Mart L; van Steenbergen, Jim E; Buskens, Vincent; van der Heijden, Peter G M; Koppeschaar, Carl E; Bengtsson, Linus; Thorson, Anna; Kretzschmar, Mirjam E E</v>
      </c>
      <c r="AN757" s="32">
        <f>IFERROR(__xludf.DUMMYFUNCTION("""COMPUTED_VALUE"""),42166.0)</f>
        <v>42166</v>
      </c>
    </row>
    <row r="758">
      <c r="A758" s="32"/>
      <c r="I758" s="31" t="str">
        <f>IFERROR(__xludf.DUMMYFUNCTION("""COMPUTED_VALUE"""),"bmc endocrine disorders")</f>
        <v>bmc endocrine disorders</v>
      </c>
      <c r="J758" s="38">
        <f>COUNTIF(Data!$F$2:$F9917, $I758)</f>
        <v>2</v>
      </c>
      <c r="T758" s="31" t="s">
        <v>2034</v>
      </c>
      <c r="U758" s="31" t="s">
        <v>2035</v>
      </c>
      <c r="V758" s="32">
        <v>45161.0</v>
      </c>
      <c r="X758" s="31" t="str">
        <f>IFERROR(__xludf.DUMMYFUNCTION("""COMPUTED_VALUE"""),"Patient outcomes before and after implementation of a selective pre-hospital spinal immobilization protocol: A comparative cohort pilot study in a level 2 trauma center.")</f>
        <v>Patient outcomes before and after implementation of a selective pre-hospital spinal immobilization protocol: A comparative cohort pilot study in a level 2 trauma center.</v>
      </c>
      <c r="Y758" s="31" t="str">
        <f>IFERROR(__xludf.DUMMYFUNCTION("""COMPUTED_VALUE"""),"van de Breevaart, Otto J; van der Waarden, Nancy W P L; Schoonhoven, Lisette; Ham, Wietske H W; Schep, Niels W L")</f>
        <v>van de Breevaart, Otto J; van der Waarden, Nancy W P L; Schoonhoven, Lisette; Ham, Wietske H W; Schep, Niels W L</v>
      </c>
      <c r="Z758" s="31">
        <f>IFERROR(__xludf.DUMMYFUNCTION("""COMPUTED_VALUE"""),2023.0)</f>
        <v>2023</v>
      </c>
      <c r="AA758" s="31">
        <f>IFERROR(__xludf.DUMMYFUNCTION("""COMPUTED_VALUE"""),0.0)</f>
        <v>0</v>
      </c>
      <c r="AF758" s="31" t="str">
        <f>IFERROR(__xludf.DUMMYFUNCTION("""COMPUTED_VALUE"""),"Incentives to yield to Obstetric Referrals in deprived areas of Amansie West district in the Ashanti Region, Ghana.")</f>
        <v>Incentives to yield to Obstetric Referrals in deprived areas of Amansie West district in the Ashanti Region, Ghana.</v>
      </c>
      <c r="AG758" s="31" t="str">
        <f>IFERROR(__xludf.DUMMYFUNCTION("""COMPUTED_VALUE"""),"Nuamah, Gladys Buruwaa; Agyei-Baffour, Peter; Akohene, Kofi Mensah; Boateng, Daniel; Dobin, Dominic; Addai-Donkor, Kwasi")</f>
        <v>Nuamah, Gladys Buruwaa; Agyei-Baffour, Peter; Akohene, Kofi Mensah; Boateng, Daniel; Dobin, Dominic; Addai-Donkor, Kwasi</v>
      </c>
      <c r="AH758" s="32">
        <f>IFERROR(__xludf.DUMMYFUNCTION("""COMPUTED_VALUE"""),42573.0)</f>
        <v>42573</v>
      </c>
      <c r="AL758" s="31" t="str">
        <f>IFERROR(__xludf.DUMMYFUNCTION("""COMPUTED_VALUE"""),"Effects of an 18-week exercise programme started early during breast cancer treatment: a randomised controlled trial.")</f>
        <v>Effects of an 18-week exercise programme started early during breast cancer treatment: a randomised controlled trial.</v>
      </c>
      <c r="AM758" s="31" t="str">
        <f>IFERROR(__xludf.DUMMYFUNCTION("""COMPUTED_VALUE"""),"Travier, Noémie; Velthuis, Miranda J; Steins Bisschop, Charlotte N; van den Buijs, Bram; Monninkhof, Evelyn M; Backx, Frank; Los, Maartje; Erdkamp, Frans; Bloemendal, Haiko J; Rodenhuis, Carla; de Roos, Marnix A J; Verhaar, Marlies; ten Bokkel Huinink, Da"&amp;"an; van der Wall, Elsken; Peeters, Petra H M; May, Anne M")</f>
        <v>Travier, Noémie; Velthuis, Miranda J; Steins Bisschop, Charlotte N; van den Buijs, Bram; Monninkhof, Evelyn M; Backx, Frank; Los, Maartje; Erdkamp, Frans; Bloemendal, Haiko J; Rodenhuis, Carla; de Roos, Marnix A J; Verhaar, Marlies; ten Bokkel Huinink, Daan; van der Wall, Elsken; Peeters, Petra H M; May, Anne M</v>
      </c>
      <c r="AN758" s="32">
        <f>IFERROR(__xludf.DUMMYFUNCTION("""COMPUTED_VALUE"""),42163.0)</f>
        <v>42163</v>
      </c>
    </row>
    <row r="759">
      <c r="A759" s="32"/>
      <c r="I759" s="31" t="str">
        <f>IFERROR(__xludf.DUMMYFUNCTION("""COMPUTED_VALUE"""),"international journal of hypertension")</f>
        <v>international journal of hypertension</v>
      </c>
      <c r="J759" s="38">
        <f>COUNTIF(Data!$F$2:$F9917, $I759)</f>
        <v>1</v>
      </c>
      <c r="T759" s="31" t="s">
        <v>2039</v>
      </c>
      <c r="U759" s="31" t="s">
        <v>2040</v>
      </c>
      <c r="V759" s="32">
        <v>45160.0</v>
      </c>
      <c r="X759" s="31" t="str">
        <f>IFERROR(__xludf.DUMMYFUNCTION("""COMPUTED_VALUE"""),"Simplified consent in cluster randomised trials: the new EU Clinical Trials Regulation does not provide sufficient guidance.")</f>
        <v>Simplified consent in cluster randomised trials: the new EU Clinical Trials Regulation does not provide sufficient guidance.</v>
      </c>
      <c r="Y759" s="31" t="str">
        <f>IFERROR(__xludf.DUMMYFUNCTION("""COMPUTED_VALUE"""),"Goldstein, Cory E; van der Graaf, Rieke")</f>
        <v>Goldstein, Cory E; van der Graaf, Rieke</v>
      </c>
      <c r="Z759" s="31">
        <f>IFERROR(__xludf.DUMMYFUNCTION("""COMPUTED_VALUE"""),2023.0)</f>
        <v>2023</v>
      </c>
      <c r="AA759" s="31">
        <f>IFERROR(__xludf.DUMMYFUNCTION("""COMPUTED_VALUE"""),0.0)</f>
        <v>0</v>
      </c>
      <c r="AF759" s="31" t="str">
        <f>IFERROR(__xludf.DUMMYFUNCTION("""COMPUTED_VALUE"""),"Best (but oft-forgotten) practices: propensity score methods in clinical nutrition research.")</f>
        <v>Best (but oft-forgotten) practices: propensity score methods in clinical nutrition research.</v>
      </c>
      <c r="AG759" s="31" t="str">
        <f>IFERROR(__xludf.DUMMYFUNCTION("""COMPUTED_VALUE"""),"Ali, M Sanni; Groenwold, Rolf Hh; Klungel, Olaf H")</f>
        <v>Ali, M Sanni; Groenwold, Rolf Hh; Klungel, Olaf H</v>
      </c>
      <c r="AH759" s="32">
        <f>IFERROR(__xludf.DUMMYFUNCTION("""COMPUTED_VALUE"""),42564.0)</f>
        <v>42564</v>
      </c>
      <c r="AL759" s="31" t="str">
        <f>IFERROR(__xludf.DUMMYFUNCTION("""COMPUTED_VALUE"""),"The effect of weight change on changes in breast density measures over menopause in a breast cancer screening cohort.")</f>
        <v>The effect of weight change on changes in breast density measures over menopause in a breast cancer screening cohort.</v>
      </c>
      <c r="AM759" s="31" t="str">
        <f>IFERROR(__xludf.DUMMYFUNCTION("""COMPUTED_VALUE"""),"Wanders, Johanna Olga Pauline; Bakker, Marije Fokje; Veldhuis, Wouter Bernard; Peeters, Petra Huberdina Maria; van Gils, Carla Henrica")</f>
        <v>Wanders, Johanna Olga Pauline; Bakker, Marije Fokje; Veldhuis, Wouter Bernard; Peeters, Petra Huberdina Maria; van Gils, Carla Henrica</v>
      </c>
      <c r="AN759" s="32">
        <f>IFERROR(__xludf.DUMMYFUNCTION("""COMPUTED_VALUE"""),42154.0)</f>
        <v>42154</v>
      </c>
    </row>
    <row r="760">
      <c r="A760" s="32"/>
      <c r="I760" s="31" t="str">
        <f>IFERROR(__xludf.DUMMYFUNCTION("""COMPUTED_VALUE"""),"foods basel switzerland")</f>
        <v>foods basel switzerland</v>
      </c>
      <c r="J760" s="38">
        <f>COUNTIF(Data!$F$2:$F9917, $I760)</f>
        <v>1</v>
      </c>
      <c r="T760" s="31" t="s">
        <v>2044</v>
      </c>
      <c r="U760" s="31" t="s">
        <v>2045</v>
      </c>
      <c r="V760" s="32">
        <v>45160.0</v>
      </c>
      <c r="X760" s="31" t="str">
        <f>IFERROR(__xludf.DUMMYFUNCTION("""COMPUTED_VALUE"""),"Dynamics in cardiac surgery: trends in population characteristics and the performance of the EuroSCORE II over time.")</f>
        <v>Dynamics in cardiac surgery: trends in population characteristics and the performance of the EuroSCORE II over time.</v>
      </c>
      <c r="Y760" s="31" t="str">
        <f>IFERROR(__xludf.DUMMYFUNCTION("""COMPUTED_VALUE"""),"van Dijk, Wouter B; Leeuwenberg, Artuur M; Grobbee, Diederick E; Siregar, Sabrina; Houterman, Saskia; Daeter, Edgar J; de Vries, Martine C; Groenwold, Rolf H H; Schuit, Ewoud; ,")</f>
        <v>van Dijk, Wouter B; Leeuwenberg, Artuur M; Grobbee, Diederick E; Siregar, Sabrina; Houterman, Saskia; Daeter, Edgar J; de Vries, Martine C; Groenwold, Rolf H H; Schuit, Ewoud; ,</v>
      </c>
      <c r="Z760" s="31">
        <f>IFERROR(__xludf.DUMMYFUNCTION("""COMPUTED_VALUE"""),2023.0)</f>
        <v>2023</v>
      </c>
      <c r="AA760" s="31">
        <f>IFERROR(__xludf.DUMMYFUNCTION("""COMPUTED_VALUE"""),0.0)</f>
        <v>0</v>
      </c>
      <c r="AF760" s="31" t="str">
        <f>IFERROR(__xludf.DUMMYFUNCTION("""COMPUTED_VALUE"""),"Long-term effects of joint bleeding before starting prophylaxis in severe haemophilia.")</f>
        <v>Long-term effects of joint bleeding before starting prophylaxis in severe haemophilia.</v>
      </c>
      <c r="AG760" s="31" t="str">
        <f>IFERROR(__xludf.DUMMYFUNCTION("""COMPUTED_VALUE"""),"Nijdam, A; Foppen, W; van der Schouw, Y T; Mauser-Bunschoten, E P; Schutgens, R E G; Fischer, K")</f>
        <v>Nijdam, A; Foppen, W; van der Schouw, Y T; Mauser-Bunschoten, E P; Schutgens, R E G; Fischer, K</v>
      </c>
      <c r="AH760" s="32">
        <f>IFERROR(__xludf.DUMMYFUNCTION("""COMPUTED_VALUE"""),42562.0)</f>
        <v>42562</v>
      </c>
      <c r="AL760" s="31" t="str">
        <f>IFERROR(__xludf.DUMMYFUNCTION("""COMPUTED_VALUE"""),"Rectal Carriage of Extended-Spectrum-Beta-Lactamase-Producing Enterobacteriaceae in Hospitalized Patients: Selective Preenrichment Increases Yield of Screening.")</f>
        <v>Rectal Carriage of Extended-Spectrum-Beta-Lactamase-Producing Enterobacteriaceae in Hospitalized Patients: Selective Preenrichment Increases Yield of Screening.</v>
      </c>
      <c r="AM760" s="31" t="str">
        <f>IFERROR(__xludf.DUMMYFUNCTION("""COMPUTED_VALUE"""),"Kluytmans-van den Bergh, M F Q; Verhulst, C; Willemsen, L E; Verkade, E; Bonten, M J M; Kluytmans, J A J W")</f>
        <v>Kluytmans-van den Bergh, M F Q; Verhulst, C; Willemsen, L E; Verkade, E; Bonten, M J M; Kluytmans, J A J W</v>
      </c>
      <c r="AN760" s="32">
        <f>IFERROR(__xludf.DUMMYFUNCTION("""COMPUTED_VALUE"""),42144.0)</f>
        <v>42144</v>
      </c>
    </row>
    <row r="761">
      <c r="A761" s="32"/>
      <c r="I761" s="31" t="str">
        <f>IFERROR(__xludf.DUMMYFUNCTION("""COMPUTED_VALUE"""),"toxins")</f>
        <v>toxins</v>
      </c>
      <c r="J761" s="38">
        <f>COUNTIF(Data!$F$2:$F9917, $I761)</f>
        <v>2</v>
      </c>
      <c r="T761" s="31" t="s">
        <v>2048</v>
      </c>
      <c r="U761" s="31" t="s">
        <v>2049</v>
      </c>
      <c r="V761" s="32">
        <v>45159.0</v>
      </c>
      <c r="X761" s="31" t="str">
        <f>IFERROR(__xludf.DUMMYFUNCTION("""COMPUTED_VALUE"""),"Longitudinal association of premature atrial contractions with atrial fibrillation and brain ischemia in people with type 2 diabetes: The Hoorn Diabetes Care System cohort.")</f>
        <v>Longitudinal association of premature atrial contractions with atrial fibrillation and brain ischemia in people with type 2 diabetes: The Hoorn Diabetes Care System cohort.</v>
      </c>
      <c r="Y761" s="31" t="str">
        <f>IFERROR(__xludf.DUMMYFUNCTION("""COMPUTED_VALUE"""),"Harms, Peter P; Himmelreich, Jelle C L; Blom, Marieke T; Beulens, Joline W J; Nijpels, Giel; Elders, Petra; Lucassen, Wim A M")</f>
        <v>Harms, Peter P; Himmelreich, Jelle C L; Blom, Marieke T; Beulens, Joline W J; Nijpels, Giel; Elders, Petra; Lucassen, Wim A M</v>
      </c>
      <c r="Z761" s="31">
        <f>IFERROR(__xludf.DUMMYFUNCTION("""COMPUTED_VALUE"""),2023.0)</f>
        <v>2023</v>
      </c>
      <c r="AA761" s="31">
        <f>IFERROR(__xludf.DUMMYFUNCTION("""COMPUTED_VALUE"""),0.0)</f>
        <v>0</v>
      </c>
      <c r="AF761" s="31" t="str">
        <f>IFERROR(__xludf.DUMMYFUNCTION("""COMPUTED_VALUE"""),"A model of care for healthy menopause and ageing: EMAS position statement.")</f>
        <v>A model of care for healthy menopause and ageing: EMAS position statement.</v>
      </c>
      <c r="AG761" s="31" t="str">
        <f>IFERROR(__xludf.DUMMYFUNCTION("""COMPUTED_VALUE"""),"Stute, Petra; Ceausu, Iuliana; Depypere, Herman; Lambrinoudaki, Irene; Mueck, Alfred; Pérez-López, Faustino R; van der Schouw, Yvonne T; Senturk, Levent M; Simoncini, Tommaso; Stevenson, John C; Rees, Margaret")</f>
        <v>Stute, Petra; Ceausu, Iuliana; Depypere, Herman; Lambrinoudaki, Irene; Mueck, Alfred; Pérez-López, Faustino R; van der Schouw, Yvonne T; Senturk, Levent M; Simoncini, Tommaso; Stevenson, John C; Rees, Margaret</v>
      </c>
      <c r="AH761" s="32">
        <f>IFERROR(__xludf.DUMMYFUNCTION("""COMPUTED_VALUE"""),42560.0)</f>
        <v>42560</v>
      </c>
      <c r="AL761" s="31" t="str">
        <f>IFERROR(__xludf.DUMMYFUNCTION("""COMPUTED_VALUE"""),"Multivariate meta-analysis of individual participant data helped externally validate the performance and implementation of a prediction model.")</f>
        <v>Multivariate meta-analysis of individual participant data helped externally validate the performance and implementation of a prediction model.</v>
      </c>
      <c r="AM761" s="31" t="str">
        <f>IFERROR(__xludf.DUMMYFUNCTION("""COMPUTED_VALUE"""),"Snell, Kym I E; Hua, Harry; Debray, Thomas P A; Ensor, Joie; Look, Maxime P; Moons, Karel G M; Riley, Richard D")</f>
        <v>Snell, Kym I E; Hua, Harry; Debray, Thomas P A; Ensor, Joie; Look, Maxime P; Moons, Karel G M; Riley, Richard D</v>
      </c>
      <c r="AN761" s="32">
        <f>IFERROR(__xludf.DUMMYFUNCTION("""COMPUTED_VALUE"""),42140.0)</f>
        <v>42140</v>
      </c>
    </row>
    <row r="762">
      <c r="A762" s="32"/>
      <c r="I762" s="31" t="str">
        <f>IFERROR(__xludf.DUMMYFUNCTION("""COMPUTED_VALUE"""),"plos neglected tropical diseases")</f>
        <v>plos neglected tropical diseases</v>
      </c>
      <c r="J762" s="38">
        <f>COUNTIF(Data!$F$2:$F9917, $I762)</f>
        <v>1</v>
      </c>
      <c r="T762" s="31" t="s">
        <v>2054</v>
      </c>
      <c r="U762" s="31" t="s">
        <v>2055</v>
      </c>
      <c r="V762" s="32">
        <v>45158.0</v>
      </c>
      <c r="X762" s="31"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Y762" s="31"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Z762" s="31">
        <f>IFERROR(__xludf.DUMMYFUNCTION("""COMPUTED_VALUE"""),2023.0)</f>
        <v>2023</v>
      </c>
      <c r="AA762" s="31">
        <f>IFERROR(__xludf.DUMMYFUNCTION("""COMPUTED_VALUE"""),0.0)</f>
        <v>0</v>
      </c>
      <c r="AF762" s="31" t="str">
        <f>IFERROR(__xludf.DUMMYFUNCTION("""COMPUTED_VALUE"""),"Predictors of Ramadan fasting during pregnancy.")</f>
        <v>Predictors of Ramadan fasting during pregnancy.</v>
      </c>
      <c r="AG762" s="31" t="str">
        <f>IFERROR(__xludf.DUMMYFUNCTION("""COMPUTED_VALUE"""),"van Bilsen, Lily A; Savitri, Ary I; Amelia, Dwirani; Baharuddin, Mohammad; Grobbee, Diederick E; Uiterwaal, Cuno S P M")</f>
        <v>van Bilsen, Lily A; Savitri, Ary I; Amelia, Dwirani; Baharuddin, Mohammad; Grobbee, Diederick E; Uiterwaal, Cuno S P M</v>
      </c>
      <c r="AH762" s="32">
        <f>IFERROR(__xludf.DUMMYFUNCTION("""COMPUTED_VALUE"""),42551.0)</f>
        <v>42551</v>
      </c>
      <c r="AL762" s="31" t="str">
        <f>IFERROR(__xludf.DUMMYFUNCTION("""COMPUTED_VALUE"""),"Presence of albuminuria predicts left ventricular mass in patients with chronic systemic arterial hypertension.")</f>
        <v>Presence of albuminuria predicts left ventricular mass in patients with chronic systemic arterial hypertension.</v>
      </c>
      <c r="AM762" s="31" t="str">
        <f>IFERROR(__xludf.DUMMYFUNCTION("""COMPUTED_VALUE"""),"de Beus, Esther; Meijs, Matthijs F L; Bots, Michiel L; Visseren, Frank L J; Blankestijn, Peter J; ,")</f>
        <v>de Beus, Esther; Meijs, Matthijs F L; Bots, Michiel L; Visseren, Frank L J; Blankestijn, Peter J; ,</v>
      </c>
      <c r="AN762" s="32">
        <f>IFERROR(__xludf.DUMMYFUNCTION("""COMPUTED_VALUE"""),42128.0)</f>
        <v>42128</v>
      </c>
    </row>
    <row r="763">
      <c r="A763" s="32"/>
      <c r="I763" s="31" t="str">
        <f>IFERROR(__xludf.DUMMYFUNCTION("""COMPUTED_VALUE"""),"osteoporosis international a journal established as result of cooperation between the european foundation for osteoporosis and the national osteoporosis foundation of the usa")</f>
        <v>osteoporosis international a journal established as result of cooperation between the european foundation for osteoporosis and the national osteoporosis foundation of the usa</v>
      </c>
      <c r="J763" s="38">
        <f>COUNTIF(Data!$F$2:$F9917, $I763)</f>
        <v>2</v>
      </c>
      <c r="T763" s="31" t="s">
        <v>2059</v>
      </c>
      <c r="U763" s="31" t="s">
        <v>2060</v>
      </c>
      <c r="V763" s="32">
        <v>45158.0</v>
      </c>
      <c r="X763" s="31" t="str">
        <f>IFERROR(__xludf.DUMMYFUNCTION("""COMPUTED_VALUE"""),"Interaction of dietary patterns with rs28362491 on severity of coronary artery stenosis in patients undergoing coronary angiography.")</f>
        <v>Interaction of dietary patterns with rs28362491 on severity of coronary artery stenosis in patients undergoing coronary angiography.</v>
      </c>
      <c r="Y763" s="31" t="str">
        <f>IFERROR(__xludf.DUMMYFUNCTION("""COMPUTED_VALUE"""),"Darabi, Zahra; Seyed Hosseini, Seyed Mostafa; Sarebanhassanabadi, Mohammadtaghi; Jambarsang, Sara; Vahidi Mehrjardi, Mohammad Yahya; Hosseinzadeh, Mahdieh; Beigrezaei, Sara; Vasmehjani, Azam Ahmadi; Taftian, Marzieh; Arabi, Vahid; Motallaei, Maryam; Yazdi"&amp;", Faezeh Golvardi; Salehi-Abargouei, Amin; Nadjarzadeh, Azadeh")</f>
        <v>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v>
      </c>
      <c r="Z763" s="31">
        <f>IFERROR(__xludf.DUMMYFUNCTION("""COMPUTED_VALUE"""),2023.0)</f>
        <v>2023</v>
      </c>
      <c r="AA763" s="31">
        <f>IFERROR(__xludf.DUMMYFUNCTION("""COMPUTED_VALUE"""),0.0)</f>
        <v>0</v>
      </c>
      <c r="AF763" s="31" t="str">
        <f>IFERROR(__xludf.DUMMYFUNCTION("""COMPUTED_VALUE"""),"The association of low ovarian reserve with cardiovascular disease risk: a cross-sectional population-based study.")</f>
        <v>The association of low ovarian reserve with cardiovascular disease risk: a cross-sectional population-based study.</v>
      </c>
      <c r="AG763" s="31" t="str">
        <f>IFERROR(__xludf.DUMMYFUNCTION("""COMPUTED_VALUE"""),"de Kat, A C; Verschuren, W M M; Eijkemans, M J C; van der Schouw, Y T; Broekmans, F J M")</f>
        <v>de Kat, A C; Verschuren, W M M; Eijkemans, M J C; van der Schouw, Y T; Broekmans, F J M</v>
      </c>
      <c r="AH763" s="32">
        <f>IFERROR(__xludf.DUMMYFUNCTION("""COMPUTED_VALUE"""),42540.0)</f>
        <v>42540</v>
      </c>
      <c r="AL763" s="31" t="str">
        <f>IFERROR(__xludf.DUMMYFUNCTION("""COMPUTED_VALUE"""),"Chemoprophylaxis and vaccination in preventing subsequent cases of meningococcal disease in household contacts of a case of meningococcal disease: a systematic review.")</f>
        <v>Chemoprophylaxis and vaccination in preventing subsequent cases of meningococcal disease in household contacts of a case of meningococcal disease: a systematic review.</v>
      </c>
      <c r="AM763" s="31" t="str">
        <f>IFERROR(__xludf.DUMMYFUNCTION("""COMPUTED_VALUE"""),"Telisinghe, L; Waite, T D; Gobin, M; Ronveaux, O; Fernandez, K; Stuart, J M; Scholten, R J P M")</f>
        <v>Telisinghe, L; Waite, T D; Gobin, M; Ronveaux, O; Fernandez, K; Stuart, J M; Scholten, R J P M</v>
      </c>
      <c r="AN763" s="32">
        <f>IFERROR(__xludf.DUMMYFUNCTION("""COMPUTED_VALUE"""),42122.0)</f>
        <v>42122</v>
      </c>
    </row>
    <row r="764">
      <c r="A764" s="32"/>
      <c r="I764" s="31" t="str">
        <f>IFERROR(__xludf.DUMMYFUNCTION("""COMPUTED_VALUE"""),"academic medicine journal of the association of american medical colleges")</f>
        <v>academic medicine journal of the association of american medical colleges</v>
      </c>
      <c r="J764" s="38">
        <f>COUNTIF(Data!$F$2:$F9917, $I764)</f>
        <v>5</v>
      </c>
      <c r="T764" s="31" t="s">
        <v>2064</v>
      </c>
      <c r="U764" s="31" t="s">
        <v>2065</v>
      </c>
      <c r="V764" s="32">
        <v>45158.0</v>
      </c>
      <c r="X764" s="31" t="str">
        <f>IFERROR(__xludf.DUMMYFUNCTION("""COMPUTED_VALUE"""),"Multimorbidity in Heart Failure: Leveraging Cluster Analysis to Guide Tailored Treatment Strategies.")</f>
        <v>Multimorbidity in Heart Failure: Leveraging Cluster Analysis to Guide Tailored Treatment Strategies.</v>
      </c>
      <c r="Y764" s="31" t="str">
        <f>IFERROR(__xludf.DUMMYFUNCTION("""COMPUTED_VALUE"""),"van de Veerdonk, Mariëlle C; Savarese, Gianluigi; Handoko, M Louis; Beulens, Joline W J; Asselbergs, Folkert; Uijl, Alicia")</f>
        <v>van de Veerdonk, Mariëlle C; Savarese, Gianluigi; Handoko, M Louis; Beulens, Joline W J; Asselbergs, Folkert; Uijl, Alicia</v>
      </c>
      <c r="Z764" s="31">
        <f>IFERROR(__xludf.DUMMYFUNCTION("""COMPUTED_VALUE"""),2023.0)</f>
        <v>2023</v>
      </c>
      <c r="AA764" s="31">
        <f>IFERROR(__xludf.DUMMYFUNCTION("""COMPUTED_VALUE"""),0.0)</f>
        <v>0</v>
      </c>
      <c r="AF764" s="31" t="str">
        <f>IFERROR(__xludf.DUMMYFUNCTION("""COMPUTED_VALUE"""),"Modifiable causes of premature death in middle-age in Western Europe: results from the EPIC cohort study.")</f>
        <v>Modifiable causes of premature death in middle-age in Western Europe: results from the EPIC cohort study.</v>
      </c>
      <c r="AG764" s="31" t="str">
        <f>IFERROR(__xludf.DUMMYFUNCTION("""COMPUTED_VALUE"""),"Muller, David C; Murphy, Neil; Johansson, Mattias; Ferrari, Pietro; Tsilidis, Konstantinos K; Boutron-Ruault, Marie-Christine; Clavel, Francoise; Dartois, Laureen; Li, Kuanrong; Kaaks, Rudolf; Weikert, Cornelia; Bergmann, Manuela; Boeing, Heiner; Tjønnela"&amp;"nd, Anne; Overvad, Kim; Redondo, M Luisa; Agudo, Antonio; Molina-Portillo, Elena; Altzibar, Jone M; Cirera, Lluís; Ardanaz, Eva; Khaw, Kay-Tee; Wareham, Nicholas J; Key, Timothy J; Travis, Ruth C; Bamia, Christina; Orfanos, Philippos; Trichopoulou, Antoni"&amp;"a; Palli, Domenico; Pala, Valeria; Tumino, Rosario; Vineis, Paolo; Panico, Salvatore; Bueno-de-Mesquita, H Bas; Verschuren, W M Monique; Struijk, Ellen A; Peeters, Petra H; Engström, Gunnar; Melander, Olle; Sund, Malin; Weiderpass, Elisabete; Skeie, Guri;"&amp;" Lund, Eiliv; Norat, Teresa; Gunter, Marc; Riboli, Elio; Brennan, Paul")</f>
        <v>Muller, David C; Murphy, Neil; Johansson, Mattias; Ferrari, Pietro; Tsilidis, Konstantinos K; Boutron-Ruault, Marie-Christine; Clavel, Francoise; Dartois, Laureen; Li, Kuanrong; Kaaks, Rudolf; Weikert, Cornelia; Bergmann, Manuela; Boeing, Heiner; Tjønneland, Anne; Overvad, Kim; Redondo, M Luisa; Agudo, Antonio; Molina-Portillo, Elena; Altzibar, Jone M; Cirera, Lluís; Ardanaz, Eva; Khaw, Kay-Tee; Wareham, Nicholas J; Key, Timothy J; Travis, Ruth C; Bamia, Christina; Orfanos, Philippos; Trichopoulou, Antonia; Palli, Domenico; Pala, Valeria; Tumino, Rosario; Vineis, Paolo; Panico, Salvatore; Bueno-de-Mesquita, H Bas; Verschuren, W M Monique; Struijk, Ellen A; Peeters, Petra H; Engström, Gunnar; Melander, Olle; Sund, Malin; Weiderpass, Elisabete; Skeie, Guri; Lund, Eiliv; Norat, Teresa; Gunter, Marc; Riboli, Elio; Brennan, Paul</v>
      </c>
      <c r="AH764" s="32">
        <f>IFERROR(__xludf.DUMMYFUNCTION("""COMPUTED_VALUE"""),42535.0)</f>
        <v>42535</v>
      </c>
      <c r="AL764" s="31" t="str">
        <f>IFERROR(__xludf.DUMMYFUNCTION("""COMPUTED_VALUE"""),"Recovery to Preinterventional Functioning, Return-to-Work, and Life Satisfaction After Treatment of Unruptured Aneurysms.")</f>
        <v>Recovery to Preinterventional Functioning, Return-to-Work, and Life Satisfaction After Treatment of Unruptured Aneurysms.</v>
      </c>
      <c r="AM764" s="31" t="str">
        <f>IFERROR(__xludf.DUMMYFUNCTION("""COMPUTED_VALUE"""),"Backes, Daan; Rinkel, Gabriel J E; van der Schaaf, Irene C; Nij Bijvank, Jenny A; Verweij, Bon H; Visser-Meily, Johanna M A; Post, Marcel W; Algra, Ale; Vergouwen, Mervyn D I")</f>
        <v>Backes, Daan; Rinkel, Gabriel J E; van der Schaaf, Irene C; Nij Bijvank, Jenny A; Verweij, Bon H; Visser-Meily, Johanna M A; Post, Marcel W; Algra, Ale; Vergouwen, Mervyn D I</v>
      </c>
      <c r="AN764" s="32">
        <f>IFERROR(__xludf.DUMMYFUNCTION("""COMPUTED_VALUE"""),42122.0)</f>
        <v>42122</v>
      </c>
    </row>
    <row r="765">
      <c r="A765" s="32"/>
      <c r="I765" s="31" t="str">
        <f>IFERROR(__xludf.DUMMYFUNCTION("""COMPUTED_VALUE"""),"european heart journal cardiovascular pharmacotherapy")</f>
        <v>european heart journal cardiovascular pharmacotherapy</v>
      </c>
      <c r="J765" s="38">
        <f>COUNTIF(Data!$F$2:$F9917, $I765)</f>
        <v>1</v>
      </c>
      <c r="T765" s="31" t="s">
        <v>2068</v>
      </c>
      <c r="U765" s="31" t="s">
        <v>2069</v>
      </c>
      <c r="V765" s="32">
        <v>45157.0</v>
      </c>
      <c r="X765" s="31" t="str">
        <f>IFERROR(__xludf.DUMMYFUNCTION("""COMPUTED_VALUE"""),"Long-term peridialytic blood pressure changes are related to mortality.")</f>
        <v>Long-term peridialytic blood pressure changes are related to mortality.</v>
      </c>
      <c r="Y765" s="31" t="str">
        <f>IFERROR(__xludf.DUMMYFUNCTION("""COMPUTED_VALUE"""),"de Roij van Zuijdewijn, Camiel L M; Rootjes, Paul A; Nubé, Menso J; Bots, Michiel L; Canaud, Bernard; Blankestijn, Peter J; van Ittersum, Frans J; Maduell, Francisco; Morena, Marion; Peters, Sanne A E; Davenport, Andrew; Vernooij, Robin W M; Grooteman, Mu"&amp;"riel P C; ,")</f>
        <v>de Roij van Zuijdewijn, Camiel L M; Rootjes, Paul A; Nubé, Menso J; Bots, Michiel L; Canaud, Bernard; Blankestijn, Peter J; van Ittersum, Frans J; Maduell, Francisco; Morena, Marion; Peters, Sanne A E; Davenport, Andrew; Vernooij, Robin W M; Grooteman, Muriel P C; ,</v>
      </c>
      <c r="Z765" s="31">
        <f>IFERROR(__xludf.DUMMYFUNCTION("""COMPUTED_VALUE"""),2023.0)</f>
        <v>2023</v>
      </c>
      <c r="AA765" s="31">
        <f>IFERROR(__xludf.DUMMYFUNCTION("""COMPUTED_VALUE"""),0.0)</f>
        <v>0</v>
      </c>
      <c r="AF765" s="31" t="str">
        <f>IFERROR(__xludf.DUMMYFUNCTION("""COMPUTED_VALUE"""),"Organoid biobanking: identifying the ethics: Organoids revive old and raise new ethical challenges for basic research and therapeutic use.")</f>
        <v>Organoid biobanking: identifying the ethics: Organoids revive old and raise new ethical challenges for basic research and therapeutic use.</v>
      </c>
      <c r="AG765" s="31" t="str">
        <f>IFERROR(__xludf.DUMMYFUNCTION("""COMPUTED_VALUE"""),"Boers, Sarah N; van Delden, Johannes Jm; Clevers, Hans; Bredenoord, Annelien L")</f>
        <v>Boers, Sarah N; van Delden, Johannes Jm; Clevers, Hans; Bredenoord, Annelien L</v>
      </c>
      <c r="AH765" s="32">
        <f>IFERROR(__xludf.DUMMYFUNCTION("""COMPUTED_VALUE"""),42534.0)</f>
        <v>42534</v>
      </c>
      <c r="AL765" s="31" t="str">
        <f>IFERROR(__xludf.DUMMYFUNCTION("""COMPUTED_VALUE"""),"Combined T2w volumetry, DW-MRI and DCE-MRI for response assessment after neo-adjuvant chemoradiation in locally advanced rectal cancer.")</f>
        <v>Combined T2w volumetry, DW-MRI and DCE-MRI for response assessment after neo-adjuvant chemoradiation in locally advanced rectal cancer.</v>
      </c>
      <c r="AM765" s="31" t="str">
        <f>IFERROR(__xludf.DUMMYFUNCTION("""COMPUTED_VALUE"""),"Intven, Martijn; Monninkhof, Evelyn M; Reerink, Onne; Philippens, Marielle E P")</f>
        <v>Intven, Martijn; Monninkhof, Evelyn M; Reerink, Onne; Philippens, Marielle E P</v>
      </c>
      <c r="AN765" s="32">
        <f>IFERROR(__xludf.DUMMYFUNCTION("""COMPUTED_VALUE"""),42121.0)</f>
        <v>42121</v>
      </c>
    </row>
    <row r="766">
      <c r="A766" s="32"/>
      <c r="I766" s="31" t="str">
        <f>IFERROR(__xludf.DUMMYFUNCTION("""COMPUTED_VALUE"""),"clinical immunology orlando fla")</f>
        <v>clinical immunology orlando fla</v>
      </c>
      <c r="J766" s="38">
        <f>COUNTIF(Data!$F$2:$F9917, $I766)</f>
        <v>2</v>
      </c>
      <c r="T766" s="31" t="s">
        <v>2073</v>
      </c>
      <c r="U766" s="31" t="s">
        <v>2074</v>
      </c>
      <c r="V766" s="32">
        <v>45156.0</v>
      </c>
      <c r="X766" s="31" t="str">
        <f>IFERROR(__xludf.DUMMYFUNCTION("""COMPUTED_VALUE"""),"Assessing the Well-Being at Work of Nurses and Doctors in Hospitals: Protocol for a Scoping Review of Monitoring Instruments.")</f>
        <v>Assessing the Well-Being at Work of Nurses and Doctors in Hospitals: Protocol for a Scoping Review of Monitoring Instruments.</v>
      </c>
      <c r="Y766" s="31" t="str">
        <f>IFERROR(__xludf.DUMMYFUNCTION("""COMPUTED_VALUE"""),"Boskma, Amber; van der Braak, Kim; Ansari, Neda; Hooft, Lotty; Wietasch, Götz; Franx, Arie; van der Laan, Maarten")</f>
        <v>Boskma, Amber; van der Braak, Kim; Ansari, Neda; Hooft, Lotty; Wietasch, Götz; Franx, Arie; van der Laan, Maarten</v>
      </c>
      <c r="Z766" s="31">
        <f>IFERROR(__xludf.DUMMYFUNCTION("""COMPUTED_VALUE"""),2023.0)</f>
        <v>2023</v>
      </c>
      <c r="AA766" s="31">
        <f>IFERROR(__xludf.DUMMYFUNCTION("""COMPUTED_VALUE"""),0.0)</f>
        <v>0</v>
      </c>
      <c r="AF766" s="31" t="str">
        <f>IFERROR(__xludf.DUMMYFUNCTION("""COMPUTED_VALUE"""),"Influenza vaccination of pregnant women protects them over two consecutive influenza seasons in a randomized controlled trial.")</f>
        <v>Influenza vaccination of pregnant women protects them over two consecutive influenza seasons in a randomized controlled trial.</v>
      </c>
      <c r="AG766" s="31" t="str">
        <f>IFERROR(__xludf.DUMMYFUNCTION("""COMPUTED_VALUE"""),"Mutsaerts, Eleonora; Madhi, Shabir A; Cutland, Clare L; Jones, Stephanie; Hugo, Andrea; Trenor, Siobhan; Treurnicht, Florette K; Klipstein-Grobusch, Kerstin; Weinberg, Adriana; Nunes, Marta C")</f>
        <v>Mutsaerts, Eleonora; Madhi, Shabir A; Cutland, Clare L; Jones, Stephanie; Hugo, Andrea; Trenor, Siobhan; Treurnicht, Florette K; Klipstein-Grobusch, Kerstin; Weinberg, Adriana; Nunes, Marta C</v>
      </c>
      <c r="AH766" s="32">
        <f>IFERROR(__xludf.DUMMYFUNCTION("""COMPUTED_VALUE"""),42527.0)</f>
        <v>42527</v>
      </c>
      <c r="AL766" s="31" t="str">
        <f>IFERROR(__xludf.DUMMYFUNCTION("""COMPUTED_VALUE"""),"Less evidence for an important role of food-producing animals as source of antibiotic resistance in humans.")</f>
        <v>Less evidence for an important role of food-producing animals as source of antibiotic resistance in humans.</v>
      </c>
      <c r="AM766" s="31" t="str">
        <f>IFERROR(__xludf.DUMMYFUNCTION("""COMPUTED_VALUE"""),"Bonten, Marc J M; Mevius, Dik")</f>
        <v>Bonten, Marc J M; Mevius, Dik</v>
      </c>
      <c r="AN766" s="32">
        <f>IFERROR(__xludf.DUMMYFUNCTION("""COMPUTED_VALUE"""),42118.0)</f>
        <v>42118</v>
      </c>
    </row>
    <row r="767">
      <c r="A767" s="32"/>
      <c r="I767" s="31" t="str">
        <f>IFERROR(__xludf.DUMMYFUNCTION("""COMPUTED_VALUE"""),"expert review of antiinfective therapy")</f>
        <v>expert review of antiinfective therapy</v>
      </c>
      <c r="J767" s="38">
        <f>COUNTIF(Data!$F$2:$F9917, $I767)</f>
        <v>1</v>
      </c>
      <c r="T767" s="31" t="s">
        <v>2078</v>
      </c>
      <c r="U767" s="31" t="s">
        <v>2079</v>
      </c>
      <c r="V767" s="32">
        <v>45156.0</v>
      </c>
      <c r="X767" s="31" t="str">
        <f>IFERROR(__xludf.DUMMYFUNCTION("""COMPUTED_VALUE"""),"Developing a personalized remote patient monitoring algorithm: a proof-of-concept in heart failure.")</f>
        <v>Developing a personalized remote patient monitoring algorithm: a proof-of-concept in heart failure.</v>
      </c>
      <c r="Y767" s="31" t="str">
        <f>IFERROR(__xludf.DUMMYFUNCTION("""COMPUTED_VALUE"""),"Moazeni, Mehran; Numan, Lieke; Brons, Maaike; Houtgraaf, Jaco; Rutten, Frans H; Oberski, Daniel L; van Laake, Linda W; Asselbergs, Folkert W; Aarts, Emmeke")</f>
        <v>Moazeni, Mehran; Numan, Lieke; Brons, Maaike; Houtgraaf, Jaco; Rutten, Frans H; Oberski, Daniel L; van Laake, Linda W; Asselbergs, Folkert W; Aarts, Emmeke</v>
      </c>
      <c r="Z767" s="31">
        <f>IFERROR(__xludf.DUMMYFUNCTION("""COMPUTED_VALUE"""),2023.0)</f>
        <v>2023</v>
      </c>
      <c r="AA767" s="31">
        <f>IFERROR(__xludf.DUMMYFUNCTION("""COMPUTED_VALUE"""),0.0)</f>
        <v>0</v>
      </c>
      <c r="AF767" s="31" t="str">
        <f>IFERROR(__xludf.DUMMYFUNCTION("""COMPUTED_VALUE"""),"BReastfeeding Attitude and Volume Optimization (BRAVO) trial: study protocol for a randomized controlled trial.")</f>
        <v>BReastfeeding Attitude and Volume Optimization (BRAVO) trial: study protocol for a randomized controlled trial.</v>
      </c>
      <c r="AG767" s="31" t="str">
        <f>IFERROR(__xludf.DUMMYFUNCTION("""COMPUTED_VALUE"""),"Savitri, Ary I; Idris, Nikmah S; Indawati, Wahyuni; Saldi, Siti Rizny F; Amelia, Dwirani; Baharuddin, Mohammad; Sastroasmoro, Sudigdo; Grobbee, Diederick E; Uiterwaal, Cuno S P M")</f>
        <v>Savitri, Ary I; Idris, Nikmah S; Indawati, Wahyuni; Saldi, Siti Rizny F; Amelia, Dwirani; Baharuddin, Mohammad; Sastroasmoro, Sudigdo; Grobbee, Diederick E; Uiterwaal, Cuno S P M</v>
      </c>
      <c r="AH767" s="32">
        <f>IFERROR(__xludf.DUMMYFUNCTION("""COMPUTED_VALUE"""),42523.0)</f>
        <v>42523</v>
      </c>
      <c r="AL767" s="31" t="str">
        <f>IFERROR(__xludf.DUMMYFUNCTION("""COMPUTED_VALUE"""),"No Additional Prognostic Value of Genetic Information in the Prediction of Vascular Events after Cerebral Ischemia of Arterial Origin: The PROMISe Study.")</f>
        <v>No Additional Prognostic Value of Genetic Information in the Prediction of Vascular Events after Cerebral Ischemia of Arterial Origin: The PROMISe Study.</v>
      </c>
      <c r="AM767" s="31" t="str">
        <f>IFERROR(__xludf.DUMMYFUNCTION("""COMPUTED_VALUE"""),"Achterberg, Sefanja; Kappelle, L Jaap; de Bakker, Paul I W; Traylor, Matthew; Algra, Ale; ,")</f>
        <v>Achterberg, Sefanja; Kappelle, L Jaap; de Bakker, Paul I W; Traylor, Matthew; Algra, Ale; ,</v>
      </c>
      <c r="AN767" s="32">
        <f>IFERROR(__xludf.DUMMYFUNCTION("""COMPUTED_VALUE"""),42117.0)</f>
        <v>42117</v>
      </c>
    </row>
    <row r="768">
      <c r="A768" s="32"/>
      <c r="I768" s="31" t="str">
        <f>IFERROR(__xludf.DUMMYFUNCTION("""COMPUTED_VALUE"""),"the permanente journal")</f>
        <v>the permanente journal</v>
      </c>
      <c r="J768" s="38">
        <f>COUNTIF(Data!$F$2:$F9917, $I768)</f>
        <v>1</v>
      </c>
      <c r="T768" s="31" t="s">
        <v>2083</v>
      </c>
      <c r="U768" s="31" t="s">
        <v>1575</v>
      </c>
      <c r="V768" s="32">
        <v>45156.0</v>
      </c>
      <c r="X768" s="31" t="str">
        <f>IFERROR(__xludf.DUMMYFUNCTION("""COMPUTED_VALUE"""),"Associations between Fatty Acid Intakes and Plasma Phospholipid Fatty Acid Concentrations in the European Prospective Investigation into Cancer and Nutrition.")</f>
        <v>Associations between Fatty Acid Intakes and Plasma Phospholipid Fatty Acid Concentrations in the European Prospective Investigation into Cancer and Nutrition.</v>
      </c>
      <c r="Y768" s="31" t="str">
        <f>IFERROR(__xludf.DUMMYFUNCTION("""COMPUTED_VALUE"""),"Huybrechts, Inge; Jacobs, Inarie; Aglago, Elom K; Yammine, Sahar; Matta, Michèle; Schmidt, Julie A; Casagrande, Corinne; Nicolas, Geneviève; Biessy, Carine; Van Puyvelde, Heleen; Scalbert, Augustin; Derksen, Jeroen W G; van der Schouw, Yvonne T; Grioni, S"&amp;"ara; Amiano, Pilar; Halkjær, Jytte; Tjønneland, Anne; Huerta, José M; Luján-Barroso, Leila; Palli, Domenico; Gunter, Marc J; Perez-Cornago, Aurora; Chajès, Véronique")</f>
        <v>Huybrechts, Inge; Jacobs, Inarie; Aglago, Elom K; Yammine, Sahar; Matta, Michèle; Schmidt, Julie A; Casagrande, Corinne; Nicolas, Geneviève; Biessy, Carine; Van Puyvelde, Heleen; Scalbert, Augustin; Derksen, Jeroen W G; van der Schouw, Yvonne T; Grioni, Sara; Amiano, Pilar; Halkjær, Jytte; Tjønneland, Anne; Huerta, José M; Luján-Barroso, Leila; Palli, Domenico; Gunter, Marc J; Perez-Cornago, Aurora; Chajès, Véronique</v>
      </c>
      <c r="Z768" s="31">
        <f>IFERROR(__xludf.DUMMYFUNCTION("""COMPUTED_VALUE"""),2023.0)</f>
        <v>2023</v>
      </c>
      <c r="AA768" s="31">
        <f>IFERROR(__xludf.DUMMYFUNCTION("""COMPUTED_VALUE"""),0.0)</f>
        <v>0</v>
      </c>
      <c r="AF768" s="31" t="str">
        <f>IFERROR(__xludf.DUMMYFUNCTION("""COMPUTED_VALUE"""),"Prevention of Hypertensive Disorders of Pregnancy: a Novel Application of the Polypill Concept.")</f>
        <v>Prevention of Hypertensive Disorders of Pregnancy: a Novel Application of the Polypill Concept.</v>
      </c>
      <c r="AG768" s="31" t="str">
        <f>IFERROR(__xludf.DUMMYFUNCTION("""COMPUTED_VALUE"""),"Browne, J L; Klipstein-Grobusch, K; Franx, A; Grobbee, D E")</f>
        <v>Browne, J L; Klipstein-Grobusch, K; Franx, A; Grobbee, D E</v>
      </c>
      <c r="AH768" s="32">
        <f>IFERROR(__xludf.DUMMYFUNCTION("""COMPUTED_VALUE"""),42522.0)</f>
        <v>42522</v>
      </c>
      <c r="AL768" s="31" t="str">
        <f>IFERROR(__xludf.DUMMYFUNCTION("""COMPUTED_VALUE"""),"Identification of patients at high risk for Clostridium difficile infection: development and validation of a risk prediction model in hospitalized patients treated with antibiotics.")</f>
        <v>Identification of patients at high risk for Clostridium difficile infection: development and validation of a risk prediction model in hospitalized patients treated with antibiotics.</v>
      </c>
      <c r="AM768" s="31" t="str">
        <f>IFERROR(__xludf.DUMMYFUNCTION("""COMPUTED_VALUE"""),"van Werkhoven, C H; van der Tempel, J; Jajou, R; Thijsen, S F T; Diepersloot, R J A; Bonten, M J M; Postma, D F; Oosterheert, J J")</f>
        <v>van Werkhoven, C H; van der Tempel, J; Jajou, R; Thijsen, S F T; Diepersloot, R J A; Bonten, M J M; Postma, D F; Oosterheert, J J</v>
      </c>
      <c r="AN768" s="32">
        <f>IFERROR(__xludf.DUMMYFUNCTION("""COMPUTED_VALUE"""),42110.0)</f>
        <v>42110</v>
      </c>
    </row>
    <row r="769">
      <c r="A769" s="32"/>
      <c r="I769" s="31" t="str">
        <f>IFERROR(__xludf.DUMMYFUNCTION("""COMPUTED_VALUE"""),"journal of neuroradiology journal de neuroradiologie")</f>
        <v>journal of neuroradiology journal de neuroradiologie</v>
      </c>
      <c r="J769" s="38">
        <f>COUNTIF(Data!$F$2:$F9917, $I769)</f>
        <v>1</v>
      </c>
      <c r="T769" s="31" t="s">
        <v>2086</v>
      </c>
      <c r="U769" s="31" t="s">
        <v>2087</v>
      </c>
      <c r="V769" s="32">
        <v>45156.0</v>
      </c>
      <c r="X769" s="31" t="str">
        <f>IFERROR(__xludf.DUMMYFUNCTION("""COMPUTED_VALUE"""),"Glial cell response and microthrombosis in aneurysmal subarachnoid hemorrhage patients: An autopsy study.")</f>
        <v>Glial cell response and microthrombosis in aneurysmal subarachnoid hemorrhage patients: An autopsy study.</v>
      </c>
      <c r="Y769" s="31" t="str">
        <f>IFERROR(__xludf.DUMMYFUNCTION("""COMPUTED_VALUE"""),"Koopman, Inez; van Dijk, Bart J; Zuithoff, Nicolaas P A; Sluijs, Jacqueline A; van der Kamp, Marije J; Baldew, Zelonna A V; Frijns, Catharina J M; Rinkel, Gabriel J E; Hol, Elly M; Vergouwen, Mervyn D I")</f>
        <v>Koopman, Inez; van Dijk, Bart J; Zuithoff, Nicolaas P A; Sluijs, Jacqueline A; van der Kamp, Marije J; Baldew, Zelonna A V; Frijns, Catharina J M; Rinkel, Gabriel J E; Hol, Elly M; Vergouwen, Mervyn D I</v>
      </c>
      <c r="Z769" s="31">
        <f>IFERROR(__xludf.DUMMYFUNCTION("""COMPUTED_VALUE"""),2023.0)</f>
        <v>2023</v>
      </c>
      <c r="AA769" s="31">
        <f>IFERROR(__xludf.DUMMYFUNCTION("""COMPUTED_VALUE"""),0.0)</f>
        <v>0</v>
      </c>
      <c r="AF769" s="31" t="str">
        <f>IFERROR(__xludf.DUMMYFUNCTION("""COMPUTED_VALUE"""),"Surgical innovation: the ethical agenda: A systematic review.")</f>
        <v>Surgical innovation: the ethical agenda: A systematic review.</v>
      </c>
      <c r="AG769" s="31" t="str">
        <f>IFERROR(__xludf.DUMMYFUNCTION("""COMPUTED_VALUE"""),"Broekman, Marike L; Carrière, Michelle E; Bredenoord, Annelien L")</f>
        <v>Broekman, Marike L; Carrière, Michelle E; Bredenoord, Annelien L</v>
      </c>
      <c r="AH769" s="32">
        <f>IFERROR(__xludf.DUMMYFUNCTION("""COMPUTED_VALUE"""),42522.0)</f>
        <v>42522</v>
      </c>
      <c r="AL769" s="31" t="str">
        <f>IFERROR(__xludf.DUMMYFUNCTION("""COMPUTED_VALUE"""),"Control group design, contamination and drop-out in exercise oncology trials: a systematic review.")</f>
        <v>Control group design, contamination and drop-out in exercise oncology trials: a systematic review.</v>
      </c>
      <c r="AM769" s="31" t="str">
        <f>IFERROR(__xludf.DUMMYFUNCTION("""COMPUTED_VALUE"""),"Steins Bisschop, Charlotte N; Courneya, Kerry S; Velthuis, Miranda J; Monninkhof, Evelyn M; Jones, Lee W; Friedenreich, Christine; van der Wall, Elsken; Peeters, Petra H M; May, Anne M")</f>
        <v>Steins Bisschop, Charlotte N; Courneya, Kerry S; Velthuis, Miranda J; Monninkhof, Evelyn M; Jones, Lee W; Friedenreich, Christine; van der Wall, Elsken; Peeters, Petra H M; May, Anne M</v>
      </c>
      <c r="AN769" s="32">
        <f>IFERROR(__xludf.DUMMYFUNCTION("""COMPUTED_VALUE"""),42090.0)</f>
        <v>42090</v>
      </c>
    </row>
    <row r="770">
      <c r="A770" s="32"/>
      <c r="I770" s="31" t="str">
        <f>IFERROR(__xludf.DUMMYFUNCTION("""COMPUTED_VALUE"""),"pediatric blood cancer")</f>
        <v>pediatric blood cancer</v>
      </c>
      <c r="J770" s="38">
        <f>COUNTIF(Data!$F$2:$F9917, $I770)</f>
        <v>3</v>
      </c>
      <c r="T770" s="31" t="s">
        <v>2091</v>
      </c>
      <c r="U770" s="31" t="s">
        <v>2092</v>
      </c>
      <c r="V770" s="32">
        <v>45156.0</v>
      </c>
      <c r="X770" s="31" t="str">
        <f>IFERROR(__xludf.DUMMYFUNCTION("""COMPUTED_VALUE"""),"Multi-part strategy for testing differential taxa abundance in sequencing data: A simulation study with an application to a microbiome study.")</f>
        <v>Multi-part strategy for testing differential taxa abundance in sequencing data: A simulation study with an application to a microbiome study.</v>
      </c>
      <c r="Y770" s="31" t="str">
        <f>IFERROR(__xludf.DUMMYFUNCTION("""COMPUTED_VALUE"""),"Cianci, Daniela; Tims, Sebastian; Roeselers, Guus; El Galta, Rachid; Swinkels, Sophie")</f>
        <v>Cianci, Daniela; Tims, Sebastian; Roeselers, Guus; El Galta, Rachid; Swinkels, Sophie</v>
      </c>
      <c r="Z770" s="31">
        <f>IFERROR(__xludf.DUMMYFUNCTION("""COMPUTED_VALUE"""),2023.0)</f>
        <v>2023</v>
      </c>
      <c r="AA770" s="31">
        <f>IFERROR(__xludf.DUMMYFUNCTION("""COMPUTED_VALUE"""),0.0)</f>
        <v>0</v>
      </c>
      <c r="AF770" s="31" t="str">
        <f>IFERROR(__xludf.DUMMYFUNCTION("""COMPUTED_VALUE"""),"Setting Global Standards for Stem Cell Research and Clinical Translation: The 2016 ISSCR Guidelines.")</f>
        <v>Setting Global Standards for Stem Cell Research and Clinical Translation: The 2016 ISSCR Guidelines.</v>
      </c>
      <c r="AG770" s="31" t="str">
        <f>IFERROR(__xludf.DUMMYFUNCTION("""COMPUTED_VALUE"""),"Daley, George Q; Hyun, Insoo; Apperley, Jane F; Barker, Roger A; Benvenisty, Nissim; Bredenoord, Annelien L; Breuer, Christopher K; Caulfield, Timothy; Cedars, Marcelle I; Frey-Vasconcells, Joyce; Heslop, Helen E; Jin, Ying; Lee, Richard T; McCabe, Christ"&amp;"opher; Munsie, Megan; Murry, Charles E; Piantadosi, Steven; Rao, Mahendra; Rooke, Heather M; Sipp, Douglas; Studer, Lorenz; Sugarman, Jeremy; Takahashi, Masayo; Zimmerman, Mark; Kimmelman, Jonathan")</f>
        <v>Daley, George Q; Hyun, Insoo; Apperley, Jane F; Barker, Roger A; Benvenisty, Nissim; Bredenoord, Annelien L; Breuer, Christopher K; Caulfield, Timothy; Cedars, Marcelle I; Frey-Vasconcells, Joyce; Heslop, Helen E; Jin, Ying; Lee, Richard T; McCabe, Christopher; Munsie, Megan; Murry, Charles E; Piantadosi, Steven; Rao, Mahendra; Rooke, Heather M; Sipp, Douglas; Studer, Lorenz; Sugarman, Jeremy; Takahashi, Masayo; Zimmerman, Mark; Kimmelman, Jonathan</v>
      </c>
      <c r="AH770" s="32">
        <f>IFERROR(__xludf.DUMMYFUNCTION("""COMPUTED_VALUE"""),42502.0)</f>
        <v>42502</v>
      </c>
      <c r="AL770" s="31" t="str">
        <f>IFERROR(__xludf.DUMMYFUNCTION("""COMPUTED_VALUE"""),"A Comparison of 8 Nutrition-Related Tests to Predict Mortality in Hemodialysis Patients.")</f>
        <v>A Comparison of 8 Nutrition-Related Tests to Predict Mortality in Hemodialysis Patients.</v>
      </c>
      <c r="AM770" s="31" t="str">
        <f>IFERROR(__xludf.DUMMYFUNCTION("""COMPUTED_VALUE"""),"de Roij van Zuijdewijn, Camiel L M; ter Wee, Piet M; Chapdelaine, Isabelle; Bots, Michiel L; Blankestijn, Peter J; van den Dorpel, Marinus A; Nubé, Menso J; Grooteman, Muriel P C")</f>
        <v>de Roij van Zuijdewijn, Camiel L M; ter Wee, Piet M; Chapdelaine, Isabelle; Bots, Michiel L; Blankestijn, Peter J; van den Dorpel, Marinus A; Nubé, Menso J; Grooteman, Muriel P C</v>
      </c>
      <c r="AN770" s="32">
        <f>IFERROR(__xludf.DUMMYFUNCTION("""COMPUTED_VALUE"""),42089.0)</f>
        <v>42089</v>
      </c>
    </row>
    <row r="771">
      <c r="A771" s="32"/>
      <c r="I771" s="31" t="str">
        <f>IFERROR(__xludf.DUMMYFUNCTION("""COMPUTED_VALUE"""),"asian bioethics review")</f>
        <v>asian bioethics review</v>
      </c>
      <c r="J771" s="38">
        <f>COUNTIF(Data!$F$2:$F9917, $I771)</f>
        <v>1</v>
      </c>
      <c r="T771" s="31" t="s">
        <v>2095</v>
      </c>
      <c r="U771" s="31" t="s">
        <v>2096</v>
      </c>
      <c r="V771" s="32">
        <v>45156.0</v>
      </c>
      <c r="X771" s="31" t="str">
        <f>IFERROR(__xludf.DUMMYFUNCTION("""COMPUTED_VALUE"""),"Associations between prenatal maternal stress, maternal inflammation during pregnancy, and children's internalizing and externalizing symptoms throughout childhood.")</f>
        <v>Associations between prenatal maternal stress, maternal inflammation during pregnancy, and children's internalizing and externalizing symptoms throughout childhood.</v>
      </c>
      <c r="Y771" s="31" t="str">
        <f>IFERROR(__xludf.DUMMYFUNCTION("""COMPUTED_VALUE"""),"Clayborne, Zahra M; Zou, Runyu; Gilman, Stephen E; Khandaker, Golam M; Fell, Deshayne B; Colman, Ian; El Marroun, Hanan")</f>
        <v>Clayborne, Zahra M; Zou, Runyu; Gilman, Stephen E; Khandaker, Golam M; Fell, Deshayne B; Colman, Ian; El Marroun, Hanan</v>
      </c>
      <c r="Z771" s="31">
        <f>IFERROR(__xludf.DUMMYFUNCTION("""COMPUTED_VALUE"""),2023.0)</f>
        <v>2023</v>
      </c>
      <c r="AA771" s="31">
        <f>IFERROR(__xludf.DUMMYFUNCTION("""COMPUTED_VALUE"""),0.0)</f>
        <v>0</v>
      </c>
      <c r="AF771" s="31" t="str">
        <f>IFERROR(__xludf.DUMMYFUNCTION("""COMPUTED_VALUE"""),"Pragmatic trial design elements showed a different impact on trial interpretation and feasibility than explanatory elements.")</f>
        <v>Pragmatic trial design elements showed a different impact on trial interpretation and feasibility than explanatory elements.</v>
      </c>
      <c r="AG771" s="31" t="str">
        <f>IFERROR(__xludf.DUMMYFUNCTION("""COMPUTED_VALUE"""),"Nieuwenhuis, Joost B; Irving, Elaine; Oude Rengerink, Katrien; Lloyd, Emily; Goetz, Iris; Grobbee, Diederick E; Stolk, Pieter; Groenwold, Rolf H H; Zuidgeest, Mira G P; ,")</f>
        <v>Nieuwenhuis, Joost B; Irving, Elaine; Oude Rengerink, Katrien; Lloyd, Emily; Goetz, Iris; Grobbee, Diederick E; Stolk, Pieter; Groenwold, Rolf H H; Zuidgeest, Mira G P; ,</v>
      </c>
      <c r="AH771" s="32">
        <f>IFERROR(__xludf.DUMMYFUNCTION("""COMPUTED_VALUE"""),42497.0)</f>
        <v>42497</v>
      </c>
      <c r="AL771" s="31" t="str">
        <f>IFERROR(__xludf.DUMMYFUNCTION("""COMPUTED_VALUE"""),"Prediction of cardiovascular disease worldwide.")</f>
        <v>Prediction of cardiovascular disease worldwide.</v>
      </c>
      <c r="AM771" s="31" t="str">
        <f>IFERROR(__xludf.DUMMYFUNCTION("""COMPUTED_VALUE"""),"Moons, Karel G M; Schuit, Ewoud")</f>
        <v>Moons, Karel G M; Schuit, Ewoud</v>
      </c>
      <c r="AN771" s="32">
        <f>IFERROR(__xludf.DUMMYFUNCTION("""COMPUTED_VALUE"""),42089.0)</f>
        <v>42089</v>
      </c>
    </row>
    <row r="772">
      <c r="A772" s="32"/>
      <c r="I772" s="31" t="str">
        <f>IFERROR(__xludf.DUMMYFUNCTION("""COMPUTED_VALUE"""),"theranostics")</f>
        <v>theranostics</v>
      </c>
      <c r="J772" s="38">
        <f>COUNTIF(Data!$F$2:$F9917, $I772)</f>
        <v>2</v>
      </c>
      <c r="T772" s="31" t="s">
        <v>2099</v>
      </c>
      <c r="U772" s="31" t="s">
        <v>2100</v>
      </c>
      <c r="V772" s="32">
        <v>45155.0</v>
      </c>
      <c r="X772" s="31" t="str">
        <f>IFERROR(__xludf.DUMMYFUNCTION("""COMPUTED_VALUE"""),"Macrovascular and renal microvascular complications in West Africans with intermediate hyperglycemia living in West Africa and Europe: The RODAM study.")</f>
        <v>Macrovascular and renal microvascular complications in West Africans with intermediate hyperglycemia living in West Africa and Europe: The RODAM study.</v>
      </c>
      <c r="Y772" s="31" t="str">
        <f>IFERROR(__xludf.DUMMYFUNCTION("""COMPUTED_VALUE"""),"Bannerman-Williams, Emmanuel; Hayfron-Benjamin, Charles F; Atiase, Yacoba; Bahendeka, Silver; Meeks, Karlijn; Klipstein-Grobusch, Kerstin; Addo, Juliet; Mockenhaupt, Frank; Schulze, Matthias B; Beune, Erik; van den Born, Bert-Jan; Agyemang, Charles")</f>
        <v>Bannerman-Williams, Emmanuel; Hayfron-Benjamin, Charles F; Atiase, Yacoba; Bahendeka, Silver; Meeks, Karlijn; Klipstein-Grobusch, Kerstin; Addo, Juliet; Mockenhaupt, Frank; Schulze, Matthias B; Beune, Erik; van den Born, Bert-Jan; Agyemang, Charles</v>
      </c>
      <c r="Z772" s="31">
        <f>IFERROR(__xludf.DUMMYFUNCTION("""COMPUTED_VALUE"""),2023.0)</f>
        <v>2023</v>
      </c>
      <c r="AA772" s="31">
        <f>IFERROR(__xludf.DUMMYFUNCTION("""COMPUTED_VALUE"""),0.0)</f>
        <v>0</v>
      </c>
      <c r="AF772" s="31" t="str">
        <f>IFERROR(__xludf.DUMMYFUNCTION("""COMPUTED_VALUE"""),"Assessing the Effect of mHealth Interventions in Improving Maternal and Neonatal Care in Low- and Middle-Income Countries: A Systematic Review.")</f>
        <v>Assessing the Effect of mHealth Interventions in Improving Maternal and Neonatal Care in Low- and Middle-Income Countries: A Systematic Review.</v>
      </c>
      <c r="AG772" s="31" t="str">
        <f>IFERROR(__xludf.DUMMYFUNCTION("""COMPUTED_VALUE"""),"Sondaal, Stephanie Felicie Victoria; Browne, Joyce Linda; Amoakoh-Coleman, Mary; Borgstein, Alexander; Miltenburg, Andrea Solnes; Verwijs, Mirjam; Klipstein-Grobusch, Kerstin")</f>
        <v>Sondaal, Stephanie Felicie Victoria; Browne, Joyce Linda; Amoakoh-Coleman, Mary; Borgstein, Alexander; Miltenburg, Andrea Solnes; Verwijs, Mirjam; Klipstein-Grobusch, Kerstin</v>
      </c>
      <c r="AH772" s="32">
        <f>IFERROR(__xludf.DUMMYFUNCTION("""COMPUTED_VALUE"""),42494.0)</f>
        <v>42494</v>
      </c>
      <c r="AL772" s="31" t="str">
        <f>IFERROR(__xludf.DUMMYFUNCTION("""COMPUTED_VALUE"""),"Colistin and tobramycin resistance during long- term use of selective decontamination strategies in the intensive care unit: a post hoc analysis.")</f>
        <v>Colistin and tobramycin resistance during long- term use of selective decontamination strategies in the intensive care unit: a post hoc analysis.</v>
      </c>
      <c r="AM772" s="31" t="str">
        <f>IFERROR(__xludf.DUMMYFUNCTION("""COMPUTED_VALUE"""),"Wittekamp, Bastiaan H J; Oostdijk, Evelien A N; de Smet, Anne Marie G A; Bonten, Marc J M")</f>
        <v>Wittekamp, Bastiaan H J; Oostdijk, Evelien A N; de Smet, Anne Marie G A; Bonten, Marc J M</v>
      </c>
      <c r="AN772" s="32">
        <f>IFERROR(__xludf.DUMMYFUNCTION("""COMPUTED_VALUE"""),42088.0)</f>
        <v>42088</v>
      </c>
    </row>
    <row r="773">
      <c r="A773" s="32"/>
      <c r="I773" s="31" t="str">
        <f>IFERROR(__xludf.DUMMYFUNCTION("""COMPUTED_VALUE"""),"journal of vascular surgery")</f>
        <v>journal of vascular surgery</v>
      </c>
      <c r="J773" s="38">
        <f>COUNTIF(Data!$F$2:$F9917, $I773)</f>
        <v>12</v>
      </c>
      <c r="T773" s="31" t="s">
        <v>2104</v>
      </c>
      <c r="U773" s="31" t="s">
        <v>2105</v>
      </c>
      <c r="V773" s="32">
        <v>45154.0</v>
      </c>
      <c r="X773" s="31" t="str">
        <f>IFERROR(__xludf.DUMMYFUNCTION("""COMPUTED_VALUE"""),"Strong Constraints on Jet Quenching in Centrality-Dependent p+Pb Collisions at 5.02 TeV from ATLAS.")</f>
        <v>Strong Constraints on Jet Quenching in Centrality-Dependent p+Pb Collisions at 5.02 TeV from ATLAS.</v>
      </c>
      <c r="Y773" s="31"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773" s="31">
        <f>IFERROR(__xludf.DUMMYFUNCTION("""COMPUTED_VALUE"""),2023.0)</f>
        <v>2023</v>
      </c>
      <c r="AA773" s="31">
        <f>IFERROR(__xludf.DUMMYFUNCTION("""COMPUTED_VALUE"""),0.0)</f>
        <v>0</v>
      </c>
      <c r="AF773" s="31" t="str">
        <f>IFERROR(__xludf.DUMMYFUNCTION("""COMPUTED_VALUE"""),"Long-term patterns of chronic complaints of the arms, neck, and shoulders and their determinants--the Doetinchem Cohort Study.")</f>
        <v>Long-term patterns of chronic complaints of the arms, neck, and shoulders and their determinants--the Doetinchem Cohort Study.</v>
      </c>
      <c r="AG773" s="31" t="str">
        <f>IFERROR(__xludf.DUMMYFUNCTION("""COMPUTED_VALUE"""),"van Hulst, Rens; van Oostrom, Sandra H; Ostelo, Raymond W J G; Verschuren, W M Monique; Picavet, H Susan")</f>
        <v>van Hulst, Rens; van Oostrom, Sandra H; Ostelo, Raymond W J G; Verschuren, W M Monique; Picavet, H Susan</v>
      </c>
      <c r="AH773" s="32">
        <f>IFERROR(__xludf.DUMMYFUNCTION("""COMPUTED_VALUE"""),42491.0)</f>
        <v>42491</v>
      </c>
      <c r="AL773" s="31" t="str">
        <f>IFERROR(__xludf.DUMMYFUNCTION("""COMPUTED_VALUE"""),"The role of early pharmacotherapy in the development of posttraumatic stress disorder symptoms after traumatic injury: an observational cohort study in consecutive patients.")</f>
        <v>The role of early pharmacotherapy in the development of posttraumatic stress disorder symptoms after traumatic injury: an observational cohort study in consecutive patients.</v>
      </c>
      <c r="AM773" s="31" t="str">
        <f>IFERROR(__xludf.DUMMYFUNCTION("""COMPUTED_VALUE"""),"Mouthaan, Joanne; Sijbrandij, Marit; Reitsma, Johannes B; Luitse, Jan S K; Goslings, J Carel; Gersons, Berthold P R; Olff, Miranda")</f>
        <v>Mouthaan, Joanne; Sijbrandij, Marit; Reitsma, Johannes B; Luitse, Jan S K; Goslings, J Carel; Gersons, Berthold P R; Olff, Miranda</v>
      </c>
      <c r="AN773" s="32">
        <f>IFERROR(__xludf.DUMMYFUNCTION("""COMPUTED_VALUE"""),42074.0)</f>
        <v>42074</v>
      </c>
    </row>
    <row r="774">
      <c r="A774" s="32"/>
      <c r="I774" s="31" t="str">
        <f>IFERROR(__xludf.DUMMYFUNCTION("""COMPUTED_VALUE"""),"the lancet diabetes endocrinology")</f>
        <v>the lancet diabetes endocrinology</v>
      </c>
      <c r="J774" s="38">
        <f>COUNTIF(Data!$F$2:$F9917, $I774)</f>
        <v>8</v>
      </c>
      <c r="T774" s="31" t="s">
        <v>2108</v>
      </c>
      <c r="U774" s="31" t="s">
        <v>2109</v>
      </c>
      <c r="V774" s="32">
        <v>45154.0</v>
      </c>
      <c r="X774" s="31" t="str">
        <f>IFERROR(__xludf.DUMMYFUNCTION("""COMPUTED_VALUE"""),"Evaluation of Intratumoral Response Heterogeneity in Metastatic Colorectal Cancer and Its Impact on Patient Overall Survival: Findings from 10,551 Patients in the ARCAD Database.")</f>
        <v>Evaluation of Intratumoral Response Heterogeneity in Metastatic Colorectal Cancer and Its Impact on Patient Overall Survival: Findings from 10,551 Patients in the ARCAD Database.</v>
      </c>
      <c r="Y774" s="31" t="str">
        <f>IFERROR(__xludf.DUMMYFUNCTION("""COMPUTED_VALUE"""),"Ou, Fang-Shu; Ahn, Daniel H; Dixon, Jesse G; Grothey, Axel; Lou, Yiyue; Kasi, Pashtoon M; Hubbard, Joleen M; Van Cutsem, Eric; Saltz, Leonard B; Schmoll, Hans-Joachim; Goldberg, Richard M; Venook, Alan P; Hoff, Paulo; Douillard, Jean-Yves; Hecht, J Randol"&amp;"ph; Hurwitz, Herbert; Punt, Cornelis J A; Koopman, Miriam; Bokemeyer, Carsten; Fuchs, Charles S; Diaz-Rubio, Eduardo; Tebbutt, Niall C; Cremolini, Chiara; Kabbinavar, Fairooz F; Bekaii-Saab, Tanios; Chibaudel, Benoist; Yoshino, Takayuki; Zalcberg, John; A"&amp;"dams, Richard A; de Gramont, Aimery; Shi, Qian")</f>
        <v>Ou, Fang-Shu; Ahn, Daniel H; Dixon, Jesse G; Grothey, Axel; Lou, Yiyue; Kasi, Pashtoon M; Hubbard, Joleen M; Van Cutsem, Eric; Saltz, Leonard B; Schmoll, Hans-Joachim; Goldberg, Richard M; Venook, Alan P; Hoff, Paulo; Douillard, Jean-Yves; Hecht, J Randolph; Hurwitz, Herbert; Punt, Cornelis J A; Koopman, Miriam; Bokemeyer, Carsten; Fuchs, Charles S; Diaz-Rubio, Eduardo; Tebbutt, Niall C; Cremolini, Chiara; Kabbinavar, Fairooz F; Bekaii-Saab, Tanios; Chibaudel, Benoist; Yoshino, Takayuki; Zalcberg, John; Adams, Richard A; de Gramont, Aimery; Shi, Qian</v>
      </c>
      <c r="Z774" s="31">
        <f>IFERROR(__xludf.DUMMYFUNCTION("""COMPUTED_VALUE"""),2023.0)</f>
        <v>2023</v>
      </c>
      <c r="AA774" s="31">
        <f>IFERROR(__xludf.DUMMYFUNCTION("""COMPUTED_VALUE"""),0.0)</f>
        <v>0</v>
      </c>
      <c r="AF774" s="31" t="str">
        <f>IFERROR(__xludf.DUMMYFUNCTION("""COMPUTED_VALUE"""),"Association between Cognition and Serum Insulin-Like Growth Factor-1 in Middle-Aged &amp; Older Men: An 8 Year Follow-Up Study.")</f>
        <v>Association between Cognition and Serum Insulin-Like Growth Factor-1 in Middle-Aged &amp; Older Men: An 8 Year Follow-Up Study.</v>
      </c>
      <c r="AG774" s="31" t="str">
        <f>IFERROR(__xludf.DUMMYFUNCTION("""COMPUTED_VALUE"""),"Tumati, Shankar; Burger, Huibert; Martens, Sander; van der Schouw, Yvonne T; Aleman, André")</f>
        <v>Tumati, Shankar; Burger, Huibert; Martens, Sander; van der Schouw, Yvonne T; Aleman, André</v>
      </c>
      <c r="AH774" s="32">
        <f>IFERROR(__xludf.DUMMYFUNCTION("""COMPUTED_VALUE"""),42486.0)</f>
        <v>42486</v>
      </c>
      <c r="AL774" s="31" t="str">
        <f>IFERROR(__xludf.DUMMYFUNCTION("""COMPUTED_VALUE"""),"Stenting versus endarterectomy for restenosis following prior ipsilateral carotid endarterectomy: an individual patient data meta-analysis.")</f>
        <v>Stenting versus endarterectomy for restenosis following prior ipsilateral carotid endarterectomy: an individual patient data meta-analysis.</v>
      </c>
      <c r="AM774" s="31" t="str">
        <f>IFERROR(__xludf.DUMMYFUNCTION("""COMPUTED_VALUE"""),"Fokkema, Margriet; Vrijenhoek, Joyce E P; Den Ruijter, Hester M; Groenwold, Rolf H H; Schermerhorn, Marc L; Bots, Michiel L; Pasterkamp, Gerard; Moll, Frans L; De Borst, Gert Jan; ,")</f>
        <v>Fokkema, Margriet; Vrijenhoek, Joyce E P; Den Ruijter, Hester M; Groenwold, Rolf H H; Schermerhorn, Marc L; Bots, Michiel L; Pasterkamp, Gerard; Moll, Frans L; De Borst, Gert Jan; ,</v>
      </c>
      <c r="AN774" s="32">
        <f>IFERROR(__xludf.DUMMYFUNCTION("""COMPUTED_VALUE"""),42064.0)</f>
        <v>42064</v>
      </c>
    </row>
    <row r="775">
      <c r="A775" s="32"/>
      <c r="I775" s="31" t="str">
        <f>IFERROR(__xludf.DUMMYFUNCTION("""COMPUTED_VALUE"""),"nephron")</f>
        <v>nephron</v>
      </c>
      <c r="J775" s="38">
        <f>COUNTIF(Data!$F$2:$F9917, $I775)</f>
        <v>4</v>
      </c>
      <c r="T775" s="31" t="s">
        <v>2113</v>
      </c>
      <c r="U775" s="31" t="s">
        <v>2114</v>
      </c>
      <c r="V775" s="32">
        <v>45153.0</v>
      </c>
      <c r="X775" s="31" t="str">
        <f>IFERROR(__xludf.DUMMYFUNCTION("""COMPUTED_VALUE"""),"Test of CP Invariance in Higgs Boson Vector-Boson-Fusion Production Using the H→γγ Channel with the ATLAS Detector.")</f>
        <v>Test of CP Invariance in Higgs Boson Vector-Boson-Fusion Production Using the H→γγ Channel with the ATLAS Detector.</v>
      </c>
      <c r="Y775" s="31" t="str">
        <f>IFERROR(__xludf.DUMMYFUNCTION("""COMPUTED_VALUE"""),"Aad, G; Abbott, B; Abbott, D C; Abeling, K; Abidi, S H; Aboulhorma, A; Abramowicz, H; Abreu, H; Abulaiti, Y; Abusleme Hoffman, A C; Acharya, B S; Achkar, B; Adam Bourdarios, C; Adamczyk, L; Adamek, L; Addepalli, S V; Adelman, J; Adiguzel, A; Adorni, S; Ad"&amp;"ye, T; Affolder, A A; Afik, Y; Agaras, M N; Agarwala, J; Aggarwal, A; Agheorghiesei, C; Aguilar-Saavedra, J A; Ahmad, A; Ahmadov, F; Ahmed, W S; Ahuja, S; Ai, X; Aielli, G; Aizenberg, I; Akbiyik, M; Åkesson, T P A; Akimov, A V; Al Khoury, K; Alberghi, G L"&amp;"; Albert, J; Albicocco, P; Alderweireldt, S; Aleksa, M; Aleksandrov, I N; Alexa, C; Alexopoulos, T; Alfonsi, A; Alfonsi, F; Alhroob, M; Ali, B; Ali, S; Aliev, M; Alimonti, G; Alkakhi, W; Allaire, C; Allbrooke, B M M; Allport, P P; Aloisio, A; Alonso, F; A"&amp;"lpigiani, C; Alunno Camelia, E; Alvarez Estevez, M; Alviggi, M G; Aly, M; Amaral Coutinho, Y; Ambler, A; Amelung, C; Amerl, M; Ames, C G; Amidei, D; Amor Dos Santos, S P; Amoroso, S; Amos, K R; Ananiev, V; Anastopoulos, C; Andeen, T; A")</f>
        <v>Aad, G; Abbott, B; Abbott, D C; Abeling, K; Abidi, S H; Aboulhorma, A; Abramowicz, H; Abreu, H; Abulaiti, Y; Abusleme Hoffman, A C; Acharya, B S; Achkar, B;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Alderweireldt, S; Aleksa, M; Aleksandrov, I N; Alexa, C; Alexopoulos, T; Alfonsi, A; Alfonsi, F; Alhroob, M; Ali, B; Ali, S; Aliev, M; Alimonti, G; Alkakhi, W; Allaire, C; Allbrooke, B M M; Allport, P P; Aloisio, A; Alonso, F; Alpigiani, C; Alunno Camelia, E; Alvarez Estevez, M; Alviggi, M G; Aly, M; Amaral Coutinho, Y; Ambler, A; Amelung, C; Amerl, M; Ames, C G; Amidei, D; Amor Dos Santos, S P; Amoroso, S; Amos, K R; Ananiev, V; Anastopoulos, C; Andeen, T; A</v>
      </c>
      <c r="Z775" s="31">
        <f>IFERROR(__xludf.DUMMYFUNCTION("""COMPUTED_VALUE"""),2023.0)</f>
        <v>2023</v>
      </c>
      <c r="AA775" s="31">
        <f>IFERROR(__xludf.DUMMYFUNCTION("""COMPUTED_VALUE"""),0.0)</f>
        <v>0</v>
      </c>
      <c r="AF775" s="31" t="str">
        <f>IFERROR(__xludf.DUMMYFUNCTION("""COMPUTED_VALUE"""),"What do international ethics guidelines say in terms of the scope of medical research ethics?")</f>
        <v>What do international ethics guidelines say in terms of the scope of medical research ethics?</v>
      </c>
      <c r="AG775" s="31" t="str">
        <f>IFERROR(__xludf.DUMMYFUNCTION("""COMPUTED_VALUE"""),"Bernabe, Rosemarie D L C; van Thiel, Ghislaine J M W; van Delden, Johannes J M")</f>
        <v>Bernabe, Rosemarie D L C; van Thiel, Ghislaine J M W; van Delden, Johannes J M</v>
      </c>
      <c r="AH775" s="32">
        <f>IFERROR(__xludf.DUMMYFUNCTION("""COMPUTED_VALUE"""),42486.0)</f>
        <v>42486</v>
      </c>
      <c r="AL775" s="31" t="str">
        <f>IFERROR(__xludf.DUMMYFUNCTION("""COMPUTED_VALUE"""),"A simulation study of sample size demonstrated the importance of the number of events per variable to develop prediction models in clustered data.")</f>
        <v>A simulation study of sample size demonstrated the importance of the number of events per variable to develop prediction models in clustered data.</v>
      </c>
      <c r="AM775" s="31" t="str">
        <f>IFERROR(__xludf.DUMMYFUNCTION("""COMPUTED_VALUE"""),"Wynants, L; Bouwmeester, W; Moons, K G M; Moerbeek, M; Timmerman, D; Van Huffel, S; Van Calster, B; Vergouwe, Y")</f>
        <v>Wynants, L; Bouwmeester, W; Moons, K G M; Moerbeek, M; Timmerman, D; Van Huffel, S; Van Calster, B; Vergouwe, Y</v>
      </c>
      <c r="AN775" s="32">
        <f>IFERROR(__xludf.DUMMYFUNCTION("""COMPUTED_VALUE"""),42049.0)</f>
        <v>42049</v>
      </c>
    </row>
    <row r="776">
      <c r="A776" s="32"/>
      <c r="I776" s="31" t="str">
        <f>IFERROR(__xludf.DUMMYFUNCTION("""COMPUTED_VALUE"""),"epidemiology and infection")</f>
        <v>epidemiology and infection</v>
      </c>
      <c r="J776" s="38">
        <f>COUNTIF(Data!$F$2:$F9917, $I776)</f>
        <v>9</v>
      </c>
      <c r="T776" s="31" t="s">
        <v>2117</v>
      </c>
      <c r="U776" s="31" t="s">
        <v>2118</v>
      </c>
      <c r="V776" s="32">
        <v>45152.0</v>
      </c>
      <c r="X776" s="31" t="str">
        <f>IFERROR(__xludf.DUMMYFUNCTION("""COMPUTED_VALUE"""),"The experiences of doctorally prepared nurses and doctoral nursing students with being mentored in the Nurse-Lead programme: A focus group study.")</f>
        <v>The experiences of doctorally prepared nurses and doctoral nursing students with being mentored in the Nurse-Lead programme: A focus group study.</v>
      </c>
      <c r="Y776" s="31" t="str">
        <f>IFERROR(__xludf.DUMMYFUNCTION("""COMPUTED_VALUE"""),"van Dongen, L J C; Leino-Kilpi, H; Jónsdóttir, H; Meyer, G; Henriques, M A; Schoonhoven, L; Suhonen, R; Hafsteinsdóttir, T B")</f>
        <v>van Dongen, L J C; Leino-Kilpi, H; Jónsdóttir, H; Meyer, G; Henriques, M A; Schoonhoven, L; Suhonen, R; Hafsteinsdóttir, T B</v>
      </c>
      <c r="Z776" s="31">
        <f>IFERROR(__xludf.DUMMYFUNCTION("""COMPUTED_VALUE"""),2023.0)</f>
        <v>2023</v>
      </c>
      <c r="AA776" s="31">
        <f>IFERROR(__xludf.DUMMYFUNCTION("""COMPUTED_VALUE"""),0.0)</f>
        <v>0</v>
      </c>
      <c r="AF776" s="31" t="str">
        <f>IFERROR(__xludf.DUMMYFUNCTION("""COMPUTED_VALUE"""),"Simplifying the audit of risk factor recording and control: A report from an international study in 11 countries.")</f>
        <v>Simplifying the audit of risk factor recording and control: A report from an international study in 11 countries.</v>
      </c>
      <c r="AG776" s="31" t="str">
        <f>IFERROR(__xludf.DUMMYFUNCTION("""COMPUTED_VALUE"""),"Zhao, Min; Cooney, Marie Therese; Klipstein-Grobusch, Kerstin; Vaartjes, Ilonca; De Bacquer, Dirk; De Sutter, Johan; Reiner, Željko; Prescott, Eva; Faggiano, Pompilio; Vanuzzo, Diego; AlFaleh, Hussam; Menown, Ian Ba; Gait, Dan; Posogova, Nana; Sheu, Wayne"&amp;" H-H; Zhao, Dong; Zuo, Huijuan; Grobbee, Diederick E; Graham, Ian M")</f>
        <v>Zhao, Min; Cooney, Marie Therese; Klipstein-Grobusch, Kerstin; Vaartjes, Ilonca; De Bacquer, Dirk; De Sutter, Johan; Reiner, Željko; Prescott, Eva; Faggiano, Pompilio; Vanuzzo, Diego; AlFaleh, Hussam; Menown, Ian Ba; Gait, Dan; Posogova, Nana; Sheu, Wayne H-H; Zhao, Dong; Zuo, Huijuan; Grobbee, Diederick E; Graham, Ian M</v>
      </c>
      <c r="AH776" s="32">
        <f>IFERROR(__xludf.DUMMYFUNCTION("""COMPUTED_VALUE"""),42486.0)</f>
        <v>42486</v>
      </c>
      <c r="AL776" s="31" t="str">
        <f>IFERROR(__xludf.DUMMYFUNCTION("""COMPUTED_VALUE"""),"Healthy lifestyle index and risk of gastric adenocarcinoma in the EPIC cohort study.")</f>
        <v>Healthy lifestyle index and risk of gastric adenocarcinoma in the EPIC cohort study.</v>
      </c>
      <c r="AM776" s="31" t="str">
        <f>IFERROR(__xludf.DUMMYFUNCTION("""COMPUTED_VALUE"""),"Buckland, G; Travier, N; Huerta, J M; Bueno-de-Mesquita, H B As; Siersema, P D; Skeie, G; Weiderpass, E; Engeset, D; Ericson, U; Ohlsson, B; Agudo, A; Romieu, I; Ferrari, P; Freisling, H; Colorado-Yohar, S; Li, K; Kaaks, R; Pala, V; Cross, A J; Riboli, E;"&amp;" Trichopoulou, A; Lagiou, P; Bamia, C; Boutron-Ruault, M C; Fagherazzi, G; Dartois, L; May, A M; Peeters, P H; Panico, S; Johansson, M; Wallner, B; Palli, D; Key, T J; Khaw, K T; Ardanaz, E; Overvad, K; Tjønneland, A; Dorronsoro, M; Sánchez, M J; Quirós, "&amp;"J R; Naccarati, A; Tumino, R; Boeing, H; Gonzalez, C A")</f>
        <v>Buckland, G; Travier, N; Huerta, J M; Bueno-de-Mesquita, H B As; Siersema, P D; Skeie, G; Weiderpass, E; Engeset, D; Ericson, U; Ohlsson, B; Agudo, A; Romieu, I; Ferrari, P; Freisling, H; Colorado-Yohar, S; Li, K; Kaaks, R; Pala, V; Cross, A J; Riboli, E; Trichopoulou, A; Lagiou, P; Bamia, C; Boutron-Ruault, M C; Fagherazzi, G; Dartois, L; May, A M; Peeters, P H; Panico, S; Johansson, M; Wallner, B; Palli, D; Key, T J; Khaw, K T; Ardanaz, E; Overvad, K; Tjønneland, A; Dorronsoro, M; Sánchez, M J; Quirós, J R; Naccarati, A; Tumino, R; Boeing, H; Gonzalez, C A</v>
      </c>
      <c r="AN776" s="32">
        <f>IFERROR(__xludf.DUMMYFUNCTION("""COMPUTED_VALUE"""),42048.0)</f>
        <v>42048</v>
      </c>
    </row>
    <row r="777">
      <c r="A777" s="32"/>
      <c r="I777" s="31" t="str">
        <f>IFERROR(__xludf.DUMMYFUNCTION("""COMPUTED_VALUE"""),"british journal of anaesthesia")</f>
        <v>british journal of anaesthesia</v>
      </c>
      <c r="J777" s="38">
        <f>COUNTIF(Data!$F$2:$F9917, $I777)</f>
        <v>4</v>
      </c>
      <c r="T777" s="31" t="s">
        <v>2122</v>
      </c>
      <c r="U777" s="31" t="s">
        <v>2123</v>
      </c>
      <c r="V777" s="32">
        <v>45149.0</v>
      </c>
      <c r="X777" s="31" t="str">
        <f>IFERROR(__xludf.DUMMYFUNCTION("""COMPUTED_VALUE"""),"Missing values and inconclusive results in diagnostic studies - A scoping review of methods.")</f>
        <v>Missing values and inconclusive results in diagnostic studies - A scoping review of methods.</v>
      </c>
      <c r="Y777" s="31" t="str">
        <f>IFERROR(__xludf.DUMMYFUNCTION("""COMPUTED_VALUE"""),"Stahlmann, Katharina; Reitsma, Johannes B; Zapf, Antonia")</f>
        <v>Stahlmann, Katharina; Reitsma, Johannes B; Zapf, Antonia</v>
      </c>
      <c r="Z777" s="31">
        <f>IFERROR(__xludf.DUMMYFUNCTION("""COMPUTED_VALUE"""),2023.0)</f>
        <v>2023</v>
      </c>
      <c r="AA777" s="31">
        <f>IFERROR(__xludf.DUMMYFUNCTION("""COMPUTED_VALUE"""),0.0)</f>
        <v>0</v>
      </c>
      <c r="AF777" s="31" t="str">
        <f>IFERROR(__xludf.DUMMYFUNCTION("""COMPUTED_VALUE"""),"Maintaining postreproductive health: A care pathway from the European Menopause and Andropause Society (EMAS).")</f>
        <v>Maintaining postreproductive health: A care pathway from the European Menopause and Andropause Society (EMAS).</v>
      </c>
      <c r="AG777" s="31" t="str">
        <f>IFERROR(__xludf.DUMMYFUNCTION("""COMPUTED_VALUE"""),"Armeni, Eleni; Lambrinoudaki, Irene; Ceausu, Iuliana; Depypere, Herman; Mueck, Alfred; Pérez-López, Faustino R; Schouw, Yvonne T van der; Senturk, Levent M; Simoncini, Tommaso; Stevenson, John C; Stute, Petra; Rees, Margaret")</f>
        <v>Armeni, Eleni; Lambrinoudaki, Irene; Ceausu, Iuliana; Depypere, Herman; Mueck, Alfred; Pérez-López, Faustino R; Schouw, Yvonne T van der; Senturk, Levent M; Simoncini, Tommaso; Stevenson, John C; Stute, Petra; Rees, Margaret</v>
      </c>
      <c r="AH777" s="32">
        <f>IFERROR(__xludf.DUMMYFUNCTION("""COMPUTED_VALUE"""),42480.0)</f>
        <v>42480</v>
      </c>
      <c r="AL777" s="31" t="str">
        <f>IFERROR(__xludf.DUMMYFUNCTION("""COMPUTED_VALUE"""),"Cardiovascular disease risk in women with a history of spontaneous preterm delivery: A systematic review and meta-analysis.")</f>
        <v>Cardiovascular disease risk in women with a history of spontaneous preterm delivery: A systematic review and meta-analysis.</v>
      </c>
      <c r="AM777" s="31" t="str">
        <f>IFERROR(__xludf.DUMMYFUNCTION("""COMPUTED_VALUE"""),"Heida, Karst Y; Velthuis, Birgitta K; Oudijk, Martijn A; Reitsma, Johannes B; Bots, Michiel L; Franx, Arie; van Dunné, Frederique M; ,")</f>
        <v>Heida, Karst Y; Velthuis, Birgitta K; Oudijk, Martijn A; Reitsma, Johannes B; Bots, Michiel L; Franx, Arie; van Dunné, Frederique M; ,</v>
      </c>
      <c r="AN777" s="32">
        <f>IFERROR(__xludf.DUMMYFUNCTION("""COMPUTED_VALUE"""),42044.0)</f>
        <v>42044</v>
      </c>
    </row>
    <row r="778">
      <c r="A778" s="32"/>
      <c r="I778" s="31" t="str">
        <f>IFERROR(__xludf.DUMMYFUNCTION("""COMPUTED_VALUE"""),"obesity research clinical practice")</f>
        <v>obesity research clinical practice</v>
      </c>
      <c r="J778" s="38">
        <f>COUNTIF(Data!$F$2:$F9917, $I778)</f>
        <v>1</v>
      </c>
      <c r="T778" s="31" t="s">
        <v>2126</v>
      </c>
      <c r="U778" s="31" t="s">
        <v>2127</v>
      </c>
      <c r="V778" s="32">
        <v>45149.0</v>
      </c>
      <c r="X778" s="31" t="str">
        <f>IFERROR(__xludf.DUMMYFUNCTION("""COMPUTED_VALUE"""),"[Acute chest pain in out-of-hours primary care].")</f>
        <v>[Acute chest pain in out-of-hours primary care].</v>
      </c>
      <c r="Y778" s="31" t="str">
        <f>IFERROR(__xludf.DUMMYFUNCTION("""COMPUTED_VALUE"""),"Manten, Amy; van den Bulk, Simone; Rutten, Frans H; Willemsen, Robert T A; Bonten, Tobias N; Harskamp, Ralf E")</f>
        <v>Manten, Amy; van den Bulk, Simone; Rutten, Frans H; Willemsen, Robert T A; Bonten, Tobias N; Harskamp, Ralf E</v>
      </c>
      <c r="Z778" s="31">
        <f>IFERROR(__xludf.DUMMYFUNCTION("""COMPUTED_VALUE"""),2023.0)</f>
        <v>2023</v>
      </c>
      <c r="AA778" s="31">
        <f>IFERROR(__xludf.DUMMYFUNCTION("""COMPUTED_VALUE"""),0.0)</f>
        <v>0</v>
      </c>
      <c r="AF778" s="31" t="str">
        <f>IFERROR(__xludf.DUMMYFUNCTION("""COMPUTED_VALUE"""),"Unsolicited findings of next-generation sequencing for tumor analysis within a Dutch consortium: clinical daily practice reconsidered.")</f>
        <v>Unsolicited findings of next-generation sequencing for tumor analysis within a Dutch consortium: clinical daily practice reconsidered.</v>
      </c>
      <c r="AG778" s="31" t="str">
        <f>IFERROR(__xludf.DUMMYFUNCTION("""COMPUTED_VALUE"""),"Bijlsma, Rhodé M; Bredenoord, Annelien L; Gadellaa-Hooijdonk, Christa G; Lolkema, Martijn Pj; Sleijfer, Stefan; Voest, Emile E; Ausems, Margreet Gem; Steeghs, Neeltje")</f>
        <v>Bijlsma, Rhodé M; Bredenoord, Annelien L; Gadellaa-Hooijdonk, Christa G; Lolkema, Martijn Pj; Sleijfer, Stefan; Voest, Emile E; Ausems, Margreet Gem; Steeghs, Neeltje</v>
      </c>
      <c r="AH778" s="32">
        <f>IFERROR(__xludf.DUMMYFUNCTION("""COMPUTED_VALUE"""),42473.0)</f>
        <v>42473</v>
      </c>
      <c r="AL778" s="31" t="str">
        <f>IFERROR(__xludf.DUMMYFUNCTION("""COMPUTED_VALUE"""),"General and abdominal obesity and risk of esophageal and gastric adenocarcinoma in the European Prospective Investigation into Cancer and Nutrition.")</f>
        <v>General and abdominal obesity and risk of esophageal and gastric adenocarcinoma in the European Prospective Investigation into Cancer and Nutrition.</v>
      </c>
      <c r="AM778" s="31" t="str">
        <f>IFERROR(__xludf.DUMMYFUNCTION("""COMPUTED_VALUE"""),"Steffen, Annika; Huerta, José-Maria; Weiderpass, Elisabete; Bueno-de-Mesquita, H B As; May, Anne M; Siersema, Peter D; Kaaks, Rudolf; Neamat-Allah, Jasmine; Pala, Valeria; Panico, Salvatore; Saieva, Calogero; Tumino, Rosario; Naccarati, Alessio; Dorronsor"&amp;"o, Miren; Sánchez-Cantalejo, Emilio; Ardanaz, Eva; Quirós, J Ramón; Ohlsson, Bodil; Johansson, Mattias; Wallner, Bengt; Overvad, Kim; Halkjaer, Jytte; Tjønneland, Anne; Fagherazzi, Guy; Racine, Antoine; Clavel-Chapelon, Françoise; Key, Tim J; Khaw, Kay-Te"&amp;"e; Wareham, Nick; Lagiou, Pagona; Bamia, Christina; Trichopoulou, Antonia; Ferrari, Pietro; Freisling, Heinz; Lu, Yunxia; Riboli, Elio; Cross, Amanda J; Gonzalez, Carlos A; Boeing, Heiner")</f>
        <v>Steffen, Annika; Huerta, José-Maria; Weiderpass, Elisabete; Bueno-de-Mesquita, H B As; May, Anne M; Siersema, Peter D; Kaaks, Rudolf; Neamat-Allah, Jasmine; Pala, Valeria; Panico, Salvatore; Saieva, Calogero; Tumino, Rosario; Naccarati, Alessio; Dorronsoro, Miren; Sánchez-Cantalejo, Emilio; Ardanaz, Eva; Quirós, J Ramón; Ohlsson, Bodil; Johansson, Mattias; Wallner, Bengt; Overvad, Kim; Halkjaer, Jytte; Tjønneland, Anne; Fagherazzi, Guy; Racine, Antoine; Clavel-Chapelon, Françoise; Key, Tim J; Khaw, Kay-Tee; Wareham, Nick; Lagiou, Pagona; Bamia, Christina; Trichopoulou, Antonia; Ferrari, Pietro; Freisling, Heinz; Lu, Yunxia; Riboli, Elio; Cross, Amanda J; Gonzalez, Carlos A; Boeing, Heiner</v>
      </c>
      <c r="AN778" s="32">
        <f>IFERROR(__xludf.DUMMYFUNCTION("""COMPUTED_VALUE"""),42044.0)</f>
        <v>42044</v>
      </c>
    </row>
    <row r="779">
      <c r="A779" s="32"/>
      <c r="I779" s="31" t="str">
        <f>IFERROR(__xludf.DUMMYFUNCTION("""COMPUTED_VALUE"""),"journal of interprofessional care")</f>
        <v>journal of interprofessional care</v>
      </c>
      <c r="J779" s="38">
        <f>COUNTIF(Data!$F$2:$F9917, $I779)</f>
        <v>2</v>
      </c>
      <c r="T779" s="31" t="s">
        <v>2130</v>
      </c>
      <c r="U779" s="31" t="s">
        <v>2131</v>
      </c>
      <c r="V779" s="32">
        <v>45148.0</v>
      </c>
      <c r="X779" s="31" t="str">
        <f>IFERROR(__xludf.DUMMYFUNCTION("""COMPUTED_VALUE"""),"Self-efficacy of advanced cancer patients for participation in treatment-related decision-making in six European countries: the ACTION study.")</f>
        <v>Self-efficacy of advanced cancer patients for participation in treatment-related decision-making in six European countries: the ACTION study.</v>
      </c>
      <c r="Y779" s="31" t="str">
        <f>IFERROR(__xludf.DUMMYFUNCTION("""COMPUTED_VALUE"""),"Yildiz, Berivan; Korfage, Ida J; Deliens, Luc; Preston, Nancy J; Miccinesi, Guido; Kodba-Ceh, Hana; Pollock, Kristian; Johnsen, Anna Thit; van Delden, Johannes J M; Rietjens, Judith A C; van der Heide, Agnes")</f>
        <v>Yildiz, Berivan; Korfage, Ida J; Deliens, Luc; Preston, Nancy J; Miccinesi, Guido; Kodba-Ceh, Hana; Pollock, Kristian; Johnsen, Anna Thit; van Delden, Johannes J M; Rietjens, Judith A C; van der Heide, Agnes</v>
      </c>
      <c r="Z779" s="31">
        <f>IFERROR(__xludf.DUMMYFUNCTION("""COMPUTED_VALUE"""),2023.0)</f>
        <v>2023</v>
      </c>
      <c r="AA779" s="31">
        <f>IFERROR(__xludf.DUMMYFUNCTION("""COMPUTED_VALUE"""),0.0)</f>
        <v>0</v>
      </c>
      <c r="AF779" s="31" t="str">
        <f>IFERROR(__xludf.DUMMYFUNCTION("""COMPUTED_VALUE"""),"Genetic Diversity in the Major Capsid L1 Protein of HPV-16 and HPV-18 in the Netherlands.")</f>
        <v>Genetic Diversity in the Major Capsid L1 Protein of HPV-16 and HPV-18 in the Netherlands.</v>
      </c>
      <c r="AG779" s="31" t="str">
        <f>IFERROR(__xludf.DUMMYFUNCTION("""COMPUTED_VALUE"""),"King, Audrey J; Sonsma, Jan A; Vriend, Henrike J; van der Sande, Marianne A B; Feltkamp, Mariet C; Boot, Hein J; Koopmans, Marion P G; ,")</f>
        <v>King, Audrey J; Sonsma, Jan A; Vriend, Henrike J; van der Sande, Marianne A B; Feltkamp, Mariet C; Boot, Hein J; Koopmans, Marion P G; ,</v>
      </c>
      <c r="AH779" s="32">
        <f>IFERROR(__xludf.DUMMYFUNCTION("""COMPUTED_VALUE"""),42472.0)</f>
        <v>42472</v>
      </c>
      <c r="AL779" s="31" t="str">
        <f>IFERROR(__xludf.DUMMYFUNCTION("""COMPUTED_VALUE"""),"A systematic review concerning the relation between the sympathetic nervous system and heart failure with preserved left ventricular ejection fraction.")</f>
        <v>A systematic review concerning the relation between the sympathetic nervous system and heart failure with preserved left ventricular ejection fraction.</v>
      </c>
      <c r="AM779" s="31" t="str">
        <f>IFERROR(__xludf.DUMMYFUNCTION("""COMPUTED_VALUE"""),"Verloop, Willemien L; Beeftink, Martine M A; Santema, Bernadet T; Bots, Michiel L; Blankestijn, Peter J; Cramer, Maarten J; Doevendans, Pieter A; Voskuil, Michiel")</f>
        <v>Verloop, Willemien L; Beeftink, Martine M A; Santema, Bernadet T; Bots, Michiel L; Blankestijn, Peter J; Cramer, Maarten J; Doevendans, Pieter A; Voskuil, Michiel</v>
      </c>
      <c r="AN779" s="32">
        <f>IFERROR(__xludf.DUMMYFUNCTION("""COMPUTED_VALUE"""),42041.0)</f>
        <v>42041</v>
      </c>
    </row>
    <row r="780">
      <c r="A780" s="32"/>
      <c r="I780" s="31" t="str">
        <f>IFERROR(__xludf.DUMMYFUNCTION("""COMPUTED_VALUE"""),"annals of medicine and surgery")</f>
        <v>annals of medicine and surgery</v>
      </c>
      <c r="J780" s="38">
        <f>COUNTIF(Data!$F$2:$F9917, $I780)</f>
        <v>1</v>
      </c>
      <c r="T780" s="31" t="s">
        <v>2134</v>
      </c>
      <c r="U780" s="31" t="s">
        <v>2135</v>
      </c>
      <c r="V780" s="32">
        <v>45148.0</v>
      </c>
      <c r="X780" s="31"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Y780" s="31" t="str">
        <f>IFERROR(__xludf.DUMMYFUNCTION("""COMPUTED_VALUE"""),"Rademaker, Maaike M; Smit, Adriana L; Stokroos, Robert J; van Smeden, Maarten; Stegeman, Inge")</f>
        <v>Rademaker, Maaike M; Smit, Adriana L; Stokroos, Robert J; van Smeden, Maarten; Stegeman, Inge</v>
      </c>
      <c r="Z780" s="31">
        <f>IFERROR(__xludf.DUMMYFUNCTION("""COMPUTED_VALUE"""),2023.0)</f>
        <v>2023</v>
      </c>
      <c r="AA780" s="31">
        <f>IFERROR(__xludf.DUMMYFUNCTION("""COMPUTED_VALUE"""),0.0)</f>
        <v>0</v>
      </c>
      <c r="AF780" s="31" t="str">
        <f>IFERROR(__xludf.DUMMYFUNCTION("""COMPUTED_VALUE"""),"Human-livestock contacts and their relationship to transmission of zoonotic pathogens, a systematic review of literature.")</f>
        <v>Human-livestock contacts and their relationship to transmission of zoonotic pathogens, a systematic review of literature.</v>
      </c>
      <c r="AG780" s="31" t="str">
        <f>IFERROR(__xludf.DUMMYFUNCTION("""COMPUTED_VALUE"""),"Klous, Gijs; Huss, Anke; Heederik, Dick J J; Coutinho, Roel A")</f>
        <v>Klous, Gijs; Huss, Anke; Heederik, Dick J J; Coutinho, Roel A</v>
      </c>
      <c r="AH780" s="32">
        <f>IFERROR(__xludf.DUMMYFUNCTION("""COMPUTED_VALUE"""),42466.0)</f>
        <v>42466</v>
      </c>
      <c r="AL780" s="31" t="str">
        <f>IFERROR(__xludf.DUMMYFUNCTION("""COMPUTED_VALUE"""),"On mixture models for diagnostic meta-analyses.")</f>
        <v>On mixture models for diagnostic meta-analyses.</v>
      </c>
      <c r="AM780" s="31" t="str">
        <f>IFERROR(__xludf.DUMMYFUNCTION("""COMPUTED_VALUE"""),"Eusebi, P; Reitsma, J B; Vermunt, J K")</f>
        <v>Eusebi, P; Reitsma, J B; Vermunt, J K</v>
      </c>
      <c r="AN780" s="32">
        <f>IFERROR(__xludf.DUMMYFUNCTION("""COMPUTED_VALUE"""),42038.0)</f>
        <v>42038</v>
      </c>
    </row>
    <row r="781">
      <c r="A781" s="32"/>
      <c r="I781" s="31" t="str">
        <f>IFERROR(__xludf.DUMMYFUNCTION("""COMPUTED_VALUE"""),"journal of pediatric gastroenterology and nutrition")</f>
        <v>journal of pediatric gastroenterology and nutrition</v>
      </c>
      <c r="J781" s="38">
        <f>COUNTIF(Data!$F$2:$F9917, $I781)</f>
        <v>1</v>
      </c>
      <c r="T781" s="31" t="s">
        <v>2139</v>
      </c>
      <c r="U781" s="31" t="s">
        <v>2140</v>
      </c>
      <c r="V781" s="32">
        <v>45148.0</v>
      </c>
      <c r="X781" s="31" t="str">
        <f>IFERROR(__xludf.DUMMYFUNCTION("""COMPUTED_VALUE"""),"[COPD: working with treatable traits].")</f>
        <v>[COPD: working with treatable traits].</v>
      </c>
      <c r="Y781" s="31" t="str">
        <f>IFERROR(__xludf.DUMMYFUNCTION("""COMPUTED_VALUE"""),"van Dijk, Marlies; Sachs, Alfred P E; Kerstjens, Huib A M")</f>
        <v>van Dijk, Marlies; Sachs, Alfred P E; Kerstjens, Huib A M</v>
      </c>
      <c r="Z781" s="31">
        <f>IFERROR(__xludf.DUMMYFUNCTION("""COMPUTED_VALUE"""),2023.0)</f>
        <v>2023</v>
      </c>
      <c r="AA781" s="31">
        <f>IFERROR(__xludf.DUMMYFUNCTION("""COMPUTED_VALUE"""),0.0)</f>
        <v>0</v>
      </c>
      <c r="AF781" s="31" t="str">
        <f>IFERROR(__xludf.DUMMYFUNCTION("""COMPUTED_VALUE"""),"On scientific authorship: Proliferation, problems and prospects.")</f>
        <v>On scientific authorship: Proliferation, problems and prospects.</v>
      </c>
      <c r="AG781" s="31" t="str">
        <f>IFERROR(__xludf.DUMMYFUNCTION("""COMPUTED_VALUE"""),"Grobbee, Diederick E; Allpress, Rosemary")</f>
        <v>Grobbee, Diederick E; Allpress, Rosemary</v>
      </c>
      <c r="AH781" s="32">
        <f>IFERROR(__xludf.DUMMYFUNCTION("""COMPUTED_VALUE"""),42465.0)</f>
        <v>42465</v>
      </c>
      <c r="AL781" s="31"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781" s="31" t="str">
        <f>IFERROR(__xludf.DUMMYFUNCTION("""COMPUTED_VALUE"""),"Collins, Gary S; Reitsma, Johannes B; Altman, Douglas G; Moons, Karel G M")</f>
        <v>Collins, Gary S; Reitsma, Johannes B; Altman, Douglas G; Moons, Karel G M</v>
      </c>
      <c r="AN781" s="32">
        <f>IFERROR(__xludf.DUMMYFUNCTION("""COMPUTED_VALUE"""),42036.0)</f>
        <v>42036</v>
      </c>
    </row>
    <row r="782">
      <c r="A782" s="32"/>
      <c r="I782" s="31" t="str">
        <f>IFERROR(__xludf.DUMMYFUNCTION("""COMPUTED_VALUE"""),"journal of cardiovascular electrophysiology")</f>
        <v>journal of cardiovascular electrophysiology</v>
      </c>
      <c r="J782" s="38">
        <f>COUNTIF(Data!$F$2:$F9917, $I782)</f>
        <v>1</v>
      </c>
      <c r="T782" s="31" t="s">
        <v>2144</v>
      </c>
      <c r="U782" s="31" t="s">
        <v>2145</v>
      </c>
      <c r="V782" s="32">
        <v>45148.0</v>
      </c>
      <c r="X782" s="31" t="str">
        <f>IFERROR(__xludf.DUMMYFUNCTION("""COMPUTED_VALUE"""),"Should we all die asleep? The problem of the normalization of palliative sedation.")</f>
        <v>Should we all die asleep? The problem of the normalization of palliative sedation.</v>
      </c>
      <c r="Y782" s="31" t="str">
        <f>IFERROR(__xludf.DUMMYFUNCTION("""COMPUTED_VALUE"""),"van Delden, Johannes J M; Heijltjes, Madelon T; Harwood, Rowan H")</f>
        <v>van Delden, Johannes J M; Heijltjes, Madelon T; Harwood, Rowan H</v>
      </c>
      <c r="Z782" s="31">
        <f>IFERROR(__xludf.DUMMYFUNCTION("""COMPUTED_VALUE"""),2023.0)</f>
        <v>2023</v>
      </c>
      <c r="AA782" s="31">
        <f>IFERROR(__xludf.DUMMYFUNCTION("""COMPUTED_VALUE"""),0.0)</f>
        <v>0</v>
      </c>
      <c r="AF782" s="31" t="str">
        <f>IFERROR(__xludf.DUMMYFUNCTION("""COMPUTED_VALUE"""),"Quality of life from a randomized trial of open and endovascular repair for abdominal aortic aneurysm.")</f>
        <v>Quality of life from a randomized trial of open and endovascular repair for abdominal aortic aneurysm.</v>
      </c>
      <c r="AG782" s="31" t="str">
        <f>IFERROR(__xludf.DUMMYFUNCTION("""COMPUTED_VALUE"""),"de Bruin, J L; Groenwold, R H H; Baas, A F; Brownrigg, J R; Prinssen, M; Grobbee, D E; Blankensteijn, J D; ,")</f>
        <v>de Bruin, J L; Groenwold, R H H; Baas, A F; Brownrigg, J R; Prinssen, M; Grobbee, D E; Blankensteijn, J D; ,</v>
      </c>
      <c r="AH782" s="32">
        <f>IFERROR(__xludf.DUMMYFUNCTION("""COMPUTED_VALUE"""),42465.0)</f>
        <v>42465</v>
      </c>
      <c r="AL782" s="31" t="str">
        <f>IFERROR(__xludf.DUMMYFUNCTION("""COMPUTED_VALUE"""),"Coffee and tea consumption and risk of pre- and postmenopausal breast cancer in the European Prospective Investigation into Cancer and Nutrition (EPIC) cohort study.")</f>
        <v>Coffee and tea consumption and risk of pre- and postmenopausal breast cancer in the European Prospective Investigation into Cancer and Nutrition (EPIC) cohort study.</v>
      </c>
      <c r="AM782" s="31" t="str">
        <f>IFERROR(__xludf.DUMMYFUNCTION("""COMPUTED_VALUE"""),"Bhoo-Pathy, Nirmala; Peeters, Petra H M; Uiterwaal, Cuno S P M; Bueno-de-Mesquita, H Bas; Bulgiba, Awang M; Bech, Bodil Hammer; Overvad, Kim; Tjønneland, Anne; Olsen, Anja; Clavel-Chapelon, Françoise; Fagherazzi, Guy; Perquier, Florence; Teucher, Birgit; "&amp;"Kaaks, Rudolf; Schütze, Madlen; Boeing, Heiner; Lagiou, Pagona; Orfanos, Philippos; Trichopoulou, Antonia; Agnoli, Claudia; Mattiello, Amalia; Palli, Domenico; Tumino, Rosario; Sacerdote, Carlotta; van Duijnhoven, Franzel J B; Braaten, Tonje; Lund, Eiliv;"&amp;" Skeie, Guri; Redondo, María-Luisa; Buckland, Genevieve; Pérez, Maria José Sánchez; Chirlaque, Maria-Dolores; Ardanaz, Eva; Amiano, Pilar; Wirfält, Elisabet; Wallström, Peter; Johansson, Ingegerd; Nilsson, Lena Maria; Khaw, Kay-Tee; Wareham, Nick; Allen, "&amp;"Naomi E; Key, Timothy J; Rinaldi, Sabina; Romieu, Isabelle; Gallo, Valentina; Riboli, Elio; van Gils, Carla H")</f>
        <v>Bhoo-Pathy, Nirmala; Peeters, Petra H M; Uiterwaal, Cuno S P M; Bueno-de-Mesquita, H Bas; Bulgiba, Awang M; Bech, Bodil Hammer; Overvad, Kim; Tjønneland, Anne; Olsen, Anja; Clavel-Chapelon, Françoise; Fagherazzi, Guy; Perquier, Florence; Teucher, Birgit; Kaaks, Rudolf; Schütze, Madlen; Boeing, Heiner; Lagiou, Pagona; Orfanos, Philippos; Trichopoulou, Antonia; Agnoli, Claudia; Mattiello, Amalia; Palli, Domenico; Tumino, Rosario; Sacerdote, Carlotta; van Duijnhoven, Franzel J B; Braaten, Tonje; Lund, Eiliv; Skeie, Guri; Redondo, María-Luisa; Buckland, Genevieve; Pérez, Maria José Sánchez; Chirlaque, Maria-Dolores; Ardanaz, Eva; Amiano, Pilar; Wirfält, Elisabet; Wallström, Peter; Johansson, Ingegerd; Nilsson, Lena Maria; Khaw, Kay-Tee; Wareham, Nick; Allen, Naomi E; Key, Timothy J; Rinaldi, Sabina; Romieu, Isabelle; Gallo, Valentina; Riboli, Elio; van Gils, Carla H</v>
      </c>
      <c r="AN782" s="32">
        <f>IFERROR(__xludf.DUMMYFUNCTION("""COMPUTED_VALUE"""),42035.0)</f>
        <v>42035</v>
      </c>
    </row>
    <row r="783">
      <c r="A783" s="32"/>
      <c r="I783" s="31" t="str">
        <f>IFERROR(__xludf.DUMMYFUNCTION("""COMPUTED_VALUE"""),"liver international official journal of the international association for the study of the liver")</f>
        <v>liver international official journal of the international association for the study of the liver</v>
      </c>
      <c r="J783" s="38">
        <f>COUNTIF(Data!$F$2:$F9917, $I783)</f>
        <v>1</v>
      </c>
      <c r="T783" s="31" t="s">
        <v>2149</v>
      </c>
      <c r="U783" s="31" t="s">
        <v>2150</v>
      </c>
      <c r="V783" s="32">
        <v>45147.0</v>
      </c>
      <c r="X783" s="31" t="str">
        <f>IFERROR(__xludf.DUMMYFUNCTION("""COMPUTED_VALUE"""),"Are monoclonals the way forward to prevent or to treat ventilator-associated pneumonia in the intensive care unit?")</f>
        <v>Are monoclonals the way forward to prevent or to treat ventilator-associated pneumonia in the intensive care unit?</v>
      </c>
      <c r="Y783" s="31" t="str">
        <f>IFERROR(__xludf.DUMMYFUNCTION("""COMPUTED_VALUE"""),"Hernandez Padilla, Ana Catalina; Meyer, Sylvain; Van Werkhoven, C H; de Kraker, Marlieke Ea; François, Bruno")</f>
        <v>Hernandez Padilla, Ana Catalina; Meyer, Sylvain; Van Werkhoven, C H; de Kraker, Marlieke Ea; François, Bruno</v>
      </c>
      <c r="Z783" s="31">
        <f>IFERROR(__xludf.DUMMYFUNCTION("""COMPUTED_VALUE"""),2023.0)</f>
        <v>2023</v>
      </c>
      <c r="AA783" s="31">
        <f>IFERROR(__xludf.DUMMYFUNCTION("""COMPUTED_VALUE"""),0.0)</f>
        <v>0</v>
      </c>
      <c r="AF783" s="31" t="str">
        <f>IFERROR(__xludf.DUMMYFUNCTION("""COMPUTED_VALUE"""),"Multifactorial Prevention of Cardiovascular Disease in Patients with Hypertension: the Cardiovascular Polypill.")</f>
        <v>Multifactorial Prevention of Cardiovascular Disease in Patients with Hypertension: the Cardiovascular Polypill.</v>
      </c>
      <c r="AG783" s="31" t="str">
        <f>IFERROR(__xludf.DUMMYFUNCTION("""COMPUTED_VALUE"""),"Lafeber, M; Spiering, W; Visseren, F L J; Grobbee, D E")</f>
        <v>Lafeber, M; Spiering, W; Visseren, F L J; Grobbee, D E</v>
      </c>
      <c r="AH783" s="32">
        <f>IFERROR(__xludf.DUMMYFUNCTION("""COMPUTED_VALUE"""),42461.0)</f>
        <v>42461</v>
      </c>
      <c r="AL783" s="31" t="str">
        <f>IFERROR(__xludf.DUMMYFUNCTION("""COMPUTED_VALUE"""),"Literature survey of high-impact journals revealed reporting weaknesses in abstracts of diagnostic accuracy studies.")</f>
        <v>Literature survey of high-impact journals revealed reporting weaknesses in abstracts of diagnostic accuracy studies.</v>
      </c>
      <c r="AM783" s="31" t="str">
        <f>IFERROR(__xludf.DUMMYFUNCTION("""COMPUTED_VALUE"""),"Korevaar, Daniël A; Cohen, Jérémie F; Hooft, Lotty; Bossuyt, Patrick M M")</f>
        <v>Korevaar, Daniël A; Cohen, Jérémie F; Hooft, Lotty; Bossuyt, Patrick M M</v>
      </c>
      <c r="AN783" s="32">
        <f>IFERROR(__xludf.DUMMYFUNCTION("""COMPUTED_VALUE"""),42032.0)</f>
        <v>42032</v>
      </c>
    </row>
    <row r="784">
      <c r="A784" s="32"/>
      <c r="I784" s="31" t="str">
        <f>IFERROR(__xludf.DUMMYFUNCTION("""COMPUTED_VALUE"""),"the journal of allergy and clinical immunology")</f>
        <v>the journal of allergy and clinical immunology</v>
      </c>
      <c r="J784" s="38">
        <f>COUNTIF(Data!$F$2:$F9917, $I784)</f>
        <v>7</v>
      </c>
      <c r="T784" s="31" t="s">
        <v>2154</v>
      </c>
      <c r="U784" s="31" t="s">
        <v>2155</v>
      </c>
      <c r="V784" s="32">
        <v>45147.0</v>
      </c>
      <c r="X784" s="31" t="str">
        <f>IFERROR(__xludf.DUMMYFUNCTION("""COMPUTED_VALUE"""),"""From Nares to Wound: Exploring the mechanisms for Staphylococcal surgical site infections, implications for infection prevention"".")</f>
        <v>"From Nares to Wound: Exploring the mechanisms for Staphylococcal surgical site infections, implications for infection prevention".</v>
      </c>
      <c r="Y784" s="31" t="str">
        <f>IFERROR(__xludf.DUMMYFUNCTION("""COMPUTED_VALUE"""),"Troeman, Darren P R; Kluytmans, Jan A J W")</f>
        <v>Troeman, Darren P R; Kluytmans, Jan A J W</v>
      </c>
      <c r="Z784" s="31">
        <f>IFERROR(__xludf.DUMMYFUNCTION("""COMPUTED_VALUE"""),2023.0)</f>
        <v>2023</v>
      </c>
      <c r="AA784" s="31">
        <f>IFERROR(__xludf.DUMMYFUNCTION("""COMPUTED_VALUE"""),0.0)</f>
        <v>0</v>
      </c>
      <c r="AF784" s="31" t="str">
        <f>IFERROR(__xludf.DUMMYFUNCTION("""COMPUTED_VALUE"""),"Health insurance determines antenatal, delivery and postnatal care utilisation: evidence from the Ghana Demographic and Health Surveillance data.")</f>
        <v>Health insurance determines antenatal, delivery and postnatal care utilisation: evidence from the Ghana Demographic and Health Surveillance data.</v>
      </c>
      <c r="AG784" s="31" t="str">
        <f>IFERROR(__xludf.DUMMYFUNCTION("""COMPUTED_VALUE"""),"Browne, Joyce L; Kayode, Gbenga A; Arhinful, Daniel; Fidder, Samuel A J; Grobbee, Diederick E; Klipstein-Grobusch, Kerstin")</f>
        <v>Browne, Joyce L; Kayode, Gbenga A; Arhinful, Daniel; Fidder, Samuel A J; Grobbee, Diederick E; Klipstein-Grobusch, Kerstin</v>
      </c>
      <c r="AH784" s="32">
        <f>IFERROR(__xludf.DUMMYFUNCTION("""COMPUTED_VALUE"""),42447.0)</f>
        <v>42447</v>
      </c>
      <c r="AL784" s="31" t="str">
        <f>IFERROR(__xludf.DUMMYFUNCTION("""COMPUTED_VALUE"""),"Moderators of the response to a nurse-led psychosocial intervention to reduce depressive symptoms in head and neck cancer patients.")</f>
        <v>Moderators of the response to a nurse-led psychosocial intervention to reduce depressive symptoms in head and neck cancer patients.</v>
      </c>
      <c r="AM784" s="31" t="str">
        <f>IFERROR(__xludf.DUMMYFUNCTION("""COMPUTED_VALUE"""),"van der Meulen, Ingeborg C; May, Anne M; de Leeuw, J Rob J; Koole, Ron; Oosterom, Miriam; Hordijk, Gert-Jan; Ros, Wynand J G")</f>
        <v>van der Meulen, Ingeborg C; May, Anne M; de Leeuw, J Rob J; Koole, Ron; Oosterom, Miriam; Hordijk, Gert-Jan; Ros, Wynand J G</v>
      </c>
      <c r="AN784" s="32">
        <f>IFERROR(__xludf.DUMMYFUNCTION("""COMPUTED_VALUE"""),42027.0)</f>
        <v>42027</v>
      </c>
    </row>
    <row r="785">
      <c r="A785" s="32"/>
      <c r="I785" s="31" t="str">
        <f>IFERROR(__xludf.DUMMYFUNCTION("""COMPUTED_VALUE"""),"cancer research")</f>
        <v>cancer research</v>
      </c>
      <c r="J785" s="38">
        <f>COUNTIF(Data!$F$2:$F9917, $I785)</f>
        <v>5</v>
      </c>
      <c r="T785" s="31" t="s">
        <v>2158</v>
      </c>
      <c r="U785" s="31" t="s">
        <v>2159</v>
      </c>
      <c r="V785" s="32">
        <v>45146.0</v>
      </c>
      <c r="X785" s="31" t="str">
        <f>IFERROR(__xludf.DUMMYFUNCTION("""COMPUTED_VALUE"""),"What Drives Task Performance in Animal Fluency in Individuals Without Dementia? The SMART-MR Study.")</f>
        <v>What Drives Task Performance in Animal Fluency in Individuals Without Dementia? The SMART-MR Study.</v>
      </c>
      <c r="Y785" s="31" t="str">
        <f>IFERROR(__xludf.DUMMYFUNCTION("""COMPUTED_VALUE"""),"Rofes, Adrià; Beran, Magdalena; Jonkers, Roel; Geerlings, Mirjam I; Vonk, Jet M J")</f>
        <v>Rofes, Adrià; Beran, Magdalena; Jonkers, Roel; Geerlings, Mirjam I; Vonk, Jet M J</v>
      </c>
      <c r="Z785" s="31">
        <f>IFERROR(__xludf.DUMMYFUNCTION("""COMPUTED_VALUE"""),2023.0)</f>
        <v>2023</v>
      </c>
      <c r="AA785" s="31">
        <f>IFERROR(__xludf.DUMMYFUNCTION("""COMPUTED_VALUE"""),0.0)</f>
        <v>0</v>
      </c>
      <c r="AF785" s="31" t="str">
        <f>IFERROR(__xludf.DUMMYFUNCTION("""COMPUTED_VALUE"""),"Effects of paediatric HIV infection on electrical conduction of the heart.")</f>
        <v>Effects of paediatric HIV infection on electrical conduction of the heart.</v>
      </c>
      <c r="AG785" s="31" t="str">
        <f>IFERROR(__xludf.DUMMYFUNCTION("""COMPUTED_VALUE"""),"Idris, Nikmah S; Cheung, Michael M H; Grobbee, Diederick E; Burgner, David; Kurniati, Nia; Djer, Mulyadi M; Uiterwaal, Cuno S P M")</f>
        <v>Idris, Nikmah S; Cheung, Michael M H; Grobbee, Diederick E; Burgner, David; Kurniati, Nia; Djer, Mulyadi M; Uiterwaal, Cuno S P M</v>
      </c>
      <c r="AH785" s="32">
        <f>IFERROR(__xludf.DUMMYFUNCTION("""COMPUTED_VALUE"""),42439.0)</f>
        <v>42439</v>
      </c>
      <c r="AL785" s="31" t="str">
        <f>IFERROR(__xludf.DUMMYFUNCTION("""COMPUTED_VALUE"""),"Vitiligo-like depigmentation in patients with stage III-IV melanoma receiving immunotherapy and its association with survival: a systematic review and meta-analysis.")</f>
        <v>Vitiligo-like depigmentation in patients with stage III-IV melanoma receiving immunotherapy and its association with survival: a systematic review and meta-analysis.</v>
      </c>
      <c r="AM785" s="31" t="str">
        <f>IFERROR(__xludf.DUMMYFUNCTION("""COMPUTED_VALUE"""),"Teulings, Hansje-Eva; Limpens, Jacqueline; Jansen, Sophia N; Zwinderman, Aeilko H; Reitsma, Johannes B; Spuls, Phyllis I; Luiten, Rosalie M")</f>
        <v>Teulings, Hansje-Eva; Limpens, Jacqueline; Jansen, Sophia N; Zwinderman, Aeilko H; Reitsma, Johannes B; Spuls, Phyllis I; Luiten, Rosalie M</v>
      </c>
      <c r="AN785" s="32">
        <f>IFERROR(__xludf.DUMMYFUNCTION("""COMPUTED_VALUE"""),42024.0)</f>
        <v>42024</v>
      </c>
    </row>
    <row r="786">
      <c r="A786" s="32"/>
      <c r="I786" s="31" t="str">
        <f>IFERROR(__xludf.DUMMYFUNCTION("""COMPUTED_VALUE"""),"learning health systems")</f>
        <v>learning health systems</v>
      </c>
      <c r="J786" s="38">
        <f>COUNTIF(Data!$F$2:$F9917, $I786)</f>
        <v>3</v>
      </c>
      <c r="T786" s="31" t="s">
        <v>2162</v>
      </c>
      <c r="U786" s="31" t="s">
        <v>2163</v>
      </c>
      <c r="V786" s="32">
        <v>45146.0</v>
      </c>
      <c r="X786" s="31" t="str">
        <f>IFERROR(__xludf.DUMMYFUNCTION("""COMPUTED_VALUE"""),"Association of perceived and objective neighborhood walkability with accelerometer-measured physical activity and sedentary time in the Maastricht Study.")</f>
        <v>Association of perceived and objective neighborhood walkability with accelerometer-measured physical activity and sedentary time in the Maastricht Study.</v>
      </c>
      <c r="Y786" s="31" t="str">
        <f>IFERROR(__xludf.DUMMYFUNCTION("""COMPUTED_VALUE"""),"Chan, Jeffrey Alexander; Bosma, Hans; Drosinou, Connie; Timmermans, Erik J; Savelberg, Hans; Schaper, Nicolaas; Schram, Miranda T; Stehouwer, Coen D A; Lakerveld, Jeroen; Koster, Annemarie")</f>
        <v>Chan, Jeffrey Alexander; Bosma, Hans; Drosinou, Connie; Timmermans, Erik J; Savelberg, Hans; Schaper, Nicolaas; Schram, Miranda T; Stehouwer, Coen D A; Lakerveld, Jeroen; Koster, Annemarie</v>
      </c>
      <c r="Z786" s="31">
        <f>IFERROR(__xludf.DUMMYFUNCTION("""COMPUTED_VALUE"""),2023.0)</f>
        <v>2023</v>
      </c>
      <c r="AA786" s="31">
        <f>IFERROR(__xludf.DUMMYFUNCTION("""COMPUTED_VALUE"""),0.0)</f>
        <v>0</v>
      </c>
      <c r="AF786" s="31" t="str">
        <f>IFERROR(__xludf.DUMMYFUNCTION("""COMPUTED_VALUE"""),"PRECIS-2 in perspective: what is next for pragmatic trials?")</f>
        <v>PRECIS-2 in perspective: what is next for pragmatic trials?</v>
      </c>
      <c r="AG786" s="31" t="str">
        <f>IFERROR(__xludf.DUMMYFUNCTION("""COMPUTED_VALUE"""),"Zuidgeest, Mira G; Goetz, Iris; Grobbee, Diederick E; ,")</f>
        <v>Zuidgeest, Mira G; Goetz, Iris; Grobbee, Diederick E; ,</v>
      </c>
      <c r="AH786" s="32">
        <f>IFERROR(__xludf.DUMMYFUNCTION("""COMPUTED_VALUE"""),42435.0)</f>
        <v>42435</v>
      </c>
      <c r="AL786" s="31" t="str">
        <f>IFERROR(__xludf.DUMMYFUNCTION("""COMPUTED_VALUE"""),"Quantitative comparison of 21 protocols for labeling hippocampal subfields and parahippocampal subregions in in vivo MRI: towards a harmonized segmentation protocol.")</f>
        <v>Quantitative comparison of 21 protocols for labeling hippocampal subfields and parahippocampal subregions in in vivo MRI: towards a harmonized segmentation protocol.</v>
      </c>
      <c r="AM786" s="31" t="str">
        <f>IFERROR(__xludf.DUMMYFUNCTION("""COMPUTED_VALUE"""),"Yushkevich, Paul A; Amaral, Robert S C; Augustinack, Jean C; Bender, Andrew R; Bernstein, Jeffrey D; Boccardi, Marina; Bocchetta, Martina; Burggren, Alison C; Carr, Valerie A; Chakravarty, M Mallar; Chételat, Gaël; Daugherty, Ana M; Davachi, Lila; Ding, S"&amp;"ong-Lin; Ekstrom, Arne; Geerlings, Mirjam I; Hassan, Abdul; Huang, Yushan; Iglesias, J Eugenio; La Joie, Renaud; Kerchner, Geoffrey A; LaRocque, Karen F; Libby, Laura A; Malykhin, Nikolai; Mueller, Susanne G; Olsen, Rosanna K; Palombo, Daniela J; Parekh, "&amp;"Mansi B; Pluta, John B; Preston, Alison R; Pruessner, Jens C; Ranganath, Charan; Raz, Naftali; Schlichting, Margaret L; Schoemaker, Dorothee; Singh, Sachi; Stark, Craig E L; Suthana, Nanthia; Tompary, Alexa; Turowski, Marta M; Van Leemput, Koen; Wagner, A"&amp;"nthony D; Wang, Lei; Winterburn, Julie L; Wisse, Laura E M; Yassa, Michael A; Zeineh, Michael M; ,")</f>
        <v>Yushkevich, Paul A; Amaral, Robert S C; Augustinack, Jean C; Bender, Andrew R; Bernstein, Jeffrey D; Boccardi, Marina; Bocchetta, Martina; Burggren, Alison C; Carr, Valerie A; Chakravarty, M Mallar; Chételat, Gaël; Daugherty, Ana M; Davachi, Lila; Ding, Song-Lin; Ekstrom, Arne; Geerlings, Mirjam I; Hassan, Abdul; Huang, Yushan; Iglesias, J Eugenio; La Joie, Renaud; Kerchner, Geoffrey A; LaRocque, Karen F; Libby, Laura A; Malykhin, Nikolai; Mueller, Susanne G; Olsen, Rosanna K; Palombo, Daniela J; Parekh, Mansi B; Pluta, John B; Preston, Alison R; Pruessner, Jens C; Ranganath, Charan; Raz, Naftali; Schlichting, Margaret L; Schoemaker, Dorothee; Singh, Sachi; Stark, Craig E L; Suthana, Nanthia; Tompary, Alexa; Turowski, Marta M; Van Leemput, Koen; Wagner, Anthony D; Wang, Lei; Winterburn, Julie L; Wisse, Laura E M; Yassa, Michael A; Zeineh, Michael M; ,</v>
      </c>
      <c r="AN786" s="32">
        <f>IFERROR(__xludf.DUMMYFUNCTION("""COMPUTED_VALUE"""),42018.0)</f>
        <v>42018</v>
      </c>
    </row>
    <row r="787">
      <c r="A787" s="32"/>
      <c r="I787" s="31" t="str">
        <f>IFERROR(__xludf.DUMMYFUNCTION("""COMPUTED_VALUE"""),"blood purification")</f>
        <v>blood purification</v>
      </c>
      <c r="J787" s="38">
        <f>COUNTIF(Data!$F$2:$F9917, $I787)</f>
        <v>1</v>
      </c>
      <c r="T787" s="31" t="s">
        <v>2166</v>
      </c>
      <c r="U787" s="31" t="s">
        <v>2167</v>
      </c>
      <c r="V787" s="32">
        <v>45145.0</v>
      </c>
      <c r="X787" s="31" t="str">
        <f>IFERROR(__xludf.DUMMYFUNCTION("""COMPUTED_VALUE"""),"A systematic review of the intercontinental movement of unregulated African meat imports into and through European border checkpoints.")</f>
        <v>A systematic review of the intercontinental movement of unregulated African meat imports into and through European border checkpoints.</v>
      </c>
      <c r="Y787" s="31" t="str">
        <f>IFERROR(__xludf.DUMMYFUNCTION("""COMPUTED_VALUE"""),"Morrison-Lanjouw, S; Spijker, R; Mughini-Gras, L; Coutinho, R A; Chaber, A L; Leeflang, M")</f>
        <v>Morrison-Lanjouw, S; Spijker, R; Mughini-Gras, L; Coutinho, R A; Chaber, A L; Leeflang, M</v>
      </c>
      <c r="Z787" s="31">
        <f>IFERROR(__xludf.DUMMYFUNCTION("""COMPUTED_VALUE"""),2023.0)</f>
        <v>2023</v>
      </c>
      <c r="AA787" s="31">
        <f>IFERROR(__xludf.DUMMYFUNCTION("""COMPUTED_VALUE"""),0.0)</f>
        <v>0</v>
      </c>
      <c r="AF787" s="31" t="str">
        <f>IFERROR(__xludf.DUMMYFUNCTION("""COMPUTED_VALUE"""),"Common trajectories of physical functioning in the Doetinchem Cohort Study.")</f>
        <v>Common trajectories of physical functioning in the Doetinchem Cohort Study.</v>
      </c>
      <c r="AG787" s="31" t="str">
        <f>IFERROR(__xludf.DUMMYFUNCTION("""COMPUTED_VALUE"""),"Rooth, Vera; van Oostrom, Sandra H; Deeg, Dorly J H; Verschuren, W M Monique; Picavet, H Susan J")</f>
        <v>Rooth, Vera; van Oostrom, Sandra H; Deeg, Dorly J H; Verschuren, W M Monique; Picavet, H Susan J</v>
      </c>
      <c r="AH787" s="32">
        <f>IFERROR(__xludf.DUMMYFUNCTION("""COMPUTED_VALUE"""),42417.0)</f>
        <v>42417</v>
      </c>
      <c r="AL787" s="31" t="str">
        <f>IFERROR(__xludf.DUMMYFUNCTION("""COMPUTED_VALUE"""),"Physical activity and all-cause mortality across levels of overall and abdominal adiposity in European men and women: the European Prospective Investigation into Cancer and Nutrition Study (EPIC).")</f>
        <v>Physical activity and all-cause mortality across levels of overall and abdominal adiposity in European men and women: the European Prospective Investigation into Cancer and Nutrition Study (EPIC).</v>
      </c>
      <c r="AM787" s="31" t="str">
        <f>IFERROR(__xludf.DUMMYFUNCTION("""COMPUTED_VALUE"""),"Ekelund, Ulf; Ward, Heather A; Norat, Teresa; Luan, Jian'an; May, Anne M; Weiderpass, Elisabete; Sharp, Stephen J; Overvad, Kim; Østergaard, Jane Nautrup; Tjønneland, Anne; Johnsen, Nina Føns; Mesrine, Sylvie; Fournier, Agnès; Fagherazzi, Guy; Trichopoulo"&amp;"u, Antonia; Lagiou, Pagona; Trichopoulos, Dimitrios; Li, Kuanrong; Kaaks, Rudolf; Ferrari, Pietro; Licaj, Idlir; Jenab, Mazda; Bergmann, Manuela; Boeing, Heiner; Palli, Domenico; Sieri, Sabina; Panico, Salvatore; Tumino, Rosario; Vineis, Paolo; Peeters, P"&amp;"etra H; Monnikhof, Evelyn; Bueno-de-Mesquita, H Bas; Quirós, J Ramón; Agudo, Antonio; Sánchez, María-José; Huerta, José María; Ardanaz, Eva; Arriola, Larraitz; Hedblad, Bo; Wirfält, Elisabet; Sund, Malin; Johansson, Mattias; Key, Timothy J; Travis, Ruth C"&amp;"; Khaw, Kay-Tee; Brage, Søren; Wareham, Nicholas J; Riboli, Elio")</f>
        <v>Ekelund, Ulf; Ward, Heather A; Norat, Teresa; Luan, Jian'an; May, Anne M; Weiderpass, Elisabete; Sharp, Stephen J; Overvad, Kim; Østergaard, Jane Nautrup; Tjønneland, Anne; Johnsen, Nina Føns; Mesrine, Sylvie; Fournier, Agnès; Fagherazzi, Guy; Trichopoulou, Antonia; Lagiou, Pagona; Trichopoulos, Dimitrios; Li, Kuanrong; Kaaks, Rudolf; Ferrari, Pietro; Licaj, Idlir; Jenab, Mazda; Bergmann, Manuela; Boeing, Heiner; Palli, Domenico; Sieri, Sabina; Panico, Salvatore; Tumino, Rosario; Vineis, Paolo; Peeters, Petra H; Monnikhof, Evelyn; Bueno-de-Mesquita, H Bas; Quirós, J Ramón; Agudo, Antonio; Sánchez, María-José; Huerta, José María; Ardanaz, Eva; Arriola, Larraitz; Hedblad, Bo; Wirfält, Elisabet; Sund, Malin; Johansson, Mattias; Key, Timothy J; Travis, Ruth C; Khaw, Kay-Tee; Brage, Søren; Wareham, Nicholas J; Riboli, Elio</v>
      </c>
      <c r="AN787" s="32">
        <f>IFERROR(__xludf.DUMMYFUNCTION("""COMPUTED_VALUE"""),42018.0)</f>
        <v>42018</v>
      </c>
    </row>
    <row r="788">
      <c r="A788" s="32"/>
      <c r="I788" s="31" t="str">
        <f>IFERROR(__xludf.DUMMYFUNCTION("""COMPUTED_VALUE"""),"hiv medicine")</f>
        <v>hiv medicine</v>
      </c>
      <c r="J788" s="38">
        <f>COUNTIF(Data!$F$2:$F9917, $I788)</f>
        <v>1</v>
      </c>
      <c r="T788" s="31" t="s">
        <v>2171</v>
      </c>
      <c r="U788" s="31" t="s">
        <v>2172</v>
      </c>
      <c r="V788" s="32">
        <v>45141.0</v>
      </c>
      <c r="X788" s="31" t="str">
        <f>IFERROR(__xludf.DUMMYFUNCTION("""COMPUTED_VALUE"""),"Exploring Metabolomic Patterns in Type 2 Diabetes Mellitus and Response to Glucose-Lowering Medications-Review.")</f>
        <v>Exploring Metabolomic Patterns in Type 2 Diabetes Mellitus and Response to Glucose-Lowering Medications-Review.</v>
      </c>
      <c r="Y788" s="31" t="str">
        <f>IFERROR(__xludf.DUMMYFUNCTION("""COMPUTED_VALUE"""),"Shahisavandi, Mina; Wang, Kan; Ghanbari, Mohsen; Ahmadizar, Fariba")</f>
        <v>Shahisavandi, Mina; Wang, Kan; Ghanbari, Mohsen; Ahmadizar, Fariba</v>
      </c>
      <c r="Z788" s="31">
        <f>IFERROR(__xludf.DUMMYFUNCTION("""COMPUTED_VALUE"""),2023.0)</f>
        <v>2023</v>
      </c>
      <c r="AA788" s="31">
        <f>IFERROR(__xludf.DUMMYFUNCTION("""COMPUTED_VALUE"""),0.0)</f>
        <v>0</v>
      </c>
      <c r="AF788" s="31" t="str">
        <f>IFERROR(__xludf.DUMMYFUNCTION("""COMPUTED_VALUE"""),"When Children Become Adults: Should Biobanks Re-Contact?")</f>
        <v>When Children Become Adults: Should Biobanks Re-Contact?</v>
      </c>
      <c r="AG788" s="31" t="str">
        <f>IFERROR(__xludf.DUMMYFUNCTION("""COMPUTED_VALUE"""),"Giesbertz, Noor A A; Bredenoord, Annelien L; van Delden, Johannes J M")</f>
        <v>Giesbertz, Noor A A; Bredenoord, Annelien L; van Delden, Johannes J M</v>
      </c>
      <c r="AH788" s="32">
        <f>IFERROR(__xludf.DUMMYFUNCTION("""COMPUTED_VALUE"""),42416.0)</f>
        <v>42416</v>
      </c>
      <c r="AL788" s="31"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788" s="31" t="str">
        <f>IFERROR(__xludf.DUMMYFUNCTION("""COMPUTED_VALUE"""),"Collins, Gary S; Reitsma, Johannes B; Altman, Douglas G; Moons, Karel G M")</f>
        <v>Collins, Gary S; Reitsma, Johannes B; Altman, Douglas G; Moons, Karel G M</v>
      </c>
      <c r="AN788" s="32">
        <f>IFERROR(__xludf.DUMMYFUNCTION("""COMPUTED_VALUE"""),42011.0)</f>
        <v>42011</v>
      </c>
    </row>
    <row r="789">
      <c r="A789" s="32"/>
      <c r="I789" s="31" t="str">
        <f>IFERROR(__xludf.DUMMYFUNCTION("""COMPUTED_VALUE"""),"the american journal of emergency medicine")</f>
        <v>the american journal of emergency medicine</v>
      </c>
      <c r="J789" s="38">
        <f>COUNTIF(Data!$F$2:$F9917, $I789)</f>
        <v>1</v>
      </c>
      <c r="T789" s="31" t="s">
        <v>2176</v>
      </c>
      <c r="U789" s="31" t="s">
        <v>2177</v>
      </c>
      <c r="V789" s="32">
        <v>45140.0</v>
      </c>
      <c r="X789" s="31" t="str">
        <f>IFERROR(__xludf.DUMMYFUNCTION("""COMPUTED_VALUE"""),"Elderly people in humanitarian crises, a forgotten population: A call for action.")</f>
        <v>Elderly people in humanitarian crises, a forgotten population: A call for action.</v>
      </c>
      <c r="Y789" s="31" t="str">
        <f>IFERROR(__xludf.DUMMYFUNCTION("""COMPUTED_VALUE"""),"van Boetzelaer, Elburg; Browne, Joyce L; Vaid, Sonali; Pellecchia, Umberto; van de Kamp, Judith; Franco, Oscar H; Baidjoe, Amrish Y")</f>
        <v>van Boetzelaer, Elburg; Browne, Joyce L; Vaid, Sonali; Pellecchia, Umberto; van de Kamp, Judith; Franco, Oscar H; Baidjoe, Amrish Y</v>
      </c>
      <c r="Z789" s="31">
        <f>IFERROR(__xludf.DUMMYFUNCTION("""COMPUTED_VALUE"""),2023.0)</f>
        <v>2023</v>
      </c>
      <c r="AA789" s="31">
        <f>IFERROR(__xludf.DUMMYFUNCTION("""COMPUTED_VALUE"""),0.0)</f>
        <v>0</v>
      </c>
      <c r="AF789" s="31" t="str">
        <f>IFERROR(__xludf.DUMMYFUNCTION("""COMPUTED_VALUE"""),"Association of Multiple Biomarkers of Iron Metabolism and Type 2 Diabetes: The EPIC-InterAct Study.")</f>
        <v>Association of Multiple Biomarkers of Iron Metabolism and Type 2 Diabetes: The EPIC-InterAct Study.</v>
      </c>
      <c r="AG789" s="31" t="str">
        <f>IFERROR(__xludf.DUMMYFUNCTION("""COMPUTED_VALUE"""),"Podmore, Clara; Meidtner, Karina; Schulze, Matthias B; Scott, Robert A; Ramond, Anna; Butterworth, Adam S; Di Angelantonio, Emanuele; Danesh, John; Arriola, Larraitz; Barricarte, Aurelio; Boeing, Heiner; Clavel-Chapelon, Françoise; Cross, Amanda J; Dahm, "&amp;"Christina C; Fagherazzi, Guy; Franks, Paul W; Gavrila, Diana; Grioni, Sara; Gunter, Marc J; Gusto, Gaelle; Jakszyn, Paula; Katzke, Verena; Key, Timothy J; Kühn, Tilman; Mattiello, Amalia; Nilsson, Peter M; Olsen, Anja; Overvad, Kim; Palli, Domenico; Quiró"&amp;"s, J Ramón; Rolandsson, Olov; Sacerdote, Carlotta; Sánchez-Cantalejo, Emilio; Slimani, Nadia; Sluijs, Ivonne; Spijkerman, Annemieke M W; Tjonneland, Anne; Tumino, Rosario; van der A, Daphne L; van der Schouw, Yvonne T; Feskens, Edith J M; Forouhi, Nita G;"&amp;" Sharp, Stephen J; Riboli, Elio; Langenberg, Claudia; Wareham, Nicholas J")</f>
        <v>Podmore, Clara; Meidtner, Karina; Schulze, Matthias B; Scott, Robert A; Ramond, Anna; Butterworth, Adam S; Di Angelantonio, Emanuele; Danesh, John; Arriola, Larraitz; Barricarte, Aurelio; Boeing, Heiner; Clavel-Chapelon, Françoise; Cross, Amanda J; Dahm, Christina C; Fagherazzi, Guy; Franks, Paul W; Gavrila, Diana; Grioni, Sara; Gunter, Marc J; Gusto, Gaelle; Jakszyn, Paula; Katzke, Verena; Key, Timothy J; Kühn, Tilman; Mattiello, Amalia; Nilsson, Peter M; Olsen, Anja; Overvad, Kim; Palli, Domenico; Quirós, J Ramón; Rolandsson, Olov; Sacerdote, Carlotta; Sánchez-Cantalejo, Emilio; Slimani, Nadia; Sluijs, Ivonne; Spijkerman, Annemieke M W; Tjonneland, Anne; Tumino, Rosario; van der A, Daphne L; van der Schouw, Yvonne T; Feskens, Edith J M; Forouhi, Nita G; Sharp, Stephen J; Riboli, Elio; Langenberg, Claudia; Wareham, Nicholas J</v>
      </c>
      <c r="AH789" s="32">
        <f>IFERROR(__xludf.DUMMYFUNCTION("""COMPUTED_VALUE"""),42409.0)</f>
        <v>42409</v>
      </c>
      <c r="AL789" s="31"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789" s="31" t="str">
        <f>IFERROR(__xludf.DUMMYFUNCTION("""COMPUTED_VALUE"""),"Collins, Gary S; Reitsma, Johannes B; Altman, Douglas G; Moons, Karel G M; ,")</f>
        <v>Collins, Gary S; Reitsma, Johannes B; Altman, Douglas G; Moons, Karel G M; ,</v>
      </c>
      <c r="AN789" s="32">
        <f>IFERROR(__xludf.DUMMYFUNCTION("""COMPUTED_VALUE"""),42009.0)</f>
        <v>42009</v>
      </c>
    </row>
    <row r="790">
      <c r="A790" s="32"/>
      <c r="I790" s="31" t="str">
        <f>IFERROR(__xludf.DUMMYFUNCTION("""COMPUTED_VALUE"""),"pharmacoeconomics open")</f>
        <v>pharmacoeconomics open</v>
      </c>
      <c r="J790" s="38">
        <f>COUNTIF(Data!$F$2:$F9917, $I790)</f>
        <v>1</v>
      </c>
      <c r="T790" s="31" t="s">
        <v>2180</v>
      </c>
      <c r="U790" s="31" t="s">
        <v>2181</v>
      </c>
      <c r="V790" s="32">
        <v>45140.0</v>
      </c>
      <c r="X790" s="31" t="str">
        <f>IFERROR(__xludf.DUMMYFUNCTION("""COMPUTED_VALUE"""),"Effects of exercise after oesophagectomy on body composition and adequacy of energy and protein intake: PERFECT multicentre randomized controlled trial.")</f>
        <v>Effects of exercise after oesophagectomy on body composition and adequacy of energy and protein intake: PERFECT multicentre randomized controlled trial.</v>
      </c>
      <c r="Y790" s="31" t="str">
        <f>IFERROR(__xludf.DUMMYFUNCTION("""COMPUTED_VALUE"""),"Hiensch, Anouk; Steenhagen, Elles; van Vulpen, Jonna K; Ruurda, Jelle P; Nieuwenhuijzen, Grard A P; Kouwenhoven, Ewout A; Groenendijk, Richard P R; van der Peet, Donald L; Rosman, Camiel; Wijnhoven, Bas P L; van Berge Henegouwen, Mark I; van Laarhoven, Ha"&amp;"nneke W M; van Hillegersberg, Richard; Siersema, Peter D; May, Anne M")</f>
        <v>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v>
      </c>
      <c r="Z790" s="31">
        <f>IFERROR(__xludf.DUMMYFUNCTION("""COMPUTED_VALUE"""),2023.0)</f>
        <v>2023</v>
      </c>
      <c r="AA790" s="31">
        <f>IFERROR(__xludf.DUMMYFUNCTION("""COMPUTED_VALUE"""),0.0)</f>
        <v>0</v>
      </c>
      <c r="AF790" s="31" t="str">
        <f>IFERROR(__xludf.DUMMYFUNCTION("""COMPUTED_VALUE"""),"Genetically predicted longer telomere length is associated with increased risk of B-cell lymphoma subtypes.")</f>
        <v>Genetically predicted longer telomere length is associated with increased risk of B-cell lymphoma subtypes.</v>
      </c>
      <c r="AG790" s="31" t="str">
        <f>IFERROR(__xludf.DUMMYFUNCTION("""COMPUTED_VALUE"""),"Machiela, Mitchell J; Lan, Qing; Slager, Susan L; Vermeulen, Roel C H; Teras, Lauren R; Camp, Nicola J; Cerhan, James R; Spinelli, John J; Wang, Sophia S; Nieters, Alexandra; Vijai, Joseph; Yeager, Meredith; Wang, Zhaoming; Ghesquières, Hervé; McKay, Jame"&amp;"s; Conde, Lucia; de Bakker, Paul I W; Cox, David G; Burdett, Laurie; Monnereau, Alain; Flowers, Christopher R; De Roos, Anneclaire J; Brooks-Wilson, Angela R; Giles, Graham G; Melbye, Mads; Gu, Jian; Jackson, Rebecca D; Kane, Eleanor; Purdue, Mark P; Vajd"&amp;"ic, Claire M; Albanes, Demetrius; Kelly, Rachel S; Zucca, Mariagrazia; Bertrand, Kimberly A; Zeleniuch-Jacquotte, Anne; Lawrence, Charles; Hutchinson, Amy; Zhi, Degui; Habermann, Thomas M; Link, Brian K; Novak, Anne J; Dogan, Ahmet; Asmann, Yan W; Liebow,"&amp;" Mark; Thompson, Carrie A; Ansell, Stephen M; Witzig, Thomas E; Tilly, Hervé; Haioun, Corinne; Molina, Thierry J; Hjalgrim, Henrik; Glimelius, Bengt; Adami, Hans-Olov; Roos, Göran; Bracci, Paige M; Riby, Jacques; Smith, Martyn T; Holly")</f>
        <v>Machiela, Mitchell J; Lan, Qing; Slager, Susan L; Vermeulen, Roel C H; Teras, Lauren R; Camp, Nicola J; Cerhan, James R; Spinelli, John J; Wang, Sophia S; Nieters, Alexandra; Vijai, Joseph; Yeager, Meredith; Wang, Zhaoming; Ghesquières, Hervé; McKay, James; Conde, Lucia; de Bakker, Paul I W; Cox, David G; Burdett, Laurie; Monnereau, Alain; Flowers, Christopher R; De Roos, Anneclaire J; Brooks-Wilson, Angela R; Giles, Graham G; Melbye, Mads; Gu, Jian; Jackson, Rebecca D; Kane, Eleanor; Purdue, Mark P; Vajdic, Claire M; Albanes, Demetrius; Kelly, Rachel S; Zucca, Mariagrazia; Bertrand, Kimberly A; Zeleniuch-Jacquotte, Anne; Lawrence, Charles; Hutchinson, Amy; Zhi, Degui; Habermann, Thomas M; Link, Brian K; Novak, Anne J; Dogan, Ahmet; Asmann, Yan W; Liebow, Mark; Thompson, Carrie A; Ansell, Stephen M; Witzig, Thomas E; Tilly, Hervé; Haioun, Corinne; Molina, Thierry J; Hjalgrim, Henrik; Glimelius, Bengt; Adami, Hans-Olov; Roos, Göran; Bracci, Paige M; Riby, Jacques; Smith, Martyn T; Holly</v>
      </c>
      <c r="AH790" s="32">
        <f>IFERROR(__xludf.DUMMYFUNCTION("""COMPUTED_VALUE"""),42409.0)</f>
        <v>42409</v>
      </c>
      <c r="AL790" s="31" t="str">
        <f>IFERROR(__xludf.DUMMYFUNCTION("""COMPUTED_VALUE"""),"Transparent reporting of a multivariable prediction model for individual prognosis or diagnosis (TRIPOD): the TRIPOD statement. The TRIPOD Group.")</f>
        <v>Transparent reporting of a multivariable prediction model for individual prognosis or diagnosis (TRIPOD): the TRIPOD statement. The TRIPOD Group.</v>
      </c>
      <c r="AM790" s="31" t="str">
        <f>IFERROR(__xludf.DUMMYFUNCTION("""COMPUTED_VALUE"""),"Collins, Gary S; Reitsma, Johannes B; Altman, Douglas G; Moons, Karel G M; ,")</f>
        <v>Collins, Gary S; Reitsma, Johannes B; Altman, Douglas G; Moons, Karel G M; ,</v>
      </c>
      <c r="AN790" s="32">
        <f>IFERROR(__xludf.DUMMYFUNCTION("""COMPUTED_VALUE"""),42009.0)</f>
        <v>42009</v>
      </c>
    </row>
    <row r="791">
      <c r="A791" s="32"/>
      <c r="I791" s="31" t="str">
        <f>IFERROR(__xludf.DUMMYFUNCTION("""COMPUTED_VALUE"""),"journal of ovarian research")</f>
        <v>journal of ovarian research</v>
      </c>
      <c r="J791" s="38">
        <f>COUNTIF(Data!$F$2:$F9917, $I791)</f>
        <v>2</v>
      </c>
      <c r="T791" s="31" t="s">
        <v>2184</v>
      </c>
      <c r="U791" s="31" t="s">
        <v>2185</v>
      </c>
      <c r="V791" s="32">
        <v>45139.0</v>
      </c>
      <c r="X791" s="31" t="str">
        <f>IFERROR(__xludf.DUMMYFUNCTION("""COMPUTED_VALUE"""),"Completion of the Continuum of Maternity Care in the Emerging Regions of Ethiopia: Analysis of the 2019 Demographic and Health Survey.")</f>
        <v>Completion of the Continuum of Maternity Care in the Emerging Regions of Ethiopia: Analysis of the 2019 Demographic and Health Survey.</v>
      </c>
      <c r="Y791" s="31" t="str">
        <f>IFERROR(__xludf.DUMMYFUNCTION("""COMPUTED_VALUE"""),"Hussen, Abdulaziz Mohammed; Ibrahim, Ibrahim Mohammed; Tilahun, Binyam; Tunçalp, Özge; Grobbee, Diederick E; Browne, Joyce L")</f>
        <v>Hussen, Abdulaziz Mohammed; Ibrahim, Ibrahim Mohammed; Tilahun, Binyam; Tunçalp, Özge; Grobbee, Diederick E; Browne, Joyce L</v>
      </c>
      <c r="Z791" s="31">
        <f>IFERROR(__xludf.DUMMYFUNCTION("""COMPUTED_VALUE"""),2023.0)</f>
        <v>2023</v>
      </c>
      <c r="AA791" s="31">
        <f>IFERROR(__xludf.DUMMYFUNCTION("""COMPUTED_VALUE"""),0.0)</f>
        <v>0</v>
      </c>
      <c r="AF791" s="31" t="str">
        <f>IFERROR(__xludf.DUMMYFUNCTION("""COMPUTED_VALUE"""),"Evaluating outcome of prophylaxis in haemophilia: objective and self-reported instruments should be combined.")</f>
        <v>Evaluating outcome of prophylaxis in haemophilia: objective and self-reported instruments should be combined.</v>
      </c>
      <c r="AG791" s="31" t="str">
        <f>IFERROR(__xludf.DUMMYFUNCTION("""COMPUTED_VALUE"""),"Fischer, K; Nijdam, A; Holmström, M; Petrini, P; Ljung, R; van der Schouw, Y T; Berntorp, E")</f>
        <v>Fischer, K; Nijdam, A; Holmström, M; Petrini, P; Ljung, R; van der Schouw, Y T; Berntorp, E</v>
      </c>
      <c r="AH791" s="32">
        <f>IFERROR(__xludf.DUMMYFUNCTION("""COMPUTED_VALUE"""),42408.0)</f>
        <v>42408</v>
      </c>
      <c r="AL791" s="31" t="str">
        <f>IFERROR(__xludf.DUMMYFUNCTION("""COMPUTED_VALUE"""),"Fighting antibiotic resistance in the intensive care unit using antibiotics.")</f>
        <v>Fighting antibiotic resistance in the intensive care unit using antibiotics.</v>
      </c>
      <c r="AM791" s="31" t="str">
        <f>IFERROR(__xludf.DUMMYFUNCTION("""COMPUTED_VALUE"""),"Plantinga, Nienke L; Wittekamp, Bastiaan H J; van Duijn, Pleun J; Bonten, Marc J M")</f>
        <v>Plantinga, Nienke L; Wittekamp, Bastiaan H J; van Duijn, Pleun J; Bonten, Marc J M</v>
      </c>
      <c r="AN791" s="32">
        <f>IFERROR(__xludf.DUMMYFUNCTION("""COMPUTED_VALUE"""),42005.0)</f>
        <v>42005</v>
      </c>
    </row>
    <row r="792">
      <c r="A792" s="32"/>
      <c r="I792" s="31" t="str">
        <f>IFERROR(__xludf.DUMMYFUNCTION("""COMPUTED_VALUE"""),"journal of exposure science environmental epidemiology")</f>
        <v>journal of exposure science environmental epidemiology</v>
      </c>
      <c r="J792" s="38">
        <f>COUNTIF(Data!$F$2:$F9917, $I792)</f>
        <v>1</v>
      </c>
      <c r="T792" s="31" t="s">
        <v>2189</v>
      </c>
      <c r="U792" s="31" t="s">
        <v>2190</v>
      </c>
      <c r="V792" s="32">
        <v>45139.0</v>
      </c>
      <c r="X792" s="31" t="str">
        <f>IFERROR(__xludf.DUMMYFUNCTION("""COMPUTED_VALUE"""),"Routine vaccination for influenza and pneumococcal disease and its effect on COVID-19 in a population of Dutch older adults.")</f>
        <v>Routine vaccination for influenza and pneumococcal disease and its effect on COVID-19 in a population of Dutch older adults.</v>
      </c>
      <c r="Y792" s="31" t="str">
        <f>IFERROR(__xludf.DUMMYFUNCTION("""COMPUTED_VALUE"""),"Taks, Esther J M; Föhse, Konstantin; J C F M Moorlag, Simone; Hoogerwerf, Jacobien; van Crevel, Reinout; van Werkhoven, Cornelis H; Netea, Mihai G; Ten Oever, Jaap")</f>
        <v>Taks, Esther J M; Föhse, Konstantin; J C F M Moorlag, Simone; Hoogerwerf, Jacobien; van Crevel, Reinout; van Werkhoven, Cornelis H; Netea, Mihai G; Ten Oever, Jaap</v>
      </c>
      <c r="Z792" s="31">
        <f>IFERROR(__xludf.DUMMYFUNCTION("""COMPUTED_VALUE"""),2023.0)</f>
        <v>2023</v>
      </c>
      <c r="AA792" s="31">
        <f>IFERROR(__xludf.DUMMYFUNCTION("""COMPUTED_VALUE"""),0.0)</f>
        <v>0</v>
      </c>
      <c r="AF792" s="31" t="str">
        <f>IFERROR(__xludf.DUMMYFUNCTION("""COMPUTED_VALUE"""),"Residential exposure to RF-EMF from mobile phone base stations: Model predictions versus personal and home measurements.")</f>
        <v>Residential exposure to RF-EMF from mobile phone base stations: Model predictions versus personal and home measurements.</v>
      </c>
      <c r="AG792" s="31" t="str">
        <f>IFERROR(__xludf.DUMMYFUNCTION("""COMPUTED_VALUE"""),"Martens, Astrid L; Slottje, Pauline; Meima, Marie Y; Beekhuizen, Johan; Timmermans, Danielle; Kromhout, Hans; Smid, Tjabe; Vermeulen, Roel C H")</f>
        <v>Martens, Astrid L; Slottje, Pauline; Meima, Marie Y; Beekhuizen, Johan; Timmermans, Danielle; Kromhout, Hans; Smid, Tjabe; Vermeulen, Roel C H</v>
      </c>
      <c r="AH792" s="32">
        <f>IFERROR(__xludf.DUMMYFUNCTION("""COMPUTED_VALUE"""),42404.0)</f>
        <v>42404</v>
      </c>
      <c r="AL792" s="31" t="str">
        <f>IFERROR(__xludf.DUMMYFUNCTION("""COMPUTED_VALUE"""),"Hippocampal disconnection in early Alzheimer's disease: a 7 tesla MRI study.")</f>
        <v>Hippocampal disconnection in early Alzheimer's disease: a 7 tesla MRI study.</v>
      </c>
      <c r="AM792" s="31" t="str">
        <f>IFERROR(__xludf.DUMMYFUNCTION("""COMPUTED_VALUE"""),"Wisse, Laura E M; Reijmer, Yael D; ter Telgte, Annemieke; Kuijf, Hugo J; Leemans, Alexander; Luijten, Peter R; Koek, Huiberdina L; Geerlings, Mirjam I; Biessels, Geert Jan; ,")</f>
        <v>Wisse, Laura E M; Reijmer, Yael D; ter Telgte, Annemieke; Kuijf, Hugo J; Leemans, Alexander; Luijten, Peter R; Koek, Huiberdina L; Geerlings, Mirjam I; Biessels, Geert Jan; ,</v>
      </c>
      <c r="AN792" s="32">
        <f>IFERROR(__xludf.DUMMYFUNCTION("""COMPUTED_VALUE"""),42005.0)</f>
        <v>42005</v>
      </c>
    </row>
    <row r="793">
      <c r="A793" s="32"/>
      <c r="I793" s="31" t="str">
        <f>IFERROR(__xludf.DUMMYFUNCTION("""COMPUTED_VALUE"""),"archives of disease in childhood")</f>
        <v>archives of disease in childhood</v>
      </c>
      <c r="J793" s="38">
        <f>COUNTIF(Data!$F$2:$F9917, $I793)</f>
        <v>2</v>
      </c>
      <c r="T793" s="31" t="s">
        <v>2194</v>
      </c>
      <c r="U793" s="31" t="s">
        <v>2195</v>
      </c>
      <c r="V793" s="32">
        <v>45139.0</v>
      </c>
      <c r="X793" s="31" t="str">
        <f>IFERROR(__xludf.DUMMYFUNCTION("""COMPUTED_VALUE"""),"Long term sequelae after SARS-CoV-2 infection in children: a household study.")</f>
        <v>Long term sequelae after SARS-CoV-2 infection in children: a household study.</v>
      </c>
      <c r="Y793" s="31" t="str">
        <f>IFERROR(__xludf.DUMMYFUNCTION("""COMPUTED_VALUE"""),"Sluiter-Post, Judith G C; Fourie, Elandri; Wildenbeest, Joanne G; van Lelyveld, Steven F L; Bruijning-Verhagen, Patricia C J L; van Houten, Marianne A")</f>
        <v>Sluiter-Post, Judith G C; Fourie, Elandri; Wildenbeest, Joanne G; van Lelyveld, Steven F L; Bruijning-Verhagen, Patricia C J L; van Houten, Marianne A</v>
      </c>
      <c r="Z793" s="31">
        <f>IFERROR(__xludf.DUMMYFUNCTION("""COMPUTED_VALUE"""),2023.0)</f>
        <v>2023</v>
      </c>
      <c r="AA793" s="31">
        <f>IFERROR(__xludf.DUMMYFUNCTION("""COMPUTED_VALUE"""),0.0)</f>
        <v>0</v>
      </c>
      <c r="AF793" s="31" t="str">
        <f>IFERROR(__xludf.DUMMYFUNCTION("""COMPUTED_VALUE"""),"Pro-Inflammatory Markers in Relation to Cardiovascular Disease in HIV Infection. A Systematic Review.")</f>
        <v>Pro-Inflammatory Markers in Relation to Cardiovascular Disease in HIV Infection. A Systematic Review.</v>
      </c>
      <c r="AG793" s="31" t="str">
        <f>IFERROR(__xludf.DUMMYFUNCTION("""COMPUTED_VALUE"""),"Vos, Alinda G; Idris, Nikmah S; Barth, Roos E; Klipstein-Grobusch, Kerstin; Grobbee, Diederick E")</f>
        <v>Vos, Alinda G; Idris, Nikmah S; Barth, Roos E; Klipstein-Grobusch, Kerstin; Grobbee, Diederick E</v>
      </c>
      <c r="AH793" s="32">
        <f>IFERROR(__xludf.DUMMYFUNCTION("""COMPUTED_VALUE"""),42394.0)</f>
        <v>42394</v>
      </c>
      <c r="AL793" s="31" t="str">
        <f>IFERROR(__xludf.DUMMYFUNCTION("""COMPUTED_VALUE"""),"Exposure to low doses of Coxiella burnetii caused high illness attack rates: Insights from combining human challenge and outbreak data.")</f>
        <v>Exposure to low doses of Coxiella burnetii caused high illness attack rates: Insights from combining human challenge and outbreak data.</v>
      </c>
      <c r="AM793" s="31" t="str">
        <f>IFERROR(__xludf.DUMMYFUNCTION("""COMPUTED_VALUE"""),"Brooke, Russell John; Mutters, Nico T; Péter, Olivier; Kretzschmar, Mirjam E E; Teunis, Peter F M")</f>
        <v>Brooke, Russell John; Mutters, Nico T; Péter, Olivier; Kretzschmar, Mirjam E E; Teunis, Peter F M</v>
      </c>
      <c r="AN793" s="32">
        <f>IFERROR(__xludf.DUMMYFUNCTION("""COMPUTED_VALUE"""),42004.0)</f>
        <v>42004</v>
      </c>
    </row>
    <row r="794">
      <c r="A794" s="32"/>
      <c r="I794" s="31" t="str">
        <f>IFERROR(__xludf.DUMMYFUNCTION("""COMPUTED_VALUE"""),"journal of chemotherapy florence italy")</f>
        <v>journal of chemotherapy florence italy</v>
      </c>
      <c r="J794" s="38">
        <f>COUNTIF(Data!$F$2:$F9917, $I794)</f>
        <v>1</v>
      </c>
      <c r="T794" s="31" t="s">
        <v>2199</v>
      </c>
      <c r="U794" s="31" t="s">
        <v>2200</v>
      </c>
      <c r="V794" s="32">
        <v>45139.0</v>
      </c>
      <c r="X794" s="31" t="str">
        <f>IFERROR(__xludf.DUMMYFUNCTION("""COMPUTED_VALUE"""),"Lower haemoglobin concentrations are associated with impaired cognition in patients with carotid artery occlusion.")</f>
        <v>Lower haemoglobin concentrations are associated with impaired cognition in patients with carotid artery occlusion.</v>
      </c>
      <c r="Y794" s="31" t="str">
        <f>IFERROR(__xludf.DUMMYFUNCTION("""COMPUTED_VALUE"""),"Kuipers, Sanne; Willemse, Sean W; Greving, Jacoba P; Bron, Esther E; van Oostenbrugge, Robert J; van Osch, Matthias J P; Biessels, Geert Jan; Kappelle, L Jaap; ,")</f>
        <v>Kuipers, Sanne; Willemse, Sean W; Greving, Jacoba P; Bron, Esther E; van Oostenbrugge, Robert J; van Osch, Matthias J P; Biessels, Geert Jan; Kappelle, L Jaap; ,</v>
      </c>
      <c r="Z794" s="31">
        <f>IFERROR(__xludf.DUMMYFUNCTION("""COMPUTED_VALUE"""),2023.0)</f>
        <v>2023</v>
      </c>
      <c r="AA794" s="31">
        <f>IFERROR(__xludf.DUMMYFUNCTION("""COMPUTED_VALUE"""),0.0)</f>
        <v>0</v>
      </c>
      <c r="AF794" s="31" t="str">
        <f>IFERROR(__xludf.DUMMYFUNCTION("""COMPUTED_VALUE"""),"The association between dietary saturated fatty acids and ischemic heart disease depends on the type and source of fatty acid in the European Prospective Investigation into Cancer and Nutrition-Netherlands cohort.")</f>
        <v>The association between dietary saturated fatty acids and ischemic heart disease depends on the type and source of fatty acid in the European Prospective Investigation into Cancer and Nutrition-Netherlands cohort.</v>
      </c>
      <c r="AG794" s="31" t="str">
        <f>IFERROR(__xludf.DUMMYFUNCTION("""COMPUTED_VALUE"""),"Praagman, Jaike; Beulens, Joline Wj; Alssema, Marjan; Zock, Peter L; Wanders, Anne J; Sluijs, Ivonne; van der Schouw, Yvonne T")</f>
        <v>Praagman, Jaike; Beulens, Joline Wj; Alssema, Marjan; Zock, Peter L; Wanders, Anne J; Sluijs, Ivonne; van der Schouw, Yvonne T</v>
      </c>
      <c r="AH794" s="32">
        <f>IFERROR(__xludf.DUMMYFUNCTION("""COMPUTED_VALUE"""),42389.0)</f>
        <v>42389</v>
      </c>
      <c r="AL794" s="31" t="str">
        <f>IFERROR(__xludf.DUMMYFUNCTION("""COMPUTED_VALUE"""),"Acquisition of high-level mupirocin resistance in CoNS following nasal decolonization with mupirocin.")</f>
        <v>Acquisition of high-level mupirocin resistance in CoNS following nasal decolonization with mupirocin.</v>
      </c>
      <c r="AM794" s="31" t="str">
        <f>IFERROR(__xludf.DUMMYFUNCTION("""COMPUTED_VALUE"""),"Hetem, David J; Vogely, H Charles; Severs, Tim T; Troelstra, Annet; Kusters, Johannes G; Bonten, Marc J M")</f>
        <v>Hetem, David J; Vogely, H Charles; Severs, Tim T; Troelstra, Annet; Kusters, Johannes G; Bonten, Marc J M</v>
      </c>
      <c r="AN794" s="32">
        <f>IFERROR(__xludf.DUMMYFUNCTION("""COMPUTED_VALUE"""),41996.0)</f>
        <v>41996</v>
      </c>
    </row>
    <row r="795">
      <c r="A795" s="32"/>
      <c r="I795" s="31" t="str">
        <f>IFERROR(__xludf.DUMMYFUNCTION("""COMPUTED_VALUE"""),"international journal of nursing studies advances")</f>
        <v>international journal of nursing studies advances</v>
      </c>
      <c r="J795" s="38">
        <f>COUNTIF(Data!$F$2:$F9917, $I795)</f>
        <v>1</v>
      </c>
      <c r="T795" s="31" t="s">
        <v>2203</v>
      </c>
      <c r="U795" s="31" t="s">
        <v>2204</v>
      </c>
      <c r="V795" s="32">
        <v>45139.0</v>
      </c>
      <c r="X795" s="31" t="str">
        <f>IFERROR(__xludf.DUMMYFUNCTION("""COMPUTED_VALUE"""),"Household air pollution and epigenetic aging in Xuanwei, China.")</f>
        <v>Household air pollution and epigenetic aging in Xuanwei, China.</v>
      </c>
      <c r="Y795" s="31" t="str">
        <f>IFERROR(__xludf.DUMMYFUNCTION("""COMPUTED_VALUE"""),"Blechter, Batel; Cardenas, Andres; Shi, Junming; Wong, Jason Y Y; Hu, Wei; Rahman, Mohammad L; Breeze, Charles; Downward, George S; Portengen, Lützen; Zhang, Yongliang; Ning, Bofu; Ji, Bu-Tian; Cawthon, Richard; Li, Jihua; Yang, Kaiyun; Bozack, Anne; Dean"&amp;" Hosgood, H; Silverman, Debra T; Huang, Yunchao; Rothman, Nathaniel; Vermeulen, Roel; Lan, Qing")</f>
        <v>Blechter, Batel; Cardenas, Andres; Shi, Junming; Wong, Jason Y Y; Hu, Wei; Rahman, Mohammad L; Breeze, Charles; Downward, George S; Portengen, Lützen; Zhang, Yongliang; Ning, Bofu; Ji, Bu-Tian; Cawthon, Richard; Li, Jihua; Yang, Kaiyun; Bozack, Anne; Dean Hosgood, H; Silverman, Debra T; Huang, Yunchao; Rothman, Nathaniel; Vermeulen, Roel; Lan, Qing</v>
      </c>
      <c r="Z795" s="31">
        <f>IFERROR(__xludf.DUMMYFUNCTION("""COMPUTED_VALUE"""),2023.0)</f>
        <v>2023</v>
      </c>
      <c r="AA795" s="31">
        <f>IFERROR(__xludf.DUMMYFUNCTION("""COMPUTED_VALUE"""),0.0)</f>
        <v>0</v>
      </c>
      <c r="AF795" s="31" t="str">
        <f>IFERROR(__xludf.DUMMYFUNCTION("""COMPUTED_VALUE"""),"Cardiac Effects of Antiretroviral-Naïve versus Antiretroviral-Exposed HIV Infection in Children.")</f>
        <v>Cardiac Effects of Antiretroviral-Naïve versus Antiretroviral-Exposed HIV Infection in Children.</v>
      </c>
      <c r="AG795" s="31" t="str">
        <f>IFERROR(__xludf.DUMMYFUNCTION("""COMPUTED_VALUE"""),"Idris, Nikmah S; Cheung, Michael M H; Grobbee, Diederick E; Burgner, David; Kurniati, Nia; Uiterwaal, Cuno S P M")</f>
        <v>Idris, Nikmah S; Cheung, Michael M H; Grobbee, Diederick E; Burgner, David; Kurniati, Nia; Uiterwaal, Cuno S P M</v>
      </c>
      <c r="AH795" s="32">
        <f>IFERROR(__xludf.DUMMYFUNCTION("""COMPUTED_VALUE"""),42389.0)</f>
        <v>42389</v>
      </c>
      <c r="AL795" s="31" t="str">
        <f>IFERROR(__xludf.DUMMYFUNCTION("""COMPUTED_VALUE"""),"Comparison of contact patterns relevant for transmission of respiratory pathogens in Thailand and The Netherlands using respondent-driven sampling.")</f>
        <v>Comparison of contact patterns relevant for transmission of respiratory pathogens in Thailand and The Netherlands using respondent-driven sampling.</v>
      </c>
      <c r="AM795" s="31" t="str">
        <f>IFERROR(__xludf.DUMMYFUNCTION("""COMPUTED_VALUE"""),"Stein, Mart L; van Steenbergen, Jim E; Buskens, Vincent; van der Heijden, Peter G M; Chanyasanha, Charnchudhi; Tipayamongkholgul, Mathuros; Thorson, Anna E; Bengtsson, Linus; Lu, Xin; Kretzschmar, Mirjam E E")</f>
        <v>Stein, Mart L; van Steenbergen, Jim E; Buskens, Vincent; van der Heijden, Peter G M; Chanyasanha, Charnchudhi; Tipayamongkholgul, Mathuros; Thorson, Anna E; Bengtsson, Linus; Lu, Xin; Kretzschmar, Mirjam E E</v>
      </c>
      <c r="AN795" s="32">
        <f>IFERROR(__xludf.DUMMYFUNCTION("""COMPUTED_VALUE"""),41968.0)</f>
        <v>41968</v>
      </c>
    </row>
    <row r="796">
      <c r="A796" s="32"/>
      <c r="I796" s="31" t="str">
        <f>IFERROR(__xludf.DUMMYFUNCTION("""COMPUTED_VALUE"""),"acta physiologica oxford england")</f>
        <v>acta physiologica oxford england</v>
      </c>
      <c r="J796" s="38">
        <f>COUNTIF(Data!$F$2:$F9917, $I796)</f>
        <v>1</v>
      </c>
      <c r="T796" s="31" t="s">
        <v>2208</v>
      </c>
      <c r="U796" s="31" t="s">
        <v>2209</v>
      </c>
      <c r="V796" s="32">
        <v>45139.0</v>
      </c>
      <c r="X796" s="31" t="str">
        <f>IFERROR(__xludf.DUMMYFUNCTION("""COMPUTED_VALUE"""),"Propensity-based standardization to enhance the validation and interpretation of prediction model discrimination for a target population.")</f>
        <v>Propensity-based standardization to enhance the validation and interpretation of prediction model discrimination for a target population.</v>
      </c>
      <c r="Y796" s="31" t="str">
        <f>IFERROR(__xludf.DUMMYFUNCTION("""COMPUTED_VALUE"""),"de Jong, Valentijn M T; Hoogland, Jeroen; Moons, Karel G M; Riley, Richard D; Nguyen, Tri-Long; Debray, Thomas P A")</f>
        <v>de Jong, Valentijn M T; Hoogland, Jeroen; Moons, Karel G M; Riley, Richard D; Nguyen, Tri-Long; Debray, Thomas P A</v>
      </c>
      <c r="Z796" s="31">
        <f>IFERROR(__xludf.DUMMYFUNCTION("""COMPUTED_VALUE"""),2023.0)</f>
        <v>2023</v>
      </c>
      <c r="AA796" s="31">
        <f>IFERROR(__xludf.DUMMYFUNCTION("""COMPUTED_VALUE"""),0.0)</f>
        <v>0</v>
      </c>
      <c r="AF796" s="31" t="str">
        <f>IFERROR(__xludf.DUMMYFUNCTION("""COMPUTED_VALUE"""),"The association of dairy intake of children and adolescents with different food and nutrient intakes in the Netherlands.")</f>
        <v>The association of dairy intake of children and adolescents with different food and nutrient intakes in the Netherlands.</v>
      </c>
      <c r="AG796" s="31" t="str">
        <f>IFERROR(__xludf.DUMMYFUNCTION("""COMPUTED_VALUE"""),"Campmans-Kuijpers, Marjo J E; Singh-Povel, Cecile; Steijns, Jan; Beulens, Joline W J")</f>
        <v>Campmans-Kuijpers, Marjo J E; Singh-Povel, Cecile; Steijns, Jan; Beulens, Joline W J</v>
      </c>
      <c r="AH796" s="32">
        <f>IFERROR(__xludf.DUMMYFUNCTION("""COMPUTED_VALUE"""),42378.0)</f>
        <v>42378</v>
      </c>
      <c r="AL796" s="31" t="str">
        <f>IFERROR(__xludf.DUMMYFUNCTION("""COMPUTED_VALUE"""),"Development and internal validation of a pediatric acute asthma prediction rule for hospitalization.")</f>
        <v>Development and internal validation of a pediatric acute asthma prediction rule for hospitalization.</v>
      </c>
      <c r="AM796" s="31" t="str">
        <f>IFERROR(__xludf.DUMMYFUNCTION("""COMPUTED_VALUE"""),"Arnold, Donald H; Gebretsadik, Tebeb; Moons, Karel G M; Harrell, Frank E; Hartert, Tina V")</f>
        <v>Arnold, Donald H; Gebretsadik, Tebeb; Moons, Karel G M; Harrell, Frank E; Hartert, Tina V</v>
      </c>
      <c r="AN796" s="32">
        <f>IFERROR(__xludf.DUMMYFUNCTION("""COMPUTED_VALUE"""),41968.0)</f>
        <v>41968</v>
      </c>
    </row>
    <row r="797">
      <c r="A797" s="32"/>
      <c r="I797" s="31" t="str">
        <f>IFERROR(__xludf.DUMMYFUNCTION("""COMPUTED_VALUE"""),"clinical chemistry and laboratory medicine")</f>
        <v>clinical chemistry and laboratory medicine</v>
      </c>
      <c r="J797" s="38">
        <f>COUNTIF(Data!$F$2:$F9917, $I797)</f>
        <v>1</v>
      </c>
      <c r="T797" s="31" t="s">
        <v>2213</v>
      </c>
      <c r="U797" s="31" t="s">
        <v>2214</v>
      </c>
      <c r="V797" s="32">
        <v>45139.0</v>
      </c>
      <c r="X797" s="31" t="str">
        <f>IFERROR(__xludf.DUMMYFUNCTION("""COMPUTED_VALUE"""),"Prolongation of the QTc interval is associated with an increased risk of cardiovascular diseases: The Hoorn study.")</f>
        <v>Prolongation of the QTc interval is associated with an increased risk of cardiovascular diseases: The Hoorn study.</v>
      </c>
      <c r="Y797" s="31" t="str">
        <f>IFERROR(__xludf.DUMMYFUNCTION("""COMPUTED_VALUE"""),"Welten, Sabrina J G C; van der Heijden, Amber A; Remmelzwaal, Sharon; Blom, Marieke T; Nijpels, Giel; Rutters, Femke; Beulens, Joline W J; Elders, Petra J M; ,")</f>
        <v>Welten, Sabrina J G C; van der Heijden, Amber A; Remmelzwaal, Sharon; Blom, Marieke T; Nijpels, Giel; Rutters, Femke; Beulens, Joline W J; Elders, Petra J M; ,</v>
      </c>
      <c r="Z797" s="31">
        <f>IFERROR(__xludf.DUMMYFUNCTION("""COMPUTED_VALUE"""),2023.0)</f>
        <v>2023</v>
      </c>
      <c r="AA797" s="31">
        <f>IFERROR(__xludf.DUMMYFUNCTION("""COMPUTED_VALUE"""),0.0)</f>
        <v>0</v>
      </c>
      <c r="AF797" s="31" t="str">
        <f>IFERROR(__xludf.DUMMYFUNCTION("""COMPUTED_VALUE"""),"Chemotherapy effectiveness and mortality prediction in surgically treated osteosarcoma dogs: A validation study.")</f>
        <v>Chemotherapy effectiveness and mortality prediction in surgically treated osteosarcoma dogs: A validation study.</v>
      </c>
      <c r="AG797" s="31" t="str">
        <f>IFERROR(__xludf.DUMMYFUNCTION("""COMPUTED_VALUE"""),"Schmidt, A F; Nielen, M; Withrow, S J; Selmic, L E; Burton, J H; Klungel, O H; Groenwold, R H H; Kirpensteijn, J")</f>
        <v>Schmidt, A F; Nielen, M; Withrow, S J; Selmic, L E; Burton, J H; Klungel, O H; Groenwold, R H H; Kirpensteijn, J</v>
      </c>
      <c r="AH797" s="32">
        <f>IFERROR(__xludf.DUMMYFUNCTION("""COMPUTED_VALUE"""),42376.0)</f>
        <v>42376</v>
      </c>
      <c r="AL797" s="31" t="str">
        <f>IFERROR(__xludf.DUMMYFUNCTION("""COMPUTED_VALUE"""),"Degree of urbanization and mammographic density in Dutch breast cancer screening participants: results from the EPIC-NL cohort.")</f>
        <v>Degree of urbanization and mammographic density in Dutch breast cancer screening participants: results from the EPIC-NL cohort.</v>
      </c>
      <c r="AM797" s="31" t="str">
        <f>IFERROR(__xludf.DUMMYFUNCTION("""COMPUTED_VALUE"""),"Emaus, Marleen J; Bakker, Marije F; Beelen, Rob M J; Veldhuis, Wouter B; Peeters, Petra H M; van Gils, Carla H")</f>
        <v>Emaus, Marleen J; Bakker, Marije F; Beelen, Rob M J; Veldhuis, Wouter B; Peeters, Petra H M; van Gils, Carla H</v>
      </c>
      <c r="AN797" s="32">
        <f>IFERROR(__xludf.DUMMYFUNCTION("""COMPUTED_VALUE"""),41959.0)</f>
        <v>41959</v>
      </c>
    </row>
    <row r="798">
      <c r="A798" s="32"/>
      <c r="I798" s="31" t="str">
        <f>IFERROR(__xludf.DUMMYFUNCTION("""COMPUTED_VALUE"""),"plos genetics")</f>
        <v>plos genetics</v>
      </c>
      <c r="J798" s="38">
        <f>COUNTIF(Data!$F$2:$F9917, $I798)</f>
        <v>2</v>
      </c>
      <c r="T798" s="31" t="s">
        <v>2217</v>
      </c>
      <c r="U798" s="31" t="s">
        <v>1178</v>
      </c>
      <c r="V798" s="32">
        <v>45138.0</v>
      </c>
      <c r="X798" s="31" t="str">
        <f>IFERROR(__xludf.DUMMYFUNCTION("""COMPUTED_VALUE"""),"The RISE study protocol: resilience impacted by positive stressful events for people with cystic fibrosis.")</f>
        <v>The RISE study protocol: resilience impacted by positive stressful events for people with cystic fibrosis.</v>
      </c>
      <c r="Y798" s="31" t="str">
        <f>IFERROR(__xludf.DUMMYFUNCTION("""COMPUTED_VALUE"""),"van der Heijden, Els; van den Bor, Rutger M; van der Ent, Cornelis K; Nijhof, Sanne L; van der Laan, Sabine E I")</f>
        <v>van der Heijden, Els; van den Bor, Rutger M; van der Ent, Cornelis K; Nijhof, Sanne L; van der Laan, Sabine E I</v>
      </c>
      <c r="Z798" s="31">
        <f>IFERROR(__xludf.DUMMYFUNCTION("""COMPUTED_VALUE"""),2023.0)</f>
        <v>2023</v>
      </c>
      <c r="AA798" s="31">
        <f>IFERROR(__xludf.DUMMYFUNCTION("""COMPUTED_VALUE"""),0.0)</f>
        <v>0</v>
      </c>
      <c r="AF798" s="31" t="str">
        <f>IFERROR(__xludf.DUMMYFUNCTION("""COMPUTED_VALUE"""),"Effects of paediatric HIV infection on childhood vasculature.")</f>
        <v>Effects of paediatric HIV infection on childhood vasculature.</v>
      </c>
      <c r="AG798" s="31" t="str">
        <f>IFERROR(__xludf.DUMMYFUNCTION("""COMPUTED_VALUE"""),"Idris, Nikmah S; Grobbee, Diederick E; Burgner, David; Cheung, Michael M H; Kurniati, Nia; Uiterwaal, Cuno S P M")</f>
        <v>Idris, Nikmah S; Grobbee, Diederick E; Burgner, David; Cheung, Michael M H; Kurniati, Nia; Uiterwaal, Cuno S P M</v>
      </c>
      <c r="AH798" s="32">
        <f>IFERROR(__xludf.DUMMYFUNCTION("""COMPUTED_VALUE"""),42376.0)</f>
        <v>42376</v>
      </c>
      <c r="AL798" s="31" t="str">
        <f>IFERROR(__xludf.DUMMYFUNCTION("""COMPUTED_VALUE"""),"Reporting diagnostic accuracy studies: some improvements after 10 years of STARD.")</f>
        <v>Reporting diagnostic accuracy studies: some improvements after 10 years of STARD.</v>
      </c>
      <c r="AM798" s="31" t="str">
        <f>IFERROR(__xludf.DUMMYFUNCTION("""COMPUTED_VALUE"""),"Korevaar, Daniël A; Wang, Junfeng; van Enst, W Annefloor; Leeflang, Mariska M; Hooft, Lotty; Smidt, Nynke; Bossuyt, Patrick M M")</f>
        <v>Korevaar, Daniël A; Wang, Junfeng; van Enst, W Annefloor; Leeflang, Mariska M; Hooft, Lotty; Smidt, Nynke; Bossuyt, Patrick M M</v>
      </c>
      <c r="AN798" s="32">
        <f>IFERROR(__xludf.DUMMYFUNCTION("""COMPUTED_VALUE"""),41939.0)</f>
        <v>41939</v>
      </c>
    </row>
    <row r="799">
      <c r="A799" s="32"/>
      <c r="I799" s="31" t="str">
        <f>IFERROR(__xludf.DUMMYFUNCTION("""COMPUTED_VALUE"""),"virus research")</f>
        <v>virus research</v>
      </c>
      <c r="J799" s="38">
        <f>COUNTIF(Data!$F$2:$F9917, $I799)</f>
        <v>1</v>
      </c>
      <c r="T799" s="31" t="s">
        <v>2219</v>
      </c>
      <c r="U799" s="31" t="s">
        <v>2220</v>
      </c>
      <c r="V799" s="32">
        <v>45136.0</v>
      </c>
      <c r="X799" s="31" t="str">
        <f>IFERROR(__xludf.DUMMYFUNCTION("""COMPUTED_VALUE"""),"[Diagnosis and therapeutic options in atrial fibrillation].")</f>
        <v>[Diagnosis and therapeutic options in atrial fibrillation].</v>
      </c>
      <c r="Y799" s="31" t="str">
        <f>IFERROR(__xludf.DUMMYFUNCTION("""COMPUTED_VALUE"""),"Tieleman, Robert G; Geersing, Geert-Jan")</f>
        <v>Tieleman, Robert G; Geersing, Geert-Jan</v>
      </c>
      <c r="Z799" s="31">
        <f>IFERROR(__xludf.DUMMYFUNCTION("""COMPUTED_VALUE"""),2023.0)</f>
        <v>2023</v>
      </c>
      <c r="AA799" s="31">
        <f>IFERROR(__xludf.DUMMYFUNCTION("""COMPUTED_VALUE"""),0.0)</f>
        <v>0</v>
      </c>
      <c r="AF799" s="31" t="str">
        <f>IFERROR(__xludf.DUMMYFUNCTION("""COMPUTED_VALUE"""),"[Free choice of doctor: patient's right or doctor's power?].")</f>
        <v>[Free choice of doctor: patient's right or doctor's power?].</v>
      </c>
      <c r="AG799" s="31" t="str">
        <f>IFERROR(__xludf.DUMMYFUNCTION("""COMPUTED_VALUE"""),"Bertens, R M; Huisman, F G")</f>
        <v>Bertens, R M; Huisman, F G</v>
      </c>
      <c r="AH799" s="32">
        <f>IFERROR(__xludf.DUMMYFUNCTION("""COMPUTED_VALUE"""),42370.0)</f>
        <v>42370</v>
      </c>
      <c r="AL799" s="31" t="str">
        <f>IFERROR(__xludf.DUMMYFUNCTION("""COMPUTED_VALUE"""),"Effect of exercise on insulin sensitivity in healthy postmenopausal women: the SHAPE study.")</f>
        <v>Effect of exercise on insulin sensitivity in healthy postmenopausal women: the SHAPE study.</v>
      </c>
      <c r="AM799" s="31" t="str">
        <f>IFERROR(__xludf.DUMMYFUNCTION("""COMPUTED_VALUE"""),"van Gemert, Willemijn A; Monninkhof, Evelyn M; May, Anne M; Peeters, Petra H; Schuit, Albertine J")</f>
        <v>van Gemert, Willemijn A; Monninkhof, Evelyn M; May, Anne M; Peeters, Petra H; Schuit, Albertine J</v>
      </c>
      <c r="AN799" s="32">
        <f>IFERROR(__xludf.DUMMYFUNCTION("""COMPUTED_VALUE"""),41935.0)</f>
        <v>41935</v>
      </c>
    </row>
    <row r="800">
      <c r="A800" s="32"/>
      <c r="I800" s="31" t="str">
        <f>IFERROR(__xludf.DUMMYFUNCTION("""COMPUTED_VALUE"""),"european journal of obstetrics gynecology and reproductive biology")</f>
        <v>european journal of obstetrics gynecology and reproductive biology</v>
      </c>
      <c r="J800" s="38">
        <f>COUNTIF(Data!$F$2:$F9917, $I800)</f>
        <v>6</v>
      </c>
      <c r="T800" s="31" t="s">
        <v>2223</v>
      </c>
      <c r="U800" s="31" t="s">
        <v>2224</v>
      </c>
      <c r="V800" s="32">
        <v>45136.0</v>
      </c>
      <c r="X800" s="31" t="str">
        <f>IFERROR(__xludf.DUMMYFUNCTION("""COMPUTED_VALUE"""),"Realizing the value of complex medical technology: Demonstrating cost-effectiveness is not enough.")</f>
        <v>Realizing the value of complex medical technology: Demonstrating cost-effectiveness is not enough.</v>
      </c>
      <c r="Y800" s="31" t="str">
        <f>IFERROR(__xludf.DUMMYFUNCTION("""COMPUTED_VALUE"""),"Hehakaya, C; Frederix, G W J; van der Voort van Zyp, J Rn; Grobbee, D E; Verkooijen, H M")</f>
        <v>Hehakaya, C; Frederix, G W J; van der Voort van Zyp, J Rn; Grobbee, D E; Verkooijen, H M</v>
      </c>
      <c r="Z800" s="31">
        <f>IFERROR(__xludf.DUMMYFUNCTION("""COMPUTED_VALUE"""),2023.0)</f>
        <v>2023</v>
      </c>
      <c r="AA800" s="31">
        <f>IFERROR(__xludf.DUMMYFUNCTION("""COMPUTED_VALUE"""),0.0)</f>
        <v>0</v>
      </c>
      <c r="AF800" s="31" t="str">
        <f>IFERROR(__xludf.DUMMYFUNCTION("""COMPUTED_VALUE"""),"Participatory methods in pediatric participatory research: a systematic review.")</f>
        <v>Participatory methods in pediatric participatory research: a systematic review.</v>
      </c>
      <c r="AG800" s="31" t="str">
        <f>IFERROR(__xludf.DUMMYFUNCTION("""COMPUTED_VALUE"""),"Haijes, Hanneke A; van Thiel, Ghislaine J M W")</f>
        <v>Haijes, Hanneke A; van Thiel, Ghislaine J M W</v>
      </c>
      <c r="AH800" s="32">
        <f>IFERROR(__xludf.DUMMYFUNCTION("""COMPUTED_VALUE"""),42369.0)</f>
        <v>42369</v>
      </c>
      <c r="AL800" s="31" t="str">
        <f>IFERROR(__xludf.DUMMYFUNCTION("""COMPUTED_VALUE"""),"Development and validation of a prediction model for diagnosing blood stream infections in febrile, non-neutropenic children with cancer.")</f>
        <v>Development and validation of a prediction model for diagnosing blood stream infections in febrile, non-neutropenic children with cancer.</v>
      </c>
      <c r="AM800" s="31" t="str">
        <f>IFERROR(__xludf.DUMMYFUNCTION("""COMPUTED_VALUE"""),"Esbenshade, Adam J; Pentima, M Cecilia Di; Zhao, Zhiguo; Shintani, Ayumi; Esbenshade, Jennifer C; Simpson, Monique E; Montgomery, Kathleen C; Lindell, Robert B; Lee, Haerin; Wallace, Ato; Garcia, Kelly L; Moons, Karel G M; Friedman, Debra L")</f>
        <v>Esbenshade, Adam J; Pentima, M Cecilia Di; Zhao, Zhiguo; Shintani, Ayumi; Esbenshade, Jennifer C; Simpson, Monique E; Montgomery, Kathleen C; Lindell, Robert B; Lee, Haerin; Wallace, Ato; Garcia, Kelly L; Moons, Karel G M; Friedman, Debra L</v>
      </c>
      <c r="AN800" s="32">
        <f>IFERROR(__xludf.DUMMYFUNCTION("""COMPUTED_VALUE"""),41930.0)</f>
        <v>41930</v>
      </c>
    </row>
    <row r="801">
      <c r="A801" s="32"/>
      <c r="I801" s="31" t="str">
        <f>IFERROR(__xludf.DUMMYFUNCTION("""COMPUTED_VALUE"""),"the pharmacogenomics journal")</f>
        <v>the pharmacogenomics journal</v>
      </c>
      <c r="J801" s="38">
        <f>COUNTIF(Data!$F$2:$F9917, $I801)</f>
        <v>4</v>
      </c>
      <c r="T801" s="31" t="s">
        <v>2227</v>
      </c>
      <c r="U801" s="31" t="s">
        <v>336</v>
      </c>
      <c r="V801" s="32">
        <v>45135.0</v>
      </c>
      <c r="X801" s="31" t="str">
        <f>IFERROR(__xludf.DUMMYFUNCTION("""COMPUTED_VALUE"""),"Anticoagulants in frail elderly patients with atrial fibrillation: a delicate balance.")</f>
        <v>Anticoagulants in frail elderly patients with atrial fibrillation: a delicate balance.</v>
      </c>
      <c r="Y801" s="31" t="str">
        <f>IFERROR(__xludf.DUMMYFUNCTION("""COMPUTED_VALUE"""),"Trinks-Roerdink, Emmy M; Geersing, Geert-Jan")</f>
        <v>Trinks-Roerdink, Emmy M; Geersing, Geert-Jan</v>
      </c>
      <c r="Z801" s="31">
        <f>IFERROR(__xludf.DUMMYFUNCTION("""COMPUTED_VALUE"""),2023.0)</f>
        <v>2023</v>
      </c>
      <c r="AA801" s="31">
        <f>IFERROR(__xludf.DUMMYFUNCTION("""COMPUTED_VALUE"""),0.0)</f>
        <v>0</v>
      </c>
      <c r="AF801" s="31" t="str">
        <f>IFERROR(__xludf.DUMMYFUNCTION("""COMPUTED_VALUE"""),"Studying the lay of the land: views and experiences of professionals in the translational pluripotent stem cell field.")</f>
        <v>Studying the lay of the land: views and experiences of professionals in the translational pluripotent stem cell field.</v>
      </c>
      <c r="AG801" s="31" t="str">
        <f>IFERROR(__xludf.DUMMYFUNCTION("""COMPUTED_VALUE"""),"Habets, Michelle G J L; van Delden, Johannes J M; Bredenoord, Annelien L")</f>
        <v>Habets, Michelle G J L; van Delden, Johannes J M; Bredenoord, Annelien L</v>
      </c>
      <c r="AH801" s="32">
        <f>IFERROR(__xludf.DUMMYFUNCTION("""COMPUTED_VALUE"""),42356.0)</f>
        <v>42356</v>
      </c>
      <c r="AL801" s="31" t="str">
        <f>IFERROR(__xludf.DUMMYFUNCTION("""COMPUTED_VALUE"""),"Effects of renal denervation on end organ damage in hypertensive patients.")</f>
        <v>Effects of renal denervation on end organ damage in hypertensive patients.</v>
      </c>
      <c r="AM801" s="31" t="str">
        <f>IFERROR(__xludf.DUMMYFUNCTION("""COMPUTED_VALUE"""),"Verloop, Willemien L; Vink, Eva E; Spiering, Wilko; Blankestijn, Peter J; Doevendans, Pieter A; Bots, Michiel L; Vonken, Evert-jan; Voskuil, Michiel; Leiner, Tim")</f>
        <v>Verloop, Willemien L; Vink, Eva E; Spiering, Wilko; Blankestijn, Peter J; Doevendans, Pieter A; Bots, Michiel L; Vonken, Evert-jan; Voskuil, Michiel; Leiner, Tim</v>
      </c>
      <c r="AN801" s="32">
        <f>IFERROR(__xludf.DUMMYFUNCTION("""COMPUTED_VALUE"""),41929.0)</f>
        <v>41929</v>
      </c>
    </row>
    <row r="802">
      <c r="A802" s="32"/>
      <c r="I802" s="31" t="str">
        <f>IFERROR(__xludf.DUMMYFUNCTION("""COMPUTED_VALUE"""),"antimicrobial agents and chemotherapy")</f>
        <v>antimicrobial agents and chemotherapy</v>
      </c>
      <c r="J802" s="38">
        <f>COUNTIF(Data!$F$2:$F9917, $I802)</f>
        <v>1</v>
      </c>
      <c r="T802" s="31" t="s">
        <v>2231</v>
      </c>
      <c r="U802" s="31" t="s">
        <v>2232</v>
      </c>
      <c r="V802" s="32">
        <v>45135.0</v>
      </c>
      <c r="X802" s="31" t="str">
        <f>IFERROR(__xludf.DUMMYFUNCTION("""COMPUTED_VALUE"""),"[Inequal distribution of cause and effects of climate crisis: a global matter of equity and justice].")</f>
        <v>[Inequal distribution of cause and effects of climate crisis: a global matter of equity and justice].</v>
      </c>
      <c r="Y802" s="31" t="str">
        <f>IFERROR(__xludf.DUMMYFUNCTION("""COMPUTED_VALUE"""),"Browne, Joyce L; Baidjoe, Amrish; Bousema, Teun")</f>
        <v>Browne, Joyce L; Baidjoe, Amrish; Bousema, Teun</v>
      </c>
      <c r="Z802" s="31">
        <f>IFERROR(__xludf.DUMMYFUNCTION("""COMPUTED_VALUE"""),2023.0)</f>
        <v>2023</v>
      </c>
      <c r="AA802" s="31">
        <f>IFERROR(__xludf.DUMMYFUNCTION("""COMPUTED_VALUE"""),0.0)</f>
        <v>0</v>
      </c>
      <c r="AF802" s="31" t="str">
        <f>IFERROR(__xludf.DUMMYFUNCTION("""COMPUTED_VALUE"""),"EMAS recommendations for conditions in the workplace for menopausal women.")</f>
        <v>EMAS recommendations for conditions in the workplace for menopausal women.</v>
      </c>
      <c r="AG802" s="31" t="str">
        <f>IFERROR(__xludf.DUMMYFUNCTION("""COMPUTED_VALUE"""),"Griffiths, Amanda; Ceausu, Iuliana; Depypere, Herman; Lambrinoudaki, Irene; Mueck, Alfred; Pérez-López, Faustino R; van der Schouw, Yvonne T; Senturk, Levent M; Simoncini, Tommaso; Stevenson, John C; Stute, Petra; Rees, Margaret")</f>
        <v>Griffiths, Amanda; Ceausu, Iuliana; Depypere, Herman; Lambrinoudaki, Irene; Mueck, Alfred; Pérez-López, Faustino R; van der Schouw, Yvonne T; Senturk, Levent M; Simoncini, Tommaso; Stevenson, John C; Stute, Petra; Rees, Margaret</v>
      </c>
      <c r="AH802" s="32">
        <f>IFERROR(__xludf.DUMMYFUNCTION("""COMPUTED_VALUE"""),42353.0)</f>
        <v>42353</v>
      </c>
      <c r="AL802" s="31" t="str">
        <f>IFERROR(__xludf.DUMMYFUNCTION("""COMPUTED_VALUE"""),"The value of CT angiography in patients with acute severe headache.")</f>
        <v>The value of CT angiography in patients with acute severe headache.</v>
      </c>
      <c r="AM802" s="31" t="str">
        <f>IFERROR(__xludf.DUMMYFUNCTION("""COMPUTED_VALUE"""),"Alons, I M E; van den Wijngaard, I R; Verheul, R J; Lycklama à Nijeholt, G; Wermer, M J H; Algra, A; Jellema, K")</f>
        <v>Alons, I M E; van den Wijngaard, I R; Verheul, R J; Lycklama à Nijeholt, G; Wermer, M J H; Algra, A; Jellema, K</v>
      </c>
      <c r="AN802" s="32">
        <f>IFERROR(__xludf.DUMMYFUNCTION("""COMPUTED_VALUE"""),41926.0)</f>
        <v>41926</v>
      </c>
    </row>
    <row r="803">
      <c r="A803" s="32"/>
      <c r="I803" s="31" t="str">
        <f>IFERROR(__xludf.DUMMYFUNCTION("""COMPUTED_VALUE"""),"journal of nutrition education and behavior")</f>
        <v>journal of nutrition education and behavior</v>
      </c>
      <c r="J803" s="38">
        <f>COUNTIF(Data!$F$2:$F9917, $I803)</f>
        <v>1</v>
      </c>
      <c r="T803" s="31" t="s">
        <v>2235</v>
      </c>
      <c r="U803" s="31" t="s">
        <v>2236</v>
      </c>
      <c r="V803" s="32">
        <v>45135.0</v>
      </c>
      <c r="X803" s="31" t="str">
        <f>IFERROR(__xludf.DUMMYFUNCTION("""COMPUTED_VALUE"""),"A Bayesian-adaptive decision-theoretic approach can reduce the sample sizes for multiarm exercise oncology trials.")</f>
        <v>A Bayesian-adaptive decision-theoretic approach can reduce the sample sizes for multiarm exercise oncology trials.</v>
      </c>
      <c r="Y803" s="31" t="str">
        <f>IFERROR(__xludf.DUMMYFUNCTION("""COMPUTED_VALUE"""),"Buffart, Laurien M; Bassi, Andrea; Stuiver, Martijn M; Aaronson, Neil K; Sonke, Gabe S; Berkhof, Johannes; van de Ven, Peter M")</f>
        <v>Buffart, Laurien M; Bassi, Andrea; Stuiver, Martijn M; Aaronson, Neil K; Sonke, Gabe S; Berkhof, Johannes; van de Ven, Peter M</v>
      </c>
      <c r="Z803" s="31">
        <f>IFERROR(__xludf.DUMMYFUNCTION("""COMPUTED_VALUE"""),2023.0)</f>
        <v>2023</v>
      </c>
      <c r="AA803" s="31">
        <f>IFERROR(__xludf.DUMMYFUNCTION("""COMPUTED_VALUE"""),0.0)</f>
        <v>0</v>
      </c>
      <c r="AF803" s="31" t="str">
        <f>IFERROR(__xludf.DUMMYFUNCTION("""COMPUTED_VALUE"""),"Drug regulators and ethics: which GCP issues are also ethical issues?")</f>
        <v>Drug regulators and ethics: which GCP issues are also ethical issues?</v>
      </c>
      <c r="AG803" s="31" t="str">
        <f>IFERROR(__xludf.DUMMYFUNCTION("""COMPUTED_VALUE"""),"Bernabe, Rosemarie D L C; van Thiel, Ghislaine J M W; Breekveldt, Nancy S; van Delden, Johannes J M")</f>
        <v>Bernabe, Rosemarie D L C; van Thiel, Ghislaine J M W; Breekveldt, Nancy S; van Delden, Johannes J M</v>
      </c>
      <c r="AH803" s="32">
        <f>IFERROR(__xludf.DUMMYFUNCTION("""COMPUTED_VALUE"""),42329.0)</f>
        <v>42329</v>
      </c>
      <c r="AL803" s="31" t="str">
        <f>IFERROR(__xludf.DUMMYFUNCTION("""COMPUTED_VALUE"""),"Impact of adding therapeutic recommendations to risk assessments from a prediction model for postoperative nausea and vomiting.")</f>
        <v>Impact of adding therapeutic recommendations to risk assessments from a prediction model for postoperative nausea and vomiting.</v>
      </c>
      <c r="AM803" s="31" t="str">
        <f>IFERROR(__xludf.DUMMYFUNCTION("""COMPUTED_VALUE"""),"Kappen, T H; Vergouwe, Y; van Wolfswinkel, L; Kalkman, C J; Moons, K G M; van Klei, W A")</f>
        <v>Kappen, T H; Vergouwe, Y; van Wolfswinkel, L; Kalkman, C J; Moons, K G M; van Klei, W A</v>
      </c>
      <c r="AN803" s="32">
        <f>IFERROR(__xludf.DUMMYFUNCTION("""COMPUTED_VALUE"""),41913.0)</f>
        <v>41913</v>
      </c>
    </row>
    <row r="804">
      <c r="A804" s="32"/>
      <c r="I804" s="31" t="str">
        <f>IFERROR(__xludf.DUMMYFUNCTION("""COMPUTED_VALUE"""),"journal of stroke")</f>
        <v>journal of stroke</v>
      </c>
      <c r="J804" s="38">
        <f>COUNTIF(Data!$F$2:$F9917, $I804)</f>
        <v>2</v>
      </c>
      <c r="T804" s="31" t="s">
        <v>2239</v>
      </c>
      <c r="U804" s="31" t="s">
        <v>2240</v>
      </c>
      <c r="V804" s="32">
        <v>45133.0</v>
      </c>
      <c r="X804" s="31" t="str">
        <f>IFERROR(__xludf.DUMMYFUNCTION("""COMPUTED_VALUE"""),"Quality Improvement with Outcome Data in Integrated Obstetric Care Networks: Evaluating Collaboration and Learning Across Organizational Boundaries with an Action Research Approach.")</f>
        <v>Quality Improvement with Outcome Data in Integrated Obstetric Care Networks: Evaluating Collaboration and Learning Across Organizational Boundaries with an Action Research Approach.</v>
      </c>
      <c r="Y804" s="31" t="str">
        <f>IFERROR(__xludf.DUMMYFUNCTION("""COMPUTED_VALUE"""),"Depla, Anne Louise; Kersten, Anna W; Ruiter, Marije Lamain-de; Jambroes, Marielle; Franx, Arie; Evers, Inge M; Pluut, Bettine; Bekker, Mireille N")</f>
        <v>Depla, Anne Louise; Kersten, Anna W; Ruiter, Marije Lamain-de; Jambroes, Marielle; Franx, Arie; Evers, Inge M; Pluut, Bettine; Bekker, Mireille N</v>
      </c>
      <c r="Z804" s="31">
        <f>IFERROR(__xludf.DUMMYFUNCTION("""COMPUTED_VALUE"""),2023.0)</f>
        <v>2023</v>
      </c>
      <c r="AA804" s="31">
        <f>IFERROR(__xludf.DUMMYFUNCTION("""COMPUTED_VALUE"""),0.0)</f>
        <v>0</v>
      </c>
      <c r="AF804" s="31" t="str">
        <f>IFERROR(__xludf.DUMMYFUNCTION("""COMPUTED_VALUE"""),"Nosocomial transmission of avian influenza virus A (H7N9).")</f>
        <v>Nosocomial transmission of avian influenza virus A (H7N9).</v>
      </c>
      <c r="AG804" s="31" t="str">
        <f>IFERROR(__xludf.DUMMYFUNCTION("""COMPUTED_VALUE"""),"van der Sande, Marianne A B; van der Hoek, Wim")</f>
        <v>van der Sande, Marianne A B; van der Hoek, Wim</v>
      </c>
      <c r="AH804" s="32">
        <f>IFERROR(__xludf.DUMMYFUNCTION("""COMPUTED_VALUE"""),42327.0)</f>
        <v>42327</v>
      </c>
      <c r="AL804" s="31" t="str">
        <f>IFERROR(__xludf.DUMMYFUNCTION("""COMPUTED_VALUE"""),"Regulatory obstacles affecting ecological studies in the ICU.")</f>
        <v>Regulatory obstacles affecting ecological studies in the ICU.</v>
      </c>
      <c r="AM804" s="31" t="str">
        <f>IFERROR(__xludf.DUMMYFUNCTION("""COMPUTED_VALUE"""),"Wittekamp, Bastiaan H J; Wise, Matt P; Brun-Buisson, Christian; Bonten, Marc J M")</f>
        <v>Wittekamp, Bastiaan H J; Wise, Matt P; Brun-Buisson, Christian; Bonten, Marc J M</v>
      </c>
      <c r="AN804" s="32">
        <f>IFERROR(__xludf.DUMMYFUNCTION("""COMPUTED_VALUE"""),41913.0)</f>
        <v>41913</v>
      </c>
    </row>
    <row r="805">
      <c r="A805" s="32"/>
      <c r="I805" s="31" t="str">
        <f>IFERROR(__xludf.DUMMYFUNCTION("""COMPUTED_VALUE"""),"journal of developmental origins of health and disease")</f>
        <v>journal of developmental origins of health and disease</v>
      </c>
      <c r="J805" s="38">
        <f>COUNTIF(Data!$F$2:$F9917, $I805)</f>
        <v>2</v>
      </c>
      <c r="T805" s="31" t="s">
        <v>2244</v>
      </c>
      <c r="U805" s="31" t="s">
        <v>2245</v>
      </c>
      <c r="V805" s="32">
        <v>45133.0</v>
      </c>
      <c r="X805" s="31" t="str">
        <f>IFERROR(__xludf.DUMMYFUNCTION("""COMPUTED_VALUE"""),"Corrigendum: The impact of circadian rhythm on Bacillus Calmette-Guérin vaccination effects on SARS-CoV-2 infections.")</f>
        <v>Corrigendum: The impact of circadian rhythm on Bacillus Calmette-Guérin vaccination effects on SARS-CoV-2 infections.</v>
      </c>
      <c r="Y805" s="31" t="str">
        <f>IFERROR(__xludf.DUMMYFUNCTION("""COMPUTED_VALUE"""),"Föhse, Konstantin; Taks, Esther J M; Moorlag, Simone J C F M; Bonten, Marc J M; van Crevel, Reinout; Ten Oever, Jaap; van Werkhoven, Cornelis H; Netea, Mihai G; van de Maat, Josephine S; Hoogerwerf, Jacobien J")</f>
        <v>Föhse, Konstantin; Taks, Esther J M; Moorlag, Simone J C F M; Bonten, Marc J M; van Crevel, Reinout; Ten Oever, Jaap; van Werkhoven, Cornelis H; Netea, Mihai G; van de Maat, Josephine S; Hoogerwerf, Jacobien J</v>
      </c>
      <c r="Z805" s="31">
        <f>IFERROR(__xludf.DUMMYFUNCTION("""COMPUTED_VALUE"""),2023.0)</f>
        <v>2023</v>
      </c>
      <c r="AA805" s="31">
        <f>IFERROR(__xludf.DUMMYFUNCTION("""COMPUTED_VALUE"""),0.0)</f>
        <v>0</v>
      </c>
      <c r="AF805" s="31" t="str">
        <f>IFERROR(__xludf.DUMMYFUNCTION("""COMPUTED_VALUE"""),"Measuring regional and district variations in the incidence of pregnancy-induced hypertension in Ghana: challenges, opportunities and implications for maternal and newborn health policy and programmes.")</f>
        <v>Measuring regional and district variations in the incidence of pregnancy-induced hypertension in Ghana: challenges, opportunities and implications for maternal and newborn health policy and programmes.</v>
      </c>
      <c r="AG805" s="31" t="str">
        <f>IFERROR(__xludf.DUMMYFUNCTION("""COMPUTED_VALUE"""),"Antwi, Edward; Klipstein-Grobusch, Kerstin; Quansah Asare, Gloria; Koram, Kwadwo A; Grobbee, Diederick; Agyepong, Irene A")</f>
        <v>Antwi, Edward; Klipstein-Grobusch, Kerstin; Quansah Asare, Gloria; Koram, Kwadwo A; Grobbee, Diederick; Agyepong, Irene A</v>
      </c>
      <c r="AH805" s="32">
        <f>IFERROR(__xludf.DUMMYFUNCTION("""COMPUTED_VALUE"""),42324.0)</f>
        <v>42324</v>
      </c>
      <c r="AL805" s="31" t="str">
        <f>IFERROR(__xludf.DUMMYFUNCTION("""COMPUTED_VALUE"""),"A Critical Appraisal of the Hippocampal Subfield Segmentation Package in FreeSurfer.")</f>
        <v>A Critical Appraisal of the Hippocampal Subfield Segmentation Package in FreeSurfer.</v>
      </c>
      <c r="AM805" s="31" t="str">
        <f>IFERROR(__xludf.DUMMYFUNCTION("""COMPUTED_VALUE"""),"Wisse, Laura E M; Biessels, Geert Jan; Geerlings, Mirjam I")</f>
        <v>Wisse, Laura E M; Biessels, Geert Jan; Geerlings, Mirjam I</v>
      </c>
      <c r="AN805" s="32">
        <f>IFERROR(__xludf.DUMMYFUNCTION("""COMPUTED_VALUE"""),41907.0)</f>
        <v>41907</v>
      </c>
    </row>
    <row r="806">
      <c r="A806" s="32"/>
      <c r="I806" s="31" t="str">
        <f>IFERROR(__xludf.DUMMYFUNCTION("""COMPUTED_VALUE"""),"inflammatory bowel diseases")</f>
        <v>inflammatory bowel diseases</v>
      </c>
      <c r="J806" s="38">
        <f>COUNTIF(Data!$F$2:$F9917, $I806)</f>
        <v>2</v>
      </c>
      <c r="T806" s="31" t="s">
        <v>2249</v>
      </c>
      <c r="U806" s="31" t="s">
        <v>2250</v>
      </c>
      <c r="V806" s="32">
        <v>45133.0</v>
      </c>
      <c r="X806" s="31" t="str">
        <f>IFERROR(__xludf.DUMMYFUNCTION("""COMPUTED_VALUE"""),"Guidelines for Reporting Observational Research in Urology: The Importance of Clear Reference to Causality.")</f>
        <v>Guidelines for Reporting Observational Research in Urology: The Importance of Clear Reference to Causality.</v>
      </c>
      <c r="Y806" s="31" t="str">
        <f>IFERROR(__xludf.DUMMYFUNCTION("""COMPUTED_VALUE"""),"Vickers, Andrew J; Assel, Melissa; Dunn, Rodney L; Zabor, Emily C; Kattan, Michael W; van Smeden, Maarten; Dahly, Darren")</f>
        <v>Vickers, Andrew J; Assel, Melissa; Dunn, Rodney L; Zabor, Emily C; Kattan, Michael W; van Smeden, Maarten; Dahly, Darren</v>
      </c>
      <c r="Z806" s="31">
        <f>IFERROR(__xludf.DUMMYFUNCTION("""COMPUTED_VALUE"""),2023.0)</f>
        <v>2023</v>
      </c>
      <c r="AA806" s="31">
        <f>IFERROR(__xludf.DUMMYFUNCTION("""COMPUTED_VALUE"""),0.0)</f>
        <v>0</v>
      </c>
      <c r="AF806" s="31" t="str">
        <f>IFERROR(__xludf.DUMMYFUNCTION("""COMPUTED_VALUE"""),"Big Data in medical research and EU data protection law: challenges to the consent or anonymise approach.")</f>
        <v>Big Data in medical research and EU data protection law: challenges to the consent or anonymise approach.</v>
      </c>
      <c r="AG806" s="31" t="str">
        <f>IFERROR(__xludf.DUMMYFUNCTION("""COMPUTED_VALUE"""),"Mostert, Menno; Bredenoord, Annelien L; Biesaart, Monique C I H; van Delden, Johannes J M")</f>
        <v>Mostert, Menno; Bredenoord, Annelien L; Biesaart, Monique C I H; van Delden, Johannes J M</v>
      </c>
      <c r="AH806" s="32">
        <f>IFERROR(__xludf.DUMMYFUNCTION("""COMPUTED_VALUE"""),42319.0)</f>
        <v>42319</v>
      </c>
      <c r="AL806" s="31" t="str">
        <f>IFERROR(__xludf.DUMMYFUNCTION("""COMPUTED_VALUE"""),"MLST reveals potentially high-risk international clones of Enterobacter cloacae.")</f>
        <v>MLST reveals potentially high-risk international clones of Enterobacter cloacae.</v>
      </c>
      <c r="AM806" s="31" t="str">
        <f>IFERROR(__xludf.DUMMYFUNCTION("""COMPUTED_VALUE"""),"Izdebski, R; Baraniak, A; Herda, M; Fiett, J; Bonten, M J M; Carmeli, Y; Goossens, H; Hryniewicz, W; Brun-Buisson, C; Gniadkowski, M; ,")</f>
        <v>Izdebski, R; Baraniak, A; Herda, M; Fiett, J; Bonten, M J M; Carmeli, Y; Goossens, H; Hryniewicz, W; Brun-Buisson, C; Gniadkowski, M; ,</v>
      </c>
      <c r="AN806" s="32">
        <f>IFERROR(__xludf.DUMMYFUNCTION("""COMPUTED_VALUE"""),41894.0)</f>
        <v>41894</v>
      </c>
    </row>
    <row r="807">
      <c r="A807" s="32"/>
      <c r="I807" s="31" t="str">
        <f>IFERROR(__xludf.DUMMYFUNCTION("""COMPUTED_VALUE"""),"bmj case reports")</f>
        <v>bmj case reports</v>
      </c>
      <c r="J807" s="38">
        <f>COUNTIF(Data!$F$2:$F9917, $I807)</f>
        <v>2</v>
      </c>
      <c r="T807" s="31" t="s">
        <v>2254</v>
      </c>
      <c r="U807" s="31" t="s">
        <v>2255</v>
      </c>
      <c r="V807" s="32">
        <v>45132.0</v>
      </c>
      <c r="X807" s="31" t="str">
        <f>IFERROR(__xludf.DUMMYFUNCTION("""COMPUTED_VALUE"""),"Cross-sectional health centre and community-based evaluation of the impact of pneumococcal and malaria vaccination on antibiotic prescription and usage, febrile illness and antimicrobial resistance in young children in Malawi: the IVAR study protocol.")</f>
        <v>Cross-sectional health centre and community-based evaluation of the impact of pneumococcal and malaria vaccination on antibiotic prescription and usage, febrile illness and antimicrobial resistance in young children in Malawi: the IVAR study protocol.</v>
      </c>
      <c r="Y807" s="31" t="str">
        <f>IFERROR(__xludf.DUMMYFUNCTION("""COMPUTED_VALUE"""),"Singleton, David; Ibarz-Pavon, Ana; Swarthout, Todd D; Bonomali, Farouck; Cornick, Jennifer; Kalizang'oma, Akuzike; Ntiza, Noah; Brown, Comfort; Chipatala, Raphael; Nyangulu, Wongani; Chirombo, James; Kawalazira, Gift; Chibowa, Henry; Mwansambo, Charles; "&amp;"Maleta, Kenneth Mphatso; French, Neil; Heyderman, Robert S")</f>
        <v>Singleton, David; Ibarz-Pavon, Ana; Swarthout, Todd D; Bonomali, Farouck; Cornick, Jennifer; Kalizang'oma, Akuzike; Ntiza, Noah; Brown, Comfort; Chipatala, Raphael; Nyangulu, Wongani; Chirombo, James; Kawalazira, Gift; Chibowa, Henry; Mwansambo, Charles; Maleta, Kenneth Mphatso; French, Neil; Heyderman, Robert S</v>
      </c>
      <c r="Z807" s="31">
        <f>IFERROR(__xludf.DUMMYFUNCTION("""COMPUTED_VALUE"""),2023.0)</f>
        <v>2023</v>
      </c>
      <c r="AA807" s="31">
        <f>IFERROR(__xludf.DUMMYFUNCTION("""COMPUTED_VALUE"""),0.0)</f>
        <v>0</v>
      </c>
      <c r="AF807" s="31" t="str">
        <f>IFERROR(__xludf.DUMMYFUNCTION("""COMPUTED_VALUE"""),"EMAS position statement: Testosterone replacement therapy in the aging male‏.")</f>
        <v>EMAS position statement: Testosterone replacement therapy in the aging male‏.</v>
      </c>
      <c r="AG807" s="31" t="str">
        <f>IFERROR(__xludf.DUMMYFUNCTION("""COMPUTED_VALUE"""),"Dimopoulou, Christina; Ceausu, Iuliana; Depypere, Herman; Lambrinoudaki, Irene; Mueck, Alfred; Pérez-López, Faustino R; Rees, Margaret; van der Schouw, Yvonne T; Senturk, Levent M; Simonsini, Tommaso; Stevenson, John C; Stute, Petra; Goulis, Dimitrios G")</f>
        <v>Dimopoulou, Christina; Ceausu, Iuliana; Depypere, Herman; Lambrinoudaki, Irene; Mueck, Alfred; Pérez-López, Faustino R; Rees, Margaret; van der Schouw, Yvonne T; Senturk, Levent M; Simonsini, Tommaso; Stevenson, John C; Stute, Petra; Goulis, Dimitrios G</v>
      </c>
      <c r="AH807" s="32">
        <f>IFERROR(__xludf.DUMMYFUNCTION("""COMPUTED_VALUE"""),42318.0)</f>
        <v>42318</v>
      </c>
      <c r="AL807" s="31" t="str">
        <f>IFERROR(__xludf.DUMMYFUNCTION("""COMPUTED_VALUE"""),"The authors reply.")</f>
        <v>The authors reply.</v>
      </c>
      <c r="AM807" s="31" t="str">
        <f>IFERROR(__xludf.DUMMYFUNCTION("""COMPUTED_VALUE"""),"den Hoedt, Claire H; Bots, Michiel L; Grooteman, Muriel P C; ter Wee, Piet M; Nubé, Menso J; Blankestijn, Peter J; van den Dorpel, Marinus A")</f>
        <v>den Hoedt, Claire H; Bots, Michiel L; Grooteman, Muriel P C; ter Wee, Piet M; Nubé, Menso J; Blankestijn, Peter J; van den Dorpel, Marinus A</v>
      </c>
      <c r="AN807" s="32">
        <f>IFERROR(__xludf.DUMMYFUNCTION("""COMPUTED_VALUE"""),41883.0)</f>
        <v>41883</v>
      </c>
    </row>
    <row r="808">
      <c r="A808" s="32"/>
      <c r="I808" s="31" t="str">
        <f>IFERROR(__xludf.DUMMYFUNCTION("""COMPUTED_VALUE"""),"aphasiology")</f>
        <v>aphasiology</v>
      </c>
      <c r="J808" s="38">
        <f>COUNTIF(Data!$F$2:$F9917, $I808)</f>
        <v>1</v>
      </c>
      <c r="T808" s="31" t="s">
        <v>2258</v>
      </c>
      <c r="U808" s="31" t="s">
        <v>2259</v>
      </c>
      <c r="V808" s="32">
        <v>45131.0</v>
      </c>
      <c r="X808" s="31" t="str">
        <f>IFERROR(__xludf.DUMMYFUNCTION("""COMPUTED_VALUE"""),"Early Detection of Brain Metastases in a Supervised Exercise Program for Patients with Advanced Breast Cancer: A Case Report.")</f>
        <v>Early Detection of Brain Metastases in a Supervised Exercise Program for Patients with Advanced Breast Cancer: A Case Report.</v>
      </c>
      <c r="Y808" s="31" t="str">
        <f>IFERROR(__xludf.DUMMYFUNCTION("""COMPUTED_VALUE"""),"Pelaez, Mireia; Stuiver, Martijn M; Broekman, Marike; Schmitz, Kathryn H; Zopf, Eva M; Clauss, Dorothea; Wengström, Yvonne; Rosenberger, Friederike; Steindorf, Karen; Urruticoechea, Ander; May, Anne M")</f>
        <v>Pelaez, Mireia; Stuiver, Martijn M; Broekman, Marike; Schmitz, Kathryn H; Zopf, Eva M; Clauss, Dorothea; Wengström, Yvonne; Rosenberger, Friederike; Steindorf, Karen; Urruticoechea, Ander; May, Anne M</v>
      </c>
      <c r="Z808" s="31">
        <f>IFERROR(__xludf.DUMMYFUNCTION("""COMPUTED_VALUE"""),2023.0)</f>
        <v>2023</v>
      </c>
      <c r="AA808" s="31">
        <f>IFERROR(__xludf.DUMMYFUNCTION("""COMPUTED_VALUE"""),0.0)</f>
        <v>0</v>
      </c>
      <c r="AF808" s="31" t="str">
        <f>IFERROR(__xludf.DUMMYFUNCTION("""COMPUTED_VALUE"""),"Data sharing in stem cell translational science: policy statement by the International Stem Cell Forum Ethics Working Party.")</f>
        <v>Data sharing in stem cell translational science: policy statement by the International Stem Cell Forum Ethics Working Party.</v>
      </c>
      <c r="AG808" s="31" t="str">
        <f>IFERROR(__xludf.DUMMYFUNCTION("""COMPUTED_VALUE"""),"Bredenoord, Annelien L; Mostert, Menno; Isasi, Rosario; Knoppers, Bartha M")</f>
        <v>Bredenoord, Annelien L; Mostert, Menno; Isasi, Rosario; Knoppers, Bartha M</v>
      </c>
      <c r="AH808" s="32">
        <f>IFERROR(__xludf.DUMMYFUNCTION("""COMPUTED_VALUE"""),42304.0)</f>
        <v>42304</v>
      </c>
      <c r="AL808" s="31" t="str">
        <f>IFERROR(__xludf.DUMMYFUNCTION("""COMPUTED_VALUE"""),"A new framework to enhance the interpretation of external validation studies of clinical prediction models.")</f>
        <v>A new framework to enhance the interpretation of external validation studies of clinical prediction models.</v>
      </c>
      <c r="AM808" s="31" t="str">
        <f>IFERROR(__xludf.DUMMYFUNCTION("""COMPUTED_VALUE"""),"Debray, Thomas P A; Vergouwe, Yvonne; Koffijberg, Hendrik; Nieboer, Daan; Steyerberg, Ewout W; Moons, Karel G M")</f>
        <v>Debray, Thomas P A; Vergouwe, Yvonne; Koffijberg, Hendrik; Nieboer, Daan; Steyerberg, Ewout W; Moons, Karel G M</v>
      </c>
      <c r="AN808" s="32">
        <f>IFERROR(__xludf.DUMMYFUNCTION("""COMPUTED_VALUE"""),41881.0)</f>
        <v>41881</v>
      </c>
    </row>
    <row r="809">
      <c r="A809" s="32"/>
      <c r="I809" s="31" t="str">
        <f>IFERROR(__xludf.DUMMYFUNCTION("""COMPUTED_VALUE"""),"nature reviews clinical oncology")</f>
        <v>nature reviews clinical oncology</v>
      </c>
      <c r="J809" s="38">
        <f>COUNTIF(Data!$F$2:$F9917, $I809)</f>
        <v>2</v>
      </c>
      <c r="T809" s="31" t="s">
        <v>2262</v>
      </c>
      <c r="U809" s="31" t="s">
        <v>2263</v>
      </c>
      <c r="V809" s="32">
        <v>45128.0</v>
      </c>
      <c r="X809" s="31" t="str">
        <f>IFERROR(__xludf.DUMMYFUNCTION("""COMPUTED_VALUE"""),"Moderators of exercise effects on self-reported cognitive functioning in cancer survivors: an individual participant data meta-analysis.")</f>
        <v>Moderators of exercise effects on self-reported cognitive functioning in cancer survivors: an individual participant data meta-analysis.</v>
      </c>
      <c r="Y809" s="31" t="str">
        <f>IFERROR(__xludf.DUMMYFUNCTION("""COMPUTED_VALUE"""),"Hiensch, Anouk E; Beckhaus, Julia; Witlox, Lenja; Monninkhof, Evelyn M; Schagen, Sanne B; van Vulpen, Jonna K; Sweegers, Maike G; Newton, Robert U; Aaronson, Neil K; Galvão, Daniel A; Steindorf, Karen; Stuiver, Martijn M; Mesters, Ilse; Knoop, Hans; Goede"&amp;"ndorp, Martine M; Bohus, Martin; Thorsen, Lene; Schulz, Karl-Heinz; Schmidt, Martina E; Ulrich, Cornelia M; Sonke, Gabe S; van Harten, Wim H; Winters-Stone, Kerri M; Velthuis, Miranda J; Taaffe, Dennis R; van Mechelen, Willem; Kersten, Marie José; Nollet,"&amp;" Frans; Wiskemann, Joachim; Buffart, Laurien M; May, Anne M")</f>
        <v>Hiensch, Anouk E; Beckhaus, Julia; Witlox, Lenja; Monninkhof, Evelyn M; Schagen, Sanne B; van Vulpen, Jonna K; Sweegers, Maike G; Newton, Robert U; Aaronson, Neil K; Galvão, Daniel A; Steindorf, Karen; Stuiver, Martijn M; Mesters, Ilse; Knoop, Hans; Goedendorp, Martine M; Bohus, Martin; Thorsen, Lene; Schulz, Karl-Heinz; Schmidt, Martina E; Ulrich, Cornelia M; Sonke, Gabe S; van Harten, Wim H; Winters-Stone, Kerri M; Velthuis, Miranda J; Taaffe, Dennis R; van Mechelen, Willem; Kersten, Marie José; Nollet, Frans; Wiskemann, Joachim; Buffart, Laurien M; May, Anne M</v>
      </c>
      <c r="Z809" s="31">
        <f>IFERROR(__xludf.DUMMYFUNCTION("""COMPUTED_VALUE"""),2023.0)</f>
        <v>2023</v>
      </c>
      <c r="AA809" s="31">
        <f>IFERROR(__xludf.DUMMYFUNCTION("""COMPUTED_VALUE"""),0.0)</f>
        <v>0</v>
      </c>
      <c r="AF809" s="31" t="str">
        <f>IFERROR(__xludf.DUMMYFUNCTION("""COMPUTED_VALUE"""),"Osteocalcin Is Not Associated with the Risk of Type 2 Diabetes: Findings from the EPIC-NL Study.")</f>
        <v>Osteocalcin Is Not Associated with the Risk of Type 2 Diabetes: Findings from the EPIC-NL Study.</v>
      </c>
      <c r="AG809" s="31" t="str">
        <f>IFERROR(__xludf.DUMMYFUNCTION("""COMPUTED_VALUE"""),"Zwakenberg, Sabine R; Gundberg, Caren M; Spijkerman, Annemieke M W; van der A, Daphne L; van der Schouw, Yvonne T; Beulens, Joline W J")</f>
        <v>Zwakenberg, Sabine R; Gundberg, Caren M; Spijkerman, Annemieke M W; van der A, Daphne L; van der Schouw, Yvonne T; Beulens, Joline W J</v>
      </c>
      <c r="AH809" s="32">
        <f>IFERROR(__xludf.DUMMYFUNCTION("""COMPUTED_VALUE"""),42276.0)</f>
        <v>42276</v>
      </c>
      <c r="AL809" s="31" t="str">
        <f>IFERROR(__xludf.DUMMYFUNCTION("""COMPUTED_VALUE"""),"Antibiotic rotation strategies to reduce antimicrobial resistance in Gram-negative bacteria in European intensive care units: study protocol for a cluster-randomized crossover controlled trial.")</f>
        <v>Antibiotic rotation strategies to reduce antimicrobial resistance in Gram-negative bacteria in European intensive care units: study protocol for a cluster-randomized crossover controlled trial.</v>
      </c>
      <c r="AM809" s="31" t="str">
        <f>IFERROR(__xludf.DUMMYFUNCTION("""COMPUTED_VALUE"""),"van Duijn, Pleun J; Bonten, Marc J M")</f>
        <v>van Duijn, Pleun J; Bonten, Marc J M</v>
      </c>
      <c r="AN809" s="32">
        <f>IFERROR(__xludf.DUMMYFUNCTION("""COMPUTED_VALUE"""),41830.0)</f>
        <v>41830</v>
      </c>
    </row>
    <row r="810">
      <c r="A810" s="32"/>
      <c r="I810" s="31" t="str">
        <f>IFERROR(__xludf.DUMMYFUNCTION("""COMPUTED_VALUE"""),"nicotine tobacco research official journal of the society for research on nicotine and tobacco")</f>
        <v>nicotine tobacco research official journal of the society for research on nicotine and tobacco</v>
      </c>
      <c r="J810" s="38">
        <f>COUNTIF(Data!$F$2:$F9917, $I810)</f>
        <v>1</v>
      </c>
      <c r="T810" s="31" t="s">
        <v>2267</v>
      </c>
      <c r="U810" s="31" t="s">
        <v>2268</v>
      </c>
      <c r="V810" s="32">
        <v>45128.0</v>
      </c>
      <c r="X810" s="31" t="str">
        <f>IFERROR(__xludf.DUMMYFUNCTION("""COMPUTED_VALUE"""),"Displaying concerns within telephone triage conversations of callers with chest discomfort in out-of-hours primary care: A conversation analytic study.")</f>
        <v>Displaying concerns within telephone triage conversations of callers with chest discomfort in out-of-hours primary care: A conversation analytic study.</v>
      </c>
      <c r="Y810" s="31" t="str">
        <f>IFERROR(__xludf.DUMMYFUNCTION("""COMPUTED_VALUE"""),"Spek, Michelle; van Charldorp, Tessa C; Vinck, Vera V; Venekamp, Roderick P; Rutten, Frans H; Zwart, Dorien L; de Groot, Esther")</f>
        <v>Spek, Michelle; van Charldorp, Tessa C; Vinck, Vera V; Venekamp, Roderick P; Rutten, Frans H; Zwart, Dorien L; de Groot, Esther</v>
      </c>
      <c r="Z810" s="31">
        <f>IFERROR(__xludf.DUMMYFUNCTION("""COMPUTED_VALUE"""),2023.0)</f>
        <v>2023</v>
      </c>
      <c r="AA810" s="31">
        <f>IFERROR(__xludf.DUMMYFUNCTION("""COMPUTED_VALUE"""),0.0)</f>
        <v>0</v>
      </c>
      <c r="AF810" s="31" t="str">
        <f>IFERROR(__xludf.DUMMYFUNCTION("""COMPUTED_VALUE"""),"Benzodiazepine-associated delirium in critically ill adults.")</f>
        <v>Benzodiazepine-associated delirium in critically ill adults.</v>
      </c>
      <c r="AG810" s="31" t="str">
        <f>IFERROR(__xludf.DUMMYFUNCTION("""COMPUTED_VALUE"""),"Zaal, Irene J; Devlin, John W; Hazelbag, Marijn; Klein Klouwenberg, Peter M C; van der Kooi, Arendina W; Ong, David S Y; Cremer, Olaf L; Groenwold, Rolf H; Slooter, Arjen J C")</f>
        <v>Zaal, Irene J; Devlin, John W; Hazelbag, Marijn; Klein Klouwenberg, Peter M C; van der Kooi, Arendina W; Ong, David S Y; Cremer, Olaf L; Groenwold, Rolf H; Slooter, Arjen J C</v>
      </c>
      <c r="AH810" s="32">
        <f>IFERROR(__xludf.DUMMYFUNCTION("""COMPUTED_VALUE"""),42271.0)</f>
        <v>42271</v>
      </c>
      <c r="AL810" s="31" t="str">
        <f>IFERROR(__xludf.DUMMYFUNCTION("""COMPUTED_VALUE"""),"Improving the transparency of prognosis research: the role of reporting, data sharing, registration, and protocols.")</f>
        <v>Improving the transparency of prognosis research: the role of reporting, data sharing, registration, and protocols.</v>
      </c>
      <c r="AM810" s="31" t="str">
        <f>IFERROR(__xludf.DUMMYFUNCTION("""COMPUTED_VALUE"""),"Peat, George; Riley, Richard D; Croft, Peter; Morley, Katherine I; Kyzas, Panayiotis A; Moons, Karel G M; Perel, Pablo; Steyerberg, Ewout W; Schroter, Sara; Altman, Douglas G; Hemingway, Harry; ,")</f>
        <v>Peat, George; Riley, Richard D; Croft, Peter; Morley, Katherine I; Kyzas, Panayiotis A; Moons, Karel G M; Perel, Pablo; Steyerberg, Ewout W; Schroter, Sara; Altman, Douglas G; Hemingway, Harry; ,</v>
      </c>
      <c r="AN810" s="32">
        <f>IFERROR(__xludf.DUMMYFUNCTION("""COMPUTED_VALUE"""),41828.0)</f>
        <v>41828</v>
      </c>
    </row>
    <row r="811">
      <c r="A811" s="32"/>
      <c r="I811" s="31" t="str">
        <f>IFERROR(__xludf.DUMMYFUNCTION("""COMPUTED_VALUE"""),"quality of life research an international journal of quality of life aspects of treatment care and rehabilitation")</f>
        <v>quality of life research an international journal of quality of life aspects of treatment care and rehabilitation</v>
      </c>
      <c r="J811" s="38">
        <f>COUNTIF(Data!$F$2:$F9917, $I811)</f>
        <v>2</v>
      </c>
      <c r="T811" s="31" t="s">
        <v>2271</v>
      </c>
      <c r="U811" s="31" t="s">
        <v>2272</v>
      </c>
      <c r="V811" s="32">
        <v>45127.0</v>
      </c>
      <c r="X811" s="31" t="str">
        <f>IFERROR(__xludf.DUMMYFUNCTION("""COMPUTED_VALUE"""),"Managing the Increasing Burden of Atrial Fibrillation through Integrated Care in Primary Care: A Cost-Effectiveness Analysis.")</f>
        <v>Managing the Increasing Burden of Atrial Fibrillation through Integrated Care in Primary Care: A Cost-Effectiveness Analysis.</v>
      </c>
      <c r="Y811" s="31" t="str">
        <f>IFERROR(__xludf.DUMMYFUNCTION("""COMPUTED_VALUE"""),"van den Dries, Carline J; van der Meulen, Miriam P; Frederix, Geert W J; Hoes, Arno W; Moons, Karel G M; Geersing, Geert-Jan")</f>
        <v>van den Dries, Carline J; van der Meulen, Miriam P; Frederix, Geert W J; Hoes, Arno W; Moons, Karel G M; Geersing, Geert-Jan</v>
      </c>
      <c r="Z811" s="31">
        <f>IFERROR(__xludf.DUMMYFUNCTION("""COMPUTED_VALUE"""),2023.0)</f>
        <v>2023</v>
      </c>
      <c r="AA811" s="31">
        <f>IFERROR(__xludf.DUMMYFUNCTION("""COMPUTED_VALUE"""),0.0)</f>
        <v>0</v>
      </c>
      <c r="AF811" s="31" t="str">
        <f>IFERROR(__xludf.DUMMYFUNCTION("""COMPUTED_VALUE"""),"Participant selection for preventive Regenerative Medicine trials: ethical challenges of selecting individuals at risk.")</f>
        <v>Participant selection for preventive Regenerative Medicine trials: ethical challenges of selecting individuals at risk.</v>
      </c>
      <c r="AG811" s="31" t="str">
        <f>IFERROR(__xludf.DUMMYFUNCTION("""COMPUTED_VALUE"""),"Niemansburg, Sophie L; Habets, Michelle G J L; Dhert, Wouter J A; van Delden, Johannes J M; Bredenoord, Annelien L")</f>
        <v>Niemansburg, Sophie L; Habets, Michelle G J L; Dhert, Wouter J A; van Delden, Johannes J M; Bredenoord, Annelien L</v>
      </c>
      <c r="AH811" s="32">
        <f>IFERROR(__xludf.DUMMYFUNCTION("""COMPUTED_VALUE"""),42251.0)</f>
        <v>42251</v>
      </c>
      <c r="AL811" s="31" t="str">
        <f>IFERROR(__xludf.DUMMYFUNCTION("""COMPUTED_VALUE"""),"Prediction of asymptomatic carotid artery stenosis in the general population: identification of high-risk groups.")</f>
        <v>Prediction of asymptomatic carotid artery stenosis in the general population: identification of high-risk groups.</v>
      </c>
      <c r="AM811" s="31" t="str">
        <f>IFERROR(__xludf.DUMMYFUNCTION("""COMPUTED_VALUE"""),"de Weerd, Marjolein; Greving, Jacoba P; Hedblad, Bo; Lorenz, Matthias W; Mathiesen, Ellisiv B; O'Leary, Daniel H; Rosvall, Maria; Sitzer, Matthias; de Borst, Gert Jan; Buskens, Erik; Bots, Michiel L")</f>
        <v>de Weerd, Marjolein; Greving, Jacoba P; Hedblad, Bo; Lorenz, Matthias W; Mathiesen, Ellisiv B; O'Leary, Daniel H; Rosvall, Maria; Sitzer, Matthias; de Borst, Gert Jan; Buskens, Erik; Bots, Michiel L</v>
      </c>
      <c r="AN811" s="32">
        <f>IFERROR(__xludf.DUMMYFUNCTION("""COMPUTED_VALUE"""),41823.0)</f>
        <v>41823</v>
      </c>
    </row>
    <row r="812">
      <c r="A812" s="32"/>
      <c r="I812" s="31" t="str">
        <f>IFERROR(__xludf.DUMMYFUNCTION("""COMPUTED_VALUE"""),"the clinical respiratory journal")</f>
        <v>the clinical respiratory journal</v>
      </c>
      <c r="J812" s="38">
        <f>COUNTIF(Data!$F$2:$F9917, $I812)</f>
        <v>1</v>
      </c>
      <c r="T812" s="31" t="s">
        <v>2276</v>
      </c>
      <c r="U812" s="31" t="s">
        <v>2277</v>
      </c>
      <c r="V812" s="32">
        <v>45127.0</v>
      </c>
      <c r="X812" s="31" t="str">
        <f>IFERROR(__xludf.DUMMYFUNCTION("""COMPUTED_VALUE"""),"Ambient Air Pollution and All-Cause and Cause-Specific Mortality in an Analysis of Asian Cohorts.")</f>
        <v>Ambient Air Pollution and All-Cause and Cause-Specific Mortality in an Analysis of Asian Cohorts.</v>
      </c>
      <c r="Y812" s="31" t="str">
        <f>IFERROR(__xludf.DUMMYFUNCTION("""COMPUTED_VALUE"""),"Downward, G S; Vermeulen, R; ,")</f>
        <v>Downward, G S; Vermeulen, R; ,</v>
      </c>
      <c r="Z812" s="31">
        <f>IFERROR(__xludf.DUMMYFUNCTION("""COMPUTED_VALUE"""),2023.0)</f>
        <v>2023</v>
      </c>
      <c r="AA812" s="31">
        <f>IFERROR(__xludf.DUMMYFUNCTION("""COMPUTED_VALUE"""),0.0)</f>
        <v>0</v>
      </c>
      <c r="AF812" s="31" t="str">
        <f>IFERROR(__xludf.DUMMYFUNCTION("""COMPUTED_VALUE"""),"HIV, Antiretroviral Therapy, and Hypertensive Disorders in Pregnancy: A Systematic Review and Meta-analysis.")</f>
        <v>HIV, Antiretroviral Therapy, and Hypertensive Disorders in Pregnancy: A Systematic Review and Meta-analysis.</v>
      </c>
      <c r="AG812" s="31" t="str">
        <f>IFERROR(__xludf.DUMMYFUNCTION("""COMPUTED_VALUE"""),"Browne, Joyce L; Schrier, Verena J M M; Grobbee, Diederick E; Peters, Sanne A E; Klipstein-Grobusch, Kerstin")</f>
        <v>Browne, Joyce L; Schrier, Verena J M M; Grobbee, Diederick E; Peters, Sanne A E; Klipstein-Grobusch, Kerstin</v>
      </c>
      <c r="AH812" s="32">
        <f>IFERROR(__xludf.DUMMYFUNCTION("""COMPUTED_VALUE"""),42248.0)</f>
        <v>42248</v>
      </c>
      <c r="AL812" s="31" t="str">
        <f>IFERROR(__xludf.DUMMYFUNCTION("""COMPUTED_VALUE"""),"Using evidence to combat overdiagnosis and overtreatment: evaluating treatments, tests, and disease definitions in the time of too much.")</f>
        <v>Using evidence to combat overdiagnosis and overtreatment: evaluating treatments, tests, and disease definitions in the time of too much.</v>
      </c>
      <c r="AM812" s="31" t="str">
        <f>IFERROR(__xludf.DUMMYFUNCTION("""COMPUTED_VALUE"""),"Moynihan, Ray; Henry, David; Moons, Karel G M")</f>
        <v>Moynihan, Ray; Henry, David; Moons, Karel G M</v>
      </c>
      <c r="AN812" s="32">
        <f>IFERROR(__xludf.DUMMYFUNCTION("""COMPUTED_VALUE"""),41821.0)</f>
        <v>41821</v>
      </c>
    </row>
    <row r="813">
      <c r="A813" s="32"/>
      <c r="I813" s="31" t="str">
        <f>IFERROR(__xludf.DUMMYFUNCTION("""COMPUTED_VALUE"""),"medical physics")</f>
        <v>medical physics</v>
      </c>
      <c r="J813" s="38">
        <f>COUNTIF(Data!$F$2:$F9917, $I813)</f>
        <v>1</v>
      </c>
      <c r="T813" s="31" t="s">
        <v>2281</v>
      </c>
      <c r="U813" s="31" t="s">
        <v>2282</v>
      </c>
      <c r="V813" s="32">
        <v>45127.0</v>
      </c>
      <c r="X813" s="31" t="str">
        <f>IFERROR(__xludf.DUMMYFUNCTION("""COMPUTED_VALUE"""),"Erratum: Factors influencing scar formation following Bacille Calmette-Guérin (BCG) vaccination.")</f>
        <v>Erratum: Factors influencing scar formation following Bacille Calmette-Guérin (BCG) vaccination.</v>
      </c>
      <c r="Y813" s="31"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Z813" s="31">
        <f>IFERROR(__xludf.DUMMYFUNCTION("""COMPUTED_VALUE"""),2023.0)</f>
        <v>2023</v>
      </c>
      <c r="AA813" s="31">
        <f>IFERROR(__xludf.DUMMYFUNCTION("""COMPUTED_VALUE"""),0.0)</f>
        <v>0</v>
      </c>
      <c r="AF813" s="31" t="str">
        <f>IFERROR(__xludf.DUMMYFUNCTION("""COMPUTED_VALUE"""),"Health Policy, Health Systems Research and Analysis Capacity Assessment of the School of Public Health, University of Ghana.")</f>
        <v>Health Policy, Health Systems Research and Analysis Capacity Assessment of the School of Public Health, University of Ghana.</v>
      </c>
      <c r="AG813" s="31" t="str">
        <f>IFERROR(__xludf.DUMMYFUNCTION("""COMPUTED_VALUE"""),"Agyepong, I A; Anniah, K; Aikins, M; Akweongo, P; Esena, R; Mirzoev, T")</f>
        <v>Agyepong, I A; Anniah, K; Aikins, M; Akweongo, P; Esena, R; Mirzoev, T</v>
      </c>
      <c r="AH813" s="32">
        <f>IFERROR(__xludf.DUMMYFUNCTION("""COMPUTED_VALUE"""),42248.0)</f>
        <v>42248</v>
      </c>
      <c r="AL813" s="31" t="str">
        <f>IFERROR(__xludf.DUMMYFUNCTION("""COMPUTED_VALUE"""),"The importance of actual tumor growth rate on disease free survival and overall survival in laryngeal squamous cell carcinoma.")</f>
        <v>The importance of actual tumor growth rate on disease free survival and overall survival in laryngeal squamous cell carcinoma.</v>
      </c>
      <c r="AM813" s="31" t="str">
        <f>IFERROR(__xludf.DUMMYFUNCTION("""COMPUTED_VALUE"""),"van Bockel, Liselotte W; Verduijn, Gerda M; Monninkhof, Evelyn M; Pameijer, Frank A; Terhaard, Chris H J")</f>
        <v>van Bockel, Liselotte W; Verduijn, Gerda M; Monninkhof, Evelyn M; Pameijer, Frank A; Terhaard, Chris H J</v>
      </c>
      <c r="AN813" s="32">
        <f>IFERROR(__xludf.DUMMYFUNCTION("""COMPUTED_VALUE"""),41820.0)</f>
        <v>41820</v>
      </c>
    </row>
    <row r="814">
      <c r="A814" s="32"/>
      <c r="I814" s="31" t="str">
        <f>IFERROR(__xludf.DUMMYFUNCTION("""COMPUTED_VALUE"""),"death studies")</f>
        <v>death studies</v>
      </c>
      <c r="J814" s="38">
        <f>COUNTIF(Data!$F$2:$F9917, $I814)</f>
        <v>1</v>
      </c>
      <c r="T814" s="31" t="s">
        <v>2286</v>
      </c>
      <c r="U814" s="31" t="s">
        <v>2287</v>
      </c>
      <c r="V814" s="32">
        <v>45125.0</v>
      </c>
      <c r="X814" s="31" t="str">
        <f>IFERROR(__xludf.DUMMYFUNCTION("""COMPUTED_VALUE"""),"Physical performance tasks were linked to the PROMIS physical function metric in patients undergoing hemodialysis.")</f>
        <v>Physical performance tasks were linked to the PROMIS physical function metric in patients undergoing hemodialysis.</v>
      </c>
      <c r="Y814" s="31" t="str">
        <f>IFERROR(__xludf.DUMMYFUNCTION("""COMPUTED_VALUE"""),"Liegl, Gregor; Fischer, Felix H; Woodward, Mark; Török, Marietta; Strippoli, Giovanni F M; Hegbrant, Jörgen; Davenport, Andrew; Cromm, Krister; Canaud, Bernard; Bots, Michiel L; Blankestijn, Peter J; Barth, Claudia; Fischer, Kathrin I; Rose, Matthias")</f>
        <v>Liegl, Gregor; Fischer, Felix H; Woodward, Mark; Török, Marietta; Strippoli, Giovanni F M; Hegbrant, Jörgen; Davenport, Andrew; Cromm, Krister; Canaud, Bernard; Bots, Michiel L; Blankestijn, Peter J; Barth, Claudia; Fischer, Kathrin I; Rose, Matthias</v>
      </c>
      <c r="Z814" s="31">
        <f>IFERROR(__xludf.DUMMYFUNCTION("""COMPUTED_VALUE"""),2023.0)</f>
        <v>2023</v>
      </c>
      <c r="AA814" s="31">
        <f>IFERROR(__xludf.DUMMYFUNCTION("""COMPUTED_VALUE"""),0.0)</f>
        <v>0</v>
      </c>
      <c r="AF814" s="31" t="str">
        <f>IFERROR(__xludf.DUMMYFUNCTION("""COMPUTED_VALUE"""),"Let's Talk about Sex, Maybe: Interviewers, Respondents, and Sexual Behavior Reporting in Rural South Africa.")</f>
        <v>Let's Talk about Sex, Maybe: Interviewers, Respondents, and Sexual Behavior Reporting in Rural South Africa.</v>
      </c>
      <c r="AG814" s="31" t="str">
        <f>IFERROR(__xludf.DUMMYFUNCTION("""COMPUTED_VALUE"""),"Houle, Brian; Angotti, Nicole; Clark, Samuel J; Williams, Jill; Gómez-Olivé, F Xavier; Menken, Jane; Kabudula, Chodziwadziwa; Klipstein-Grobusch, Kerstin; Tollman, Stephen M")</f>
        <v>Houle, Brian; Angotti, Nicole; Clark, Samuel J; Williams, Jill; Gómez-Olivé, F Xavier; Menken, Jane; Kabudula, Chodziwadziwa; Klipstein-Grobusch, Kerstin; Tollman, Stephen M</v>
      </c>
      <c r="AH814" s="32">
        <f>IFERROR(__xludf.DUMMYFUNCTION("""COMPUTED_VALUE"""),42229.0)</f>
        <v>42229</v>
      </c>
      <c r="AL814" s="31" t="str">
        <f>IFERROR(__xludf.DUMMYFUNCTION("""COMPUTED_VALUE"""),"Thromboxane prostaglandin receptor antagonist and carotid atherosclerosis progression in patients with cerebrovascular disease of ischemic origin: a randomized controlled trial.")</f>
        <v>Thromboxane prostaglandin receptor antagonist and carotid atherosclerosis progression in patients with cerebrovascular disease of ischemic origin: a randomized controlled trial.</v>
      </c>
      <c r="AM814" s="31" t="str">
        <f>IFERROR(__xludf.DUMMYFUNCTION("""COMPUTED_VALUE"""),"Bots, Michiel L; Ford, Ian; Lloyd, Suzanne M; Laurent, Stephane; Touboul, Pierre J; Hennerici, Michael G; ,")</f>
        <v>Bots, Michiel L; Ford, Ian; Lloyd, Suzanne M; Laurent, Stephane; Touboul, Pierre J; Hennerici, Michael G; ,</v>
      </c>
      <c r="AN814" s="32">
        <f>IFERROR(__xludf.DUMMYFUNCTION("""COMPUTED_VALUE"""),41814.0)</f>
        <v>41814</v>
      </c>
    </row>
    <row r="815">
      <c r="A815" s="32"/>
      <c r="I815" s="31" t="str">
        <f>IFERROR(__xludf.DUMMYFUNCTION("""COMPUTED_VALUE"""),"spatial and spatiotemporal epidemiology")</f>
        <v>spatial and spatiotemporal epidemiology</v>
      </c>
      <c r="J815" s="38">
        <f>COUNTIF(Data!$F$2:$F9917, $I815)</f>
        <v>1</v>
      </c>
      <c r="T815" s="31" t="s">
        <v>2290</v>
      </c>
      <c r="U815" s="31" t="s">
        <v>2291</v>
      </c>
      <c r="V815" s="32">
        <v>45125.0</v>
      </c>
      <c r="X815" s="31" t="str">
        <f>IFERROR(__xludf.DUMMYFUNCTION("""COMPUTED_VALUE"""),"Defining practice variation and exploring influencing factors on needs assessment in home care nursing: A Delphi study.")</f>
        <v>Defining practice variation and exploring influencing factors on needs assessment in home care nursing: A Delphi study.</v>
      </c>
      <c r="Y815" s="31" t="str">
        <f>IFERROR(__xludf.DUMMYFUNCTION("""COMPUTED_VALUE"""),"Van Dorst, Johanna Jose Isabella Elisabeth; Schwenke, Marit; Bleijenberg, Nienke; De Jong, Judith Daniëlle; Brabers, Adriana Anne Elisabeth Maria; Zwakhalen, Sandra M G")</f>
        <v>Van Dorst, Johanna Jose Isabella Elisabeth; Schwenke, Marit; Bleijenberg, Nienke; De Jong, Judith Daniëlle; Brabers, Adriana Anne Elisabeth Maria; Zwakhalen, Sandra M G</v>
      </c>
      <c r="Z815" s="31">
        <f>IFERROR(__xludf.DUMMYFUNCTION("""COMPUTED_VALUE"""),2023.0)</f>
        <v>2023</v>
      </c>
      <c r="AA815" s="31">
        <f>IFERROR(__xludf.DUMMYFUNCTION("""COMPUTED_VALUE"""),0.0)</f>
        <v>0</v>
      </c>
      <c r="AF815" s="31" t="str">
        <f>IFERROR(__xludf.DUMMYFUNCTION("""COMPUTED_VALUE"""),"In Vivo Bioluminescence Imaging - A Suitable Method to Track Mesenchymal Stromal Cells in a Skeletal Muscle Trauma.")</f>
        <v>In Vivo Bioluminescence Imaging - A Suitable Method to Track Mesenchymal Stromal Cells in a Skeletal Muscle Trauma.</v>
      </c>
      <c r="AG815" s="31" t="str">
        <f>IFERROR(__xludf.DUMMYFUNCTION("""COMPUTED_VALUE"""),"K, Strohschein; P, Radojewski; T, Winkler; G N, Duda; C, Perka; P, von Roth")</f>
        <v>K, Strohschein; P, Radojewski; T, Winkler; G N, Duda; C, Perka; P, von Roth</v>
      </c>
      <c r="AH815" s="32">
        <f>IFERROR(__xludf.DUMMYFUNCTION("""COMPUTED_VALUE"""),42216.0)</f>
        <v>42216</v>
      </c>
      <c r="AL815" s="31" t="str">
        <f>IFERROR(__xludf.DUMMYFUNCTION("""COMPUTED_VALUE"""),"Unruptured intracranial aneurysms: why we must not perpetuate the impasse for another 25 years - authors' reply.")</f>
        <v>Unruptured intracranial aneurysms: why we must not perpetuate the impasse for another 25 years - authors' reply.</v>
      </c>
      <c r="AM815" s="31" t="str">
        <f>IFERROR(__xludf.DUMMYFUNCTION("""COMPUTED_VALUE"""),"Greving, Jacoba P; Wermer, Marieke J H; Rinkel, Gabriël J E; Algra, Ale")</f>
        <v>Greving, Jacoba P; Wermer, Marieke J H; Rinkel, Gabriël J E; Algra, Ale</v>
      </c>
      <c r="AN815" s="32">
        <f>IFERROR(__xludf.DUMMYFUNCTION("""COMPUTED_VALUE"""),41791.0)</f>
        <v>41791</v>
      </c>
    </row>
    <row r="816">
      <c r="A816" s="32"/>
      <c r="I816" s="31" t="str">
        <f>IFERROR(__xludf.DUMMYFUNCTION("""COMPUTED_VALUE"""),"circulation cardiovascular interventions")</f>
        <v>circulation cardiovascular interventions</v>
      </c>
      <c r="J816" s="38">
        <f>COUNTIF(Data!$F$2:$F9917, $I816)</f>
        <v>1</v>
      </c>
      <c r="T816" s="31" t="s">
        <v>2295</v>
      </c>
      <c r="U816" s="31" t="s">
        <v>2296</v>
      </c>
      <c r="V816" s="32">
        <v>45124.0</v>
      </c>
      <c r="X816" s="31" t="str">
        <f>IFERROR(__xludf.DUMMYFUNCTION("""COMPUTED_VALUE"""),"Asking informed consent may lead to significant participation bias and suboptimal cardiovascular risk management in learning healthcare systems.")</f>
        <v>Asking informed consent may lead to significant participation bias and suboptimal cardiovascular risk management in learning healthcare systems.</v>
      </c>
      <c r="Y816" s="31" t="str">
        <f>IFERROR(__xludf.DUMMYFUNCTION("""COMPUTED_VALUE"""),"Zondag, Anna G M; Groenhof, T Katrien J; van der Graaf, Rieke; van Solinge, Wouter W; Bots, Michiel L; Haitjema, Saskia; ,")</f>
        <v>Zondag, Anna G M; Groenhof, T Katrien J; van der Graaf, Rieke; van Solinge, Wouter W; Bots, Michiel L; Haitjema, Saskia; ,</v>
      </c>
      <c r="Z816" s="31">
        <f>IFERROR(__xludf.DUMMYFUNCTION("""COMPUTED_VALUE"""),2023.0)</f>
        <v>2023</v>
      </c>
      <c r="AA816" s="31">
        <f>IFERROR(__xludf.DUMMYFUNCTION("""COMPUTED_VALUE"""),0.0)</f>
        <v>0</v>
      </c>
      <c r="AF816" s="31" t="str">
        <f>IFERROR(__xludf.DUMMYFUNCTION("""COMPUTED_VALUE"""),"Incidence and persistence of carcinogenic genital human papillomavirus infections in young women with or without Chlamydia trachomatis co-infection.")</f>
        <v>Incidence and persistence of carcinogenic genital human papillomavirus infections in young women with or without Chlamydia trachomatis co-infection.</v>
      </c>
      <c r="AG816" s="31" t="str">
        <f>IFERROR(__xludf.DUMMYFUNCTION("""COMPUTED_VALUE"""),"Vriend, Henrike J; Bogaards, Johannes A; van Bergen, Jan E A M; Brink, Antoinette A T P; van den Broek, Ingrid V F; Hoebe, Christian J P A; King, Audrey J; van der Sande, Marianne A B; Wolffs, Petra F G; de Melker, Hester E; ,")</f>
        <v>Vriend, Henrike J; Bogaards, Johannes A; van Bergen, Jan E A M; Brink, Antoinette A T P; van den Broek, Ingrid V F; Hoebe, Christian J P A; King, Audrey J; van der Sande, Marianne A B; Wolffs, Petra F G; de Melker, Hester E; ,</v>
      </c>
      <c r="AH816" s="32">
        <f>IFERROR(__xludf.DUMMYFUNCTION("""COMPUTED_VALUE"""),42206.0)</f>
        <v>42206</v>
      </c>
      <c r="AL816" s="31" t="str">
        <f>IFERROR(__xludf.DUMMYFUNCTION("""COMPUTED_VALUE"""),"Registering diagnostic and prognostic trials of tests: is it the right thing to do?")</f>
        <v>Registering diagnostic and prognostic trials of tests: is it the right thing to do?</v>
      </c>
      <c r="AM816" s="31" t="str">
        <f>IFERROR(__xludf.DUMMYFUNCTION("""COMPUTED_VALUE"""),"Rifai, Nader; Bossuyt, Patrick M M; Ioannidis, John P A; Bray, Kurtis R; McShane, Lisa M; Golub, Robert M; Hooft, Lotty")</f>
        <v>Rifai, Nader; Bossuyt, Patrick M M; Ioannidis, John P A; Bray, Kurtis R; McShane, Lisa M; Golub, Robert M; Hooft, Lotty</v>
      </c>
      <c r="AN816" s="32">
        <f>IFERROR(__xludf.DUMMYFUNCTION("""COMPUTED_VALUE"""),41781.0)</f>
        <v>41781</v>
      </c>
    </row>
    <row r="817">
      <c r="A817" s="32"/>
      <c r="I817" s="31" t="str">
        <f>IFERROR(__xludf.DUMMYFUNCTION("""COMPUTED_VALUE"""),"issues in mental health nursing")</f>
        <v>issues in mental health nursing</v>
      </c>
      <c r="J817" s="38">
        <f>COUNTIF(Data!$F$2:$F9917, $I817)</f>
        <v>1</v>
      </c>
      <c r="T817" s="31" t="s">
        <v>2300</v>
      </c>
      <c r="U817" s="31" t="s">
        <v>2301</v>
      </c>
      <c r="V817" s="32">
        <v>45124.0</v>
      </c>
      <c r="X817" s="31" t="str">
        <f>IFERROR(__xludf.DUMMYFUNCTION("""COMPUTED_VALUE"""),"ASO Author Reflections: Towards Consensus on Resectability Assessments and Local Treatment Planning for Patients with Initially Unresectable Colorectal Cancer Liver Metastases.")</f>
        <v>ASO Author Reflections: Towards Consensus on Resectability Assessments and Local Treatment Planning for Patients with Initially Unresectable Colorectal Cancer Liver Metastases.</v>
      </c>
      <c r="Y817" s="31" t="str">
        <f>IFERROR(__xludf.DUMMYFUNCTION("""COMPUTED_VALUE"""),"Bond, Marinde J G; Punt, Cornelis J A; Swijnenburg, Rutger-Jan")</f>
        <v>Bond, Marinde J G; Punt, Cornelis J A; Swijnenburg, Rutger-Jan</v>
      </c>
      <c r="Z817" s="31">
        <f>IFERROR(__xludf.DUMMYFUNCTION("""COMPUTED_VALUE"""),2023.0)</f>
        <v>2023</v>
      </c>
      <c r="AA817" s="31">
        <f>IFERROR(__xludf.DUMMYFUNCTION("""COMPUTED_VALUE"""),0.0)</f>
        <v>0</v>
      </c>
      <c r="AF817" s="31" t="str">
        <f>IFERROR(__xludf.DUMMYFUNCTION("""COMPUTED_VALUE"""),"Two decades of do-not-resuscitate decisions in the Netherlands.")</f>
        <v>Two decades of do-not-resuscitate decisions in the Netherlands.</v>
      </c>
      <c r="AG817" s="31" t="str">
        <f>IFERROR(__xludf.DUMMYFUNCTION("""COMPUTED_VALUE"""),"Geijteman, Eric C T; Brinkman-Stoppelenburg, Arianne; Onwuteaka-Philipsen, Bregje D; van der Heide, Agnes; van Delden, Johannes J M")</f>
        <v>Geijteman, Eric C T; Brinkman-Stoppelenburg, Arianne; Onwuteaka-Philipsen, Bregje D; van der Heide, Agnes; van Delden, Johannes J M</v>
      </c>
      <c r="AH817" s="32">
        <f>IFERROR(__xludf.DUMMYFUNCTION("""COMPUTED_VALUE"""),42202.0)</f>
        <v>42202</v>
      </c>
      <c r="AL817" s="31" t="str">
        <f>IFERROR(__xludf.DUMMYFUNCTION("""COMPUTED_VALUE"""),"Comparing screening instruments to predict posttraumatic stress disorder.")</f>
        <v>Comparing screening instruments to predict posttraumatic stress disorder.</v>
      </c>
      <c r="AM817" s="31" t="str">
        <f>IFERROR(__xludf.DUMMYFUNCTION("""COMPUTED_VALUE"""),"Mouthaan, Joanne; Sijbrandij, Marit; Reitsma, Johannes B; Gersons, Berthold P R; Olff, Miranda")</f>
        <v>Mouthaan, Joanne; Sijbrandij, Marit; Reitsma, Johannes B; Gersons, Berthold P R; Olff, Miranda</v>
      </c>
      <c r="AN817" s="32">
        <f>IFERROR(__xludf.DUMMYFUNCTION("""COMPUTED_VALUE"""),41768.0)</f>
        <v>41768</v>
      </c>
    </row>
    <row r="818">
      <c r="A818" s="32"/>
      <c r="I818" s="31" t="str">
        <f>IFERROR(__xludf.DUMMYFUNCTION("""COMPUTED_VALUE"""),"physical therapy")</f>
        <v>physical therapy</v>
      </c>
      <c r="J818" s="38">
        <f>COUNTIF(Data!$F$2:$F9917, $I818)</f>
        <v>2</v>
      </c>
      <c r="T818" s="31" t="s">
        <v>2303</v>
      </c>
      <c r="U818" s="31" t="s">
        <v>2304</v>
      </c>
      <c r="V818" s="32">
        <v>45121.0</v>
      </c>
      <c r="X818" s="31" t="str">
        <f>IFERROR(__xludf.DUMMYFUNCTION("""COMPUTED_VALUE"""),"Cohort profile of PLUTO: a perioperative biobank focusing on prediction and early diagnosis of postoperative complications.")</f>
        <v>Cohort profile of PLUTO: a perioperative biobank focusing on prediction and early diagnosis of postoperative complications.</v>
      </c>
      <c r="Y818" s="31" t="str">
        <f>IFERROR(__xludf.DUMMYFUNCTION("""COMPUTED_VALUE"""),"de Mul, Nikki; Verlaan, Diede; Ruurda, Jelle P; van Grevenstein, Wilhelmina M U; Hagendoorn, Jeroen; de Borst, Gert-Jan; Vriens, Menno R; de Bree, Remco; Zweemer, Ronald P; Vogely, Charles; Haitsma Mulier, Jelle L G; Vernooij, Lisette M; Reitsma, Johannes"&amp;" B; de Zoete, Marcel R; Top, Janetta; Kluijtmans, Jan A J; Hoefer, Imo E; Noordzij, Peter; Rettig, Thijs; Marsman, Marije; de Smet, Anne Marie G A; Derde, Lennie; van Waes, Judith; Rijsdijk, Mienke; Schellekens, Willem Jan M; Bonten, Marc J M; Slooter, Ar"&amp;"jen J C; Cremer, Olaf L")</f>
        <v>de Mul, Nikki; Verlaan, Diede; Ruurda, Jelle P; van Grevenstein, Wilhelmina M U; Hagendoorn, Jeroen; de Borst, Gert-Jan; Vriens, Menno R; de Bree, Remco; Zweemer, Ronald P; Vogely, Charles; Haitsma Mulier, Jelle L G; Vernooij, Lisette M; Reitsma, Johannes B; de Zoete, Marcel R; Top, Janetta; Kluijtmans, Jan A J; Hoefer, Imo E; Noordzij, Peter; Rettig, Thijs; Marsman, Marije; de Smet, Anne Marie G A; Derde, Lennie; van Waes, Judith; Rijsdijk, Mienke; Schellekens, Willem Jan M; Bonten, Marc J M; Slooter, Arjen J C; Cremer, Olaf L</v>
      </c>
      <c r="Z818" s="31">
        <f>IFERROR(__xludf.DUMMYFUNCTION("""COMPUTED_VALUE"""),2023.0)</f>
        <v>2023</v>
      </c>
      <c r="AA818" s="31">
        <f>IFERROR(__xludf.DUMMYFUNCTION("""COMPUTED_VALUE"""),0.0)</f>
        <v>0</v>
      </c>
      <c r="AF818" s="31" t="str">
        <f>IFERROR(__xludf.DUMMYFUNCTION("""COMPUTED_VALUE"""),"Validity of at home model predictions as a proxy for personal exposure to radiofrequency electromagnetic fields from mobile phone base stations.")</f>
        <v>Validity of at home model predictions as a proxy for personal exposure to radiofrequency electromagnetic fields from mobile phone base stations.</v>
      </c>
      <c r="AG818" s="31" t="str">
        <f>IFERROR(__xludf.DUMMYFUNCTION("""COMPUTED_VALUE"""),"Martens, Astrid L; Bolte, John F B; Beekhuizen, Johan; Kromhout, Hans; Smid, Tjabe; Vermeulen, Roel C H")</f>
        <v>Martens, Astrid L; Bolte, John F B; Beekhuizen, Johan; Kromhout, Hans; Smid, Tjabe; Vermeulen, Roel C H</v>
      </c>
      <c r="AH818" s="32">
        <f>IFERROR(__xludf.DUMMYFUNCTION("""COMPUTED_VALUE"""),42195.0)</f>
        <v>42195</v>
      </c>
      <c r="AL818" s="31" t="str">
        <f>IFERROR(__xludf.DUMMYFUNCTION("""COMPUTED_VALUE"""),"Imaging features of HER2 overexpression in breast cancer: a systematic review and meta-analysis.")</f>
        <v>Imaging features of HER2 overexpression in breast cancer: a systematic review and meta-analysis.</v>
      </c>
      <c r="AM818" s="31" t="str">
        <f>IFERROR(__xludf.DUMMYFUNCTION("""COMPUTED_VALUE"""),"Elias, Sjoerd G; Adams, Arthur; Wisner, Dorota J; Esserman, Laura J; van't Veer, Laura J; Mali, Willem P Th M; Gilhuijs, Kenneth G A; Hylton, Nola M")</f>
        <v>Elias, Sjoerd G; Adams, Arthur; Wisner, Dorota J; Esserman, Laura J; van't Veer, Laura J; Mali, Willem P Th M; Gilhuijs, Kenneth G A; Hylton, Nola M</v>
      </c>
      <c r="AN818" s="32">
        <f>IFERROR(__xludf.DUMMYFUNCTION("""COMPUTED_VALUE"""),41766.0)</f>
        <v>41766</v>
      </c>
    </row>
    <row r="819">
      <c r="A819" s="32"/>
      <c r="I819" s="31" t="str">
        <f>IFERROR(__xludf.DUMMYFUNCTION("""COMPUTED_VALUE"""),"brain imaging and behavior")</f>
        <v>brain imaging and behavior</v>
      </c>
      <c r="J819" s="38">
        <f>COUNTIF(Data!$F$2:$F9917, $I819)</f>
        <v>1</v>
      </c>
      <c r="T819" s="31" t="s">
        <v>2307</v>
      </c>
      <c r="U819" s="31" t="s">
        <v>2308</v>
      </c>
      <c r="V819" s="32">
        <v>45121.0</v>
      </c>
      <c r="X819" s="31" t="str">
        <f>IFERROR(__xludf.DUMMYFUNCTION("""COMPUTED_VALUE"""),"Progestogen maintenance therapy for prolongation of pregnancy after an episode of preterm labour: A systematic review and meta-analysis.")</f>
        <v>Progestogen maintenance therapy for prolongation of pregnancy after an episode of preterm labour: A systematic review and meta-analysis.</v>
      </c>
      <c r="Y819" s="31" t="str">
        <f>IFERROR(__xludf.DUMMYFUNCTION("""COMPUTED_VALUE"""),"Breuking, Sofie H; De Ruigh, Annemijn A; Hermans, Frederik J R; Schuit, Ewoud; Combs, C Andrew; de Tejada, Begoña Martinez; Oudijk, Martijn A; Mol, Ben W; Pajkrt, Eva")</f>
        <v>Breuking, Sofie H; De Ruigh, Annemijn A; Hermans, Frederik J R; Schuit, Ewoud; Combs, C Andrew; de Tejada, Begoña Martinez; Oudijk, Martijn A; Mol, Ben W; Pajkrt, Eva</v>
      </c>
      <c r="Z819" s="31">
        <f>IFERROR(__xludf.DUMMYFUNCTION("""COMPUTED_VALUE"""),2023.0)</f>
        <v>2023</v>
      </c>
      <c r="AA819" s="31">
        <f>IFERROR(__xludf.DUMMYFUNCTION("""COMPUTED_VALUE"""),0.0)</f>
        <v>0</v>
      </c>
      <c r="AF819" s="31" t="str">
        <f>IFERROR(__xludf.DUMMYFUNCTION("""COMPUTED_VALUE"""),"Population Screening for Chronic Q-Fever Seven Years after a Major Outbreak.")</f>
        <v>Population Screening for Chronic Q-Fever Seven Years after a Major Outbreak.</v>
      </c>
      <c r="AG819" s="31" t="str">
        <f>IFERROR(__xludf.DUMMYFUNCTION("""COMPUTED_VALUE"""),"Morroy, Gabriëlla; van der Hoek, Wim; Albers, Jelle; Coutinho, Roel A; Bleeker-Rovers, Chantal P; Schneeberger, Peter M")</f>
        <v>Morroy, Gabriëlla; van der Hoek, Wim; Albers, Jelle; Coutinho, Roel A; Bleeker-Rovers, Chantal P; Schneeberger, Peter M</v>
      </c>
      <c r="AH819" s="32">
        <f>IFERROR(__xludf.DUMMYFUNCTION("""COMPUTED_VALUE"""),42186.0)</f>
        <v>42186</v>
      </c>
      <c r="AL819" s="31" t="str">
        <f>IFERROR(__xludf.DUMMYFUNCTION("""COMPUTED_VALUE"""),"Conventional versus automated implantation of loose seeds in prostate brachytherapy: analysis of dosimetric and clinical results. In regard to Genebes et al.")</f>
        <v>Conventional versus automated implantation of loose seeds in prostate brachytherapy: analysis of dosimetric and clinical results. In regard to Genebes et al.</v>
      </c>
      <c r="AM819" s="31" t="str">
        <f>IFERROR(__xludf.DUMMYFUNCTION("""COMPUTED_VALUE"""),"Moerland, Marinus A; Maenhout, Metha; van der Voort van Zyp, Jochem R N; Noteboom, Juus L; Eppinga, Wietse S C; van Vulpen, Marco; Monninkhof, Evelyn M; Verkooijen, Helena M")</f>
        <v>Moerland, Marinus A; Maenhout, Metha; van der Voort van Zyp, Jochem R N; Noteboom, Juus L; Eppinga, Wietse S C; van Vulpen, Marco; Monninkhof, Evelyn M; Verkooijen, Helena M</v>
      </c>
      <c r="AN819" s="32">
        <f>IFERROR(__xludf.DUMMYFUNCTION("""COMPUTED_VALUE"""),41764.0)</f>
        <v>41764</v>
      </c>
    </row>
    <row r="820">
      <c r="A820" s="32"/>
      <c r="I820" s="31" t="str">
        <f>IFERROR(__xludf.DUMMYFUNCTION("""COMPUTED_VALUE"""),"the lancet psychiatry")</f>
        <v>the lancet psychiatry</v>
      </c>
      <c r="J820" s="38">
        <f>COUNTIF(Data!$F$2:$F9917, $I820)</f>
        <v>1</v>
      </c>
      <c r="T820" s="31" t="s">
        <v>2312</v>
      </c>
      <c r="U820" s="31" t="s">
        <v>2313</v>
      </c>
      <c r="V820" s="32">
        <v>45119.0</v>
      </c>
      <c r="X820" s="31" t="str">
        <f>IFERROR(__xludf.DUMMYFUNCTION("""COMPUTED_VALUE"""),"Non-invasive Angiographic-based Fractional Flow Reserve: Technical Development, Clinical Implications, and Future Perspectives.")</f>
        <v>Non-invasive Angiographic-based Fractional Flow Reserve: Technical Development, Clinical Implications, and Future Perspectives.</v>
      </c>
      <c r="Y820" s="31" t="str">
        <f>IFERROR(__xludf.DUMMYFUNCTION("""COMPUTED_VALUE"""),"Peper, Joyce; Bots, Michiel L; Leiner, Tim; Swaans, Martin J")</f>
        <v>Peper, Joyce; Bots, Michiel L; Leiner, Tim; Swaans, Martin J</v>
      </c>
      <c r="Z820" s="31">
        <f>IFERROR(__xludf.DUMMYFUNCTION("""COMPUTED_VALUE"""),2023.0)</f>
        <v>2023</v>
      </c>
      <c r="AA820" s="31">
        <f>IFERROR(__xludf.DUMMYFUNCTION("""COMPUTED_VALUE"""),0.0)</f>
        <v>0</v>
      </c>
      <c r="AF820" s="31" t="str">
        <f>IFERROR(__xludf.DUMMYFUNCTION("""COMPUTED_VALUE"""),"Risk patterns in drug safety study using relative times by accelerated failure time models when proportional hazards assumption is questionable: an illustrative case study of cancer risk of patients on glucose-lowering therapies.")</f>
        <v>Risk patterns in drug safety study using relative times by accelerated failure time models when proportional hazards assumption is questionable: an illustrative case study of cancer risk of patients on glucose-lowering therapies.</v>
      </c>
      <c r="AG820" s="31" t="str">
        <f>IFERROR(__xludf.DUMMYFUNCTION("""COMPUTED_VALUE"""),"Ng, Edmond S-W; Klungel, Olaf H; Groenwold, Rolf H H; van Staa, Tjeerd-Pieter")</f>
        <v>Ng, Edmond S-W; Klungel, Olaf H; Groenwold, Rolf H H; van Staa, Tjeerd-Pieter</v>
      </c>
      <c r="AH820" s="32">
        <f>IFERROR(__xludf.DUMMYFUNCTION("""COMPUTED_VALUE"""),42185.0)</f>
        <v>42185</v>
      </c>
      <c r="AL820" s="31" t="str">
        <f>IFERROR(__xludf.DUMMYFUNCTION("""COMPUTED_VALUE"""),"Care bundles in intensive care units - authors' reply.")</f>
        <v>Care bundles in intensive care units - authors' reply.</v>
      </c>
      <c r="AM820" s="31" t="str">
        <f>IFERROR(__xludf.DUMMYFUNCTION("""COMPUTED_VALUE"""),"Bonten, Marc J M; Brun-Buisson, Christian; Cooper, Ben S; Derde, Lennie P G; ,")</f>
        <v>Bonten, Marc J M; Brun-Buisson, Christian; Cooper, Ben S; Derde, Lennie P G; ,</v>
      </c>
      <c r="AN820" s="32">
        <f>IFERROR(__xludf.DUMMYFUNCTION("""COMPUTED_VALUE"""),41760.0)</f>
        <v>41760</v>
      </c>
    </row>
    <row r="821">
      <c r="A821" s="32"/>
      <c r="I821" s="31" t="str">
        <f>IFERROR(__xludf.DUMMYFUNCTION("""COMPUTED_VALUE"""),"bmc microbiology")</f>
        <v>bmc microbiology</v>
      </c>
      <c r="J821" s="38">
        <f>COUNTIF(Data!$F$2:$F9917, $I821)</f>
        <v>1</v>
      </c>
      <c r="T821" s="31" t="s">
        <v>2316</v>
      </c>
      <c r="U821" s="31" t="s">
        <v>2317</v>
      </c>
      <c r="V821" s="32">
        <v>45117.0</v>
      </c>
      <c r="X821" s="31" t="str">
        <f>IFERROR(__xludf.DUMMYFUNCTION("""COMPUTED_VALUE"""),"Standardization and quality control of Doppler and fetal biometric ultrasound measurements in low-income setting.")</f>
        <v>Standardization and quality control of Doppler and fetal biometric ultrasound measurements in low-income setting.</v>
      </c>
      <c r="Y821" s="31" t="str">
        <f>IFERROR(__xludf.DUMMYFUNCTION("""COMPUTED_VALUE"""),"Ali, S; Byamugisha, J; Kawooya, M G; Kakibogo, I M; Ainembabazi, I; Biira, E A; Kagimu, A N; Migisa, A; Munyakazi, M; Kuniha, S; Scheele, C; Papageorghiou, A T; Klipstein-Grobusch, K; Rijken, M J")</f>
        <v>Ali, S; Byamugisha, J; Kawooya, M G; Kakibogo, I M; Ainembabazi, I; Biira, E A; Kagimu, A N; Migisa, A; Munyakazi, M; Kuniha, S; Scheele, C; Papageorghiou, A T; Klipstein-Grobusch, K; Rijken, M J</v>
      </c>
      <c r="Z821" s="31">
        <f>IFERROR(__xludf.DUMMYFUNCTION("""COMPUTED_VALUE"""),2023.0)</f>
        <v>2023</v>
      </c>
      <c r="AA821" s="31">
        <f>IFERROR(__xludf.DUMMYFUNCTION("""COMPUTED_VALUE"""),0.0)</f>
        <v>0</v>
      </c>
      <c r="AF821" s="31" t="str">
        <f>IFERROR(__xludf.DUMMYFUNCTION("""COMPUTED_VALUE"""),"Comorbidity and favorable neurologic outcome after out-of-hospital cardiac arrest in patients of 70 years and older.")</f>
        <v>Comorbidity and favorable neurologic outcome after out-of-hospital cardiac arrest in patients of 70 years and older.</v>
      </c>
      <c r="AG821" s="31" t="str">
        <f>IFERROR(__xludf.DUMMYFUNCTION("""COMPUTED_VALUE"""),"Beesems, Stefanie G; Blom, Marieke T; van der Pas, Martine H A; Hulleman, Michiel; van de Glind, Esther M M; van Munster, Barbara C; Tijssen, Jan G P; Tan, Hanno L; van Delden, Johannes J M; Koster, Rudolph W")</f>
        <v>Beesems, Stefanie G; Blom, Marieke T; van der Pas, Martine H A; Hulleman, Michiel; van de Glind, Esther M M; van Munster, Barbara C; Tijssen, Jan G P; Tan, Hanno L; van Delden, Johannes J M; Koster, Rudolph W</v>
      </c>
      <c r="AH821" s="32">
        <f>IFERROR(__xludf.DUMMYFUNCTION("""COMPUTED_VALUE"""),42180.0)</f>
        <v>42180</v>
      </c>
      <c r="AL821" s="31" t="str">
        <f>IFERROR(__xludf.DUMMYFUNCTION("""COMPUTED_VALUE"""),"Chlorhexidine-based oral care and ventilator-associated pneumonia: the devil in disguise?")</f>
        <v>Chlorhexidine-based oral care and ventilator-associated pneumonia: the devil in disguise?</v>
      </c>
      <c r="AM821" s="31" t="str">
        <f>IFERROR(__xludf.DUMMYFUNCTION("""COMPUTED_VALUE"""),"Bonten, Marc J M")</f>
        <v>Bonten, Marc J M</v>
      </c>
      <c r="AN821" s="32">
        <f>IFERROR(__xludf.DUMMYFUNCTION("""COMPUTED_VALUE"""),41760.0)</f>
        <v>41760</v>
      </c>
    </row>
    <row r="822">
      <c r="A822" s="32"/>
      <c r="I822" s="31" t="str">
        <f>IFERROR(__xludf.DUMMYFUNCTION("""COMPUTED_VALUE"""),"muscle nerve")</f>
        <v>muscle nerve</v>
      </c>
      <c r="J822" s="38">
        <f>COUNTIF(Data!$F$2:$F9917, $I822)</f>
        <v>1</v>
      </c>
      <c r="T822" s="31" t="s">
        <v>2319</v>
      </c>
      <c r="U822" s="31" t="s">
        <v>2320</v>
      </c>
      <c r="V822" s="32">
        <v>45117.0</v>
      </c>
      <c r="X822" s="31" t="str">
        <f>IFERROR(__xludf.DUMMYFUNCTION("""COMPUTED_VALUE"""),"Diabetes-Tuberculosis Care in Eswatini: A Qualitative Study of Opportunities and Recommendations for Effective Services Integration.")</f>
        <v>Diabetes-Tuberculosis Care in Eswatini: A Qualitative Study of Opportunities and Recommendations for Effective Services Integration.</v>
      </c>
      <c r="Y822" s="31"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Z822" s="31">
        <f>IFERROR(__xludf.DUMMYFUNCTION("""COMPUTED_VALUE"""),2023.0)</f>
        <v>2023</v>
      </c>
      <c r="AA822" s="31">
        <f>IFERROR(__xludf.DUMMYFUNCTION("""COMPUTED_VALUE"""),0.0)</f>
        <v>0</v>
      </c>
      <c r="AF822" s="31" t="str">
        <f>IFERROR(__xludf.DUMMYFUNCTION("""COMPUTED_VALUE"""),"Added value of anti-Müllerian hormone in prediction of menopause: results from a large prospective cohort study.")</f>
        <v>Added value of anti-Müllerian hormone in prediction of menopause: results from a large prospective cohort study.</v>
      </c>
      <c r="AG822" s="31" t="str">
        <f>IFERROR(__xludf.DUMMYFUNCTION("""COMPUTED_VALUE"""),"Dólleman, Madeleine; Verschuren, W M Monique; Eijkemans, Marinus J C; Broekmans, Frank J M; van der Schouw, Yvonne T")</f>
        <v>Dólleman, Madeleine; Verschuren, W M Monique; Eijkemans, Marinus J C; Broekmans, Frank J M; van der Schouw, Yvonne T</v>
      </c>
      <c r="AH822" s="32">
        <f>IFERROR(__xludf.DUMMYFUNCTION("""COMPUTED_VALUE"""),42171.0)</f>
        <v>42171</v>
      </c>
      <c r="AL822" s="31" t="str">
        <f>IFERROR(__xludf.DUMMYFUNCTION("""COMPUTED_VALUE"""),"Randomized trials with missing outcome data: how to analyze and what to report.")</f>
        <v>Randomized trials with missing outcome data: how to analyze and what to report.</v>
      </c>
      <c r="AM822" s="31" t="str">
        <f>IFERROR(__xludf.DUMMYFUNCTION("""COMPUTED_VALUE"""),"Groenwold, Rolf H H; Moons, Karel G M; Vandenbroucke, Jan P")</f>
        <v>Groenwold, Rolf H H; Moons, Karel G M; Vandenbroucke, Jan P</v>
      </c>
      <c r="AN822" s="32">
        <f>IFERROR(__xludf.DUMMYFUNCTION("""COMPUTED_VALUE"""),41757.0)</f>
        <v>41757</v>
      </c>
    </row>
    <row r="823">
      <c r="A823" s="32"/>
      <c r="I823" s="31" t="str">
        <f>IFERROR(__xludf.DUMMYFUNCTION("""COMPUTED_VALUE"""),"experimental gerontology")</f>
        <v>experimental gerontology</v>
      </c>
      <c r="J823" s="38">
        <f>COUNTIF(Data!$F$2:$F9917, $I823)</f>
        <v>4</v>
      </c>
      <c r="T823" s="31" t="s">
        <v>2324</v>
      </c>
      <c r="U823" s="31" t="s">
        <v>2325</v>
      </c>
      <c r="V823" s="32">
        <v>45116.0</v>
      </c>
      <c r="X823" s="31" t="str">
        <f>IFERROR(__xludf.DUMMYFUNCTION("""COMPUTED_VALUE"""),"[A new prognostic prediction model for heart failure: will it help the general practitioner?].")</f>
        <v>[A new prognostic prediction model for heart failure: will it help the general practitioner?].</v>
      </c>
      <c r="Y823" s="31" t="str">
        <f>IFERROR(__xludf.DUMMYFUNCTION("""COMPUTED_VALUE"""),"Rutten, Frans H; van Smeden, Maarten")</f>
        <v>Rutten, Frans H; van Smeden, Maarten</v>
      </c>
      <c r="Z823" s="31">
        <f>IFERROR(__xludf.DUMMYFUNCTION("""COMPUTED_VALUE"""),2023.0)</f>
        <v>2023</v>
      </c>
      <c r="AA823" s="31">
        <f>IFERROR(__xludf.DUMMYFUNCTION("""COMPUTED_VALUE"""),0.0)</f>
        <v>0</v>
      </c>
      <c r="AF823" s="31" t="str">
        <f>IFERROR(__xludf.DUMMYFUNCTION("""COMPUTED_VALUE"""),"Association of HIV Infection With Anal and Penile Low-Risk Human Papillomavirus Infections Among Men Who Have Sex With Men in Amsterdam: The HIV &amp; HPV in MSM Study.")</f>
        <v>Association of HIV Infection With Anal and Penile Low-Risk Human Papillomavirus Infections Among Men Who Have Sex With Men in Amsterdam: The HIV &amp; HPV in MSM Study.</v>
      </c>
      <c r="AG823" s="31" t="str">
        <f>IFERROR(__xludf.DUMMYFUNCTION("""COMPUTED_VALUE"""),"Welling, Camiel A H; Mooij, Sofie H; van der Sande, Marianne A B; van Rooijen, Martijn S; Vermeulen-Oost, Wilma F; King, Audrey J; van Eeden, Arne; Heideman, Daniëlle A M; Stolte, Ineke G; Schim van der Loeff, Maarten F")</f>
        <v>Welling, Camiel A H; Mooij, Sofie H; van der Sande, Marianne A B; van Rooijen, Martijn S; Vermeulen-Oost, Wilma F; King, Audrey J; van Eeden, Arne; Heideman, Daniëlle A M; Stolte, Ineke G; Schim van der Loeff, Maarten F</v>
      </c>
      <c r="AH823" s="32">
        <f>IFERROR(__xludf.DUMMYFUNCTION("""COMPUTED_VALUE"""),42156.0)</f>
        <v>42156</v>
      </c>
      <c r="AL823" s="31" t="str">
        <f>IFERROR(__xludf.DUMMYFUNCTION("""COMPUTED_VALUE"""),"Cortical microinfarcts on 7T MRI in patients with spontaneous intracerebral hemorrhage.")</f>
        <v>Cortical microinfarcts on 7T MRI in patients with spontaneous intracerebral hemorrhage.</v>
      </c>
      <c r="AM823" s="31" t="str">
        <f>IFERROR(__xludf.DUMMYFUNCTION("""COMPUTED_VALUE"""),"van Veluw, Susanne J; Jolink, Wilmar M T; Hendrikse, Jeroen; Geerlings, Mirjam I; Luijten, Peter R; Biessels, Geert Jan; Klijn, Catharina J M")</f>
        <v>van Veluw, Susanne J; Jolink, Wilmar M T; Hendrikse, Jeroen; Geerlings, Mirjam I; Luijten, Peter R; Biessels, Geert Jan; Klijn, Catharina J M</v>
      </c>
      <c r="AN823" s="32">
        <f>IFERROR(__xludf.DUMMYFUNCTION("""COMPUTED_VALUE"""),41752.0)</f>
        <v>41752</v>
      </c>
    </row>
    <row r="824">
      <c r="A824" s="32"/>
      <c r="I824" s="31" t="str">
        <f>IFERROR(__xludf.DUMMYFUNCTION("""COMPUTED_VALUE"""),"acta psychiatrica scandinavica")</f>
        <v>acta psychiatrica scandinavica</v>
      </c>
      <c r="J824" s="38">
        <f>COUNTIF(Data!$F$2:$F9917, $I824)</f>
        <v>2</v>
      </c>
      <c r="T824" s="31" t="s">
        <v>2329</v>
      </c>
      <c r="U824" s="31" t="s">
        <v>2330</v>
      </c>
      <c r="V824" s="32">
        <v>45114.0</v>
      </c>
      <c r="X824" s="31" t="str">
        <f>IFERROR(__xludf.DUMMYFUNCTION("""COMPUTED_VALUE"""),"Associations of baseline glycemic status and its transitions with cognitive and physical functioning decline.")</f>
        <v>Associations of baseline glycemic status and its transitions with cognitive and physical functioning decline.</v>
      </c>
      <c r="Y824" s="31" t="str">
        <f>IFERROR(__xludf.DUMMYFUNCTION("""COMPUTED_VALUE"""),"Wang, Kan; Gao, Hui; Sijbrands, Eric J G; Kavousi, Maryam; Ahmadizar, Fariba")</f>
        <v>Wang, Kan; Gao, Hui; Sijbrands, Eric J G; Kavousi, Maryam; Ahmadizar, Fariba</v>
      </c>
      <c r="Z824" s="31">
        <f>IFERROR(__xludf.DUMMYFUNCTION("""COMPUTED_VALUE"""),2023.0)</f>
        <v>2023</v>
      </c>
      <c r="AA824" s="31">
        <f>IFERROR(__xludf.DUMMYFUNCTION("""COMPUTED_VALUE"""),0.0)</f>
        <v>0</v>
      </c>
      <c r="AF824" s="31" t="str">
        <f>IFERROR(__xludf.DUMMYFUNCTION("""COMPUTED_VALUE"""),"The road to mitochondrial gene transfer: follow the middle lane.")</f>
        <v>The road to mitochondrial gene transfer: follow the middle lane.</v>
      </c>
      <c r="AG824" s="31" t="str">
        <f>IFERROR(__xludf.DUMMYFUNCTION("""COMPUTED_VALUE"""),"Bredenoord, A L; Hyun, I")</f>
        <v>Bredenoord, A L; Hyun, I</v>
      </c>
      <c r="AH824" s="32">
        <f>IFERROR(__xludf.DUMMYFUNCTION("""COMPUTED_VALUE"""),42156.0)</f>
        <v>42156</v>
      </c>
      <c r="AL824" s="31" t="str">
        <f>IFERROR(__xludf.DUMMYFUNCTION("""COMPUTED_VALUE"""),"Resistance to erythropoiesis stimulating agents in patients treated with online hemodiafiltration and ultrapure low-flux hemodialysis: results from a randomized controlled trial (CONTRAST).")</f>
        <v>Resistance to erythropoiesis stimulating agents in patients treated with online hemodiafiltration and ultrapure low-flux hemodialysis: results from a randomized controlled trial (CONTRAST).</v>
      </c>
      <c r="AM824" s="31" t="str">
        <f>IFERROR(__xludf.DUMMYFUNCTION("""COMPUTED_VALUE"""),"van der Weerd, Neelke C; Den Hoedt, Claire H; Blankestijn, Peter J; Bots, Michiel L; van den Dorpel, Marinus A; Lévesque, Renée; Mazairac, Albert H A; Nubé, Menso J; Penne, E Lars; ter Wee, Pieter M; Grooteman, Muriel P C; ,")</f>
        <v>van der Weerd, Neelke C; Den Hoedt, Claire H; Blankestijn, Peter J; Bots, Michiel L; van den Dorpel, Marinus A; Lévesque, Renée; Mazairac, Albert H A; Nubé, Menso J; Penne, E Lars; ter Wee, Pieter M; Grooteman, Muriel P C; ,</v>
      </c>
      <c r="AN824" s="32">
        <f>IFERROR(__xludf.DUMMYFUNCTION("""COMPUTED_VALUE"""),41746.0)</f>
        <v>41746</v>
      </c>
    </row>
    <row r="825">
      <c r="A825" s="32"/>
      <c r="I825" s="31" t="str">
        <f>IFERROR(__xludf.DUMMYFUNCTION("""COMPUTED_VALUE"""),"journal of neurology neurosurgery and psychiatry")</f>
        <v>journal of neurology neurosurgery and psychiatry</v>
      </c>
      <c r="J825" s="38">
        <f>COUNTIF(Data!$F$2:$F9917, $I825)</f>
        <v>9</v>
      </c>
      <c r="T825" s="31" t="s">
        <v>2333</v>
      </c>
      <c r="U825" s="31" t="s">
        <v>2334</v>
      </c>
      <c r="V825" s="32">
        <v>45114.0</v>
      </c>
      <c r="X825" s="31" t="str">
        <f>IFERROR(__xludf.DUMMYFUNCTION("""COMPUTED_VALUE"""),"Use of Utility and Disability Weights in Economic Evaluation of Pediatric Vaccines.")</f>
        <v>Use of Utility and Disability Weights in Economic Evaluation of Pediatric Vaccines.</v>
      </c>
      <c r="Y825" s="31" t="str">
        <f>IFERROR(__xludf.DUMMYFUNCTION("""COMPUTED_VALUE"""),"Neppelenbroek, Nienke J M; de Wit, G Ardine; Dalziel, Kim; Devlin, Nancy; Carvalho, Natalie I")</f>
        <v>Neppelenbroek, Nienke J M; de Wit, G Ardine; Dalziel, Kim; Devlin, Nancy; Carvalho, Natalie I</v>
      </c>
      <c r="Z825" s="31">
        <f>IFERROR(__xludf.DUMMYFUNCTION("""COMPUTED_VALUE"""),2023.0)</f>
        <v>2023</v>
      </c>
      <c r="AA825" s="31">
        <f>IFERROR(__xludf.DUMMYFUNCTION("""COMPUTED_VALUE"""),0.0)</f>
        <v>0</v>
      </c>
      <c r="AF825" s="31" t="str">
        <f>IFERROR(__xludf.DUMMYFUNCTION("""COMPUTED_VALUE"""),"Predictors of skilled attendance at delivery among antenatal clinic attendants in Ghana: a cross-sectional study of population data.")</f>
        <v>Predictors of skilled attendance at delivery among antenatal clinic attendants in Ghana: a cross-sectional study of population data.</v>
      </c>
      <c r="AG825" s="31" t="str">
        <f>IFERROR(__xludf.DUMMYFUNCTION("""COMPUTED_VALUE"""),"Amoakoh-Coleman, Mary; Ansah, Evelyn K; Agyepong, Irene Akua; Grobbee, Diederick E; Kayode, Gbenga A; Klipstein-Grobusch, Kerstin")</f>
        <v>Amoakoh-Coleman, Mary; Ansah, Evelyn K; Agyepong, Irene Akua; Grobbee, Diederick E; Kayode, Gbenga A; Klipstein-Grobusch, Kerstin</v>
      </c>
      <c r="AH825" s="32">
        <f>IFERROR(__xludf.DUMMYFUNCTION("""COMPUTED_VALUE"""),42143.0)</f>
        <v>42143</v>
      </c>
      <c r="AL825" s="31" t="str">
        <f>IFERROR(__xludf.DUMMYFUNCTION("""COMPUTED_VALUE"""),"Structural MRI correlates of apathy symptoms in older persons without dementia: AGES-Reykjavik Study.")</f>
        <v>Structural MRI correlates of apathy symptoms in older persons without dementia: AGES-Reykjavik Study.</v>
      </c>
      <c r="AM825" s="31" t="str">
        <f>IFERROR(__xludf.DUMMYFUNCTION("""COMPUTED_VALUE"""),"Grool, Anne M; Geerlings, Mirjam I; Sigurdsson, Sigurdur; Eiriksdottir, Gudny; Jonsson, Palmi V; Garcia, Melissa E; Siggeirsdottir, Kristin; Harris, Tamara B; Sigmundsson, Thordur; Gudnason, Vilmundur; Launer, Lenore J")</f>
        <v>Grool, Anne M; Geerlings, Mirjam I; Sigurdsson, Sigurdur; Eiriksdottir, Gudny; Jonsson, Palmi V; Garcia, Melissa E; Siggeirsdottir, Kristin; Harris, Tamara B; Sigmundsson, Thordur; Gudnason, Vilmundur; Launer, Lenore J</v>
      </c>
      <c r="AN825" s="32">
        <f>IFERROR(__xludf.DUMMYFUNCTION("""COMPUTED_VALUE"""),41745.0)</f>
        <v>41745</v>
      </c>
    </row>
    <row r="826">
      <c r="A826" s="32"/>
      <c r="I826" s="31" t="str">
        <f>IFERROR(__xludf.DUMMYFUNCTION("""COMPUTED_VALUE"""),"jacc heart failure")</f>
        <v>jacc heart failure</v>
      </c>
      <c r="J826" s="38">
        <f>COUNTIF(Data!$F$2:$F9917, $I826)</f>
        <v>3</v>
      </c>
      <c r="T826" s="31" t="s">
        <v>2338</v>
      </c>
      <c r="U826" s="31" t="s">
        <v>2339</v>
      </c>
      <c r="V826" s="32">
        <v>45113.0</v>
      </c>
      <c r="X826" s="31" t="str">
        <f>IFERROR(__xludf.DUMMYFUNCTION("""COMPUTED_VALUE"""),"Prescribing of low-dose rivaroxaban in patients with atherosclerotic cardiovascular disease in the United Kingdom and the Netherlands.")</f>
        <v>Prescribing of low-dose rivaroxaban in patients with atherosclerotic cardiovascular disease in the United Kingdom and the Netherlands.</v>
      </c>
      <c r="Y826" s="31" t="str">
        <f>IFERROR(__xludf.DUMMYFUNCTION("""COMPUTED_VALUE"""),"Hunt, Nicholas B; Pajouheshnia, Romin; Salih, Allan; van Doorn, Sander; Souverein, Patrick C; Bazelier, Marloes T; Klungel, Olaf H; Gardarsdottir, Helga")</f>
        <v>Hunt, Nicholas B; Pajouheshnia, Romin; Salih, Allan; van Doorn, Sander; Souverein, Patrick C; Bazelier, Marloes T; Klungel, Olaf H; Gardarsdottir, Helga</v>
      </c>
      <c r="Z826" s="31">
        <f>IFERROR(__xludf.DUMMYFUNCTION("""COMPUTED_VALUE"""),2023.0)</f>
        <v>2023</v>
      </c>
      <c r="AA826" s="31">
        <f>IFERROR(__xludf.DUMMYFUNCTION("""COMPUTED_VALUE"""),0.0)</f>
        <v>0</v>
      </c>
      <c r="AF826" s="31" t="str">
        <f>IFERROR(__xludf.DUMMYFUNCTION("""COMPUTED_VALUE"""),"The sex-specific association between BMI and coronary heart disease: a systematic review and meta-analysis of 95 cohorts with 1·2 million participants.")</f>
        <v>The sex-specific association between BMI and coronary heart disease: a systematic review and meta-analysis of 95 cohorts with 1·2 million participants.</v>
      </c>
      <c r="AG826" s="31" t="str">
        <f>IFERROR(__xludf.DUMMYFUNCTION("""COMPUTED_VALUE"""),"Mongraw-Chaffin, Morgana L; Peters, Sanne A E; Huxley, Rachel R; Woodward, Mark")</f>
        <v>Mongraw-Chaffin, Morgana L; Peters, Sanne A E; Huxley, Rachel R; Woodward, Mark</v>
      </c>
      <c r="AH826" s="32">
        <f>IFERROR(__xludf.DUMMYFUNCTION("""COMPUTED_VALUE"""),42131.0)</f>
        <v>42131</v>
      </c>
      <c r="AL826" s="31" t="str">
        <f>IFERROR(__xludf.DUMMYFUNCTION("""COMPUTED_VALUE"""),"Dietary fat intake and development of specific breast cancer subtypes.")</f>
        <v>Dietary fat intake and development of specific breast cancer subtypes.</v>
      </c>
      <c r="AM826" s="31" t="str">
        <f>IFERROR(__xludf.DUMMYFUNCTION("""COMPUTED_VALUE"""),"Sieri, Sabina; Chiodini, Paolo; Agnoli, Claudia; Pala, Valeria; Berrino, Franco; Trichopoulou, Antonia; Benetou, Vassiliki; Vasilopoulou, Effie; Sánchez, María-José; Chirlaque, Maria-Dolores; Amiano, Pilar; Quirós, J Ramón; Ardanaz, Eva; Buckland, Genevie"&amp;"ve; Masala, Giovanna; Panico, Salvatore; Grioni, Sara; Sacerdote, Carlotta; Tumino, Rosario; Boutron-Ruault, Marie-Christine; Clavel-Chapelon, Françoise; Fagherazzi, Guy; Peeters, Petra H M; van Gils, Carla H; Bueno-de-Mesquita, H Bas; van Kranen, Henk J;"&amp;" Key, Timothy J; Travis, Ruth C; Khaw, Kay Tee; Wareham, Nicholas J; Kaaks, Rudolf; Lukanova, Annekatrin; Boeing, Heiner; Schütze, Madlen; Sonestedt, Emily; Wirfält, Elisabeth; Sund, Malin; Andersson, Anne; Chajes, Veronique; Rinaldi, Sabina; Romieu, Isab"&amp;"elle; Weiderpass, Elisabete; Skeie, Guri; Dagrun, Engeset; Tjønneland, Anne; Halkjær, Jytte; Overvard, Kim; Merritt, Melissa A; Cox, David; Riboli, Elio; Krogh, Vittorio")</f>
        <v>Sieri, Sabina; Chiodini, Paolo; Agnoli, Claudia; Pala, Valeria; Berrino, Franco; Trichopoulou, Antonia; Benetou, Vassiliki; Vasilopoulou, Effie; Sánchez, María-José; Chirlaque, Maria-Dolores; Amiano, Pilar; Quirós, J Ramón; Ardanaz, Eva; Buckland, Genevieve; Masala, Giovanna; Panico, Salvatore; Grioni, Sara; Sacerdote, Carlotta; Tumino, Rosario; Boutron-Ruault, Marie-Christine; Clavel-Chapelon, Françoise; Fagherazzi, Guy; Peeters, Petra H M; van Gils, Carla H; Bueno-de-Mesquita, H Bas; van Kranen, Henk J; Key, Timothy J; Travis, Ruth C; Khaw, Kay Tee; Wareham, Nicholas J; Kaaks, Rudolf; Lukanova, Annekatrin; Boeing, Heiner; Schütze, Madlen; Sonestedt, Emily; Wirfält, Elisabeth; Sund, Malin; Andersson, Anne; Chajes, Veronique; Rinaldi, Sabina; Romieu, Isabelle; Weiderpass, Elisabete; Skeie, Guri; Dagrun, Engeset; Tjønneland, Anne; Halkjær, Jytte; Overvard, Kim; Merritt, Melissa A; Cox, David; Riboli, Elio; Krogh, Vittorio</v>
      </c>
      <c r="AN826" s="32">
        <f>IFERROR(__xludf.DUMMYFUNCTION("""COMPUTED_VALUE"""),41738.0)</f>
        <v>41738</v>
      </c>
    </row>
    <row r="827">
      <c r="A827" s="32"/>
      <c r="I827" s="31" t="str">
        <f>IFERROR(__xludf.DUMMYFUNCTION("""COMPUTED_VALUE"""),"american journal of transplantation official journal of the american society of transplantation and the american society of transplant surgeons")</f>
        <v>american journal of transplantation official journal of the american society of transplantation and the american society of transplant surgeons</v>
      </c>
      <c r="J827" s="38">
        <f>COUNTIF(Data!$F$2:$F9917, $I827)</f>
        <v>3</v>
      </c>
      <c r="T827" s="31" t="s">
        <v>2342</v>
      </c>
      <c r="U827" s="31" t="s">
        <v>1587</v>
      </c>
      <c r="V827" s="32">
        <v>45113.0</v>
      </c>
      <c r="X827" s="31" t="str">
        <f>IFERROR(__xludf.DUMMYFUNCTION("""COMPUTED_VALUE"""),"OPtimal TIming of antenatal COrticosteroid administration in pregnancies complicated by early-onset fetal growth REstriction (OPTICORE): study protocol of a multicentre, retrospective cohort study.")</f>
        <v>OPtimal TIming of antenatal COrticosteroid administration in pregnancies complicated by early-onset fetal growth REstriction (OPTICORE): study protocol of a multicentre, retrospective cohort study.</v>
      </c>
      <c r="Y827" s="31" t="str">
        <f>IFERROR(__xludf.DUMMYFUNCTION("""COMPUTED_VALUE"""),"van de Meent, Mette; Kleuskens, Dianne G; Ganzevoort, Wessel; Gordijn, Sanne J; Kooi, Elisabeth M W; Onland, Wes; van Rijn, Bas B; Duvekot, Johannes J; Kornelisse, René F; Al-Nasiry, Salwan; Jellema, Reint K; Knol, H Marieke; Manten, Gwendolyn T R; Mulder"&amp;"-de Tollenaer, Susanne M; Derks, Jan B; Groenendaal, Floris; Bekker, Mireille N; Schuit, Ewoud; Lely, A Titia; Kooiman, Judith")</f>
        <v>van de Meent, Mette; Kleuskens, Dianne G; Ganzevoort, Wessel; Gordijn, Sanne J; Kooi, Elisabeth M W; Onland, Wes; van Rijn, Bas B; Duvekot, Johannes J; Kornelisse, René F; Al-Nasiry, Salwan; Jellema, Reint K; Knol, H Marieke; Manten, Gwendolyn T R; Mulder-de Tollenaer, Susanne M; Derks, Jan B; Groenendaal, Floris; Bekker, Mireille N; Schuit, Ewoud; Lely, A Titia; Kooiman, Judith</v>
      </c>
      <c r="Z827" s="31">
        <f>IFERROR(__xludf.DUMMYFUNCTION("""COMPUTED_VALUE"""),2023.0)</f>
        <v>2023</v>
      </c>
      <c r="AA827" s="31">
        <f>IFERROR(__xludf.DUMMYFUNCTION("""COMPUTED_VALUE"""),0.0)</f>
        <v>0</v>
      </c>
      <c r="AF827" s="31" t="str">
        <f>IFERROR(__xludf.DUMMYFUNCTION("""COMPUTED_VALUE"""),"Criteria-based audit of quality of care to women with severe pre-eclampsia and eclampsia in a referral hospital in Accra, Ghana.")</f>
        <v>Criteria-based audit of quality of care to women with severe pre-eclampsia and eclampsia in a referral hospital in Accra, Ghana.</v>
      </c>
      <c r="AG827" s="31" t="str">
        <f>IFERROR(__xludf.DUMMYFUNCTION("""COMPUTED_VALUE"""),"Browne, Joyce L; van Nievelt, Sabine W; Srofenyoh, Emmanuel K; Grobbee, Diederick E; Klipstein-Grobusch, Kerstin")</f>
        <v>Browne, Joyce L; van Nievelt, Sabine W; Srofenyoh, Emmanuel K; Grobbee, Diederick E; Klipstein-Grobusch, Kerstin</v>
      </c>
      <c r="AH827" s="32">
        <f>IFERROR(__xludf.DUMMYFUNCTION("""COMPUTED_VALUE"""),42123.0)</f>
        <v>42123</v>
      </c>
      <c r="AL827" s="31" t="str">
        <f>IFERROR(__xludf.DUMMYFUNCTION("""COMPUTED_VALUE"""),"Suppression of cytokine release by fluticasone furoate vs. mometasone furoate in human nasal tissue ex-vivo.")</f>
        <v>Suppression of cytokine release by fluticasone furoate vs. mometasone furoate in human nasal tissue ex-vivo.</v>
      </c>
      <c r="AM827" s="31" t="str">
        <f>IFERROR(__xludf.DUMMYFUNCTION("""COMPUTED_VALUE"""),"Zhang, Nan; Van Crombruggen, Koen; Holtappels, Gabriele; Lan, Feng; Katotomichelakis, Michail; Zhang, Luo; Högger, Petra; Bachert, Claus")</f>
        <v>Zhang, Nan; Van Crombruggen, Koen; Holtappels, Gabriele; Lan, Feng; Katotomichelakis, Michail; Zhang, Luo; Högger, Petra; Bachert, Claus</v>
      </c>
      <c r="AN827" s="32">
        <f>IFERROR(__xludf.DUMMYFUNCTION("""COMPUTED_VALUE"""),41736.0)</f>
        <v>41736</v>
      </c>
    </row>
    <row r="828">
      <c r="A828" s="32"/>
      <c r="I828" s="31" t="str">
        <f>IFERROR(__xludf.DUMMYFUNCTION("""COMPUTED_VALUE"""),"nature reviews genetics")</f>
        <v>nature reviews genetics</v>
      </c>
      <c r="J828" s="38">
        <f>COUNTIF(Data!$F$2:$F9917, $I828)</f>
        <v>2</v>
      </c>
      <c r="T828" s="31" t="s">
        <v>2345</v>
      </c>
      <c r="U828" s="31" t="s">
        <v>2346</v>
      </c>
      <c r="V828" s="32">
        <v>45113.0</v>
      </c>
      <c r="X828" s="31" t="str">
        <f>IFERROR(__xludf.DUMMYFUNCTION("""COMPUTED_VALUE"""),"Cardiovascular Risk Estimation Based on Country-of-Birth- and Country-of-Residence-Specific Scores among Migrants in the Netherlands: The HELIUS Study.")</f>
        <v>Cardiovascular Risk Estimation Based on Country-of-Birth- and Country-of-Residence-Specific Scores among Migrants in the Netherlands: The HELIUS Study.</v>
      </c>
      <c r="Y828" s="31" t="str">
        <f>IFERROR(__xludf.DUMMYFUNCTION("""COMPUTED_VALUE"""),"Osei-Yeboah, James; Moll van Charante, Eric P; Kengne, Andre-Pascal; Owusu-Dabo, Ellis; van den Born, Bert-Jan H; Galenkamp-van der Ploeg, Henrike; Chilunga, Felix P; Boateng, Daniel; Motazedi, Ehsan; Agyemang, Charles")</f>
        <v>Osei-Yeboah, James; Moll van Charante, Eric P; Kengne, Andre-Pascal; Owusu-Dabo, Ellis; van den Born, Bert-Jan H; Galenkamp-van der Ploeg, Henrike; Chilunga, Felix P; Boateng, Daniel; Motazedi, Ehsan; Agyemang, Charles</v>
      </c>
      <c r="Z828" s="31">
        <f>IFERROR(__xludf.DUMMYFUNCTION("""COMPUTED_VALUE"""),2023.0)</f>
        <v>2023</v>
      </c>
      <c r="AA828" s="31">
        <f>IFERROR(__xludf.DUMMYFUNCTION("""COMPUTED_VALUE"""),0.0)</f>
        <v>0</v>
      </c>
      <c r="AF828" s="31" t="str">
        <f>IFERROR(__xludf.DUMMYFUNCTION("""COMPUTED_VALUE"""),"A Mendelian Randomization Study of Circulating Uric Acid and Type 2 Diabetes.")</f>
        <v>A Mendelian Randomization Study of Circulating Uric Acid and Type 2 Diabetes.</v>
      </c>
      <c r="AG828" s="31" t="str">
        <f>IFERROR(__xludf.DUMMYFUNCTION("""COMPUTED_VALUE"""),"Sluijs, Ivonne; Holmes, Michael V; van der Schouw, Yvonne T; Beulens, Joline W J; Asselbergs, Folkert W; Huerta, José María; Palmer, Tom M; Arriola, Larraitz; Balkau, Beverley; Barricarte, Aurelio; Boeing, Heiner; Clavel-Chapelon, Françoise; Fagherazzi, G"&amp;"uy; Franks, Paul W; Gavrila, Diana; Kaaks, Rudolf; Khaw, Kay Tee; Kühn, Tilman; Molina-Montes, Esther; Mortensen, Lotte Maxild; Nilsson, Peter M; Overvad, Kim; Palli, Domenico; Panico, Salvatore; Quirós, J Ramón; Rolandsson, Olov; Sacerdote, Carlotta; Sal"&amp;"a, Núria; Schmidt, Julie A; Scott, Robert A; Sieri, Sabina; Slimani, Nadia; Spijkerman, Annemieke M W; Tjonneland, Anne; Travis, Ruth C; Tumino, Rosario; van der A, Daphne L; Sharp, Stephen J; Forouhi, Nita G; Langenberg, Claudia; Riboli, Elio; Wareham, N"&amp;"icholas J; ,")</f>
        <v>Sluijs, Ivonne; Holmes, Michael V; van der Schouw, Yvonne T; Beulens, Joline W J; Asselbergs, Folkert W; Huerta, José María; Palmer, Tom M; Arriola, Larraitz; Balkau, Beverley; Barricarte, Aurelio; Boeing, Heiner; Clavel-Chapelon, Françoise; Fagherazzi, Guy; Franks, Paul W; Gavrila, Diana; Kaaks, Rudolf; Khaw, Kay Tee; Kühn, Tilman; Molina-Montes, Esther; Mortensen, Lotte Maxild; Nilsson, Peter M; Overvad, Kim; Palli, Domenico; Panico, Salvatore; Quirós, J Ramón; Rolandsson, Olov; Sacerdote, Carlotta; Sala, Núria; Schmidt, Julie A; Scott, Robert A; Sieri, Sabina; Slimani, Nadia; Spijkerman, Annemieke M W; Tjonneland, Anne; Travis, Ruth C; Tumino, Rosario; van der A, Daphne L; Sharp, Stephen J; Forouhi, Nita G; Langenberg, Claudia; Riboli, Elio; Wareham, Nicholas J; ,</v>
      </c>
      <c r="AH828" s="32">
        <f>IFERROR(__xludf.DUMMYFUNCTION("""COMPUTED_VALUE"""),42121.0)</f>
        <v>42121</v>
      </c>
      <c r="AL828" s="31" t="str">
        <f>IFERROR(__xludf.DUMMYFUNCTION("""COMPUTED_VALUE"""),"Antibiotic treatment of moderate-severe community-acquired pneumonia: design and rationale of a multicentre cluster-randomised cross-over trial.")</f>
        <v>Antibiotic treatment of moderate-severe community-acquired pneumonia: design and rationale of a multicentre cluster-randomised cross-over trial.</v>
      </c>
      <c r="AM828" s="31" t="str">
        <f>IFERROR(__xludf.DUMMYFUNCTION("""COMPUTED_VALUE"""),"van Werkhoven, C H; Postma, D F; Oosterheert, J J; Bonten, M J M")</f>
        <v>van Werkhoven, C H; Postma, D F; Oosterheert, J J; Bonten, M J M</v>
      </c>
      <c r="AN828" s="32">
        <f>IFERROR(__xludf.DUMMYFUNCTION("""COMPUTED_VALUE"""),41730.0)</f>
        <v>41730</v>
      </c>
    </row>
    <row r="829">
      <c r="A829" s="32"/>
      <c r="I829" s="31" t="str">
        <f>IFERROR(__xludf.DUMMYFUNCTION("""COMPUTED_VALUE"""),"journal of pediatric surgery")</f>
        <v>journal of pediatric surgery</v>
      </c>
      <c r="J829" s="38">
        <f>COUNTIF(Data!$F$2:$F9917, $I829)</f>
        <v>1</v>
      </c>
      <c r="T829" s="31" t="s">
        <v>2350</v>
      </c>
      <c r="U829" s="31" t="s">
        <v>2351</v>
      </c>
      <c r="V829" s="32">
        <v>45112.0</v>
      </c>
      <c r="X829" s="31" t="str">
        <f>IFERROR(__xludf.DUMMYFUNCTION("""COMPUTED_VALUE"""),"Ischemic stroke recurrence and mortality in different imaging phenotypes of ischemic cerebrovascular disease: The SMART-MR Study.")</f>
        <v>Ischemic stroke recurrence and mortality in different imaging phenotypes of ischemic cerebrovascular disease: The SMART-MR Study.</v>
      </c>
      <c r="Y829" s="31" t="str">
        <f>IFERROR(__xludf.DUMMYFUNCTION("""COMPUTED_VALUE"""),"Lucci, Carlo; Rissanen, Ina; de Jong, Pim A; Kappelle, L Jaap; Hendrikse, Jeroen; Geerlings, Mirjam I")</f>
        <v>Lucci, Carlo; Rissanen, Ina; de Jong, Pim A; Kappelle, L Jaap; Hendrikse, Jeroen; Geerlings, Mirjam I</v>
      </c>
      <c r="Z829" s="31">
        <f>IFERROR(__xludf.DUMMYFUNCTION("""COMPUTED_VALUE"""),2023.0)</f>
        <v>2023</v>
      </c>
      <c r="AA829" s="31">
        <f>IFERROR(__xludf.DUMMYFUNCTION("""COMPUTED_VALUE"""),0.0)</f>
        <v>0</v>
      </c>
      <c r="AF829" s="31" t="str">
        <f>IFERROR(__xludf.DUMMYFUNCTION("""COMPUTED_VALUE"""),"The Relationship Between Variation in Size of the Primordial Follicle Pool and Age at Natural Menopause.")</f>
        <v>The Relationship Between Variation in Size of the Primordial Follicle Pool and Age at Natural Menopause.</v>
      </c>
      <c r="AG829" s="31" t="str">
        <f>IFERROR(__xludf.DUMMYFUNCTION("""COMPUTED_VALUE"""),"Depmann, M; Faddy, M J; van der Schouw, Y T; Peeters, P H M; Broer, S L; Kelsey, T W; Nelson, S M; Broekmans, F J M")</f>
        <v>Depmann, M; Faddy, M J; van der Schouw, Y T; Peeters, P H M; Broer, S L; Kelsey, T W; Nelson, S M; Broekmans, F J M</v>
      </c>
      <c r="AH829" s="32">
        <f>IFERROR(__xludf.DUMMYFUNCTION("""COMPUTED_VALUE"""),42121.0)</f>
        <v>42121</v>
      </c>
      <c r="AL829" s="31" t="str">
        <f>IFERROR(__xludf.DUMMYFUNCTION("""COMPUTED_VALUE"""),"Treatment of cerebral cavernous malformations: a systematic review and meta-regression analysis.")</f>
        <v>Treatment of cerebral cavernous malformations: a systematic review and meta-regression analysis.</v>
      </c>
      <c r="AM829" s="31" t="str">
        <f>IFERROR(__xludf.DUMMYFUNCTION("""COMPUTED_VALUE"""),"Poorthuis, Michiel H F; Klijn, Catharina J M; Algra, Ale; Rinkel, Gabriel J E; Al-Shahi Salman, Rustam")</f>
        <v>Poorthuis, Michiel H F; Klijn, Catharina J M; Algra, Ale; Rinkel, Gabriel J E; Al-Shahi Salman, Rustam</v>
      </c>
      <c r="AN829" s="32">
        <f>IFERROR(__xludf.DUMMYFUNCTION("""COMPUTED_VALUE"""),41723.0)</f>
        <v>41723</v>
      </c>
    </row>
    <row r="830">
      <c r="A830" s="32"/>
      <c r="I830" s="31" t="str">
        <f>IFERROR(__xludf.DUMMYFUNCTION("""COMPUTED_VALUE"""),"journal of clinical immunology")</f>
        <v>journal of clinical immunology</v>
      </c>
      <c r="J830" s="38">
        <f>COUNTIF(Data!$F$2:$F9917, $I830)</f>
        <v>1</v>
      </c>
      <c r="T830" s="31" t="s">
        <v>2355</v>
      </c>
      <c r="U830" s="31" t="s">
        <v>2356</v>
      </c>
      <c r="V830" s="32">
        <v>45112.0</v>
      </c>
      <c r="X830" s="31" t="str">
        <f>IFERROR(__xludf.DUMMYFUNCTION("""COMPUTED_VALUE"""),"The prevalence of self-reported insomnia symptoms and association with metabolic outcomes in people with type 2 diabetes: the Hoorn Diabetes Care System cohort.")</f>
        <v>The prevalence of self-reported insomnia symptoms and association with metabolic outcomes in people with type 2 diabetes: the Hoorn Diabetes Care System cohort.</v>
      </c>
      <c r="Y830" s="31" t="str">
        <f>IFERROR(__xludf.DUMMYFUNCTION("""COMPUTED_VALUE"""),"Groeneveld, Lenka; den Braver, Nicolette R; Beulens, Joline W J; van der Heijden, Amber A; van der Reep, Annelie C; Remmelzwaal, Sharon; Elders, Petra J M; Rutters, Femke")</f>
        <v>Groeneveld, Lenka; den Braver, Nicolette R; Beulens, Joline W J; van der Heijden, Amber A; van der Reep, Annelie C; Remmelzwaal, Sharon; Elders, Petra J M; Rutters, Femke</v>
      </c>
      <c r="Z830" s="31">
        <f>IFERROR(__xludf.DUMMYFUNCTION("""COMPUTED_VALUE"""),2023.0)</f>
        <v>2023</v>
      </c>
      <c r="AA830" s="31">
        <f>IFERROR(__xludf.DUMMYFUNCTION("""COMPUTED_VALUE"""),0.0)</f>
        <v>0</v>
      </c>
      <c r="AF830" s="31" t="str">
        <f>IFERROR(__xludf.DUMMYFUNCTION("""COMPUTED_VALUE"""),"Isocaloric substitution of carbohydrates with protein: the association with weight change and mortality among patients with type 2 diabetes.")</f>
        <v>Isocaloric substitution of carbohydrates with protein: the association with weight change and mortality among patients with type 2 diabetes.</v>
      </c>
      <c r="AG830" s="31" t="str">
        <f>IFERROR(__xludf.DUMMYFUNCTION("""COMPUTED_VALUE"""),"Campmans-Kuijpers, Marjo Je; Sluijs, Ivonne; Nöthlings, Ute; Freisling, Heinz; Overvad, Kim; Weiderpass, Elisabete; Fagherazzi, Guy; Kühn, Tilman; Katzke, Verena A; Mattiello, Amalia; Sonestedt, Emily; Masala, Giovanna; Agnoli, Claudia; Tumino, Rosario; S"&amp;"pijkerman, Annemieke M W; Barricarte, Aurelio; Ricceri, Fulvio; Chamosa, Saioa; Johansson, Ingegerd; Winkvist, Anna; Tjønneland, Anne; Sluik, Diewertje; Boeing, Heiner; Beulens, Joline W J")</f>
        <v>Campmans-Kuijpers, Marjo Je; Sluijs, Ivonne; Nöthlings, Ute; Freisling, Heinz; Overvad, Kim; Weiderpass, Elisabete; Fagherazzi, Guy; Kühn, Tilman; Katzke, Verena A; Mattiello, Amalia; Sonestedt, Emily; Masala, Giovanna; Agnoli, Claudia; Tumino, Rosario; Spijkerman, Annemieke M W; Barricarte, Aurelio; Ricceri, Fulvio; Chamosa, Saioa; Johansson, Ingegerd; Winkvist, Anna; Tjønneland, Anne; Sluik, Diewertje; Boeing, Heiner; Beulens, Joline W J</v>
      </c>
      <c r="AH830" s="32">
        <f>IFERROR(__xludf.DUMMYFUNCTION("""COMPUTED_VALUE"""),42112.0)</f>
        <v>42112</v>
      </c>
      <c r="AL830" s="31" t="str">
        <f>IFERROR(__xludf.DUMMYFUNCTION("""COMPUTED_VALUE"""),"Validity of electronically administered Recent Physical Activity Questionnaire (RPAQ) in ten European countries.")</f>
        <v>Validity of electronically administered Recent Physical Activity Questionnaire (RPAQ) in ten European countries.</v>
      </c>
      <c r="AM830" s="31" t="str">
        <f>IFERROR(__xludf.DUMMYFUNCTION("""COMPUTED_VALUE"""),"Golubic, Rajna; May, Anne M; Benjaminsen Borch, Kristin; Overvad, Kim; Charles, Marie-Aline; Diaz, Maria Jose Tormo; Amiano, Pilar; Palli, Domenico; Valanou, Elisavet; Vigl, Matthaeus; Franks, Paul W; Wareham, Nicholas; Ekelund, Ulf; Brage, Soren")</f>
        <v>Golubic, Rajna; May, Anne M; Benjaminsen Borch, Kristin; Overvad, Kim; Charles, Marie-Aline; Diaz, Maria Jose Tormo; Amiano, Pilar; Palli, Domenico; Valanou, Elisavet; Vigl, Matthaeus; Franks, Paul W; Wareham, Nicholas; Ekelund, Ulf; Brage, Soren</v>
      </c>
      <c r="AN830" s="32">
        <f>IFERROR(__xludf.DUMMYFUNCTION("""COMPUTED_VALUE"""),41723.0)</f>
        <v>41723</v>
      </c>
    </row>
    <row r="831">
      <c r="A831" s="32"/>
      <c r="I831" s="31" t="str">
        <f>IFERROR(__xludf.DUMMYFUNCTION("""COMPUTED_VALUE"""),"american journal of perinatology")</f>
        <v>american journal of perinatology</v>
      </c>
      <c r="J831" s="38">
        <f>COUNTIF(Data!$F$2:$F9917, $I831)</f>
        <v>3</v>
      </c>
      <c r="T831" s="31" t="s">
        <v>2359</v>
      </c>
      <c r="U831" s="31" t="s">
        <v>2360</v>
      </c>
      <c r="V831" s="32">
        <v>45112.0</v>
      </c>
      <c r="X831" s="31" t="str">
        <f>IFERROR(__xludf.DUMMYFUNCTION("""COMPUTED_VALUE"""),"Treatment patterns and survival in older adults with unresected nonmetastatic biliary tract cancers.")</f>
        <v>Treatment patterns and survival in older adults with unresected nonmetastatic biliary tract cancers.</v>
      </c>
      <c r="Y831" s="31" t="str">
        <f>IFERROR(__xludf.DUMMYFUNCTION("""COMPUTED_VALUE"""),"Belkouz, Ali; de Savornin Lohman, Elise; Thumma, Jyothi R; Groot Koerkamp, Bas; de Reuver, Philip R; van Oijen, Martijn G H; Punt, Cornelis J A; Nathan, Hari; Klümpen, Heinz-Josef")</f>
        <v>Belkouz, Ali; de Savornin Lohman, Elise; Thumma, Jyothi R; Groot Koerkamp, Bas; de Reuver, Philip R; van Oijen, Martijn G H; Punt, Cornelis J A; Nathan, Hari; Klümpen, Heinz-Josef</v>
      </c>
      <c r="Z831" s="31">
        <f>IFERROR(__xludf.DUMMYFUNCTION("""COMPUTED_VALUE"""),2023.0)</f>
        <v>2023</v>
      </c>
      <c r="AA831" s="31">
        <f>IFERROR(__xludf.DUMMYFUNCTION("""COMPUTED_VALUE"""),0.0)</f>
        <v>0</v>
      </c>
      <c r="AF831" s="31" t="str">
        <f>IFERROR(__xludf.DUMMYFUNCTION("""COMPUTED_VALUE"""),"Completeness and accuracy of data transfer of routine maternal health services data in the greater Accra region.")</f>
        <v>Completeness and accuracy of data transfer of routine maternal health services data in the greater Accra region.</v>
      </c>
      <c r="AG831" s="31" t="str">
        <f>IFERROR(__xludf.DUMMYFUNCTION("""COMPUTED_VALUE"""),"Amoakoh-Coleman, Mary; Kayode, Gbenga A; Brown-Davies, Charles; Agyepong, Irene Akua; Grobbee, Diederick E; Klipstein-Grobusch, Kerstin; Ansah, Evelyn K")</f>
        <v>Amoakoh-Coleman, Mary; Kayode, Gbenga A; Brown-Davies, Charles; Agyepong, Irene Akua; Grobbee, Diederick E; Klipstein-Grobusch, Kerstin; Ansah, Evelyn K</v>
      </c>
      <c r="AH831" s="32">
        <f>IFERROR(__xludf.DUMMYFUNCTION("""COMPUTED_VALUE"""),42095.0)</f>
        <v>42095</v>
      </c>
      <c r="AL831" s="31" t="str">
        <f>IFERROR(__xludf.DUMMYFUNCTION("""COMPUTED_VALUE"""),"Is the long-term prognosis of transient ischemic attack or minor ischemic stroke affected by the occurrence of nonfocal symptoms?")</f>
        <v>Is the long-term prognosis of transient ischemic attack or minor ischemic stroke affected by the occurrence of nonfocal symptoms?</v>
      </c>
      <c r="AM831" s="31" t="str">
        <f>IFERROR(__xludf.DUMMYFUNCTION("""COMPUTED_VALUE"""),"Compter, Annette; van der Worp, H Bart; van Gijn, Jan; Kappelle, L Jaap; Koudstaal, Peter J; Algra, Ale")</f>
        <v>Compter, Annette; van der Worp, H Bart; van Gijn, Jan; Kappelle, L Jaap; Koudstaal, Peter J; Algra, Ale</v>
      </c>
      <c r="AN831" s="32">
        <f>IFERROR(__xludf.DUMMYFUNCTION("""COMPUTED_VALUE"""),41718.0)</f>
        <v>41718</v>
      </c>
    </row>
    <row r="832">
      <c r="A832" s="32"/>
      <c r="I832" s="31" t="str">
        <f>IFERROR(__xludf.DUMMYFUNCTION("""COMPUTED_VALUE"""),"journal of psychosomatic research")</f>
        <v>journal of psychosomatic research</v>
      </c>
      <c r="J832" s="38">
        <f>COUNTIF(Data!$F$2:$F9917, $I832)</f>
        <v>2</v>
      </c>
      <c r="T832" s="31" t="s">
        <v>2363</v>
      </c>
      <c r="U832" s="31" t="s">
        <v>2364</v>
      </c>
      <c r="V832" s="32">
        <v>45112.0</v>
      </c>
      <c r="X832" s="31" t="str">
        <f>IFERROR(__xludf.DUMMYFUNCTION("""COMPUTED_VALUE"""),"CT radiomics compared to a clinical model for predicting checkpoint inhibitor treatment outcomes in patients with advanced melanoma.")</f>
        <v>CT radiomics compared to a clinical model for predicting checkpoint inhibitor treatment outcomes in patients with advanced melanoma.</v>
      </c>
      <c r="Y832" s="31" t="str">
        <f>IFERROR(__xludf.DUMMYFUNCTION("""COMPUTED_VALUE"""),"Ter Maat, Laurens S; van Duin, Isabella A J; Elias, Sjoerd G; Leiner, Tim; Verhoeff, Joost J C; Arntz, Eran R A N; Troenokarso, Max F; Blokx, Willeke A M; Isgum, Ivana; de Wit, Geraldine A; van den Berkmortel, Franchette W P J; Boers-Sonderen, Marye J; Bo"&amp;"omsma, Martijn F; van den Eertwegh, Fons J M; de Groot, Jan Willem B; Piersma, Djura; Vreugdenhil, Art; Westgeest, Hans M; Kapiteijn, Ellen; van Diest, Paul J; Pluim, Josien P W; de Jong, Pim A; Suijkerbuijk, Karijn P M; Veta, Mitko")</f>
        <v>Ter Maat, Laurens S; van Duin, Isabella A J; Elias, Sjoerd G; Leiner, Tim; Verhoeff, Joost J C; Arntz, Eran R A N; Troenokarso, Max F; Blokx, Willeke A M; Isgum, Ivana; de Wit, Geraldine A; van den Berkmortel, Franchette W P J; Boers-Sonderen, Marye J; Boomsma, Martijn F; van den Eertwegh, Fons J M; de Groot, Jan Willem B; Piersma, Djura; Vreugdenhil, Art; Westgeest, Hans M; Kapiteijn, Ellen; van Diest, Paul J; Pluim, Josien P W; de Jong, Pim A; Suijkerbuijk, Karijn P M; Veta, Mitko</v>
      </c>
      <c r="Z832" s="31">
        <f>IFERROR(__xludf.DUMMYFUNCTION("""COMPUTED_VALUE"""),2023.0)</f>
        <v>2023</v>
      </c>
      <c r="AA832" s="31">
        <f>IFERROR(__xludf.DUMMYFUNCTION("""COMPUTED_VALUE"""),0.0)</f>
        <v>0</v>
      </c>
      <c r="AF832" s="31" t="str">
        <f>IFERROR(__xludf.DUMMYFUNCTION("""COMPUTED_VALUE"""),"Dried blood spot measurement of pregnancy-associated plasma protein A (PAPP-A) and free β-subunit of human chorionic gonadotropin (β-hCG) from a low-resource setting.")</f>
        <v>Dried blood spot measurement of pregnancy-associated plasma protein A (PAPP-A) and free β-subunit of human chorionic gonadotropin (β-hCG) from a low-resource setting.</v>
      </c>
      <c r="AG832" s="31" t="str">
        <f>IFERROR(__xludf.DUMMYFUNCTION("""COMPUTED_VALUE"""),"Browne, J L; Schielen, P C J I; Belmouden, I; Pennings, J L A; Klipstein-Grobusch, K")</f>
        <v>Browne, J L; Schielen, P C J I; Belmouden, I; Pennings, J L A; Klipstein-Grobusch, K</v>
      </c>
      <c r="AH832" s="32">
        <f>IFERROR(__xludf.DUMMYFUNCTION("""COMPUTED_VALUE"""),42095.0)</f>
        <v>42095</v>
      </c>
      <c r="AL832" s="31" t="str">
        <f>IFERROR(__xludf.DUMMYFUNCTION("""COMPUTED_VALUE"""),"At 15-20 weeks of pregnancy, various modifiable factors are associated with increased likelihood of a subsequent uncomplicated pregnancy.")</f>
        <v>At 15-20 weeks of pregnancy, various modifiable factors are associated with increased likelihood of a subsequent uncomplicated pregnancy.</v>
      </c>
      <c r="AM832" s="31" t="str">
        <f>IFERROR(__xludf.DUMMYFUNCTION("""COMPUTED_VALUE"""),"Hermans, Frederik J R; Schuit, Ewoud")</f>
        <v>Hermans, Frederik J R; Schuit, Ewoud</v>
      </c>
      <c r="AN832" s="32">
        <f>IFERROR(__xludf.DUMMYFUNCTION("""COMPUTED_VALUE"""),41703.0)</f>
        <v>41703</v>
      </c>
    </row>
    <row r="833">
      <c r="A833" s="32"/>
      <c r="I833" s="31" t="str">
        <f>IFERROR(__xludf.DUMMYFUNCTION("""COMPUTED_VALUE"""),"clinical interventions in aging")</f>
        <v>clinical interventions in aging</v>
      </c>
      <c r="J833" s="38">
        <f>COUNTIF(Data!$F$2:$F9917, $I833)</f>
        <v>2</v>
      </c>
      <c r="T833" s="31" t="s">
        <v>2368</v>
      </c>
      <c r="U833" s="31" t="s">
        <v>2369</v>
      </c>
      <c r="V833" s="32">
        <v>45111.0</v>
      </c>
      <c r="X833" s="31" t="str">
        <f>IFERROR(__xludf.DUMMYFUNCTION("""COMPUTED_VALUE"""),"Effectiveness of analgesic ear drops as add-on treatment to oral analgesics in children with acute otitis media: study protocol of the OPTIMA pragmatic randomised controlled trial.")</f>
        <v>Effectiveness of analgesic ear drops as add-on treatment to oral analgesics in children with acute otitis media: study protocol of the OPTIMA pragmatic randomised controlled trial.</v>
      </c>
      <c r="Y833" s="31" t="str">
        <f>IFERROR(__xludf.DUMMYFUNCTION("""COMPUTED_VALUE"""),"de Sévaux, Joline L H; Damoiseaux, Roger A M J; Hullegie, Saskia; Sanders, Elisabeth A M; de Wit, G Ardine; Zuithoff, Nicolaas P A; Yardley, Lucy; Anthierens, Sibyl; Little, Paul; Hay, Alastair D; Schilder, Anne G M; Venekamp, Roderick P")</f>
        <v>de Sévaux, Joline L H; Damoiseaux, Roger A M J; Hullegie, Saskia; Sanders, Elisabeth A M; de Wit, G Ardine; Zuithoff, Nicolaas P A; Yardley, Lucy; Anthierens, Sibyl; Little, Paul; Hay, Alastair D; Schilder, Anne G M; Venekamp, Roderick P</v>
      </c>
      <c r="Z833" s="31">
        <f>IFERROR(__xludf.DUMMYFUNCTION("""COMPUTED_VALUE"""),2023.0)</f>
        <v>2023</v>
      </c>
      <c r="AA833" s="31">
        <f>IFERROR(__xludf.DUMMYFUNCTION("""COMPUTED_VALUE"""),0.0)</f>
        <v>0</v>
      </c>
      <c r="AF833" s="31" t="str">
        <f>IFERROR(__xludf.DUMMYFUNCTION("""COMPUTED_VALUE"""),"The effect of alcohol consumption on insulin sensitivity and glycemic status: a systematic review and meta-analysis of intervention studies.")</f>
        <v>The effect of alcohol consumption on insulin sensitivity and glycemic status: a systematic review and meta-analysis of intervention studies.</v>
      </c>
      <c r="AG833" s="31" t="str">
        <f>IFERROR(__xludf.DUMMYFUNCTION("""COMPUTED_VALUE"""),"Schrieks, Ilse C; Heil, Annelijn L J; Hendriks, Henk F J; Mukamal, Kenneth J; Beulens, Joline W J")</f>
        <v>Schrieks, Ilse C; Heil, Annelijn L J; Hendriks, Henk F J; Mukamal, Kenneth J; Beulens, Joline W J</v>
      </c>
      <c r="AH833" s="32">
        <f>IFERROR(__xludf.DUMMYFUNCTION("""COMPUTED_VALUE"""),42095.0)</f>
        <v>42095</v>
      </c>
      <c r="AL833" s="31" t="str">
        <f>IFERROR(__xludf.DUMMYFUNCTION("""COMPUTED_VALUE"""),"Hippocampal subfield volumes at 7T in early Alzheimer's disease and normal aging.")</f>
        <v>Hippocampal subfield volumes at 7T in early Alzheimer's disease and normal aging.</v>
      </c>
      <c r="AM833" s="31" t="str">
        <f>IFERROR(__xludf.DUMMYFUNCTION("""COMPUTED_VALUE"""),"Wisse, Laura E M; Biessels, Geert Jan; Heringa, Sophie M; Kuijf, Hugo J; Koek, Dineke H L; Luijten, Peter R; Geerlings, Mirjam I; ,")</f>
        <v>Wisse, Laura E M; Biessels, Geert Jan; Heringa, Sophie M; Kuijf, Hugo J; Koek, Dineke H L; Luijten, Peter R; Geerlings, Mirjam I; ,</v>
      </c>
      <c r="AN833" s="32">
        <f>IFERROR(__xludf.DUMMYFUNCTION("""COMPUTED_VALUE"""),41701.0)</f>
        <v>41701</v>
      </c>
    </row>
    <row r="834">
      <c r="A834" s="32"/>
      <c r="I834" s="31" t="str">
        <f>IFERROR(__xludf.DUMMYFUNCTION("""COMPUTED_VALUE"""),"european neurology")</f>
        <v>european neurology</v>
      </c>
      <c r="J834" s="38">
        <f>COUNTIF(Data!$F$2:$F9917, $I834)</f>
        <v>1</v>
      </c>
      <c r="T834" s="31" t="s">
        <v>2372</v>
      </c>
      <c r="U834" s="31" t="s">
        <v>2373</v>
      </c>
      <c r="V834" s="32">
        <v>45110.0</v>
      </c>
      <c r="X834" s="31" t="str">
        <f>IFERROR(__xludf.DUMMYFUNCTION("""COMPUTED_VALUE"""),"One Heartbeat Away from a Prediction Model for Cardiovascular Diseases in Patients with Chronic Kidney Disease: A Systematic Review.")</f>
        <v>One Heartbeat Away from a Prediction Model for Cardiovascular Diseases in Patients with Chronic Kidney Disease: A Systematic Review.</v>
      </c>
      <c r="Y834" s="31" t="str">
        <f>IFERROR(__xludf.DUMMYFUNCTION("""COMPUTED_VALUE"""),"Smit, Leanne C M; Bots, Michiel L; van der Leeuw, Joep; Damen, Johanna A A G; Blankestijn, Peter J; Verhaar, Marianne C; Vernooij, Robin W M")</f>
        <v>Smit, Leanne C M; Bots, Michiel L; van der Leeuw, Joep; Damen, Johanna A A G; Blankestijn, Peter J; Verhaar, Marianne C; Vernooij, Robin W M</v>
      </c>
      <c r="Z834" s="31">
        <f>IFERROR(__xludf.DUMMYFUNCTION("""COMPUTED_VALUE"""),2023.0)</f>
        <v>2023</v>
      </c>
      <c r="AA834" s="31">
        <f>IFERROR(__xludf.DUMMYFUNCTION("""COMPUTED_VALUE"""),0.0)</f>
        <v>0</v>
      </c>
      <c r="AF834" s="31" t="str">
        <f>IFERROR(__xludf.DUMMYFUNCTION("""COMPUTED_VALUE"""),"Gender-specific mortality in DTP-IPV- and MMR±MenC-eligible age groups to determine possible sex-differential effects of vaccination: an observational study.")</f>
        <v>Gender-specific mortality in DTP-IPV- and MMR±MenC-eligible age groups to determine possible sex-differential effects of vaccination: an observational study.</v>
      </c>
      <c r="AG834" s="31" t="str">
        <f>IFERROR(__xludf.DUMMYFUNCTION("""COMPUTED_VALUE"""),"Schurink-van't Klooster, Tessa M; Knol, Mirjam J; de Melker, Hester E; van der Sande, Marianne A B")</f>
        <v>Schurink-van't Klooster, Tessa M; Knol, Mirjam J; de Melker, Hester E; van der Sande, Marianne A B</v>
      </c>
      <c r="AH834" s="32">
        <f>IFERROR(__xludf.DUMMYFUNCTION("""COMPUTED_VALUE"""),42087.0)</f>
        <v>42087</v>
      </c>
      <c r="AL834" s="31" t="str">
        <f>IFERROR(__xludf.DUMMYFUNCTION("""COMPUTED_VALUE"""),"Online hemodiafiltration reduces systemic inflammation compared to low-flux hemodialysis.")</f>
        <v>Online hemodiafiltration reduces systemic inflammation compared to low-flux hemodialysis.</v>
      </c>
      <c r="AM834" s="31" t="str">
        <f>IFERROR(__xludf.DUMMYFUNCTION("""COMPUTED_VALUE"""),"den Hoedt, Claire H; Bots, Michiel L; Grooteman, Muriel P C; van der Weerd, Neelke C; Mazairac, Albert H A; Penne, E Lars; Levesque, Renée; ter Wee, Piet M; Nubé, Menso J; Blankestijn, Peter J; van den Dorpel, Marinus A; ,")</f>
        <v>den Hoedt, Claire H; Bots, Michiel L; Grooteman, Muriel P C; van der Weerd, Neelke C; Mazairac, Albert H A; Penne, E Lars; Levesque, Renée; ter Wee, Piet M; Nubé, Menso J; Blankestijn, Peter J; van den Dorpel, Marinus A; ,</v>
      </c>
      <c r="AN834" s="32">
        <f>IFERROR(__xludf.DUMMYFUNCTION("""COMPUTED_VALUE"""),41689.0)</f>
        <v>41689</v>
      </c>
    </row>
    <row r="835">
      <c r="A835" s="32"/>
      <c r="I835" s="31" t="str">
        <f>IFERROR(__xludf.DUMMYFUNCTION("""COMPUTED_VALUE"""),"international journal of palliative nursing")</f>
        <v>international journal of palliative nursing</v>
      </c>
      <c r="J835" s="38">
        <f>COUNTIF(Data!$F$2:$F9917, $I835)</f>
        <v>2</v>
      </c>
      <c r="T835" s="31" t="s">
        <v>2376</v>
      </c>
      <c r="U835" s="31" t="s">
        <v>2377</v>
      </c>
      <c r="V835" s="32">
        <v>45108.0</v>
      </c>
      <c r="X835" s="31" t="str">
        <f>IFERROR(__xludf.DUMMYFUNCTION("""COMPUTED_VALUE"""),"Optimal age targeting for pneumococcal vaccination in older adults; a modelling study.")</f>
        <v>Optimal age targeting for pneumococcal vaccination in older adults; a modelling study.</v>
      </c>
      <c r="Y835" s="31" t="str">
        <f>IFERROR(__xludf.DUMMYFUNCTION("""COMPUTED_VALUE"""),"Thindwa, Deus; Clifford, Samuel; Kleynhans, Jackie; von Gottberg, Anne; Walaza, Sibongile; Meiring, Susan; Swarthout, Todd D; Miller, Elizabeth; McIntyre, Peter; Andrews, Nick; Amin-Chowdhury, Zahin; Fry, Norman; Jambo, Kondwani C; French, Neil; Almeida, "&amp;"Samanta Cristine Grassi; Ladhani, Shamez N; Heyderman, Robert S; Cohen, Cheryl; de Cunto Brandileone, Maria Cristina; Flasche, Stefan")</f>
        <v>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v>
      </c>
      <c r="Z835" s="31">
        <f>IFERROR(__xludf.DUMMYFUNCTION("""COMPUTED_VALUE"""),2023.0)</f>
        <v>2023</v>
      </c>
      <c r="AA835" s="31">
        <f>IFERROR(__xludf.DUMMYFUNCTION("""COMPUTED_VALUE"""),0.0)</f>
        <v>0</v>
      </c>
      <c r="AF835" s="31" t="str">
        <f>IFERROR(__xludf.DUMMYFUNCTION("""COMPUTED_VALUE"""),"Pragmatic randomized trials in drug development pose new ethical questions: a systematic review.")</f>
        <v>Pragmatic randomized trials in drug development pose new ethical questions: a systematic review.</v>
      </c>
      <c r="AG835" s="31" t="str">
        <f>IFERROR(__xludf.DUMMYFUNCTION("""COMPUTED_VALUE"""),"Kalkman, Shona; van Thiel, Ghislaine J M W; Grobbee, Diederick E; van Delden, Johannes J M")</f>
        <v>Kalkman, Shona; van Thiel, Ghislaine J M W; Grobbee, Diederick E; van Delden, Johannes J M</v>
      </c>
      <c r="AH835" s="32">
        <f>IFERROR(__xludf.DUMMYFUNCTION("""COMPUTED_VALUE"""),42080.0)</f>
        <v>42080</v>
      </c>
      <c r="AL835" s="31" t="str">
        <f>IFERROR(__xludf.DUMMYFUNCTION("""COMPUTED_VALUE"""),"The effects of clinical and statistical heterogeneity on the predictive values of results from meta-analyses.")</f>
        <v>The effects of clinical and statistical heterogeneity on the predictive values of results from meta-analyses.</v>
      </c>
      <c r="AM835" s="31" t="str">
        <f>IFERROR(__xludf.DUMMYFUNCTION("""COMPUTED_VALUE"""),"Melsen, W G; Bootsma, M C J; Rovers, M M; Bonten, M J M")</f>
        <v>Melsen, W G; Bootsma, M C J; Rovers, M M; Bonten, M J M</v>
      </c>
      <c r="AN835" s="32">
        <f>IFERROR(__xludf.DUMMYFUNCTION("""COMPUTED_VALUE"""),41671.0)</f>
        <v>41671</v>
      </c>
    </row>
    <row r="836">
      <c r="A836" s="32"/>
      <c r="I836" s="31" t="str">
        <f>IFERROR(__xludf.DUMMYFUNCTION("""COMPUTED_VALUE"""),"therapeutic advances in endocrinology and metabolism")</f>
        <v>therapeutic advances in endocrinology and metabolism</v>
      </c>
      <c r="J836" s="38">
        <f>COUNTIF(Data!$F$2:$F9917, $I836)</f>
        <v>1</v>
      </c>
      <c r="T836" s="31" t="s">
        <v>2381</v>
      </c>
      <c r="U836" s="31" t="s">
        <v>2382</v>
      </c>
      <c r="V836" s="32">
        <v>45108.0</v>
      </c>
      <c r="X836" s="31" t="str">
        <f>IFERROR(__xludf.DUMMYFUNCTION("""COMPUTED_VALUE"""),"Epigenome-wide association study of plasma lipids in West Africans: the RODAM study.")</f>
        <v>Epigenome-wide association study of plasma lipids in West Africans: the RODAM study.</v>
      </c>
      <c r="Y836" s="31" t="str">
        <f>IFERROR(__xludf.DUMMYFUNCTION("""COMPUTED_VALUE"""),"van der Linden, Eva L; Meeks, Karlijn A C; Chilunga, Felix; Hayfron-Benjamin, Charles; Bahendeka, Silver; Klipstein-Grobusch, Kerstin; Venema, Andrea; van den Born, Bert-Jan; Agyemang, Charles; Henneman, Peter; Adeyemo, Adebowale")</f>
        <v>van der Linden, Eva L; Meeks, Karlijn A C; Chilunga, Felix; Hayfron-Benjamin, Charles; Bahendeka, Silver; Klipstein-Grobusch, Kerstin; Venema, Andrea; van den Born, Bert-Jan; Agyemang, Charles; Henneman, Peter; Adeyemo, Adebowale</v>
      </c>
      <c r="Z836" s="31">
        <f>IFERROR(__xludf.DUMMYFUNCTION("""COMPUTED_VALUE"""),2023.0)</f>
        <v>2023</v>
      </c>
      <c r="AA836" s="31">
        <f>IFERROR(__xludf.DUMMYFUNCTION("""COMPUTED_VALUE"""),0.0)</f>
        <v>0</v>
      </c>
      <c r="AF836" s="31" t="str">
        <f>IFERROR(__xludf.DUMMYFUNCTION("""COMPUTED_VALUE"""),"Socioeconomic status in relation to cardiovascular disease and cause-specific mortality: a comparison of Asian and Australasian populations in a pooled analysis.")</f>
        <v>Socioeconomic status in relation to cardiovascular disease and cause-specific mortality: a comparison of Asian and Australasian populations in a pooled analysis.</v>
      </c>
      <c r="AG836" s="31" t="str">
        <f>IFERROR(__xludf.DUMMYFUNCTION("""COMPUTED_VALUE"""),"Woodward, Mark; Peters, Sanne A E; Batty, G David; Ueshima, Hirotsugu; Woo, Jean; Giles, Graham G; Barzi, Federica; Ho, Suzanne C; Huxley, Rachel R; Arima, Hisatomi; Fang, Xianghua; Dobson, Annette; Lam, Tai Hing; Vathesatogkit, Prin; ,")</f>
        <v>Woodward, Mark; Peters, Sanne A E; Batty, G David; Ueshima, Hirotsugu; Woo, Jean; Giles, Graham G; Barzi, Federica; Ho, Suzanne C; Huxley, Rachel R; Arima, Hisatomi; Fang, Xianghua; Dobson, Annette; Lam, Tai Hing; Vathesatogkit, Prin; ,</v>
      </c>
      <c r="AH836" s="32">
        <f>IFERROR(__xludf.DUMMYFUNCTION("""COMPUTED_VALUE"""),42080.0)</f>
        <v>42080</v>
      </c>
      <c r="AL836" s="31" t="str">
        <f>IFERROR(__xludf.DUMMYFUNCTION("""COMPUTED_VALUE"""),"Cardiac magnetic resonance imaging findings and the risk of cardiovascular events in patients with recent myocardial infarction or suspected or known coronary artery disease: a systematic review of prognostic studies.")</f>
        <v>Cardiac magnetic resonance imaging findings and the risk of cardiovascular events in patients with recent myocardial infarction or suspected or known coronary artery disease: a systematic review of prognostic studies.</v>
      </c>
      <c r="AM836" s="31" t="str">
        <f>IFERROR(__xludf.DUMMYFUNCTION("""COMPUTED_VALUE"""),"El Aidi, Hamza; Adams, Arthur; Moons, Karel G M; Den Ruijter, Hester M; Mali, Willem P Th M; Doevendans, Pieter A; Nagel, Eike; Schalla, Simon; Bots, Michiel L; Leiner, Tim")</f>
        <v>El Aidi, Hamza; Adams, Arthur; Moons, Karel G M; Den Ruijter, Hester M; Mali, Willem P Th M; Doevendans, Pieter A; Nagel, Eike; Schalla, Simon; Bots, Michiel L; Leiner, Tim</v>
      </c>
      <c r="AN836" s="32">
        <f>IFERROR(__xludf.DUMMYFUNCTION("""COMPUTED_VALUE"""),41669.0)</f>
        <v>41669</v>
      </c>
    </row>
    <row r="837">
      <c r="A837" s="32"/>
      <c r="I837" s="31" t="str">
        <f>IFERROR(__xludf.DUMMYFUNCTION("""COMPUTED_VALUE"""),"journal of multidisciplinary healthcare")</f>
        <v>journal of multidisciplinary healthcare</v>
      </c>
      <c r="J837" s="38">
        <f>COUNTIF(Data!$F$2:$F9917, $I837)</f>
        <v>1</v>
      </c>
      <c r="T837" s="31" t="s">
        <v>2385</v>
      </c>
      <c r="U837" s="31" t="s">
        <v>2386</v>
      </c>
      <c r="V837" s="32">
        <v>45108.0</v>
      </c>
      <c r="X837" s="31" t="str">
        <f>IFERROR(__xludf.DUMMYFUNCTION("""COMPUTED_VALUE"""),"Development and validation of risk calculators for people with ""thin"" melanomas on their skin to predict the likelihood that their cancer will return: a plain language summary of publication.")</f>
        <v>Development and validation of risk calculators for people with "thin" melanomas on their skin to predict the likelihood that their cancer will return: a plain language summary of publication.</v>
      </c>
      <c r="Y837" s="31" t="str">
        <f>IFERROR(__xludf.DUMMYFUNCTION("""COMPUTED_VALUE"""),"Sharouni, Mary-Ann El; Lo, Serigne N; Varey, Alexander Hr; Elias, Sjoerd G; Witkamp, Arjen J; Sigurdsson, Vigfús; Suijkerbuijk, Karijn Pm; van Diest, Paul J; van Gils, Carla H; Blokx, Willeke Am; Scolyer, Richard A; Thompson, John F")</f>
        <v>Sharouni, Mary-Ann El; Lo, Serigne N; Varey, Alexander Hr; Elias, Sjoerd G; Witkamp, Arjen J; Sigurdsson, Vigfús; Suijkerbuijk, Karijn Pm; van Diest, Paul J; van Gils, Carla H; Blokx, Willeke Am; Scolyer, Richard A; Thompson, John F</v>
      </c>
      <c r="Z837" s="31">
        <f>IFERROR(__xludf.DUMMYFUNCTION("""COMPUTED_VALUE"""),2023.0)</f>
        <v>2023</v>
      </c>
      <c r="AA837" s="31">
        <f>IFERROR(__xludf.DUMMYFUNCTION("""COMPUTED_VALUE"""),0.0)</f>
        <v>0</v>
      </c>
      <c r="AF837" s="31" t="str">
        <f>IFERROR(__xludf.DUMMYFUNCTION("""COMPUTED_VALUE"""),"Postmortem disclosure of genetic information to family members: active or passive?")</f>
        <v>Postmortem disclosure of genetic information to family members: active or passive?</v>
      </c>
      <c r="AG837" s="31" t="str">
        <f>IFERROR(__xludf.DUMMYFUNCTION("""COMPUTED_VALUE"""),"Boers, Sarah N; van Delden, Johannes J M; Knoers, Nine V; Bredenoord, Annelien L")</f>
        <v>Boers, Sarah N; van Delden, Johannes J M; Knoers, Nine V; Bredenoord, Annelien L</v>
      </c>
      <c r="AH837" s="32">
        <f>IFERROR(__xludf.DUMMYFUNCTION("""COMPUTED_VALUE"""),42064.0)</f>
        <v>42064</v>
      </c>
      <c r="AL837" s="31" t="str">
        <f>IFERROR(__xludf.DUMMYFUNCTION("""COMPUTED_VALUE"""),"Efficient surveillance for healthcare-associated infections spreading between hospitals.")</f>
        <v>Efficient surveillance for healthcare-associated infections spreading between hospitals.</v>
      </c>
      <c r="AM837" s="31" t="str">
        <f>IFERROR(__xludf.DUMMYFUNCTION("""COMPUTED_VALUE"""),"Ciccolini, Mariano; Donker, Tjibbe; Grundmann, Hajo; Bonten, Marc J M; Woolhouse, Mark E J")</f>
        <v>Ciccolini, Mariano; Donker, Tjibbe; Grundmann, Hajo; Bonten, Marc J M; Woolhouse, Mark E J</v>
      </c>
      <c r="AN837" s="32">
        <f>IFERROR(__xludf.DUMMYFUNCTION("""COMPUTED_VALUE"""),41666.0)</f>
        <v>41666</v>
      </c>
    </row>
    <row r="838">
      <c r="A838" s="32"/>
      <c r="I838" s="31" t="str">
        <f>IFERROR(__xludf.DUMMYFUNCTION("""COMPUTED_VALUE"""),"journal of chromatography b analytical technologies in the biomedical and life sciences")</f>
        <v>journal of chromatography b analytical technologies in the biomedical and life sciences</v>
      </c>
      <c r="J838" s="38">
        <f>COUNTIF(Data!$F$2:$F9917, $I838)</f>
        <v>1</v>
      </c>
      <c r="T838" s="31" t="s">
        <v>2389</v>
      </c>
      <c r="U838" s="31" t="s">
        <v>2390</v>
      </c>
      <c r="V838" s="32">
        <v>45106.0</v>
      </c>
      <c r="X838" s="31" t="str">
        <f>IFERROR(__xludf.DUMMYFUNCTION("""COMPUTED_VALUE"""),"Discriminatory Ability and Clinical Utility of the AJCC7 and AJCC8 Staging Systems for Breast Cancer in a Middle-Income Setting.")</f>
        <v>Discriminatory Ability and Clinical Utility of the AJCC7 and AJCC8 Staging Systems for Breast Cancer in a Middle-Income Setting.</v>
      </c>
      <c r="Y838" s="31" t="str">
        <f>IFERROR(__xludf.DUMMYFUNCTION("""COMPUTED_VALUE"""),"Song, Chin-Vern; van Gils, Carla H; Yip, Cheng-Har; Soerjomataram, Isabelle; Taib, Nur Aishah Mohd; See, Mee-Hoong; Lim, Alexander; Abdul Satar, Nur Fadhlina; Bhoo-Pathy, Nirmala")</f>
        <v>Song, Chin-Vern; van Gils, Carla H; Yip, Cheng-Har; Soerjomataram, Isabelle; Taib, Nur Aishah Mohd; See, Mee-Hoong; Lim, Alexander; Abdul Satar, Nur Fadhlina; Bhoo-Pathy, Nirmala</v>
      </c>
      <c r="Z838" s="31">
        <f>IFERROR(__xludf.DUMMYFUNCTION("""COMPUTED_VALUE"""),2023.0)</f>
        <v>2023</v>
      </c>
      <c r="AA838" s="31">
        <f>IFERROR(__xludf.DUMMYFUNCTION("""COMPUTED_VALUE"""),0.0)</f>
        <v>0</v>
      </c>
      <c r="AF838" s="31" t="str">
        <f>IFERROR(__xludf.DUMMYFUNCTION("""COMPUTED_VALUE"""),"Professional opinion on oral cleft during pregnancy: a comparison between Israel and The Netherlands.")</f>
        <v>Professional opinion on oral cleft during pregnancy: a comparison between Israel and The Netherlands.</v>
      </c>
      <c r="AG838" s="31" t="str">
        <f>IFERROR(__xludf.DUMMYFUNCTION("""COMPUTED_VALUE"""),"Maarse, Wies; Boonacker, Chantal W B; Lapid, Oren; Swanenburg De Veye, Henriette F N; Weiner, Zeev; Kon, Moshe; van Delden, Johannes J M; Mink van der Molen, Aebele B")</f>
        <v>Maarse, Wies; Boonacker, Chantal W B; Lapid, Oren; Swanenburg De Veye, Henriette F N; Weiner, Zeev; Kon, Moshe; van Delden, Johannes J M; Mink van der Molen, Aebele B</v>
      </c>
      <c r="AH838" s="32">
        <f>IFERROR(__xludf.DUMMYFUNCTION("""COMPUTED_VALUE"""),42064.0)</f>
        <v>42064</v>
      </c>
      <c r="AL838" s="31" t="str">
        <f>IFERROR(__xludf.DUMMYFUNCTION("""COMPUTED_VALUE"""),"Clinical predictors of decline in nutritional parameters over time in ESRD.")</f>
        <v>Clinical predictors of decline in nutritional parameters over time in ESRD.</v>
      </c>
      <c r="AM838" s="31" t="str">
        <f>IFERROR(__xludf.DUMMYFUNCTION("""COMPUTED_VALUE"""),"den Hoedt, Claire H; Bots, Michiel L; Grooteman, Muriel P C; van der Weerd, Neelke C; Penne, E Lars; Mazairac, Albert H A; Levesque, Renée; Blankestijn, Peter J; Nubé, Menso J; ter Wee, Piet M; van den Dorpel, Marinus A; ,")</f>
        <v>den Hoedt, Claire H; Bots, Michiel L; Grooteman, Muriel P C; van der Weerd, Neelke C; Penne, E Lars; Mazairac, Albert H A; Levesque, Renée; Blankestijn, Peter J; Nubé, Menso J; ter Wee, Piet M; van den Dorpel, Marinus A; ,</v>
      </c>
      <c r="AN838" s="32">
        <f>IFERROR(__xludf.DUMMYFUNCTION("""COMPUTED_VALUE"""),41662.0)</f>
        <v>41662</v>
      </c>
    </row>
    <row r="839">
      <c r="A839" s="32"/>
      <c r="I839" s="31" t="str">
        <f>IFERROR(__xludf.DUMMYFUNCTION("""COMPUTED_VALUE"""),"philosophical transactions of the royal society of london series b biological sciences")</f>
        <v>philosophical transactions of the royal society of london series b biological sciences</v>
      </c>
      <c r="J839" s="38">
        <f>COUNTIF(Data!$F$2:$F9917, $I839)</f>
        <v>1</v>
      </c>
      <c r="T839" s="31" t="s">
        <v>2394</v>
      </c>
      <c r="U839" s="31" t="s">
        <v>2395</v>
      </c>
      <c r="V839" s="32">
        <v>45105.0</v>
      </c>
      <c r="X839" s="31" t="str">
        <f>IFERROR(__xludf.DUMMYFUNCTION("""COMPUTED_VALUE"""),"What are the needs of frail older patients in the emergency department? A qualitative study.")</f>
        <v>What are the needs of frail older patients in the emergency department? A qualitative study.</v>
      </c>
      <c r="Y839" s="31" t="str">
        <f>IFERROR(__xludf.DUMMYFUNCTION("""COMPUTED_VALUE"""),"Venema, Dorien; Vervoort, Sigrid C J M; de Man-van Ginkel, Janneke M; Bleijenberg, Nienke; Schoonhoven, Lisette; Ham, Wietske H W")</f>
        <v>Venema, Dorien; Vervoort, Sigrid C J M; de Man-van Ginkel, Janneke M; Bleijenberg, Nienke; Schoonhoven, Lisette; Ham, Wietske H W</v>
      </c>
      <c r="Z839" s="31">
        <f>IFERROR(__xludf.DUMMYFUNCTION("""COMPUTED_VALUE"""),2023.0)</f>
        <v>2023</v>
      </c>
      <c r="AA839" s="31">
        <f>IFERROR(__xludf.DUMMYFUNCTION("""COMPUTED_VALUE"""),0.0)</f>
        <v>0</v>
      </c>
      <c r="AF839" s="31" t="str">
        <f>IFERROR(__xludf.DUMMYFUNCTION("""COMPUTED_VALUE"""),"Reconsidering the ethics of sham interventions in an era of emerging technologies.")</f>
        <v>Reconsidering the ethics of sham interventions in an era of emerging technologies.</v>
      </c>
      <c r="AG839" s="31" t="str">
        <f>IFERROR(__xludf.DUMMYFUNCTION("""COMPUTED_VALUE"""),"Niemansburg, Sophie L; van Delden, Johannes J M; Dhert, Wouter J A; Bredenoord, Annelien L")</f>
        <v>Niemansburg, Sophie L; van Delden, Johannes J M; Dhert, Wouter J A; Bredenoord, Annelien L</v>
      </c>
      <c r="AH839" s="32">
        <f>IFERROR(__xludf.DUMMYFUNCTION("""COMPUTED_VALUE"""),42055.0)</f>
        <v>42055</v>
      </c>
      <c r="AL839" s="31" t="str">
        <f>IFERROR(__xludf.DUMMYFUNCTION("""COMPUTED_VALUE"""),"Meta-analysis and aggregation of multiple published prediction models.")</f>
        <v>Meta-analysis and aggregation of multiple published prediction models.</v>
      </c>
      <c r="AM839" s="31" t="str">
        <f>IFERROR(__xludf.DUMMYFUNCTION("""COMPUTED_VALUE"""),"Debray, Thomas P A; Koffijberg, Hendrik; Nieboer, Daan; Vergouwe, Yvonne; Steyerberg, Ewout W; Moons, Karel G M")</f>
        <v>Debray, Thomas P A; Koffijberg, Hendrik; Nieboer, Daan; Vergouwe, Yvonne; Steyerberg, Ewout W; Moons, Karel G M</v>
      </c>
      <c r="AN839" s="32">
        <f>IFERROR(__xludf.DUMMYFUNCTION("""COMPUTED_VALUE"""),41653.0)</f>
        <v>41653</v>
      </c>
    </row>
    <row r="840">
      <c r="A840" s="32"/>
      <c r="I840" s="31" t="str">
        <f>IFERROR(__xludf.DUMMYFUNCTION("""COMPUTED_VALUE"""),"neurosurgery")</f>
        <v>neurosurgery</v>
      </c>
      <c r="J840" s="38">
        <f>COUNTIF(Data!$F$2:$F9917, $I840)</f>
        <v>3</v>
      </c>
      <c r="T840" s="31" t="s">
        <v>2399</v>
      </c>
      <c r="U840" s="31" t="s">
        <v>2400</v>
      </c>
      <c r="V840" s="32">
        <v>45105.0</v>
      </c>
      <c r="X840" s="31" t="str">
        <f>IFERROR(__xludf.DUMMYFUNCTION("""COMPUTED_VALUE"""),"Optimizing cardiovascular risk assessment and registration in a developing cardiovascular learning health care system: Women benefit most.")</f>
        <v>Optimizing cardiovascular risk assessment and registration in a developing cardiovascular learning health care system: Women benefit most.</v>
      </c>
      <c r="Y840" s="31" t="str">
        <f>IFERROR(__xludf.DUMMYFUNCTION("""COMPUTED_VALUE"""),"Groenhof, T Katrien J; Haitjema, Saskia; Lely, A Titia; Grobbee, Diederick E; Asselbergs, Folkert W; Bots, Michiel L; ,")</f>
        <v>Groenhof, T Katrien J; Haitjema, Saskia; Lely, A Titia; Grobbee, Diederick E; Asselbergs, Folkert W; Bots, Michiel L; ,</v>
      </c>
      <c r="Z840" s="31">
        <f>IFERROR(__xludf.DUMMYFUNCTION("""COMPUTED_VALUE"""),2023.0)</f>
        <v>2023</v>
      </c>
      <c r="AA840" s="31">
        <f>IFERROR(__xludf.DUMMYFUNCTION("""COMPUTED_VALUE"""),0.0)</f>
        <v>0</v>
      </c>
      <c r="AF840" s="31" t="str">
        <f>IFERROR(__xludf.DUMMYFUNCTION("""COMPUTED_VALUE"""),"""Wood already touched by fire is not hard to set alight"": Comment on ""Constraints to applying systems thinking concepts in health systems: A regional perspective from surveying stakeholders in Eastern Mediterranean countries"".")</f>
        <v>"Wood already touched by fire is not hard to set alight": Comment on "Constraints to applying systems thinking concepts in health systems: A regional perspective from surveying stakeholders in Eastern Mediterranean countries".</v>
      </c>
      <c r="AG840" s="31" t="str">
        <f>IFERROR(__xludf.DUMMYFUNCTION("""COMPUTED_VALUE"""),"Agyepong, Irene Akua")</f>
        <v>Agyepong, Irene Akua</v>
      </c>
      <c r="AH840" s="32">
        <f>IFERROR(__xludf.DUMMYFUNCTION("""COMPUTED_VALUE"""),42050.0)</f>
        <v>42050</v>
      </c>
      <c r="AL840" s="31" t="str">
        <f>IFERROR(__xludf.DUMMYFUNCTION("""COMPUTED_VALUE"""),"Online respondent-driven sampling for studying contact patterns relevant for the spread of close-contact pathogens: a pilot study in Thailand.")</f>
        <v>Online respondent-driven sampling for studying contact patterns relevant for the spread of close-contact pathogens: a pilot study in Thailand.</v>
      </c>
      <c r="AM840" s="31" t="str">
        <f>IFERROR(__xludf.DUMMYFUNCTION("""COMPUTED_VALUE"""),"Stein, Mart L; van Steenbergen, Jim E; Chanyasanha, Charnchudhi; Tipayamongkholgul, Mathuros; Buskens, Vincent; van der Heijden, Peter G M; Sabaiwan, Wasamon; Bengtsson, Linus; Lu, Xin; Thorson, Anna E; Kretzschmar, Mirjam E E")</f>
        <v>Stein, Mart L; van Steenbergen, Jim E; Chanyasanha, Charnchudhi; Tipayamongkholgul, Mathuros; Buskens, Vincent; van der Heijden, Peter G M; Sabaiwan, Wasamon; Bengtsson, Linus; Lu, Xin; Thorson, Anna E; Kretzschmar, Mirjam E E</v>
      </c>
      <c r="AN840" s="32">
        <f>IFERROR(__xludf.DUMMYFUNCTION("""COMPUTED_VALUE"""),41647.0)</f>
        <v>41647</v>
      </c>
    </row>
    <row r="841">
      <c r="A841" s="32"/>
      <c r="I841" s="31" t="str">
        <f>IFERROR(__xludf.DUMMYFUNCTION("""COMPUTED_VALUE"""),"journal of microbiology biology education")</f>
        <v>journal of microbiology biology education</v>
      </c>
      <c r="J841" s="38">
        <f>COUNTIF(Data!$F$2:$F9917, $I841)</f>
        <v>1</v>
      </c>
      <c r="T841" s="31" t="s">
        <v>2403</v>
      </c>
      <c r="U841" s="31" t="s">
        <v>2404</v>
      </c>
      <c r="V841" s="32">
        <v>45104.0</v>
      </c>
      <c r="X841" s="31" t="str">
        <f>IFERROR(__xludf.DUMMYFUNCTION("""COMPUTED_VALUE"""),"Rationale and design of the iCORONARY trial: improving the cost-effectiveness of coronary artery disease diagnosis.")</f>
        <v>Rationale and design of the iCORONARY trial: improving the cost-effectiveness of coronary artery disease diagnosis.</v>
      </c>
      <c r="Y841" s="31" t="str">
        <f>IFERROR(__xludf.DUMMYFUNCTION("""COMPUTED_VALUE"""),"Peper, J; Becker, L M; Bruning, T A; Budde, R P J; van Dockum, W G; Frederix, G W J; Habets, J; Henriques, J P S; Houthuizen, P; Mohamed Hoesein, F A A; Planken, R N; Voskuil, M; Bots, M L; Leiner, T; Swaans, M J")</f>
        <v>Peper, J; Becker, L M; Bruning, T A; Budde, R P J; van Dockum, W G; Frederix, G W J; Habets, J; Henriques, J P S; Houthuizen, P; Mohamed Hoesein, F A A; Planken, R N; Voskuil, M; Bots, M L; Leiner, T; Swaans, M J</v>
      </c>
      <c r="Z841" s="31">
        <f>IFERROR(__xludf.DUMMYFUNCTION("""COMPUTED_VALUE"""),2023.0)</f>
        <v>2023</v>
      </c>
      <c r="AA841" s="31">
        <f>IFERROR(__xludf.DUMMYFUNCTION("""COMPUTED_VALUE"""),0.0)</f>
        <v>0</v>
      </c>
      <c r="AF841" s="31" t="str">
        <f>IFERROR(__xludf.DUMMYFUNCTION("""COMPUTED_VALUE"""),"Cardiometabolic disease risk and HIV status in rural South Africa: establishing a baseline.")</f>
        <v>Cardiometabolic disease risk and HIV status in rural South Africa: establishing a baseline.</v>
      </c>
      <c r="AG841" s="31" t="str">
        <f>IFERROR(__xludf.DUMMYFUNCTION("""COMPUTED_VALUE"""),"Clark, Samuel J; Gómez-Olivé, F Xavier; Houle, Brian; Thorogood, Margaret; Klipstein-Grobusch, Kerstin; Angotti, Nicole; Kabudula, Chodziwadziwa; Williams, Jill; Menken, Jane; Tollman, Stephen")</f>
        <v>Clark, Samuel J; Gómez-Olivé, F Xavier; Houle, Brian; Thorogood, Margaret; Klipstein-Grobusch, Kerstin; Angotti, Nicole; Kabudula, Chodziwadziwa; Williams, Jill; Menken, Jane; Tollman, Stephen</v>
      </c>
      <c r="AH841" s="32">
        <f>IFERROR(__xludf.DUMMYFUNCTION("""COMPUTED_VALUE"""),42047.0)</f>
        <v>42047</v>
      </c>
      <c r="AL841" s="31" t="str">
        <f>IFERROR(__xludf.DUMMYFUNCTION("""COMPUTED_VALUE"""),"Attributable mortality of ventilator-associated pneumonia - Authors' reply.")</f>
        <v>Attributable mortality of ventilator-associated pneumonia - Authors' reply.</v>
      </c>
      <c r="AM841" s="31" t="str">
        <f>IFERROR(__xludf.DUMMYFUNCTION("""COMPUTED_VALUE"""),"Melsen, Wilhelmina G; Rovers, Maroeska M; Bonten, Marc J M")</f>
        <v>Melsen, Wilhelmina G; Rovers, Maroeska M; Bonten, Marc J M</v>
      </c>
      <c r="AN841" s="32">
        <f>IFERROR(__xludf.DUMMYFUNCTION("""COMPUTED_VALUE"""),41609.0)</f>
        <v>41609</v>
      </c>
    </row>
    <row r="842">
      <c r="A842" s="32"/>
      <c r="I842" s="31" t="str">
        <f>IFERROR(__xludf.DUMMYFUNCTION("""COMPUTED_VALUE"""),"journal of plastic reconstructive aesthetic surgery jpras")</f>
        <v>journal of plastic reconstructive aesthetic surgery jpras</v>
      </c>
      <c r="J842" s="38">
        <f>COUNTIF(Data!$F$2:$F9917, $I842)</f>
        <v>1</v>
      </c>
      <c r="T842" s="31" t="s">
        <v>2407</v>
      </c>
      <c r="U842" s="31" t="s">
        <v>2408</v>
      </c>
      <c r="V842" s="32">
        <v>45104.0</v>
      </c>
      <c r="X842" s="31" t="str">
        <f>IFERROR(__xludf.DUMMYFUNCTION("""COMPUTED_VALUE"""),"Addressing persistent evidence gaps in cardiovascular sex differences research - the potential of clinical care data.")</f>
        <v>Addressing persistent evidence gaps in cardiovascular sex differences research - the potential of clinical care data.</v>
      </c>
      <c r="Y842" s="31" t="str">
        <f>IFERROR(__xludf.DUMMYFUNCTION("""COMPUTED_VALUE"""),"Bots, Sophie H; Onland-Moret, N Charlotte; den Ruijter, Hester M")</f>
        <v>Bots, Sophie H; Onland-Moret, N Charlotte; den Ruijter, Hester M</v>
      </c>
      <c r="Z842" s="31">
        <f>IFERROR(__xludf.DUMMYFUNCTION("""COMPUTED_VALUE"""),2023.0)</f>
        <v>2023</v>
      </c>
      <c r="AA842" s="31">
        <f>IFERROR(__xludf.DUMMYFUNCTION("""COMPUTED_VALUE"""),0.0)</f>
        <v>0</v>
      </c>
      <c r="AF842" s="31" t="str">
        <f>IFERROR(__xludf.DUMMYFUNCTION("""COMPUTED_VALUE"""),"Risk of all-cause mortality and vascular events in women versus men with type 1 diabetes: a systematic review and meta-analysis.")</f>
        <v>Risk of all-cause mortality and vascular events in women versus men with type 1 diabetes: a systematic review and meta-analysis.</v>
      </c>
      <c r="AG842" s="31" t="str">
        <f>IFERROR(__xludf.DUMMYFUNCTION("""COMPUTED_VALUE"""),"Huxley, Rachel R; Peters, Sanne A E; Mishra, Gita D; Woodward, Mark")</f>
        <v>Huxley, Rachel R; Peters, Sanne A E; Mishra, Gita D; Woodward, Mark</v>
      </c>
      <c r="AH842" s="32">
        <f>IFERROR(__xludf.DUMMYFUNCTION("""COMPUTED_VALUE"""),42041.0)</f>
        <v>42041</v>
      </c>
      <c r="AL842" s="31" t="str">
        <f>IFERROR(__xludf.DUMMYFUNCTION("""COMPUTED_VALUE"""),"CT perfusion and delayed cerebral ischemia in aneurysmal subarachnoid hemorrhage: a systematic review and meta-analysis.")</f>
        <v>CT perfusion and delayed cerebral ischemia in aneurysmal subarachnoid hemorrhage: a systematic review and meta-analysis.</v>
      </c>
      <c r="AM842" s="31" t="str">
        <f>IFERROR(__xludf.DUMMYFUNCTION("""COMPUTED_VALUE"""),"Cremers, Charlotte H P; van der Schaaf, Irene C; Wensink, Emerens; Greving, Jacoba P; Rinkel, Gabriel J E; Velthuis, Birgitta K; Vergouwen, Mervyn D I")</f>
        <v>Cremers, Charlotte H P; van der Schaaf, Irene C; Wensink, Emerens; Greving, Jacoba P; Rinkel, Gabriel J E; Velthuis, Birgitta K; Vergouwen, Mervyn D I</v>
      </c>
      <c r="AN842" s="32">
        <f>IFERROR(__xludf.DUMMYFUNCTION("""COMPUTED_VALUE"""),41605.0)</f>
        <v>41605</v>
      </c>
    </row>
    <row r="843">
      <c r="A843" s="32"/>
      <c r="I843" s="31" t="str">
        <f>IFERROR(__xludf.DUMMYFUNCTION("""COMPUTED_VALUE"""),"nursing health sciences")</f>
        <v>nursing health sciences</v>
      </c>
      <c r="J843" s="38">
        <f>COUNTIF(Data!$F$2:$F9917, $I843)</f>
        <v>1</v>
      </c>
      <c r="T843" s="31" t="s">
        <v>2411</v>
      </c>
      <c r="U843" s="31" t="s">
        <v>2412</v>
      </c>
      <c r="V843" s="32">
        <v>45104.0</v>
      </c>
      <c r="X843" s="31" t="str">
        <f>IFERROR(__xludf.DUMMYFUNCTION("""COMPUTED_VALUE"""),"Men's motivations, barriers to and aspirations for their families' health in the first 1000 days in sub-Saharan Africa: a secondary qualitative analysis.")</f>
        <v>Men's motivations, barriers to and aspirations for their families' health in the first 1000 days in sub-Saharan Africa: a secondary qualitative analysis.</v>
      </c>
      <c r="Y843" s="31" t="str">
        <f>IFERROR(__xludf.DUMMYFUNCTION("""COMPUTED_VALUE"""),"Watson, Daniella; Chatio, Samuel; Barker, Mary; Boua, Palwende Romuald; Compaoré, Adélaïde; Dalaba, Maxwell; Erzse, Agnes; Godfrey, Keith; Hofman, Karen; Kehoe, Sarah; McGrath, Nuala; Mukoma, Gudani; Nonterah, Engelbert A; Norris, Shane A; Sorgho, Hermann"&amp;"; Ward, Kate A; Hardy-Johnson, Polly; ,")</f>
        <v>Watson, Daniella; Chatio, Samuel; Barker, Mary; Boua, Palwende Romuald; Compaoré, Adélaïde; Dalaba, Maxwell; Erzse, Agnes; Godfrey, Keith; Hofman, Karen; Kehoe, Sarah; McGrath, Nuala; Mukoma, Gudani; Nonterah, Engelbert A; Norris, Shane A; Sorgho, Hermann; Ward, Kate A; Hardy-Johnson, Polly; ,</v>
      </c>
      <c r="Z843" s="31">
        <f>IFERROR(__xludf.DUMMYFUNCTION("""COMPUTED_VALUE"""),2023.0)</f>
        <v>2023</v>
      </c>
      <c r="AA843" s="31">
        <f>IFERROR(__xludf.DUMMYFUNCTION("""COMPUTED_VALUE"""),0.0)</f>
        <v>0</v>
      </c>
      <c r="AF843" s="31" t="str">
        <f>IFERROR(__xludf.DUMMYFUNCTION("""COMPUTED_VALUE"""),"Risk factors of impaired fasting glucose and type 2 diabetes in Yaoundé, Cameroon: a cross sectional study.")</f>
        <v>Risk factors of impaired fasting glucose and type 2 diabetes in Yaoundé, Cameroon: a cross sectional study.</v>
      </c>
      <c r="AG843" s="31" t="str">
        <f>IFERROR(__xludf.DUMMYFUNCTION("""COMPUTED_VALUE"""),"Kufe, Clement Nyuyki; Klipstein-Grobusch, Kerstin; Leopold, Fezeu; Assah, Felix; Ngufor, George; Mbeh, George; Mbanya, Vivian Nchanchou; Mbanya, Jean Claude")</f>
        <v>Kufe, Clement Nyuyki; Klipstein-Grobusch, Kerstin; Leopold, Fezeu; Assah, Felix; Ngufor, George; Mbeh, George; Mbanya, Vivian Nchanchou; Mbanya, Jean Claude</v>
      </c>
      <c r="AH843" s="32">
        <f>IFERROR(__xludf.DUMMYFUNCTION("""COMPUTED_VALUE"""),42035.0)</f>
        <v>42035</v>
      </c>
      <c r="AL843" s="31" t="str">
        <f>IFERROR(__xludf.DUMMYFUNCTION("""COMPUTED_VALUE"""),"Development of the PHASES score for prediction of risk of rupture of intracranial aneurysms: a pooled analysis of six prospective cohort studies.")</f>
        <v>Development of the PHASES score for prediction of risk of rupture of intracranial aneurysms: a pooled analysis of six prospective cohort studies.</v>
      </c>
      <c r="AM843" s="31" t="str">
        <f>IFERROR(__xludf.DUMMYFUNCTION("""COMPUTED_VALUE"""),"Greving, Jacoba P; Wermer, Marieke J H; Brown, Robert D; Morita, Akio; Juvela, Seppo; Yonekura, Masahiro; Ishibashi, Toshihiro; Torner, James C; Nakayama, Takeo; Rinkel, Gabriël J E; Algra, Ale")</f>
        <v>Greving, Jacoba P; Wermer, Marieke J H; Brown, Robert D; Morita, Akio; Juvela, Seppo; Yonekura, Masahiro; Ishibashi, Toshihiro; Torner, James C; Nakayama, Takeo; Rinkel, Gabriël J E; Algra, Ale</v>
      </c>
      <c r="AN843" s="32">
        <f>IFERROR(__xludf.DUMMYFUNCTION("""COMPUTED_VALUE"""),41605.0)</f>
        <v>41605</v>
      </c>
    </row>
    <row r="844">
      <c r="A844" s="32"/>
      <c r="I844" s="31" t="str">
        <f>IFERROR(__xludf.DUMMYFUNCTION("""COMPUTED_VALUE"""),"internal and emergency medicine")</f>
        <v>internal and emergency medicine</v>
      </c>
      <c r="J844" s="38">
        <f>COUNTIF(Data!$F$2:$F9917, $I844)</f>
        <v>3</v>
      </c>
      <c r="T844" s="31" t="s">
        <v>2415</v>
      </c>
      <c r="U844" s="31" t="s">
        <v>2416</v>
      </c>
      <c r="V844" s="32">
        <v>45101.0</v>
      </c>
      <c r="X844" s="31" t="str">
        <f>IFERROR(__xludf.DUMMYFUNCTION("""COMPUTED_VALUE"""),"Risk factor clustering in men and women with CHD in the Southern Cone of Latin America.")</f>
        <v>Risk factor clustering in men and women with CHD in the Southern Cone of Latin America.</v>
      </c>
      <c r="Y844" s="31" t="str">
        <f>IFERROR(__xludf.DUMMYFUNCTION("""COMPUTED_VALUE"""),"Marzà-Florensa, Anna; Gutierrez, Laura; Gulayin, Pablo; Vaartjes, Ilonca; Grobbee, Diederick E; Klipstein-Grobusch, Kerstin; Irazola, Vilma")</f>
        <v>Marzà-Florensa, Anna; Gutierrez, Laura; Gulayin, Pablo; Vaartjes, Ilonca; Grobbee, Diederick E; Klipstein-Grobusch, Kerstin; Irazola, Vilma</v>
      </c>
      <c r="Z844" s="31">
        <f>IFERROR(__xludf.DUMMYFUNCTION("""COMPUTED_VALUE"""),2023.0)</f>
        <v>2023</v>
      </c>
      <c r="AA844" s="31">
        <f>IFERROR(__xludf.DUMMYFUNCTION("""COMPUTED_VALUE"""),0.0)</f>
        <v>0</v>
      </c>
      <c r="AF844" s="31" t="str">
        <f>IFERROR(__xludf.DUMMYFUNCTION("""COMPUTED_VALUE"""),"Opinions about euthanasia and advanced dementia: a qualitative study among Dutch physicians and members of the general public.")</f>
        <v>Opinions about euthanasia and advanced dementia: a qualitative study among Dutch physicians and members of the general public.</v>
      </c>
      <c r="AG844" s="31" t="str">
        <f>IFERROR(__xludf.DUMMYFUNCTION("""COMPUTED_VALUE"""),"Kouwenhoven, Pauline S C; Raijmakers, Natasja J H; van Delden, Johannes J M; Rietjens, Judith A C; van Tol, Donald G; van de Vathorst, Suzanne; de Graeff, Nienke; Weyers, Heleen A M; van der Heide, Agnes; van Thiel, Ghislaine J M W")</f>
        <v>Kouwenhoven, Pauline S C; Raijmakers, Natasja J H; van Delden, Johannes J M; Rietjens, Judith A C; van Tol, Donald G; van de Vathorst, Suzanne; de Graeff, Nienke; Weyers, Heleen A M; van der Heide, Agnes; van Thiel, Ghislaine J M W</v>
      </c>
      <c r="AH844" s="32">
        <f>IFERROR(__xludf.DUMMYFUNCTION("""COMPUTED_VALUE"""),42032.0)</f>
        <v>42032</v>
      </c>
      <c r="AL844" s="31" t="str">
        <f>IFERROR(__xludf.DUMMYFUNCTION("""COMPUTED_VALUE"""),"Long-term effect of a nurse-led psychosocial intervention on health-related quality of life in patients with head and neck cancer: a randomised controlled trial.")</f>
        <v>Long-term effect of a nurse-led psychosocial intervention on health-related quality of life in patients with head and neck cancer: a randomised controlled trial.</v>
      </c>
      <c r="AM844" s="31" t="str">
        <f>IFERROR(__xludf.DUMMYFUNCTION("""COMPUTED_VALUE"""),"van der Meulen, I C; May, A M; de Leeuw, J R J; Koole, R; Oosterom, M; Hordijk, G-J; Ros, W J G")</f>
        <v>van der Meulen, I C; May, A M; de Leeuw, J R J; Koole, R; Oosterom, M; Hordijk, G-J; Ros, W J G</v>
      </c>
      <c r="AN844" s="32">
        <f>IFERROR(__xludf.DUMMYFUNCTION("""COMPUTED_VALUE"""),41604.0)</f>
        <v>41604</v>
      </c>
    </row>
    <row r="845">
      <c r="A845" s="32"/>
      <c r="I845" s="31" t="str">
        <f>IFERROR(__xludf.DUMMYFUNCTION("""COMPUTED_VALUE"""),"hypertension in pregnancy")</f>
        <v>hypertension in pregnancy</v>
      </c>
      <c r="J845" s="38">
        <f>COUNTIF(Data!$F$2:$F9917, $I845)</f>
        <v>1</v>
      </c>
      <c r="T845" s="31" t="s">
        <v>2420</v>
      </c>
      <c r="U845" s="31" t="s">
        <v>2421</v>
      </c>
      <c r="V845" s="32">
        <v>45098.0</v>
      </c>
      <c r="X845" s="31" t="str">
        <f>IFERROR(__xludf.DUMMYFUNCTION("""COMPUTED_VALUE"""),"Stepwise treatment of uncontrolled HyperTensioN (Stepwise-HTN): Study design of a cluster randomised controlled trial in primary care.")</f>
        <v>Stepwise treatment of uncontrolled HyperTensioN (Stepwise-HTN): Study design of a cluster randomised controlled trial in primary care.</v>
      </c>
      <c r="Y845" s="31" t="str">
        <f>IFERROR(__xludf.DUMMYFUNCTION("""COMPUTED_VALUE"""),"Kiliç, Birsen; Biermans, Marion C J; Rutten, Frans H; Deinum, Jaap; Spiering, Wilko; van der Wel, Mark C; de Grauw, Wim J C; Bots, Michiel L; Hollander, Monika")</f>
        <v>Kiliç, Birsen; Biermans, Marion C J; Rutten, Frans H; Deinum, Jaap; Spiering, Wilko; van der Wel, Mark C; de Grauw, Wim J C; Bots, Michiel L; Hollander, Monika</v>
      </c>
      <c r="Z845" s="31">
        <f>IFERROR(__xludf.DUMMYFUNCTION("""COMPUTED_VALUE"""),2023.0)</f>
        <v>2023</v>
      </c>
      <c r="AA845" s="31">
        <f>IFERROR(__xludf.DUMMYFUNCTION("""COMPUTED_VALUE"""),0.0)</f>
        <v>0</v>
      </c>
      <c r="AF845" s="31" t="str">
        <f>IFERROR(__xludf.DUMMYFUNCTION("""COMPUTED_VALUE"""),"The relationship between fermented food intake and mortality risk in the European Prospective Investigation into Cancer and Nutrition-Netherlands cohort.")</f>
        <v>The relationship between fermented food intake and mortality risk in the European Prospective Investigation into Cancer and Nutrition-Netherlands cohort.</v>
      </c>
      <c r="AG845" s="31" t="str">
        <f>IFERROR(__xludf.DUMMYFUNCTION("""COMPUTED_VALUE"""),"Praagman, Jaike; Dalmeijer, Geertje W; van der Schouw, Yvonne T; Soedamah-Muthu, Sabita S; Monique Verschuren, W M; Bas Bueno-de-Mesquita, H; Geleijnse, Johanna M; Beulens, Joline W J")</f>
        <v>Praagman, Jaike; Dalmeijer, Geertje W; van der Schouw, Yvonne T; Soedamah-Muthu, Sabita S; Monique Verschuren, W M; Bas Bueno-de-Mesquita, H; Geleijnse, Johanna M; Beulens, Joline W J</v>
      </c>
      <c r="AH845" s="32">
        <f>IFERROR(__xludf.DUMMYFUNCTION("""COMPUTED_VALUE"""),42024.0)</f>
        <v>42024</v>
      </c>
      <c r="AL845" s="31" t="str">
        <f>IFERROR(__xludf.DUMMYFUNCTION("""COMPUTED_VALUE"""),"The pathogen- and incidence-based DALY approach: an appropriate [corrected] methodology for estimating the burden of infectious diseases.")</f>
        <v>The pathogen- and incidence-based DALY approach: an appropriate [corrected] methodology for estimating the burden of infectious diseases.</v>
      </c>
      <c r="AM845" s="31" t="str">
        <f>IFERROR(__xludf.DUMMYFUNCTION("""COMPUTED_VALUE"""),"Mangen, Marie-Josée J; Plass, Dietrich; Havelaar, Arie H; Gibbons, Cheryl L; Cassini, Alessandro; Mühlberger, Nikolai; van Lier, Alies; Haagsma, Juanita A; Brooke, R John; Lai, Taavi; de Waure, Chiara; Kramarz, Piotr; Kretzschmar, Mirjam E E; ,")</f>
        <v>Mangen, Marie-Josée J; Plass, Dietrich; Havelaar, Arie H; Gibbons, Cheryl L; Cassini, Alessandro; Mühlberger, Nikolai; van Lier, Alies; Haagsma, Juanita A; Brooke, R John; Lai, Taavi; de Waure, Chiara; Kramarz, Piotr; Kretzschmar, Mirjam E E; ,</v>
      </c>
      <c r="AN845" s="32">
        <f>IFERROR(__xludf.DUMMYFUNCTION("""COMPUTED_VALUE"""),41598.0)</f>
        <v>41598</v>
      </c>
    </row>
    <row r="846">
      <c r="A846" s="32"/>
      <c r="I846" s="31" t="str">
        <f>IFERROR(__xludf.DUMMYFUNCTION("""COMPUTED_VALUE"""),"social psychiatry and psychiatric epidemiology")</f>
        <v>social psychiatry and psychiatric epidemiology</v>
      </c>
      <c r="J846" s="38">
        <f>COUNTIF(Data!$F$2:$F9917, $I846)</f>
        <v>3</v>
      </c>
      <c r="T846" s="31" t="s">
        <v>2424</v>
      </c>
      <c r="U846" s="31" t="s">
        <v>2425</v>
      </c>
      <c r="V846" s="32">
        <v>45098.0</v>
      </c>
      <c r="X846" s="31" t="str">
        <f>IFERROR(__xludf.DUMMYFUNCTION("""COMPUTED_VALUE"""),"Setting a realistic AWaRe target for primary care antibiotic use in LMICs.")</f>
        <v>Setting a realistic AWaRe target for primary care antibiotic use in LMICs.</v>
      </c>
      <c r="Y846" s="31" t="str">
        <f>IFERROR(__xludf.DUMMYFUNCTION("""COMPUTED_VALUE"""),"Ingelbeen, Brecht; Valia, Daniel; Phanzu, Delphin Mavinga; van der Sande, Marianne A B; Tinto, Halidou")</f>
        <v>Ingelbeen, Brecht; Valia, Daniel; Phanzu, Delphin Mavinga; van der Sande, Marianne A B; Tinto, Halidou</v>
      </c>
      <c r="Z846" s="31">
        <f>IFERROR(__xludf.DUMMYFUNCTION("""COMPUTED_VALUE"""),2023.0)</f>
        <v>2023</v>
      </c>
      <c r="AA846" s="31">
        <f>IFERROR(__xludf.DUMMYFUNCTION("""COMPUTED_VALUE"""),0.0)</f>
        <v>0</v>
      </c>
      <c r="AF846" s="31" t="str">
        <f>IFERROR(__xludf.DUMMYFUNCTION("""COMPUTED_VALUE"""),"Anti-Müllerian Hormone as a marker of ovarian reserve in relation to cardio-metabolic health: a narrative review.")</f>
        <v>Anti-Müllerian Hormone as a marker of ovarian reserve in relation to cardio-metabolic health: a narrative review.</v>
      </c>
      <c r="AG846" s="31" t="str">
        <f>IFERROR(__xludf.DUMMYFUNCTION("""COMPUTED_VALUE"""),"de Kat, Annelien C; Broekmans, Frank J M; Laven, Joop S; van der Schouw, Yvonne T")</f>
        <v>de Kat, Annelien C; Broekmans, Frank J M; Laven, Joop S; van der Schouw, Yvonne T</v>
      </c>
      <c r="AH846" s="32">
        <f>IFERROR(__xludf.DUMMYFUNCTION("""COMPUTED_VALUE"""),42014.0)</f>
        <v>42014</v>
      </c>
      <c r="AL846" s="31" t="str">
        <f>IFERROR(__xludf.DUMMYFUNCTION("""COMPUTED_VALUE"""),"Weight change later in life and colon and rectal cancer risk in participants in the EPIC-PANACEA study.")</f>
        <v>Weight change later in life and colon and rectal cancer risk in participants in the EPIC-PANACEA study.</v>
      </c>
      <c r="AM846" s="31" t="str">
        <f>IFERROR(__xludf.DUMMYFUNCTION("""COMPUTED_VALUE"""),"Steins Bisschop, Charlotte N; van Gils, Carla H; Emaus, Marleen J; Bueno-de-Mesquita, H Bas; Monninkhof, Evelyn M; Boeing, Heiner; Aleksandrova, Krasmira; Jenab, Mazda; Norat, Teresa; Riboli, Elio; Boutron-Rualt, Marie-Christine; Fagherazzi, Guy; Racine, "&amp;"Antoine; Palli, Domenico; Krogh, Vittorio; Tumino, Rosario; Naccarati, Alessio; Mattiello, Amalia; Argüelles, Marcial Vicente; Sanchez, Maria José; Tormo, Maria José; Ardanaz, Eva; Dorronsoro, Miren; Bonet, Catalina; Khaw, Kay-Tee; Key, Tim; Trichopoulou,"&amp;" Antonia; Orfanos, Philippos; Naska, Androniki; Kaaks, Rudolph R; Lukanova, Annekatrin; Pischon, Tobias; Ljuslinder, Ingrid; Jirström, Karin; Ohlsson, Bodil; Overvad, Kim; Landsvig Berentzen, Tina; Halkjaer, Jytte; Tjonneland, Anne; Weiderpass, Elisabete;"&amp;" Skeie, Guri; Braaten, Tonje; Siersema, Peter D; Freisling, Heinz; Ferrari, Pietro; Peeters, Petra H M; May, Anne M")</f>
        <v>Steins Bisschop, Charlotte N; van Gils, Carla H; Emaus, Marleen J; Bueno-de-Mesquita, H Bas; Monninkhof, Evelyn M; Boeing, Heiner; Aleksandrova, Krasmira; Jenab, Mazda; Norat, Teresa; Riboli, Elio; Boutron-Rualt, Marie-Christine; Fagherazzi, Guy; Racine, Antoine; Palli, Domenico; Krogh, Vittorio; Tumino, Rosario; Naccarati, Alessio; Mattiello, Amalia; Argüelles, Marcial Vicente; Sanchez, Maria José; Tormo, Maria José; Ardanaz, Eva; Dorronsoro, Miren; Bonet, Catalina; Khaw, Kay-Tee; Key, Tim; Trichopoulou, Antonia; Orfanos, Philippos; Naska, Androniki; Kaaks, Rudolph R; Lukanova, Annekatrin; Pischon, Tobias; Ljuslinder, Ingrid; Jirström, Karin; Ohlsson, Bodil; Overvad, Kim; Landsvig Berentzen, Tina; Halkjaer, Jytte; Tjonneland, Anne; Weiderpass, Elisabete; Skeie, Guri; Braaten, Tonje; Siersema, Peter D; Freisling, Heinz; Ferrari, Pietro; Peeters, Petra H M; May, Anne M</v>
      </c>
      <c r="AN846" s="32">
        <f>IFERROR(__xludf.DUMMYFUNCTION("""COMPUTED_VALUE"""),41591.0)</f>
        <v>41591</v>
      </c>
    </row>
    <row r="847">
      <c r="A847" s="32"/>
      <c r="I847" s="31" t="str">
        <f>IFERROR(__xludf.DUMMYFUNCTION("""COMPUTED_VALUE"""),"heart asia")</f>
        <v>heart asia</v>
      </c>
      <c r="J847" s="38">
        <f>COUNTIF(Data!$F$2:$F9917, $I847)</f>
        <v>2</v>
      </c>
      <c r="T847" s="31" t="s">
        <v>2429</v>
      </c>
      <c r="U847" s="31" t="s">
        <v>2430</v>
      </c>
      <c r="V847" s="32">
        <v>45096.0</v>
      </c>
      <c r="X847" s="31" t="str">
        <f>IFERROR(__xludf.DUMMYFUNCTION("""COMPUTED_VALUE"""),"Evaluating the Impact of Post-Esophagectomy Exercise on 2- and 5-Year Survival: Findings from the PERFECT Trial.")</f>
        <v>Evaluating the Impact of Post-Esophagectomy Exercise on 2- and 5-Year Survival: Findings from the PERFECT Trial.</v>
      </c>
      <c r="Y847" s="31" t="str">
        <f>IFERROR(__xludf.DUMMYFUNCTION("""COMPUTED_VALUE"""),"Binyam, David; van Vulpen, J K; van Hillegersberg, R; Ruurda, J P; Nieuwenhuijzen, G A P; Kouwenhoven, E A; van der Wall, E; Groenendijk, R P R; van der Peet, D L; Rosman, C; Wijnhoven, B P L; van Berge Henegouwen, M I; van Laarhoven, H W M; Siersema, P D"&amp;"; May, Anne M; Hiensch, A E")</f>
        <v>Binyam, David; van Vulpen, J K; van Hillegersberg, R; Ruurda, J P; Nieuwenhuijzen, G A P; Kouwenhoven, E A; van der Wall, E; Groenendijk, R P R; van der Peet, D L; Rosman, C; Wijnhoven, B P L; van Berge Henegouwen, M I; van Laarhoven, H W M; Siersema, P D; May, Anne M; Hiensch, A E</v>
      </c>
      <c r="Z847" s="31">
        <f>IFERROR(__xludf.DUMMYFUNCTION("""COMPUTED_VALUE"""),2024.0)</f>
        <v>2024</v>
      </c>
      <c r="AA847" s="31">
        <f>IFERROR(__xludf.DUMMYFUNCTION("""COMPUTED_VALUE"""),0.0)</f>
        <v>0</v>
      </c>
      <c r="AF847" s="31" t="str">
        <f>IFERROR(__xludf.DUMMYFUNCTION("""COMPUTED_VALUE"""),"Identification of the transporter responsible for sucrose accumulation in sugar beet taproots.")</f>
        <v>Identification of the transporter responsible for sucrose accumulation in sugar beet taproots.</v>
      </c>
      <c r="AG847" s="31" t="str">
        <f>IFERROR(__xludf.DUMMYFUNCTION("""COMPUTED_VALUE"""),"Jung, Benjamin; Ludewig, Frank; Schulz, Alexander; Meißner, Garvin; Wöstefeld, Nicole; Flügge, Ulf-Ingo; Pommerrenig, Benjamin; Wirsching, Petra; Sauer, Norbert; Koch, Wolfgang; Sommer, Frederik; Mühlhaus, Timo; Schroda, Michael; Cuin, Tracey Ann; Graus, "&amp;"Dorothea; Marten, Irene; Hedrich, Rainer; Neuhaus, H Ekkehard")</f>
        <v>Jung, Benjamin; Ludewig, Frank; Schulz, Alexander; Meißner, Garvin; Wöstefeld, Nicole; Flügge, Ulf-Ingo; Pommerrenig, Benjamin; Wirsching, Petra; Sauer, Norbert; Koch, Wolfgang; Sommer, Frederik; Mühlhaus, Timo; Schroda, Michael; Cuin, Tracey Ann; Graus, Dorothea; Marten, Irene; Hedrich, Rainer; Neuhaus, H Ekkehard</v>
      </c>
      <c r="AH847" s="32">
        <f>IFERROR(__xludf.DUMMYFUNCTION("""COMPUTED_VALUE"""),42012.0)</f>
        <v>42012</v>
      </c>
      <c r="AL847" s="31" t="str">
        <f>IFERROR(__xludf.DUMMYFUNCTION("""COMPUTED_VALUE"""),"Observed mortality reduction in patients hospitalized with community-acquired pneumonia may well be confounded by disease severity.")</f>
        <v>Observed mortality reduction in patients hospitalized with community-acquired pneumonia may well be confounded by disease severity.</v>
      </c>
      <c r="AM847" s="31" t="str">
        <f>IFERROR(__xludf.DUMMYFUNCTION("""COMPUTED_VALUE"""),"van Werkhoven, C H; Postma, D F; Oosterheert, J J; Bonten, M J M")</f>
        <v>van Werkhoven, C H; Postma, D F; Oosterheert, J J; Bonten, M J M</v>
      </c>
      <c r="AN847" s="32">
        <f>IFERROR(__xludf.DUMMYFUNCTION("""COMPUTED_VALUE"""),41579.0)</f>
        <v>41579</v>
      </c>
    </row>
    <row r="848">
      <c r="A848" s="32"/>
      <c r="I848" s="31" t="str">
        <f>IFERROR(__xludf.DUMMYFUNCTION("""COMPUTED_VALUE"""),"the american journal of tropical medicine and hygiene")</f>
        <v>the american journal of tropical medicine and hygiene</v>
      </c>
      <c r="J848" s="38">
        <f>COUNTIF(Data!$F$2:$F9917, $I848)</f>
        <v>1</v>
      </c>
      <c r="T848" s="31" t="s">
        <v>2433</v>
      </c>
      <c r="U848" s="31" t="s">
        <v>2434</v>
      </c>
      <c r="V848" s="32">
        <v>45096.0</v>
      </c>
      <c r="X848" s="31" t="str">
        <f>IFERROR(__xludf.DUMMYFUNCTION("""COMPUTED_VALUE"""),"Eight-year follow-up of patient-reported outcomes in patients with breast cancer participating in exercise studies during chemotherapy.")</f>
        <v>Eight-year follow-up of patient-reported outcomes in patients with breast cancer participating in exercise studies during chemotherapy.</v>
      </c>
      <c r="Y848" s="31" t="str">
        <f>IFERROR(__xludf.DUMMYFUNCTION("""COMPUTED_VALUE"""),"Binyam, David; Naaktgeboren, Willeke R; Groen, Wim G; Aaronson, Neil K; Hiensch, Anouk E; van Harten, Wim H; Stuiver, Martijn M; May, Anne M")</f>
        <v>Binyam, David; Naaktgeboren, Willeke R; Groen, Wim G; Aaronson, Neil K; Hiensch, Anouk E; van Harten, Wim H; Stuiver, Martijn M; May, Anne M</v>
      </c>
      <c r="Z848" s="31">
        <f>IFERROR(__xludf.DUMMYFUNCTION("""COMPUTED_VALUE"""),2024.0)</f>
        <v>2024</v>
      </c>
      <c r="AA848" s="31">
        <f>IFERROR(__xludf.DUMMYFUNCTION("""COMPUTED_VALUE"""),0.0)</f>
        <v>0</v>
      </c>
      <c r="AF848" s="31" t="str">
        <f>IFERROR(__xludf.DUMMYFUNCTION("""COMPUTED_VALUE"""),"Dynamics of smoking-induced genome-wide methylation changes with time since smoking cessation.")</f>
        <v>Dynamics of smoking-induced genome-wide methylation changes with time since smoking cessation.</v>
      </c>
      <c r="AG848" s="31" t="str">
        <f>IFERROR(__xludf.DUMMYFUNCTION("""COMPUTED_VALUE"""),"Guida, Florence; Sandanger, Torkjel M; Castagné, Raphaële; Campanella, Gianluca; Polidoro, Silvia; Palli, Domenico; Krogh, Vittorio; Tumino, Rosario; Sacerdote, Carlotta; Panico, Salvatore; Severi, Gianluca; Kyrtopoulos, Soterios A; Georgiadis, Panagiotis"&amp;"; Vermeulen, Roel C H; Lund, Eiliv; Vineis, Paolo; Chadeau-Hyam, Marc")</f>
        <v>Guida, Florence; Sandanger, Torkjel M; Castagné, Raphaële; Campanella, Gianluca; Polidoro, Silvia; Palli, Domenico; Krogh, Vittorio; Tumino, Rosario; Sacerdote, Carlotta; Panico, Salvatore; Severi, Gianluca; Kyrtopoulos, Soterios A; Georgiadis, Panagiotis; Vermeulen, Roel C H; Lund, Eiliv; Vineis, Paolo; Chadeau-Hyam, Marc</v>
      </c>
      <c r="AH848" s="32">
        <f>IFERROR(__xludf.DUMMYFUNCTION("""COMPUTED_VALUE"""),42006.0)</f>
        <v>42006</v>
      </c>
      <c r="AL848" s="31" t="str">
        <f>IFERROR(__xludf.DUMMYFUNCTION("""COMPUTED_VALUE"""),"Interventions to reduce colonisation and transmission of antimicrobial-resistant bacteria in intensive care units: an interrupted time series study and cluster randomised trial.")</f>
        <v>Interventions to reduce colonisation and transmission of antimicrobial-resistant bacteria in intensive care units: an interrupted time series study and cluster randomised trial.</v>
      </c>
      <c r="AM848" s="31" t="str">
        <f>IFERROR(__xludf.DUMMYFUNCTION("""COMPUTED_VALUE"""),"Derde, Lennie P G; Cooper, Ben S; Goossens, Herman; Malhotra-Kumar, Surbhi; Willems, Rob J L; Gniadkowski, Marek; Hryniewicz, Waleria; Empel, Joanna; Dautzenberg, Mirjam J D; Annane, Djillali; Aragão, Irene; Chalfine, Annie; Dumpis, Uga; Esteves, Francisc"&amp;"o; Giamarellou, Helen; Muzlovic, Igor; Nardi, Giuseppe; Petrikkos, George L; Tomic, Viktorija; Martí, Antonio Torres; Stammet, Pascal; Brun-Buisson, Christian; Bonten, Marc J M; ,")</f>
        <v>Derde, Lennie P G; Cooper, Ben S; Goossens, Herman; Malhotra-Kumar, Surbhi; Willems, Rob J L; Gniadkowski, Marek; Hryniewicz, Waleria; Empel, Joanna; Dautzenberg, Mirjam J D; Annane, Djillali; Aragão, Irene; Chalfine, Annie; Dumpis, Uga; Esteves, Francisco; Giamarellou, Helen; Muzlovic, Igor; Nardi, Giuseppe; Petrikkos, George L; Tomic, Viktorija; Martí, Antonio Torres; Stammet, Pascal; Brun-Buisson, Christian; Bonten, Marc J M; ,</v>
      </c>
      <c r="AN848" s="32">
        <f>IFERROR(__xludf.DUMMYFUNCTION("""COMPUTED_VALUE"""),41570.0)</f>
        <v>41570</v>
      </c>
    </row>
    <row r="849">
      <c r="A849" s="32"/>
      <c r="I849" s="31" t="str">
        <f>IFERROR(__xludf.DUMMYFUNCTION("""COMPUTED_VALUE"""),"aids research and human retroviruses")</f>
        <v>aids research and human retroviruses</v>
      </c>
      <c r="J849" s="38">
        <f>COUNTIF(Data!$F$2:$F9917, $I849)</f>
        <v>1</v>
      </c>
      <c r="T849" s="31" t="s">
        <v>2438</v>
      </c>
      <c r="U849" s="31" t="s">
        <v>2439</v>
      </c>
      <c r="V849" s="32">
        <v>45094.0</v>
      </c>
      <c r="X849" s="31" t="str">
        <f>IFERROR(__xludf.DUMMYFUNCTION("""COMPUTED_VALUE"""),"First-Line Systemic Treatment for Initially Unresectable Colorectal Liver Metastases: Post Hoc Analysis of the CAIRO5 Randomized Clinical Trial.")</f>
        <v>First-Line Systemic Treatment for Initially Unresectable Colorectal Liver Metastases: Post Hoc Analysis of the CAIRO5 Randomized Clinical Trial.</v>
      </c>
      <c r="Y849" s="31" t="str">
        <f>IFERROR(__xludf.DUMMYFUNCTION("""COMPUTED_VALUE"""),"Bond, Marinde J G; Bolhuis, Karen; Loosveld, Olaf J L; de Groot, Jan Willem B; Droogendijk, Helga; Helgason, Helgi H; Hendriks, Mathijs P; Klaase, Joost M; Kazemier, Geert; Liem, Mike S L; Rijken, Arjen M; Verhoef, Cornelis; de Wilt, Johannes H W; de Jong"&amp;", Koert P; Gerhards, Michael F; van Amerongen, Martinus J; Engelbrecht, Marc R W; van Lienden, Krijn P; Hermans, John J; Molenaar, I Quintus; Grünhagen, Dirk J; de Valk, Bart; Haberkorn, Brigitte C M; Kerver, Emile D; Erdkamp, Frans; van Alphen, Robbert J"&amp;"; Mathijssen-van Stein, Daniëlle; Komurcu, Aysun; May, Anne M; Swijnenburg, Rutger-Jan; Punt, Cornelis J A; ,")</f>
        <v>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Hermans, John J; Molenaar, I Quintus; Grünhagen, Dirk J; de Valk, Bart; Haberkorn, Brigitte C M; Kerver, Emile D; Erdkamp, Frans; van Alphen, Robbert J; Mathijssen-van Stein, Daniëlle; Komurcu, Aysun; May, Anne M; Swijnenburg, Rutger-Jan; Punt, Cornelis J A; ,</v>
      </c>
      <c r="Z849" s="31">
        <f>IFERROR(__xludf.DUMMYFUNCTION("""COMPUTED_VALUE"""),2024.0)</f>
        <v>2024</v>
      </c>
      <c r="AA849" s="31">
        <f>IFERROR(__xludf.DUMMYFUNCTION("""COMPUTED_VALUE"""),0.0)</f>
        <v>0</v>
      </c>
      <c r="AF849" s="31" t="str">
        <f>IFERROR(__xludf.DUMMYFUNCTION("""COMPUTED_VALUE"""),"Societal impacts of regenerative medicine: reflections on the views of orthopedic professionals.")</f>
        <v>Societal impacts of regenerative medicine: reflections on the views of orthopedic professionals.</v>
      </c>
      <c r="AG849" s="31" t="str">
        <f>IFERROR(__xludf.DUMMYFUNCTION("""COMPUTED_VALUE"""),"Niemansburg, Sophie L; Tempels, Tjidde H; Dhert, Wouter J A; van Delden, Johannes J M; Bredenoord, Annelien L")</f>
        <v>Niemansburg, Sophie L; Tempels, Tjidde H; Dhert, Wouter J A; van Delden, Johannes J M; Bredenoord, Annelien L</v>
      </c>
      <c r="AH849" s="32">
        <f>IFERROR(__xludf.DUMMYFUNCTION("""COMPUTED_VALUE"""),42005.0)</f>
        <v>42005</v>
      </c>
      <c r="AL849" s="31" t="str">
        <f>IFERROR(__xludf.DUMMYFUNCTION("""COMPUTED_VALUE"""),"Human dose response relation for airborne exposure to Coxiella burnetii.")</f>
        <v>Human dose response relation for airborne exposure to Coxiella burnetii.</v>
      </c>
      <c r="AM849" s="31" t="str">
        <f>IFERROR(__xludf.DUMMYFUNCTION("""COMPUTED_VALUE"""),"Brooke, Russell John; Kretzschmar, Mirjam E E; Mutters, Nico T; Teunis, Peter F")</f>
        <v>Brooke, Russell John; Kretzschmar, Mirjam E E; Mutters, Nico T; Teunis, Peter F</v>
      </c>
      <c r="AN849" s="32">
        <f>IFERROR(__xludf.DUMMYFUNCTION("""COMPUTED_VALUE"""),41568.0)</f>
        <v>41568</v>
      </c>
    </row>
    <row r="850">
      <c r="A850" s="32"/>
      <c r="I850" s="31" t="str">
        <f>IFERROR(__xludf.DUMMYFUNCTION("""COMPUTED_VALUE"""),"cell reports")</f>
        <v>cell reports</v>
      </c>
      <c r="J850" s="38">
        <f>COUNTIF(Data!$F$2:$F9917, $I850)</f>
        <v>1</v>
      </c>
      <c r="T850" s="31" t="s">
        <v>2442</v>
      </c>
      <c r="U850" s="31" t="s">
        <v>2443</v>
      </c>
      <c r="V850" s="32">
        <v>45093.0</v>
      </c>
      <c r="X850" s="31" t="str">
        <f>IFERROR(__xludf.DUMMYFUNCTION("""COMPUTED_VALUE"""),"Predicting Benefit From FOLFOXIRI Plus Bevacizumab in Patients With Metastatic Colorectal Cancer.")</f>
        <v>Predicting Benefit From FOLFOXIRI Plus Bevacizumab in Patients With Metastatic Colorectal Cancer.</v>
      </c>
      <c r="Y850" s="31"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Z850" s="31">
        <f>IFERROR(__xludf.DUMMYFUNCTION("""COMPUTED_VALUE"""),2024.0)</f>
        <v>2024</v>
      </c>
      <c r="AA850" s="31">
        <f>IFERROR(__xludf.DUMMYFUNCTION("""COMPUTED_VALUE"""),0.0)</f>
        <v>0</v>
      </c>
      <c r="AF850" s="31" t="str">
        <f>IFERROR(__xludf.DUMMYFUNCTION("""COMPUTED_VALUE"""),"[Physician and autonomy: on time perception and job satisfaction].")</f>
        <v>[Physician and autonomy: on time perception and job satisfaction].</v>
      </c>
      <c r="AG850" s="31" t="str">
        <f>IFERROR(__xludf.DUMMYFUNCTION("""COMPUTED_VALUE"""),"Huisman, Frank G")</f>
        <v>Huisman, Frank G</v>
      </c>
      <c r="AH850" s="32">
        <f>IFERROR(__xludf.DUMMYFUNCTION("""COMPUTED_VALUE"""),42005.0)</f>
        <v>42005</v>
      </c>
      <c r="AL850" s="31" t="str">
        <f>IFERROR(__xludf.DUMMYFUNCTION("""COMPUTED_VALUE"""),"Prediction of hemoglobin levels in whole blood donors: how to model donation history.")</f>
        <v>Prediction of hemoglobin levels in whole blood donors: how to model donation history.</v>
      </c>
      <c r="AM850" s="31" t="str">
        <f>IFERROR(__xludf.DUMMYFUNCTION("""COMPUTED_VALUE"""),"Baart, A Mireille; Vergouwe, Yvonne; Atsma, Femke; Moons, Karel G M; de Kort, Wim L A M")</f>
        <v>Baart, A Mireille; Vergouwe, Yvonne; Atsma, Femke; Moons, Karel G M; de Kort, Wim L A M</v>
      </c>
      <c r="AN850" s="32">
        <f>IFERROR(__xludf.DUMMYFUNCTION("""COMPUTED_VALUE"""),41547.0)</f>
        <v>41547</v>
      </c>
    </row>
    <row r="851">
      <c r="A851" s="32"/>
      <c r="I851" s="31" t="str">
        <f>IFERROR(__xludf.DUMMYFUNCTION("""COMPUTED_VALUE"""),"education for primary care an official publication of the association of course organisers national association of gp tutors world organisation of family doctors")</f>
        <v>education for primary care an official publication of the association of course organisers national association of gp tutors world organisation of family doctors</v>
      </c>
      <c r="J851" s="38">
        <f>COUNTIF(Data!$F$2:$F9917, $I851)</f>
        <v>2</v>
      </c>
      <c r="T851" s="31" t="s">
        <v>2447</v>
      </c>
      <c r="U851" s="31" t="s">
        <v>2448</v>
      </c>
      <c r="V851" s="32">
        <v>45093.0</v>
      </c>
      <c r="X851" s="31" t="str">
        <f>IFERROR(__xludf.DUMMYFUNCTION("""COMPUTED_VALUE"""),"Acute kidney injury in Staphylococcus aureus bacteraemia: a recurrent events analysis.")</f>
        <v>Acute kidney injury in Staphylococcus aureus bacteraemia: a recurrent events analysis.</v>
      </c>
      <c r="Y851" s="31" t="str">
        <f>IFERROR(__xludf.DUMMYFUNCTION("""COMPUTED_VALUE"""),"Buis, David T P; van der Vaart, Thomas W; Mohan, Asna; Prins, Jan M; van der Meer, Jan T M; Bonten, Marc J M; Jakulj, Lily; van Werkhoven, Cornelis H; Sigaloff, Kim C E")</f>
        <v>Buis, David T P; van der Vaart, Thomas W; Mohan, Asna; Prins, Jan M; van der Meer, Jan T M; Bonten, Marc J M; Jakulj, Lily; van Werkhoven, Cornelis H; Sigaloff, Kim C E</v>
      </c>
      <c r="Z851" s="31">
        <f>IFERROR(__xludf.DUMMYFUNCTION("""COMPUTED_VALUE"""),2024.0)</f>
        <v>2024</v>
      </c>
      <c r="AA851" s="31">
        <f>IFERROR(__xludf.DUMMYFUNCTION("""COMPUTED_VALUE"""),0.0)</f>
        <v>0</v>
      </c>
      <c r="AF851" s="31" t="str">
        <f>IFERROR(__xludf.DUMMYFUNCTION("""COMPUTED_VALUE"""),"[Disciplinary verdicts in cases of child abuse; lessons for paediatricians].")</f>
        <v>[Disciplinary verdicts in cases of child abuse; lessons for paediatricians].</v>
      </c>
      <c r="AG851" s="31" t="str">
        <f>IFERROR(__xludf.DUMMYFUNCTION("""COMPUTED_VALUE"""),"Berkers, Gitte; Biesaart, Monique C I H; Leeuwenburgh-Pronk, Wendela G")</f>
        <v>Berkers, Gitte; Biesaart, Monique C I H; Leeuwenburgh-Pronk, Wendela G</v>
      </c>
      <c r="AH851" s="32">
        <f>IFERROR(__xludf.DUMMYFUNCTION("""COMPUTED_VALUE"""),42005.0)</f>
        <v>42005</v>
      </c>
      <c r="AL851" s="31" t="str">
        <f>IFERROR(__xludf.DUMMYFUNCTION("""COMPUTED_VALUE"""),"The impact of the HEART risk score in the early assessment of patients with acute chest pain: design of a stepped wedge, cluster randomised trial.")</f>
        <v>The impact of the HEART risk score in the early assessment of patients with acute chest pain: design of a stepped wedge, cluster randomised trial.</v>
      </c>
      <c r="AM851" s="31" t="str">
        <f>IFERROR(__xludf.DUMMYFUNCTION("""COMPUTED_VALUE"""),"Poldervaart, Judith M; Reitsma, Johannes B; Koffijberg, Hendrik; Backus, Barbra E; Six, A Jacob; Doevendans, Pieter A; Hoes, Arno W")</f>
        <v>Poldervaart, Judith M; Reitsma, Johannes B; Koffijberg, Hendrik; Backus, Barbra E; Six, A Jacob; Doevendans, Pieter A; Hoes, Arno W</v>
      </c>
      <c r="AN851" s="32">
        <f>IFERROR(__xludf.DUMMYFUNCTION("""COMPUTED_VALUE"""),41543.0)</f>
        <v>41543</v>
      </c>
    </row>
    <row r="852">
      <c r="A852" s="32"/>
      <c r="I852" s="31" t="str">
        <f>IFERROR(__xludf.DUMMYFUNCTION("""COMPUTED_VALUE"""),"expert review of molecular diagnostics")</f>
        <v>expert review of molecular diagnostics</v>
      </c>
      <c r="J852" s="38">
        <f>COUNTIF(Data!$F$2:$F9917, $I852)</f>
        <v>2</v>
      </c>
      <c r="T852" s="31" t="s">
        <v>2452</v>
      </c>
      <c r="U852" s="31" t="s">
        <v>2453</v>
      </c>
      <c r="V852" s="32">
        <v>45092.0</v>
      </c>
      <c r="X852" s="31" t="str">
        <f>IFERROR(__xludf.DUMMYFUNCTION("""COMPUTED_VALUE"""),"Glycan-specific IgM is critical for human immunity to Staphylococcus aureus.")</f>
        <v>Glycan-specific IgM is critical for human immunity to Staphylococcus aureus.</v>
      </c>
      <c r="Y852" s="31" t="str">
        <f>IFERROR(__xludf.DUMMYFUNCTION("""COMPUTED_VALUE"""),"Hendriks, Astrid; Kerkman, Priscilla F; Varkila, Meri R J; Haitsma Mulier, Jelle L G; Ali, Sara; Ten Doesschate, Thijs; van der Vaart, Thomas W; de Haas, Carla J C; Aerts, Piet C; Cremer, Olaf L; Bonten, Marc J M; Nizet, Victor; Liu, George Y; Codée, Jero"&amp;"en D C; Rooijakkers, Suzan H M; van Strijp, Jos A G; van Sorge, Nina M")</f>
        <v>Hendriks, Astrid; Kerkman, Priscilla F; Varkila, Meri R J; Haitsma Mulier, Jelle L G; Ali, Sara; Ten Doesschate, Thijs; van der Vaart, Thomas W; de Haas, Carla J C; Aerts, Piet C; Cremer, Olaf L; Bonten, Marc J M; Nizet, Victor; Liu, George Y; Codée, Jeroen D C; Rooijakkers, Suzan H M; van Strijp, Jos A G; van Sorge, Nina M</v>
      </c>
      <c r="Z852" s="31">
        <f>IFERROR(__xludf.DUMMYFUNCTION("""COMPUTED_VALUE"""),2024.0)</f>
        <v>2024</v>
      </c>
      <c r="AA852" s="31">
        <f>IFERROR(__xludf.DUMMYFUNCTION("""COMPUTED_VALUE"""),0.0)</f>
        <v>0</v>
      </c>
      <c r="AF852" s="31" t="str">
        <f>IFERROR(__xludf.DUMMYFUNCTION("""COMPUTED_VALUE"""),"Dietary intake of carotenoids and risk of type 2 diabetes.")</f>
        <v>Dietary intake of carotenoids and risk of type 2 diabetes.</v>
      </c>
      <c r="AG852" s="31" t="str">
        <f>IFERROR(__xludf.DUMMYFUNCTION("""COMPUTED_VALUE"""),"Sluijs, I; Cadier, E; Beulens, J W J; van der A, D L; Spijkerman, A M W; van der Schouw, Y T")</f>
        <v>Sluijs, I; Cadier, E; Beulens, J W J; van der A, D L; Spijkerman, A M W; van der Schouw, Y T</v>
      </c>
      <c r="AH852" s="32">
        <f>IFERROR(__xludf.DUMMYFUNCTION("""COMPUTED_VALUE"""),42004.0)</f>
        <v>42004</v>
      </c>
      <c r="AL852" s="31" t="str">
        <f>IFERROR(__xludf.DUMMYFUNCTION("""COMPUTED_VALUE"""),"Cost-effectiveness of surgical decompression for space-occupying hemispheric infarction.")</f>
        <v>Cost-effectiveness of surgical decompression for space-occupying hemispheric infarction.</v>
      </c>
      <c r="AM852" s="31" t="str">
        <f>IFERROR(__xludf.DUMMYFUNCTION("""COMPUTED_VALUE"""),"Hofmeijer, Jeannette; van der Worp, H Bart; Kappelle, L Jaap; Eshuis, Sara; Algra, Ale; Greving, Jacoba P; ,")</f>
        <v>Hofmeijer, Jeannette; van der Worp, H Bart; Kappelle, L Jaap; Eshuis, Sara; Algra, Ale; Greving, Jacoba P; ,</v>
      </c>
      <c r="AN852" s="32">
        <f>IFERROR(__xludf.DUMMYFUNCTION("""COMPUTED_VALUE"""),41499.0)</f>
        <v>41499</v>
      </c>
    </row>
    <row r="853">
      <c r="A853" s="32"/>
      <c r="I853" s="31" t="str">
        <f>IFERROR(__xludf.DUMMYFUNCTION("""COMPUTED_VALUE"""),"jama cardiology")</f>
        <v>jama cardiology</v>
      </c>
      <c r="J853" s="38">
        <f>COUNTIF(Data!$F$2:$F9917, $I853)</f>
        <v>2</v>
      </c>
      <c r="T853" s="31" t="s">
        <v>2456</v>
      </c>
      <c r="U853" s="31" t="s">
        <v>2457</v>
      </c>
      <c r="V853" s="32">
        <v>45091.0</v>
      </c>
      <c r="X853" s="31" t="str">
        <f>IFERROR(__xludf.DUMMYFUNCTION("""COMPUTED_VALUE"""),"Assessing accuracy of ChatGPT in response to questions from day to day pharmaceutical care in hospitals.")</f>
        <v>Assessing accuracy of ChatGPT in response to questions from day to day pharmaceutical care in hospitals.</v>
      </c>
      <c r="Y853" s="31" t="str">
        <f>IFERROR(__xludf.DUMMYFUNCTION("""COMPUTED_VALUE"""),"van Nuland, Merel; Lobbezoo, Anne-Fleur H; van de Garde, Ewoudt M W; Herbrink, Maikel; van Heijl, Inger; Bognàr, Tim; Houwen, Jeroen P A; Dekens, Marloes; Wannet, Demi; Egberts, Toine; van der Linden, Paul D")</f>
        <v>van Nuland, Merel; Lobbezoo, Anne-Fleur H; van de Garde, Ewoudt M W; Herbrink, Maikel; van Heijl, Inger; Bognàr, Tim; Houwen, Jeroen P A; Dekens, Marloes; Wannet, Demi; Egberts, Toine; van der Linden, Paul D</v>
      </c>
      <c r="Z853" s="31">
        <f>IFERROR(__xludf.DUMMYFUNCTION("""COMPUTED_VALUE"""),2024.0)</f>
        <v>2024</v>
      </c>
      <c r="AA853" s="31">
        <f>IFERROR(__xludf.DUMMYFUNCTION("""COMPUTED_VALUE"""),0.0)</f>
        <v>0</v>
      </c>
      <c r="AF853" s="31" t="str">
        <f>IFERROR(__xludf.DUMMYFUNCTION("""COMPUTED_VALUE"""),"Consent procedures in pediatric biobanks.")</f>
        <v>Consent procedures in pediatric biobanks.</v>
      </c>
      <c r="AG853" s="31" t="str">
        <f>IFERROR(__xludf.DUMMYFUNCTION("""COMPUTED_VALUE"""),"Giesbertz, Noor Aa; Bredenoord, Annelien L; van Delden, Johannes Jm")</f>
        <v>Giesbertz, Noor Aa; Bredenoord, Annelien L; van Delden, Johannes Jm</v>
      </c>
      <c r="AH853" s="32">
        <f>IFERROR(__xludf.DUMMYFUNCTION("""COMPUTED_VALUE"""),41997.0)</f>
        <v>41997</v>
      </c>
      <c r="AL853" s="31" t="str">
        <f>IFERROR(__xludf.DUMMYFUNCTION("""COMPUTED_VALUE"""),"Factor Xa inhibitors: a step forward in the treatment of atrial fibrillation?")</f>
        <v>Factor Xa inhibitors: a step forward in the treatment of atrial fibrillation?</v>
      </c>
      <c r="AM853" s="31" t="str">
        <f>IFERROR(__xludf.DUMMYFUNCTION("""COMPUTED_VALUE"""),"Algra, Ale")</f>
        <v>Algra, Ale</v>
      </c>
      <c r="AN853" s="32">
        <f>IFERROR(__xludf.DUMMYFUNCTION("""COMPUTED_VALUE"""),41494.0)</f>
        <v>41494</v>
      </c>
    </row>
    <row r="854">
      <c r="A854" s="32"/>
      <c r="I854" s="31" t="str">
        <f>IFERROR(__xludf.DUMMYFUNCTION("""COMPUTED_VALUE"""),"the european physical journal c particles and fields")</f>
        <v>the european physical journal c particles and fields</v>
      </c>
      <c r="J854" s="38">
        <f>COUNTIF(Data!$F$2:$F9917, $I854)</f>
        <v>150</v>
      </c>
      <c r="T854" s="31" t="s">
        <v>2461</v>
      </c>
      <c r="U854" s="31" t="s">
        <v>2462</v>
      </c>
      <c r="V854" s="32">
        <v>45090.0</v>
      </c>
      <c r="X854" s="31" t="str">
        <f>IFERROR(__xludf.DUMMYFUNCTION("""COMPUTED_VALUE"""),"Search for the Exclusive W Boson Hadronic Decays W^{±}→π^{±}γ, W^{±}→K^{±}γ and W^{±}→ρ^{±}γ with the ATLAS Detector.")</f>
        <v>Search for the Exclusive W Boson Hadronic Decays W^{±}→π^{±}γ, W^{±}→K^{±}γ and W^{±}→ρ^{±}γ with the ATLAS Detector.</v>
      </c>
      <c r="Y854" s="31"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854" s="31">
        <f>IFERROR(__xludf.DUMMYFUNCTION("""COMPUTED_VALUE"""),2024.0)</f>
        <v>2024</v>
      </c>
      <c r="AA854" s="31">
        <f>IFERROR(__xludf.DUMMYFUNCTION("""COMPUTED_VALUE"""),0.0)</f>
        <v>0</v>
      </c>
      <c r="AF854" s="31" t="str">
        <f>IFERROR(__xludf.DUMMYFUNCTION("""COMPUTED_VALUE"""),"Age at menopause in women with type 1 diabetes mellitus: the OVADIA study.")</f>
        <v>Age at menopause in women with type 1 diabetes mellitus: the OVADIA study.</v>
      </c>
      <c r="AG854" s="31" t="str">
        <f>IFERROR(__xludf.DUMMYFUNCTION("""COMPUTED_VALUE"""),"Yarde, F; van der Schouw, Y T; de Valk, H W; Franx, A; Eijkemans, M J C; Spiering, W; Broekmans, F J M; ,")</f>
        <v>Yarde, F; van der Schouw, Y T; de Valk, H W; Franx, A; Eijkemans, M J C; Spiering, W; Broekmans, F J M; ,</v>
      </c>
      <c r="AH854" s="32">
        <f>IFERROR(__xludf.DUMMYFUNCTION("""COMPUTED_VALUE"""),41974.0)</f>
        <v>41974</v>
      </c>
      <c r="AL854" s="31" t="str">
        <f>IFERROR(__xludf.DUMMYFUNCTION("""COMPUTED_VALUE"""),"External validation of the secondary intracerebral hemorrhage score in The Netherlands.")</f>
        <v>External validation of the secondary intracerebral hemorrhage score in The Netherlands.</v>
      </c>
      <c r="AM854" s="31" t="str">
        <f>IFERROR(__xludf.DUMMYFUNCTION("""COMPUTED_VALUE"""),"van Asch, Charlotte J J; Velthuis, Birgitta K; Greving, Jacoba P; van Laar, Peter Jan; Rinkel, Gabriël J E; Algra, Ale; Klijn, Catharina J M")</f>
        <v>van Asch, Charlotte J J; Velthuis, Birgitta K; Greving, Jacoba P; van Laar, Peter Jan; Rinkel, Gabriël J E; Algra, Ale; Klijn, Catharina J M</v>
      </c>
      <c r="AN854" s="32">
        <f>IFERROR(__xludf.DUMMYFUNCTION("""COMPUTED_VALUE"""),41492.0)</f>
        <v>41492</v>
      </c>
    </row>
    <row r="855">
      <c r="A855" s="32"/>
      <c r="I855" s="31" t="str">
        <f>IFERROR(__xludf.DUMMYFUNCTION("""COMPUTED_VALUE"""),"molecular psychiatry")</f>
        <v>molecular psychiatry</v>
      </c>
      <c r="J855" s="38">
        <f>COUNTIF(Data!$F$2:$F9917, $I855)</f>
        <v>1</v>
      </c>
      <c r="T855" s="31" t="s">
        <v>2465</v>
      </c>
      <c r="U855" s="31" t="s">
        <v>2466</v>
      </c>
      <c r="V855" s="32">
        <v>45090.0</v>
      </c>
      <c r="X855" s="31" t="str">
        <f>IFERROR(__xludf.DUMMYFUNCTION("""COMPUTED_VALUE"""),"Search for Light Long-Lived Particles in pp Collisions at sqrt[s]=13  TeV Using Displaced Vertices in the ATLAS Inner Detector.")</f>
        <v>Search for Light Long-Lived Particles in pp Collisions at sqrt[s]=13  TeV Using Displaced Vertices in the ATLAS Inner Detector.</v>
      </c>
      <c r="Y855" s="31"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 A; Ahmadov, F; Ahmed, W S; Ahuja, S; Ai, X; Aielli, G; Aikot, A; Ait Tamlihat, M; Aitbenchikh, B; Akbiyik, M; Åkesson, T P A; Akimov, A V; Akiyama,"&amp;" D; Akolkar, N N; Aktas, S; Al Khoury, K; Alberghi, G L; Albert, J; Albicocco, P; Albouy, G L; Alderweireldt, S; Alegria, Z L; Aleksa, M; Aleksandrov, I N; Alexa, C; Alexopoulos, T; Alfonsi, F; Algren, M; Alhroob, M; Ali, B; Ali, H M J; Ali, S; Alibocus, "&amp;"S W; Aliev, M; Alimonti, G; Alkakhi, W; Allaire, C; Allbrooke, B M M; Allen, J F; Allendes Flores, C A; Allport, P P; Aloisio, A; Alonso, F; Alpigiani, C; Alsolami, Z M K; Alvarez Estevez, M; Alvarez Fernandez, A; Alves Cardoso, M; Alv")</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v>
      </c>
      <c r="Z855" s="31">
        <f>IFERROR(__xludf.DUMMYFUNCTION("""COMPUTED_VALUE"""),2024.0)</f>
        <v>2024</v>
      </c>
      <c r="AA855" s="31">
        <f>IFERROR(__xludf.DUMMYFUNCTION("""COMPUTED_VALUE"""),0.0)</f>
        <v>0</v>
      </c>
      <c r="AF855" s="31" t="str">
        <f>IFERROR(__xludf.DUMMYFUNCTION("""COMPUTED_VALUE"""),"Patient representatives' contributions to the benefit-risk assessment tasks of the European Medicines Agency scientific committees.")</f>
        <v>Patient representatives' contributions to the benefit-risk assessment tasks of the European Medicines Agency scientific committees.</v>
      </c>
      <c r="AG855" s="31" t="str">
        <f>IFERROR(__xludf.DUMMYFUNCTION("""COMPUTED_VALUE"""),"Bernabe, Rosemarie D L C; van Thiel, Ghislaine J M W; van Delden, Johannes")</f>
        <v>Bernabe, Rosemarie D L C; van Thiel, Ghislaine J M W; van Delden, Johannes</v>
      </c>
      <c r="AH855" s="32">
        <f>IFERROR(__xludf.DUMMYFUNCTION("""COMPUTED_VALUE"""),41974.0)</f>
        <v>41974</v>
      </c>
      <c r="AL855" s="31" t="str">
        <f>IFERROR(__xludf.DUMMYFUNCTION("""COMPUTED_VALUE"""),"Internal validation of risk models in clustered data: a comparison of bootstrap schemes.")</f>
        <v>Internal validation of risk models in clustered data: a comparison of bootstrap schemes.</v>
      </c>
      <c r="AM855" s="31" t="str">
        <f>IFERROR(__xludf.DUMMYFUNCTION("""COMPUTED_VALUE"""),"Bouwmeester, W; Moons, K G M; Kappen, T H; van Klei, W A; Twisk, J W R; Eijkemans, M J C; Vergouwe, Y")</f>
        <v>Bouwmeester, W; Moons, K G M; Kappen, T H; van Klei, W A; Twisk, J W R; Eijkemans, M J C; Vergouwe, Y</v>
      </c>
      <c r="AN855" s="32">
        <f>IFERROR(__xludf.DUMMYFUNCTION("""COMPUTED_VALUE"""),41403.0)</f>
        <v>41403</v>
      </c>
    </row>
    <row r="856">
      <c r="A856" s="32"/>
      <c r="I856" s="31" t="str">
        <f>IFERROR(__xludf.DUMMYFUNCTION("""COMPUTED_VALUE"""),"annals of family medicine")</f>
        <v>annals of family medicine</v>
      </c>
      <c r="J856" s="38">
        <f>COUNTIF(Data!$F$2:$F9917, $I856)</f>
        <v>4</v>
      </c>
      <c r="T856" s="31" t="s">
        <v>2469</v>
      </c>
      <c r="U856" s="31" t="s">
        <v>2470</v>
      </c>
      <c r="V856" s="32">
        <v>45090.0</v>
      </c>
      <c r="X856" s="31" t="str">
        <f>IFERROR(__xludf.DUMMYFUNCTION("""COMPUTED_VALUE"""),"Studies of the Energy Dependence of Diboson Polarization Fractions and the Radiation-Amplitude-Zero Effect in WZ Production with the ATLAS Detector.")</f>
        <v>Studies of the Energy Dependence of Diboson Polarization Fractions and the Radiation-Amplitude-Zero Effect in WZ Production with the ATLAS Detector.</v>
      </c>
      <c r="Y856" s="31" t="str">
        <f>IFERROR(__xludf.DUMMYFUNCTION("""COMPUTED_VALUE"""),"Aad, G; Aakvaag, E; Abbott, B; Abeling, K; Abicht, N J; Abidi, S H; Aboelela, M; Aboulhorma, A; Abramowicz, H; Abreu, H; Abulaiti, Y; Acharya, B S; Ackermann, A; Adam Bourdarios, C; Adamczyk, L; Addepalli, S V; Addison, M J; Adelman, J; Adiguzel, A; Adye,"&amp;" T; Affolder, A A; Afik, Y; Agaras, M N; Agarwala, J; Aggarwal, A; Agheorghiesei, C; Ahmad, A; Ahmadov, F; Ahmed, W S; Ahuja, S; Ai, X; Aielli, G; Aikot, A; Ait Tamlihat, M; Aitbenchikh, B; Aizenberg, I; Akbiyik, M; Åkesson, T P A; Akimov, A V; Akiyama, D"&amp;"; Akolkar, N N; Aktas, S; Al Khoury, K; Alberghi, G L; Albert, J; Albicocco, P; Albouy, G L; Alderweireldt, S; Alegria, Z L; Aleksa, M; Aleksandrov, I N; Alexa, C; Alexopoulos, T; Alfonsi, F; Algren, M; Alhroob, M; Ali, B; Ali, H M J; Ali, S; Alibocus, S "&amp;"W; Aliev, M; Alimonti, G; Alkakhi, W; Allaire, C; Allbrooke, B M M; Allen, J F; Allendes Flores, C A; Allport, P P; Aloisio, A; Alonso, F; Alpigiani, C; Alvarez Estevez, M; Alvarez Fernandez, A; Alves Cardoso, M; Alviggi, M G; Aly, M; ")</f>
        <v>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v>
      </c>
      <c r="Z856" s="31">
        <f>IFERROR(__xludf.DUMMYFUNCTION("""COMPUTED_VALUE"""),2024.0)</f>
        <v>2024</v>
      </c>
      <c r="AA856" s="31">
        <f>IFERROR(__xludf.DUMMYFUNCTION("""COMPUTED_VALUE"""),0.0)</f>
        <v>0</v>
      </c>
      <c r="AF856" s="31" t="str">
        <f>IFERROR(__xludf.DUMMYFUNCTION("""COMPUTED_VALUE"""),"Consumption of fatty foods and incident type 2 diabetes in populations from eight European countries.")</f>
        <v>Consumption of fatty foods and incident type 2 diabetes in populations from eight European countries.</v>
      </c>
      <c r="AG856" s="31" t="str">
        <f>IFERROR(__xludf.DUMMYFUNCTION("""COMPUTED_VALUE"""),"Buijsse, B; Boeing, H; Drogan, D; Schulze, M B; Feskens, E J; Amiano, P; Barricarte, A; Clavel-Chapelon, F; de Lauzon-Guillain, B; Fagherazzi, G; Fonseca-Nunes, A; Franks, P W; Huerta, J M; Jakobsen, M U; Kaaks, R; Key, T J; Khaw, K T; Masala, G; Moskal, "&amp;"A; Nilsson, P M; Overvad, K; Pala, V; Panico, S; Redondo, M L; Ricceri, F; Rolandsson, O; Sánchez, M-J; Sluijs, I; Spijkerman, A M; Tjonneland, A; Tumino, R; van der A, D L; van der Schouw, Y T; Langenberg, C; Sharp, S J; Forouhi, N G; Riboli, E; Wareham,"&amp;" N J; ,")</f>
        <v>Buijsse, B; Boeing, H; Drogan, D; Schulze, M B; Feskens, E J; Amiano, P; Barricarte, A; Clavel-Chapelon, F; de Lauzon-Guillain, B; Fagherazzi, G; Fonseca-Nunes, A; Franks, P W; Huerta, J M; Jakobsen, M U; Kaaks, R; Key, T J; Khaw, K T; Masala, G; Moskal, A; Nilsson, P M; Overvad, K; Pala, V; Panico, S; Redondo, M L; Ricceri, F; Rolandsson, O; Sánchez, M-J; Sluijs, I; Spijkerman, A M; Tjonneland, A; Tumino, R; van der A, D L; van der Schouw, Y T; Langenberg, C; Sharp, S J; Forouhi, N G; Riboli, E; Wareham, N J; ,</v>
      </c>
      <c r="AH856" s="32">
        <f>IFERROR(__xludf.DUMMYFUNCTION("""COMPUTED_VALUE"""),41969.0)</f>
        <v>41969</v>
      </c>
      <c r="AL856" s="31" t="str">
        <f>IFERROR(__xludf.DUMMYFUNCTION("""COMPUTED_VALUE"""),"Reply: To PMID 23333546.")</f>
        <v>Reply: To PMID 23333546.</v>
      </c>
      <c r="AM856" s="31" t="str">
        <f>IFERROR(__xludf.DUMMYFUNCTION("""COMPUTED_VALUE"""),"Schuit, Ewoud")</f>
        <v>Schuit, Ewoud</v>
      </c>
      <c r="AN856" s="32">
        <f>IFERROR(__xludf.DUMMYFUNCTION("""COMPUTED_VALUE"""),41403.0)</f>
        <v>41403</v>
      </c>
    </row>
    <row r="857">
      <c r="A857" s="32"/>
      <c r="I857" s="31" t="str">
        <f>IFERROR(__xludf.DUMMYFUNCTION("""COMPUTED_VALUE"""),"technology and health care official journal of the european society for engineering and medicine")</f>
        <v>technology and health care official journal of the european society for engineering and medicine</v>
      </c>
      <c r="J857" s="38">
        <f>COUNTIF(Data!$F$2:$F9917, $I857)</f>
        <v>1</v>
      </c>
      <c r="T857" s="31" t="s">
        <v>2473</v>
      </c>
      <c r="U857" s="31" t="s">
        <v>2474</v>
      </c>
      <c r="V857" s="32">
        <v>45090.0</v>
      </c>
      <c r="X857" s="31" t="str">
        <f>IFERROR(__xludf.DUMMYFUNCTION("""COMPUTED_VALUE"""),"Case Report: A case suffered acute cerebral infarction after removal of temporary cardiac pacing lead which led to the perforation of interventricular septum.")</f>
        <v>Case Report: A case suffered acute cerebral infarction after removal of temporary cardiac pacing lead which led to the perforation of interventricular septum.</v>
      </c>
      <c r="Y857" s="31" t="str">
        <f>IFERROR(__xludf.DUMMYFUNCTION("""COMPUTED_VALUE"""),"Zhang, Lu; Chen, Jiechu; Zhu, Kailun; Liu, Jianghai; Li, Guiyang; Chang, Dong; Li, Qiang")</f>
        <v>Zhang, Lu; Chen, Jiechu; Zhu, Kailun; Liu, Jianghai; Li, Guiyang; Chang, Dong; Li, Qiang</v>
      </c>
      <c r="Z857" s="31">
        <f>IFERROR(__xludf.DUMMYFUNCTION("""COMPUTED_VALUE"""),2024.0)</f>
        <v>2024</v>
      </c>
      <c r="AA857" s="31">
        <f>IFERROR(__xludf.DUMMYFUNCTION("""COMPUTED_VALUE"""),0.0)</f>
        <v>0</v>
      </c>
      <c r="AF857" s="31" t="str">
        <f>IFERROR(__xludf.DUMMYFUNCTION("""COMPUTED_VALUE"""),"A novel approach for establishing cardiovascular drug efficacy.")</f>
        <v>A novel approach for establishing cardiovascular drug efficacy.</v>
      </c>
      <c r="AG857" s="31" t="str">
        <f>IFERROR(__xludf.DUMMYFUNCTION("""COMPUTED_VALUE"""),"Heerspink, Hiddo J Lambers; Grobbee, Diederick E; de Zeeuw, Dick")</f>
        <v>Heerspink, Hiddo J Lambers; Grobbee, Diederick E; de Zeeuw, Dick</v>
      </c>
      <c r="AH857" s="32">
        <f>IFERROR(__xludf.DUMMYFUNCTION("""COMPUTED_VALUE"""),41957.0)</f>
        <v>41957</v>
      </c>
      <c r="AL857" s="31" t="str">
        <f>IFERROR(__xludf.DUMMYFUNCTION("""COMPUTED_VALUE"""),"External validation and updating of a Dutch prediction model for low hemoglobin deferral in Irish whole blood donors.")</f>
        <v>External validation and updating of a Dutch prediction model for low hemoglobin deferral in Irish whole blood donors.</v>
      </c>
      <c r="AM857" s="31" t="str">
        <f>IFERROR(__xludf.DUMMYFUNCTION("""COMPUTED_VALUE"""),"Baart, A Mireille; Atsma, Femke; McSweeney, Ellen N; Moons, Karel G M; Vergouwe, Yvonne; de Kort, Wim L A M")</f>
        <v>Baart, A Mireille; Atsma, Femke; McSweeney, Ellen N; Moons, Karel G M; Vergouwe, Yvonne; de Kort, Wim L A M</v>
      </c>
      <c r="AN857" s="32">
        <f>IFERROR(__xludf.DUMMYFUNCTION("""COMPUTED_VALUE"""),41386.0)</f>
        <v>41386</v>
      </c>
    </row>
    <row r="858">
      <c r="A858" s="32"/>
      <c r="I858" s="31" t="str">
        <f>IFERROR(__xludf.DUMMYFUNCTION("""COMPUTED_VALUE"""),"methods in molecular biology clifton nj")</f>
        <v>methods in molecular biology clifton nj</v>
      </c>
      <c r="J858" s="38">
        <f>COUNTIF(Data!$F$2:$F9917, $I858)</f>
        <v>1</v>
      </c>
      <c r="T858" s="31" t="s">
        <v>2478</v>
      </c>
      <c r="U858" s="31" t="s">
        <v>2479</v>
      </c>
      <c r="V858" s="32">
        <v>45089.0</v>
      </c>
      <c r="X858" s="31" t="str">
        <f>IFERROR(__xludf.DUMMYFUNCTION("""COMPUTED_VALUE"""),"Statistical Combination of ATLAS Run 2 Searches for Charginos and Neutralinos at the LHC.")</f>
        <v>Statistical Combination of ATLAS Run 2 Searches for Charginos and Neutralinos at the LHC.</v>
      </c>
      <c r="Y858" s="31"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858" s="31">
        <f>IFERROR(__xludf.DUMMYFUNCTION("""COMPUTED_VALUE"""),2024.0)</f>
        <v>2024</v>
      </c>
      <c r="AA858" s="31">
        <f>IFERROR(__xludf.DUMMYFUNCTION("""COMPUTED_VALUE"""),0.0)</f>
        <v>0</v>
      </c>
      <c r="AF858" s="31" t="str">
        <f>IFERROR(__xludf.DUMMYFUNCTION("""COMPUTED_VALUE"""),"Cardiovascular manifestations of HIV infection in children.")</f>
        <v>Cardiovascular manifestations of HIV infection in children.</v>
      </c>
      <c r="AG858" s="31" t="str">
        <f>IFERROR(__xludf.DUMMYFUNCTION("""COMPUTED_VALUE"""),"Idris, Nikmah S; Grobbee, Diederick E; Burgner, David; Cheung, Michael M H; Kurniati, Nia; Sastroasmoro, Sudigdo; Uiterwaal, Cuno S P M")</f>
        <v>Idris, Nikmah S; Grobbee, Diederick E; Burgner, David; Cheung, Michael M H; Kurniati, Nia; Sastroasmoro, Sudigdo; Uiterwaal, Cuno S P M</v>
      </c>
      <c r="AH858" s="32">
        <f>IFERROR(__xludf.DUMMYFUNCTION("""COMPUTED_VALUE"""),41957.0)</f>
        <v>41957</v>
      </c>
      <c r="AL858" s="31" t="str">
        <f>IFERROR(__xludf.DUMMYFUNCTION("""COMPUTED_VALUE"""),"Individual participant data meta-analysis for a binary outcome: one-stage or two-stage?")</f>
        <v>Individual participant data meta-analysis for a binary outcome: one-stage or two-stage?</v>
      </c>
      <c r="AM858" s="31" t="str">
        <f>IFERROR(__xludf.DUMMYFUNCTION("""COMPUTED_VALUE"""),"Debray, Thomas P A; Moons, Karel G M; Abo-Zaid, Ghada Mohammed Abdallah; Koffijberg, Hendrik; Riley, Richard David")</f>
        <v>Debray, Thomas P A; Moons, Karel G M; Abo-Zaid, Ghada Mohammed Abdallah; Koffijberg, Hendrik; Riley, Richard David</v>
      </c>
      <c r="AN858" s="32">
        <f>IFERROR(__xludf.DUMMYFUNCTION("""COMPUTED_VALUE"""),41373.0)</f>
        <v>41373</v>
      </c>
    </row>
    <row r="859">
      <c r="A859" s="32"/>
      <c r="I859" s="31" t="str">
        <f>IFERROR(__xludf.DUMMYFUNCTION("""COMPUTED_VALUE"""),"clinical and applied thrombosishemostasis official journal of the international academy of clinical and applied thrombosishemostasis")</f>
        <v>clinical and applied thrombosishemostasis official journal of the international academy of clinical and applied thrombosishemostasis</v>
      </c>
      <c r="J859" s="38">
        <f>COUNTIF(Data!$F$2:$F9917, $I859)</f>
        <v>1</v>
      </c>
      <c r="T859" s="31" t="s">
        <v>2483</v>
      </c>
      <c r="U859" s="31" t="s">
        <v>2484</v>
      </c>
      <c r="V859" s="32">
        <v>45087.0</v>
      </c>
      <c r="X859" s="31" t="str">
        <f>IFERROR(__xludf.DUMMYFUNCTION("""COMPUTED_VALUE"""),"Factors associated with pediatric ophthalmology follow-up adherence before and during the COVID-19 pandemic.")</f>
        <v>Factors associated with pediatric ophthalmology follow-up adherence before and during the COVID-19 pandemic.</v>
      </c>
      <c r="Y859" s="31" t="str">
        <f>IFERROR(__xludf.DUMMYFUNCTION("""COMPUTED_VALUE"""),"Hekmatjah, Natan; Turner, Charis Hoppe; Mesfin, Yeabsira; Zhang, Li; Han, Ying; O'Brien, Kieran S; Oatts, Julius T")</f>
        <v>Hekmatjah, Natan; Turner, Charis Hoppe; Mesfin, Yeabsira; Zhang, Li; Han, Ying; O'Brien, Kieran S; Oatts, Julius T</v>
      </c>
      <c r="Z859" s="31">
        <f>IFERROR(__xludf.DUMMYFUNCTION("""COMPUTED_VALUE"""),2024.0)</f>
        <v>2024</v>
      </c>
      <c r="AA859" s="31">
        <f>IFERROR(__xludf.DUMMYFUNCTION("""COMPUTED_VALUE"""),0.0)</f>
        <v>0</v>
      </c>
      <c r="AF859" s="31" t="str">
        <f>IFERROR(__xludf.DUMMYFUNCTION("""COMPUTED_VALUE"""),"Contextual risk factors for low birth weight: a multilevel analysis.")</f>
        <v>Contextual risk factors for low birth weight: a multilevel analysis.</v>
      </c>
      <c r="AG859" s="31" t="str">
        <f>IFERROR(__xludf.DUMMYFUNCTION("""COMPUTED_VALUE"""),"Kayode, Gbenga A; Amoakoh-Coleman, Mary; Agyepong, Irene Akua; Ansah, Evelyn; Grobbee, Diederick E; Klipstein-Grobusch, Kerstin")</f>
        <v>Kayode, Gbenga A; Amoakoh-Coleman, Mary; Agyepong, Irene Akua; Ansah, Evelyn; Grobbee, Diederick E; Klipstein-Grobusch, Kerstin</v>
      </c>
      <c r="AH859" s="32">
        <f>IFERROR(__xludf.DUMMYFUNCTION("""COMPUTED_VALUE"""),41943.0)</f>
        <v>41943</v>
      </c>
      <c r="AL859" s="31" t="str">
        <f>IFERROR(__xludf.DUMMYFUNCTION("""COMPUTED_VALUE"""),"One-year effect of a nurse-led psychosocial intervention on depressive symptoms in patients with head and neck cancer: a randomized controlled trial.")</f>
        <v>One-year effect of a nurse-led psychosocial intervention on depressive symptoms in patients with head and neck cancer: a randomized controlled trial.</v>
      </c>
      <c r="AM859" s="31" t="str">
        <f>IFERROR(__xludf.DUMMYFUNCTION("""COMPUTED_VALUE"""),"van der Meulen, Ingeborg C; May, Anne M; Ros, Wynand J G; Oosterom, Miriam; Hordijk, Gert-Jan; Koole, Ron; de Leeuw, J Rob J")</f>
        <v>van der Meulen, Ingeborg C; May, Anne M; Ros, Wynand J G; Oosterom, Miriam; Hordijk, Gert-Jan; Koole, Ron; de Leeuw, J Rob J</v>
      </c>
      <c r="AN859" s="32">
        <f>IFERROR(__xludf.DUMMYFUNCTION("""COMPUTED_VALUE"""),41326.0)</f>
        <v>41326</v>
      </c>
    </row>
    <row r="860">
      <c r="A860" s="32"/>
      <c r="I860" s="31" t="str">
        <f>IFERROR(__xludf.DUMMYFUNCTION("""COMPUTED_VALUE"""),"clinics in chest medicine")</f>
        <v>clinics in chest medicine</v>
      </c>
      <c r="J860" s="38">
        <f>COUNTIF(Data!$F$2:$F9917, $I860)</f>
        <v>1</v>
      </c>
      <c r="T860" s="31" t="s">
        <v>2487</v>
      </c>
      <c r="U860" s="31" t="s">
        <v>2488</v>
      </c>
      <c r="V860" s="32">
        <v>45087.0</v>
      </c>
      <c r="X860" s="31" t="str">
        <f>IFERROR(__xludf.DUMMYFUNCTION("""COMPUTED_VALUE"""),"The effect of BCG vaccination in the elderly on infectious and non-infectious immune-mediated diseases.")</f>
        <v>The effect of BCG vaccination in the elderly on infectious and non-infectious immune-mediated diseases.</v>
      </c>
      <c r="Y860" s="31" t="str">
        <f>IFERROR(__xludf.DUMMYFUNCTION("""COMPUTED_VALUE"""),"Dulfer, Elisabeth A; Föhse, Konstantin; Taks, Esther J M; Moorlag, Simone J C F M; Koekenbier, Eva L; van de Maat, Josephine S; Ten Oever, Jaap; Hoogerwerf, Jacobien J; van Werkhoven, Cornelis H; Bonten, Marc J M; van Hylckama Vlieg, Astrid; Rosendaal, Fr"&amp;"its R; Netea, Mihai G")</f>
        <v>Dulfer, Elisabeth A; Föhse, Konstantin; Taks, Esther J M; Moorlag, Simone J C F M; Koekenbier, Eva L; van de Maat, Josephine S; Ten Oever, Jaap; Hoogerwerf, Jacobien J; van Werkhoven, Cornelis H; Bonten, Marc J M; van Hylckama Vlieg, Astrid; Rosendaal, Frits R; Netea, Mihai G</v>
      </c>
      <c r="Z860" s="31">
        <f>IFERROR(__xludf.DUMMYFUNCTION("""COMPUTED_VALUE"""),2024.0)</f>
        <v>2024</v>
      </c>
      <c r="AA860" s="31">
        <f>IFERROR(__xludf.DUMMYFUNCTION("""COMPUTED_VALUE"""),0.0)</f>
        <v>0</v>
      </c>
      <c r="AF860" s="31" t="str">
        <f>IFERROR(__xludf.DUMMYFUNCTION("""COMPUTED_VALUE"""),"Intake of phytosterols from natural sources and risk of cardiovascular disease in the European Prospective Investigation into Cancer and Nutrition-the Netherlands (EPIC-NL) population.")</f>
        <v>Intake of phytosterols from natural sources and risk of cardiovascular disease in the European Prospective Investigation into Cancer and Nutrition-the Netherlands (EPIC-NL) population.</v>
      </c>
      <c r="AG860" s="31" t="str">
        <f>IFERROR(__xludf.DUMMYFUNCTION("""COMPUTED_VALUE"""),"Ras, Rouyanne T; van der Schouw, Yvonne T; Trautwein, Elke A; Sioen, Isabelle; Dalmeijer, Geertje W; Zock, Peter L; Beulens, Joline W J")</f>
        <v>Ras, Rouyanne T; van der Schouw, Yvonne T; Trautwein, Elke A; Sioen, Isabelle; Dalmeijer, Geertje W; Zock, Peter L; Beulens, Joline W J</v>
      </c>
      <c r="AH860" s="32">
        <f>IFERROR(__xludf.DUMMYFUNCTION("""COMPUTED_VALUE"""),41922.0)</f>
        <v>41922</v>
      </c>
      <c r="AL860" s="31" t="str">
        <f>IFERROR(__xludf.DUMMYFUNCTION("""COMPUTED_VALUE"""),"Prediction models for clustered data: comparison of a random intercept and standard regression model.")</f>
        <v>Prediction models for clustered data: comparison of a random intercept and standard regression model.</v>
      </c>
      <c r="AM860" s="31" t="str">
        <f>IFERROR(__xludf.DUMMYFUNCTION("""COMPUTED_VALUE"""),"Bouwmeester, Walter; Twisk, Jos W R; Kappen, Teus H; van Klei, Wilton A; Moons, Karel G M; Vergouwe, Yvonne")</f>
        <v>Bouwmeester, Walter; Twisk, Jos W R; Kappen, Teus H; van Klei, Wilton A; Moons, Karel G M; Vergouwe, Yvonne</v>
      </c>
      <c r="AN860" s="32">
        <f>IFERROR(__xludf.DUMMYFUNCTION("""COMPUTED_VALUE"""),41320.0)</f>
        <v>41320</v>
      </c>
    </row>
    <row r="861">
      <c r="A861" s="32"/>
      <c r="I861" s="31" t="str">
        <f>IFERROR(__xludf.DUMMYFUNCTION("""COMPUTED_VALUE"""),"the journal of neuroscience nursing journal of the american association of neuroscience nurses")</f>
        <v>the journal of neuroscience nursing journal of the american association of neuroscience nurses</v>
      </c>
      <c r="J861" s="38">
        <f>COUNTIF(Data!$F$2:$F9917, $I861)</f>
        <v>1</v>
      </c>
      <c r="T861" s="31" t="s">
        <v>2491</v>
      </c>
      <c r="U861" s="31" t="s">
        <v>2492</v>
      </c>
      <c r="V861" s="32">
        <v>45087.0</v>
      </c>
      <c r="X861" s="31" t="str">
        <f>IFERROR(__xludf.DUMMYFUNCTION("""COMPUTED_VALUE"""),"The nationwide Dietary Intake after Diagnosis and Colorectal Cancer Outcomes (PLCRC-PROTECT) cohort: Study design, clinical characteristics and baseline health behaviors.")</f>
        <v>The nationwide Dietary Intake after Diagnosis and Colorectal Cancer Outcomes (PLCRC-PROTECT) cohort: Study design, clinical characteristics and baseline health behaviors.</v>
      </c>
      <c r="Y861" s="31" t="str">
        <f>IFERROR(__xludf.DUMMYFUNCTION("""COMPUTED_VALUE"""),"Derksen, Jeroen W G; Smit, Karel C; Hoeven, Irene W F; Sijtsma, Femke P C; Koopman, Miriam; May, Anne M")</f>
        <v>Derksen, Jeroen W G; Smit, Karel C; Hoeven, Irene W F; Sijtsma, Femke P C; Koopman, Miriam; May, Anne M</v>
      </c>
      <c r="Z861" s="31">
        <f>IFERROR(__xludf.DUMMYFUNCTION("""COMPUTED_VALUE"""),2024.0)</f>
        <v>2024</v>
      </c>
      <c r="AA861" s="31">
        <f>IFERROR(__xludf.DUMMYFUNCTION("""COMPUTED_VALUE"""),0.0)</f>
        <v>0</v>
      </c>
      <c r="AF861" s="31" t="str">
        <f>IFERROR(__xludf.DUMMYFUNCTION("""COMPUTED_VALUE"""),"Allergies are associated with arterial changes in young children.")</f>
        <v>Allergies are associated with arterial changes in young children.</v>
      </c>
      <c r="AG861" s="31" t="str">
        <f>IFERROR(__xludf.DUMMYFUNCTION("""COMPUTED_VALUE"""),"Evelein, Annemieke M V; Visseren, Frank L J; van der Ent, Cornelis K; Grobbee, Diederick E; Uiterwaal, Cuno S P M")</f>
        <v>Evelein, Annemieke M V; Visseren, Frank L J; van der Ent, Cornelis K; Grobbee, Diederick E; Uiterwaal, Cuno S P M</v>
      </c>
      <c r="AH861" s="32">
        <f>IFERROR(__xludf.DUMMYFUNCTION("""COMPUTED_VALUE"""),41921.0)</f>
        <v>41921</v>
      </c>
      <c r="AL861" s="31" t="str">
        <f>IFERROR(__xludf.DUMMYFUNCTION("""COMPUTED_VALUE"""),"From accuracy to patient outcome and cost-effectiveness evaluations of diagnostic tests and biomarkers: an exemplary modelling study.")</f>
        <v>From accuracy to patient outcome and cost-effectiveness evaluations of diagnostic tests and biomarkers: an exemplary modelling study.</v>
      </c>
      <c r="AM861" s="31" t="str">
        <f>IFERROR(__xludf.DUMMYFUNCTION("""COMPUTED_VALUE"""),"Koffijberg, Hendrik; van Zaane, Bas; Moons, Karel G M")</f>
        <v>Koffijberg, Hendrik; van Zaane, Bas; Moons, Karel G M</v>
      </c>
      <c r="AN861" s="32">
        <f>IFERROR(__xludf.DUMMYFUNCTION("""COMPUTED_VALUE"""),41305.0)</f>
        <v>41305</v>
      </c>
    </row>
    <row r="862">
      <c r="A862" s="32"/>
      <c r="I862" s="31" t="str">
        <f>IFERROR(__xludf.DUMMYFUNCTION("""COMPUTED_VALUE"""),"current opinion in otolaryngology head and neck surgery")</f>
        <v>current opinion in otolaryngology head and neck surgery</v>
      </c>
      <c r="J862" s="38">
        <f>COUNTIF(Data!$F$2:$F9917, $I862)</f>
        <v>1</v>
      </c>
      <c r="T862" s="31" t="s">
        <v>2495</v>
      </c>
      <c r="U862" s="31" t="s">
        <v>2496</v>
      </c>
      <c r="V862" s="32">
        <v>45086.0</v>
      </c>
      <c r="X862" s="31" t="str">
        <f>IFERROR(__xludf.DUMMYFUNCTION("""COMPUTED_VALUE"""),"Reply - Letter to the editor entitled ""Letter to editor regarding Dietary and lifestyle inflammation scores in relation to colorectal cancer recurrence and all-cause mortality: A longitudinal analysis"".")</f>
        <v>Reply - Letter to the editor entitled "Letter to editor regarding Dietary and lifestyle inflammation scores in relation to colorectal cancer recurrence and all-cause mortality: A longitudinal analysis".</v>
      </c>
      <c r="Y862" s="31"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862" s="31">
        <f>IFERROR(__xludf.DUMMYFUNCTION("""COMPUTED_VALUE"""),2024.0)</f>
        <v>2024</v>
      </c>
      <c r="AA862" s="31">
        <f>IFERROR(__xludf.DUMMYFUNCTION("""COMPUTED_VALUE"""),0.0)</f>
        <v>0</v>
      </c>
      <c r="AF862" s="31" t="str">
        <f>IFERROR(__xludf.DUMMYFUNCTION("""COMPUTED_VALUE"""),"Genome-wide association study identifies multiple susceptibility loci for diffuse large B cell lymphoma.")</f>
        <v>Genome-wide association study identifies multiple susceptibility loci for diffuse large B cell lymphoma.</v>
      </c>
      <c r="AG862" s="31" t="str">
        <f>IFERROR(__xludf.DUMMYFUNCTION("""COMPUTED_VALUE"""),"Cerhan, James R; Berndt, Sonja I; Vijai, Joseph; Ghesquières, Hervé; McKay, James; Wang, Sophia S; Wang, Zhaoming; Yeager, Meredith; Conde, Lucia; de Bakker, Paul I W; Nieters, Alexandra; Cox, David; Burdett, Laurie; Monnereau, Alain; Flowers, Christopher"&amp;" R; De Roos, Anneclaire J; Brooks-Wilson, Angela R; Lan, Qing; Severi, Gianluca; Melbye, Mads; Gu, Jian; Jackson, Rebecca D; Kane, Eleanor; Teras, Lauren R; Purdue, Mark P; Vajdic, Claire M; Spinelli, John J; Giles, Graham G; Albanes, Demetrius; Kelly, Ra"&amp;"chel S; Zucca, Mariagrazia; Bertrand, Kimberly A; Zeleniuch-Jacquotte, Anne; Lawrence, Charles; Hutchinson, Amy; Zhi, Degui; Habermann, Thomas M; Link, Brian K; Novak, Anne J; Dogan, Ahmet; Asmann, Yan W; Liebow, Mark; Thompson, Carrie A; Ansell, Stephen "&amp;"M; Witzig, Thomas E; Weiner, George J; Veron, Amelie S; Zelenika, Diana; Tilly, Hervé; Haioun, Corinne; Molina, Thierry Jo; Hjalgrim, Henrik; Glimelius, Bengt; Adami, Hans-Olov; Bracci, Paige M; Riby, Jacques; Smith, Martyn T; Holly, E")</f>
        <v>Cerhan, James R; Berndt, Sonja I; Vijai, Joseph; Ghesquières, Hervé; McKay, James; Wang, Sophia S; Wang, Zhaoming; Yeager, Meredith; Conde, Lucia; de Bakker, Paul I W; Nieters, Alexandra; Cox, David; Burdett, Laurie; Monnereau, Alain; Flowers, Christopher R; De Roos, Anneclaire J; Brooks-Wilson, Angela R; Lan, Qing; Severi, Gianluca; Melbye, Mads; Gu, Jian; Jackson, Rebecca D; Kane, Eleanor; Teras, Lauren R; Purdue, Mark P; Vajdic, Claire M; Spinelli, John J; Giles, Graham G; Albanes, Demetrius; Kelly, Rachel S; Zucca, Mariagrazia; Bertrand, Kimberly A; Zeleniuch-Jacquotte, Anne; Lawrence, Charles; Hutchinson, Amy; Zhi, Degui; Habermann, Thomas M; Link, Brian K; Novak, Anne J; Dogan, Ahmet; Asmann, Yan W; Liebow, Mark; Thompson, Carrie A; Ansell, Stephen M; Witzig, Thomas E; Weiner, George J; Veron, Amelie S; Zelenika, Diana; Tilly, Hervé; Haioun, Corinne; Molina, Thierry Jo; Hjalgrim, Henrik; Glimelius, Bengt; Adami, Hans-Olov; Bracci, Paige M; Riby, Jacques; Smith, Martyn T; Holly, E</v>
      </c>
      <c r="AH862" s="32">
        <f>IFERROR(__xludf.DUMMYFUNCTION("""COMPUTED_VALUE"""),41910.0)</f>
        <v>41910</v>
      </c>
      <c r="AL862" s="31" t="str">
        <f>IFERROR(__xludf.DUMMYFUNCTION("""COMPUTED_VALUE"""),"A framework for developing, implementing, and evaluating clinical prediction models in an individual participant data meta-analysis.")</f>
        <v>A framework for developing, implementing, and evaluating clinical prediction models in an individual participant data meta-analysis.</v>
      </c>
      <c r="AM862" s="31" t="str">
        <f>IFERROR(__xludf.DUMMYFUNCTION("""COMPUTED_VALUE"""),"Debray, Thomas P A; Moons, Karel G M; Ahmed, Ikhlaaq; Koffijberg, Hendrik; Riley, Richard David")</f>
        <v>Debray, Thomas P A; Moons, Karel G M; Ahmed, Ikhlaaq; Koffijberg, Hendrik; Riley, Richard David</v>
      </c>
      <c r="AN862" s="32">
        <f>IFERROR(__xludf.DUMMYFUNCTION("""COMPUTED_VALUE"""),41285.0)</f>
        <v>41285</v>
      </c>
    </row>
    <row r="863">
      <c r="A863" s="32"/>
      <c r="I863" s="31" t="str">
        <f>IFERROR(__xludf.DUMMYFUNCTION("""COMPUTED_VALUE"""),"the lancet gastroenterology hepatology")</f>
        <v>the lancet gastroenterology hepatology</v>
      </c>
      <c r="J863" s="38">
        <f>COUNTIF(Data!$F$2:$F9917, $I863)</f>
        <v>1</v>
      </c>
      <c r="T863" s="31" t="s">
        <v>2500</v>
      </c>
      <c r="U863" s="31" t="s">
        <v>2501</v>
      </c>
      <c r="V863" s="32">
        <v>45086.0</v>
      </c>
      <c r="X863" s="31" t="str">
        <f>IFERROR(__xludf.DUMMYFUNCTION("""COMPUTED_VALUE"""),"Reply - Letter to the editor entitled ""Letter to editor - Dietary and lifestyle inflammation scores in relation to colorectal cancer recurrence and all-cause mortality: A longitudinal analysis"".")</f>
        <v>Reply - Letter to the editor entitled "Letter to editor - Dietary and lifestyle inflammation scores in relation to colorectal cancer recurrence and all-cause mortality: A longitudinal analysis".</v>
      </c>
      <c r="Y863" s="31"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863" s="31">
        <f>IFERROR(__xludf.DUMMYFUNCTION("""COMPUTED_VALUE"""),2024.0)</f>
        <v>2024</v>
      </c>
      <c r="AA863" s="31">
        <f>IFERROR(__xludf.DUMMYFUNCTION("""COMPUTED_VALUE"""),0.0)</f>
        <v>0</v>
      </c>
      <c r="AF863" s="31" t="str">
        <f>IFERROR(__xludf.DUMMYFUNCTION("""COMPUTED_VALUE"""),"Vaginal delivery after hemipelvectomy and pelvic radiotherapy for chondrosarcoma.")</f>
        <v>Vaginal delivery after hemipelvectomy and pelvic radiotherapy for chondrosarcoma.</v>
      </c>
      <c r="AG863" s="31" t="str">
        <f>IFERROR(__xludf.DUMMYFUNCTION("""COMPUTED_VALUE"""),"Browne, J L; Oudijk, M A; Holtslag, H R; Schreuder, H W R")</f>
        <v>Browne, J L; Oudijk, M A; Holtslag, H R; Schreuder, H W R</v>
      </c>
      <c r="AH863" s="32">
        <f>IFERROR(__xludf.DUMMYFUNCTION("""COMPUTED_VALUE"""),41907.0)</f>
        <v>41907</v>
      </c>
      <c r="AL863" s="31" t="str">
        <f>IFERROR(__xludf.DUMMYFUNCTION("""COMPUTED_VALUE"""),"Prediction of measured weight from self-reported weight was not improved after stratification by body mass index.")</f>
        <v>Prediction of measured weight from self-reported weight was not improved after stratification by body mass index.</v>
      </c>
      <c r="AM863" s="31" t="str">
        <f>IFERROR(__xludf.DUMMYFUNCTION("""COMPUTED_VALUE"""),"May, Anne M; Barnes, Daniel R; Forouhi, Nita G; Luben, Robert; Khaw, Kay-Tee; Wareham, Nicholas J; Peeters, Petra H M; Sharp, Stephen J")</f>
        <v>May, Anne M; Barnes, Daniel R; Forouhi, Nita G; Luben, Robert; Khaw, Kay-Tee; Wareham, Nicholas J; Peeters, Petra H M; Sharp, Stephen J</v>
      </c>
      <c r="AN863" s="32">
        <f>IFERROR(__xludf.DUMMYFUNCTION("""COMPUTED_VALUE"""),41275.0)</f>
        <v>41275</v>
      </c>
    </row>
    <row r="864">
      <c r="A864" s="32"/>
      <c r="I864" s="31" t="str">
        <f>IFERROR(__xludf.DUMMYFUNCTION("""COMPUTED_VALUE"""),"zoonoses and public health")</f>
        <v>zoonoses and public health</v>
      </c>
      <c r="J864" s="38">
        <f>COUNTIF(Data!$F$2:$F9917, $I864)</f>
        <v>3</v>
      </c>
      <c r="T864" s="31" t="s">
        <v>2505</v>
      </c>
      <c r="U864" s="31" t="s">
        <v>2506</v>
      </c>
      <c r="V864" s="32">
        <v>45085.0</v>
      </c>
      <c r="X864" s="31" t="str">
        <f>IFERROR(__xludf.DUMMYFUNCTION("""COMPUTED_VALUE"""),"Reply - Letter to editor entitled ""Enhancing colorectal cancer survivorship: Integrating social work to optimize Dietary and lifestyle interventions"".")</f>
        <v>Reply - Letter to editor entitled "Enhancing colorectal cancer survivorship: Integrating social work to optimize Dietary and lifestyle interventions".</v>
      </c>
      <c r="Y864" s="31"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864" s="31">
        <f>IFERROR(__xludf.DUMMYFUNCTION("""COMPUTED_VALUE"""),2024.0)</f>
        <v>2024</v>
      </c>
      <c r="AA864" s="31">
        <f>IFERROR(__xludf.DUMMYFUNCTION("""COMPUTED_VALUE"""),0.0)</f>
        <v>0</v>
      </c>
      <c r="AF864" s="31" t="str">
        <f>IFERROR(__xludf.DUMMYFUNCTION("""COMPUTED_VALUE"""),"Ramadan fasting and newborn's birth weight in pregnant Muslim women in The Netherlands.")</f>
        <v>Ramadan fasting and newborn's birth weight in pregnant Muslim women in The Netherlands.</v>
      </c>
      <c r="AG864" s="31" t="str">
        <f>IFERROR(__xludf.DUMMYFUNCTION("""COMPUTED_VALUE"""),"Savitri, Ary I; Yadegari, Nasim; Bakker, Julia; van Ewijk, Reyn J G; Grobbee, Diederick E; Painter, Rebecca C; Uiterwaal, Cuno S P M; Roseboom, Tessa J")</f>
        <v>Savitri, Ary I; Yadegari, Nasim; Bakker, Julia; van Ewijk, Reyn J G; Grobbee, Diederick E; Painter, Rebecca C; Uiterwaal, Cuno S P M; Roseboom, Tessa J</v>
      </c>
      <c r="AH864" s="32">
        <f>IFERROR(__xludf.DUMMYFUNCTION("""COMPUTED_VALUE"""),41900.0)</f>
        <v>41900</v>
      </c>
      <c r="AL864" s="31" t="str">
        <f>IFERROR(__xludf.DUMMYFUNCTION("""COMPUTED_VALUE"""),"[Rotavirus vaccination: a priority for high-risk children].")</f>
        <v>[Rotavirus vaccination: a priority for high-risk children].</v>
      </c>
      <c r="AM864" s="31" t="str">
        <f>IFERROR(__xludf.DUMMYFUNCTION("""COMPUTED_VALUE"""),"Bruijning-Verhagen, Patricia C J L; Bonten, Marc J M")</f>
        <v>Bruijning-Verhagen, Patricia C J L; Bonten, Marc J M</v>
      </c>
      <c r="AN864" s="32">
        <f>IFERROR(__xludf.DUMMYFUNCTION("""COMPUTED_VALUE"""),41275.0)</f>
        <v>41275</v>
      </c>
    </row>
    <row r="865">
      <c r="A865" s="32"/>
      <c r="I865" s="31" t="str">
        <f>IFERROR(__xludf.DUMMYFUNCTION("""COMPUTED_VALUE"""),"meat science")</f>
        <v>meat science</v>
      </c>
      <c r="J865" s="38">
        <f>COUNTIF(Data!$F$2:$F9917, $I865)</f>
        <v>1</v>
      </c>
      <c r="T865" s="31" t="s">
        <v>2509</v>
      </c>
      <c r="U865" s="31" t="s">
        <v>2510</v>
      </c>
      <c r="V865" s="32">
        <v>45085.0</v>
      </c>
      <c r="X865" s="31" t="str">
        <f>IFERROR(__xludf.DUMMYFUNCTION("""COMPUTED_VALUE"""),"Reply - Letter to the editor entitled ""Oral health perspectives: The benefits of low-inflammatory diet and lifestyle"".")</f>
        <v>Reply - Letter to the editor entitled "Oral health perspectives: The benefits of low-inflammatory diet and lifestyle".</v>
      </c>
      <c r="Y865" s="31"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865" s="31">
        <f>IFERROR(__xludf.DUMMYFUNCTION("""COMPUTED_VALUE"""),2024.0)</f>
        <v>2024</v>
      </c>
      <c r="AA865" s="31">
        <f>IFERROR(__xludf.DUMMYFUNCTION("""COMPUTED_VALUE"""),0.0)</f>
        <v>0</v>
      </c>
      <c r="AF865" s="31" t="str">
        <f>IFERROR(__xludf.DUMMYFUNCTION("""COMPUTED_VALUE"""),"EMAS position statement: individualized breast cancer screening versus population-based mammography screening programmes.")</f>
        <v>EMAS position statement: individualized breast cancer screening versus population-based mammography screening programmes.</v>
      </c>
      <c r="AG865" s="31" t="str">
        <f>IFERROR(__xludf.DUMMYFUNCTION("""COMPUTED_VALUE"""),"Depypere, Herman; Desreux, Joelle; Pérez-López, Faustino R; Ceausu, Iuliana; Erel, C Tamer; Lambrinoudaki, Irene; Schenck-Gustafsson, Karin; van der Schouw, Yvonne T; Simoncini, Tommaso; Tremollieres, Florence; Rees, Margaret; EMAS,")</f>
        <v>Depypere, Herman; Desreux, Joelle; Pérez-López, Faustino R; Ceausu, Iuliana; Erel, C Tamer; Lambrinoudaki, Irene; Schenck-Gustafsson, Karin; van der Schouw, Yvonne T; Simoncini, Tommaso; Tremollieres, Florence; Rees, Margaret; EMAS,</v>
      </c>
      <c r="AH865" s="32">
        <f>IFERROR(__xludf.DUMMYFUNCTION("""COMPUTED_VALUE"""),41898.0)</f>
        <v>41898</v>
      </c>
      <c r="AL865" s="31" t="str">
        <f>IFERROR(__xludf.DUMMYFUNCTION("""COMPUTED_VALUE"""),"Risk factors for onset of multiple or long major depressive episodes versus single and short episodes.")</f>
        <v>Risk factors for onset of multiple or long major depressive episodes versus single and short episodes.</v>
      </c>
      <c r="AM865" s="31" t="str">
        <f>IFERROR(__xludf.DUMMYFUNCTION("""COMPUTED_VALUE"""),"Stegenga, Bauke T; Geerlings, Mirjam I; Torres-González, Francisco; Xavier, Miguel; Svab, Igor; Penninx, Brenda W; Nazareth, Irwin; King, Michael")</f>
        <v>Stegenga, Bauke T; Geerlings, Mirjam I; Torres-González, Francisco; Xavier, Miguel; Svab, Igor; Penninx, Brenda W; Nazareth, Irwin; King, Michael</v>
      </c>
      <c r="AN865" s="32">
        <f>IFERROR(__xludf.DUMMYFUNCTION("""COMPUTED_VALUE"""),41234.0)</f>
        <v>41234</v>
      </c>
    </row>
    <row r="866">
      <c r="A866" s="32"/>
      <c r="I866" s="31" t="str">
        <f>IFERROR(__xludf.DUMMYFUNCTION("""COMPUTED_VALUE"""),"menopause new york ny")</f>
        <v>menopause new york ny</v>
      </c>
      <c r="J866" s="38">
        <f>COUNTIF(Data!$F$2:$F9917, $I866)</f>
        <v>8</v>
      </c>
      <c r="T866" s="31" t="s">
        <v>2513</v>
      </c>
      <c r="U866" s="31" t="s">
        <v>2514</v>
      </c>
      <c r="V866" s="32">
        <v>45085.0</v>
      </c>
      <c r="X866" s="31" t="str">
        <f>IFERROR(__xludf.DUMMYFUNCTION("""COMPUTED_VALUE"""),"Physical activity at diagnosis is associated with tumor downstaging after neoadjuvant chemoradiotherapy in patients with rectal cancer.")</f>
        <v>Physical activity at diagnosis is associated with tumor downstaging after neoadjuvant chemoradiotherapy in patients with rectal cancer.</v>
      </c>
      <c r="Y866" s="31" t="str">
        <f>IFERROR(__xludf.DUMMYFUNCTION("""COMPUTED_VALUE"""),"Mast, I H; de Wilt, J H W; Duman, B; Smit, K C; Gootjes, E C; Vissers, P A J; Rütten, H; Nagtegaal, I D; Hopman, M T E; May, A M; Buffart, L M")</f>
        <v>Mast, I H; de Wilt, J H W; Duman, B; Smit, K C; Gootjes, E C; Vissers, P A J; Rütten, H; Nagtegaal, I D; Hopman, M T E; May, A M; Buffart, L M</v>
      </c>
      <c r="Z866" s="31">
        <f>IFERROR(__xludf.DUMMYFUNCTION("""COMPUTED_VALUE"""),2024.0)</f>
        <v>2024</v>
      </c>
      <c r="AA866" s="31">
        <f>IFERROR(__xludf.DUMMYFUNCTION("""COMPUTED_VALUE"""),0.0)</f>
        <v>0</v>
      </c>
      <c r="AF866" s="31" t="str">
        <f>IFERROR(__xludf.DUMMYFUNCTION("""COMPUTED_VALUE"""),"The social value of clinical research.")</f>
        <v>The social value of clinical research.</v>
      </c>
      <c r="AG866" s="31" t="str">
        <f>IFERROR(__xludf.DUMMYFUNCTION("""COMPUTED_VALUE"""),"Habets, Michelle G J L; van Delden, Johannes J M; Bredenoord, Annelien L")</f>
        <v>Habets, Michelle G J L; van Delden, Johannes J M; Bredenoord, Annelien L</v>
      </c>
      <c r="AH866" s="32">
        <f>IFERROR(__xludf.DUMMYFUNCTION("""COMPUTED_VALUE"""),41887.0)</f>
        <v>41887</v>
      </c>
      <c r="AL866" s="31" t="str">
        <f>IFERROR(__xludf.DUMMYFUNCTION("""COMPUTED_VALUE"""),"High-molecular-weight kininogen and the risk of a myocardial infarction and ischemic stroke in young women: the RATIO case-control study.")</f>
        <v>High-molecular-weight kininogen and the risk of a myocardial infarction and ischemic stroke in young women: the RATIO case-control study.</v>
      </c>
      <c r="AM866" s="31" t="str">
        <f>IFERROR(__xludf.DUMMYFUNCTION("""COMPUTED_VALUE"""),"Siegerink, B; Rosendaal, F R; Algra, A")</f>
        <v>Siegerink, B; Rosendaal, F R; Algra, A</v>
      </c>
      <c r="AN866" s="32">
        <f>IFERROR(__xludf.DUMMYFUNCTION("""COMPUTED_VALUE"""),41214.0)</f>
        <v>41214</v>
      </c>
    </row>
    <row r="867">
      <c r="A867" s="32"/>
      <c r="I867" s="31" t="str">
        <f>IFERROR(__xludf.DUMMYFUNCTION("""COMPUTED_VALUE"""),"the netherlands journal of medicine")</f>
        <v>the netherlands journal of medicine</v>
      </c>
      <c r="J867" s="38">
        <f>COUNTIF(Data!$F$2:$F9917, $I867)</f>
        <v>13</v>
      </c>
      <c r="T867" s="31" t="s">
        <v>2518</v>
      </c>
      <c r="U867" s="31" t="s">
        <v>2519</v>
      </c>
      <c r="V867" s="32">
        <v>45084.0</v>
      </c>
      <c r="X867" s="31" t="str">
        <f>IFERROR(__xludf.DUMMYFUNCTION("""COMPUTED_VALUE"""),"Dietary and lifestyle inflammation scores in relation to colorectal cancer recurrence and all-cause mortality: A longitudinal analysis.")</f>
        <v>Dietary and lifestyle inflammation scores in relation to colorectal cancer recurrence and all-cause mortality: A longitudinal analysis.</v>
      </c>
      <c r="Y867" s="31" t="str">
        <f>IFERROR(__xludf.DUMMYFUNCTION("""COMPUTED_VALUE"""),"Wesselink, Evertine; Boshuizen, Hendriek C; van Lanen, Anne-Sophie; Kok, Dieuwertje E; Derksen, Jeroen W G; Smit, Karel C; de Wilt, Johannes H W; Koopman, Miriam; May, Anne M; Kampman, Ellen; van Duijnhoven, Fränzel J B; ,")</f>
        <v>Wesselink, Evertine; Boshuizen, Hendriek C; van Lanen, Anne-Sophie; Kok, Dieuwertje E; Derksen, Jeroen W G; Smit, Karel C; de Wilt, Johannes H W; Koopman, Miriam; May, Anne M; Kampman, Ellen; van Duijnhoven, Fränzel J B; ,</v>
      </c>
      <c r="Z867" s="31">
        <f>IFERROR(__xludf.DUMMYFUNCTION("""COMPUTED_VALUE"""),2024.0)</f>
        <v>2024</v>
      </c>
      <c r="AA867" s="31">
        <f>IFERROR(__xludf.DUMMYFUNCTION("""COMPUTED_VALUE"""),0.0)</f>
        <v>0</v>
      </c>
      <c r="AF867" s="31" t="str">
        <f>IFERROR(__xludf.DUMMYFUNCTION("""COMPUTED_VALUE"""),"HPV seroconversion following anal and penile HPV infection in HIV-negative and HIV-infected MSM.")</f>
        <v>HPV seroconversion following anal and penile HPV infection in HIV-negative and HIV-infected MSM.</v>
      </c>
      <c r="AG867" s="31" t="str">
        <f>IFERROR(__xludf.DUMMYFUNCTION("""COMPUTED_VALUE"""),"Mooij, Sofie H; Landén, Olivia; van der Klis, Fiona R M; van der Sande, Marianne A B; de Melker, Hester E; Xiridou, Maria; van Eeden, Arne; Heijman, Titia; Speksnijder, Arjen G C L; Snijders, Peter J F; Schim van der Loeff, Maarten F")</f>
        <v>Mooij, Sofie H; Landén, Olivia; van der Klis, Fiona R M; van der Sande, Marianne A B; de Melker, Hester E; Xiridou, Maria; van Eeden, Arne; Heijman, Titia; Speksnijder, Arjen G C L; Snijders, Peter J F; Schim van der Loeff, Maarten F</v>
      </c>
      <c r="AH867" s="32">
        <f>IFERROR(__xludf.DUMMYFUNCTION("""COMPUTED_VALUE"""),41879.0)</f>
        <v>41879</v>
      </c>
      <c r="AL867" s="31" t="str">
        <f>IFERROR(__xludf.DUMMYFUNCTION("""COMPUTED_VALUE"""),"Modeling the transmission risk of emerging infectious diseases through blood transfusion.")</f>
        <v>Modeling the transmission risk of emerging infectious diseases through blood transfusion.</v>
      </c>
      <c r="AM867" s="31" t="str">
        <f>IFERROR(__xludf.DUMMYFUNCTION("""COMPUTED_VALUE"""),"Oei, Welling; Janssen, Mart P; van der Poel, Cees L; van Steenbergen, Jim E; Rehmet, Sybille; Kretzschmar, Mirjam E E")</f>
        <v>Oei, Welling; Janssen, Mart P; van der Poel, Cees L; van Steenbergen, Jim E; Rehmet, Sybille; Kretzschmar, Mirjam E E</v>
      </c>
      <c r="AN867" s="32">
        <f>IFERROR(__xludf.DUMMYFUNCTION("""COMPUTED_VALUE"""),41214.0)</f>
        <v>41214</v>
      </c>
    </row>
    <row r="868">
      <c r="A868" s="32"/>
      <c r="I868" s="31" t="str">
        <f>IFERROR(__xludf.DUMMYFUNCTION("""COMPUTED_VALUE"""),"journal of neurooncology")</f>
        <v>journal of neurooncology</v>
      </c>
      <c r="J868" s="38">
        <f>COUNTIF(Data!$F$2:$F9917, $I868)</f>
        <v>1</v>
      </c>
      <c r="T868" s="31" t="s">
        <v>2522</v>
      </c>
      <c r="U868" s="31" t="s">
        <v>2523</v>
      </c>
      <c r="V868" s="32">
        <v>45082.0</v>
      </c>
      <c r="X868" s="31" t="str">
        <f>IFERROR(__xludf.DUMMYFUNCTION("""COMPUTED_VALUE"""),"Use of automated assessment for determining associations of low muscle mass and muscle loss with overall survival in patients with colorectal cancer - A validation study.")</f>
        <v>Use of automated assessment for determining associations of low muscle mass and muscle loss with overall survival in patients with colorectal cancer - A validation study.</v>
      </c>
      <c r="Y868" s="31" t="str">
        <f>IFERROR(__xludf.DUMMYFUNCTION("""COMPUTED_VALUE"""),"Smit, Karel C; Derksen, Jeroen W G; Kurk, Sophie A; Moeskops, Pim; Koopman, Miriam; Veldhuis, Wouter B; May, Anne M")</f>
        <v>Smit, Karel C; Derksen, Jeroen W G; Kurk, Sophie A; Moeskops, Pim; Koopman, Miriam; Veldhuis, Wouter B; May, Anne M</v>
      </c>
      <c r="Z868" s="31">
        <f>IFERROR(__xludf.DUMMYFUNCTION("""COMPUTED_VALUE"""),2024.0)</f>
        <v>2024</v>
      </c>
      <c r="AA868" s="31">
        <f>IFERROR(__xludf.DUMMYFUNCTION("""COMPUTED_VALUE"""),0.0)</f>
        <v>0</v>
      </c>
      <c r="AF868" s="31" t="str">
        <f>IFERROR(__xludf.DUMMYFUNCTION("""COMPUTED_VALUE"""),"Quantifying the validity of routine neonatal healthcare data in the Greater Accra Region, Ghana.")</f>
        <v>Quantifying the validity of routine neonatal healthcare data in the Greater Accra Region, Ghana.</v>
      </c>
      <c r="AG868" s="31" t="str">
        <f>IFERROR(__xludf.DUMMYFUNCTION("""COMPUTED_VALUE"""),"Kayode, Gbenga A; Amoakoh-Coleman, Mary; Brown-Davies, Charles; Grobbee, Diederick E; Agyepong, Irene Akua; Ansah, Evelyn; Klipstein-Grobusch, Kerstin")</f>
        <v>Kayode, Gbenga A; Amoakoh-Coleman, Mary; Brown-Davies, Charles; Grobbee, Diederick E; Agyepong, Irene Akua; Ansah, Evelyn; Klipstein-Grobusch, Kerstin</v>
      </c>
      <c r="AH868" s="32">
        <f>IFERROR(__xludf.DUMMYFUNCTION("""COMPUTED_VALUE"""),41872.0)</f>
        <v>41872</v>
      </c>
      <c r="AL868" s="31" t="str">
        <f>IFERROR(__xludf.DUMMYFUNCTION("""COMPUTED_VALUE"""),"Comparison of approaches to estimate confidence intervals of post-test probabilities of diagnostic test results in a nested case-control study.")</f>
        <v>Comparison of approaches to estimate confidence intervals of post-test probabilities of diagnostic test results in a nested case-control study.</v>
      </c>
      <c r="AM868" s="31" t="str">
        <f>IFERROR(__xludf.DUMMYFUNCTION("""COMPUTED_VALUE"""),"van Zaane, Bas; Vergouwe, Yvonne; Donders, A Rogier T; Moons, Karel G M")</f>
        <v>van Zaane, Bas; Vergouwe, Yvonne; Donders, A Rogier T; Moons, Karel G M</v>
      </c>
      <c r="AN868" s="32">
        <f>IFERROR(__xludf.DUMMYFUNCTION("""COMPUTED_VALUE"""),41213.0)</f>
        <v>41213</v>
      </c>
    </row>
    <row r="869">
      <c r="A869" s="32"/>
      <c r="I869" s="31" t="str">
        <f>IFERROR(__xludf.DUMMYFUNCTION("""COMPUTED_VALUE"""),"current medical research and opinion")</f>
        <v>current medical research and opinion</v>
      </c>
      <c r="J869" s="38">
        <f>COUNTIF(Data!$F$2:$F9917, $I869)</f>
        <v>3</v>
      </c>
      <c r="T869" s="31" t="s">
        <v>2527</v>
      </c>
      <c r="U869" s="31" t="s">
        <v>2528</v>
      </c>
      <c r="V869" s="32">
        <v>45080.0</v>
      </c>
      <c r="X869" s="31" t="str">
        <f>IFERROR(__xludf.DUMMYFUNCTION("""COMPUTED_VALUE"""),"Association of &lt;i&gt;Staphylococcus aureus&lt;/i&gt; Bacterial Load and Colonization Sites With the Risk of Postoperative &lt;i&gt;S. aureus&lt;/i&gt; Infection.")</f>
        <v>Association of &lt;i&gt;Staphylococcus aureus&lt;/i&gt; Bacterial Load and Colonization Sites With the Risk of Postoperative &lt;i&gt;S. aureus&lt;/i&gt; Infection.</v>
      </c>
      <c r="Y869" s="31" t="str">
        <f>IFERROR(__xludf.DUMMYFUNCTION("""COMPUTED_VALUE"""),"Troeman, Darren P R; Hazard, Derek; van Werkhoven, Cornelis H W; Timbermont, Leen; Malhotra-Kumar, Surbhi; Wolkewitz, Martin; Ruzin, Alexey; Sifakis, Frangiscos; Harbarth, Stephan; Kluytmans, Jan A J W; ,")</f>
        <v>Troeman, Darren P R; Hazard, Derek; van Werkhoven, Cornelis H W; Timbermont, Leen; Malhotra-Kumar, Surbhi; Wolkewitz, Martin; Ruzin, Alexey; Sifakis, Frangiscos; Harbarth, Stephan; Kluytmans, Jan A J W; ,</v>
      </c>
      <c r="Z869" s="31">
        <f>IFERROR(__xludf.DUMMYFUNCTION("""COMPUTED_VALUE"""),2024.0)</f>
        <v>2024</v>
      </c>
      <c r="AA869" s="31">
        <f>IFERROR(__xludf.DUMMYFUNCTION("""COMPUTED_VALUE"""),0.0)</f>
        <v>0</v>
      </c>
      <c r="AF869" s="31" t="str">
        <f>IFERROR(__xludf.DUMMYFUNCTION("""COMPUTED_VALUE"""),"Predictors of health care use by adults 50 years and over in a rural South African setting.")</f>
        <v>Predictors of health care use by adults 50 years and over in a rural South African setting.</v>
      </c>
      <c r="AG869" s="31" t="str">
        <f>IFERROR(__xludf.DUMMYFUNCTION("""COMPUTED_VALUE"""),"Ameh, Soter; Gómez-Olivé, Francesc Xavier; Kahn, Kathleen; Tollman, Stephen M; Klipstein-Grobusch, Kerstin")</f>
        <v>Ameh, Soter; Gómez-Olivé, Francesc Xavier; Kahn, Kathleen; Tollman, Stephen M; Klipstein-Grobusch, Kerstin</v>
      </c>
      <c r="AH869" s="32">
        <f>IFERROR(__xludf.DUMMYFUNCTION("""COMPUTED_VALUE"""),41852.0)</f>
        <v>41852</v>
      </c>
      <c r="AL869" s="31" t="str">
        <f>IFERROR(__xludf.DUMMYFUNCTION("""COMPUTED_VALUE"""),"New trends in the prevention and management of community-acquired pneumonia.")</f>
        <v>New trends in the prevention and management of community-acquired pneumonia.</v>
      </c>
      <c r="AM869" s="31" t="str">
        <f>IFERROR(__xludf.DUMMYFUNCTION("""COMPUTED_VALUE"""),"Postma, D F; van Werkhoven, C H; Huijts, S M; Bolkenbaas, M; Oosterheert, J J; Bonten, M J M")</f>
        <v>Postma, D F; van Werkhoven, C H; Huijts, S M; Bolkenbaas, M; Oosterheert, J J; Bonten, M J M</v>
      </c>
      <c r="AN869" s="32">
        <f>IFERROR(__xludf.DUMMYFUNCTION("""COMPUTED_VALUE"""),41183.0)</f>
        <v>41183</v>
      </c>
    </row>
    <row r="870">
      <c r="A870" s="32"/>
      <c r="I870" s="31" t="str">
        <f>IFERROR(__xludf.DUMMYFUNCTION("""COMPUTED_VALUE"""),"npj primary care respiratory medicine")</f>
        <v>npj primary care respiratory medicine</v>
      </c>
      <c r="J870" s="38">
        <f>COUNTIF(Data!$F$2:$F9917, $I870)</f>
        <v>4</v>
      </c>
      <c r="T870" s="31" t="s">
        <v>2531</v>
      </c>
      <c r="U870" s="31" t="s">
        <v>2532</v>
      </c>
      <c r="V870" s="32">
        <v>45080.0</v>
      </c>
      <c r="X870" s="31" t="str">
        <f>IFERROR(__xludf.DUMMYFUNCTION("""COMPUTED_VALUE"""),"Single-cell Sequencing of Circulating Human Plasmablasts during Staphylococcus aureus Bacteremia.")</f>
        <v>Single-cell Sequencing of Circulating Human Plasmablasts during Staphylococcus aureus Bacteremia.</v>
      </c>
      <c r="Y870" s="31" t="str">
        <f>IFERROR(__xludf.DUMMYFUNCTION("""COMPUTED_VALUE"""),"Kerkman, Priscilla F; de Vor, Lisanne; van der Vaart, Thomas W; Ten Doesschate, Thijs; Muts, Remy M; Depelteau, Jamie S; Scheepmaker, Lisette M; Ruyken, Maartje; de Haas, Carla J C; Aerts, Piet C; Marijnissen, Renoud J; Schuurman, Janine; Beurskens, Frank"&amp;" J; Gorlani, Andrea; Bardoel, Bart W; Rooijakkers, Suzan H M")</f>
        <v>Kerkman, Priscilla F; de Vor, Lisanne; van der Vaart, Thomas W; Ten Doesschate, Thijs; Muts, Remy M; Depelteau, Jamie S; Scheepmaker, Lisette M; Ruyken, Maartje; de Haas, Carla J C; Aerts, Piet C; Marijnissen, Renoud J; Schuurman, Janine; Beurskens, Frank J; Gorlani, Andrea; Bardoel, Bart W; Rooijakkers, Suzan H M</v>
      </c>
      <c r="Z870" s="31">
        <f>IFERROR(__xludf.DUMMYFUNCTION("""COMPUTED_VALUE"""),2024.0)</f>
        <v>2024</v>
      </c>
      <c r="AA870" s="31">
        <f>IFERROR(__xludf.DUMMYFUNCTION("""COMPUTED_VALUE"""),0.0)</f>
        <v>0</v>
      </c>
      <c r="AF870" s="31" t="str">
        <f>IFERROR(__xludf.DUMMYFUNCTION("""COMPUTED_VALUE"""),"Avoid surgery as first line treatment for non-specific low back pain.")</f>
        <v>Avoid surgery as first line treatment for non-specific low back pain.</v>
      </c>
      <c r="AG870" s="31" t="str">
        <f>IFERROR(__xludf.DUMMYFUNCTION("""COMPUTED_VALUE"""),"Peul, Wilco C; Bredenoord, Annelien L; Jacobs, Wilco C H")</f>
        <v>Peul, Wilco C; Bredenoord, Annelien L; Jacobs, Wilco C H</v>
      </c>
      <c r="AH870" s="32">
        <f>IFERROR(__xludf.DUMMYFUNCTION("""COMPUTED_VALUE"""),41836.0)</f>
        <v>41836</v>
      </c>
      <c r="AL870" s="31" t="str">
        <f>IFERROR(__xludf.DUMMYFUNCTION("""COMPUTED_VALUE"""),"Determinants of non- response to a second assessment of lifestyle factors and body weight in the EPIC-PANACEA study.")</f>
        <v>Determinants of non- response to a second assessment of lifestyle factors and body weight in the EPIC-PANACEA study.</v>
      </c>
      <c r="AM870" s="31" t="str">
        <f>IFERROR(__xludf.DUMMYFUNCTION("""COMPUTED_VALUE"""),"May, Anne M; Adema, Lotte E; Romaguera, Dora; Vergnaud, Anne-Claire; Agudo, Antonio; Ekelund, Ulf; Steffen, Annika; Orfanos, Philippos; Slimani, Nadia; Rinaldi, Sabina; Mouw, Traci; Rohrmann, Sabine; Hermann, Silke; Boeing, Heiner; Bergmann, Manuela M; Ja"&amp;"kobsen, Marianne Uhre; Overvad, Kim; Wareham, Nicholas J; Gonzalez, Carlos; Tjonneland, Anne; Halkjaer, Jytte; Key, Timothy J; Spencer, Elizabeth A; Hellstrom, Veronica; Manjer, Jonas; Hedblad, Bo; Lund, Eiliv; Braaten, Tonje; Clavel-Chapelon, Françoise; "&amp;"Boutron-Ruault, Marie-Christine; Rodríguez, Laudina; Sánchez, Maria J; Dorronsoro, Miren; Barricarte, Aurelio; Huerta, Jose Maria; Naska, Androniki; Trichopoulou, Antonia; Palli, Domenico; Pala, Valeria; Norat, Teresa; Mattiello, Amalia; Tumino, Rosario; "&amp;"van der A, Daphne; Bueno-de-Mesquita, H Bas; Riboli, Elio; Peeters, Petra H M")</f>
        <v>May, Anne M; Adema, Lotte E; Romaguera, Dora; Vergnaud, Anne-Claire; Agudo, Antonio; Ekelund, Ulf; Steffen, Annika; Orfanos, Philippos; Slimani, Nadia; Rinaldi, Sabina; Mouw, Traci; Rohrmann, Sabine; Hermann, Silke; Boeing, Heiner; Bergmann, Manuela M; Jakobsen, Marianne Uhre; Overvad, Kim; Wareham, Nicholas J; Gonzalez, Carlos; Tjonneland, Anne; Halkjaer, Jytte; Key, Timothy J; Spencer, Elizabeth A; Hellstrom, Veronica; Manjer, Jonas; Hedblad, Bo; Lund, Eiliv; Braaten, Tonje; Clavel-Chapelon, Françoise; Boutron-Ruault, Marie-Christine; Rodríguez, Laudina; Sánchez, Maria J; Dorronsoro, Miren; Barricarte, Aurelio; Huerta, Jose Maria; Naska, Androniki; Trichopoulou, Antonia; Palli, Domenico; Pala, Valeria; Norat, Teresa; Mattiello, Amalia; Tumino, Rosario; van der A, Daphne; Bueno-de-Mesquita, H Bas; Riboli, Elio; Peeters, Petra H M</v>
      </c>
      <c r="AN870" s="32">
        <f>IFERROR(__xludf.DUMMYFUNCTION("""COMPUTED_VALUE"""),41176.0)</f>
        <v>41176</v>
      </c>
    </row>
    <row r="871">
      <c r="A871" s="32"/>
      <c r="I871" s="31" t="str">
        <f>IFERROR(__xludf.DUMMYFUNCTION("""COMPUTED_VALUE"""),"the new phytologist")</f>
        <v>the new phytologist</v>
      </c>
      <c r="J871" s="38">
        <f>COUNTIF(Data!$F$2:$F9917, $I871)</f>
        <v>1</v>
      </c>
      <c r="T871" s="31" t="s">
        <v>2534</v>
      </c>
      <c r="U871" s="31" t="s">
        <v>2535</v>
      </c>
      <c r="V871" s="32">
        <v>45078.0</v>
      </c>
      <c r="X871" s="31" t="str">
        <f>IFERROR(__xludf.DUMMYFUNCTION("""COMPUTED_VALUE"""),"Longitudinal assessment of immunoglobulin response and disease progression in critically ill patients with community acquired pneumonia.")</f>
        <v>Longitudinal assessment of immunoglobulin response and disease progression in critically ill patients with community acquired pneumonia.</v>
      </c>
      <c r="Y871" s="31" t="str">
        <f>IFERROR(__xludf.DUMMYFUNCTION("""COMPUTED_VALUE"""),"Rademaker, Emma; Vernooij, Lisette M; van der Poll, Tom; Bonten, Marc J M; Leavis, Helen; Cremer, Olaf L; Derde, Lennie P G")</f>
        <v>Rademaker, Emma; Vernooij, Lisette M; van der Poll, Tom; Bonten, Marc J M; Leavis, Helen; Cremer, Olaf L; Derde, Lennie P G</v>
      </c>
      <c r="Z871" s="31">
        <f>IFERROR(__xludf.DUMMYFUNCTION("""COMPUTED_VALUE"""),2024.0)</f>
        <v>2024</v>
      </c>
      <c r="AA871" s="31">
        <f>IFERROR(__xludf.DUMMYFUNCTION("""COMPUTED_VALUE"""),0.0)</f>
        <v>0</v>
      </c>
      <c r="AF871" s="31" t="str">
        <f>IFERROR(__xludf.DUMMYFUNCTION("""COMPUTED_VALUE"""),"Association between alcohol and cardiovascular disease: Mendelian randomisation analysis based on individual participant data.")</f>
        <v>Association between alcohol and cardiovascular disease: Mendelian randomisation analysis based on individual participant data.</v>
      </c>
      <c r="AG871" s="31" t="str">
        <f>IFERROR(__xludf.DUMMYFUNCTION("""COMPUTED_VALUE"""),"Holmes, Michael V; Dale, Caroline E; Zuccolo, Luisa; Silverwood, Richard J; Guo, Yiran; Ye, Zheng; Prieto-Merino, David; Dehghan, Abbas; Trompet, Stella; Wong, Andrew; Cavadino, Alana; Drogan, Dagmar; Padmanabhan, Sandosh; Li, Shanshan; Yesupriya, Ajay; L"&amp;"eusink, Maarten; Sundstrom, Johan; Hubacek, Jaroslav A; Pikhart, Hynek; Swerdlow, Daniel I; Panayiotou, Andrie G; Borinskaya, Svetlana A; Finan, Chris; Shah, Sonia; Kuchenbaecker, Karoline B; Shah, Tina; Engmann, Jorgen; Folkersen, Lasse; Eriksson, Per; R"&amp;"icceri, Fulvio; Melander, Olle; Sacerdote, Carlotta; Gamble, Dale M; Rayaprolu, Sruti; Ross, Owen A; McLachlan, Stela; Vikhireva, Olga; Sluijs, Ivonne; Scott, Robert A; Adamkova, Vera; Flicker, Leon; Bockxmeer, Frank M van; Power, Christine; Marques-Vidal"&amp;", Pedro; Meade, Tom; Marmot, Michael G; Ferro, Jose M; Paulos-Pinheiro, Sofia; Humphries, Steve E; Talmud, Philippa J; Mateo Leach, Irene; Verweij, Niek; Linneberg, Allan; Skaaby, Tea; Doevendans, Pieter A; Cramer, Maarten J; van der H")</f>
        <v>Holmes, Michael V; Dale, Caroline E; Zuccolo, Luisa; Silverwood, Richard J; Guo, Yiran; Ye, Zheng; Prieto-Merino, David; Dehghan, Abbas; Trompet, Stella; Wong, Andrew; Cavadino, Alana; Drogan, Dagmar; Padmanabhan, Sandosh; Li, Shanshan; Yesupriya, Ajay; Leusink, Maarten; Sundstrom, Johan; Hubacek, Jaroslav A; Pikhart, Hynek; Swerdlow, Daniel I; Panayiotou, Andrie G; Borinskaya, Svetlana A; Finan, Chris; Shah, Sonia; Kuchenbaecker, Karoline B; Shah, Tina; Engmann, Jorgen; Folkersen, Lasse; Eriksson, Per; Ricceri, Fulvio; Melander, Olle; Sacerdote, Carlotta; Gamble, Dale M; Rayaprolu, Sruti; Ross, Owen A; McLachlan, Stela; Vikhireva, Olga; Sluijs, Ivonne; Scott, Robert A; Adamkova, Vera; Flicker, Leon; Bockxmeer, Frank M van; Power, Christine; Marques-Vidal, Pedro; Meade, Tom; Marmot, Michael G; Ferro, Jose M; Paulos-Pinheiro, Sofia; Humphries, Steve E; Talmud, Philippa J; Mateo Leach, Irene; Verweij, Niek; Linneberg, Allan; Skaaby, Tea; Doevendans, Pieter A; Cramer, Maarten J; van der H</v>
      </c>
      <c r="AH871" s="32">
        <f>IFERROR(__xludf.DUMMYFUNCTION("""COMPUTED_VALUE"""),41830.0)</f>
        <v>41830</v>
      </c>
      <c r="AL871" s="31" t="str">
        <f>IFERROR(__xludf.DUMMYFUNCTION("""COMPUTED_VALUE"""),"Lessons from the past and promises for the future for carotid intima-media thickness.")</f>
        <v>Lessons from the past and promises for the future for carotid intima-media thickness.</v>
      </c>
      <c r="AM871" s="31" t="str">
        <f>IFERROR(__xludf.DUMMYFUNCTION("""COMPUTED_VALUE"""),"Bots, Michiel L; Sutton-Tyrrell, Kim")</f>
        <v>Bots, Michiel L; Sutton-Tyrrell, Kim</v>
      </c>
      <c r="AN871" s="32">
        <f>IFERROR(__xludf.DUMMYFUNCTION("""COMPUTED_VALUE"""),41171.0)</f>
        <v>41171</v>
      </c>
    </row>
    <row r="872">
      <c r="A872" s="32"/>
      <c r="I872" s="31" t="str">
        <f>IFERROR(__xludf.DUMMYFUNCTION("""COMPUTED_VALUE"""),"cardiology")</f>
        <v>cardiology</v>
      </c>
      <c r="J872" s="38">
        <f>COUNTIF(Data!$F$2:$F9917, $I872)</f>
        <v>1</v>
      </c>
      <c r="T872" s="31" t="s">
        <v>2538</v>
      </c>
      <c r="U872" s="31" t="s">
        <v>2539</v>
      </c>
      <c r="V872" s="32">
        <v>45078.0</v>
      </c>
      <c r="X872" s="31" t="str">
        <f>IFERROR(__xludf.DUMMYFUNCTION("""COMPUTED_VALUE"""),"Antimicrobial resistance genes acquisition among Dutch intercontinental travellers: a prospective multicentre study.")</f>
        <v>Antimicrobial resistance genes acquisition among Dutch intercontinental travellers: a prospective multicentre study.</v>
      </c>
      <c r="Y872" s="31" t="str">
        <f>IFERROR(__xludf.DUMMYFUNCTION("""COMPUTED_VALUE"""),"Chan, Jiyang; Best, Niels; Arcilla, Maris; Hattem, Jarne; Melles, Damian C; Jong, Menno D; Schultsz, Constance; Genderen, Perry J J; Bootsma, Martin C J; Goorhuis, Abraham; Grobusch, Martin P; Oude Lashof, Astrid M; Verbrugh, Henri A; Penders, John; ,")</f>
        <v>Chan, Jiyang; Best, Niels; Arcilla, Maris; Hattem, Jarne; Melles, Damian C; Jong, Menno D; Schultsz, Constance; Genderen, Perry J J; Bootsma, Martin C J; Goorhuis, Abraham; Grobusch, Martin P; Oude Lashof, Astrid M; Verbrugh, Henri A; Penders, John; ,</v>
      </c>
      <c r="Z872" s="31">
        <f>IFERROR(__xludf.DUMMYFUNCTION("""COMPUTED_VALUE"""),2024.0)</f>
        <v>2024</v>
      </c>
      <c r="AA872" s="31">
        <f>IFERROR(__xludf.DUMMYFUNCTION("""COMPUTED_VALUE"""),0.0)</f>
        <v>0</v>
      </c>
      <c r="AF872" s="31" t="str">
        <f>IFERROR(__xludf.DUMMYFUNCTION("""COMPUTED_VALUE"""),"The differential production cross section of the [Formula: see text](1020) meson in [Formula: see text] = 7 TeV [Formula: see text] collisions measured with the ATLAS detector.")</f>
        <v>The differential production cross section of the [Formula: see text](1020) meson in [Formula: see text] = 7 TeV [Formula: see text] collisions measured with the ATLAS detector.</v>
      </c>
      <c r="AG872" s="31"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S; Alam, M A; Albert, J; Albrand, S; Aleksa, M; Aleksandrov, I N; Alessandria, F; Alexa, C"&amp;"; Alexander, G; Alexandre, G; Alexopoulos, T; Alhroob, M; Aliev, M; Alimonti, G; Alison, J; Allbrooke, B M M; Allport, P P; Allwood-Spiers, S E; Almond, J; Aloisio, A; Alon, R; Alonso, A; Alonso, F; Altheimer, A; Alvarez Gonzalez, B; Alviggi, M G; Amako, "&amp;"K; Amelung, C; Ammosov, V V; Amor Dos Santos, S P; Amorim, A;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v>
      </c>
      <c r="AH872" s="32">
        <f>IFERROR(__xludf.DUMMYFUNCTION("""COMPUTED_VALUE"""),41821.0)</f>
        <v>41821</v>
      </c>
      <c r="AL872" s="31" t="str">
        <f>IFERROR(__xludf.DUMMYFUNCTION("""COMPUTED_VALUE"""),"Systematic reviews of studies quantifying the accuracy of diagnostic tests and markers.")</f>
        <v>Systematic reviews of studies quantifying the accuracy of diagnostic tests and markers.</v>
      </c>
      <c r="AM872" s="31" t="str">
        <f>IFERROR(__xludf.DUMMYFUNCTION("""COMPUTED_VALUE"""),"Reitsma, Johannes B; Moons, Karel G M; Bossuyt, Patrick M M; Linnet, Kristian")</f>
        <v>Reitsma, Johannes B; Moons, Karel G M; Bossuyt, Patrick M M; Linnet, Kristian</v>
      </c>
      <c r="AN872" s="32">
        <f>IFERROR(__xludf.DUMMYFUNCTION("""COMPUTED_VALUE"""),41170.0)</f>
        <v>41170</v>
      </c>
    </row>
    <row r="873">
      <c r="A873" s="32"/>
      <c r="I873" s="31" t="str">
        <f>IFERROR(__xludf.DUMMYFUNCTION("""COMPUTED_VALUE"""),"acta diabetologica")</f>
        <v>acta diabetologica</v>
      </c>
      <c r="J873" s="38">
        <f>COUNTIF(Data!$F$2:$F9917, $I873)</f>
        <v>3</v>
      </c>
      <c r="T873" s="31" t="s">
        <v>2543</v>
      </c>
      <c r="U873" s="31" t="s">
        <v>2544</v>
      </c>
      <c r="V873" s="32">
        <v>45078.0</v>
      </c>
      <c r="X873" s="31" t="str">
        <f>IFERROR(__xludf.DUMMYFUNCTION("""COMPUTED_VALUE"""),"Age-specific SARS-CoV-2 transmission differed from human rhinovirus in households during the early COVID-19 pandemic.")</f>
        <v>Age-specific SARS-CoV-2 transmission differed from human rhinovirus in households during the early COVID-19 pandemic.</v>
      </c>
      <c r="Y873" s="31" t="str">
        <f>IFERROR(__xludf.DUMMYFUNCTION("""COMPUTED_VALUE"""),"Boom, Trisja T; de Hoog, Marieke L A; Westerhof, Ilse; Jaddoe, Vincent; Heuvelman, Valerie D; Fourie, Elandri; Sluiter-Post, Judith G C; Badoux, Paul; Euser, Sjoerd; Herpers, Bjorn; Sanders, Elisabeth A M; Eggink, Dirk; Reusken, Chantal; Bont, Louis J; Wi"&amp;"ldenbeest, Joanne G; van Houten, Marlies A; Duijts, Liesbeth; Bruijning-Verhagen, Patricia C J L")</f>
        <v>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v>
      </c>
      <c r="Z873" s="31">
        <f>IFERROR(__xludf.DUMMYFUNCTION("""COMPUTED_VALUE"""),2024.0)</f>
        <v>2024</v>
      </c>
      <c r="AA873" s="31">
        <f>IFERROR(__xludf.DUMMYFUNCTION("""COMPUTED_VALUE"""),0.0)</f>
        <v>0</v>
      </c>
      <c r="AF873" s="31" t="str">
        <f>IFERROR(__xludf.DUMMYFUNCTION("""COMPUTED_VALUE"""),"The influence of vascular risk factors on cognitive decline in patients with Alzheimer's disease.")</f>
        <v>The influence of vascular risk factors on cognitive decline in patients with Alzheimer's disease.</v>
      </c>
      <c r="AG873" s="31" t="str">
        <f>IFERROR(__xludf.DUMMYFUNCTION("""COMPUTED_VALUE"""),"Blom, Kim; Vaartjes, Ilonca; Peters, Sanne A E; Koek, Huiberdina L")</f>
        <v>Blom, Kim; Vaartjes, Ilonca; Peters, Sanne A E; Koek, Huiberdina L</v>
      </c>
      <c r="AH873" s="32">
        <f>IFERROR(__xludf.DUMMYFUNCTION("""COMPUTED_VALUE"""),41820.0)</f>
        <v>41820</v>
      </c>
      <c r="AL873" s="31" t="str">
        <f>IFERROR(__xludf.DUMMYFUNCTION("""COMPUTED_VALUE"""),"Incorporating published univariable associations in diagnostic and prognostic modeling.")</f>
        <v>Incorporating published univariable associations in diagnostic and prognostic modeling.</v>
      </c>
      <c r="AM873" s="31" t="str">
        <f>IFERROR(__xludf.DUMMYFUNCTION("""COMPUTED_VALUE"""),"Debray, Thomas P A; Koffijberg, Hendrik; Lu, Difei; Vergouwe, Yvonne; Steyerberg, Ewout W; Moons, Karel G M")</f>
        <v>Debray, Thomas P A; Koffijberg, Hendrik; Lu, Difei; Vergouwe, Yvonne; Steyerberg, Ewout W; Moons, Karel G M</v>
      </c>
      <c r="AN873" s="32">
        <f>IFERROR(__xludf.DUMMYFUNCTION("""COMPUTED_VALUE"""),41131.0)</f>
        <v>41131</v>
      </c>
    </row>
    <row r="874">
      <c r="A874" s="32"/>
      <c r="I874" s="31" t="str">
        <f>IFERROR(__xludf.DUMMYFUNCTION("""COMPUTED_VALUE"""),"infectious disease modelling")</f>
        <v>infectious disease modelling</v>
      </c>
      <c r="J874" s="38">
        <f>COUNTIF(Data!$F$2:$F9917, $I874)</f>
        <v>1</v>
      </c>
      <c r="T874" s="31" t="s">
        <v>2547</v>
      </c>
      <c r="U874" s="31" t="s">
        <v>2548</v>
      </c>
      <c r="V874" s="32">
        <v>45077.0</v>
      </c>
      <c r="X874" s="31" t="str">
        <f>IFERROR(__xludf.DUMMYFUNCTION("""COMPUTED_VALUE"""),"Sex differences in cognitive functioning in patients with heart failure.")</f>
        <v>Sex differences in cognitive functioning in patients with heart failure.</v>
      </c>
      <c r="Y874" s="31" t="str">
        <f>IFERROR(__xludf.DUMMYFUNCTION("""COMPUTED_VALUE"""),"Kuipers, Sanne; Kappelle, L Jaap; Greving, Jacoba P; Amier, Raquel P; de Bresser, Jeroen; Bron, Esther E; Leeuwis, Anna E; Marcks, Nick; den Ruijter, Hester M; Biessels, Geert Jan; Exalto, Lieza G; ,")</f>
        <v>Kuipers, Sanne; Kappelle, L Jaap; Greving, Jacoba P; Amier, Raquel P; de Bresser, Jeroen; Bron, Esther E; Leeuwis, Anna E; Marcks, Nick; den Ruijter, Hester M; Biessels, Geert Jan; Exalto, Lieza G; ,</v>
      </c>
      <c r="Z874" s="31">
        <f>IFERROR(__xludf.DUMMYFUNCTION("""COMPUTED_VALUE"""),2024.0)</f>
        <v>2024</v>
      </c>
      <c r="AA874" s="31">
        <f>IFERROR(__xludf.DUMMYFUNCTION("""COMPUTED_VALUE"""),0.0)</f>
        <v>0</v>
      </c>
      <c r="AF874" s="31" t="str">
        <f>IFERROR(__xludf.DUMMYFUNCTION("""COMPUTED_VALUE"""),"The complexity after simplicity: how to proceed with renal denervation in hypertension?")</f>
        <v>The complexity after simplicity: how to proceed with renal denervation in hypertension?</v>
      </c>
      <c r="AG874" s="31" t="str">
        <f>IFERROR(__xludf.DUMMYFUNCTION("""COMPUTED_VALUE"""),"Blankestijn, Peter J; Alings, Marco; Voskuil, Michiel; Grobbee, Diederick E")</f>
        <v>Blankestijn, Peter J; Alings, Marco; Voskuil, Michiel; Grobbee, Diederick E</v>
      </c>
      <c r="AH874" s="32">
        <f>IFERROR(__xludf.DUMMYFUNCTION("""COMPUTED_VALUE"""),41799.0)</f>
        <v>41799</v>
      </c>
      <c r="AL874" s="31" t="str">
        <f>IFERROR(__xludf.DUMMYFUNCTION("""COMPUTED_VALUE"""),"Dynamic concurrent partnership networks incorporating demography.")</f>
        <v>Dynamic concurrent partnership networks incorporating demography.</v>
      </c>
      <c r="AM874" s="31" t="str">
        <f>IFERROR(__xludf.DUMMYFUNCTION("""COMPUTED_VALUE"""),"Leung, K Y; Kretzschmar, M E E; Diekmann, O")</f>
        <v>Leung, K Y; Kretzschmar, M E E; Diekmann, O</v>
      </c>
      <c r="AN874" s="32">
        <f>IFERROR(__xludf.DUMMYFUNCTION("""COMPUTED_VALUE"""),41122.0)</f>
        <v>41122</v>
      </c>
    </row>
    <row r="875">
      <c r="A875" s="32"/>
      <c r="I875" s="31" t="str">
        <f>IFERROR(__xludf.DUMMYFUNCTION("""COMPUTED_VALUE"""),"osteoarthritis and cartilage")</f>
        <v>osteoarthritis and cartilage</v>
      </c>
      <c r="J875" s="38">
        <f>COUNTIF(Data!$F$2:$F9917, $I875)</f>
        <v>1</v>
      </c>
      <c r="T875" s="31" t="s">
        <v>2550</v>
      </c>
      <c r="U875" s="31" t="s">
        <v>2551</v>
      </c>
      <c r="V875" s="32">
        <v>45077.0</v>
      </c>
      <c r="X875" s="31" t="str">
        <f>IFERROR(__xludf.DUMMYFUNCTION("""COMPUTED_VALUE"""),"Updating methods for AI-based clinical prediction models: a scoping review.")</f>
        <v>Updating methods for AI-based clinical prediction models: a scoping review.</v>
      </c>
      <c r="Y875" s="31"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Z875" s="31">
        <f>IFERROR(__xludf.DUMMYFUNCTION("""COMPUTED_VALUE"""),2024.0)</f>
        <v>2024</v>
      </c>
      <c r="AA875" s="31">
        <f>IFERROR(__xludf.DUMMYFUNCTION("""COMPUTED_VALUE"""),0.0)</f>
        <v>0</v>
      </c>
      <c r="AF875" s="31" t="str">
        <f>IFERROR(__xludf.DUMMYFUNCTION("""COMPUTED_VALUE"""),"Nutrient patterns and their food sources in an International Study Setting: report from the EPIC study.")</f>
        <v>Nutrient patterns and their food sources in an International Study Setting: report from the EPIC study.</v>
      </c>
      <c r="AG875" s="31" t="str">
        <f>IFERROR(__xludf.DUMMYFUNCTION("""COMPUTED_VALUE"""),"Moskal, Aurelie; Pisa, Pedro T; Ferrari, Pietro; Byrnes, Graham; Freisling, Heinz; Boutron-Ruault, Marie-Christine; Cadeau, Claire; Nailler, Laura; Wendt, Andrea; Kühn, Tilman; Boeing, Heiner; Buijsse, Brian; Tjønneland, Anne; Halkjær, Jytte; Dahm, Christ"&amp;"ina C; Chiuve, Stephanie E; Quirós, Jose R; Buckland, Genevieve; Molina-Montes, Esther; Amiano, Pilar; Huerta Castaño, José M; Gurrea, Aurelio Barricarte; Khaw, Kay-Tee; Lentjes, Marleen A; Key, Timothy J; Romaguera, Dora; Vergnaud, Anne-Claire; Trichopou"&amp;"lou, Antonia; Bamia, Christina; Orfanos, Philippos; Palli, Domenico; Pala, Valeria; Tumino, Rosario; Sacerdote, Carlotta; de Magistris, Maria Santucci; Bueno-de-Mesquita, H Bas; Ocké, Marga C; Beulens, Joline W J; Ericson, Ulrika; Drake, Isabel; Nilsson, "&amp;"Lena M; Winkvist, Anna; Weiderpass, Elisabete; Hjartåker, Anette; Riboli, Elio; Slimani, Nadia")</f>
        <v>Moskal, Aurelie; Pisa, Pedro T; Ferrari, Pietro; Byrnes, Graham; Freisling, Heinz; Boutron-Ruault, Marie-Christine; Cadeau, Claire; Nailler, Laura; Wendt, Andrea; Kühn, Tilman; Boeing, Heiner; Buijsse, Brian; Tjønneland, Anne; Halkjær, Jytte; Dahm, Christina C; Chiuve, Stephanie E; Quirós, Jose R; Buckland, Genevieve; Molina-Montes, Esther; Amiano, Pilar; Huerta Castaño, José M; Gurrea, Aurelio Barricarte; Khaw, Kay-Tee; Lentjes, Marleen A; Key, Timothy J; Romaguera, Dora; Vergnaud, Anne-Claire; Trichopoulou, Antonia; Bamia, Christina; Orfanos, Philippos; Palli, Domenico; Pala, Valeria; Tumino, Rosario; Sacerdote, Carlotta; de Magistris, Maria Santucci; Bueno-de-Mesquita, H Bas; Ocké, Marga C; Beulens, Joline W J; Ericson, Ulrika; Drake, Isabel; Nilsson, Lena M; Winkvist, Anna; Weiderpass, Elisabete; Hjartåker, Anette; Riboli, Elio; Slimani, Nadia</v>
      </c>
      <c r="AH875" s="32">
        <f>IFERROR(__xludf.DUMMYFUNCTION("""COMPUTED_VALUE"""),41795.0)</f>
        <v>41795</v>
      </c>
      <c r="AL875" s="31" t="str">
        <f>IFERROR(__xludf.DUMMYFUNCTION("""COMPUTED_VALUE"""),"Aggregating published prediction models with individual participant data: a comparison of different approaches.")</f>
        <v>Aggregating published prediction models with individual participant data: a comparison of different approaches.</v>
      </c>
      <c r="AM875" s="31" t="str">
        <f>IFERROR(__xludf.DUMMYFUNCTION("""COMPUTED_VALUE"""),"Debray, Thomas P A; Koffijberg, Hendrik; Vergouwe, Yvonne; Moons, Karel G M; Steyerberg, Ewout W")</f>
        <v>Debray, Thomas P A; Koffijberg, Hendrik; Vergouwe, Yvonne; Moons, Karel G M; Steyerberg, Ewout W</v>
      </c>
      <c r="AN875" s="32">
        <f>IFERROR(__xludf.DUMMYFUNCTION("""COMPUTED_VALUE"""),41086.0)</f>
        <v>41086</v>
      </c>
    </row>
    <row r="876">
      <c r="A876" s="32"/>
      <c r="I876" s="31" t="str">
        <f>IFERROR(__xludf.DUMMYFUNCTION("""COMPUTED_VALUE"""),"british journal of sports medicine")</f>
        <v>british journal of sports medicine</v>
      </c>
      <c r="J876" s="38">
        <f>COUNTIF(Data!$F$2:$F9917, $I876)</f>
        <v>1</v>
      </c>
      <c r="T876" s="31" t="s">
        <v>2554</v>
      </c>
      <c r="U876" s="31" t="s">
        <v>2555</v>
      </c>
      <c r="V876" s="32">
        <v>45077.0</v>
      </c>
      <c r="X876" s="31" t="str">
        <f>IFERROR(__xludf.DUMMYFUNCTION("""COMPUTED_VALUE"""),"Applying natural language processing to patient messages to identify depression concerns in cancer patients.")</f>
        <v>Applying natural language processing to patient messages to identify depression concerns in cancer patients.</v>
      </c>
      <c r="Y876" s="31" t="str">
        <f>IFERROR(__xludf.DUMMYFUNCTION("""COMPUTED_VALUE"""),"van Buchem, Marieke M; de Hond, Anne A H; Fanconi, Claudio; Shah, Vaibhavi; Schuessler, Max; Kant, Ilse M J; Steyerberg, Ewout W; Hernandez-Boussard, Tina")</f>
        <v>van Buchem, Marieke M; de Hond, Anne A H; Fanconi, Claudio; Shah, Vaibhavi; Schuessler, Max; Kant, Ilse M J; Steyerberg, Ewout W; Hernandez-Boussard, Tina</v>
      </c>
      <c r="Z876" s="31">
        <f>IFERROR(__xludf.DUMMYFUNCTION("""COMPUTED_VALUE"""),2024.0)</f>
        <v>2024</v>
      </c>
      <c r="AA876" s="31">
        <f>IFERROR(__xludf.DUMMYFUNCTION("""COMPUTED_VALUE"""),0.0)</f>
        <v>0</v>
      </c>
      <c r="AF876" s="31" t="str">
        <f>IFERROR(__xludf.DUMMYFUNCTION("""COMPUTED_VALUE"""),"Diabetes as risk factor for incident coronary heart disease in women compared with men: a systematic review and meta-analysis of 64 cohorts including 858,507 individuals and 28,203 coronary events.")</f>
        <v>Diabetes as risk factor for incident coronary heart disease in women compared with men: a systematic review and meta-analysis of 64 cohorts including 858,507 individuals and 28,203 coronary events.</v>
      </c>
      <c r="AG876" s="31" t="str">
        <f>IFERROR(__xludf.DUMMYFUNCTION("""COMPUTED_VALUE"""),"Peters, Sanne A E; Huxley, Rachel R; Woodward, Mark")</f>
        <v>Peters, Sanne A E; Huxley, Rachel R; Woodward, Mark</v>
      </c>
      <c r="AH876" s="32">
        <f>IFERROR(__xludf.DUMMYFUNCTION("""COMPUTED_VALUE"""),41784.0)</f>
        <v>41784</v>
      </c>
      <c r="AL876" s="31" t="str">
        <f>IFERROR(__xludf.DUMMYFUNCTION("""COMPUTED_VALUE"""),"Associations of current and remitted major depressive disorder with brain atrophy: the AGES-Reykjavik Study.")</f>
        <v>Associations of current and remitted major depressive disorder with brain atrophy: the AGES-Reykjavik Study.</v>
      </c>
      <c r="AM876" s="31" t="str">
        <f>IFERROR(__xludf.DUMMYFUNCTION("""COMPUTED_VALUE"""),"Geerlings, M I; Sigurdsson, S; Eiriksdottir, G; Garcia, M E; Harris, T B; Sigurdsson, T; Gudnason, V; Launer, L J")</f>
        <v>Geerlings, M I; Sigurdsson, S; Eiriksdottir, G; Garcia, M E; Harris, T B; Sigurdsson, T; Gudnason, V; Launer, L J</v>
      </c>
      <c r="AN876" s="32">
        <f>IFERROR(__xludf.DUMMYFUNCTION("""COMPUTED_VALUE"""),41059.0)</f>
        <v>41059</v>
      </c>
    </row>
    <row r="877">
      <c r="A877" s="32"/>
      <c r="I877" s="31" t="str">
        <f>IFERROR(__xludf.DUMMYFUNCTION("""COMPUTED_VALUE"""),"sports medicine open")</f>
        <v>sports medicine open</v>
      </c>
      <c r="J877" s="38">
        <f>COUNTIF(Data!$F$2:$F9917, $I877)</f>
        <v>1</v>
      </c>
      <c r="T877" s="31" t="s">
        <v>2558</v>
      </c>
      <c r="U877" s="31" t="s">
        <v>2559</v>
      </c>
      <c r="V877" s="32">
        <v>45076.0</v>
      </c>
      <c r="X877" s="31" t="str">
        <f>IFERROR(__xludf.DUMMYFUNCTION("""COMPUTED_VALUE"""),"Risk-Based Decision Making: Estimands for Sequential Prediction Under Interventions.")</f>
        <v>Risk-Based Decision Making: Estimands for Sequential Prediction Under Interventions.</v>
      </c>
      <c r="Y877" s="31"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Z877" s="31">
        <f>IFERROR(__xludf.DUMMYFUNCTION("""COMPUTED_VALUE"""),2024.0)</f>
        <v>2024</v>
      </c>
      <c r="AA877" s="31">
        <f>IFERROR(__xludf.DUMMYFUNCTION("""COMPUTED_VALUE"""),0.0)</f>
        <v>0</v>
      </c>
      <c r="AF877" s="31" t="str">
        <f>IFERROR(__xludf.DUMMYFUNCTION("""COMPUTED_VALUE"""),"Prospective double-blind preoperative pain clinic screening before microsurgical denervation of the spermatic cord in patients with testicular pain syndrome.")</f>
        <v>Prospective double-blind preoperative pain clinic screening before microsurgical denervation of the spermatic cord in patients with testicular pain syndrome.</v>
      </c>
      <c r="AG877" s="31" t="str">
        <f>IFERROR(__xludf.DUMMYFUNCTION("""COMPUTED_VALUE"""),"Oomen, Robert J A; Witjens, Annemijke C; van Wijck, Albert J M; Grobbee, Diederik E; Lock, Tycho M T W")</f>
        <v>Oomen, Robert J A; Witjens, Annemijke C; van Wijck, Albert J M; Grobbee, Diederik E; Lock, Tycho M T W</v>
      </c>
      <c r="AH877" s="32">
        <f>IFERROR(__xludf.DUMMYFUNCTION("""COMPUTED_VALUE"""),41783.0)</f>
        <v>41783</v>
      </c>
      <c r="AL877" s="31" t="str">
        <f>IFERROR(__xludf.DUMMYFUNCTION("""COMPUTED_VALUE"""),"Antibiotic prophylaxis in the era of multidrug-resistant bacteria.")</f>
        <v>Antibiotic prophylaxis in the era of multidrug-resistant bacteria.</v>
      </c>
      <c r="AM877" s="31" t="str">
        <f>IFERROR(__xludf.DUMMYFUNCTION("""COMPUTED_VALUE"""),"Wittekamp, Bastiaan H J; Bonten, Marc J M")</f>
        <v>Wittekamp, Bastiaan H J; Bonten, Marc J M</v>
      </c>
      <c r="AN877" s="32">
        <f>IFERROR(__xludf.DUMMYFUNCTION("""COMPUTED_VALUE"""),41024.0)</f>
        <v>41024</v>
      </c>
    </row>
    <row r="878">
      <c r="A878" s="32"/>
      <c r="I878" s="31" t="str">
        <f>IFERROR(__xludf.DUMMYFUNCTION("""COMPUTED_VALUE"""),"the american journal of surgical pathology")</f>
        <v>the american journal of surgical pathology</v>
      </c>
      <c r="J878" s="38">
        <f>COUNTIF(Data!$F$2:$F9917, $I878)</f>
        <v>1</v>
      </c>
      <c r="T878" s="31" t="s">
        <v>2563</v>
      </c>
      <c r="U878" s="31" t="s">
        <v>2564</v>
      </c>
      <c r="V878" s="32">
        <v>45076.0</v>
      </c>
      <c r="X878" s="31" t="str">
        <f>IFERROR(__xludf.DUMMYFUNCTION("""COMPUTED_VALUE"""),"Tailored guidance to apply the Estimand framework to Trials within Cohorts (TwiCs) studies.")</f>
        <v>Tailored guidance to apply the Estimand framework to Trials within Cohorts (TwiCs) studies.</v>
      </c>
      <c r="Y878" s="31" t="str">
        <f>IFERROR(__xludf.DUMMYFUNCTION("""COMPUTED_VALUE"""),"Gal, R; Kessels, R; Luijken, K; Daamen, L A; Mink van der Molen, D R; Gernaat, S A M; May, A M; Verkooijen, H M; van de Ven, P M")</f>
        <v>Gal, R; Kessels, R; Luijken, K; Daamen, L A; Mink van der Molen, D R; Gernaat, S A M; May, A M; Verkooijen, H M; van de Ven, P M</v>
      </c>
      <c r="Z878" s="31">
        <f>IFERROR(__xludf.DUMMYFUNCTION("""COMPUTED_VALUE"""),2024.0)</f>
        <v>2024</v>
      </c>
      <c r="AA878" s="31">
        <f>IFERROR(__xludf.DUMMYFUNCTION("""COMPUTED_VALUE"""),0.0)</f>
        <v>0</v>
      </c>
      <c r="AF878" s="31" t="str">
        <f>IFERROR(__xludf.DUMMYFUNCTION("""COMPUTED_VALUE"""),"Individual and community determinants of neonatal mortality in Ghana: a multilevel analysis.")</f>
        <v>Individual and community determinants of neonatal mortality in Ghana: a multilevel analysis.</v>
      </c>
      <c r="AG878" s="31" t="str">
        <f>IFERROR(__xludf.DUMMYFUNCTION("""COMPUTED_VALUE"""),"Kayode, Gbenga A; Ansah, Evelyn; Agyepong, Irene Akua; Amoakoh-Coleman, Mary; Grobbee, Diederick E; Klipstein-Grobusch, Kerstin")</f>
        <v>Kayode, Gbenga A; Ansah, Evelyn; Agyepong, Irene Akua; Amoakoh-Coleman, Mary; Grobbee, Diederick E; Klipstein-Grobusch, Kerstin</v>
      </c>
      <c r="AH878" s="32">
        <f>IFERROR(__xludf.DUMMYFUNCTION("""COMPUTED_VALUE"""),41771.0)</f>
        <v>41771</v>
      </c>
      <c r="AL878" s="31" t="str">
        <f>IFERROR(__xludf.DUMMYFUNCTION("""COMPUTED_VALUE"""),"Chlorhexidine body washing to control antimicrobial-resistant bacteria in intensive care units: a systematic review.")</f>
        <v>Chlorhexidine body washing to control antimicrobial-resistant bacteria in intensive care units: a systematic review.</v>
      </c>
      <c r="AM878" s="31" t="str">
        <f>IFERROR(__xludf.DUMMYFUNCTION("""COMPUTED_VALUE"""),"Derde, Lennie P G; Dautzenberg, Mirjam J D; Bonten, Marc J M")</f>
        <v>Derde, Lennie P G; Dautzenberg, Mirjam J D; Bonten, Marc J M</v>
      </c>
      <c r="AN878" s="32">
        <f>IFERROR(__xludf.DUMMYFUNCTION("""COMPUTED_VALUE"""),41011.0)</f>
        <v>41011</v>
      </c>
    </row>
    <row r="879">
      <c r="A879" s="32"/>
      <c r="I879" s="31" t="str">
        <f>IFERROR(__xludf.DUMMYFUNCTION("""COMPUTED_VALUE"""),"embo molecular medicine")</f>
        <v>embo molecular medicine</v>
      </c>
      <c r="J879" s="38">
        <f>COUNTIF(Data!$F$2:$F9917, $I879)</f>
        <v>2</v>
      </c>
      <c r="T879" s="31" t="s">
        <v>2567</v>
      </c>
      <c r="U879" s="31" t="s">
        <v>2568</v>
      </c>
      <c r="V879" s="32">
        <v>45075.0</v>
      </c>
      <c r="X879" s="31" t="str">
        <f>IFERROR(__xludf.DUMMYFUNCTION("""COMPUTED_VALUE"""),"Replication studies in the Netherlands: Lessons learned and recommendations for funders, publishers and editors, and universities.")</f>
        <v>Replication studies in the Netherlands: Lessons learned and recommendations for funders, publishers and editors, and universities.</v>
      </c>
      <c r="Y879" s="31" t="str">
        <f>IFERROR(__xludf.DUMMYFUNCTION("""COMPUTED_VALUE"""),"Derksen, Maarten; Meirmans, Stephanie; Brenninkmeijer, Jonna; Pols, Jeannette; de Boer, Annemarijn; van Eyghen, Hans; Gayet, Surya; Groenwold, Rolf; Hernaus, Dennis; Huijnen, Pim; Jonker, Nienke; de Kleijn, Renske; Kroll, Charlotte F; Krypotos, Angelos-Mi"&amp;"ltiadis; van der Laan, Nynke; Luijken, Kim; Meijer, Ewout; Pear, Rachel S A; Peels, Rik; Peeters, Robin; Rulkens, Charlotte C S; Scholz, Christin; Smit, Nienke; Stapel, Rombert; de Winter, Joost")</f>
        <v>Derksen, Maarten; Meirmans, Stephanie; Brenninkmeijer, Jonna; Pols, Jeannette; de Boer, Annemarijn; van Eyghen, Hans; Gayet, Surya; Groenwold, Rolf; Hernaus, Dennis; Huijnen, Pim; Jonker, Nienke; de Kleijn, Renske; Kroll, Charlotte F; Krypotos, Angelos-Miltiadis; van der Laan, Nynke; Luijken, Kim; Meijer, Ewout; Pear, Rachel S A; Peels, Rik; Peeters, Robin; Rulkens, Charlotte C S; Scholz, Christin; Smit, Nienke; Stapel, Rombert; de Winter, Joost</v>
      </c>
      <c r="Z879" s="31">
        <f>IFERROR(__xludf.DUMMYFUNCTION("""COMPUTED_VALUE"""),2024.0)</f>
        <v>2024</v>
      </c>
      <c r="AA879" s="31">
        <f>IFERROR(__xludf.DUMMYFUNCTION("""COMPUTED_VALUE"""),0.0)</f>
        <v>0</v>
      </c>
      <c r="AF879" s="31" t="str">
        <f>IFERROR(__xludf.DUMMYFUNCTION("""COMPUTED_VALUE"""),"Placebo in autologous cell-based interventions: hard pill to swallow?")</f>
        <v>Placebo in autologous cell-based interventions: hard pill to swallow?</v>
      </c>
      <c r="AG879" s="31" t="str">
        <f>IFERROR(__xludf.DUMMYFUNCTION("""COMPUTED_VALUE"""),"Koudstaal, Stefan; Niemansburg, Sophie L; Dib, Nabil; Wallet, Justin; Doevendans, Pieter A; Bredenoord, Annelien L; Chamuleau, Steven A J")</f>
        <v>Koudstaal, Stefan; Niemansburg, Sophie L; Dib, Nabil; Wallet, Justin; Doevendans, Pieter A; Bredenoord, Annelien L; Chamuleau, Steven A J</v>
      </c>
      <c r="AH879" s="32">
        <f>IFERROR(__xludf.DUMMYFUNCTION("""COMPUTED_VALUE"""),41759.0)</f>
        <v>41759</v>
      </c>
      <c r="AL879" s="31" t="str">
        <f>IFERROR(__xludf.DUMMYFUNCTION("""COMPUTED_VALUE"""),"Mode of delivery in non-cephalic presenting twins: a systematic review.")</f>
        <v>Mode of delivery in non-cephalic presenting twins: a systematic review.</v>
      </c>
      <c r="AM879" s="31" t="str">
        <f>IFERROR(__xludf.DUMMYFUNCTION("""COMPUTED_VALUE"""),"Steins Bisschop, Charlotte N; Vogelvang, Tatjana E; May, Anne M; Schuitemaker, Nico W E")</f>
        <v>Steins Bisschop, Charlotte N; Vogelvang, Tatjana E; May, Anne M; Schuitemaker, Nico W E</v>
      </c>
      <c r="AN879" s="32">
        <f>IFERROR(__xludf.DUMMYFUNCTION("""COMPUTED_VALUE"""),41000.0)</f>
        <v>41000</v>
      </c>
    </row>
    <row r="880">
      <c r="A880" s="32"/>
      <c r="I880" s="31" t="str">
        <f>IFERROR(__xludf.DUMMYFUNCTION("""COMPUTED_VALUE"""),"expert opinion on drug safety")</f>
        <v>expert opinion on drug safety</v>
      </c>
      <c r="J880" s="38">
        <f>COUNTIF(Data!$F$2:$F9917, $I880)</f>
        <v>1</v>
      </c>
      <c r="T880" s="31" t="s">
        <v>2571</v>
      </c>
      <c r="U880" s="31" t="s">
        <v>2572</v>
      </c>
      <c r="V880" s="32">
        <v>45072.0</v>
      </c>
      <c r="X880" s="31" t="str">
        <f>IFERROR(__xludf.DUMMYFUNCTION("""COMPUTED_VALUE"""),"Feasibility of a Web-Based and Mobile-Supported Follow-Up Treatment Pathway for Adult Patients With Orthopedic Trauma in the Netherlands: Concurrent Mixed Methods Study.")</f>
        <v>Feasibility of a Web-Based and Mobile-Supported Follow-Up Treatment Pathway for Adult Patients With Orthopedic Trauma in the Netherlands: Concurrent Mixed Methods Study.</v>
      </c>
      <c r="Y880" s="31" t="str">
        <f>IFERROR(__xludf.DUMMYFUNCTION("""COMPUTED_VALUE"""),"Willinge, Gijs J A; Spierings, Jelle F; Romijnders, Kim A G J; Mathijssen, Elke G E; Twigt, Bas A; Goslings, J Carel; van Veen, Ruben N")</f>
        <v>Willinge, Gijs J A; Spierings, Jelle F; Romijnders, Kim A G J; Mathijssen, Elke G E; Twigt, Bas A; Goslings, J Carel; van Veen, Ruben N</v>
      </c>
      <c r="Z880" s="31">
        <f>IFERROR(__xludf.DUMMYFUNCTION("""COMPUTED_VALUE"""),2024.0)</f>
        <v>2024</v>
      </c>
      <c r="AA880" s="31">
        <f>IFERROR(__xludf.DUMMYFUNCTION("""COMPUTED_VALUE"""),0.0)</f>
        <v>0</v>
      </c>
      <c r="AF880" s="31" t="str">
        <f>IFERROR(__xludf.DUMMYFUNCTION("""COMPUTED_VALUE"""),"Effect of aleglitazar on cardiovascular outcomes after acute coronary syndrome in patients with type 2 diabetes mellitus: the AleCardio randomized clinical trial.")</f>
        <v>Effect of aleglitazar on cardiovascular outcomes after acute coronary syndrome in patients with type 2 diabetes mellitus: the AleCardio randomized clinical trial.</v>
      </c>
      <c r="AG880" s="31" t="str">
        <f>IFERROR(__xludf.DUMMYFUNCTION("""COMPUTED_VALUE"""),"Lincoff, A Michael; Tardif, Jean-Claude; Schwartz, Gregory G; Nicholls, Stephen J; Rydén, Lars; Neal, Bruce; Malmberg, Klas; Wedel, Hans; Buse, John B; Henry, Robert R; Weichert, Arlette; Cannata, Ruth; Svensson, Anders; Volz, Dietmar; Grobbee, Diederick "&amp;"E; ,")</f>
        <v>Lincoff, A Michael; Tardif, Jean-Claude; Schwartz, Gregory G; Nicholls, Stephen J; Rydén, Lars; Neal, Bruce; Malmberg, Klas; Wedel, Hans; Buse, John B; Henry, Robert R; Weichert, Arlette; Cannata, Ruth; Svensson, Anders; Volz, Dietmar; Grobbee, Diederick E; ,</v>
      </c>
      <c r="AH880" s="32">
        <f>IFERROR(__xludf.DUMMYFUNCTION("""COMPUTED_VALUE"""),41745.0)</f>
        <v>41745</v>
      </c>
      <c r="AL880" s="31" t="str">
        <f>IFERROR(__xludf.DUMMYFUNCTION("""COMPUTED_VALUE"""),"Predicting outcome after acute basilar artery occlusion based on admission characteristics.")</f>
        <v>Predicting outcome after acute basilar artery occlusion based on admission characteristics.</v>
      </c>
      <c r="AM880" s="31" t="str">
        <f>IFERROR(__xludf.DUMMYFUNCTION("""COMPUTED_VALUE"""),"Greving, J P; Schonewille, W J; Wijman, C A C; Michel, P; Kappelle, L J; Algra, A; ,")</f>
        <v>Greving, J P; Schonewille, W J; Wijman, C A C; Michel, P; Kappelle, L J; Algra, A; ,</v>
      </c>
      <c r="AN880" s="32">
        <f>IFERROR(__xludf.DUMMYFUNCTION("""COMPUTED_VALUE"""),40989.0)</f>
        <v>40989</v>
      </c>
    </row>
    <row r="881">
      <c r="A881" s="32"/>
      <c r="I881" s="31" t="str">
        <f>IFERROR(__xludf.DUMMYFUNCTION("""COMPUTED_VALUE"""),"journal of cardiovascular magnetic resonance official journal of the society for cardiovascular magnetic resonance")</f>
        <v>journal of cardiovascular magnetic resonance official journal of the society for cardiovascular magnetic resonance</v>
      </c>
      <c r="J881" s="38">
        <f>COUNTIF(Data!$F$2:$F9917, $I881)</f>
        <v>2</v>
      </c>
      <c r="T881" s="31" t="s">
        <v>2575</v>
      </c>
      <c r="U881" s="31" t="s">
        <v>2576</v>
      </c>
      <c r="V881" s="32">
        <v>45072.0</v>
      </c>
      <c r="X881" s="31" t="str">
        <f>IFERROR(__xludf.DUMMYFUNCTION("""COMPUTED_VALUE"""),"Biomarkers of endothelial dysfunction and cognition: A two-step IPD meta-analysis.")</f>
        <v>Biomarkers of endothelial dysfunction and cognition: A two-step IPD meta-analysis.</v>
      </c>
      <c r="Y881" s="31" t="str">
        <f>IFERROR(__xludf.DUMMYFUNCTION("""COMPUTED_VALUE"""),"Beran, Magdalena; Jansen, Willemijn J; Oomens, Julie E; Moonen, Justine E F; Slagboom, P Eline; Huisman, Martijn; Kok, Almar A L; Nooyens, Astrid C J; Verschuren, Wilhelmina Maria Monique; Stehouwer, Coen D A; Schalkwijk, Casper; Köhler, Sebastian; Beekma"&amp;"n, Marian; Slagboom, Pieternella Eline; Wolters, Frank J; Ikram, M Arfan; Vallerga, Costanza L; van Meurs, Joyce B J; Ghanbari, Mohsen; Vonk, Jet M J; Geerlings, Mirjam I; van Sloten, Thomas T; Schram, Miranda T; ,")</f>
        <v>Beran, Magdalena; Jansen, Willemijn J; Oomens, Julie E; Moonen, Justine E F; Slagboom, P Eline; Huisman, Martijn; Kok, Almar A L; Nooyens, Astrid C J; Verschuren, Wilhelmina Maria Monique; Stehouwer, Coen D A; Schalkwijk, Casper; Köhler, Sebastian; Beekman, Marian; Slagboom, Pieternella Eline; Wolters, Frank J; Ikram, M Arfan; Vallerga, Costanza L; van Meurs, Joyce B J; Ghanbari, Mohsen; Vonk, Jet M J; Geerlings, Mirjam I; van Sloten, Thomas T; Schram, Miranda T; ,</v>
      </c>
      <c r="Z881" s="31">
        <f>IFERROR(__xludf.DUMMYFUNCTION("""COMPUTED_VALUE"""),2024.0)</f>
        <v>2024</v>
      </c>
      <c r="AA881" s="31">
        <f>IFERROR(__xludf.DUMMYFUNCTION("""COMPUTED_VALUE"""),0.0)</f>
        <v>0</v>
      </c>
      <c r="AF881" s="31" t="str">
        <f>IFERROR(__xludf.DUMMYFUNCTION("""COMPUTED_VALUE"""),"Dietary protein intake and incidence of type 2 diabetes in Europe: the EPIC-InterAct Case-Cohort Study.")</f>
        <v>Dietary protein intake and incidence of type 2 diabetes in Europe: the EPIC-InterAct Case-Cohort Study.</v>
      </c>
      <c r="AG881" s="31" t="str">
        <f>IFERROR(__xludf.DUMMYFUNCTION("""COMPUTED_VALUE"""),"van Nielen, Monique; Feskens, Edith J M; Mensink, Marco; Sluijs, Ivonne; Molina, Esther; Amiano, Pilar; Ardanaz, Eva; Balkau, Beverly; Beulens, Joline W J; Boeing, Heiner; Clavel-Chapelon, Françoise; Fagherazzi, Guy; Franks, Paul W; Halkjaer, Jytte; Huert"&amp;"a, José Maria; Katzke, Verena; Key, Timothy J; Khaw, Kay Tee; Krogh, Vittorio; Kühn, Tilman; Menéndez, Virginia V M; Nilsson, Peter; Overvad, Kim; Palli, Domenico; Panico, Salvatore; Rolandsson, Olov; Romieu, Isabelle; Sacerdote, Carlotta; Sánchez, Maria-"&amp;"José; Schulze, Matthias B; Spijkerman, Annemieke M W; Tjonneland, Anne; Tumino, Rosario; van der A, Daphne L; Würtz, Anne M L; Zamora-Ros, Raul; Langenberg, Claudia; Sharp, Stephen J; Forouhi, Nita G; Riboli, Elio; Wareham, Nicholas J; ,")</f>
        <v>van Nielen, Monique; Feskens, Edith J M; Mensink, Marco; Sluijs, Ivonne; Molina, Esther; Amiano, Pilar; Ardanaz, Eva; Balkau, Beverly; Beulens, Joline W J; Boeing, Heiner; Clavel-Chapelon, Françoise; Fagherazzi, Guy; Franks, Paul W; Halkjaer, Jytte; Huerta, José Maria; Katzke, Verena; Key, Timothy J; Khaw, Kay Tee; Krogh, Vittorio; Kühn, Tilman; Menéndez, Virginia V M; Nilsson, Peter; Overvad, Kim; Palli, Domenico; Panico, Salvatore; Rolandsson, Olov; Romieu, Isabelle; Sacerdote, Carlotta; Sánchez, Maria-José; Schulze, Matthias B; Spijkerman, Annemieke M W; Tjonneland, Anne; Tumino, Rosario; van der A, Daphne L; Würtz, Anne M L; Zamora-Ros, Raul; Langenberg, Claudia; Sharp, Stephen J; Forouhi, Nita G; Riboli, Elio; Wareham, Nicholas J; ,</v>
      </c>
      <c r="AH881" s="32">
        <f>IFERROR(__xludf.DUMMYFUNCTION("""COMPUTED_VALUE"""),41739.0)</f>
        <v>41739</v>
      </c>
      <c r="AL881" s="31" t="str">
        <f>IFERROR(__xludf.DUMMYFUNCTION("""COMPUTED_VALUE"""),"Adaptation of clinical prediction models for application in local settings.")</f>
        <v>Adaptation of clinical prediction models for application in local settings.</v>
      </c>
      <c r="AM881" s="31" t="str">
        <f>IFERROR(__xludf.DUMMYFUNCTION("""COMPUTED_VALUE"""),"Kappen, Teus H; Vergouwe, Yvonne; van Klei, Wilton A; van Wolfswinkel, Leo; Kalkman, Cor J; Moons, Karel G M")</f>
        <v>Kappen, Teus H; Vergouwe, Yvonne; van Klei, Wilton A; van Wolfswinkel, Leo; Kalkman, Cor J; Moons, Karel G M</v>
      </c>
      <c r="AN881" s="32">
        <f>IFERROR(__xludf.DUMMYFUNCTION("""COMPUTED_VALUE"""),40984.0)</f>
        <v>40984</v>
      </c>
    </row>
    <row r="882">
      <c r="A882" s="32"/>
      <c r="I882" s="31" t="str">
        <f>IFERROR(__xludf.DUMMYFUNCTION("""COMPUTED_VALUE"""),"journal of the american society of nephrology jasn")</f>
        <v>journal of the american society of nephrology jasn</v>
      </c>
      <c r="J882" s="38">
        <f>COUNTIF(Data!$F$2:$F9917, $I882)</f>
        <v>1</v>
      </c>
      <c r="T882" s="31" t="s">
        <v>2580</v>
      </c>
      <c r="U882" s="31" t="s">
        <v>2581</v>
      </c>
      <c r="V882" s="32">
        <v>45071.0</v>
      </c>
      <c r="X882" s="31" t="str">
        <f>IFERROR(__xludf.DUMMYFUNCTION("""COMPUTED_VALUE"""),"The association of sociodemographic factors with total and item-level semantic fluency metrics.")</f>
        <v>The association of sociodemographic factors with total and item-level semantic fluency metrics.</v>
      </c>
      <c r="Y882" s="31" t="str">
        <f>IFERROR(__xludf.DUMMYFUNCTION("""COMPUTED_VALUE"""),"Beran, Magdalena; Twait, Emma L; Smit, Annelot P; Posthuma, Marleen F; van Dijk, Demi; Rabanal, Katherinne M; Rosado, Dayanara; Flores, Roxanna J; Qian, Carolyn L; Samuel, Shana S; Ying, Gelan; Mayeux, Richard; van Sloten, Thomas T; Schram, Miranda T; Man"&amp;"ly, Jennifer J; Geerlings, Mirjam I; Vonk, Jet M J")</f>
        <v>Beran, Magdalena; Twait, Emma L; Smit, Annelot P; Posthuma, Marleen F; van Dijk, Demi; Rabanal, Katherinne M; Rosado, Dayanara; Flores, Roxanna J; Qian, Carolyn L; Samuel, Shana S; Ying, Gelan; Mayeux, Richard; van Sloten, Thomas T; Schram, Miranda T; Manly, Jennifer J; Geerlings, Mirjam I; Vonk, Jet M J</v>
      </c>
      <c r="Z882" s="31">
        <f>IFERROR(__xludf.DUMMYFUNCTION("""COMPUTED_VALUE"""),2024.0)</f>
        <v>2024</v>
      </c>
      <c r="AA882" s="31">
        <f>IFERROR(__xludf.DUMMYFUNCTION("""COMPUTED_VALUE"""),0.0)</f>
        <v>0</v>
      </c>
      <c r="AF882" s="31" t="str">
        <f>IFERROR(__xludf.DUMMYFUNCTION("""COMPUTED_VALUE"""),"Identifiability and privacy in pluripotent stem cell research.")</f>
        <v>Identifiability and privacy in pluripotent stem cell research.</v>
      </c>
      <c r="AG882" s="31" t="str">
        <f>IFERROR(__xludf.DUMMYFUNCTION("""COMPUTED_VALUE"""),"Isasi, Rosario; Andrews, Peter W; Baltz, Jay M; Bredenoord, Annelien L; Burton, Paul; Chiu, Ing-Ming; Hull, Sara Chandros; Jung, Ji-Won; Kurtz, Andreas; Lomax, Geoffrey; Ludwig, Tenneille; McDonald, Michael; Morris, Clive; Ng, Huck Hui; Rooke, Heather; Sh"&amp;"arma, Alka; Stacey, Glyn N; Williams, Clare; Zeng, Fanyi; Knoppers, Bartha Maria")</f>
        <v>Isasi, Rosario; Andrews, Peter W; Baltz, Jay M; Bredenoord, Annelien L; Burton, Paul; Chiu, Ing-Ming; Hull, Sara Chandros; Jung, Ji-Won; Kurtz, Andreas; Lomax, Geoffrey; Ludwig, Tenneille; McDonald, Michael; Morris, Clive; Ng, Huck Hui; Rooke, Heather; Sharma, Alka; Stacey, Glyn N; Williams, Clare; Zeng, Fanyi; Knoppers, Bartha Maria</v>
      </c>
      <c r="AH882" s="32">
        <f>IFERROR(__xludf.DUMMYFUNCTION("""COMPUTED_VALUE"""),41732.0)</f>
        <v>41732</v>
      </c>
      <c r="AL882" s="31" t="str">
        <f>IFERROR(__xludf.DUMMYFUNCTION("""COMPUTED_VALUE"""),"Subfields of the hippocampal formation at 7 T MRI: in vivo volumetric assessment.")</f>
        <v>Subfields of the hippocampal formation at 7 T MRI: in vivo volumetric assessment.</v>
      </c>
      <c r="AM882" s="31" t="str">
        <f>IFERROR(__xludf.DUMMYFUNCTION("""COMPUTED_VALUE"""),"Wisse, L E M; Gerritsen, L; Zwanenburg, J J M; Kuijf, H J; Luijten, P R; Biessels, G J; Geerlings, M I")</f>
        <v>Wisse, L E M; Gerritsen, L; Zwanenburg, J J M; Kuijf, H J; Luijten, P R; Biessels, G J; Geerlings, M I</v>
      </c>
      <c r="AN882" s="32">
        <f>IFERROR(__xludf.DUMMYFUNCTION("""COMPUTED_VALUE"""),40982.0)</f>
        <v>40982</v>
      </c>
    </row>
    <row r="883">
      <c r="A883" s="32"/>
      <c r="I883" s="31" t="str">
        <f>IFERROR(__xludf.DUMMYFUNCTION("""COMPUTED_VALUE"""),"diabetes vascular disease research")</f>
        <v>diabetes vascular disease research</v>
      </c>
      <c r="J883" s="38">
        <f>COUNTIF(Data!$F$2:$F9917, $I883)</f>
        <v>2</v>
      </c>
      <c r="T883" s="31" t="s">
        <v>2584</v>
      </c>
      <c r="U883" s="31" t="s">
        <v>2585</v>
      </c>
      <c r="V883" s="32">
        <v>45070.0</v>
      </c>
      <c r="X883" s="31" t="str">
        <f>IFERROR(__xludf.DUMMYFUNCTION("""COMPUTED_VALUE"""),"Methodological quality assessment tools for diagnosis and prognosis research: overview and guidance.")</f>
        <v>Methodological quality assessment tools for diagnosis and prognosis research: overview and guidance.</v>
      </c>
      <c r="Y883" s="31"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Z883" s="31">
        <f>IFERROR(__xludf.DUMMYFUNCTION("""COMPUTED_VALUE"""),2024.0)</f>
        <v>2024</v>
      </c>
      <c r="AA883" s="31">
        <f>IFERROR(__xludf.DUMMYFUNCTION("""COMPUTED_VALUE"""),0.0)</f>
        <v>0</v>
      </c>
      <c r="AF883" s="31" t="str">
        <f>IFERROR(__xludf.DUMMYFUNCTION("""COMPUTED_VALUE"""),"Improving clinical trial efficiency by biomarker-guided patient selection.")</f>
        <v>Improving clinical trial efficiency by biomarker-guided patient selection.</v>
      </c>
      <c r="AG883" s="31" t="str">
        <f>IFERROR(__xludf.DUMMYFUNCTION("""COMPUTED_VALUE"""),"Boessen, Ruud; Heerspink, Hiddo J Lambers; De Zeeuw, Dick; Grobbee, Diederick E; Groenwold, Rolf H H; Roes, Kit C B")</f>
        <v>Boessen, Ruud; Heerspink, Hiddo J Lambers; De Zeeuw, Dick; Grobbee, Diederick E; Groenwold, Rolf H H; Roes, Kit C B</v>
      </c>
      <c r="AH883" s="32">
        <f>IFERROR(__xludf.DUMMYFUNCTION("""COMPUTED_VALUE"""),41731.0)</f>
        <v>41731</v>
      </c>
      <c r="AL883" s="31" t="str">
        <f>IFERROR(__xludf.DUMMYFUNCTION("""COMPUTED_VALUE"""),"Intraoperative hypotension and perioperative ischemic stroke after general surgery: a nested case-control study.")</f>
        <v>Intraoperative hypotension and perioperative ischemic stroke after general surgery: a nested case-control study.</v>
      </c>
      <c r="AM883" s="31" t="str">
        <f>IFERROR(__xludf.DUMMYFUNCTION("""COMPUTED_VALUE"""),"Bijker, Jilles B; Persoon, Suzanne; Peelen, Linda M; Moons, Karel G M; Kalkman, Cor J; Kappelle, L Jaap; van Klei, Wilton A")</f>
        <v>Bijker, Jilles B; Persoon, Suzanne; Peelen, Linda M; Moons, Karel G M; Kalkman, Cor J; Kappelle, L Jaap; van Klei, Wilton A</v>
      </c>
      <c r="AN883" s="32">
        <f>IFERROR(__xludf.DUMMYFUNCTION("""COMPUTED_VALUE"""),40969.0)</f>
        <v>40969</v>
      </c>
    </row>
    <row r="884">
      <c r="A884" s="32"/>
      <c r="I884" s="31" t="str">
        <f>IFERROR(__xludf.DUMMYFUNCTION("""COMPUTED_VALUE"""),"international journal of law and psychiatry")</f>
        <v>international journal of law and psychiatry</v>
      </c>
      <c r="J884" s="38">
        <f>COUNTIF(Data!$F$2:$F9917, $I884)</f>
        <v>1</v>
      </c>
      <c r="T884" s="31" t="s">
        <v>2589</v>
      </c>
      <c r="U884" s="31" t="s">
        <v>2590</v>
      </c>
      <c r="V884" s="32">
        <v>45067.0</v>
      </c>
      <c r="X884" s="31" t="str">
        <f>IFERROR(__xludf.DUMMYFUNCTION("""COMPUTED_VALUE"""),"Uniting education, research, healthcare, and society to advance women's heart health.")</f>
        <v>Uniting education, research, healthcare, and society to advance women's heart health.</v>
      </c>
      <c r="Y884" s="31" t="str">
        <f>IFERROR(__xludf.DUMMYFUNCTION("""COMPUTED_VALUE"""),"Schakelaar, Michael Y; Maas, Annemieke; van Ommen, Anne-Mar L N; Spiering, Anna E; de Jonge, Roos; Wijchers, Patrick; van Rossum, Gerda; Heesters, Balthasar A; de Jong, Olivier G; Zandveld, Jelle; Rebel, Heggert G; Meeldijk, Jan; Pijnappel, Emma W; van Di"&amp;"jk, Suzanne; Di Maggio, Alessia; Nijssen, Olaf; Sanders, Jorine G F; Hoogerwerf, Lies; van Spaandonk, Mike; Crnko, Sandra; Koorman, Thijs; Jenniskens, Kevin; Onland-Moret, N Charlotte; van Geelen, Stefan M; Ten Broeke, Toine; van Royen-Kerkhof, Annet; Dil"&amp;"aver, Gönül; Oliveira, Sabrina; Kok, Robbert J; van Laake, Linda W; van der Harst, Pim; Spiering, Wilko; Rutten, Frans H; van Brussel, Marco; den Ruijter, Hester M; Bovenschen, Niels")</f>
        <v>Schakelaar, Michael Y; Maas, Annemieke; van Ommen, Anne-Mar L N; Spiering, Anna E; de Jonge, Roos; Wijchers, Patrick; van Rossum, Gerda; Heesters, Balthasar A; de Jong, Olivier G; Zandveld, Jelle; Rebel, Heggert G; Meeldijk, Jan; Pijnappel, Emma W; van Dijk, Suzanne; Di Maggio, Alessia; Nijssen, Olaf; Sanders, Jorine G F; Hoogerwerf, Lies; van Spaandonk, Mike; Crnko, Sandra; Koorman, Thijs; Jenniskens, Kevin; Onland-Moret, N Charlotte; van Geelen, Stefan M; Ten Broeke, Toine; van Royen-Kerkhof, Annet; Dilaver, Gönül; Oliveira, Sabrina; Kok, Robbert J; van Laake, Linda W; van der Harst, Pim; Spiering, Wilko; Rutten, Frans H; van Brussel, Marco; den Ruijter, Hester M; Bovenschen, Niels</v>
      </c>
      <c r="Z884" s="31">
        <f>IFERROR(__xludf.DUMMYFUNCTION("""COMPUTED_VALUE"""),2024.0)</f>
        <v>2024</v>
      </c>
      <c r="AA884" s="31">
        <f>IFERROR(__xludf.DUMMYFUNCTION("""COMPUTED_VALUE"""),0.0)</f>
        <v>0</v>
      </c>
      <c r="AF884" s="31" t="str">
        <f>IFERROR(__xludf.DUMMYFUNCTION("""COMPUTED_VALUE"""),"Glycated hemoglobin measurement and prediction of cardiovascular disease.")</f>
        <v>Glycated hemoglobin measurement and prediction of cardiovascular disease.</v>
      </c>
      <c r="AG884" s="31" t="str">
        <f>IFERROR(__xludf.DUMMYFUNCTION("""COMPUTED_VALUE"""),",; Di Angelantonio, Emanuele; Gao, Pei; Khan, Hassan; Butterworth, Adam S; Wormser, David; Kaptoge, Stephen; Kondapally Seshasai, Sreenivasa Rao; Thompson, Alex; Sarwar, Nadeem; Willeit, Peter; Ridker, Paul M; Barr, Elizabeth L M; Khaw, Kay-Tee; Psaty, Br"&amp;"uce M; Brenner, Hermann; Balkau, Beverley; Dekker, Jacqueline M; Lawlor, Debbie A; Daimon, Makoto; Willeit, Johann; Njølstad, Inger; Nissinen, Aulikki; Brunner, Eric J; Kuller, Lewis H; Price, Jackie F; Sundström, Johan; Knuiman, Matthew W; Feskens, Edith"&amp;" J M; Verschuren, W M M; Wald, Nicholas; Bakker, Stephan J L; Whincup, Peter H; Ford, Ian; Goldbourt, Uri; Gómez-de-la-Cámara, Agustín; Gallacher, John; Simons, Leon A; Rosengren, Annika; Sutherland, Susan E; Björkelund, Cecilia; Blazer, Dan G; Wasserthei"&amp;"l-Smoller, Sylvia; Onat, Altan; Marín Ibañez, Alejandro; Casiglia, Edoardo; Jukema, J Wouter; Simpson, Lara M; Giampaoli, Simona; Nordestgaard, Børge G; Selmer, Randi; Wennberg, Patrik; Kauhanen, Jussi; Salonen, Jukka T; Dankner, Rache")</f>
        <v>,; Di Angelantonio, Emanuele; Gao, Pei; Khan, Hassan; Butterworth, Adam S; Wormser, David; Kaptoge, Stephen; Kondapally Seshasai, Sreenivasa Rao; Thompson, Alex; Sarwar, Nadeem; Willeit, Peter; Ridker, Paul M; Barr, Elizabeth L M; Khaw, Kay-Tee; Psaty, Bruce M; Brenner, Hermann; Balkau, Beverley; Dekker, Jacqueline M; Lawlor, Debbie A; Daimon, Makoto; Willeit, Johann; Njølstad, Inger; Nissinen, Aulikki; Brunner, Eric J; Kuller, Lewis H; Price, Jackie F; Sundström, Johan; Knuiman, Matthew W; Feskens, Edith J M; Verschuren, W M M; Wald, Nicholas; Bakker, Stephan J L; Whincup, Peter H; Ford, Ian; Goldbourt, Uri; Gómez-de-la-Cámara, Agustín; Gallacher, John; Simons, Leon A; Rosengren, Annika; Sutherland, Susan E; Björkelund, Cecilia; Blazer, Dan G; Wassertheil-Smoller, Sylvia; Onat, Altan; Marín Ibañez, Alejandro; Casiglia, Edoardo; Jukema, J Wouter; Simpson, Lara M; Giampaoli, Simona; Nordestgaard, Børge G; Selmer, Randi; Wennberg, Patrik; Kauhanen, Jussi; Salonen, Jukka T; Dankner, Rache</v>
      </c>
      <c r="AH884" s="32">
        <f>IFERROR(__xludf.DUMMYFUNCTION("""COMPUTED_VALUE"""),41724.0)</f>
        <v>41724</v>
      </c>
      <c r="AL884" s="31" t="str">
        <f>IFERROR(__xludf.DUMMYFUNCTION("""COMPUTED_VALUE"""),"Variability in the intima-media thickness measurement as marker for cardiovascular risk? Not quite settled yet.")</f>
        <v>Variability in the intima-media thickness measurement as marker for cardiovascular risk? Not quite settled yet.</v>
      </c>
      <c r="AM884" s="31" t="str">
        <f>IFERROR(__xludf.DUMMYFUNCTION("""COMPUTED_VALUE"""),"Bots, Michiel L; den Ruijter, Hester M")</f>
        <v>Bots, Michiel L; den Ruijter, Hester M</v>
      </c>
      <c r="AN884" s="32">
        <f>IFERROR(__xludf.DUMMYFUNCTION("""COMPUTED_VALUE"""),40969.0)</f>
        <v>40969</v>
      </c>
    </row>
    <row r="885">
      <c r="A885" s="32"/>
      <c r="I885" s="31" t="str">
        <f>IFERROR(__xludf.DUMMYFUNCTION("""COMPUTED_VALUE"""),"the american journal of pathology")</f>
        <v>the american journal of pathology</v>
      </c>
      <c r="J885" s="38">
        <f>COUNTIF(Data!$F$2:$F9917, $I885)</f>
        <v>1</v>
      </c>
      <c r="T885" s="31" t="s">
        <v>2592</v>
      </c>
      <c r="U885" s="31" t="s">
        <v>2593</v>
      </c>
      <c r="V885" s="32">
        <v>45066.0</v>
      </c>
      <c r="X885" s="31" t="str">
        <f>IFERROR(__xludf.DUMMYFUNCTION("""COMPUTED_VALUE"""),"""Long term speech outcomes after using the Sommerlad technique for primary palatoplasty: a retrospective study in the Wilhelmina Children's Hospital, Utrecht."".")</f>
        <v>"Long term speech outcomes after using the Sommerlad technique for primary palatoplasty: a retrospective study in the Wilhelmina Children's Hospital, Utrecht.".</v>
      </c>
      <c r="Y885" s="31" t="str">
        <f>IFERROR(__xludf.DUMMYFUNCTION("""COMPUTED_VALUE"""),"Hofman, Lieke; Paes, Emma C; Haverkamp, Sarah J; Jenniskens, Kevin; Mink van der Molen, Aebele B")</f>
        <v>Hofman, Lieke; Paes, Emma C; Haverkamp, Sarah J; Jenniskens, Kevin; Mink van der Molen, Aebele B</v>
      </c>
      <c r="Z885" s="31">
        <f>IFERROR(__xludf.DUMMYFUNCTION("""COMPUTED_VALUE"""),2024.0)</f>
        <v>2024</v>
      </c>
      <c r="AA885" s="31">
        <f>IFERROR(__xludf.DUMMYFUNCTION("""COMPUTED_VALUE"""),0.0)</f>
        <v>0</v>
      </c>
      <c r="AF885" s="31" t="str">
        <f>IFERROR(__xludf.DUMMYFUNCTION("""COMPUTED_VALUE"""),"Impact of genital warts on emotional and sexual well-being differs by gender.")</f>
        <v>Impact of genital warts on emotional and sexual well-being differs by gender.</v>
      </c>
      <c r="AG885" s="31" t="str">
        <f>IFERROR(__xludf.DUMMYFUNCTION("""COMPUTED_VALUE"""),"Vriend, Henrike J; Nieuwkerk, Pythia T; van der Sande, Marianne A B")</f>
        <v>Vriend, Henrike J; Nieuwkerk, Pythia T; van der Sande, Marianne A B</v>
      </c>
      <c r="AH885" s="32">
        <f>IFERROR(__xludf.DUMMYFUNCTION("""COMPUTED_VALUE"""),41724.0)</f>
        <v>41724</v>
      </c>
      <c r="AL885" s="31" t="str">
        <f>IFERROR(__xludf.DUMMYFUNCTION("""COMPUTED_VALUE"""),"Missing covariate data in clinical research: when and when not to use the missing-indicator method for analysis.")</f>
        <v>Missing covariate data in clinical research: when and when not to use the missing-indicator method for analysis.</v>
      </c>
      <c r="AM885" s="31" t="str">
        <f>IFERROR(__xludf.DUMMYFUNCTION("""COMPUTED_VALUE"""),"Groenwold, Rolf H H; White, Ian R; Donders, A Rogier T; Carpenter, James R; Altman, Douglas G; Moons, Karel G M")</f>
        <v>Groenwold, Rolf H H; White, Ian R; Donders, A Rogier T; Carpenter, James R; Altman, Douglas G; Moons, Karel G M</v>
      </c>
      <c r="AN885" s="32">
        <f>IFERROR(__xludf.DUMMYFUNCTION("""COMPUTED_VALUE"""),40966.0)</f>
        <v>40966</v>
      </c>
    </row>
    <row r="886">
      <c r="A886" s="32"/>
      <c r="I886" s="31" t="str">
        <f>IFERROR(__xludf.DUMMYFUNCTION("""COMPUTED_VALUE"""),"world neurosurgery")</f>
        <v>world neurosurgery</v>
      </c>
      <c r="J886" s="38">
        <f>COUNTIF(Data!$F$2:$F9917, $I886)</f>
        <v>1</v>
      </c>
      <c r="T886" s="31" t="s">
        <v>2596</v>
      </c>
      <c r="U886" s="31" t="s">
        <v>2597</v>
      </c>
      <c r="V886" s="32">
        <v>45065.0</v>
      </c>
      <c r="X886" s="31" t="str">
        <f>IFERROR(__xludf.DUMMYFUNCTION("""COMPUTED_VALUE"""),"Evaluating methods for identifying and quantifying &lt;i&gt;Streptococcus pneumoniae&lt;/i&gt; co-colonization using next-generation sequencing data.")</f>
        <v>Evaluating methods for identifying and quantifying &lt;i&gt;Streptococcus pneumoniae&lt;/i&gt; co-colonization using next-generation sequencing data.</v>
      </c>
      <c r="Y886" s="31" t="str">
        <f>IFERROR(__xludf.DUMMYFUNCTION("""COMPUTED_VALUE"""),"Hackman, Jada; Hibberd, Martin L; Swarthout, Todd D; Hinds, Jason; Ashall, James; Sheppard, Carmen; Tonkin-Hill, Gerry; Gould, Kate; Brown, Comfort; Msefula, Jacquline; Mataya, Andrew A; Toizumi, Michiko; Yoshida, Lay-Myint; French, Neil; Heyderman, Rober"&amp;"t S; Flasche, Stefan; Kwambana, Brenda; Hué, Stéphane")</f>
        <v>Hackman, Jada; Hibberd, Martin L; Swarthout, Todd D; Hinds, Jason; Ashall, James; Sheppard, Carmen; Tonkin-Hill, Gerry; Gould, Kate; Brown, Comfort; Msefula, Jacquline; Mataya, Andrew A; Toizumi, Michiko; Yoshida, Lay-Myint; French, Neil; Heyderman, Robert S; Flasche, Stefan; Kwambana, Brenda; Hué, Stéphane</v>
      </c>
      <c r="Z886" s="31">
        <f>IFERROR(__xludf.DUMMYFUNCTION("""COMPUTED_VALUE"""),2024.0)</f>
        <v>2024</v>
      </c>
      <c r="AA886" s="31">
        <f>IFERROR(__xludf.DUMMYFUNCTION("""COMPUTED_VALUE"""),0.0)</f>
        <v>0</v>
      </c>
      <c r="AF886" s="31" t="str">
        <f>IFERROR(__xludf.DUMMYFUNCTION("""COMPUTED_VALUE"""),"Chlamydia trachomatis Antibody Testing in Vaginal Mucosal Material versus Blood Samples of Women Attending a Fertility Clinic and an STI Clinic.")</f>
        <v>Chlamydia trachomatis Antibody Testing in Vaginal Mucosal Material versus Blood Samples of Women Attending a Fertility Clinic and an STI Clinic.</v>
      </c>
      <c r="AG886" s="31" t="str">
        <f>IFERROR(__xludf.DUMMYFUNCTION("""COMPUTED_VALUE"""),"van den Broek, Ingrid V F; Land, Jolande A; van Bergen, Jan E A M; Morré, Servaas A; van der Sande, Marianne A B")</f>
        <v>van den Broek, Ingrid V F; Land, Jolande A; van Bergen, Jan E A M; Morré, Servaas A; van der Sande, Marianne A B</v>
      </c>
      <c r="AH886" s="32">
        <f>IFERROR(__xludf.DUMMYFUNCTION("""COMPUTED_VALUE"""),41711.0)</f>
        <v>41711</v>
      </c>
      <c r="AL886" s="31" t="str">
        <f>IFERROR(__xludf.DUMMYFUNCTION("""COMPUTED_VALUE"""),"Depressive symptoms, antidepressant use, and brain volumes on MRI in a population-based cohort of old persons without dementia.")</f>
        <v>Depressive symptoms, antidepressant use, and brain volumes on MRI in a population-based cohort of old persons without dementia.</v>
      </c>
      <c r="AM886" s="31" t="str">
        <f>IFERROR(__xludf.DUMMYFUNCTION("""COMPUTED_VALUE"""),"Geerlings, Mirjam I; Brickman, Adam M; Schupf, Nicole; Devanand, Davangere P; Luchsinger, José A; Mayeux, Richard; Small, Scott A")</f>
        <v>Geerlings, Mirjam I; Brickman, Adam M; Schupf, Nicole; Devanand, Davangere P; Luchsinger, José A; Mayeux, Richard; Small, Scott A</v>
      </c>
      <c r="AN886" s="32">
        <f>IFERROR(__xludf.DUMMYFUNCTION("""COMPUTED_VALUE"""),40909.0)</f>
        <v>40909</v>
      </c>
    </row>
    <row r="887">
      <c r="A887" s="32"/>
      <c r="I887" s="31" t="str">
        <f>IFERROR(__xludf.DUMMYFUNCTION("""COMPUTED_VALUE"""),"clinical radiology")</f>
        <v>clinical radiology</v>
      </c>
      <c r="J887" s="38">
        <f>COUNTIF(Data!$F$2:$F9917, $I887)</f>
        <v>1</v>
      </c>
      <c r="T887" s="31" t="s">
        <v>2601</v>
      </c>
      <c r="U887" s="31" t="s">
        <v>2602</v>
      </c>
      <c r="V887" s="32">
        <v>45064.0</v>
      </c>
      <c r="X887" s="31" t="str">
        <f>IFERROR(__xludf.DUMMYFUNCTION("""COMPUTED_VALUE"""),"Radiographically confirmed pneumonia in Malawian children and associated pneumococcal carriage after introduction of the 13-valent pneumococcal conjugate vaccine.")</f>
        <v>Radiographically confirmed pneumonia in Malawian children and associated pneumococcal carriage after introduction of the 13-valent pneumococcal conjugate vaccine.</v>
      </c>
      <c r="Y887" s="31" t="str">
        <f>IFERROR(__xludf.DUMMYFUNCTION("""COMPUTED_VALUE"""),"Mzumara, Grace; Chirombo, James; Swarthout, Todd D; Bar-Zeev, Naor; Harawa, Philliness Prisca; Jalloh, Mohamed Sanusi; Kirolos, Amir; Mukhula, Victoria; Newberry, Laura; Ogunlade, Olawale; Wachepa, Richard; French, Neil; Heyderman, Robert S; Iroh Tam, Pui"&amp;"-Ying")</f>
        <v>Mzumara, Grace; Chirombo, James; Swarthout, Todd D; Bar-Zeev, Naor; Harawa, Philliness Prisca; Jalloh, Mohamed Sanusi; Kirolos, Amir; Mukhula, Victoria; Newberry, Laura; Ogunlade, Olawale; Wachepa, Richard; French, Neil; Heyderman, Robert S; Iroh Tam, Pui-Ying</v>
      </c>
      <c r="Z887" s="31">
        <f>IFERROR(__xludf.DUMMYFUNCTION("""COMPUTED_VALUE"""),2024.0)</f>
        <v>2024</v>
      </c>
      <c r="AA887" s="31">
        <f>IFERROR(__xludf.DUMMYFUNCTION("""COMPUTED_VALUE"""),0.0)</f>
        <v>0</v>
      </c>
      <c r="AF887" s="31" t="str">
        <f>IFERROR(__xludf.DUMMYFUNCTION("""COMPUTED_VALUE"""),"Diabetes as a risk factor for stroke in women compared with men: a systematic review and meta-analysis of 64 cohorts, including 775,385 individuals and 12,539 strokes.")</f>
        <v>Diabetes as a risk factor for stroke in women compared with men: a systematic review and meta-analysis of 64 cohorts, including 775,385 individuals and 12,539 strokes.</v>
      </c>
      <c r="AG887" s="31" t="str">
        <f>IFERROR(__xludf.DUMMYFUNCTION("""COMPUTED_VALUE"""),"Peters, Sanne A E; Huxley, Rachel R; Woodward, Mark")</f>
        <v>Peters, Sanne A E; Huxley, Rachel R; Woodward, Mark</v>
      </c>
      <c r="AH887" s="32">
        <f>IFERROR(__xludf.DUMMYFUNCTION("""COMPUTED_VALUE"""),41705.0)</f>
        <v>41705</v>
      </c>
      <c r="AL887" s="31" t="str">
        <f>IFERROR(__xludf.DUMMYFUNCTION("""COMPUTED_VALUE"""),"[Tailored breast cancer screening with ultrasound and MRI?].")</f>
        <v>[Tailored breast cancer screening with ultrasound and MRI?].</v>
      </c>
      <c r="AM887" s="31" t="str">
        <f>IFERROR(__xludf.DUMMYFUNCTION("""COMPUTED_VALUE"""),"van Gils, Carla H; Veldhuis, Wouter B; Peeters, Petra H M")</f>
        <v>van Gils, Carla H; Veldhuis, Wouter B; Peeters, Petra H M</v>
      </c>
      <c r="AN887" s="32">
        <f>IFERROR(__xludf.DUMMYFUNCTION("""COMPUTED_VALUE"""),40909.0)</f>
        <v>40909</v>
      </c>
    </row>
    <row r="888">
      <c r="A888" s="32"/>
      <c r="I888" s="31" t="str">
        <f>IFERROR(__xludf.DUMMYFUNCTION("""COMPUTED_VALUE"""),"nature cell biology")</f>
        <v>nature cell biology</v>
      </c>
      <c r="J888" s="38">
        <f>COUNTIF(Data!$F$2:$F9917, $I888)</f>
        <v>1</v>
      </c>
      <c r="T888" s="31" t="s">
        <v>2605</v>
      </c>
      <c r="U888" s="31" t="s">
        <v>2606</v>
      </c>
      <c r="V888" s="32">
        <v>45064.0</v>
      </c>
      <c r="X888" s="31" t="str">
        <f>IFERROR(__xludf.DUMMYFUNCTION("""COMPUTED_VALUE"""),"Expansion of pneumococcal serotype 23F and 14 lineages with genotypic changes in capsule polysaccharide locus and virulence gene profiles post introduction of pneumococcal conjugate vaccine in Blantyre, Malawi.")</f>
        <v>Expansion of pneumococcal serotype 23F and 14 lineages with genotypic changes in capsule polysaccharide locus and virulence gene profiles post introduction of pneumococcal conjugate vaccine in Blantyre, Malawi.</v>
      </c>
      <c r="Y888" s="31" t="str">
        <f>IFERROR(__xludf.DUMMYFUNCTION("""COMPUTED_VALUE"""),"Cave, Rory; Kalizang'oma, Akuzike; Chaguza, Chrispin; Mwalukomo, Thandie S; Kamng'ona, Arox; Brown, Comfort; Msefula, Jacquline; Bonomali, Farouck; Nyirenda, Roseline; Swarthout, Todd D; Kwambana-Adams, Brenda; French, Neil; Heyderman, Robert S")</f>
        <v>Cave, Rory; Kalizang'oma, Akuzike; Chaguza, Chrispin; Mwalukomo, Thandie S; Kamng'ona, Arox; Brown, Comfort; Msefula, Jacquline; Bonomali, Farouck; Nyirenda, Roseline; Swarthout, Todd D; Kwambana-Adams, Brenda; French, Neil; Heyderman, Robert S</v>
      </c>
      <c r="Z888" s="31">
        <f>IFERROR(__xludf.DUMMYFUNCTION("""COMPUTED_VALUE"""),2024.0)</f>
        <v>2024</v>
      </c>
      <c r="AA888" s="31">
        <f>IFERROR(__xludf.DUMMYFUNCTION("""COMPUTED_VALUE"""),0.0)</f>
        <v>0</v>
      </c>
      <c r="AF888" s="31" t="str">
        <f>IFERROR(__xludf.DUMMYFUNCTION("""COMPUTED_VALUE"""),"EMAS position statement: The management of postmenopausal women with vertebral osteoporotic fracture.")</f>
        <v>EMAS position statement: The management of postmenopausal women with vertebral osteoporotic fracture.</v>
      </c>
      <c r="AG888" s="31" t="str">
        <f>IFERROR(__xludf.DUMMYFUNCTION("""COMPUTED_VALUE"""),"Triantafyllopoulos, Ioannis K; Lambropoulou-Adamidou, Kalliopi; Nacopoulos, Cleopatra C; Papaioannou, Nikolaos A; Ceausu, Iuliana; Depypere, Herman; Erel, C Tamer; Pérez-López, Faustino R; Schenck-Gustafsson, Karin; van der Schouw, Yvonne T; Simoncini, To"&amp;"mmaso; Tremollieres, Florence; Rees, Margaret; Lambrinoudaki, Irene; ,")</f>
        <v>Triantafyllopoulos, Ioannis K; Lambropoulou-Adamidou, Kalliopi; Nacopoulos, Cleopatra C; Papaioannou, Nikolaos A; Ceausu, Iuliana; Depypere, Herman; Erel, C Tamer; Pérez-López, Faustino R; Schenck-Gustafsson, Karin; van der Schouw, Yvonne T; Simoncini, Tommaso; Tremollieres, Florence; Rees, Margaret; Lambrinoudaki, Irene; ,</v>
      </c>
      <c r="AH888" s="32">
        <f>IFERROR(__xludf.DUMMYFUNCTION("""COMPUTED_VALUE"""),41705.0)</f>
        <v>41705</v>
      </c>
      <c r="AL888" s="31" t="str">
        <f>IFERROR(__xludf.DUMMYFUNCTION("""COMPUTED_VALUE"""),"Dealing with missing outcome data in randomized trials and observational studies.")</f>
        <v>Dealing with missing outcome data in randomized trials and observational studies.</v>
      </c>
      <c r="AM888" s="31" t="str">
        <f>IFERROR(__xludf.DUMMYFUNCTION("""COMPUTED_VALUE"""),"Groenwold, Rolf H H; Donders, A Rogier T; Roes, Kit C B; Harrell, Frank E; Moons, Karel G M")</f>
        <v>Groenwold, Rolf H H; Donders, A Rogier T; Roes, Kit C B; Harrell, Frank E; Moons, Karel G M</v>
      </c>
      <c r="AN888" s="32">
        <f>IFERROR(__xludf.DUMMYFUNCTION("""COMPUTED_VALUE"""),40900.0)</f>
        <v>40900</v>
      </c>
    </row>
    <row r="889">
      <c r="A889" s="32"/>
      <c r="I889" s="31" t="str">
        <f>IFERROR(__xludf.DUMMYFUNCTION("""COMPUTED_VALUE"""),"vascular pharmacology")</f>
        <v>vascular pharmacology</v>
      </c>
      <c r="J889" s="38">
        <f>COUNTIF(Data!$F$2:$F9917, $I889)</f>
        <v>1</v>
      </c>
      <c r="T889" s="31" t="s">
        <v>2609</v>
      </c>
      <c r="U889" s="31" t="s">
        <v>2610</v>
      </c>
      <c r="V889" s="32">
        <v>45064.0</v>
      </c>
      <c r="X889" s="31" t="str">
        <f>IFERROR(__xludf.DUMMYFUNCTION("""COMPUTED_VALUE"""),"Availability of Evidence for Predictive Machine Learning Algorithms in Primary Care: A Systematic Review.")</f>
        <v>Availability of Evidence for Predictive Machine Learning Algorithms in Primary Care: A Systematic Review.</v>
      </c>
      <c r="Y889" s="31"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Z889" s="31">
        <f>IFERROR(__xludf.DUMMYFUNCTION("""COMPUTED_VALUE"""),2024.0)</f>
        <v>2024</v>
      </c>
      <c r="AA889" s="31">
        <f>IFERROR(__xludf.DUMMYFUNCTION("""COMPUTED_VALUE"""),0.0)</f>
        <v>0</v>
      </c>
      <c r="AF889" s="31" t="str">
        <f>IFERROR(__xludf.DUMMYFUNCTION("""COMPUTED_VALUE"""),"Chlamydia trachomatis IgG seroprevalence in the general population of the Netherlands in 1996 and in 2007: differential changes by gender and age.")</f>
        <v>Chlamydia trachomatis IgG seroprevalence in the general population of the Netherlands in 1996 and in 2007: differential changes by gender and age.</v>
      </c>
      <c r="AG889" s="31" t="str">
        <f>IFERROR(__xludf.DUMMYFUNCTION("""COMPUTED_VALUE"""),"van Aar, F; de Moraes, M; Morré, S A; van Bergen, J E A M; van der Klis, F R M; Land, J A; van der Sande, M A B; van den Broek, I V F")</f>
        <v>van Aar, F; de Moraes, M; Morré, S A; van Bergen, J E A M; van der Klis, F R M; Land, J A; van der Sande, M A B; van den Broek, I V F</v>
      </c>
      <c r="AH889" s="32">
        <f>IFERROR(__xludf.DUMMYFUNCTION("""COMPUTED_VALUE"""),41698.0)</f>
        <v>41698</v>
      </c>
      <c r="AL889" s="31" t="str">
        <f>IFERROR(__xludf.DUMMYFUNCTION("""COMPUTED_VALUE"""),"How to deal with measures of association: a short guide for the clinician.")</f>
        <v>How to deal with measures of association: a short guide for the clinician.</v>
      </c>
      <c r="AM889" s="31" t="str">
        <f>IFERROR(__xludf.DUMMYFUNCTION("""COMPUTED_VALUE"""),"Knol, M J; Algra, A; Groenwold, R H H")</f>
        <v>Knol, M J; Algra, A; Groenwold, R H H</v>
      </c>
      <c r="AN889" s="32">
        <f>IFERROR(__xludf.DUMMYFUNCTION("""COMPUTED_VALUE"""),40890.0)</f>
        <v>40890</v>
      </c>
    </row>
    <row r="890">
      <c r="A890" s="32"/>
      <c r="I890" s="31" t="str">
        <f>IFERROR(__xludf.DUMMYFUNCTION("""COMPUTED_VALUE"""),"human reproduction open")</f>
        <v>human reproduction open</v>
      </c>
      <c r="J890" s="38">
        <f>COUNTIF(Data!$F$2:$F9917, $I890)</f>
        <v>1</v>
      </c>
      <c r="T890" s="31" t="s">
        <v>2614</v>
      </c>
      <c r="U890" s="31" t="s">
        <v>2615</v>
      </c>
      <c r="V890" s="32">
        <v>45063.0</v>
      </c>
      <c r="X890" s="31" t="str">
        <f>IFERROR(__xludf.DUMMYFUNCTION("""COMPUTED_VALUE"""),"Stereotactic body radiotherapy with a focal boost to the intraprostatic tumor for intermediate and high risk prostate cancer: 5-year efficacy and toxicity in the hypo-FLAME trial.")</f>
        <v>Stereotactic body radiotherapy with a focal boost to the intraprostatic tumor for intermediate and high risk prostate cancer: 5-year efficacy and toxicity in the hypo-FLAME trial.</v>
      </c>
      <c r="Y890" s="31" t="str">
        <f>IFERROR(__xludf.DUMMYFUNCTION("""COMPUTED_VALUE"""),"Draulans, Cédric; Haustermans, Karin; Pos, Floris J; van der Heide, Uulke A; De Cock, Lisa; van der Voort van Zyp, Jochem; De Boer, Hans; Smeenk, Robert J; Kunze-Busch, Martina; Monninkhof, Evelyn M; De Roover, Robin; Isebaert, Sofie; Kerkmeijer, Linda G "&amp;"W")</f>
        <v>Draulans, Cédric; Haustermans, Karin; Pos, Floris J; van der Heide, Uulke A; De Cock, Lisa; van der Voort van Zyp, Jochem; De Boer, Hans; Smeenk, Robert J; Kunze-Busch, Martina; Monninkhof, Evelyn M; De Roover, Robin; Isebaert, Sofie; Kerkmeijer, Linda G W</v>
      </c>
      <c r="Z890" s="31">
        <f>IFERROR(__xludf.DUMMYFUNCTION("""COMPUTED_VALUE"""),2024.0)</f>
        <v>2024</v>
      </c>
      <c r="AA890" s="31">
        <f>IFERROR(__xludf.DUMMYFUNCTION("""COMPUTED_VALUE"""),0.0)</f>
        <v>0</v>
      </c>
      <c r="AF890" s="31" t="str">
        <f>IFERROR(__xludf.DUMMYFUNCTION("""COMPUTED_VALUE"""),"EMAS position statement: Menopause for medical students.")</f>
        <v>EMAS position statement: Menopause for medical students.</v>
      </c>
      <c r="AG890" s="31" t="str">
        <f>IFERROR(__xludf.DUMMYFUNCTION("""COMPUTED_VALUE"""),"Brockie, Janet; Lambrinoudaki, Irene; Ceausu, Iuliana; Depypere, Herman; Erel, C Tamer; Pérez-López, Faustino R; Schenck-Gustafsson, Karin; van der Schouw, Yvonne T; Simoncini, Tommaso; Tremollieres, Florence; Rees, Margaret; ,")</f>
        <v>Brockie, Janet; Lambrinoudaki, Irene; Ceausu, Iuliana; Depypere, Herman; Erel, C Tamer; Pérez-López, Faustino R; Schenck-Gustafsson, Karin; van der Schouw, Yvonne T; Simoncini, Tommaso; Tremollieres, Florence; Rees, Margaret; ,</v>
      </c>
      <c r="AH890" s="32">
        <f>IFERROR(__xludf.DUMMYFUNCTION("""COMPUTED_VALUE"""),41689.0)</f>
        <v>41689</v>
      </c>
      <c r="AL890" s="31" t="str">
        <f>IFERROR(__xludf.DUMMYFUNCTION("""COMPUTED_VALUE"""),"Overestimation of risk ratios by odds ratios in trials and cohort studies: alternatives to logistic regression.")</f>
        <v>Overestimation of risk ratios by odds ratios in trials and cohort studies: alternatives to logistic regression.</v>
      </c>
      <c r="AM890" s="31" t="str">
        <f>IFERROR(__xludf.DUMMYFUNCTION("""COMPUTED_VALUE"""),"Knol, Mirjam J; Le Cessie, Saskia; Algra, Ale; Vandenbroucke, Jan P; Groenwold, Rolf H H")</f>
        <v>Knol, Mirjam J; Le Cessie, Saskia; Algra, Ale; Vandenbroucke, Jan P; Groenwold, Rolf H H</v>
      </c>
      <c r="AN890" s="32">
        <f>IFERROR(__xludf.DUMMYFUNCTION("""COMPUTED_VALUE"""),40889.0)</f>
        <v>40889</v>
      </c>
    </row>
    <row r="891">
      <c r="A891" s="32"/>
      <c r="I891" s="31" t="str">
        <f>IFERROR(__xludf.DUMMYFUNCTION("""COMPUTED_VALUE"""),"journal of mathematical biology")</f>
        <v>journal of mathematical biology</v>
      </c>
      <c r="J891" s="38">
        <f>COUNTIF(Data!$F$2:$F9917, $I891)</f>
        <v>1</v>
      </c>
      <c r="T891" s="31" t="s">
        <v>2619</v>
      </c>
      <c r="U891" s="31" t="s">
        <v>2620</v>
      </c>
      <c r="V891" s="32">
        <v>45063.0</v>
      </c>
      <c r="X891" s="31" t="str">
        <f>IFERROR(__xludf.DUMMYFUNCTION("""COMPUTED_VALUE"""),"Intra-prostatic recurrences after radiotherapy with focal boost: Location and dose mapping in the FLAME trial.")</f>
        <v>Intra-prostatic recurrences after radiotherapy with focal boost: Location and dose mapping in the FLAME trial.</v>
      </c>
      <c r="Y891" s="31" t="str">
        <f>IFERROR(__xludf.DUMMYFUNCTION("""COMPUTED_VALUE"""),"Menne Guricová, K; Pos, F J; Schoots, I G; Vogel, W V; Kerkmeijer, L G W; Monninkhof, E M; de Boer, J C J; van der Voort van Zyp, J R N; Kunze-Busch, M; Smeenk, R J; Draulans, C; Haustermans, K; van Houdt, P J; van der Heide, U A")</f>
        <v>Menne Guricová, K; Pos, F J; Schoots, I G; Vogel, W V; Kerkmeijer, L G W; Monninkhof, E M; de Boer, J C J; van der Voort van Zyp, J R N; Kunze-Busch, M; Smeenk, R J; Draulans, C; Haustermans, K; van Houdt, P J; van der Heide, U A</v>
      </c>
      <c r="Z891" s="31">
        <f>IFERROR(__xludf.DUMMYFUNCTION("""COMPUTED_VALUE"""),2024.0)</f>
        <v>2024</v>
      </c>
      <c r="AA891" s="31">
        <f>IFERROR(__xludf.DUMMYFUNCTION("""COMPUTED_VALUE"""),0.0)</f>
        <v>0</v>
      </c>
      <c r="AF891" s="31" t="str">
        <f>IFERROR(__xludf.DUMMYFUNCTION("""COMPUTED_VALUE"""),"The fiduciary obligation of the physician-researcher in phase IV trials.")</f>
        <v>The fiduciary obligation of the physician-researcher in phase IV trials.</v>
      </c>
      <c r="AG891" s="31" t="str">
        <f>IFERROR(__xludf.DUMMYFUNCTION("""COMPUTED_VALUE"""),"Bernabe, Rosemarie D L C; van Thiel, Ghislaine J M W; Raaijmakers, Jan A M; van Delden, Johannes J M")</f>
        <v>Bernabe, Rosemarie D L C; van Thiel, Ghislaine J M W; Raaijmakers, Jan A M; van Delden, Johannes J M</v>
      </c>
      <c r="AH891" s="32">
        <f>IFERROR(__xludf.DUMMYFUNCTION("""COMPUTED_VALUE"""),41677.0)</f>
        <v>41677</v>
      </c>
      <c r="AL891" s="31" t="str">
        <f>IFERROR(__xludf.DUMMYFUNCTION("""COMPUTED_VALUE"""),"Estimating the attributable mortality of ventilator-associated pneumonia from randomized prevention studies.")</f>
        <v>Estimating the attributable mortality of ventilator-associated pneumonia from randomized prevention studies.</v>
      </c>
      <c r="AM891" s="31" t="str">
        <f>IFERROR(__xludf.DUMMYFUNCTION("""COMPUTED_VALUE"""),"Melsen, Wilhelmina G; Rovers, Maroeska M; Koeman, Mirelle; Bonten, Marc J M")</f>
        <v>Melsen, Wilhelmina G; Rovers, Maroeska M; Koeman, Mirelle; Bonten, Marc J M</v>
      </c>
      <c r="AN891" s="32">
        <f>IFERROR(__xludf.DUMMYFUNCTION("""COMPUTED_VALUE"""),40878.0)</f>
        <v>40878</v>
      </c>
    </row>
    <row r="892">
      <c r="A892" s="32"/>
      <c r="I892" s="31" t="str">
        <f>IFERROR(__xludf.DUMMYFUNCTION("""COMPUTED_VALUE"""),"currents in pharmacy teaching learning")</f>
        <v>currents in pharmacy teaching learning</v>
      </c>
      <c r="J892" s="38">
        <f>COUNTIF(Data!$F$2:$F9917, $I892)</f>
        <v>2</v>
      </c>
      <c r="T892" s="31" t="s">
        <v>2623</v>
      </c>
      <c r="U892" s="31" t="s">
        <v>2624</v>
      </c>
      <c r="V892" s="32">
        <v>45062.0</v>
      </c>
      <c r="X892" s="31" t="str">
        <f>IFERROR(__xludf.DUMMYFUNCTION("""COMPUTED_VALUE"""),"BCG vaccination of healthcare workers for protection against COVID-19: 12-month outcomes from an international randomised controlled trial.")</f>
        <v>BCG vaccination of healthcare workers for protection against COVID-19: 12-month outcomes from an international randomised controlled trial.</v>
      </c>
      <c r="Y892" s="31" t="str">
        <f>IFERROR(__xludf.DUMMYFUNCTION("""COMPUTED_VALUE"""),"Messina, Nicole L; Pittet, Laure F; McDonald, Ellie; Moore, Cecilia; Barry, Simone; Bonten, Marc; Byrne, Anthony; Campbell, John; Croda, Julio; Croda, Mariana G; Dalcolmo, Margareth; de Almeida E Val, Fernando F; de Oliveira, Roberto D; Dos Santos, Glauce"&amp;"; Douglas, Mark W; Gardiner, Kaya; Gwee, Amanda; Jardim, Bruno A; Kollmann, Tobias; Lacerda, Marcus Vg; Lucas, Michaela; Lynn, David J; Manning, Laurens; Marshall, Helen; O'Connell, Abby; Perrett, Kirsten P; Post, Jeffrey J; Prat-Aymerich, Cristina; Rocha"&amp;", Jorge L; Rodriguez-Baño, Jesus; Wadia, Ushma; Warris, Adilia; Davidson, Andrew; Curtis, Nigel; ,")</f>
        <v>Messina, Nicole L; Pittet, Laure F; McDonald, Ellie; Moore, Cecilia; Barry, Simone; Bonten, Marc; Byrne, Anthony; Campbell, John; Croda, Julio; Croda, Mariana G; Dalcolmo, Margareth; de Almeida E Val, Fernando F; de Oliveira, Roberto D; Dos Santos, Glauce; Douglas, Mark W; Gardiner, Kaya; Gwee, Amanda; Jardim, Bruno A; Kollmann, Tobias; Lacerda, Marcus Vg; Lucas, Michaela; Lynn, David J; Manning, Laurens; Marshall, Helen; O'Connell, Abby; Perrett, Kirsten P; Post, Jeffrey J; Prat-Aymerich, Cristina; Rocha, Jorge L; Rodriguez-Baño, Jesus; Wadia, Ushma; Warris, Adilia; Davidson, Andrew; Curtis, Nigel; ,</v>
      </c>
      <c r="Z892" s="31">
        <f>IFERROR(__xludf.DUMMYFUNCTION("""COMPUTED_VALUE"""),2024.0)</f>
        <v>2024</v>
      </c>
      <c r="AA892" s="31">
        <f>IFERROR(__xludf.DUMMYFUNCTION("""COMPUTED_VALUE"""),0.0)</f>
        <v>0</v>
      </c>
      <c r="AF892" s="31" t="str">
        <f>IFERROR(__xludf.DUMMYFUNCTION("""COMPUTED_VALUE"""),"Limits of chlamydial diagnostic tests in epidemiological studies.")</f>
        <v>Limits of chlamydial diagnostic tests in epidemiological studies.</v>
      </c>
      <c r="AG892" s="31" t="str">
        <f>IFERROR(__xludf.DUMMYFUNCTION("""COMPUTED_VALUE"""),"Dukers-Muijrers, Nicole H T M; van der Sande, Marianne A B; Wolffs, Petra F G; Hoebe, Christian J P A")</f>
        <v>Dukers-Muijrers, Nicole H T M; van der Sande, Marianne A B; Wolffs, Petra F G; Hoebe, Christian J P A</v>
      </c>
      <c r="AH892" s="32">
        <f>IFERROR(__xludf.DUMMYFUNCTION("""COMPUTED_VALUE"""),41648.0)</f>
        <v>41648</v>
      </c>
      <c r="AL892" s="31" t="str">
        <f>IFERROR(__xludf.DUMMYFUNCTION("""COMPUTED_VALUE"""),"Mammographic density and breast cancer risk: the role of the fat surrounding the fibroglandular tissue.")</f>
        <v>Mammographic density and breast cancer risk: the role of the fat surrounding the fibroglandular tissue.</v>
      </c>
      <c r="AM892" s="31" t="str">
        <f>IFERROR(__xludf.DUMMYFUNCTION("""COMPUTED_VALUE"""),"Lokate, Mariëtte; Peeters, Petra H M; Peelen, Linda M; Haars, Gerco; Veldhuis, Wouter B; van Gils, Carla H")</f>
        <v>Lokate, Mariëtte; Peeters, Petra H M; Peelen, Linda M; Haars, Gerco; Veldhuis, Wouter B; van Gils, Carla H</v>
      </c>
      <c r="AN892" s="32">
        <f>IFERROR(__xludf.DUMMYFUNCTION("""COMPUTED_VALUE"""),40842.0)</f>
        <v>40842</v>
      </c>
    </row>
    <row r="893">
      <c r="A893" s="32"/>
      <c r="I893" s="31" t="str">
        <f>IFERROR(__xludf.DUMMYFUNCTION("""COMPUTED_VALUE"""),"diabetes metabolism")</f>
        <v>diabetes metabolism</v>
      </c>
      <c r="J893" s="38">
        <f>COUNTIF(Data!$F$2:$F9917, $I893)</f>
        <v>1</v>
      </c>
      <c r="T893" s="31" t="s">
        <v>2627</v>
      </c>
      <c r="U893" s="31" t="s">
        <v>2628</v>
      </c>
      <c r="V893" s="32">
        <v>45062.0</v>
      </c>
      <c r="X893" s="31" t="str">
        <f>IFERROR(__xludf.DUMMYFUNCTION("""COMPUTED_VALUE"""),"Accelerated Bacille Calmette-Guérin reactions: More than meets the eye.")</f>
        <v>Accelerated Bacille Calmette-Guérin reactions: More than meets the eye.</v>
      </c>
      <c r="Y893" s="31" t="str">
        <f>IFERROR(__xludf.DUMMYFUNCTION("""COMPUTED_VALUE"""),"Villanueva, Paola; Crawford, Nigel W; Croda, Mariana Garcia; Croda, Julio; Dalcolmo, Margareth; Jardim, Bruno Araújo; Jardim, Tyane de Almeida Pinto; Marshall, Helen; Prat-Aymerich, Cristina; Sawka, Alice; Sharma, Ketaki; Troeman, Darren; Warris, Adilia; "&amp;"Wood, Nicholas; Messina, Nicole L; Pittet, Laure F; Curtis, Nigel")</f>
        <v>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v>
      </c>
      <c r="Z893" s="31">
        <f>IFERROR(__xludf.DUMMYFUNCTION("""COMPUTED_VALUE"""),2024.0)</f>
        <v>2024</v>
      </c>
      <c r="AA893" s="31">
        <f>IFERROR(__xludf.DUMMYFUNCTION("""COMPUTED_VALUE"""),0.0)</f>
        <v>0</v>
      </c>
      <c r="AF893" s="31" t="str">
        <f>IFERROR(__xludf.DUMMYFUNCTION("""COMPUTED_VALUE"""),"The inherent ethical challenge of first-in-human pluripotent stem cell trials.")</f>
        <v>The inherent ethical challenge of first-in-human pluripotent stem cell trials.</v>
      </c>
      <c r="AG893" s="31" t="str">
        <f>IFERROR(__xludf.DUMMYFUNCTION("""COMPUTED_VALUE"""),"Habets, Michelle G J L; van Delden, Johannes J M; Bredenoord, Annelien L")</f>
        <v>Habets, Michelle G J L; van Delden, Johannes J M; Bredenoord, Annelien L</v>
      </c>
      <c r="AH893" s="32">
        <f>IFERROR(__xludf.DUMMYFUNCTION("""COMPUTED_VALUE"""),41640.0)</f>
        <v>41640</v>
      </c>
      <c r="AL893" s="31" t="str">
        <f>IFERROR(__xludf.DUMMYFUNCTION("""COMPUTED_VALUE"""),"Selective decontamination of the oral and digestive tract in surgical versus non-surgical patients in intensive care in a cluster-randomized trial.")</f>
        <v>Selective decontamination of the oral and digestive tract in surgical versus non-surgical patients in intensive care in a cluster-randomized trial.</v>
      </c>
      <c r="AM893" s="31" t="str">
        <f>IFERROR(__xludf.DUMMYFUNCTION("""COMPUTED_VALUE"""),"Melsen, W G; de Smet, A M G A; Kluytmans, J A J W; Bonten, M J M; ,")</f>
        <v>Melsen, W G; de Smet, A M G A; Kluytmans, J A J W; Bonten, M J M; ,</v>
      </c>
      <c r="AN893" s="32">
        <f>IFERROR(__xludf.DUMMYFUNCTION("""COMPUTED_VALUE"""),40840.0)</f>
        <v>40840</v>
      </c>
    </row>
    <row r="894">
      <c r="A894" s="32"/>
      <c r="I894" s="31" t="str">
        <f>IFERROR(__xludf.DUMMYFUNCTION("""COMPUTED_VALUE"""),"drugs aging")</f>
        <v>drugs aging</v>
      </c>
      <c r="J894" s="38">
        <f>COUNTIF(Data!$F$2:$F9917, $I894)</f>
        <v>1</v>
      </c>
      <c r="T894" s="31" t="s">
        <v>2632</v>
      </c>
      <c r="U894" s="31" t="s">
        <v>2633</v>
      </c>
      <c r="V894" s="32">
        <v>45062.0</v>
      </c>
      <c r="X894" s="31" t="str">
        <f>IFERROR(__xludf.DUMMYFUNCTION("""COMPUTED_VALUE"""),"Determinants of Systemic SARS-CoV-2-Specific Antibody Responses to Infection and to Vaccination: A Secondary Analysis of Randomised Controlled Trial Data.")</f>
        <v>Determinants of Systemic SARS-CoV-2-Specific Antibody Responses to Infection and to Vaccination: A Secondary Analysis of Randomised Controlled Trial Data.</v>
      </c>
      <c r="Y894" s="31" t="str">
        <f>IFERROR(__xludf.DUMMYFUNCTION("""COMPUTED_VALUE"""),"Claus, Juana; Ten Doesschate, Thijs; Taks, Esther; Debisarun, Priya A; Smits, Gaby; van Binnendijk, Rob; van der Klis, Fiona; Verhagen, Lilly M; de Jonge, Marien I; Bonten, Marc J M; Netea, Mihai G; van de Wijgert, Janneke H H M")</f>
        <v>Claus, Juana; Ten Doesschate, Thijs; Taks, Esther; Debisarun, Priya A; Smits, Gaby; van Binnendijk, Rob; van der Klis, Fiona; Verhagen, Lilly M; de Jonge, Marien I; Bonten, Marc J M; Netea, Mihai G; van de Wijgert, Janneke H H M</v>
      </c>
      <c r="Z894" s="31">
        <f>IFERROR(__xludf.DUMMYFUNCTION("""COMPUTED_VALUE"""),2024.0)</f>
        <v>2024</v>
      </c>
      <c r="AA894" s="31">
        <f>IFERROR(__xludf.DUMMYFUNCTION("""COMPUTED_VALUE"""),0.0)</f>
        <v>0</v>
      </c>
      <c r="AF894" s="31" t="str">
        <f>IFERROR(__xludf.DUMMYFUNCTION("""COMPUTED_VALUE"""),"[Smoking in a risk society: 50 years after the Surgeon General's report].")</f>
        <v>[Smoking in a risk society: 50 years after the Surgeon General's report].</v>
      </c>
      <c r="AG894" s="31" t="str">
        <f>IFERROR(__xludf.DUMMYFUNCTION("""COMPUTED_VALUE"""),"Bolt, Timo C; Huisman, Frank G")</f>
        <v>Bolt, Timo C; Huisman, Frank G</v>
      </c>
      <c r="AH894" s="32">
        <f>IFERROR(__xludf.DUMMYFUNCTION("""COMPUTED_VALUE"""),41640.0)</f>
        <v>41640</v>
      </c>
      <c r="AL894" s="31" t="str">
        <f>IFERROR(__xludf.DUMMYFUNCTION("""COMPUTED_VALUE"""),"Depression, anxiety and physical function: exploring the strength of causality.")</f>
        <v>Depression, anxiety and physical function: exploring the strength of causality.</v>
      </c>
      <c r="AM894" s="31" t="str">
        <f>IFERROR(__xludf.DUMMYFUNCTION("""COMPUTED_VALUE"""),"Stegenga, Bauke T; Nazareth, Irwin; Torres-González, Francisco; Xavier, Miguel; Svab, Igor; Geerlings, Mirjam I; Bottomley, Christian; Marston, Louise; King, Michael")</f>
        <v>Stegenga, Bauke T; Nazareth, Irwin; Torres-González, Francisco; Xavier, Miguel; Svab, Igor; Geerlings, Mirjam I; Bottomley, Christian; Marston, Louise; King, Michael</v>
      </c>
      <c r="AN894" s="32">
        <f>IFERROR(__xludf.DUMMYFUNCTION("""COMPUTED_VALUE"""),40715.0)</f>
        <v>40715</v>
      </c>
    </row>
    <row r="895">
      <c r="A895" s="32"/>
      <c r="I895" s="31" t="str">
        <f>IFERROR(__xludf.DUMMYFUNCTION("""COMPUTED_VALUE"""),"anesthesia and analgesia")</f>
        <v>anesthesia and analgesia</v>
      </c>
      <c r="J895" s="38">
        <f>COUNTIF(Data!$F$2:$F9917, $I895)</f>
        <v>4</v>
      </c>
      <c r="T895" s="31" t="s">
        <v>2637</v>
      </c>
      <c r="U895" s="31" t="s">
        <v>2638</v>
      </c>
      <c r="V895" s="32">
        <v>45059.0</v>
      </c>
      <c r="X895" s="31" t="str">
        <f>IFERROR(__xludf.DUMMYFUNCTION("""COMPUTED_VALUE"""),"Determinants of non-adherence to antibiotic treatment guidelines in hospitalized adults with suspected community-acquired pneumonia: a prospective study.")</f>
        <v>Determinants of non-adherence to antibiotic treatment guidelines in hospitalized adults with suspected community-acquired pneumonia: a prospective study.</v>
      </c>
      <c r="Y895" s="31" t="str">
        <f>IFERROR(__xludf.DUMMYFUNCTION("""COMPUTED_VALUE"""),"Markussen, Dagfinn Lunde; Wathne, Jannicke Slettli; Ritz, Christian; van Werkhoven, Cornelis H; Serigstad, Sondre; Bjørneklett, Rune Oskar; Ulvestad, Elling; Knoop, Siri Tandberg; Jenum, Synne; Grewal, Harleen M S")</f>
        <v>Markussen, Dagfinn Lunde; Wathne, Jannicke Slettli; Ritz, Christian; van Werkhoven, Cornelis H; Serigstad, Sondre; Bjørneklett, Rune Oskar; Ulvestad, Elling; Knoop, Siri Tandberg; Jenum, Synne; Grewal, Harleen M S</v>
      </c>
      <c r="Z895" s="31">
        <f>IFERROR(__xludf.DUMMYFUNCTION("""COMPUTED_VALUE"""),2024.0)</f>
        <v>2024</v>
      </c>
      <c r="AA895" s="31">
        <f>IFERROR(__xludf.DUMMYFUNCTION("""COMPUTED_VALUE"""),0.0)</f>
        <v>0</v>
      </c>
      <c r="AF895" s="31" t="str">
        <f>IFERROR(__xludf.DUMMYFUNCTION("""COMPUTED_VALUE"""),"Euthanasia or physician-assisted suicide? A survey from the Netherlands.")</f>
        <v>Euthanasia or physician-assisted suicide? A survey from the Netherlands.</v>
      </c>
      <c r="AG895" s="31" t="str">
        <f>IFERROR(__xludf.DUMMYFUNCTION("""COMPUTED_VALUE"""),"Kouwenhoven, Pauline S C; van Thiel, Ghislaine J M W; Raijmakers, Natasja J H; Rietjens, Judith A C; van der Heide, Agnes; van Delden, Johannes J M")</f>
        <v>Kouwenhoven, Pauline S C; van Thiel, Ghislaine J M W; Raijmakers, Natasja J H; Rietjens, Judith A C; van der Heide, Agnes; van Delden, Johannes J M</v>
      </c>
      <c r="AH895" s="32">
        <f>IFERROR(__xludf.DUMMYFUNCTION("""COMPUTED_VALUE"""),41628.0)</f>
        <v>41628</v>
      </c>
      <c r="AL895" s="31" t="str">
        <f>IFERROR(__xludf.DUMMYFUNCTION("""COMPUTED_VALUE"""),"Cardiogenetic screening of first-degree relatives after sudden cardiac death in the young: a population-based approach.")</f>
        <v>Cardiogenetic screening of first-degree relatives after sudden cardiac death in the young: a population-based approach.</v>
      </c>
      <c r="AM895" s="31" t="str">
        <f>IFERROR(__xludf.DUMMYFUNCTION("""COMPUTED_VALUE"""),"Hendrix, Anneke; Borleffs, C Jan Willem; Vink, Aryan; Doevendans, Pieter A F M; Wilde, Arthur A; van Langen, Irene M; van der Smagt, Jasper J; Bots, Michiel L; Mosterd, Arend")</f>
        <v>Hendrix, Anneke; Borleffs, C Jan Willem; Vink, Aryan; Doevendans, Pieter A F M; Wilde, Arthur A; van Langen, Irene M; van der Smagt, Jasper J; Bots, Michiel L; Mosterd, Arend</v>
      </c>
      <c r="AN895" s="32">
        <f>IFERROR(__xludf.DUMMYFUNCTION("""COMPUTED_VALUE"""),40554.0)</f>
        <v>40554</v>
      </c>
    </row>
    <row r="896">
      <c r="A896" s="32"/>
      <c r="I896" s="31" t="str">
        <f>IFERROR(__xludf.DUMMYFUNCTION("""COMPUTED_VALUE"""),"nutrition diabetes")</f>
        <v>nutrition diabetes</v>
      </c>
      <c r="J896" s="38">
        <f>COUNTIF(Data!$F$2:$F9917, $I896)</f>
        <v>2</v>
      </c>
      <c r="T896" s="31" t="s">
        <v>2641</v>
      </c>
      <c r="U896" s="31" t="s">
        <v>2642</v>
      </c>
      <c r="V896" s="32">
        <v>45059.0</v>
      </c>
      <c r="X896" s="31" t="str">
        <f>IFERROR(__xludf.DUMMYFUNCTION("""COMPUTED_VALUE"""),"Impact of Pseudomonas aeruginosa carriage on ICU-acquired pneumonia: a European multicentre prospective cohort study.")</f>
        <v>Impact of Pseudomonas aeruginosa carriage on ICU-acquired pneumonia: a European multicentre prospective cohort study.</v>
      </c>
      <c r="Y896" s="31" t="str">
        <f>IFERROR(__xludf.DUMMYFUNCTION("""COMPUTED_VALUE"""),"Recanatini, Claudia; van Werkhoven, Cornelis H; van der Schalk, Thomas E; Paling, Fleur; Hazard, Derek; Timbermont, Leen; Torrens, Gabriel; DiGiandomenico, Antonio; Esser, Mark T; Wolkewitz, Martin; Sifakis, Frangiscos; Goossens, Herman; Bonten, Marc; Oli"&amp;"ver, Antonio; Malhotra-Kumar, Surbhi; Kluytmans, Jan; ,")</f>
        <v>Recanatini, Claudia; van Werkhoven, Cornelis H; van der Schalk, Thomas E; Paling, Fleur; Hazard, Derek; Timbermont, Leen; Torrens, Gabriel; DiGiandomenico, Antonio; Esser, Mark T; Wolkewitz, Martin; Sifakis, Frangiscos; Goossens, Herman; Bonten, Marc; Oliver, Antonio; Malhotra-Kumar, Surbhi; Kluytmans, Jan; ,</v>
      </c>
      <c r="Z896" s="31">
        <f>IFERROR(__xludf.DUMMYFUNCTION("""COMPUTED_VALUE"""),2024.0)</f>
        <v>2024</v>
      </c>
      <c r="AA896" s="31">
        <f>IFERROR(__xludf.DUMMYFUNCTION("""COMPUTED_VALUE"""),0.0)</f>
        <v>0</v>
      </c>
      <c r="AF896" s="31" t="str">
        <f>IFERROR(__xludf.DUMMYFUNCTION("""COMPUTED_VALUE"""),"Mortality in women of reproductive age in rural South Africa.")</f>
        <v>Mortality in women of reproductive age in rural South Africa.</v>
      </c>
      <c r="AG896" s="31" t="str">
        <f>IFERROR(__xludf.DUMMYFUNCTION("""COMPUTED_VALUE"""),"Nabukalu, Dorean; Klipstein-Grobusch, Kerstin; Herbst, Kobus; Newell, Marie-Louise")</f>
        <v>Nabukalu, Dorean; Klipstein-Grobusch, Kerstin; Herbst, Kobus; Newell, Marie-Louise</v>
      </c>
      <c r="AH896" s="32">
        <f>IFERROR(__xludf.DUMMYFUNCTION("""COMPUTED_VALUE"""),41627.0)</f>
        <v>41627</v>
      </c>
      <c r="AL896" s="31" t="str">
        <f>IFERROR(__xludf.DUMMYFUNCTION("""COMPUTED_VALUE"""),"Healthcare epidemiology: Ventilator-associated pneumonia: preventing the inevitable.")</f>
        <v>Healthcare epidemiology: Ventilator-associated pneumonia: preventing the inevitable.</v>
      </c>
      <c r="AM896" s="31" t="str">
        <f>IFERROR(__xludf.DUMMYFUNCTION("""COMPUTED_VALUE"""),"Bonten, Marc J M")</f>
        <v>Bonten, Marc J M</v>
      </c>
      <c r="AN896" s="32">
        <f>IFERROR(__xludf.DUMMYFUNCTION("""COMPUTED_VALUE"""),40544.0)</f>
        <v>40544</v>
      </c>
    </row>
    <row r="897">
      <c r="A897" s="32"/>
      <c r="I897" s="31" t="str">
        <f>IFERROR(__xludf.DUMMYFUNCTION("""COMPUTED_VALUE"""),"journal of neurointerventional surgery")</f>
        <v>journal of neurointerventional surgery</v>
      </c>
      <c r="J897" s="38">
        <f>COUNTIF(Data!$F$2:$F9917, $I897)</f>
        <v>2</v>
      </c>
      <c r="T897" s="31" t="s">
        <v>2646</v>
      </c>
      <c r="U897" s="31" t="s">
        <v>2647</v>
      </c>
      <c r="V897" s="32">
        <v>45058.0</v>
      </c>
      <c r="X897" s="31" t="str">
        <f>IFERROR(__xludf.DUMMYFUNCTION("""COMPUTED_VALUE"""),"Biomarker guided antibiotic stewardship in community acquired pneumonia: A randomized controlled trial.")</f>
        <v>Biomarker guided antibiotic stewardship in community acquired pneumonia: A randomized controlled trial.</v>
      </c>
      <c r="Y897" s="31" t="str">
        <f>IFERROR(__xludf.DUMMYFUNCTION("""COMPUTED_VALUE"""),"Duijkers, Ruud; Prins, Hendrik J; Kross, Martijn; Snijders, Dominic; van den Berg, Jan W K; Werkman, Gwendolyn M; van der Veen, Nynke; Schoorl, Marianne; Bonten, Marc J M; van Werkhoven, Cornelis H; Boersma, Wim G")</f>
        <v>Duijkers, Ruud; Prins, Hendrik J; Kross, Martijn; Snijders, Dominic; van den Berg, Jan W K; Werkman, Gwendolyn M; van der Veen, Nynke; Schoorl, Marianne; Bonten, Marc J M; van Werkhoven, Cornelis H; Boersma, Wim G</v>
      </c>
      <c r="Z897" s="31">
        <f>IFERROR(__xludf.DUMMYFUNCTION("""COMPUTED_VALUE"""),2024.0)</f>
        <v>2024</v>
      </c>
      <c r="AA897" s="31">
        <f>IFERROR(__xludf.DUMMYFUNCTION("""COMPUTED_VALUE"""),0.0)</f>
        <v>0</v>
      </c>
      <c r="AF897" s="31" t="str">
        <f>IFERROR(__xludf.DUMMYFUNCTION("""COMPUTED_VALUE"""),"Intensification of medication and glycaemic control among patients with type 2 diabetes - the ADVANCE trial.")</f>
        <v>Intensification of medication and glycaemic control among patients with type 2 diabetes - the ADVANCE trial.</v>
      </c>
      <c r="AG897" s="31" t="str">
        <f>IFERROR(__xludf.DUMMYFUNCTION("""COMPUTED_VALUE"""),"van Dieren, S; Kengne, A P; Chalmers, J; Beulens, J W J; Davis, T M E; Fulcher, G; Heller, S R; Patel, A; Colagiuri, S; Hamet, P; Mancia, G; Marre, M; Neal, B; Williams, B; Peelen, L M; van der Schouw, Y T; Woodward, M; Zoungas, S")</f>
        <v>van Dieren, S; Kengne, A P; Chalmers, J; Beulens, J W J; Davis, T M E; Fulcher, G; Heller, S R; Patel, A; Colagiuri, S; Hamet, P; Mancia, G; Marre, M; Neal, B; Williams, B; Peelen, L M; van der Schouw, Y T; Woodward, M; Zoungas, S</v>
      </c>
      <c r="AH897" s="32">
        <f>IFERROR(__xludf.DUMMYFUNCTION("""COMPUTED_VALUE"""),41624.0)</f>
        <v>41624</v>
      </c>
      <c r="AL897" s="31" t="str">
        <f>IFERROR(__xludf.DUMMYFUNCTION("""COMPUTED_VALUE"""),"Reporting of treatment effects from randomized trials: a plea for multivariable risk ratios.")</f>
        <v>Reporting of treatment effects from randomized trials: a plea for multivariable risk ratios.</v>
      </c>
      <c r="AM897" s="31" t="str">
        <f>IFERROR(__xludf.DUMMYFUNCTION("""COMPUTED_VALUE"""),"Groenwold, Rolf H H; Moons, Karel G M; Peelen, Linda M; Knol, Mirjam J; Hoes, Arno W")</f>
        <v>Groenwold, Rolf H H; Moons, Karel G M; Peelen, Linda M; Knol, Mirjam J; Hoes, Arno W</v>
      </c>
      <c r="AN897" s="32">
        <f>IFERROR(__xludf.DUMMYFUNCTION("""COMPUTED_VALUE"""),40543.0)</f>
        <v>40543</v>
      </c>
    </row>
    <row r="898">
      <c r="A898" s="32"/>
      <c r="I898" s="31" t="str">
        <f>IFERROR(__xludf.DUMMYFUNCTION("""COMPUTED_VALUE"""),"sleep medicine")</f>
        <v>sleep medicine</v>
      </c>
      <c r="J898" s="38">
        <f>COUNTIF(Data!$F$2:$F9917, $I898)</f>
        <v>2</v>
      </c>
      <c r="T898" s="31" t="s">
        <v>2650</v>
      </c>
      <c r="U898" s="31" t="s">
        <v>2651</v>
      </c>
      <c r="V898" s="32">
        <v>45058.0</v>
      </c>
      <c r="X898" s="31" t="str">
        <f>IFERROR(__xludf.DUMMYFUNCTION("""COMPUTED_VALUE"""),"Mortality Associated with Infectious Diseases in Dutch Nursing Homes.")</f>
        <v>Mortality Associated with Infectious Diseases in Dutch Nursing Homes.</v>
      </c>
      <c r="Y898" s="31" t="str">
        <f>IFERROR(__xludf.DUMMYFUNCTION("""COMPUTED_VALUE"""),"Manyam, Meghanadh; Biesheuvel, Mirthe; Haenen, Anja; van Werkhoven, C H Henri; van de Kassteele, Jan; van Gageldonk-Lafeber, Rianne; de Greeff, Sabine; van Asten, Liselotte; ,")</f>
        <v>Manyam, Meghanadh; Biesheuvel, Mirthe; Haenen, Anja; van Werkhoven, C H Henri; van de Kassteele, Jan; van Gageldonk-Lafeber, Rianne; de Greeff, Sabine; van Asten, Liselotte; ,</v>
      </c>
      <c r="Z898" s="31">
        <f>IFERROR(__xludf.DUMMYFUNCTION("""COMPUTED_VALUE"""),2024.0)</f>
        <v>2024</v>
      </c>
      <c r="AA898" s="31">
        <f>IFERROR(__xludf.DUMMYFUNCTION("""COMPUTED_VALUE"""),0.0)</f>
        <v>0</v>
      </c>
      <c r="AF898" s="31" t="str">
        <f>IFERROR(__xludf.DUMMYFUNCTION("""COMPUTED_VALUE"""),"Assistance in dying for older people without a serious medical condition who have a wish to die: a national cross-sectional survey.")</f>
        <v>Assistance in dying for older people without a serious medical condition who have a wish to die: a national cross-sectional survey.</v>
      </c>
      <c r="AG898" s="31" t="str">
        <f>IFERROR(__xludf.DUMMYFUNCTION("""COMPUTED_VALUE"""),"Raijmakers, Natasja J H; van der Heide, Agnes; Kouwenhoven, Pauline S C; van Thiel, Ghislaine J M W; van Delden, Johannes J M; Rietjens, Judith A C")</f>
        <v>Raijmakers, Natasja J H; van der Heide, Agnes; Kouwenhoven, Pauline S C; van Thiel, Ghislaine J M W; van Delden, Johannes J M; Rietjens, Judith A C</v>
      </c>
      <c r="AH898" s="32">
        <f>IFERROR(__xludf.DUMMYFUNCTION("""COMPUTED_VALUE"""),41621.0)</f>
        <v>41621</v>
      </c>
      <c r="AL898" s="31" t="str">
        <f>IFERROR(__xludf.DUMMYFUNCTION("""COMPUTED_VALUE"""),"The natural course and outcome of major depressive disorder in primary care: the PREDICT-NL study.")</f>
        <v>The natural course and outcome of major depressive disorder in primary care: the PREDICT-NL study.</v>
      </c>
      <c r="AM898" s="31" t="str">
        <f>IFERROR(__xludf.DUMMYFUNCTION("""COMPUTED_VALUE"""),"Stegenga, Bauke T; Kamphuis, Marjolein H; King, Michael; Nazareth, Irwin; Geerlings, Mirjam I")</f>
        <v>Stegenga, Bauke T; Kamphuis, Marjolein H; King, Michael; Nazareth, Irwin; Geerlings, Mirjam I</v>
      </c>
      <c r="AN898" s="32">
        <f>IFERROR(__xludf.DUMMYFUNCTION("""COMPUTED_VALUE"""),40488.0)</f>
        <v>40488</v>
      </c>
    </row>
    <row r="899">
      <c r="A899" s="32"/>
      <c r="I899" s="31" t="str">
        <f>IFERROR(__xludf.DUMMYFUNCTION("""COMPUTED_VALUE"""),"surgical infections")</f>
        <v>surgical infections</v>
      </c>
      <c r="J899" s="38">
        <f>COUNTIF(Data!$F$2:$F9917, $I899)</f>
        <v>1</v>
      </c>
      <c r="T899" s="31" t="s">
        <v>2654</v>
      </c>
      <c r="U899" s="31" t="s">
        <v>2655</v>
      </c>
      <c r="V899" s="32">
        <v>45058.0</v>
      </c>
      <c r="X899" s="31" t="str">
        <f>IFERROR(__xludf.DUMMYFUNCTION("""COMPUTED_VALUE"""),"Informed consent for national registration of COVID-19 vaccination caused information bias of vaccine effectiveness estimates mostly in older adults: a bias correction study.")</f>
        <v>Informed consent for national registration of COVID-19 vaccination caused information bias of vaccine effectiveness estimates mostly in older adults: a bias correction study.</v>
      </c>
      <c r="Y899" s="31" t="str">
        <f>IFERROR(__xludf.DUMMYFUNCTION("""COMPUTED_VALUE"""),"van Werkhoven, Cornelis H; de Gier, Brechje; McDonald, Scott A; de Melker, Hester E; Hahné, Susan J M; van den Hof, Susan; Knol, Mirjam J")</f>
        <v>van Werkhoven, Cornelis H; de Gier, Brechje; McDonald, Scott A; de Melker, Hester E; Hahné, Susan J M; van den Hof, Susan; Knol, Mirjam J</v>
      </c>
      <c r="Z899" s="31">
        <f>IFERROR(__xludf.DUMMYFUNCTION("""COMPUTED_VALUE"""),2024.0)</f>
        <v>2024</v>
      </c>
      <c r="AA899" s="31">
        <f>IFERROR(__xludf.DUMMYFUNCTION("""COMPUTED_VALUE"""),0.0)</f>
        <v>0</v>
      </c>
      <c r="AF899" s="31" t="str">
        <f>IFERROR(__xludf.DUMMYFUNCTION("""COMPUTED_VALUE"""),"Non-physician-assisted suicide in The Netherlands: a cross-sectional survey among the general public.")</f>
        <v>Non-physician-assisted suicide in The Netherlands: a cross-sectional survey among the general public.</v>
      </c>
      <c r="AG899" s="31" t="str">
        <f>IFERROR(__xludf.DUMMYFUNCTION("""COMPUTED_VALUE"""),"Schoonman, Merel Kristi; van Thiel, Ghislaine José Madeleine Wilhelmien; van Delden, Johannes Jozef Marten")</f>
        <v>Schoonman, Merel Kristi; van Thiel, Ghislaine José Madeleine Wilhelmien; van Delden, Johannes Jozef Marten</v>
      </c>
      <c r="AH899" s="32">
        <f>IFERROR(__xludf.DUMMYFUNCTION("""COMPUTED_VALUE"""),41613.0)</f>
        <v>41613</v>
      </c>
      <c r="AL899" s="31" t="str">
        <f>IFERROR(__xludf.DUMMYFUNCTION("""COMPUTED_VALUE"""),"Volumetric breast density from full-field digital mammograms and its association with breast cancer risk factors: a comparison with a threshold method.")</f>
        <v>Volumetric breast density from full-field digital mammograms and its association with breast cancer risk factors: a comparison with a threshold method.</v>
      </c>
      <c r="AM899" s="31" t="str">
        <f>IFERROR(__xludf.DUMMYFUNCTION("""COMPUTED_VALUE"""),"Lokate, Mariëtte; Kallenberg, Michiel G J; Karssemeijer, Nico; Van den Bosch, Maurice A A J; Peeters, Petra H M; Van Gils, Carla H")</f>
        <v>Lokate, Mariëtte; Kallenberg, Michiel G J; Karssemeijer, Nico; Van den Bosch, Maurice A A J; Peeters, Petra H M; Van Gils, Carla H</v>
      </c>
      <c r="AN899" s="32">
        <f>IFERROR(__xludf.DUMMYFUNCTION("""COMPUTED_VALUE"""),40455.0)</f>
        <v>40455</v>
      </c>
    </row>
    <row r="900">
      <c r="A900" s="32"/>
      <c r="I900" s="31" t="str">
        <f>IFERROR(__xludf.DUMMYFUNCTION("""COMPUTED_VALUE"""),"gut")</f>
        <v>gut</v>
      </c>
      <c r="J900" s="38">
        <f>COUNTIF(Data!$F$2:$F9917, $I900)</f>
        <v>3</v>
      </c>
      <c r="T900" s="31" t="s">
        <v>2659</v>
      </c>
      <c r="U900" s="31" t="s">
        <v>2660</v>
      </c>
      <c r="V900" s="32">
        <v>45058.0</v>
      </c>
      <c r="X900" s="31" t="str">
        <f>IFERROR(__xludf.DUMMYFUNCTION("""COMPUTED_VALUE"""),"Cost-effectiveness and safety of continuous pulse oximetry for management of undiagnosed obstructive sleep apnea in bariatric surgery: a nationwide cohort study.")</f>
        <v>Cost-effectiveness and safety of continuous pulse oximetry for management of undiagnosed obstructive sleep apnea in bariatric surgery: a nationwide cohort study.</v>
      </c>
      <c r="Y900" s="31" t="str">
        <f>IFERROR(__xludf.DUMMYFUNCTION("""COMPUTED_VALUE"""),"van Veldhuisen, Sophie L; Keusters, Willem R; Kuppens, Kim; de Raaff, Christel A L; van Veen, Ruben N; Wiezer, Marinus J; Swank, Dingeman J; Demirkiran, Ahmet; Boerma, Evert-Jan G; Greve, Jan-Willem M; van Dielen, Francois M H; de Castro, Steve M M; Frede"&amp;"rix, Geert W J; Hazebroek, Eric J")</f>
        <v>van Veldhuisen, Sophie L; Keusters, Willem R; Kuppens, Kim; de Raaff, Christel A L; van Veen, Ruben N; Wiezer, Marinus J; Swank, Dingeman J; Demirkiran, Ahmet; Boerma, Evert-Jan G; Greve, Jan-Willem M; van Dielen, Francois M H; de Castro, Steve M M; Frederix, Geert W J; Hazebroek, Eric J</v>
      </c>
      <c r="Z900" s="31">
        <f>IFERROR(__xludf.DUMMYFUNCTION("""COMPUTED_VALUE"""),2024.0)</f>
        <v>2024</v>
      </c>
      <c r="AA900" s="31">
        <f>IFERROR(__xludf.DUMMYFUNCTION("""COMPUTED_VALUE"""),0.0)</f>
        <v>0</v>
      </c>
      <c r="AF900" s="31" t="str">
        <f>IFERROR(__xludf.DUMMYFUNCTION("""COMPUTED_VALUE"""),"Restoring trust in the pharmaceutical sector on the basis of the SSRI case.")</f>
        <v>Restoring trust in the pharmaceutical sector on the basis of the SSRI case.</v>
      </c>
      <c r="AG900" s="31" t="str">
        <f>IFERROR(__xludf.DUMMYFUNCTION("""COMPUTED_VALUE"""),"Hernandez, Juan Francisco; van Thiel, Ghislaine J M W; Mantel-Teeuwisse, Aukje K; Raaijmakers, Jan A M; Pieters, Toine")</f>
        <v>Hernandez, Juan Francisco; van Thiel, Ghislaine J M W; Mantel-Teeuwisse, Aukje K; Raaijmakers, Jan A M; Pieters, Toine</v>
      </c>
      <c r="AH900" s="32">
        <f>IFERROR(__xludf.DUMMYFUNCTION("""COMPUTED_VALUE"""),41609.0)</f>
        <v>41609</v>
      </c>
      <c r="AL900" s="31" t="str">
        <f>IFERROR(__xludf.DUMMYFUNCTION("""COMPUTED_VALUE"""),"External validity of risk models: Use of benchmark values to disentangle a case-mix effect from incorrect coefficients.")</f>
        <v>External validity of risk models: Use of benchmark values to disentangle a case-mix effect from incorrect coefficients.</v>
      </c>
      <c r="AM900" s="31" t="str">
        <f>IFERROR(__xludf.DUMMYFUNCTION("""COMPUTED_VALUE"""),"Vergouwe, Yvonne; Moons, Karel G M; Steyerberg, Ewout W")</f>
        <v>Vergouwe, Yvonne; Moons, Karel G M; Steyerberg, Ewout W</v>
      </c>
      <c r="AN900" s="32">
        <f>IFERROR(__xludf.DUMMYFUNCTION("""COMPUTED_VALUE"""),40421.0)</f>
        <v>40421</v>
      </c>
    </row>
    <row r="901">
      <c r="A901" s="32"/>
      <c r="I901" s="31" t="str">
        <f>IFERROR(__xludf.DUMMYFUNCTION("""COMPUTED_VALUE"""),"familial cancer")</f>
        <v>familial cancer</v>
      </c>
      <c r="J901" s="38">
        <f>COUNTIF(Data!$F$2:$F9917, $I901)</f>
        <v>1</v>
      </c>
      <c r="T901" s="31" t="s">
        <v>2664</v>
      </c>
      <c r="U901" s="31" t="s">
        <v>2665</v>
      </c>
      <c r="V901" s="32">
        <v>45058.0</v>
      </c>
      <c r="X901" s="31" t="str">
        <f>IFERROR(__xludf.DUMMYFUNCTION("""COMPUTED_VALUE"""),"A cost-utility analysis of cochlear implants for single sided deafness in adults and children in the Netherlands.")</f>
        <v>A cost-utility analysis of cochlear implants for single sided deafness in adults and children in the Netherlands.</v>
      </c>
      <c r="Y901" s="31" t="str">
        <f>IFERROR(__xludf.DUMMYFUNCTION("""COMPUTED_VALUE"""),"van Lieshout, Chris; Abraham, Katharina; Smit, Adriana L; Frederix, Geert W J")</f>
        <v>van Lieshout, Chris; Abraham, Katharina; Smit, Adriana L; Frederix, Geert W J</v>
      </c>
      <c r="Z901" s="31">
        <f>IFERROR(__xludf.DUMMYFUNCTION("""COMPUTED_VALUE"""),2024.0)</f>
        <v>2024</v>
      </c>
      <c r="AA901" s="31">
        <f>IFERROR(__xludf.DUMMYFUNCTION("""COMPUTED_VALUE"""),0.0)</f>
        <v>0</v>
      </c>
      <c r="AF901" s="31" t="str">
        <f>IFERROR(__xludf.DUMMYFUNCTION("""COMPUTED_VALUE"""),"Reply to Waligora.")</f>
        <v>Reply to Waligora.</v>
      </c>
      <c r="AG901" s="31" t="str">
        <f>IFERROR(__xludf.DUMMYFUNCTION("""COMPUTED_VALUE"""),"Giesbertz, Noor A A; Bredenoord, Annelien L; van Delden, Johannes J M")</f>
        <v>Giesbertz, Noor A A; Bredenoord, Annelien L; van Delden, Johannes J M</v>
      </c>
      <c r="AH901" s="32">
        <f>IFERROR(__xludf.DUMMYFUNCTION("""COMPUTED_VALUE"""),41584.0)</f>
        <v>41584</v>
      </c>
      <c r="AL901" s="31" t="str">
        <f>IFERROR(__xludf.DUMMYFUNCTION("""COMPUTED_VALUE"""),"Serum degradome markers for the detection of breast cancer.")</f>
        <v>Serum degradome markers for the detection of breast cancer.</v>
      </c>
      <c r="AM901" s="31" t="str">
        <f>IFERROR(__xludf.DUMMYFUNCTION("""COMPUTED_VALUE"""),"van Winden, Annemieke W J; van den Broek, Irene; Gast, Marie-Christine W; Engwegen, Judith Y M N; Sparidans, Rolf W; van Dulken, Eric J; Depla, Annekatrien C T M; Cats, Annemieke; Schellens, Jan H M; Peeters, Petra H M; Beijnen, Jos H; van Gils, Carla H")</f>
        <v>van Winden, Annemieke W J; van den Broek, Irene; Gast, Marie-Christine W; Engwegen, Judith Y M N; Sparidans, Rolf W; van Dulken, Eric J; Depla, Annekatrien C T M; Cats, Annemieke; Schellens, Jan H M; Peeters, Petra H M; Beijnen, Jos H; van Gils, Carla H</v>
      </c>
      <c r="AN901" s="32">
        <f>IFERROR(__xludf.DUMMYFUNCTION("""COMPUTED_VALUE"""),40396.0)</f>
        <v>40396</v>
      </c>
    </row>
    <row r="902">
      <c r="A902" s="32"/>
      <c r="I902" s="31" t="str">
        <f>IFERROR(__xludf.DUMMYFUNCTION("""COMPUTED_VALUE"""),"seminars in radiation oncology")</f>
        <v>seminars in radiation oncology</v>
      </c>
      <c r="J902" s="38">
        <f>COUNTIF(Data!$F$2:$F9917, $I902)</f>
        <v>1</v>
      </c>
      <c r="T902" s="31" t="s">
        <v>2669</v>
      </c>
      <c r="U902" s="31" t="s">
        <v>2670</v>
      </c>
      <c r="V902" s="32">
        <v>45057.0</v>
      </c>
      <c r="X902" s="31" t="str">
        <f>IFERROR(__xludf.DUMMYFUNCTION("""COMPUTED_VALUE"""),"Author Correction: Clinical implementation of artificial-intelligence-assisted detection of breast cancer metastases in sentinel lymph nodes: the CONFIDENT-B single-center, non-randomized clinical trial.")</f>
        <v>Author Correction: Clinical implementation of artificial-intelligence-assisted detection of breast cancer metastases in sentinel lymph nodes: the CONFIDENT-B single-center, non-randomized clinical trial.</v>
      </c>
      <c r="Y902" s="31"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Z902" s="31">
        <f>IFERROR(__xludf.DUMMYFUNCTION("""COMPUTED_VALUE"""),2024.0)</f>
        <v>2024</v>
      </c>
      <c r="AA902" s="31">
        <f>IFERROR(__xludf.DUMMYFUNCTION("""COMPUTED_VALUE"""),0.0)</f>
        <v>0</v>
      </c>
      <c r="AF902" s="31" t="str">
        <f>IFERROR(__xludf.DUMMYFUNCTION("""COMPUTED_VALUE"""),"Ethical implications of regenerative medicine in orthopedics: an empirical study with surgeons and scientists in the field.")</f>
        <v>Ethical implications of regenerative medicine in orthopedics: an empirical study with surgeons and scientists in the field.</v>
      </c>
      <c r="AG902" s="31" t="str">
        <f>IFERROR(__xludf.DUMMYFUNCTION("""COMPUTED_VALUE"""),"Niemansburg, Sophie L; van Delden, Johannes J M; Oner, F Cumhur; Dhert, Wouter J A; Bredenoord, Annelien L")</f>
        <v>Niemansburg, Sophie L; van Delden, Johannes J M; Oner, F Cumhur; Dhert, Wouter J A; Bredenoord, Annelien L</v>
      </c>
      <c r="AH902" s="32">
        <f>IFERROR(__xludf.DUMMYFUNCTION("""COMPUTED_VALUE"""),41579.0)</f>
        <v>41579</v>
      </c>
      <c r="AL902" s="31" t="str">
        <f>IFERROR(__xludf.DUMMYFUNCTION("""COMPUTED_VALUE"""),"Rationale and design of the CAREFUL study : The yield of CARdiogenetic scrEening in First degree relatives of sudden cardiac and UnexpLained death victims &lt;45 years.")</f>
        <v>Rationale and design of the CAREFUL study : The yield of CARdiogenetic scrEening in First degree relatives of sudden cardiac and UnexpLained death victims &lt;45 years.</v>
      </c>
      <c r="AM902" s="31" t="str">
        <f>IFERROR(__xludf.DUMMYFUNCTION("""COMPUTED_VALUE"""),"Hendrix, A; van der Werf, C; Bots, M L; Birnie, E; van der Smagt, J J; Borleffs, C J W; Vink, A; van Weert, H C; Doevendans, P A F M; Wilde, A A M; Mosterd, A; van Langen, I M")</f>
        <v>Hendrix, A; van der Werf, C; Bots, M L; Birnie, E; van der Smagt, J J; Borleffs, C J W; Vink, A; van Weert, H C; Doevendans, P A F M; Wilde, A A M; Mosterd, A; van Langen, I M</v>
      </c>
      <c r="AN902" s="32">
        <f>IFERROR(__xludf.DUMMYFUNCTION("""COMPUTED_VALUE"""),40330.0)</f>
        <v>40330</v>
      </c>
    </row>
    <row r="903">
      <c r="A903" s="32"/>
      <c r="I903" s="31" t="str">
        <f>IFERROR(__xludf.DUMMYFUNCTION("""COMPUTED_VALUE"""),"journal of the royal society interface")</f>
        <v>journal of the royal society interface</v>
      </c>
      <c r="J903" s="38">
        <f>COUNTIF(Data!$F$2:$F9917, $I903)</f>
        <v>1</v>
      </c>
      <c r="T903" s="31" t="s">
        <v>2674</v>
      </c>
      <c r="U903" s="31" t="s">
        <v>2675</v>
      </c>
      <c r="V903" s="32">
        <v>45055.0</v>
      </c>
      <c r="X903" s="31" t="str">
        <f>IFERROR(__xludf.DUMMYFUNCTION("""COMPUTED_VALUE"""),"Toward a Useful and Cost-Effective Workup in Chronic Polyneuropathy: The EXPRESS Study Protocol.")</f>
        <v>Toward a Useful and Cost-Effective Workup in Chronic Polyneuropathy: The EXPRESS Study Protocol.</v>
      </c>
      <c r="Y903" s="31" t="str">
        <f>IFERROR(__xludf.DUMMYFUNCTION("""COMPUTED_VALUE"""),"Wiersma, Madde; van der Star, Gerjan M; Eftimov, Filip; van Eijk, Ruben P A; Frederix, Geert W J; van Doorn, Pieter A; Notermans, Nicolette C; Vrancken, Alexander F J E")</f>
        <v>Wiersma, Madde; van der Star, Gerjan M; Eftimov, Filip; van Eijk, Ruben P A; Frederix, Geert W J; van Doorn, Pieter A; Notermans, Nicolette C; Vrancken, Alexander F J E</v>
      </c>
      <c r="Z903" s="31">
        <f>IFERROR(__xludf.DUMMYFUNCTION("""COMPUTED_VALUE"""),2024.0)</f>
        <v>2024</v>
      </c>
      <c r="AA903" s="31">
        <f>IFERROR(__xludf.DUMMYFUNCTION("""COMPUTED_VALUE"""),0.0)</f>
        <v>0</v>
      </c>
      <c r="AF903" s="31" t="str">
        <f>IFERROR(__xludf.DUMMYFUNCTION("""COMPUTED_VALUE"""),"Life-course of cardio-respiratory associations.")</f>
        <v>Life-course of cardio-respiratory associations.</v>
      </c>
      <c r="AG903" s="31" t="str">
        <f>IFERROR(__xludf.DUMMYFUNCTION("""COMPUTED_VALUE"""),"Eising, Jacobien B; van der Ent, Cornelis K; van der Gugten, Anne C; Grobbee, Diederick E; Evelein, Annemieke M V; Numans, Mattijs E; Uiterwaal, Cuno S P M")</f>
        <v>Eising, Jacobien B; van der Ent, Cornelis K; van der Gugten, Anne C; Grobbee, Diederick E; Evelein, Annemieke M V; Numans, Mattijs E; Uiterwaal, Cuno S P M</v>
      </c>
      <c r="AH903" s="32">
        <f>IFERROR(__xludf.DUMMYFUNCTION("""COMPUTED_VALUE"""),41577.0)</f>
        <v>41577</v>
      </c>
      <c r="AL903" s="31" t="str">
        <f>IFERROR(__xludf.DUMMYFUNCTION("""COMPUTED_VALUE"""),"Behavioral changes after a 1-yr exercise program and predictors of maintenance.")</f>
        <v>Behavioral changes after a 1-yr exercise program and predictors of maintenance.</v>
      </c>
      <c r="AM903" s="31" t="str">
        <f>IFERROR(__xludf.DUMMYFUNCTION("""COMPUTED_VALUE"""),"Hertogh, Emmy M; Vergouwe, Yvonne; Schuit, A Jantine; Peeters, Petra H M; Monninkhof, Evelyn M")</f>
        <v>Hertogh, Emmy M; Vergouwe, Yvonne; Schuit, A Jantine; Peeters, Petra H M; Monninkhof, Evelyn M</v>
      </c>
      <c r="AN903" s="32">
        <f>IFERROR(__xludf.DUMMYFUNCTION("""COMPUTED_VALUE"""),40299.0)</f>
        <v>40299</v>
      </c>
    </row>
    <row r="904">
      <c r="A904" s="32"/>
      <c r="I904" s="31" t="str">
        <f>IFERROR(__xludf.DUMMYFUNCTION("""COMPUTED_VALUE"""),"frontiers in plant science")</f>
        <v>frontiers in plant science</v>
      </c>
      <c r="J904" s="38">
        <f>COUNTIF(Data!$F$2:$F9917, $I904)</f>
        <v>1</v>
      </c>
      <c r="T904" s="31" t="s">
        <v>2679</v>
      </c>
      <c r="U904" s="31" t="s">
        <v>2680</v>
      </c>
      <c r="V904" s="32">
        <v>45054.0</v>
      </c>
      <c r="X904" s="31" t="str">
        <f>IFERROR(__xludf.DUMMYFUNCTION("""COMPUTED_VALUE"""),"Impact of varying pre-exposure prophylaxis programs on HIV and Neisseria gonorrhoeae transmission among MSM in the Netherlands: a modelling study.")</f>
        <v>Impact of varying pre-exposure prophylaxis programs on HIV and Neisseria gonorrhoeae transmission among MSM in the Netherlands: a modelling study.</v>
      </c>
      <c r="Y904" s="31" t="str">
        <f>IFERROR(__xludf.DUMMYFUNCTION("""COMPUTED_VALUE"""),"Reitsema, Maarten; Wallinga, Jacco; van Sighem, Ard I; Bezemer, Daniela; van der Valk, Marc; van Aar, Fleur; Maria Heijne, Janneke Cornelia; Hoornenborg, Elske; Rozhnova, Ganna; van Benthem, Birgit; Xiridou, Maria")</f>
        <v>Reitsema, Maarten; Wallinga, Jacco; van Sighem, Ard I; Bezemer, Daniela; van der Valk, Marc; van Aar, Fleur; Maria Heijne, Janneke Cornelia; Hoornenborg, Elske; Rozhnova, Ganna; van Benthem, Birgit; Xiridou, Maria</v>
      </c>
      <c r="Z904" s="31">
        <f>IFERROR(__xludf.DUMMYFUNCTION("""COMPUTED_VALUE"""),2024.0)</f>
        <v>2024</v>
      </c>
      <c r="AA904" s="31">
        <f>IFERROR(__xludf.DUMMYFUNCTION("""COMPUTED_VALUE"""),0.0)</f>
        <v>0</v>
      </c>
      <c r="AF904" s="31" t="str">
        <f>IFERROR(__xludf.DUMMYFUNCTION("""COMPUTED_VALUE"""),"EMAS position statement: Fertility preservation.")</f>
        <v>EMAS position statement: Fertility preservation.</v>
      </c>
      <c r="AG904" s="31" t="str">
        <f>IFERROR(__xludf.DUMMYFUNCTION("""COMPUTED_VALUE"""),"Mintziori, Gesthimani; Lambrinoudaki, Irene; Ceausu, Iuliana; Depypere, Herman; Erel, C Tamer; Pérez-López, Faustino R; Schenck-Gustafsson, Karin; van der Schouw, Yvonne T; Simoncini, Tommaso; Tremollieres, Florence; Tarlatzis, Basil C; Rees, Margaret; Go"&amp;"ulis, Dimitrios G")</f>
        <v>Mintziori, Gesthimani; Lambrinoudaki, Irene; Ceausu, Iuliana; Depypere, Herman; Erel, C Tamer; Pérez-López, Faustino R; Schenck-Gustafsson, Karin; van der Schouw, Yvonne T; Simoncini, Tommaso; Tremollieres, Florence; Tarlatzis, Basil C; Rees, Margaret; Goulis, Dimitrios G</v>
      </c>
      <c r="AH904" s="32">
        <f>IFERROR(__xludf.DUMMYFUNCTION("""COMPUTED_VALUE"""),41572.0)</f>
        <v>41572</v>
      </c>
      <c r="AL904" s="31" t="str">
        <f>IFERROR(__xludf.DUMMYFUNCTION("""COMPUTED_VALUE"""),"The influence of a period of caloric restriction due to the Dutch famine on breast density.")</f>
        <v>The influence of a period of caloric restriction due to the Dutch famine on breast density.</v>
      </c>
      <c r="AM904" s="31" t="str">
        <f>IFERROR(__xludf.DUMMYFUNCTION("""COMPUTED_VALUE"""),"Haars, Gerco; van Gils, Carla H; Elias, Sjoerd G; Lokate, Mariëtte; van Noord, Paul A H; Peeters, Petra H M")</f>
        <v>Haars, Gerco; van Gils, Carla H; Elias, Sjoerd G; Lokate, Mariëtte; van Noord, Paul A H; Peeters, Petra H M</v>
      </c>
      <c r="AN904" s="32">
        <f>IFERROR(__xludf.DUMMYFUNCTION("""COMPUTED_VALUE"""),40299.0)</f>
        <v>40299</v>
      </c>
    </row>
    <row r="905">
      <c r="A905" s="32"/>
      <c r="I905" s="31" t="str">
        <f>IFERROR(__xludf.DUMMYFUNCTION("""COMPUTED_VALUE"""),"journal of racial and ethnic health disparities")</f>
        <v>journal of racial and ethnic health disparities</v>
      </c>
      <c r="J905" s="38">
        <f>COUNTIF(Data!$F$2:$F9917, $I905)</f>
        <v>1</v>
      </c>
      <c r="T905" s="31" t="s">
        <v>2683</v>
      </c>
      <c r="U905" s="31" t="s">
        <v>2684</v>
      </c>
      <c r="V905" s="32">
        <v>45052.0</v>
      </c>
      <c r="X905" s="31" t="str">
        <f>IFERROR(__xludf.DUMMYFUNCTION("""COMPUTED_VALUE"""),"First-Trimester Prediction Models Based on Maternal Characteristics for Adverse Pregnancy Outcomes: A Systematic Review and Meta-Analysis.")</f>
        <v>First-Trimester Prediction Models Based on Maternal Characteristics for Adverse Pregnancy Outcomes: A Systematic Review and Meta-Analysis.</v>
      </c>
      <c r="Y905" s="31" t="str">
        <f>IFERROR(__xludf.DUMMYFUNCTION("""COMPUTED_VALUE"""),"van Eekhout, Jacintha C A; Becking, Ellis C; Scheffer, Peter G; Koutsoliakos, Ioannis; Bax, Caroline J; Henneman, Lidewij; Bekker, Mireille N; Schuit, Ewoud")</f>
        <v>van Eekhout, Jacintha C A; Becking, Ellis C; Scheffer, Peter G; Koutsoliakos, Ioannis; Bax, Caroline J; Henneman, Lidewij; Bekker, Mireille N; Schuit, Ewoud</v>
      </c>
      <c r="Z905" s="31">
        <f>IFERROR(__xludf.DUMMYFUNCTION("""COMPUTED_VALUE"""),2024.0)</f>
        <v>2024</v>
      </c>
      <c r="AA905" s="31">
        <f>IFERROR(__xludf.DUMMYFUNCTION("""COMPUTED_VALUE"""),0.0)</f>
        <v>0</v>
      </c>
      <c r="AF905" s="31" t="str">
        <f>IFERROR(__xludf.DUMMYFUNCTION("""COMPUTED_VALUE"""),"Statin therapy is associated with improved survival after endovascular and open aneurysm repair.")</f>
        <v>Statin therapy is associated with improved survival after endovascular and open aneurysm repair.</v>
      </c>
      <c r="AG905" s="31" t="str">
        <f>IFERROR(__xludf.DUMMYFUNCTION("""COMPUTED_VALUE"""),"de Bruin, Jorg L; Baas, Annette F; Heymans, Martijn W; Buimer, Mathijs G; Prinssen, Monique; Grobbee, Diederick E; Blankensteijn, Jan D; ,")</f>
        <v>de Bruin, Jorg L; Baas, Annette F; Heymans, Martijn W; Buimer, Mathijs G; Prinssen, Monique; Grobbee, Diederick E; Blankensteijn, Jan D; ,</v>
      </c>
      <c r="AH905" s="32">
        <f>IFERROR(__xludf.DUMMYFUNCTION("""COMPUTED_VALUE"""),41565.0)</f>
        <v>41565</v>
      </c>
      <c r="AL905" s="31" t="str">
        <f>IFERROR(__xludf.DUMMYFUNCTION("""COMPUTED_VALUE"""),"Prevalence of asymptomatic carotid artery stenosis in the general population: an individual participant data meta-analysis.")</f>
        <v>Prevalence of asymptomatic carotid artery stenosis in the general population: an individual participant data meta-analysis.</v>
      </c>
      <c r="AM905" s="31" t="str">
        <f>IFERROR(__xludf.DUMMYFUNCTION("""COMPUTED_VALUE"""),"de Weerd, Marjolein; Greving, Jacoba P; Hedblad, Bo; Lorenz, Matthias W; Mathiesen, Ellisiv B; O'Leary, Daniel H; Rosvall, Maria; Sitzer, Matthias; Buskens, Erik; Bots, Michiel L")</f>
        <v>de Weerd, Marjolein; Greving, Jacoba P; Hedblad, Bo; Lorenz, Matthias W; Mathiesen, Ellisiv B; O'Leary, Daniel H; Rosvall, Maria; Sitzer, Matthias; Buskens, Erik; Bots, Michiel L</v>
      </c>
      <c r="AN905" s="32">
        <f>IFERROR(__xludf.DUMMYFUNCTION("""COMPUTED_VALUE"""),40297.0)</f>
        <v>40297</v>
      </c>
    </row>
    <row r="906">
      <c r="A906" s="32"/>
      <c r="I906" s="31" t="str">
        <f>IFERROR(__xludf.DUMMYFUNCTION("""COMPUTED_VALUE"""),"hemodialysis international international symposium on home hemodialysis")</f>
        <v>hemodialysis international international symposium on home hemodialysis</v>
      </c>
      <c r="J906" s="38">
        <f>COUNTIF(Data!$F$2:$F9917, $I906)</f>
        <v>1</v>
      </c>
      <c r="T906" s="31" t="s">
        <v>2687</v>
      </c>
      <c r="U906" s="31" t="s">
        <v>2688</v>
      </c>
      <c r="V906" s="32">
        <v>45052.0</v>
      </c>
      <c r="X906" s="31" t="str">
        <f>IFERROR(__xludf.DUMMYFUNCTION("""COMPUTED_VALUE"""),"Fetal Fraction of Cell-Free DNA in the Prediction of Adverse Pregnancy Outcomes: A Nationwide Retrospective Cohort Study.")</f>
        <v>Fetal Fraction of Cell-Free DNA in the Prediction of Adverse Pregnancy Outcomes: A Nationwide Retrospective Cohort Study.</v>
      </c>
      <c r="Y906" s="31" t="str">
        <f>IFERROR(__xludf.DUMMYFUNCTION("""COMPUTED_VALUE"""),"Becking, Ellis C; Bekker, Mireille N; Henrichs, Jens; Bax, Caroline J; Sistermans, Erik A; Henneman, Lidewij; Scheffer, Peter G; Schuit, Ewoud")</f>
        <v>Becking, Ellis C; Bekker, Mireille N; Henrichs, Jens; Bax, Caroline J; Sistermans, Erik A; Henneman, Lidewij; Scheffer, Peter G; Schuit, Ewoud</v>
      </c>
      <c r="Z906" s="31">
        <f>IFERROR(__xludf.DUMMYFUNCTION("""COMPUTED_VALUE"""),2024.0)</f>
        <v>2024</v>
      </c>
      <c r="AA906" s="31">
        <f>IFERROR(__xludf.DUMMYFUNCTION("""COMPUTED_VALUE"""),0.0)</f>
        <v>0</v>
      </c>
      <c r="AF906" s="31" t="str">
        <f>IFERROR(__xludf.DUMMYFUNCTION("""COMPUTED_VALUE"""),"Current status and future prospects of epidemiology and public health training and research in the WHO African region.")</f>
        <v>Current status and future prospects of epidemiology and public health training and research in the WHO African region.</v>
      </c>
      <c r="AG906" s="31" t="str">
        <f>IFERROR(__xludf.DUMMYFUNCTION("""COMPUTED_VALUE"""),"Klipstein-Grobusch, Kerstin; Chirwa, Tobias; Fonn, Sharon")</f>
        <v>Klipstein-Grobusch, Kerstin; Chirwa, Tobias; Fonn, Sharon</v>
      </c>
      <c r="AH906" s="32">
        <f>IFERROR(__xludf.DUMMYFUNCTION("""COMPUTED_VALUE"""),41548.0)</f>
        <v>41548</v>
      </c>
      <c r="AL906" s="31" t="str">
        <f>IFERROR(__xludf.DUMMYFUNCTION("""COMPUTED_VALUE"""),"Noncompliance in lifestyle intervention studies: the instrumental variable method provides insight into the bias.")</f>
        <v>Noncompliance in lifestyle intervention studies: the instrumental variable method provides insight into the bias.</v>
      </c>
      <c r="AM906" s="31" t="str">
        <f>IFERROR(__xludf.DUMMYFUNCTION("""COMPUTED_VALUE"""),"Hertogh, Emmy M; Schuit, A Jantine; Peeters, Petra H M; Monninkhof, Evelyn M")</f>
        <v>Hertogh, Emmy M; Schuit, A Jantine; Peeters, Petra H M; Monninkhof, Evelyn M</v>
      </c>
      <c r="AN906" s="32">
        <f>IFERROR(__xludf.DUMMYFUNCTION("""COMPUTED_VALUE"""),40238.0)</f>
        <v>40238</v>
      </c>
    </row>
    <row r="907">
      <c r="A907" s="32"/>
      <c r="I907" s="31" t="str">
        <f>IFERROR(__xludf.DUMMYFUNCTION("""COMPUTED_VALUE"""),"circulation cardiovascular quality and outcomes")</f>
        <v>circulation cardiovascular quality and outcomes</v>
      </c>
      <c r="J907" s="38">
        <f>COUNTIF(Data!$F$2:$F9917, $I907)</f>
        <v>3</v>
      </c>
      <c r="T907" s="31" t="s">
        <v>2691</v>
      </c>
      <c r="U907" s="31" t="s">
        <v>2692</v>
      </c>
      <c r="V907" s="32">
        <v>45050.0</v>
      </c>
      <c r="X907" s="31" t="str">
        <f>IFERROR(__xludf.DUMMYFUNCTION("""COMPUTED_VALUE"""),"Holmium-166 radioembolisation dosimetry in HCC.")</f>
        <v>Holmium-166 radioembolisation dosimetry in HCC.</v>
      </c>
      <c r="Y907" s="31" t="str">
        <f>IFERROR(__xludf.DUMMYFUNCTION("""COMPUTED_VALUE"""),"Reinders, Margot T M; Braat, Arthur J A T; van Erpecum, Karel J; de Bruijne, Joep; Bruijnen, Rutger C G; Sprengers, Dave; de Man, Rob; Vegt, Erik; IJzermans, Jan N M; Elias, Sjoerd G; Lam, Marnix G E H; Smits, Maarten L J")</f>
        <v>Reinders, Margot T M; Braat, Arthur J A T; van Erpecum, Karel J; de Bruijne, Joep; Bruijnen, Rutger C G; Sprengers, Dave; de Man, Rob; Vegt, Erik; IJzermans, Jan N M; Elias, Sjoerd G; Lam, Marnix G E H; Smits, Maarten L J</v>
      </c>
      <c r="Z907" s="31">
        <f>IFERROR(__xludf.DUMMYFUNCTION("""COMPUTED_VALUE"""),2024.0)</f>
        <v>2024</v>
      </c>
      <c r="AA907" s="31">
        <f>IFERROR(__xludf.DUMMYFUNCTION("""COMPUTED_VALUE"""),0.0)</f>
        <v>0</v>
      </c>
      <c r="AF907" s="31" t="str">
        <f>IFERROR(__xludf.DUMMYFUNCTION("""COMPUTED_VALUE"""),"The importance of short-term off-target effects in estimating the long-term renal and cardiovascular protection of angiotensin receptor blockers.")</f>
        <v>The importance of short-term off-target effects in estimating the long-term renal and cardiovascular protection of angiotensin receptor blockers.</v>
      </c>
      <c r="AG907" s="31" t="str">
        <f>IFERROR(__xludf.DUMMYFUNCTION("""COMPUTED_VALUE"""),"Smink, P A; Miao, Y; Eijkemans, M J C; Bakker, S J L; Raz, I; Parving, H-H; Hoekman, J; Grobbee, D E; de Zeeuw, D; Lambers Heerspink, H J")</f>
        <v>Smink, P A; Miao, Y; Eijkemans, M J C; Bakker, S J L; Raz, I; Parving, H-H; Hoekman, J; Grobbee, D E; de Zeeuw, D; Lambers Heerspink, H J</v>
      </c>
      <c r="AH907" s="32">
        <f>IFERROR(__xludf.DUMMYFUNCTION("""COMPUTED_VALUE"""),41542.0)</f>
        <v>41542</v>
      </c>
      <c r="AL907" s="31" t="str">
        <f>IFERROR(__xludf.DUMMYFUNCTION("""COMPUTED_VALUE"""),"Lack of self perception of illness in children with asthma: the real reason for referral?")</f>
        <v>Lack of self perception of illness in children with asthma: the real reason for referral?</v>
      </c>
      <c r="AM907" s="31" t="str">
        <f>IFERROR(__xludf.DUMMYFUNCTION("""COMPUTED_VALUE"""),"Sachs, Alfred P E")</f>
        <v>Sachs, Alfred P E</v>
      </c>
      <c r="AN907" s="32">
        <f>IFERROR(__xludf.DUMMYFUNCTION("""COMPUTED_VALUE"""),40238.0)</f>
        <v>40238</v>
      </c>
    </row>
    <row r="908">
      <c r="A908" s="32"/>
      <c r="I908" s="31" t="str">
        <f>IFERROR(__xludf.DUMMYFUNCTION("""COMPUTED_VALUE"""),"journal of nutritional science")</f>
        <v>journal of nutritional science</v>
      </c>
      <c r="J908" s="38">
        <f>COUNTIF(Data!$F$2:$F9917, $I908)</f>
        <v>1</v>
      </c>
      <c r="T908" s="31" t="s">
        <v>2696</v>
      </c>
      <c r="U908" s="31" t="s">
        <v>2697</v>
      </c>
      <c r="V908" s="32">
        <v>45050.0</v>
      </c>
      <c r="X908" s="31" t="str">
        <f>IFERROR(__xludf.DUMMYFUNCTION("""COMPUTED_VALUE"""),"Reclassification of Appendiceal Mucinous Neoplasms and Associated Pseudomyxoma Peritonei According to the Peritoneal Surface Oncology Group International Consensus: Clinicopathological Reflections of a Two-Center Cohort Study.")</f>
        <v>Reclassification of Appendiceal Mucinous Neoplasms and Associated Pseudomyxoma Peritonei According to the Peritoneal Surface Oncology Group International Consensus: Clinicopathological Reflections of a Two-Center Cohort Study.</v>
      </c>
      <c r="Y908" s="31" t="str">
        <f>IFERROR(__xludf.DUMMYFUNCTION("""COMPUTED_VALUE"""),"Rauwerdink, Paulien; Al-Toma, Dania; Wassenaar, Emma C E; Raicu, Mihaela G; Laclé, Miangela M; Milne, Anya N; Kuijpers, Karel C; Huysentruyt, Clément J R; Poelmann, Floris B; van Ramshorst, Bert; Elias, Sjoerd G; Kranenburg, Onno; Borel Rinkes, Inne H M; "&amp;"Witkamp, Arjen J; Wiezer, Marinus J; van Grevenstein, Helma M U; Boerma, Djamila")</f>
        <v>Rauwerdink, Paulien; Al-Toma, Dania; Wassenaar, Emma C E; Raicu, Mihaela G; Laclé, Miangela M; Milne, Anya N; Kuijpers, Karel C; Huysentruyt, Clément J R; Poelmann, Floris B; van Ramshorst, Bert; Elias, Sjoerd G; Kranenburg, Onno; Borel Rinkes, Inne H M; Witkamp, Arjen J; Wiezer, Marinus J; van Grevenstein, Helma M U; Boerma, Djamila</v>
      </c>
      <c r="Z908" s="31">
        <f>IFERROR(__xludf.DUMMYFUNCTION("""COMPUTED_VALUE"""),2024.0)</f>
        <v>2024</v>
      </c>
      <c r="AA908" s="31">
        <f>IFERROR(__xludf.DUMMYFUNCTION("""COMPUTED_VALUE"""),0.0)</f>
        <v>0</v>
      </c>
      <c r="AF908" s="31" t="str">
        <f>IFERROR(__xludf.DUMMYFUNCTION("""COMPUTED_VALUE"""),"Smoking as a risk factor for stroke in women compared with men: a systematic review and meta-analysis of 81 cohorts, including 3,980,359 individuals and 42,401 strokes.")</f>
        <v>Smoking as a risk factor for stroke in women compared with men: a systematic review and meta-analysis of 81 cohorts, including 3,980,359 individuals and 42,401 strokes.</v>
      </c>
      <c r="AG908" s="31" t="str">
        <f>IFERROR(__xludf.DUMMYFUNCTION("""COMPUTED_VALUE"""),"Peters, Sanne A E; Huxley, Rachel R; Woodward, Mark")</f>
        <v>Peters, Sanne A E; Huxley, Rachel R; Woodward, Mark</v>
      </c>
      <c r="AH908" s="32">
        <f>IFERROR(__xludf.DUMMYFUNCTION("""COMPUTED_VALUE"""),41508.0)</f>
        <v>41508</v>
      </c>
      <c r="AL908" s="31" t="str">
        <f>IFERROR(__xludf.DUMMYFUNCTION("""COMPUTED_VALUE"""),"Monitoring training progress during exercise training in cancer survivors: a submaximal exercise test as an alternative for a maximal exercise test?")</f>
        <v>Monitoring training progress during exercise training in cancer survivors: a submaximal exercise test as an alternative for a maximal exercise test?</v>
      </c>
      <c r="AM908" s="31" t="str">
        <f>IFERROR(__xludf.DUMMYFUNCTION("""COMPUTED_VALUE"""),"May, Anne M; van Weert, Ellen; Korstjens, Irene; Hoekstra-Weebers, Josette E; van der Schans, Cees P; Zonderland, Maria L; Mesters, Ilse; van den Borne, Bart; Ros, Wynand J")</f>
        <v>May, Anne M; van Weert, Ellen; Korstjens, Irene; Hoekstra-Weebers, Josette E; van der Schans, Cees P; Zonderland, Maria L; Mesters, Ilse; van den Borne, Bart; Ros, Wynand J</v>
      </c>
      <c r="AN908" s="32">
        <f>IFERROR(__xludf.DUMMYFUNCTION("""COMPUTED_VALUE"""),40238.0)</f>
        <v>40238</v>
      </c>
    </row>
    <row r="909">
      <c r="A909" s="32"/>
      <c r="I909" s="31" t="str">
        <f>IFERROR(__xludf.DUMMYFUNCTION("""COMPUTED_VALUE"""),"autoimmunity reviews")</f>
        <v>autoimmunity reviews</v>
      </c>
      <c r="J909" s="38">
        <f>COUNTIF(Data!$F$2:$F9917, $I909)</f>
        <v>1</v>
      </c>
      <c r="T909" s="31" t="s">
        <v>2701</v>
      </c>
      <c r="U909" s="31" t="s">
        <v>2702</v>
      </c>
      <c r="V909" s="32">
        <v>45050.0</v>
      </c>
      <c r="X909" s="31" t="str">
        <f>IFERROR(__xludf.DUMMYFUNCTION("""COMPUTED_VALUE"""),"Tumor infiltrating lymphocytes and change in tumor load on MRI to assess response and prognosis after neoadjuvant chemotherapy in breast cancer.")</f>
        <v>Tumor infiltrating lymphocytes and change in tumor load on MRI to assess response and prognosis after neoadjuvant chemotherapy in breast cancer.</v>
      </c>
      <c r="Y909" s="31" t="str">
        <f>IFERROR(__xludf.DUMMYFUNCTION("""COMPUTED_VALUE"""),"Janssen, L M; de Vries, B B L Penning; Janse, M H A; van der Wall, E; Elias, S G; Salgado, R; van Diest, P J; Gilhuijs, K G A")</f>
        <v>Janssen, L M; de Vries, B B L Penning; Janse, M H A; van der Wall, E; Elias, S G; Salgado, R; van Diest, P J; Gilhuijs, K G A</v>
      </c>
      <c r="Z909" s="31">
        <f>IFERROR(__xludf.DUMMYFUNCTION("""COMPUTED_VALUE"""),2024.0)</f>
        <v>2024</v>
      </c>
      <c r="AA909" s="31">
        <f>IFERROR(__xludf.DUMMYFUNCTION("""COMPUTED_VALUE"""),0.0)</f>
        <v>0</v>
      </c>
      <c r="AF909" s="31" t="str">
        <f>IFERROR(__xludf.DUMMYFUNCTION("""COMPUTED_VALUE"""),"Improved luminosity determination in &lt;i&gt;pp&lt;/i&gt; collisions at [Formula: see text] using the ATLAS detector at the LHC.")</f>
        <v>Improved luminosity determination in &lt;i&gt;pp&lt;/i&gt; collisions at [Formula: see text] using the ATLAS detector at the LHC.</v>
      </c>
      <c r="AG909" s="31" t="str">
        <f>IFERROR(__xludf.DUMMYFUNCTION("""COMPUTED_VALUE"""),",; Aad, G; Abajyan, T; Abbott, B; Abdallah, J; Abdel Khalek, S; Abdelalim, A A; Abdinov, O; Aben, R; Abi, B; Abolins, M; AbouZeid, O S; Abramowicz, H; Abreu, H; Acerbi, E; Acharya, B S; Adamczyk, L; Adams, D L; Addy, T N; Adelman, J; Adomeit, S; Adragna, "&amp;"P; Adye, T; Aefsky, S; Aguilar-Saavedra, J A; Agustoni, M; Aharrouche, M; Ahlen, S P; Ahles, F; Ahmad, A; Ahsan, M; Aielli, G; Akdogan, T; Åkesson, T P A; Akimoto, G; Akimov, A V; Alam, M S; Alam, M A; Albert, J; Albrand, S; Aleksa, M; Aleksandrov, I N; A"&amp;"lessandria, F; Alexa, C; Alexander, G; Alexandre, G; Alexopoulos, T; Alhroob, M; Aliev, M; Alimonti, G; Alison, J; Allbrooke, B M M; Allport, P P; Allwood-Spiers, S E; Almond, J; Aloisio, A; Alon, R; Alonso, A; Alonso, F; Alvarez Gonzalez, B; Alviggi, M G"&amp;"; Amako, K; Amelung, C; Ammosov, V V; Amor Dos Santos, S P; Amorim, A; Amram, N; Anastopoulos, C; Ancu, L S; Andari, N; Andeen, T; Anders, C F; Anders, G; Anderson, K J; Andreazza, A; Andrei, V; Andrieux, M-L; Anduaga, X S; Anger, P; A")</f>
        <v>,;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 Dos Santos, S P; Amorim, A; Amram, N; Anastopoulos, C; Ancu, L S; Andari, N; Andeen, T; Anders, C F; Anders, G; Anderson, K J; Andreazza, A; Andrei, V; Andrieux, M-L; Anduaga, X S; Anger, P; A</v>
      </c>
      <c r="AH909" s="32">
        <f>IFERROR(__xludf.DUMMYFUNCTION("""COMPUTED_VALUE"""),41500.0)</f>
        <v>41500</v>
      </c>
      <c r="AL909" s="31" t="str">
        <f>IFERROR(__xludf.DUMMYFUNCTION("""COMPUTED_VALUE"""),"Criteria for scientific evaluation of novel markers: a perspective.")</f>
        <v>Criteria for scientific evaluation of novel markers: a perspective.</v>
      </c>
      <c r="AM909" s="31" t="str">
        <f>IFERROR(__xludf.DUMMYFUNCTION("""COMPUTED_VALUE"""),"Moons, Karel G M")</f>
        <v>Moons, Karel G M</v>
      </c>
      <c r="AN909" s="32">
        <f>IFERROR(__xludf.DUMMYFUNCTION("""COMPUTED_VALUE"""),40213.0)</f>
        <v>40213</v>
      </c>
    </row>
    <row r="910">
      <c r="A910" s="32"/>
      <c r="I910" s="31" t="str">
        <f>IFERROR(__xludf.DUMMYFUNCTION("""COMPUTED_VALUE"""),"women and birth journal of the australian college of midwives")</f>
        <v>women and birth journal of the australian college of midwives</v>
      </c>
      <c r="J910" s="38">
        <f>COUNTIF(Data!$F$2:$F9917, $I910)</f>
        <v>1</v>
      </c>
      <c r="T910" s="31" t="s">
        <v>2705</v>
      </c>
      <c r="U910" s="31" t="s">
        <v>2706</v>
      </c>
      <c r="V910" s="32">
        <v>45050.0</v>
      </c>
      <c r="X910" s="31" t="str">
        <f>IFERROR(__xludf.DUMMYFUNCTION("""COMPUTED_VALUE"""),"Whole-Body HER2 Heterogeneity Identified on HER2 PET in HER2-Negative, -Low, and -Positive Metastatic Breast Cancer.")</f>
        <v>Whole-Body HER2 Heterogeneity Identified on HER2 PET in HER2-Negative, -Low, and -Positive Metastatic Breast Cancer.</v>
      </c>
      <c r="Y910" s="31" t="str">
        <f>IFERROR(__xludf.DUMMYFUNCTION("""COMPUTED_VALUE"""),"Eisses, Bertha; van Geel, Jasper J L; Brouwers, Adrienne H; Bensch, Frederike; Elias, Sjoerd G; Kuip, Evelien J M; Jager, Agnes; van der Vegt, Bert; Lub-de Hooge, Marjolijn N; Emmering, Jasper; Arens, Anne I J; Zwezerijnen, Gerben J C; Vugts, Daniëlle J; "&amp;"Menke-van der Houven van Oordt, C Willemien; de Vries, Elisabeth G E; Schröder, Carolina P")</f>
        <v>Eisses, Bertha; van Geel, Jasper J L; Brouwers, Adrienne H; Bensch, Frederike; Elias, Sjoerd G; Kuip, Evelien J M; Jager, Agnes; van der Vegt, Bert; Lub-de Hooge, Marjolijn N; Emmering, Jasper; Arens, Anne I J; Zwezerijnen, Gerben J C; Vugts, Daniëlle J; Menke-van der Houven van Oordt, C Willemien; de Vries, Elisabeth G E; Schröder, Carolina P</v>
      </c>
      <c r="Z910" s="31">
        <f>IFERROR(__xludf.DUMMYFUNCTION("""COMPUTED_VALUE"""),2024.0)</f>
        <v>2024</v>
      </c>
      <c r="AA910" s="31">
        <f>IFERROR(__xludf.DUMMYFUNCTION("""COMPUTED_VALUE"""),0.0)</f>
        <v>0</v>
      </c>
      <c r="AF910" s="31" t="str">
        <f>IFERROR(__xludf.DUMMYFUNCTION("""COMPUTED_VALUE"""),"Measurement of the inclusive jet cross-section in &lt;i&gt;pp&lt;/i&gt; collisions at [Formula: see text] and comparison to the inclusive jet cross-section at [Formula: see text] using the ATLAS detector.")</f>
        <v>Measurement of the inclusive jet cross-section in &lt;i&gt;pp&lt;/i&gt; collisions at [Formula: see text] and comparison to the inclusive jet cross-section at [Formula: see text] using the ATLAS detector.</v>
      </c>
      <c r="AG910" s="31"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S; Alam, M A; Albert, J; Albrand, S; Aleksa, M; Aleksandrov, I N; Alessandria, F; Alexa, C"&amp;"; Alexander, G; Alexandre, G; Alexopoulos, T; Alhroob, M; Aliev, M; Alimonti, G; Alison, J; Allbrooke, B M M; Allport, P P; Allwood-Spiers, S E; Almond, J; Aloisio, A; Alon, R; Alonso, A; Alonso, F; Altheimer, A; Alvarez Gonzalez, B; Alviggi, M G; Amako, "&amp;"K; Amelung, C; Ammosov, V V; Amor Dos Santos, S P; Amorim, A;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v>
      </c>
      <c r="AH910" s="32">
        <f>IFERROR(__xludf.DUMMYFUNCTION("""COMPUTED_VALUE"""),41489.0)</f>
        <v>41489</v>
      </c>
      <c r="AL910" s="31" t="str">
        <f>IFERROR(__xludf.DUMMYFUNCTION("""COMPUTED_VALUE"""),"Personality characteristics and hypothalamic-pituitary-adrenal axis regulation in older persons.")</f>
        <v>Personality characteristics and hypothalamic-pituitary-adrenal axis regulation in older persons.</v>
      </c>
      <c r="AM910" s="31" t="str">
        <f>IFERROR(__xludf.DUMMYFUNCTION("""COMPUTED_VALUE"""),"Gerritsen, Lotte; Geerlings, Mirjam I; Bremmer, Marijke A; Beekman, Aartjan T F; Deeg, Dorly J H; Penninx, Brenda W J H; Comijs, Hannie C")</f>
        <v>Gerritsen, Lotte; Geerlings, Mirjam I; Bremmer, Marijke A; Beekman, Aartjan T F; Deeg, Dorly J H; Penninx, Brenda W J H; Comijs, Hannie C</v>
      </c>
      <c r="AN910" s="32">
        <f>IFERROR(__xludf.DUMMYFUNCTION("""COMPUTED_VALUE"""),40148.0)</f>
        <v>40148</v>
      </c>
    </row>
    <row r="911">
      <c r="A911" s="32"/>
      <c r="I911" s="31" t="str">
        <f>IFERROR(__xludf.DUMMYFUNCTION("""COMPUTED_VALUE"""),"cancer nursing")</f>
        <v>cancer nursing</v>
      </c>
      <c r="J911" s="38">
        <f>COUNTIF(Data!$F$2:$F9917, $I911)</f>
        <v>4</v>
      </c>
      <c r="T911" s="31" t="s">
        <v>2710</v>
      </c>
      <c r="U911" s="31" t="s">
        <v>2711</v>
      </c>
      <c r="V911" s="32">
        <v>45049.0</v>
      </c>
      <c r="X911" s="31" t="str">
        <f>IFERROR(__xludf.DUMMYFUNCTION("""COMPUTED_VALUE"""),"First-line palliative systemic therapy alternated with oxaliplatin-based pressurized intraperitoneal aerosol chemotherapy for unresectable colorectal peritoneal metastases: A single-arm phase II trial (CRC-PIPAC-II).")</f>
        <v>First-line palliative systemic therapy alternated with oxaliplatin-based pressurized intraperitoneal aerosol chemotherapy for unresectable colorectal peritoneal metastases: A single-arm phase II trial (CRC-PIPAC-II).</v>
      </c>
      <c r="Y911" s="31" t="str">
        <f>IFERROR(__xludf.DUMMYFUNCTION("""COMPUTED_VALUE"""),"Rauwerdink, Paulien; van de Vlasakker, Vincent C J; Wassenaar, Emma C E; Rovers, Koen P; Los, Maartje; Herbschleb, Karin H; Creemers, Geert-Jan M; Thijs, Annemarie M J; Raicu, Mihaela G; Huysentruyt, Clément J R; van der Hoeven, Erik J R J; Nederend, Joos"&amp;"t; Peeters, Rifka Y M; Deenen, Maarten J; Elias, Sjoerd G; Fijneman, Remond J A; Constantinides, Alexander; Kranenburg, Onno; Burger, Pim W A; Nienhuijs, Simon W; Wiezer, René J; Lurvink, Robin J; de Hingh, Ignace H J T; Boerma, Djamila")</f>
        <v>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v>
      </c>
      <c r="Z911" s="31">
        <f>IFERROR(__xludf.DUMMYFUNCTION("""COMPUTED_VALUE"""),2024.0)</f>
        <v>2024</v>
      </c>
      <c r="AA911" s="31">
        <f>IFERROR(__xludf.DUMMYFUNCTION("""COMPUTED_VALUE"""),0.0)</f>
        <v>0</v>
      </c>
      <c r="AF911" s="31" t="str">
        <f>IFERROR(__xludf.DUMMYFUNCTION("""COMPUTED_VALUE"""),"The contribution of diet and lifestyle to socioeconomic inequalities in cardiovascular morbidity and mortality.")</f>
        <v>The contribution of diet and lifestyle to socioeconomic inequalities in cardiovascular morbidity and mortality.</v>
      </c>
      <c r="AG911" s="31" t="str">
        <f>IFERROR(__xludf.DUMMYFUNCTION("""COMPUTED_VALUE"""),"Méjean, Caroline; Droomers, Mariël; van der Schouw, Yvonne T; Sluijs, Ivonne; Czernichow, Sébastien; Grobbee, Diederick E; Bueno-de-Mesquita, H Bas; Beulens, Joline W J")</f>
        <v>Méjean, Caroline; Droomers, Mariël; van der Schouw, Yvonne T; Sluijs, Ivonne; Czernichow, Sébastien; Grobbee, Diederick E; Bueno-de-Mesquita, H Bas; Beulens, Joline W J</v>
      </c>
      <c r="AH911" s="32">
        <f>IFERROR(__xludf.DUMMYFUNCTION("""COMPUTED_VALUE"""),41484.0)</f>
        <v>41484</v>
      </c>
      <c r="AL911" s="31" t="str">
        <f>IFERROR(__xludf.DUMMYFUNCTION("""COMPUTED_VALUE"""),"Early and late life events and salivary cortisol in older persons.")</f>
        <v>Early and late life events and salivary cortisol in older persons.</v>
      </c>
      <c r="AM911" s="31" t="str">
        <f>IFERROR(__xludf.DUMMYFUNCTION("""COMPUTED_VALUE"""),"Gerritsen, L; Geerlings, M I; Beekman, A T F; Deeg, D J H; Penninx, B W J H; Comijs, H C")</f>
        <v>Gerritsen, L; Geerlings, M I; Beekman, A T F; Deeg, D J H; Penninx, B W J H; Comijs, H C</v>
      </c>
      <c r="AN911" s="32">
        <f>IFERROR(__xludf.DUMMYFUNCTION("""COMPUTED_VALUE"""),40143.0)</f>
        <v>40143</v>
      </c>
    </row>
    <row r="912">
      <c r="A912" s="32"/>
      <c r="I912" s="31" t="str">
        <f>IFERROR(__xludf.DUMMYFUNCTION("""COMPUTED_VALUE"""),"the journal of nutrition health aging")</f>
        <v>the journal of nutrition health aging</v>
      </c>
      <c r="J912" s="38">
        <f>COUNTIF(Data!$F$2:$F9917, $I912)</f>
        <v>4</v>
      </c>
      <c r="T912" s="31" t="s">
        <v>2714</v>
      </c>
      <c r="U912" s="31" t="s">
        <v>2715</v>
      </c>
      <c r="V912" s="32">
        <v>45049.0</v>
      </c>
      <c r="X912" s="31" t="str">
        <f>IFERROR(__xludf.DUMMYFUNCTION("""COMPUTED_VALUE"""),"Effect of optical diagnosis training on recognition and treatment of submucosal invasive colorectal cancer in community hospitals: a prospective multicenter intervention study.")</f>
        <v>Effect of optical diagnosis training on recognition and treatment of submucosal invasive colorectal cancer in community hospitals: a prospective multicenter intervention study.</v>
      </c>
      <c r="Y912" s="31" t="str">
        <f>IFERROR(__xludf.DUMMYFUNCTION("""COMPUTED_VALUE"""),"Meulen, Lonne W T; Haasnoot, Krijn J C; Vlug, Marije S; Wolfhagen, Frank H J; Baven-Pronk, Martine A M C; van der Voorn, Michael P J A; Schwartz, Matthijs P; Vogelaar, Lauran; de Vos Tot Nederveen Cappel, Wouter H; Seerden, Tom C J; Hazen, Wouter L; Schra"&amp;"uwen, Ruud W M; Alvarez-Herrero, Lorenza; Schreuder, Ramon-Michel; van Nunen, Annick B; Stoop, Esther; de Bruin, Gijs J; Bos, Philip; Marsman, Willem A; Kuiper, Edith; de Bièvre, Marc; Alderlieste, Yasser A; Roomer, Robert; Groen, John; Bigirwamungu-Barge"&amp;"man, Marloes; Siersema, Peter D; Elias, Sjoerd G; Masclee, Ad A M; Moons, Leon M G; ,")</f>
        <v>Meulen, Lonne W T; Haasnoot, Krijn J C; Vlug, Marije S; Wolfhagen, Frank H J; Baven-Pronk, Martine A M C; van der Voorn, Michael P J A; Schwartz, Matthijs P; Vogelaar, Lauran; de Vos Tot Nederveen Cappel, Wouter H; Seerden, Tom C J; Hazen, Wouter L; Schrauwen, Ruud W M; Alvarez-Herrero, Lorenza; Schreuder, Ramon-Michel; van Nunen, Annick B; Stoop, Esther; de Bruin, Gijs J; Bos, Philip; Marsman, Willem A; Kuiper, Edith; de Bièvre, Marc; Alderlieste, Yasser A; Roomer, Robert; Groen, John; Bigirwamungu-Bargeman, Marloes; Siersema, Peter D; Elias, Sjoerd G; Masclee, Ad A M; Moons, Leon M G; ,</v>
      </c>
      <c r="Z912" s="31">
        <f>IFERROR(__xludf.DUMMYFUNCTION("""COMPUTED_VALUE"""),2024.0)</f>
        <v>2024</v>
      </c>
      <c r="AA912" s="31">
        <f>IFERROR(__xludf.DUMMYFUNCTION("""COMPUTED_VALUE"""),0.0)</f>
        <v>0</v>
      </c>
      <c r="AF912" s="31" t="str">
        <f>IFERROR(__xludf.DUMMYFUNCTION("""COMPUTED_VALUE"""),"Cognitive outcomes 7.5 years after angioplasty compared with off-pump coronary bypass surgery.")</f>
        <v>Cognitive outcomes 7.5 years after angioplasty compared with off-pump coronary bypass surgery.</v>
      </c>
      <c r="AG912" s="31" t="str">
        <f>IFERROR(__xludf.DUMMYFUNCTION("""COMPUTED_VALUE"""),"Sauër, Anne-Mette C; Nathoe, Hendrik M; Hendrikse, Jeroen; Peelen, Linda M; Regieli, Jakub; Veldhuijzen, Dieuwke S; Kalkman, Cor J; Grobbee, Diederick E; Doevendans, Pieter A; van Dijk, Diederik; ,")</f>
        <v>Sauër, Anne-Mette C; Nathoe, Hendrik M; Hendrikse, Jeroen; Peelen, Linda M; Regieli, Jakub; Veldhuijzen, Dieuwke S; Kalkman, Cor J; Grobbee, Diederick E; Doevendans, Pieter A; van Dijk, Diederik; ,</v>
      </c>
      <c r="AH912" s="32">
        <f>IFERROR(__xludf.DUMMYFUNCTION("""COMPUTED_VALUE"""),41471.0)</f>
        <v>41471</v>
      </c>
      <c r="AL912" s="31" t="str">
        <f>IFERROR(__xludf.DUMMYFUNCTION("""COMPUTED_VALUE"""),"Dietary supplementation with cis-9,trans-11 conjugated linoleic acid and aortic stiffness in overweight and obese adults.")</f>
        <v>Dietary supplementation with cis-9,trans-11 conjugated linoleic acid and aortic stiffness in overweight and obese adults.</v>
      </c>
      <c r="AM912" s="31" t="str">
        <f>IFERROR(__xludf.DUMMYFUNCTION("""COMPUTED_VALUE"""),"Sluijs, Ivonne; Plantinga, Yvonne; de Roos, Baukje; Mennen, Louise I; Bots, Michiel L")</f>
        <v>Sluijs, Ivonne; Plantinga, Yvonne; de Roos, Baukje; Mennen, Louise I; Bots, Michiel L</v>
      </c>
      <c r="AN912" s="32">
        <f>IFERROR(__xludf.DUMMYFUNCTION("""COMPUTED_VALUE"""),40135.0)</f>
        <v>40135</v>
      </c>
    </row>
    <row r="913">
      <c r="A913" s="32"/>
      <c r="I913" s="31" t="str">
        <f>IFERROR(__xludf.DUMMYFUNCTION("""COMPUTED_VALUE"""),"the cleft palatecraniofacial journal official publication of the american cleft palatecraniofacial association")</f>
        <v>the cleft palatecraniofacial journal official publication of the american cleft palatecraniofacial association</v>
      </c>
      <c r="J913" s="38">
        <f>COUNTIF(Data!$F$2:$F9917, $I913)</f>
        <v>1</v>
      </c>
      <c r="T913" s="31" t="s">
        <v>2718</v>
      </c>
      <c r="U913" s="31" t="s">
        <v>2719</v>
      </c>
      <c r="V913" s="32">
        <v>45049.0</v>
      </c>
      <c r="X913" s="31" t="str">
        <f>IFERROR(__xludf.DUMMYFUNCTION("""COMPUTED_VALUE"""),"Estimating Additive Interaction in Two-Stage Individual Participant Data Meta-Analysis.")</f>
        <v>Estimating Additive Interaction in Two-Stage Individual Participant Data Meta-Analysis.</v>
      </c>
      <c r="Y913" s="31" t="str">
        <f>IFERROR(__xludf.DUMMYFUNCTION("""COMPUTED_VALUE"""),"Basten, Maartje; van Tuijl, Lonneke A; Pan, Kuan-Yu; Hoogendoorn, Adriaan W; Lamers, Femke; Ranchor, Adelita V; Dekker, Joost; Frank, Philipp; Galenkamp, Henrike; Knol, Mirjam J; Noisel, Nolwenn; Payette, Yves; Sund, Erik R; Zwinderman, Aeilko H; Portenge"&amp;"n, Lützen; Geerlings, Mirjam I")</f>
        <v>Basten, Maartje; van Tuijl, Lonneke A; Pan, Kuan-Yu; Hoogendoorn, Adriaan W; Lamers, Femke; Ranchor, Adelita V; Dekker, Joost; Frank, Philipp; Galenkamp, Henrike; Knol, Mirjam J; Noisel, Nolwenn; Payette, Yves; Sund, Erik R; Zwinderman, Aeilko H; Portengen, Lützen; Geerlings, Mirjam I</v>
      </c>
      <c r="Z913" s="31">
        <f>IFERROR(__xludf.DUMMYFUNCTION("""COMPUTED_VALUE"""),2024.0)</f>
        <v>2024</v>
      </c>
      <c r="AA913" s="31">
        <f>IFERROR(__xludf.DUMMYFUNCTION("""COMPUTED_VALUE"""),0.0)</f>
        <v>0</v>
      </c>
      <c r="AF913" s="31" t="str">
        <f>IFERROR(__xludf.DUMMYFUNCTION("""COMPUTED_VALUE"""),"Clarifying assent in pediatric research.")</f>
        <v>Clarifying assent in pediatric research.</v>
      </c>
      <c r="AG913" s="31" t="str">
        <f>IFERROR(__xludf.DUMMYFUNCTION("""COMPUTED_VALUE"""),"Giesbertz, Noor A A; Bredenoord, Annelien L; van Delden, Johannes J M")</f>
        <v>Giesbertz, Noor A A; Bredenoord, Annelien L; van Delden, Johannes J M</v>
      </c>
      <c r="AH913" s="32">
        <f>IFERROR(__xludf.DUMMYFUNCTION("""COMPUTED_VALUE"""),41437.0)</f>
        <v>41437</v>
      </c>
      <c r="AL913" s="31" t="str">
        <f>IFERROR(__xludf.DUMMYFUNCTION("""COMPUTED_VALUE"""),"Progression to microalbuminuria in type 1 diabetes: development and validation of a prediction rule.")</f>
        <v>Progression to microalbuminuria in type 1 diabetes: development and validation of a prediction rule.</v>
      </c>
      <c r="AM913" s="31" t="str">
        <f>IFERROR(__xludf.DUMMYFUNCTION("""COMPUTED_VALUE"""),"Vergouwe, Y; Soedamah-Muthu, S S; Zgibor, J; Chaturvedi, N; Forsblom, C; Snell-Bergeon, J K; Maahs, D M; Groop, P-H; Rewers, M; Orchard, T J; Fuller, J H; Moons, K G M")</f>
        <v>Vergouwe, Y; Soedamah-Muthu, S S; Zgibor, J; Chaturvedi, N; Forsblom, C; Snell-Bergeon, J K; Maahs, D M; Groop, P-H; Rewers, M; Orchard, T J; Fuller, J H; Moons, K G M</v>
      </c>
      <c r="AN913" s="32">
        <f>IFERROR(__xludf.DUMMYFUNCTION("""COMPUTED_VALUE"""),40121.0)</f>
        <v>40121</v>
      </c>
    </row>
    <row r="914">
      <c r="A914" s="32"/>
      <c r="I914" s="31" t="str">
        <f>IFERROR(__xludf.DUMMYFUNCTION("""COMPUTED_VALUE"""),"trends in molecular medicine")</f>
        <v>trends in molecular medicine</v>
      </c>
      <c r="J914" s="38">
        <f>COUNTIF(Data!$F$2:$F9917, $I914)</f>
        <v>2</v>
      </c>
      <c r="T914" s="31" t="s">
        <v>2722</v>
      </c>
      <c r="U914" s="31" t="s">
        <v>2723</v>
      </c>
      <c r="V914" s="32">
        <v>45049.0</v>
      </c>
      <c r="X914" s="31" t="str">
        <f>IFERROR(__xludf.DUMMYFUNCTION("""COMPUTED_VALUE"""),"Clusters of parental socioeconomic status in early childhood and inherited risk for cerebrovascular disease until mid-life-Northern Finland Birth Cohort 1966.")</f>
        <v>Clusters of parental socioeconomic status in early childhood and inherited risk for cerebrovascular disease until mid-life-Northern Finland Birth Cohort 1966.</v>
      </c>
      <c r="Y914" s="31" t="str">
        <f>IFERROR(__xludf.DUMMYFUNCTION("""COMPUTED_VALUE"""),"Hyytiäinen, Veronika; Ala-Mursula, Leena; Oura, Petteri; Paananen, Markus; Karhunen, Ville; Rusanen, Harri; Geerlings, Mirjam I; Miettunen, Jouko; Rissanen, Ina")</f>
        <v>Hyytiäinen, Veronika; Ala-Mursula, Leena; Oura, Petteri; Paananen, Markus; Karhunen, Ville; Rusanen, Harri; Geerlings, Mirjam I; Miettunen, Jouko; Rissanen, Ina</v>
      </c>
      <c r="Z914" s="31">
        <f>IFERROR(__xludf.DUMMYFUNCTION("""COMPUTED_VALUE"""),2024.0)</f>
        <v>2024</v>
      </c>
      <c r="AA914" s="31">
        <f>IFERROR(__xludf.DUMMYFUNCTION("""COMPUTED_VALUE"""),0.0)</f>
        <v>0</v>
      </c>
      <c r="AF914" s="31" t="str">
        <f>IFERROR(__xludf.DUMMYFUNCTION("""COMPUTED_VALUE"""),"Search for a light charged Higgs boson in the decay channel [Formula: see text] in [Formula: see text] events using &lt;i&gt;pp&lt;/i&gt; collisions at [Formula: see text] with the ATLAS detector.")</f>
        <v>Search for a light charged Higgs boson in the decay channel [Formula: see text] in [Formula: see text] events using &lt;i&gt;pp&lt;/i&gt; collisions at [Formula: see text] with the ATLAS detector.</v>
      </c>
      <c r="AG914" s="31"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Ahlen, S P; Ahles, F; Ahmad, A; Ahsan, M; Aielli, G; Åkesson, T P A; Akimoto, G; Akimov, A V; Alam, M A; Albert, J; Albrand, S; Aleksa, M; Aleksandrov, I N; Alessandria, F; Alexa, C; Alexander, G; Alexandre,"&amp;" G; Alexopoulos, T; Alhroob, M; Aliev, M; Alimonti, G; Alison, J; Allbrooke, B M M; Allison, L J; Allport, P P; Allwood-Spiers, S E; Almond, J; Aloisio, A; Alon, R; Alonso, A; Alonso, F; Altheimer, A; Alvarez Gonzalez, B; Alviggi, M G; Amako, K; Amelung, "&amp;"C; Ammosov, V V; Amor Dos Santos, S P; Amorim, A; Amoroso, S;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v>
      </c>
      <c r="AH914" s="32">
        <f>IFERROR(__xludf.DUMMYFUNCTION("""COMPUTED_VALUE"""),41431.0)</f>
        <v>41431</v>
      </c>
      <c r="AL914" s="31" t="str">
        <f>IFERROR(__xludf.DUMMYFUNCTION("""COMPUTED_VALUE"""),"Salivary cortisol, APOE-ε4 allele and cognitive decline in a prospective study of older persons.")</f>
        <v>Salivary cortisol, APOE-ε4 allele and cognitive decline in a prospective study of older persons.</v>
      </c>
      <c r="AM914" s="31" t="str">
        <f>IFERROR(__xludf.DUMMYFUNCTION("""COMPUTED_VALUE"""),"Gerritsen, Lotte; Comijs, Hannie C; Deeg, Dorly J H; Penninx, Brenda W J H; Geerlings, Mirjam I")</f>
        <v>Gerritsen, Lotte; Comijs, Hannie C; Deeg, Dorly J H; Penninx, Brenda W J H; Geerlings, Mirjam I</v>
      </c>
      <c r="AN914" s="32">
        <f>IFERROR(__xludf.DUMMYFUNCTION("""COMPUTED_VALUE"""),40116.0)</f>
        <v>40116</v>
      </c>
    </row>
    <row r="915">
      <c r="A915" s="32"/>
      <c r="I915" s="31" t="str">
        <f>IFERROR(__xludf.DUMMYFUNCTION("""COMPUTED_VALUE"""),"biometrics")</f>
        <v>biometrics</v>
      </c>
      <c r="J915" s="38">
        <f>COUNTIF(Data!$F$2:$F9917, $I915)</f>
        <v>1</v>
      </c>
      <c r="T915" s="31" t="s">
        <v>2726</v>
      </c>
      <c r="U915" s="31" t="s">
        <v>2727</v>
      </c>
      <c r="V915" s="32">
        <v>45049.0</v>
      </c>
      <c r="X915" s="31" t="str">
        <f>IFERROR(__xludf.DUMMYFUNCTION("""COMPUTED_VALUE"""),"Reply to: Comments on ""Psychosocial factors, health behaviors and risk of cancer incidence: Testing interaction and effect modification in an individual participant data meta-analysis"".")</f>
        <v>Reply to: Comments on "Psychosocial factors, health behaviors and risk of cancer incidence: Testing interaction and effect modification in an individual participant data meta-analysis".</v>
      </c>
      <c r="Y915" s="31" t="str">
        <f>IFERROR(__xludf.DUMMYFUNCTION("""COMPUTED_VALUE"""),"Basten, Maartje; van Tuijl, Lonneke A; Pan, Kuan-Yu; Geerlings, Mirjam I; Dekker, Joost")</f>
        <v>Basten, Maartje; van Tuijl, Lonneke A; Pan, Kuan-Yu; Geerlings, Mirjam I; Dekker, Joost</v>
      </c>
      <c r="Z915" s="31">
        <f>IFERROR(__xludf.DUMMYFUNCTION("""COMPUTED_VALUE"""),2024.0)</f>
        <v>2024</v>
      </c>
      <c r="AA915" s="31">
        <f>IFERROR(__xludf.DUMMYFUNCTION("""COMPUTED_VALUE"""),0.0)</f>
        <v>0</v>
      </c>
      <c r="AF915" s="31" t="str">
        <f>IFERROR(__xludf.DUMMYFUNCTION("""COMPUTED_VALUE"""),"Multi-channel search for squarks and gluinos in [Formula: see text]&lt;i&gt;pp&lt;/i&gt; collisions with the ATLAS detector at the LHC.")</f>
        <v>Multi-channel search for squarks and gluinos in [Formula: see text]&lt;i&gt;pp&lt;/i&gt; collisions with the ATLAS detector at the LHC.</v>
      </c>
      <c r="AG915" s="31"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Ahlen, S P; Ahles, F; Ahmad, A; Ahsan, M; Aielli, G; Åkesson, T P A; Akimoto, G; Akimov, A V; Alam, M A; Albert, J; Albrand, S; Aleksa, M; Aleksandrov, I N; Alessandria, F; Alexa, C; Alexander, G; Alexandre,"&amp;" G; Alexopoulos, T; Alhroob, M; Aliev, M; Alimonti, G; Alison, J; Allbrooke, B M M; Allison, L J; Allport, P P; Allwood-Spiers, S E; Almond, J; Aloisio, A; Alon, R; Alonso, A; Alonso, F; Altheimer, A; Alvarez Gonzalez, B; Alviggi, M G; Amako, K; Amelung, "&amp;"C; Ammosov, V V; Amor Dos Santos, S P; Amorim, A; Amoroso, S;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v>
      </c>
      <c r="AH915" s="32">
        <f>IFERROR(__xludf.DUMMYFUNCTION("""COMPUTED_VALUE"""),41360.0)</f>
        <v>41360</v>
      </c>
      <c r="AL915" s="31" t="str">
        <f>IFERROR(__xludf.DUMMYFUNCTION("""COMPUTED_VALUE"""),"Ventilator-associated pneumonia and mortality: a systematic review of observational studies.")</f>
        <v>Ventilator-associated pneumonia and mortality: a systematic review of observational studies.</v>
      </c>
      <c r="AM915" s="31" t="str">
        <f>IFERROR(__xludf.DUMMYFUNCTION("""COMPUTED_VALUE"""),"Melsen, Wilhelmina G; Rovers, Maroeska M; Bonten, Marc J M")</f>
        <v>Melsen, Wilhelmina G; Rovers, Maroeska M; Bonten, Marc J M</v>
      </c>
      <c r="AN915" s="32">
        <f>IFERROR(__xludf.DUMMYFUNCTION("""COMPUTED_VALUE"""),40087.0)</f>
        <v>40087</v>
      </c>
    </row>
    <row r="916">
      <c r="A916" s="32"/>
      <c r="I916" s="31" t="str">
        <f>IFERROR(__xludf.DUMMYFUNCTION("""COMPUTED_VALUE"""),"bmc neurology")</f>
        <v>bmc neurology</v>
      </c>
      <c r="J916" s="38">
        <f>COUNTIF(Data!$F$2:$F9917, $I916)</f>
        <v>4</v>
      </c>
      <c r="T916" s="31" t="s">
        <v>2730</v>
      </c>
      <c r="U916" s="31" t="s">
        <v>2731</v>
      </c>
      <c r="V916" s="32">
        <v>45049.0</v>
      </c>
      <c r="X916" s="31" t="str">
        <f>IFERROR(__xludf.DUMMYFUNCTION("""COMPUTED_VALUE"""),"Risk Factors for Medial and Intimal Intracranial Internal Carotid Artery Calcification in Men and Women with Cardiovascular Disease: The UCC-SMART Study.")</f>
        <v>Risk Factors for Medial and Intimal Intracranial Internal Carotid Artery Calcification in Men and Women with Cardiovascular Disease: The UCC-SMART Study.</v>
      </c>
      <c r="Y916" s="31" t="str">
        <f>IFERROR(__xludf.DUMMYFUNCTION("""COMPUTED_VALUE"""),"Lucci, Carlo; Rissanen, Ina; van den Beukel, Tim C; Takx, Richard; de Jong, Pim A; Hendrikse, Jeroen; Geerlings, Mirjam I; ,")</f>
        <v>Lucci, Carlo; Rissanen, Ina; van den Beukel, Tim C; Takx, Richard; de Jong, Pim A; Hendrikse, Jeroen; Geerlings, Mirjam I; ,</v>
      </c>
      <c r="Z916" s="31">
        <f>IFERROR(__xludf.DUMMYFUNCTION("""COMPUTED_VALUE"""),2024.0)</f>
        <v>2024</v>
      </c>
      <c r="AA916" s="31">
        <f>IFERROR(__xludf.DUMMYFUNCTION("""COMPUTED_VALUE"""),0.0)</f>
        <v>0</v>
      </c>
      <c r="AF916" s="31" t="str">
        <f>IFERROR(__xludf.DUMMYFUNCTION("""COMPUTED_VALUE"""),"Measurement of the [Formula: see text] production cross section in the tau + jets channel using the ATLAS detector.")</f>
        <v>Measurement of the [Formula: see text] production cross section in the tau + jets channel using the ATLAS detector.</v>
      </c>
      <c r="AG916" s="31"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A; Albert, J; Albrand, S; Aleksa, M; Aleksandrov, I N; Alessandria, F; Alexa, C; Alexander"&amp;", G; Alexandre, G; Alexopoulos, T; Alhroob, M; Aliev, M; Alimonti, G; Alison, J; Allbrooke, B M M; Allison, L J; Allport, P P; Allwood-Spiers, S E; Almond, J; Aloisio, A; Alon, R; Alonso, A; Alonso, F; Altheimer, A; Alvarez Gonzalez, B; Alviggi, M G; Amak"&amp;"o, K; Amelung, C; Ammosov, V V; Amor Dos Santos, S P; Amorim, A; Amram, N; Anastopoulos, C; Ancu, L S; Andari, N; Andeen, T; Anders, C F; Anders, G; Anderson, K J; Andreazza, A; Andrei, V; Andrieux, M-L; Anduaga, X S; Angelidakis, S; A")</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v>
      </c>
      <c r="AH916" s="32">
        <f>IFERROR(__xludf.DUMMYFUNCTION("""COMPUTED_VALUE"""),41335.0)</f>
        <v>41335</v>
      </c>
      <c r="AL916" s="31" t="str">
        <f>IFERROR(__xludf.DUMMYFUNCTION("""COMPUTED_VALUE"""),"Oropharyngeal decontamination in intensive care patients: less is not more.")</f>
        <v>Oropharyngeal decontamination in intensive care patients: less is not more.</v>
      </c>
      <c r="AM916" s="31" t="str">
        <f>IFERROR(__xludf.DUMMYFUNCTION("""COMPUTED_VALUE"""),"Derde, Lennie P G; Bonten, Marc J M")</f>
        <v>Derde, Lennie P G; Bonten, Marc J M</v>
      </c>
      <c r="AN916" s="32">
        <f>IFERROR(__xludf.DUMMYFUNCTION("""COMPUTED_VALUE"""),40059.0)</f>
        <v>40059</v>
      </c>
    </row>
    <row r="917">
      <c r="A917" s="32"/>
      <c r="I917" s="31" t="str">
        <f>IFERROR(__xludf.DUMMYFUNCTION("""COMPUTED_VALUE"""),"nature reviews nephrology")</f>
        <v>nature reviews nephrology</v>
      </c>
      <c r="J917" s="38">
        <f>COUNTIF(Data!$F$2:$F9917, $I917)</f>
        <v>1</v>
      </c>
      <c r="T917" s="31" t="s">
        <v>2735</v>
      </c>
      <c r="U917" s="31" t="s">
        <v>2736</v>
      </c>
      <c r="V917" s="32">
        <v>45049.0</v>
      </c>
      <c r="X917" s="31" t="str">
        <f>IFERROR(__xludf.DUMMYFUNCTION("""COMPUTED_VALUE"""),"Performance of a Diagnostic Model for the Presence of Unruptured Intracranial Aneurysms in the General Population.")</f>
        <v>Performance of a Diagnostic Model for the Presence of Unruptured Intracranial Aneurysms in the General Population.</v>
      </c>
      <c r="Y917" s="31" t="str">
        <f>IFERROR(__xludf.DUMMYFUNCTION("""COMPUTED_VALUE"""),"Klieverik, Vita M; Roozenbeek, Bob; Cras, Tim Y; Vernooij, Meike W; Geerlings, Mirjam I; Bos, Daniel; Ruigrok, Ynte M")</f>
        <v>Klieverik, Vita M; Roozenbeek, Bob; Cras, Tim Y; Vernooij, Meike W; Geerlings, Mirjam I; Bos, Daniel; Ruigrok, Ynte M</v>
      </c>
      <c r="Z917" s="31">
        <f>IFERROR(__xludf.DUMMYFUNCTION("""COMPUTED_VALUE"""),2023.0)</f>
        <v>2023</v>
      </c>
      <c r="AA917" s="31">
        <f>IFERROR(__xludf.DUMMYFUNCTION("""COMPUTED_VALUE"""),0.0)</f>
        <v>0</v>
      </c>
      <c r="AF917" s="31" t="str">
        <f>IFERROR(__xludf.DUMMYFUNCTION("""COMPUTED_VALUE"""),"Jet energy resolution in proton-proton collisions at [Formula: see text] recorded in 2010 with the ATLAS detector.")</f>
        <v>Jet energy resolution in proton-proton collisions at [Formula: see text] recorded in 2010 with the ATLAS detector.</v>
      </c>
      <c r="AG917" s="31" t="str">
        <f>IFERROR(__xludf.DUMMYFUNCTION("""COMPUTED_VALUE"""),",; Aad, G; Abajyan, T; Abbott, B; Abdallah, J; Abdel Khalek, S; Abdelalim, A A; Abdinov, O; Aben, R; Abi, B; Abolins, M; AbouZeid, O S; Abramowicz, H; Abreu, H; Acerbi, E; Acharya, B S; Adamczyk, L; Adams, D L; Addy, T N; Adelman, J; Adomeit, S; Adragna, "&amp;"P; Adye, T; Aefsky, S; Aguilar-Saavedra, J A; Agustoni, M; Aharrouche, M; Ahlen, S P; Ahles, F; Ahmad, A; Ahsan, M; Aielli, G; Akdogan, T; Åkesson, T P A; Akimoto, G; Akimov, A V; Alam, M S; Alam, M A; Albert, J; Albrand, S; Aleksa, M; Aleksandrov, I N; A"&amp;"lessandria, F; Alexa, C; Alexander, G; Alexandre, G; Alexopoulos, T; Alhroob, M; Aliev, M; Alimonti, G; Alison, J; Allbrooke, B M M; Allport, P P; Allwood-Spiers, S E; Almond, J; Aloisio, A; Alon, R; Alonso, A; Alonso, F; Alvarez Gonzalez, B; Alviggi, M G"&amp;"; Amako, K; Amelung, C; Ammosov, V V; Amorim, A; Amram, N; Anastopoulos, C; Ancu, L S; Andari, N; Andeen, T; Anders, C F; Anders, G; Anderson, K J; Andreazza, A; Andrei, V; Anduaga, X S; Anger, P; Angerami, A; Anghinolfi, F; Anisenkov,")</f>
        <v>,;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Amorim, A; Amram, N; Anastopoulos, C; Ancu, L S; Andari, N; Andeen, T; Anders, C F; Anders, G; Anderson, K J; Andreazza, A; Andrei, V; Anduaga, X S; Anger, P; Angerami, A; Anghinolfi, F; Anisenkov,</v>
      </c>
      <c r="AH917" s="32">
        <f>IFERROR(__xludf.DUMMYFUNCTION("""COMPUTED_VALUE"""),41335.0)</f>
        <v>41335</v>
      </c>
      <c r="AL917" s="31" t="str">
        <f>IFERROR(__xludf.DUMMYFUNCTION("""COMPUTED_VALUE"""),"Effect of exercise on postmenopausal sex hormone levels and role of body fat: a randomized controlled trial.")</f>
        <v>Effect of exercise on postmenopausal sex hormone levels and role of body fat: a randomized controlled trial.</v>
      </c>
      <c r="AM917" s="31" t="str">
        <f>IFERROR(__xludf.DUMMYFUNCTION("""COMPUTED_VALUE"""),"Monninkhof, Evelyn M; Velthuis, Miranda J; Peeters, Petra H M; Twisk, Jos W R; Schuit, Albertine J")</f>
        <v>Monninkhof, Evelyn M; Velthuis, Miranda J; Peeters, Petra H M; Twisk, Jos W R; Schuit, Albertine J</v>
      </c>
      <c r="AN917" s="32">
        <f>IFERROR(__xludf.DUMMYFUNCTION("""COMPUTED_VALUE"""),40042.0)</f>
        <v>40042</v>
      </c>
    </row>
    <row r="918">
      <c r="A918" s="32"/>
      <c r="I918" s="31" t="str">
        <f>IFERROR(__xludf.DUMMYFUNCTION("""COMPUTED_VALUE"""),"hpb the official journal of the international hepato pancreato biliary association")</f>
        <v>hpb the official journal of the international hepato pancreato biliary association</v>
      </c>
      <c r="J918" s="38">
        <f>COUNTIF(Data!$F$2:$F9917, $I918)</f>
        <v>1</v>
      </c>
      <c r="T918" s="31" t="s">
        <v>2739</v>
      </c>
      <c r="U918" s="31" t="s">
        <v>2740</v>
      </c>
      <c r="V918" s="32">
        <v>45047.0</v>
      </c>
      <c r="X918" s="31" t="str">
        <f>IFERROR(__xludf.DUMMYFUNCTION("""COMPUTED_VALUE"""),"Pembrolizumab Versus chemotherapy in microsatellite instability-high or mismatch repair-deficient metastatic colorectal cancer: 5-year follow-up from the randomized phase 3 KEYNOTE-177 study.")</f>
        <v>Pembrolizumab Versus chemotherapy in microsatellite instability-high or mismatch repair-deficient metastatic colorectal cancer: 5-year follow-up from the randomized phase 3 KEYNOTE-177 study.</v>
      </c>
      <c r="Y918" s="31" t="str">
        <f>IFERROR(__xludf.DUMMYFUNCTION("""COMPUTED_VALUE"""),"André, T; Shiu, K-K; Kim, T W; Jensen, B V; Jensen, L H; Punt, C J A; Smith, D; Garcia-Carbonero, R; Alcaide-Garcia, J; Gibbs, P; Fouchardiere, C de la; Rivera, F; Elez, E; Le, D T; Yoshino, T; Zuo, Y; Fogelman, D; Adelberg, D; Diaz, L A")</f>
        <v>André, T; Shiu, K-K; Kim, T W; Jensen, B V; Jensen, L H; Punt, C J A; Smith, D; Garcia-Carbonero, R; Alcaide-Garcia, J; Gibbs, P; Fouchardiere, C de la; Rivera, F; Elez, E; Le, D T; Yoshino, T; Zuo, Y; Fogelman, D; Adelberg, D; Diaz, L A</v>
      </c>
      <c r="Z918" s="31">
        <f>IFERROR(__xludf.DUMMYFUNCTION("""COMPUTED_VALUE"""),2024.0)</f>
        <v>2024</v>
      </c>
      <c r="AA918" s="31">
        <f>IFERROR(__xludf.DUMMYFUNCTION("""COMPUTED_VALUE"""),0.0)</f>
        <v>0</v>
      </c>
      <c r="AF918" s="31" t="str">
        <f>IFERROR(__xludf.DUMMYFUNCTION("""COMPUTED_VALUE"""),"Identification of high-risk individuals for the development of disability in activities of daily living. A ten-year follow-up study.")</f>
        <v>Identification of high-risk individuals for the development of disability in activities of daily living. A ten-year follow-up study.</v>
      </c>
      <c r="AG918" s="31" t="str">
        <f>IFERROR(__xludf.DUMMYFUNCTION("""COMPUTED_VALUE"""),"den Ouden, Marjolein E M; Schuurmans, Marieke J; Mueller-Schotte, Sigrid; van der Schouw, Y T")</f>
        <v>den Ouden, Marjolein E M; Schuurmans, Marieke J; Mueller-Schotte, Sigrid; van der Schouw, Y T</v>
      </c>
      <c r="AH918" s="32">
        <f>IFERROR(__xludf.DUMMYFUNCTION("""COMPUTED_VALUE"""),41313.0)</f>
        <v>41313</v>
      </c>
      <c r="AL918" s="31" t="str">
        <f>IFERROR(__xludf.DUMMYFUNCTION("""COMPUTED_VALUE"""),"Modeling the effects of influenza vaccination of health care workers in hospital departments.")</f>
        <v>Modeling the effects of influenza vaccination of health care workers in hospital departments.</v>
      </c>
      <c r="AM918" s="31" t="str">
        <f>IFERROR(__xludf.DUMMYFUNCTION("""COMPUTED_VALUE"""),"van den Dool, C; Bonten, M J M; Hak, E; Wallinga, J")</f>
        <v>van den Dool, C; Bonten, M J M; Hak, E; Wallinga, J</v>
      </c>
      <c r="AN918" s="32">
        <f>IFERROR(__xludf.DUMMYFUNCTION("""COMPUTED_VALUE"""),40040.0)</f>
        <v>40040</v>
      </c>
    </row>
    <row r="919">
      <c r="A919" s="32"/>
      <c r="I919" s="31" t="str">
        <f>IFERROR(__xludf.DUMMYFUNCTION("""COMPUTED_VALUE"""),"human molecular genetics")</f>
        <v>human molecular genetics</v>
      </c>
      <c r="J919" s="38">
        <f>COUNTIF(Data!$F$2:$F9917, $I919)</f>
        <v>4</v>
      </c>
      <c r="T919" s="31" t="s">
        <v>2743</v>
      </c>
      <c r="U919" s="31" t="s">
        <v>2744</v>
      </c>
      <c r="V919" s="32">
        <v>45047.0</v>
      </c>
      <c r="X919" s="31" t="str">
        <f>IFERROR(__xludf.DUMMYFUNCTION("""COMPUTED_VALUE"""),"Development and external evaluation of a self-learning auto-segmentation model for Colorectal Cancer Liver Metastases Assessment (COALA).")</f>
        <v>Development and external evaluation of a self-learning auto-segmentation model for Colorectal Cancer Liver Metastases Assessment (COALA).</v>
      </c>
      <c r="Y919" s="31" t="str">
        <f>IFERROR(__xludf.DUMMYFUNCTION("""COMPUTED_VALUE"""),"Bereska, Jacqueline I; Zeeuw, Michiel; Wagenaar, Luuk; Jenssen, Håvard Bjørke; Wesdorp, Nina J; van der Meulen, Delanie; Bereska, Leonard F; Gavves, Efstratios; Janssen, Boris V; Besselink, Marc G; Marquering, Henk A; van Waesberghe, Jan-Hein T M; Aghayan"&amp;", Davit L; Pelanis, Egidijus; van den Bergh, Janneke; Nota, Irene I M; Moos, Shira; Kemmerich, Gunter; Syversveen, Trygve; Kolrud, Finn Kristian; Huiskens, Joost; Swijnenburg, Rutger-Jan; Punt, Cornelis J A; Stoker, Jaap; Edwin, Bjørn; Fretland, Åsmund A;"&amp;" Kazemier, Geert; Verpalen, Inez M; ,; ,")</f>
        <v>Bereska, Jacqueline I; Zeeuw, Michiel; Wagenaar, Luuk; Jenssen, Håvard Bjørke; Wesdorp, Nina J; van der Meulen, Delanie; Bereska, Leonard F; Gavves, Efstratios; Janssen, Boris V; Besselink, Marc G; Marquering, Henk A; van Waesberghe, Jan-Hein T M; Aghayan, Davit L; Pelanis, Egidijus; van den Bergh, Janneke; Nota, Irene I M; Moos, Shira; Kemmerich, Gunter; Syversveen, Trygve; Kolrud, Finn Kristian; Huiskens, Joost; Swijnenburg, Rutger-Jan; Punt, Cornelis J A; Stoker, Jaap; Edwin, Bjørn; Fretland, Åsmund A; Kazemier, Geert; Verpalen, Inez M; ,; ,</v>
      </c>
      <c r="Z919" s="31">
        <f>IFERROR(__xludf.DUMMYFUNCTION("""COMPUTED_VALUE"""),2024.0)</f>
        <v>2024</v>
      </c>
      <c r="AA919" s="31">
        <f>IFERROR(__xludf.DUMMYFUNCTION("""COMPUTED_VALUE"""),0.0)</f>
        <v>0</v>
      </c>
      <c r="AF919" s="31" t="str">
        <f>IFERROR(__xludf.DUMMYFUNCTION("""COMPUTED_VALUE"""),"EMAS clinical guide: vulvar lichen sclerosus in peri and postmenopausal women.")</f>
        <v>EMAS clinical guide: vulvar lichen sclerosus in peri and postmenopausal women.</v>
      </c>
      <c r="AG919" s="31" t="str">
        <f>IFERROR(__xludf.DUMMYFUNCTION("""COMPUTED_VALUE"""),"Pérez-López, Faustino R; Ceausu, Iuliana; Depypere, Herman; Erel, C Tamer; Lambrinoudaki, Irene; Rees, Margaret; Schenck-Gustafsson, Karin; Tremollieres, Florence; van der Schouw, Yvonne T; Simoncini, Tommaso; ,")</f>
        <v>Pérez-López, Faustino R; Ceausu, Iuliana; Depypere, Herman; Erel, C Tamer; Lambrinoudaki, Irene; Rees, Margaret; Schenck-Gustafsson, Karin; Tremollieres, Florence; van der Schouw, Yvonne T; Simoncini, Tommaso; ,</v>
      </c>
      <c r="AH919" s="32">
        <f>IFERROR(__xludf.DUMMYFUNCTION("""COMPUTED_VALUE"""),41277.0)</f>
        <v>41277</v>
      </c>
      <c r="AL919" s="31" t="str">
        <f>IFERROR(__xludf.DUMMYFUNCTION("""COMPUTED_VALUE"""),"Development and validation of a prediction model with missing predictor data: a practical approach.")</f>
        <v>Development and validation of a prediction model with missing predictor data: a practical approach.</v>
      </c>
      <c r="AM919" s="31" t="str">
        <f>IFERROR(__xludf.DUMMYFUNCTION("""COMPUTED_VALUE"""),"Vergouwe, Yvonne; Royston, Patrick; Moons, Karel G M; Altman, Douglas G")</f>
        <v>Vergouwe, Yvonne; Royston, Patrick; Moons, Karel G M; Altman, Douglas G</v>
      </c>
      <c r="AN919" s="32">
        <f>IFERROR(__xludf.DUMMYFUNCTION("""COMPUTED_VALUE"""),40006.0)</f>
        <v>40006</v>
      </c>
    </row>
    <row r="920">
      <c r="A920" s="32"/>
      <c r="I920" s="31" t="str">
        <f>IFERROR(__xludf.DUMMYFUNCTION("""COMPUTED_VALUE"""),"cerebrovascular diseases extra")</f>
        <v>cerebrovascular diseases extra</v>
      </c>
      <c r="J920" s="38">
        <f>COUNTIF(Data!$F$2:$F9917, $I920)</f>
        <v>1</v>
      </c>
      <c r="T920" s="31" t="s">
        <v>2747</v>
      </c>
      <c r="U920" s="31" t="s">
        <v>2748</v>
      </c>
      <c r="V920" s="32">
        <v>45047.0</v>
      </c>
      <c r="X920" s="31" t="str">
        <f>IFERROR(__xludf.DUMMYFUNCTION("""COMPUTED_VALUE"""),"Cancer treatment monitoring using cell-free DNA fragmentomes.")</f>
        <v>Cancer treatment monitoring using cell-free DNA fragmentomes.</v>
      </c>
      <c r="Y920" s="31" t="str">
        <f>IFERROR(__xludf.DUMMYFUNCTION("""COMPUTED_VALUE"""),"van 't Erve, Iris; Alipanahi, Bahar; Lumbard, Keith; Skidmore, Zachary L; Rinaldi, Lorenzo; Millberg, Laurel K; Carey, Jacob; Chesnick, Bryan; Cristiano, Stephen; Portwood, Carter; Wu, Tony; Peters, Erica; Bolhuis, Karen; Punt, Cornelis J A; Tom, Jennifer"&amp;"; Bach, Peter B; Dracopoli, Nicholas C; Meijer, Gerrit A; Scharpf, Robert B; Velculescu, Victor E; Fijneman, Remond J A; Leal, Alessandro")</f>
        <v>van 't Erve, Iris; Alipanahi, Bahar; Lumbard, Keith; Skidmore, Zachary L; Rinaldi, Lorenzo; Millberg, Laurel K; Carey, Jacob; Chesnick, Bryan; Cristiano, Stephen; Portwood, Carter; Wu, Tony; Peters, Erica; Bolhuis, Karen; Punt, Cornelis J A; Tom, Jennifer; Bach, Peter B; Dracopoli, Nicholas C; Meijer, Gerrit A; Scharpf, Robert B; Velculescu, Victor E; Fijneman, Remond J A; Leal, Alessandro</v>
      </c>
      <c r="Z920" s="31">
        <f>IFERROR(__xludf.DUMMYFUNCTION("""COMPUTED_VALUE"""),2024.0)</f>
        <v>2024</v>
      </c>
      <c r="AA920" s="31">
        <f>IFERROR(__xludf.DUMMYFUNCTION("""COMPUTED_VALUE"""),0.0)</f>
        <v>0</v>
      </c>
      <c r="AF920" s="31" t="str">
        <f>IFERROR(__xludf.DUMMYFUNCTION("""COMPUTED_VALUE"""),"Excess early postnatal weight gain leads to thicker and stiffer arteries in young children.")</f>
        <v>Excess early postnatal weight gain leads to thicker and stiffer arteries in young children.</v>
      </c>
      <c r="AG920" s="31" t="str">
        <f>IFERROR(__xludf.DUMMYFUNCTION("""COMPUTED_VALUE"""),"Evelein, Annemieke M V; Visseren, Frank L J; van der Ent, Cornelis K; Grobbee, Diederick E; Uiterwaal, Cuno S P M")</f>
        <v>Evelein, Annemieke M V; Visseren, Frank L J; van der Ent, Cornelis K; Grobbee, Diederick E; Uiterwaal, Cuno S P M</v>
      </c>
      <c r="AH920" s="32">
        <f>IFERROR(__xludf.DUMMYFUNCTION("""COMPUTED_VALUE"""),41276.0)</f>
        <v>41276</v>
      </c>
      <c r="AL920" s="31" t="str">
        <f>IFERROR(__xludf.DUMMYFUNCTION("""COMPUTED_VALUE"""),"Prognosis and prognostic research: application and impact of prognostic models in clinical practice.")</f>
        <v>Prognosis and prognostic research: application and impact of prognostic models in clinical practice.</v>
      </c>
      <c r="AM920" s="31" t="str">
        <f>IFERROR(__xludf.DUMMYFUNCTION("""COMPUTED_VALUE"""),"Moons, Karel G M; Altman, Douglas G; Vergouwe, Yvonne; Royston, Patrick")</f>
        <v>Moons, Karel G M; Altman, Douglas G; Vergouwe, Yvonne; Royston, Patrick</v>
      </c>
      <c r="AN920" s="32">
        <f>IFERROR(__xludf.DUMMYFUNCTION("""COMPUTED_VALUE"""),39968.0)</f>
        <v>39968</v>
      </c>
    </row>
    <row r="921">
      <c r="A921" s="32"/>
      <c r="I921" s="31" t="str">
        <f>IFERROR(__xludf.DUMMYFUNCTION("""COMPUTED_VALUE"""),"the lancet global health")</f>
        <v>the lancet global health</v>
      </c>
      <c r="J921" s="38">
        <f>COUNTIF(Data!$F$2:$F9917, $I921)</f>
        <v>1</v>
      </c>
      <c r="T921" s="31" t="s">
        <v>2752</v>
      </c>
      <c r="U921" s="31" t="s">
        <v>2753</v>
      </c>
      <c r="V921" s="32">
        <v>45044.0</v>
      </c>
      <c r="X921" s="31" t="str">
        <f>IFERROR(__xludf.DUMMYFUNCTION("""COMPUTED_VALUE"""),"High Prevalence of Chromosomal Rearrangements and LINE Retrotranspositions Detected in Formalin-Fixed, Paraffin-Embedded Colorectal Cancer Tissue.")</f>
        <v>High Prevalence of Chromosomal Rearrangements and LINE Retrotranspositions Detected in Formalin-Fixed, Paraffin-Embedded Colorectal Cancer Tissue.</v>
      </c>
      <c r="Y921" s="31" t="str">
        <f>IFERROR(__xludf.DUMMYFUNCTION("""COMPUTED_VALUE"""),"Rubio-Alarcón, Carmen; Stelloo, Ellen; Vessies, Daan C L; van 't Erve, Iris; Mekkes, Nienke J; Swennenhuis, Joost; Lakbir, Soufyan; van Bree, Elisabeth J; Tijssen, Marianne; Delis-van Diemen, Pien; Lanfermeijer, Mirthe; Linders, Theodora; van den Broek, D"&amp;"aan; Punt, Cornelis J A; Heringa, Jaap; Meijer, Gerrit A; Abeln, Sanne; Feitsma, Harma; Fijneman, Remond J A")</f>
        <v>Rubio-Alarcón, Carmen; Stelloo, Ellen; Vessies, Daan C L; van 't Erve, Iris; Mekkes, Nienke J; Swennenhuis, Joost; Lakbir, Soufyan; van Bree, Elisabeth J; Tijssen, Marianne; Delis-van Diemen, Pien; Lanfermeijer, Mirthe; Linders, Theodora; van den Broek, Daan; Punt, Cornelis J A; Heringa, Jaap; Meijer, Gerrit A; Abeln, Sanne; Feitsma, Harma; Fijneman, Remond J A</v>
      </c>
      <c r="Z921" s="31">
        <f>IFERROR(__xludf.DUMMYFUNCTION("""COMPUTED_VALUE"""),2024.0)</f>
        <v>2024</v>
      </c>
      <c r="AA921" s="31">
        <f>IFERROR(__xludf.DUMMYFUNCTION("""COMPUTED_VALUE"""),0.0)</f>
        <v>0</v>
      </c>
      <c r="AF921" s="31" t="str">
        <f>IFERROR(__xludf.DUMMYFUNCTION("""COMPUTED_VALUE"""),"A thick opt-out is often sufficient.")</f>
        <v>A thick opt-out is often sufficient.</v>
      </c>
      <c r="AG921" s="31" t="str">
        <f>IFERROR(__xludf.DUMMYFUNCTION("""COMPUTED_VALUE"""),"Giesbertz, Noor A A; Bredenoord, Annelien L; van Delden, Johannes J M")</f>
        <v>Giesbertz, Noor A A; Bredenoord, Annelien L; van Delden, Johannes J M</v>
      </c>
      <c r="AH921" s="32">
        <f>IFERROR(__xludf.DUMMYFUNCTION("""COMPUTED_VALUE"""),41275.0)</f>
        <v>41275</v>
      </c>
      <c r="AL921" s="31" t="str">
        <f>IFERROR(__xludf.DUMMYFUNCTION("""COMPUTED_VALUE"""),"Risk indicators for development of headache during dipyridamole treatment after cerebral ischaemia of arterial origin.")</f>
        <v>Risk indicators for development of headache during dipyridamole treatment after cerebral ischaemia of arterial origin.</v>
      </c>
      <c r="AM921" s="31" t="str">
        <f>IFERROR(__xludf.DUMMYFUNCTION("""COMPUTED_VALUE"""),"Halkes, P H A; van Gijn, J; Kappelle, L J; Koudstaal, P J; Algra, A; ,")</f>
        <v>Halkes, P H A; van Gijn, J; Kappelle, L J; Koudstaal, P J; Algra, A; ,</v>
      </c>
      <c r="AN921" s="32">
        <f>IFERROR(__xludf.DUMMYFUNCTION("""COMPUTED_VALUE"""),39904.0)</f>
        <v>39904</v>
      </c>
    </row>
    <row r="922">
      <c r="A922" s="32"/>
      <c r="I922" s="31" t="str">
        <f>IFERROR(__xludf.DUMMYFUNCTION("""COMPUTED_VALUE"""),"british journal of health psychology")</f>
        <v>british journal of health psychology</v>
      </c>
      <c r="J922" s="38">
        <f>COUNTIF(Data!$F$2:$F9917, $I922)</f>
        <v>1</v>
      </c>
      <c r="T922" s="31" t="s">
        <v>2756</v>
      </c>
      <c r="U922" s="31" t="s">
        <v>2757</v>
      </c>
      <c r="V922" s="32">
        <v>45043.0</v>
      </c>
      <c r="X922" s="31" t="str">
        <f>IFERROR(__xludf.DUMMYFUNCTION("""COMPUTED_VALUE"""),"A unified framework for diagnostic test development and evaluation during outbreaks of emerging infections.")</f>
        <v>A unified framework for diagnostic test development and evaluation during outbreaks of emerging infections.</v>
      </c>
      <c r="Y922" s="31" t="str">
        <f>IFERROR(__xludf.DUMMYFUNCTION("""COMPUTED_VALUE"""),"Chaturvedi, Madhav; Köster, Denise; Bossuyt, Patrick M; Gerke, Oke; Jurke, Annette; Kretzschmar, Mirjam E; Lütgehetmann, Marc; Mikolajczyk, Rafael; Reitsma, Johannes B; Schneiderhan-Marra, Nicole; Siebert, Uwe; Stekly, Carina; Ehret, Christoph; Rübsamen, "&amp;"Nicole; Karch, André; Zapf, Antonia")</f>
        <v>Chaturvedi, Madhav; Köster, Denise; Bossuyt, Patrick M; Gerke, Oke; Jurke, Annette; Kretzschmar, Mirjam E; Lütgehetmann, Marc; Mikolajczyk, Rafael; Reitsma, Johannes B; Schneiderhan-Marra, Nicole; Siebert, Uwe; Stekly, Carina; Ehret, Christoph; Rübsamen, Nicole; Karch, André; Zapf, Antonia</v>
      </c>
      <c r="Z922" s="31">
        <f>IFERROR(__xludf.DUMMYFUNCTION("""COMPUTED_VALUE"""),2024.0)</f>
        <v>2024</v>
      </c>
      <c r="AA922" s="31">
        <f>IFERROR(__xludf.DUMMYFUNCTION("""COMPUTED_VALUE"""),0.0)</f>
        <v>0</v>
      </c>
      <c r="AF922" s="31" t="str">
        <f>IFERROR(__xludf.DUMMYFUNCTION("""COMPUTED_VALUE"""),"Regenerative medicine interventions for orthopedic disorders: ethical issues in the translation into patients.")</f>
        <v>Regenerative medicine interventions for orthopedic disorders: ethical issues in the translation into patients.</v>
      </c>
      <c r="AG922" s="31" t="str">
        <f>IFERROR(__xludf.DUMMYFUNCTION("""COMPUTED_VALUE"""),"Niemansburg, Sophie L; van Delden, Johannes Jm; Dhert, Wouter Ja; Bredenoord, Annelien L")</f>
        <v>Niemansburg, Sophie L; van Delden, Johannes Jm; Dhert, Wouter Ja; Bredenoord, Annelien L</v>
      </c>
      <c r="AH922" s="32">
        <f>IFERROR(__xludf.DUMMYFUNCTION("""COMPUTED_VALUE"""),41275.0)</f>
        <v>41275</v>
      </c>
      <c r="AL922" s="31" t="str">
        <f>IFERROR(__xludf.DUMMYFUNCTION("""COMPUTED_VALUE"""),"Cost-effectiveness of preventive treatment of intracranial aneurysms: new data and uncertainties.")</f>
        <v>Cost-effectiveness of preventive treatment of intracranial aneurysms: new data and uncertainties.</v>
      </c>
      <c r="AM922" s="31" t="str">
        <f>IFERROR(__xludf.DUMMYFUNCTION("""COMPUTED_VALUE"""),"Greving, Jacoba P; Rinkel, Gabriël J E; Buskens, Erik; Algra, Ale")</f>
        <v>Greving, Jacoba P; Rinkel, Gabriël J E; Buskens, Erik; Algra, Ale</v>
      </c>
      <c r="AN922" s="32">
        <f>IFERROR(__xludf.DUMMYFUNCTION("""COMPUTED_VALUE"""),39890.0)</f>
        <v>39890</v>
      </c>
    </row>
    <row r="923">
      <c r="A923" s="32"/>
      <c r="I923" s="31" t="str">
        <f>IFERROR(__xludf.DUMMYFUNCTION("""COMPUTED_VALUE"""),"journal of lipid research")</f>
        <v>journal of lipid research</v>
      </c>
      <c r="J923" s="38">
        <f>COUNTIF(Data!$F$2:$F9917, $I923)</f>
        <v>1</v>
      </c>
      <c r="T923" s="31" t="s">
        <v>2760</v>
      </c>
      <c r="U923" s="31" t="s">
        <v>2761</v>
      </c>
      <c r="V923" s="32">
        <v>45043.0</v>
      </c>
      <c r="X923" s="31" t="str">
        <f>IFERROR(__xludf.DUMMYFUNCTION("""COMPUTED_VALUE"""),"The effectiveness of Function Focused Care among patients acutely admitted to hospital: A stepped wedge cluster trial.")</f>
        <v>The effectiveness of Function Focused Care among patients acutely admitted to hospital: A stepped wedge cluster trial.</v>
      </c>
      <c r="Y923" s="31" t="str">
        <f>IFERROR(__xludf.DUMMYFUNCTION("""COMPUTED_VALUE"""),"Kok, Selma; Schoonhoven, Lisette; Vernooij, Lisette M; Reitsma, Johannes B; Verstraten, Carolien; Metzelthin, Silke F; Bleijenberg, Nienke; de Man-van Ginkel, Janneke M")</f>
        <v>Kok, Selma; Schoonhoven, Lisette; Vernooij, Lisette M; Reitsma, Johannes B; Verstraten, Carolien; Metzelthin, Silke F; Bleijenberg, Nienke; de Man-van Ginkel, Janneke M</v>
      </c>
      <c r="Z923" s="31">
        <f>IFERROR(__xludf.DUMMYFUNCTION("""COMPUTED_VALUE"""),2024.0)</f>
        <v>2024</v>
      </c>
      <c r="AA923" s="31">
        <f>IFERROR(__xludf.DUMMYFUNCTION("""COMPUTED_VALUE"""),0.0)</f>
        <v>0</v>
      </c>
      <c r="AF923" s="31" t="str">
        <f>IFERROR(__xludf.DUMMYFUNCTION("""COMPUTED_VALUE"""),"Plasma uric acid is associated with increased risk of type 2 diabetes independent of diet and metabolic risk factors.")</f>
        <v>Plasma uric acid is associated with increased risk of type 2 diabetes independent of diet and metabolic risk factors.</v>
      </c>
      <c r="AG923" s="31" t="str">
        <f>IFERROR(__xludf.DUMMYFUNCTION("""COMPUTED_VALUE"""),"Sluijs, Ivonne; Beulens, Joline W J; van der A, Daphne L; Spijkerman, Annemieke M W; Schulze, Matthias B; van der Schouw, Yvonne T")</f>
        <v>Sluijs, Ivonne; Beulens, Joline W J; van der A, Daphne L; Spijkerman, Annemieke M W; Schulze, Matthias B; van der Schouw, Yvonne T</v>
      </c>
      <c r="AH923" s="32">
        <f>IFERROR(__xludf.DUMMYFUNCTION("""COMPUTED_VALUE"""),41234.0)</f>
        <v>41234</v>
      </c>
      <c r="AL923" s="31" t="str">
        <f>IFERROR(__xludf.DUMMYFUNCTION("""COMPUTED_VALUE"""),"When one depends on the other: reporting of interaction in case-control and cohort studies.")</f>
        <v>When one depends on the other: reporting of interaction in case-control and cohort studies.</v>
      </c>
      <c r="AM923" s="31" t="str">
        <f>IFERROR(__xludf.DUMMYFUNCTION("""COMPUTED_VALUE"""),"Knol, Mirjam J; Egger, Matthias; Scott, Pippa; Geerlings, Mirjam I; Vandenbroucke, Jan P")</f>
        <v>Knol, Mirjam J; Egger, Matthias; Scott, Pippa; Geerlings, Mirjam I; Vandenbroucke, Jan P</v>
      </c>
      <c r="AN923" s="32">
        <f>IFERROR(__xludf.DUMMYFUNCTION("""COMPUTED_VALUE"""),39873.0)</f>
        <v>39873</v>
      </c>
    </row>
    <row r="924">
      <c r="A924" s="32"/>
      <c r="I924" s="31" t="str">
        <f>IFERROR(__xludf.DUMMYFUNCTION("""COMPUTED_VALUE"""),"journal of clinical hypertension greenwich conn")</f>
        <v>journal of clinical hypertension greenwich conn</v>
      </c>
      <c r="J924" s="38">
        <f>COUNTIF(Data!$F$2:$F9917, $I924)</f>
        <v>2</v>
      </c>
      <c r="T924" s="31" t="s">
        <v>2764</v>
      </c>
      <c r="U924" s="31" t="s">
        <v>2765</v>
      </c>
      <c r="V924" s="32">
        <v>45043.0</v>
      </c>
      <c r="X924" s="31" t="str">
        <f>IFERROR(__xludf.DUMMYFUNCTION("""COMPUTED_VALUE"""),"Clinical Validation of Multiparametric Ultrasound for Detecting Clinically Significant Prostate Cancer Using Computer-Aided Diagnosis: A Direct Comparison with the Magnetic Resonance Imaging Pathway.")</f>
        <v>Clinical Validation of Multiparametric Ultrasound for Detecting Clinically Significant Prostate Cancer Using Computer-Aided Diagnosis: A Direct Comparison with the Magnetic Resonance Imaging Pathway.</v>
      </c>
      <c r="Y924" s="31" t="str">
        <f>IFERROR(__xludf.DUMMYFUNCTION("""COMPUTED_VALUE"""),"van den Kroonenberg, Daniel L; Jager, Auke; Garrido-Utrilla, Anna; Reitsma, Johannes B; Postema, Arnoud W; Beerlage, Harrie P; Oddens, Jorg R")</f>
        <v>van den Kroonenberg, Daniel L; Jager, Auke; Garrido-Utrilla, Anna; Reitsma, Johannes B; Postema, Arnoud W; Beerlage, Harrie P; Oddens, Jorg R</v>
      </c>
      <c r="Z924" s="31">
        <f>IFERROR(__xludf.DUMMYFUNCTION("""COMPUTED_VALUE"""),2024.0)</f>
        <v>2024</v>
      </c>
      <c r="AA924" s="31">
        <f>IFERROR(__xludf.DUMMYFUNCTION("""COMPUTED_VALUE"""),0.0)</f>
        <v>0</v>
      </c>
      <c r="AF924" s="31" t="str">
        <f>IFERROR(__xludf.DUMMYFUNCTION("""COMPUTED_VALUE"""),"Biomarkers. Screening for C-reactive protein in CVD prediction.")</f>
        <v>Biomarkers. Screening for C-reactive protein in CVD prediction.</v>
      </c>
      <c r="AG924" s="31" t="str">
        <f>IFERROR(__xludf.DUMMYFUNCTION("""COMPUTED_VALUE"""),"Peters, Sanne A E; Visseren, Frank L J; Grobbee, Diederick E")</f>
        <v>Peters, Sanne A E; Visseren, Frank L J; Grobbee, Diederick E</v>
      </c>
      <c r="AH924" s="32">
        <f>IFERROR(__xludf.DUMMYFUNCTION("""COMPUTED_VALUE"""),41233.0)</f>
        <v>41233</v>
      </c>
      <c r="AL924" s="31" t="str">
        <f>IFERROR(__xludf.DUMMYFUNCTION("""COMPUTED_VALUE"""),"[Medical microbiology laboratories in Dutch hospitals: essential for safe patient care].")</f>
        <v>[Medical microbiology laboratories in Dutch hospitals: essential for safe patient care].</v>
      </c>
      <c r="AM924" s="31" t="str">
        <f>IFERROR(__xludf.DUMMYFUNCTION("""COMPUTED_VALUE"""),"Bonten, M J M")</f>
        <v>Bonten, M J M</v>
      </c>
      <c r="AN924" s="32">
        <f>IFERROR(__xludf.DUMMYFUNCTION("""COMPUTED_VALUE"""),39788.0)</f>
        <v>39788</v>
      </c>
    </row>
    <row r="925">
      <c r="A925" s="32"/>
      <c r="I925" s="31" t="str">
        <f>IFERROR(__xludf.DUMMYFUNCTION("""COMPUTED_VALUE"""),"plant disease")</f>
        <v>plant disease</v>
      </c>
      <c r="J925" s="38">
        <f>COUNTIF(Data!$F$2:$F9917, $I925)</f>
        <v>1</v>
      </c>
      <c r="T925" s="31" t="s">
        <v>2768</v>
      </c>
      <c r="U925" s="31" t="s">
        <v>2769</v>
      </c>
      <c r="V925" s="32">
        <v>45043.0</v>
      </c>
      <c r="X925" s="31" t="str">
        <f>IFERROR(__xludf.DUMMYFUNCTION("""COMPUTED_VALUE"""),"Acute Respiratory Infections Fuel Cardiovascular Disease.")</f>
        <v>Acute Respiratory Infections Fuel Cardiovascular Disease.</v>
      </c>
      <c r="Y925" s="31" t="str">
        <f>IFERROR(__xludf.DUMMYFUNCTION("""COMPUTED_VALUE"""),"van Royen, Florien S; Venekamp, Roderick P; Bruijning-Verhagen, Patricia C J L; Rutten, Frans H")</f>
        <v>van Royen, Florien S; Venekamp, Roderick P; Bruijning-Verhagen, Patricia C J L; Rutten, Frans H</v>
      </c>
      <c r="Z925" s="31">
        <f>IFERROR(__xludf.DUMMYFUNCTION("""COMPUTED_VALUE"""),2024.0)</f>
        <v>2024</v>
      </c>
      <c r="AA925" s="31">
        <f>IFERROR(__xludf.DUMMYFUNCTION("""COMPUTED_VALUE"""),0.0)</f>
        <v>0</v>
      </c>
      <c r="AF925" s="31" t="str">
        <f>IFERROR(__xludf.DUMMYFUNCTION("""COMPUTED_VALUE"""),"Increasing trial efficiency by early reallocation of placebo nonresponders in sequential parallel comparison designs: application to antidepressant trials.")</f>
        <v>Increasing trial efficiency by early reallocation of placebo nonresponders in sequential parallel comparison designs: application to antidepressant trials.</v>
      </c>
      <c r="AG925" s="31" t="str">
        <f>IFERROR(__xludf.DUMMYFUNCTION("""COMPUTED_VALUE"""),"Boessen, Ruud; Knol, Mirjam J; Groenwold, Rolf H H; Grobbee, Diederick E; Roes, Kit C B")</f>
        <v>Boessen, Ruud; Knol, Mirjam J; Groenwold, Rolf H H; Grobbee, Diederick E; Roes, Kit C B</v>
      </c>
      <c r="AH925" s="32">
        <f>IFERROR(__xludf.DUMMYFUNCTION("""COMPUTED_VALUE"""),41183.0)</f>
        <v>41183</v>
      </c>
      <c r="AL925" s="31" t="str">
        <f>IFERROR(__xludf.DUMMYFUNCTION("""COMPUTED_VALUE"""),"Validation, updating and impact of clinical prediction rules: a review.")</f>
        <v>Validation, updating and impact of clinical prediction rules: a review.</v>
      </c>
      <c r="AM925" s="31" t="str">
        <f>IFERROR(__xludf.DUMMYFUNCTION("""COMPUTED_VALUE"""),"Toll, D B; Janssen, K J M; Vergouwe, Y; Moons, K G M")</f>
        <v>Toll, D B; Janssen, K J M; Vergouwe, Y; Moons, K G M</v>
      </c>
      <c r="AN925" s="32">
        <f>IFERROR(__xludf.DUMMYFUNCTION("""COMPUTED_VALUE"""),39753.0)</f>
        <v>39753</v>
      </c>
    </row>
    <row r="926">
      <c r="A926" s="32"/>
      <c r="I926" s="31" t="str">
        <f>IFERROR(__xludf.DUMMYFUNCTION("""COMPUTED_VALUE"""),"journal of clinical and translational research")</f>
        <v>journal of clinical and translational research</v>
      </c>
      <c r="J926" s="38">
        <f>COUNTIF(Data!$F$2:$F9917, $I926)</f>
        <v>1</v>
      </c>
      <c r="T926" s="31" t="s">
        <v>2772</v>
      </c>
      <c r="U926" s="31" t="s">
        <v>2773</v>
      </c>
      <c r="V926" s="32">
        <v>45043.0</v>
      </c>
      <c r="X926" s="31" t="str">
        <f>IFERROR(__xludf.DUMMYFUNCTION("""COMPUTED_VALUE"""),"A deprescribing programme aimed to optimise blood glucose-lowering medication in older people with type 2 diabetes mellitus, the OMED2-study: the study protocol for a randomised controlled trial.")</f>
        <v>A deprescribing programme aimed to optimise blood glucose-lowering medication in older people with type 2 diabetes mellitus, the OMED2-study: the study protocol for a randomised controlled trial.</v>
      </c>
      <c r="Y926" s="31" t="str">
        <f>IFERROR(__xludf.DUMMYFUNCTION("""COMPUTED_VALUE"""),"Andriessen, Charlotte; Blom, Marieke T; van Hoek, Beryl A C E; de Boer, Anna W; Denig, Petra; de Wit, G Ardine; Swart, Karin; de Rooij-Peek, Angela; van Marum, Rob J; Hugtenburg, Jacqueline G; Slottje, Pauline; van Raalte, Daniël; van Bloemendaal, Liselot"&amp;"te; Herings, Ron; Nijpels, Giel; Vos, Rimke C; Elders, Petra J M")</f>
        <v>Andriessen, Charlotte; Blom, Marieke T; van Hoek, Beryl A C E; de Boer, Anna W; Denig, Petra; de Wit, G Ardine; Swart, Karin; de Rooij-Peek, Angela; van Marum, Rob J; Hugtenburg, Jacqueline G; Slottje, Pauline; van Raalte, Daniël; van Bloemendaal, Liselotte; Herings, Ron; Nijpels, Giel; Vos, Rimke C; Elders, Petra J M</v>
      </c>
      <c r="Z926" s="31">
        <f>IFERROR(__xludf.DUMMYFUNCTION("""COMPUTED_VALUE"""),2024.0)</f>
        <v>2024</v>
      </c>
      <c r="AA926" s="31">
        <f>IFERROR(__xludf.DUMMYFUNCTION("""COMPUTED_VALUE"""),0.0)</f>
        <v>0</v>
      </c>
      <c r="AF926" s="31" t="str">
        <f>IFERROR(__xludf.DUMMYFUNCTION("""COMPUTED_VALUE"""),"Comparing HAMD(17) and HAMD subscales on their ability to differentiate active treatment from placebo in randomized controlled trials.")</f>
        <v>Comparing HAMD(17) and HAMD subscales on their ability to differentiate active treatment from placebo in randomized controlled trials.</v>
      </c>
      <c r="AG926" s="31" t="str">
        <f>IFERROR(__xludf.DUMMYFUNCTION("""COMPUTED_VALUE"""),"Boessen, Ruud; Groenwold, Rolf H H; Knol, Mirjam J; Grobbee, Diederick E; Roes, Kit C B")</f>
        <v>Boessen, Ruud; Groenwold, Rolf H H; Knol, Mirjam J; Grobbee, Diederick E; Roes, Kit C B</v>
      </c>
      <c r="AH926" s="32">
        <f>IFERROR(__xludf.DUMMYFUNCTION("""COMPUTED_VALUE"""),41159.0)</f>
        <v>41159</v>
      </c>
      <c r="AL926" s="31" t="str">
        <f>IFERROR(__xludf.DUMMYFUNCTION("""COMPUTED_VALUE"""),"The effects of influenza vaccination of health care workers in nursing homes: insights from a mathematical model.")</f>
        <v>The effects of influenza vaccination of health care workers in nursing homes: insights from a mathematical model.</v>
      </c>
      <c r="AM926" s="31" t="str">
        <f>IFERROR(__xludf.DUMMYFUNCTION("""COMPUTED_VALUE"""),"van den Dool, Carline; Bonten, Marc J M; Hak, Eelko; Heijne, Janneke C M; Wallinga, Jacco")</f>
        <v>van den Dool, Carline; Bonten, Marc J M; Hak, Eelko; Heijne, Janneke C M; Wallinga, Jacco</v>
      </c>
      <c r="AN926" s="32">
        <f>IFERROR(__xludf.DUMMYFUNCTION("""COMPUTED_VALUE"""),39749.0)</f>
        <v>39749</v>
      </c>
    </row>
    <row r="927">
      <c r="A927" s="32"/>
      <c r="I927" s="31" t="str">
        <f>IFERROR(__xludf.DUMMYFUNCTION("""COMPUTED_VALUE"""),"cell stem cell")</f>
        <v>cell stem cell</v>
      </c>
      <c r="J927" s="38">
        <f>COUNTIF(Data!$F$2:$F9917, $I927)</f>
        <v>2</v>
      </c>
      <c r="T927" s="31" t="s">
        <v>2777</v>
      </c>
      <c r="U927" s="31" t="s">
        <v>2778</v>
      </c>
      <c r="V927" s="32">
        <v>45042.0</v>
      </c>
      <c r="X927" s="31" t="str">
        <f>IFERROR(__xludf.DUMMYFUNCTION("""COMPUTED_VALUE"""),"Added value of inflammatory markers to vital signs for predicting mortality in patients with suspected infection: external validation and model development.")</f>
        <v>Added value of inflammatory markers to vital signs for predicting mortality in patients with suspected infection: external validation and model development.</v>
      </c>
      <c r="Y927" s="31" t="str">
        <f>IFERROR(__xludf.DUMMYFUNCTION("""COMPUTED_VALUE"""),"Takada, Toshihiko; Hoogland, Jeroen; Fujii, Kotaro; Kudo, Masataka; Sasaki, Sho; Yano, Tetsuhiro; Yagi, Yu; Fujiishi, Ryuto; Moons, Karel G M; Fukuhara, Shunichi")</f>
        <v>Takada, Toshihiko; Hoogland, Jeroen; Fujii, Kotaro; Kudo, Masataka; Sasaki, Sho; Yano, Tetsuhiro; Yagi, Yu; Fujiishi, Ryuto; Moons, Karel G M; Fukuhara, Shunichi</v>
      </c>
      <c r="Z927" s="31">
        <f>IFERROR(__xludf.DUMMYFUNCTION("""COMPUTED_VALUE"""),2024.0)</f>
        <v>2024</v>
      </c>
      <c r="AA927" s="31">
        <f>IFERROR(__xludf.DUMMYFUNCTION("""COMPUTED_VALUE"""),0.0)</f>
        <v>0</v>
      </c>
      <c r="AF927" s="31" t="str">
        <f>IFERROR(__xludf.DUMMYFUNCTION("""COMPUTED_VALUE"""),"Inclusion of residual tissue in biobanks: opt-in or opt-out?")</f>
        <v>Inclusion of residual tissue in biobanks: opt-in or opt-out?</v>
      </c>
      <c r="AG927" s="31" t="str">
        <f>IFERROR(__xludf.DUMMYFUNCTION("""COMPUTED_VALUE"""),"Giesbertz, Noor A A; Bredenoord, Annelien L; van Delden, Johannes J M")</f>
        <v>Giesbertz, Noor A A; Bredenoord, Annelien L; van Delden, Johannes J M</v>
      </c>
      <c r="AH927" s="32">
        <f>IFERROR(__xludf.DUMMYFUNCTION("""COMPUTED_VALUE"""),41128.0)</f>
        <v>41128</v>
      </c>
      <c r="AL927" s="31" t="str">
        <f>IFERROR(__xludf.DUMMYFUNCTION("""COMPUTED_VALUE"""),"Expression of two distinct types of pili by a hospital-acquired Enterococcus faecium isolate.")</f>
        <v>Expression of two distinct types of pili by a hospital-acquired Enterococcus faecium isolate.</v>
      </c>
      <c r="AM927" s="31" t="str">
        <f>IFERROR(__xludf.DUMMYFUNCTION("""COMPUTED_VALUE"""),"Hendrickx, Antoni P A; Bonten, Marc J M; van Luit-Asbroek, Miranda; Schapendonk, Claudia M E; Kragten, Angela H M; Willems, Rob J L")</f>
        <v>Hendrickx, Antoni P A; Bonten, Marc J M; van Luit-Asbroek, Miranda; Schapendonk, Claudia M E; Kragten, Angela H M; Willems, Rob J L</v>
      </c>
      <c r="AN927" s="32">
        <f>IFERROR(__xludf.DUMMYFUNCTION("""COMPUTED_VALUE"""),39722.0)</f>
        <v>39722</v>
      </c>
    </row>
    <row r="928">
      <c r="A928" s="32"/>
      <c r="I928" s="31" t="str">
        <f>IFERROR(__xludf.DUMMYFUNCTION("""COMPUTED_VALUE"""),"fundamental clinical pharmacology")</f>
        <v>fundamental clinical pharmacology</v>
      </c>
      <c r="J928" s="38">
        <f>COUNTIF(Data!$F$2:$F9917, $I928)</f>
        <v>1</v>
      </c>
      <c r="T928" s="31" t="s">
        <v>2781</v>
      </c>
      <c r="U928" s="31" t="s">
        <v>2782</v>
      </c>
      <c r="V928" s="32">
        <v>45041.0</v>
      </c>
      <c r="X928" s="31" t="str">
        <f>IFERROR(__xludf.DUMMYFUNCTION("""COMPUTED_VALUE"""),"An ethics assessment tool for artificial intelligence implementation in healthcare: CARE-AI.")</f>
        <v>An ethics assessment tool for artificial intelligence implementation in healthcare: CARE-AI.</v>
      </c>
      <c r="Y928" s="31" t="str">
        <f>IFERROR(__xludf.DUMMYFUNCTION("""COMPUTED_VALUE"""),"Ning, Yilin; Liu, Xiaoxuan; Collins, Gary S; Moons, Karel G M; McCradden, Melissa; Ting, Daniel Shu Wei; Ong, Jasmine Chiat Ling; Goldstein, Benjamin Alan; Wagner, Siegfried K; Keane, Pearse A; Topol, Eric J; Liu, Nan")</f>
        <v>Ning, Yilin; Liu, Xiaoxuan; Collins, Gary S; Moons, Karel G M; McCradden, Melissa; Ting, Daniel Shu Wei; Ong, Jasmine Chiat Ling; Goldstein, Benjamin Alan; Wagner, Siegfried K; Keane, Pearse A; Topol, Eric J; Liu, Nan</v>
      </c>
      <c r="Z928" s="31">
        <f>IFERROR(__xludf.DUMMYFUNCTION("""COMPUTED_VALUE"""),2024.0)</f>
        <v>2024</v>
      </c>
      <c r="AA928" s="31">
        <f>IFERROR(__xludf.DUMMYFUNCTION("""COMPUTED_VALUE"""),0.0)</f>
        <v>0</v>
      </c>
      <c r="AF928" s="31" t="str">
        <f>IFERROR(__xludf.DUMMYFUNCTION("""COMPUTED_VALUE"""),"A search for [Formula: see text] resonances with the ATLAS detector in 2.05 fb&lt;sup&gt;-1&lt;/sup&gt; of proton-proton collisions at [Formula: see text].")</f>
        <v>A search for [Formula: see text] resonances with the ATLAS detector in 2.05 fb&lt;sup&gt;-1&lt;/sup&gt; of proton-proton collisions at [Formula: see text].</v>
      </c>
      <c r="AG928" s="31" t="str">
        <f>IFERROR(__xludf.DUMMYFUNCTION("""COMPUTED_VALUE"""),",; Aad, G; Abbott, B; Abdallah, J; Abdel Khalek, S; Abdelalim, A A; Abdinov, O; Abi, B; Abolins, M; AbouZeid, O S; Abramowicz, H; Abreu, H; Acerbi, E; Acharya, B S; Adamczyk, L; Adams, D L; Addy, T N; Adelman, J; Adomeit, S; Adragna, P; Adye, T; Aefsky, S"&amp;"; Aguilar-Saavedra, J A; Agustoni, M; Aharrouche, M; Ahlen, S P; Ahles, F; Ahmad, A; Ahsan, M; Aielli, G; Akdogan, T; Åkesson, T P A; Akimoto, G; Akimov, A V; Alam, M S; Alam, M A; Albert, J; Albrand, S; Aleksa, M; Aleksandrov, I N; Alessandria, F; Alexa,"&amp;" C; Alexander, G; Alexandre, G; Alexopoulos, T; Alhroob, M; Aliev, M; Alimonti, G; Alison, J; Allbrooke, B M M; Allport, P P; Allwood-Spiers, S E; Almond, J; Aloisio, A; Alon, R; Alonso, A; Alvarez Gonzalez, B; Alviggi, M G; Amako, K; Amelung, C; Ammosov,"&amp;" V V; Amorim, A; Amram, N; Anastopoulos, C; Ancu, L S; Andari, N; Andeen, T; Anders, C F; Anders, G; Anderson, K J; Andreazza, A; Andrei, V; Anduaga, X S; Anger, P; Angerami, A; Anghinolfi, F; Anisenkov, A; Anjos, N; Annovi, A; Antonak")</f>
        <v>,; Aad, G; Abbott, B; Abdallah, J; Abdel Khalek, S; Abdelalim, A A; Abdinov, O;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Alvarez Gonzalez, B; Alviggi, M G; Amako, K; Amelung, C; Ammosov, V V; Amorim, A; Amram, N; Anastopoulos, C; Ancu, L S; Andari, N; Andeen, T; Anders, C F; Anders, G; Anderson, K J; Andreazza, A; Andrei, V; Anduaga, X S; Anger, P; Angerami, A; Anghinolfi, F; Anisenkov, A; Anjos, N; Annovi, A; Antonak</v>
      </c>
      <c r="AH928" s="32">
        <f>IFERROR(__xludf.DUMMYFUNCTION("""COMPUTED_VALUE"""),41116.0)</f>
        <v>41116</v>
      </c>
      <c r="AL928" s="31" t="str">
        <f>IFERROR(__xludf.DUMMYFUNCTION("""COMPUTED_VALUE"""),"The effect of group cohesion on rehabilitation outcome in cancer survivors.")</f>
        <v>The effect of group cohesion on rehabilitation outcome in cancer survivors.</v>
      </c>
      <c r="AM928" s="31" t="str">
        <f>IFERROR(__xludf.DUMMYFUNCTION("""COMPUTED_VALUE"""),"May, Anne M; Duivenvoorden, Hugo J; Korstjens, Irene; van Weert, Ellen; Hoekstra-Weebers, Josette E H M; van den Borne, Bart; Mesters, Ilse; van der Schans, Cees P; Ros, Wynand J G")</f>
        <v>May, Anne M; Duivenvoorden, Hugo J; Korstjens, Irene; van Weert, Ellen; Hoekstra-Weebers, Josette E H M; van den Borne, Bart; Mesters, Ilse; van der Schans, Cees P; Ros, Wynand J G</v>
      </c>
      <c r="AN928" s="32">
        <f>IFERROR(__xludf.DUMMYFUNCTION("""COMPUTED_VALUE"""),39692.0)</f>
        <v>39692</v>
      </c>
    </row>
    <row r="929">
      <c r="A929" s="32"/>
      <c r="I929" s="31" t="str">
        <f>IFERROR(__xludf.DUMMYFUNCTION("""COMPUTED_VALUE"""),"acta neurochirurgica")</f>
        <v>acta neurochirurgica</v>
      </c>
      <c r="J929" s="38">
        <f>COUNTIF(Data!$F$2:$F9917, $I929)</f>
        <v>1</v>
      </c>
      <c r="T929" s="31" t="s">
        <v>2785</v>
      </c>
      <c r="U929" s="31" t="s">
        <v>2786</v>
      </c>
      <c r="V929" s="32">
        <v>45041.0</v>
      </c>
      <c r="X929" s="31" t="str">
        <f>IFERROR(__xludf.DUMMYFUNCTION("""COMPUTED_VALUE"""),"The use of imputation in clinical decision support systems: a cardiovascular risk management pilot vignette study among clinicians.")</f>
        <v>The use of imputation in clinical decision support systems: a cardiovascular risk management pilot vignette study among clinicians.</v>
      </c>
      <c r="Y929" s="31" t="str">
        <f>IFERROR(__xludf.DUMMYFUNCTION("""COMPUTED_VALUE"""),"Haitjema, Saskia; Nijman, Steven W J; Verkouter, Inge; Jacobs, John J L; Asselbergs, Folkert W; Moons, Karel G M; Beekers, Ines; Debray, Thomas P A; Bots, Michiel L")</f>
        <v>Haitjema, Saskia; Nijman, Steven W J; Verkouter, Inge; Jacobs, John J L; Asselbergs, Folkert W; Moons, Karel G M; Beekers, Ines; Debray, Thomas P A; Bots, Michiel L</v>
      </c>
      <c r="Z929" s="31">
        <f>IFERROR(__xludf.DUMMYFUNCTION("""COMPUTED_VALUE"""),2024.0)</f>
        <v>2024</v>
      </c>
      <c r="AA929" s="31">
        <f>IFERROR(__xludf.DUMMYFUNCTION("""COMPUTED_VALUE"""),0.0)</f>
        <v>0</v>
      </c>
      <c r="AF929" s="31" t="str">
        <f>IFERROR(__xludf.DUMMYFUNCTION("""COMPUTED_VALUE"""),"Decision theory and the evaluation of risks and benefits of clinical trials.")</f>
        <v>Decision theory and the evaluation of risks and benefits of clinical trials.</v>
      </c>
      <c r="AG929" s="31" t="str">
        <f>IFERROR(__xludf.DUMMYFUNCTION("""COMPUTED_VALUE"""),"Bernabe, Rosemarie D C; van Thiel, Ghislaine J M W; Raaijmakers, Jan A M; van Delden, Johannes J M")</f>
        <v>Bernabe, Rosemarie D C; van Thiel, Ghislaine J M W; Raaijmakers, Jan A M; van Delden, Johannes J M</v>
      </c>
      <c r="AH929" s="32">
        <f>IFERROR(__xludf.DUMMYFUNCTION("""COMPUTED_VALUE"""),41110.0)</f>
        <v>41110</v>
      </c>
      <c r="AL929" s="31" t="str">
        <f>IFERROR(__xludf.DUMMYFUNCTION("""COMPUTED_VALUE"""),"Growth rates of intracranial aneurysms: exploring constancy.")</f>
        <v>Growth rates of intracranial aneurysms: exploring constancy.</v>
      </c>
      <c r="AM929" s="31" t="str">
        <f>IFERROR(__xludf.DUMMYFUNCTION("""COMPUTED_VALUE"""),"Koffijberg, Hendrik; Buskens, Erik; Algra, Ale; Wermer, Marieke J H; Rinkel, Gabriel J E")</f>
        <v>Koffijberg, Hendrik; Buskens, Erik; Algra, Ale; Wermer, Marieke J H; Rinkel, Gabriel J E</v>
      </c>
      <c r="AN929" s="32">
        <f>IFERROR(__xludf.DUMMYFUNCTION("""COMPUTED_VALUE"""),39661.0)</f>
        <v>39661</v>
      </c>
    </row>
    <row r="930">
      <c r="A930" s="32"/>
      <c r="I930" s="31" t="str">
        <f>IFERROR(__xludf.DUMMYFUNCTION("""COMPUTED_VALUE"""),"journal of acquired immune deficiency syndromes")</f>
        <v>journal of acquired immune deficiency syndromes</v>
      </c>
      <c r="J930" s="38">
        <f>COUNTIF(Data!$F$2:$F9917, $I930)</f>
        <v>4</v>
      </c>
      <c r="T930" s="31" t="s">
        <v>2789</v>
      </c>
      <c r="U930" s="31" t="s">
        <v>2790</v>
      </c>
      <c r="V930" s="32">
        <v>45040.0</v>
      </c>
      <c r="X930" s="31" t="str">
        <f>IFERROR(__xludf.DUMMYFUNCTION("""COMPUTED_VALUE"""),"Prediction of Severe Baseline Asymptomatic Carotid Stenosis and Subsequent Risk of Stroke and Cardiovascular Disease.")</f>
        <v>Prediction of Severe Baseline Asymptomatic Carotid Stenosis and Subsequent Risk of Stroke and Cardiovascular Disease.</v>
      </c>
      <c r="Y930" s="31" t="str">
        <f>IFERROR(__xludf.DUMMYFUNCTION("""COMPUTED_VALUE"""),"Poorthuis, Michiel H F; Hageman, Steven H J; Fiolet, Aernoud T L; Kappelle, L Jaap; Bots, Michiel L; Steg, Ph Gabriel; Visseren, Frank L J; Bhatt, Deepak L; de Borst, Gert J")</f>
        <v>Poorthuis, Michiel H F; Hageman, Steven H J; Fiolet, Aernoud T L; Kappelle, L Jaap; Bots, Michiel L; Steg, Ph Gabriel; Visseren, Frank L J; Bhatt, Deepak L; de Borst, Gert J</v>
      </c>
      <c r="Z930" s="31">
        <f>IFERROR(__xludf.DUMMYFUNCTION("""COMPUTED_VALUE"""),2024.0)</f>
        <v>2024</v>
      </c>
      <c r="AA930" s="31">
        <f>IFERROR(__xludf.DUMMYFUNCTION("""COMPUTED_VALUE"""),0.0)</f>
        <v>0</v>
      </c>
      <c r="AF930" s="31" t="str">
        <f>IFERROR(__xludf.DUMMYFUNCTION("""COMPUTED_VALUE"""),"Measurement of &lt;i&gt;τ&lt;/i&gt; polarization in &lt;i&gt;W&lt;/i&gt;→&lt;i&gt;τν&lt;/i&gt; decays with the ATLAS detector in &lt;i&gt;pp&lt;/i&gt; collisions at [Formula: see text].")</f>
        <v>Measurement of &lt;i&gt;τ&lt;/i&gt; polarization in &lt;i&gt;W&lt;/i&gt;→&lt;i&gt;τν&lt;/i&gt; decays with the ATLAS detector in &lt;i&gt;pp&lt;/i&gt; collisions at [Formula: see text].</v>
      </c>
      <c r="AG930" s="31" t="str">
        <f>IFERROR(__xludf.DUMMYFUNCTION("""COMPUTED_VALUE"""),",; Aad, G; Abbott, B; Abdallah, J; Abdel Khalek, S; Abdelalim, A A; Abdesselam, A; Abdinov, O; Abi, B; Abolins, M; AbouZeid, O S; Abramowicz, H; Abreu, H; Acerbi, E; Acharya, B S; Adamczyk, L; Adams, D L; Addy, T N; Adelman, J; Aderholz, M; Adomeit, S; Ad"&amp;"ragna, P; Adye, T; Aefsky, S; Aguilar-Saavedra, J A; Aharrouche, M; Ahlen, S P; Ahles, F; Ahmad, A; Ahsan, M; Aielli, G; Akdogan, T; Åkesson, T P A; Akimoto, G; Akimov, A V; Akiyama, A; Alam, M S; Alam, M A; Albert, J; Albrand, S; Aleksa, M; Aleksandrov, "&amp;"I N; Alessandria, F; Alexa, C; Alexander, G; Alexandre, G; Alexopoulos, T; Alhroob, M; Aliev, M; Alimonti, G; Alison, J; Aliyev, M; Allbrooke, B M M; Allport, P P; Allwood-Spiers, S E; Almond, J; Aloisio, A; Alon, R; Alonso, A; Alvarez Gonzalez, B; Alvigg"&amp;"i, M G; Amako, K; Amaral, P; Amelung, C; Ammosov, V V; Amorim, A; Amorós, G; Amram, N; Anastopoulos, C; Ancu, L S; Andari, N; Andeen, T; Anders, C F; Anders, G; Anderson, K J; Andreazza, A; Andrei, V; Andrieux, M-L; Anduaga, X S; Anger")</f>
        <v>,;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v>
      </c>
      <c r="AH930" s="32">
        <f>IFERROR(__xludf.DUMMYFUNCTION("""COMPUTED_VALUE"""),41093.0)</f>
        <v>41093</v>
      </c>
      <c r="AL930" s="31" t="str">
        <f>IFERROR(__xludf.DUMMYFUNCTION("""COMPUTED_VALUE"""),"Prognostic value of micrometastases in sentinel lymph nodes of patients with breast carcinoma: a cohort study.")</f>
        <v>Prognostic value of micrometastases in sentinel lymph nodes of patients with breast carcinoma: a cohort study.</v>
      </c>
      <c r="AM930" s="31" t="str">
        <f>IFERROR(__xludf.DUMMYFUNCTION("""COMPUTED_VALUE"""),"Gobardhan, P D; Elias, S G; Madsen, E V E; Bongers, V; Ruitenberg, H J M; Perre, C I; van Dalen, T")</f>
        <v>Gobardhan, P D; Elias, S G; Madsen, E V E; Bongers, V; Ruitenberg, H J M; Perre, C I; van Dalen, T</v>
      </c>
      <c r="AN930" s="32">
        <f>IFERROR(__xludf.DUMMYFUNCTION("""COMPUTED_VALUE"""),39653.0)</f>
        <v>39653</v>
      </c>
    </row>
    <row r="931">
      <c r="A931" s="32"/>
      <c r="I931" s="31" t="str">
        <f>IFERROR(__xludf.DUMMYFUNCTION("""COMPUTED_VALUE"""),"biodata mining")</f>
        <v>biodata mining</v>
      </c>
      <c r="J931" s="38">
        <f>COUNTIF(Data!$F$2:$F9917, $I931)</f>
        <v>1</v>
      </c>
      <c r="T931" s="31" t="s">
        <v>2793</v>
      </c>
      <c r="U931" s="31" t="s">
        <v>2794</v>
      </c>
      <c r="V931" s="32">
        <v>45039.0</v>
      </c>
      <c r="X931" s="31" t="str">
        <f>IFERROR(__xludf.DUMMYFUNCTION("""COMPUTED_VALUE"""),"Left Ventricular Diastolic Dysfunction across Levels of Kidney Function: A Cross-Sectional Study Based on Routine Clinical Practice Data.")</f>
        <v>Left Ventricular Diastolic Dysfunction across Levels of Kidney Function: A Cross-Sectional Study Based on Routine Clinical Practice Data.</v>
      </c>
      <c r="Y931" s="31" t="str">
        <f>IFERROR(__xludf.DUMMYFUNCTION("""COMPUTED_VALUE"""),"Porras, Cindy P; Dal Canto, Elisa; van Ommen, Anne-Mar L; Handoko, M Louis; Haitjema, Saskia; de Groot, Mark C H; Bots, Michiel L; Verhaar, Marianne C; Vernooij, Robin W M")</f>
        <v>Porras, Cindy P; Dal Canto, Elisa; van Ommen, Anne-Mar L; Handoko, M Louis; Haitjema, Saskia; de Groot, Mark C H; Bots, Michiel L; Verhaar, Marianne C; Vernooij, Robin W M</v>
      </c>
      <c r="Z931" s="31">
        <f>IFERROR(__xludf.DUMMYFUNCTION("""COMPUTED_VALUE"""),2024.0)</f>
        <v>2024</v>
      </c>
      <c r="AA931" s="31">
        <f>IFERROR(__xludf.DUMMYFUNCTION("""COMPUTED_VALUE"""),0.0)</f>
        <v>0</v>
      </c>
      <c r="AF931" s="31" t="str">
        <f>IFERROR(__xludf.DUMMYFUNCTION("""COMPUTED_VALUE"""),"Search for heavy neutrinos and right-handed &lt;i&gt;W&lt;/i&gt; bosons in events with two leptons and jets in &lt;i&gt;pp&lt;/i&gt; collisions at [Formula: see text] with the ATLAS detector.")</f>
        <v>Search for heavy neutrinos and right-handed &lt;i&gt;W&lt;/i&gt; bosons in events with two leptons and jets in &lt;i&gt;pp&lt;/i&gt; collisions at [Formula: see text] with the ATLAS detector.</v>
      </c>
      <c r="AG931" s="31"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Allbrooke, B M M; Allport, P P; Allwood-Spiers, S E; Almond, J; Aloisio, A; Alon, R; Alonso, A; Alvarez Gonzalez, B; Alviggi, M G; Amako, K;"&amp;" Amaral, P; Amelung, C; Ammosov, V V; Amorim, A; Amorós, G; Amram, N; Anastopoulos, C; Ancu, L S; Andari, N; Andeen, T; Anders, C F; Anders, G; Anderson, K J; Andreazza, A; Andrei, V; Andrieux, M-L; Anduaga, X S; Angerami, A; Anghinolf")</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v>
      </c>
      <c r="AH931" s="32">
        <f>IFERROR(__xludf.DUMMYFUNCTION("""COMPUTED_VALUE"""),41093.0)</f>
        <v>41093</v>
      </c>
      <c r="AL931" s="31" t="str">
        <f>IFERROR(__xludf.DUMMYFUNCTION("""COMPUTED_VALUE"""),"Dipyridamole plus aspirin versus aspirin alone in secondary prevention after TIA or stroke: a meta-analysis by risk.")</f>
        <v>Dipyridamole plus aspirin versus aspirin alone in secondary prevention after TIA or stroke: a meta-analysis by risk.</v>
      </c>
      <c r="AM931" s="31" t="str">
        <f>IFERROR(__xludf.DUMMYFUNCTION("""COMPUTED_VALUE"""),"Halkes, P H A; Gray, L J; Bath, P M W; Diener, H-C; Guiraud-Chaumeil, B; Yatsu, F M; Algra, A")</f>
        <v>Halkes, P H A; Gray, L J; Bath, P M W; Diener, H-C; Guiraud-Chaumeil, B; Yatsu, F M; Algra, A</v>
      </c>
      <c r="AN931" s="32">
        <f>IFERROR(__xludf.DUMMYFUNCTION("""COMPUTED_VALUE"""),39604.0)</f>
        <v>39604</v>
      </c>
    </row>
    <row r="932">
      <c r="A932" s="32"/>
      <c r="I932" s="31" t="str">
        <f>IFERROR(__xludf.DUMMYFUNCTION("""COMPUTED_VALUE"""),"cancer prevention research philadelphia pa")</f>
        <v>cancer prevention research philadelphia pa</v>
      </c>
      <c r="J932" s="38">
        <f>COUNTIF(Data!$F$2:$F9917, $I932)</f>
        <v>1</v>
      </c>
      <c r="T932" s="31" t="s">
        <v>2797</v>
      </c>
      <c r="U932" s="31" t="s">
        <v>2798</v>
      </c>
      <c r="V932" s="32">
        <v>45038.0</v>
      </c>
      <c r="X932" s="31" t="str">
        <f>IFERROR(__xludf.DUMMYFUNCTION("""COMPUTED_VALUE"""),"Frequent hemodialysis versus standard hemodialysis for people with kidney failure: Systematic review and meta-analysis of randomized controlled trials.")</f>
        <v>Frequent hemodialysis versus standard hemodialysis for people with kidney failure: Systematic review and meta-analysis of randomized controlled trials.</v>
      </c>
      <c r="Y932" s="31" t="str">
        <f>IFERROR(__xludf.DUMMYFUNCTION("""COMPUTED_VALUE"""),"Natale, Patrizia; Green, Suetonia C; Rose, Matthias; Bots, Michiel L; Blankestijn, Peter J; Vernooij, Robin W M; Gerittsen, Karin; Woodward, Mark; Hockham, Carinna; Cromm, Krister; Barth, Claudia; Davenport, Andrew; Hegbrant, Jörgen; Sarafidis, Pantelis; "&amp;"Das, Partha; Wanner, Christoph; Nissenson, Allan R; Sautenet, Benedicte; Török, Marietta; Strippoli, Giovanni")</f>
        <v>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v>
      </c>
      <c r="Z932" s="31">
        <f>IFERROR(__xludf.DUMMYFUNCTION("""COMPUTED_VALUE"""),2024.0)</f>
        <v>2024</v>
      </c>
      <c r="AA932" s="31">
        <f>IFERROR(__xludf.DUMMYFUNCTION("""COMPUTED_VALUE"""),0.0)</f>
        <v>0</v>
      </c>
      <c r="AF932" s="31" t="str">
        <f>IFERROR(__xludf.DUMMYFUNCTION("""COMPUTED_VALUE"""),"Measurement of the top quark mass with the template method in the [Formula: see text] channel using ATLAS data.")</f>
        <v>Measurement of the top quark mass with the template method in the [Formula: see text] channel using ATLAS data.</v>
      </c>
      <c r="AG932" s="31"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Allbrooke, B M M; Allport, P P; Allwood-Spiers, S E; Almond, J; Aloisio, A; Alon, R; Alonso, A; Alvarez Gonzalez, B; Alviggi, M G; Amako, K;"&amp;" Amaral, P; Amelung, C; Ammosov, V V; Amorim, A; Amorós, G; Amram, N; Anastopoulos, C; Ancu, L S; Andari, N; Andeen, T; Anders, C F; Anders, G; Anderson, K J; Andreazza, A; Andrei, V; Andrieux, M-L; Anduaga, X S; Angerami, A; Anghinolf")</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v>
      </c>
      <c r="AH932" s="32">
        <f>IFERROR(__xludf.DUMMYFUNCTION("""COMPUTED_VALUE"""),41081.0)</f>
        <v>41081</v>
      </c>
      <c r="AL932" s="31" t="str">
        <f>IFERROR(__xludf.DUMMYFUNCTION("""COMPUTED_VALUE"""),"Cost-effectiveness of aspirin treatment in the primary prevention of cardiovascular disease events in subgroups based on age, gender, and varying cardiovascular risk.")</f>
        <v>Cost-effectiveness of aspirin treatment in the primary prevention of cardiovascular disease events in subgroups based on age, gender, and varying cardiovascular risk.</v>
      </c>
      <c r="AM932" s="31" t="str">
        <f>IFERROR(__xludf.DUMMYFUNCTION("""COMPUTED_VALUE"""),"Greving, Jacoba P; Buskens, Erik; Koffijberg, Hendrik; Algra, Ale")</f>
        <v>Greving, Jacoba P; Buskens, Erik; Koffijberg, Hendrik; Algra, Ale</v>
      </c>
      <c r="AN932" s="32">
        <f>IFERROR(__xludf.DUMMYFUNCTION("""COMPUTED_VALUE"""),39595.0)</f>
        <v>39595</v>
      </c>
    </row>
    <row r="933">
      <c r="A933" s="32"/>
      <c r="I933" s="31" t="str">
        <f>IFERROR(__xludf.DUMMYFUNCTION("""COMPUTED_VALUE"""),"oncogenesis")</f>
        <v>oncogenesis</v>
      </c>
      <c r="J933" s="38">
        <f>COUNTIF(Data!$F$2:$F9917, $I933)</f>
        <v>1</v>
      </c>
      <c r="T933" s="31" t="s">
        <v>2801</v>
      </c>
      <c r="U933" s="31" t="s">
        <v>2802</v>
      </c>
      <c r="V933" s="32">
        <v>45037.0</v>
      </c>
      <c r="X933" s="31" t="str">
        <f>IFERROR(__xludf.DUMMYFUNCTION("""COMPUTED_VALUE"""),"Sex differences and trends in managing cardiovascular risk factors in primary care: a dynamic cohort study.")</f>
        <v>Sex differences and trends in managing cardiovascular risk factors in primary care: a dynamic cohort study.</v>
      </c>
      <c r="Y933" s="31" t="str">
        <f>IFERROR(__xludf.DUMMYFUNCTION("""COMPUTED_VALUE"""),"Smits, Geert; Bots, Michiel L; Hollander, Monika; van Doorn, Sander")</f>
        <v>Smits, Geert; Bots, Michiel L; Hollander, Monika; van Doorn, Sander</v>
      </c>
      <c r="Z933" s="31">
        <f>IFERROR(__xludf.DUMMYFUNCTION("""COMPUTED_VALUE"""),2024.0)</f>
        <v>2024</v>
      </c>
      <c r="AA933" s="31">
        <f>IFERROR(__xludf.DUMMYFUNCTION("""COMPUTED_VALUE"""),0.0)</f>
        <v>0</v>
      </c>
      <c r="AF933" s="31" t="str">
        <f>IFERROR(__xludf.DUMMYFUNCTION("""COMPUTED_VALUE"""),"Measurement of [Formula: see text] production with a veto on additional central jet activity in &lt;i&gt;pp&lt;/i&gt; collisions at [Formula: see text] TeV using the ATLAS detector.")</f>
        <v>Measurement of [Formula: see text] production with a veto on additional central jet activity in &lt;i&gt;pp&lt;/i&gt; collisions at [Formula: see text] TeV using the ATLAS detector.</v>
      </c>
      <c r="AG933" s="31" t="str">
        <f>IFERROR(__xludf.DUMMYFUNCTION("""COMPUTED_VALUE"""),",; Aad, G; Abbott, B; Abdallah, J; Abdel Khalek, S; Abdelalim, A A; Abdesselam, A; Abdinov, O; Abi, B; Abolins, M; AbouZeid, O S; Abramowicz, H; Abreu, H; Acerbi, E; Acharya, B S; Adamczyk, L; Adams, D L; Addy, T N; Adelman, J; Aderholz, M; Adomeit, S; Ad"&amp;"ragna, P; Adye, T; Aefsky, S; Aguilar-Saavedra, J A; Aharrouche, M; Ahlen, S P; Ahles, F; Ahmad, A; Ahsan, M; Aielli, G; Akdogan, T; Åkesson, T P A; Akimoto, G; Akimov, A V; Akiyama, A; Alam, M S; Alam, M A; Albert, J; Albrand, S; Aleksa, M; Aleksandrov, "&amp;"I N; Alessandria, F; Alexa, C; Alexander, G; Alexandre, G; Alexopoulos, T; Alhroob, M; Aliev, M; Alimonti, G; Alison, J; Aliyev, M; Allbrooke, B M M; Allport, P P; Allwood-Spiers, S E; Almond, J; Aloisio, A; Alon, R; Alonso, A; Alvarez Gonzalez, B; Alvigg"&amp;"i, M G; Amako, K; Amaral, P; Amelung, C; Ammosov, V V; Amorim, A; Amorós, G; Amram, N; Anastopoulos, C; Ancu, L S; Andari, N; Andeen, T; Anders, C F; Anders, G; Anderson, K J; Andreazza, A; Andrei, V; Andrieux, M-L; Anduaga, X S; Anger")</f>
        <v>,;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v>
      </c>
      <c r="AH933" s="32">
        <f>IFERROR(__xludf.DUMMYFUNCTION("""COMPUTED_VALUE"""),41081.0)</f>
        <v>41081</v>
      </c>
      <c r="AL933" s="31" t="str">
        <f>IFERROR(__xludf.DUMMYFUNCTION("""COMPUTED_VALUE"""),"History of depression, depressive symptoms, and medial temporal lobe atrophy and the risk of Alzheimer disease.")</f>
        <v>History of depression, depressive symptoms, and medial temporal lobe atrophy and the risk of Alzheimer disease.</v>
      </c>
      <c r="AM933" s="31" t="str">
        <f>IFERROR(__xludf.DUMMYFUNCTION("""COMPUTED_VALUE"""),"Geerlings, M I; den Heijer, T; Koudstaal, P J; Hofman, A; Breteler, M M B")</f>
        <v>Geerlings, M I; den Heijer, T; Koudstaal, P J; Hofman, A; Breteler, M M B</v>
      </c>
      <c r="AN933" s="32">
        <f>IFERROR(__xludf.DUMMYFUNCTION("""COMPUTED_VALUE"""),39546.0)</f>
        <v>39546</v>
      </c>
    </row>
    <row r="934">
      <c r="A934" s="32"/>
      <c r="I934" s="31" t="str">
        <f>IFERROR(__xludf.DUMMYFUNCTION("""COMPUTED_VALUE"""),"alcohol and alcoholism oxford oxfordshire")</f>
        <v>alcohol and alcoholism oxford oxfordshire</v>
      </c>
      <c r="J934" s="38">
        <f>COUNTIF(Data!$F$2:$F9917, $I934)</f>
        <v>1</v>
      </c>
      <c r="T934" s="31" t="s">
        <v>2805</v>
      </c>
      <c r="U934" s="31" t="s">
        <v>2806</v>
      </c>
      <c r="V934" s="32">
        <v>45037.0</v>
      </c>
      <c r="X934" s="31" t="str">
        <f>IFERROR(__xludf.DUMMYFUNCTION("""COMPUTED_VALUE"""),"Using a measurement type-independent metric to compare patterns of determinants between patient-reported versus performance-based physical function in hemodialysis patients.")</f>
        <v>Using a measurement type-independent metric to compare patterns of determinants between patient-reported versus performance-based physical function in hemodialysis patients.</v>
      </c>
      <c r="Y934" s="31" t="str">
        <f>IFERROR(__xludf.DUMMYFUNCTION("""COMPUTED_VALUE"""),"Liegl, Gregor; Fischer, Felix H; Canaud, Bernard; Woodward, Mark; Barth, Claudia; Davenport, Andrew; Török, Marietta; Strippoli, Giovanni F M; Hegbrant, Jörgen; Cromm, Krister; Bots, Michiel L; Blankestijn, Peter J; Fischer, Kathrin I; Rose, Matthias; ,")</f>
        <v>Liegl, Gregor; Fischer, Felix H; Canaud, Bernard; Woodward, Mark; Barth, Claudia; Davenport, Andrew; Török, Marietta; Strippoli, Giovanni F M; Hegbrant, Jörgen; Cromm, Krister; Bots, Michiel L; Blankestijn, Peter J; Fischer, Kathrin I; Rose, Matthias; ,</v>
      </c>
      <c r="Z934" s="31">
        <f>IFERROR(__xludf.DUMMYFUNCTION("""COMPUTED_VALUE"""),2024.0)</f>
        <v>2024</v>
      </c>
      <c r="AA934" s="31">
        <f>IFERROR(__xludf.DUMMYFUNCTION("""COMPUTED_VALUE"""),0.0)</f>
        <v>0</v>
      </c>
      <c r="AF934" s="31" t="str">
        <f>IFERROR(__xludf.DUMMYFUNCTION("""COMPUTED_VALUE"""),"Measurement of the charge asymmetry in top quark pair production in &lt;i&gt;pp&lt;/i&gt; collisions at [Formula: see text] using the ATLAS detector.")</f>
        <v>Measurement of the charge asymmetry in top quark pair production in &lt;i&gt;pp&lt;/i&gt; collisions at [Formula: see text] using the ATLAS detector.</v>
      </c>
      <c r="AG934" s="31"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Allport, P P; Allwood-Spiers, S E; Almond, J; Aloisio, A; Alon, R; Alonso, A; Alvarez Gonzalez, B; Alviggi, M G; Amako, K; Amaral, P; Amelun"&amp;"g, C; Ammosov, V V; Amorim, A; Amorós, G; Amram, N; Anastopoulos, C; Ancu, L S; Andari, N; Andeen, T; Anders, C F; Anders, G; Anderson, K J; Andreazza, A; Andrei, V; Andrieux, M-L; Anduaga, X S; Angerami, A; Anghinolfi, F; Anisenkov, A")</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Anghinolfi, F; Anisenkov, A</v>
      </c>
      <c r="AH934" s="32">
        <f>IFERROR(__xludf.DUMMYFUNCTION("""COMPUTED_VALUE"""),41075.0)</f>
        <v>41075</v>
      </c>
      <c r="AL934" s="31" t="str">
        <f>IFERROR(__xludf.DUMMYFUNCTION("""COMPUTED_VALUE"""),"A new diagnostic rule for deep vein thrombosis: safety and efficiency in clinically relevant subgroups.")</f>
        <v>A new diagnostic rule for deep vein thrombosis: safety and efficiency in clinically relevant subgroups.</v>
      </c>
      <c r="AM934" s="31" t="str">
        <f>IFERROR(__xludf.DUMMYFUNCTION("""COMPUTED_VALUE"""),"Toll, D B; Oudega, R; Vergouwe, Y; Moons, K G M; Hoes, A W")</f>
        <v>Toll, D B; Oudega, R; Vergouwe, Y; Moons, K G M; Hoes, A W</v>
      </c>
      <c r="AN934" s="32">
        <f>IFERROR(__xludf.DUMMYFUNCTION("""COMPUTED_VALUE"""),39469.0)</f>
        <v>39469</v>
      </c>
    </row>
    <row r="935">
      <c r="A935" s="32"/>
      <c r="I935" s="31" t="str">
        <f>IFERROR(__xludf.DUMMYFUNCTION("""COMPUTED_VALUE"""),"sleep")</f>
        <v>sleep</v>
      </c>
      <c r="J935" s="38">
        <f>COUNTIF(Data!$F$2:$F9917, $I935)</f>
        <v>1</v>
      </c>
      <c r="T935" s="31" t="s">
        <v>2809</v>
      </c>
      <c r="U935" s="31" t="s">
        <v>2810</v>
      </c>
      <c r="V935" s="32">
        <v>45037.0</v>
      </c>
      <c r="X935" s="31" t="str">
        <f>IFERROR(__xludf.DUMMYFUNCTION("""COMPUTED_VALUE"""),"The CONVINCE randomized trial found positive effects on quality of life for patients with chronic kidney disease treated with hemodiafiltration.")</f>
        <v>The CONVINCE randomized trial found positive effects on quality of life for patients with chronic kidney disease treated with hemodiafiltration.</v>
      </c>
      <c r="Y935" s="31" t="str">
        <f>IFERROR(__xludf.DUMMYFUNCTION("""COMPUTED_VALUE"""),"Rose, Matthias; Fischer, Felix H; Liegl, Gregor; Strippoli, Giovanni F M; Hockham, Carina; Vernooij, Robin W M; Barth, Claudia; Canaud, Bernard; Covic, Adrian; Cromm, Krister; Cucui, Andrea M; Davenport, Andrew; Fischer, Kathrin I; Hegbrant, Jörgen; Jaha,"&amp;" Hanna; Schappert, Anna; Török, Marietta; Woodward, Mark; Bots, Michiel L; Blankestijn, Peter J; ,")</f>
        <v>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v>
      </c>
      <c r="Z935" s="31">
        <f>IFERROR(__xludf.DUMMYFUNCTION("""COMPUTED_VALUE"""),2024.0)</f>
        <v>2024</v>
      </c>
      <c r="AA935" s="31">
        <f>IFERROR(__xludf.DUMMYFUNCTION("""COMPUTED_VALUE"""),0.0)</f>
        <v>0</v>
      </c>
      <c r="AF935" s="31" t="str">
        <f>IFERROR(__xludf.DUMMYFUNCTION("""COMPUTED_VALUE"""),"Search for lepton flavour violation in the &lt;i&gt;eμ&lt;/i&gt; continuum with the ATLAS detector in [Formula: see text]&lt;i&gt;pp&lt;/i&gt; collisions at the LHC.")</f>
        <v>Search for lepton flavour violation in the &lt;i&gt;eμ&lt;/i&gt; continuum with the ATLAS detector in [Formula: see text]&lt;i&gt;pp&lt;/i&gt; collisions at the LHC.</v>
      </c>
      <c r="AG935" s="31" t="str">
        <f>IFERROR(__xludf.DUMMYFUNCTION("""COMPUTED_VALUE"""),",; Aad, G; Abbott, B; Abdallah, J; Abdelalim, A A; Abdesselam, A; Abdinov, O; Abi, B; Abolins, M; Abramowicz, H; Abreu, H; Acerbi, E; Acharya, B S; Adams, D L; Addy, T N; Adelman, J; Adomeit, S; Adragna, P; Adye, T; Aefsky, S; Aguilar-Saavedra, J A; Aharr"&amp;"ouche, M; Ahlen, S P; Ahles, F; Ahmad, A; Ahsan, M; Aielli, G; Akdogan, T; Åkesson, T P A; Akimoto, G; Akimov, A V; Akiyama, A; Aktas, A; Alam, M S; Alam, M A; Albrand, S; Aleksa, M; Aleksandrov, I N; Aleppo, M; Alessandria, F; Alexa, C; Alexander, G; Ale"&amp;"xandre, G; Alexopoulos, T; Alhroob, M; Aliev, M; Alimonti, G; Alison, J; Aliyev, M; Allport, P P; Allwood-Spiers, S E; Almond, J; Aloisio, A; Alon, R; Alonso, A; Alviggi, M G; Amako, K; Amelung, C; Ammosov, V V; Amorim, A; Amorós, G; Amram, N; Anastopoulo"&amp;"s, C; Andeen, T; Anders, C F; Anderson, K J; Andreazza, A; Andrei, V; Anduaga, X S; Angerami, A; Anghinolfi, F; Anjos, N; Annovi, A; Antonaki, A; Antonelli, M; Antonelli, S; Antonov, A; Antos, J; Anulli, F; Aoun, S; Aperio Bella, L; Ap")</f>
        <v>,; Aad, G; Abbott, B; Abdallah, J; Abdelalim, A A; Abdesselam, A; Abdinov, O; Abi, B; Abolins, M; Abramowicz, H; Abreu, H; Acerbi, E; Acharya, B S; Adams, D L; Addy, T N; Adelman, J; Adomeit, S; Adragna, P; Adye, T; Aefsky, S; Aguilar-Saavedra, J A; Aharrouche, M; Ahlen, S P; Ahles, F; Ahmad, A; Ahsan, M; Aielli, G; Akdogan, T; Åkesson, T P A; Akimoto, G; Akimov, A V; Akiyama, A; Aktas, A; Alam, M S; Alam, M A; Albrand, S; Aleksa, M; Aleksandrov, I N; Aleppo, M; Alessandria, F; Alexa, C; Alexander, G; Alexandre, G; Alexopoulos, T; Alhroob, M; Aliev, M; Alimonti, G; Alison, J; Aliyev, M; Allport, P P; Allwood-Spiers, S E; Almond, J; Aloisio, A; Alon, R; Alonso, A; Alviggi, M G; Amako, K; Amelung, C; Ammosov, V V; Amorim, A; Amorós, G; Amram, N; Anastopoulos, C; Andeen, T; Anders, C F; Anderson, K J; Andreazza, A; Andrei, V; Anduaga, X S; Angerami, A; Anghinolfi, F; Anjos, N; Annovi, A; Antonaki, A; Antonelli, M; Antonelli, S; Antonov, A; Antos, J; Anulli, F; Aoun, S; Aperio Bella, L; Ap</v>
      </c>
      <c r="AH935" s="32">
        <f>IFERROR(__xludf.DUMMYFUNCTION("""COMPUTED_VALUE"""),41074.0)</f>
        <v>41074</v>
      </c>
      <c r="AL935" s="31" t="str">
        <f>IFERROR(__xludf.DUMMYFUNCTION("""COMPUTED_VALUE"""),"Improved physical fitness of cancer survivors: a randomised controlled trial comparing physical training with physical and cognitive-behavioural training.")</f>
        <v>Improved physical fitness of cancer survivors: a randomised controlled trial comparing physical training with physical and cognitive-behavioural training.</v>
      </c>
      <c r="AM935" s="31" t="str">
        <f>IFERROR(__xludf.DUMMYFUNCTION("""COMPUTED_VALUE"""),"May, Anne M; Van Weert, Ellen; Korstjens, Irene; Hoekstra-Weebers, Josette E H M; Van Der Schans, Cees P; Zonderland, Maria L; Mesters, Ilse; Van Den Borne, Bart; Ros, Wynan D J G")</f>
        <v>May, Anne M; Van Weert, Ellen; Korstjens, Irene; Hoekstra-Weebers, Josette E H M; Van Der Schans, Cees P; Zonderland, Maria L; Mesters, Ilse; Van Den Borne, Bart; Ros, Wynan D J G</v>
      </c>
      <c r="AN935" s="32">
        <f>IFERROR(__xludf.DUMMYFUNCTION("""COMPUTED_VALUE"""),39448.0)</f>
        <v>39448</v>
      </c>
    </row>
    <row r="936">
      <c r="A936" s="32"/>
      <c r="I936" s="31" t="str">
        <f>IFERROR(__xludf.DUMMYFUNCTION("""COMPUTED_VALUE"""),"respiratory medicine")</f>
        <v>respiratory medicine</v>
      </c>
      <c r="J936" s="38">
        <f>COUNTIF(Data!$F$2:$F9917, $I936)</f>
        <v>3</v>
      </c>
      <c r="T936" s="31" t="s">
        <v>2812</v>
      </c>
      <c r="U936" s="31" t="s">
        <v>2813</v>
      </c>
      <c r="V936" s="32">
        <v>45036.0</v>
      </c>
      <c r="X936" s="31" t="str">
        <f>IFERROR(__xludf.DUMMYFUNCTION("""COMPUTED_VALUE"""),"Comparison of the Response to an Electronic Versus a Traditional Informed Consent Procedure in Terms of Clinical Patient Characteristics: Observational Study.")</f>
        <v>Comparison of the Response to an Electronic Versus a Traditional Informed Consent Procedure in Terms of Clinical Patient Characteristics: Observational Study.</v>
      </c>
      <c r="Y936" s="31" t="str">
        <f>IFERROR(__xludf.DUMMYFUNCTION("""COMPUTED_VALUE"""),"Zondag, Anna G M; Hollestelle, Marieke J; van der Graaf, Rieke; Nathoe, Hendrik M; van Solinge, Wouter W; Bots, Michiel L; Vernooij, Robin W M; Haitjema, Saskia; ,")</f>
        <v>Zondag, Anna G M; Hollestelle, Marieke J; van der Graaf, Rieke; Nathoe, Hendrik M; van Solinge, Wouter W; Bots, Michiel L; Vernooij, Robin W M; Haitjema, Saskia; ,</v>
      </c>
      <c r="Z936" s="31">
        <f>IFERROR(__xludf.DUMMYFUNCTION("""COMPUTED_VALUE"""),2024.0)</f>
        <v>2024</v>
      </c>
      <c r="AA936" s="31">
        <f>IFERROR(__xludf.DUMMYFUNCTION("""COMPUTED_VALUE"""),0.0)</f>
        <v>0</v>
      </c>
      <c r="AF936" s="31" t="str">
        <f>IFERROR(__xludf.DUMMYFUNCTION("""COMPUTED_VALUE"""),"Opinions of health care professionals and the public after eight years of euthanasia legislation in the Netherlands: a mixed methods approach.")</f>
        <v>Opinions of health care professionals and the public after eight years of euthanasia legislation in the Netherlands: a mixed methods approach.</v>
      </c>
      <c r="AG936" s="31" t="str">
        <f>IFERROR(__xludf.DUMMYFUNCTION("""COMPUTED_VALUE"""),"Kouwenhoven, Pauline S C; Raijmakers, Natasja J H; van Delden, Johannes J M; Rietjens, Judith A C; Schermer, Maartje H N; van Thiel, Ghislaine J M W; Trappenburg, Margo J; van de Vathorst, Suzanne; van der Vegt, Bea J; Vezzoni, Cristiano; Weyers, Heleen; "&amp;"van Tol, Donald G; van der Heide, Agnes")</f>
        <v>Kouwenhoven, Pauline S C; Raijmakers, Natasja J H; van Delden, Johannes J M; Rietjens, Judith A C; Schermer, Maartje H N; van Thiel, Ghislaine J M W; Trappenburg, Margo J; van de Vathorst, Suzanne; van der Vegt, Bea J; Vezzoni, Cristiano; Weyers, Heleen; van Tol, Donald G; van der Heide, Agnes</v>
      </c>
      <c r="AH936" s="32">
        <f>IFERROR(__xludf.DUMMYFUNCTION("""COMPUTED_VALUE"""),41073.0)</f>
        <v>41073</v>
      </c>
      <c r="AL936" s="31" t="str">
        <f>IFERROR(__xludf.DUMMYFUNCTION("""COMPUTED_VALUE"""),"Design of the sex hormones and physical exercise (SHAPE) study.")</f>
        <v>Design of the sex hormones and physical exercise (SHAPE) study.</v>
      </c>
      <c r="AM936" s="31" t="str">
        <f>IFERROR(__xludf.DUMMYFUNCTION("""COMPUTED_VALUE"""),"Monninkhof, Evelyn M; Peeters, Petra H M; Schuit, Albertine J")</f>
        <v>Monninkhof, Evelyn M; Peeters, Petra H M; Schuit, Albertine J</v>
      </c>
      <c r="AN936" s="32">
        <f>IFERROR(__xludf.DUMMYFUNCTION("""COMPUTED_VALUE"""),39329.0)</f>
        <v>39329</v>
      </c>
    </row>
    <row r="937">
      <c r="A937" s="32"/>
      <c r="I937" s="31" t="str">
        <f>IFERROR(__xludf.DUMMYFUNCTION("""COMPUTED_VALUE"""),"clinical chemistry")</f>
        <v>clinical chemistry</v>
      </c>
      <c r="J937" s="38">
        <f>COUNTIF(Data!$F$2:$F9917, $I937)</f>
        <v>9</v>
      </c>
      <c r="T937" s="31" t="s">
        <v>2817</v>
      </c>
      <c r="U937" s="31" t="s">
        <v>2818</v>
      </c>
      <c r="V937" s="32">
        <v>45036.0</v>
      </c>
      <c r="X937" s="31" t="str">
        <f>IFERROR(__xludf.DUMMYFUNCTION("""COMPUTED_VALUE"""),"Editor's Choice - Prognostic Factors and Models to Predict Mortality Outcomes in Patients with Peripheral Arterial Disease: A Systematic Review.")</f>
        <v>Editor's Choice - Prognostic Factors and Models to Predict Mortality Outcomes in Patients with Peripheral Arterial Disease: A Systematic Review.</v>
      </c>
      <c r="Y937" s="31" t="str">
        <f>IFERROR(__xludf.DUMMYFUNCTION("""COMPUTED_VALUE"""),"Porras, Cindy P; Teraa, Martin; Damen, Johanna A A; Hazenberg, Constantijn E V B; Bots, Michiel L; Verhaar, Marianne C; Vernooij, Robin W M")</f>
        <v>Porras, Cindy P; Teraa, Martin; Damen, Johanna A A; Hazenberg, Constantijn E V B; Bots, Michiel L; Verhaar, Marianne C; Vernooij, Robin W M</v>
      </c>
      <c r="Z937" s="31">
        <f>IFERROR(__xludf.DUMMYFUNCTION("""COMPUTED_VALUE"""),2024.0)</f>
        <v>2024</v>
      </c>
      <c r="AA937" s="31">
        <f>IFERROR(__xludf.DUMMYFUNCTION("""COMPUTED_VALUE"""),0.0)</f>
        <v>0</v>
      </c>
      <c r="AF937" s="31" t="str">
        <f>IFERROR(__xludf.DUMMYFUNCTION("""COMPUTED_VALUE"""),"Association between physical performance characteristics and independence in activities of daily living in middle-aged and elderly men.")</f>
        <v>Association between physical performance characteristics and independence in activities of daily living in middle-aged and elderly men.</v>
      </c>
      <c r="AG937" s="31" t="str">
        <f>IFERROR(__xludf.DUMMYFUNCTION("""COMPUTED_VALUE"""),"den Ouden, Marjolein E M; Schuurmans, Marieke J; Arts, Ilse E M A; van der Schouw, Yvonne T")</f>
        <v>den Ouden, Marjolein E M; Schuurmans, Marieke J; Arts, Ilse E M A; van der Schouw, Yvonne T</v>
      </c>
      <c r="AH937" s="32">
        <f>IFERROR(__xludf.DUMMYFUNCTION("""COMPUTED_VALUE"""),41071.0)</f>
        <v>41071</v>
      </c>
      <c r="AL937" s="31" t="str">
        <f>IFERROR(__xludf.DUMMYFUNCTION("""COMPUTED_VALUE"""),"Epilepsy surgery in tuberous sclerosis: a systematic review.")</f>
        <v>Epilepsy surgery in tuberous sclerosis: a systematic review.</v>
      </c>
      <c r="AM937" s="31" t="str">
        <f>IFERROR(__xludf.DUMMYFUNCTION("""COMPUTED_VALUE"""),"Jansen, Floor E; van Huffelen, Alexander C; Algra, Ale; van Nieuwenhuizen, Onno")</f>
        <v>Jansen, Floor E; van Huffelen, Alexander C; Algra, Ale; van Nieuwenhuizen, Onno</v>
      </c>
      <c r="AN937" s="32">
        <f>IFERROR(__xludf.DUMMYFUNCTION("""COMPUTED_VALUE"""),39203.0)</f>
        <v>39203</v>
      </c>
    </row>
    <row r="938">
      <c r="A938" s="32"/>
      <c r="I938" s="31" t="str">
        <f>IFERROR(__xludf.DUMMYFUNCTION("""COMPUTED_VALUE"""),"worldviews on evidencebased nursing")</f>
        <v>worldviews on evidencebased nursing</v>
      </c>
      <c r="J938" s="38">
        <f>COUNTIF(Data!$F$2:$F9917, $I938)</f>
        <v>2</v>
      </c>
      <c r="T938" s="31" t="s">
        <v>2822</v>
      </c>
      <c r="U938" s="31" t="s">
        <v>2823</v>
      </c>
      <c r="V938" s="32">
        <v>45035.0</v>
      </c>
      <c r="X938" s="31" t="str">
        <f>IFERROR(__xludf.DUMMYFUNCTION("""COMPUTED_VALUE"""),"Practice visitations in primary care to improve performance of cardiovascular risk management: an observational study.")</f>
        <v>Practice visitations in primary care to improve performance of cardiovascular risk management: an observational study.</v>
      </c>
      <c r="Y938" s="31" t="str">
        <f>IFERROR(__xludf.DUMMYFUNCTION("""COMPUTED_VALUE"""),"Smits, Geert Hjm; Bots, Michiel L; Hollander, Monika; Wit, Ardine de; van Doorn, Sander")</f>
        <v>Smits, Geert Hjm; Bots, Michiel L; Hollander, Monika; Wit, Ardine de; van Doorn, Sander</v>
      </c>
      <c r="Z938" s="31">
        <f>IFERROR(__xludf.DUMMYFUNCTION("""COMPUTED_VALUE"""),2024.0)</f>
        <v>2024</v>
      </c>
      <c r="AA938" s="31">
        <f>IFERROR(__xludf.DUMMYFUNCTION("""COMPUTED_VALUE"""),0.0)</f>
        <v>0</v>
      </c>
      <c r="AF938" s="31" t="str">
        <f>IFERROR(__xludf.DUMMYFUNCTION("""COMPUTED_VALUE"""),"Classifying responders and non-responders; does it help when there is evidence of differentially responding patient groups?")</f>
        <v>Classifying responders and non-responders; does it help when there is evidence of differentially responding patient groups?</v>
      </c>
      <c r="AG938" s="31" t="str">
        <f>IFERROR(__xludf.DUMMYFUNCTION("""COMPUTED_VALUE"""),"Boessen, Ruud; Groenwold, Rolf H H; Knol, Mirjam J; Grobbee, Diederick E; Roes, Kit C B")</f>
        <v>Boessen, Ruud; Groenwold, Rolf H H; Knol, Mirjam J; Grobbee, Diederick E; Roes, Kit C B</v>
      </c>
      <c r="AH938" s="32">
        <f>IFERROR(__xludf.DUMMYFUNCTION("""COMPUTED_VALUE"""),41061.0)</f>
        <v>41061</v>
      </c>
      <c r="AL938" s="31" t="str">
        <f>IFERROR(__xludf.DUMMYFUNCTION("""COMPUTED_VALUE"""),"Accelerated increase of arteriovenous fistula use in haemodialysis centres: results of the multicentre CIMINO initiative.")</f>
        <v>Accelerated increase of arteriovenous fistula use in haemodialysis centres: results of the multicentre CIMINO initiative.</v>
      </c>
      <c r="AM938" s="31" t="str">
        <f>IFERROR(__xludf.DUMMYFUNCTION("""COMPUTED_VALUE"""),"Huijbregts, Henricus J T A M; Bots, Michiel L; Moll, Frans L; Blankestijn, Peter J; ,")</f>
        <v>Huijbregts, Henricus J T A M; Bots, Michiel L; Moll, Frans L; Blankestijn, Peter J; ,</v>
      </c>
      <c r="AN938" s="32">
        <f>IFERROR(__xludf.DUMMYFUNCTION("""COMPUTED_VALUE"""),39195.0)</f>
        <v>39195</v>
      </c>
    </row>
    <row r="939">
      <c r="A939" s="32"/>
      <c r="I939" s="31" t="str">
        <f>IFERROR(__xludf.DUMMYFUNCTION("""COMPUTED_VALUE"""),"magma new york ny")</f>
        <v>magma new york ny</v>
      </c>
      <c r="J939" s="38">
        <f>COUNTIF(Data!$F$2:$F9917, $I939)</f>
        <v>1</v>
      </c>
      <c r="T939" s="31" t="s">
        <v>2826</v>
      </c>
      <c r="U939" s="31" t="s">
        <v>2827</v>
      </c>
      <c r="V939" s="32">
        <v>45035.0</v>
      </c>
      <c r="X939" s="31" t="str">
        <f>IFERROR(__xludf.DUMMYFUNCTION("""COMPUTED_VALUE"""),"Long-term quality of life in patients with bladder cancer following radical cystectomy.")</f>
        <v>Long-term quality of life in patients with bladder cancer following radical cystectomy.</v>
      </c>
      <c r="Y939" s="31" t="str">
        <f>IFERROR(__xludf.DUMMYFUNCTION("""COMPUTED_VALUE"""),"Akdemir, Emine; Stuiver, Martijn M; van de Kamp, Maaike W; der Hulst, Jolanda Bloos-van; Mertens, Laura S; Hendricksen, Kees; van Harten, Wim H; May, Anne M; Sweegers, Maike G")</f>
        <v>Akdemir, Emine; Stuiver, Martijn M; van de Kamp, Maaike W; der Hulst, Jolanda Bloos-van; Mertens, Laura S; Hendricksen, Kees; van Harten, Wim H; May, Anne M; Sweegers, Maike G</v>
      </c>
      <c r="Z939" s="31">
        <f>IFERROR(__xludf.DUMMYFUNCTION("""COMPUTED_VALUE"""),2024.0)</f>
        <v>2024</v>
      </c>
      <c r="AA939" s="31">
        <f>IFERROR(__xludf.DUMMYFUNCTION("""COMPUTED_VALUE"""),0.0)</f>
        <v>0</v>
      </c>
      <c r="AF939" s="31" t="str">
        <f>IFERROR(__xludf.DUMMYFUNCTION("""COMPUTED_VALUE"""),"Consent in psychiatric biobanks for pharmacogenetic research.")</f>
        <v>Consent in psychiatric biobanks for pharmacogenetic research.</v>
      </c>
      <c r="AG939" s="31" t="str">
        <f>IFERROR(__xludf.DUMMYFUNCTION("""COMPUTED_VALUE"""),"van der Baan, Frederieke H; Bernabe, Rose D C; Bredenoord, Annelien L; Gregoor, Jochem G; Meynen, Gerben; Knol, Mirjam J; van Thiel, Ghislaine J M W")</f>
        <v>van der Baan, Frederieke H; Bernabe, Rose D C; Bredenoord, Annelien L; Gregoor, Jochem G; Meynen, Gerben; Knol, Mirjam J; van Thiel, Ghislaine J M W</v>
      </c>
      <c r="AH939" s="32">
        <f>IFERROR(__xludf.DUMMYFUNCTION("""COMPUTED_VALUE"""),41050.0)</f>
        <v>41050</v>
      </c>
      <c r="AL939" s="31" t="str">
        <f>IFERROR(__xludf.DUMMYFUNCTION("""COMPUTED_VALUE"""),"Plasma phytoestrogens and subsequent breast cancer risk.")</f>
        <v>Plasma phytoestrogens and subsequent breast cancer risk.</v>
      </c>
      <c r="AM939" s="31" t="str">
        <f>IFERROR(__xludf.DUMMYFUNCTION("""COMPUTED_VALUE"""),"Verheus, Martijn; van Gils, Carla H; Keinan-Boker, Lital; Grace, Philip B; Bingham, Sheila A; Peeters, Petra H M")</f>
        <v>Verheus, Martijn; van Gils, Carla H; Keinan-Boker, Lital; Grace, Philip B; Bingham, Sheila A; Peeters, Petra H M</v>
      </c>
      <c r="AN939" s="32">
        <f>IFERROR(__xludf.DUMMYFUNCTION("""COMPUTED_VALUE"""),39084.0)</f>
        <v>39084</v>
      </c>
    </row>
    <row r="940">
      <c r="A940" s="32"/>
      <c r="I940" s="31" t="str">
        <f>IFERROR(__xludf.DUMMYFUNCTION("""COMPUTED_VALUE"""),"ophthalmology")</f>
        <v>ophthalmology</v>
      </c>
      <c r="J940" s="38">
        <f>COUNTIF(Data!$F$2:$F9917, $I940)</f>
        <v>1</v>
      </c>
      <c r="T940" s="31" t="s">
        <v>2831</v>
      </c>
      <c r="U940" s="31" t="s">
        <v>2832</v>
      </c>
      <c r="V940" s="32">
        <v>45035.0</v>
      </c>
      <c r="X940" s="31" t="str">
        <f>IFERROR(__xludf.DUMMYFUNCTION("""COMPUTED_VALUE"""),"Reply to: Peak Corticosteroid Dose for Immune-Related Adverse Events and Survival: Not the Whole Story.")</f>
        <v>Reply to: Peak Corticosteroid Dose for Immune-Related Adverse Events and Survival: Not the Whole Story.</v>
      </c>
      <c r="Y940" s="31" t="str">
        <f>IFERROR(__xludf.DUMMYFUNCTION("""COMPUTED_VALUE"""),"Verheijden, Rik J; de Groot, Jolien S; Fabriek, Babs O; Hew, Miki N; May, Anne M; Suijkerbuijk, Karijn P M")</f>
        <v>Verheijden, Rik J; de Groot, Jolien S; Fabriek, Babs O; Hew, Miki N; May, Anne M; Suijkerbuijk, Karijn P M</v>
      </c>
      <c r="Z940" s="31">
        <f>IFERROR(__xludf.DUMMYFUNCTION("""COMPUTED_VALUE"""),2024.0)</f>
        <v>2024</v>
      </c>
      <c r="AA940" s="31">
        <f>IFERROR(__xludf.DUMMYFUNCTION("""COMPUTED_VALUE"""),0.0)</f>
        <v>0</v>
      </c>
      <c r="AF940" s="31" t="str">
        <f>IFERROR(__xludf.DUMMYFUNCTION("""COMPUTED_VALUE"""),"Excess early postnatal weight gain leads to increased abdominal fat in young children.")</f>
        <v>Excess early postnatal weight gain leads to increased abdominal fat in young children.</v>
      </c>
      <c r="AG940" s="31" t="str">
        <f>IFERROR(__xludf.DUMMYFUNCTION("""COMPUTED_VALUE"""),"Evelein, Annemieke M V; Visseren, Frank L J; van der Ent, Cornelis K; Grobbee, Diederick E; Uiterwaal, Cuno S P M")</f>
        <v>Evelein, Annemieke M V; Visseren, Frank L J; van der Ent, Cornelis K; Grobbee, Diederick E; Uiterwaal, Cuno S P M</v>
      </c>
      <c r="AH940" s="32">
        <f>IFERROR(__xludf.DUMMYFUNCTION("""COMPUTED_VALUE"""),41038.0)</f>
        <v>41038</v>
      </c>
      <c r="AL940" s="31" t="str">
        <f>IFERROR(__xludf.DUMMYFUNCTION("""COMPUTED_VALUE"""),"Carotid intima-media thickness as a surrogate marker for cardiovascular disease in intervention studies.")</f>
        <v>Carotid intima-media thickness as a surrogate marker for cardiovascular disease in intervention studies.</v>
      </c>
      <c r="AM940" s="31" t="str">
        <f>IFERROR(__xludf.DUMMYFUNCTION("""COMPUTED_VALUE"""),"Bots, Michiel L")</f>
        <v>Bots, Michiel L</v>
      </c>
      <c r="AN940" s="32">
        <f>IFERROR(__xludf.DUMMYFUNCTION("""COMPUTED_VALUE"""),39022.0)</f>
        <v>39022</v>
      </c>
    </row>
    <row r="941">
      <c r="A941" s="32"/>
      <c r="I941" s="31" t="str">
        <f>IFERROR(__xludf.DUMMYFUNCTION("""COMPUTED_VALUE"""),"reproductive biomedicine online")</f>
        <v>reproductive biomedicine online</v>
      </c>
      <c r="J941" s="38">
        <f>COUNTIF(Data!$F$2:$F9917, $I941)</f>
        <v>1</v>
      </c>
      <c r="T941" s="31" t="s">
        <v>2835</v>
      </c>
      <c r="U941" s="31" t="s">
        <v>2836</v>
      </c>
      <c r="V941" s="32">
        <v>45035.0</v>
      </c>
      <c r="X941" s="31" t="str">
        <f>IFERROR(__xludf.DUMMYFUNCTION("""COMPUTED_VALUE"""),"Efficacy and safety in early-phase clinical trials for refractory colorectal cancer: A meta-analysis.")</f>
        <v>Efficacy and safety in early-phase clinical trials for refractory colorectal cancer: A meta-analysis.</v>
      </c>
      <c r="Y941" s="31" t="str">
        <f>IFERROR(__xludf.DUMMYFUNCTION("""COMPUTED_VALUE"""),"Smabers, Lidwien P; Huismans, Maarten A; van Nieuwenhuijzen, Niels; Minnema, Monique C; Kranenburg, Onno; Koopman, Miriam; Snippert, Hugo J G; May, Anne M; Roodhart, Jeanine M L")</f>
        <v>Smabers, Lidwien P; Huismans, Maarten A; van Nieuwenhuijzen, Niels; Minnema, Monique C; Kranenburg, Onno; Koopman, Miriam; Snippert, Hugo J G; May, Anne M; Roodhart, Jeanine M L</v>
      </c>
      <c r="Z941" s="31">
        <f>IFERROR(__xludf.DUMMYFUNCTION("""COMPUTED_VALUE"""),2024.0)</f>
        <v>2024</v>
      </c>
      <c r="AA941" s="31">
        <f>IFERROR(__xludf.DUMMYFUNCTION("""COMPUTED_VALUE"""),0.0)</f>
        <v>0</v>
      </c>
      <c r="AF941" s="31" t="str">
        <f>IFERROR(__xludf.DUMMYFUNCTION("""COMPUTED_VALUE"""),"Added value of pharmacogenetic testing in predicting statin response: results from the REGRESS trial.")</f>
        <v>Added value of pharmacogenetic testing in predicting statin response: results from the REGRESS trial.</v>
      </c>
      <c r="AG941" s="31" t="str">
        <f>IFERROR(__xludf.DUMMYFUNCTION("""COMPUTED_VALUE"""),"van der Baan, F H; Knol, M J; Maitland-van der Zee, A H; Regieli, J J; van Iperen, E P A; Egberts, A C G; Klungel, O H; Grobbee, D E; Jukema, J W")</f>
        <v>van der Baan, F H; Knol, M J; Maitland-van der Zee, A H; Regieli, J J; van Iperen, E P A; Egberts, A C G; Klungel, O H; Grobbee, D E; Jukema, J W</v>
      </c>
      <c r="AH941" s="32">
        <f>IFERROR(__xludf.DUMMYFUNCTION("""COMPUTED_VALUE"""),41030.0)</f>
        <v>41030</v>
      </c>
      <c r="AL941" s="31" t="str">
        <f>IFERROR(__xludf.DUMMYFUNCTION("""COMPUTED_VALUE"""),"Development and validation of MIX: comprehensive free software for meta-analysis of causal research data.")</f>
        <v>Development and validation of MIX: comprehensive free software for meta-analysis of causal research data.</v>
      </c>
      <c r="AM941" s="31" t="str">
        <f>IFERROR(__xludf.DUMMYFUNCTION("""COMPUTED_VALUE"""),"Bax, Leon; Yu, Ly-Mee; Ikeda, Noriaki; Tsuruta, Harukazu; Moons, Karel G M")</f>
        <v>Bax, Leon; Yu, Ly-Mee; Ikeda, Noriaki; Tsuruta, Harukazu; Moons, Karel G M</v>
      </c>
      <c r="AN941" s="32">
        <f>IFERROR(__xludf.DUMMYFUNCTION("""COMPUTED_VALUE"""),39003.0)</f>
        <v>39003</v>
      </c>
    </row>
    <row r="942">
      <c r="A942" s="32"/>
      <c r="I942" s="31" t="str">
        <f>IFERROR(__xludf.DUMMYFUNCTION("""COMPUTED_VALUE"""),"fertility and sterility")</f>
        <v>fertility and sterility</v>
      </c>
      <c r="J942" s="38">
        <f>COUNTIF(Data!$F$2:$F9917, $I942)</f>
        <v>5</v>
      </c>
      <c r="T942" s="31" t="s">
        <v>2839</v>
      </c>
      <c r="U942" s="31" t="s">
        <v>2840</v>
      </c>
      <c r="V942" s="32">
        <v>45033.0</v>
      </c>
      <c r="X942" s="31" t="str">
        <f>IFERROR(__xludf.DUMMYFUNCTION("""COMPUTED_VALUE"""),"Quality of life and functional outcome of rectal cancer patients: A prospective cohort study.")</f>
        <v>Quality of life and functional outcome of rectal cancer patients: A prospective cohort study.</v>
      </c>
      <c r="Y942" s="31" t="str">
        <f>IFERROR(__xludf.DUMMYFUNCTION("""COMPUTED_VALUE"""),"Pennings, Alexander J; Vink, Geraldine R; van Kuijk, Sander; Melenhorst, Jarno; Beets, Geerard L; May, Anne M; Breukink, Stephanie O")</f>
        <v>Pennings, Alexander J; Vink, Geraldine R; van Kuijk, Sander; Melenhorst, Jarno; Beets, Geerard L; May, Anne M; Breukink, Stephanie O</v>
      </c>
      <c r="Z942" s="31">
        <f>IFERROR(__xludf.DUMMYFUNCTION("""COMPUTED_VALUE"""),2024.0)</f>
        <v>2024</v>
      </c>
      <c r="AA942" s="31">
        <f>IFERROR(__xludf.DUMMYFUNCTION("""COMPUTED_VALUE"""),0.0)</f>
        <v>0</v>
      </c>
      <c r="AF942" s="31" t="str">
        <f>IFERROR(__xludf.DUMMYFUNCTION("""COMPUTED_VALUE"""),"The risk-benefit task of research ethics committees: an evaluation of current approaches and the need to incorporate decision studies methods.")</f>
        <v>The risk-benefit task of research ethics committees: an evaluation of current approaches and the need to incorporate decision studies methods.</v>
      </c>
      <c r="AG942" s="31" t="str">
        <f>IFERROR(__xludf.DUMMYFUNCTION("""COMPUTED_VALUE"""),"Bernabe, Rosemarie D L C; van Thiel, Ghislaine J M W; Raaijmakers, Jan A M; van Delden, Johannes J M")</f>
        <v>Bernabe, Rosemarie D L C; van Thiel, Ghislaine J M W; Raaijmakers, Jan A M; van Delden, Johannes J M</v>
      </c>
      <c r="AH942" s="32">
        <f>IFERROR(__xludf.DUMMYFUNCTION("""COMPUTED_VALUE"""),41019.0)</f>
        <v>41019</v>
      </c>
      <c r="AL942" s="31" t="str">
        <f>IFERROR(__xludf.DUMMYFUNCTION("""COMPUTED_VALUE"""),"The value of clinical findings and D-dimer tests in diagnosing deep vein thrombosis in primary care.")</f>
        <v>The value of clinical findings and D-dimer tests in diagnosing deep vein thrombosis in primary care.</v>
      </c>
      <c r="AM942" s="31" t="str">
        <f>IFERROR(__xludf.DUMMYFUNCTION("""COMPUTED_VALUE"""),"Oudega, Ruud; Hoes, Arno W; Toll, Diane B; Moons, Karel G M")</f>
        <v>Oudega, Ruud; Hoes, Arno W; Toll, Diane B; Moons, Karel G M</v>
      </c>
      <c r="AN942" s="32">
        <f>IFERROR(__xludf.DUMMYFUNCTION("""COMPUTED_VALUE"""),38991.0)</f>
        <v>38991</v>
      </c>
    </row>
    <row r="943">
      <c r="A943" s="32"/>
      <c r="I943" s="31" t="str">
        <f>IFERROR(__xludf.DUMMYFUNCTION("""COMPUTED_VALUE"""),"expert review of gastroenterology hepatology")</f>
        <v>expert review of gastroenterology hepatology</v>
      </c>
      <c r="J943" s="38">
        <f>COUNTIF(Data!$F$2:$F9917, $I943)</f>
        <v>1</v>
      </c>
      <c r="T943" s="31" t="s">
        <v>2843</v>
      </c>
      <c r="U943" s="31" t="s">
        <v>2844</v>
      </c>
      <c r="V943" s="32">
        <v>45033.0</v>
      </c>
      <c r="X943" s="31" t="str">
        <f>IFERROR(__xludf.DUMMYFUNCTION("""COMPUTED_VALUE"""),"Survival and patient-reported outcomes of real-world high-risk stage II and stage III colon cancer patients after reduction of adjuvant CAPOX duration from 6 to 3 months.")</f>
        <v>Survival and patient-reported outcomes of real-world high-risk stage II and stage III colon cancer patients after reduction of adjuvant CAPOX duration from 6 to 3 months.</v>
      </c>
      <c r="Y943" s="31" t="str">
        <f>IFERROR(__xludf.DUMMYFUNCTION("""COMPUTED_VALUE"""),"Franken, Ingrid A; van der Baan, Frederieke H; Vink, Geraldine R; May, Anne M; van Grevenstein, Wilhelmina M U; Koopman, Miriam; Roodhart, Jeanine M L")</f>
        <v>Franken, Ingrid A; van der Baan, Frederieke H; Vink, Geraldine R; May, Anne M; van Grevenstein, Wilhelmina M U; Koopman, Miriam; Roodhart, Jeanine M L</v>
      </c>
      <c r="Z943" s="31">
        <f>IFERROR(__xludf.DUMMYFUNCTION("""COMPUTED_VALUE"""),2024.0)</f>
        <v>2024</v>
      </c>
      <c r="AA943" s="31">
        <f>IFERROR(__xludf.DUMMYFUNCTION("""COMPUTED_VALUE"""),0.0)</f>
        <v>0</v>
      </c>
      <c r="AF943" s="31" t="str">
        <f>IFERROR(__xludf.DUMMYFUNCTION("""COMPUTED_VALUE"""),"Climacteric commentaries. Type and timing of menopause and all-cause and cardiovascular mortality.")</f>
        <v>Climacteric commentaries. Type and timing of menopause and all-cause and cardiovascular mortality.</v>
      </c>
      <c r="AG943" s="31" t="str">
        <f>IFERROR(__xludf.DUMMYFUNCTION("""COMPUTED_VALUE"""),"van der Schouw, Yvonne T")</f>
        <v>van der Schouw, Yvonne T</v>
      </c>
      <c r="AH943" s="32">
        <f>IFERROR(__xludf.DUMMYFUNCTION("""COMPUTED_VALUE"""),41000.0)</f>
        <v>41000</v>
      </c>
      <c r="AL943" s="31" t="str">
        <f>IFERROR(__xludf.DUMMYFUNCTION("""COMPUTED_VALUE"""),"Deep vein thrombosis in primary care: possible malignancy?")</f>
        <v>Deep vein thrombosis in primary care: possible malignancy?</v>
      </c>
      <c r="AM943" s="31" t="str">
        <f>IFERROR(__xludf.DUMMYFUNCTION("""COMPUTED_VALUE"""),"Oudega, Ruud; Moons, Karel G M; Karel Nieuwenhuis, H; van Nierop, Fred L; Hoes, Arno W")</f>
        <v>Oudega, Ruud; Moons, Karel G M; Karel Nieuwenhuis, H; van Nierop, Fred L; Hoes, Arno W</v>
      </c>
      <c r="AN943" s="32">
        <f>IFERROR(__xludf.DUMMYFUNCTION("""COMPUTED_VALUE"""),38961.0)</f>
        <v>38961</v>
      </c>
    </row>
    <row r="944">
      <c r="A944" s="32"/>
      <c r="I944" s="31" t="str">
        <f>IFERROR(__xludf.DUMMYFUNCTION("""COMPUTED_VALUE"""),"the american journal of cardiology")</f>
        <v>the american journal of cardiology</v>
      </c>
      <c r="J944" s="38">
        <f>COUNTIF(Data!$F$2:$F9917, $I944)</f>
        <v>10</v>
      </c>
      <c r="T944" s="31" t="s">
        <v>2847</v>
      </c>
      <c r="U944" s="31" t="s">
        <v>2848</v>
      </c>
      <c r="V944" s="32">
        <v>45032.0</v>
      </c>
      <c r="X944" s="31" t="str">
        <f>IFERROR(__xludf.DUMMYFUNCTION("""COMPUTED_VALUE"""),"Improving sustainability of a patient decision aid for systemic treatment of metastatic colorectal cancer: A qualitative study.")</f>
        <v>Improving sustainability of a patient decision aid for systemic treatment of metastatic colorectal cancer: A qualitative study.</v>
      </c>
      <c r="Y944" s="31" t="str">
        <f>IFERROR(__xludf.DUMMYFUNCTION("""COMPUTED_VALUE"""),"van Nassau, Sietske C M W; Voogdt-Pruis, Helene R; de Jong, Vincent M W; Otten, Hans-Martin; Valkenburg-van Iersel, Liselot B; Swarte, Bas J; Buffart, Tineke E; Pruijt, Hans J; Mekenkamp, Leonie J; Koopman, Miriam; May, Anne M")</f>
        <v>van Nassau, Sietske C M W; Voogdt-Pruis, Helene R; de Jong, Vincent M W; Otten, Hans-Martin; Valkenburg-van Iersel, Liselot B; Swarte, Bas J; Buffart, Tineke E; Pruijt, Hans J; Mekenkamp, Leonie J; Koopman, Miriam; May, Anne M</v>
      </c>
      <c r="Z944" s="31">
        <f>IFERROR(__xludf.DUMMYFUNCTION("""COMPUTED_VALUE"""),2024.0)</f>
        <v>2024</v>
      </c>
      <c r="AA944" s="31">
        <f>IFERROR(__xludf.DUMMYFUNCTION("""COMPUTED_VALUE"""),0.0)</f>
        <v>0</v>
      </c>
      <c r="AF944" s="31" t="str">
        <f>IFERROR(__xludf.DUMMYFUNCTION("""COMPUTED_VALUE"""),"Potential of adaptive clinical trial designs in pharmacogenetic research.")</f>
        <v>Potential of adaptive clinical trial designs in pharmacogenetic research.</v>
      </c>
      <c r="AG944" s="31" t="str">
        <f>IFERROR(__xludf.DUMMYFUNCTION("""COMPUTED_VALUE"""),"van der Baan, Frederieke H; Knol, Mirjam J; Klungel, Olaf H; Egberts, Antoine Cg; Grobbee, Diederick E; Roes, Kit C B")</f>
        <v>van der Baan, Frederieke H; Knol, Mirjam J; Klungel, Olaf H; Egberts, Antoine Cg; Grobbee, Diederick E; Roes, Kit C B</v>
      </c>
      <c r="AH944" s="32">
        <f>IFERROR(__xludf.DUMMYFUNCTION("""COMPUTED_VALUE"""),41000.0)</f>
        <v>41000</v>
      </c>
      <c r="AL944" s="31" t="str">
        <f>IFERROR(__xludf.DUMMYFUNCTION("""COMPUTED_VALUE"""),"Endogenous sex hormones, cognitive decline, and future dementia in old men.")</f>
        <v>Endogenous sex hormones, cognitive decline, and future dementia in old men.</v>
      </c>
      <c r="AM944" s="31" t="str">
        <f>IFERROR(__xludf.DUMMYFUNCTION("""COMPUTED_VALUE"""),"Geerlings, Mirjam I; Strozyk, Dorothea; Masaki, Kamal; Remaley, Alan T; Petrovitch, Helen; Ross, G Webster; White, Lon R; Launer, Lenore J")</f>
        <v>Geerlings, Mirjam I; Strozyk, Dorothea; Masaki, Kamal; Remaley, Alan T; Petrovitch, Helen; Ross, G Webster; White, Lon R; Launer, Lenore J</v>
      </c>
      <c r="AN944" s="32">
        <f>IFERROR(__xludf.DUMMYFUNCTION("""COMPUTED_VALUE"""),38961.0)</f>
        <v>38961</v>
      </c>
    </row>
    <row r="945">
      <c r="A945" s="32"/>
      <c r="I945" s="31" t="str">
        <f>IFERROR(__xludf.DUMMYFUNCTION("""COMPUTED_VALUE"""),"journal of global oncology")</f>
        <v>journal of global oncology</v>
      </c>
      <c r="J945" s="38">
        <f>COUNTIF(Data!$F$2:$F9917, $I945)</f>
        <v>1</v>
      </c>
      <c r="T945" s="31" t="s">
        <v>2851</v>
      </c>
      <c r="U945" s="31" t="s">
        <v>2852</v>
      </c>
      <c r="V945" s="32">
        <v>45031.0</v>
      </c>
      <c r="X945" s="31" t="str">
        <f>IFERROR(__xludf.DUMMYFUNCTION("""COMPUTED_VALUE"""),"Corticosteroids and other immunosuppressants for immune-related adverse events and checkpoint inhibitor effectiveness in melanoma.")</f>
        <v>Corticosteroids and other immunosuppressants for immune-related adverse events and checkpoint inhibitor effectiveness in melanoma.</v>
      </c>
      <c r="Y945" s="31" t="str">
        <f>IFERROR(__xludf.DUMMYFUNCTION("""COMPUTED_VALUE"""),"Verheijden, Rik J; Burgers, Femke H; Janssen, Josephine C; Putker, Anouk E; Veenstra, Sophie P G R; Hospers, Geke A P; Aarts, Maureen J B; Hehenkamp, Karel W; Doornebosch, Veerle L E; Verhaert, Marthe; van den Berkmortel, Franchette W P J; Chatzidionysiou"&amp;", Katerina; Llobell, Arturo; Barros, Milton; Maria, Alexandre T J; Takeji, Akari; García Morillo, José-Salvador; Lidar, Merav; van Eijs, Mick J M; Blank, Christian U; Aspeslagh, Sandrine; Piersma, Djura; Kapiteijn, Ellen; Labots, Mariette; Boers-Sonderen,"&amp;" Marye J; van der Veldt, Astrid A M; Haanen, John B A G; May, Anne M; Suijkerbuijk, Karijn P M")</f>
        <v>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v>
      </c>
      <c r="Z945" s="31">
        <f>IFERROR(__xludf.DUMMYFUNCTION("""COMPUTED_VALUE"""),2024.0)</f>
        <v>2024</v>
      </c>
      <c r="AA945" s="31">
        <f>IFERROR(__xludf.DUMMYFUNCTION("""COMPUTED_VALUE"""),0.0)</f>
        <v>0</v>
      </c>
      <c r="AF945" s="31" t="str">
        <f>IFERROR(__xludf.DUMMYFUNCTION("""COMPUTED_VALUE"""),"Safety learning from drugs of the same class: room for improvement.")</f>
        <v>Safety learning from drugs of the same class: room for improvement.</v>
      </c>
      <c r="AG945" s="31" t="str">
        <f>IFERROR(__xludf.DUMMYFUNCTION("""COMPUTED_VALUE"""),"Stefansdottir, G; Knol, M J; Arnardottir, A H; van der Elst, M E; Grobbee, D E; Leufkens, H G M; De Bruin, M L")</f>
        <v>Stefansdottir, G; Knol, M J; Arnardottir, A H; van der Elst, M E; Grobbee, D E; Leufkens, H G M; De Bruin, M L</v>
      </c>
      <c r="AH945" s="32">
        <f>IFERROR(__xludf.DUMMYFUNCTION("""COMPUTED_VALUE"""),40996.0)</f>
        <v>40996</v>
      </c>
      <c r="AL945" s="31" t="str">
        <f>IFERROR(__xludf.DUMMYFUNCTION("""COMPUTED_VALUE"""),"Imputation of missing values is superior to complete case analysis and the missing-indicator method in multivariable diagnostic research: a clinical example.")</f>
        <v>Imputation of missing values is superior to complete case analysis and the missing-indicator method in multivariable diagnostic research: a clinical example.</v>
      </c>
      <c r="AM945" s="31" t="str">
        <f>IFERROR(__xludf.DUMMYFUNCTION("""COMPUTED_VALUE"""),"van der Heijden, Geert J M G; Donders, A Rogier T; Stijnen, Theo; Moons, Karel G M")</f>
        <v>van der Heijden, Geert J M G; Donders, A Rogier T; Stijnen, Theo; Moons, Karel G M</v>
      </c>
      <c r="AN945" s="32">
        <f>IFERROR(__xludf.DUMMYFUNCTION("""COMPUTED_VALUE"""),38909.0)</f>
        <v>38909</v>
      </c>
    </row>
    <row r="946">
      <c r="A946" s="32"/>
      <c r="I946" s="31" t="str">
        <f>IFERROR(__xludf.DUMMYFUNCTION("""COMPUTED_VALUE"""),"bmc ear nose and throat disorders")</f>
        <v>bmc ear nose and throat disorders</v>
      </c>
      <c r="J946" s="38">
        <f>COUNTIF(Data!$F$2:$F9917, $I946)</f>
        <v>2</v>
      </c>
      <c r="T946" s="31" t="s">
        <v>2855</v>
      </c>
      <c r="U946" s="31" t="s">
        <v>2856</v>
      </c>
      <c r="V946" s="32">
        <v>45029.0</v>
      </c>
      <c r="X946" s="31" t="str">
        <f>IFERROR(__xludf.DUMMYFUNCTION("""COMPUTED_VALUE"""),"Reporting Guidelines for the Early-Phase Clinical Evaluation of Applications Using Extended Reality: RATE-XR Qualitative Study Guideline.")</f>
        <v>Reporting Guidelines for the Early-Phase Clinical Evaluation of Applications Using Extended Reality: RATE-XR Qualitative Study Guideline.</v>
      </c>
      <c r="Y946" s="31" t="str">
        <f>IFERROR(__xludf.DUMMYFUNCTION("""COMPUTED_VALUE"""),"Vlake, Johan H; Drop, Denzel L Q; Van Bommel, Jasper; Riva, Giuseppe; Wiederhold, Brenda K; Cipresso, Pietro; Rizzo, Albert S; Rothbaum, Barbara O; Botella, Cristina; Hooft, Lotty; Bienvenu, Oscar J; Jung, Christian; Geerts, Bart; Wils, Evert-Jan; Gommers"&amp;", Diederik; van Genderen, Michel E; ,")</f>
        <v>Vlake, Johan H; Drop, Denzel L Q; Van Bommel, Jasper; Riva, Giuseppe; Wiederhold, Brenda K; Cipresso, Pietro; Rizzo, Albert S; Rothbaum, Barbara O; Botella, Cristina; Hooft, Lotty; Bienvenu, Oscar J; Jung, Christian; Geerts, Bart; Wils, Evert-Jan; Gommers, Diederik; van Genderen, Michel E; ,</v>
      </c>
      <c r="Z946" s="31">
        <f>IFERROR(__xludf.DUMMYFUNCTION("""COMPUTED_VALUE"""),2024.0)</f>
        <v>2024</v>
      </c>
      <c r="AA946" s="31">
        <f>IFERROR(__xludf.DUMMYFUNCTION("""COMPUTED_VALUE"""),0.0)</f>
        <v>0</v>
      </c>
      <c r="AF946" s="31" t="str">
        <f>IFERROR(__xludf.DUMMYFUNCTION("""COMPUTED_VALUE"""),"Ethics of intergenerational (father-to-son) sperm donation.")</f>
        <v>Ethics of intergenerational (father-to-son) sperm donation.</v>
      </c>
      <c r="AG946" s="31" t="str">
        <f>IFERROR(__xludf.DUMMYFUNCTION("""COMPUTED_VALUE"""),"Bredenoord, Annelien L; Lock, Matthias T W T; Broekmans, Frank J M")</f>
        <v>Bredenoord, Annelien L; Lock, Matthias T W T; Broekmans, Frank J M</v>
      </c>
      <c r="AH946" s="32">
        <f>IFERROR(__xludf.DUMMYFUNCTION("""COMPUTED_VALUE"""),40975.0)</f>
        <v>40975</v>
      </c>
      <c r="AL946" s="31" t="str">
        <f>IFERROR(__xludf.DUMMYFUNCTION("""COMPUTED_VALUE"""),"Excluding deep vein thrombosis safely in primary care.")</f>
        <v>Excluding deep vein thrombosis safely in primary care.</v>
      </c>
      <c r="AM946" s="31" t="str">
        <f>IFERROR(__xludf.DUMMYFUNCTION("""COMPUTED_VALUE"""),"Toll, D B; Oudega, R; Bulten, R J; Hoes, A W; Moons, K G M")</f>
        <v>Toll, D B; Oudega, R; Bulten, R J; Hoes, A W; Moons, K G M</v>
      </c>
      <c r="AN946" s="32">
        <f>IFERROR(__xludf.DUMMYFUNCTION("""COMPUTED_VALUE"""),38899.0)</f>
        <v>38899</v>
      </c>
    </row>
    <row r="947">
      <c r="A947" s="32"/>
      <c r="I947" s="31" t="str">
        <f>IFERROR(__xludf.DUMMYFUNCTION("""COMPUTED_VALUE"""),"evidencebased medicine")</f>
        <v>evidencebased medicine</v>
      </c>
      <c r="J947" s="38">
        <f>COUNTIF(Data!$F$2:$F9917, $I947)</f>
        <v>2</v>
      </c>
      <c r="T947" s="31" t="s">
        <v>2860</v>
      </c>
      <c r="U947" s="31" t="s">
        <v>2861</v>
      </c>
      <c r="V947" s="32">
        <v>45029.0</v>
      </c>
      <c r="X947" s="31" t="str">
        <f>IFERROR(__xludf.DUMMYFUNCTION("""COMPUTED_VALUE"""),"Laboratory-based molecular test alternatives to RT-PCR for the diagnosis of SARS-CoV-2 infection.")</f>
        <v>Laboratory-based molecular test alternatives to RT-PCR for the diagnosis of SARS-CoV-2 infection.</v>
      </c>
      <c r="Y947" s="31" t="str">
        <f>IFERROR(__xludf.DUMMYFUNCTION("""COMPUTED_VALUE"""),"Arevalo-Rodriguez, Ingrid; Mateos-Haro, Miriam; Dinnes, Jacqueline; Ciapponi, Agustín; Davenport, Clare; Buitrago-Garcia, Diana; Bennouna-Dalero, Tayeb; Roqué-Figuls, Marta; Van den Bruel, Ann; von Eije, Karin J; Emperador, Devy; Hooft, Lotty; Spijker, Re"&amp;"né; Leeflang, Mariska Mg; Takwoingi, Yemisi; Deeks, Jonathan J")</f>
        <v>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v>
      </c>
      <c r="Z947" s="31">
        <f>IFERROR(__xludf.DUMMYFUNCTION("""COMPUTED_VALUE"""),2024.0)</f>
        <v>2024</v>
      </c>
      <c r="AA947" s="31">
        <f>IFERROR(__xludf.DUMMYFUNCTION("""COMPUTED_VALUE"""),0.0)</f>
        <v>0</v>
      </c>
      <c r="AF947" s="31" t="str">
        <f>IFERROR(__xludf.DUMMYFUNCTION("""COMPUTED_VALUE"""),"[Experimental treatment versus scientific research: data collection is not fundamentally different].")</f>
        <v>[Experimental treatment versus scientific research: data collection is not fundamentally different].</v>
      </c>
      <c r="AG947" s="31" t="str">
        <f>IFERROR(__xludf.DUMMYFUNCTION("""COMPUTED_VALUE"""),"van Delden, J J M Hans")</f>
        <v>van Delden, J J M Hans</v>
      </c>
      <c r="AH947" s="32">
        <f>IFERROR(__xludf.DUMMYFUNCTION("""COMPUTED_VALUE"""),40909.0)</f>
        <v>40909</v>
      </c>
      <c r="AL947" s="31" t="str">
        <f>IFERROR(__xludf.DUMMYFUNCTION("""COMPUTED_VALUE"""),"Using the outcome for imputation of missing predictor values was preferred.")</f>
        <v>Using the outcome for imputation of missing predictor values was preferred.</v>
      </c>
      <c r="AM947" s="31" t="str">
        <f>IFERROR(__xludf.DUMMYFUNCTION("""COMPUTED_VALUE"""),"Moons, Karel G M; Donders, Rogier A R T; Stijnen, Theo; Harrell, Frank E")</f>
        <v>Moons, Karel G M; Donders, Rogier A R T; Stijnen, Theo; Harrell, Frank E</v>
      </c>
      <c r="AN947" s="32">
        <f>IFERROR(__xludf.DUMMYFUNCTION("""COMPUTED_VALUE"""),38887.0)</f>
        <v>38887</v>
      </c>
    </row>
    <row r="948">
      <c r="A948" s="32"/>
      <c r="I948" s="31" t="str">
        <f>IFERROR(__xludf.DUMMYFUNCTION("""COMPUTED_VALUE"""),"journal of medical systems")</f>
        <v>journal of medical systems</v>
      </c>
      <c r="J948" s="38">
        <f>COUNTIF(Data!$F$2:$F9917, $I948)</f>
        <v>2</v>
      </c>
      <c r="T948" s="31" t="s">
        <v>2865</v>
      </c>
      <c r="U948" s="31" t="s">
        <v>2866</v>
      </c>
      <c r="V948" s="32">
        <v>45029.0</v>
      </c>
      <c r="X948" s="31" t="str">
        <f>IFERROR(__xludf.DUMMYFUNCTION("""COMPUTED_VALUE"""),"Exploring transparent reporting and data availability in systematic reviews to identify subgroup evidence: imaging for suspected hepatocellular carcinoma in the non-cirrhotic liver.")</f>
        <v>Exploring transparent reporting and data availability in systematic reviews to identify subgroup evidence: imaging for suspected hepatocellular carcinoma in the non-cirrhotic liver.</v>
      </c>
      <c r="Y948" s="31" t="str">
        <f>IFERROR(__xludf.DUMMYFUNCTION("""COMPUTED_VALUE"""),"Oerbekke, Michiel S; de Man, Robert A; van Vilsteren, Frederike G I; Nijkamp, Maarten W; Tjwa, Eric; Gaasterland, Charlotte M W; van der Laan, Maarten J; Hooft, Lotty")</f>
        <v>Oerbekke, Michiel S; de Man, Robert A; van Vilsteren, Frederike G I; Nijkamp, Maarten W; Tjwa, Eric; Gaasterland, Charlotte M W; van der Laan, Maarten J; Hooft, Lotty</v>
      </c>
      <c r="Z948" s="31">
        <f>IFERROR(__xludf.DUMMYFUNCTION("""COMPUTED_VALUE"""),2024.0)</f>
        <v>2024</v>
      </c>
      <c r="AA948" s="31">
        <f>IFERROR(__xludf.DUMMYFUNCTION("""COMPUTED_VALUE"""),0.0)</f>
        <v>0</v>
      </c>
      <c r="AF948" s="31" t="str">
        <f>IFERROR(__xludf.DUMMYFUNCTION("""COMPUTED_VALUE"""),"[Research in palliative care; is something better than nothing?].")</f>
        <v>[Research in palliative care; is something better than nothing?].</v>
      </c>
      <c r="AG948" s="31" t="str">
        <f>IFERROR(__xludf.DUMMYFUNCTION("""COMPUTED_VALUE"""),"van Delden, J J M Hans")</f>
        <v>van Delden, J J M Hans</v>
      </c>
      <c r="AH948" s="32">
        <f>IFERROR(__xludf.DUMMYFUNCTION("""COMPUTED_VALUE"""),40909.0)</f>
        <v>40909</v>
      </c>
      <c r="AL948" s="31" t="str">
        <f>IFERROR(__xludf.DUMMYFUNCTION("""COMPUTED_VALUE"""),"Physical activity in relation to mammographic density in the dutch prospect-European prospective investigation into cancer and nutrition cohort.")</f>
        <v>Physical activity in relation to mammographic density in the dutch prospect-European prospective investigation into cancer and nutrition cohort.</v>
      </c>
      <c r="AM948" s="31" t="str">
        <f>IFERROR(__xludf.DUMMYFUNCTION("""COMPUTED_VALUE"""),"Suijkerbuijk, Karijn P M; Van Duijnhoven, Fränzel J B; Van Gils, Carla H; Van Noord, Paulus A H; Peeters, Petra H M; Friedenreich, Christine M; Monninkhof, Evelyn M")</f>
        <v>Suijkerbuijk, Karijn P M; Van Duijnhoven, Fränzel J B; Van Gils, Carla H; Van Noord, Paulus A H; Peeters, Petra H M; Friedenreich, Christine M; Monninkhof, Evelyn M</v>
      </c>
      <c r="AN948" s="32">
        <f>IFERROR(__xludf.DUMMYFUNCTION("""COMPUTED_VALUE"""),38777.0)</f>
        <v>38777</v>
      </c>
    </row>
    <row r="949">
      <c r="A949" s="32"/>
      <c r="I949" s="31" t="str">
        <f>IFERROR(__xludf.DUMMYFUNCTION("""COMPUTED_VALUE"""),"journal of dairy science")</f>
        <v>journal of dairy science</v>
      </c>
      <c r="J949" s="38">
        <f>COUNTIF(Data!$F$2:$F9917, $I949)</f>
        <v>1</v>
      </c>
      <c r="T949" s="31" t="s">
        <v>2869</v>
      </c>
      <c r="U949" s="31" t="s">
        <v>2870</v>
      </c>
      <c r="V949" s="32">
        <v>45028.0</v>
      </c>
      <c r="X949" s="31" t="str">
        <f>IFERROR(__xludf.DUMMYFUNCTION("""COMPUTED_VALUE"""),"An exploration of available methods and tools to improve the efficiency of systematic review production: a scoping review.")</f>
        <v>An exploration of available methods and tools to improve the efficiency of systematic review production: a scoping review.</v>
      </c>
      <c r="Y949" s="31" t="str">
        <f>IFERROR(__xludf.DUMMYFUNCTION("""COMPUTED_VALUE"""),"Affengruber, Lisa; van der Maten, Miriam M; Spiero, Isa; Nussbaumer-Streit, Barbara; Mahmić-Kaknjo, Mersiha; Ellen, Moriah E; Goossen, Käthe; Kantorova, Lucia; Hooft, Lotty; Riva, Nicoletta; Poulentzas, Georgios; Lalagkas, Panagiotis Nikolaos; Silva, Anab"&amp;"ela G; Sassano, Michele; Sfetcu, Raluca; Marqués, María E; Friessova, Tereza; Baladia, Eduard; Pezzullo, Angelo Maria; Martinez, Patricia; Gartlehner, Gerald; Spijker, René")</f>
        <v>Affengruber, Lisa; van der Maten, Miriam M; Spiero, Isa; Nussbaumer-Streit, Barbara; Mahmić-Kaknjo, Mersiha; Ellen, Moriah E; Goossen, Käthe; Kantorova, Lucia; Hooft, Lotty; Riva, Nicoletta; Poulentzas, Georgios; Lalagkas, Panagiotis Nikolaos; Silva, Anabela G; Sassano, Michele; Sfetcu, Raluca; Marqués, María E; Friessova, Tereza; Baladia, Eduard; Pezzullo, Angelo Maria; Martinez, Patricia; Gartlehner, Gerald; Spijker, René</v>
      </c>
      <c r="Z949" s="31">
        <f>IFERROR(__xludf.DUMMYFUNCTION("""COMPUTED_VALUE"""),2024.0)</f>
        <v>2024</v>
      </c>
      <c r="AA949" s="31">
        <f>IFERROR(__xludf.DUMMYFUNCTION("""COMPUTED_VALUE"""),0.0)</f>
        <v>0</v>
      </c>
      <c r="AF949" s="31" t="str">
        <f>IFERROR(__xludf.DUMMYFUNCTION("""COMPUTED_VALUE"""),"[Removal from the Dutch healthcare professionals register: considerations taken into account by the disciplinary tribunal from 2006 to 2011].")</f>
        <v>[Removal from the Dutch healthcare professionals register: considerations taken into account by the disciplinary tribunal from 2006 to 2011].</v>
      </c>
      <c r="AG949" s="31" t="str">
        <f>IFERROR(__xludf.DUMMYFUNCTION("""COMPUTED_VALUE"""),"Oomen, Robert J A; Biesaart, Monique C I H")</f>
        <v>Oomen, Robert J A; Biesaart, Monique C I H</v>
      </c>
      <c r="AH949" s="32">
        <f>IFERROR(__xludf.DUMMYFUNCTION("""COMPUTED_VALUE"""),40909.0)</f>
        <v>40909</v>
      </c>
      <c r="AL949" s="31" t="str">
        <f>IFERROR(__xludf.DUMMYFUNCTION("""COMPUTED_VALUE"""),"Predictors of risk of intracerebral haemorrhage in patients with a history of TIA or minor ischaemic stroke.")</f>
        <v>Predictors of risk of intracerebral haemorrhage in patients with a history of TIA or minor ischaemic stroke.</v>
      </c>
      <c r="AM949" s="31" t="str">
        <f>IFERROR(__xludf.DUMMYFUNCTION("""COMPUTED_VALUE"""),"Ariesen, M J; Algra, A; Warlow, C P; Rothwell, P M; ,")</f>
        <v>Ariesen, M J; Algra, A; Warlow, C P; Rothwell, P M; ,</v>
      </c>
      <c r="AN949" s="32">
        <f>IFERROR(__xludf.DUMMYFUNCTION("""COMPUTED_VALUE"""),38718.0)</f>
        <v>38718</v>
      </c>
    </row>
    <row r="950">
      <c r="A950" s="32"/>
      <c r="I950" s="31" t="str">
        <f>IFERROR(__xludf.DUMMYFUNCTION("""COMPUTED_VALUE"""),"otolaryngologyhead and neck surgery official journal of american academy of otolaryngologyhead and neck surgery")</f>
        <v>otolaryngologyhead and neck surgery official journal of american academy of otolaryngologyhead and neck surgery</v>
      </c>
      <c r="J950" s="38">
        <f>COUNTIF(Data!$F$2:$F9917, $I950)</f>
        <v>5</v>
      </c>
      <c r="T950" s="31" t="s">
        <v>2873</v>
      </c>
      <c r="U950" s="31" t="s">
        <v>2874</v>
      </c>
      <c r="V950" s="32">
        <v>45028.0</v>
      </c>
      <c r="X950" s="31" t="str">
        <f>IFERROR(__xludf.DUMMYFUNCTION("""COMPUTED_VALUE"""),"Prioritising nurses' and doctors' health at work: a scoping review of monitoring instruments.")</f>
        <v>Prioritising nurses' and doctors' health at work: a scoping review of monitoring instruments.</v>
      </c>
      <c r="Y950" s="31" t="str">
        <f>IFERROR(__xludf.DUMMYFUNCTION("""COMPUTED_VALUE"""),"Boskma, Amber; Braak, Kim; Demenaga, Kiki; Idema, Demy; Hooft, Lotty; Wietasch, Götz; Franx, Arie; van der Laan, Maarten J")</f>
        <v>Boskma, Amber; Braak, Kim; Demenaga, Kiki; Idema, Demy; Hooft, Lotty; Wietasch, Götz; Franx, Arie; van der Laan, Maarten J</v>
      </c>
      <c r="Z950" s="31">
        <f>IFERROR(__xludf.DUMMYFUNCTION("""COMPUTED_VALUE"""),2024.0)</f>
        <v>2024</v>
      </c>
      <c r="AA950" s="31">
        <f>IFERROR(__xludf.DUMMYFUNCTION("""COMPUTED_VALUE"""),0.0)</f>
        <v>0</v>
      </c>
      <c r="AF950" s="31" t="str">
        <f>IFERROR(__xludf.DUMMYFUNCTION("""COMPUTED_VALUE"""),"Hormone therapy and coronary heart disease risk by vasomotor menopausal symptoms.")</f>
        <v>Hormone therapy and coronary heart disease risk by vasomotor menopausal symptoms.</v>
      </c>
      <c r="AG950" s="31" t="str">
        <f>IFERROR(__xludf.DUMMYFUNCTION("""COMPUTED_VALUE"""),"Gast, Gerrie-Cor M; Pop, Victor J M; Samsioe, Göran N; Grobbee, Diederick E; Nilsson, Peter M; Keyzer, Jules J; Wijnands-van Gent, Colette J M; van der Schouw, Yvonne T")</f>
        <v>Gast, Gerrie-Cor M; Pop, Victor J M; Samsioe, Göran N; Grobbee, Diederick E; Nilsson, Peter M; Keyzer, Jules J; Wijnands-van Gent, Colette J M; van der Schouw, Yvonne T</v>
      </c>
      <c r="AH950" s="32">
        <f>IFERROR(__xludf.DUMMYFUNCTION("""COMPUTED_VALUE"""),40821.0)</f>
        <v>40821</v>
      </c>
      <c r="AL950" s="31" t="str">
        <f>IFERROR(__xludf.DUMMYFUNCTION("""COMPUTED_VALUE"""),"Antiplatelet drugs in the secondary prevention after stroke: differential efficacy in large versus small vessel disease? A subgroup analysis from ESPS-2.")</f>
        <v>Antiplatelet drugs in the secondary prevention after stroke: differential efficacy in large versus small vessel disease? A subgroup analysis from ESPS-2.</v>
      </c>
      <c r="AM950" s="31" t="str">
        <f>IFERROR(__xludf.DUMMYFUNCTION("""COMPUTED_VALUE"""),"Ariesen, Marie-José; Algra, Ale; Kappelle, L Jaap")</f>
        <v>Ariesen, Marie-José; Algra, Ale; Kappelle, L Jaap</v>
      </c>
      <c r="AN950" s="32">
        <f>IFERROR(__xludf.DUMMYFUNCTION("""COMPUTED_VALUE"""),38679.0)</f>
        <v>38679</v>
      </c>
    </row>
    <row r="951">
      <c r="A951" s="32"/>
      <c r="I951" s="31" t="str">
        <f>IFERROR(__xludf.DUMMYFUNCTION("""COMPUTED_VALUE"""),"the american journal of medicine")</f>
        <v>the american journal of medicine</v>
      </c>
      <c r="J951" s="38">
        <f>COUNTIF(Data!$F$2:$F9917, $I951)</f>
        <v>5</v>
      </c>
      <c r="T951" s="31" t="s">
        <v>2878</v>
      </c>
      <c r="U951" s="31" t="s">
        <v>2879</v>
      </c>
      <c r="V951" s="32">
        <v>45027.0</v>
      </c>
      <c r="X951" s="31" t="str">
        <f>IFERROR(__xludf.DUMMYFUNCTION("""COMPUTED_VALUE"""),"Determinants of Citizens' Intention to Participate in Self-Led Contact Tracing: Cross-Sectional Online Questionnaire Study.")</f>
        <v>Determinants of Citizens' Intention to Participate in Self-Led Contact Tracing: Cross-Sectional Online Questionnaire Study.</v>
      </c>
      <c r="Y951" s="31" t="str">
        <f>IFERROR(__xludf.DUMMYFUNCTION("""COMPUTED_VALUE"""),"Helms, Yannick Bernd; van der Meer, Akke; Crutzen, Rik; Ferreira, José António; Kretzschmar, Mirjam E E; Timen, Aura; Hamdiui, Nora; Stein, Mart L")</f>
        <v>Helms, Yannick Bernd; van der Meer, Akke; Crutzen, Rik; Ferreira, José António; Kretzschmar, Mirjam E E; Timen, Aura; Hamdiui, Nora; Stein, Mart L</v>
      </c>
      <c r="Z951" s="31">
        <f>IFERROR(__xludf.DUMMYFUNCTION("""COMPUTED_VALUE"""),2024.0)</f>
        <v>2024</v>
      </c>
      <c r="AA951" s="31">
        <f>IFERROR(__xludf.DUMMYFUNCTION("""COMPUTED_VALUE"""),0.0)</f>
        <v>0</v>
      </c>
      <c r="AF951" s="31" t="str">
        <f>IFERROR(__xludf.DUMMYFUNCTION("""COMPUTED_VALUE"""),"Pharmacogenetics in randomized controlled trials: considerations for trial design.")</f>
        <v>Pharmacogenetics in randomized controlled trials: considerations for trial design.</v>
      </c>
      <c r="AG951" s="31" t="str">
        <f>IFERROR(__xludf.DUMMYFUNCTION("""COMPUTED_VALUE"""),"van der Baan, Frederieke H; Klungel, Olaf H; Egberts, Antoine C G; Leufkens, Hubert G; Grobbee, Diederick E; Roes, Kit C B; Knol, Mirjam J")</f>
        <v>van der Baan, Frederieke H; Klungel, Olaf H; Egberts, Antoine C G; Leufkens, Hubert G; Grobbee, Diederick E; Roes, Kit C B; Knol, Mirjam J</v>
      </c>
      <c r="AH951" s="32">
        <f>IFERROR(__xludf.DUMMYFUNCTION("""COMPUTED_VALUE"""),40817.0)</f>
        <v>40817</v>
      </c>
      <c r="AL951" s="31" t="str">
        <f>IFERROR(__xludf.DUMMYFUNCTION("""COMPUTED_VALUE"""),"The Wells rule does not adequately rule out deep venous thrombosis in primary care patients.")</f>
        <v>The Wells rule does not adequately rule out deep venous thrombosis in primary care patients.</v>
      </c>
      <c r="AM951" s="31" t="str">
        <f>IFERROR(__xludf.DUMMYFUNCTION("""COMPUTED_VALUE"""),"Oudega, Ruud; Hoes, Arno W; Moons, Karel G M")</f>
        <v>Oudega, Ruud; Hoes, Arno W; Moons, Karel G M</v>
      </c>
      <c r="AN951" s="32">
        <f>IFERROR(__xludf.DUMMYFUNCTION("""COMPUTED_VALUE"""),38552.0)</f>
        <v>38552</v>
      </c>
    </row>
    <row r="952">
      <c r="A952" s="32"/>
      <c r="I952" s="31" t="str">
        <f>IFERROR(__xludf.DUMMYFUNCTION("""COMPUTED_VALUE"""),"anaesthesia")</f>
        <v>anaesthesia</v>
      </c>
      <c r="J952" s="38">
        <f>COUNTIF(Data!$F$2:$F9917, $I952)</f>
        <v>2</v>
      </c>
      <c r="T952" s="31" t="s">
        <v>2883</v>
      </c>
      <c r="U952" s="31" t="s">
        <v>2884</v>
      </c>
      <c r="V952" s="32">
        <v>45027.0</v>
      </c>
      <c r="X952" s="31" t="str">
        <f>IFERROR(__xludf.DUMMYFUNCTION("""COMPUTED_VALUE"""),"Reproductive factors and mammographic density within the International Consortium of Mammographic Density: A cross-sectional study.")</f>
        <v>Reproductive factors and mammographic density within the International Consortium of Mammographic Density: A cross-sectional study.</v>
      </c>
      <c r="Y952" s="31" t="str">
        <f>IFERROR(__xludf.DUMMYFUNCTION("""COMPUTED_VALUE"""),"O'Driscoll, Jessica; Burton, Anya; Maskarinec, Gertraud; Perez-Gomez, Beatriz; Vachon, Celine; Miao, Hui; Lajous, Martín; López-Ridaura, Ruy; Eliassen, A Heather; Pereira, Ana; Garmendia, Maria Luisa; Tamimi, Rulla M; Bertrand, Kimberly; Kwong, Ava; Ursin"&amp;", Giske; Lee, Eunjung; Qureshi, Samera A; Ma, Huiyan; Vinnicombe, Sarah; Moss, Sue; Allen, Steve; Ndumia, Rose; Vinayak, Sudhir; Teo, Soo-Hwang; Mariapun, Shivaani; Fadzli, Farhana; Peplonska, Beata; Nagata, Chisato; Stone, Jennifer; Hopper, John L; Giles"&amp;", Graham; Ozmen, Vahit; Aribal, Mustafa Erkin; Schüz, Joachim; Van Gils, Carla H; Wanders, Johanna O P; Sirous, Reza; Sirous, Mehri; Hipwell, John; Kim, Jisun; Lee, Jong Won; Hartman, Mikael; Li, Jingmei; Scott, Christopher; Chiarelli, Anna M; Linton, Lin"&amp;"da; Pollan, Marina; Flugelman, Anath Arzee; Salem, Dorria; Kamal, Rasha; Boyd, Norman; Dos-Santos-Silva, Isabel; McCormack, Valerie; Mullooly, Maeve")</f>
        <v>O'Driscoll, Jessica; Burton, Anya; Maskarinec, Gertraud; Perez-Gomez, Beatriz; Vachon, Celine; Miao, Hui; Lajous, Martín; López-Ridaura, Ruy; Eliassen, A Heather; Pereira, Ana; Garmendia, Maria Luisa; Tamimi, Rulla M; Bertrand, Kimberly; Kwong, Ava; Ursin, Giske; Lee, Eunjung; Qureshi, Samera A; Ma, Huiyan; Vinnicombe, Sarah; Moss, Sue; Allen, Steve; Ndumia, Rose; Vinayak, Sudhir; Teo, Soo-Hwang; Mariapun, Shivaani; Fadzli, Farhana; Peplonska, Beata; Nagata, Chisato; Stone, Jennifer; Hopper, John L; Giles, Graham; Ozmen, Vahit; Aribal, Mustafa Erkin; Schüz, Joachim; Van Gils, Carla H; Wanders, Johanna O P; Sirous, Reza; Sirous, Mehri; Hipwell, John; Kim, Jisun; Lee, Jong Won; Hartman, Mikael; Li, Jingmei; Scott, Christopher; Chiarelli, Anna M; Linton, Linda; Pollan, Marina; Flugelman, Anath Arzee; Salem, Dorria; Kamal, Rasha; Boyd, Norman; Dos-Santos-Silva, Isabel; McCormack, Valerie; Mullooly, Maeve</v>
      </c>
      <c r="Z952" s="31">
        <f>IFERROR(__xludf.DUMMYFUNCTION("""COMPUTED_VALUE"""),2024.0)</f>
        <v>2024</v>
      </c>
      <c r="AA952" s="31">
        <f>IFERROR(__xludf.DUMMYFUNCTION("""COMPUTED_VALUE"""),0.0)</f>
        <v>0</v>
      </c>
      <c r="AF952" s="31" t="str">
        <f>IFERROR(__xludf.DUMMYFUNCTION("""COMPUTED_VALUE"""),"Randomized controlled trials of COX-2 inhibitors: an analysis of doses used and trends over time to investigate implications for comparative safety.")</f>
        <v>Randomized controlled trials of COX-2 inhibitors: an analysis of doses used and trends over time to investigate implications for comparative safety.</v>
      </c>
      <c r="AG952" s="31" t="str">
        <f>IFERROR(__xludf.DUMMYFUNCTION("""COMPUTED_VALUE"""),"Stefansdottir, Gudrun; De Bruin, Marie L; Knol, Mirjam J; Grobbee, Diederick E; Leufkens, Hubert G M")</f>
        <v>Stefansdottir, Gudrun; De Bruin, Marie L; Knol, Mirjam J; Grobbee, Diederick E; Leufkens, Hubert G M</v>
      </c>
      <c r="AH952" s="32">
        <f>IFERROR(__xludf.DUMMYFUNCTION("""COMPUTED_VALUE"""),40787.0)</f>
        <v>40787</v>
      </c>
      <c r="AL952" s="31" t="str">
        <f>IFERROR(__xludf.DUMMYFUNCTION("""COMPUTED_VALUE"""),"Ruling out deep venous thrombosis in primary care. A simple diagnostic algorithm including D-dimer testing.")</f>
        <v>Ruling out deep venous thrombosis in primary care. A simple diagnostic algorithm including D-dimer testing.</v>
      </c>
      <c r="AM952" s="31" t="str">
        <f>IFERROR(__xludf.DUMMYFUNCTION("""COMPUTED_VALUE"""),"Oudega, Ruud; Moons, Karel G M; Hoes, Arno W")</f>
        <v>Oudega, Ruud; Moons, Karel G M; Hoes, Arno W</v>
      </c>
      <c r="AN952" s="32">
        <f>IFERROR(__xludf.DUMMYFUNCTION("""COMPUTED_VALUE"""),38534.0)</f>
        <v>38534</v>
      </c>
    </row>
    <row r="953">
      <c r="A953" s="32"/>
      <c r="I953" s="31" t="str">
        <f>IFERROR(__xludf.DUMMYFUNCTION("""COMPUTED_VALUE"""),"health and quality of life outcomes")</f>
        <v>health and quality of life outcomes</v>
      </c>
      <c r="J953" s="38">
        <f>COUNTIF(Data!$F$2:$F9917, $I953)</f>
        <v>3</v>
      </c>
      <c r="T953" s="31" t="s">
        <v>2887</v>
      </c>
      <c r="U953" s="31" t="s">
        <v>1758</v>
      </c>
      <c r="V953" s="32">
        <v>45027.0</v>
      </c>
      <c r="X953" s="31" t="str">
        <f>IFERROR(__xludf.DUMMYFUNCTION("""COMPUTED_VALUE"""),"The effect of skeletal muscle mass on dose-limiting toxicities during (chemo)radiotherapy in patients with head and neck cancer: A systematic review and meta-analysis.")</f>
        <v>The effect of skeletal muscle mass on dose-limiting toxicities during (chemo)radiotherapy in patients with head and neck cancer: A systematic review and meta-analysis.</v>
      </c>
      <c r="Y953" s="31" t="str">
        <f>IFERROR(__xludf.DUMMYFUNCTION("""COMPUTED_VALUE"""),"Schaeffers, A W M A; Scholten, H A; van Beers, M A; Meussen, B W; Smid, E J; van Gils, C H; Devriese, L A; de Bree, R")</f>
        <v>Schaeffers, A W M A; Scholten, H A; van Beers, M A; Meussen, B W; Smid, E J; van Gils, C H; Devriese, L A; de Bree, R</v>
      </c>
      <c r="Z953" s="31">
        <f>IFERROR(__xludf.DUMMYFUNCTION("""COMPUTED_VALUE"""),2024.0)</f>
        <v>2024</v>
      </c>
      <c r="AA953" s="31">
        <f>IFERROR(__xludf.DUMMYFUNCTION("""COMPUTED_VALUE"""),0.0)</f>
        <v>0</v>
      </c>
      <c r="AF953" s="31" t="str">
        <f>IFERROR(__xludf.DUMMYFUNCTION("""COMPUTED_VALUE"""),"Cardiovascular prevention and international health: time for action.")</f>
        <v>Cardiovascular prevention and international health: time for action.</v>
      </c>
      <c r="AG953" s="31" t="str">
        <f>IFERROR(__xludf.DUMMYFUNCTION("""COMPUTED_VALUE"""),"Browne, Joyce L; Grobbee, Diederick E")</f>
        <v>Browne, Joyce L; Grobbee, Diederick E</v>
      </c>
      <c r="AH953" s="32">
        <f>IFERROR(__xludf.DUMMYFUNCTION("""COMPUTED_VALUE"""),40756.0)</f>
        <v>40756</v>
      </c>
      <c r="AL953" s="31" t="str">
        <f>IFERROR(__xludf.DUMMYFUNCTION("""COMPUTED_VALUE"""),"Applicability and relevance of models that predict short term outcome after intracerebral haemorrhage.")</f>
        <v>Applicability and relevance of models that predict short term outcome after intracerebral haemorrhage.</v>
      </c>
      <c r="AM953" s="31" t="str">
        <f>IFERROR(__xludf.DUMMYFUNCTION("""COMPUTED_VALUE"""),"Ariesen, M J; Algra, A; van der Worp, H B; Rinkel, G J E")</f>
        <v>Ariesen, M J; Algra, A; van der Worp, H B; Rinkel, G J E</v>
      </c>
      <c r="AN953" s="32">
        <f>IFERROR(__xludf.DUMMYFUNCTION("""COMPUTED_VALUE"""),38504.0)</f>
        <v>38504</v>
      </c>
    </row>
    <row r="954">
      <c r="A954" s="32"/>
      <c r="I954" s="31" t="str">
        <f>IFERROR(__xludf.DUMMYFUNCTION("""COMPUTED_VALUE"""),"cancer causes control ccc")</f>
        <v>cancer causes control ccc</v>
      </c>
      <c r="J954" s="38">
        <f>COUNTIF(Data!$F$2:$F9917, $I954)</f>
        <v>9</v>
      </c>
      <c r="T954" s="31" t="s">
        <v>2890</v>
      </c>
      <c r="U954" s="31" t="s">
        <v>2891</v>
      </c>
      <c r="V954" s="32">
        <v>45026.0</v>
      </c>
      <c r="X954" s="31" t="str">
        <f>IFERROR(__xludf.DUMMYFUNCTION("""COMPUTED_VALUE"""),"Prevotella timonensis Bacteria Associated With Vaginal Dysbiosis Enhance Human Immunodeficiency Virus Type 1 Susceptibility Of Vaginal CD4+ T Cells.")</f>
        <v>Prevotella timonensis Bacteria Associated With Vaginal Dysbiosis Enhance Human Immunodeficiency Virus Type 1 Susceptibility Of Vaginal CD4+ T Cells.</v>
      </c>
      <c r="Y954" s="31" t="str">
        <f>IFERROR(__xludf.DUMMYFUNCTION("""COMPUTED_VALUE"""),"van Teijlingen, Nienke H; van Smoorenburg, Marleen Y; Sarrami-Forooshani, Ramin; Zijlstra-Willems, Esther M; van Hamme, John L; Borgdorff, Hanneke; van de Wijgert, Janneke H H M; van Leeuwen, Elisabeth; van der Post, Joris A M; Strijbis, Karin; Ribeiro, C"&amp;"arla M S; Geijtenbeek, Teunis B H")</f>
        <v>van Teijlingen, Nienke H; van Smoorenburg, Marleen Y; Sarrami-Forooshani, Ramin; Zijlstra-Willems, Esther M; van Hamme, John L; Borgdorff, Hanneke; van de Wijgert, Janneke H H M; van Leeuwen, Elisabeth; van der Post, Joris A M; Strijbis, Karin; Ribeiro, Carla M S; Geijtenbeek, Teunis B H</v>
      </c>
      <c r="Z954" s="31">
        <f>IFERROR(__xludf.DUMMYFUNCTION("""COMPUTED_VALUE"""),2024.0)</f>
        <v>2024</v>
      </c>
      <c r="AA954" s="31">
        <f>IFERROR(__xludf.DUMMYFUNCTION("""COMPUTED_VALUE"""),0.0)</f>
        <v>0</v>
      </c>
      <c r="AF954" s="31" t="str">
        <f>IFERROR(__xludf.DUMMYFUNCTION("""COMPUTED_VALUE"""),"Is informed consent necessary for randomized Phase IV 'observational' drug studies?")</f>
        <v>Is informed consent necessary for randomized Phase IV 'observational' drug studies?</v>
      </c>
      <c r="AG954" s="31" t="str">
        <f>IFERROR(__xludf.DUMMYFUNCTION("""COMPUTED_VALUE"""),"Bernabe, Rosemarie D C; van Thiel, Ghislaine J M W; Raaijmakers, Jan A M; van Delden, Johannes J M")</f>
        <v>Bernabe, Rosemarie D C; van Thiel, Ghislaine J M W; Raaijmakers, Jan A M; van Delden, Johannes J M</v>
      </c>
      <c r="AH954" s="32">
        <f>IFERROR(__xludf.DUMMYFUNCTION("""COMPUTED_VALUE"""),40723.0)</f>
        <v>40723</v>
      </c>
      <c r="AL954" s="31" t="str">
        <f>IFERROR(__xludf.DUMMYFUNCTION("""COMPUTED_VALUE"""),"Neurodevelopmental treatment after stroke: a comparative study.")</f>
        <v>Neurodevelopmental treatment after stroke: a comparative study.</v>
      </c>
      <c r="AM954" s="31" t="str">
        <f>IFERROR(__xludf.DUMMYFUNCTION("""COMPUTED_VALUE"""),"Hafsteinsdóttir, T B; Algra, A; Kappelle, L J; Grypdonck, M H F; ,")</f>
        <v>Hafsteinsdóttir, T B; Algra, A; Kappelle, L J; Grypdonck, M H F; ,</v>
      </c>
      <c r="AN954" s="32">
        <f>IFERROR(__xludf.DUMMYFUNCTION("""COMPUTED_VALUE"""),38504.0)</f>
        <v>38504</v>
      </c>
    </row>
    <row r="955">
      <c r="A955" s="32"/>
      <c r="I955" s="31" t="str">
        <f>IFERROR(__xludf.DUMMYFUNCTION("""COMPUTED_VALUE"""),"bmc pharmacology toxicology")</f>
        <v>bmc pharmacology toxicology</v>
      </c>
      <c r="J955" s="38">
        <f>COUNTIF(Data!$F$2:$F9917, $I955)</f>
        <v>1</v>
      </c>
      <c r="T955" s="31" t="s">
        <v>2895</v>
      </c>
      <c r="U955" s="31" t="s">
        <v>2896</v>
      </c>
      <c r="V955" s="32">
        <v>45026.0</v>
      </c>
      <c r="X955" s="31" t="str">
        <f>IFERROR(__xludf.DUMMYFUNCTION("""COMPUTED_VALUE"""),"What motivates people with type 2 diabetes mellitus to participate in clinical trials from home?")</f>
        <v>What motivates people with type 2 diabetes mellitus to participate in clinical trials from home?</v>
      </c>
      <c r="Y955" s="31" t="str">
        <f>IFERROR(__xludf.DUMMYFUNCTION("""COMPUTED_VALUE"""),"Kopanz, Julia; Lagerwaard, Bart; Beran, Magdalena; Veldwijk, Jorien; Mader, Julia K; Pöttler, Tina; Tews, Dietrich; Grobbee, Diederick E; Zuidgeest, Mira G P; ,")</f>
        <v>Kopanz, Julia; Lagerwaard, Bart; Beran, Magdalena; Veldwijk, Jorien; Mader, Julia K; Pöttler, Tina; Tews, Dietrich; Grobbee, Diederick E; Zuidgeest, Mira G P; ,</v>
      </c>
      <c r="Z955" s="31">
        <f>IFERROR(__xludf.DUMMYFUNCTION("""COMPUTED_VALUE"""),2024.0)</f>
        <v>2024</v>
      </c>
      <c r="AA955" s="31">
        <f>IFERROR(__xludf.DUMMYFUNCTION("""COMPUTED_VALUE"""),0.0)</f>
        <v>0</v>
      </c>
      <c r="AF955" s="31" t="str">
        <f>IFERROR(__xludf.DUMMYFUNCTION("""COMPUTED_VALUE"""),"Clinical utility of three B-type natriuretic peptide assays for the initial diagnostic assessment of new slow-onset heart failure.")</f>
        <v>Clinical utility of three B-type natriuretic peptide assays for the initial diagnostic assessment of new slow-onset heart failure.</v>
      </c>
      <c r="AG955" s="31" t="str">
        <f>IFERROR(__xludf.DUMMYFUNCTION("""COMPUTED_VALUE"""),"Kelder, Johannes C; Cramer, Maarten J; Verweij, Wim M; Grobbee, Diederick E; Hoes, Arno W")</f>
        <v>Kelder, Johannes C; Cramer, Maarten J; Verweij, Wim M; Grobbee, Diederick E; Hoes, Arno W</v>
      </c>
      <c r="AH955" s="32">
        <f>IFERROR(__xludf.DUMMYFUNCTION("""COMPUTED_VALUE"""),40691.0)</f>
        <v>40691</v>
      </c>
      <c r="AL955" s="31" t="str">
        <f>IFERROR(__xludf.DUMMYFUNCTION("""COMPUTED_VALUE"""),"Limited value of patient history and physical examination in diagnosing deep vein thrombosis in primary care.")</f>
        <v>Limited value of patient history and physical examination in diagnosing deep vein thrombosis in primary care.</v>
      </c>
      <c r="AM955" s="31" t="str">
        <f>IFERROR(__xludf.DUMMYFUNCTION("""COMPUTED_VALUE"""),"Oudega, Ruud; Moons, Karel G M; Hoes, Arno W")</f>
        <v>Oudega, Ruud; Moons, Karel G M; Hoes, Arno W</v>
      </c>
      <c r="AN955" s="32">
        <f>IFERROR(__xludf.DUMMYFUNCTION("""COMPUTED_VALUE"""),38359.0)</f>
        <v>38359</v>
      </c>
    </row>
    <row r="956">
      <c r="A956" s="32"/>
      <c r="I956" s="31" t="str">
        <f>IFERROR(__xludf.DUMMYFUNCTION("""COMPUTED_VALUE"""),"nature reviews neurology")</f>
        <v>nature reviews neurology</v>
      </c>
      <c r="J956" s="38">
        <f>COUNTIF(Data!$F$2:$F9917, $I956)</f>
        <v>1</v>
      </c>
      <c r="T956" s="31" t="s">
        <v>2900</v>
      </c>
      <c r="U956" s="31" t="s">
        <v>2901</v>
      </c>
      <c r="V956" s="32">
        <v>45023.0</v>
      </c>
      <c r="X956" s="31" t="str">
        <f>IFERROR(__xludf.DUMMYFUNCTION("""COMPUTED_VALUE"""),"Effects of a combined exercise and dietary intervention on clinical outcomes in patients with ovarian cancer: the Physical Activity and Dietary intervention in OVArian cancer (PADOVA) randomized controlled trial.")</f>
        <v>Effects of a combined exercise and dietary intervention on clinical outcomes in patients with ovarian cancer: the Physical Activity and Dietary intervention in OVArian cancer (PADOVA) randomized controlled trial.</v>
      </c>
      <c r="Y956" s="31" t="str">
        <f>IFERROR(__xludf.DUMMYFUNCTION("""COMPUTED_VALUE"""),"Brouwer, Calvin G; Hartman, Yvonne A W; Stelten, Stephanie; Kenkhuis, Malou-Floor; van Lonkhuijzen, Luc R C W; Kenter, Gemma G; Kos, Milan; van de Ven, Peter M; Driel, Willemien J van; Winkels, Renate M; Bekkers, Ruud L M; Ottevanger, Petronella B; Hoedje"&amp;"s, Meeke; Buffart, Laurien M")</f>
        <v>Brouwer, Calvin G; Hartman, Yvonne A W; Stelten, Stephanie; Kenkhuis, Malou-Floor; van Lonkhuijzen, Luc R C W; Kenter, Gemma G; Kos, Milan; van de Ven, Peter M; Driel, Willemien J van; Winkels, Renate M; Bekkers, Ruud L M; Ottevanger, Petronella B; Hoedjes, Meeke; Buffart, Laurien M</v>
      </c>
      <c r="Z956" s="31">
        <f>IFERROR(__xludf.DUMMYFUNCTION("""COMPUTED_VALUE"""),2024.0)</f>
        <v>2024</v>
      </c>
      <c r="AA956" s="31">
        <f>IFERROR(__xludf.DUMMYFUNCTION("""COMPUTED_VALUE"""),0.0)</f>
        <v>0</v>
      </c>
      <c r="AF956" s="31" t="str">
        <f>IFERROR(__xludf.DUMMYFUNCTION("""COMPUTED_VALUE"""),"Physical performance characteristics related to disability in older persons: a systematic review.")</f>
        <v>Physical performance characteristics related to disability in older persons: a systematic review.</v>
      </c>
      <c r="AG956" s="31" t="str">
        <f>IFERROR(__xludf.DUMMYFUNCTION("""COMPUTED_VALUE"""),"den Ouden, Marjolein E M; Schuurmans, Marieke J; Arts, Ilse E M A; van der Schouw, Yvonne T")</f>
        <v>den Ouden, Marjolein E M; Schuurmans, Marieke J; Arts, Ilse E M A; van der Schouw, Yvonne T</v>
      </c>
      <c r="AH956" s="32">
        <f>IFERROR(__xludf.DUMMYFUNCTION("""COMPUTED_VALUE"""),40681.0)</f>
        <v>40681</v>
      </c>
      <c r="AL956" s="31" t="str">
        <f>IFERROR(__xludf.DUMMYFUNCTION("""COMPUTED_VALUE"""),"Assessment of flow-mediated vasodilatation (FMD) of the brachial artery: effects of technical aspects of the FMD measurement on the FMD response.")</f>
        <v>Assessment of flow-mediated vasodilatation (FMD) of the brachial artery: effects of technical aspects of the FMD measurement on the FMD response.</v>
      </c>
      <c r="AM956" s="31" t="str">
        <f>IFERROR(__xludf.DUMMYFUNCTION("""COMPUTED_VALUE"""),"Bots, Michiel L; Westerink, Jan; Rabelink, Ton J; de Koning, Eelco J P")</f>
        <v>Bots, Michiel L; Westerink, Jan; Rabelink, Ton J; de Koning, Eelco J P</v>
      </c>
      <c r="AN956" s="32">
        <f>IFERROR(__xludf.DUMMYFUNCTION("""COMPUTED_VALUE"""),38322.0)</f>
        <v>38322</v>
      </c>
    </row>
    <row r="957">
      <c r="A957" s="32"/>
      <c r="I957" s="31" t="str">
        <f>IFERROR(__xludf.DUMMYFUNCTION("""COMPUTED_VALUE"""),"science new york ny")</f>
        <v>science new york ny</v>
      </c>
      <c r="J957" s="38">
        <f>COUNTIF(Data!$F$2:$F9917, $I957)</f>
        <v>1</v>
      </c>
      <c r="T957" s="31" t="s">
        <v>2904</v>
      </c>
      <c r="U957" s="31" t="s">
        <v>2905</v>
      </c>
      <c r="V957" s="32">
        <v>45023.0</v>
      </c>
      <c r="X957" s="31" t="str">
        <f>IFERROR(__xludf.DUMMYFUNCTION("""COMPUTED_VALUE"""),"Fostering the clinician as teacher: A realist review.")</f>
        <v>Fostering the clinician as teacher: A realist review.</v>
      </c>
      <c r="Y957" s="31" t="str">
        <f>IFERROR(__xludf.DUMMYFUNCTION("""COMPUTED_VALUE"""),"Brouwer, Hiske Joanna; Barry, Margot; Kluijtmans, Manon; Damoiseaux, Roger Anna Maria Joseph; de Groot, Esther")</f>
        <v>Brouwer, Hiske Joanna; Barry, Margot; Kluijtmans, Manon; Damoiseaux, Roger Anna Maria Joseph; de Groot, Esther</v>
      </c>
      <c r="Z957" s="31">
        <f>IFERROR(__xludf.DUMMYFUNCTION("""COMPUTED_VALUE"""),2024.0)</f>
        <v>2024</v>
      </c>
      <c r="AA957" s="31">
        <f>IFERROR(__xludf.DUMMYFUNCTION("""COMPUTED_VALUE"""),0.0)</f>
        <v>0</v>
      </c>
      <c r="AF957" s="31" t="str">
        <f>IFERROR(__xludf.DUMMYFUNCTION("""COMPUTED_VALUE"""),"Intensive glucose control and risk of cancer in patients with type 2 diabetes.")</f>
        <v>Intensive glucose control and risk of cancer in patients with type 2 diabetes.</v>
      </c>
      <c r="AG957" s="31" t="str">
        <f>IFERROR(__xludf.DUMMYFUNCTION("""COMPUTED_VALUE"""),"Stefansdottir, G; Zoungas, S; Chalmers, J; Kengne, A P; Knol, M J; Leufkens, H G M; Patel, A; Woodward, M; Grobbee, D E; De Bruin, M L")</f>
        <v>Stefansdottir, G; Zoungas, S; Chalmers, J; Kengne, A P; Knol, M J; Leufkens, H G M; Patel, A; Woodward, M; Grobbee, D E; De Bruin, M L</v>
      </c>
      <c r="AH957" s="32">
        <f>IFERROR(__xludf.DUMMYFUNCTION("""COMPUTED_VALUE"""),40654.0)</f>
        <v>40654</v>
      </c>
      <c r="AL957" s="31" t="str">
        <f>IFERROR(__xludf.DUMMYFUNCTION("""COMPUTED_VALUE"""),"Penalized maximum likelihood estimation to directly adjust diagnostic and prognostic prediction models for overoptimism: a clinical example.")</f>
        <v>Penalized maximum likelihood estimation to directly adjust diagnostic and prognostic prediction models for overoptimism: a clinical example.</v>
      </c>
      <c r="AM957" s="31" t="str">
        <f>IFERROR(__xludf.DUMMYFUNCTION("""COMPUTED_VALUE"""),"Moons, K G M; Donders, A Rogier T; Steyerberg, E W; Harrell, F E")</f>
        <v>Moons, K G M; Donders, A Rogier T; Steyerberg, E W; Harrell, F E</v>
      </c>
      <c r="AN957" s="32">
        <f>IFERROR(__xludf.DUMMYFUNCTION("""COMPUTED_VALUE"""),38322.0)</f>
        <v>38322</v>
      </c>
    </row>
    <row r="958">
      <c r="A958" s="32"/>
      <c r="I958" s="31" t="str">
        <f>IFERROR(__xludf.DUMMYFUNCTION("""COMPUTED_VALUE"""),"environmental and molecular mutagenesis")</f>
        <v>environmental and molecular mutagenesis</v>
      </c>
      <c r="J958" s="38">
        <f>COUNTIF(Data!$F$2:$F9917, $I958)</f>
        <v>1</v>
      </c>
      <c r="T958" s="31" t="s">
        <v>2909</v>
      </c>
      <c r="U958" s="31" t="s">
        <v>2778</v>
      </c>
      <c r="V958" s="32">
        <v>45022.0</v>
      </c>
      <c r="X958" s="31" t="str">
        <f>IFERROR(__xludf.DUMMYFUNCTION("""COMPUTED_VALUE"""),"Impact of COVID-19 pandemic on the accuracy of telephone triage of callers with shortness of breath and/or chest discomfort in Dutch out-of-hours primary care: A retrospective observational study.")</f>
        <v>Impact of COVID-19 pandemic on the accuracy of telephone triage of callers with shortness of breath and/or chest discomfort in Dutch out-of-hours primary care: A retrospective observational study.</v>
      </c>
      <c r="Y958" s="31" t="str">
        <f>IFERROR(__xludf.DUMMYFUNCTION("""COMPUTED_VALUE"""),"Spek, Michelle; Dobbe, Anna S M; Zwart, Dorien L; Erkelens, Daphne C A; Geersing, Geert-Jan; de Groot, Esther; Delissen, Mathé; Rutten, Frans H; Venekamp, Roderick P")</f>
        <v>Spek, Michelle; Dobbe, Anna S M; Zwart, Dorien L; Erkelens, Daphne C A; Geersing, Geert-Jan; de Groot, Esther; Delissen, Mathé; Rutten, Frans H; Venekamp, Roderick P</v>
      </c>
      <c r="Z958" s="31">
        <f>IFERROR(__xludf.DUMMYFUNCTION("""COMPUTED_VALUE"""),2024.0)</f>
        <v>2024</v>
      </c>
      <c r="AA958" s="31">
        <f>IFERROR(__xludf.DUMMYFUNCTION("""COMPUTED_VALUE"""),0.0)</f>
        <v>0</v>
      </c>
      <c r="AF958" s="31" t="str">
        <f>IFERROR(__xludf.DUMMYFUNCTION("""COMPUTED_VALUE"""),"Low testosterone concentrations and the symptoms of testosterone deficiency according to the Androgen Deficiency in Ageing Males (ADAM) and Ageing Males' Symptoms rating scale (AMS) questionnaires.")</f>
        <v>Low testosterone concentrations and the symptoms of testosterone deficiency according to the Androgen Deficiency in Ageing Males (ADAM) and Ageing Males' Symptoms rating scale (AMS) questionnaires.</v>
      </c>
      <c r="AG958" s="31" t="str">
        <f>IFERROR(__xludf.DUMMYFUNCTION("""COMPUTED_VALUE"""),"Emmelot-Vonk, M H; Verhaar, H J J; Nakhai-Pour, H R; Grobbee, D E; van der Schouw, Y T")</f>
        <v>Emmelot-Vonk, M H; Verhaar, H J J; Nakhai-Pour, H R; Grobbee, D E; van der Schouw, Y T</v>
      </c>
      <c r="AH958" s="32">
        <f>IFERROR(__xludf.DUMMYFUNCTION("""COMPUTED_VALUE"""),40634.0)</f>
        <v>40634</v>
      </c>
      <c r="AL958" s="31" t="str">
        <f>IFERROR(__xludf.DUMMYFUNCTION("""COMPUTED_VALUE"""),"Prevention of infection in the intensive care unit.")</f>
        <v>Prevention of infection in the intensive care unit.</v>
      </c>
      <c r="AM958" s="31" t="str">
        <f>IFERROR(__xludf.DUMMYFUNCTION("""COMPUTED_VALUE"""),"Bonten, Marc J M")</f>
        <v>Bonten, Marc J M</v>
      </c>
      <c r="AN958" s="32">
        <f>IFERROR(__xludf.DUMMYFUNCTION("""COMPUTED_VALUE"""),38261.0)</f>
        <v>38261</v>
      </c>
    </row>
    <row r="959">
      <c r="A959" s="32"/>
      <c r="I959" s="31" t="str">
        <f>IFERROR(__xludf.DUMMYFUNCTION("""COMPUTED_VALUE"""),"american journal of ophthalmology")</f>
        <v>american journal of ophthalmology</v>
      </c>
      <c r="J959" s="38">
        <f>COUNTIF(Data!$F$2:$F9917, $I959)</f>
        <v>2</v>
      </c>
      <c r="T959" s="31" t="s">
        <v>2912</v>
      </c>
      <c r="U959" s="31" t="s">
        <v>2913</v>
      </c>
      <c r="V959" s="32">
        <v>45022.0</v>
      </c>
      <c r="X959" s="31"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Y959" s="31"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Z959" s="31">
        <f>IFERROR(__xludf.DUMMYFUNCTION("""COMPUTED_VALUE"""),2024.0)</f>
        <v>2024</v>
      </c>
      <c r="AA959" s="31">
        <f>IFERROR(__xludf.DUMMYFUNCTION("""COMPUTED_VALUE"""),0.0)</f>
        <v>0</v>
      </c>
      <c r="AF959" s="31" t="str">
        <f>IFERROR(__xludf.DUMMYFUNCTION("""COMPUTED_VALUE"""),"The (mis)use of overlap of confidence intervals to assess effect modification.")</f>
        <v>The (mis)use of overlap of confidence intervals to assess effect modification.</v>
      </c>
      <c r="AG959" s="31" t="str">
        <f>IFERROR(__xludf.DUMMYFUNCTION("""COMPUTED_VALUE"""),"Knol, Mirjam J; Pestman, Wiebe R; Grobbee, Diederick E")</f>
        <v>Knol, Mirjam J; Pestman, Wiebe R; Grobbee, Diederick E</v>
      </c>
      <c r="AH959" s="32">
        <f>IFERROR(__xludf.DUMMYFUNCTION("""COMPUTED_VALUE"""),40621.0)</f>
        <v>40621</v>
      </c>
      <c r="AL959" s="31" t="str">
        <f>IFERROR(__xludf.DUMMYFUNCTION("""COMPUTED_VALUE"""),"Risk of intracerebral hemorrhage in patients with arterial versus cardiac origin of cerebral ischemia on aspirin or placebo: analysis of individual patient data from 9 trials.")</f>
        <v>Risk of intracerebral hemorrhage in patients with arterial versus cardiac origin of cerebral ischemia on aspirin or placebo: analysis of individual patient data from 9 trials.</v>
      </c>
      <c r="AM959" s="31" t="str">
        <f>IFERROR(__xludf.DUMMYFUNCTION("""COMPUTED_VALUE"""),"Ariesen, M J; Algra, A; Koudstaal, P J; Rothwell, P M; van Walraven, C; ,; ,; ,; ,; ,; ,; ,")</f>
        <v>Ariesen, M J; Algra, A; Koudstaal, P J; Rothwell, P M; van Walraven, C; ,; ,; ,; ,; ,; ,; ,</v>
      </c>
      <c r="AN959" s="32">
        <f>IFERROR(__xludf.DUMMYFUNCTION("""COMPUTED_VALUE"""),38022.0)</f>
        <v>38022</v>
      </c>
    </row>
    <row r="960">
      <c r="A960" s="32"/>
      <c r="I960" s="31" t="str">
        <f>IFERROR(__xludf.DUMMYFUNCTION("""COMPUTED_VALUE"""),"fems microbiology ecology")</f>
        <v>fems microbiology ecology</v>
      </c>
      <c r="J960" s="38">
        <f>COUNTIF(Data!$F$2:$F9917, $I960)</f>
        <v>1</v>
      </c>
      <c r="T960" s="31" t="s">
        <v>2917</v>
      </c>
      <c r="U960" s="31" t="s">
        <v>2918</v>
      </c>
      <c r="V960" s="32">
        <v>45021.0</v>
      </c>
      <c r="X960" s="31" t="str">
        <f>IFERROR(__xludf.DUMMYFUNCTION("""COMPUTED_VALUE"""),"Mineralocorticoid receptor antagonists for every patient with heart failure.")</f>
        <v>Mineralocorticoid receptor antagonists for every patient with heart failure.</v>
      </c>
      <c r="Y960" s="31" t="str">
        <f>IFERROR(__xludf.DUMMYFUNCTION("""COMPUTED_VALUE"""),"Rutten, Frans H; Groenewegen, Amy")</f>
        <v>Rutten, Frans H; Groenewegen, Amy</v>
      </c>
      <c r="Z960" s="31">
        <f>IFERROR(__xludf.DUMMYFUNCTION("""COMPUTED_VALUE"""),2024.0)</f>
        <v>2024</v>
      </c>
      <c r="AA960" s="31">
        <f>IFERROR(__xludf.DUMMYFUNCTION("""COMPUTED_VALUE"""),0.0)</f>
        <v>0</v>
      </c>
      <c r="AF960" s="31" t="str">
        <f>IFERROR(__xludf.DUMMYFUNCTION("""COMPUTED_VALUE"""),"Estimating measures of interaction on an additive scale for preventive exposures.")</f>
        <v>Estimating measures of interaction on an additive scale for preventive exposures.</v>
      </c>
      <c r="AG960" s="31" t="str">
        <f>IFERROR(__xludf.DUMMYFUNCTION("""COMPUTED_VALUE"""),"Knol, Mirjam J; VanderWeele, Tyler J; Groenwold, Rolf H H; Klungel, Olaf H; Rovers, Maroeska M; Grobbee, Diederick E")</f>
        <v>Knol, Mirjam J; VanderWeele, Tyler J; Groenwold, Rolf H H; Klungel, Olaf H; Rovers, Maroeska M; Grobbee, Diederick E</v>
      </c>
      <c r="AH960" s="32">
        <f>IFERROR(__xludf.DUMMYFUNCTION("""COMPUTED_VALUE"""),40597.0)</f>
        <v>40597</v>
      </c>
      <c r="AL960" s="31" t="str">
        <f>IFERROR(__xludf.DUMMYFUNCTION("""COMPUTED_VALUE"""),"Side of brain infarction and long-term risk of sudden death in patients with symptomatic carotid disease.")</f>
        <v>Side of brain infarction and long-term risk of sudden death in patients with symptomatic carotid disease.</v>
      </c>
      <c r="AM960" s="31" t="str">
        <f>IFERROR(__xludf.DUMMYFUNCTION("""COMPUTED_VALUE"""),"Algra, Ale; Gates, Peter C; Fox, Allan J; Hachinski, Vladimir; Barnett, Henry J M; ,")</f>
        <v>Algra, Ale; Gates, Peter C; Fox, Allan J; Hachinski, Vladimir; Barnett, Henry J M; ,</v>
      </c>
      <c r="AN960" s="32">
        <f>IFERROR(__xludf.DUMMYFUNCTION("""COMPUTED_VALUE"""),37945.0)</f>
        <v>37945</v>
      </c>
    </row>
    <row r="961">
      <c r="A961" s="32"/>
      <c r="I961" s="31" t="str">
        <f>IFERROR(__xludf.DUMMYFUNCTION("""COMPUTED_VALUE"""),"diabetology metabolic syndrome")</f>
        <v>diabetology metabolic syndrome</v>
      </c>
      <c r="J961" s="38">
        <f>COUNTIF(Data!$F$2:$F9917, $I961)</f>
        <v>3</v>
      </c>
      <c r="T961" s="31" t="s">
        <v>2921</v>
      </c>
      <c r="U961" s="31" t="s">
        <v>2922</v>
      </c>
      <c r="V961" s="32">
        <v>45020.0</v>
      </c>
      <c r="X961" s="31" t="str">
        <f>IFERROR(__xludf.DUMMYFUNCTION("""COMPUTED_VALUE"""),"Action on elevated natriuretic peptide in primary care: a retrospective cohort study.")</f>
        <v>Action on elevated natriuretic peptide in primary care: a retrospective cohort study.</v>
      </c>
      <c r="Y961" s="31" t="str">
        <f>IFERROR(__xludf.DUMMYFUNCTION("""COMPUTED_VALUE"""),"Vermeer, Cornelia Jc; Hollander, Monika; Stolk, Anne Jm; Groenewegen, Amy; Geersing, G J; Rutten, Frans H; Hart, Huberta E")</f>
        <v>Vermeer, Cornelia Jc; Hollander, Monika; Stolk, Anne Jm; Groenewegen, Amy; Geersing, G J; Rutten, Frans H; Hart, Huberta E</v>
      </c>
      <c r="Z961" s="31">
        <f>IFERROR(__xludf.DUMMYFUNCTION("""COMPUTED_VALUE"""),2024.0)</f>
        <v>2024</v>
      </c>
      <c r="AA961" s="31">
        <f>IFERROR(__xludf.DUMMYFUNCTION("""COMPUTED_VALUE"""),0.0)</f>
        <v>0</v>
      </c>
      <c r="AF961" s="31" t="str">
        <f>IFERROR(__xludf.DUMMYFUNCTION("""COMPUTED_VALUE"""),"Filial obligations to elderly parents: a duty to care?")</f>
        <v>Filial obligations to elderly parents: a duty to care?</v>
      </c>
      <c r="AG961" s="31" t="str">
        <f>IFERROR(__xludf.DUMMYFUNCTION("""COMPUTED_VALUE"""),"Stuifbergen, Maria C; Van Delden, Johannes J M")</f>
        <v>Stuifbergen, Maria C; Van Delden, Johannes J M</v>
      </c>
      <c r="AH961" s="32">
        <f>IFERROR(__xludf.DUMMYFUNCTION("""COMPUTED_VALUE"""),40575.0)</f>
        <v>40575</v>
      </c>
      <c r="AL961" s="31" t="str">
        <f>IFERROR(__xludf.DUMMYFUNCTION("""COMPUTED_VALUE"""),"Clinical pulmonary infection score for ventilator-associated pneumonia: accuracy and inter-observer variability.")</f>
        <v>Clinical pulmonary infection score for ventilator-associated pneumonia: accuracy and inter-observer variability.</v>
      </c>
      <c r="AM961" s="31" t="str">
        <f>IFERROR(__xludf.DUMMYFUNCTION("""COMPUTED_VALUE"""),"Schurink, Carolina A M; Nieuwenhoven, Christianne A Van; Jacobs, Jan A; Rozenberg-Arska, Maja; Joore, Hans C A; Buskens, Erik; Hoepelman, Andy I M; Bonten, Marc J M")</f>
        <v>Schurink, Carolina A M; Nieuwenhoven, Christianne A Van; Jacobs, Jan A; Rozenberg-Arska, Maja; Joore, Hans C A; Buskens, Erik; Hoepelman, Andy I M; Bonten, Marc J M</v>
      </c>
      <c r="AN961" s="32">
        <f>IFERROR(__xludf.DUMMYFUNCTION("""COMPUTED_VALUE"""),37912.0)</f>
        <v>37912</v>
      </c>
    </row>
    <row r="962">
      <c r="A962" s="32"/>
      <c r="I962" s="31" t="str">
        <f>IFERROR(__xludf.DUMMYFUNCTION("""COMPUTED_VALUE"""),"tijdschrift voor gerontologie en geriatrie")</f>
        <v>tijdschrift voor gerontologie en geriatrie</v>
      </c>
      <c r="J962" s="38">
        <f>COUNTIF(Data!$F$2:$F9917, $I962)</f>
        <v>1</v>
      </c>
      <c r="T962" s="31" t="s">
        <v>2925</v>
      </c>
      <c r="U962" s="31" t="s">
        <v>2926</v>
      </c>
      <c r="V962" s="32">
        <v>45019.0</v>
      </c>
      <c r="X962" s="31" t="str">
        <f>IFERROR(__xludf.DUMMYFUNCTION("""COMPUTED_VALUE"""),"Comparing the diagnostic considerations between general practitioners with a special interest in cardiovascular disease and those without in patients with symptoms suggestive of heart failure: a vignette study.")</f>
        <v>Comparing the diagnostic considerations between general practitioners with a special interest in cardiovascular disease and those without in patients with symptoms suggestive of heart failure: a vignette study.</v>
      </c>
      <c r="Y962" s="31" t="str">
        <f>IFERROR(__xludf.DUMMYFUNCTION("""COMPUTED_VALUE"""),"Vermeer, Cornelia J C; Groenewegen, Amy; Hollander, Monika; Schuring, Janneke; Looijmans-van den Akker, Ingrid; Oostindjer, Andrew; van Duijn, Huug; Nederend, Ineke; Rutten, Frans H")</f>
        <v>Vermeer, Cornelia J C; Groenewegen, Amy; Hollander, Monika; Schuring, Janneke; Looijmans-van den Akker, Ingrid; Oostindjer, Andrew; van Duijn, Huug; Nederend, Ineke; Rutten, Frans H</v>
      </c>
      <c r="Z962" s="31">
        <f>IFERROR(__xludf.DUMMYFUNCTION("""COMPUTED_VALUE"""),2024.0)</f>
        <v>2024</v>
      </c>
      <c r="AA962" s="31">
        <f>IFERROR(__xludf.DUMMYFUNCTION("""COMPUTED_VALUE"""),0.0)</f>
        <v>0</v>
      </c>
      <c r="AF962" s="31" t="str">
        <f>IFERROR(__xludf.DUMMYFUNCTION("""COMPUTED_VALUE"""),"Vasomotor menopausal symptoms are associated with increased risk of coronary heart disease.")</f>
        <v>Vasomotor menopausal symptoms are associated with increased risk of coronary heart disease.</v>
      </c>
      <c r="AG962" s="31" t="str">
        <f>IFERROR(__xludf.DUMMYFUNCTION("""COMPUTED_VALUE"""),"Gast, Gerrie-Cor M; Pop, Victor J M; Samsioe, Göran N; Grobbee, Diederick E; Nilsson, Peter M; Keyzer, Jules J; Wijnands-van Gent, Colette J M; van der Schouw, Yvonne T")</f>
        <v>Gast, Gerrie-Cor M; Pop, Victor J M; Samsioe, Göran N; Grobbee, Diederick E; Nilsson, Peter M; Keyzer, Jules J; Wijnands-van Gent, Colette J M; van der Schouw, Yvonne T</v>
      </c>
      <c r="AH962" s="32">
        <f>IFERROR(__xludf.DUMMYFUNCTION("""COMPUTED_VALUE"""),40575.0)</f>
        <v>40575</v>
      </c>
      <c r="AL962" s="31" t="str">
        <f>IFERROR(__xludf.DUMMYFUNCTION("""COMPUTED_VALUE"""),"Soluble intercellular adhesion molecule 1 and flow-mediated dilatation are related to the estimated risk of coronary heart disease independently from each other.")</f>
        <v>Soluble intercellular adhesion molecule 1 and flow-mediated dilatation are related to the estimated risk of coronary heart disease independently from each other.</v>
      </c>
      <c r="AM962" s="31" t="str">
        <f>IFERROR(__xludf.DUMMYFUNCTION("""COMPUTED_VALUE"""),"Witte, D R; Broekmans, W M R; Kardinaal, A F M; Klöpping-Ketelaars, I A A; van Poppel, G; Bots, M L; Kluft, C; Princen, J M G")</f>
        <v>Witte, D R; Broekmans, W M R; Kardinaal, A F M; Klöpping-Ketelaars, I A A; van Poppel, G; Bots, M L; Kluft, C; Princen, J M G</v>
      </c>
      <c r="AN962" s="32">
        <f>IFERROR(__xludf.DUMMYFUNCTION("""COMPUTED_VALUE"""),37865.0)</f>
        <v>37865</v>
      </c>
    </row>
    <row r="963">
      <c r="A963" s="32"/>
      <c r="I963" s="31" t="str">
        <f>IFERROR(__xludf.DUMMYFUNCTION("""COMPUTED_VALUE"""),"human mutation")</f>
        <v>human mutation</v>
      </c>
      <c r="J963" s="38">
        <f>COUNTIF(Data!$F$2:$F9917, $I963)</f>
        <v>2</v>
      </c>
      <c r="T963" s="31" t="s">
        <v>2930</v>
      </c>
      <c r="U963" s="31" t="s">
        <v>2931</v>
      </c>
      <c r="V963" s="32">
        <v>45017.0</v>
      </c>
      <c r="X963" s="31" t="str">
        <f>IFERROR(__xludf.DUMMYFUNCTION("""COMPUTED_VALUE"""),"Acute remote home monitoring of acutely ill patients with COVID-19: how Dutch home monitoring initiatives were organized during the pandemic.")</f>
        <v>Acute remote home monitoring of acutely ill patients with COVID-19: how Dutch home monitoring initiatives were organized during the pandemic.</v>
      </c>
      <c r="Y963" s="31" t="str">
        <f>IFERROR(__xludf.DUMMYFUNCTION("""COMPUTED_VALUE"""),"Smit, Karin; van Uum, Rick T; Rijks, Stella; van de Pol, Alma C; Ahmad, Abeer; Venekamp, Roderick P; Rutten, Frans H; Zwart, Dorien L M; ,")</f>
        <v>Smit, Karin; van Uum, Rick T; Rijks, Stella; van de Pol, Alma C; Ahmad, Abeer; Venekamp, Roderick P; Rutten, Frans H; Zwart, Dorien L M; ,</v>
      </c>
      <c r="Z963" s="31">
        <f>IFERROR(__xludf.DUMMYFUNCTION("""COMPUTED_VALUE"""),2024.0)</f>
        <v>2024</v>
      </c>
      <c r="AA963" s="31">
        <f>IFERROR(__xludf.DUMMYFUNCTION("""COMPUTED_VALUE"""),0.0)</f>
        <v>0</v>
      </c>
      <c r="AF963" s="31" t="str">
        <f>IFERROR(__xludf.DUMMYFUNCTION("""COMPUTED_VALUE"""),"Turning 18 with congenital heart disease: prediction of infective endocarditis based on a large population.")</f>
        <v>Turning 18 with congenital heart disease: prediction of infective endocarditis based on a large population.</v>
      </c>
      <c r="AG963" s="31" t="str">
        <f>IFERROR(__xludf.DUMMYFUNCTION("""COMPUTED_VALUE"""),"Verheugt, Carianne L; Uiterwaal, Cuno S P M; van der Velde, Enno T; Meijboom, Folkert J; Pieper, Petronella G; Veen, Gerrit; Stappers, Jan L M; Grobbee, Diederick E; Mulder, Barbara J M")</f>
        <v>Verheugt, Carianne L; Uiterwaal, Cuno S P M; van der Velde, Enno T; Meijboom, Folkert J; Pieper, Petronella G; Veen, Gerrit; Stappers, Jan L M; Grobbee, Diederick E; Mulder, Barbara J M</v>
      </c>
      <c r="AH963" s="32">
        <f>IFERROR(__xludf.DUMMYFUNCTION("""COMPUTED_VALUE"""),40551.0)</f>
        <v>40551</v>
      </c>
      <c r="AL963" s="31" t="str">
        <f>IFERROR(__xludf.DUMMYFUNCTION("""COMPUTED_VALUE"""),"Risk factors for intracerebral hemorrhage in the general population: a systematic review.")</f>
        <v>Risk factors for intracerebral hemorrhage in the general population: a systematic review.</v>
      </c>
      <c r="AM963" s="31" t="str">
        <f>IFERROR(__xludf.DUMMYFUNCTION("""COMPUTED_VALUE"""),"Ariesen, M J; Claus, S P; Rinkel, G J E; Algra, A")</f>
        <v>Ariesen, M J; Claus, S P; Rinkel, G J E; Algra, A</v>
      </c>
      <c r="AN963" s="32">
        <f>IFERROR(__xludf.DUMMYFUNCTION("""COMPUTED_VALUE"""),37805.0)</f>
        <v>37805</v>
      </c>
    </row>
    <row r="964">
      <c r="A964" s="32"/>
      <c r="I964" s="31" t="str">
        <f>IFERROR(__xludf.DUMMYFUNCTION("""COMPUTED_VALUE"""),"pain")</f>
        <v>pain</v>
      </c>
      <c r="J964" s="38">
        <f>COUNTIF(Data!$F$2:$F9917, $I964)</f>
        <v>5</v>
      </c>
      <c r="T964" s="31" t="s">
        <v>2934</v>
      </c>
      <c r="U964" s="31" t="s">
        <v>2935</v>
      </c>
      <c r="V964" s="32">
        <v>45017.0</v>
      </c>
      <c r="X964" s="31" t="str">
        <f>IFERROR(__xludf.DUMMYFUNCTION("""COMPUTED_VALUE"""),"The Role of Language in Remote Healthcare Triage: A Meta-Aggregative Review.")</f>
        <v>The Role of Language in Remote Healthcare Triage: A Meta-Aggregative Review.</v>
      </c>
      <c r="Y964" s="31" t="str">
        <f>IFERROR(__xludf.DUMMYFUNCTION("""COMPUTED_VALUE"""),"Spek, Michelle; van Braak, Marije; Erkelens, Daphne C A; Rutten, Frans H; Venekamp, Roderick P; Zwart, Dorien L; de Groot, Esther")</f>
        <v>Spek, Michelle; van Braak, Marije; Erkelens, Daphne C A; Rutten, Frans H; Venekamp, Roderick P; Zwart, Dorien L; de Groot, Esther</v>
      </c>
      <c r="Z964" s="31">
        <f>IFERROR(__xludf.DUMMYFUNCTION("""COMPUTED_VALUE"""),2024.0)</f>
        <v>2024</v>
      </c>
      <c r="AA964" s="31">
        <f>IFERROR(__xludf.DUMMYFUNCTION("""COMPUTED_VALUE"""),0.0)</f>
        <v>0</v>
      </c>
      <c r="AF964" s="31" t="str">
        <f>IFERROR(__xludf.DUMMYFUNCTION("""COMPUTED_VALUE"""),"Disclosure of individual genetic data to research participants: the debate reconsidered.")</f>
        <v>Disclosure of individual genetic data to research participants: the debate reconsidered.</v>
      </c>
      <c r="AG964" s="31" t="str">
        <f>IFERROR(__xludf.DUMMYFUNCTION("""COMPUTED_VALUE"""),"Bredenoord, Annelien L; Kroes, Hester Y; Cuppen, Edwin; Parker, Michael; van Delden, Johannes J M")</f>
        <v>Bredenoord, Annelien L; Kroes, Hester Y; Cuppen, Edwin; Parker, Michael; van Delden, Johannes J M</v>
      </c>
      <c r="AH964" s="32">
        <f>IFERROR(__xludf.DUMMYFUNCTION("""COMPUTED_VALUE"""),40539.0)</f>
        <v>40539</v>
      </c>
      <c r="AL964" s="31" t="str">
        <f>IFERROR(__xludf.DUMMYFUNCTION("""COMPUTED_VALUE"""),"Sensitivity and specificity should be de-emphasized in diagnostic accuracy studies.")</f>
        <v>Sensitivity and specificity should be de-emphasized in diagnostic accuracy studies.</v>
      </c>
      <c r="AM964" s="31" t="str">
        <f>IFERROR(__xludf.DUMMYFUNCTION("""COMPUTED_VALUE"""),"Moons, Karel G M; Harrell, Frank E")</f>
        <v>Moons, Karel G M; Harrell, Frank E</v>
      </c>
      <c r="AN964" s="32">
        <f>IFERROR(__xludf.DUMMYFUNCTION("""COMPUTED_VALUE"""),37773.0)</f>
        <v>37773</v>
      </c>
    </row>
    <row r="965">
      <c r="A965" s="32"/>
      <c r="I965" s="31" t="str">
        <f>IFERROR(__xludf.DUMMYFUNCTION("""COMPUTED_VALUE"""),"journal of psychopharmacology oxford england")</f>
        <v>journal of psychopharmacology oxford england</v>
      </c>
      <c r="J965" s="38">
        <f>COUNTIF(Data!$F$2:$F9917, $I965)</f>
        <v>1</v>
      </c>
      <c r="T965" s="31" t="s">
        <v>2938</v>
      </c>
      <c r="U965" s="31" t="s">
        <v>2939</v>
      </c>
      <c r="V965" s="32">
        <v>45017.0</v>
      </c>
      <c r="X965" s="31" t="str">
        <f>IFERROR(__xludf.DUMMYFUNCTION("""COMPUTED_VALUE"""),"Pharmacists' perspectives on potential pharmacist prescribing: a nationwide survey in the Netherlands.")</f>
        <v>Pharmacists' perspectives on potential pharmacist prescribing: a nationwide survey in the Netherlands.</v>
      </c>
      <c r="Y965" s="31" t="str">
        <f>IFERROR(__xludf.DUMMYFUNCTION("""COMPUTED_VALUE"""),"Kaymakci, Bilge; Philbert, Daphne; Hazen, Ankie C M; Heringa, Mette; Kwint, Henk-Frans; Zwart, Dorien L M; van Dijk, Liset; Kälvemark Sporrong, Sofia; Kempen, Thomas G H")</f>
        <v>Kaymakci, Bilge; Philbert, Daphne; Hazen, Ankie C M; Heringa, Mette; Kwint, Henk-Frans; Zwart, Dorien L M; van Dijk, Liset; Kälvemark Sporrong, Sofia; Kempen, Thomas G H</v>
      </c>
      <c r="Z965" s="31">
        <f>IFERROR(__xludf.DUMMYFUNCTION("""COMPUTED_VALUE"""),2024.0)</f>
        <v>2024</v>
      </c>
      <c r="AA965" s="31">
        <f>IFERROR(__xludf.DUMMYFUNCTION("""COMPUTED_VALUE"""),0.0)</f>
        <v>0</v>
      </c>
      <c r="AF965" s="31" t="str">
        <f>IFERROR(__xludf.DUMMYFUNCTION("""COMPUTED_VALUE"""),"Antipsychotic prophylaxis is needed after remission from a first psychotic episode in schizophrenia patients: results from an aborted randomised trial.")</f>
        <v>Antipsychotic prophylaxis is needed after remission from a first psychotic episode in schizophrenia patients: results from an aborted randomised trial.</v>
      </c>
      <c r="AG965" s="31" t="str">
        <f>IFERROR(__xludf.DUMMYFUNCTION("""COMPUTED_VALUE"""),"Boonstra, Geartsje; Burger, Huibert; Grobbee, Diederick E; Kahn, René S")</f>
        <v>Boonstra, Geartsje; Burger, Huibert; Grobbee, Diederick E; Kahn, René S</v>
      </c>
      <c r="AH965" s="32">
        <f>IFERROR(__xludf.DUMMYFUNCTION("""COMPUTED_VALUE"""),40512.0)</f>
        <v>40512</v>
      </c>
      <c r="AL965" s="31" t="str">
        <f>IFERROR(__xludf.DUMMYFUNCTION("""COMPUTED_VALUE"""),"Dipyridamole for preventing stroke and other vascular events in patients with vascular disease.")</f>
        <v>Dipyridamole for preventing stroke and other vascular events in patients with vascular disease.</v>
      </c>
      <c r="AM965" s="31" t="str">
        <f>IFERROR(__xludf.DUMMYFUNCTION("""COMPUTED_VALUE"""),"De Schryver, E L L M; Algra, A; van Gijn, J")</f>
        <v>De Schryver, E L L M; Algra, A; van Gijn, J</v>
      </c>
      <c r="AN965" s="32">
        <f>IFERROR(__xludf.DUMMYFUNCTION("""COMPUTED_VALUE"""),37622.0)</f>
        <v>37622</v>
      </c>
    </row>
    <row r="966">
      <c r="A966" s="32"/>
      <c r="I966" s="31" t="str">
        <f>IFERROR(__xludf.DUMMYFUNCTION("""COMPUTED_VALUE"""),"international journal of chronic obstructive pulmonary disease")</f>
        <v>international journal of chronic obstructive pulmonary disease</v>
      </c>
      <c r="J966" s="38">
        <f>COUNTIF(Data!$F$2:$F9917, $I966)</f>
        <v>4</v>
      </c>
      <c r="T966" s="31" t="s">
        <v>2942</v>
      </c>
      <c r="U966" s="31" t="s">
        <v>2943</v>
      </c>
      <c r="V966" s="32">
        <v>45016.0</v>
      </c>
      <c r="X966" s="31" t="str">
        <f>IFERROR(__xludf.DUMMYFUNCTION("""COMPUTED_VALUE"""),"Pharmacists' current and potential prescribing roles in primary care in the Netherlands: a case study.")</f>
        <v>Pharmacists' current and potential prescribing roles in primary care in the Netherlands: a case study.</v>
      </c>
      <c r="Y966" s="31" t="str">
        <f>IFERROR(__xludf.DUMMYFUNCTION("""COMPUTED_VALUE"""),"Kempen, Thomas G H; Benaissa, Yosra; Molema, Haijo; Valk, Lea E; Hazen, Ankie C M; Heringa, Mette; Kwint, Henk-Frans; Zwart, Dorien L M; Kälvemark Sporrong, Sofia; Stewart, Derek; van Dijk, Liset")</f>
        <v>Kempen, Thomas G H; Benaissa, Yosra; Molema, Haijo; Valk, Lea E; Hazen, Ankie C M; Heringa, Mette; Kwint, Henk-Frans; Zwart, Dorien L M; Kälvemark Sporrong, Sofia; Stewart, Derek; van Dijk, Liset</v>
      </c>
      <c r="Z966" s="31">
        <f>IFERROR(__xludf.DUMMYFUNCTION("""COMPUTED_VALUE"""),2024.0)</f>
        <v>2024</v>
      </c>
      <c r="AA966" s="31">
        <f>IFERROR(__xludf.DUMMYFUNCTION("""COMPUTED_VALUE"""),0.0)</f>
        <v>0</v>
      </c>
      <c r="AF966" s="31" t="str">
        <f>IFERROR(__xludf.DUMMYFUNCTION("""COMPUTED_VALUE"""),"Ethics of modifying the mitochondrial genome.")</f>
        <v>Ethics of modifying the mitochondrial genome.</v>
      </c>
      <c r="AG966" s="31" t="str">
        <f>IFERROR(__xludf.DUMMYFUNCTION("""COMPUTED_VALUE"""),"Bredenoord, A L; Dondorp, W; Pennings, G; De Wert, G")</f>
        <v>Bredenoord, A L; Dondorp, W; Pennings, G; De Wert, G</v>
      </c>
      <c r="AH966" s="32">
        <f>IFERROR(__xludf.DUMMYFUNCTION("""COMPUTED_VALUE"""),40493.0)</f>
        <v>40493</v>
      </c>
      <c r="AL966" s="31" t="str">
        <f>IFERROR(__xludf.DUMMYFUNCTION("""COMPUTED_VALUE"""),"Sudden death.")</f>
        <v>Sudden death.</v>
      </c>
      <c r="AM966" s="31" t="str">
        <f>IFERROR(__xludf.DUMMYFUNCTION("""COMPUTED_VALUE"""),"Algra, Ale")</f>
        <v>Algra, Ale</v>
      </c>
      <c r="AN966" s="32">
        <f>IFERROR(__xludf.DUMMYFUNCTION("""COMPUTED_VALUE"""),37622.0)</f>
        <v>37622</v>
      </c>
    </row>
    <row r="967">
      <c r="A967" s="32"/>
      <c r="I967" s="31" t="str">
        <f>IFERROR(__xludf.DUMMYFUNCTION("""COMPUTED_VALUE"""),"expert review of vaccines")</f>
        <v>expert review of vaccines</v>
      </c>
      <c r="J967" s="38">
        <f>COUNTIF(Data!$F$2:$F9917, $I967)</f>
        <v>2</v>
      </c>
      <c r="T967" s="31" t="s">
        <v>2946</v>
      </c>
      <c r="U967" s="31" t="s">
        <v>2947</v>
      </c>
      <c r="V967" s="32">
        <v>45015.0</v>
      </c>
      <c r="X967" s="31" t="str">
        <f>IFERROR(__xludf.DUMMYFUNCTION("""COMPUTED_VALUE"""),"Response by van Doorn et al to Letters Regarding Article, ""Safety of Switching From a Vitamin K Antagonist to a Non-Vitamin K Antagonist Oral Anticoagulant in Frail Older Patients With Atrial Fibrillation: Results of the FRAIL-AF Randomized Controlled Tr"&amp;"ial"".")</f>
        <v>Response by van Doorn et al to Letters Regarding Article, "Safety of Switching From a Vitamin K Antagonist to a Non-Vitamin K Antagonist Oral Anticoagulant in Frail Older Patients With Atrial Fibrillation: Results of the FRAIL-AF Randomized Controlled Trial".</v>
      </c>
      <c r="Y967" s="31" t="str">
        <f>IFERROR(__xludf.DUMMYFUNCTION("""COMPUTED_VALUE"""),"van Doorn, Sander; Rutten, Frans H; Geersing, Geert-Jan")</f>
        <v>van Doorn, Sander; Rutten, Frans H; Geersing, Geert-Jan</v>
      </c>
      <c r="Z967" s="31">
        <f>IFERROR(__xludf.DUMMYFUNCTION("""COMPUTED_VALUE"""),2024.0)</f>
        <v>2024</v>
      </c>
      <c r="AA967" s="31">
        <f>IFERROR(__xludf.DUMMYFUNCTION("""COMPUTED_VALUE"""),0.0)</f>
        <v>0</v>
      </c>
      <c r="AF967" s="31" t="str">
        <f>IFERROR(__xludf.DUMMYFUNCTION("""COMPUTED_VALUE"""),"Ethics of mitochondrial gene replacement: from bench to bedside.")</f>
        <v>Ethics of mitochondrial gene replacement: from bench to bedside.</v>
      </c>
      <c r="AG967" s="31" t="str">
        <f>IFERROR(__xludf.DUMMYFUNCTION("""COMPUTED_VALUE"""),"Bredenoord, Annelien L; Braude, Peter")</f>
        <v>Bredenoord, Annelien L; Braude, Peter</v>
      </c>
      <c r="AH967" s="32">
        <f>IFERROR(__xludf.DUMMYFUNCTION("""COMPUTED_VALUE"""),40490.0)</f>
        <v>40490</v>
      </c>
      <c r="AL967" s="31" t="str">
        <f>IFERROR(__xludf.DUMMYFUNCTION("""COMPUTED_VALUE"""),"Classifying the probability of urinary incontinence in psychogeriatric nursing home patients.")</f>
        <v>Classifying the probability of urinary incontinence in psychogeriatric nursing home patients.</v>
      </c>
      <c r="AM967" s="31" t="str">
        <f>IFERROR(__xludf.DUMMYFUNCTION("""COMPUTED_VALUE"""),"Valk, M; Moons, K G M; Cools, H J M; Schrijvers, A J P")</f>
        <v>Valk, M; Moons, K G M; Cools, H J M; Schrijvers, A J P</v>
      </c>
      <c r="AN967" s="32">
        <f>IFERROR(__xludf.DUMMYFUNCTION("""COMPUTED_VALUE"""),37288.0)</f>
        <v>37288</v>
      </c>
    </row>
    <row r="968">
      <c r="A968" s="32"/>
      <c r="I968" s="31" t="str">
        <f>IFERROR(__xludf.DUMMYFUNCTION("""COMPUTED_VALUE"""),"surgical endoscopy")</f>
        <v>surgical endoscopy</v>
      </c>
      <c r="J968" s="38">
        <f>COUNTIF(Data!$F$2:$F9917, $I968)</f>
        <v>1</v>
      </c>
      <c r="T968" s="31" t="s">
        <v>2950</v>
      </c>
      <c r="U968" s="31" t="s">
        <v>1059</v>
      </c>
      <c r="V968" s="32">
        <v>45015.0</v>
      </c>
      <c r="X968" s="31" t="str">
        <f>IFERROR(__xludf.DUMMYFUNCTION("""COMPUTED_VALUE"""),"Knowledge, attitudes and practices around urinary tract infections of general practitioners in the Netherlands: a cross-sectional internet survey.")</f>
        <v>Knowledge, attitudes and practices around urinary tract infections of general practitioners in the Netherlands: a cross-sectional internet survey.</v>
      </c>
      <c r="Y968" s="31" t="str">
        <f>IFERROR(__xludf.DUMMYFUNCTION("""COMPUTED_VALUE"""),"Cox, Stefan Martinus Leonardus; Giorgi, Wesley; Platteel, Tamara N; Cals, Jochen W L; de Bont, Eefje G P M")</f>
        <v>Cox, Stefan Martinus Leonardus; Giorgi, Wesley; Platteel, Tamara N; Cals, Jochen W L; de Bont, Eefje G P M</v>
      </c>
      <c r="Z968" s="31">
        <f>IFERROR(__xludf.DUMMYFUNCTION("""COMPUTED_VALUE"""),2024.0)</f>
        <v>2024</v>
      </c>
      <c r="AA968" s="31">
        <f>IFERROR(__xludf.DUMMYFUNCTION("""COMPUTED_VALUE"""),0.0)</f>
        <v>0</v>
      </c>
      <c r="AF968" s="31" t="str">
        <f>IFERROR(__xludf.DUMMYFUNCTION("""COMPUTED_VALUE"""),"Analysis of low frequency bleeding data: the association of joint bleeds according to baseline FVIII activity levels.")</f>
        <v>Analysis of low frequency bleeding data: the association of joint bleeds according to baseline FVIII activity levels.</v>
      </c>
      <c r="AG968" s="31" t="str">
        <f>IFERROR(__xludf.DUMMYFUNCTION("""COMPUTED_VALUE"""),"den Uijl, I E M; Fischer, K; Van Der Bom, J G; Grobbee, D E; Rosendaal, F R; Plug, I")</f>
        <v>den Uijl, I E M; Fischer, K; Van Der Bom, J G; Grobbee, D E; Rosendaal, F R; Plug, I</v>
      </c>
      <c r="AH968" s="32">
        <f>IFERROR(__xludf.DUMMYFUNCTION("""COMPUTED_VALUE"""),40423.0)</f>
        <v>40423</v>
      </c>
      <c r="AL968" s="31" t="str">
        <f>IFERROR(__xludf.DUMMYFUNCTION("""COMPUTED_VALUE"""),"Age at menarche in relation to adult height in the EPIC cohort.")</f>
        <v>Age at menarche in relation to adult height in the EPIC cohort.</v>
      </c>
      <c r="AM968" s="31" t="str">
        <f>IFERROR(__xludf.DUMMYFUNCTION("""COMPUTED_VALUE"""),"Moret, N C; van Gils, C H; Peeters, P H M; ,")</f>
        <v>Moret, N C; van Gils, C H; Peeters, P H M; ,</v>
      </c>
      <c r="AN968" s="32">
        <f>IFERROR(__xludf.DUMMYFUNCTION("""COMPUTED_VALUE"""),37257.0)</f>
        <v>37257</v>
      </c>
    </row>
    <row r="969">
      <c r="A969" s="32"/>
      <c r="I969" s="31" t="str">
        <f>IFERROR(__xludf.DUMMYFUNCTION("""COMPUTED_VALUE"""),"pediatric research")</f>
        <v>pediatric research</v>
      </c>
      <c r="J969" s="38">
        <f>COUNTIF(Data!$F$2:$F9917, $I969)</f>
        <v>2</v>
      </c>
      <c r="T969" s="31" t="s">
        <v>2953</v>
      </c>
      <c r="U969" s="31" t="s">
        <v>2954</v>
      </c>
      <c r="V969" s="32">
        <v>45014.0</v>
      </c>
      <c r="X969" s="31" t="str">
        <f>IFERROR(__xludf.DUMMYFUNCTION("""COMPUTED_VALUE"""),"Implementation of a tailored multifaceted antibiotic stewardship intervention to improve antibiotic prescribing for urinary tract infections in frail older adults (ImpresU) in four European countries: a process evaluation alongside a pragmatic cluster ran"&amp;"domized controlled trial.")</f>
        <v>Implementation of a tailored multifaceted antibiotic stewardship intervention to improve antibiotic prescribing for urinary tract infections in frail older adults (ImpresU) in four European countries: a process evaluation alongside a pragmatic cluster randomized controlled trial.</v>
      </c>
      <c r="Y969" s="31" t="str">
        <f>IFERROR(__xludf.DUMMYFUNCTION("""COMPUTED_VALUE"""),"Hartman, Esther A R; Groen, Wim G; Heltveit-Olsen, Silje Rebekka; Lindbæk, Morten; Høye, Sigurd; Lithén, Sara Sofia; Sundvall, Pär-Daniel; Sundvall, Sofia; Snaebjörnsson Arnljots, Egill; Gunnarsson, Ronny; Kowalczyk, Anna; Godycki-Cwirko, Maciej; van de P"&amp;"ol, Alma C; Platteel, Tamara N; Monnier, Annelie A; Verheij, Theo J M; Hertogh, Cees M P M")</f>
        <v>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v>
      </c>
      <c r="Z969" s="31">
        <f>IFERROR(__xludf.DUMMYFUNCTION("""COMPUTED_VALUE"""),2024.0)</f>
        <v>2024</v>
      </c>
      <c r="AA969" s="31">
        <f>IFERROR(__xludf.DUMMYFUNCTION("""COMPUTED_VALUE"""),0.0)</f>
        <v>0</v>
      </c>
      <c r="AF969" s="31" t="str">
        <f>IFERROR(__xludf.DUMMYFUNCTION("""COMPUTED_VALUE"""),"Initiation of antipsychotic treatment by general practitioners. a case-control study.")</f>
        <v>Initiation of antipsychotic treatment by general practitioners. a case-control study.</v>
      </c>
      <c r="AG969" s="31" t="str">
        <f>IFERROR(__xludf.DUMMYFUNCTION("""COMPUTED_VALUE"""),"Boonstra, Geartsje; Grobbee, Diederick E; Hak, Eelko; Kahn, René S; Burger, Huibert")</f>
        <v>Boonstra, Geartsje; Grobbee, Diederick E; Hak, Eelko; Kahn, René S; Burger, Huibert</v>
      </c>
      <c r="AH969" s="32">
        <f>IFERROR(__xludf.DUMMYFUNCTION("""COMPUTED_VALUE"""),40417.0)</f>
        <v>40417</v>
      </c>
      <c r="AL969" s="31" t="str">
        <f>IFERROR(__xludf.DUMMYFUNCTION("""COMPUTED_VALUE"""),"Cost-effectiveness of oral anticoagulants versus aspirin in patients after infrainguinal bypass grafting surgery.")</f>
        <v>Cost-effectiveness of oral anticoagulants versus aspirin in patients after infrainguinal bypass grafting surgery.</v>
      </c>
      <c r="AM969" s="31" t="str">
        <f>IFERROR(__xludf.DUMMYFUNCTION("""COMPUTED_VALUE"""),"Oostenbrink, J B; Tangelder, M J; Busschbach, J J; van Hout, B A; Buskens, E; Algra, A; Lawson, J A; Eikelboom, B C; ,")</f>
        <v>Oostenbrink, J B; Tangelder, M J; Busschbach, J J; van Hout, B A; Buskens, E; Algra, A; Lawson, J A; Eikelboom, B C; ,</v>
      </c>
      <c r="AN969" s="32">
        <f>IFERROR(__xludf.DUMMYFUNCTION("""COMPUTED_VALUE"""),37104.0)</f>
        <v>37104</v>
      </c>
    </row>
    <row r="970">
      <c r="A970" s="32"/>
      <c r="I970" s="31" t="str">
        <f>IFERROR(__xludf.DUMMYFUNCTION("""COMPUTED_VALUE"""),"cardiac failure review")</f>
        <v>cardiac failure review</v>
      </c>
      <c r="J970" s="38">
        <f>COUNTIF(Data!$F$2:$F9917, $I970)</f>
        <v>1</v>
      </c>
      <c r="T970" s="31" t="s">
        <v>2958</v>
      </c>
      <c r="U970" s="31" t="s">
        <v>2959</v>
      </c>
      <c r="V970" s="32">
        <v>45014.0</v>
      </c>
      <c r="X970" s="31" t="str">
        <f>IFERROR(__xludf.DUMMYFUNCTION("""COMPUTED_VALUE"""),"Experiences with a national team-based learning program for advance care planning in pediatric palliative care.")</f>
        <v>Experiences with a national team-based learning program for advance care planning in pediatric palliative care.</v>
      </c>
      <c r="Y970" s="31" t="str">
        <f>IFERROR(__xludf.DUMMYFUNCTION("""COMPUTED_VALUE"""),"Engel, Marijanne; Fahner, Jurrianne C; Hennus, Marije P; ,; Kars, Marijke C")</f>
        <v>Engel, Marijanne; Fahner, Jurrianne C; Hennus, Marije P; ,; Kars, Marijke C</v>
      </c>
      <c r="Z970" s="31">
        <f>IFERROR(__xludf.DUMMYFUNCTION("""COMPUTED_VALUE"""),2024.0)</f>
        <v>2024</v>
      </c>
      <c r="AA970" s="31">
        <f>IFERROR(__xludf.DUMMYFUNCTION("""COMPUTED_VALUE"""),0.0)</f>
        <v>0</v>
      </c>
      <c r="AF970" s="31" t="str">
        <f>IFERROR(__xludf.DUMMYFUNCTION("""COMPUTED_VALUE"""),"Carbohydrate quantity and quality and risk of type 2 diabetes in the European Prospective Investigation into Cancer and Nutrition-Netherlands (EPIC-NL) study.")</f>
        <v>Carbohydrate quantity and quality and risk of type 2 diabetes in the European Prospective Investigation into Cancer and Nutrition-Netherlands (EPIC-NL) study.</v>
      </c>
      <c r="AG970" s="31" t="str">
        <f>IFERROR(__xludf.DUMMYFUNCTION("""COMPUTED_VALUE"""),"Sluijs, Ivonne; van der Schouw, Yvonne T; van der A, Daphne L; Spijkerman, Annemieke M; Hu, Frank B; Grobbee, Diederick E; Beulens, Joline W")</f>
        <v>Sluijs, Ivonne; van der Schouw, Yvonne T; van der A, Daphne L; Spijkerman, Annemieke M; Hu, Frank B; Grobbee, Diederick E; Beulens, Joline W</v>
      </c>
      <c r="AH970" s="32">
        <f>IFERROR(__xludf.DUMMYFUNCTION("""COMPUTED_VALUE"""),40394.0)</f>
        <v>40394</v>
      </c>
      <c r="AL970" s="31" t="str">
        <f>IFERROR(__xludf.DUMMYFUNCTION("""COMPUTED_VALUE"""),"Optimal oral anticoagulant intensity to prevent secondary ischemic and hemorrhagic events in patients after infrainguinal bypass graft surgery. Dutch BOA Study Group.")</f>
        <v>Optimal oral anticoagulant intensity to prevent secondary ischemic and hemorrhagic events in patients after infrainguinal bypass graft surgery. Dutch BOA Study Group.</v>
      </c>
      <c r="AM970" s="31" t="str">
        <f>IFERROR(__xludf.DUMMYFUNCTION("""COMPUTED_VALUE"""),"Tangelder, M J; Algra, A; Lawson, J A; Hennekes, S; Eikelboom, B C")</f>
        <v>Tangelder, M J; Algra, A; Lawson, J A; Hennekes, S; Eikelboom, B C</v>
      </c>
      <c r="AN970" s="32">
        <f>IFERROR(__xludf.DUMMYFUNCTION("""COMPUTED_VALUE"""),36951.0)</f>
        <v>36951</v>
      </c>
    </row>
    <row r="971">
      <c r="A971" s="32"/>
      <c r="I971" s="31" t="str">
        <f>IFERROR(__xludf.DUMMYFUNCTION("""COMPUTED_VALUE"""),"cmaj canadian medical association journal journal de lassociation medicale canadienne")</f>
        <v>cmaj canadian medical association journal journal de lassociation medicale canadienne</v>
      </c>
      <c r="J971" s="38">
        <f>COUNTIF(Data!$F$2:$F9917, $I971)</f>
        <v>9</v>
      </c>
      <c r="T971" s="31" t="s">
        <v>2962</v>
      </c>
      <c r="U971" s="31" t="s">
        <v>2963</v>
      </c>
      <c r="V971" s="32">
        <v>45014.0</v>
      </c>
      <c r="X971" s="31" t="str">
        <f>IFERROR(__xludf.DUMMYFUNCTION("""COMPUTED_VALUE"""),"The Spiritual Dimension of Parents' Experiences Caring for a Seriously Ill Child: An Interview Study.")</f>
        <v>The Spiritual Dimension of Parents' Experiences Caring for a Seriously Ill Child: An Interview Study.</v>
      </c>
      <c r="Y971" s="31" t="str">
        <f>IFERROR(__xludf.DUMMYFUNCTION("""COMPUTED_VALUE"""),"Brouwer, Marije A; Engel, Marijanne; Teunissen, Saskia C C M; Leget, Carlo; Kars, Marijke C")</f>
        <v>Brouwer, Marije A; Engel, Marijanne; Teunissen, Saskia C C M; Leget, Carlo; Kars, Marijke C</v>
      </c>
      <c r="Z971" s="31">
        <f>IFERROR(__xludf.DUMMYFUNCTION("""COMPUTED_VALUE"""),2024.0)</f>
        <v>2024</v>
      </c>
      <c r="AA971" s="31">
        <f>IFERROR(__xludf.DUMMYFUNCTION("""COMPUTED_VALUE"""),0.0)</f>
        <v>0</v>
      </c>
      <c r="AF971" s="31" t="str">
        <f>IFERROR(__xludf.DUMMYFUNCTION("""COMPUTED_VALUE"""),"Ascertainment and verification of diabetes in the EPIC-NL study.")</f>
        <v>Ascertainment and verification of diabetes in the EPIC-NL study.</v>
      </c>
      <c r="AG971" s="31" t="str">
        <f>IFERROR(__xludf.DUMMYFUNCTION("""COMPUTED_VALUE"""),"Sluijs, I; van der A, D L; Beulens, J W J; Spijkerman, A M W; Ros, M M; Grobbee, D E; van der Schouw, Y T")</f>
        <v>Sluijs, I; van der A, D L; Beulens, J W J; Spijkerman, A M W; Ros, M M; Grobbee, D E; van der Schouw, Y T</v>
      </c>
      <c r="AH971" s="32">
        <f>IFERROR(__xludf.DUMMYFUNCTION("""COMPUTED_VALUE"""),40391.0)</f>
        <v>40391</v>
      </c>
      <c r="AL971" s="31" t="str">
        <f>IFERROR(__xludf.DUMMYFUNCTION("""COMPUTED_VALUE"""),"A benefit/risk analysis of the prevention of brain ischaemia with anticoagulant drugs: when, how and whom to treat?")</f>
        <v>A benefit/risk analysis of the prevention of brain ischaemia with anticoagulant drugs: when, how and whom to treat?</v>
      </c>
      <c r="AM971" s="31" t="str">
        <f>IFERROR(__xludf.DUMMYFUNCTION("""COMPUTED_VALUE"""),"Algra, A")</f>
        <v>Algra, A</v>
      </c>
      <c r="AN971" s="32">
        <f>IFERROR(__xludf.DUMMYFUNCTION("""COMPUTED_VALUE"""),36892.0)</f>
        <v>36892</v>
      </c>
    </row>
    <row r="972">
      <c r="A972" s="32"/>
      <c r="I972" s="31" t="str">
        <f>IFERROR(__xludf.DUMMYFUNCTION("""COMPUTED_VALUE"""),"gait posture")</f>
        <v>gait posture</v>
      </c>
      <c r="J972" s="38">
        <f>COUNTIF(Data!$F$2:$F9917, $I972)</f>
        <v>1</v>
      </c>
      <c r="T972" s="31" t="s">
        <v>2967</v>
      </c>
      <c r="U972" s="31" t="s">
        <v>2968</v>
      </c>
      <c r="V972" s="32">
        <v>45014.0</v>
      </c>
      <c r="X972" s="31" t="str">
        <f>IFERROR(__xludf.DUMMYFUNCTION("""COMPUTED_VALUE"""),"Interviewing people on sensitive topics: challenges and strategies.")</f>
        <v>Interviewing people on sensitive topics: challenges and strategies.</v>
      </c>
      <c r="Y972" s="31" t="str">
        <f>IFERROR(__xludf.DUMMYFUNCTION("""COMPUTED_VALUE"""),"Westland, Heleen; Vervoort, Sigrid; Kars, Marijke; Jaarsma, Tiny")</f>
        <v>Westland, Heleen; Vervoort, Sigrid; Kars, Marijke; Jaarsma, Tiny</v>
      </c>
      <c r="Z972" s="31">
        <f>IFERROR(__xludf.DUMMYFUNCTION("""COMPUTED_VALUE"""),2024.0)</f>
        <v>2024</v>
      </c>
      <c r="AA972" s="31">
        <f>IFERROR(__xludf.DUMMYFUNCTION("""COMPUTED_VALUE"""),0.0)</f>
        <v>0</v>
      </c>
      <c r="AF972" s="31" t="str">
        <f>IFERROR(__xludf.DUMMYFUNCTION("""COMPUTED_VALUE"""),"The duty to treat in the context of an influenza pandemic.")</f>
        <v>The duty to treat in the context of an influenza pandemic.</v>
      </c>
      <c r="AG972" s="31" t="str">
        <f>IFERROR(__xludf.DUMMYFUNCTION("""COMPUTED_VALUE"""),"van der Weijden, C P; Bredenoord, A L; van Delden, J J M")</f>
        <v>van der Weijden, C P; Bredenoord, A L; van Delden, J J M</v>
      </c>
      <c r="AH972" s="32">
        <f>IFERROR(__xludf.DUMMYFUNCTION("""COMPUTED_VALUE"""),40337.0)</f>
        <v>40337</v>
      </c>
      <c r="AL972" s="31" t="str">
        <f>IFERROR(__xludf.DUMMYFUNCTION("""COMPUTED_VALUE"""),"Oral anticoagulants versus antiplatelet therapy for preventing further vascular events after transient ischaemic attack or minor stroke of presumed arterial origin.")</f>
        <v>Oral anticoagulants versus antiplatelet therapy for preventing further vascular events after transient ischaemic attack or minor stroke of presumed arterial origin.</v>
      </c>
      <c r="AM972" s="31" t="str">
        <f>IFERROR(__xludf.DUMMYFUNCTION("""COMPUTED_VALUE"""),"Algra, A; de Schryver, E L; van Gijn, J; Kappelle, L J; Koudstaal, P J")</f>
        <v>Algra, A; de Schryver, E L; van Gijn, J; Kappelle, L J; Koudstaal, P J</v>
      </c>
      <c r="AN972" s="32">
        <f>IFERROR(__xludf.DUMMYFUNCTION("""COMPUTED_VALUE"""),36892.0)</f>
        <v>36892</v>
      </c>
    </row>
    <row r="973">
      <c r="A973" s="32"/>
      <c r="I973" s="31" t="str">
        <f>IFERROR(__xludf.DUMMYFUNCTION("""COMPUTED_VALUE"""),"annals of the new york academy of sciences")</f>
        <v>annals of the new york academy of sciences</v>
      </c>
      <c r="J973" s="38">
        <f>COUNTIF(Data!$F$2:$F9917, $I973)</f>
        <v>1</v>
      </c>
      <c r="T973" s="31" t="s">
        <v>2971</v>
      </c>
      <c r="U973" s="31" t="s">
        <v>2972</v>
      </c>
      <c r="V973" s="32">
        <v>45013.0</v>
      </c>
      <c r="X973" s="31" t="str">
        <f>IFERROR(__xludf.DUMMYFUNCTION("""COMPUTED_VALUE"""),"What Happened?': Perceptions of Patients with Hypertension of Conflicting Results between Self-Reported Medication Adherence and Chemical Adherence Testing: A Qualitative Study.")</f>
        <v>What Happened?': Perceptions of Patients with Hypertension of Conflicting Results between Self-Reported Medication Adherence and Chemical Adherence Testing: A Qualitative Study.</v>
      </c>
      <c r="Y973" s="31" t="str">
        <f>IFERROR(__xludf.DUMMYFUNCTION("""COMPUTED_VALUE"""),"Soldan, Sara; Flint, Corien; Jaarsma, Tiny; Westland, Heleen")</f>
        <v>Soldan, Sara; Flint, Corien; Jaarsma, Tiny; Westland, Heleen</v>
      </c>
      <c r="Z973" s="31">
        <f>IFERROR(__xludf.DUMMYFUNCTION("""COMPUTED_VALUE"""),2024.0)</f>
        <v>2024</v>
      </c>
      <c r="AA973" s="31">
        <f>IFERROR(__xludf.DUMMYFUNCTION("""COMPUTED_VALUE"""),0.0)</f>
        <v>0</v>
      </c>
      <c r="AF973" s="31" t="str">
        <f>IFERROR(__xludf.DUMMYFUNCTION("""COMPUTED_VALUE"""),"Adjuvant aspirin therapy reduces symptoms of schizophrenia spectrum disorders: results from a randomized, double-blind, placebo-controlled trial.")</f>
        <v>Adjuvant aspirin therapy reduces symptoms of schizophrenia spectrum disorders: results from a randomized, double-blind, placebo-controlled trial.</v>
      </c>
      <c r="AG973" s="31" t="str">
        <f>IFERROR(__xludf.DUMMYFUNCTION("""COMPUTED_VALUE"""),"Laan, Wijnand; Grobbee, Diederick E; Selten, Jean-Paul; Heijnen, Cobi J; Kahn, René S; Burger, Huibert")</f>
        <v>Laan, Wijnand; Grobbee, Diederick E; Selten, Jean-Paul; Heijnen, Cobi J; Kahn, René S; Burger, Huibert</v>
      </c>
      <c r="AH973" s="32">
        <f>IFERROR(__xludf.DUMMYFUNCTION("""COMPUTED_VALUE"""),40299.0)</f>
        <v>40299</v>
      </c>
      <c r="AL973" s="31" t="str">
        <f>IFERROR(__xludf.DUMMYFUNCTION("""COMPUTED_VALUE"""),"Use of maternal care in a rural area of Zimbabwe: a population-based study.")</f>
        <v>Use of maternal care in a rural area of Zimbabwe: a population-based study.</v>
      </c>
      <c r="AM973" s="31" t="str">
        <f>IFERROR(__xludf.DUMMYFUNCTION("""COMPUTED_VALUE"""),"van den Heuvel, O A; de Mey, W G; Buddingh, H; Bots, M L")</f>
        <v>van den Heuvel, O A; de Mey, W G; Buddingh, H; Bots, M L</v>
      </c>
      <c r="AN973" s="32">
        <f>IFERROR(__xludf.DUMMYFUNCTION("""COMPUTED_VALUE"""),36465.0)</f>
        <v>36465</v>
      </c>
    </row>
    <row r="974">
      <c r="A974" s="32"/>
      <c r="I974" s="31" t="str">
        <f>IFERROR(__xludf.DUMMYFUNCTION("""COMPUTED_VALUE"""),"the international journal of tuberculosis and lung disease the official journal of the international union against tuberculosis and lung disease")</f>
        <v>the international journal of tuberculosis and lung disease the official journal of the international union against tuberculosis and lung disease</v>
      </c>
      <c r="J974" s="38">
        <f>COUNTIF(Data!$F$2:$F9917, $I974)</f>
        <v>1</v>
      </c>
      <c r="T974" s="31" t="s">
        <v>2976</v>
      </c>
      <c r="U974" s="31" t="s">
        <v>2977</v>
      </c>
      <c r="V974" s="32">
        <v>45013.0</v>
      </c>
      <c r="X974" s="31" t="str">
        <f>IFERROR(__xludf.DUMMYFUNCTION("""COMPUTED_VALUE"""),"Barriers and facilitators for the implementation of co-created nursing innovations in a Dutch university hospital.")</f>
        <v>Barriers and facilitators for the implementation of co-created nursing innovations in a Dutch university hospital.</v>
      </c>
      <c r="Y974" s="31" t="str">
        <f>IFERROR(__xludf.DUMMYFUNCTION("""COMPUTED_VALUE"""),"van der Zanden, Myrthe; Helder, Onno; Westland, Heleen; Ista, Erwin")</f>
        <v>van der Zanden, Myrthe; Helder, Onno; Westland, Heleen; Ista, Erwin</v>
      </c>
      <c r="Z974" s="31">
        <f>IFERROR(__xludf.DUMMYFUNCTION("""COMPUTED_VALUE"""),2024.0)</f>
        <v>2024</v>
      </c>
      <c r="AA974" s="31">
        <f>IFERROR(__xludf.DUMMYFUNCTION("""COMPUTED_VALUE"""),0.0)</f>
        <v>0</v>
      </c>
      <c r="AF974" s="31" t="str">
        <f>IFERROR(__xludf.DUMMYFUNCTION("""COMPUTED_VALUE"""),"The global burden of diabetes and its complications: an emerging pandemic.")</f>
        <v>The global burden of diabetes and its complications: an emerging pandemic.</v>
      </c>
      <c r="AG974" s="31" t="str">
        <f>IFERROR(__xludf.DUMMYFUNCTION("""COMPUTED_VALUE"""),"van Dieren, Susan; Beulens, Joline W J; van der Schouw, Yvonne T; Grobbee, Diederick E; Neal, Bruce")</f>
        <v>van Dieren, Susan; Beulens, Joline W J; van der Schouw, Yvonne T; Grobbee, Diederick E; Neal, Bruce</v>
      </c>
      <c r="AH974" s="32">
        <f>IFERROR(__xludf.DUMMYFUNCTION("""COMPUTED_VALUE"""),40299.0)</f>
        <v>40299</v>
      </c>
    </row>
    <row r="975">
      <c r="A975" s="32"/>
      <c r="I975" s="31" t="str">
        <f>IFERROR(__xludf.DUMMYFUNCTION("""COMPUTED_VALUE"""),"journal of clinical microbiology")</f>
        <v>journal of clinical microbiology</v>
      </c>
      <c r="J975" s="38">
        <f>COUNTIF(Data!$F$2:$F9917, $I975)</f>
        <v>2</v>
      </c>
      <c r="T975" s="31" t="s">
        <v>2980</v>
      </c>
      <c r="U975" s="31" t="s">
        <v>2981</v>
      </c>
      <c r="V975" s="32">
        <v>45013.0</v>
      </c>
      <c r="X975" s="31" t="str">
        <f>IFERROR(__xludf.DUMMYFUNCTION("""COMPUTED_VALUE"""),"Risk of Recurrent Venous Thromboembolism in Patients with Cancer: An Individual Patient Data Meta-analysis and Development of a Prediction Model.")</f>
        <v>Risk of Recurrent Venous Thromboembolism in Patients with Cancer: An Individual Patient Data Meta-analysis and Development of a Prediction Model.</v>
      </c>
      <c r="Y975" s="31" t="str">
        <f>IFERROR(__xludf.DUMMYFUNCTION("""COMPUTED_VALUE"""),"Lanting, Vincent R; Takada, Toshihiko; Bosch, Floris T M; Marshall, Andrea; Grosso, Michael A; Young, Annie M; Lee, Agnes Y Y; Di Nisio, Marcello; Raskob, Gary E; Kamphuisen, Pieter W; Büller, Harry R; van Es, Nick")</f>
        <v>Lanting, Vincent R; Takada, Toshihiko; Bosch, Floris T M; Marshall, Andrea; Grosso, Michael A; Young, Annie M; Lee, Agnes Y Y; Di Nisio, Marcello; Raskob, Gary E; Kamphuisen, Pieter W; Büller, Harry R; van Es, Nick</v>
      </c>
      <c r="Z975" s="31">
        <f>IFERROR(__xludf.DUMMYFUNCTION("""COMPUTED_VALUE"""),2024.0)</f>
        <v>2024</v>
      </c>
      <c r="AA975" s="31">
        <f>IFERROR(__xludf.DUMMYFUNCTION("""COMPUTED_VALUE"""),0.0)</f>
        <v>0</v>
      </c>
      <c r="AF975" s="31" t="str">
        <f>IFERROR(__xludf.DUMMYFUNCTION("""COMPUTED_VALUE"""),"Dietary phylloquinone and menaquinones intakes and risk of type 2 diabetes.")</f>
        <v>Dietary phylloquinone and menaquinones intakes and risk of type 2 diabetes.</v>
      </c>
      <c r="AG975" s="31" t="str">
        <f>IFERROR(__xludf.DUMMYFUNCTION("""COMPUTED_VALUE"""),"Beulens, Joline W J; van der A, Daphne L; Grobbee, Diederick E; Sluijs, Ivonne; Spijkerman, Annemieke M W; van der Schouw, Yvonne T")</f>
        <v>Beulens, Joline W J; van der A, Daphne L; Grobbee, Diederick E; Sluijs, Ivonne; Spijkerman, Annemieke M W; van der Schouw, Yvonne T</v>
      </c>
      <c r="AH975" s="32">
        <f>IFERROR(__xludf.DUMMYFUNCTION("""COMPUTED_VALUE"""),40295.0)</f>
        <v>40295</v>
      </c>
    </row>
    <row r="976">
      <c r="A976" s="32"/>
      <c r="I976" s="31" t="str">
        <f>IFERROR(__xludf.DUMMYFUNCTION("""COMPUTED_VALUE"""),"journal of endovascular therapy an official journal of the international society of endovascular specialists")</f>
        <v>journal of endovascular therapy an official journal of the international society of endovascular specialists</v>
      </c>
      <c r="J976" s="38">
        <f>COUNTIF(Data!$F$2:$F9917, $I976)</f>
        <v>2</v>
      </c>
      <c r="T976" s="31" t="s">
        <v>2985</v>
      </c>
      <c r="U976" s="31" t="s">
        <v>2986</v>
      </c>
      <c r="V976" s="32">
        <v>45013.0</v>
      </c>
      <c r="X976" s="31" t="str">
        <f>IFERROR(__xludf.DUMMYFUNCTION("""COMPUTED_VALUE"""),"""Are you listening?"": Experiences shared online by family caregivers of patients in the palliative phase during the Covid-19-pandemic.")</f>
        <v>"Are you listening?": Experiences shared online by family caregivers of patients in the palliative phase during the Covid-19-pandemic.</v>
      </c>
      <c r="Y976" s="31" t="str">
        <f>IFERROR(__xludf.DUMMYFUNCTION("""COMPUTED_VALUE"""),"Hoffstädt, Hinke E; Verhoef, Mary-Joanne; Akkermans, Aranka; van der Steen, Jenny T; Stoppelenburg, Arianne; de Vries, Sita; de Graaf, Everlien; Teunissen, Saskia C C M; Hartog, Iris D; van der Linden, Yvette M")</f>
        <v>Hoffstädt, Hinke E; Verhoef, Mary-Joanne; Akkermans, Aranka; van der Steen, Jenny T; Stoppelenburg, Arianne; de Vries, Sita; de Graaf, Everlien; Teunissen, Saskia C C M; Hartog, Iris D; van der Linden, Yvette M</v>
      </c>
      <c r="Z976" s="31">
        <f>IFERROR(__xludf.DUMMYFUNCTION("""COMPUTED_VALUE"""),2024.0)</f>
        <v>2024</v>
      </c>
      <c r="AA976" s="31">
        <f>IFERROR(__xludf.DUMMYFUNCTION("""COMPUTED_VALUE"""),0.0)</f>
        <v>0</v>
      </c>
      <c r="AF976" s="31" t="str">
        <f>IFERROR(__xludf.DUMMYFUNCTION("""COMPUTED_VALUE"""),"The emerging burden of hospital admissions of adults with congenital heart disease.")</f>
        <v>The emerging burden of hospital admissions of adults with congenital heart disease.</v>
      </c>
      <c r="AG976" s="31" t="str">
        <f>IFERROR(__xludf.DUMMYFUNCTION("""COMPUTED_VALUE"""),"Verheugt, Carianne L; Uiterwaal, Cuno S P M; van der Velde, Enno T; Meijboom, Folkert J; Pieper, Petronella G; Sieswerda, Gertjan Tj; Plokker, Herbert W M; Grobbee, Diederick E; Mulder, Barbara J M")</f>
        <v>Verheugt, Carianne L; Uiterwaal, Cuno S P M; van der Velde, Enno T; Meijboom, Folkert J; Pieper, Petronella G; Sieswerda, Gertjan Tj; Plokker, Herbert W M; Grobbee, Diederick E; Mulder, Barbara J M</v>
      </c>
      <c r="AH976" s="32">
        <f>IFERROR(__xludf.DUMMYFUNCTION("""COMPUTED_VALUE"""),40288.0)</f>
        <v>40288</v>
      </c>
    </row>
    <row r="977">
      <c r="A977" s="32"/>
      <c r="I977" s="31" t="str">
        <f>IFERROR(__xludf.DUMMYFUNCTION("""COMPUTED_VALUE"""),"nature reviews disease primers")</f>
        <v>nature reviews disease primers</v>
      </c>
      <c r="J977" s="38">
        <f>COUNTIF(Data!$F$2:$F9917, $I977)</f>
        <v>1</v>
      </c>
      <c r="T977" s="31" t="s">
        <v>2990</v>
      </c>
      <c r="U977" s="31" t="s">
        <v>2991</v>
      </c>
      <c r="V977" s="32">
        <v>45012.0</v>
      </c>
      <c r="X977" s="31" t="str">
        <f>IFERROR(__xludf.DUMMYFUNCTION("""COMPUTED_VALUE"""),"Experience or perception: What healthcare providers need when using the Utrecht Symptom Diary-4 Dimensional, a mixed-methods study.")</f>
        <v>Experience or perception: What healthcare providers need when using the Utrecht Symptom Diary-4 Dimensional, a mixed-methods study.</v>
      </c>
      <c r="Y977" s="31" t="str">
        <f>IFERROR(__xludf.DUMMYFUNCTION("""COMPUTED_VALUE"""),"Lormans, Tom; de Graaf, Everlien; Leget, Carlo; Teunissen, Saskia")</f>
        <v>Lormans, Tom; de Graaf, Everlien; Leget, Carlo; Teunissen, Saskia</v>
      </c>
      <c r="Z977" s="31">
        <f>IFERROR(__xludf.DUMMYFUNCTION("""COMPUTED_VALUE"""),2024.0)</f>
        <v>2024</v>
      </c>
      <c r="AA977" s="31">
        <f>IFERROR(__xludf.DUMMYFUNCTION("""COMPUTED_VALUE"""),0.0)</f>
        <v>0</v>
      </c>
      <c r="AF977" s="31" t="str">
        <f>IFERROR(__xludf.DUMMYFUNCTION("""COMPUTED_VALUE"""),"Vasomotor symptoms, estradiol levels and cardiovascular risk profile in women.")</f>
        <v>Vasomotor symptoms, estradiol levels and cardiovascular risk profile in women.</v>
      </c>
      <c r="AG977" s="31" t="str">
        <f>IFERROR(__xludf.DUMMYFUNCTION("""COMPUTED_VALUE"""),"Gast, Gerrie-Cor M; Samsioe, Göran N; Grobbee, Diederick E; Nilsson, Peter M; van der Schouw, Yvonne T")</f>
        <v>Gast, Gerrie-Cor M; Samsioe, Göran N; Grobbee, Diederick E; Nilsson, Peter M; van der Schouw, Yvonne T</v>
      </c>
      <c r="AH977" s="32">
        <f>IFERROR(__xludf.DUMMYFUNCTION("""COMPUTED_VALUE"""),40286.0)</f>
        <v>40286</v>
      </c>
    </row>
    <row r="978">
      <c r="A978" s="32"/>
      <c r="I978" s="31" t="str">
        <f>IFERROR(__xludf.DUMMYFUNCTION("""COMPUTED_VALUE"""),"clinical research in cardiology official journal of the german cardiac society")</f>
        <v>clinical research in cardiology official journal of the german cardiac society</v>
      </c>
      <c r="J978" s="38">
        <f>COUNTIF(Data!$F$2:$F9917, $I978)</f>
        <v>2</v>
      </c>
      <c r="T978" s="31" t="s">
        <v>2994</v>
      </c>
      <c r="U978" s="31" t="s">
        <v>2995</v>
      </c>
      <c r="V978" s="32">
        <v>45010.0</v>
      </c>
      <c r="X978" s="31" t="str">
        <f>IFERROR(__xludf.DUMMYFUNCTION("""COMPUTED_VALUE"""),"Advance Care Planning: A Retrospective Audit in a National Referral Center for Interstitial Lung Diseases.")</f>
        <v>Advance Care Planning: A Retrospective Audit in a National Referral Center for Interstitial Lung Diseases.</v>
      </c>
      <c r="Y978" s="31" t="str">
        <f>IFERROR(__xludf.DUMMYFUNCTION("""COMPUTED_VALUE"""),"Trapman, Lian; Zwakman, Marieke; de Graaf, Everlien; Dijksman, Lea M; Grutters, Jan C; Teunissen, Saskia C C M")</f>
        <v>Trapman, Lian; Zwakman, Marieke; de Graaf, Everlien; Dijksman, Lea M; Grutters, Jan C; Teunissen, Saskia C C M</v>
      </c>
      <c r="Z978" s="31">
        <f>IFERROR(__xludf.DUMMYFUNCTION("""COMPUTED_VALUE"""),2024.0)</f>
        <v>2024</v>
      </c>
      <c r="AA978" s="31">
        <f>IFERROR(__xludf.DUMMYFUNCTION("""COMPUTED_VALUE"""),0.0)</f>
        <v>0</v>
      </c>
      <c r="AF978" s="31" t="str">
        <f>IFERROR(__xludf.DUMMYFUNCTION("""COMPUTED_VALUE"""),"Age of mother and grandmother in relation to a subject's breast cancer risk.")</f>
        <v>Age of mother and grandmother in relation to a subject's breast cancer risk.</v>
      </c>
      <c r="AG978" s="31" t="str">
        <f>IFERROR(__xludf.DUMMYFUNCTION("""COMPUTED_VALUE"""),"de Haan, M C; Michels, K B; Peeters, P H M; van Noord, P A H; Hennekam, F A M; van der Schouw, Y T")</f>
        <v>de Haan, M C; Michels, K B; Peeters, P H M; van Noord, P A H; Hennekam, F A M; van der Schouw, Y T</v>
      </c>
      <c r="AH978" s="32">
        <f>IFERROR(__xludf.DUMMYFUNCTION("""COMPUTED_VALUE"""),40267.0)</f>
        <v>40267</v>
      </c>
    </row>
    <row r="979">
      <c r="A979" s="32"/>
      <c r="I979" s="31" t="str">
        <f>IFERROR(__xludf.DUMMYFUNCTION("""COMPUTED_VALUE"""),"annals of epidemiology")</f>
        <v>annals of epidemiology</v>
      </c>
      <c r="J979" s="38">
        <f>COUNTIF(Data!$F$2:$F9917, $I979)</f>
        <v>9</v>
      </c>
      <c r="T979" s="31" t="s">
        <v>2999</v>
      </c>
      <c r="U979" s="31" t="s">
        <v>3000</v>
      </c>
      <c r="V979" s="32">
        <v>45009.0</v>
      </c>
      <c r="X979" s="31" t="str">
        <f>IFERROR(__xludf.DUMMYFUNCTION("""COMPUTED_VALUE"""),"Attention to the Values, Wishes and Needs of Patients With Advanced Cancer by Hospital Clinicians, an Exploratory Qualitative Study.")</f>
        <v>Attention to the Values, Wishes and Needs of Patients With Advanced Cancer by Hospital Clinicians, an Exploratory Qualitative Study.</v>
      </c>
      <c r="Y979" s="31" t="str">
        <f>IFERROR(__xludf.DUMMYFUNCTION("""COMPUTED_VALUE"""),"de Vries, Sita; Pijnappel, Laury; Vervoort, Sigrid; van der Linden, Yvette; Teunissen, Saskia; de Graaf, Everlien")</f>
        <v>de Vries, Sita; Pijnappel, Laury; Vervoort, Sigrid; van der Linden, Yvette; Teunissen, Saskia; de Graaf, Everlien</v>
      </c>
      <c r="Z979" s="31">
        <f>IFERROR(__xludf.DUMMYFUNCTION("""COMPUTED_VALUE"""),2024.0)</f>
        <v>2024</v>
      </c>
      <c r="AA979" s="31">
        <f>IFERROR(__xludf.DUMMYFUNCTION("""COMPUTED_VALUE"""),0.0)</f>
        <v>0</v>
      </c>
      <c r="AF979" s="31" t="str">
        <f>IFERROR(__xludf.DUMMYFUNCTION("""COMPUTED_VALUE"""),"Are recently identified genetic variants regulating BMI in the general population associated with anorexia nervosa?")</f>
        <v>Are recently identified genetic variants regulating BMI in the general population associated with anorexia nervosa?</v>
      </c>
      <c r="AG979" s="31" t="str">
        <f>IFERROR(__xludf.DUMMYFUNCTION("""COMPUTED_VALUE"""),"Brandys, Marek K; van Elburg, Annemarie A; Loos, Ruth J F; Bauer, Florianne; Hendriks, Judith; van der Schouw, Yvonne T; Adan, Roger A H")</f>
        <v>Brandys, Marek K; van Elburg, Annemarie A; Loos, Ruth J F; Bauer, Florianne; Hendriks, Judith; van der Schouw, Yvonne T; Adan, Roger A H</v>
      </c>
      <c r="AH979" s="32">
        <f>IFERROR(__xludf.DUMMYFUNCTION("""COMPUTED_VALUE"""),40242.0)</f>
        <v>40242</v>
      </c>
    </row>
    <row r="980">
      <c r="A980" s="32"/>
      <c r="I980" s="31" t="str">
        <f>IFERROR(__xludf.DUMMYFUNCTION("""COMPUTED_VALUE"""),"international journal for equity in health")</f>
        <v>international journal for equity in health</v>
      </c>
      <c r="J980" s="38">
        <f>COUNTIF(Data!$F$2:$F9917, $I980)</f>
        <v>2</v>
      </c>
      <c r="T980" s="31" t="s">
        <v>3003</v>
      </c>
      <c r="U980" s="31" t="s">
        <v>3004</v>
      </c>
      <c r="V980" s="32">
        <v>45007.0</v>
      </c>
      <c r="X980" s="31" t="str">
        <f>IFERROR(__xludf.DUMMYFUNCTION("""COMPUTED_VALUE"""),"Towards a Learning Health System for Symptom Management in Hospice Care.")</f>
        <v>Towards a Learning Health System for Symptom Management in Hospice Care.</v>
      </c>
      <c r="Y980" s="31" t="str">
        <f>IFERROR(__xludf.DUMMYFUNCTION("""COMPUTED_VALUE"""),"Massa, Marieke; Dermois, Marijke A; Caffarel, Jennifer; Cramer-Van Der Welle, Christine M; Boxman, Dianne K E; de Graaf, Everlien; Teunissen, Saskia S C M; van der Werf, Jurrian")</f>
        <v>Massa, Marieke; Dermois, Marijke A; Caffarel, Jennifer; Cramer-Van Der Welle, Christine M; Boxman, Dianne K E; de Graaf, Everlien; Teunissen, Saskia S C M; van der Werf, Jurrian</v>
      </c>
      <c r="Z980" s="31">
        <f>IFERROR(__xludf.DUMMYFUNCTION("""COMPUTED_VALUE"""),2024.0)</f>
        <v>2024</v>
      </c>
      <c r="AA980" s="31">
        <f>IFERROR(__xludf.DUMMYFUNCTION("""COMPUTED_VALUE"""),0.0)</f>
        <v>0</v>
      </c>
      <c r="AF980" s="31" t="str">
        <f>IFERROR(__xludf.DUMMYFUNCTION("""COMPUTED_VALUE"""),"Mortality in adult congenital heart disease.")</f>
        <v>Mortality in adult congenital heart disease.</v>
      </c>
      <c r="AG980" s="31" t="str">
        <f>IFERROR(__xludf.DUMMYFUNCTION("""COMPUTED_VALUE"""),"Verheugt, Carianne L; Uiterwaal, Cuno S P M; van der Velde, Enno T; Meijboom, Folkert J; Pieper, Petronella G; van Dijk, Arie P J; Vliegen, Hubert W; Grobbee, Diederick E; Mulder, Barbara J M")</f>
        <v>Verheugt, Carianne L; Uiterwaal, Cuno S P M; van der Velde, Enno T; Meijboom, Folkert J; Pieper, Petronella G; van Dijk, Arie P J; Vliegen, Hubert W; Grobbee, Diederick E; Mulder, Barbara J M</v>
      </c>
      <c r="AH980" s="32">
        <f>IFERROR(__xludf.DUMMYFUNCTION("""COMPUTED_VALUE"""),40242.0)</f>
        <v>40242</v>
      </c>
    </row>
    <row r="981">
      <c r="A981" s="32"/>
      <c r="I981" s="31" t="str">
        <f>IFERROR(__xludf.DUMMYFUNCTION("""COMPUTED_VALUE"""),"haemophilia the official journal of the world federation of hemophilia")</f>
        <v>haemophilia the official journal of the world federation of hemophilia</v>
      </c>
      <c r="J981" s="38">
        <f>COUNTIF(Data!$F$2:$F9917, $I981)</f>
        <v>6</v>
      </c>
      <c r="T981" s="31" t="s">
        <v>3007</v>
      </c>
      <c r="U981" s="31" t="s">
        <v>3008</v>
      </c>
      <c r="V981" s="32">
        <v>45006.0</v>
      </c>
      <c r="X981" s="31" t="str">
        <f>IFERROR(__xludf.DUMMYFUNCTION("""COMPUTED_VALUE"""),"General practice utilisation by Australian cancer patients in the last year of life.")</f>
        <v>General practice utilisation by Australian cancer patients in the last year of life.</v>
      </c>
      <c r="Y981" s="31" t="str">
        <f>IFERROR(__xludf.DUMMYFUNCTION("""COMPUTED_VALUE"""),"Grant, Matthew P; McCarthy, Damien; Kearney, Chris; Collins, Anna; Sundararajan, Vijaya; Rhee, Joel J; Philip, Jennifer A M; Emery, Jon D")</f>
        <v>Grant, Matthew P; McCarthy, Damien; Kearney, Chris; Collins, Anna; Sundararajan, Vijaya; Rhee, Joel J; Philip, Jennifer A M; Emery, Jon D</v>
      </c>
      <c r="Z981" s="31">
        <f>IFERROR(__xludf.DUMMYFUNCTION("""COMPUTED_VALUE"""),2024.0)</f>
        <v>2024</v>
      </c>
      <c r="AA981" s="31">
        <f>IFERROR(__xludf.DUMMYFUNCTION("""COMPUTED_VALUE"""),0.0)</f>
        <v>0</v>
      </c>
      <c r="AF981" s="31" t="str">
        <f>IFERROR(__xludf.DUMMYFUNCTION("""COMPUTED_VALUE"""),"[Practice guideline on extremely premature birth: too little room for parents to decide].")</f>
        <v>[Practice guideline on extremely premature birth: too little room for parents to decide].</v>
      </c>
      <c r="AG981" s="31" t="str">
        <f>IFERROR(__xludf.DUMMYFUNCTION("""COMPUTED_VALUE"""),"van Delden, J J M Hans")</f>
        <v>van Delden, J J M Hans</v>
      </c>
      <c r="AH981" s="32">
        <f>IFERROR(__xludf.DUMMYFUNCTION("""COMPUTED_VALUE"""),40179.0)</f>
        <v>40179</v>
      </c>
    </row>
    <row r="982">
      <c r="A982" s="32"/>
      <c r="I982" s="31" t="str">
        <f>IFERROR(__xludf.DUMMYFUNCTION("""COMPUTED_VALUE"""),"journal of epidemiology and global health")</f>
        <v>journal of epidemiology and global health</v>
      </c>
      <c r="J982" s="38">
        <f>COUNTIF(Data!$F$2:$F9917, $I982)</f>
        <v>1</v>
      </c>
      <c r="T982" s="31" t="s">
        <v>3011</v>
      </c>
      <c r="U982" s="31" t="s">
        <v>3012</v>
      </c>
      <c r="V982" s="32">
        <v>45004.0</v>
      </c>
      <c r="X982" s="31" t="str">
        <f>IFERROR(__xludf.DUMMYFUNCTION("""COMPUTED_VALUE"""),"General Practitioners' Experiences With Implementing Colon or Prostate Cancer Survivorship Care in Primary Care: A Cross-Sectional Survey Nested Within Two Randomized-Controlled Trials.")</f>
        <v>General Practitioners' Experiences With Implementing Colon or Prostate Cancer Survivorship Care in Primary Care: A Cross-Sectional Survey Nested Within Two Randomized-Controlled Trials.</v>
      </c>
      <c r="Y982" s="31" t="str">
        <f>IFERROR(__xludf.DUMMYFUNCTION("""COMPUTED_VALUE"""),"Vos, Julien A M; Wollersheim, Barbara M; van Weert, Henk C P M; van de Poll-Franse, Lonneke V; van Asselt, Kristel M")</f>
        <v>Vos, Julien A M; Wollersheim, Barbara M; van Weert, Henk C P M; van de Poll-Franse, Lonneke V; van Asselt, Kristel M</v>
      </c>
      <c r="Z982" s="31">
        <f>IFERROR(__xludf.DUMMYFUNCTION("""COMPUTED_VALUE"""),2024.0)</f>
        <v>2024</v>
      </c>
      <c r="AA982" s="31">
        <f>IFERROR(__xludf.DUMMYFUNCTION("""COMPUTED_VALUE"""),0.0)</f>
        <v>0</v>
      </c>
      <c r="AF982" s="31" t="str">
        <f>IFERROR(__xludf.DUMMYFUNCTION("""COMPUTED_VALUE"""),"Effect of nutritional counselling and nutritional plus exercise counselling in overweight adults: a randomized trial in multidisciplinary primary care practice.")</f>
        <v>Effect of nutritional counselling and nutritional plus exercise counselling in overweight adults: a randomized trial in multidisciplinary primary care practice.</v>
      </c>
      <c r="AG982" s="31" t="str">
        <f>IFERROR(__xludf.DUMMYFUNCTION("""COMPUTED_VALUE"""),"Molenaar, Esther A; van Ameijden, Erik J C; Vergouwe, Yvonne; Grobbee, Diederick E; Numans, Mattijs E")</f>
        <v>Molenaar, Esther A; van Ameijden, Erik J C; Vergouwe, Yvonne; Grobbee, Diederick E; Numans, Mattijs E</v>
      </c>
      <c r="AH982" s="32">
        <f>IFERROR(__xludf.DUMMYFUNCTION("""COMPUTED_VALUE"""),40168.0)</f>
        <v>40168</v>
      </c>
    </row>
    <row r="983">
      <c r="A983" s="32"/>
      <c r="I983" s="31" t="str">
        <f>IFERROR(__xludf.DUMMYFUNCTION("""COMPUTED_VALUE"""),"cardiovascular and interventional radiology")</f>
        <v>cardiovascular and interventional radiology</v>
      </c>
      <c r="J983" s="38">
        <f>COUNTIF(Data!$F$2:$F9917, $I983)</f>
        <v>2</v>
      </c>
      <c r="T983" s="31" t="s">
        <v>3015</v>
      </c>
      <c r="U983" s="31" t="s">
        <v>3016</v>
      </c>
      <c r="V983" s="32">
        <v>45003.0</v>
      </c>
      <c r="X983" s="31" t="str">
        <f>IFERROR(__xludf.DUMMYFUNCTION("""COMPUTED_VALUE"""),"Let's talk about work: pilot study of an education program on discussing work participation with cancer patients for general practitioners in training.")</f>
        <v>Let's talk about work: pilot study of an education program on discussing work participation with cancer patients for general practitioners in training.</v>
      </c>
      <c r="Y983" s="31" t="str">
        <f>IFERROR(__xludf.DUMMYFUNCTION("""COMPUTED_VALUE"""),"de Wit, Mariska; van Asselt, Kristel M; Mak-van der Vossen, Marianne; de Boer, Angela G E M")</f>
        <v>de Wit, Mariska; van Asselt, Kristel M; Mak-van der Vossen, Marianne; de Boer, Angela G E M</v>
      </c>
      <c r="Z983" s="31">
        <f>IFERROR(__xludf.DUMMYFUNCTION("""COMPUTED_VALUE"""),2024.0)</f>
        <v>2024</v>
      </c>
      <c r="AA983" s="31">
        <f>IFERROR(__xludf.DUMMYFUNCTION("""COMPUTED_VALUE"""),0.0)</f>
        <v>0</v>
      </c>
      <c r="AF983" s="31" t="str">
        <f>IFERROR(__xludf.DUMMYFUNCTION("""COMPUTED_VALUE"""),"Gender differences in risk factors for coronary heart disease.")</f>
        <v>Gender differences in risk factors for coronary heart disease.</v>
      </c>
      <c r="AG983" s="31" t="str">
        <f>IFERROR(__xludf.DUMMYFUNCTION("""COMPUTED_VALUE"""),"Tan, Yen Y; Gast, Gerrie-Cor M; van der Schouw, Yvonne T")</f>
        <v>Tan, Yen Y; Gast, Gerrie-Cor M; van der Schouw, Yvonne T</v>
      </c>
      <c r="AH983" s="32">
        <f>IFERROR(__xludf.DUMMYFUNCTION("""COMPUTED_VALUE"""),40124.0)</f>
        <v>40124</v>
      </c>
    </row>
    <row r="984">
      <c r="A984" s="32"/>
      <c r="I984" s="31" t="str">
        <f>IFERROR(__xludf.DUMMYFUNCTION("""COMPUTED_VALUE"""),"the veterinary record")</f>
        <v>the veterinary record</v>
      </c>
      <c r="J984" s="38">
        <f>COUNTIF(Data!$F$2:$F9917, $I984)</f>
        <v>1</v>
      </c>
      <c r="T984" s="31" t="s">
        <v>3019</v>
      </c>
      <c r="U984" s="31" t="s">
        <v>3020</v>
      </c>
      <c r="V984" s="32">
        <v>45002.0</v>
      </c>
      <c r="X984" s="31" t="str">
        <f>IFERROR(__xludf.DUMMYFUNCTION("""COMPUTED_VALUE"""),"Did aetiology matter in illness duration and complications in patients presenting in primary care with acute respiratory tract infections early in the COVID-19 pandemic: An observational study in nine countries.")</f>
        <v>Did aetiology matter in illness duration and complications in patients presenting in primary care with acute respiratory tract infections early in the COVID-19 pandemic: An observational study in nine countries.</v>
      </c>
      <c r="Y984" s="31" t="str">
        <f>IFERROR(__xludf.DUMMYFUNCTION("""COMPUTED_VALUE"""),"Venekamp, Roderick P; Eijkemans, Marinus J C; Zuithoff, Nicolaas P A; Böhmer, Femke; Chlabicz, Slawomir; Colliers, Annelies; García-Sangenís, Ana; Malania, Lile; Pauer, Jozsef; Tomacinschii, Angela; Verheij, Theo J; Goossens, Herman; Vellinga, Akke; Butle"&amp;"r, Christopher C; van der Velden, Alike W")</f>
        <v>Venekamp, Roderick P; Eijkemans, Marinus J C; Zuithoff, Nicolaas P A; Böhmer, Femke; Chlabicz, Slawomir; Colliers, Annelies; García-Sangenís, Ana; Malania, Lile; Pauer, Jozsef; Tomacinschii, Angela; Verheij, Theo J; Goossens, Herman; Vellinga, Akke; Butler, Christopher C; van der Velden, Alike W</v>
      </c>
      <c r="Z984" s="31">
        <f>IFERROR(__xludf.DUMMYFUNCTION("""COMPUTED_VALUE"""),2024.0)</f>
        <v>2024</v>
      </c>
      <c r="AA984" s="31">
        <f>IFERROR(__xludf.DUMMYFUNCTION("""COMPUTED_VALUE"""),0.0)</f>
        <v>0</v>
      </c>
      <c r="AF984" s="31" t="str">
        <f>IFERROR(__xludf.DUMMYFUNCTION("""COMPUTED_VALUE"""),"The need to explicate the ethical evaluation tools to avoid ethical inflation.")</f>
        <v>The need to explicate the ethical evaluation tools to avoid ethical inflation.</v>
      </c>
      <c r="AG984" s="31" t="str">
        <f>IFERROR(__xludf.DUMMYFUNCTION("""COMPUTED_VALUE"""),"Bernabe, Rosemarie D C; van Thiel, Ghislaine J M W; Raaijmakers, Jan A M; van Delden, Johannes J M")</f>
        <v>Bernabe, Rosemarie D C; van Thiel, Ghislaine J M W; Raaijmakers, Jan A M; van Delden, Johannes J M</v>
      </c>
      <c r="AH984" s="32">
        <f>IFERROR(__xludf.DUMMYFUNCTION("""COMPUTED_VALUE"""),40118.0)</f>
        <v>40118</v>
      </c>
    </row>
    <row r="985">
      <c r="A985" s="32"/>
      <c r="I985" s="31" t="str">
        <f>IFERROR(__xludf.DUMMYFUNCTION("""COMPUTED_VALUE"""),"research integrity and peer review")</f>
        <v>research integrity and peer review</v>
      </c>
      <c r="J985" s="38">
        <f>COUNTIF(Data!$F$2:$F9917, $I985)</f>
        <v>1</v>
      </c>
      <c r="T985" s="31" t="s">
        <v>3023</v>
      </c>
      <c r="U985" s="31" t="s">
        <v>3024</v>
      </c>
      <c r="V985" s="32">
        <v>45002.0</v>
      </c>
      <c r="X985" s="31" t="str">
        <f>IFERROR(__xludf.DUMMYFUNCTION("""COMPUTED_VALUE"""),"Corrigendum to ""Antihypertensive medication classes and risk of incident dementia in primary care patients: a longitudinal cohort study in the Netherlands"" [The Lancet Regional Health-Europe, Volume 42, July 2024, 100927].")</f>
        <v>Corrigendum to "Antihypertensive medication classes and risk of incident dementia in primary care patients: a longitudinal cohort study in the Netherlands" [The Lancet Regional Health-Europe, Volume 42, July 2024, 100927].</v>
      </c>
      <c r="Y985" s="31"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Z985" s="31">
        <f>IFERROR(__xludf.DUMMYFUNCTION("""COMPUTED_VALUE"""),2024.0)</f>
        <v>2024</v>
      </c>
      <c r="AA985" s="31">
        <f>IFERROR(__xludf.DUMMYFUNCTION("""COMPUTED_VALUE"""),0.0)</f>
        <v>0</v>
      </c>
      <c r="AF985" s="31" t="str">
        <f>IFERROR(__xludf.DUMMYFUNCTION("""COMPUTED_VALUE"""),"Dietary intake of total, animal, and vegetable protein and risk of type 2 diabetes in the European Prospective Investigation into Cancer and Nutrition (EPIC)-NL study.")</f>
        <v>Dietary intake of total, animal, and vegetable protein and risk of type 2 diabetes in the European Prospective Investigation into Cancer and Nutrition (EPIC)-NL study.</v>
      </c>
      <c r="AG985" s="31" t="str">
        <f>IFERROR(__xludf.DUMMYFUNCTION("""COMPUTED_VALUE"""),"Sluijs, Ivonne; Beulens, Joline W J; van der A, Daphne L; Spijkerman, Annemieke M W; Grobbee, Diederick E; van der Schouw, Yvonne T")</f>
        <v>Sluijs, Ivonne; Beulens, Joline W J; van der A, Daphne L; Spijkerman, Annemieke M W; Grobbee, Diederick E; van der Schouw, Yvonne T</v>
      </c>
      <c r="AH985" s="32">
        <f>IFERROR(__xludf.DUMMYFUNCTION("""COMPUTED_VALUE"""),40099.0)</f>
        <v>40099</v>
      </c>
    </row>
    <row r="986">
      <c r="A986" s="32"/>
      <c r="I986" s="31" t="str">
        <f>IFERROR(__xludf.DUMMYFUNCTION("""COMPUTED_VALUE"""),"bmc sports science medicine rehabilitation")</f>
        <v>bmc sports science medicine rehabilitation</v>
      </c>
      <c r="J986" s="38">
        <f>COUNTIF(Data!$F$2:$F9917, $I986)</f>
        <v>1</v>
      </c>
      <c r="T986" s="31" t="s">
        <v>3027</v>
      </c>
      <c r="U986" s="31" t="s">
        <v>3028</v>
      </c>
      <c r="V986" s="32">
        <v>45000.0</v>
      </c>
      <c r="X986" s="31" t="str">
        <f>IFERROR(__xludf.DUMMYFUNCTION("""COMPUTED_VALUE"""),"Exploring the barriers, facilitators and needs to use patient outcomes in district nursing care: A multi-method qualitative study.")</f>
        <v>Exploring the barriers, facilitators and needs to use patient outcomes in district nursing care: A multi-method qualitative study.</v>
      </c>
      <c r="Y986" s="31" t="str">
        <f>IFERROR(__xludf.DUMMYFUNCTION("""COMPUTED_VALUE"""),"Veldhuizen, Jessica Desirée; Van Wijngaarden, Frans; Mikkers, Misja Chiljon; Schuurmans, Marieke Joanne; Bleijenberg, Nienke")</f>
        <v>Veldhuizen, Jessica Desirée; Van Wijngaarden, Frans; Mikkers, Misja Chiljon; Schuurmans, Marieke Joanne; Bleijenberg, Nienke</v>
      </c>
      <c r="Z986" s="31">
        <f>IFERROR(__xludf.DUMMYFUNCTION("""COMPUTED_VALUE"""),2024.0)</f>
        <v>2024</v>
      </c>
      <c r="AA986" s="31">
        <f>IFERROR(__xludf.DUMMYFUNCTION("""COMPUTED_VALUE"""),0.0)</f>
        <v>0</v>
      </c>
      <c r="AF986" s="31" t="str">
        <f>IFERROR(__xludf.DUMMYFUNCTION("""COMPUTED_VALUE"""),"Instrumental variables in influenza vaccination studies: mission impossible?!")</f>
        <v>Instrumental variables in influenza vaccination studies: mission impossible?!</v>
      </c>
      <c r="AG986" s="31" t="str">
        <f>IFERROR(__xludf.DUMMYFUNCTION("""COMPUTED_VALUE"""),"Groenwold, Rolf H H; Hak, Eelko; Klungel, Olaf H; Hoes, Arno W")</f>
        <v>Groenwold, Rolf H H; Hak, Eelko; Klungel, Olaf H; Hoes, Arno W</v>
      </c>
      <c r="AH986" s="32">
        <f>IFERROR(__xludf.DUMMYFUNCTION("""COMPUTED_VALUE"""),40045.0)</f>
        <v>40045</v>
      </c>
    </row>
    <row r="987">
      <c r="A987" s="32"/>
      <c r="I987" s="31" t="str">
        <f>IFERROR(__xludf.DUMMYFUNCTION("""COMPUTED_VALUE"""),"family medicine")</f>
        <v>family medicine</v>
      </c>
      <c r="J987" s="38">
        <f>COUNTIF(Data!$F$2:$F9917, $I987)</f>
        <v>1</v>
      </c>
      <c r="T987" s="31" t="s">
        <v>3031</v>
      </c>
      <c r="U987" s="31" t="s">
        <v>3032</v>
      </c>
      <c r="V987" s="32">
        <v>45000.0</v>
      </c>
      <c r="X987" s="31" t="str">
        <f>IFERROR(__xludf.DUMMYFUNCTION("""COMPUTED_VALUE"""),"Use of antithrombotic therapy and the risk of cardiovascular outcomes and bleeding in cancer patients at the end of life: a Danish nationwide cohort study.")</f>
        <v>Use of antithrombotic therapy and the risk of cardiovascular outcomes and bleeding in cancer patients at the end of life: a Danish nationwide cohort study.</v>
      </c>
      <c r="Y987" s="31" t="str">
        <f>IFERROR(__xludf.DUMMYFUNCTION("""COMPUTED_VALUE"""),"Søgaard, Mette; Ørskov, Marie; Jensen, Martin; Goedegebuur, Jamilla; Kempers, Eva K; Visser, Chantal; Geijteman, Eric C T; Abbel, Denise; Mooijaart, Simon P; Geersing, Geert-Jan; Portielje, Johanneke; Edwards, Adrian; Aldridge, Sarah J; Akbari, Ashley; Hø"&amp;"jen, Anette A; Klok, Frederikus A; Noble, Simon; Cannegieter, Suzanne; Ording, Anne Gulbech")</f>
        <v>Søgaard, Mette; Ørskov, Marie; Jensen, Martin; Goedegebuur, Jamilla; Kempers, Eva K; Visser, Chantal; Geijteman, Eric C T; Abbel, Denise; Mooijaart, Simon P; Geersing, Geert-Jan; Portielje, Johanneke; Edwards, Adrian; Aldridge, Sarah J; Akbari, Ashley; Højen, Anette A; Klok, Frederikus A; Noble, Simon; Cannegieter, Suzanne; Ording, Anne Gulbech</v>
      </c>
      <c r="Z987" s="31">
        <f>IFERROR(__xludf.DUMMYFUNCTION("""COMPUTED_VALUE"""),2024.0)</f>
        <v>2024</v>
      </c>
      <c r="AA987" s="31">
        <f>IFERROR(__xludf.DUMMYFUNCTION("""COMPUTED_VALUE"""),0.0)</f>
        <v>0</v>
      </c>
      <c r="AF987" s="31" t="str">
        <f>IFERROR(__xludf.DUMMYFUNCTION("""COMPUTED_VALUE"""),"Cognitive function and risks of cardiovascular disease and hypoglycaemia in patients with type 2 diabetes: the Action in Diabetes and Vascular Disease: Preterax and Diamicron Modified Release Controlled Evaluation (ADVANCE) trial.")</f>
        <v>Cognitive function and risks of cardiovascular disease and hypoglycaemia in patients with type 2 diabetes: the Action in Diabetes and Vascular Disease: Preterax and Diamicron Modified Release Controlled Evaluation (ADVANCE) trial.</v>
      </c>
      <c r="AG987" s="31" t="str">
        <f>IFERROR(__xludf.DUMMYFUNCTION("""COMPUTED_VALUE"""),"de Galan, B E; Zoungas, S; Chalmers, J; Anderson, C; Dufouil, C; Pillai, A; Cooper, M; Grobbee, D E; Hackett, M; Hamet, P; Heller, S R; Lisheng, L; MacMahon, S; Mancia, G; Neal, B; Pan, C Y; Patel, A; Poulter, N; Travert, F; Woodward, M; ,")</f>
        <v>de Galan, B E; Zoungas, S; Chalmers, J; Anderson, C; Dufouil, C; Pillai, A; Cooper, M; Grobbee, D E; Hackett, M; Hamet, P; Heller, S R; Lisheng, L; MacMahon, S; Mancia, G; Neal, B; Pan, C Y; Patel, A; Poulter, N; Travert, F; Woodward, M; ,</v>
      </c>
      <c r="AH987" s="32">
        <f>IFERROR(__xludf.DUMMYFUNCTION("""COMPUTED_VALUE"""),40043.0)</f>
        <v>40043</v>
      </c>
    </row>
    <row r="988">
      <c r="A988" s="32"/>
      <c r="I988" s="31" t="str">
        <f>IFERROR(__xludf.DUMMYFUNCTION("""COMPUTED_VALUE"""),"perspectives on medical education")</f>
        <v>perspectives on medical education</v>
      </c>
      <c r="J988" s="38">
        <f>COUNTIF(Data!$F$2:$F9917, $I988)</f>
        <v>2</v>
      </c>
      <c r="T988" s="31" t="s">
        <v>3035</v>
      </c>
      <c r="U988" s="31" t="s">
        <v>3036</v>
      </c>
      <c r="V988" s="32">
        <v>45000.0</v>
      </c>
      <c r="X988" s="31" t="str">
        <f>IFERROR(__xludf.DUMMYFUNCTION("""COMPUTED_VALUE"""),"How Clinician-Scientists Access and Mobilise Social Capital and Thus Contribute to the Professional Development of Their Colleagues in Their Networks.")</f>
        <v>How Clinician-Scientists Access and Mobilise Social Capital and Thus Contribute to the Professional Development of Their Colleagues in Their Networks.</v>
      </c>
      <c r="Y988" s="31" t="str">
        <f>IFERROR(__xludf.DUMMYFUNCTION("""COMPUTED_VALUE"""),"de Groot, Esther; Brouwer, Jasperina; Baggen, Yvette; Moolenaar, Nienke; Kluijtmans, Manon; Damoiseaux, Roger")</f>
        <v>de Groot, Esther; Brouwer, Jasperina; Baggen, Yvette; Moolenaar, Nienke; Kluijtmans, Manon; Damoiseaux, Roger</v>
      </c>
      <c r="Z988" s="31">
        <f>IFERROR(__xludf.DUMMYFUNCTION("""COMPUTED_VALUE"""),2024.0)</f>
        <v>2024</v>
      </c>
      <c r="AA988" s="31">
        <f>IFERROR(__xludf.DUMMYFUNCTION("""COMPUTED_VALUE"""),0.0)</f>
        <v>0</v>
      </c>
      <c r="AF988" s="31" t="str">
        <f>IFERROR(__xludf.DUMMYFUNCTION("""COMPUTED_VALUE"""),"Effects of blood pressure lowering and intensive glucose control on the incidence and progression of retinopathy in patients with type 2 diabetes mellitus: a randomised controlled trial.")</f>
        <v>Effects of blood pressure lowering and intensive glucose control on the incidence and progression of retinopathy in patients with type 2 diabetes mellitus: a randomised controlled trial.</v>
      </c>
      <c r="AG988" s="31" t="str">
        <f>IFERROR(__xludf.DUMMYFUNCTION("""COMPUTED_VALUE"""),"Beulens, J W J; Patel, A; Vingerling, J R; Cruickshank, J K; Hughes, A D; Stanton, A; Lu, J; McG Thom, S A; Grobbee, D E; Stolk, R P; ,; ,")</f>
        <v>Beulens, J W J; Patel, A; Vingerling, J R; Cruickshank, J K; Hughes, A D; Stanton, A; Lu, J; McG Thom, S A; Grobbee, D E; Stolk, R P; ,; ,</v>
      </c>
      <c r="AH988" s="32">
        <f>IFERROR(__xludf.DUMMYFUNCTION("""COMPUTED_VALUE"""),40019.0)</f>
        <v>40019</v>
      </c>
    </row>
    <row r="989">
      <c r="A989" s="32"/>
      <c r="I989" s="31" t="str">
        <f>IFERROR(__xludf.DUMMYFUNCTION("""COMPUTED_VALUE"""),"current cardiology reports")</f>
        <v>current cardiology reports</v>
      </c>
      <c r="J989" s="38">
        <f>COUNTIF(Data!$F$2:$F9917, $I989)</f>
        <v>1</v>
      </c>
      <c r="T989" s="31" t="s">
        <v>3039</v>
      </c>
      <c r="U989" s="31" t="s">
        <v>3040</v>
      </c>
      <c r="V989" s="32">
        <v>44999.0</v>
      </c>
      <c r="X989" s="31" t="str">
        <f>IFERROR(__xludf.DUMMYFUNCTION("""COMPUTED_VALUE"""),"Early-Life Risk Factors for Carotid Intima-Media Thickness and Carotid Stiffness in Adolescence.")</f>
        <v>Early-Life Risk Factors for Carotid Intima-Media Thickness and Carotid Stiffness in Adolescence.</v>
      </c>
      <c r="Y989" s="31" t="str">
        <f>IFERROR(__xludf.DUMMYFUNCTION("""COMPUTED_VALUE"""),"van der Linden, Isabelle A; Roodenburg, Rozan; Nijhof, Sanne L; van der Ent, Cornelis K; Venekamp, Roderick P; van der Laan, Sabine E I; Schipper, Henk S")</f>
        <v>van der Linden, Isabelle A; Roodenburg, Rozan; Nijhof, Sanne L; van der Ent, Cornelis K; Venekamp, Roderick P; van der Laan, Sabine E I; Schipper, Henk S</v>
      </c>
      <c r="Z989" s="31">
        <f>IFERROR(__xludf.DUMMYFUNCTION("""COMPUTED_VALUE"""),2024.0)</f>
        <v>2024</v>
      </c>
      <c r="AA989" s="31">
        <f>IFERROR(__xludf.DUMMYFUNCTION("""COMPUTED_VALUE"""),0.0)</f>
        <v>0</v>
      </c>
      <c r="AF989" s="31" t="str">
        <f>IFERROR(__xludf.DUMMYFUNCTION("""COMPUTED_VALUE"""),"Cardiovascular disease prevention in women: Impact of dietary interventions.")</f>
        <v>Cardiovascular disease prevention in women: Impact of dietary interventions.</v>
      </c>
      <c r="AG989" s="31" t="str">
        <f>IFERROR(__xludf.DUMMYFUNCTION("""COMPUTED_VALUE"""),"Hoekstra, Tiny; Beulens, Joline W J; van der Schouw, Yvonne T")</f>
        <v>Hoekstra, Tiny; Beulens, Joline W J; van der Schouw, Yvonne T</v>
      </c>
      <c r="AH989" s="32">
        <f>IFERROR(__xludf.DUMMYFUNCTION("""COMPUTED_VALUE"""),39953.0)</f>
        <v>39953</v>
      </c>
    </row>
    <row r="990">
      <c r="A990" s="32"/>
      <c r="I990" s="31" t="str">
        <f>IFERROR(__xludf.DUMMYFUNCTION("""COMPUTED_VALUE"""),"medicine")</f>
        <v>medicine</v>
      </c>
      <c r="J990" s="38">
        <f>COUNTIF(Data!$F$2:$F9917, $I990)</f>
        <v>2</v>
      </c>
      <c r="T990" s="31" t="s">
        <v>3043</v>
      </c>
      <c r="U990" s="31" t="s">
        <v>3044</v>
      </c>
      <c r="V990" s="32">
        <v>44999.0</v>
      </c>
      <c r="X990" s="31" t="str">
        <f>IFERROR(__xludf.DUMMYFUNCTION("""COMPUTED_VALUE"""),"Topical or oral antibiotics in childhood acute otitis media and ear discharge: a randomized controlled non-inferiority trial.")</f>
        <v>Topical or oral antibiotics in childhood acute otitis media and ear discharge: a randomized controlled non-inferiority trial.</v>
      </c>
      <c r="Y990" s="31" t="str">
        <f>IFERROR(__xludf.DUMMYFUNCTION("""COMPUTED_VALUE"""),"Hullegie, Saskia; Damoiseaux, Roger A M J; Hay, Alastair D; Zuithoff, Nicolaas P A; van Dongen, Thijs M A; Little, Paul; Schilder, Anne G M; Venekamp, Roderick P")</f>
        <v>Hullegie, Saskia; Damoiseaux, Roger A M J; Hay, Alastair D; Zuithoff, Nicolaas P A; van Dongen, Thijs M A; Little, Paul; Schilder, Anne G M; Venekamp, Roderick P</v>
      </c>
      <c r="Z990" s="31">
        <f>IFERROR(__xludf.DUMMYFUNCTION("""COMPUTED_VALUE"""),2024.0)</f>
        <v>2024</v>
      </c>
      <c r="AA990" s="31">
        <f>IFERROR(__xludf.DUMMYFUNCTION("""COMPUTED_VALUE"""),0.0)</f>
        <v>0</v>
      </c>
      <c r="AF990" s="31" t="str">
        <f>IFERROR(__xludf.DUMMYFUNCTION("""COMPUTED_VALUE"""),"The justificatory power of moral experience.")</f>
        <v>The justificatory power of moral experience.</v>
      </c>
      <c r="AG990" s="31" t="str">
        <f>IFERROR(__xludf.DUMMYFUNCTION("""COMPUTED_VALUE"""),"van Thiel, G J M W; van Delden, J J M")</f>
        <v>van Thiel, G J M W; van Delden, J J M</v>
      </c>
      <c r="AH990" s="32">
        <f>IFERROR(__xludf.DUMMYFUNCTION("""COMPUTED_VALUE"""),39904.0)</f>
        <v>39904</v>
      </c>
    </row>
    <row r="991">
      <c r="A991" s="32"/>
      <c r="I991" s="31" t="str">
        <f>IFERROR(__xludf.DUMMYFUNCTION("""COMPUTED_VALUE"""),"bmc gastroenterology")</f>
        <v>bmc gastroenterology</v>
      </c>
      <c r="J991" s="38">
        <f>COUNTIF(Data!$F$2:$F9917, $I991)</f>
        <v>1</v>
      </c>
      <c r="T991" s="31" t="s">
        <v>3048</v>
      </c>
      <c r="U991" s="31" t="s">
        <v>3049</v>
      </c>
      <c r="V991" s="32">
        <v>44999.0</v>
      </c>
      <c r="X991" s="31" t="str">
        <f>IFERROR(__xludf.DUMMYFUNCTION("""COMPUTED_VALUE"""),"A Dutch paediatric palliative care guideline: a systematic review and recommendations on advance care planning and shared decision-making.")</f>
        <v>A Dutch paediatric palliative care guideline: a systematic review and recommendations on advance care planning and shared decision-making.</v>
      </c>
      <c r="Y991" s="31" t="str">
        <f>IFERROR(__xludf.DUMMYFUNCTION("""COMPUTED_VALUE"""),"van Teunenbroek, Kim C; Mulder, Renée L; van Heel, Dayna A M; Fahner, Jurrianne C; de Vos-Broerse, Mirjam A; Verheijden, Johannes M A; Rippen, Hester; Borggreve, Brigitt C M; Kremer, Leontien C M; Kars, Marijke C; Michiels, Erna M C; Verhagen, A A Eduard;"&amp;" ,")</f>
        <v>van Teunenbroek, Kim C; Mulder, Renée L; van Heel, Dayna A M; Fahner, Jurrianne C; de Vos-Broerse, Mirjam A; Verheijden, Johannes M A; Rippen, Hester; Borggreve, Brigitt C M; Kremer, Leontien C M; Kars, Marijke C; Michiels, Erna M C; Verhagen, A A Eduard; ,</v>
      </c>
      <c r="Z991" s="31">
        <f>IFERROR(__xludf.DUMMYFUNCTION("""COMPUTED_VALUE"""),2024.0)</f>
        <v>2024</v>
      </c>
      <c r="AA991" s="31">
        <f>IFERROR(__xludf.DUMMYFUNCTION("""COMPUTED_VALUE"""),0.0)</f>
        <v>0</v>
      </c>
      <c r="AF991" s="31" t="str">
        <f>IFERROR(__xludf.DUMMYFUNCTION("""COMPUTED_VALUE"""),"Dietary carotenoid intake is associated with lower prevalence of metabolic syndrome in middle-aged and elderly men.")</f>
        <v>Dietary carotenoid intake is associated with lower prevalence of metabolic syndrome in middle-aged and elderly men.</v>
      </c>
      <c r="AG991" s="31" t="str">
        <f>IFERROR(__xludf.DUMMYFUNCTION("""COMPUTED_VALUE"""),"Sluijs, Ivonne; Beulens, Joline W J; Grobbee, Diederick E; van der Schouw, Yvonne T")</f>
        <v>Sluijs, Ivonne; Beulens, Joline W J; Grobbee, Diederick E; van der Schouw, Yvonne T</v>
      </c>
      <c r="AH991" s="32">
        <f>IFERROR(__xludf.DUMMYFUNCTION("""COMPUTED_VALUE"""),39897.0)</f>
        <v>39897</v>
      </c>
    </row>
    <row r="992">
      <c r="A992" s="32"/>
      <c r="I992" s="31" t="str">
        <f>IFERROR(__xludf.DUMMYFUNCTION("""COMPUTED_VALUE"""),"journal of inflammation research")</f>
        <v>journal of inflammation research</v>
      </c>
      <c r="J992" s="38">
        <f>COUNTIF(Data!$F$2:$F9917, $I992)</f>
        <v>1</v>
      </c>
      <c r="T992" s="31" t="s">
        <v>3052</v>
      </c>
      <c r="U992" s="31" t="s">
        <v>3053</v>
      </c>
      <c r="V992" s="32">
        <v>44999.0</v>
      </c>
      <c r="X992" s="31" t="str">
        <f>IFERROR(__xludf.DUMMYFUNCTION("""COMPUTED_VALUE"""),"The purpose of an individual care plan in pediatric palliative care according to healthcare professionals: a qualitative study.")</f>
        <v>The purpose of an individual care plan in pediatric palliative care according to healthcare professionals: a qualitative study.</v>
      </c>
      <c r="Y992" s="31" t="str">
        <f>IFERROR(__xludf.DUMMYFUNCTION("""COMPUTED_VALUE"""),"Joren, C Y; Kars, M C; Kremer, L C M; van Dijk, J C; Habing, A M; Tijs, A M; Trampe, A A; Verhagen, A A E; Aris-Meijer, J L")</f>
        <v>Joren, C Y; Kars, M C; Kremer, L C M; van Dijk, J C; Habing, A M; Tijs, A M; Trampe, A A; Verhagen, A A E; Aris-Meijer, J L</v>
      </c>
      <c r="Z992" s="31">
        <f>IFERROR(__xludf.DUMMYFUNCTION("""COMPUTED_VALUE"""),2024.0)</f>
        <v>2024</v>
      </c>
      <c r="AA992" s="31">
        <f>IFERROR(__xludf.DUMMYFUNCTION("""COMPUTED_VALUE"""),0.0)</f>
        <v>0</v>
      </c>
      <c r="AF992" s="31" t="str">
        <f>IFERROR(__xludf.DUMMYFUNCTION("""COMPUTED_VALUE"""),"[""Father would have never wanted this"". Substituted judgement from family members about the treatment of Wilson disease patients].")</f>
        <v>["Father would have never wanted this". Substituted judgement from family members about the treatment of Wilson disease patients].</v>
      </c>
      <c r="AG992" s="31" t="str">
        <f>IFERROR(__xludf.DUMMYFUNCTION("""COMPUTED_VALUE"""),"Westendorp, G Wouter; van Delden, J J M")</f>
        <v>Westendorp, G Wouter; van Delden, J J M</v>
      </c>
      <c r="AH992" s="32">
        <f>IFERROR(__xludf.DUMMYFUNCTION("""COMPUTED_VALUE"""),39851.0)</f>
        <v>39851</v>
      </c>
    </row>
    <row r="993">
      <c r="A993" s="32"/>
      <c r="I993" s="31" t="str">
        <f>IFERROR(__xludf.DUMMYFUNCTION("""COMPUTED_VALUE"""),"implementation science is")</f>
        <v>implementation science is</v>
      </c>
      <c r="J993" s="38">
        <f>COUNTIF(Data!$F$2:$F9917, $I993)</f>
        <v>1</v>
      </c>
      <c r="T993" s="31" t="s">
        <v>3056</v>
      </c>
      <c r="U993" s="31" t="s">
        <v>3057</v>
      </c>
      <c r="V993" s="32">
        <v>44998.0</v>
      </c>
      <c r="X993" s="31" t="str">
        <f>IFERROR(__xludf.DUMMYFUNCTION("""COMPUTED_VALUE"""),"Serum and mucosal antibody-mediated protection and identification of asymptomatic respiratory syncytial virus infection in community-dwelling older adults in Europe.")</f>
        <v>Serum and mucosal antibody-mediated protection and identification of asymptomatic respiratory syncytial virus infection in community-dwelling older adults in Europe.</v>
      </c>
      <c r="Y993" s="31" t="str">
        <f>IFERROR(__xludf.DUMMYFUNCTION("""COMPUTED_VALUE"""),"Öner, Deniz; Vernhes, Charlotte; Balla-Jhagjhoorsingh, Sunita; Moureau, Annick; Crabbe, Marjolein; Salaun, Bruno; Bastian, Arangassery Rosemary; Thys, Kim; De Smedt, Jonathan; Ooft, Salo N; Korsten, Koos; Adriaenssens, Niels; Coenen, Samuel; Butler, Chris"&amp;"topher C; Verheij, Theo J M; Drysdale, Simon B; Wildenbeest, Joanne G; Pollard, Andrew J; Openshaw, Peter J M; Bont, Louis; Aerssens, Jeroen")</f>
        <v>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v>
      </c>
      <c r="Z993" s="31">
        <f>IFERROR(__xludf.DUMMYFUNCTION("""COMPUTED_VALUE"""),2024.0)</f>
        <v>2024</v>
      </c>
      <c r="AA993" s="31">
        <f>IFERROR(__xludf.DUMMYFUNCTION("""COMPUTED_VALUE"""),0.0)</f>
        <v>0</v>
      </c>
      <c r="AF993" s="31" t="str">
        <f>IFERROR(__xludf.DUMMYFUNCTION("""COMPUTED_VALUE"""),"Incidence and mortality of cardiovascular disease in postmenopausal women world-wide and relevance for preventive strategies.")</f>
        <v>Incidence and mortality of cardiovascular disease in postmenopausal women world-wide and relevance for preventive strategies.</v>
      </c>
      <c r="AG993" s="31" t="str">
        <f>IFERROR(__xludf.DUMMYFUNCTION("""COMPUTED_VALUE"""),"van der Schouw, Y T")</f>
        <v>van der Schouw, Y T</v>
      </c>
      <c r="AH993" s="32">
        <f>IFERROR(__xludf.DUMMYFUNCTION("""COMPUTED_VALUE"""),39814.0)</f>
        <v>39814</v>
      </c>
    </row>
    <row r="994">
      <c r="A994" s="32"/>
      <c r="I994" s="31" t="str">
        <f>IFERROR(__xludf.DUMMYFUNCTION("""COMPUTED_VALUE"""),"eye london england")</f>
        <v>eye london england</v>
      </c>
      <c r="J994" s="38">
        <f>COUNTIF(Data!$F$2:$F9917, $I994)</f>
        <v>1</v>
      </c>
      <c r="T994" s="31" t="s">
        <v>3060</v>
      </c>
      <c r="U994" s="31" t="s">
        <v>3061</v>
      </c>
      <c r="V994" s="32">
        <v>44996.0</v>
      </c>
      <c r="X994" s="31" t="str">
        <f>IFERROR(__xludf.DUMMYFUNCTION("""COMPUTED_VALUE"""),"Validation of 11 added items of the outpatient version of the Utrecht Symptom Diary in patients receiving chemotherapy or targeted therapy.")</f>
        <v>Validation of 11 added items of the outpatient version of the Utrecht Symptom Diary in patients receiving chemotherapy or targeted therapy.</v>
      </c>
      <c r="Y994" s="31" t="str">
        <f>IFERROR(__xludf.DUMMYFUNCTION("""COMPUTED_VALUE"""),"Koldenhof, Josephine J; Akpobome, Bernice O; Zweers, Danielle; Klaasse, Stance; Teunissen, Saskia C C M; Witteveen, Petronella O; Suijkerbuijk, Karijn P M; de Graeff, Alexander; van der Baan, Frederieke H")</f>
        <v>Koldenhof, Josephine J; Akpobome, Bernice O; Zweers, Danielle; Klaasse, Stance; Teunissen, Saskia C C M; Witteveen, Petronella O; Suijkerbuijk, Karijn P M; de Graeff, Alexander; van der Baan, Frederieke H</v>
      </c>
      <c r="Z994" s="31">
        <f>IFERROR(__xludf.DUMMYFUNCTION("""COMPUTED_VALUE"""),2024.0)</f>
        <v>2024</v>
      </c>
      <c r="AA994" s="31">
        <f>IFERROR(__xludf.DUMMYFUNCTION("""COMPUTED_VALUE"""),0.0)</f>
        <v>0</v>
      </c>
      <c r="AF994" s="31" t="str">
        <f>IFERROR(__xludf.DUMMYFUNCTION("""COMPUTED_VALUE"""),"Long-term results of heart transplantation for end-stage valvular heart disease.")</f>
        <v>Long-term results of heart transplantation for end-stage valvular heart disease.</v>
      </c>
      <c r="AG994" s="31" t="str">
        <f>IFERROR(__xludf.DUMMYFUNCTION("""COMPUTED_VALUE"""),"Tjang, Yanto Sandy; van der Heijden, Geert J M G; Tenderich, Gero; Körfer, Reiner; Grobbee, Diederick E")</f>
        <v>Tjang, Yanto Sandy; van der Heijden, Geert J M G; Tenderich, Gero; Körfer, Reiner; Grobbee, Diederick E</v>
      </c>
      <c r="AH994" s="32">
        <f>IFERROR(__xludf.DUMMYFUNCTION("""COMPUTED_VALUE"""),39814.0)</f>
        <v>39814</v>
      </c>
    </row>
    <row r="995">
      <c r="A995" s="32"/>
      <c r="I995" s="31" t="str">
        <f>IFERROR(__xludf.DUMMYFUNCTION("""COMPUTED_VALUE"""),"pancreatology official journal of the international association of pancreatology iap et al")</f>
        <v>pancreatology official journal of the international association of pancreatology iap et al</v>
      </c>
      <c r="J995" s="38">
        <f>COUNTIF(Data!$F$2:$F9917, $I995)</f>
        <v>2</v>
      </c>
      <c r="T995" s="31" t="s">
        <v>3064</v>
      </c>
      <c r="U995" s="31" t="s">
        <v>3065</v>
      </c>
      <c r="V995" s="32">
        <v>44995.0</v>
      </c>
      <c r="X995" s="31" t="str">
        <f>IFERROR(__xludf.DUMMYFUNCTION("""COMPUTED_VALUE"""),"Emergency medical service nurses' experiences and perspectives on a protocol change of pre-hospital preventive immobilization of spinal injuries after trauma: A qualitative study.")</f>
        <v>Emergency medical service nurses' experiences and perspectives on a protocol change of pre-hospital preventive immobilization of spinal injuries after trauma: A qualitative study.</v>
      </c>
      <c r="Y995" s="31" t="str">
        <f>IFERROR(__xludf.DUMMYFUNCTION("""COMPUTED_VALUE"""),"van de Breevaart, Otto J; Van Loey, Nancy E E; Leenen, Luke P H; Schoonhoven, Lisette; Ham, Wietske H W")</f>
        <v>van de Breevaart, Otto J; Van Loey, Nancy E E; Leenen, Luke P H; Schoonhoven, Lisette; Ham, Wietske H W</v>
      </c>
      <c r="Z995" s="31">
        <f>IFERROR(__xludf.DUMMYFUNCTION("""COMPUTED_VALUE"""),2024.0)</f>
        <v>2024</v>
      </c>
      <c r="AA995" s="31">
        <f>IFERROR(__xludf.DUMMYFUNCTION("""COMPUTED_VALUE"""),0.0)</f>
        <v>0</v>
      </c>
      <c r="AF995" s="31" t="str">
        <f>IFERROR(__xludf.DUMMYFUNCTION("""COMPUTED_VALUE"""),"Vasomotor symptoms are associated with a lower bone mineral density.")</f>
        <v>Vasomotor symptoms are associated with a lower bone mineral density.</v>
      </c>
      <c r="AG995" s="31" t="str">
        <f>IFERROR(__xludf.DUMMYFUNCTION("""COMPUTED_VALUE"""),"Gast, Gerrie-Cor M; Grobbee, Diederick E; Pop, Victor J M; Keyzer, Jules J; Wijnands-van Gent, Colette J M; Samsioe, Göran N; Nilsson, Peter M; van der Schouw, Yvonne T")</f>
        <v>Gast, Gerrie-Cor M; Grobbee, Diederick E; Pop, Victor J M; Keyzer, Jules J; Wijnands-van Gent, Colette J M; Samsioe, Göran N; Nilsson, Peter M; van der Schouw, Yvonne T</v>
      </c>
      <c r="AH995" s="32">
        <f>IFERROR(__xludf.DUMMYFUNCTION("""COMPUTED_VALUE"""),39814.0)</f>
        <v>39814</v>
      </c>
    </row>
    <row r="996">
      <c r="A996" s="32"/>
      <c r="I996" s="31" t="str">
        <f>IFERROR(__xludf.DUMMYFUNCTION("""COMPUTED_VALUE"""),"pharmacogenomics")</f>
        <v>pharmacogenomics</v>
      </c>
      <c r="J996" s="38">
        <f>COUNTIF(Data!$F$2:$F9917, $I996)</f>
        <v>4</v>
      </c>
      <c r="T996" s="31" t="s">
        <v>3069</v>
      </c>
      <c r="U996" s="31" t="s">
        <v>3070</v>
      </c>
      <c r="V996" s="32">
        <v>44995.0</v>
      </c>
      <c r="X996" s="31" t="str">
        <f>IFERROR(__xludf.DUMMYFUNCTION("""COMPUTED_VALUE"""),"Health care providers' perceptions of family participation in essential care in the intensive care unit: A qualitative study.")</f>
        <v>Health care providers' perceptions of family participation in essential care in the intensive care unit: A qualitative study.</v>
      </c>
      <c r="Y996" s="31" t="str">
        <f>IFERROR(__xludf.DUMMYFUNCTION("""COMPUTED_VALUE"""),"Dijkstra, Boukje M; Schoonhoven, Lisette; Felten-Barentsz, Karin M; van der Valk, Margriet J M; van der Hoeven, Johannes G; Vloet, Lilian C M")</f>
        <v>Dijkstra, Boukje M; Schoonhoven, Lisette; Felten-Barentsz, Karin M; van der Valk, Margriet J M; van der Hoeven, Johannes G; Vloet, Lilian C M</v>
      </c>
      <c r="Z996" s="31">
        <f>IFERROR(__xludf.DUMMYFUNCTION("""COMPUTED_VALUE"""),2024.0)</f>
        <v>2024</v>
      </c>
      <c r="AA996" s="31">
        <f>IFERROR(__xludf.DUMMYFUNCTION("""COMPUTED_VALUE"""),0.0)</f>
        <v>0</v>
      </c>
      <c r="AF996" s="31" t="str">
        <f>IFERROR(__xludf.DUMMYFUNCTION("""COMPUTED_VALUE"""),"[Considerable comorbidity in overweight adults: results from the Utrecht Health Project].")</f>
        <v>[Considerable comorbidity in overweight adults: results from the Utrecht Health Project].</v>
      </c>
      <c r="AG996" s="31" t="str">
        <f>IFERROR(__xludf.DUMMYFUNCTION("""COMPUTED_VALUE"""),"Molenaar, E A; Numans, M E; van Ameijden, E J C; Grobbee, D E")</f>
        <v>Molenaar, E A; Numans, M E; van Ameijden, E J C; Grobbee, D E</v>
      </c>
      <c r="AH996" s="32">
        <f>IFERROR(__xludf.DUMMYFUNCTION("""COMPUTED_VALUE"""),39760.0)</f>
        <v>39760</v>
      </c>
    </row>
    <row r="997">
      <c r="A997" s="32"/>
      <c r="I997" s="31" t="str">
        <f>IFERROR(__xludf.DUMMYFUNCTION("""COMPUTED_VALUE"""),"paediatric drugs")</f>
        <v>paediatric drugs</v>
      </c>
      <c r="J997" s="38">
        <f>COUNTIF(Data!$F$2:$F9917, $I997)</f>
        <v>1</v>
      </c>
      <c r="T997" s="31" t="s">
        <v>3073</v>
      </c>
      <c r="U997" s="31" t="s">
        <v>3074</v>
      </c>
      <c r="V997" s="32">
        <v>44994.0</v>
      </c>
      <c r="X997" s="31" t="str">
        <f>IFERROR(__xludf.DUMMYFUNCTION("""COMPUTED_VALUE"""),"How to meet coping strategies and preferences of children during invasive medical procedures: perspectives of healthcare professionals.")</f>
        <v>How to meet coping strategies and preferences of children during invasive medical procedures: perspectives of healthcare professionals.</v>
      </c>
      <c r="Y997" s="31" t="str">
        <f>IFERROR(__xludf.DUMMYFUNCTION("""COMPUTED_VALUE"""),"Segers, Elisabeth W; van den Hoogen, Agnes; Schoonhoven, Lisette; van de Putte, Elise M; Ketelaar, Marjolijn")</f>
        <v>Segers, Elisabeth W; van den Hoogen, Agnes; Schoonhoven, Lisette; van de Putte, Elise M; Ketelaar, Marjolijn</v>
      </c>
      <c r="Z997" s="31">
        <f>IFERROR(__xludf.DUMMYFUNCTION("""COMPUTED_VALUE"""),2024.0)</f>
        <v>2024</v>
      </c>
      <c r="AA997" s="31">
        <f>IFERROR(__xludf.DUMMYFUNCTION("""COMPUTED_VALUE"""),0.0)</f>
        <v>0</v>
      </c>
      <c r="AF997" s="31" t="str">
        <f>IFERROR(__xludf.DUMMYFUNCTION("""COMPUTED_VALUE"""),"The ethics of mandatory vaccination against influenza for health care workers.")</f>
        <v>The ethics of mandatory vaccination against influenza for health care workers.</v>
      </c>
      <c r="AG997" s="31" t="str">
        <f>IFERROR(__xludf.DUMMYFUNCTION("""COMPUTED_VALUE"""),"van Delden, J J M; Ashcroft, R; Dawson, A; Marckmann, G; Upshur, R; Verweij, M F")</f>
        <v>van Delden, J J M; Ashcroft, R; Dawson, A; Marckmann, G; Upshur, R; Verweij, M F</v>
      </c>
      <c r="AH997" s="32">
        <f>IFERROR(__xludf.DUMMYFUNCTION("""COMPUTED_VALUE"""),39681.0)</f>
        <v>39681</v>
      </c>
    </row>
    <row r="998">
      <c r="A998" s="32"/>
      <c r="I998" s="31" t="str">
        <f>IFERROR(__xludf.DUMMYFUNCTION("""COMPUTED_VALUE"""),"current hypertension reports")</f>
        <v>current hypertension reports</v>
      </c>
      <c r="J998" s="38">
        <f>COUNTIF(Data!$F$2:$F9917, $I998)</f>
        <v>1</v>
      </c>
      <c r="T998" s="31" t="s">
        <v>3077</v>
      </c>
      <c r="U998" s="31" t="s">
        <v>3078</v>
      </c>
      <c r="V998" s="32">
        <v>44993.0</v>
      </c>
      <c r="X998" s="31" t="str">
        <f>IFERROR(__xludf.DUMMYFUNCTION("""COMPUTED_VALUE"""),"Towards a conceptualization of nurses' support of hospitalised patients' self-management-A modified Delphi study'.")</f>
        <v>Towards a conceptualization of nurses' support of hospitalised patients' self-management-A modified Delphi study'.</v>
      </c>
      <c r="Y998" s="31" t="str">
        <f>IFERROR(__xludf.DUMMYFUNCTION("""COMPUTED_VALUE"""),"Otter, Caroline E M; de Man-van Ginkel, Janneke M; Keers, Joost C; Smit, Jakobus; Schoonhoven, Lisette")</f>
        <v>Otter, Caroline E M; de Man-van Ginkel, Janneke M; Keers, Joost C; Smit, Jakobus; Schoonhoven, Lisette</v>
      </c>
      <c r="Z998" s="31">
        <f>IFERROR(__xludf.DUMMYFUNCTION("""COMPUTED_VALUE"""),2024.0)</f>
        <v>2024</v>
      </c>
      <c r="AA998" s="31">
        <f>IFERROR(__xludf.DUMMYFUNCTION("""COMPUTED_VALUE"""),0.0)</f>
        <v>0</v>
      </c>
      <c r="AF998" s="31" t="str">
        <f>IFERROR(__xludf.DUMMYFUNCTION("""COMPUTED_VALUE"""),"Alcohol consumption and risk of microvascular complications in type 1 diabetes patients: the EURODIAB Prospective Complications Study.")</f>
        <v>Alcohol consumption and risk of microvascular complications in type 1 diabetes patients: the EURODIAB Prospective Complications Study.</v>
      </c>
      <c r="AG998" s="31" t="str">
        <f>IFERROR(__xludf.DUMMYFUNCTION("""COMPUTED_VALUE"""),"Beulens, J W J; Kruidhof, J S; Grobbee, D E; Chaturvedi, N; Fuller, J H; Soedamah-Muthu, S S")</f>
        <v>Beulens, J W J; Kruidhof, J S; Grobbee, D E; Chaturvedi, N; Fuller, J H; Soedamah-Muthu, S S</v>
      </c>
      <c r="AH998" s="32">
        <f>IFERROR(__xludf.DUMMYFUNCTION("""COMPUTED_VALUE"""),39644.0)</f>
        <v>39644</v>
      </c>
    </row>
    <row r="999">
      <c r="A999" s="32"/>
      <c r="I999" s="31" t="str">
        <f>IFERROR(__xludf.DUMMYFUNCTION("""COMPUTED_VALUE"""),"evidencebased nursing")</f>
        <v>evidencebased nursing</v>
      </c>
      <c r="J999" s="38">
        <f>COUNTIF(Data!$F$2:$F9917, $I999)</f>
        <v>2</v>
      </c>
      <c r="T999" s="31" t="s">
        <v>3081</v>
      </c>
      <c r="U999" s="31" t="s">
        <v>3082</v>
      </c>
      <c r="V999" s="32">
        <v>44993.0</v>
      </c>
      <c r="X999" s="31" t="str">
        <f>IFERROR(__xludf.DUMMYFUNCTION("""COMPUTED_VALUE"""),"Identifying plasma proteomic signatures from health to heart failure, across the ejection fraction spectrum.")</f>
        <v>Identifying plasma proteomic signatures from health to heart failure, across the ejection fraction spectrum.</v>
      </c>
      <c r="Y999" s="31" t="str">
        <f>IFERROR(__xludf.DUMMYFUNCTION("""COMPUTED_VALUE"""),"Andrzejczyk, Karolina; Abou Kamar, Sabrina; van Ommen, Anne-Mar; Canto, Elisa Dal; Petersen, Teun B; Valstar, Gideon; Akkerhuis, K Martijn; Cramer, Maarten Jan; Umans, Victor; Rutten, Frans H; Teske, Arco; Boersma, Eric; Menken, Roxana; van Dalen, Bas M; "&amp;"Hofstra, Leonard; Verhaar, Marianne; Brugts, Jasper; Asselbergs, Folkert; den Ruijter, Hester; Kardys, Isabella")</f>
        <v>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v>
      </c>
      <c r="Z999" s="31">
        <f>IFERROR(__xludf.DUMMYFUNCTION("""COMPUTED_VALUE"""),2024.0)</f>
        <v>2024</v>
      </c>
      <c r="AA999" s="31">
        <f>IFERROR(__xludf.DUMMYFUNCTION("""COMPUTED_VALUE"""),0.0)</f>
        <v>0</v>
      </c>
      <c r="AF999" s="31" t="str">
        <f>IFERROR(__xludf.DUMMYFUNCTION("""COMPUTED_VALUE"""),"Alcohol consumption, mediating biomarkers, and risk of type 2 diabetes among middle-aged women.")</f>
        <v>Alcohol consumption, mediating biomarkers, and risk of type 2 diabetes among middle-aged women.</v>
      </c>
      <c r="AG999" s="31" t="str">
        <f>IFERROR(__xludf.DUMMYFUNCTION("""COMPUTED_VALUE"""),"Beulens, Joline W J; Rimm, Eric B; Hu, Frank B; Hendriks, Henk F J; Mukamal, Kenneth J")</f>
        <v>Beulens, Joline W J; Rimm, Eric B; Hu, Frank B; Hendriks, Henk F J; Mukamal, Kenneth J</v>
      </c>
      <c r="AH999" s="32">
        <f>IFERROR(__xludf.DUMMYFUNCTION("""COMPUTED_VALUE"""),39644.0)</f>
        <v>39644</v>
      </c>
    </row>
    <row r="1000">
      <c r="A1000" s="32"/>
      <c r="I1000" s="31" t="str">
        <f>IFERROR(__xludf.DUMMYFUNCTION("""COMPUTED_VALUE"""),"anesthesiology")</f>
        <v>anesthesiology</v>
      </c>
      <c r="J1000" s="38">
        <f>COUNTIF(Data!$F$2:$F9917, $I1000)</f>
        <v>5</v>
      </c>
      <c r="T1000" s="31" t="s">
        <v>3085</v>
      </c>
      <c r="U1000" s="31" t="s">
        <v>914</v>
      </c>
      <c r="V1000" s="32">
        <v>44993.0</v>
      </c>
      <c r="X1000" s="31" t="str">
        <f>IFERROR(__xludf.DUMMYFUNCTION("""COMPUTED_VALUE"""),"Advanced glycation end-products and metabolomics are independently associated with frailty: the longitudinal Doetinchem Cohort Study.")</f>
        <v>Advanced glycation end-products and metabolomics are independently associated with frailty: the longitudinal Doetinchem Cohort Study.</v>
      </c>
      <c r="Y1000" s="31" t="str">
        <f>IFERROR(__xludf.DUMMYFUNCTION("""COMPUTED_VALUE"""),"Kuiper, Lieke M; Picavet, H Susan J; Rietman, M Liset; Dollé, Martijn E T; Verschuren, W M Monique")</f>
        <v>Kuiper, Lieke M; Picavet, H Susan J; Rietman, M Liset; Dollé, Martijn E T; Verschuren, W M Monique</v>
      </c>
      <c r="Z1000" s="31">
        <f>IFERROR(__xludf.DUMMYFUNCTION("""COMPUTED_VALUE"""),2024.0)</f>
        <v>2024</v>
      </c>
      <c r="AA1000" s="31">
        <f>IFERROR(__xludf.DUMMYFUNCTION("""COMPUTED_VALUE"""),0.0)</f>
        <v>0</v>
      </c>
      <c r="AF1000" s="31" t="str">
        <f>IFERROR(__xludf.DUMMYFUNCTION("""COMPUTED_VALUE"""),"Impact of recipient's age on heart transplantation outcome.")</f>
        <v>Impact of recipient's age on heart transplantation outcome.</v>
      </c>
      <c r="AG1000" s="31" t="str">
        <f>IFERROR(__xludf.DUMMYFUNCTION("""COMPUTED_VALUE"""),"Tjang, Yanto Sandy; van der Heijden, Geert J M G; Tenderich, Gero; Körfer, Reiner; Grobbee, Diederick E")</f>
        <v>Tjang, Yanto Sandy; van der Heijden, Geert J M G; Tenderich, Gero; Körfer, Reiner; Grobbee, Diederick E</v>
      </c>
      <c r="AH1000" s="32">
        <f>IFERROR(__xludf.DUMMYFUNCTION("""COMPUTED_VALUE"""),39600.0)</f>
        <v>39600</v>
      </c>
    </row>
    <row r="1001">
      <c r="A1001" s="32"/>
      <c r="I1001" s="31" t="str">
        <f>IFERROR(__xludf.DUMMYFUNCTION("""COMPUTED_VALUE"""),"early human development")</f>
        <v>early human development</v>
      </c>
      <c r="J1001" s="38">
        <f>COUNTIF(Data!$F$2:$F9917, $I1001)</f>
        <v>1</v>
      </c>
      <c r="T1001" s="31" t="s">
        <v>3088</v>
      </c>
      <c r="U1001" s="31" t="s">
        <v>3089</v>
      </c>
      <c r="V1001" s="32">
        <v>44992.0</v>
      </c>
      <c r="X1001" s="31" t="str">
        <f>IFERROR(__xludf.DUMMYFUNCTION("""COMPUTED_VALUE"""),"Association between metabolomics-based biomarker scores and 10-year cognitive decline in men and women. The Doetinchem Cohort Study.")</f>
        <v>Association between metabolomics-based biomarker scores and 10-year cognitive decline in men and women. The Doetinchem Cohort Study.</v>
      </c>
      <c r="Y1001" s="31" t="str">
        <f>IFERROR(__xludf.DUMMYFUNCTION("""COMPUTED_VALUE"""),"Smit, Annelot P; Herber, Gerrie-Cor M; Kuiper, Lieke M; Rietman, M Liset; Wesenhagen, Kirsten E J; Picavet, H Susan J; Slagboom, P Eline; Verschuren, W M Monique")</f>
        <v>Smit, Annelot P; Herber, Gerrie-Cor M; Kuiper, Lieke M; Rietman, M Liset; Wesenhagen, Kirsten E J; Picavet, H Susan J; Slagboom, P Eline; Verschuren, W M Monique</v>
      </c>
      <c r="Z1001" s="31">
        <f>IFERROR(__xludf.DUMMYFUNCTION("""COMPUTED_VALUE"""),2024.0)</f>
        <v>2024</v>
      </c>
      <c r="AA1001" s="31">
        <f>IFERROR(__xludf.DUMMYFUNCTION("""COMPUTED_VALUE"""),0.0)</f>
        <v>0</v>
      </c>
      <c r="AF1001" s="31" t="str">
        <f>IFERROR(__xludf.DUMMYFUNCTION("""COMPUTED_VALUE"""),"Variations in the uncoupling protein-3 gene are associated with specific obesity phenotypes.")</f>
        <v>Variations in the uncoupling protein-3 gene are associated with specific obesity phenotypes.</v>
      </c>
      <c r="AG1001" s="31" t="str">
        <f>IFERROR(__xludf.DUMMYFUNCTION("""COMPUTED_VALUE"""),"van Abeelen, Annet F M; de Krom, Mariken; Hendriks, Judith; Grobbee, Diederick E; Adan, Roger A H; van der Schouw, Yvonne T")</f>
        <v>van Abeelen, Annet F M; de Krom, Mariken; Hendriks, Judith; Grobbee, Diederick E; Adan, Roger A H; van der Schouw, Yvonne T</v>
      </c>
      <c r="AH1001" s="32">
        <f>IFERROR(__xludf.DUMMYFUNCTION("""COMPUTED_VALUE"""),39569.0)</f>
        <v>39569</v>
      </c>
    </row>
    <row r="1002">
      <c r="A1002" s="32"/>
      <c r="I1002" s="31" t="str">
        <f>IFERROR(__xludf.DUMMYFUNCTION("""COMPUTED_VALUE"""),"journal of ethnopharmacology")</f>
        <v>journal of ethnopharmacology</v>
      </c>
      <c r="J1002" s="38">
        <f>COUNTIF(Data!$F$2:$F9917, $I1002)</f>
        <v>1</v>
      </c>
      <c r="T1002" s="31" t="s">
        <v>3092</v>
      </c>
      <c r="U1002" s="31" t="s">
        <v>3093</v>
      </c>
      <c r="V1002" s="32">
        <v>44992.0</v>
      </c>
      <c r="X1002" s="31" t="str">
        <f>IFERROR(__xludf.DUMMYFUNCTION("""COMPUTED_VALUE"""),"Lifestyle factors and metabolomic aging biomarkers: Meta-analysis of cross-sectional and longitudinal associations in three prospective cohorts.")</f>
        <v>Lifestyle factors and metabolomic aging biomarkers: Meta-analysis of cross-sectional and longitudinal associations in three prospective cohorts.</v>
      </c>
      <c r="Y1002" s="31" t="str">
        <f>IFERROR(__xludf.DUMMYFUNCTION("""COMPUTED_VALUE"""),"Kuiper, L M; Smit, A P; Bizzarri, D; van den Akker, E B; Reinders, M J T; Ghanbari, M; van Rooij, J G J; Voortman, T; Rivadeneira, F; Dollé, M E T; Herber, G C M; Rietman, M L; Picavet, H S J; van Meurs, J B J; Verschuren, W M M")</f>
        <v>Kuiper, L M; Smit, A P; Bizzarri, D; van den Akker, E B; Reinders, M J T; Ghanbari, M; van Rooij, J G J; Voortman, T; Rivadeneira, F; Dollé, M E T; Herber, G C M; Rietman, M L; Picavet, H S J; van Meurs, J B J; Verschuren, W M M</v>
      </c>
      <c r="Z1002" s="31">
        <f>IFERROR(__xludf.DUMMYFUNCTION("""COMPUTED_VALUE"""),2024.0)</f>
        <v>2024</v>
      </c>
      <c r="AA1002" s="31">
        <f>IFERROR(__xludf.DUMMYFUNCTION("""COMPUTED_VALUE"""),0.0)</f>
        <v>0</v>
      </c>
      <c r="AF1002" s="31" t="str">
        <f>IFERROR(__xludf.DUMMYFUNCTION("""COMPUTED_VALUE"""),"Menopausal complaints are associated with cardiovascular risk factors.")</f>
        <v>Menopausal complaints are associated with cardiovascular risk factors.</v>
      </c>
      <c r="AG1002" s="31" t="str">
        <f>IFERROR(__xludf.DUMMYFUNCTION("""COMPUTED_VALUE"""),"Gast, Gerrie-Cor M; Grobbee, Diederick E; Pop, Victor J M; Keyzer, Jules J; Wijnands-van Gent, Colette J M; Samsioe, Göran N; Nilsson, Peter M; van der Schouw, Yvonne T")</f>
        <v>Gast, Gerrie-Cor M; Grobbee, Diederick E; Pop, Victor J M; Keyzer, Jules J; Wijnands-van Gent, Colette J M; Samsioe, Göran N; Nilsson, Peter M; van der Schouw, Yvonne T</v>
      </c>
      <c r="AH1002" s="32">
        <f>IFERROR(__xludf.DUMMYFUNCTION("""COMPUTED_VALUE"""),39545.0)</f>
        <v>39545</v>
      </c>
    </row>
    <row r="1003">
      <c r="A1003" s="32"/>
      <c r="I1003" s="31" t="str">
        <f>IFERROR(__xludf.DUMMYFUNCTION("""COMPUTED_VALUE"""),"journal of cardiovascular computed tomography")</f>
        <v>journal of cardiovascular computed tomography</v>
      </c>
      <c r="J1003" s="38">
        <f>COUNTIF(Data!$F$2:$F9917, $I1003)</f>
        <v>2</v>
      </c>
      <c r="T1003" s="31" t="s">
        <v>3097</v>
      </c>
      <c r="U1003" s="31" t="s">
        <v>3098</v>
      </c>
      <c r="V1003" s="32">
        <v>44991.0</v>
      </c>
      <c r="X1003" s="31" t="str">
        <f>IFERROR(__xludf.DUMMYFUNCTION("""COMPUTED_VALUE"""),"Integrating telemedicine in routine heart failure management: Experiences of healthcare professionals - A qualitative study.")</f>
        <v>Integrating telemedicine in routine heart failure management: Experiences of healthcare professionals - A qualitative study.</v>
      </c>
      <c r="Y1003" s="31" t="str">
        <f>IFERROR(__xludf.DUMMYFUNCTION("""COMPUTED_VALUE"""),"van Eijk, Jorna; Trappenburg, Jaap; Asselbergs, Folkert W; Jaarsma, Tiny")</f>
        <v>van Eijk, Jorna; Trappenburg, Jaap; Asselbergs, Folkert W; Jaarsma, Tiny</v>
      </c>
      <c r="Z1003" s="31">
        <f>IFERROR(__xludf.DUMMYFUNCTION("""COMPUTED_VALUE"""),2024.0)</f>
        <v>2024</v>
      </c>
      <c r="AA1003" s="31">
        <f>IFERROR(__xludf.DUMMYFUNCTION("""COMPUTED_VALUE"""),0.0)</f>
        <v>0</v>
      </c>
      <c r="AF1003" s="31" t="str">
        <f>IFERROR(__xludf.DUMMYFUNCTION("""COMPUTED_VALUE"""),"Burden and rates of treatment and control of cardiovascular disease risk factors in obesity: the Framingham Heart Study.")</f>
        <v>Burden and rates of treatment and control of cardiovascular disease risk factors in obesity: the Framingham Heart Study.</v>
      </c>
      <c r="AG1003" s="31" t="str">
        <f>IFERROR(__xludf.DUMMYFUNCTION("""COMPUTED_VALUE"""),"Molenaar, Esther A; Hwang, Shih-Jen; Vasan, Ramachandran S; Grobbee, Diederick E; Meigs, James B; D'Agostino, Ralph B; Levy, Daniel; Fox, Caroline S")</f>
        <v>Molenaar, Esther A; Hwang, Shih-Jen; Vasan, Ramachandran S; Grobbee, Diederick E; Meigs, James B; D'Agostino, Ralph B; Levy, Daniel; Fox, Caroline S</v>
      </c>
      <c r="AH1003" s="32">
        <f>IFERROR(__xludf.DUMMYFUNCTION("""COMPUTED_VALUE"""),39535.0)</f>
        <v>39535</v>
      </c>
    </row>
    <row r="1004">
      <c r="A1004" s="32"/>
      <c r="I1004" s="31" t="str">
        <f>IFERROR(__xludf.DUMMYFUNCTION("""COMPUTED_VALUE"""),"journal of neurosurgery")</f>
        <v>journal of neurosurgery</v>
      </c>
      <c r="J1004" s="38">
        <f>COUNTIF(Data!$F$2:$F9917, $I1004)</f>
        <v>2</v>
      </c>
      <c r="T1004" s="31" t="s">
        <v>3101</v>
      </c>
      <c r="U1004" s="31" t="s">
        <v>3102</v>
      </c>
      <c r="V1004" s="32">
        <v>44989.0</v>
      </c>
      <c r="X1004" s="31" t="str">
        <f>IFERROR(__xludf.DUMMYFUNCTION("""COMPUTED_VALUE"""),"Sex differences in the efficacy of angiotensin receptor blockers on kidney and cardiovascular outcomes among individuals with type 2 diabetes and diabetic kidney disease: post hoc analyses of the RENAAL and IDNT trials.")</f>
        <v>Sex differences in the efficacy of angiotensin receptor blockers on kidney and cardiovascular outcomes among individuals with type 2 diabetes and diabetic kidney disease: post hoc analyses of the RENAAL and IDNT trials.</v>
      </c>
      <c r="Y1004" s="31" t="str">
        <f>IFERROR(__xludf.DUMMYFUNCTION("""COMPUTED_VALUE"""),"de Vries, Sieta T; Pena, Michelle J; Tye, Sok Cin; Peters, Sanne A E; van Raalte, Daniël H; Arnott, Clare; Voors, Adriaan A; Mol, Peter G M; Denig, Petra; Heerspink, Hiddo J L")</f>
        <v>de Vries, Sieta T; Pena, Michelle J; Tye, Sok Cin; Peters, Sanne A E; van Raalte, Daniël H; Arnott, Clare; Voors, Adriaan A; Mol, Peter G M; Denig, Petra; Heerspink, Hiddo J L</v>
      </c>
      <c r="Z1004" s="31">
        <f>IFERROR(__xludf.DUMMYFUNCTION("""COMPUTED_VALUE"""),2024.0)</f>
        <v>2024</v>
      </c>
      <c r="AA1004" s="31">
        <f>IFERROR(__xludf.DUMMYFUNCTION("""COMPUTED_VALUE"""),0.0)</f>
        <v>0</v>
      </c>
      <c r="AF1004" s="31" t="str">
        <f>IFERROR(__xludf.DUMMYFUNCTION("""COMPUTED_VALUE"""),"Comparison of methods of handling missing data in individual patient data meta-analyses: an empirical example on antibiotics in children with acute otitis media.")</f>
        <v>Comparison of methods of handling missing data in individual patient data meta-analyses: an empirical example on antibiotics in children with acute otitis media.</v>
      </c>
      <c r="AG1004" s="31" t="str">
        <f>IFERROR(__xludf.DUMMYFUNCTION("""COMPUTED_VALUE"""),"Koopman, Laura; van der Heijden, Geert J M G; Grobbee, Diederick E; Rovers, Maroeska M")</f>
        <v>Koopman, Laura; van der Heijden, Geert J M G; Grobbee, Diederick E; Rovers, Maroeska M</v>
      </c>
      <c r="AH1004" s="32">
        <f>IFERROR(__xludf.DUMMYFUNCTION("""COMPUTED_VALUE"""),39456.0)</f>
        <v>39456</v>
      </c>
    </row>
    <row r="1005">
      <c r="A1005" s="32"/>
      <c r="I1005" s="31" t="str">
        <f>IFERROR(__xludf.DUMMYFUNCTION("""COMPUTED_VALUE"""),"chinese medical journal")</f>
        <v>chinese medical journal</v>
      </c>
      <c r="J1005" s="38">
        <f>COUNTIF(Data!$F$2:$F9917, $I1005)</f>
        <v>2</v>
      </c>
      <c r="T1005" s="31" t="s">
        <v>3105</v>
      </c>
      <c r="U1005" s="31" t="s">
        <v>3106</v>
      </c>
      <c r="V1005" s="32">
        <v>44987.0</v>
      </c>
      <c r="X1005" s="31" t="str">
        <f>IFERROR(__xludf.DUMMYFUNCTION("""COMPUTED_VALUE"""),"Green space visits among Turkish and South Asian Surinamese women with a high cardiometabolic risk living in disadvantaged neighborhoods in the Netherlands: motives, means and prerequisites.")</f>
        <v>Green space visits among Turkish and South Asian Surinamese women with a high cardiometabolic risk living in disadvantaged neighborhoods in the Netherlands: motives, means and prerequisites.</v>
      </c>
      <c r="Y1005" s="31" t="str">
        <f>IFERROR(__xludf.DUMMYFUNCTION("""COMPUTED_VALUE"""),"van den Brekel, Lieke; Voogdt-Pruis, Helene R; Wispelweij, Lian; Jawalapershad, Laxmie; Narain, Soerinder; Klipstein-Grobusch, Kerstin; Grobbee, Diederick E; Lenters, Virissa; Mackenbach, Joreintje D; Vaartjes, Ilonca")</f>
        <v>van den Brekel, Lieke; Voogdt-Pruis, Helene R; Wispelweij, Lian; Jawalapershad, Laxmie; Narain, Soerinder; Klipstein-Grobusch, Kerstin; Grobbee, Diederick E; Lenters, Virissa; Mackenbach, Joreintje D; Vaartjes, Ilonca</v>
      </c>
      <c r="Z1005" s="31">
        <f>IFERROR(__xludf.DUMMYFUNCTION("""COMPUTED_VALUE"""),2024.0)</f>
        <v>2024</v>
      </c>
      <c r="AA1005" s="31">
        <f>IFERROR(__xludf.DUMMYFUNCTION("""COMPUTED_VALUE"""),0.0)</f>
        <v>0</v>
      </c>
      <c r="AF1005" s="31" t="str">
        <f>IFERROR(__xludf.DUMMYFUNCTION("""COMPUTED_VALUE"""),"Impact of randomized trials comparing conventional and endovascular abdominal aortic aneurysm repair on clinical practice.")</f>
        <v>Impact of randomized trials comparing conventional and endovascular abdominal aortic aneurysm repair on clinical practice.</v>
      </c>
      <c r="AG1005" s="31" t="str">
        <f>IFERROR(__xludf.DUMMYFUNCTION("""COMPUTED_VALUE"""),"Baas, Annette F; Grobbee, Diederick E; Blankensteijn, Jan D")</f>
        <v>Baas, Annette F; Grobbee, Diederick E; Blankensteijn, Jan D</v>
      </c>
      <c r="AH1005" s="32">
        <f>IFERROR(__xludf.DUMMYFUNCTION("""COMPUTED_VALUE"""),39295.0)</f>
        <v>39295</v>
      </c>
    </row>
    <row r="1006">
      <c r="A1006" s="32"/>
      <c r="I1006" s="31" t="str">
        <f>IFERROR(__xludf.DUMMYFUNCTION("""COMPUTED_VALUE"""),"ca a cancer journal for clinicians")</f>
        <v>ca a cancer journal for clinicians</v>
      </c>
      <c r="J1006" s="38">
        <f>COUNTIF(Data!$F$2:$F9917, $I1006)</f>
        <v>1</v>
      </c>
      <c r="T1006" s="31" t="s">
        <v>3109</v>
      </c>
      <c r="U1006" s="31" t="s">
        <v>3110</v>
      </c>
      <c r="V1006" s="32">
        <v>44987.0</v>
      </c>
      <c r="X1006" s="31" t="str">
        <f>IFERROR(__xludf.DUMMYFUNCTION("""COMPUTED_VALUE"""),"Longitudinal associations of air pollution and green space with cardiometabolic risk factor clustering among children in the Netherlands.")</f>
        <v>Longitudinal associations of air pollution and green space with cardiometabolic risk factor clustering among children in the Netherlands.</v>
      </c>
      <c r="Y1006" s="31" t="str">
        <f>IFERROR(__xludf.DUMMYFUNCTION("""COMPUTED_VALUE"""),"Liu, Mingwei; Vaartjes, Ilonca; Hoek, Gerard; Jaddoe, Vincent W V; Santos, Susana; Schreuder, Anton; Vrijkotte, Tanja G M; Grobbee, Diederick E; Timmermans, Erik J")</f>
        <v>Liu, Mingwei; Vaartjes, Ilonca; Hoek, Gerard; Jaddoe, Vincent W V; Santos, Susana; Schreuder, Anton; Vrijkotte, Tanja G M; Grobbee, Diederick E; Timmermans, Erik J</v>
      </c>
      <c r="Z1006" s="31">
        <f>IFERROR(__xludf.DUMMYFUNCTION("""COMPUTED_VALUE"""),2024.0)</f>
        <v>2024</v>
      </c>
      <c r="AA1006" s="31">
        <f>IFERROR(__xludf.DUMMYFUNCTION("""COMPUTED_VALUE"""),0.0)</f>
        <v>0</v>
      </c>
      <c r="AF1006" s="31" t="str">
        <f>IFERROR(__xludf.DUMMYFUNCTION("""COMPUTED_VALUE"""),"A systematic review of analytical methods used to study subgroups in (individual patient data) meta-analyses.")</f>
        <v>A systematic review of analytical methods used to study subgroups in (individual patient data) meta-analyses.</v>
      </c>
      <c r="AG1006" s="31" t="str">
        <f>IFERROR(__xludf.DUMMYFUNCTION("""COMPUTED_VALUE"""),"Koopman, Laura; van der Heijden, Geert J M G; Glasziou, Paul P; Grobbee, Diederick E; Rovers, Maroeska M")</f>
        <v>Koopman, Laura; van der Heijden, Geert J M G; Glasziou, Paul P; Grobbee, Diederick E; Rovers, Maroeska M</v>
      </c>
      <c r="AH1006" s="32">
        <f>IFERROR(__xludf.DUMMYFUNCTION("""COMPUTED_VALUE"""),39295.0)</f>
        <v>39295</v>
      </c>
    </row>
    <row r="1007">
      <c r="A1007" s="32"/>
      <c r="I1007" s="31" t="str">
        <f>IFERROR(__xludf.DUMMYFUNCTION("""COMPUTED_VALUE"""),"vox sanguinis")</f>
        <v>vox sanguinis</v>
      </c>
      <c r="J1007" s="38">
        <f>COUNTIF(Data!$F$2:$F9917, $I1007)</f>
        <v>1</v>
      </c>
      <c r="T1007" s="31" t="s">
        <v>3113</v>
      </c>
      <c r="U1007" s="31" t="s">
        <v>3114</v>
      </c>
      <c r="V1007" s="32">
        <v>44986.0</v>
      </c>
      <c r="X1007" s="31" t="str">
        <f>IFERROR(__xludf.DUMMYFUNCTION("""COMPUTED_VALUE"""),"Collective knowledge exchange through regional hubs: Local expertise, global platform.")</f>
        <v>Collective knowledge exchange through regional hubs: Local expertise, global platform.</v>
      </c>
      <c r="Y1007" s="31" t="str">
        <f>IFERROR(__xludf.DUMMYFUNCTION("""COMPUTED_VALUE"""),"Llamas, Camilla Alay; Guinto, Renzo; Addison, Julia; Alam, Nazmul; Amoakoh, Hannah Brown; Artola Arita, Vicente; Kolpa, Noa; Mattijsen, Juliette; Zhang, Ying; Downward, George S; Browne, Joyce L")</f>
        <v>Llamas, Camilla Alay; Guinto, Renzo; Addison, Julia; Alam, Nazmul; Amoakoh, Hannah Brown; Artola Arita, Vicente; Kolpa, Noa; Mattijsen, Juliette; Zhang, Ying; Downward, George S; Browne, Joyce L</v>
      </c>
      <c r="Z1007" s="31">
        <f>IFERROR(__xludf.DUMMYFUNCTION("""COMPUTED_VALUE"""),2024.0)</f>
        <v>2024</v>
      </c>
      <c r="AA1007" s="31">
        <f>IFERROR(__xludf.DUMMYFUNCTION("""COMPUTED_VALUE"""),0.0)</f>
        <v>0</v>
      </c>
      <c r="AF1007" s="31" t="str">
        <f>IFERROR(__xludf.DUMMYFUNCTION("""COMPUTED_VALUE"""),"Predictors of mortality after aortic valve replacement.")</f>
        <v>Predictors of mortality after aortic valve replacement.</v>
      </c>
      <c r="AG1007" s="31" t="str">
        <f>IFERROR(__xludf.DUMMYFUNCTION("""COMPUTED_VALUE"""),"Tjang, Yanto Sandy; van Hees, Yvonne; Körfer, Reiner; Grobbee, Diederick E; van der Heijden, Geert J M G")</f>
        <v>Tjang, Yanto Sandy; van Hees, Yvonne; Körfer, Reiner; Grobbee, Diederick E; van der Heijden, Geert J M G</v>
      </c>
      <c r="AH1007" s="32">
        <f>IFERROR(__xludf.DUMMYFUNCTION("""COMPUTED_VALUE"""),39282.0)</f>
        <v>39282</v>
      </c>
    </row>
    <row r="1008">
      <c r="A1008" s="32"/>
      <c r="I1008" s="31" t="str">
        <f>IFERROR(__xludf.DUMMYFUNCTION("""COMPUTED_VALUE"""),"preventive veterinary medicine")</f>
        <v>preventive veterinary medicine</v>
      </c>
      <c r="J1008" s="38">
        <f>COUNTIF(Data!$F$2:$F9917, $I1008)</f>
        <v>4</v>
      </c>
      <c r="T1008" s="31" t="s">
        <v>3117</v>
      </c>
      <c r="U1008" s="31" t="s">
        <v>3118</v>
      </c>
      <c r="V1008" s="32">
        <v>44986.0</v>
      </c>
      <c r="X1008" s="31" t="str">
        <f>IFERROR(__xludf.DUMMYFUNCTION("""COMPUTED_VALUE"""),"The mediatory role of androgens on sex differences in glucose homeostasis and incidence of type 2 diabetes: the KORA study.")</f>
        <v>The mediatory role of androgens on sex differences in glucose homeostasis and incidence of type 2 diabetes: the KORA study.</v>
      </c>
      <c r="Y1008" s="31" t="str">
        <f>IFERROR(__xludf.DUMMYFUNCTION("""COMPUTED_VALUE"""),"Raeisi-Dehkordi, Hamidreza; Thorand, Barbara; Beigrezaei, Sara; Peters, Annette; Rathman, Wolfgang; Adamski, Jerzy; Chatelan, Angeline; van der Schouw, Yvonne T; Franco, Oscar H; Muka, Taulant; Nano, Jana")</f>
        <v>Raeisi-Dehkordi, Hamidreza; Thorand, Barbara; Beigrezaei, Sara; Peters, Annette; Rathman, Wolfgang; Adamski, Jerzy; Chatelan, Angeline; van der Schouw, Yvonne T; Franco, Oscar H; Muka, Taulant; Nano, Jana</v>
      </c>
      <c r="Z1008" s="31">
        <f>IFERROR(__xludf.DUMMYFUNCTION("""COMPUTED_VALUE"""),2024.0)</f>
        <v>2024</v>
      </c>
      <c r="AA1008" s="31">
        <f>IFERROR(__xludf.DUMMYFUNCTION("""COMPUTED_VALUE"""),0.0)</f>
        <v>0</v>
      </c>
      <c r="AF1008" s="31" t="str">
        <f>IFERROR(__xludf.DUMMYFUNCTION("""COMPUTED_VALUE"""),"Association of endogenous sex hormone with C-reactive protein levels in middle-aged and elderly men.")</f>
        <v>Association of endogenous sex hormone with C-reactive protein levels in middle-aged and elderly men.</v>
      </c>
      <c r="AG1008" s="31" t="str">
        <f>IFERROR(__xludf.DUMMYFUNCTION("""COMPUTED_VALUE"""),"Nakhai Pour, Hamid Reza; Grobbee, Diederick E; Muller, Majon; van der Schouw, Yvonne T")</f>
        <v>Nakhai Pour, Hamid Reza; Grobbee, Diederick E; Muller, Majon; van der Schouw, Yvonne T</v>
      </c>
      <c r="AH1008" s="32">
        <f>IFERROR(__xludf.DUMMYFUNCTION("""COMPUTED_VALUE"""),39142.0)</f>
        <v>39142</v>
      </c>
    </row>
    <row r="1009">
      <c r="A1009" s="32"/>
      <c r="I1009" s="31" t="str">
        <f>IFERROR(__xludf.DUMMYFUNCTION("""COMPUTED_VALUE"""),"metabolomics official journal of the metabolomic society")</f>
        <v>metabolomics official journal of the metabolomic society</v>
      </c>
      <c r="J1009" s="38">
        <f>COUNTIF(Data!$F$2:$F9917, $I1009)</f>
        <v>1</v>
      </c>
      <c r="T1009" s="31" t="s">
        <v>3122</v>
      </c>
      <c r="U1009" s="31" t="s">
        <v>3123</v>
      </c>
      <c r="V1009" s="32">
        <v>44986.0</v>
      </c>
      <c r="X1009" s="31" t="str">
        <f>IFERROR(__xludf.DUMMYFUNCTION("""COMPUTED_VALUE"""),"Non-Sugar-Sweetened Beverages and Risk of Chronic Diseases: An Umbrella Review of Meta-analyses of Prospective Cohort Studies.")</f>
        <v>Non-Sugar-Sweetened Beverages and Risk of Chronic Diseases: An Umbrella Review of Meta-analyses of Prospective Cohort Studies.</v>
      </c>
      <c r="Y1009" s="31" t="str">
        <f>IFERROR(__xludf.DUMMYFUNCTION("""COMPUTED_VALUE"""),"Beigrezaei, Sara; Raeisi-Dehkordi, Hamidreza; Hernández Vargas, Juliana Alexandra; Amiri, Mojgan; Artola Arita, Vicente; van der Schouw, Yvonne T; Salehi-Abargouei, Amin; Muka, Taulant; Chatelan, Angeline; Franco, Oscar H")</f>
        <v>Beigrezaei, Sara; Raeisi-Dehkordi, Hamidreza; Hernández Vargas, Juliana Alexandra; Amiri, Mojgan; Artola Arita, Vicente; van der Schouw, Yvonne T; Salehi-Abargouei, Amin; Muka, Taulant; Chatelan, Angeline; Franco, Oscar H</v>
      </c>
      <c r="Z1009" s="31">
        <f>IFERROR(__xludf.DUMMYFUNCTION("""COMPUTED_VALUE"""),2024.0)</f>
        <v>2024</v>
      </c>
      <c r="AA1009" s="31">
        <f>IFERROR(__xludf.DUMMYFUNCTION("""COMPUTED_VALUE"""),0.0)</f>
        <v>0</v>
      </c>
      <c r="AF1009" s="31" t="str">
        <f>IFERROR(__xludf.DUMMYFUNCTION("""COMPUTED_VALUE"""),"Coffee intake and incidence of hypertension.")</f>
        <v>Coffee intake and incidence of hypertension.</v>
      </c>
      <c r="AG1009" s="31" t="str">
        <f>IFERROR(__xludf.DUMMYFUNCTION("""COMPUTED_VALUE"""),"Uiterwaal, Cuno S P M; Verschuren, W M Monique; Bueno-de-Mesquita, H Bas; Ocké, Marga; Geleijnse, Johanna M; Boshuizen, Hendriek C; Peeters, Petra H M; Feskens, Edith J M; Grobbee, Diederick E")</f>
        <v>Uiterwaal, Cuno S P M; Verschuren, W M Monique; Bueno-de-Mesquita, H Bas; Ocké, Marga; Geleijnse, Johanna M; Boshuizen, Hendriek C; Peeters, Petra H M; Feskens, Edith J M; Grobbee, Diederick E</v>
      </c>
      <c r="AH1009" s="32">
        <f>IFERROR(__xludf.DUMMYFUNCTION("""COMPUTED_VALUE"""),39142.0)</f>
        <v>39142</v>
      </c>
    </row>
    <row r="1010">
      <c r="A1010" s="32"/>
      <c r="I1010" s="31" t="str">
        <f>IFERROR(__xludf.DUMMYFUNCTION("""COMPUTED_VALUE"""),"kidney international")</f>
        <v>kidney international</v>
      </c>
      <c r="J1010" s="38">
        <f>COUNTIF(Data!$F$2:$F9917, $I1010)</f>
        <v>4</v>
      </c>
      <c r="T1010" s="31" t="s">
        <v>3126</v>
      </c>
      <c r="U1010" s="31" t="s">
        <v>3127</v>
      </c>
      <c r="V1010" s="32">
        <v>44986.0</v>
      </c>
      <c r="X1010" s="31" t="str">
        <f>IFERROR(__xludf.DUMMYFUNCTION("""COMPUTED_VALUE"""),"Higher global diet quality score is inversely associated with odds of metabolic syndrome among Iranian adults.")</f>
        <v>Higher global diet quality score is inversely associated with odds of metabolic syndrome among Iranian adults.</v>
      </c>
      <c r="Y1010" s="31" t="str">
        <f>IFERROR(__xludf.DUMMYFUNCTION("""COMPUTED_VALUE"""),"Beigrezaei, Sara; Darabi, Zahra; Nadjarzadeh, Azadeh; Mirzaei, Masoud; Khayyatzadeh, Sayyed Saeid")</f>
        <v>Beigrezaei, Sara; Darabi, Zahra; Nadjarzadeh, Azadeh; Mirzaei, Masoud; Khayyatzadeh, Sayyed Saeid</v>
      </c>
      <c r="Z1010" s="31">
        <f>IFERROR(__xludf.DUMMYFUNCTION("""COMPUTED_VALUE"""),2024.0)</f>
        <v>2024</v>
      </c>
      <c r="AA1010" s="31">
        <f>IFERROR(__xludf.DUMMYFUNCTION("""COMPUTED_VALUE"""),0.0)</f>
        <v>0</v>
      </c>
      <c r="AF1010" s="31" t="str">
        <f>IFERROR(__xludf.DUMMYFUNCTION("""COMPUTED_VALUE"""),"Identification of patients at high risk of noncompliance in substance dependence treatment.")</f>
        <v>Identification of patients at high risk of noncompliance in substance dependence treatment.</v>
      </c>
      <c r="AG1010" s="31" t="str">
        <f>IFERROR(__xludf.DUMMYFUNCTION("""COMPUTED_VALUE"""),"de Weert-van Oene, G H; Burger, H; Grobbee, D E; Schrijvers, A J P")</f>
        <v>de Weert-van Oene, G H; Burger, H; Grobbee, D E; Schrijvers, A J P</v>
      </c>
      <c r="AH1010" s="32">
        <f>IFERROR(__xludf.DUMMYFUNCTION("""COMPUTED_VALUE"""),39083.0)</f>
        <v>39083</v>
      </c>
    </row>
    <row r="1011">
      <c r="A1011" s="32"/>
      <c r="I1011" s="31" t="str">
        <f>IFERROR(__xludf.DUMMYFUNCTION("""COMPUTED_VALUE"""),"therapeutic innovation regulatory science")</f>
        <v>therapeutic innovation regulatory science</v>
      </c>
      <c r="J1011" s="38">
        <f>COUNTIF(Data!$F$2:$F9917, $I1011)</f>
        <v>1</v>
      </c>
      <c r="T1011" s="31" t="s">
        <v>3131</v>
      </c>
      <c r="U1011" s="31" t="s">
        <v>3132</v>
      </c>
      <c r="V1011" s="32">
        <v>44986.0</v>
      </c>
      <c r="X1011" s="31" t="str">
        <f>IFERROR(__xludf.DUMMYFUNCTION("""COMPUTED_VALUE"""),"Process Evaluations for the Scale-Up of Complex Interventions - a Scoping Review.")</f>
        <v>Process Evaluations for the Scale-Up of Complex Interventions - a Scoping Review.</v>
      </c>
      <c r="Y1011" s="31" t="str">
        <f>IFERROR(__xludf.DUMMYFUNCTION("""COMPUTED_VALUE"""),"Rathod, Lekha; Heine, Martin; Boateng, Daniel; Martens, Monika; van Olmen, Josefien; Ku, Grace Marie; Klipstein-Grobusch, Kerstin")</f>
        <v>Rathod, Lekha; Heine, Martin; Boateng, Daniel; Martens, Monika; van Olmen, Josefien; Ku, Grace Marie; Klipstein-Grobusch, Kerstin</v>
      </c>
      <c r="Z1011" s="31">
        <f>IFERROR(__xludf.DUMMYFUNCTION("""COMPUTED_VALUE"""),2024.0)</f>
        <v>2024</v>
      </c>
      <c r="AA1011" s="31">
        <f>IFERROR(__xludf.DUMMYFUNCTION("""COMPUTED_VALUE"""),0.0)</f>
        <v>0</v>
      </c>
      <c r="AF1011" s="31" t="str">
        <f>IFERROR(__xludf.DUMMYFUNCTION("""COMPUTED_VALUE"""),"Serum sex hormone and plasma homocysteine levels in middle-aged and elderly men.")</f>
        <v>Serum sex hormone and plasma homocysteine levels in middle-aged and elderly men.</v>
      </c>
      <c r="AG1011" s="31" t="str">
        <f>IFERROR(__xludf.DUMMYFUNCTION("""COMPUTED_VALUE"""),"Nakhai Pour, Hamid Reza; Grobbee, Diederick E; Muller, Majon; Emmelot-Vonk, Marielle; van der Schouw, Yvonne T")</f>
        <v>Nakhai Pour, Hamid Reza; Grobbee, Diederick E; Muller, Majon; Emmelot-Vonk, Marielle; van der Schouw, Yvonne T</v>
      </c>
      <c r="AH1011" s="32">
        <f>IFERROR(__xludf.DUMMYFUNCTION("""COMPUTED_VALUE"""),39052.0)</f>
        <v>39052</v>
      </c>
    </row>
    <row r="1012">
      <c r="A1012" s="32"/>
      <c r="I1012" s="31" t="str">
        <f>IFERROR(__xludf.DUMMYFUNCTION("""COMPUTED_VALUE"""),"clinical epigenetics")</f>
        <v>clinical epigenetics</v>
      </c>
      <c r="J1012" s="38">
        <f>COUNTIF(Data!$F$2:$F9917, $I1012)</f>
        <v>2</v>
      </c>
      <c r="T1012" s="31" t="s">
        <v>3135</v>
      </c>
      <c r="U1012" s="31" t="s">
        <v>3136</v>
      </c>
      <c r="V1012" s="32">
        <v>44986.0</v>
      </c>
      <c r="X1012" s="31" t="str">
        <f>IFERROR(__xludf.DUMMYFUNCTION("""COMPUTED_VALUE"""),"A multi-dimensional Sustainable Diet Index (SDI) for Ghanaian adults under transition: the RODAM Study.")</f>
        <v>A multi-dimensional Sustainable Diet Index (SDI) for Ghanaian adults under transition: the RODAM Study.</v>
      </c>
      <c r="Y1012" s="31" t="str">
        <f>IFERROR(__xludf.DUMMYFUNCTION("""COMPUTED_VALUE"""),"Okekunle, Akinkunmi Paul; Nicolaou, Mary; De Allegri, Manuela; Meeks, Karlijn A C; Osei-Kwasi, Hibbah; Stockemer, Julia; de-Graft Aikins, Ama; Agbemafle, Isaac; Bahendeka, Silver; Boateng, Daniel; Klipstein-Grobusch, Kerstin; Beune, Erik; Agyemang, Charle"&amp;"s; Schulze, Matthias B; Danquah, Ina")</f>
        <v>Okekunle, Akinkunmi Paul; Nicolaou, Mary; De Allegri, Manuela; Meeks, Karlijn A C; Osei-Kwasi, Hibbah; Stockemer, Julia; de-Graft Aikins, Ama; Agbemafle, Isaac; Bahendeka, Silver; Boateng, Daniel; Klipstein-Grobusch, Kerstin; Beune, Erik; Agyemang, Charles; Schulze, Matthias B; Danquah, Ina</v>
      </c>
      <c r="Z1012" s="31">
        <f>IFERROR(__xludf.DUMMYFUNCTION("""COMPUTED_VALUE"""),2024.0)</f>
        <v>2024</v>
      </c>
      <c r="AA1012" s="31">
        <f>IFERROR(__xludf.DUMMYFUNCTION("""COMPUTED_VALUE"""),0.0)</f>
        <v>0</v>
      </c>
      <c r="AF1012" s="31" t="str">
        <f>IFERROR(__xludf.DUMMYFUNCTION("""COMPUTED_VALUE"""),"Acetylsalicylic acid as an adjuvant therapy for schizophrenia.")</f>
        <v>Acetylsalicylic acid as an adjuvant therapy for schizophrenia.</v>
      </c>
      <c r="AG1012" s="31" t="str">
        <f>IFERROR(__xludf.DUMMYFUNCTION("""COMPUTED_VALUE"""),"Laan, Wijnand; Selten, Jean-Paul; Kahn, René S; Huisman, Anne-Margriet; Heijnen, Cobi J; Grobbee, Diederick E; Burger, Huibert")</f>
        <v>Laan, Wijnand; Selten, Jean-Paul; Kahn, René S; Huisman, Anne-Margriet; Heijnen, Cobi J; Grobbee, Diederick E; Burger, Huibert</v>
      </c>
      <c r="AH1012" s="32">
        <f>IFERROR(__xludf.DUMMYFUNCTION("""COMPUTED_VALUE"""),39013.0)</f>
        <v>39013</v>
      </c>
    </row>
    <row r="1013">
      <c r="A1013" s="32"/>
      <c r="I1013" s="31" t="str">
        <f>IFERROR(__xludf.DUMMYFUNCTION("""COMPUTED_VALUE"""),"the journal of maternalfetal neonatal medicine the official journal of the european association of perinatal medicine the federation of asia and oceania perinatal societies the international society of perinatal obstetricians")</f>
        <v>the journal of maternalfetal neonatal medicine the official journal of the european association of perinatal medicine the federation of asia and oceania perinatal societies the international society of perinatal obstetricians</v>
      </c>
      <c r="J1013" s="38">
        <f>COUNTIF(Data!$F$2:$F9917, $I1013)</f>
        <v>2</v>
      </c>
      <c r="T1013" s="31" t="s">
        <v>3140</v>
      </c>
      <c r="U1013" s="31" t="s">
        <v>3141</v>
      </c>
      <c r="V1013" s="32">
        <v>44985.0</v>
      </c>
      <c r="X1013" s="31" t="str">
        <f>IFERROR(__xludf.DUMMYFUNCTION("""COMPUTED_VALUE"""),"Patient satisfaction with quality of care at out-patient departments in selected health facilities in Kumasi, Ghana.")</f>
        <v>Patient satisfaction with quality of care at out-patient departments in selected health facilities in Kumasi, Ghana.</v>
      </c>
      <c r="Y1013" s="31" t="str">
        <f>IFERROR(__xludf.DUMMYFUNCTION("""COMPUTED_VALUE"""),"Owusu, Abigail Anima; Boakye, Kingsley; Boateng, Daniel; Osei-Mensah, Christa; Agyei-Baffour, Peter")</f>
        <v>Owusu, Abigail Anima; Boakye, Kingsley; Boateng, Daniel; Osei-Mensah, Christa; Agyei-Baffour, Peter</v>
      </c>
      <c r="Z1013" s="31">
        <f>IFERROR(__xludf.DUMMYFUNCTION("""COMPUTED_VALUE"""),2024.0)</f>
        <v>2024</v>
      </c>
      <c r="AA1013" s="31">
        <f>IFERROR(__xludf.DUMMYFUNCTION("""COMPUTED_VALUE"""),0.0)</f>
        <v>0</v>
      </c>
      <c r="AF1013" s="31" t="str">
        <f>IFERROR(__xludf.DUMMYFUNCTION("""COMPUTED_VALUE"""),"Rationale and design of the AdRem study: evaluating the effects of blood pressure lowering and intensive glucose control on vascular retinal disorders in patients with type 2 diabetes mellitus.")</f>
        <v>Rationale and design of the AdRem study: evaluating the effects of blood pressure lowering and intensive glucose control on vascular retinal disorders in patients with type 2 diabetes mellitus.</v>
      </c>
      <c r="AG1013" s="31" t="str">
        <f>IFERROR(__xludf.DUMMYFUNCTION("""COMPUTED_VALUE"""),"Stolk, Ronald P; Vingerling, Johannes R; Cruickshank, J Kennedy; Hughes, Alun D; Stanton, Alice; Juming, Lu; Patel, Anushka; Thom, Simon A McG; Grobbee, Diederick E; ,")</f>
        <v>Stolk, Ronald P; Vingerling, Johannes R; Cruickshank, J Kennedy; Hughes, Alun D; Stanton, Alice; Juming, Lu; Patel, Anushka; Thom, Simon A McG; Grobbee, Diederick E; ,</v>
      </c>
      <c r="AH1013" s="32">
        <f>IFERROR(__xludf.DUMMYFUNCTION("""COMPUTED_VALUE"""),38963.0)</f>
        <v>38963</v>
      </c>
    </row>
    <row r="1014">
      <c r="A1014" s="32"/>
      <c r="I1014" s="31" t="str">
        <f>IFERROR(__xludf.DUMMYFUNCTION("""COMPUTED_VALUE"""),"applied health economics and health policy")</f>
        <v>applied health economics and health policy</v>
      </c>
      <c r="J1014" s="38">
        <f>COUNTIF(Data!$F$2:$F9917, $I1014)</f>
        <v>1</v>
      </c>
      <c r="T1014" s="31" t="s">
        <v>3144</v>
      </c>
      <c r="U1014" s="31" t="s">
        <v>3145</v>
      </c>
      <c r="V1014" s="32">
        <v>44985.0</v>
      </c>
      <c r="X1014" s="31" t="str">
        <f>IFERROR(__xludf.DUMMYFUNCTION("""COMPUTED_VALUE"""),"Community-Based Strategies to Improve Health-Related Outcomes in People Living With Hypertension in Low- and Middle-Income Countries: A Systematic Review and Meta-Analysis.")</f>
        <v>Community-Based Strategies to Improve Health-Related Outcomes in People Living With Hypertension in Low- and Middle-Income Countries: A Systematic Review and Meta-Analysis.</v>
      </c>
      <c r="Y1014" s="31" t="str">
        <f>IFERROR(__xludf.DUMMYFUNCTION("""COMPUTED_VALUE"""),"Nyame, Solomon; Boateng, Daniel; Heeres, Pauline; Gyamfi, Joyce; Gafane-Matemane, Lebo F; Amoah, John; Iwelunmor, Juliet; Ogedegbe, Gbenga; Grobbee, Diederick; Asante, Kwaku Poku; Klipstein-Grobusch, Kerstin")</f>
        <v>Nyame, Solomon; Boateng, Daniel; Heeres, Pauline; Gyamfi, Joyce; Gafane-Matemane, Lebo F; Amoah, John; Iwelunmor, Juliet; Ogedegbe, Gbenga; Grobbee, Diederick; Asante, Kwaku Poku; Klipstein-Grobusch, Kerstin</v>
      </c>
      <c r="Z1014" s="31">
        <f>IFERROR(__xludf.DUMMYFUNCTION("""COMPUTED_VALUE"""),2024.0)</f>
        <v>2024</v>
      </c>
      <c r="AA1014" s="31">
        <f>IFERROR(__xludf.DUMMYFUNCTION("""COMPUTED_VALUE"""),0.0)</f>
        <v>0</v>
      </c>
      <c r="AF1014" s="31" t="str">
        <f>IFERROR(__xludf.DUMMYFUNCTION("""COMPUTED_VALUE"""),"Comparison of routine care self-reported and biometrical data on hypertension and diabetes: results of the Utrecht Health Project.")</f>
        <v>Comparison of routine care self-reported and biometrical data on hypertension and diabetes: results of the Utrecht Health Project.</v>
      </c>
      <c r="AG1014" s="31" t="str">
        <f>IFERROR(__xludf.DUMMYFUNCTION("""COMPUTED_VALUE"""),"Molenaar, Esther A; Van Ameijden, Erik J C; Grobbee, Diederick E; Numans, Mattijs E")</f>
        <v>Molenaar, Esther A; Van Ameijden, Erik J C; Grobbee, Diederick E; Numans, Mattijs E</v>
      </c>
      <c r="AH1014" s="32">
        <f>IFERROR(__xludf.DUMMYFUNCTION("""COMPUTED_VALUE"""),38932.0)</f>
        <v>38932</v>
      </c>
    </row>
    <row r="1015">
      <c r="A1015" s="32"/>
      <c r="I1015" s="31" t="str">
        <f>IFERROR(__xludf.DUMMYFUNCTION("""COMPUTED_VALUE"""),"nmr in biomedicine")</f>
        <v>nmr in biomedicine</v>
      </c>
      <c r="J1015" s="38">
        <f>COUNTIF(Data!$F$2:$F9917, $I1015)</f>
        <v>1</v>
      </c>
      <c r="T1015" s="31" t="s">
        <v>3149</v>
      </c>
      <c r="U1015" s="31" t="s">
        <v>3150</v>
      </c>
      <c r="V1015" s="32">
        <v>44985.0</v>
      </c>
      <c r="X1015" s="31" t="str">
        <f>IFERROR(__xludf.DUMMYFUNCTION("""COMPUTED_VALUE"""),"Lessons Learnt from HIV and Noncommunicable Disease Healthcare Integration in Sub-Saharan Africa.")</f>
        <v>Lessons Learnt from HIV and Noncommunicable Disease Healthcare Integration in Sub-Saharan Africa.</v>
      </c>
      <c r="Y1015" s="31" t="str">
        <f>IFERROR(__xludf.DUMMYFUNCTION("""COMPUTED_VALUE"""),"van der Mannen, Jessica S; Heine, Martin; Lalla-Edward, Samanta T; Ojji, Dike B; Mocumbi, Ana O; Klipstein-Grobusch, Kerstin")</f>
        <v>van der Mannen, Jessica S; Heine, Martin; Lalla-Edward, Samanta T; Ojji, Dike B; Mocumbi, Ana O; Klipstein-Grobusch, Kerstin</v>
      </c>
      <c r="Z1015" s="31">
        <f>IFERROR(__xludf.DUMMYFUNCTION("""COMPUTED_VALUE"""),2024.0)</f>
        <v>2024</v>
      </c>
      <c r="AA1015" s="31">
        <f>IFERROR(__xludf.DUMMYFUNCTION("""COMPUTED_VALUE"""),0.0)</f>
        <v>0</v>
      </c>
      <c r="AF1015" s="31" t="str">
        <f>IFERROR(__xludf.DUMMYFUNCTION("""COMPUTED_VALUE"""),"Double blind randomized placebo-controlled trial on the effects of testosterone supplementation in elderly men with moderate to low testosterone levels: design and baseline characteristics [ISRCTN23688581].")</f>
        <v>Double blind randomized placebo-controlled trial on the effects of testosterone supplementation in elderly men with moderate to low testosterone levels: design and baseline characteristics [ISRCTN23688581].</v>
      </c>
      <c r="AG1015" s="31" t="str">
        <f>IFERROR(__xludf.DUMMYFUNCTION("""COMPUTED_VALUE"""),"Nakhai Pour, Hamid Reza; Emmelot-Vonk, Marielle H; Sukel-Helleman, Marja; Verhaar, Harald J J; Grobbee, Diederick E; van der Schouw, Yvonne T")</f>
        <v>Nakhai Pour, Hamid Reza; Emmelot-Vonk, Marielle H; Sukel-Helleman, Marja; Verhaar, Harald J J; Grobbee, Diederick E; van der Schouw, Yvonne T</v>
      </c>
      <c r="AH1015" s="32">
        <f>IFERROR(__xludf.DUMMYFUNCTION("""COMPUTED_VALUE"""),38932.0)</f>
        <v>38932</v>
      </c>
    </row>
    <row r="1016">
      <c r="A1016" s="32"/>
      <c r="I1016" s="31" t="str">
        <f>IFERROR(__xludf.DUMMYFUNCTION("""COMPUTED_VALUE"""),"gastrointestinal endoscopy")</f>
        <v>gastrointestinal endoscopy</v>
      </c>
      <c r="J1016" s="38">
        <f>COUNTIF(Data!$F$2:$F9917, $I1016)</f>
        <v>1</v>
      </c>
      <c r="T1016" s="31" t="s">
        <v>3154</v>
      </c>
      <c r="U1016" s="31" t="s">
        <v>3155</v>
      </c>
      <c r="V1016" s="32">
        <v>44984.0</v>
      </c>
      <c r="X1016" s="31" t="str">
        <f>IFERROR(__xludf.DUMMYFUNCTION("""COMPUTED_VALUE"""),"Integrating hypertension detection and management in HIV care in South Africa: protocol for a stepped-wedged cluster randomized effectiveness-implementation hybrid trial.")</f>
        <v>Integrating hypertension detection and management in HIV care in South Africa: protocol for a stepped-wedged cluster randomized effectiveness-implementation hybrid trial.</v>
      </c>
      <c r="Y1016" s="31" t="str">
        <f>IFERROR(__xludf.DUMMYFUNCTION("""COMPUTED_VALUE"""),"Galaviz, Karla I; Patel, Shivani A; Siedner, Mark J; Goss, Charles W; Gumede, Siphamandla B; Johnson, Leslie C; Ordóñez, Claudia E; Laxy, Michael; Klipstein-Grobusch, Kerstin; Heine, Martin; Masterson, Mary; Mody, Aaloke; Venter, W D Francois; Marconi, Vi"&amp;"ncent C; Ali, Mohammed K; Lalla-Edward, Samanta T")</f>
        <v>Galaviz, Karla I; Patel, Shivani A; Siedner, Mark J; Goss, Charles W; Gumede, Siphamandla B; Johnson, Leslie C; Ordóñez, Claudia E; Laxy, Michael; Klipstein-Grobusch, Kerstin; Heine, Martin; Masterson, Mary; Mody, Aaloke; Venter, W D Francois; Marconi, Vincent C; Ali, Mohammed K; Lalla-Edward, Samanta T</v>
      </c>
      <c r="Z1016" s="31">
        <f>IFERROR(__xludf.DUMMYFUNCTION("""COMPUTED_VALUE"""),2024.0)</f>
        <v>2024</v>
      </c>
      <c r="AA1016" s="31">
        <f>IFERROR(__xludf.DUMMYFUNCTION("""COMPUTED_VALUE"""),0.0)</f>
        <v>0</v>
      </c>
      <c r="AF1016" s="31" t="str">
        <f>IFERROR(__xludf.DUMMYFUNCTION("""COMPUTED_VALUE"""),"Effects of dehydroepiandrosterone and atamestane supplementation on frailty in elderly men.")</f>
        <v>Effects of dehydroepiandrosterone and atamestane supplementation on frailty in elderly men.</v>
      </c>
      <c r="AG1016" s="31" t="str">
        <f>IFERROR(__xludf.DUMMYFUNCTION("""COMPUTED_VALUE"""),"Muller, Majon; van den Beld, Annewieke W; van der Schouw, Yvonne T; Grobbee, Diederick E; Lamberts, Steven W J")</f>
        <v>Muller, Majon; van den Beld, Annewieke W; van der Schouw, Yvonne T; Grobbee, Diederick E; Lamberts, Steven W J</v>
      </c>
      <c r="AH1016" s="32">
        <f>IFERROR(__xludf.DUMMYFUNCTION("""COMPUTED_VALUE"""),38895.0)</f>
        <v>38895</v>
      </c>
    </row>
    <row r="1017">
      <c r="A1017" s="32"/>
      <c r="I1017" s="31" t="str">
        <f>IFERROR(__xludf.DUMMYFUNCTION("""COMPUTED_VALUE"""),"genetics in medicine official journal of the american college of medical genetics")</f>
        <v>genetics in medicine official journal of the american college of medical genetics</v>
      </c>
      <c r="J1017" s="38">
        <f>COUNTIF(Data!$F$2:$F9917, $I1017)</f>
        <v>1</v>
      </c>
      <c r="T1017" s="31" t="s">
        <v>3158</v>
      </c>
      <c r="U1017" s="31" t="s">
        <v>3159</v>
      </c>
      <c r="V1017" s="32">
        <v>44984.0</v>
      </c>
      <c r="X1017" s="31" t="str">
        <f>IFERROR(__xludf.DUMMYFUNCTION("""COMPUTED_VALUE"""),"Rethinking Scale-Up of Rehabilitation for Chronic Disease in Low-Resource Settings: Embracing Complexity for Contextual Impact.")</f>
        <v>Rethinking Scale-Up of Rehabilitation for Chronic Disease in Low-Resource Settings: Embracing Complexity for Contextual Impact.</v>
      </c>
      <c r="Y1017" s="31" t="str">
        <f>IFERROR(__xludf.DUMMYFUNCTION("""COMPUTED_VALUE"""),"Heine, Martin; Derman, Wayne; Hanekom, Susan")</f>
        <v>Heine, Martin; Derman, Wayne; Hanekom, Susan</v>
      </c>
      <c r="Z1017" s="31">
        <f>IFERROR(__xludf.DUMMYFUNCTION("""COMPUTED_VALUE"""),2024.0)</f>
        <v>2024</v>
      </c>
      <c r="AA1017" s="31">
        <f>IFERROR(__xludf.DUMMYFUNCTION("""COMPUTED_VALUE"""),0.0)</f>
        <v>0</v>
      </c>
      <c r="AF1017" s="31" t="str">
        <f>IFERROR(__xludf.DUMMYFUNCTION("""COMPUTED_VALUE"""),"Do-not-resuscitate decisions in six European countries.")</f>
        <v>Do-not-resuscitate decisions in six European countries.</v>
      </c>
      <c r="AG1017" s="31" t="str">
        <f>IFERROR(__xludf.DUMMYFUNCTION("""COMPUTED_VALUE"""),"van Delden, Johannes J M; Löfmark, Rurik; Deliens, Luc; Bosshard, Georg; Norup, Michael; Cecioni, Riccardo; van der Heide, Agnes; ,")</f>
        <v>van Delden, Johannes J M; Löfmark, Rurik; Deliens, Luc; Bosshard, Georg; Norup, Michael; Cecioni, Riccardo; van der Heide, Agnes; ,</v>
      </c>
      <c r="AH1017" s="32">
        <f>IFERROR(__xludf.DUMMYFUNCTION("""COMPUTED_VALUE"""),38869.0)</f>
        <v>38869</v>
      </c>
    </row>
    <row r="1018">
      <c r="A1018" s="32"/>
      <c r="I1018" s="31" t="str">
        <f>IFERROR(__xludf.DUMMYFUNCTION("""COMPUTED_VALUE"""),"journal of renal nutrition the official journal of the council on renal nutrition of the national kidney foundation")</f>
        <v>journal of renal nutrition the official journal of the council on renal nutrition of the national kidney foundation</v>
      </c>
      <c r="J1018" s="38">
        <f>COUNTIF(Data!$F$2:$F9917, $I1018)</f>
        <v>2</v>
      </c>
      <c r="T1018" s="31" t="s">
        <v>3163</v>
      </c>
      <c r="U1018" s="31" t="s">
        <v>3164</v>
      </c>
      <c r="V1018" s="32">
        <v>44983.0</v>
      </c>
      <c r="X1018" s="31" t="str">
        <f>IFERROR(__xludf.DUMMYFUNCTION("""COMPUTED_VALUE"""),"A value hierarchy for inclusive design of heart valve implants in regenerative medicine.")</f>
        <v>A value hierarchy for inclusive design of heart valve implants in regenerative medicine.</v>
      </c>
      <c r="Y1018" s="31" t="str">
        <f>IFERROR(__xludf.DUMMYFUNCTION("""COMPUTED_VALUE"""),"De Kanter, Anne Johanna; Daal, Manon Van; Gunn, Callum J; Bredenoord, Annelien L; Graeff, Nienke De; Jongsma, Karin R")</f>
        <v>De Kanter, Anne Johanna; Daal, Manon Van; Gunn, Callum J; Bredenoord, Annelien L; Graeff, Nienke De; Jongsma, Karin R</v>
      </c>
      <c r="Z1018" s="31">
        <f>IFERROR(__xludf.DUMMYFUNCTION("""COMPUTED_VALUE"""),2024.0)</f>
        <v>2024</v>
      </c>
      <c r="AA1018" s="31">
        <f>IFERROR(__xludf.DUMMYFUNCTION("""COMPUTED_VALUE"""),0.0)</f>
        <v>0</v>
      </c>
      <c r="AF1018" s="31" t="str">
        <f>IFERROR(__xludf.DUMMYFUNCTION("""COMPUTED_VALUE"""),"Increased occurrence of left-handedness after severe childhood bacterial meningitis: support for the pathological left-handedness hypothesis.")</f>
        <v>Increased occurrence of left-handedness after severe childhood bacterial meningitis: support for the pathological left-handedness hypothesis.</v>
      </c>
      <c r="AG1018" s="31" t="str">
        <f>IFERROR(__xludf.DUMMYFUNCTION("""COMPUTED_VALUE"""),"Ramadhani, Made K; Koomen, Irene; Grobbee, Diederick E; van Donselaar, Cees A; Marceline van Furth, A; Uiterwaal, Cuno S P M")</f>
        <v>Ramadhani, Made K; Koomen, Irene; Grobbee, Diederick E; van Donselaar, Cees A; Marceline van Furth, A; Uiterwaal, Cuno S P M</v>
      </c>
      <c r="AH1018" s="32">
        <f>IFERROR(__xludf.DUMMYFUNCTION("""COMPUTED_VALUE"""),38834.0)</f>
        <v>38834</v>
      </c>
    </row>
    <row r="1019">
      <c r="A1019" s="32"/>
      <c r="I1019" s="31" t="str">
        <f>IFERROR(__xludf.DUMMYFUNCTION("""COMPUTED_VALUE"""),"journal of genetic counseling")</f>
        <v>journal of genetic counseling</v>
      </c>
      <c r="J1019" s="38">
        <f>COUNTIF(Data!$F$2:$F9917, $I1019)</f>
        <v>1</v>
      </c>
      <c r="T1019" s="31" t="s">
        <v>3168</v>
      </c>
      <c r="U1019" s="31" t="s">
        <v>3169</v>
      </c>
      <c r="V1019" s="32">
        <v>44982.0</v>
      </c>
      <c r="X1019" s="31" t="str">
        <f>IFERROR(__xludf.DUMMYFUNCTION("""COMPUTED_VALUE"""),"Time-varying exposure to food retailers and cardiovascular disease hospitalization and mortality in the netherlands: a nationwide prospective cohort study.")</f>
        <v>Time-varying exposure to food retailers and cardiovascular disease hospitalization and mortality in the netherlands: a nationwide prospective cohort study.</v>
      </c>
      <c r="Y1019" s="31" t="str">
        <f>IFERROR(__xludf.DUMMYFUNCTION("""COMPUTED_VALUE"""),"Pinho, Maria Gabriela M; Koop, Yvonne; Mackenbach, Joreintje D; Lakerveld, Jeroen; Simões, Mariana; Vermeulen, Roel; Wagtendonk, Alfred J; Vaartjes, Ilonca; Beulens, Joline W J")</f>
        <v>Pinho, Maria Gabriela M; Koop, Yvonne; Mackenbach, Joreintje D; Lakerveld, Jeroen; Simões, Mariana; Vermeulen, Roel; Wagtendonk, Alfred J; Vaartjes, Ilonca; Beulens, Joline W J</v>
      </c>
      <c r="Z1019" s="31">
        <f>IFERROR(__xludf.DUMMYFUNCTION("""COMPUTED_VALUE"""),2024.0)</f>
        <v>2024</v>
      </c>
      <c r="AA1019" s="31">
        <f>IFERROR(__xludf.DUMMYFUNCTION("""COMPUTED_VALUE"""),0.0)</f>
        <v>0</v>
      </c>
      <c r="AF1019" s="31" t="str">
        <f>IFERROR(__xludf.DUMMYFUNCTION("""COMPUTED_VALUE"""),"Effect size estimates of lifestyle and dietary changes on all-cause mortality in coronary artery disease patients: a systematic review.")</f>
        <v>Effect size estimates of lifestyle and dietary changes on all-cause mortality in coronary artery disease patients: a systematic review.</v>
      </c>
      <c r="AG1019" s="31" t="str">
        <f>IFERROR(__xludf.DUMMYFUNCTION("""COMPUTED_VALUE"""),"Iestra, J A; Kromhout, D; van der Schouw, Y T; Grobbee, D E; Boshuizen, H C; van Staveren, W A")</f>
        <v>Iestra, J A; Kromhout, D; van der Schouw, Y T; Grobbee, D E; Boshuizen, H C; van Staveren, W A</v>
      </c>
      <c r="AH1019" s="32">
        <f>IFERROR(__xludf.DUMMYFUNCTION("""COMPUTED_VALUE"""),38573.0)</f>
        <v>38573</v>
      </c>
    </row>
    <row r="1020">
      <c r="A1020" s="32"/>
      <c r="I1020" s="31" t="str">
        <f>IFERROR(__xludf.DUMMYFUNCTION("""COMPUTED_VALUE"""),"biomarkers in medicine")</f>
        <v>biomarkers in medicine</v>
      </c>
      <c r="J1020" s="38">
        <f>COUNTIF(Data!$F$2:$F9917, $I1020)</f>
        <v>1</v>
      </c>
      <c r="T1020" s="31" t="s">
        <v>3172</v>
      </c>
      <c r="U1020" s="31" t="s">
        <v>3173</v>
      </c>
      <c r="V1020" s="32">
        <v>44982.0</v>
      </c>
      <c r="X1020" s="31" t="str">
        <f>IFERROR(__xludf.DUMMYFUNCTION("""COMPUTED_VALUE"""),"Temporal Trends in Air Pollution Exposure across Socioeconomic Groups in The Netherlands.")</f>
        <v>Temporal Trends in Air Pollution Exposure across Socioeconomic Groups in The Netherlands.</v>
      </c>
      <c r="Y1020" s="31" t="str">
        <f>IFERROR(__xludf.DUMMYFUNCTION("""COMPUTED_VALUE"""),"Hlubek, Niklas; Koop, Yvonne; Wagtendonk, Alfred; Vaartjes, Ilonca")</f>
        <v>Hlubek, Niklas; Koop, Yvonne; Wagtendonk, Alfred; Vaartjes, Ilonca</v>
      </c>
      <c r="Z1020" s="31">
        <f>IFERROR(__xludf.DUMMYFUNCTION("""COMPUTED_VALUE"""),2024.0)</f>
        <v>2024</v>
      </c>
      <c r="AA1020" s="31">
        <f>IFERROR(__xludf.DUMMYFUNCTION("""COMPUTED_VALUE"""),0.0)</f>
        <v>0</v>
      </c>
      <c r="AF1020" s="31" t="str">
        <f>IFERROR(__xludf.DUMMYFUNCTION("""COMPUTED_VALUE"""),"Higher dietary intake of lignans is associated with better cognitive performance in postmenopausal women.")</f>
        <v>Higher dietary intake of lignans is associated with better cognitive performance in postmenopausal women.</v>
      </c>
      <c r="AG1020" s="31" t="str">
        <f>IFERROR(__xludf.DUMMYFUNCTION("""COMPUTED_VALUE"""),"Franco, Oscar H; Burger, Huibert; Lebrun, Corinne E I; Peeters, Petra H M; Lamberts, Steven W J; Grobbee, Diederick E; Van Der Schouw, Yvonne T")</f>
        <v>Franco, Oscar H; Burger, Huibert; Lebrun, Corinne E I; Peeters, Petra H M; Lamberts, Steven W J; Grobbee, Diederick E; Van Der Schouw, Yvonne T</v>
      </c>
      <c r="AH1020" s="32">
        <f>IFERROR(__xludf.DUMMYFUNCTION("""COMPUTED_VALUE"""),38473.0)</f>
        <v>38473</v>
      </c>
    </row>
    <row r="1021">
      <c r="A1021" s="32"/>
      <c r="I1021" s="31" t="str">
        <f>IFERROR(__xludf.DUMMYFUNCTION("""COMPUTED_VALUE"""),"world journal of urology")</f>
        <v>world journal of urology</v>
      </c>
      <c r="J1021" s="38">
        <f>COUNTIF(Data!$F$2:$F9917, $I1021)</f>
        <v>1</v>
      </c>
      <c r="T1021" s="31" t="s">
        <v>3176</v>
      </c>
      <c r="U1021" s="31" t="s">
        <v>3177</v>
      </c>
      <c r="V1021" s="32">
        <v>44982.0</v>
      </c>
      <c r="X1021" s="31" t="str">
        <f>IFERROR(__xludf.DUMMYFUNCTION("""COMPUTED_VALUE"""),"Octopus follow-up: 20 year prognosis in patients randomized to on-pump CABG, off-pump CABG or PCI.")</f>
        <v>Octopus follow-up: 20 year prognosis in patients randomized to on-pump CABG, off-pump CABG or PCI.</v>
      </c>
      <c r="Y1021" s="31" t="str">
        <f>IFERROR(__xludf.DUMMYFUNCTION("""COMPUTED_VALUE"""),"Koop, Yvonne; Nathoe, Hendrik; Bots, Michiel; Grobbee, Diederick E; Timmermans, Marijke; Wimmers, Raymond H; Gianoli, Monica; van Dijk, Diederik; Vaartjes, Ilonca; ,")</f>
        <v>Koop, Yvonne; Nathoe, Hendrik; Bots, Michiel; Grobbee, Diederick E; Timmermans, Marijke; Wimmers, Raymond H; Gianoli, Monica; van Dijk, Diederik; Vaartjes, Ilonca; ,</v>
      </c>
      <c r="Z1021" s="31">
        <f>IFERROR(__xludf.DUMMYFUNCTION("""COMPUTED_VALUE"""),2024.0)</f>
        <v>2024</v>
      </c>
      <c r="AA1021" s="31">
        <f>IFERROR(__xludf.DUMMYFUNCTION("""COMPUTED_VALUE"""),0.0)</f>
        <v>0</v>
      </c>
      <c r="AF1021" s="31" t="str">
        <f>IFERROR(__xludf.DUMMYFUNCTION("""COMPUTED_VALUE"""),"Menopausal complaints, oestrogens, and heart disease risk: an explanation for discrepant findings on the benefits of post-menopausal hormone therapy.")</f>
        <v>Menopausal complaints, oestrogens, and heart disease risk: an explanation for discrepant findings on the benefits of post-menopausal hormone therapy.</v>
      </c>
      <c r="AG1021" s="31" t="str">
        <f>IFERROR(__xludf.DUMMYFUNCTION("""COMPUTED_VALUE"""),"van der Schouw, Yvonne T; Grobbee, Diederick E")</f>
        <v>van der Schouw, Yvonne T; Grobbee, Diederick E</v>
      </c>
      <c r="AH1021" s="32">
        <f>IFERROR(__xludf.DUMMYFUNCTION("""COMPUTED_VALUE"""),38470.0)</f>
        <v>38470</v>
      </c>
    </row>
    <row r="1022">
      <c r="A1022" s="32"/>
      <c r="I1022" s="31" t="str">
        <f>IFERROR(__xludf.DUMMYFUNCTION("""COMPUTED_VALUE"""),"future microbiology")</f>
        <v>future microbiology</v>
      </c>
      <c r="J1022" s="38">
        <f>COUNTIF(Data!$F$2:$F9917, $I1022)</f>
        <v>2</v>
      </c>
      <c r="T1022" s="31" t="s">
        <v>3180</v>
      </c>
      <c r="U1022" s="31" t="s">
        <v>3181</v>
      </c>
      <c r="V1022" s="32">
        <v>44981.0</v>
      </c>
      <c r="X1022" s="31" t="str">
        <f>IFERROR(__xludf.DUMMYFUNCTION("""COMPUTED_VALUE"""),"Cardiovascular toxicities of immune therapies for cancer - a scientific statement of the Heart Failure Association (HFA) of the ESC and the ESC Council of Cardio-Oncology.")</f>
        <v>Cardiovascular toxicities of immune therapies for cancer - a scientific statement of the Heart Failure Association (HFA) of the ESC and the ESC Council of Cardio-Oncology.</v>
      </c>
      <c r="Y1022" s="31" t="str">
        <f>IFERROR(__xludf.DUMMYFUNCTION("""COMPUTED_VALUE"""),"Tocchetti, Carlo Gabriele; Farmakis, Dimitrios; Koop, Yvonne; Andres, Maria Sol; Couch, Liam S; Formisano, Luigi; Ciardiello, Fortunato; Pane, Fabrizio; Au, Lewis; Emmerich, Max; Plummer, Chris; Gulati, Geeta; Ramalingam, Sivatharshini; Cardinale, Daniela"&amp;"; Brezden-Masley, Christine; Iakobishvili, Zaza; Thavendiranathan, Paaladinesh; Santoro, Ciro; Bergler-Klein, Jutta; Keramida, Kalliopi; de Boer, Rudolf A; Maack, Christoph; Lutgens, Esther; Rassaf, Tienush; Fradley, Michael G; Moslehi, Javid; Yang, Eric "&amp;"H; De Keulenaer, Gilles; Ameri, Pietro; Bax, Jeroen; Neilan, Tomas G; Herrmann, Joerg; Mbakwem, Amam C; Mirabel, Mariana; Skouri, Hadi; Hirsch, Emilio; Cohen-Solal, Alain; Sverdlov, Aaron L; van der Meer, Peter; Asteggiano, Riccardo; Barac, Ana; Ky, Bonni"&amp;"e; Lenihan, Daniel; Dent, Susan; Seferovic, Petar; Coats, Andrew J S; Metra, Marco; Rosano, Giuseppe; Suter, Thomas; Lopez-Fernandez, Teresa; Lyon, Alexander R")</f>
        <v>Tocchetti, Carlo Gabriele; Farmakis, Dimitrios; Koop, Yvonne; Andres, Maria Sol; Couch, Liam S; Formisano, Luigi; Ciardiello, Fortunato; Pane, Fabrizio; Au, Lewis; Emmerich, Max; Plummer, Chris; Gulati, Geeta; Ramalingam, Sivatharshini; Cardinale, Daniela; Brezden-Masley, Christine; Iakobishvili, Zaza; Thavendiranathan, Paaladinesh; Santoro, Ciro; Bergler-Klein, Jutta; Keramida, Kalliopi; de Boer, Rudolf A; Maack, Christoph; Lutgens, Esther; Rassaf, Tienush; Fradley, Michael G; Moslehi, Javid; Yang, Eric H; De Keulenaer, Gilles; Ameri, Pietro; Bax, Jeroen; Neilan, Tomas G; Herrmann, Joerg; Mbakwem, Amam C; Mirabel, Mariana; Skouri, Hadi; Hirsch, Emilio; Cohen-Solal, Alain; Sverdlov, Aaron L; van der Meer, Peter; Asteggiano, Riccardo; Barac, Ana; Ky, Bonnie; Lenihan, Daniel; Dent, Susan; Seferovic, Petar; Coats, Andrew J S; Metra, Marco; Rosano, Giuseppe; Suter, Thomas; Lopez-Fernandez, Teresa; Lyon, Alexander R</v>
      </c>
      <c r="Z1022" s="31">
        <f>IFERROR(__xludf.DUMMYFUNCTION("""COMPUTED_VALUE"""),2024.0)</f>
        <v>2024</v>
      </c>
      <c r="AA1022" s="31">
        <f>IFERROR(__xludf.DUMMYFUNCTION("""COMPUTED_VALUE"""),0.0)</f>
        <v>0</v>
      </c>
      <c r="AF1022" s="31" t="str">
        <f>IFERROR(__xludf.DUMMYFUNCTION("""COMPUTED_VALUE"""),"Endogenous sex hormone levels and cognitive function in aging men: is there an optimal level?")</f>
        <v>Endogenous sex hormone levels and cognitive function in aging men: is there an optimal level?</v>
      </c>
      <c r="AG1022" s="31" t="str">
        <f>IFERROR(__xludf.DUMMYFUNCTION("""COMPUTED_VALUE"""),"Muller, M; Aleman, A; Grobbee, D E; de Haan, E H F; van der Schouw, Y T")</f>
        <v>Muller, M; Aleman, A; Grobbee, D E; de Haan, E H F; van der Schouw, Y T</v>
      </c>
      <c r="AH1022" s="32">
        <f>IFERROR(__xludf.DUMMYFUNCTION("""COMPUTED_VALUE"""),38419.0)</f>
        <v>38419</v>
      </c>
    </row>
    <row r="1023">
      <c r="A1023" s="32"/>
      <c r="I1023" s="31" t="str">
        <f>IFERROR(__xludf.DUMMYFUNCTION("""COMPUTED_VALUE"""),"advances in anatomic pathology")</f>
        <v>advances in anatomic pathology</v>
      </c>
      <c r="J1023" s="38">
        <f>COUNTIF(Data!$F$2:$F9917, $I1023)</f>
        <v>1</v>
      </c>
      <c r="T1023" s="31" t="s">
        <v>3184</v>
      </c>
      <c r="U1023" s="31" t="s">
        <v>3185</v>
      </c>
      <c r="V1023" s="32">
        <v>44981.0</v>
      </c>
      <c r="X1023" s="31" t="str">
        <f>IFERROR(__xludf.DUMMYFUNCTION("""COMPUTED_VALUE"""),"Physiological Response to the COVID-19 Vaccine: Insights From a Prospective, Randomized, Single-Blinded, Crossover Trial.")</f>
        <v>Physiological Response to the COVID-19 Vaccine: Insights From a Prospective, Randomized, Single-Blinded, Crossover Trial.</v>
      </c>
      <c r="Y1023" s="31" t="str">
        <f>IFERROR(__xludf.DUMMYFUNCTION("""COMPUTED_VALUE"""),"Markovic, Andjela; Kovacevic, Vladimir; Brakenhoff, Timo B; Veen, Duco; Klaver, Paul; Mitratza, Marianna; Downward, George S; Grobbee, Diederick E; Cronin, Maureen; Goodale, Brianna M; ,")</f>
        <v>Markovic, Andjela; Kovacevic, Vladimir; Brakenhoff, Timo B; Veen, Duco; Klaver, Paul; Mitratza, Marianna; Downward, George S; Grobbee, Diederick E; Cronin, Maureen; Goodale, Brianna M; ,</v>
      </c>
      <c r="Z1023" s="31">
        <f>IFERROR(__xludf.DUMMYFUNCTION("""COMPUTED_VALUE"""),2024.0)</f>
        <v>2024</v>
      </c>
      <c r="AA1023" s="31">
        <f>IFERROR(__xludf.DUMMYFUNCTION("""COMPUTED_VALUE"""),0.0)</f>
        <v>0</v>
      </c>
      <c r="AF1023" s="31" t="str">
        <f>IFERROR(__xludf.DUMMYFUNCTION("""COMPUTED_VALUE"""),"Endogenous sex hormones and metabolic syndrome in aging men.")</f>
        <v>Endogenous sex hormones and metabolic syndrome in aging men.</v>
      </c>
      <c r="AG1023" s="31" t="str">
        <f>IFERROR(__xludf.DUMMYFUNCTION("""COMPUTED_VALUE"""),"Muller, Majon; Grobbee, Diederick E; den Tonkelaar, Isolde; Lamberts, Steven W J; van der Schouw, Yvonne T")</f>
        <v>Muller, Majon; Grobbee, Diederick E; den Tonkelaar, Isolde; Lamberts, Steven W J; van der Schouw, Yvonne T</v>
      </c>
      <c r="AH1023" s="32">
        <f>IFERROR(__xludf.DUMMYFUNCTION("""COMPUTED_VALUE"""),38384.0)</f>
        <v>38384</v>
      </c>
    </row>
    <row r="1024">
      <c r="A1024" s="32"/>
      <c r="I1024" s="31" t="str">
        <f>IFERROR(__xludf.DUMMYFUNCTION("""COMPUTED_VALUE"""),"immunity inflammation and disease")</f>
        <v>immunity inflammation and disease</v>
      </c>
      <c r="J1024" s="38">
        <f>COUNTIF(Data!$F$2:$F9917, $I1024)</f>
        <v>1</v>
      </c>
      <c r="T1024" s="31" t="s">
        <v>3188</v>
      </c>
      <c r="U1024" s="31" t="s">
        <v>3189</v>
      </c>
      <c r="V1024" s="32">
        <v>44981.0</v>
      </c>
      <c r="X1024" s="31" t="str">
        <f>IFERROR(__xludf.DUMMYFUNCTION("""COMPUTED_VALUE"""),"Hypertension and diabetes control: faith-based centres offer a promise for expanding screening services and linkage to care in Ghana.")</f>
        <v>Hypertension and diabetes control: faith-based centres offer a promise for expanding screening services and linkage to care in Ghana.</v>
      </c>
      <c r="Y1024" s="31" t="str">
        <f>IFERROR(__xludf.DUMMYFUNCTION("""COMPUTED_VALUE"""),"Nonterah, Engelbert A; Chatio, Samuel T; Willis, Andy; Alale, Joseph A; Zakariah-Akoto, Sawudatu; Darko, Natalie; Curtis, Ffion; Kunutsor, Setor K; Jones, Ceri; Seidu, Samuel; Ansah, Patrick O")</f>
        <v>Nonterah, Engelbert A; Chatio, Samuel T; Willis, Andy; Alale, Joseph A; Zakariah-Akoto, Sawudatu; Darko, Natalie; Curtis, Ffion; Kunutsor, Setor K; Jones, Ceri; Seidu, Samuel; Ansah, Patrick O</v>
      </c>
      <c r="Z1024" s="31">
        <f>IFERROR(__xludf.DUMMYFUNCTION("""COMPUTED_VALUE"""),2024.0)</f>
        <v>2024</v>
      </c>
      <c r="AA1024" s="31">
        <f>IFERROR(__xludf.DUMMYFUNCTION("""COMPUTED_VALUE"""),0.0)</f>
        <v>0</v>
      </c>
      <c r="AF1024" s="31" t="str">
        <f>IFERROR(__xludf.DUMMYFUNCTION("""COMPUTED_VALUE"""),"Prospective study on usual dietary phytoestrogen intake and cardiovascular disease risk in Western women.")</f>
        <v>Prospective study on usual dietary phytoestrogen intake and cardiovascular disease risk in Western women.</v>
      </c>
      <c r="AG1024" s="31" t="str">
        <f>IFERROR(__xludf.DUMMYFUNCTION("""COMPUTED_VALUE"""),"van der Schouw, Yvonne T; Kreijkamp-Kaspers, Sanne; Peeters, Petra H M; Keinan-Boker, Lital; Rimm, Eric B; Grobbee, Diederick E")</f>
        <v>van der Schouw, Yvonne T; Kreijkamp-Kaspers, Sanne; Peeters, Petra H M; Keinan-Boker, Lital; Rimm, Eric B; Grobbee, Diederick E</v>
      </c>
      <c r="AH1024" s="32">
        <f>IFERROR(__xludf.DUMMYFUNCTION("""COMPUTED_VALUE"""),38384.0)</f>
        <v>38384</v>
      </c>
    </row>
    <row r="1025">
      <c r="A1025" s="32"/>
      <c r="I1025" s="31" t="str">
        <f>IFERROR(__xludf.DUMMYFUNCTION("""COMPUTED_VALUE"""),"field methods")</f>
        <v>field methods</v>
      </c>
      <c r="J1025" s="38">
        <f>COUNTIF(Data!$F$2:$F9917, $I1025)</f>
        <v>1</v>
      </c>
      <c r="T1025" s="31" t="s">
        <v>3192</v>
      </c>
      <c r="U1025" s="31" t="s">
        <v>3193</v>
      </c>
      <c r="V1025" s="32">
        <v>44981.0</v>
      </c>
      <c r="X1025" s="31" t="str">
        <f>IFERROR(__xludf.DUMMYFUNCTION("""COMPUTED_VALUE"""),"Hypertension knowledge, attitudes and perceptions among adults in the Navrongo Health and Demographic Surveillance Site: a mixed methods analysis.")</f>
        <v>Hypertension knowledge, attitudes and perceptions among adults in the Navrongo Health and Demographic Surveillance Site: a mixed methods analysis.</v>
      </c>
      <c r="Y1025" s="31" t="str">
        <f>IFERROR(__xludf.DUMMYFUNCTION("""COMPUTED_VALUE"""),"Singh, Ahaana; Agongo, Godfred; Chatio, Samuel T; Logonia, Bernard; Debpuur, Cornelius Y; Ansah, Patrick O; Oduro, Abraham R; Klipstein-Grobusch, Kerstin; Nonterah, Engelbert A")</f>
        <v>Singh, Ahaana; Agongo, Godfred; Chatio, Samuel T; Logonia, Bernard; Debpuur, Cornelius Y; Ansah, Patrick O; Oduro, Abraham R; Klipstein-Grobusch, Kerstin; Nonterah, Engelbert A</v>
      </c>
      <c r="Z1025" s="31">
        <f>IFERROR(__xludf.DUMMYFUNCTION("""COMPUTED_VALUE"""),2024.0)</f>
        <v>2024</v>
      </c>
      <c r="AA1025" s="31">
        <f>IFERROR(__xludf.DUMMYFUNCTION("""COMPUTED_VALUE"""),0.0)</f>
        <v>0</v>
      </c>
      <c r="AF1025" s="31" t="str">
        <f>IFERROR(__xludf.DUMMYFUNCTION("""COMPUTED_VALUE"""),"Influenza and pneumococcal vaccination as a model to assess C-reactive protein response to mild inflammation.")</f>
        <v>Influenza and pneumococcal vaccination as a model to assess C-reactive protein response to mild inflammation.</v>
      </c>
      <c r="AG1025" s="31" t="str">
        <f>IFERROR(__xludf.DUMMYFUNCTION("""COMPUTED_VALUE"""),"Posthouwer, D; Voorbij, H A M; Grobbee, D E; Numans, M E; van der Bom, J G")</f>
        <v>Posthouwer, D; Voorbij, H A M; Grobbee, D E; Numans, M E; van der Bom, J G</v>
      </c>
      <c r="AH1025" s="32">
        <f>IFERROR(__xludf.DUMMYFUNCTION("""COMPUTED_VALUE"""),38323.0)</f>
        <v>38323</v>
      </c>
    </row>
    <row r="1026">
      <c r="A1026" s="32"/>
      <c r="I1026" s="31" t="str">
        <f>IFERROR(__xludf.DUMMYFUNCTION("""COMPUTED_VALUE"""),"bmc pulmonary medicine")</f>
        <v>bmc pulmonary medicine</v>
      </c>
      <c r="J1026" s="38">
        <f>COUNTIF(Data!$F$2:$F9917, $I1026)</f>
        <v>4</v>
      </c>
      <c r="T1026" s="31" t="s">
        <v>3196</v>
      </c>
      <c r="U1026" s="31" t="s">
        <v>3197</v>
      </c>
      <c r="V1026" s="32">
        <v>44981.0</v>
      </c>
      <c r="X1026" s="31" t="str">
        <f>IFERROR(__xludf.DUMMYFUNCTION("""COMPUTED_VALUE"""),"Federated learning as a smart tool for research on infectious diseases.")</f>
        <v>Federated learning as a smart tool for research on infectious diseases.</v>
      </c>
      <c r="Y1026" s="31" t="str">
        <f>IFERROR(__xludf.DUMMYFUNCTION("""COMPUTED_VALUE"""),"Zwiers, Laura C; Grobbee, Diederick E; Uijl, Alicia; Ong, David S Y")</f>
        <v>Zwiers, Laura C; Grobbee, Diederick E; Uijl, Alicia; Ong, David S Y</v>
      </c>
      <c r="Z1026" s="31">
        <f>IFERROR(__xludf.DUMMYFUNCTION("""COMPUTED_VALUE"""),2024.0)</f>
        <v>2024</v>
      </c>
      <c r="AA1026" s="31">
        <f>IFERROR(__xludf.DUMMYFUNCTION("""COMPUTED_VALUE"""),0.0)</f>
        <v>0</v>
      </c>
      <c r="AF1026" s="31" t="str">
        <f>IFERROR(__xludf.DUMMYFUNCTION("""COMPUTED_VALUE"""),"Dietary haem iron and coronary heart disease in women.")</f>
        <v>Dietary haem iron and coronary heart disease in women.</v>
      </c>
      <c r="AG1026" s="31" t="str">
        <f>IFERROR(__xludf.DUMMYFUNCTION("""COMPUTED_VALUE"""),"van der A, Daphne L; Peeters, Petra H M; Grobbee, Diederick E; Marx, Joannes J M; van der Schouw, Yvonne T")</f>
        <v>van der A, Daphne L; Peeters, Petra H M; Grobbee, Diederick E; Marx, Joannes J M; van der Schouw, Yvonne T</v>
      </c>
      <c r="AH1026" s="32">
        <f>IFERROR(__xludf.DUMMYFUNCTION("""COMPUTED_VALUE"""),38321.0)</f>
        <v>38321</v>
      </c>
    </row>
    <row r="1027">
      <c r="A1027" s="32"/>
      <c r="I1027" s="31" t="str">
        <f>IFERROR(__xludf.DUMMYFUNCTION("""COMPUTED_VALUE"""),"the open orthopaedics journal")</f>
        <v>the open orthopaedics journal</v>
      </c>
      <c r="J1027" s="38">
        <f>COUNTIF(Data!$F$2:$F9917, $I1027)</f>
        <v>1</v>
      </c>
      <c r="T1027" s="31" t="s">
        <v>3201</v>
      </c>
      <c r="U1027" s="31" t="s">
        <v>3202</v>
      </c>
      <c r="V1027" s="32">
        <v>44980.0</v>
      </c>
      <c r="X1027" s="31" t="str">
        <f>IFERROR(__xludf.DUMMYFUNCTION("""COMPUTED_VALUE"""),"A practical assessment protocol for clinically relevant P-glycoprotein-mediated drug-drug interactions.")</f>
        <v>A practical assessment protocol for clinically relevant P-glycoprotein-mediated drug-drug interactions.</v>
      </c>
      <c r="Y1027" s="31" t="str">
        <f>IFERROR(__xludf.DUMMYFUNCTION("""COMPUTED_VALUE"""),"Bogaard, Leonie; Tsoi, Kayan; van de Steeg, Bas; Brandon, Esther F A; Geers, Lisanne; van Herwaarden, Margreet; Jansman, Frank; Maas, Dominique; Monster-Simons, Margje; Ong, David S Y; Borgsteede, Sander D")</f>
        <v>Bogaard, Leonie; Tsoi, Kayan; van de Steeg, Bas; Brandon, Esther F A; Geers, Lisanne; van Herwaarden, Margreet; Jansman, Frank; Maas, Dominique; Monster-Simons, Margje; Ong, David S Y; Borgsteede, Sander D</v>
      </c>
      <c r="Z1027" s="31">
        <f>IFERROR(__xludf.DUMMYFUNCTION("""COMPUTED_VALUE"""),2024.0)</f>
        <v>2024</v>
      </c>
      <c r="AA1027" s="31">
        <f>IFERROR(__xludf.DUMMYFUNCTION("""COMPUTED_VALUE"""),0.0)</f>
        <v>0</v>
      </c>
      <c r="AF1027" s="31" t="str">
        <f>IFERROR(__xludf.DUMMYFUNCTION("""COMPUTED_VALUE"""),"Neuropsychology of academic and behavioural limitations in school-age survivors of bacterial meningitis.")</f>
        <v>Neuropsychology of academic and behavioural limitations in school-age survivors of bacterial meningitis.</v>
      </c>
      <c r="AG1027" s="31" t="str">
        <f>IFERROR(__xludf.DUMMYFUNCTION("""COMPUTED_VALUE"""),"Koomen, Irene; van Furth, A Marceline; Kraak, Miriam A C; Grobbee, Diederick E; Roord, John J; Jennekens-Schinkel, Aag")</f>
        <v>Koomen, Irene; van Furth, A Marceline; Kraak, Miriam A C; Grobbee, Diederick E; Roord, John J; Jennekens-Schinkel, Aag</v>
      </c>
      <c r="AH1027" s="32">
        <f>IFERROR(__xludf.DUMMYFUNCTION("""COMPUTED_VALUE"""),38292.0)</f>
        <v>38292</v>
      </c>
    </row>
    <row r="1028">
      <c r="A1028" s="32"/>
      <c r="I1028" s="31" t="str">
        <f>IFERROR(__xludf.DUMMYFUNCTION("""COMPUTED_VALUE"""),"resuscitation")</f>
        <v>resuscitation</v>
      </c>
      <c r="J1028" s="38">
        <f>COUNTIF(Data!$F$2:$F9917, $I1028)</f>
        <v>2</v>
      </c>
      <c r="T1028" s="31" t="s">
        <v>3205</v>
      </c>
      <c r="U1028" s="31" t="s">
        <v>3206</v>
      </c>
      <c r="V1028" s="32">
        <v>44980.0</v>
      </c>
      <c r="X1028" s="31" t="str">
        <f>IFERROR(__xludf.DUMMYFUNCTION("""COMPUTED_VALUE"""),"Examining the psychometric properties of the Patient Health Questionnaire-9 and Generalized Anxiety Disorder-7 among young urban South African women.")</f>
        <v>Examining the psychometric properties of the Patient Health Questionnaire-9 and Generalized Anxiety Disorder-7 among young urban South African women.</v>
      </c>
      <c r="Y1028" s="31" t="str">
        <f>IFERROR(__xludf.DUMMYFUNCTION("""COMPUTED_VALUE"""),"Hart, Claire; Draper, Catherine E; Soepnel, Larske M; Godongwana, Motlatso; Mabetha, Khuthala; Nyati, Lukhanyo H; Crouch, Simone H; Norris, Shane A")</f>
        <v>Hart, Claire; Draper, Catherine E; Soepnel, Larske M; Godongwana, Motlatso; Mabetha, Khuthala; Nyati, Lukhanyo H; Crouch, Simone H; Norris, Shane A</v>
      </c>
      <c r="Z1028" s="31">
        <f>IFERROR(__xludf.DUMMYFUNCTION("""COMPUTED_VALUE"""),2024.0)</f>
        <v>2024</v>
      </c>
      <c r="AA1028" s="31">
        <f>IFERROR(__xludf.DUMMYFUNCTION("""COMPUTED_VALUE"""),0.0)</f>
        <v>0</v>
      </c>
      <c r="AF1028" s="31" t="str">
        <f>IFERROR(__xludf.DUMMYFUNCTION("""COMPUTED_VALUE"""),"alpha-Tocopherol levels in plasma in new-onset, insulin-dependent diabetes mellitus.")</f>
        <v>alpha-Tocopherol levels in plasma in new-onset, insulin-dependent diabetes mellitus.</v>
      </c>
      <c r="AG1028" s="31" t="str">
        <f>IFERROR(__xludf.DUMMYFUNCTION("""COMPUTED_VALUE"""),"Muis, Marian J; Stolk, Ronald P; Princen, Hans M G; Van Dam, P S; Dikkeschei, L D; Grobbee, Diederick E; Bilo, Henk J G")</f>
        <v>Muis, Marian J; Stolk, Ronald P; Princen, Hans M G; Van Dam, P S; Dikkeschei, L D; Grobbee, Diederick E; Bilo, Henk J G</v>
      </c>
      <c r="AH1028" s="32">
        <f>IFERROR(__xludf.DUMMYFUNCTION("""COMPUTED_VALUE"""),38261.0)</f>
        <v>38261</v>
      </c>
    </row>
    <row r="1029">
      <c r="A1029" s="32"/>
      <c r="I1029" s="31" t="str">
        <f>IFERROR(__xludf.DUMMYFUNCTION("""COMPUTED_VALUE"""),"american journal of preventive medicine")</f>
        <v>american journal of preventive medicine</v>
      </c>
      <c r="J1029" s="38">
        <f>COUNTIF(Data!$F$2:$F9917, $I1029)</f>
        <v>1</v>
      </c>
      <c r="T1029" s="31" t="s">
        <v>3210</v>
      </c>
      <c r="U1029" s="31" t="s">
        <v>3211</v>
      </c>
      <c r="V1029" s="32">
        <v>44979.0</v>
      </c>
      <c r="X1029" s="31" t="str">
        <f>IFERROR(__xludf.DUMMYFUNCTION("""COMPUTED_VALUE"""),"Identification of a ""Blue Zone"" in the Netherlands: A Genetic, Personal, Sociocultural, and Environmental Profile.")</f>
        <v>Identification of a "Blue Zone" in the Netherlands: A Genetic, Personal, Sociocultural, and Environmental Profile.</v>
      </c>
      <c r="Y1029" s="31" t="str">
        <f>IFERROR(__xludf.DUMMYFUNCTION("""COMPUTED_VALUE"""),"Deeg, Dorly J H; van Tilburg, Theo; Visser, Marjolein; Braam, Arjan; Stringa, Najada; Timmermans, Erik J")</f>
        <v>Deeg, Dorly J H; van Tilburg, Theo; Visser, Marjolein; Braam, Arjan; Stringa, Najada; Timmermans, Erik J</v>
      </c>
      <c r="Z1029" s="31">
        <f>IFERROR(__xludf.DUMMYFUNCTION("""COMPUTED_VALUE"""),2024.0)</f>
        <v>2024</v>
      </c>
      <c r="AA1029" s="31">
        <f>IFERROR(__xludf.DUMMYFUNCTION("""COMPUTED_VALUE"""),0.0)</f>
        <v>0</v>
      </c>
      <c r="AF1029" s="31" t="str">
        <f>IFERROR(__xludf.DUMMYFUNCTION("""COMPUTED_VALUE"""),"The unfeasibility of requests for euthanasia in advance directives.")</f>
        <v>The unfeasibility of requests for euthanasia in advance directives.</v>
      </c>
      <c r="AG1029" s="31" t="str">
        <f>IFERROR(__xludf.DUMMYFUNCTION("""COMPUTED_VALUE"""),"van Delden, J J M")</f>
        <v>van Delden, J J M</v>
      </c>
      <c r="AH1029" s="32">
        <f>IFERROR(__xludf.DUMMYFUNCTION("""COMPUTED_VALUE"""),38261.0)</f>
        <v>38261</v>
      </c>
    </row>
    <row r="1030">
      <c r="A1030" s="32"/>
      <c r="I1030" s="31" t="str">
        <f>IFERROR(__xludf.DUMMYFUNCTION("""COMPUTED_VALUE"""),"american journal of public health")</f>
        <v>american journal of public health</v>
      </c>
      <c r="J1030" s="38">
        <f>COUNTIF(Data!$F$2:$F9917, $I1030)</f>
        <v>1</v>
      </c>
      <c r="T1030" s="31" t="s">
        <v>3214</v>
      </c>
      <c r="U1030" s="31" t="s">
        <v>3215</v>
      </c>
      <c r="V1030" s="32">
        <v>44979.0</v>
      </c>
      <c r="X1030" s="31" t="str">
        <f>IFERROR(__xludf.DUMMYFUNCTION("""COMPUTED_VALUE"""),"The general external exposome and the development or progression of chronic kidney disease: A systematic review and meta-analyses.")</f>
        <v>The general external exposome and the development or progression of chronic kidney disease: A systematic review and meta-analyses.</v>
      </c>
      <c r="Y1030" s="31" t="str">
        <f>IFERROR(__xludf.DUMMYFUNCTION("""COMPUTED_VALUE"""),"Liang, Kate H; Colombijn, Julia M T; Verhaar, Marianne C; Ghannoum, Marc; Timmermans, Erik J; Vernooij, Robin W M")</f>
        <v>Liang, Kate H; Colombijn, Julia M T; Verhaar, Marianne C; Ghannoum, Marc; Timmermans, Erik J; Vernooij, Robin W M</v>
      </c>
      <c r="Z1030" s="31">
        <f>IFERROR(__xludf.DUMMYFUNCTION("""COMPUTED_VALUE"""),2024.0)</f>
        <v>2024</v>
      </c>
      <c r="AA1030" s="31">
        <f>IFERROR(__xludf.DUMMYFUNCTION("""COMPUTED_VALUE"""),0.0)</f>
        <v>0</v>
      </c>
      <c r="AF1030" s="31" t="str">
        <f>IFERROR(__xludf.DUMMYFUNCTION("""COMPUTED_VALUE"""),"A nested case-control study of influenza vaccination was a cost-effective alternative to a full cohort analysis.")</f>
        <v>A nested case-control study of influenza vaccination was a cost-effective alternative to a full cohort analysis.</v>
      </c>
      <c r="AG1030" s="31" t="str">
        <f>IFERROR(__xludf.DUMMYFUNCTION("""COMPUTED_VALUE"""),"Hak, E; Wei, F; Grobbee, D E; Nichol, K L")</f>
        <v>Hak, E; Wei, F; Grobbee, D E; Nichol, K L</v>
      </c>
      <c r="AH1030" s="32">
        <f>IFERROR(__xludf.DUMMYFUNCTION("""COMPUTED_VALUE"""),38231.0)</f>
        <v>38231</v>
      </c>
    </row>
    <row r="1031">
      <c r="A1031" s="32"/>
      <c r="I1031" s="31" t="str">
        <f>IFERROR(__xludf.DUMMYFUNCTION("""COMPUTED_VALUE"""),"ajp reports")</f>
        <v>ajp reports</v>
      </c>
      <c r="J1031" s="38">
        <f>COUNTIF(Data!$F$2:$F9917, $I1031)</f>
        <v>1</v>
      </c>
      <c r="T1031" s="31" t="s">
        <v>3218</v>
      </c>
      <c r="U1031" s="31" t="s">
        <v>3219</v>
      </c>
      <c r="V1031" s="32">
        <v>44977.0</v>
      </c>
      <c r="X1031" s="31" t="str">
        <f>IFERROR(__xludf.DUMMYFUNCTION("""COMPUTED_VALUE"""),"Simplification of a registry-based algorithm for ejection fraction prediction in heart failure patients: Applicability in cardiology centres of the Netherlands.")</f>
        <v>Simplification of a registry-based algorithm for ejection fraction prediction in heart failure patients: Applicability in cardiology centres of the Netherlands.</v>
      </c>
      <c r="Y1031" s="31" t="str">
        <f>IFERROR(__xludf.DUMMYFUNCTION("""COMPUTED_VALUE"""),"Canto, Elisa Dal; Uijl, Alicia; Onland-Moret, N Charlotte; Bots, Sophie H; Hofstra, Leonard; Tulevski, Igor; Asselbergs, Folkert W; van der Harst, Pim; Somsen, G Aernout; den Ruijter, Hester M")</f>
        <v>Canto, Elisa Dal; Uijl, Alicia; Onland-Moret, N Charlotte; Bots, Sophie H; Hofstra, Leonard; Tulevski, Igor; Asselbergs, Folkert W; van der Harst, Pim; Somsen, G Aernout; den Ruijter, Hester M</v>
      </c>
      <c r="Z1031" s="31">
        <f>IFERROR(__xludf.DUMMYFUNCTION("""COMPUTED_VALUE"""),2024.0)</f>
        <v>2024</v>
      </c>
      <c r="AA1031" s="31">
        <f>IFERROR(__xludf.DUMMYFUNCTION("""COMPUTED_VALUE"""),0.0)</f>
        <v>0</v>
      </c>
      <c r="AF1031" s="31" t="str">
        <f>IFERROR(__xludf.DUMMYFUNCTION("""COMPUTED_VALUE"""),"Body mass index and short-term weight change in relation to mortality in Dutch women after age 50 y.")</f>
        <v>Body mass index and short-term weight change in relation to mortality in Dutch women after age 50 y.</v>
      </c>
      <c r="AG1031" s="31" t="str">
        <f>IFERROR(__xludf.DUMMYFUNCTION("""COMPUTED_VALUE"""),"Maru, Shoko; van der Schouw, Yvonne T; Gimbrère, Charles H F; Grobbee, Diederick E; Peeters, Petra H M")</f>
        <v>Maru, Shoko; van der Schouw, Yvonne T; Gimbrère, Charles H F; Grobbee, Diederick E; Peeters, Petra H M</v>
      </c>
      <c r="AH1031" s="32">
        <f>IFERROR(__xludf.DUMMYFUNCTION("""COMPUTED_VALUE"""),38169.0)</f>
        <v>38169</v>
      </c>
    </row>
    <row r="1032">
      <c r="A1032" s="32"/>
      <c r="I1032" s="31" t="str">
        <f>IFERROR(__xludf.DUMMYFUNCTION("""COMPUTED_VALUE"""),"psychology health")</f>
        <v>psychology health</v>
      </c>
      <c r="J1032" s="38">
        <f>COUNTIF(Data!$F$2:$F9917, $I1032)</f>
        <v>1</v>
      </c>
      <c r="T1032" s="31" t="s">
        <v>3222</v>
      </c>
      <c r="U1032" s="31" t="s">
        <v>3223</v>
      </c>
      <c r="V1032" s="32">
        <v>44977.0</v>
      </c>
      <c r="X1032" s="31" t="str">
        <f>IFERROR(__xludf.DUMMYFUNCTION("""COMPUTED_VALUE"""),"Investigating Exposure and Hazards of Micro- and Nanoplastics During Pregnancy and Early Life (AURORA Project): Protocol for an Interdisciplinary Study.")</f>
        <v>Investigating Exposure and Hazards of Micro- and Nanoplastics During Pregnancy and Early Life (AURORA Project): Protocol for an Interdisciplinary Study.</v>
      </c>
      <c r="Y1032" s="31" t="str">
        <f>IFERROR(__xludf.DUMMYFUNCTION("""COMPUTED_VALUE"""),"Durkin, Amanda M; Zou, Runyu; Boucher, Justin M; Boyles, Matthew Sp; van Boxel, Jeske; Bustamante, Mariona; Christopher, Emily A; Dadvand, Payam; Dusza, Hanna M; van Duursen, Majorie; Forsberg, Markus M; Galea, Karen S; Legler, Juliette; Mandemaker, Laure"&amp;"ns Db; Meirer, Florian; Muncke, Jane; Nawrot, Tim S; Přibylová, Petra; Robuck, Anna R; Saenen, Nelly D; Scholz-Böttcher, Barbara M; Shao, Kuanliang; Vrijheid, Martine; Walker, Douglas I; Zimmermann, Lisa; Zoutendijk, Laura M; Lenters, Virissa; Vermeulen, "&amp;"Roel")</f>
        <v>Durkin, Amanda M; Zou, Runyu; Boucher, Justin M; Boyles, Matthew Sp; van Boxel, Jeske; Bustamante, Mariona; Christopher, Emily A; Dadvand, Payam; Dusza, Hanna M; van Duursen, Majorie; Forsberg, Markus M; Galea, Karen S; Legler, Juliette; Mandemaker, Laurens Db; Meirer, Florian; Muncke, Jane; Nawrot, Tim S; Přibylová, Petra; Robuck, Anna R; Saenen, Nelly D; Scholz-Böttcher, Barbara M; Shao, Kuanliang; Vrijheid, Martine; Walker, Douglas I; Zimmermann, Lisa; Zoutendijk, Laura M; Lenters, Virissa; Vermeulen, Roel</v>
      </c>
      <c r="Z1032" s="31">
        <f>IFERROR(__xludf.DUMMYFUNCTION("""COMPUTED_VALUE"""),2024.0)</f>
        <v>2024</v>
      </c>
      <c r="AA1032" s="31">
        <f>IFERROR(__xludf.DUMMYFUNCTION("""COMPUTED_VALUE"""),0.0)</f>
        <v>0</v>
      </c>
      <c r="AF1032" s="31" t="str">
        <f>IFERROR(__xludf.DUMMYFUNCTION("""COMPUTED_VALUE"""),"Meta-analysis on the effect of off-pump coronary bypass surgery.")</f>
        <v>Meta-analysis on the effect of off-pump coronary bypass surgery.</v>
      </c>
      <c r="AG1032" s="31" t="str">
        <f>IFERROR(__xludf.DUMMYFUNCTION("""COMPUTED_VALUE"""),"van der Heijden, Geert J M G; Nathoe, Hendrik M; Jansen, Erik W L; Grobbee, Diederick E")</f>
        <v>van der Heijden, Geert J M G; Nathoe, Hendrik M; Jansen, Erik W L; Grobbee, Diederick E</v>
      </c>
      <c r="AH1032" s="32">
        <f>IFERROR(__xludf.DUMMYFUNCTION("""COMPUTED_VALUE"""),38169.0)</f>
        <v>38169</v>
      </c>
    </row>
    <row r="1033">
      <c r="A1033" s="32"/>
      <c r="I1033" s="31" t="str">
        <f>IFERROR(__xludf.DUMMYFUNCTION("""COMPUTED_VALUE"""),"molecular therapy the journal of the american society of gene therapy")</f>
        <v>molecular therapy the journal of the american society of gene therapy</v>
      </c>
      <c r="J1033" s="38">
        <f>COUNTIF(Data!$F$2:$F9917, $I1033)</f>
        <v>1</v>
      </c>
      <c r="T1033" s="31" t="s">
        <v>3227</v>
      </c>
      <c r="U1033" s="31" t="s">
        <v>3228</v>
      </c>
      <c r="V1033" s="32">
        <v>44977.0</v>
      </c>
      <c r="X1033" s="31" t="str">
        <f>IFERROR(__xludf.DUMMYFUNCTION("""COMPUTED_VALUE"""),"Advancements in Assays for Micro- and Nanoplastic Detection: Paving the Way for Biomonitoring and Exposomics Studies.")</f>
        <v>Advancements in Assays for Micro- and Nanoplastic Detection: Paving the Way for Biomonitoring and Exposomics Studies.</v>
      </c>
      <c r="Y1033" s="31" t="str">
        <f>IFERROR(__xludf.DUMMYFUNCTION("""COMPUTED_VALUE"""),"Shao, Kuanliang; Zou, Runyu; Zhang, Zhuoyue; Mandemaker, Laurens D B; Timbie, Sarah; Smith, Ronald D; Durkin, Amanda M; Dusza, Hanna M; Meirer, Florian; Weckhuysen, Bert M; Alderete, Tanya L; Vermuelen, Roel; Walker, Douglas I")</f>
        <v>Shao, Kuanliang; Zou, Runyu; Zhang, Zhuoyue; Mandemaker, Laurens D B; Timbie, Sarah; Smith, Ronald D; Durkin, Amanda M; Dusza, Hanna M; Meirer, Florian; Weckhuysen, Bert M; Alderete, Tanya L; Vermuelen, Roel; Walker, Douglas I</v>
      </c>
      <c r="Z1033" s="31">
        <f>IFERROR(__xludf.DUMMYFUNCTION("""COMPUTED_VALUE"""),2024.0)</f>
        <v>2024</v>
      </c>
      <c r="AA1033" s="31">
        <f>IFERROR(__xludf.DUMMYFUNCTION("""COMPUTED_VALUE"""),0.0)</f>
        <v>0</v>
      </c>
      <c r="AF1033" s="31" t="str">
        <f>IFERROR(__xludf.DUMMYFUNCTION("""COMPUTED_VALUE"""),"GSTM1 null genotype, red meat consumption and breast cancer risk (The Netherlands).")</f>
        <v>GSTM1 null genotype, red meat consumption and breast cancer risk (The Netherlands).</v>
      </c>
      <c r="AG1033" s="31" t="str">
        <f>IFERROR(__xludf.DUMMYFUNCTION("""COMPUTED_VALUE"""),"van der Hel, Olga L; Peeters, Petra H M; Hein, David W; Doll, Mark A; Grobbee, Diederick E; Ocké, Marga; Bueno de Mesquita, H Bas")</f>
        <v>van der Hel, Olga L; Peeters, Petra H M; Hein, David W; Doll, Mark A; Grobbee, Diederick E; Ocké, Marga; Bueno de Mesquita, H Bas</v>
      </c>
      <c r="AH1033" s="32">
        <f>IFERROR(__xludf.DUMMYFUNCTION("""COMPUTED_VALUE"""),38078.0)</f>
        <v>38078</v>
      </c>
    </row>
    <row r="1034">
      <c r="A1034" s="32"/>
      <c r="I1034" s="31" t="str">
        <f>IFERROR(__xludf.DUMMYFUNCTION("""COMPUTED_VALUE"""),"general hospital psychiatry")</f>
        <v>general hospital psychiatry</v>
      </c>
      <c r="J1034" s="38">
        <f>COUNTIF(Data!$F$2:$F9917, $I1034)</f>
        <v>1</v>
      </c>
      <c r="T1034" s="31" t="s">
        <v>3231</v>
      </c>
      <c r="U1034" s="31" t="s">
        <v>3232</v>
      </c>
      <c r="V1034" s="32">
        <v>44975.0</v>
      </c>
      <c r="X1034" s="31" t="str">
        <f>IFERROR(__xludf.DUMMYFUNCTION("""COMPUTED_VALUE"""),"Family is all that matters: Prospective associations between structure, function, and quality of social relations and self-rated health in the National Social Life, Health, and Aging Project (NSHAP).")</f>
        <v>Family is all that matters: Prospective associations between structure, function, and quality of social relations and self-rated health in the National Social Life, Health, and Aging Project (NSHAP).</v>
      </c>
      <c r="Y1034" s="31" t="str">
        <f>IFERROR(__xludf.DUMMYFUNCTION("""COMPUTED_VALUE"""),"Abreu, T C; Mackenbach, J D; Beulens, J W J; Vaartjes, I; Kawachi, I")</f>
        <v>Abreu, T C; Mackenbach, J D; Beulens, J W J; Vaartjes, I; Kawachi, I</v>
      </c>
      <c r="Z1034" s="31">
        <f>IFERROR(__xludf.DUMMYFUNCTION("""COMPUTED_VALUE"""),2024.0)</f>
        <v>2024</v>
      </c>
      <c r="AA1034" s="31">
        <f>IFERROR(__xludf.DUMMYFUNCTION("""COMPUTED_VALUE"""),0.0)</f>
        <v>0</v>
      </c>
      <c r="AF1034" s="31" t="str">
        <f>IFERROR(__xludf.DUMMYFUNCTION("""COMPUTED_VALUE"""),"Dietary phytoestrogens and breast cancer risk.")</f>
        <v>Dietary phytoestrogens and breast cancer risk.</v>
      </c>
      <c r="AG1034" s="31" t="str">
        <f>IFERROR(__xludf.DUMMYFUNCTION("""COMPUTED_VALUE"""),"Keinan-Boker, Lital; van Der Schouw, Yvonne T; Grobbee, Diederick E; Peeters, Petra H M")</f>
        <v>Keinan-Boker, Lital; van Der Schouw, Yvonne T; Grobbee, Diederick E; Peeters, Petra H M</v>
      </c>
      <c r="AH1034" s="32">
        <f>IFERROR(__xludf.DUMMYFUNCTION("""COMPUTED_VALUE"""),38018.0)</f>
        <v>38018</v>
      </c>
    </row>
    <row r="1035">
      <c r="A1035" s="32"/>
      <c r="I1035" s="31" t="str">
        <f>IFERROR(__xludf.DUMMYFUNCTION("""COMPUTED_VALUE"""),"clinical neuroradiology")</f>
        <v>clinical neuroradiology</v>
      </c>
      <c r="J1035" s="38">
        <f>COUNTIF(Data!$F$2:$F9917, $I1035)</f>
        <v>1</v>
      </c>
      <c r="T1035" s="31" t="s">
        <v>3236</v>
      </c>
      <c r="U1035" s="31" t="s">
        <v>3237</v>
      </c>
      <c r="V1035" s="32">
        <v>44974.0</v>
      </c>
      <c r="X1035" s="31" t="str">
        <f>IFERROR(__xludf.DUMMYFUNCTION("""COMPUTED_VALUE"""),"The effect of altered sleep timing on glycaemic outcomes: Systematic review of human intervention studies.")</f>
        <v>The effect of altered sleep timing on glycaemic outcomes: Systematic review of human intervention studies.</v>
      </c>
      <c r="Y1035" s="31" t="str">
        <f>IFERROR(__xludf.DUMMYFUNCTION("""COMPUTED_VALUE"""),"Slebe, Romy; Splinter, Jane J; Schoonmade, Linda J; Blondin, Denis P; Campbell, David J T; Carpentier, André C; Després, Jean-Pierre; Hoeks, Joris; Kalsbeek, Andries; Raina, Parminder; Schrauwen, Patrick; Serlie, Mireille J; Stenvers, Dirk Jan; Yi, Chun-X"&amp;"ia; de Mutsert, Renée; Beulens, Joline W J; Rutters, Femke")</f>
        <v>Slebe, Romy; Splinter, Jane J; Schoonmade, Linda J; Blondin, Denis P; Campbell, David J T; Carpentier, André C; Després, Jean-Pierre; Hoeks, Joris; Kalsbeek, Andries; Raina, Parminder; Schrauwen, Patrick; Serlie, Mireille J; Stenvers, Dirk Jan; Yi, Chun-Xia; de Mutsert, Renée; Beulens, Joline W J; Rutters, Femke</v>
      </c>
      <c r="Z1035" s="31">
        <f>IFERROR(__xludf.DUMMYFUNCTION("""COMPUTED_VALUE"""),2024.0)</f>
        <v>2024</v>
      </c>
      <c r="AA1035" s="31">
        <f>IFERROR(__xludf.DUMMYFUNCTION("""COMPUTED_VALUE"""),0.0)</f>
        <v>0</v>
      </c>
      <c r="AF1035" s="31" t="str">
        <f>IFERROR(__xludf.DUMMYFUNCTION("""COMPUTED_VALUE"""),"Dietary intake of fatty acids and fish in relation to cognitive performance at middle age.")</f>
        <v>Dietary intake of fatty acids and fish in relation to cognitive performance at middle age.</v>
      </c>
      <c r="AG1035" s="31" t="str">
        <f>IFERROR(__xludf.DUMMYFUNCTION("""COMPUTED_VALUE"""),"Kalmijn, S; van Boxtel, M P J; Ocké, M; Verschuren, W M M; Kromhout, D; Launer, L J")</f>
        <v>Kalmijn, S; van Boxtel, M P J; Ocké, M; Verschuren, W M M; Kromhout, D; Launer, L J</v>
      </c>
      <c r="AH1035" s="32">
        <f>IFERROR(__xludf.DUMMYFUNCTION("""COMPUTED_VALUE"""),38013.0)</f>
        <v>38013</v>
      </c>
    </row>
    <row r="1036">
      <c r="A1036" s="32"/>
      <c r="I1036" s="31" t="str">
        <f>IFERROR(__xludf.DUMMYFUNCTION("""COMPUTED_VALUE"""),"surgery")</f>
        <v>surgery</v>
      </c>
      <c r="J1036" s="38">
        <f>COUNTIF(Data!$F$2:$F9917, $I1036)</f>
        <v>1</v>
      </c>
      <c r="T1036" s="31" t="s">
        <v>3240</v>
      </c>
      <c r="U1036" s="31" t="s">
        <v>3241</v>
      </c>
      <c r="V1036" s="32">
        <v>44973.0</v>
      </c>
      <c r="X1036" s="31" t="str">
        <f>IFERROR(__xludf.DUMMYFUNCTION("""COMPUTED_VALUE"""),"Are food and beverage purchases reflective of dietary intake? Validity of supermarket purchases as indicator of diet quality in the Supreme Nudge Trial.")</f>
        <v>Are food and beverage purchases reflective of dietary intake? Validity of supermarket purchases as indicator of diet quality in the Supreme Nudge Trial.</v>
      </c>
      <c r="Y1036" s="31" t="str">
        <f>IFERROR(__xludf.DUMMYFUNCTION("""COMPUTED_VALUE"""),"Colizzi, Chiara; Stuber, Josine M; van der Schouw, Yvonne T; Beulens, Joline W J")</f>
        <v>Colizzi, Chiara; Stuber, Josine M; van der Schouw, Yvonne T; Beulens, Joline W J</v>
      </c>
      <c r="Z1036" s="31">
        <f>IFERROR(__xludf.DUMMYFUNCTION("""COMPUTED_VALUE"""),2024.0)</f>
        <v>2024</v>
      </c>
      <c r="AA1036" s="31">
        <f>IFERROR(__xludf.DUMMYFUNCTION("""COMPUTED_VALUE"""),0.0)</f>
        <v>0</v>
      </c>
      <c r="AF1036" s="31" t="str">
        <f>IFERROR(__xludf.DUMMYFUNCTION("""COMPUTED_VALUE"""),"Epidemiology in the right direction: the importance of descriptive research.")</f>
        <v>Epidemiology in the right direction: the importance of descriptive research.</v>
      </c>
      <c r="AG1036" s="31" t="str">
        <f>IFERROR(__xludf.DUMMYFUNCTION("""COMPUTED_VALUE"""),"Grobbee, Diederick E")</f>
        <v>Grobbee, Diederick E</v>
      </c>
      <c r="AH1036" s="32">
        <f>IFERROR(__xludf.DUMMYFUNCTION("""COMPUTED_VALUE"""),37987.0)</f>
        <v>37987</v>
      </c>
    </row>
    <row r="1037">
      <c r="A1037" s="32"/>
      <c r="I1037" s="31" t="str">
        <f>IFERROR(__xludf.DUMMYFUNCTION("""COMPUTED_VALUE"""),"journal of virology")</f>
        <v>journal of virology</v>
      </c>
      <c r="J1037" s="38">
        <f>COUNTIF(Data!$F$2:$F9917, $I1037)</f>
        <v>1</v>
      </c>
      <c r="T1037" s="31" t="s">
        <v>3245</v>
      </c>
      <c r="U1037" s="31" t="s">
        <v>3246</v>
      </c>
      <c r="V1037" s="32">
        <v>44973.0</v>
      </c>
      <c r="X1037" s="31" t="str">
        <f>IFERROR(__xludf.DUMMYFUNCTION("""COMPUTED_VALUE"""),"Exposome-Wide Association Study of Body Mass Index Using a Novel Meta-Analytical Approach for Random Forest Models.")</f>
        <v>Exposome-Wide Association Study of Body Mass Index Using a Novel Meta-Analytical Approach for Random Forest Models.</v>
      </c>
      <c r="Y1037" s="31" t="str">
        <f>IFERROR(__xludf.DUMMYFUNCTION("""COMPUTED_VALUE"""),"Ohanyan, Haykanush; van de Wiel, Mark; Portengen, Lützen; Wagtendonk, Alfred; den Braver, Nicolette R; de Jong, Trynke R; Verschuren, Monique; van den Hurk, Katja; Stronks, Karien; Moll van Charante, Eric; van Schoor, Natasja M; Stehouwer, Coen D A; Wesse"&amp;"lius, Anke; Koster, Annemarie; Ten Have, Margreet; Penninx, Brenda W J H; van Wier, Marieke F; Motoc, Irina; Oldehinkel, Albertine J; Willemsen, Gonneke; Boomsma, Dorret I; Beenackers, Mariëlle A; Huss, Anke; van Boxtel, Martin; Hoek, Gerard; Beulens, Jol"&amp;"ine W J; Vermeulen, Roel; Lakerveld, Jeroen")</f>
        <v>Ohanyan, Haykanush; van de Wiel, Mark; Portengen, Lützen; Wagtendonk, Alfred; den Braver, Nicolette R; de Jong, Trynke R; Verschuren, Monique; van den Hurk, Katja; Stronks, Karien; Moll van Charante, Eric; van Schoor, Natasja M; Stehouwer, Coen D A; Wesselius, Anke; Koster, Annemarie; Ten Have, Margreet; Penninx, Brenda W J H; van Wier, Marieke F; Motoc, Irina; Oldehinkel, Albertine J; Willemsen, Gonneke; Boomsma, Dorret I; Beenackers, Mariëlle A; Huss, Anke; van Boxtel, Martin; Hoek, Gerard; Beulens, Joline W J; Vermeulen, Roel; Lakerveld, Jeroen</v>
      </c>
      <c r="Z1037" s="31">
        <f>IFERROR(__xludf.DUMMYFUNCTION("""COMPUTED_VALUE"""),2024.0)</f>
        <v>2024</v>
      </c>
      <c r="AA1037" s="31">
        <f>IFERROR(__xludf.DUMMYFUNCTION("""COMPUTED_VALUE"""),0.0)</f>
        <v>0</v>
      </c>
      <c r="AF1037" s="31" t="str">
        <f>IFERROR(__xludf.DUMMYFUNCTION("""COMPUTED_VALUE"""),"Endogenous sex hormones in men aged 40-80 years.")</f>
        <v>Endogenous sex hormones in men aged 40-80 years.</v>
      </c>
      <c r="AG1037" s="31" t="str">
        <f>IFERROR(__xludf.DUMMYFUNCTION("""COMPUTED_VALUE"""),"Muller, Majon; den Tonkelaar, Isolde; Thijssen, Jos H H; Grobbee, Diederick E; van der Schouw, Yvonne T")</f>
        <v>Muller, Majon; den Tonkelaar, Isolde; Thijssen, Jos H H; Grobbee, Diederick E; van der Schouw, Yvonne T</v>
      </c>
      <c r="AH1037" s="32">
        <f>IFERROR(__xludf.DUMMYFUNCTION("""COMPUTED_VALUE"""),37956.0)</f>
        <v>37956</v>
      </c>
    </row>
    <row r="1038">
      <c r="A1038" s="32"/>
      <c r="I1038" s="31" t="str">
        <f>IFERROR(__xludf.DUMMYFUNCTION("""COMPUTED_VALUE"""),"health systems and reform")</f>
        <v>health systems and reform</v>
      </c>
      <c r="J1038" s="38">
        <f>COUNTIF(Data!$F$2:$F9917, $I1038)</f>
        <v>1</v>
      </c>
      <c r="T1038" s="31" t="s">
        <v>3249</v>
      </c>
      <c r="U1038" s="31" t="s">
        <v>2585</v>
      </c>
      <c r="V1038" s="32">
        <v>44973.0</v>
      </c>
      <c r="X1038" s="31" t="str">
        <f>IFERROR(__xludf.DUMMYFUNCTION("""COMPUTED_VALUE"""),"Evaluation of risk prediction models to select lung cancer screening participants in Europe: a prospective cohort consortium analysis.")</f>
        <v>Evaluation of risk prediction models to select lung cancer screening participants in Europe: a prospective cohort consortium analysis.</v>
      </c>
      <c r="Y1038" s="31" t="str">
        <f>IFERROR(__xludf.DUMMYFUNCTION("""COMPUTED_VALUE"""),"Feng, Xiaoshuang; Goodley, Patrick; Alcala, Karine; Guida, Florence; Kaaks, Rudolf; Vermeulen, Roel; Downward, George S; Bonet, Catalina; Colorado-Yohar, Sandra M; Albanes, Demetrius; Weinstein, Stephanie J; Goldberg, Marcel; Zins, Marie; Relton, Caroline"&amp;"; Langhammer, Arnulf; Skogholt, Anne Heidi; Johansson, Mattias; Robbins, Hilary A")</f>
        <v>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v>
      </c>
      <c r="Z1038" s="31">
        <f>IFERROR(__xludf.DUMMYFUNCTION("""COMPUTED_VALUE"""),2024.0)</f>
        <v>2024</v>
      </c>
      <c r="AA1038" s="31">
        <f>IFERROR(__xludf.DUMMYFUNCTION("""COMPUTED_VALUE"""),0.0)</f>
        <v>0</v>
      </c>
      <c r="AF1038" s="31" t="str">
        <f>IFERROR(__xludf.DUMMYFUNCTION("""COMPUTED_VALUE"""),"Endogenous sex hormones and cardiovascular disease in men.")</f>
        <v>Endogenous sex hormones and cardiovascular disease in men.</v>
      </c>
      <c r="AG1038" s="31" t="str">
        <f>IFERROR(__xludf.DUMMYFUNCTION("""COMPUTED_VALUE"""),"Muller, Majon; van der Schouw, Yvonne T; Thijssen, Jos H H; Grobbee, Diederick E")</f>
        <v>Muller, Majon; van der Schouw, Yvonne T; Thijssen, Jos H H; Grobbee, Diederick E</v>
      </c>
      <c r="AH1038" s="32">
        <f>IFERROR(__xludf.DUMMYFUNCTION("""COMPUTED_VALUE"""),37926.0)</f>
        <v>37926</v>
      </c>
    </row>
    <row r="1039">
      <c r="A1039" s="32"/>
      <c r="I1039" s="31" t="str">
        <f>IFERROR(__xludf.DUMMYFUNCTION("""COMPUTED_VALUE"""),"international journal of health policy and management")</f>
        <v>international journal of health policy and management</v>
      </c>
      <c r="J1039" s="38">
        <f>COUNTIF(Data!$F$2:$F9917, $I1039)</f>
        <v>1</v>
      </c>
      <c r="T1039" s="31" t="s">
        <v>3252</v>
      </c>
      <c r="U1039" s="31" t="s">
        <v>3253</v>
      </c>
      <c r="V1039" s="32">
        <v>44973.0</v>
      </c>
      <c r="X1039" s="31" t="str">
        <f>IFERROR(__xludf.DUMMYFUNCTION("""COMPUTED_VALUE"""),"Hemoglobin and Its Relationship with Fatigue in Long-COVID Patients Three to Six Months after SARS-CoV-2 Infection.")</f>
        <v>Hemoglobin and Its Relationship with Fatigue in Long-COVID Patients Three to Six Months after SARS-CoV-2 Infection.</v>
      </c>
      <c r="Y1039" s="31" t="str">
        <f>IFERROR(__xludf.DUMMYFUNCTION("""COMPUTED_VALUE"""),"Bazdar, Somayeh; Bloemsma, Lizan D; Baalbaki, Nadia; Blankestijn, Jelle M; Cornelissen, Merel E B; Beijers, Rosanne J H C G; Sondermeijer, Brigitte M; van Wijck, Yolanda; Downward, George S; Maitland-van der Zee, Anke H; ,")</f>
        <v>Bazdar, Somayeh; Bloemsma, Lizan D; Baalbaki, Nadia; Blankestijn, Jelle M; Cornelissen, Merel E B; Beijers, Rosanne J H C G; Sondermeijer, Brigitte M; van Wijck, Yolanda; Downward, George S; Maitland-van der Zee, Anke H; ,</v>
      </c>
      <c r="Z1039" s="31">
        <f>IFERROR(__xludf.DUMMYFUNCTION("""COMPUTED_VALUE"""),2024.0)</f>
        <v>2024</v>
      </c>
      <c r="AA1039" s="31">
        <f>IFERROR(__xludf.DUMMYFUNCTION("""COMPUTED_VALUE"""),0.0)</f>
        <v>0</v>
      </c>
      <c r="AF1039" s="31" t="str">
        <f>IFERROR(__xludf.DUMMYFUNCTION("""COMPUTED_VALUE"""),"How to ADVANCE prevention of cardiovascular complications in type 2 diabetes.")</f>
        <v>How to ADVANCE prevention of cardiovascular complications in type 2 diabetes.</v>
      </c>
      <c r="AG1039" s="31" t="str">
        <f>IFERROR(__xludf.DUMMYFUNCTION("""COMPUTED_VALUE"""),"Grobbee, Diederick E")</f>
        <v>Grobbee, Diederick E</v>
      </c>
      <c r="AH1039" s="32">
        <f>IFERROR(__xludf.DUMMYFUNCTION("""COMPUTED_VALUE"""),37834.0)</f>
        <v>37834</v>
      </c>
    </row>
    <row r="1040">
      <c r="A1040" s="32"/>
      <c r="I1040" s="31" t="str">
        <f>IFERROR(__xludf.DUMMYFUNCTION("""COMPUTED_VALUE"""),"addiction abingdon england")</f>
        <v>addiction abingdon england</v>
      </c>
      <c r="J1040" s="38">
        <f>COUNTIF(Data!$F$2:$F9917, $I1040)</f>
        <v>2</v>
      </c>
      <c r="T1040" s="31" t="s">
        <v>3257</v>
      </c>
      <c r="U1040" s="31" t="s">
        <v>3258</v>
      </c>
      <c r="V1040" s="32">
        <v>44973.0</v>
      </c>
      <c r="X1040" s="31" t="str">
        <f>IFERROR(__xludf.DUMMYFUNCTION("""COMPUTED_VALUE"""),"Long-term exposure to particulate matter and all-cause and cause-specific mortality in an analysis of multiple Asian cohorts.")</f>
        <v>Long-term exposure to particulate matter and all-cause and cause-specific mortality in an analysis of multiple Asian cohorts.</v>
      </c>
      <c r="Y1040" s="31" t="str">
        <f>IFERROR(__xludf.DUMMYFUNCTION("""COMPUTED_VALUE"""),"Downward, G S; Hystad, P; Tasmin, S; Abe, S K; Saito, E; Rahman, M S; Islam, M R; Gupta, P C; Sawada, N; Malekzadeh, R; You, S L; Ahsan, H; Park, S K; Pednekar, M S; Tsugane, S; Etemadi, A; Chen, C J; Shin, A; Chen, Y; Boffetta, P; Chia, K S; Matsuo, K; Q"&amp;"iao, Y L; Rothman, N; Zheng, W; Inoue, M; Kang, D; Lan, Q; Vermeulen, R C H")</f>
        <v>Downward, G S; Hystad, P; Tasmin, S; Abe, S K; Saito, E; Rahman, M S; Islam, M R; Gupta, P C; Sawada, N; Malekzadeh, R; You, S L; Ahsan, H; Park, S K; Pednekar, M S; Tsugane, S; Etemadi, A; Chen, C J; Shin, A; Chen, Y; Boffetta, P; Chia, K S; Matsuo, K; Qiao, Y L; Rothman, N; Zheng, W; Inoue, M; Kang, D; Lan, Q; Vermeulen, R C H</v>
      </c>
      <c r="Z1040" s="31">
        <f>IFERROR(__xludf.DUMMYFUNCTION("""COMPUTED_VALUE"""),2024.0)</f>
        <v>2024</v>
      </c>
      <c r="AA1040" s="31">
        <f>IFERROR(__xludf.DUMMYFUNCTION("""COMPUTED_VALUE"""),0.0)</f>
        <v>0</v>
      </c>
      <c r="AF1040" s="31" t="str">
        <f>IFERROR(__xludf.DUMMYFUNCTION("""COMPUTED_VALUE"""),"Sex hormones and male health: effects on components of the frailty syndrome.")</f>
        <v>Sex hormones and male health: effects on components of the frailty syndrome.</v>
      </c>
      <c r="AG1040" s="31" t="str">
        <f>IFERROR(__xludf.DUMMYFUNCTION("""COMPUTED_VALUE"""),"Muller, Majon; Grobbee, Diederick E; Thijssen, Jos H H; van den Beld, Annewieke W; van der Schouw, Yvonne T")</f>
        <v>Muller, Majon; Grobbee, Diederick E; Thijssen, Jos H H; van den Beld, Annewieke W; van der Schouw, Yvonne T</v>
      </c>
      <c r="AH1040" s="32">
        <f>IFERROR(__xludf.DUMMYFUNCTION("""COMPUTED_VALUE"""),37834.0)</f>
        <v>37834</v>
      </c>
    </row>
    <row r="1041">
      <c r="A1041" s="32"/>
      <c r="I1041" s="31" t="str">
        <f>IFERROR(__xludf.DUMMYFUNCTION("""COMPUTED_VALUE"""),"the journal of cardiovascular surgery")</f>
        <v>the journal of cardiovascular surgery</v>
      </c>
      <c r="J1041" s="38">
        <f>COUNTIF(Data!$F$2:$F9917, $I1041)</f>
        <v>1</v>
      </c>
      <c r="T1041" s="31" t="s">
        <v>3261</v>
      </c>
      <c r="U1041" s="31" t="s">
        <v>3262</v>
      </c>
      <c r="V1041" s="32">
        <v>44973.0</v>
      </c>
      <c r="X1041" s="31" t="str">
        <f>IFERROR(__xludf.DUMMYFUNCTION("""COMPUTED_VALUE"""),"Applying two approaches to detect unmeasured confounding due to time-varying variables in a self-controlled risk interval design evaluating COVID-19 vaccine safety signals, using myocarditis as a case example.")</f>
        <v>Applying two approaches to detect unmeasured confounding due to time-varying variables in a self-controlled risk interval design evaluating COVID-19 vaccine safety signals, using myocarditis as a case example.</v>
      </c>
      <c r="Y1041" s="31" t="str">
        <f>IFERROR(__xludf.DUMMYFUNCTION("""COMPUTED_VALUE"""),"Bots, Sophie H; Belitser, Svetlana; Groenwold, Rolf H H; Durán, Carlos E; Riera-Arnau, Judit; Schultze, Anna; Messina, Davide; Segundo, Elena; Douglas, Ian; Carreras, Juan José; Garcia-Poza, Patricia; Gini, Rosa; Huerta, Consuelo; Martín-Pérez, Mar; Marti"&amp;"n, Ivonne; Paoletti, Olga; Bissacco, Carlo Alberto; Correcher-Martínez, Elisa; Souverein, Patrick; Urchuequía, Arantxa; Villalobos, Felipe; Sturkenboom, Miriam C J M; Klungel, Olaf H")</f>
        <v>Bots, Sophie H; Belitser, Svetlana; Groenwold, Rolf H H; Durán, Carlos E; Riera-Arnau, Judit; Schultze, Anna; Messina, Davide; Segundo, Elena; Douglas, Ian; Carreras, Juan José; Garcia-Poza, Patricia; Gini, Rosa; Huerta, Consuelo; Martín-Pérez, Mar; Martin, Ivonne; Paoletti, Olga; Bissacco, Carlo Alberto; Correcher-Martínez, Elisa; Souverein, Patrick; Urchuequía, Arantxa; Villalobos, Felipe; Sturkenboom, Miriam C J M; Klungel, Olaf H</v>
      </c>
      <c r="Z1041" s="31">
        <f>IFERROR(__xludf.DUMMYFUNCTION("""COMPUTED_VALUE"""),2024.0)</f>
        <v>2024</v>
      </c>
      <c r="AA1041" s="31">
        <f>IFERROR(__xludf.DUMMYFUNCTION("""COMPUTED_VALUE"""),0.0)</f>
        <v>0</v>
      </c>
      <c r="AF1041" s="31" t="str">
        <f>IFERROR(__xludf.DUMMYFUNCTION("""COMPUTED_VALUE"""),"NAT2 slow acetylation and GSTM1 null genotypes may increase postmenopausal breast cancer risk in long-term smoking women.")</f>
        <v>NAT2 slow acetylation and GSTM1 null genotypes may increase postmenopausal breast cancer risk in long-term smoking women.</v>
      </c>
      <c r="AG1041" s="31" t="str">
        <f>IFERROR(__xludf.DUMMYFUNCTION("""COMPUTED_VALUE"""),"van der Hel, Olga L; Peeters, Petra H M; Hein, David W; Doll, Mark A; Grobbee, Diederick E; Kromhout, Daan; Bueno de Mesquita, H Bas")</f>
        <v>van der Hel, Olga L; Peeters, Petra H M; Hein, David W; Doll, Mark A; Grobbee, Diederick E; Kromhout, Daan; Bueno de Mesquita, H Bas</v>
      </c>
      <c r="AH1041" s="32">
        <f>IFERROR(__xludf.DUMMYFUNCTION("""COMPUTED_VALUE"""),37803.0)</f>
        <v>37803</v>
      </c>
    </row>
    <row r="1042">
      <c r="A1042" s="32"/>
      <c r="I1042" s="31" t="str">
        <f>IFERROR(__xludf.DUMMYFUNCTION("""COMPUTED_VALUE"""),"nature plants")</f>
        <v>nature plants</v>
      </c>
      <c r="J1042" s="38">
        <f>COUNTIF(Data!$F$2:$F9917, $I1042)</f>
        <v>1</v>
      </c>
      <c r="T1042" s="31" t="s">
        <v>3266</v>
      </c>
      <c r="U1042" s="31" t="s">
        <v>3267</v>
      </c>
      <c r="V1042" s="32">
        <v>44973.0</v>
      </c>
      <c r="X1042" s="31" t="str">
        <f>IFERROR(__xludf.DUMMYFUNCTION("""COMPUTED_VALUE"""),"I am proud of how I handled it'. Exploring the impact of the COVID-19 pandemic and related restrictions on well-being of adults with severe mental illness using qualitative methods.")</f>
        <v>I am proud of how I handled it'. Exploring the impact of the COVID-19 pandemic and related restrictions on well-being of adults with severe mental illness using qualitative methods.</v>
      </c>
      <c r="Y1042" s="31" t="str">
        <f>IFERROR(__xludf.DUMMYFUNCTION("""COMPUTED_VALUE"""),"van Rijn, L; Metz, M J; van der Velden, P R; Mathijsen, P; Swildens, W E; Schellekens, A F A; Cahn, W; Milota, M M; Zinkstok, J R")</f>
        <v>van Rijn, L; Metz, M J; van der Velden, P R; Mathijsen, P; Swildens, W E; Schellekens, A F A; Cahn, W; Milota, M M; Zinkstok, J R</v>
      </c>
      <c r="Z1042" s="31">
        <f>IFERROR(__xludf.DUMMYFUNCTION("""COMPUTED_VALUE"""),2024.0)</f>
        <v>2024</v>
      </c>
      <c r="AA1042" s="31">
        <f>IFERROR(__xludf.DUMMYFUNCTION("""COMPUTED_VALUE"""),0.0)</f>
        <v>0</v>
      </c>
      <c r="AF1042" s="31" t="str">
        <f>IFERROR(__xludf.DUMMYFUNCTION("""COMPUTED_VALUE"""),"Rapid N-acetyltransferase 2 imputed phenotype and smoking may increase risk of colorectal cancer in women (Netherlands).")</f>
        <v>Rapid N-acetyltransferase 2 imputed phenotype and smoking may increase risk of colorectal cancer in women (Netherlands).</v>
      </c>
      <c r="AG1042" s="31" t="str">
        <f>IFERROR(__xludf.DUMMYFUNCTION("""COMPUTED_VALUE"""),"van der Hel, Olga L; Bueno de Mesquita, H Bas; Sandkuijl, Lodewijk; van Noord, Paul A H; Pearson, Peter L; Grobbee, Diederick E; Peeters, Petra H M")</f>
        <v>van der Hel, Olga L; Bueno de Mesquita, H Bas; Sandkuijl, Lodewijk; van Noord, Paul A H; Pearson, Peter L; Grobbee, Diederick E; Peeters, Petra H M</v>
      </c>
      <c r="AH1042" s="32">
        <f>IFERROR(__xludf.DUMMYFUNCTION("""COMPUTED_VALUE"""),37712.0)</f>
        <v>37712</v>
      </c>
    </row>
    <row r="1043">
      <c r="A1043" s="32"/>
      <c r="I1043" s="31" t="str">
        <f>IFERROR(__xludf.DUMMYFUNCTION("""COMPUTED_VALUE"""),"health promotion practice")</f>
        <v>health promotion practice</v>
      </c>
      <c r="J1043" s="38">
        <f>COUNTIF(Data!$F$2:$F9917, $I1043)</f>
        <v>1</v>
      </c>
      <c r="T1043" s="31" t="s">
        <v>3270</v>
      </c>
      <c r="U1043" s="31" t="s">
        <v>3271</v>
      </c>
      <c r="V1043" s="32">
        <v>44972.0</v>
      </c>
      <c r="X1043" s="31" t="str">
        <f>IFERROR(__xludf.DUMMYFUNCTION("""COMPUTED_VALUE"""),"Global inequities in adverse pregnancy outcomes: what can we do?")</f>
        <v>Global inequities in adverse pregnancy outcomes: what can we do?</v>
      </c>
      <c r="Y1043" s="31" t="str">
        <f>IFERROR(__xludf.DUMMYFUNCTION("""COMPUTED_VALUE"""),"Roberts, James M; Abimbola, Seye; Bale, Tracy L; Barros, Aluisio; Bhutta, Zulfiqar A; Browne, Joyce L; Celi, Ann C; Dube, Polite; Graves, Cornelia R; Hollestelle, Marieke J; Hopkins, Scarlett; Khashan, Ali; Koi-Larbi, Koiwah; Lackritz, Eve; Myatt, Leslie;"&amp;" Redman, Christopher W G; Tunçalp, Özge; Vermund, Sten H; Gravett, Michael G")</f>
        <v>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v>
      </c>
      <c r="Z1043" s="31">
        <f>IFERROR(__xludf.DUMMYFUNCTION("""COMPUTED_VALUE"""),2024.0)</f>
        <v>2024</v>
      </c>
      <c r="AA1043" s="31">
        <f>IFERROR(__xludf.DUMMYFUNCTION("""COMPUTED_VALUE"""),0.0)</f>
        <v>0</v>
      </c>
      <c r="AF1043" s="31" t="str">
        <f>IFERROR(__xludf.DUMMYFUNCTION("""COMPUTED_VALUE"""),"Total and cause specific mortality among Swedish women with cosmetic breast implants: prospective study.")</f>
        <v>Total and cause specific mortality among Swedish women with cosmetic breast implants: prospective study.</v>
      </c>
      <c r="AG1043" s="31" t="str">
        <f>IFERROR(__xludf.DUMMYFUNCTION("""COMPUTED_VALUE"""),"Koot, V C M; Peeters, P H M; Granath, F; Grobbee, D E; Nyren, O")</f>
        <v>Koot, V C M; Peeters, P H M; Granath, F; Grobbee, D E; Nyren, O</v>
      </c>
      <c r="AH1043" s="32">
        <f>IFERROR(__xludf.DUMMYFUNCTION("""COMPUTED_VALUE"""),37688.0)</f>
        <v>37688</v>
      </c>
    </row>
    <row r="1044">
      <c r="A1044" s="32"/>
      <c r="I1044" s="31" t="str">
        <f>IFERROR(__xludf.DUMMYFUNCTION("""COMPUTED_VALUE"""),"european journal of anaesthesiology")</f>
        <v>european journal of anaesthesiology</v>
      </c>
      <c r="J1044" s="38">
        <f>COUNTIF(Data!$F$2:$F9917, $I1044)</f>
        <v>1</v>
      </c>
      <c r="T1044" s="31" t="s">
        <v>3274</v>
      </c>
      <c r="U1044" s="31" t="s">
        <v>3275</v>
      </c>
      <c r="V1044" s="32">
        <v>44972.0</v>
      </c>
      <c r="X1044" s="31" t="str">
        <f>IFERROR(__xludf.DUMMYFUNCTION("""COMPUTED_VALUE"""),"Clinical algorithms for the monitoring and management of spontaneous, uncomplicated labour and childbirth.")</f>
        <v>Clinical algorithms for the monitoring and management of spontaneous, uncomplicated labour and childbirth.</v>
      </c>
      <c r="Y1044" s="31" t="str">
        <f>IFERROR(__xludf.DUMMYFUNCTION("""COMPUTED_VALUE"""),"Pasquale, Julia; Gialdini, Celina; Chamillard, Mónica; Diaz, Virginia; Rijken, Marcus J; Browne, Joyce L; Seto, Mimi Tin Yan; Cheung, Ka Wang; Bonet, Mercedes; ,")</f>
        <v>Pasquale, Julia; Gialdini, Celina; Chamillard, Mónica; Diaz, Virginia; Rijken, Marcus J; Browne, Joyce L; Seto, Mimi Tin Yan; Cheung, Ka Wang; Bonet, Mercedes; ,</v>
      </c>
      <c r="Z1044" s="31">
        <f>IFERROR(__xludf.DUMMYFUNCTION("""COMPUTED_VALUE"""),2024.0)</f>
        <v>2024</v>
      </c>
      <c r="AA1044" s="31">
        <f>IFERROR(__xludf.DUMMYFUNCTION("""COMPUTED_VALUE"""),0.0)</f>
        <v>0</v>
      </c>
      <c r="AF1044" s="31" t="str">
        <f>IFERROR(__xludf.DUMMYFUNCTION("""COMPUTED_VALUE"""),"A relation between blood pressure and stiffness of joints and skin.")</f>
        <v>A relation between blood pressure and stiffness of joints and skin.</v>
      </c>
      <c r="AG1044" s="31" t="str">
        <f>IFERROR(__xludf.DUMMYFUNCTION("""COMPUTED_VALUE"""),"Uiterwaal, Cuno S P M; Grobbee, Diederick E; Sakkers, Ralph J B; Helders, Paul J M; Bank, Ruud A; Engelbert, Raoul H H")</f>
        <v>Uiterwaal, Cuno S P M; Grobbee, Diederick E; Sakkers, Ralph J B; Helders, Paul J M; Bank, Ruud A; Engelbert, Raoul H H</v>
      </c>
      <c r="AH1044" s="32">
        <f>IFERROR(__xludf.DUMMYFUNCTION("""COMPUTED_VALUE"""),37681.0)</f>
        <v>37681</v>
      </c>
    </row>
    <row r="1045">
      <c r="A1045" s="32"/>
      <c r="I1045" s="31" t="str">
        <f>IFERROR(__xludf.DUMMYFUNCTION("""COMPUTED_VALUE"""),"journal of back and musculoskeletal rehabilitation")</f>
        <v>journal of back and musculoskeletal rehabilitation</v>
      </c>
      <c r="J1045" s="38">
        <f>COUNTIF(Data!$F$2:$F9917, $I1045)</f>
        <v>1</v>
      </c>
      <c r="T1045" s="31" t="s">
        <v>3279</v>
      </c>
      <c r="U1045" s="31" t="s">
        <v>3280</v>
      </c>
      <c r="V1045" s="32">
        <v>44972.0</v>
      </c>
      <c r="X1045" s="31" t="str">
        <f>IFERROR(__xludf.DUMMYFUNCTION("""COMPUTED_VALUE"""),"Advancing hypertensive disorders of pregnancy management: insights from the 5th preeclampsia scientific symposium in Ghana.")</f>
        <v>Advancing hypertensive disorders of pregnancy management: insights from the 5th preeclampsia scientific symposium in Ghana.</v>
      </c>
      <c r="Y1045" s="31" t="str">
        <f>IFERROR(__xludf.DUMMYFUNCTION("""COMPUTED_VALUE"""),"Koi-Larbi, Koiwah; Obiri, Dorotheah; Browne, Joyce L; Fondjo, Linda Ahenkorah; Katsande, Samantha; Garti, Isabella; ,")</f>
        <v>Koi-Larbi, Koiwah; Obiri, Dorotheah; Browne, Joyce L; Fondjo, Linda Ahenkorah; Katsande, Samantha; Garti, Isabella; ,</v>
      </c>
      <c r="Z1045" s="31">
        <f>IFERROR(__xludf.DUMMYFUNCTION("""COMPUTED_VALUE"""),2024.0)</f>
        <v>2024</v>
      </c>
      <c r="AA1045" s="31">
        <f>IFERROR(__xludf.DUMMYFUNCTION("""COMPUTED_VALUE"""),0.0)</f>
        <v>0</v>
      </c>
      <c r="AF1045" s="31" t="str">
        <f>IFERROR(__xludf.DUMMYFUNCTION("""COMPUTED_VALUE"""),"Refill compliance in type 2 diabetes mellitus: a predictor of switching to insulin therapy?")</f>
        <v>Refill compliance in type 2 diabetes mellitus: a predictor of switching to insulin therapy?</v>
      </c>
      <c r="AG1045" s="31" t="str">
        <f>IFERROR(__xludf.DUMMYFUNCTION("""COMPUTED_VALUE"""),"Spoelstra, José A; Stolk, Ronald P; Heerdink, Eibert R; Klungel, Olaf H; Erkens, Joëlle A; Leufkens, Hubert G M; Grobbee, Diederick E")</f>
        <v>Spoelstra, José A; Stolk, Ronald P; Heerdink, Eibert R; Klungel, Olaf H; Erkens, Joëlle A; Leufkens, Hubert G M; Grobbee, Diederick E</v>
      </c>
      <c r="AH1045" s="32">
        <f>IFERROR(__xludf.DUMMYFUNCTION("""COMPUTED_VALUE"""),37681.0)</f>
        <v>37681</v>
      </c>
    </row>
    <row r="1046">
      <c r="A1046" s="32"/>
      <c r="I1046" s="31" t="str">
        <f>IFERROR(__xludf.DUMMYFUNCTION("""COMPUTED_VALUE"""),"archives of disease in childhood fetal and neonatal edition")</f>
        <v>archives of disease in childhood fetal and neonatal edition</v>
      </c>
      <c r="J1046" s="38">
        <f>COUNTIF(Data!$F$2:$F9917, $I1046)</f>
        <v>1</v>
      </c>
      <c r="T1046" s="31" t="s">
        <v>3283</v>
      </c>
      <c r="U1046" s="31" t="s">
        <v>3284</v>
      </c>
      <c r="V1046" s="32">
        <v>44971.0</v>
      </c>
      <c r="X1046" s="31" t="str">
        <f>IFERROR(__xludf.DUMMYFUNCTION("""COMPUTED_VALUE"""),"The Dutch practice of euthanasia and assisted suicide in patients suffering from psychiatric disorders: a qualitative case review study.")</f>
        <v>The Dutch practice of euthanasia and assisted suicide in patients suffering from psychiatric disorders: a qualitative case review study.</v>
      </c>
      <c r="Y1046" s="31" t="str">
        <f>IFERROR(__xludf.DUMMYFUNCTION("""COMPUTED_VALUE"""),"Bosma, Fenne; Mink, Kelly Romana; van Delden, Johannes Jozef Marten; van der Heide, Agnes; van de Vathorst, Suzanne; van Thiel, Ghislaine Jose Madeleine Wilhelmien")</f>
        <v>Bosma, Fenne; Mink, Kelly Romana; van Delden, Johannes Jozef Marten; van der Heide, Agnes; van de Vathorst, Suzanne; van Thiel, Ghislaine Jose Madeleine Wilhelmien</v>
      </c>
      <c r="Z1046" s="31">
        <f>IFERROR(__xludf.DUMMYFUNCTION("""COMPUTED_VALUE"""),2024.0)</f>
        <v>2024</v>
      </c>
      <c r="AA1046" s="31">
        <f>IFERROR(__xludf.DUMMYFUNCTION("""COMPUTED_VALUE"""),0.0)</f>
        <v>0</v>
      </c>
      <c r="AF1046" s="31" t="str">
        <f>IFERROR(__xludf.DUMMYFUNCTION("""COMPUTED_VALUE"""),"Phytoestrogens and breast cancer risk. Review of the epidemiological evidence.")</f>
        <v>Phytoestrogens and breast cancer risk. Review of the epidemiological evidence.</v>
      </c>
      <c r="AG1046" s="31" t="str">
        <f>IFERROR(__xludf.DUMMYFUNCTION("""COMPUTED_VALUE"""),"Peeters, P H M; Keinan-Boker, L; van der Schouw, Y T; Grobbee, D E")</f>
        <v>Peeters, P H M; Keinan-Boker, L; van der Schouw, Y T; Grobbee, D E</v>
      </c>
      <c r="AH1046" s="32">
        <f>IFERROR(__xludf.DUMMYFUNCTION("""COMPUTED_VALUE"""),37622.0)</f>
        <v>37622</v>
      </c>
    </row>
    <row r="1047">
      <c r="A1047" s="32"/>
      <c r="I1047" s="31" t="str">
        <f>IFERROR(__xludf.DUMMYFUNCTION("""COMPUTED_VALUE"""),"the journal of allergy and clinical immunology in practice")</f>
        <v>the journal of allergy and clinical immunology in practice</v>
      </c>
      <c r="J1047" s="38">
        <f>COUNTIF(Data!$F$2:$F9917, $I1047)</f>
        <v>1</v>
      </c>
      <c r="T1047" s="31" t="s">
        <v>3288</v>
      </c>
      <c r="U1047" s="31" t="s">
        <v>3289</v>
      </c>
      <c r="V1047" s="32">
        <v>44971.0</v>
      </c>
      <c r="X1047" s="31" t="str">
        <f>IFERROR(__xludf.DUMMYFUNCTION("""COMPUTED_VALUE"""),"The ethical significance of user-control in AI-driven speech-BCIs: a narrative review.")</f>
        <v>The ethical significance of user-control in AI-driven speech-BCIs: a narrative review.</v>
      </c>
      <c r="Y1047" s="31" t="str">
        <f>IFERROR(__xludf.DUMMYFUNCTION("""COMPUTED_VALUE"""),"van Stuijvenberg, O C; Samlal, D P S; Vansteensel, M J; Broekman, M L D; Jongsma, K R")</f>
        <v>van Stuijvenberg, O C; Samlal, D P S; Vansteensel, M J; Broekman, M L D; Jongsma, K R</v>
      </c>
      <c r="Z1047" s="31">
        <f>IFERROR(__xludf.DUMMYFUNCTION("""COMPUTED_VALUE"""),2024.0)</f>
        <v>2024</v>
      </c>
      <c r="AA1047" s="31">
        <f>IFERROR(__xludf.DUMMYFUNCTION("""COMPUTED_VALUE"""),0.0)</f>
        <v>0</v>
      </c>
      <c r="AF1047" s="31" t="str">
        <f>IFERROR(__xludf.DUMMYFUNCTION("""COMPUTED_VALUE"""),"Prevention comes of age?")</f>
        <v>Prevention comes of age?</v>
      </c>
      <c r="AG1047" s="31" t="str">
        <f>IFERROR(__xludf.DUMMYFUNCTION("""COMPUTED_VALUE"""),"Bonneux, Luc G A; van Hout, Ben A; van Delden, Johannes J M; Grobbee, Diederick E")</f>
        <v>Bonneux, Luc G A; van Hout, Ben A; van Delden, Johannes J M; Grobbee, Diederick E</v>
      </c>
      <c r="AH1047" s="32">
        <f>IFERROR(__xludf.DUMMYFUNCTION("""COMPUTED_VALUE"""),37622.0)</f>
        <v>37622</v>
      </c>
    </row>
    <row r="1048">
      <c r="A1048" s="32"/>
      <c r="I1048" s="31" t="str">
        <f>IFERROR(__xludf.DUMMYFUNCTION("""COMPUTED_VALUE"""),"annals of nutrition metabolism")</f>
        <v>annals of nutrition metabolism</v>
      </c>
      <c r="J1048" s="38">
        <f>COUNTIF(Data!$F$2:$F9917, $I1048)</f>
        <v>2</v>
      </c>
      <c r="T1048" s="31" t="s">
        <v>3292</v>
      </c>
      <c r="U1048" s="31" t="s">
        <v>3293</v>
      </c>
      <c r="V1048" s="32">
        <v>44971.0</v>
      </c>
      <c r="X1048" s="31" t="str">
        <f>IFERROR(__xludf.DUMMYFUNCTION("""COMPUTED_VALUE"""),"Examining Macro-Level Barriers and Facilitators to Scaling Up Integrated Care from a Complexity Perspective: A Multi-Case Study of Cambodia, Slovenia, and Belgium.")</f>
        <v>Examining Macro-Level Barriers and Facilitators to Scaling Up Integrated Care from a Complexity Perspective: A Multi-Case Study of Cambodia, Slovenia, and Belgium.</v>
      </c>
      <c r="Y1048" s="31" t="str">
        <f>IFERROR(__xludf.DUMMYFUNCTION("""COMPUTED_VALUE"""),"Martens, Monika; Chham, Savina; Črt, Zavrnik; Danhieux, Katrien; Wouters, Edwin; Chhim, Srean; Susič, Antonija Poplas; Ketiš, Zalika Klemenc; Ir, Por; Remmen, Roy; Klipstein-Grobusch, Kerstin; Van Damme, Wim; Ku, Grace Marie; Van Olmen, Josefien")</f>
        <v>Martens, Monika; Chham, Savina; Črt, Zavrnik; Danhieux, Katrien; Wouters, Edwin; Chhim, Srean; Susič, Antonija Poplas; Ketiš, Zalika Klemenc; Ir, Por; Remmen, Roy; Klipstein-Grobusch, Kerstin; Van Damme, Wim; Ku, Grace Marie; Van Olmen, Josefien</v>
      </c>
      <c r="Z1048" s="31">
        <f>IFERROR(__xludf.DUMMYFUNCTION("""COMPUTED_VALUE"""),2024.0)</f>
        <v>2024</v>
      </c>
      <c r="AA1048" s="31">
        <f>IFERROR(__xludf.DUMMYFUNCTION("""COMPUTED_VALUE"""),0.0)</f>
        <v>0</v>
      </c>
      <c r="AF1048" s="31" t="str">
        <f>IFERROR(__xludf.DUMMYFUNCTION("""COMPUTED_VALUE"""),"High salt intake early in life: does it increase the risk of hypertension?")</f>
        <v>High salt intake early in life: does it increase the risk of hypertension?</v>
      </c>
      <c r="AG1048" s="31" t="str">
        <f>IFERROR(__xludf.DUMMYFUNCTION("""COMPUTED_VALUE"""),"Geleijnse, Johanna M; Grobbee, Diederick E")</f>
        <v>Geleijnse, Johanna M; Grobbee, Diederick E</v>
      </c>
      <c r="AH1048" s="32">
        <f>IFERROR(__xludf.DUMMYFUNCTION("""COMPUTED_VALUE"""),37561.0)</f>
        <v>37561</v>
      </c>
    </row>
    <row r="1049">
      <c r="A1049" s="32"/>
      <c r="I1049" s="31" t="str">
        <f>IFERROR(__xludf.DUMMYFUNCTION("""COMPUTED_VALUE"""),"nature reviews drug discovery")</f>
        <v>nature reviews drug discovery</v>
      </c>
      <c r="J1049" s="38">
        <f>COUNTIF(Data!$F$2:$F9917, $I1049)</f>
        <v>1</v>
      </c>
      <c r="T1049" s="31" t="s">
        <v>3295</v>
      </c>
      <c r="U1049" s="31" t="s">
        <v>3296</v>
      </c>
      <c r="V1049" s="32">
        <v>44971.0</v>
      </c>
      <c r="X1049" s="31" t="str">
        <f>IFERROR(__xludf.DUMMYFUNCTION("""COMPUTED_VALUE"""),"Adolescents' dietary patterns, their drivers and association with double burden of malnutrition in adolescents: a cross-sectional study in Kenya's urban slums.")</f>
        <v>Adolescents' dietary patterns, their drivers and association with double burden of malnutrition in adolescents: a cross-sectional study in Kenya's urban slums.</v>
      </c>
      <c r="Y1049" s="31" t="str">
        <f>IFERROR(__xludf.DUMMYFUNCTION("""COMPUTED_VALUE"""),"Wanjohi, Milkah N; Kimani-Murage, Elizabeth Wambui; Asiki, Gershim; Holdsworth, Michelle; Pradeilles, Rebecca; Langat, Nelson; Amugsi, Dickson A; Wilunda, Calistus; Klipstein-Grobusch, Kerstin")</f>
        <v>Wanjohi, Milkah N; Kimani-Murage, Elizabeth Wambui; Asiki, Gershim; Holdsworth, Michelle; Pradeilles, Rebecca; Langat, Nelson; Amugsi, Dickson A; Wilunda, Calistus; Klipstein-Grobusch, Kerstin</v>
      </c>
      <c r="Z1049" s="31">
        <f>IFERROR(__xludf.DUMMYFUNCTION("""COMPUTED_VALUE"""),2024.0)</f>
        <v>2024</v>
      </c>
      <c r="AA1049" s="31">
        <f>IFERROR(__xludf.DUMMYFUNCTION("""COMPUTED_VALUE"""),0.0)</f>
        <v>0</v>
      </c>
      <c r="AF1049" s="31" t="str">
        <f>IFERROR(__xludf.DUMMYFUNCTION("""COMPUTED_VALUE"""),"[Possibilities and limitations of genetic research; an advisory report from the Advisory Council on Health Research].")</f>
        <v>[Possibilities and limitations of genetic research; an advisory report from the Advisory Council on Health Research].</v>
      </c>
      <c r="AG1049" s="31" t="str">
        <f>IFERROR(__xludf.DUMMYFUNCTION("""COMPUTED_VALUE"""),"Grobbee, D E")</f>
        <v>Grobbee, D E</v>
      </c>
      <c r="AH1049" s="32">
        <f>IFERROR(__xludf.DUMMYFUNCTION("""COMPUTED_VALUE"""),37492.0)</f>
        <v>37492</v>
      </c>
    </row>
    <row r="1050">
      <c r="A1050" s="32"/>
      <c r="I1050" s="31" t="str">
        <f>IFERROR(__xludf.DUMMYFUNCTION("""COMPUTED_VALUE"""),"acta neurologica scandinavica")</f>
        <v>acta neurologica scandinavica</v>
      </c>
      <c r="J1050" s="38">
        <f>COUNTIF(Data!$F$2:$F9917, $I1050)</f>
        <v>1</v>
      </c>
      <c r="T1050" s="31" t="s">
        <v>3300</v>
      </c>
      <c r="U1050" s="31" t="s">
        <v>3301</v>
      </c>
      <c r="V1050" s="32">
        <v>44970.0</v>
      </c>
      <c r="X1050" s="31" t="str">
        <f>IFERROR(__xludf.DUMMYFUNCTION("""COMPUTED_VALUE"""),"A comprehensive lifestyle index and its associations with DNA methylation and type 2 diabetes among Ghanaian adults: the rodam study.")</f>
        <v>A comprehensive lifestyle index and its associations with DNA methylation and type 2 diabetes among Ghanaian adults: the rodam study.</v>
      </c>
      <c r="Y1050" s="31" t="str">
        <f>IFERROR(__xludf.DUMMYFUNCTION("""COMPUTED_VALUE"""),"Abidha, C A; Meeks, K A C; Chilunga, F P; Venema, A; Schindlmayr, R; Hayfron-Benjamin, C; Klipstein-Grobusch, Kerstin; Mockenhaupt, Frank P; Agyemang, C; Henneman, P; Danquah, I")</f>
        <v>Abidha, C A; Meeks, K A C; Chilunga, F P; Venema, A; Schindlmayr, R; Hayfron-Benjamin, C; Klipstein-Grobusch, Kerstin; Mockenhaupt, Frank P; Agyemang, C; Henneman, P; Danquah, I</v>
      </c>
      <c r="Z1050" s="31">
        <f>IFERROR(__xludf.DUMMYFUNCTION("""COMPUTED_VALUE"""),2024.0)</f>
        <v>2024</v>
      </c>
      <c r="AA1050" s="31">
        <f>IFERROR(__xludf.DUMMYFUNCTION("""COMPUTED_VALUE"""),0.0)</f>
        <v>0</v>
      </c>
      <c r="AF1050" s="31" t="str">
        <f>IFERROR(__xludf.DUMMYFUNCTION("""COMPUTED_VALUE"""),"Aspirin and coumadin after acute coronary syndromes (the ASPECT-2 study): a randomised controlled trial.")</f>
        <v>Aspirin and coumadin after acute coronary syndromes (the ASPECT-2 study): a randomised controlled trial.</v>
      </c>
      <c r="AG1050" s="31" t="str">
        <f>IFERROR(__xludf.DUMMYFUNCTION("""COMPUTED_VALUE"""),"van Es, Robert F; Jonker, Jan J C; Verheugt, Freek W A; Deckers, Jaap W; Grobbee, Diederick E; ,")</f>
        <v>van Es, Robert F; Jonker, Jan J C; Verheugt, Freek W A; Deckers, Jaap W; Grobbee, Diederick E; ,</v>
      </c>
      <c r="AH1050" s="32">
        <f>IFERROR(__xludf.DUMMYFUNCTION("""COMPUTED_VALUE"""),37450.0)</f>
        <v>37450</v>
      </c>
    </row>
    <row r="1051">
      <c r="A1051" s="32"/>
      <c r="I1051" s="31" t="str">
        <f>IFERROR(__xludf.DUMMYFUNCTION("""COMPUTED_VALUE"""),"transplant immunology")</f>
        <v>transplant immunology</v>
      </c>
      <c r="J1051" s="38">
        <f>COUNTIF(Data!$F$2:$F9917, $I1051)</f>
        <v>1</v>
      </c>
      <c r="T1051" s="31" t="s">
        <v>3304</v>
      </c>
      <c r="U1051" s="31" t="s">
        <v>3305</v>
      </c>
      <c r="V1051" s="32">
        <v>44968.0</v>
      </c>
      <c r="X1051" s="31" t="str">
        <f>IFERROR(__xludf.DUMMYFUNCTION("""COMPUTED_VALUE"""),"Europe needs to urgently implement an outward looking Global Health Strategy.")</f>
        <v>Europe needs to urgently implement an outward looking Global Health Strategy.</v>
      </c>
      <c r="Y1051" s="31" t="str">
        <f>IFERROR(__xludf.DUMMYFUNCTION("""COMPUTED_VALUE"""),"Berner-Rodoreda, Astrid; Bassat, Quique; Rocamora, Alberto; Raviglione, Mario; Abecasis, Ana B; Klipstein-Grobusch, Kerstin; Skordis, Jolene; Anton, Nora; Bärnighausen, Till")</f>
        <v>Berner-Rodoreda, Astrid; Bassat, Quique; Rocamora, Alberto; Raviglione, Mario; Abecasis, Ana B; Klipstein-Grobusch, Kerstin; Skordis, Jolene; Anton, Nora; Bärnighausen, Till</v>
      </c>
      <c r="Z1051" s="31">
        <f>IFERROR(__xludf.DUMMYFUNCTION("""COMPUTED_VALUE"""),2024.0)</f>
        <v>2024</v>
      </c>
      <c r="AA1051" s="31">
        <f>IFERROR(__xludf.DUMMYFUNCTION("""COMPUTED_VALUE"""),0.0)</f>
        <v>0</v>
      </c>
      <c r="AF1051" s="31" t="str">
        <f>IFERROR(__xludf.DUMMYFUNCTION("""COMPUTED_VALUE"""),"Factors associated with switching from oral hypoglycaemic agents to insulin therapy.")</f>
        <v>Factors associated with switching from oral hypoglycaemic agents to insulin therapy.</v>
      </c>
      <c r="AG1051" s="31" t="str">
        <f>IFERROR(__xludf.DUMMYFUNCTION("""COMPUTED_VALUE"""),"Spoelstra, J A; Stol, R P; de Bruyne, M C; Erkens, J A; Herings, R M C; Leufkens, H G M; Grobbee, D E")</f>
        <v>Spoelstra, J A; Stol, R P; de Bruyne, M C; Erkens, J A; Herings, R M C; Leufkens, H G M; Grobbee, D E</v>
      </c>
      <c r="AH1051" s="32">
        <f>IFERROR(__xludf.DUMMYFUNCTION("""COMPUTED_VALUE"""),37438.0)</f>
        <v>37438</v>
      </c>
    </row>
    <row r="1052">
      <c r="A1052" s="32"/>
      <c r="I1052" s="31" t="str">
        <f>IFERROR(__xludf.DUMMYFUNCTION("""COMPUTED_VALUE"""),"mathematical biosciences")</f>
        <v>mathematical biosciences</v>
      </c>
      <c r="J1052" s="38">
        <f>COUNTIF(Data!$F$2:$F9917, $I1052)</f>
        <v>2</v>
      </c>
      <c r="T1052" s="31" t="s">
        <v>3308</v>
      </c>
      <c r="U1052" s="31" t="s">
        <v>3309</v>
      </c>
      <c r="V1052" s="32">
        <v>44967.0</v>
      </c>
      <c r="X1052" s="31" t="str">
        <f>IFERROR(__xludf.DUMMYFUNCTION("""COMPUTED_VALUE"""),"Advancing women's cardiovascular health: an international lens on the Joint British Cardiovascular Societies' consensus statement.")</f>
        <v>Advancing women's cardiovascular health: an international lens on the Joint British Cardiovascular Societies' consensus statement.</v>
      </c>
      <c r="Y1052" s="31" t="str">
        <f>IFERROR(__xludf.DUMMYFUNCTION("""COMPUTED_VALUE"""),"Peters, Sanne A E; Van Spall, Harriette G C")</f>
        <v>Peters, Sanne A E; Van Spall, Harriette G C</v>
      </c>
      <c r="Z1052" s="31">
        <f>IFERROR(__xludf.DUMMYFUNCTION("""COMPUTED_VALUE"""),2024.0)</f>
        <v>2024</v>
      </c>
      <c r="AA1052" s="31">
        <f>IFERROR(__xludf.DUMMYFUNCTION("""COMPUTED_VALUE"""),0.0)</f>
        <v>0</v>
      </c>
      <c r="AF1052" s="31" t="str">
        <f>IFERROR(__xludf.DUMMYFUNCTION("""COMPUTED_VALUE"""),"Phytoestrogens and breast cancer risk: review of the epidemiological evidence.")</f>
        <v>Phytoestrogens and breast cancer risk: review of the epidemiological evidence.</v>
      </c>
      <c r="AG1052" s="31" t="str">
        <f>IFERROR(__xludf.DUMMYFUNCTION("""COMPUTED_VALUE"""),"Peeters, P H M; Keinan-Boker, L; van der Schouw, Y T; Grobbee, D E")</f>
        <v>Peeters, P H M; Keinan-Boker, L; van der Schouw, Y T; Grobbee, D E</v>
      </c>
      <c r="AH1052" s="32">
        <f>IFERROR(__xludf.DUMMYFUNCTION("""COMPUTED_VALUE"""),37257.0)</f>
        <v>37257</v>
      </c>
    </row>
    <row r="1053">
      <c r="A1053" s="32"/>
      <c r="I1053" s="31" t="str">
        <f>IFERROR(__xludf.DUMMYFUNCTION("""COMPUTED_VALUE"""),"obstetrics and gynecology international")</f>
        <v>obstetrics and gynecology international</v>
      </c>
      <c r="J1053" s="38">
        <f>COUNTIF(Data!$F$2:$F9917, $I1053)</f>
        <v>2</v>
      </c>
      <c r="T1053" s="31" t="s">
        <v>3313</v>
      </c>
      <c r="U1053" s="31" t="s">
        <v>3314</v>
      </c>
      <c r="V1053" s="32">
        <v>44967.0</v>
      </c>
      <c r="X1053" s="31" t="str">
        <f>IFERROR(__xludf.DUMMYFUNCTION("""COMPUTED_VALUE"""),"Female participation, and sex-specific reporting practices, in polypill randomised controlled trials in the prevention of atherosclerotic cardiovascular disease: a secondary analysis of a systematic review.")</f>
        <v>Female participation, and sex-specific reporting practices, in polypill randomised controlled trials in the prevention of atherosclerotic cardiovascular disease: a secondary analysis of a systematic review.</v>
      </c>
      <c r="Y1053" s="31" t="str">
        <f>IFERROR(__xludf.DUMMYFUNCTION("""COMPUTED_VALUE"""),"Peters, Sanne A E; Rodgers, Anthony; Patel, Anushka; Norton, Robyn; Huffman, Mark D; Agarwal, Anubha")</f>
        <v>Peters, Sanne A E; Rodgers, Anthony; Patel, Anushka; Norton, Robyn; Huffman, Mark D; Agarwal, Anubha</v>
      </c>
      <c r="Z1053" s="31">
        <f>IFERROR(__xludf.DUMMYFUNCTION("""COMPUTED_VALUE"""),2024.0)</f>
        <v>2024</v>
      </c>
      <c r="AA1053" s="31">
        <f>IFERROR(__xludf.DUMMYFUNCTION("""COMPUTED_VALUE"""),0.0)</f>
        <v>0</v>
      </c>
      <c r="AF1053" s="31" t="str">
        <f>IFERROR(__xludf.DUMMYFUNCTION("""COMPUTED_VALUE"""),"Determinants of circulating insulin-like growth factor (IGF)-I and IGF binding proteins 1-3 in premenopausal women: physical activity and anthropometry (Netherlands).")</f>
        <v>Determinants of circulating insulin-like growth factor (IGF)-I and IGF binding proteins 1-3 in premenopausal women: physical activity and anthropometry (Netherlands).</v>
      </c>
      <c r="AG1053" s="31" t="str">
        <f>IFERROR(__xludf.DUMMYFUNCTION("""COMPUTED_VALUE"""),"Voskuil, D W; Bueno de Mesquita, H B; Kaaks, R; van Noord, P A; Rinaldi, S; Riboli, E; Grobbee, D E; Peeters, P H")</f>
        <v>Voskuil, D W; Bueno de Mesquita, H B; Kaaks, R; van Noord, P A; Rinaldi, S; Riboli, E; Grobbee, D E; Peeters, P H</v>
      </c>
      <c r="AH1053" s="32">
        <f>IFERROR(__xludf.DUMMYFUNCTION("""COMPUTED_VALUE"""),37226.0)</f>
        <v>37226</v>
      </c>
    </row>
    <row r="1054">
      <c r="A1054" s="32"/>
      <c r="I1054" s="31" t="str">
        <f>IFERROR(__xludf.DUMMYFUNCTION("""COMPUTED_VALUE"""),"international journal of hygiene and environmental health")</f>
        <v>international journal of hygiene and environmental health</v>
      </c>
      <c r="J1054" s="38">
        <f>COUNTIF(Data!$F$2:$F9917, $I1054)</f>
        <v>1</v>
      </c>
      <c r="T1054" s="31" t="s">
        <v>3317</v>
      </c>
      <c r="U1054" s="31" t="s">
        <v>3318</v>
      </c>
      <c r="V1054" s="32">
        <v>44967.0</v>
      </c>
      <c r="X1054" s="31" t="str">
        <f>IFERROR(__xludf.DUMMYFUNCTION("""COMPUTED_VALUE"""),"Use of Guideline-Recommended Heart Failure Drugs in High-, Middle-, and Low-Income Countries: A Systematic Review and Meta-Analysis.")</f>
        <v>Use of Guideline-Recommended Heart Failure Drugs in High-, Middle-, and Low-Income Countries: A Systematic Review and Meta-Analysis.</v>
      </c>
      <c r="Y1054" s="31" t="str">
        <f>IFERROR(__xludf.DUMMYFUNCTION("""COMPUTED_VALUE"""),"Satheesh, Gautam; Dhurjati, Rupasvi; Alston, Laura; Tesfay, Fisaha; Pant, Rashmi; Bahiru, Ehete; Bambs, Claudia; Agarwal, Anubha; Peters, Sanne A E; Salam, Abdul; Johansson, Isabelle")</f>
        <v>Satheesh, Gautam; Dhurjati, Rupasvi; Alston, Laura; Tesfay, Fisaha; Pant, Rashmi; Bahiru, Ehete; Bambs, Claudia; Agarwal, Anubha; Peters, Sanne A E; Salam, Abdul; Johansson, Isabelle</v>
      </c>
      <c r="Z1054" s="31">
        <f>IFERROR(__xludf.DUMMYFUNCTION("""COMPUTED_VALUE"""),2024.0)</f>
        <v>2024</v>
      </c>
      <c r="AA1054" s="31">
        <f>IFERROR(__xludf.DUMMYFUNCTION("""COMPUTED_VALUE"""),0.0)</f>
        <v>0</v>
      </c>
      <c r="AF1054" s="31" t="str">
        <f>IFERROR(__xludf.DUMMYFUNCTION("""COMPUTED_VALUE"""),"[CBO guideline 'High blood pressure' (revision)].")</f>
        <v>[CBO guideline 'High blood pressure' (revision)].</v>
      </c>
      <c r="AG1054" s="31" t="str">
        <f>IFERROR(__xludf.DUMMYFUNCTION("""COMPUTED_VALUE"""),"Grobbee, D E; Tuut, M K; Hoes, A W")</f>
        <v>Grobbee, D E; Tuut, M K; Hoes, A W</v>
      </c>
      <c r="AH1054" s="32">
        <f>IFERROR(__xludf.DUMMYFUNCTION("""COMPUTED_VALUE"""),37191.0)</f>
        <v>37191</v>
      </c>
    </row>
    <row r="1055">
      <c r="A1055" s="32"/>
      <c r="I1055" s="31" t="str">
        <f>IFERROR(__xludf.DUMMYFUNCTION("""COMPUTED_VALUE"""),"alzheimers research therapy")</f>
        <v>alzheimers research therapy</v>
      </c>
      <c r="J1055" s="38">
        <f>COUNTIF(Data!$F$2:$F9917, $I1055)</f>
        <v>1</v>
      </c>
      <c r="T1055" s="31" t="s">
        <v>3322</v>
      </c>
      <c r="U1055" s="31" t="s">
        <v>3323</v>
      </c>
      <c r="V1055" s="32">
        <v>44967.0</v>
      </c>
      <c r="X1055" s="31" t="str">
        <f>IFERROR(__xludf.DUMMYFUNCTION("""COMPUTED_VALUE"""),"Regulatory readiness to facilitate the appropriate use of innovation in clinical trials: The case of decentralized clinical trial approaches.")</f>
        <v>Regulatory readiness to facilitate the appropriate use of innovation in clinical trials: The case of decentralized clinical trial approaches.</v>
      </c>
      <c r="Y1055" s="31" t="str">
        <f>IFERROR(__xludf.DUMMYFUNCTION("""COMPUTED_VALUE"""),"de Jong, Amos J; Zuidgeest, Mira G P; Santa-Ana-Tellez, Yared; de Boer, Anthonius; Gardarsdottir, Helga; ,")</f>
        <v>de Jong, Amos J; Zuidgeest, Mira G P; Santa-Ana-Tellez, Yared; de Boer, Anthonius; Gardarsdottir, Helga; ,</v>
      </c>
      <c r="Z1055" s="31">
        <f>IFERROR(__xludf.DUMMYFUNCTION("""COMPUTED_VALUE"""),2024.0)</f>
        <v>2024</v>
      </c>
      <c r="AA1055" s="31">
        <f>IFERROR(__xludf.DUMMYFUNCTION("""COMPUTED_VALUE"""),0.0)</f>
        <v>0</v>
      </c>
      <c r="AF1055" s="31" t="str">
        <f>IFERROR(__xludf.DUMMYFUNCTION("""COMPUTED_VALUE"""),"Control of blood pressure in the ambulatory setting.")</f>
        <v>Control of blood pressure in the ambulatory setting.</v>
      </c>
      <c r="AG1055" s="31" t="str">
        <f>IFERROR(__xludf.DUMMYFUNCTION("""COMPUTED_VALUE"""),"Uiterwaal, C S; Grobbee, D E")</f>
        <v>Uiterwaal, C S; Grobbee, D E</v>
      </c>
      <c r="AH1055" s="32">
        <f>IFERROR(__xludf.DUMMYFUNCTION("""COMPUTED_VALUE"""),37012.0)</f>
        <v>37012</v>
      </c>
    </row>
    <row r="1056">
      <c r="A1056" s="32"/>
      <c r="I1056" s="31" t="str">
        <f>IFERROR(__xludf.DUMMYFUNCTION("""COMPUTED_VALUE"""),"journal of obstetrics and gynaecology canada jogc journal dobstetrique et gynecologie du canada jogc")</f>
        <v>journal of obstetrics and gynaecology canada jogc journal dobstetrique et gynecologie du canada jogc</v>
      </c>
      <c r="J1056" s="38">
        <f>COUNTIF(Data!$F$2:$F9917, $I1056)</f>
        <v>1</v>
      </c>
      <c r="T1056" s="31" t="s">
        <v>3326</v>
      </c>
      <c r="U1056" s="31" t="s">
        <v>3327</v>
      </c>
      <c r="V1056" s="32">
        <v>44966.0</v>
      </c>
      <c r="X1056" s="31" t="str">
        <f>IFERROR(__xludf.DUMMYFUNCTION("""COMPUTED_VALUE"""),"Can hemophilia be cured? It depends on the definition.")</f>
        <v>Can hemophilia be cured? It depends on the definition.</v>
      </c>
      <c r="Y1056" s="31" t="str">
        <f>IFERROR(__xludf.DUMMYFUNCTION("""COMPUTED_VALUE"""),"Baas, Lieke; van der Graaf, Rieke; Meijer, Karina")</f>
        <v>Baas, Lieke; van der Graaf, Rieke; Meijer, Karina</v>
      </c>
      <c r="Z1056" s="31">
        <f>IFERROR(__xludf.DUMMYFUNCTION("""COMPUTED_VALUE"""),2024.0)</f>
        <v>2024</v>
      </c>
      <c r="AA1056" s="31">
        <f>IFERROR(__xludf.DUMMYFUNCTION("""COMPUTED_VALUE"""),0.0)</f>
        <v>0</v>
      </c>
      <c r="AF1056" s="31" t="str">
        <f>IFERROR(__xludf.DUMMYFUNCTION("""COMPUTED_VALUE"""),"Prospect-EPIC Utrecht: study design and characteristics of the cohort population. European Prospective Investigation into Cancer and Nutrition.")</f>
        <v>Prospect-EPIC Utrecht: study design and characteristics of the cohort population. European Prospective Investigation into Cancer and Nutrition.</v>
      </c>
      <c r="AG1056" s="31" t="str">
        <f>IFERROR(__xludf.DUMMYFUNCTION("""COMPUTED_VALUE"""),"Boker, L K; van Noord, P A; van der Schouw, Y T; Koot, N V; Bueno de Mesquita, H B; Riboli, E; Grobbee, D E; Peeters, P H")</f>
        <v>Boker, L K; van Noord, P A; van der Schouw, Y T; Koot, N V; Bueno de Mesquita, H B; Riboli, E; Grobbee, D E; Peeters, P H</v>
      </c>
      <c r="AH1056" s="32">
        <f>IFERROR(__xludf.DUMMYFUNCTION("""COMPUTED_VALUE"""),36892.0)</f>
        <v>36892</v>
      </c>
    </row>
    <row r="1057">
      <c r="A1057" s="32"/>
      <c r="I1057" s="31" t="str">
        <f>IFERROR(__xludf.DUMMYFUNCTION("""COMPUTED_VALUE"""),"journal of physical therapy science")</f>
        <v>journal of physical therapy science</v>
      </c>
      <c r="J1057" s="38">
        <f>COUNTIF(Data!$F$2:$F9917, $I1057)</f>
        <v>1</v>
      </c>
      <c r="T1057" s="31" t="s">
        <v>3330</v>
      </c>
      <c r="U1057" s="31" t="s">
        <v>3331</v>
      </c>
      <c r="V1057" s="32">
        <v>44965.0</v>
      </c>
      <c r="X1057" s="31" t="str">
        <f>IFERROR(__xludf.DUMMYFUNCTION("""COMPUTED_VALUE"""),"An ethics framework for the transition to an operational learning healthcare system.")</f>
        <v>An ethics framework for the transition to an operational learning healthcare system.</v>
      </c>
      <c r="Y1057" s="31" t="str">
        <f>IFERROR(__xludf.DUMMYFUNCTION("""COMPUTED_VALUE"""),"Hollestelle, Marieke J; van der Graaf, Rieke; Sturkenboom, Miriam Cjm; van Delden, Johannes Jm")</f>
        <v>Hollestelle, Marieke J; van der Graaf, Rieke; Sturkenboom, Miriam Cjm; van Delden, Johannes Jm</v>
      </c>
      <c r="Z1057" s="31">
        <f>IFERROR(__xludf.DUMMYFUNCTION("""COMPUTED_VALUE"""),2024.0)</f>
        <v>2024</v>
      </c>
      <c r="AA1057" s="31">
        <f>IFERROR(__xludf.DUMMYFUNCTION("""COMPUTED_VALUE"""),0.0)</f>
        <v>0</v>
      </c>
      <c r="AF1057" s="31" t="str">
        <f>IFERROR(__xludf.DUMMYFUNCTION("""COMPUTED_VALUE"""),"Age at menopause, body mass index, and the risk of colorectal cancer mortality in the Dutch Diagnostisch Onderzoek Mammacarcinoom (DOM) cohort.")</f>
        <v>Age at menopause, body mass index, and the risk of colorectal cancer mortality in the Dutch Diagnostisch Onderzoek Mammacarcinoom (DOM) cohort.</v>
      </c>
      <c r="AG1057" s="31" t="str">
        <f>IFERROR(__xludf.DUMMYFUNCTION("""COMPUTED_VALUE"""),"van Wayenburg, C A; van der Schouw, Y T; van Noord, P A; Peeters, P H")</f>
        <v>van Wayenburg, C A; van der Schouw, Y T; van Noord, P A; Peeters, P H</v>
      </c>
      <c r="AH1057" s="32">
        <f>IFERROR(__xludf.DUMMYFUNCTION("""COMPUTED_VALUE"""),36647.0)</f>
        <v>36647</v>
      </c>
    </row>
    <row r="1058">
      <c r="A1058" s="32"/>
      <c r="I1058" s="31" t="str">
        <f>IFERROR(__xludf.DUMMYFUNCTION("""COMPUTED_VALUE"""),"journal of bone and mineral research the official journal of the american society for bone and mineral research")</f>
        <v>journal of bone and mineral research the official journal of the american society for bone and mineral research</v>
      </c>
      <c r="J1058" s="38">
        <f>COUNTIF(Data!$F$2:$F9917, $I1058)</f>
        <v>1</v>
      </c>
      <c r="T1058" s="31" t="s">
        <v>3334</v>
      </c>
      <c r="U1058" s="31" t="s">
        <v>3335</v>
      </c>
      <c r="V1058" s="32">
        <v>44965.0</v>
      </c>
      <c r="X1058" s="31" t="str">
        <f>IFERROR(__xludf.DUMMYFUNCTION("""COMPUTED_VALUE"""),"Patient, parent and professional expert perspectives on personalized regenerative implants: a qualitative focus group study.")</f>
        <v>Patient, parent and professional expert perspectives on personalized regenerative implants: a qualitative focus group study.</v>
      </c>
      <c r="Y1058" s="31" t="str">
        <f>IFERROR(__xludf.DUMMYFUNCTION("""COMPUTED_VALUE"""),"Daal, Manon van; de Kanter, Anne-Floor J; Custers, Roel Jh; Martínez-Sanz, Elena; Bredenoord, Annelien L; Graeff, Nienke de")</f>
        <v>Daal, Manon van; de Kanter, Anne-Floor J; Custers, Roel Jh; Martínez-Sanz, Elena; Bredenoord, Annelien L; Graeff, Nienke de</v>
      </c>
      <c r="Z1058" s="31">
        <f>IFERROR(__xludf.DUMMYFUNCTION("""COMPUTED_VALUE"""),2024.0)</f>
        <v>2024</v>
      </c>
      <c r="AA1058" s="31">
        <f>IFERROR(__xludf.DUMMYFUNCTION("""COMPUTED_VALUE"""),0.0)</f>
        <v>0</v>
      </c>
      <c r="AF1058" s="31" t="str">
        <f>IFERROR(__xludf.DUMMYFUNCTION("""COMPUTED_VALUE"""),"Management of type 2 diabetes: a challenge for patient and physician.")</f>
        <v>Management of type 2 diabetes: a challenge for patient and physician.</v>
      </c>
      <c r="AG1058" s="31" t="str">
        <f>IFERROR(__xludf.DUMMYFUNCTION("""COMPUTED_VALUE"""),"van den Arend, I J; Stolk, R P; Krans, H M; Grobbee, D E; Schrijvers, A J")</f>
        <v>van den Arend, I J; Stolk, R P; Krans, H M; Grobbee, D E; Schrijvers, A J</v>
      </c>
      <c r="AH1058" s="32">
        <f>IFERROR(__xludf.DUMMYFUNCTION("""COMPUTED_VALUE"""),36647.0)</f>
        <v>36647</v>
      </c>
    </row>
    <row r="1059">
      <c r="A1059" s="32"/>
      <c r="I1059" s="31" t="str">
        <f>IFERROR(__xludf.DUMMYFUNCTION("""COMPUTED_VALUE"""),"journal of the american board of family medicine jabfm")</f>
        <v>journal of the american board of family medicine jabfm</v>
      </c>
      <c r="J1059" s="38">
        <f>COUNTIF(Data!$F$2:$F9917, $I1059)</f>
        <v>1</v>
      </c>
      <c r="T1059" s="31" t="s">
        <v>3338</v>
      </c>
      <c r="U1059" s="31" t="s">
        <v>3339</v>
      </c>
      <c r="V1059" s="32">
        <v>44965.0</v>
      </c>
      <c r="X1059" s="31" t="str">
        <f>IFERROR(__xludf.DUMMYFUNCTION("""COMPUTED_VALUE"""),"Coping Strategies of Patients With Advanced Lung or Colorectal Cancer Over Time: Insights From the International ACTION Study.")</f>
        <v>Coping Strategies of Patients With Advanced Lung or Colorectal Cancer Over Time: Insights From the International ACTION Study.</v>
      </c>
      <c r="Y1059" s="31" t="str">
        <f>IFERROR(__xludf.DUMMYFUNCTION("""COMPUTED_VALUE"""),"Luu, K L; Mager, P; Nieboer, D; Witkamp, F E; Jabbarian, L J; Payne, S; Groenvold, M; Pollock, K; Miccinesi, G; Deliens, L; van Delden, J J M; van der Heide, A; Korfage, I J; Rietjens, J A C; ,")</f>
        <v>Luu, K L; Mager, P; Nieboer, D; Witkamp, F E; Jabbarian, L J; Payne, S; Groenvold, M; Pollock, K; Miccinesi, G; Deliens, L; van Delden, J J M; van der Heide, A; Korfage, I J; Rietjens, J A C; ,</v>
      </c>
      <c r="Z1059" s="31">
        <f>IFERROR(__xludf.DUMMYFUNCTION("""COMPUTED_VALUE"""),2024.0)</f>
        <v>2024</v>
      </c>
      <c r="AA1059" s="31">
        <f>IFERROR(__xludf.DUMMYFUNCTION("""COMPUTED_VALUE"""),0.0)</f>
        <v>0</v>
      </c>
      <c r="AF1059" s="31" t="str">
        <f>IFERROR(__xludf.DUMMYFUNCTION("""COMPUTED_VALUE"""),"Hypertension and breast cancer risk in a 19-year follow-up study (the DOM cohort). Diagnostic investigation into mammarian cancer.")</f>
        <v>Hypertension and breast cancer risk in a 19-year follow-up study (the DOM cohort). Diagnostic investigation into mammarian cancer.</v>
      </c>
      <c r="AG1059" s="31" t="str">
        <f>IFERROR(__xludf.DUMMYFUNCTION("""COMPUTED_VALUE"""),"Peeters, P H; van Noord, P A; Hoes, A W; Fracheboud, J; Gimbrère, C H; Grobbee, D E")</f>
        <v>Peeters, P H; van Noord, P A; Hoes, A W; Fracheboud, J; Gimbrère, C H; Grobbee, D E</v>
      </c>
      <c r="AH1059" s="32">
        <f>IFERROR(__xludf.DUMMYFUNCTION("""COMPUTED_VALUE"""),36586.0)</f>
        <v>36586</v>
      </c>
    </row>
    <row r="1060">
      <c r="A1060" s="32"/>
      <c r="I1060" s="31" t="str">
        <f>IFERROR(__xludf.DUMMYFUNCTION("""COMPUTED_VALUE"""),"the journal of frailty aging")</f>
        <v>the journal of frailty aging</v>
      </c>
      <c r="J1060" s="38">
        <f>COUNTIF(Data!$F$2:$F9917, $I1060)</f>
        <v>1</v>
      </c>
      <c r="T1060" s="31" t="s">
        <v>3342</v>
      </c>
      <c r="U1060" s="31" t="s">
        <v>3343</v>
      </c>
      <c r="V1060" s="32">
        <v>44964.0</v>
      </c>
      <c r="X1060" s="31" t="str">
        <f>IFERROR(__xludf.DUMMYFUNCTION("""COMPUTED_VALUE"""),"Risk of cardiovascular disease in elderly subjects with obesity and liver fibrosis and the potential benefit of statin treatment.")</f>
        <v>Risk of cardiovascular disease in elderly subjects with obesity and liver fibrosis and the potential benefit of statin treatment.</v>
      </c>
      <c r="Y1060" s="31" t="str">
        <f>IFERROR(__xludf.DUMMYFUNCTION("""COMPUTED_VALUE"""),"Theel, Willy B; de Jong, Vivian D; Castro Cabezas, Manuel; Grobbee, Diederick E; Jukema, Johan W; Trompet, Stella")</f>
        <v>Theel, Willy B; de Jong, Vivian D; Castro Cabezas, Manuel; Grobbee, Diederick E; Jukema, Johan W; Trompet, Stella</v>
      </c>
      <c r="Z1060" s="31">
        <f>IFERROR(__xludf.DUMMYFUNCTION("""COMPUTED_VALUE"""),2024.0)</f>
        <v>2024</v>
      </c>
      <c r="AA1060" s="31">
        <f>IFERROR(__xludf.DUMMYFUNCTION("""COMPUTED_VALUE"""),0.0)</f>
        <v>0</v>
      </c>
      <c r="AF1060" s="31" t="str">
        <f>IFERROR(__xludf.DUMMYFUNCTION("""COMPUTED_VALUE"""),"Osteoporosis and salt intake.")</f>
        <v>Osteoporosis and salt intake.</v>
      </c>
      <c r="AG1060" s="31" t="str">
        <f>IFERROR(__xludf.DUMMYFUNCTION("""COMPUTED_VALUE"""),"Burger, H; Grobbee, D E; Drüeke, T")</f>
        <v>Burger, H; Grobbee, D E; Drüeke, T</v>
      </c>
      <c r="AH1060" s="32">
        <f>IFERROR(__xludf.DUMMYFUNCTION("""COMPUTED_VALUE"""),36557.0)</f>
        <v>36557</v>
      </c>
    </row>
    <row r="1061">
      <c r="A1061" s="32"/>
      <c r="I1061" s="31" t="str">
        <f>IFERROR(__xludf.DUMMYFUNCTION("""COMPUTED_VALUE"""),"handbook of clinical neurology")</f>
        <v>handbook of clinical neurology</v>
      </c>
      <c r="J1061" s="38">
        <f>COUNTIF(Data!$F$2:$F9917, $I1061)</f>
        <v>1</v>
      </c>
      <c r="T1061" s="31" t="s">
        <v>3346</v>
      </c>
      <c r="U1061" s="31" t="s">
        <v>3343</v>
      </c>
      <c r="V1061" s="32">
        <v>44964.0</v>
      </c>
      <c r="X1061" s="31" t="str">
        <f>IFERROR(__xludf.DUMMYFUNCTION("""COMPUTED_VALUE"""),"Efficacy and safety of a novel low-dose triple single-pill combination of telmisartan, amlodipine and indapamide, compared with dual combinations for treatment of hypertension: a randomised, double-blind, active-controlled, international clinical trial.")</f>
        <v>Efficacy and safety of a novel low-dose triple single-pill combination of telmisartan, amlodipine and indapamide, compared with dual combinations for treatment of hypertension: a randomised, double-blind, active-controlled, international clinical trial.</v>
      </c>
      <c r="Y1061" s="31" t="str">
        <f>IFERROR(__xludf.DUMMYFUNCTION("""COMPUTED_VALUE"""),"Rodgers, Anthony; Salam, Abdul; Schutte, Aletta E; Cushman, William C; de Silva, H Asita; Di Tanna, Gian Luca; Grobbee, Diederick E; Narkiewicz, Krzysztof; Ojji, Dike B; Poulter, Neil R; Schlaich, Markus P; Oparil, Suzanne; Spiering, Wilko; Williams, Brya"&amp;"n; Wright, Jackson T; Lakshman, P; Uluwattage, W; Hay, P; Pereira, T; Amarasena, N; Ranasinghe, G; Gianacas, Chris; Shanthakumar, Mathangi; Liu, Xiaoqiu; Wang, Nelson; Gnanenthiran, Sonali R; Whelton, Paul K; ,")</f>
        <v>Rodgers, Anthony; Salam, Abdul; Schutte, Aletta E; Cushman, William C; de Silva, H Asita; Di Tanna, Gian Luca; Grobbee, Diederick E; Narkiewicz, Krzysztof; Ojji, Dike B; Poulter, Neil R; Schlaich, Markus P; Oparil, Suzanne; Spiering, Wilko; Williams, Bryan; Wright, Jackson T; Lakshman, P; Uluwattage, W; Hay, P; Pereira, T; Amarasena, N; Ranasinghe, G; Gianacas, Chris; Shanthakumar, Mathangi; Liu, Xiaoqiu; Wang, Nelson; Gnanenthiran, Sonali R; Whelton, Paul K; ,</v>
      </c>
      <c r="Z1061" s="31">
        <f>IFERROR(__xludf.DUMMYFUNCTION("""COMPUTED_VALUE"""),2024.0)</f>
        <v>2024</v>
      </c>
      <c r="AA1061" s="31">
        <f>IFERROR(__xludf.DUMMYFUNCTION("""COMPUTED_VALUE"""),0.0)</f>
        <v>0</v>
      </c>
      <c r="AF1061" s="31" t="str">
        <f>IFERROR(__xludf.DUMMYFUNCTION("""COMPUTED_VALUE"""),"Calcium intake and blood pressure: an update.")</f>
        <v>Calcium intake and blood pressure: an update.</v>
      </c>
      <c r="AG1061" s="31" t="str">
        <f>IFERROR(__xludf.DUMMYFUNCTION("""COMPUTED_VALUE"""),"Geleijnse, J M; Grobbee, D E")</f>
        <v>Geleijnse, J M; Grobbee, D E</v>
      </c>
      <c r="AH1061" s="32">
        <f>IFERROR(__xludf.DUMMYFUNCTION("""COMPUTED_VALUE"""),36557.0)</f>
        <v>36557</v>
      </c>
    </row>
    <row r="1062">
      <c r="A1062" s="32"/>
      <c r="I1062" s="31" t="str">
        <f>IFERROR(__xludf.DUMMYFUNCTION("""COMPUTED_VALUE"""),"the international journal of risk safety in medicine")</f>
        <v>the international journal of risk safety in medicine</v>
      </c>
      <c r="J1062" s="38">
        <f>COUNTIF(Data!$F$2:$F9917, $I1062)</f>
        <v>1</v>
      </c>
      <c r="T1062" s="31" t="s">
        <v>3349</v>
      </c>
      <c r="U1062" s="31" t="s">
        <v>3350</v>
      </c>
      <c r="V1062" s="32">
        <v>44963.0</v>
      </c>
      <c r="X1062" s="31" t="str">
        <f>IFERROR(__xludf.DUMMYFUNCTION("""COMPUTED_VALUE"""),"Cardiovascular and Renal Treatment in Heart Failure Patients With Hyperkalemia or High Risk of Hyperkalemia: Rationale and Design of the CARE-HK in HF Registry.")</f>
        <v>Cardiovascular and Renal Treatment in Heart Failure Patients With Hyperkalemia or High Risk of Hyperkalemia: Rationale and Design of the CARE-HK in HF Registry.</v>
      </c>
      <c r="Y1062" s="31" t="str">
        <f>IFERROR(__xludf.DUMMYFUNCTION("""COMPUTED_VALUE"""),"Greene, Stephen J; Böhm, Michael; Bozkurt, Biykem; Butler, Javed; Cleland, John G F; Coats, Andrew J S; Desai, Nihar R; Grobbee, Diederick E; Kelepouris, Ellie; Pinto, Fausto; Rosano, Giuseppe; Morin, Isabelle; Szecsödy, Peter; Fabien, Solenn; Waechter, S"&amp;"andra; Crespo-Leiro, Maria G; Hülsmann, Martin; Kempf, Tibor; Pfister, Otmar; Pouleur, Anne-Catherine; Sauer, Andrew J; Saxena, Manish; Schulz, Martin; Volterrani, Maurizio; Anker, Stefan D; Kosiborod, Mikhail N")</f>
        <v>Greene, Stephen J; Böhm, Michael; Bozkurt, Biykem; Butler, Javed; Cleland, John G F; Coats, Andrew J S; Desai, Nihar R; Grobbee, Diederick E; Kelepouris, Ellie; Pinto, Fausto; Rosano, Giuseppe; Morin, Isabelle; Szecsödy, Peter; Fabien, Solenn; Waechter, Sandra; Crespo-Leiro, Maria G; Hülsmann, Martin; Kempf, Tibor; Pfister, Otmar; Pouleur, Anne-Catherine; Sauer, Andrew J; Saxena, Manish; Schulz, Martin; Volterrani, Maurizio; Anker, Stefan D; Kosiborod, Mikhail N</v>
      </c>
      <c r="Z1062" s="31">
        <f>IFERROR(__xludf.DUMMYFUNCTION("""COMPUTED_VALUE"""),2024.0)</f>
        <v>2024</v>
      </c>
      <c r="AA1062" s="31">
        <f>IFERROR(__xludf.DUMMYFUNCTION("""COMPUTED_VALUE"""),0.0)</f>
        <v>0</v>
      </c>
      <c r="AF1062" s="31" t="str">
        <f>IFERROR(__xludf.DUMMYFUNCTION("""COMPUTED_VALUE"""),"Insulin resistance syndrome and left ventricular mass in an elderly population (The Rotterdam Study).")</f>
        <v>Insulin resistance syndrome and left ventricular mass in an elderly population (The Rotterdam Study).</v>
      </c>
      <c r="AG1062" s="31" t="str">
        <f>IFERROR(__xludf.DUMMYFUNCTION("""COMPUTED_VALUE"""),"Rheeder, P; Stolk, R P; Mosterd, A; Pols, H A; Hofman, A; Grobbee, D E")</f>
        <v>Rheeder, P; Stolk, R P; Mosterd, A; Pols, H A; Hofman, A; Grobbee, D E</v>
      </c>
      <c r="AH1062" s="32">
        <f>IFERROR(__xludf.DUMMYFUNCTION("""COMPUTED_VALUE"""),36356.0)</f>
        <v>36356</v>
      </c>
    </row>
    <row r="1063">
      <c r="A1063" s="32"/>
      <c r="I1063" s="31" t="str">
        <f>IFERROR(__xludf.DUMMYFUNCTION("""COMPUTED_VALUE"""),"tissue engineering part a")</f>
        <v>tissue engineering part a</v>
      </c>
      <c r="J1063" s="38">
        <f>COUNTIF(Data!$F$2:$F9917, $I1063)</f>
        <v>1</v>
      </c>
      <c r="T1063" s="31" t="s">
        <v>3354</v>
      </c>
      <c r="U1063" s="31" t="s">
        <v>3355</v>
      </c>
      <c r="V1063" s="32">
        <v>44959.0</v>
      </c>
      <c r="X1063" s="31" t="str">
        <f>IFERROR(__xludf.DUMMYFUNCTION("""COMPUTED_VALUE"""),"Combination blood pressure lowering therapy in patients with type 2 diabetes: messages from the ADVANCE trial.")</f>
        <v>Combination blood pressure lowering therapy in patients with type 2 diabetes: messages from the ADVANCE trial.</v>
      </c>
      <c r="Y1063" s="31" t="str">
        <f>IFERROR(__xludf.DUMMYFUNCTION("""COMPUTED_VALUE"""),"Wang, Nelson; Chalmers, John; Harris, Katie; Poulter, Neil; Mancia, Giuseppe; Harrap, Stephen; Hamet, Pavel; Grobbee, Diederick E; Marre, Michel; Woodward, Mark")</f>
        <v>Wang, Nelson; Chalmers, John; Harris, Katie; Poulter, Neil; Mancia, Giuseppe; Harrap, Stephen; Hamet, Pavel; Grobbee, Diederick E; Marre, Michel; Woodward, Mark</v>
      </c>
      <c r="Z1063" s="31">
        <f>IFERROR(__xludf.DUMMYFUNCTION("""COMPUTED_VALUE"""),2024.0)</f>
        <v>2024</v>
      </c>
      <c r="AA1063" s="31">
        <f>IFERROR(__xludf.DUMMYFUNCTION("""COMPUTED_VALUE"""),0.0)</f>
        <v>0</v>
      </c>
      <c r="AF1063" s="31" t="str">
        <f>IFERROR(__xludf.DUMMYFUNCTION("""COMPUTED_VALUE"""),"Socioeconomic differences in stroke among Dutch elderly women: the Rotterdam Study.")</f>
        <v>Socioeconomic differences in stroke among Dutch elderly women: the Rotterdam Study.</v>
      </c>
      <c r="AG1063" s="31" t="str">
        <f>IFERROR(__xludf.DUMMYFUNCTION("""COMPUTED_VALUE"""),"van Rossum, C T; van de Mheen, H; Breteler, M M; Grobbee, D E; Mackenbach, J P")</f>
        <v>van Rossum, C T; van de Mheen, H; Breteler, M M; Grobbee, D E; Mackenbach, J P</v>
      </c>
      <c r="AH1063" s="32">
        <f>IFERROR(__xludf.DUMMYFUNCTION("""COMPUTED_VALUE"""),36192.0)</f>
        <v>36192</v>
      </c>
    </row>
    <row r="1064">
      <c r="A1064" s="32"/>
      <c r="I1064" s="31" t="str">
        <f>IFERROR(__xludf.DUMMYFUNCTION("""COMPUTED_VALUE"""),"international journal of clinical practice supplement")</f>
        <v>international journal of clinical practice supplement</v>
      </c>
      <c r="J1064" s="38">
        <f>COUNTIF(Data!$F$2:$F9917, $I1064)</f>
        <v>1</v>
      </c>
      <c r="T1064" s="31" t="s">
        <v>3358</v>
      </c>
      <c r="U1064" s="31" t="s">
        <v>3359</v>
      </c>
      <c r="V1064" s="32">
        <v>44959.0</v>
      </c>
      <c r="X1064" s="31" t="str">
        <f>IFERROR(__xludf.DUMMYFUNCTION("""COMPUTED_VALUE"""),"Spectrum of Heart Diseases in Children in a National Cardiac Referral Center Tanzania, Eastern Africa: A Six-Year Overview.")</f>
        <v>Spectrum of Heart Diseases in Children in a National Cardiac Referral Center Tanzania, Eastern Africa: A Six-Year Overview.</v>
      </c>
      <c r="Y1064" s="31" t="str">
        <f>IFERROR(__xludf.DUMMYFUNCTION("""COMPUTED_VALUE"""),"Majani, Naizihijwa G; Koster, Joëlle R; Kalezi, Zawadi E; Letara, Nuru; Nkya, Deogratias; Mongela, Stella; Kubhoja, Sulende; Sharau, Godwin; Mlawi, Vivienne; Grobbee, Diederick E; Slieker, Martijn G; Chillo, Pilly; Janabi, Mohamed; Kisenge, Peter")</f>
        <v>Majani, Naizihijwa G; Koster, Joëlle R; Kalezi, Zawadi E; Letara, Nuru; Nkya, Deogratias; Mongela, Stella; Kubhoja, Sulende; Sharau, Godwin; Mlawi, Vivienne; Grobbee, Diederick E; Slieker, Martijn G; Chillo, Pilly; Janabi, Mohamed; Kisenge, Peter</v>
      </c>
      <c r="Z1064" s="31">
        <f>IFERROR(__xludf.DUMMYFUNCTION("""COMPUTED_VALUE"""),2024.0)</f>
        <v>2024</v>
      </c>
      <c r="AA1064" s="31">
        <f>IFERROR(__xludf.DUMMYFUNCTION("""COMPUTED_VALUE"""),0.0)</f>
        <v>0</v>
      </c>
      <c r="AF1064" s="31" t="str">
        <f>IFERROR(__xludf.DUMMYFUNCTION("""COMPUTED_VALUE"""),"Diet and pravastatin in moderate hypercholesterolaemia: a randomized trial in 215 middle-aged men free from cardiovascular disease.")</f>
        <v>Diet and pravastatin in moderate hypercholesterolaemia: a randomized trial in 215 middle-aged men free from cardiovascular disease.</v>
      </c>
      <c r="AG1064" s="31" t="str">
        <f>IFERROR(__xludf.DUMMYFUNCTION("""COMPUTED_VALUE"""),"Bak, A A; Huizer, J; Leijten, P A; Rila, H; Grobbee, D E")</f>
        <v>Bak, A A; Huizer, J; Leijten, P A; Rila, H; Grobbee, D E</v>
      </c>
      <c r="AH1064" s="32">
        <f>IFERROR(__xludf.DUMMYFUNCTION("""COMPUTED_VALUE"""),36100.0)</f>
        <v>36100</v>
      </c>
    </row>
    <row r="1065">
      <c r="A1065" s="32"/>
      <c r="I1065" s="31" t="str">
        <f>IFERROR(__xludf.DUMMYFUNCTION("""COMPUTED_VALUE"""),"the spine journal official journal of the north american spine society")</f>
        <v>the spine journal official journal of the north american spine society</v>
      </c>
      <c r="J1065" s="38">
        <f>COUNTIF(Data!$F$2:$F9917, $I1065)</f>
        <v>1</v>
      </c>
      <c r="T1065" s="31" t="s">
        <v>3362</v>
      </c>
      <c r="U1065" s="31" t="s">
        <v>3363</v>
      </c>
      <c r="V1065" s="32">
        <v>44958.0</v>
      </c>
      <c r="X1065" s="31" t="str">
        <f>IFERROR(__xludf.DUMMYFUNCTION("""COMPUTED_VALUE"""),"Eligibility of Asian and European registry patients for phase III trials in heart failure with reduced ejection fraction.")</f>
        <v>Eligibility of Asian and European registry patients for phase III trials in heart failure with reduced ejection fraction.</v>
      </c>
      <c r="Y1065" s="31" t="str">
        <f>IFERROR(__xludf.DUMMYFUNCTION("""COMPUTED_VALUE"""),"Lim, Yvonne Mei Fong; Asselbergs, Folkert W; Bagheri, Ayoub; Denaxas, Spiros; Tay, Wan Ting; Voors, Adriaan; Lam, Carolyn Su Ping; Koudstaal, Stefan; Grobbee, Diederick E; Vaartjes, Ilonca")</f>
        <v>Lim, Yvonne Mei Fong; Asselbergs, Folkert W; Bagheri, Ayoub; Denaxas, Spiros; Tay, Wan Ting; Voors, Adriaan; Lam, Carolyn Su Ping; Koudstaal, Stefan; Grobbee, Diederick E; Vaartjes, Ilonca</v>
      </c>
      <c r="Z1065" s="31">
        <f>IFERROR(__xludf.DUMMYFUNCTION("""COMPUTED_VALUE"""),2024.0)</f>
        <v>2024</v>
      </c>
      <c r="AA1065" s="31">
        <f>IFERROR(__xludf.DUMMYFUNCTION("""COMPUTED_VALUE"""),0.0)</f>
        <v>0</v>
      </c>
      <c r="AF1065" s="31" t="str">
        <f>IFERROR(__xludf.DUMMYFUNCTION("""COMPUTED_VALUE"""),"An epidemic of heart failure? Recent evidence from Europe.")</f>
        <v>An epidemic of heart failure? Recent evidence from Europe.</v>
      </c>
      <c r="AG1065" s="31" t="str">
        <f>IFERROR(__xludf.DUMMYFUNCTION("""COMPUTED_VALUE"""),"Hoes, A W; Mosterd, A; Grobbee, D E")</f>
        <v>Hoes, A W; Mosterd, A; Grobbee, D E</v>
      </c>
      <c r="AH1065" s="32">
        <f>IFERROR(__xludf.DUMMYFUNCTION("""COMPUTED_VALUE"""),36069.0)</f>
        <v>36069</v>
      </c>
    </row>
    <row r="1066">
      <c r="A1066" s="32"/>
      <c r="I1066" s="31" t="str">
        <f>IFERROR(__xludf.DUMMYFUNCTION("""COMPUTED_VALUE"""),"transfusion")</f>
        <v>transfusion</v>
      </c>
      <c r="J1066" s="38">
        <f>COUNTIF(Data!$F$2:$F9917, $I1066)</f>
        <v>5</v>
      </c>
      <c r="T1066" s="31" t="s">
        <v>3367</v>
      </c>
      <c r="U1066" s="31" t="s">
        <v>3368</v>
      </c>
      <c r="V1066" s="32">
        <v>44958.0</v>
      </c>
      <c r="X1066" s="31" t="str">
        <f>IFERROR(__xludf.DUMMYFUNCTION("""COMPUTED_VALUE"""),"Genome-wide association analysis provides insights into the molecular etiology of dilated cardiomyopathy.")</f>
        <v>Genome-wide association analysis provides insights into the molecular etiology of dilated cardiomyopathy.</v>
      </c>
      <c r="Y1066" s="31" t="str">
        <f>IFERROR(__xludf.DUMMYFUNCTION("""COMPUTED_VALUE"""),"Zheng, Sean L; Henry, Albert; Cannie, Douglas; Lee, Michael; Miller, David; McGurk, Kathryn A; Bond, Isabelle; Xu, Xiao; Issa, Hanane; Francis, Catherine; De Marvao, Antonio; Theotokis, Pantazis I; Buchan, Rachel J; Speed, Doug; Abner, Erik; Adams, Lance;"&amp;" Aragam, Krishna G; Ärnlöv, Johan; Raja, Anna Axelsson; Backman, Joshua D; Baksi, John; Barton, Paul J R; Biddinger, Kiran J; Boersma, Eric; Brandimarto, Jeffrey; Brunak, Søren; Bundgaard, Henning; Carey, David J; Charron, Philippe; Cook, James P; Cook, S"&amp;"tuart A; Denaxas, Spiros; Deleuze, Jean-François; Doney, Alexander S; Elliott, Perry; Erikstrup, Christian; Esko, Tõnu; Farber-Eger, Eric H; Finan, Chris; Garnier, Sophie; Ghouse, Jonas; Giedraitis, Vilmantas; Guðbjartsson, Daniel F; Haggerty, Christopher"&amp;" M; Halliday, Brian P; Helgadottir, Anna; Hemingway, Harry; Hillege, Hans L; Kardys, Isabella; Lind, Lars; Lindgren, Cecilia M; Lowery, Brandon D; Manisty, Charlotte; Margulies, Kenneth B; Moon, James C; Mordi, Ify R; Morley, Michael P")</f>
        <v>Zheng, Sean L; Henry, Albert; Cannie, Douglas; Lee, Michael; Miller, David; McGurk, Kathryn A; Bond, Isabelle; Xu, Xiao; Issa, Hanane; Francis, Catherine; De Marvao, Antonio; Theotokis, Pantazis I; Buchan, Rachel J; Speed, Doug; Abner, Erik; Adams, Lance; Aragam, Krishna G; Ärnlöv, Johan; Raja, Anna Axelsson; Backman, Joshua D; Baksi, John; Barton, Paul J R; Biddinger, Kiran J; Boersma, Eric; Brandimarto, Jeffrey; Brunak, Søren; Bundgaard, Henning; Carey, David J; Charron, Philippe; Cook, James P; Cook, Stuart A; Denaxas, Spiros; Deleuze, Jean-François; Doney, Alexander S; Elliott, Perry; Erikstrup, Christian; Esko, Tõnu; Farber-Eger, Eric H; Finan, Chris; Garnier, Sophie; Ghouse, Jonas; Giedraitis, Vilmantas; Guðbjartsson, Daniel F; Haggerty, Christopher M; Halliday, Brian P; Helgadottir, Anna; Hemingway, Harry; Hillege, Hans L; Kardys, Isabella; Lind, Lars; Lindgren, Cecilia M; Lowery, Brandon D; Manisty, Charlotte; Margulies, Kenneth B; Moon, James C; Mordi, Ify R; Morley, Michael P</v>
      </c>
      <c r="Z1066" s="31">
        <f>IFERROR(__xludf.DUMMYFUNCTION("""COMPUTED_VALUE"""),2024.0)</f>
        <v>2024</v>
      </c>
      <c r="AA1066" s="31">
        <f>IFERROR(__xludf.DUMMYFUNCTION("""COMPUTED_VALUE"""),0.0)</f>
        <v>0</v>
      </c>
      <c r="AF1066" s="31" t="str">
        <f>IFERROR(__xludf.DUMMYFUNCTION("""COMPUTED_VALUE"""),"Hypertension, antihypertensive drugs, and mortality from cancer among women.")</f>
        <v>Hypertension, antihypertensive drugs, and mortality from cancer among women.</v>
      </c>
      <c r="AG1066" s="31" t="str">
        <f>IFERROR(__xludf.DUMMYFUNCTION("""COMPUTED_VALUE"""),"Peeters, P H; van Noord, P A; Hoes, A W; Grobbee, D E")</f>
        <v>Peeters, P H; van Noord, P A; Hoes, A W; Grobbee, D E</v>
      </c>
      <c r="AH1066" s="32">
        <f>IFERROR(__xludf.DUMMYFUNCTION("""COMPUTED_VALUE"""),35977.0)</f>
        <v>35977</v>
      </c>
    </row>
    <row r="1067">
      <c r="A1067" s="32"/>
      <c r="I1067" s="31" t="str">
        <f>IFERROR(__xludf.DUMMYFUNCTION("""COMPUTED_VALUE"""),"the annals of thoracic surgery")</f>
        <v>the annals of thoracic surgery</v>
      </c>
      <c r="J1067" s="38">
        <f>COUNTIF(Data!$F$2:$F9917, $I1067)</f>
        <v>2</v>
      </c>
      <c r="T1067" s="31" t="s">
        <v>3371</v>
      </c>
      <c r="U1067" s="31" t="s">
        <v>3372</v>
      </c>
      <c r="V1067" s="32">
        <v>44958.0</v>
      </c>
      <c r="X1067" s="31" t="str">
        <f>IFERROR(__xludf.DUMMYFUNCTION("""COMPUTED_VALUE"""),"The association of overweight, obesity, and long-term obesity with SARS-CoV-2 infection: a meta-analysis of 9 population-based cohorts from the Netherlands Cohorts Consortium.")</f>
        <v>The association of overweight, obesity, and long-term obesity with SARS-CoV-2 infection: a meta-analysis of 9 population-based cohorts from the Netherlands Cohorts Consortium.</v>
      </c>
      <c r="Y1067" s="31" t="str">
        <f>IFERROR(__xludf.DUMMYFUNCTION("""COMPUTED_VALUE"""),"Loef, Bette; Boer, Jolanda M A; Beekman, Marian; Campman, Sophie L; Hoogendijk, Emiel O; Huider, Floris; Pagen, Demi M E; Splinter, Marije J; van der Velde, Jeroen H P M; Boomsma, Dorret I; Dagnelie, Pieter C; van Dongen, Jenny; de Geus, Eco J C; Huisman,"&amp;" Martijn; Ikram, M Arfan; Koster, Annemarie; Licher, Silvan; Mierau, Jochen O; de Mutsert, Renée; Picavet, H Susan J; Rosendaal, Frits R; Schram, Miranda T; Slagboom, P Eline; van der Spoel, Evie; Stronks, Karien; Verschuren, W M Monique; van den Berg, Sa"&amp;"skia W; ,")</f>
        <v>Loef, Bette; Boer, Jolanda M A; Beekman, Marian; Campman, Sophie L; Hoogendijk, Emiel O; Huider, Floris; Pagen, Demi M E; Splinter, Marije J; van der Velde, Jeroen H P M; Boomsma, Dorret I; Dagnelie, Pieter C; van Dongen, Jenny; de Geus, Eco J C; Huisman, Martijn; Ikram, M Arfan; Koster, Annemarie; Licher, Silvan; Mierau, Jochen O; de Mutsert, Renée; Picavet, H Susan J; Rosendaal, Frits R; Schram, Miranda T; Slagboom, P Eline; van der Spoel, Evie; Stronks, Karien; Verschuren, W M Monique; van den Berg, Saskia W; ,</v>
      </c>
      <c r="Z1067" s="31">
        <f>IFERROR(__xludf.DUMMYFUNCTION("""COMPUTED_VALUE"""),2024.0)</f>
        <v>2024</v>
      </c>
      <c r="AA1067" s="31">
        <f>IFERROR(__xludf.DUMMYFUNCTION("""COMPUTED_VALUE"""),0.0)</f>
        <v>0</v>
      </c>
      <c r="AF1067" s="31" t="str">
        <f>IFERROR(__xludf.DUMMYFUNCTION("""COMPUTED_VALUE"""),"Effects of nitrendipine and enalapril on left ventricular mass in patients with non-insulin-dependent diabetes mellitus and hypertension.")</f>
        <v>Effects of nitrendipine and enalapril on left ventricular mass in patients with non-insulin-dependent diabetes mellitus and hypertension.</v>
      </c>
      <c r="AG1067" s="31" t="str">
        <f>IFERROR(__xludf.DUMMYFUNCTION("""COMPUTED_VALUE"""),"Gerritsen, T A; Bak, A A; Stolk, R P; Jonker, J J; Grobbee, D E")</f>
        <v>Gerritsen, T A; Bak, A A; Stolk, R P; Jonker, J J; Grobbee, D E</v>
      </c>
      <c r="AH1067" s="32">
        <f>IFERROR(__xludf.DUMMYFUNCTION("""COMPUTED_VALUE"""),35916.0)</f>
        <v>35916</v>
      </c>
    </row>
    <row r="1068">
      <c r="A1068" s="32"/>
      <c r="I1068" s="31" t="str">
        <f>IFERROR(__xludf.DUMMYFUNCTION("""COMPUTED_VALUE"""),"diabetes technology therapeutics")</f>
        <v>diabetes technology therapeutics</v>
      </c>
      <c r="J1068" s="38">
        <f>COUNTIF(Data!$F$2:$F9917, $I1068)</f>
        <v>3</v>
      </c>
      <c r="T1068" s="31" t="s">
        <v>3375</v>
      </c>
      <c r="U1068" s="31" t="s">
        <v>3376</v>
      </c>
      <c r="V1068" s="32">
        <v>44958.0</v>
      </c>
      <c r="X1068" s="31" t="str">
        <f>IFERROR(__xludf.DUMMYFUNCTION("""COMPUTED_VALUE"""),"Health characteristics associated with persistence of SARS-CoV-2 antibody responses after repeated vaccinations in older persons over time: the Doetinchem cohort study.")</f>
        <v>Health characteristics associated with persistence of SARS-CoV-2 antibody responses after repeated vaccinations in older persons over time: the Doetinchem cohort study.</v>
      </c>
      <c r="Y1068" s="31" t="str">
        <f>IFERROR(__xludf.DUMMYFUNCTION("""COMPUTED_VALUE"""),"Kuijpers, Yunus; Kaczorowska, Joanna; Picavet, H Susan J; de Zeeuw-Brouwer, Mary-Lène; Kuijer, Marjan; Slits, Irene; Gijsbers, Esther; Rutkens, Ryanne; de Rond, Lia; Verschuren, W M Monique; Buisman, Anne-Marie")</f>
        <v>Kuijpers, Yunus; Kaczorowska, Joanna; Picavet, H Susan J; de Zeeuw-Brouwer, Mary-Lène; Kuijer, Marjan; Slits, Irene; Gijsbers, Esther; Rutkens, Ryanne; de Rond, Lia; Verschuren, W M Monique; Buisman, Anne-Marie</v>
      </c>
      <c r="Z1068" s="31">
        <f>IFERROR(__xludf.DUMMYFUNCTION("""COMPUTED_VALUE"""),2024.0)</f>
        <v>2024</v>
      </c>
      <c r="AA1068" s="31">
        <f>IFERROR(__xludf.DUMMYFUNCTION("""COMPUTED_VALUE"""),0.0)</f>
        <v>0</v>
      </c>
      <c r="AF1068" s="31" t="str">
        <f>IFERROR(__xludf.DUMMYFUNCTION("""COMPUTED_VALUE"""),"Dutch case-control study of anaesthesia-related morbidity and mortality. Rationale and methods.")</f>
        <v>Dutch case-control study of anaesthesia-related morbidity and mortality. Rationale and methods.</v>
      </c>
      <c r="AG1068" s="31" t="str">
        <f>IFERROR(__xludf.DUMMYFUNCTION("""COMPUTED_VALUE"""),"Arbous, M S; Grobbee, D E; van Kleef, J W; Meursing, A E")</f>
        <v>Arbous, M S; Grobbee, D E; van Kleef, J W; Meursing, A E</v>
      </c>
      <c r="AH1068" s="32">
        <f>IFERROR(__xludf.DUMMYFUNCTION("""COMPUTED_VALUE"""),35827.0)</f>
        <v>35827</v>
      </c>
    </row>
    <row r="1069">
      <c r="A1069" s="32"/>
      <c r="I1069" s="31" t="str">
        <f>IFERROR(__xludf.DUMMYFUNCTION("""COMPUTED_VALUE"""),"journal of theoretical biology")</f>
        <v>journal of theoretical biology</v>
      </c>
      <c r="J1069" s="38">
        <f>COUNTIF(Data!$F$2:$F9917, $I1069)</f>
        <v>1</v>
      </c>
      <c r="T1069" s="31" t="s">
        <v>3379</v>
      </c>
      <c r="U1069" s="31" t="s">
        <v>3380</v>
      </c>
      <c r="V1069" s="32">
        <v>44958.0</v>
      </c>
      <c r="X1069" s="31" t="str">
        <f>IFERROR(__xludf.DUMMYFUNCTION("""COMPUTED_VALUE"""),"The role of ultra-processed foods in plant-based diets: associations with human health and environmental sustainability.")</f>
        <v>The role of ultra-processed foods in plant-based diets: associations with human health and environmental sustainability.</v>
      </c>
      <c r="Y1069" s="31" t="str">
        <f>IFERROR(__xludf.DUMMYFUNCTION("""COMPUTED_VALUE"""),"Daas, Merel C; Vellinga, Reina E; Pinho, Maria Gabriela M; Boer, Jolanda M A; Verschuren, W M Monique; van der Schouw, Yvonne T; Van't Veer, Pieter; Biesbroek, Sander")</f>
        <v>Daas, Merel C; Vellinga, Reina E; Pinho, Maria Gabriela M; Boer, Jolanda M A; Verschuren, W M Monique; van der Schouw, Yvonne T; Van't Veer, Pieter; Biesbroek, Sander</v>
      </c>
      <c r="Z1069" s="31">
        <f>IFERROR(__xludf.DUMMYFUNCTION("""COMPUTED_VALUE"""),2024.0)</f>
        <v>2024</v>
      </c>
      <c r="AA1069" s="31">
        <f>IFERROR(__xludf.DUMMYFUNCTION("""COMPUTED_VALUE"""),0.0)</f>
        <v>0</v>
      </c>
      <c r="AF1069" s="31" t="str">
        <f>IFERROR(__xludf.DUMMYFUNCTION("""COMPUTED_VALUE"""),"Methodological aspects of physical activity assessment in epidemiological studies.")</f>
        <v>Methodological aspects of physical activity assessment in epidemiological studies.</v>
      </c>
      <c r="AG1069" s="31" t="str">
        <f>IFERROR(__xludf.DUMMYFUNCTION("""COMPUTED_VALUE"""),"Pols, M A; Peeters, P H; Kemper, H C; Grobbee, D E")</f>
        <v>Pols, M A; Peeters, P H; Kemper, H C; Grobbee, D E</v>
      </c>
      <c r="AH1069" s="32">
        <f>IFERROR(__xludf.DUMMYFUNCTION("""COMPUTED_VALUE"""),35796.0)</f>
        <v>35796</v>
      </c>
    </row>
    <row r="1070">
      <c r="A1070" s="32"/>
      <c r="I1070" s="31" t="str">
        <f>IFERROR(__xludf.DUMMYFUNCTION("""COMPUTED_VALUE"""),"european journal of gastroenterology hepatology")</f>
        <v>european journal of gastroenterology hepatology</v>
      </c>
      <c r="J1070" s="38">
        <f>COUNTIF(Data!$F$2:$F9917, $I1070)</f>
        <v>3</v>
      </c>
      <c r="T1070" s="31" t="s">
        <v>3383</v>
      </c>
      <c r="U1070" s="31" t="s">
        <v>3384</v>
      </c>
      <c r="V1070" s="32">
        <v>44958.0</v>
      </c>
      <c r="X1070" s="31" t="str">
        <f>IFERROR(__xludf.DUMMYFUNCTION("""COMPUTED_VALUE"""),"Association of body shape phenotypes and body fat distribution indexes with inflammatory biomarkers in the European Prospective Investigation into Cancer and Nutrition (EPIC) and UK Biobank.")</f>
        <v>Association of body shape phenotypes and body fat distribution indexes with inflammatory biomarkers in the European Prospective Investigation into Cancer and Nutrition (EPIC) and UK Biobank.</v>
      </c>
      <c r="Y1070" s="31" t="str">
        <f>IFERROR(__xludf.DUMMYFUNCTION("""COMPUTED_VALUE"""),"González-Gil, Esther M; Peruchet-Noray, Laia; Sedlmeier, Anja M; Christakoudi, Sofia; Biessy, Carine; Navionis, Anne-Sophie; Mahamat-Saleh, Yahya; Jaafar, Rola F; Baurecht, Hansjörg; Guevara, Marcela; Etxezarreta, Pilar Amiano; Verschuren, W M Monique; Bo"&amp;"er, Jolanda M A; Olsen, Anja; Tjønneland, Anne; Simeon, Vittorio; Castro-Espin, Carlota; Aune, Dagfinn; Heath, Alicia K; Gunter, Marc; Colorado-Yohar, Sandra M; Zilhão, Nuno R; Dahm, Christina C; Llanaj, Erand; Schulze, Matthias B; Petrova, Dafina; Sieri,"&amp;" Sabina; Ricceri, Fulvio; Masala, Giovanna; Key, Tim; Viallon, Vivian; Rinaldi, Sabina; Freisling, Heinz; Dossus, Laure")</f>
        <v>González-Gil, Esther M; Peruchet-Noray, Laia; Sedlmeier, Anja M; Christakoudi, Sofia; Biessy, Carine; Navionis, Anne-Sophie; Mahamat-Saleh, Yahya; Jaafar, Rola F; Baurecht, Hansjörg; Guevara, Marcela; Etxezarreta, Pilar Amiano; Verschuren, W M Monique; Boer, Jolanda M A; Olsen, Anja; Tjønneland, Anne; Simeon, Vittorio; Castro-Espin, Carlota; Aune, Dagfinn; Heath, Alicia K; Gunter, Marc; Colorado-Yohar, Sandra M; Zilhão, Nuno R; Dahm, Christina C; Llanaj, Erand; Schulze, Matthias B; Petrova, Dafina; Sieri, Sabina; Ricceri, Fulvio; Masala, Giovanna; Key, Tim; Viallon, Vivian; Rinaldi, Sabina; Freisling, Heinz; Dossus, Laure</v>
      </c>
      <c r="Z1070" s="31">
        <f>IFERROR(__xludf.DUMMYFUNCTION("""COMPUTED_VALUE"""),2024.0)</f>
        <v>2024</v>
      </c>
      <c r="AA1070" s="31">
        <f>IFERROR(__xludf.DUMMYFUNCTION("""COMPUTED_VALUE"""),0.0)</f>
        <v>0</v>
      </c>
      <c r="AF1070" s="31" t="str">
        <f>IFERROR(__xludf.DUMMYFUNCTION("""COMPUTED_VALUE"""),"Confounding and indication for treatment in evaluation of drug treatment for hypertension.")</f>
        <v>Confounding and indication for treatment in evaluation of drug treatment for hypertension.</v>
      </c>
      <c r="AG1070" s="31" t="str">
        <f>IFERROR(__xludf.DUMMYFUNCTION("""COMPUTED_VALUE"""),"Grobbee, D E; Hoes, A W")</f>
        <v>Grobbee, D E; Hoes, A W</v>
      </c>
      <c r="AH1070" s="32">
        <f>IFERROR(__xludf.DUMMYFUNCTION("""COMPUTED_VALUE"""),35735.0)</f>
        <v>35735</v>
      </c>
    </row>
    <row r="1071">
      <c r="A1071" s="32"/>
      <c r="I1071" s="31" t="str">
        <f>IFERROR(__xludf.DUMMYFUNCTION("""COMPUTED_VALUE"""),"metabolic syndrome and related disorders")</f>
        <v>metabolic syndrome and related disorders</v>
      </c>
      <c r="J1071" s="38">
        <f>COUNTIF(Data!$F$2:$F9917, $I1071)</f>
        <v>1</v>
      </c>
      <c r="T1071" s="31" t="s">
        <v>3387</v>
      </c>
      <c r="U1071" s="31" t="s">
        <v>3388</v>
      </c>
      <c r="V1071" s="32">
        <v>44957.0</v>
      </c>
      <c r="X1071" s="31" t="str">
        <f>IFERROR(__xludf.DUMMYFUNCTION("""COMPUTED_VALUE"""),"Self-Rated Health among Older Adults: Longitudinal Analyses Examining Sex Differences across Different Birth Cohorts and Educational Levels.")</f>
        <v>Self-Rated Health among Older Adults: Longitudinal Analyses Examining Sex Differences across Different Birth Cohorts and Educational Levels.</v>
      </c>
      <c r="Y1071" s="31" t="str">
        <f>IFERROR(__xludf.DUMMYFUNCTION("""COMPUTED_VALUE"""),"Schaap, Laura A; Sialino, Lena D; de la Court, Feline; van Oostrom, Sandra H; Picavet, H Susan J; Verschuren, W M Monique; Visser, Marjolein; Wijnhoven, Hanneke A H")</f>
        <v>Schaap, Laura A; Sialino, Lena D; de la Court, Feline; van Oostrom, Sandra H; Picavet, H Susan J; Verschuren, W M Monique; Visser, Marjolein; Wijnhoven, Hanneke A H</v>
      </c>
      <c r="Z1071" s="31">
        <f>IFERROR(__xludf.DUMMYFUNCTION("""COMPUTED_VALUE"""),2024.0)</f>
        <v>2024</v>
      </c>
      <c r="AA1071" s="31">
        <f>IFERROR(__xludf.DUMMYFUNCTION("""COMPUTED_VALUE"""),0.0)</f>
        <v>0</v>
      </c>
      <c r="AF1071" s="31" t="str">
        <f>IFERROR(__xludf.DUMMYFUNCTION("""COMPUTED_VALUE"""),"Sudden cardiac death in patients with hypertension. An association with diuretics and beta-blockers?")</f>
        <v>Sudden cardiac death in patients with hypertension. An association with diuretics and beta-blockers?</v>
      </c>
      <c r="AG1071" s="31" t="str">
        <f>IFERROR(__xludf.DUMMYFUNCTION("""COMPUTED_VALUE"""),"Hoes, A W; Grobbee, D E; Lubsen, J")</f>
        <v>Hoes, A W; Grobbee, D E; Lubsen, J</v>
      </c>
      <c r="AH1071" s="32">
        <f>IFERROR(__xludf.DUMMYFUNCTION("""COMPUTED_VALUE"""),35521.0)</f>
        <v>35521</v>
      </c>
    </row>
    <row r="1072">
      <c r="A1072" s="32"/>
      <c r="I1072" s="31" t="str">
        <f>IFERROR(__xludf.DUMMYFUNCTION("""COMPUTED_VALUE"""),"the oncologist")</f>
        <v>the oncologist</v>
      </c>
      <c r="J1072" s="38">
        <f>COUNTIF(Data!$F$2:$F9917, $I1072)</f>
        <v>1</v>
      </c>
      <c r="T1072" s="31" t="s">
        <v>3391</v>
      </c>
      <c r="U1072" s="31" t="s">
        <v>3392</v>
      </c>
      <c r="V1072" s="32">
        <v>44957.0</v>
      </c>
      <c r="X1072" s="31" t="str">
        <f>IFERROR(__xludf.DUMMYFUNCTION("""COMPUTED_VALUE"""),"Examining causal relationships between educational attainment and type 2 diabetes using genetic analysis: findings from the EPIC-InterAct study through Mendelian randomisation.")</f>
        <v>Examining causal relationships between educational attainment and type 2 diabetes using genetic analysis: findings from the EPIC-InterAct study through Mendelian randomisation.</v>
      </c>
      <c r="Y1072" s="31" t="str">
        <f>IFERROR(__xludf.DUMMYFUNCTION("""COMPUTED_VALUE"""),"Macciotta, Alessandra; Sacerdote, Carlotta; Giachino, Claudia; Di Girolamo, Chiara; Franco, Matteo; van der Schouw, Yvonne T; Zamora-Ros, Raul; Weiderpass, Elisabete; Domenighetti, Cloé; Elbaz, Alexis; Truong, Thérèse; Agnoli, Claudia; Bendinelli, Benedet"&amp;"ta; Panico, Salvatore; Vineis, Paolo; Christakoudi, Sofia; Schulze, Matthias B; Katzke, Verena; Bajracharya, Rashmita; Dahm, Christina C; Dalton, Susanne Oksbjerg; Colorado-Yohar, Sandra M; Moreno-Iribas, Conchi; Etxezarreta, Pilar Amiano; Sanchez, María "&amp;"José; Forouhi, Nita G; Wareham, Nicholas; Ricceri, Fulvio")</f>
        <v>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v>
      </c>
      <c r="Z1072" s="31">
        <f>IFERROR(__xludf.DUMMYFUNCTION("""COMPUTED_VALUE"""),2024.0)</f>
        <v>2024</v>
      </c>
      <c r="AA1072" s="31">
        <f>IFERROR(__xludf.DUMMYFUNCTION("""COMPUTED_VALUE"""),0.0)</f>
        <v>0</v>
      </c>
    </row>
    <row r="1073">
      <c r="A1073" s="32"/>
      <c r="I1073" s="31" t="str">
        <f>IFERROR(__xludf.DUMMYFUNCTION("""COMPUTED_VALUE"""),"copd")</f>
        <v>copd</v>
      </c>
      <c r="J1073" s="38">
        <f>COUNTIF(Data!$F$2:$F9917, $I1073)</f>
        <v>1</v>
      </c>
      <c r="T1073" s="31" t="s">
        <v>3395</v>
      </c>
      <c r="U1073" s="31" t="s">
        <v>3396</v>
      </c>
      <c r="V1073" s="32">
        <v>44957.0</v>
      </c>
      <c r="X1073" s="31" t="str">
        <f>IFERROR(__xludf.DUMMYFUNCTION("""COMPUTED_VALUE"""),"Menopause age and type and dementia risk: a pooled analysis of 233 802 women.")</f>
        <v>Menopause age and type and dementia risk: a pooled analysis of 233 802 women.</v>
      </c>
      <c r="Y1073" s="31" t="str">
        <f>IFERROR(__xludf.DUMMYFUNCTION("""COMPUTED_VALUE"""),"Dobson, Annette J; Xu, Zhiwei; Wilson, Louise F; Chung, Hsin-Fang; Sandin, Sven; Van der Schouw, Yvonne T; Demakakos, Panayotes; Weiderpass, Elisabete; Mishra, Gita D")</f>
        <v>Dobson, Annette J; Xu, Zhiwei; Wilson, Louise F; Chung, Hsin-Fang; Sandin, Sven; Van der Schouw, Yvonne T; Demakakos, Panayotes; Weiderpass, Elisabete; Mishra, Gita D</v>
      </c>
      <c r="Z1073" s="31">
        <f>IFERROR(__xludf.DUMMYFUNCTION("""COMPUTED_VALUE"""),2024.0)</f>
        <v>2024</v>
      </c>
      <c r="AA1073" s="31">
        <f>IFERROR(__xludf.DUMMYFUNCTION("""COMPUTED_VALUE"""),0.0)</f>
        <v>0</v>
      </c>
    </row>
    <row r="1074">
      <c r="A1074" s="32"/>
      <c r="I1074" s="31" t="str">
        <f>IFERROR(__xludf.DUMMYFUNCTION("""COMPUTED_VALUE"""),"digestion")</f>
        <v>digestion</v>
      </c>
      <c r="J1074" s="38">
        <f>COUNTIF(Data!$F$2:$F9917, $I1074)</f>
        <v>3</v>
      </c>
      <c r="T1074" s="31" t="s">
        <v>3400</v>
      </c>
      <c r="U1074" s="31" t="s">
        <v>3401</v>
      </c>
      <c r="V1074" s="32">
        <v>44954.0</v>
      </c>
      <c r="X1074" s="31" t="str">
        <f>IFERROR(__xludf.DUMMYFUNCTION("""COMPUTED_VALUE"""),"Association of circulating fatty acids with cardiovascular disease risk: Analysis of individual-level data in three large prospective cohorts and updated meta-analysis.")</f>
        <v>Association of circulating fatty acids with cardiovascular disease risk: Analysis of individual-level data in three large prospective cohorts and updated meta-analysis.</v>
      </c>
      <c r="Y1074" s="31" t="str">
        <f>IFERROR(__xludf.DUMMYFUNCTION("""COMPUTED_VALUE"""),"Shi, Fanchao; Chowdhury, Rajiv; Sofianopoulou, Eleni; Koulman, Albert; Sun, Luanluan; Steur, Marinka; Aleksandrova, Krasimira; Dahm, Christina C; Schulze, Matthias B; van der Schouw, Yvonne T; Agnoli, Claudia; Amiano, Pilar; Boer, Jolanda M A; Bork, Chris"&amp;"tian S; Cabrera-Castro, Natalia; Eichelmann, Fabian; Elbaz, Alexis; Farràs, Marta; Heath, Alicia K; Kaaks, Rudolf; Katzke, Verena; Keski-Rahkonen, Pekka; Masala, Giovanna; Moreno-Iribas, Conchi; Panico, Salvatore; Papier, Keren; Petrova, Dafina; Quirós, J"&amp;" Ramón; Ricceri, Fulvio; Severi, Gianluca; Tjønneland, Anne; Tong, Tammy Y N; Tumino, Rosario; Wareham, Nick; Weiderpass, Elisabete; Di Angelantonio, Emanuele; Forouhi, Nita; Danesh, John; Butterworth, Adam S; Kaptoge, Stephen")</f>
        <v>Shi, Fanchao; Chowdhury, Rajiv; Sofianopoulou, Eleni; Koulman, Albert; Sun, Luanluan; Steur, Marinka; Aleksandrova, Krasimira; Dahm, Christina C; Schulze, Matthias B; van der Schouw, Yvonne T; Agnoli, Claudia; Amiano, Pilar; Boer, Jolanda M A; Bork, Christian S; Cabrera-Castro, Natalia; Eichelmann, Fabian; Elbaz, Alexis; Farràs, Marta; Heath, Alicia K; Kaaks, Rudolf; Katzke, Verena; Keski-Rahkonen, Pekka; Masala, Giovanna; Moreno-Iribas, Conchi; Panico, Salvatore; Papier, Keren; Petrova, Dafina; Quirós, J Ramón; Ricceri, Fulvio; Severi, Gianluca; Tjønneland, Anne; Tong, Tammy Y N; Tumino, Rosario; Wareham, Nick; Weiderpass, Elisabete; Di Angelantonio, Emanuele; Forouhi, Nita; Danesh, John; Butterworth, Adam S; Kaptoge, Stephen</v>
      </c>
      <c r="Z1074" s="31">
        <f>IFERROR(__xludf.DUMMYFUNCTION("""COMPUTED_VALUE"""),2024.0)</f>
        <v>2024</v>
      </c>
      <c r="AA1074" s="31">
        <f>IFERROR(__xludf.DUMMYFUNCTION("""COMPUTED_VALUE"""),0.0)</f>
        <v>0</v>
      </c>
    </row>
    <row r="1075">
      <c r="A1075" s="32"/>
      <c r="I1075" s="31" t="str">
        <f>IFERROR(__xludf.DUMMYFUNCTION("""COMPUTED_VALUE"""),"journal of biopharmaceutical statistics")</f>
        <v>journal of biopharmaceutical statistics</v>
      </c>
      <c r="J1075" s="38">
        <f>COUNTIF(Data!$F$2:$F9917, $I1075)</f>
        <v>1</v>
      </c>
      <c r="T1075" s="31" t="s">
        <v>3404</v>
      </c>
      <c r="U1075" s="31" t="s">
        <v>3405</v>
      </c>
      <c r="V1075" s="32">
        <v>44950.0</v>
      </c>
      <c r="X1075" s="31" t="str">
        <f>IFERROR(__xludf.DUMMYFUNCTION("""COMPUTED_VALUE"""),"Planetary Health Diet Compared to Dutch Dietary Guidelines: Nutritional Content and Adequacy.")</f>
        <v>Planetary Health Diet Compared to Dutch Dietary Guidelines: Nutritional Content and Adequacy.</v>
      </c>
      <c r="Y1075" s="31" t="str">
        <f>IFERROR(__xludf.DUMMYFUNCTION("""COMPUTED_VALUE"""),"Uriza-Pinzón, Julieth Pilar; Verstraete, Femke Fleur; Franco, Oscar H; Artola Arita, Vicente; Nicolaou, Mary; Van der Schouw, Yvonne T")</f>
        <v>Uriza-Pinzón, Julieth Pilar; Verstraete, Femke Fleur; Franco, Oscar H; Artola Arita, Vicente; Nicolaou, Mary; Van der Schouw, Yvonne T</v>
      </c>
      <c r="Z1075" s="31">
        <f>IFERROR(__xludf.DUMMYFUNCTION("""COMPUTED_VALUE"""),2024.0)</f>
        <v>2024</v>
      </c>
      <c r="AA1075" s="31">
        <f>IFERROR(__xludf.DUMMYFUNCTION("""COMPUTED_VALUE"""),0.0)</f>
        <v>0</v>
      </c>
    </row>
    <row r="1076">
      <c r="A1076" s="32"/>
      <c r="I1076" s="31" t="str">
        <f>IFERROR(__xludf.DUMMYFUNCTION("""COMPUTED_VALUE"""),"circulation cardiovascular imaging")</f>
        <v>circulation cardiovascular imaging</v>
      </c>
      <c r="J1076" s="38">
        <f>COUNTIF(Data!$F$2:$F9917, $I1076)</f>
        <v>1</v>
      </c>
      <c r="T1076" s="31" t="s">
        <v>3408</v>
      </c>
      <c r="U1076" s="31" t="s">
        <v>3409</v>
      </c>
      <c r="V1076" s="32">
        <v>44946.0</v>
      </c>
      <c r="X1076" s="31" t="str">
        <f>IFERROR(__xludf.DUMMYFUNCTION("""COMPUTED_VALUE"""),"On the use of the healthy lifestyle index to investigate specific disease outcomes.")</f>
        <v>On the use of the healthy lifestyle index to investigate specific disease outcomes.</v>
      </c>
      <c r="Y1076" s="31" t="str">
        <f>IFERROR(__xludf.DUMMYFUNCTION("""COMPUTED_VALUE"""),"Viallon, Vivian; Freisling, Heinz; Matta, Komodo; Nannsen, Anne Østergaard; Dahm, Christina C; Tjønneland, Anne; Eriksen, Anne Kirstine; Kaaks, Rudolf; Katzke, Verena A; Schulze, Matthias B; Masala, Giovanna; Tagliabue, Giovanna; Simeon, Vittorio; Tumino,"&amp;" Rosario; Milani, Lorenzo; Derksen, Jeroen W G; van der Schouw, Yvonne T; Nøst, Therese Haugdahl; Borch, Kristin Benjaminsen; Sandanger, Torkjel M; Quirós, J Ramón; Rodriguez-Barranco, Miguel; Bonet, Catalina; Aizpurua-Atxega, Amaia; Cirera, Lluís; Guevar"&amp;"a, Marcela; Sundström, Björn; Winkvist, Anna; Heath, Alicia K; Gunter, Marc J; Weiderpass, Elisabete; Johansson, Mattias; Ferrari, Pietro")</f>
        <v>Viallon, Vivian; Freisling, Heinz; Matta, Komodo; Nannsen, Anne Østergaard; Dahm, Christina C; Tjønneland, Anne; Eriksen, Anne Kirstine; Kaaks, Rudolf; Katzke, Verena A; Schulze, Matthias B; Masala, Giovanna; Tagliabue, Giovanna; Simeon, Vittorio; Tumino, Rosario; Milani, Lorenzo; Derksen, Jeroen W G; van der Schouw, Yvonne T; Nøst, Therese Haugdahl; Borch, Kristin Benjaminsen; Sandanger, Torkjel M; Quirós, J Ramón; Rodriguez-Barranco, Miguel; Bonet, Catalina; Aizpurua-Atxega, Amaia; Cirera, Lluís; Guevara, Marcela; Sundström, Björn; Winkvist, Anna; Heath, Alicia K; Gunter, Marc J; Weiderpass, Elisabete; Johansson, Mattias; Ferrari, Pietro</v>
      </c>
      <c r="Z1076" s="31">
        <f>IFERROR(__xludf.DUMMYFUNCTION("""COMPUTED_VALUE"""),2024.0)</f>
        <v>2024</v>
      </c>
      <c r="AA1076" s="31">
        <f>IFERROR(__xludf.DUMMYFUNCTION("""COMPUTED_VALUE"""),0.0)</f>
        <v>0</v>
      </c>
    </row>
    <row r="1077">
      <c r="A1077" s="32"/>
      <c r="I1077" s="31" t="str">
        <f>IFERROR(__xludf.DUMMYFUNCTION("""COMPUTED_VALUE"""),"nature reviews cardiology")</f>
        <v>nature reviews cardiology</v>
      </c>
      <c r="J1077" s="38">
        <f>COUNTIF(Data!$F$2:$F9917, $I1077)</f>
        <v>1</v>
      </c>
      <c r="T1077" s="31" t="s">
        <v>3412</v>
      </c>
      <c r="U1077" s="31" t="s">
        <v>3413</v>
      </c>
      <c r="V1077" s="32">
        <v>44946.0</v>
      </c>
      <c r="X1077" s="31" t="str">
        <f>IFERROR(__xludf.DUMMYFUNCTION("""COMPUTED_VALUE"""),"Association of infertility and recurrent pregnancy loss with the risk of dementia.")</f>
        <v>Association of infertility and recurrent pregnancy loss with the risk of dementia.</v>
      </c>
      <c r="Y1077" s="31" t="str">
        <f>IFERROR(__xludf.DUMMYFUNCTION("""COMPUTED_VALUE"""),"Liang, Chen; Dobson, Annette J; Chung, Hsin-Fang; van der Schouw, Yvonne T; Sandin, Sven; Weiderpass, Elisabete; Mishra, Gita D")</f>
        <v>Liang, Chen; Dobson, Annette J; Chung, Hsin-Fang; van der Schouw, Yvonne T; Sandin, Sven; Weiderpass, Elisabete; Mishra, Gita D</v>
      </c>
      <c r="Z1077" s="31">
        <f>IFERROR(__xludf.DUMMYFUNCTION("""COMPUTED_VALUE"""),2024.0)</f>
        <v>2024</v>
      </c>
      <c r="AA1077" s="31">
        <f>IFERROR(__xludf.DUMMYFUNCTION("""COMPUTED_VALUE"""),0.0)</f>
        <v>0</v>
      </c>
    </row>
    <row r="1078">
      <c r="A1078" s="32"/>
      <c r="I1078" s="31" t="str">
        <f>IFERROR(__xludf.DUMMYFUNCTION("""COMPUTED_VALUE"""),"journal of the american society of echocardiography official publication of the american society of echocardiography")</f>
        <v>journal of the american society of echocardiography official publication of the american society of echocardiography</v>
      </c>
      <c r="J1078" s="38">
        <f>COUNTIF(Data!$F$2:$F9917, $I1078)</f>
        <v>4</v>
      </c>
      <c r="T1078" s="31" t="s">
        <v>3416</v>
      </c>
      <c r="U1078" s="31" t="s">
        <v>3417</v>
      </c>
      <c r="V1078" s="32">
        <v>44946.0</v>
      </c>
      <c r="X1078" s="31" t="str">
        <f>IFERROR(__xludf.DUMMYFUNCTION("""COMPUTED_VALUE"""),"Correction to ""Multiomic Signatures of Traffic-Related Air Pollution in London Reveal Potential Short-Term Perturbations in Gut Microbiome-Related Pathways"".")</f>
        <v>Correction to "Multiomic Signatures of Traffic-Related Air Pollution in London Reveal Potential Short-Term Perturbations in Gut Microbiome-Related Pathways".</v>
      </c>
      <c r="Y1078" s="31" t="str">
        <f>IFERROR(__xludf.DUMMYFUNCTION("""COMPUTED_VALUE"""),"Cheng, Sibo Lucas; Hedges, Michael; Keski-Rahkonen, Pekka; Chatziioannou, Anastasia Chrysovalantou; Scalbert, Augustin; Chung, Kian Fan; Sinharay, Rudy; Green, David C; de Kok, Theo M C M; Vlaanderen, Jelle; Kyrtopoulos, Soterios A; Kelly, Frank; Portenge"&amp;"n, Lützen; Vineis, Paolo; Vermeulen, Roel C H; Chadeau-Hyam, Marc; Dagnino, Sonia")</f>
        <v>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v>
      </c>
      <c r="Z1078" s="31">
        <f>IFERROR(__xludf.DUMMYFUNCTION("""COMPUTED_VALUE"""),2024.0)</f>
        <v>2024</v>
      </c>
      <c r="AA1078" s="31">
        <f>IFERROR(__xludf.DUMMYFUNCTION("""COMPUTED_VALUE"""),0.0)</f>
        <v>0</v>
      </c>
    </row>
    <row r="1079">
      <c r="A1079" s="32"/>
      <c r="I1079" s="31" t="str">
        <f>IFERROR(__xludf.DUMMYFUNCTION("""COMPUTED_VALUE"""),"the journal of asthma official journal of the association for the care of asthma")</f>
        <v>the journal of asthma official journal of the association for the care of asthma</v>
      </c>
      <c r="J1079" s="38">
        <f>COUNTIF(Data!$F$2:$F9917, $I1079)</f>
        <v>1</v>
      </c>
      <c r="T1079" s="31" t="s">
        <v>3420</v>
      </c>
      <c r="U1079" s="31" t="s">
        <v>3421</v>
      </c>
      <c r="V1079" s="32">
        <v>44945.0</v>
      </c>
      <c r="X1079" s="31" t="str">
        <f>IFERROR(__xludf.DUMMYFUNCTION("""COMPUTED_VALUE"""),"Validating polyp and instrument segmentation methods in colonoscopy through Medico 2020 and MedAI 2021 Challenges.")</f>
        <v>Validating polyp and instrument segmentation methods in colonoscopy through Medico 2020 and MedAI 2021 Challenges.</v>
      </c>
      <c r="Y1079" s="31" t="str">
        <f>IFERROR(__xludf.DUMMYFUNCTION("""COMPUTED_VALUE"""),"Jha, Debesh; Sharma, Vanshali; Banik, Debapriya; Bhattacharya, Debayan; Roy, Kaushiki; Hicks, Steven A; Tomar, Nikhil Kumar; Thambawita, Vajira; Krenzer, Adrian; Ji, Ge-Peng; Poudel, Sahadev; Batchkala, George; Alam, Saruar; Ahmed, Awadelrahman M A; Trinh"&amp;", Quoc-Huy; Khan, Zeshan; Nguyen, Tien-Phat; Shrestha, Shruti; Nathan, Sabari; Gwak, Jeonghwan; Jha, Ritika K; Zhang, Zheyuan; Schlaefer, Alexander; Bhattacharjee, Debotosh; Bhuyan, M K; Das, Pradip K; Fan, Deng-Ping; Parasa, Sravanthi; Ali, Sharib; Riegl"&amp;"er, Michael A; Halvorsen, Pål; de Lange, Thomas; Bagci, Ulas")</f>
        <v>Jha, Debesh; Sharma, Vanshali; Banik, Debapriya; Bhattacharya, Debayan; Roy, Kaushiki; Hicks, Steven A; Tomar, Nikhil Kumar; Thambawita, Vajira; Krenzer, Adrian; Ji, Ge-Peng; Poudel, Sahadev; Batchkala, George; Alam, Saruar; Ahmed, Awadelrahman M A; Trinh, Quoc-Huy; Khan, Zeshan; Nguyen, Tien-Phat; Shrestha, Shruti; Nathan, Sabari; Gwak, Jeonghwan; Jha, Ritika K; Zhang, Zheyuan; Schlaefer, Alexander; Bhattacharjee, Debotosh; Bhuyan, M K; Das, Pradip K; Fan, Deng-Ping; Parasa, Sravanthi; Ali, Sharib; Riegler, Michael A; Halvorsen, Pål; de Lange, Thomas; Bagci, Ulas</v>
      </c>
      <c r="Z1079" s="31">
        <f>IFERROR(__xludf.DUMMYFUNCTION("""COMPUTED_VALUE"""),2024.0)</f>
        <v>2024</v>
      </c>
      <c r="AA1079" s="31">
        <f>IFERROR(__xludf.DUMMYFUNCTION("""COMPUTED_VALUE"""),0.0)</f>
        <v>0</v>
      </c>
    </row>
    <row r="1080">
      <c r="A1080" s="32"/>
      <c r="I1080" s="31" t="str">
        <f>IFERROR(__xludf.DUMMYFUNCTION("""COMPUTED_VALUE"""),"theoretical population biology")</f>
        <v>theoretical population biology</v>
      </c>
      <c r="J1080" s="38">
        <f>COUNTIF(Data!$F$2:$F9917, $I1080)</f>
        <v>1</v>
      </c>
      <c r="T1080" s="31" t="s">
        <v>3424</v>
      </c>
      <c r="U1080" s="31" t="s">
        <v>3425</v>
      </c>
      <c r="V1080" s="32">
        <v>44945.0</v>
      </c>
      <c r="X1080" s="31" t="str">
        <f>IFERROR(__xludf.DUMMYFUNCTION("""COMPUTED_VALUE"""),"Perception and experience of HIV-induced stigma among people with HIV seeking healthcare in Ghana.")</f>
        <v>Perception and experience of HIV-induced stigma among people with HIV seeking healthcare in Ghana.</v>
      </c>
      <c r="Y1080" s="31" t="str">
        <f>IFERROR(__xludf.DUMMYFUNCTION("""COMPUTED_VALUE"""),"Mohammed, Aliyu; Cheabu, Benjamin Spears Ngmekpele; Amoah-Larbi, Jerry; Osei, Francis Adjei; Benyah, Georgina; Asampong, Robert; Odoom, Samuel Frimpong; Owusu, Eugene Acheampong; Amanor, Ernest; Idan, Jacob Solomon; Opoku, Douglas Aninng; Boakye, Kingsley"&amp;"; Yeboah, Peter")</f>
        <v>Mohammed, Aliyu; Cheabu, Benjamin Spears Ngmekpele; Amoah-Larbi, Jerry; Osei, Francis Adjei; Benyah, Georgina; Asampong, Robert; Odoom, Samuel Frimpong; Owusu, Eugene Acheampong; Amanor, Ernest; Idan, Jacob Solomon; Opoku, Douglas Aninng; Boakye, Kingsley; Yeboah, Peter</v>
      </c>
      <c r="Z1080" s="31">
        <f>IFERROR(__xludf.DUMMYFUNCTION("""COMPUTED_VALUE"""),2024.0)</f>
        <v>2024</v>
      </c>
      <c r="AA1080" s="31">
        <f>IFERROR(__xludf.DUMMYFUNCTION("""COMPUTED_VALUE"""),0.0)</f>
        <v>0</v>
      </c>
    </row>
    <row r="1081">
      <c r="A1081" s="32"/>
      <c r="I1081" s="31" t="str">
        <f>IFERROR(__xludf.DUMMYFUNCTION("""COMPUTED_VALUE"""),"the journal of nutritional biochemistry")</f>
        <v>the journal of nutritional biochemistry</v>
      </c>
      <c r="J1081" s="38">
        <f>COUNTIF(Data!$F$2:$F9917, $I1081)</f>
        <v>1</v>
      </c>
      <c r="T1081" s="31" t="s">
        <v>3428</v>
      </c>
      <c r="U1081" s="31" t="s">
        <v>3429</v>
      </c>
      <c r="V1081" s="32">
        <v>44944.0</v>
      </c>
      <c r="X1081" s="31" t="str">
        <f>IFERROR(__xludf.DUMMYFUNCTION("""COMPUTED_VALUE"""),"Moderators and mediators of the association between the obesogenicity of neighbourhoods and weight status in Dutch adults.")</f>
        <v>Moderators and mediators of the association between the obesogenicity of neighbourhoods and weight status in Dutch adults.</v>
      </c>
      <c r="Y1081" s="31" t="str">
        <f>IFERROR(__xludf.DUMMYFUNCTION("""COMPUTED_VALUE"""),"van de Geest, Jet D S; Meijer, Paul; Remmelzwaal, Sharon; Lakerveld, Jeroen")</f>
        <v>van de Geest, Jet D S; Meijer, Paul; Remmelzwaal, Sharon; Lakerveld, Jeroen</v>
      </c>
      <c r="Z1081" s="31">
        <f>IFERROR(__xludf.DUMMYFUNCTION("""COMPUTED_VALUE"""),2024.0)</f>
        <v>2024</v>
      </c>
      <c r="AA1081" s="31">
        <f>IFERROR(__xludf.DUMMYFUNCTION("""COMPUTED_VALUE"""),0.0)</f>
        <v>0</v>
      </c>
    </row>
    <row r="1082">
      <c r="A1082" s="32"/>
      <c r="I1082" s="31" t="str">
        <f>IFERROR(__xludf.DUMMYFUNCTION("""COMPUTED_VALUE"""),"geriatrics gerontology international")</f>
        <v>geriatrics gerontology international</v>
      </c>
      <c r="J1082" s="38">
        <f>COUNTIF(Data!$F$2:$F9917, $I1082)</f>
        <v>1</v>
      </c>
      <c r="T1082" s="31" t="s">
        <v>3433</v>
      </c>
      <c r="U1082" s="31" t="s">
        <v>3434</v>
      </c>
      <c r="V1082" s="32">
        <v>44943.0</v>
      </c>
      <c r="X1082" s="31" t="str">
        <f>IFERROR(__xludf.DUMMYFUNCTION("""COMPUTED_VALUE"""),"Nigeria sodium study 2023 policy meeting on dietary sodium reduction in Nigeria.")</f>
        <v>Nigeria sodium study 2023 policy meeting on dietary sodium reduction in Nigeria.</v>
      </c>
      <c r="Y1082" s="31" t="str">
        <f>IFERROR(__xludf.DUMMYFUNCTION("""COMPUTED_VALUE"""),"Ojo, Adedayo E; Alfa, Vanessa O; Huffman, Mark D; Ojji, Dike B")</f>
        <v>Ojo, Adedayo E; Alfa, Vanessa O; Huffman, Mark D; Ojji, Dike B</v>
      </c>
      <c r="Z1082" s="31">
        <f>IFERROR(__xludf.DUMMYFUNCTION("""COMPUTED_VALUE"""),2024.0)</f>
        <v>2024</v>
      </c>
      <c r="AA1082" s="31">
        <f>IFERROR(__xludf.DUMMYFUNCTION("""COMPUTED_VALUE"""),0.0)</f>
        <v>0</v>
      </c>
    </row>
    <row r="1083">
      <c r="A1083" s="32"/>
      <c r="I1083" s="31" t="str">
        <f>IFERROR(__xludf.DUMMYFUNCTION("""COMPUTED_VALUE"""),"american journal of hypertension")</f>
        <v>american journal of hypertension</v>
      </c>
      <c r="J1083" s="38">
        <f>COUNTIF(Data!$F$2:$F9917, $I1083)</f>
        <v>7</v>
      </c>
      <c r="T1083" s="31" t="s">
        <v>3437</v>
      </c>
      <c r="U1083" s="31" t="s">
        <v>3438</v>
      </c>
      <c r="V1083" s="32">
        <v>44943.0</v>
      </c>
      <c r="X1083" s="31" t="str">
        <f>IFERROR(__xludf.DUMMYFUNCTION("""COMPUTED_VALUE"""),"Agreement Between Mega-Trials and Smaller Trials: A Systematic Review and Meta-Research Analysis.")</f>
        <v>Agreement Between Mega-Trials and Smaller Trials: A Systematic Review and Meta-Research Analysis.</v>
      </c>
      <c r="Y1083" s="31" t="str">
        <f>IFERROR(__xludf.DUMMYFUNCTION("""COMPUTED_VALUE"""),"Kastrati, Lum; Raeisi-Dehkordi, Hamidreza; Llanaj, Erand; Quezada-Pinedo, Hugo G; Khatami, Farnaz; Ahanchi, Noushin Sadat; Llane, Adea; Meçani, Renald; Muka, Taulant; Ioannidis, John P A")</f>
        <v>Kastrati, Lum; Raeisi-Dehkordi, Hamidreza; Llanaj, Erand; Quezada-Pinedo, Hugo G; Khatami, Farnaz; Ahanchi, Noushin Sadat; Llane, Adea; Meçani, Renald; Muka, Taulant; Ioannidis, John P A</v>
      </c>
      <c r="Z1083" s="31">
        <f>IFERROR(__xludf.DUMMYFUNCTION("""COMPUTED_VALUE"""),2024.0)</f>
        <v>2024</v>
      </c>
      <c r="AA1083" s="31">
        <f>IFERROR(__xludf.DUMMYFUNCTION("""COMPUTED_VALUE"""),0.0)</f>
        <v>0</v>
      </c>
    </row>
    <row r="1084">
      <c r="A1084" s="32"/>
      <c r="I1084" s="31" t="str">
        <f>IFERROR(__xludf.DUMMYFUNCTION("""COMPUTED_VALUE"""),"the international journal of neuropsychopharmacology")</f>
        <v>the international journal of neuropsychopharmacology</v>
      </c>
      <c r="J1084" s="38">
        <f>COUNTIF(Data!$F$2:$F9917, $I1084)</f>
        <v>1</v>
      </c>
      <c r="T1084" s="31" t="s">
        <v>3442</v>
      </c>
      <c r="U1084" s="31" t="s">
        <v>3443</v>
      </c>
      <c r="V1084" s="32">
        <v>44939.0</v>
      </c>
      <c r="X1084" s="31" t="str">
        <f>IFERROR(__xludf.DUMMYFUNCTION("""COMPUTED_VALUE"""),"Differential effect of lead and cadmium on mitochondrial function and NLRP3 inflammasome activation in human trophoblast.")</f>
        <v>Differential effect of lead and cadmium on mitochondrial function and NLRP3 inflammasome activation in human trophoblast.</v>
      </c>
      <c r="Y1084" s="31" t="str">
        <f>IFERROR(__xludf.DUMMYFUNCTION("""COMPUTED_VALUE"""),"Dai, Yifeng; Xu, Xijin; Huo, Xia; Schuitemaker, Joost H N; Faas, Marijke M")</f>
        <v>Dai, Yifeng; Xu, Xijin; Huo, Xia; Schuitemaker, Joost H N; Faas, Marijke M</v>
      </c>
      <c r="Z1084" s="31">
        <f>IFERROR(__xludf.DUMMYFUNCTION("""COMPUTED_VALUE"""),2024.0)</f>
        <v>2024</v>
      </c>
      <c r="AA1084" s="31">
        <f>IFERROR(__xludf.DUMMYFUNCTION("""COMPUTED_VALUE"""),0.0)</f>
        <v>0</v>
      </c>
    </row>
    <row r="1085">
      <c r="A1085" s="32"/>
      <c r="I1085" s="31" t="str">
        <f>IFERROR(__xludf.DUMMYFUNCTION("""COMPUTED_VALUE"""),"international journal of pediatrics")</f>
        <v>international journal of pediatrics</v>
      </c>
      <c r="J1085" s="38">
        <f>COUNTIF(Data!$F$2:$F9917, $I1085)</f>
        <v>2</v>
      </c>
      <c r="T1085" s="31" t="s">
        <v>3447</v>
      </c>
      <c r="U1085" s="31" t="s">
        <v>3448</v>
      </c>
      <c r="V1085" s="32">
        <v>44939.0</v>
      </c>
      <c r="X1085" s="31" t="str">
        <f>IFERROR(__xludf.DUMMYFUNCTION("""COMPUTED_VALUE"""),"The importance of understanding pelvic inflammatory disease as a polymicrobial infection - authors' reply.")</f>
        <v>The importance of understanding pelvic inflammatory disease as a polymicrobial infection - authors' reply.</v>
      </c>
      <c r="Y1085" s="31" t="str">
        <f>IFERROR(__xludf.DUMMYFUNCTION("""COMPUTED_VALUE"""),"Alexiou, Zoïe W; Hoenderboom, Bernice M; Hoebe, Christian J P A; Dukers-Muijrers, Nicole H T M; Götz, Hannelore M; van der Sande, Marianne A B; de Vries, Henry J C; den Hartog, Janneke E; Morré, Servaas A; van Benthem, Birgit H B")</f>
        <v>Alexiou, Zoïe W; Hoenderboom, Bernice M; Hoebe, Christian J P A; Dukers-Muijrers, Nicole H T M; Götz, Hannelore M; van der Sande, Marianne A B; de Vries, Henry J C; den Hartog, Janneke E; Morré, Servaas A; van Benthem, Birgit H B</v>
      </c>
      <c r="Z1085" s="31">
        <f>IFERROR(__xludf.DUMMYFUNCTION("""COMPUTED_VALUE"""),2024.0)</f>
        <v>2024</v>
      </c>
      <c r="AA1085" s="31">
        <f>IFERROR(__xludf.DUMMYFUNCTION("""COMPUTED_VALUE"""),0.0)</f>
        <v>0</v>
      </c>
    </row>
    <row r="1086">
      <c r="A1086" s="32"/>
      <c r="I1086" s="31" t="str">
        <f>IFERROR(__xludf.DUMMYFUNCTION("""COMPUTED_VALUE"""),"sports medicine auckland nz")</f>
        <v>sports medicine auckland nz</v>
      </c>
      <c r="J1086" s="38">
        <f>COUNTIF(Data!$F$2:$F9917, $I1086)</f>
        <v>1</v>
      </c>
      <c r="T1086" s="31" t="s">
        <v>3452</v>
      </c>
      <c r="U1086" s="31" t="s">
        <v>3453</v>
      </c>
      <c r="V1086" s="32">
        <v>44938.0</v>
      </c>
      <c r="X1086" s="31" t="str">
        <f>IFERROR(__xludf.DUMMYFUNCTION("""COMPUTED_VALUE"""),"Mild and moderate COVID-19 during Alpha, Delta and Omicron pandemic waves in urban Maputo, Mozambique, December 2020-March 2022: A population-based surveillance study.")</f>
        <v>Mild and moderate COVID-19 during Alpha, Delta and Omicron pandemic waves in urban Maputo, Mozambique, December 2020-March 2022: A population-based surveillance study.</v>
      </c>
      <c r="Y1086" s="31" t="str">
        <f>IFERROR(__xludf.DUMMYFUNCTION("""COMPUTED_VALUE"""),"Ingelbeen, Brecht; Cumbane, Victória; Mandlate, Ferão; Barbé, Barbara; Nhachungue, Sheila Mercedes; Cavele, Nilzio; Manhica, Cremildo; Cubai, Catildo; Nguenha, Neusa Maimuna Carlos; Lacroix, Audrey; Mariën, Joachim; de Weggheleire, Anja; van Kleef, Esther"&amp;"; Selhorst, Philippe; van der Sande, Marianne A B; Peeters, Martine; Widdowson, Marc-Alain; Ismael, Nalia; Macicame, Ivalda")</f>
        <v>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v>
      </c>
      <c r="Z1086" s="31">
        <f>IFERROR(__xludf.DUMMYFUNCTION("""COMPUTED_VALUE"""),2024.0)</f>
        <v>2024</v>
      </c>
      <c r="AA1086" s="31">
        <f>IFERROR(__xludf.DUMMYFUNCTION("""COMPUTED_VALUE"""),0.0)</f>
        <v>0</v>
      </c>
    </row>
    <row r="1087">
      <c r="A1087" s="32"/>
      <c r="I1087" s="31" t="str">
        <f>IFERROR(__xludf.DUMMYFUNCTION("""COMPUTED_VALUE"""),"epilepsy research")</f>
        <v>epilepsy research</v>
      </c>
      <c r="J1087" s="38">
        <f>COUNTIF(Data!$F$2:$F9917, $I1087)</f>
        <v>1</v>
      </c>
      <c r="T1087" s="31" t="s">
        <v>3456</v>
      </c>
      <c r="U1087" s="31" t="s">
        <v>3457</v>
      </c>
      <c r="V1087" s="32">
        <v>44938.0</v>
      </c>
      <c r="X1087" s="31" t="str">
        <f>IFERROR(__xludf.DUMMYFUNCTION("""COMPUTED_VALUE"""),"Joint modeling of an outcome variable and integrated omics datasets using GLM-PO2PLS.")</f>
        <v>Joint modeling of an outcome variable and integrated omics datasets using GLM-PO2PLS.</v>
      </c>
      <c r="Y1087" s="31" t="str">
        <f>IFERROR(__xludf.DUMMYFUNCTION("""COMPUTED_VALUE"""),"Gu, Zhujie; Uh, Hae-Won; Houwing-Duistermaat, Jeanine; El Bouhaddani, Said")</f>
        <v>Gu, Zhujie; Uh, Hae-Won; Houwing-Duistermaat, Jeanine; El Bouhaddani, Said</v>
      </c>
      <c r="Z1087" s="31">
        <f>IFERROR(__xludf.DUMMYFUNCTION("""COMPUTED_VALUE"""),2024.0)</f>
        <v>2024</v>
      </c>
      <c r="AA1087" s="31">
        <f>IFERROR(__xludf.DUMMYFUNCTION("""COMPUTED_VALUE"""),0.0)</f>
        <v>0</v>
      </c>
    </row>
    <row r="1088">
      <c r="A1088" s="32"/>
      <c r="I1088" s="31" t="str">
        <f>IFERROR(__xludf.DUMMYFUNCTION("""COMPUTED_VALUE"""),"expert opinion on investigational drugs")</f>
        <v>expert opinion on investigational drugs</v>
      </c>
      <c r="J1088" s="38">
        <f>COUNTIF(Data!$F$2:$F9917, $I1088)</f>
        <v>1</v>
      </c>
      <c r="T1088" s="31" t="s">
        <v>3461</v>
      </c>
      <c r="U1088" s="31" t="s">
        <v>3462</v>
      </c>
      <c r="V1088" s="32">
        <v>44935.0</v>
      </c>
      <c r="X1088" s="31" t="str">
        <f>IFERROR(__xludf.DUMMYFUNCTION("""COMPUTED_VALUE"""),"PrimerX: A Bayesian Multistage Cohort Embedded Randomised Trial to Evaluate the Role of Deferred Local Therapy of the Primary Tumour in Combination with Immune Checkpoint Inhibitor-based First-line Therapy in Metastatic Renal Cell Carcinoma Patients.")</f>
        <v>PrimerX: A Bayesian Multistage Cohort Embedded Randomised Trial to Evaluate the Role of Deferred Local Therapy of the Primary Tumour in Combination with Immune Checkpoint Inhibitor-based First-line Therapy in Metastatic Renal Cell Carcinoma Patients.</v>
      </c>
      <c r="Y1088" s="31" t="str">
        <f>IFERROR(__xludf.DUMMYFUNCTION("""COMPUTED_VALUE"""),"Figaroa, Orlane; Zondervan, Patricia; Kessels, Rob; Berkhof, Johannes; Aarts, Maureen; Hamberg, Paul; Los, Maartje; Piersma, Djura; Rikhof, Bart; Suelmann, Britt; Tascilar, Metin; van der Veldt, Astrid; Verhagen, Paul; Westgeest, Hans; Yildirim, Hilin; Be"&amp;"x, Axel; Bins, Adriaan")</f>
        <v>Figaroa, Orlane; Zondervan, Patricia; Kessels, Rob; Berkhof, Johannes; Aarts, Maureen; Hamberg, Paul; Los, Maartje; Piersma, Djura; Rikhof, Bart; Suelmann, Britt; Tascilar, Metin; van der Veldt, Astrid; Verhagen, Paul; Westgeest, Hans; Yildirim, Hilin; Bex, Axel; Bins, Adriaan</v>
      </c>
      <c r="Z1088" s="31">
        <f>IFERROR(__xludf.DUMMYFUNCTION("""COMPUTED_VALUE"""),2024.0)</f>
        <v>2024</v>
      </c>
      <c r="AA1088" s="31">
        <f>IFERROR(__xludf.DUMMYFUNCTION("""COMPUTED_VALUE"""),0.0)</f>
        <v>0</v>
      </c>
    </row>
    <row r="1089">
      <c r="A1089" s="32"/>
      <c r="I1089" s="31" t="str">
        <f>IFERROR(__xludf.DUMMYFUNCTION("""COMPUTED_VALUE"""),"archives of gynecology and obstetrics")</f>
        <v>archives of gynecology and obstetrics</v>
      </c>
      <c r="J1089" s="38">
        <f>COUNTIF(Data!$F$2:$F9917, $I1089)</f>
        <v>1</v>
      </c>
      <c r="T1089" s="31" t="s">
        <v>3466</v>
      </c>
      <c r="U1089" s="31" t="s">
        <v>3467</v>
      </c>
      <c r="V1089" s="32">
        <v>44935.0</v>
      </c>
      <c r="X1089" s="31" t="str">
        <f>IFERROR(__xludf.DUMMYFUNCTION("""COMPUTED_VALUE"""),"Keeping pace in the age of innovation: The perspective of Dutch pharmaceutical science students on the position of machine learning training in an undergraduate curriculum.")</f>
        <v>Keeping pace in the age of innovation: The perspective of Dutch pharmaceutical science students on the position of machine learning training in an undergraduate curriculum.</v>
      </c>
      <c r="Y1089" s="31" t="str">
        <f>IFERROR(__xludf.DUMMYFUNCTION("""COMPUTED_VALUE"""),"Kidwai, S; Rojas-Velazquez, D; Lopez-Rincon, A; Kraneveld, A D; Oberski, D L; Meijerman, I")</f>
        <v>Kidwai, S; Rojas-Velazquez, D; Lopez-Rincon, A; Kraneveld, A D; Oberski, D L; Meijerman, I</v>
      </c>
      <c r="Z1089" s="31">
        <f>IFERROR(__xludf.DUMMYFUNCTION("""COMPUTED_VALUE"""),2024.0)</f>
        <v>2024</v>
      </c>
      <c r="AA1089" s="31">
        <f>IFERROR(__xludf.DUMMYFUNCTION("""COMPUTED_VALUE"""),0.0)</f>
        <v>0</v>
      </c>
    </row>
    <row r="1090">
      <c r="A1090" s="32"/>
      <c r="I1090" s="31" t="str">
        <f>IFERROR(__xludf.DUMMYFUNCTION("""COMPUTED_VALUE"""),"climacteric the journal of the international menopause society")</f>
        <v>climacteric the journal of the international menopause society</v>
      </c>
      <c r="J1090" s="38">
        <f>COUNTIF(Data!$F$2:$F9917, $I1090)</f>
        <v>2</v>
      </c>
      <c r="T1090" s="31" t="s">
        <v>3471</v>
      </c>
      <c r="U1090" s="31" t="s">
        <v>3472</v>
      </c>
      <c r="V1090" s="32">
        <v>44935.0</v>
      </c>
      <c r="X1090" s="31" t="str">
        <f>IFERROR(__xludf.DUMMYFUNCTION("""COMPUTED_VALUE"""),"Living systematic review and comprehensive network meta-analysis of ALS clinical trials: study protocol.")</f>
        <v>Living systematic review and comprehensive network meta-analysis of ALS clinical trials: study protocol.</v>
      </c>
      <c r="Y1090" s="31" t="str">
        <f>IFERROR(__xludf.DUMMYFUNCTION("""COMPUTED_VALUE"""),"Van Loon, Floris T; Seitidis, Georgios; Mavridis, Dimitris; van Unnik, Jordi W J; Weemering, Daphne N; van den Berg, Leonard H; Bethani, Ilianna; Nikolakopoulos, Stavros; van Eijk, Ruben P A")</f>
        <v>Van Loon, Floris T; Seitidis, Georgios; Mavridis, Dimitris; van Unnik, Jordi W J; Weemering, Daphne N; van den Berg, Leonard H; Bethani, Ilianna; Nikolakopoulos, Stavros; van Eijk, Ruben P A</v>
      </c>
      <c r="Z1090" s="31">
        <f>IFERROR(__xludf.DUMMYFUNCTION("""COMPUTED_VALUE"""),2024.0)</f>
        <v>2024</v>
      </c>
      <c r="AA1090" s="31">
        <f>IFERROR(__xludf.DUMMYFUNCTION("""COMPUTED_VALUE"""),0.0)</f>
        <v>0</v>
      </c>
    </row>
    <row r="1091">
      <c r="A1091" s="32"/>
      <c r="I1091" s="31" t="str">
        <f>IFERROR(__xludf.DUMMYFUNCTION("""COMPUTED_VALUE"""),"psychosomatic medicine")</f>
        <v>psychosomatic medicine</v>
      </c>
      <c r="J1091" s="38">
        <f>COUNTIF(Data!$F$2:$F9917, $I1091)</f>
        <v>2</v>
      </c>
      <c r="T1091" s="31" t="s">
        <v>3475</v>
      </c>
      <c r="U1091" s="31" t="s">
        <v>3476</v>
      </c>
      <c r="V1091" s="32">
        <v>44934.0</v>
      </c>
      <c r="X1091" s="31" t="str">
        <f>IFERROR(__xludf.DUMMYFUNCTION("""COMPUTED_VALUE"""),"Drug Survival of Dupilumab, Methotrexate, and Cyclosporine A in Children With Atopic Dermatitis.")</f>
        <v>Drug Survival of Dupilumab, Methotrexate, and Cyclosporine A in Children With Atopic Dermatitis.</v>
      </c>
      <c r="Y1091" s="31" t="str">
        <f>IFERROR(__xludf.DUMMYFUNCTION("""COMPUTED_VALUE"""),"van der Rijst, Lisa P; Kamphuis, Esmé; Schuttelaar, Marie L A; Hurmuz, Rimoon; Seyger, Marieke M B; Caron, Anouk G M; Zuithoff, Nicolaas P A; Nguyen, N Tan; Kamsteeg, Marijke; de Bruin-Weller, Marjolein S; Pasmans, Suzanne G M A; Middelkamp-Hup, Maritza A"&amp;"; de Graaf, Marlies")</f>
        <v>van der Rijst, Lisa P; Kamphuis, Esmé; Schuttelaar, Marie L A; Hurmuz, Rimoon; Seyger, Marieke M B; Caron, Anouk G M; Zuithoff, Nicolaas P A; Nguyen, N Tan; Kamsteeg, Marijke; de Bruin-Weller, Marjolein S; Pasmans, Suzanne G M A; Middelkamp-Hup, Maritza A; de Graaf, Marlies</v>
      </c>
      <c r="Z1091" s="31">
        <f>IFERROR(__xludf.DUMMYFUNCTION("""COMPUTED_VALUE"""),2024.0)</f>
        <v>2024</v>
      </c>
      <c r="AA1091" s="31">
        <f>IFERROR(__xludf.DUMMYFUNCTION("""COMPUTED_VALUE"""),0.0)</f>
        <v>0</v>
      </c>
    </row>
    <row r="1092">
      <c r="A1092" s="32"/>
      <c r="I1092" s="31" t="str">
        <f>IFERROR(__xludf.DUMMYFUNCTION("""COMPUTED_VALUE"""),"ajr american journal of roentgenology")</f>
        <v>ajr american journal of roentgenology</v>
      </c>
      <c r="J1092" s="38">
        <f>COUNTIF(Data!$F$2:$F9917, $I1092)</f>
        <v>1</v>
      </c>
      <c r="T1092" s="31" t="s">
        <v>3479</v>
      </c>
      <c r="U1092" s="31" t="s">
        <v>3480</v>
      </c>
      <c r="V1092" s="32">
        <v>44933.0</v>
      </c>
      <c r="X1092" s="31" t="str">
        <f>IFERROR(__xludf.DUMMYFUNCTION("""COMPUTED_VALUE"""),"Long-Term Effectiveness and Reasons for Discontinuation of Dupilumab in Patients With Atopic Dermatitis.")</f>
        <v>Long-Term Effectiveness and Reasons for Discontinuation of Dupilumab in Patients With Atopic Dermatitis.</v>
      </c>
      <c r="Y1092" s="31" t="str">
        <f>IFERROR(__xludf.DUMMYFUNCTION("""COMPUTED_VALUE"""),"Boesjes, Celeste M; Kamphuis, Esmé; de Graaf, Marlies; Spekhorst, Lotte S; Haeck, Inge; van der Gang, Lian F; Loman, Laura; Zuithoff, Nicolaas P A; Dekkers, Coco; van der Rijst, Lisa P; Romeijn, Geertruida L E; Oosting, Albert J; Gostynksi, Antoni; van Ly"&amp;"nden-van Nes, Anneke M T; Tupker, Ron A; van Tuyll van Serooskerken, Anne-Moon; Flinterman, Annebeth; Politiek, Klaziena; Touwslager, Wouter R H; Christoffers, Wianda A; Stewart, Shiarra M; Kamsteeg, Marijke; Schuttelaar, Marie-Louise A; de Bruin-Weller, "&amp;"Marjolein S")</f>
        <v>Boesjes, Celeste M; Kamphuis, Esmé; de Graaf, Marlies; Spekhorst, Lotte S; Haeck, Inge; van der Gang, Lian F; Loman, Laura; Zuithoff, Nicolaas P A; Dekkers, Coco; van der Rijst, Lisa P; Romeijn, Geertruida L E; Oosting, Albert J; Gostynksi, Antoni; van Lynden-van Nes, Anneke M T; Tupker, Ron A; van Tuyll van Serooskerken, Anne-Moon; Flinterman, Annebeth; Politiek, Klaziena; Touwslager, Wouter R H; Christoffers, Wianda A; Stewart, Shiarra M; Kamsteeg, Marijke; Schuttelaar, Marie-Louise A; de Bruin-Weller, Marjolein S</v>
      </c>
      <c r="Z1092" s="31">
        <f>IFERROR(__xludf.DUMMYFUNCTION("""COMPUTED_VALUE"""),2024.0)</f>
        <v>2024</v>
      </c>
      <c r="AA1092" s="31">
        <f>IFERROR(__xludf.DUMMYFUNCTION("""COMPUTED_VALUE"""),0.0)</f>
        <v>0</v>
      </c>
    </row>
    <row r="1093">
      <c r="A1093" s="32"/>
      <c r="I1093" s="31" t="str">
        <f>IFERROR(__xludf.DUMMYFUNCTION("""COMPUTED_VALUE"""),"cardiovascular diagnosis and therapy")</f>
        <v>cardiovascular diagnosis and therapy</v>
      </c>
      <c r="J1093" s="38">
        <f>COUNTIF(Data!$F$2:$F9917, $I1093)</f>
        <v>1</v>
      </c>
      <c r="T1093" s="31" t="s">
        <v>3483</v>
      </c>
      <c r="U1093" s="31" t="s">
        <v>3484</v>
      </c>
      <c r="V1093" s="32">
        <v>44932.0</v>
      </c>
      <c r="X1093" s="31" t="str">
        <f>IFERROR(__xludf.DUMMYFUNCTION("""COMPUTED_VALUE"""),"The reliability and validity of the juvenile idiopathic arthritis magnetic resonance scoring system for temporomandibular joints.")</f>
        <v>The reliability and validity of the juvenile idiopathic arthritis magnetic resonance scoring system for temporomandibular joints.</v>
      </c>
      <c r="Y1093" s="31" t="str">
        <f>IFERROR(__xludf.DUMMYFUNCTION("""COMPUTED_VALUE"""),"de Sonnaville, Willemijn F C; Speksnijder, Caroline M; Zuithoff, Nicolaas P A; Ter Horst, Simone A J; Nap, Frank J; Wulffraat, Nico M; Steenks, Michel H; Rosenberg, Antoine J W P")</f>
        <v>de Sonnaville, Willemijn F C; Speksnijder, Caroline M; Zuithoff, Nicolaas P A; Ter Horst, Simone A J; Nap, Frank J; Wulffraat, Nico M; Steenks, Michel H; Rosenberg, Antoine J W P</v>
      </c>
      <c r="Z1093" s="31">
        <f>IFERROR(__xludf.DUMMYFUNCTION("""COMPUTED_VALUE"""),2024.0)</f>
        <v>2024</v>
      </c>
      <c r="AA1093" s="31">
        <f>IFERROR(__xludf.DUMMYFUNCTION("""COMPUTED_VALUE"""),0.0)</f>
        <v>0</v>
      </c>
    </row>
    <row r="1094">
      <c r="A1094" s="32"/>
      <c r="I1094" s="31" t="str">
        <f>IFERROR(__xludf.DUMMYFUNCTION("""COMPUTED_VALUE"""),"respiratory research")</f>
        <v>respiratory research</v>
      </c>
      <c r="J1094" s="38">
        <f>COUNTIF(Data!$F$2:$F9917, $I1094)</f>
        <v>1</v>
      </c>
      <c r="T1094" s="31" t="s">
        <v>3487</v>
      </c>
      <c r="U1094" s="31" t="s">
        <v>3488</v>
      </c>
      <c r="V1094" s="32">
        <v>44932.0</v>
      </c>
      <c r="X1094" s="31" t="str">
        <f>IFERROR(__xludf.DUMMYFUNCTION("""COMPUTED_VALUE"""),"Reliability of mandibular range of motion measurements in healthy children.")</f>
        <v>Reliability of mandibular range of motion measurements in healthy children.</v>
      </c>
      <c r="Y1094" s="31" t="str">
        <f>IFERROR(__xludf.DUMMYFUNCTION("""COMPUTED_VALUE"""),"de Sonnaville, Willemijn F C; Steenks, Michel H; Verkouteren, Daan R C; Zuithoff, Nicolaas P A; Wulffraat, Nico M; Rosenberg, Antoine J W P; Speksnijder, Caroline M")</f>
        <v>de Sonnaville, Willemijn F C; Steenks, Michel H; Verkouteren, Daan R C; Zuithoff, Nicolaas P A; Wulffraat, Nico M; Rosenberg, Antoine J W P; Speksnijder, Caroline M</v>
      </c>
      <c r="Z1094" s="31">
        <f>IFERROR(__xludf.DUMMYFUNCTION("""COMPUTED_VALUE"""),2024.0)</f>
        <v>2024</v>
      </c>
      <c r="AA1094" s="31">
        <f>IFERROR(__xludf.DUMMYFUNCTION("""COMPUTED_VALUE"""),0.0)</f>
        <v>0</v>
      </c>
    </row>
    <row r="1095">
      <c r="A1095" s="32"/>
      <c r="I1095" s="31" t="str">
        <f>IFERROR(__xludf.DUMMYFUNCTION("""COMPUTED_VALUE"""),"european journal of endocrinology")</f>
        <v>european journal of endocrinology</v>
      </c>
      <c r="J1095" s="38">
        <f>COUNTIF(Data!$F$2:$F9917, $I1095)</f>
        <v>4</v>
      </c>
      <c r="T1095" s="31" t="s">
        <v>3492</v>
      </c>
      <c r="U1095" s="31" t="s">
        <v>3493</v>
      </c>
      <c r="V1095" s="32">
        <v>44932.0</v>
      </c>
      <c r="X1095" s="31" t="str">
        <f>IFERROR(__xludf.DUMMYFUNCTION("""COMPUTED_VALUE"""),"Author Correction: Subclassification of obesity for precision prediction of cardiometabolic diseases.")</f>
        <v>Author Correction: Subclassification of obesity for precision prediction of cardiometabolic diseases.</v>
      </c>
      <c r="Y1095" s="31" t="str">
        <f>IFERROR(__xludf.DUMMYFUNCTION("""COMPUTED_VALUE"""),"Coral, Daniel E; Smit, Femke; Farzaneh, Ali; Gieswinkel, Alexander; Tajes, Juan Fernandez; Sparsø, Thomas; Delfin, Carl; Bauvin, Pierre; Wang, Kan; Temprosa, Marinella; De Cock, Diederik; Blanch, Jordi; Fernández-Real, José Manuel; Ramos, Rafael; Ikram, M"&amp;" Kamran; Gomez, Maria F; Kavousi, Maryam; Panova-Noeva, Marina; Wild, Philipp S; van der Kallen, Carla; Adriaens, Michiel; van Greevenbroek, Marleen; Arts, Ilja; Le Roux, Carel; Ahmadizar, Fariba; Frayling, Timothy M; Giordano, Giuseppe N; Pearson, Ewan R"&amp;"; Franks, Paul W")</f>
        <v>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v>
      </c>
      <c r="Z1095" s="31">
        <f>IFERROR(__xludf.DUMMYFUNCTION("""COMPUTED_VALUE"""),2024.0)</f>
        <v>2024</v>
      </c>
      <c r="AA1095" s="31">
        <f>IFERROR(__xludf.DUMMYFUNCTION("""COMPUTED_VALUE"""),0.0)</f>
        <v>0</v>
      </c>
    </row>
    <row r="1096">
      <c r="A1096" s="32"/>
      <c r="I1096" s="31" t="str">
        <f>IFERROR(__xludf.DUMMYFUNCTION("""COMPUTED_VALUE"""),"journal of clinical laboratory analysis")</f>
        <v>journal of clinical laboratory analysis</v>
      </c>
      <c r="J1096" s="38">
        <f>COUNTIF(Data!$F$2:$F9917, $I1096)</f>
        <v>1</v>
      </c>
      <c r="T1096" s="31" t="s">
        <v>3495</v>
      </c>
      <c r="U1096" s="31" t="s">
        <v>3496</v>
      </c>
      <c r="V1096" s="32">
        <v>44931.0</v>
      </c>
      <c r="X1096" s="31" t="str">
        <f>IFERROR(__xludf.DUMMYFUNCTION("""COMPUTED_VALUE"""),"Serum metabolomic profiling of incident type 2 diabetes mellitus in the Multi-Ethnic Study of Atherosclerosis and Rotterdam Study.")</f>
        <v>Serum metabolomic profiling of incident type 2 diabetes mellitus in the Multi-Ethnic Study of Atherosclerosis and Rotterdam Study.</v>
      </c>
      <c r="Y1096" s="31" t="str">
        <f>IFERROR(__xludf.DUMMYFUNCTION("""COMPUTED_VALUE"""),"Jiang, Xuanwei; Zhu, Fang; Graça, Gonçalo; Du, Xihao; Ran, Jinjun; Ahmadizar, Fariba; Wood, Alexis C; Zhou, Yanqiu; Scholtens, Denise M; Farzaneh, Ali; Ikram, M Arfan; Kuang, Alan; Roux, Carel Le; Gadgil, Meghana D; Cornelis, Marilyn C; Taylor, Kent D; Gu"&amp;"o, Xiuqing; Ghanbari, Mohsen; Rasmussen-Torvik, Laura J; Tracy, Russell P; Bertoni, Alain G; Rotter, Jerome I; Herrington, David M; Greenland, Philip; Kavousi, Maryam; Zhong, Victor W")</f>
        <v>Jiang, Xuanwei; Zhu, Fang; Graça, Gonçalo; Du, Xihao; Ran, Jinjun; Ahmadizar, Fariba; Wood, Alexis C; Zhou, Yanqiu; Scholtens, Denise M; Farzaneh, Ali; Ikram, M Arfan; Kuang, Alan; Roux, Carel Le; Gadgil, Meghana D; Cornelis, Marilyn C; Taylor, Kent D; Guo, Xiuqing; Ghanbari, Mohsen; Rasmussen-Torvik, Laura J; Tracy, Russell P; Bertoni, Alain G; Rotter, Jerome I; Herrington, David M; Greenland, Philip; Kavousi, Maryam; Zhong, Victor W</v>
      </c>
      <c r="Z1096" s="31">
        <f>IFERROR(__xludf.DUMMYFUNCTION("""COMPUTED_VALUE"""),2024.0)</f>
        <v>2024</v>
      </c>
      <c r="AA1096" s="31">
        <f>IFERROR(__xludf.DUMMYFUNCTION("""COMPUTED_VALUE"""),0.0)</f>
        <v>0</v>
      </c>
    </row>
    <row r="1097">
      <c r="A1097" s="32"/>
      <c r="I1097" s="31" t="str">
        <f>IFERROR(__xludf.DUMMYFUNCTION("""COMPUTED_VALUE"""),"future cardiology")</f>
        <v>future cardiology</v>
      </c>
      <c r="J1097" s="38">
        <f>COUNTIF(Data!$F$2:$F9917, $I1097)</f>
        <v>2</v>
      </c>
      <c r="T1097" s="31" t="s">
        <v>3499</v>
      </c>
      <c r="U1097" s="31" t="s">
        <v>3500</v>
      </c>
      <c r="V1097" s="32">
        <v>44930.0</v>
      </c>
      <c r="X1097" s="31" t="str">
        <f>IFERROR(__xludf.DUMMYFUNCTION("""COMPUTED_VALUE"""),"Effects and interaction of single nucleotide polymorphisms at the pharmacokinetic/pharmacodynamic site: insights from the Rotterdam study into metformin clinical response and dose titration.")</f>
        <v>Effects and interaction of single nucleotide polymorphisms at the pharmacokinetic/pharmacodynamic site: insights from the Rotterdam study into metformin clinical response and dose titration.</v>
      </c>
      <c r="Y1097" s="31" t="str">
        <f>IFERROR(__xludf.DUMMYFUNCTION("""COMPUTED_VALUE"""),"Mohammadi Jouabadi, Soroush; Peymani, Payam; Nekouei Shahraki, Mitra; van Rooij, Jeroen G J; Broer, Linda; Roks, Anton J M; Stricker, Bruno H; Ahmadizar, Fariba")</f>
        <v>Mohammadi Jouabadi, Soroush; Peymani, Payam; Nekouei Shahraki, Mitra; van Rooij, Jeroen G J; Broer, Linda; Roks, Anton J M; Stricker, Bruno H; Ahmadizar, Fariba</v>
      </c>
      <c r="Z1097" s="31">
        <f>IFERROR(__xludf.DUMMYFUNCTION("""COMPUTED_VALUE"""),2024.0)</f>
        <v>2024</v>
      </c>
      <c r="AA1097" s="31">
        <f>IFERROR(__xludf.DUMMYFUNCTION("""COMPUTED_VALUE"""),0.0)</f>
        <v>0</v>
      </c>
    </row>
    <row r="1098">
      <c r="A1098" s="32"/>
      <c r="I1098" s="31" t="str">
        <f>IFERROR(__xludf.DUMMYFUNCTION("""COMPUTED_VALUE"""),"journal of aging research")</f>
        <v>journal of aging research</v>
      </c>
      <c r="J1098" s="38">
        <f>COUNTIF(Data!$F$2:$F9917, $I1098)</f>
        <v>1</v>
      </c>
      <c r="T1098" s="31" t="s">
        <v>3504</v>
      </c>
      <c r="U1098" s="31" t="s">
        <v>3505</v>
      </c>
      <c r="V1098" s="32">
        <v>44930.0</v>
      </c>
      <c r="X1098" s="31" t="str">
        <f>IFERROR(__xludf.DUMMYFUNCTION("""COMPUTED_VALUE"""),"Exploring Biomarkers in Nonalcoholic Fatty Liver Disease Among Individuals With Type 2 Diabetes Mellitus.")</f>
        <v>Exploring Biomarkers in Nonalcoholic Fatty Liver Disease Among Individuals With Type 2 Diabetes Mellitus.</v>
      </c>
      <c r="Y1098" s="31" t="str">
        <f>IFERROR(__xludf.DUMMYFUNCTION("""COMPUTED_VALUE"""),"Ahmadizar, Fariba; Younossi, Zobair M")</f>
        <v>Ahmadizar, Fariba; Younossi, Zobair M</v>
      </c>
      <c r="Z1098" s="31">
        <f>IFERROR(__xludf.DUMMYFUNCTION("""COMPUTED_VALUE"""),2024.0)</f>
        <v>2024</v>
      </c>
      <c r="AA1098" s="31">
        <f>IFERROR(__xludf.DUMMYFUNCTION("""COMPUTED_VALUE"""),0.0)</f>
        <v>0</v>
      </c>
    </row>
    <row r="1099">
      <c r="A1099" s="32"/>
      <c r="I1099" s="31" t="str">
        <f>IFERROR(__xludf.DUMMYFUNCTION("""COMPUTED_VALUE"""),"journal of atherosclerosis and thrombosis")</f>
        <v>journal of atherosclerosis and thrombosis</v>
      </c>
      <c r="J1099" s="38">
        <f>COUNTIF(Data!$F$2:$F9917, $I1099)</f>
        <v>3</v>
      </c>
      <c r="T1099" s="31" t="s">
        <v>3508</v>
      </c>
      <c r="U1099" s="31" t="s">
        <v>3509</v>
      </c>
      <c r="V1099" s="32">
        <v>44930.0</v>
      </c>
      <c r="X1099" s="31" t="str">
        <f>IFERROR(__xludf.DUMMYFUNCTION("""COMPUTED_VALUE"""),"Statin therapy and cardiovascular protection in type 2 diabetes: The role of baseline LDL-Cholesterol levels. A systematic review and meta-analysis of observational studies.")</f>
        <v>Statin therapy and cardiovascular protection in type 2 diabetes: The role of baseline LDL-Cholesterol levels. A systematic review and meta-analysis of observational studies.</v>
      </c>
      <c r="Y1099" s="31" t="str">
        <f>IFERROR(__xludf.DUMMYFUNCTION("""COMPUTED_VALUE"""),"Soroush, Negin; Nekouei Shahraki, Mitra; Mohammadi Jouabadi, Soroush; Amiri, Masoud; Aribas, Elif; Stricker, Bruno H; Ahmadizar, Fariba")</f>
        <v>Soroush, Negin; Nekouei Shahraki, Mitra; Mohammadi Jouabadi, Soroush; Amiri, Masoud; Aribas, Elif; Stricker, Bruno H; Ahmadizar, Fariba</v>
      </c>
      <c r="Z1099" s="31">
        <f>IFERROR(__xludf.DUMMYFUNCTION("""COMPUTED_VALUE"""),2024.0)</f>
        <v>2024</v>
      </c>
      <c r="AA1099" s="31">
        <f>IFERROR(__xludf.DUMMYFUNCTION("""COMPUTED_VALUE"""),0.0)</f>
        <v>0</v>
      </c>
    </row>
    <row r="1100">
      <c r="A1100" s="32"/>
      <c r="I1100" s="31" t="str">
        <f>IFERROR(__xludf.DUMMYFUNCTION("""COMPUTED_VALUE"""),"american journal of cardiovascular drugs drugs devices and other interventions")</f>
        <v>american journal of cardiovascular drugs drugs devices and other interventions</v>
      </c>
      <c r="J1100" s="38">
        <f>COUNTIF(Data!$F$2:$F9917, $I1100)</f>
        <v>1</v>
      </c>
      <c r="T1100" s="31" t="s">
        <v>3512</v>
      </c>
      <c r="U1100" s="31" t="s">
        <v>3513</v>
      </c>
      <c r="V1100" s="32">
        <v>44930.0</v>
      </c>
      <c r="X1100" s="31" t="str">
        <f>IFERROR(__xludf.DUMMYFUNCTION("""COMPUTED_VALUE"""),"Real-World Evidence BRIDGE: A Tool to Connect Protocol With Code Programming.")</f>
        <v>Real-World Evidence BRIDGE: A Tool to Connect Protocol With Code Programming.</v>
      </c>
      <c r="Y1100" s="31" t="str">
        <f>IFERROR(__xludf.DUMMYFUNCTION("""COMPUTED_VALUE"""),"Royo, Albert Cid; Elbers Jhj, Roel; Weibel, Daniel; Hoxhaj, Vjola; Kurkcuoglu, Zeynep; Sturkenboom, Miriam C J; Vaz, Tiago A; Andaur Navarro, Constanza L")</f>
        <v>Royo, Albert Cid; Elbers Jhj, Roel; Weibel, Daniel; Hoxhaj, Vjola; Kurkcuoglu, Zeynep; Sturkenboom, Miriam C J; Vaz, Tiago A; Andaur Navarro, Constanza L</v>
      </c>
      <c r="Z1100" s="31">
        <f>IFERROR(__xludf.DUMMYFUNCTION("""COMPUTED_VALUE"""),2024.0)</f>
        <v>2024</v>
      </c>
      <c r="AA1100" s="31">
        <f>IFERROR(__xludf.DUMMYFUNCTION("""COMPUTED_VALUE"""),0.0)</f>
        <v>0</v>
      </c>
    </row>
    <row r="1101">
      <c r="A1101" s="32"/>
      <c r="I1101" s="31" t="str">
        <f>IFERROR(__xludf.DUMMYFUNCTION("""COMPUTED_VALUE"""),"european journal of cardiovascular prevention and rehabilitation official journal of the european society of cardiology working groups on epidemiology prevention and cardiac rehabilitation and exercise physiology")</f>
        <v>european journal of cardiovascular prevention and rehabilitation official journal of the european society of cardiology working groups on epidemiology prevention and cardiac rehabilitation and exercise physiology</v>
      </c>
      <c r="J1101" s="38">
        <f>COUNTIF(Data!$F$2:$F9917, $I1101)</f>
        <v>12</v>
      </c>
      <c r="T1101" s="31" t="s">
        <v>3516</v>
      </c>
      <c r="U1101" s="31" t="s">
        <v>3517</v>
      </c>
      <c r="V1101" s="32">
        <v>44928.0</v>
      </c>
      <c r="X1101" s="31" t="str">
        <f>IFERROR(__xludf.DUMMYFUNCTION("""COMPUTED_VALUE"""),"Causal Inference in Oncology: Why, What, How and When.")</f>
        <v>Causal Inference in Oncology: Why, What, How and When.</v>
      </c>
      <c r="Y1101" s="31" t="str">
        <f>IFERROR(__xludf.DUMMYFUNCTION("""COMPUTED_VALUE"""),"van Amsterdam, W A C; Elias, S; Ranganath, R")</f>
        <v>van Amsterdam, W A C; Elias, S; Ranganath, R</v>
      </c>
      <c r="Z1101" s="31">
        <f>IFERROR(__xludf.DUMMYFUNCTION("""COMPUTED_VALUE"""),2024.0)</f>
        <v>2024</v>
      </c>
      <c r="AA1101" s="31">
        <f>IFERROR(__xludf.DUMMYFUNCTION("""COMPUTED_VALUE"""),0.0)</f>
        <v>0</v>
      </c>
    </row>
    <row r="1102">
      <c r="A1102" s="32"/>
      <c r="I1102" s="31" t="str">
        <f>IFERROR(__xludf.DUMMYFUNCTION("""COMPUTED_VALUE"""),"placenta")</f>
        <v>placenta</v>
      </c>
      <c r="J1102" s="38">
        <f>COUNTIF(Data!$F$2:$F9917, $I1102)</f>
        <v>1</v>
      </c>
      <c r="T1102" s="31" t="s">
        <v>3520</v>
      </c>
      <c r="U1102" s="31" t="s">
        <v>3521</v>
      </c>
      <c r="V1102" s="32">
        <v>44927.0</v>
      </c>
      <c r="X1102" s="31" t="str">
        <f>IFERROR(__xludf.DUMMYFUNCTION("""COMPUTED_VALUE"""),"Baseline tumor-infiltrating lymphocyte patterns and response to immune checkpoint inhibition in metastatic cutaneous melanoma.")</f>
        <v>Baseline tumor-infiltrating lymphocyte patterns and response to immune checkpoint inhibition in metastatic cutaneous melanoma.</v>
      </c>
      <c r="Y1102" s="31" t="str">
        <f>IFERROR(__xludf.DUMMYFUNCTION("""COMPUTED_VALUE"""),"van Duin, Isabella A J; Schuiveling, Mark; Ter Maat, Laurens S; van Amsterdam, Wouter A C; van den Berkmortel, Franchette; Boers-Sonderen, Marye; de Groot, Jan Willem B; Hospers, Geke A P; Kapiteijn, Ellen; Labots, Mariette; Piersma, Djura; Schrader, Anne"&amp;" M R; Vreugdenhil, Gerard; Westgeest, Hans; Veta, Mitko; Blokx, Willeke A M; van Diest, Paul J; Suijkerbuijk, Karijn P M")</f>
        <v>van Duin, Isabella A J; Schuiveling, Mark; Ter Maat, Laurens S; van Amsterdam, Wouter A C; van den Berkmortel, Franchette; Boers-Sonderen, Marye; de Groot, Jan Willem B; Hospers, Geke A P; Kapiteijn, Ellen; Labots, Mariette; Piersma, Djura; Schrader, Anne M R; Vreugdenhil, Gerard; Westgeest, Hans; Veta, Mitko; Blokx, Willeke A M; van Diest, Paul J; Suijkerbuijk, Karijn P M</v>
      </c>
      <c r="Z1102" s="31">
        <f>IFERROR(__xludf.DUMMYFUNCTION("""COMPUTED_VALUE"""),2024.0)</f>
        <v>2024</v>
      </c>
      <c r="AA1102" s="31">
        <f>IFERROR(__xludf.DUMMYFUNCTION("""COMPUTED_VALUE"""),0.0)</f>
        <v>0</v>
      </c>
    </row>
    <row r="1103">
      <c r="A1103" s="32"/>
      <c r="I1103" s="31" t="str">
        <f>IFERROR(__xludf.DUMMYFUNCTION("""COMPUTED_VALUE"""),"oncology nursing forum")</f>
        <v>oncology nursing forum</v>
      </c>
      <c r="J1103" s="38">
        <f>COUNTIF(Data!$F$2:$F9917, $I1103)</f>
        <v>1</v>
      </c>
      <c r="T1103" s="31" t="s">
        <v>3524</v>
      </c>
      <c r="U1103" s="31" t="s">
        <v>3525</v>
      </c>
      <c r="V1103" s="32">
        <v>44927.0</v>
      </c>
      <c r="X1103" s="31" t="str">
        <f>IFERROR(__xludf.DUMMYFUNCTION("""COMPUTED_VALUE"""),"Underrepresentation of women in cardiovascular disease clinical Trials-What's in a Name?")</f>
        <v>Underrepresentation of women in cardiovascular disease clinical Trials-What's in a Name?</v>
      </c>
      <c r="Y1103" s="31" t="str">
        <f>IFERROR(__xludf.DUMMYFUNCTION("""COMPUTED_VALUE"""),"Spiering, A E; van Ommen, A M L N; Roeters van Lennep, J E; Appelman, Y; Reue, K; Onland-Moret, N C; den Ruijter, H M")</f>
        <v>Spiering, A E; van Ommen, A M L N; Roeters van Lennep, J E; Appelman, Y; Reue, K; Onland-Moret, N C; den Ruijter, H M</v>
      </c>
      <c r="Z1103" s="31">
        <f>IFERROR(__xludf.DUMMYFUNCTION("""COMPUTED_VALUE"""),2024.0)</f>
        <v>2024</v>
      </c>
      <c r="AA1103" s="31">
        <f>IFERROR(__xludf.DUMMYFUNCTION("""COMPUTED_VALUE"""),0.0)</f>
        <v>0</v>
      </c>
    </row>
    <row r="1104">
      <c r="A1104" s="32"/>
      <c r="I1104" s="31" t="str">
        <f>IFERROR(__xludf.DUMMYFUNCTION("""COMPUTED_VALUE"""),"biochimica et biophysica acta")</f>
        <v>biochimica et biophysica acta</v>
      </c>
      <c r="J1104" s="38">
        <f>COUNTIF(Data!$F$2:$F9917, $I1104)</f>
        <v>1</v>
      </c>
      <c r="T1104" s="31" t="s">
        <v>3528</v>
      </c>
      <c r="U1104" s="31" t="s">
        <v>3529</v>
      </c>
      <c r="V1104" s="32">
        <v>44927.0</v>
      </c>
      <c r="X1104" s="31" t="str">
        <f>IFERROR(__xludf.DUMMYFUNCTION("""COMPUTED_VALUE"""),"The Diagnostic Value of ECG Characteristics for Vasospastic and Microvascular Angina: A Systematic Review.")</f>
        <v>The Diagnostic Value of ECG Characteristics for Vasospastic and Microvascular Angina: A Systematic Review.</v>
      </c>
      <c r="Y1104" s="31" t="str">
        <f>IFERROR(__xludf.DUMMYFUNCTION("""COMPUTED_VALUE"""),"Schipaanboord, Diantha J M; Woudstra, Janneke; Appelman, Yolande; Rittersma, Saskia Z H; van de Hoef, Tim P; van Es, René; Coronel, Ruben; Damman, Peter; van der Harst, Pim; Onland-Moret, N Charlotte; den Ruijter, Hester M")</f>
        <v>Schipaanboord, Diantha J M; Woudstra, Janneke; Appelman, Yolande; Rittersma, Saskia Z H; van de Hoef, Tim P; van Es, René; Coronel, Ruben; Damman, Peter; van der Harst, Pim; Onland-Moret, N Charlotte; den Ruijter, Hester M</v>
      </c>
      <c r="Z1104" s="31">
        <f>IFERROR(__xludf.DUMMYFUNCTION("""COMPUTED_VALUE"""),2024.0)</f>
        <v>2024</v>
      </c>
      <c r="AA1104" s="31">
        <f>IFERROR(__xludf.DUMMYFUNCTION("""COMPUTED_VALUE"""),0.0)</f>
        <v>0</v>
      </c>
    </row>
    <row r="1105">
      <c r="A1105" s="32"/>
      <c r="I1105" s="31" t="str">
        <f>IFERROR(__xludf.DUMMYFUNCTION("""COMPUTED_VALUE"""),"bmj quality safety")</f>
        <v>bmj quality safety</v>
      </c>
      <c r="J1105" s="38">
        <f>COUNTIF(Data!$F$2:$F9917, $I1105)</f>
        <v>2</v>
      </c>
      <c r="T1105" s="31" t="s">
        <v>3533</v>
      </c>
      <c r="U1105" s="31" t="s">
        <v>3534</v>
      </c>
      <c r="V1105" s="32">
        <v>44927.0</v>
      </c>
      <c r="X1105" s="31" t="str">
        <f>IFERROR(__xludf.DUMMYFUNCTION("""COMPUTED_VALUE"""),"Tutorial: dos and don'ts in clinical prediction research for venous thromboembolism.")</f>
        <v>Tutorial: dos and don'ts in clinical prediction research for venous thromboembolism.</v>
      </c>
      <c r="Y1105" s="31" t="str">
        <f>IFERROR(__xludf.DUMMYFUNCTION("""COMPUTED_VALUE"""),"Nemeth, Banne; Smeets, Mark J R; Cannegieter, Suzanne C; van Smeden, Maarten")</f>
        <v>Nemeth, Banne; Smeets, Mark J R; Cannegieter, Suzanne C; van Smeden, Maarten</v>
      </c>
      <c r="Z1105" s="31">
        <f>IFERROR(__xludf.DUMMYFUNCTION("""COMPUTED_VALUE"""),2024.0)</f>
        <v>2024</v>
      </c>
      <c r="AA1105" s="31">
        <f>IFERROR(__xludf.DUMMYFUNCTION("""COMPUTED_VALUE"""),0.0)</f>
        <v>0</v>
      </c>
    </row>
    <row r="1106">
      <c r="A1106" s="32"/>
      <c r="I1106" s="31" t="str">
        <f>IFERROR(__xludf.DUMMYFUNCTION("""COMPUTED_VALUE"""),"annals of medicine")</f>
        <v>annals of medicine</v>
      </c>
      <c r="J1106" s="38">
        <f>COUNTIF(Data!$F$2:$F9917, $I1106)</f>
        <v>3</v>
      </c>
      <c r="T1106" s="31" t="s">
        <v>3537</v>
      </c>
      <c r="U1106" s="31" t="s">
        <v>3538</v>
      </c>
      <c r="V1106" s="32">
        <v>44927.0</v>
      </c>
      <c r="X1106" s="31" t="str">
        <f>IFERROR(__xludf.DUMMYFUNCTION("""COMPUTED_VALUE"""),"Estimating uncertainty when providing individual cardiovascular risk predictions: a Bayesian survival analysis.")</f>
        <v>Estimating uncertainty when providing individual cardiovascular risk predictions: a Bayesian survival analysis.</v>
      </c>
      <c r="Y1106" s="31"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Z1106" s="31">
        <f>IFERROR(__xludf.DUMMYFUNCTION("""COMPUTED_VALUE"""),2024.0)</f>
        <v>2024</v>
      </c>
      <c r="AA1106" s="31">
        <f>IFERROR(__xludf.DUMMYFUNCTION("""COMPUTED_VALUE"""),0.0)</f>
        <v>0</v>
      </c>
    </row>
    <row r="1107">
      <c r="A1107" s="32"/>
      <c r="I1107" s="31" t="str">
        <f>IFERROR(__xludf.DUMMYFUNCTION("""COMPUTED_VALUE"""),"journal of computer assisted tomography")</f>
        <v>journal of computer assisted tomography</v>
      </c>
      <c r="J1107" s="38">
        <f>COUNTIF(Data!$F$2:$F9917, $I1107)</f>
        <v>1</v>
      </c>
      <c r="T1107" s="31" t="s">
        <v>3540</v>
      </c>
      <c r="U1107" s="31" t="s">
        <v>3541</v>
      </c>
      <c r="V1107" s="32">
        <v>44927.0</v>
      </c>
      <c r="X1107" s="31"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Y1107" s="31" t="str">
        <f>IFERROR(__xludf.DUMMYFUNCTION("""COMPUTED_VALUE"""),"Fox, Matthew P; Adrien, Nedghie; van Smeden, Maarten; Suarez, Elizabeth")</f>
        <v>Fox, Matthew P; Adrien, Nedghie; van Smeden, Maarten; Suarez, Elizabeth</v>
      </c>
      <c r="Z1107" s="31">
        <f>IFERROR(__xludf.DUMMYFUNCTION("""COMPUTED_VALUE"""),2024.0)</f>
        <v>2024</v>
      </c>
      <c r="AA1107" s="31">
        <f>IFERROR(__xludf.DUMMYFUNCTION("""COMPUTED_VALUE"""),0.0)</f>
        <v>0</v>
      </c>
    </row>
    <row r="1108">
      <c r="A1108" s="32"/>
      <c r="I1108" s="31" t="str">
        <f>IFERROR(__xludf.DUMMYFUNCTION("""COMPUTED_VALUE"""),"trends in genetics tig")</f>
        <v>trends in genetics tig</v>
      </c>
      <c r="J1108" s="38">
        <f>COUNTIF(Data!$F$2:$F9917, $I1108)</f>
        <v>1</v>
      </c>
      <c r="T1108" s="31" t="s">
        <v>3545</v>
      </c>
      <c r="U1108" s="31" t="s">
        <v>3546</v>
      </c>
      <c r="V1108" s="32">
        <v>44927.0</v>
      </c>
      <c r="X1108" s="31" t="str">
        <f>IFERROR(__xludf.DUMMYFUNCTION("""COMPUTED_VALUE"""),"Effectiveness of Omega-3 Fatty Acids Versus Placebo in Subjects at Ultra-High Risk for Psychosis: The PURPOSE Randomized Clinical Trial.")</f>
        <v>Effectiveness of Omega-3 Fatty Acids Versus Placebo in Subjects at Ultra-High Risk for Psychosis: The PURPOSE Randomized Clinical Trial.</v>
      </c>
      <c r="Y1108" s="31" t="str">
        <f>IFERROR(__xludf.DUMMYFUNCTION("""COMPUTED_VALUE"""),"Winter-van Rossum, Inge; Slot, Margot I E; van Hell, Hendrika H; Bossong, Matthijs G; Berger, Gregor; Aschauer, Harald; Maat, Arija; Walitza, Susanne; Lavan, Orly; Baeza, Inmaculada; Dolz, Montserrat; Monducci, Elena; Fiori Nastro, Paolo; Kroken, Rune And"&amp;"reas; Lawrie, Stephen M; Díaz-Caneja, Covadonga Martinez; Renner, Tobias; Schlögelhofer, Monika; Scharinger, Christian; Spalletta, Gianfranco; Banaj, Nerisa; Otero, Soraya; Schipper, Maria; Kwakkel, Dorieke Brink-; ,; Kahn, Rene S")</f>
        <v>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v>
      </c>
      <c r="Z1108" s="31">
        <f>IFERROR(__xludf.DUMMYFUNCTION("""COMPUTED_VALUE"""),2024.0)</f>
        <v>2024</v>
      </c>
      <c r="AA1108" s="31">
        <f>IFERROR(__xludf.DUMMYFUNCTION("""COMPUTED_VALUE"""),0.0)</f>
        <v>0</v>
      </c>
    </row>
    <row r="1109">
      <c r="A1109" s="32"/>
      <c r="I1109" s="31" t="str">
        <f>IFERROR(__xludf.DUMMYFUNCTION("""COMPUTED_VALUE"""),"international journal of psychiatry in clinical practice")</f>
        <v>international journal of psychiatry in clinical practice</v>
      </c>
      <c r="J1109" s="38">
        <f>COUNTIF(Data!$F$2:$F9917, $I1109)</f>
        <v>1</v>
      </c>
      <c r="T1109" s="31" t="s">
        <v>3549</v>
      </c>
      <c r="U1109" s="31" t="s">
        <v>3550</v>
      </c>
      <c r="V1109" s="32">
        <v>44927.0</v>
      </c>
      <c r="X1109" s="31" t="str">
        <f>IFERROR(__xludf.DUMMYFUNCTION("""COMPUTED_VALUE"""),"Safety of COVID-19 Vaccines among People with History of Allergy: A European Active Surveillance Study.")</f>
        <v>Safety of COVID-19 Vaccines among People with History of Allergy: A European Active Surveillance Study.</v>
      </c>
      <c r="Y1109" s="31" t="str">
        <f>IFERROR(__xludf.DUMMYFUNCTION("""COMPUTED_VALUE"""),"Luxi, Nicoletta; Ciccimarra, Francesco; Bellitto, Chiara; Raethke, Monika; van Hunsel, Florence; Lieber, Thomas; Mulder, Erik; L'Abbate, Luca; Marques, Francisco Batel; Furci, Fabiana; Farcas, Andreea; Giele-Eshuis, Janneke; Morton, Kathryn; Sonderlichová"&amp;", Simona; Thurin, Nicolas H; Villalobos, Felipe; Riefolo, Fabio; Sturkenboom, Miriam C; Trifirò, Gianluca")</f>
        <v>Luxi, Nicoletta; Ciccimarra, Francesco; Bellitto, Chiara; Raethke, Monika; van Hunsel, Florence; Lieber, Thomas; Mulder, Erik; L'Abbate, Luca; Marques, Francisco Batel; Furci, Fabiana; Farcas, Andreea; Giele-Eshuis, Janneke; Morton, Kathryn; Sonderlichová, Simona; Thurin, Nicolas H; Villalobos, Felipe; Riefolo, Fabio; Sturkenboom, Miriam C; Trifirò, Gianluca</v>
      </c>
      <c r="Z1109" s="31">
        <f>IFERROR(__xludf.DUMMYFUNCTION("""COMPUTED_VALUE"""),2024.0)</f>
        <v>2024</v>
      </c>
      <c r="AA1109" s="31">
        <f>IFERROR(__xludf.DUMMYFUNCTION("""COMPUTED_VALUE"""),0.0)</f>
        <v>0</v>
      </c>
    </row>
    <row r="1110">
      <c r="A1110" s="32"/>
      <c r="I1110" s="31" t="str">
        <f>IFERROR(__xludf.DUMMYFUNCTION("""COMPUTED_VALUE"""),"current drug safety")</f>
        <v>current drug safety</v>
      </c>
      <c r="J1110" s="38">
        <f>COUNTIF(Data!$F$2:$F9917, $I1110)</f>
        <v>1</v>
      </c>
      <c r="T1110" s="31" t="s">
        <v>3554</v>
      </c>
      <c r="U1110" s="31" t="s">
        <v>3555</v>
      </c>
      <c r="V1110" s="32">
        <v>44926.0</v>
      </c>
    </row>
    <row r="1111">
      <c r="A1111" s="32"/>
      <c r="I1111" s="31" t="str">
        <f>IFERROR(__xludf.DUMMYFUNCTION("""COMPUTED_VALUE"""),"journal of proteome research")</f>
        <v>journal of proteome research</v>
      </c>
      <c r="J1111" s="38">
        <f>COUNTIF(Data!$F$2:$F9917, $I1111)</f>
        <v>1</v>
      </c>
      <c r="T1111" s="31" t="s">
        <v>3558</v>
      </c>
      <c r="U1111" s="31" t="s">
        <v>3559</v>
      </c>
      <c r="V1111" s="32">
        <v>44925.0</v>
      </c>
    </row>
    <row r="1112">
      <c r="A1112" s="32"/>
      <c r="I1112" s="31" t="str">
        <f>IFERROR(__xludf.DUMMYFUNCTION("""COMPUTED_VALUE"""),"archives of internal medicine")</f>
        <v>archives of internal medicine</v>
      </c>
      <c r="J1112" s="38">
        <f>COUNTIF(Data!$F$2:$F9917, $I1112)</f>
        <v>4</v>
      </c>
      <c r="T1112" s="31" t="s">
        <v>3563</v>
      </c>
      <c r="U1112" s="31" t="s">
        <v>3564</v>
      </c>
      <c r="V1112" s="32">
        <v>44924.0</v>
      </c>
    </row>
    <row r="1113">
      <c r="A1113" s="32"/>
      <c r="I1113" s="31" t="str">
        <f>IFERROR(__xludf.DUMMYFUNCTION("""COMPUTED_VALUE"""),"trends in microbiology")</f>
        <v>trends in microbiology</v>
      </c>
      <c r="J1113" s="38">
        <f>COUNTIF(Data!$F$2:$F9917, $I1113)</f>
        <v>1</v>
      </c>
      <c r="T1113" s="31" t="s">
        <v>3567</v>
      </c>
      <c r="U1113" s="31" t="s">
        <v>3568</v>
      </c>
      <c r="V1113" s="32">
        <v>44922.0</v>
      </c>
    </row>
    <row r="1114">
      <c r="A1114" s="32"/>
      <c r="I1114" s="31" t="str">
        <f>IFERROR(__xludf.DUMMYFUNCTION("""COMPUTED_VALUE"""),"microbiology reading england")</f>
        <v>microbiology reading england</v>
      </c>
      <c r="J1114" s="38">
        <f>COUNTIF(Data!$F$2:$F9917, $I1114)</f>
        <v>2</v>
      </c>
      <c r="T1114" s="31" t="s">
        <v>3572</v>
      </c>
      <c r="U1114" s="31" t="s">
        <v>3573</v>
      </c>
      <c r="V1114" s="32">
        <v>44922.0</v>
      </c>
    </row>
    <row r="1115">
      <c r="A1115" s="32"/>
      <c r="I1115" s="31" t="str">
        <f>IFERROR(__xludf.DUMMYFUNCTION("""COMPUTED_VALUE"""),"the journal of clinical psychiatry")</f>
        <v>the journal of clinical psychiatry</v>
      </c>
      <c r="J1115" s="38">
        <f>COUNTIF(Data!$F$2:$F9917, $I1115)</f>
        <v>2</v>
      </c>
      <c r="T1115" s="31" t="s">
        <v>3576</v>
      </c>
      <c r="U1115" s="31" t="s">
        <v>3577</v>
      </c>
      <c r="V1115" s="32">
        <v>44922.0</v>
      </c>
    </row>
    <row r="1116">
      <c r="A1116" s="32"/>
      <c r="I1116" s="31" t="str">
        <f>IFERROR(__xludf.DUMMYFUNCTION("""COMPUTED_VALUE"""),"american journal of medical genetics part b neuropsychiatric genetics the official publication of the international society of psychiatric genetics")</f>
        <v>american journal of medical genetics part b neuropsychiatric genetics the official publication of the international society of psychiatric genetics</v>
      </c>
      <c r="J1116" s="38">
        <f>COUNTIF(Data!$F$2:$F9917, $I1116)</f>
        <v>1</v>
      </c>
      <c r="T1116" s="31" t="s">
        <v>3581</v>
      </c>
      <c r="U1116" s="31" t="s">
        <v>3582</v>
      </c>
      <c r="V1116" s="32">
        <v>44921.0</v>
      </c>
    </row>
    <row r="1117">
      <c r="A1117" s="32"/>
      <c r="I1117" s="31" t="str">
        <f>IFERROR(__xludf.DUMMYFUNCTION("""COMPUTED_VALUE"""),"primary care respiratory journal journal of the general practice airways group")</f>
        <v>primary care respiratory journal journal of the general practice airways group</v>
      </c>
      <c r="J1117" s="38">
        <f>COUNTIF(Data!$F$2:$F9917, $I1117)</f>
        <v>2</v>
      </c>
      <c r="T1117" s="31" t="s">
        <v>3586</v>
      </c>
      <c r="U1117" s="31" t="s">
        <v>3587</v>
      </c>
      <c r="V1117" s="32">
        <v>44919.0</v>
      </c>
    </row>
    <row r="1118">
      <c r="A1118" s="32"/>
      <c r="I1118" s="31" t="str">
        <f>IFERROR(__xludf.DUMMYFUNCTION("""COMPUTED_VALUE"""),"archives of physical medicine and rehabilitation")</f>
        <v>archives of physical medicine and rehabilitation</v>
      </c>
      <c r="J1118" s="38">
        <f>COUNTIF(Data!$F$2:$F9917, $I1118)</f>
        <v>1</v>
      </c>
      <c r="T1118" s="31" t="s">
        <v>3591</v>
      </c>
      <c r="U1118" s="31" t="s">
        <v>3592</v>
      </c>
      <c r="V1118" s="32">
        <v>44918.0</v>
      </c>
    </row>
    <row r="1119">
      <c r="A1119" s="32"/>
      <c r="I1119" s="31" t="str">
        <f>IFERROR(__xludf.DUMMYFUNCTION("""COMPUTED_VALUE"""),"angiology")</f>
        <v>angiology</v>
      </c>
      <c r="J1119" s="38">
        <f>COUNTIF(Data!$F$2:$F9917, $I1119)</f>
        <v>2</v>
      </c>
      <c r="T1119" s="31" t="s">
        <v>3595</v>
      </c>
      <c r="U1119" s="31" t="s">
        <v>3596</v>
      </c>
      <c r="V1119" s="32">
        <v>44918.0</v>
      </c>
    </row>
    <row r="1120">
      <c r="A1120" s="32"/>
      <c r="I1120" s="31" t="str">
        <f>IFERROR(__xludf.DUMMYFUNCTION("""COMPUTED_VALUE"""),"international journal of impotence research")</f>
        <v>international journal of impotence research</v>
      </c>
      <c r="J1120" s="38">
        <f>COUNTIF(Data!$F$2:$F9917, $I1120)</f>
        <v>3</v>
      </c>
      <c r="T1120" s="31" t="s">
        <v>3599</v>
      </c>
      <c r="U1120" s="31" t="s">
        <v>3600</v>
      </c>
      <c r="V1120" s="32">
        <v>44918.0</v>
      </c>
    </row>
    <row r="1121">
      <c r="A1121" s="32"/>
      <c r="I1121" s="31" t="str">
        <f>IFERROR(__xludf.DUMMYFUNCTION("""COMPUTED_VALUE"""),"endocrine")</f>
        <v>endocrine</v>
      </c>
      <c r="J1121" s="38">
        <f>COUNTIF(Data!$F$2:$F9917, $I1121)</f>
        <v>1</v>
      </c>
      <c r="T1121" s="31" t="s">
        <v>3603</v>
      </c>
      <c r="U1121" s="31" t="s">
        <v>3604</v>
      </c>
      <c r="V1121" s="32">
        <v>44917.0</v>
      </c>
    </row>
    <row r="1122">
      <c r="A1122" s="32"/>
      <c r="I1122" s="31" t="str">
        <f>IFERROR(__xludf.DUMMYFUNCTION("""COMPUTED_VALUE"""),"hippocampus")</f>
        <v>hippocampus</v>
      </c>
      <c r="J1122" s="38">
        <f>COUNTIF(Data!$F$2:$F9917, $I1122)</f>
        <v>1</v>
      </c>
      <c r="T1122" s="31" t="s">
        <v>3607</v>
      </c>
      <c r="U1122" s="31" t="s">
        <v>3608</v>
      </c>
      <c r="V1122" s="32">
        <v>44917.0</v>
      </c>
    </row>
    <row r="1123">
      <c r="A1123" s="32"/>
      <c r="I1123" s="31" t="str">
        <f>IFERROR(__xludf.DUMMYFUNCTION("""COMPUTED_VALUE"""),"american journal of kidney diseases the official journal of the national kidney foundation")</f>
        <v>american journal of kidney diseases the official journal of the national kidney foundation</v>
      </c>
      <c r="J1123" s="38">
        <f>COUNTIF(Data!$F$2:$F9917, $I1123)</f>
        <v>1</v>
      </c>
      <c r="T1123" s="31" t="s">
        <v>3611</v>
      </c>
      <c r="U1123" s="31" t="s">
        <v>3612</v>
      </c>
      <c r="V1123" s="32">
        <v>44917.0</v>
      </c>
    </row>
    <row r="1124">
      <c r="A1124" s="32"/>
      <c r="I1124" s="31" t="str">
        <f>IFERROR(__xludf.DUMMYFUNCTION("""COMPUTED_VALUE"""),"current neurovascular research")</f>
        <v>current neurovascular research</v>
      </c>
      <c r="J1124" s="38">
        <f>COUNTIF(Data!$F$2:$F9917, $I1124)</f>
        <v>1</v>
      </c>
      <c r="T1124" s="31" t="s">
        <v>3615</v>
      </c>
      <c r="U1124" s="31" t="s">
        <v>3616</v>
      </c>
      <c r="V1124" s="32">
        <v>44916.0</v>
      </c>
    </row>
    <row r="1125">
      <c r="A1125" s="32"/>
      <c r="I1125" s="31" t="str">
        <f>IFERROR(__xludf.DUMMYFUNCTION("""COMPUTED_VALUE"""),"journal of clinical psychopharmacology")</f>
        <v>journal of clinical psychopharmacology</v>
      </c>
      <c r="J1125" s="38">
        <f>COUNTIF(Data!$F$2:$F9917, $I1125)</f>
        <v>1</v>
      </c>
      <c r="T1125" s="31" t="s">
        <v>3620</v>
      </c>
      <c r="U1125" s="31" t="s">
        <v>3621</v>
      </c>
      <c r="V1125" s="32">
        <v>44915.0</v>
      </c>
    </row>
    <row r="1126">
      <c r="A1126" s="32"/>
      <c r="I1126" s="31" t="str">
        <f>IFERROR(__xludf.DUMMYFUNCTION("""COMPUTED_VALUE"""),"canadian journal of anaesthesia journal canadien danesthesie")</f>
        <v>canadian journal of anaesthesia journal canadien danesthesie</v>
      </c>
      <c r="J1126" s="38">
        <f>COUNTIF(Data!$F$2:$F9917, $I1126)</f>
        <v>1</v>
      </c>
      <c r="T1126" s="31" t="s">
        <v>3624</v>
      </c>
      <c r="U1126" s="31" t="s">
        <v>3625</v>
      </c>
      <c r="V1126" s="32">
        <v>44914.0</v>
      </c>
    </row>
    <row r="1127">
      <c r="A1127" s="32"/>
      <c r="I1127" s="31" t="str">
        <f>IFERROR(__xludf.DUMMYFUNCTION("""COMPUTED_VALUE"""),"bmc medical genomics")</f>
        <v>bmc medical genomics</v>
      </c>
      <c r="J1127" s="38">
        <f>COUNTIF(Data!$F$2:$F9917, $I1127)</f>
        <v>1</v>
      </c>
      <c r="T1127" s="31" t="s">
        <v>3629</v>
      </c>
      <c r="U1127" s="31" t="s">
        <v>3630</v>
      </c>
      <c r="V1127" s="32">
        <v>44914.0</v>
      </c>
    </row>
    <row r="1128">
      <c r="A1128" s="32"/>
      <c r="I1128" s="31" t="str">
        <f>IFERROR(__xludf.DUMMYFUNCTION("""COMPUTED_VALUE"""),"scandinavian journal of gastroenterology")</f>
        <v>scandinavian journal of gastroenterology</v>
      </c>
      <c r="J1128" s="38">
        <f>COUNTIF(Data!$F$2:$F9917, $I1128)</f>
        <v>2</v>
      </c>
      <c r="T1128" s="31" t="s">
        <v>3633</v>
      </c>
      <c r="U1128" s="31" t="s">
        <v>3634</v>
      </c>
      <c r="V1128" s="32">
        <v>44914.0</v>
      </c>
    </row>
    <row r="1129">
      <c r="A1129" s="32"/>
      <c r="I1129" s="31" t="str">
        <f>IFERROR(__xludf.DUMMYFUNCTION("""COMPUTED_VALUE"""),"journal of cardiac surgery")</f>
        <v>journal of cardiac surgery</v>
      </c>
      <c r="J1129" s="38">
        <f>COUNTIF(Data!$F$2:$F9917, $I1129)</f>
        <v>1</v>
      </c>
      <c r="T1129" s="31" t="s">
        <v>3636</v>
      </c>
      <c r="U1129" s="31" t="s">
        <v>3637</v>
      </c>
      <c r="V1129" s="32">
        <v>44912.0</v>
      </c>
    </row>
    <row r="1130">
      <c r="A1130" s="32"/>
      <c r="I1130" s="31" t="str">
        <f>IFERROR(__xludf.DUMMYFUNCTION("""COMPUTED_VALUE"""),"alimentary pharmacology therapeutics")</f>
        <v>alimentary pharmacology therapeutics</v>
      </c>
      <c r="J1130" s="38">
        <f>COUNTIF(Data!$F$2:$F9917, $I1130)</f>
        <v>1</v>
      </c>
      <c r="T1130" s="31" t="s">
        <v>3641</v>
      </c>
      <c r="U1130" s="31" t="s">
        <v>3642</v>
      </c>
      <c r="V1130" s="32">
        <v>44911.0</v>
      </c>
    </row>
    <row r="1131">
      <c r="A1131" s="32"/>
      <c r="I1131" s="31" t="str">
        <f>IFERROR(__xludf.DUMMYFUNCTION("""COMPUTED_VALUE"""),"journal of medical case reports")</f>
        <v>journal of medical case reports</v>
      </c>
      <c r="J1131" s="38">
        <f>COUNTIF(Data!$F$2:$F9917, $I1131)</f>
        <v>1</v>
      </c>
      <c r="T1131" s="31" t="s">
        <v>3645</v>
      </c>
      <c r="U1131" s="31" t="s">
        <v>2628</v>
      </c>
      <c r="V1131" s="32">
        <v>44911.0</v>
      </c>
    </row>
    <row r="1132">
      <c r="A1132" s="32"/>
      <c r="I1132" s="31" t="str">
        <f>IFERROR(__xludf.DUMMYFUNCTION("""COMPUTED_VALUE"""),"hypertension research official journal of the japanese society of hypertension")</f>
        <v>hypertension research official journal of the japanese society of hypertension</v>
      </c>
      <c r="J1132" s="38">
        <f>COUNTIF(Data!$F$2:$F9917, $I1132)</f>
        <v>1</v>
      </c>
      <c r="T1132" s="31" t="s">
        <v>3648</v>
      </c>
      <c r="U1132" s="31" t="s">
        <v>3649</v>
      </c>
      <c r="V1132" s="32">
        <v>44910.0</v>
      </c>
    </row>
    <row r="1133">
      <c r="A1133" s="32"/>
      <c r="I1133" s="31" t="str">
        <f>IFERROR(__xludf.DUMMYFUNCTION("""COMPUTED_VALUE"""),"pacing and clinical electrophysiology pace")</f>
        <v>pacing and clinical electrophysiology pace</v>
      </c>
      <c r="J1133" s="38">
        <f>COUNTIF(Data!$F$2:$F9917, $I1133)</f>
        <v>1</v>
      </c>
      <c r="T1133" s="31" t="s">
        <v>3652</v>
      </c>
      <c r="U1133" s="31" t="s">
        <v>3653</v>
      </c>
      <c r="V1133" s="32">
        <v>44909.0</v>
      </c>
    </row>
    <row r="1134">
      <c r="A1134" s="32"/>
      <c r="I1134" s="31" t="str">
        <f>IFERROR(__xludf.DUMMYFUNCTION("""COMPUTED_VALUE"""),"canadian family physician medecin de famille canadien")</f>
        <v>canadian family physician medecin de famille canadien</v>
      </c>
      <c r="J1134" s="38">
        <f>COUNTIF(Data!$F$2:$F9917, $I1134)</f>
        <v>1</v>
      </c>
      <c r="T1134" s="31" t="s">
        <v>3657</v>
      </c>
      <c r="U1134" s="31" t="s">
        <v>3658</v>
      </c>
      <c r="V1134" s="32">
        <v>44909.0</v>
      </c>
    </row>
    <row r="1135">
      <c r="A1135" s="32"/>
      <c r="I1135" s="31" t="str">
        <f>IFERROR(__xludf.DUMMYFUNCTION("""COMPUTED_VALUE"""),"vascular health and risk management")</f>
        <v>vascular health and risk management</v>
      </c>
      <c r="J1135" s="38">
        <f>COUNTIF(Data!$F$2:$F9917, $I1135)</f>
        <v>1</v>
      </c>
      <c r="T1135" s="31" t="s">
        <v>3661</v>
      </c>
      <c r="U1135" s="31" t="s">
        <v>3662</v>
      </c>
      <c r="V1135" s="32">
        <v>44909.0</v>
      </c>
    </row>
    <row r="1136">
      <c r="A1136" s="32"/>
      <c r="I1136" s="31" t="str">
        <f>IFERROR(__xludf.DUMMYFUNCTION("""COMPUTED_VALUE"""),"international clinical psychopharmacology")</f>
        <v>international clinical psychopharmacology</v>
      </c>
      <c r="J1136" s="38">
        <f>COUNTIF(Data!$F$2:$F9917, $I1136)</f>
        <v>1</v>
      </c>
      <c r="T1136" s="31" t="s">
        <v>3665</v>
      </c>
      <c r="U1136" s="31" t="s">
        <v>3666</v>
      </c>
      <c r="V1136" s="32">
        <v>44909.0</v>
      </c>
    </row>
    <row r="1137">
      <c r="A1137" s="32"/>
      <c r="I1137" s="31" t="str">
        <f>IFERROR(__xludf.DUMMYFUNCTION("""COMPUTED_VALUE"""),"cardiovascular drugs and therapy")</f>
        <v>cardiovascular drugs and therapy</v>
      </c>
      <c r="J1137" s="38">
        <f>COUNTIF(Data!$F$2:$F9917, $I1137)</f>
        <v>5</v>
      </c>
      <c r="T1137" s="31" t="s">
        <v>3670</v>
      </c>
      <c r="U1137" s="31" t="s">
        <v>3671</v>
      </c>
      <c r="V1137" s="32">
        <v>44909.0</v>
      </c>
    </row>
    <row r="1138">
      <c r="A1138" s="32"/>
      <c r="I1138" s="31" t="str">
        <f>IFERROR(__xludf.DUMMYFUNCTION("""COMPUTED_VALUE"""),"epilepsia")</f>
        <v>epilepsia</v>
      </c>
      <c r="J1138" s="38">
        <f>COUNTIF(Data!$F$2:$F9917, $I1138)</f>
        <v>1</v>
      </c>
      <c r="T1138" s="31" t="s">
        <v>3674</v>
      </c>
      <c r="U1138" s="31" t="s">
        <v>3675</v>
      </c>
      <c r="V1138" s="32">
        <v>44908.0</v>
      </c>
    </row>
    <row r="1139">
      <c r="A1139" s="32"/>
      <c r="I1139" s="31" t="str">
        <f>IFERROR(__xludf.DUMMYFUNCTION("""COMPUTED_VALUE"""),"endocrinerelated cancer")</f>
        <v>endocrinerelated cancer</v>
      </c>
      <c r="J1139" s="38">
        <f>COUNTIF(Data!$F$2:$F9917, $I1139)</f>
        <v>1</v>
      </c>
      <c r="T1139" s="31" t="s">
        <v>3679</v>
      </c>
      <c r="U1139" s="31" t="s">
        <v>3680</v>
      </c>
      <c r="V1139" s="32">
        <v>44908.0</v>
      </c>
    </row>
    <row r="1140">
      <c r="A1140" s="32"/>
      <c r="I1140" s="31" t="str">
        <f>IFERROR(__xludf.DUMMYFUNCTION("""COMPUTED_VALUE"""),"european addiction research")</f>
        <v>european addiction research</v>
      </c>
      <c r="J1140" s="38">
        <f>COUNTIF(Data!$F$2:$F9917, $I1140)</f>
        <v>1</v>
      </c>
      <c r="T1140" s="31" t="s">
        <v>3683</v>
      </c>
      <c r="U1140" s="31" t="s">
        <v>3684</v>
      </c>
      <c r="V1140" s="32">
        <v>44907.0</v>
      </c>
    </row>
    <row r="1141">
      <c r="A1141" s="32"/>
      <c r="I1141" s="31" t="str">
        <f>IFERROR(__xludf.DUMMYFUNCTION("""COMPUTED_VALUE"""),"european neuropsychopharmacology the journal of the european college of neuropsychopharmacology")</f>
        <v>european neuropsychopharmacology the journal of the european college of neuropsychopharmacology</v>
      </c>
      <c r="J1141" s="38">
        <f>COUNTIF(Data!$F$2:$F9917, $I1141)</f>
        <v>1</v>
      </c>
      <c r="T1141" s="31" t="s">
        <v>3688</v>
      </c>
      <c r="U1141" s="31" t="s">
        <v>3689</v>
      </c>
      <c r="V1141" s="32">
        <v>44907.0</v>
      </c>
    </row>
    <row r="1142">
      <c r="A1142" s="32"/>
      <c r="I1142" s="31" t="str">
        <f>IFERROR(__xludf.DUMMYFUNCTION("""COMPUTED_VALUE"""),"seminars in thrombosis and hemostasis")</f>
        <v>seminars in thrombosis and hemostasis</v>
      </c>
      <c r="J1142" s="38">
        <f>COUNTIF(Data!$F$2:$F9917, $I1142)</f>
        <v>1</v>
      </c>
      <c r="T1142" s="31" t="s">
        <v>3693</v>
      </c>
      <c r="U1142" s="31" t="s">
        <v>3694</v>
      </c>
      <c r="V1142" s="32">
        <v>44904.0</v>
      </c>
    </row>
    <row r="1143">
      <c r="A1143" s="32"/>
      <c r="I1143" s="31" t="str">
        <f>IFERROR(__xludf.DUMMYFUNCTION("""COMPUTED_VALUE"""),"annals of neurology")</f>
        <v>annals of neurology</v>
      </c>
      <c r="J1143" s="38">
        <f>COUNTIF(Data!$F$2:$F9917, $I1143)</f>
        <v>1</v>
      </c>
      <c r="T1143" s="31" t="s">
        <v>3697</v>
      </c>
      <c r="U1143" s="31" t="s">
        <v>3698</v>
      </c>
      <c r="V1143" s="32">
        <v>44903.0</v>
      </c>
    </row>
    <row r="1144">
      <c r="A1144" s="32"/>
      <c r="I1144" s="31" t="str">
        <f>IFERROR(__xludf.DUMMYFUNCTION("""COMPUTED_VALUE"""),"the journal of family practice")</f>
        <v>the journal of family practice</v>
      </c>
      <c r="J1144" s="38">
        <f>COUNTIF(Data!$F$2:$F9917, $I1144)</f>
        <v>1</v>
      </c>
      <c r="T1144" s="31" t="s">
        <v>3702</v>
      </c>
      <c r="U1144" s="31" t="s">
        <v>3703</v>
      </c>
      <c r="V1144" s="32">
        <v>44903.0</v>
      </c>
    </row>
    <row r="1145">
      <c r="A1145" s="32"/>
      <c r="I1145" s="31" t="str">
        <f>IFERROR(__xludf.DUMMYFUNCTION("""COMPUTED_VALUE"""),"neuropsychologia")</f>
        <v>neuropsychologia</v>
      </c>
      <c r="J1145" s="38">
        <f>COUNTIF(Data!$F$2:$F9917, $I1145)</f>
        <v>1</v>
      </c>
      <c r="T1145" s="31" t="s">
        <v>3706</v>
      </c>
      <c r="U1145" s="31" t="s">
        <v>3707</v>
      </c>
      <c r="V1145" s="32">
        <v>44902.0</v>
      </c>
    </row>
    <row r="1146">
      <c r="A1146" s="32"/>
      <c r="I1146" s="31" t="str">
        <f>IFERROR(__xludf.DUMMYFUNCTION("""COMPUTED_VALUE"""),"scandinavian journal of infectious diseases")</f>
        <v>scandinavian journal of infectious diseases</v>
      </c>
      <c r="J1146" s="38">
        <f>COUNTIF(Data!$F$2:$F9917, $I1146)</f>
        <v>1</v>
      </c>
      <c r="T1146" s="31" t="s">
        <v>3710</v>
      </c>
      <c r="U1146" s="31" t="s">
        <v>3711</v>
      </c>
      <c r="V1146" s="32">
        <v>44901.0</v>
      </c>
    </row>
    <row r="1147">
      <c r="A1147" s="32"/>
      <c r="I1147" s="31" t="str">
        <f>IFERROR(__xludf.DUMMYFUNCTION("""COMPUTED_VALUE"""),"journal of occupational and environmental medicine")</f>
        <v>journal of occupational and environmental medicine</v>
      </c>
      <c r="J1147" s="38">
        <f>COUNTIF(Data!$F$2:$F9917, $I1147)</f>
        <v>1</v>
      </c>
      <c r="T1147" s="31" t="s">
        <v>3714</v>
      </c>
      <c r="U1147" s="31" t="s">
        <v>3715</v>
      </c>
      <c r="V1147" s="32">
        <v>44900.0</v>
      </c>
    </row>
    <row r="1148">
      <c r="A1148" s="32"/>
      <c r="I1148" s="31" t="str">
        <f>IFERROR(__xludf.DUMMYFUNCTION("""COMPUTED_VALUE"""),"trends in endocrinology and metabolism tem")</f>
        <v>trends in endocrinology and metabolism tem</v>
      </c>
      <c r="J1148" s="38">
        <f>COUNTIF(Data!$F$2:$F9917, $I1148)</f>
        <v>2</v>
      </c>
      <c r="T1148" s="31" t="s">
        <v>3719</v>
      </c>
      <c r="U1148" s="31" t="s">
        <v>3720</v>
      </c>
      <c r="V1148" s="32">
        <v>44900.0</v>
      </c>
    </row>
    <row r="1149">
      <c r="A1149" s="32"/>
      <c r="I1149" s="31" t="str">
        <f>IFERROR(__xludf.DUMMYFUNCTION("""COMPUTED_VALUE"""),"bmc anesthesiology")</f>
        <v>bmc anesthesiology</v>
      </c>
      <c r="J1149" s="38">
        <f>COUNTIF(Data!$F$2:$F9917, $I1149)</f>
        <v>1</v>
      </c>
      <c r="T1149" s="31" t="s">
        <v>3723</v>
      </c>
      <c r="U1149" s="31" t="s">
        <v>3724</v>
      </c>
      <c r="V1149" s="32">
        <v>44900.0</v>
      </c>
    </row>
    <row r="1150">
      <c r="A1150" s="32"/>
      <c r="I1150" s="31" t="str">
        <f>IFERROR(__xludf.DUMMYFUNCTION("""COMPUTED_VALUE"""),"controlled clinical trials")</f>
        <v>controlled clinical trials</v>
      </c>
      <c r="J1150" s="38">
        <f>COUNTIF(Data!$F$2:$F9917, $I1150)</f>
        <v>1</v>
      </c>
      <c r="T1150" s="31" t="s">
        <v>3728</v>
      </c>
      <c r="U1150" s="31" t="s">
        <v>3729</v>
      </c>
      <c r="V1150" s="32">
        <v>44899.0</v>
      </c>
    </row>
    <row r="1151">
      <c r="A1151" s="32"/>
      <c r="I1151" s="31" t="str">
        <f>IFERROR(__xludf.DUMMYFUNCTION("""COMPUTED_VALUE"""),"international journal of obesity and related metabolic disorders journal of the international association for the study of obesity")</f>
        <v>international journal of obesity and related metabolic disorders journal of the international association for the study of obesity</v>
      </c>
      <c r="J1151" s="38">
        <f>COUNTIF(Data!$F$2:$F9917, $I1151)</f>
        <v>2</v>
      </c>
      <c r="T1151" s="31" t="s">
        <v>3733</v>
      </c>
      <c r="U1151" s="31" t="s">
        <v>3734</v>
      </c>
      <c r="V1151" s="32">
        <v>44898.0</v>
      </c>
    </row>
    <row r="1152">
      <c r="A1152" s="32"/>
      <c r="I1152" s="31" t="str">
        <f>IFERROR(__xludf.DUMMYFUNCTION("""COMPUTED_VALUE"""),"the journal of laboratory and clinical medicine")</f>
        <v>the journal of laboratory and clinical medicine</v>
      </c>
      <c r="J1152" s="38">
        <f>COUNTIF(Data!$F$2:$F9917, $I1152)</f>
        <v>1</v>
      </c>
      <c r="T1152" s="31" t="s">
        <v>3736</v>
      </c>
      <c r="U1152" s="31" t="s">
        <v>3737</v>
      </c>
      <c r="V1152" s="32">
        <v>44897.0</v>
      </c>
    </row>
    <row r="1153">
      <c r="A1153" s="32"/>
      <c r="I1153" s="31" t="str">
        <f>IFERROR(__xludf.DUMMYFUNCTION("""COMPUTED_VALUE"""),"metabolism clinical and experimental")</f>
        <v>metabolism clinical and experimental</v>
      </c>
      <c r="J1153" s="38">
        <f>COUNTIF(Data!$F$2:$F9917, $I1153)</f>
        <v>1</v>
      </c>
      <c r="T1153" s="31" t="s">
        <v>3740</v>
      </c>
      <c r="U1153" s="31" t="s">
        <v>3741</v>
      </c>
      <c r="V1153" s="32">
        <v>44897.0</v>
      </c>
    </row>
    <row r="1154">
      <c r="A1154" s="32"/>
      <c r="I1154" s="31" t="str">
        <f>IFERROR(__xludf.DUMMYFUNCTION("""COMPUTED_VALUE"""),"pharmacogenetics")</f>
        <v>pharmacogenetics</v>
      </c>
      <c r="J1154" s="38">
        <f>COUNTIF(Data!$F$2:$F9917, $I1154)</f>
        <v>1</v>
      </c>
      <c r="T1154" s="31" t="s">
        <v>3745</v>
      </c>
      <c r="U1154" s="31" t="s">
        <v>3746</v>
      </c>
      <c r="V1154" s="32">
        <v>44896.0</v>
      </c>
    </row>
    <row r="1155">
      <c r="A1155" s="32"/>
      <c r="I1155" s="31" t="str">
        <f>IFERROR(__xludf.DUMMYFUNCTION("""COMPUTED_VALUE"""),"academic radiology")</f>
        <v>academic radiology</v>
      </c>
      <c r="J1155" s="38">
        <f>COUNTIF(Data!$F$2:$F9917, $I1155)</f>
        <v>1</v>
      </c>
      <c r="T1155" s="31" t="s">
        <v>3750</v>
      </c>
      <c r="U1155" s="31" t="s">
        <v>3751</v>
      </c>
      <c r="V1155" s="32">
        <v>44896.0</v>
      </c>
    </row>
    <row r="1156">
      <c r="A1156" s="32"/>
      <c r="I1156" s="31" t="str">
        <f>IFERROR(__xludf.DUMMYFUNCTION("""COMPUTED_VALUE"""),"drugs")</f>
        <v>drugs</v>
      </c>
      <c r="J1156" s="38">
        <f>COUNTIF(Data!$F$2:$F9917, $I1156)</f>
        <v>2</v>
      </c>
      <c r="T1156" s="31" t="s">
        <v>3754</v>
      </c>
      <c r="U1156" s="31" t="s">
        <v>3755</v>
      </c>
      <c r="V1156" s="32">
        <v>44896.0</v>
      </c>
    </row>
    <row r="1157">
      <c r="A1157" s="32"/>
      <c r="I1157" s="31" t="str">
        <f>IFERROR(__xludf.DUMMYFUNCTION("""COMPUTED_VALUE"""),"advances in neurology")</f>
        <v>advances in neurology</v>
      </c>
      <c r="J1157" s="38">
        <f>COUNTIF(Data!$F$2:$F9917, $I1157)</f>
        <v>1</v>
      </c>
      <c r="T1157" s="31" t="s">
        <v>3758</v>
      </c>
      <c r="U1157" s="31" t="s">
        <v>3759</v>
      </c>
      <c r="V1157" s="32">
        <v>44896.0</v>
      </c>
    </row>
    <row r="1158">
      <c r="A1158" s="32"/>
      <c r="I1158" s="31" t="str">
        <f>IFERROR(__xludf.DUMMYFUNCTION("""COMPUTED_VALUE"""),"applied nursing research anr")</f>
        <v>applied nursing research anr</v>
      </c>
      <c r="J1158" s="38">
        <f>COUNTIF(Data!$F$2:$F9917, $I1158)</f>
        <v>1</v>
      </c>
      <c r="T1158" s="31" t="s">
        <v>3762</v>
      </c>
      <c r="U1158" s="31" t="s">
        <v>3763</v>
      </c>
      <c r="V1158" s="32">
        <v>44896.0</v>
      </c>
    </row>
    <row r="1159">
      <c r="A1159" s="32"/>
      <c r="I1159" s="31" t="str">
        <f>IFERROR(__xludf.DUMMYFUNCTION("""COMPUTED_VALUE"""),"blood coagulation fibrinolysis an international journal in haemostasis and thrombosis")</f>
        <v>blood coagulation fibrinolysis an international journal in haemostasis and thrombosis</v>
      </c>
      <c r="J1159" s="38">
        <f>COUNTIF(Data!$F$2:$F9917, $I1159)</f>
        <v>1</v>
      </c>
      <c r="T1159" s="31" t="s">
        <v>3766</v>
      </c>
      <c r="U1159" s="31" t="s">
        <v>3767</v>
      </c>
      <c r="V1159" s="32">
        <v>44896.0</v>
      </c>
    </row>
    <row r="1160">
      <c r="A1160" s="32"/>
      <c r="I1160" s="31" t="str">
        <f>IFERROR(__xludf.DUMMYFUNCTION("""COMPUTED_VALUE"""),"analytical biochemistry")</f>
        <v>analytical biochemistry</v>
      </c>
      <c r="J1160" s="38">
        <f>COUNTIF(Data!$F$2:$F9917, $I1160)</f>
        <v>1</v>
      </c>
      <c r="T1160" s="31" t="s">
        <v>3770</v>
      </c>
      <c r="U1160" s="31" t="s">
        <v>3771</v>
      </c>
      <c r="V1160" s="32">
        <v>44896.0</v>
      </c>
    </row>
    <row r="1161">
      <c r="A1161" s="32"/>
      <c r="I1161" s="31" t="str">
        <f>IFERROR(__xludf.DUMMYFUNCTION("""COMPUTED_VALUE"""),"acta anaesthesiologica scandinavica")</f>
        <v>acta anaesthesiologica scandinavica</v>
      </c>
      <c r="J1161" s="38">
        <f>COUNTIF(Data!$F$2:$F9917, $I1161)</f>
        <v>1</v>
      </c>
      <c r="T1161" s="31" t="s">
        <v>3773</v>
      </c>
      <c r="U1161" s="31" t="s">
        <v>3774</v>
      </c>
      <c r="V1161" s="32">
        <v>44896.0</v>
      </c>
    </row>
    <row r="1162">
      <c r="A1162" s="32"/>
      <c r="I1162" s="31" t="str">
        <f>IFERROR(__xludf.DUMMYFUNCTION("""COMPUTED_VALUE"""),"iarc scientific publications")</f>
        <v>iarc scientific publications</v>
      </c>
      <c r="J1162" s="38">
        <f>COUNTIF(Data!$F$2:$F9917, $I1162)</f>
        <v>3</v>
      </c>
      <c r="T1162" s="31" t="s">
        <v>3777</v>
      </c>
      <c r="U1162" s="31" t="s">
        <v>3778</v>
      </c>
      <c r="V1162" s="32">
        <v>44896.0</v>
      </c>
    </row>
    <row r="1163">
      <c r="A1163" s="32"/>
      <c r="I1163" s="31" t="str">
        <f>IFERROR(__xludf.DUMMYFUNCTION("""COMPUTED_VALUE"""),"postgraduate medical journal")</f>
        <v>postgraduate medical journal</v>
      </c>
      <c r="J1163" s="38">
        <f>COUNTIF(Data!$F$2:$F9917, $I1163)</f>
        <v>1</v>
      </c>
      <c r="T1163" s="31" t="s">
        <v>3781</v>
      </c>
      <c r="U1163" s="31" t="s">
        <v>3782</v>
      </c>
      <c r="V1163" s="32">
        <v>44896.0</v>
      </c>
    </row>
    <row r="1164">
      <c r="A1164" s="32"/>
      <c r="I1164" s="31" t="str">
        <f>IFERROR(__xludf.DUMMYFUNCTION("""COMPUTED_VALUE"""),"diagnostic cytopathology")</f>
        <v>diagnostic cytopathology</v>
      </c>
      <c r="J1164" s="38">
        <f>COUNTIF(Data!$F$2:$F9917, $I1164)</f>
        <v>1</v>
      </c>
      <c r="T1164" s="31" t="s">
        <v>3786</v>
      </c>
      <c r="U1164" s="31" t="s">
        <v>3787</v>
      </c>
      <c r="V1164" s="32">
        <v>44896.0</v>
      </c>
    </row>
    <row r="1165">
      <c r="A1165" s="32"/>
      <c r="I1165" s="31" t="str">
        <f>IFERROR(__xludf.DUMMYFUNCTION("""COMPUTED_VALUE"""),"current opinion in nephrology and hypertension")</f>
        <v>current opinion in nephrology and hypertension</v>
      </c>
      <c r="J1165" s="38">
        <f>COUNTIF(Data!$F$2:$F9917, $I1165)</f>
        <v>1</v>
      </c>
      <c r="T1165" s="31" t="s">
        <v>3791</v>
      </c>
      <c r="U1165" s="31" t="s">
        <v>3792</v>
      </c>
      <c r="V1165" s="32">
        <v>44896.0</v>
      </c>
    </row>
    <row r="1166">
      <c r="A1166" s="32"/>
      <c r="I1166" s="31" t="str">
        <f>IFERROR(__xludf.DUMMYFUNCTION("""COMPUTED_VALUE"""),"journal of cardiovascular risk")</f>
        <v>journal of cardiovascular risk</v>
      </c>
      <c r="J1166" s="38">
        <f>COUNTIF(Data!$F$2:$F9917, $I1166)</f>
        <v>1</v>
      </c>
      <c r="T1166" s="31" t="s">
        <v>3795</v>
      </c>
      <c r="U1166" s="31" t="s">
        <v>3796</v>
      </c>
      <c r="V1166" s="32">
        <v>44896.0</v>
      </c>
    </row>
    <row r="1167">
      <c r="A1167" s="32"/>
      <c r="I1167" s="31" t="str">
        <f>IFERROR(__xludf.DUMMYFUNCTION("""COMPUTED_VALUE"""),"the journal of thoracic and cardiovascular surgery")</f>
        <v>the journal of thoracic and cardiovascular surgery</v>
      </c>
      <c r="J1167" s="38">
        <f>COUNTIF(Data!$F$2:$F9917, $I1167)</f>
        <v>2</v>
      </c>
      <c r="T1167" s="31" t="s">
        <v>3800</v>
      </c>
      <c r="U1167" s="31" t="s">
        <v>3801</v>
      </c>
      <c r="V1167" s="32">
        <v>44895.0</v>
      </c>
    </row>
    <row r="1168">
      <c r="A1168" s="32"/>
      <c r="I1168" s="31" t="str">
        <f>IFERROR(__xludf.DUMMYFUNCTION("""COMPUTED_VALUE"""),"journal of ultrasound in medicine official journal of the american institute of ultrasound in medicine")</f>
        <v>journal of ultrasound in medicine official journal of the american institute of ultrasound in medicine</v>
      </c>
      <c r="J1168" s="38">
        <f>COUNTIF(Data!$F$2:$F9917, $I1168)</f>
        <v>1</v>
      </c>
      <c r="T1168" s="31" t="s">
        <v>3804</v>
      </c>
      <c r="U1168" s="31" t="s">
        <v>3805</v>
      </c>
      <c r="V1168" s="32">
        <v>44895.0</v>
      </c>
    </row>
    <row r="1169">
      <c r="A1169" s="32"/>
      <c r="I1169" s="31" t="str">
        <f>IFERROR(__xludf.DUMMYFUNCTION("""COMPUTED_VALUE"""),"ultrasound in medicine biology")</f>
        <v>ultrasound in medicine biology</v>
      </c>
      <c r="J1169" s="38">
        <f>COUNTIF(Data!$F$2:$F9917, $I1169)</f>
        <v>1</v>
      </c>
      <c r="T1169" s="31" t="s">
        <v>3808</v>
      </c>
      <c r="U1169" s="31" t="s">
        <v>3809</v>
      </c>
      <c r="V1169" s="32">
        <v>44895.0</v>
      </c>
    </row>
    <row r="1170">
      <c r="A1170" s="32"/>
      <c r="I1170" s="31" t="str">
        <f>IFERROR(__xludf.DUMMYFUNCTION("""COMPUTED_VALUE"""),"journal of psychosomatic obstetrics and gynaecology")</f>
        <v>journal of psychosomatic obstetrics and gynaecology</v>
      </c>
      <c r="J1170" s="38">
        <f>COUNTIF(Data!$F$2:$F9917, $I1170)</f>
        <v>1</v>
      </c>
      <c r="T1170" s="31" t="s">
        <v>3812</v>
      </c>
      <c r="U1170" s="31" t="s">
        <v>3813</v>
      </c>
      <c r="V1170" s="32">
        <v>44895.0</v>
      </c>
    </row>
    <row r="1171">
      <c r="A1171" s="32"/>
      <c r="I1171" s="31" t="str">
        <f>IFERROR(__xludf.DUMMYFUNCTION("""COMPUTED_VALUE"""),"fortschritte der kieferorthopadie")</f>
        <v>fortschritte der kieferorthopadie</v>
      </c>
      <c r="J1171" s="38">
        <f>COUNTIF(Data!$F$2:$F9917, $I1171)</f>
        <v>1</v>
      </c>
      <c r="T1171" s="31" t="s">
        <v>3816</v>
      </c>
      <c r="U1171" s="31" t="s">
        <v>3817</v>
      </c>
      <c r="V1171" s="32">
        <v>44894.0</v>
      </c>
    </row>
    <row r="1172">
      <c r="A1172" s="32"/>
      <c r="I1172" s="31" t="str">
        <f>IFERROR(__xludf.DUMMYFUNCTION("""COMPUTED_VALUE"""),"jco clinical cancer informatics")</f>
        <v>jco clinical cancer informatics</v>
      </c>
      <c r="J1172" s="38">
        <f>COUNTIF(Data!$F$2:$F9917, $I1172)</f>
        <v>1</v>
      </c>
      <c r="T1172" s="31" t="s">
        <v>3820</v>
      </c>
      <c r="U1172" s="31" t="s">
        <v>3821</v>
      </c>
      <c r="V1172" s="32">
        <v>44894.0</v>
      </c>
    </row>
    <row r="1173">
      <c r="A1173" s="32"/>
      <c r="I1173" s="31" t="str">
        <f>IFERROR(__xludf.DUMMYFUNCTION("""COMPUTED_VALUE"""),"exploratory research in clinical and social pharmacy")</f>
        <v>exploratory research in clinical and social pharmacy</v>
      </c>
      <c r="J1173" s="38">
        <f>COUNTIF(Data!$F$2:$F9917, $I1173)</f>
        <v>1</v>
      </c>
      <c r="T1173" s="31" t="s">
        <v>3824</v>
      </c>
      <c r="U1173" s="31" t="s">
        <v>3825</v>
      </c>
      <c r="V1173" s="32">
        <v>44893.0</v>
      </c>
    </row>
    <row r="1174">
      <c r="A1174" s="32"/>
      <c r="I1174" s="31" t="str">
        <f>IFERROR(__xludf.DUMMYFUNCTION("""COMPUTED_VALUE"""),"journal of aapos the official publication of the american association for pediatric ophthalmology and strabismus")</f>
        <v>journal of aapos the official publication of the american association for pediatric ophthalmology and strabismus</v>
      </c>
      <c r="J1174" s="38">
        <f>COUNTIF(Data!$F$2:$F9917, $I1174)</f>
        <v>1</v>
      </c>
      <c r="T1174" s="31" t="s">
        <v>3829</v>
      </c>
      <c r="U1174" s="31" t="s">
        <v>3830</v>
      </c>
      <c r="V1174" s="32">
        <v>44890.0</v>
      </c>
    </row>
    <row r="1175">
      <c r="A1175" s="32"/>
      <c r="I1175" s="31" t="str">
        <f>IFERROR(__xludf.DUMMYFUNCTION("""COMPUTED_VALUE"""),"clinical nutrition espen")</f>
        <v>clinical nutrition espen</v>
      </c>
      <c r="J1175" s="38">
        <f>COUNTIF(Data!$F$2:$F9917, $I1175)</f>
        <v>1</v>
      </c>
      <c r="T1175" s="31" t="s">
        <v>3832</v>
      </c>
      <c r="U1175" s="31" t="s">
        <v>3833</v>
      </c>
      <c r="V1175" s="32">
        <v>44890.0</v>
      </c>
    </row>
    <row r="1176">
      <c r="A1176" s="32"/>
      <c r="I1176" s="31" t="str">
        <f>IFERROR(__xludf.DUMMYFUNCTION("""COMPUTED_VALUE"""),"journal of immunology baltimore md")</f>
        <v>journal of immunology baltimore md</v>
      </c>
      <c r="J1176" s="38">
        <f>COUNTIF(Data!$F$2:$F9917, $I1176)</f>
        <v>1</v>
      </c>
      <c r="T1176" s="31" t="s">
        <v>3836</v>
      </c>
      <c r="U1176" s="31" t="s">
        <v>3837</v>
      </c>
      <c r="V1176" s="32">
        <v>44890.0</v>
      </c>
    </row>
    <row r="1177">
      <c r="A1177" s="32"/>
      <c r="I1177" s="31" t="str">
        <f>IFERROR(__xludf.DUMMYFUNCTION("""COMPUTED_VALUE"""),"journal of travel medicine")</f>
        <v>journal of travel medicine</v>
      </c>
      <c r="J1177" s="38">
        <f>COUNTIF(Data!$F$2:$F9917, $I1177)</f>
        <v>1</v>
      </c>
      <c r="T1177" s="31" t="s">
        <v>3840</v>
      </c>
      <c r="U1177" s="31" t="s">
        <v>3841</v>
      </c>
      <c r="V1177" s="32">
        <v>44889.0</v>
      </c>
    </row>
    <row r="1178">
      <c r="A1178" s="32"/>
      <c r="I1178" s="31" t="str">
        <f>IFERROR(__xludf.DUMMYFUNCTION("""COMPUTED_VALUE"""),"nejm evidence")</f>
        <v>nejm evidence</v>
      </c>
      <c r="J1178" s="38">
        <f>COUNTIF(Data!$F$2:$F9917, $I1178)</f>
        <v>1</v>
      </c>
      <c r="T1178" s="31" t="s">
        <v>3844</v>
      </c>
      <c r="U1178" s="31" t="s">
        <v>3845</v>
      </c>
      <c r="V1178" s="32">
        <v>44889.0</v>
      </c>
    </row>
    <row r="1179">
      <c r="A1179" s="32"/>
      <c r="I1179" s="31" t="str">
        <f>IFERROR(__xludf.DUMMYFUNCTION("""COMPUTED_VALUE"""),"global epidemiology")</f>
        <v>global epidemiology</v>
      </c>
      <c r="J1179" s="38">
        <f>COUNTIF(Data!$F$2:$F9917, $I1179)</f>
        <v>1</v>
      </c>
      <c r="T1179" s="31" t="s">
        <v>3848</v>
      </c>
      <c r="U1179" s="31" t="s">
        <v>3849</v>
      </c>
      <c r="V1179" s="32">
        <v>44889.0</v>
      </c>
    </row>
    <row r="1180">
      <c r="A1180" s="32"/>
      <c r="I1180" s="31" t="str">
        <f>IFERROR(__xludf.DUMMYFUNCTION("""COMPUTED_VALUE"""),"accountability in research")</f>
        <v>accountability in research</v>
      </c>
      <c r="J1180" s="38">
        <f>COUNTIF(Data!$F$2:$F9917, $I1180)</f>
        <v>1</v>
      </c>
      <c r="T1180" s="31" t="s">
        <v>3852</v>
      </c>
      <c r="U1180" s="31" t="s">
        <v>3853</v>
      </c>
      <c r="V1180" s="32">
        <v>44887.0</v>
      </c>
    </row>
    <row r="1181">
      <c r="A1181" s="32"/>
      <c r="I1181" s="31" t="str">
        <f>IFERROR(__xludf.DUMMYFUNCTION("""COMPUTED_VALUE"""),"neuropsychology")</f>
        <v>neuropsychology</v>
      </c>
      <c r="J1181" s="38">
        <f>COUNTIF(Data!$F$2:$F9917, $I1181)</f>
        <v>1</v>
      </c>
      <c r="T1181" s="31" t="s">
        <v>3856</v>
      </c>
      <c r="U1181" s="31" t="s">
        <v>3857</v>
      </c>
      <c r="V1181" s="32">
        <v>44887.0</v>
      </c>
    </row>
    <row r="1182">
      <c r="A1182" s="32"/>
      <c r="I1182" s="31" t="str">
        <f>IFERROR(__xludf.DUMMYFUNCTION("""COMPUTED_VALUE"""),"the journal of experimental medicine")</f>
        <v>the journal of experimental medicine</v>
      </c>
      <c r="J1182" s="38">
        <f>COUNTIF(Data!$F$2:$F9917, $I1182)</f>
        <v>1</v>
      </c>
      <c r="T1182" s="31" t="s">
        <v>3860</v>
      </c>
      <c r="U1182" s="31" t="s">
        <v>3861</v>
      </c>
      <c r="V1182" s="32">
        <v>44886.0</v>
      </c>
    </row>
    <row r="1183">
      <c r="A1183" s="32"/>
      <c r="I1183" s="31" t="str">
        <f>IFERROR(__xludf.DUMMYFUNCTION("""COMPUTED_VALUE"""),"pneumonia nathan qld")</f>
        <v>pneumonia nathan qld</v>
      </c>
      <c r="J1183" s="38">
        <f>COUNTIF(Data!$F$2:$F9917, $I1183)</f>
        <v>1</v>
      </c>
      <c r="T1183" s="31" t="s">
        <v>3865</v>
      </c>
      <c r="U1183" s="31" t="s">
        <v>3866</v>
      </c>
      <c r="V1183" s="32">
        <v>44885.0</v>
      </c>
    </row>
    <row r="1184">
      <c r="A1184" s="32"/>
      <c r="I1184" s="31" t="str">
        <f>IFERROR(__xludf.DUMMYFUNCTION("""COMPUTED_VALUE"""),"surgery for obesity and related diseases official journal of the american society for bariatric surgery")</f>
        <v>surgery for obesity and related diseases official journal of the american society for bariatric surgery</v>
      </c>
      <c r="J1184" s="38">
        <f>COUNTIF(Data!$F$2:$F9917, $I1184)</f>
        <v>1</v>
      </c>
      <c r="T1184" s="31" t="s">
        <v>3869</v>
      </c>
      <c r="U1184" s="31" t="s">
        <v>3870</v>
      </c>
      <c r="V1184" s="32">
        <v>44884.0</v>
      </c>
    </row>
    <row r="1185">
      <c r="A1185" s="32"/>
      <c r="I1185" s="31" t="str">
        <f>IFERROR(__xludf.DUMMYFUNCTION("""COMPUTED_VALUE"""),"nature cancer")</f>
        <v>nature cancer</v>
      </c>
      <c r="J1185" s="38">
        <f>COUNTIF(Data!$F$2:$F9917, $I1185)</f>
        <v>2</v>
      </c>
      <c r="T1185" s="31" t="s">
        <v>3873</v>
      </c>
      <c r="U1185" s="31" t="s">
        <v>3874</v>
      </c>
      <c r="V1185" s="32">
        <v>44884.0</v>
      </c>
    </row>
    <row r="1186">
      <c r="A1186" s="32"/>
      <c r="I1186" s="31" t="str">
        <f>IFERROR(__xludf.DUMMYFUNCTION("""COMPUTED_VALUE"""),"neuroepidemiology")</f>
        <v>neuroepidemiology</v>
      </c>
      <c r="J1186" s="38">
        <f>COUNTIF(Data!$F$2:$F9917, $I1186)</f>
        <v>1</v>
      </c>
      <c r="T1186" s="31" t="s">
        <v>3877</v>
      </c>
      <c r="U1186" s="31" t="s">
        <v>3878</v>
      </c>
      <c r="V1186" s="32">
        <v>44884.0</v>
      </c>
    </row>
    <row r="1187">
      <c r="A1187" s="32"/>
      <c r="I1187" s="31" t="str">
        <f>IFERROR(__xludf.DUMMYFUNCTION("""COMPUTED_VALUE"""),"european journal of surgical oncology the journal of the european society of surgical oncology and the british association of surgical oncology")</f>
        <v>european journal of surgical oncology the journal of the european society of surgical oncology and the british association of surgical oncology</v>
      </c>
      <c r="J1187" s="38">
        <f>COUNTIF(Data!$F$2:$F9917, $I1187)</f>
        <v>1</v>
      </c>
      <c r="T1187" s="31" t="s">
        <v>3882</v>
      </c>
      <c r="U1187" s="31" t="s">
        <v>3883</v>
      </c>
      <c r="V1187" s="32">
        <v>44882.0</v>
      </c>
    </row>
    <row r="1188">
      <c r="A1188" s="32"/>
      <c r="I1188" s="31" t="str">
        <f>IFERROR(__xludf.DUMMYFUNCTION("""COMPUTED_VALUE"""),"european urology open science")</f>
        <v>european urology open science</v>
      </c>
      <c r="J1188" s="38">
        <f>COUNTIF(Data!$F$2:$F9917, $I1188)</f>
        <v>2</v>
      </c>
      <c r="T1188" s="31" t="s">
        <v>3886</v>
      </c>
      <c r="U1188" s="31" t="s">
        <v>3887</v>
      </c>
      <c r="V1188" s="32">
        <v>44882.0</v>
      </c>
    </row>
    <row r="1189">
      <c r="A1189" s="32"/>
      <c r="I1189" s="31" t="str">
        <f>IFERROR(__xludf.DUMMYFUNCTION("""COMPUTED_VALUE"""),"bju international")</f>
        <v>bju international</v>
      </c>
      <c r="J1189" s="38">
        <f>COUNTIF(Data!$F$2:$F9917, $I1189)</f>
        <v>1</v>
      </c>
      <c r="T1189" s="31" t="s">
        <v>3891</v>
      </c>
      <c r="U1189" s="31" t="s">
        <v>3892</v>
      </c>
      <c r="V1189" s="32">
        <v>44882.0</v>
      </c>
    </row>
    <row r="1190">
      <c r="A1190" s="32"/>
      <c r="I1190" s="31" t="str">
        <f>IFERROR(__xludf.DUMMYFUNCTION("""COMPUTED_VALUE"""),"colorectal disease the official journal of the association of coloproctology of great britain and ireland")</f>
        <v>colorectal disease the official journal of the association of coloproctology of great britain and ireland</v>
      </c>
      <c r="J1190" s="38">
        <f>COUNTIF(Data!$F$2:$F9917, $I1190)</f>
        <v>1</v>
      </c>
      <c r="T1190" s="31" t="s">
        <v>3895</v>
      </c>
      <c r="U1190" s="31" t="s">
        <v>3896</v>
      </c>
      <c r="V1190" s="32">
        <v>44880.0</v>
      </c>
    </row>
    <row r="1191">
      <c r="A1191" s="32"/>
      <c r="I1191" s="31" t="str">
        <f>IFERROR(__xludf.DUMMYFUNCTION("""COMPUTED_VALUE"""),"pec innovation")</f>
        <v>pec innovation</v>
      </c>
      <c r="J1191" s="38">
        <f>COUNTIF(Data!$F$2:$F9917, $I1191)</f>
        <v>1</v>
      </c>
      <c r="T1191" s="31" t="s">
        <v>3899</v>
      </c>
      <c r="U1191" s="31" t="s">
        <v>3900</v>
      </c>
      <c r="V1191" s="32">
        <v>44880.0</v>
      </c>
    </row>
    <row r="1192">
      <c r="A1192" s="32"/>
      <c r="I1192" s="31" t="str">
        <f>IFERROR(__xludf.DUMMYFUNCTION("""COMPUTED_VALUE"""),"jmir public health and surveillance")</f>
        <v>jmir public health and surveillance</v>
      </c>
      <c r="J1192" s="38">
        <f>COUNTIF(Data!$F$2:$F9917, $I1192)</f>
        <v>1</v>
      </c>
      <c r="T1192" s="31" t="s">
        <v>3903</v>
      </c>
      <c r="U1192" s="31" t="s">
        <v>3904</v>
      </c>
      <c r="V1192" s="32">
        <v>44879.0</v>
      </c>
    </row>
    <row r="1193">
      <c r="A1193" s="32"/>
      <c r="I1193" s="31" t="str">
        <f>IFERROR(__xludf.DUMMYFUNCTION("""COMPUTED_VALUE"""),"oral oncology")</f>
        <v>oral oncology</v>
      </c>
      <c r="J1193" s="38">
        <f>COUNTIF(Data!$F$2:$F9917, $I1193)</f>
        <v>1</v>
      </c>
      <c r="T1193" s="31" t="s">
        <v>3907</v>
      </c>
      <c r="U1193" s="31" t="s">
        <v>3908</v>
      </c>
      <c r="V1193" s="32">
        <v>44879.0</v>
      </c>
    </row>
    <row r="1194">
      <c r="A1194" s="32"/>
      <c r="I1194" s="31" t="str">
        <f>IFERROR(__xludf.DUMMYFUNCTION("""COMPUTED_VALUE"""),"clinical and translational science")</f>
        <v>clinical and translational science</v>
      </c>
      <c r="J1194" s="38">
        <f>COUNTIF(Data!$F$2:$F9917, $I1194)</f>
        <v>1</v>
      </c>
      <c r="T1194" s="31" t="s">
        <v>3912</v>
      </c>
      <c r="U1194" s="31" t="s">
        <v>3913</v>
      </c>
      <c r="V1194" s="32">
        <v>44878.0</v>
      </c>
    </row>
    <row r="1195">
      <c r="A1195" s="32"/>
      <c r="I1195" s="31" t="str">
        <f>IFERROR(__xludf.DUMMYFUNCTION("""COMPUTED_VALUE"""),"international journal of gynecological cancer official journal of the international gynecological cancer society")</f>
        <v>international journal of gynecological cancer official journal of the international gynecological cancer society</v>
      </c>
      <c r="J1195" s="38">
        <f>COUNTIF(Data!$F$2:$F9917, $I1195)</f>
        <v>1</v>
      </c>
      <c r="T1195" s="31" t="s">
        <v>3916</v>
      </c>
      <c r="U1195" s="31" t="s">
        <v>3917</v>
      </c>
      <c r="V1195" s="32">
        <v>44878.0</v>
      </c>
    </row>
    <row r="1196">
      <c r="A1196" s="32"/>
      <c r="I1196" s="31" t="str">
        <f>IFERROR(__xludf.DUMMYFUNCTION("""COMPUTED_VALUE"""),"jbi evidence implementation")</f>
        <v>jbi evidence implementation</v>
      </c>
      <c r="J1196" s="38">
        <f>COUNTIF(Data!$F$2:$F9917, $I1196)</f>
        <v>1</v>
      </c>
      <c r="T1196" s="31" t="s">
        <v>3920</v>
      </c>
      <c r="U1196" s="31" t="s">
        <v>3921</v>
      </c>
      <c r="V1196" s="32">
        <v>44877.0</v>
      </c>
    </row>
    <row r="1197">
      <c r="A1197" s="32"/>
      <c r="I1197" s="31" t="str">
        <f>IFERROR(__xludf.DUMMYFUNCTION("""COMPUTED_VALUE"""),"studies in health technology and informatics")</f>
        <v>studies in health technology and informatics</v>
      </c>
      <c r="J1197" s="38">
        <f>COUNTIF(Data!$F$2:$F9917, $I1197)</f>
        <v>1</v>
      </c>
      <c r="T1197" s="31" t="s">
        <v>3924</v>
      </c>
      <c r="U1197" s="31" t="s">
        <v>3925</v>
      </c>
      <c r="V1197" s="32">
        <v>44876.0</v>
      </c>
    </row>
    <row r="1198">
      <c r="A1198" s="32"/>
      <c r="I1198" s="31" t="str">
        <f>IFERROR(__xludf.DUMMYFUNCTION("""COMPUTED_VALUE"""),"jco oncology practice")</f>
        <v>jco oncology practice</v>
      </c>
      <c r="J1198" s="38">
        <f>COUNTIF(Data!$F$2:$F9917, $I1198)</f>
        <v>1</v>
      </c>
      <c r="T1198" s="31" t="s">
        <v>3929</v>
      </c>
      <c r="U1198" s="31" t="s">
        <v>3930</v>
      </c>
      <c r="V1198" s="32">
        <v>44875.0</v>
      </c>
    </row>
    <row r="1199">
      <c r="A1199" s="32"/>
      <c r="I1199" s="31" t="str">
        <f>IFERROR(__xludf.DUMMYFUNCTION("""COMPUTED_VALUE"""),"journal of cme")</f>
        <v>journal of cme</v>
      </c>
      <c r="J1199" s="38">
        <f>COUNTIF(Data!$F$2:$F9917, $I1199)</f>
        <v>1</v>
      </c>
      <c r="T1199" s="31" t="s">
        <v>3934</v>
      </c>
      <c r="U1199" s="31" t="s">
        <v>3935</v>
      </c>
      <c r="V1199" s="32">
        <v>44875.0</v>
      </c>
    </row>
    <row r="1200">
      <c r="A1200" s="32"/>
      <c r="I1200" s="31" t="str">
        <f>IFERROR(__xludf.DUMMYFUNCTION("""COMPUTED_VALUE"""),"journal of patientreported outcomes")</f>
        <v>journal of patientreported outcomes</v>
      </c>
      <c r="J1200" s="38">
        <f>COUNTIF(Data!$F$2:$F9917, $I1200)</f>
        <v>1</v>
      </c>
      <c r="T1200" s="31" t="s">
        <v>3938</v>
      </c>
      <c r="U1200" s="31" t="s">
        <v>3939</v>
      </c>
      <c r="V1200" s="32">
        <v>44874.0</v>
      </c>
    </row>
    <row r="1201">
      <c r="A1201" s="32"/>
      <c r="I1201" s="31" t="str">
        <f>IFERROR(__xludf.DUMMYFUNCTION("""COMPUTED_VALUE"""),"nutrition reviews")</f>
        <v>nutrition reviews</v>
      </c>
      <c r="J1201" s="38">
        <f>COUNTIF(Data!$F$2:$F9917, $I1201)</f>
        <v>1</v>
      </c>
      <c r="T1201" s="31" t="s">
        <v>3942</v>
      </c>
      <c r="U1201" s="31" t="s">
        <v>3943</v>
      </c>
      <c r="V1201" s="32">
        <v>44874.0</v>
      </c>
    </row>
    <row r="1202">
      <c r="A1202" s="32"/>
      <c r="I1202" s="31" t="str">
        <f>IFERROR(__xludf.DUMMYFUNCTION("""COMPUTED_VALUE"""),"implementation science communications")</f>
        <v>implementation science communications</v>
      </c>
      <c r="J1202" s="38">
        <f>COUNTIF(Data!$F$2:$F9917, $I1202)</f>
        <v>1</v>
      </c>
      <c r="T1202" s="31" t="s">
        <v>3947</v>
      </c>
      <c r="U1202" s="31" t="s">
        <v>3948</v>
      </c>
      <c r="V1202" s="32">
        <v>44873.0</v>
      </c>
    </row>
    <row r="1203">
      <c r="A1203" s="32"/>
      <c r="I1203" s="31" t="str">
        <f>IFERROR(__xludf.DUMMYFUNCTION("""COMPUTED_VALUE"""),"the gerontologist")</f>
        <v>the gerontologist</v>
      </c>
      <c r="J1203" s="38">
        <f>COUNTIF(Data!$F$2:$F9917, $I1203)</f>
        <v>1</v>
      </c>
      <c r="T1203" s="31" t="s">
        <v>3951</v>
      </c>
      <c r="U1203" s="31" t="s">
        <v>3952</v>
      </c>
      <c r="V1203" s="32">
        <v>44873.0</v>
      </c>
    </row>
    <row r="1204">
      <c r="A1204" s="32"/>
      <c r="I1204" s="31" t="str">
        <f>IFERROR(__xludf.DUMMYFUNCTION("""COMPUTED_VALUE"""),"annual review of pharmacology and toxicology")</f>
        <v>annual review of pharmacology and toxicology</v>
      </c>
      <c r="J1204" s="38">
        <f>COUNTIF(Data!$F$2:$F9917, $I1204)</f>
        <v>1</v>
      </c>
      <c r="T1204" s="31" t="s">
        <v>3955</v>
      </c>
      <c r="U1204" s="31" t="s">
        <v>3956</v>
      </c>
      <c r="V1204" s="32">
        <v>44873.0</v>
      </c>
    </row>
    <row r="1205">
      <c r="A1205" s="32"/>
      <c r="I1205" s="31" t="str">
        <f>IFERROR(__xludf.DUMMYFUNCTION("""COMPUTED_VALUE"""),"biomedicines")</f>
        <v>biomedicines</v>
      </c>
      <c r="J1205" s="38">
        <f>COUNTIF(Data!$F$2:$F9917, $I1205)</f>
        <v>1</v>
      </c>
      <c r="T1205" s="31" t="s">
        <v>3959</v>
      </c>
      <c r="U1205" s="31" t="s">
        <v>3960</v>
      </c>
      <c r="V1205" s="32">
        <v>44869.0</v>
      </c>
    </row>
    <row r="1206">
      <c r="A1206" s="32"/>
      <c r="I1206" s="31" t="str">
        <f>IFERROR(__xludf.DUMMYFUNCTION("""COMPUTED_VALUE"""),"bmc proceedings")</f>
        <v>bmc proceedings</v>
      </c>
      <c r="J1206" s="38">
        <f>COUNTIF(Data!$F$2:$F9917, $I1206)</f>
        <v>2</v>
      </c>
      <c r="T1206" s="31" t="s">
        <v>3963</v>
      </c>
      <c r="U1206" s="31" t="s">
        <v>3964</v>
      </c>
      <c r="V1206" s="32">
        <v>44868.0</v>
      </c>
    </row>
    <row r="1207">
      <c r="A1207" s="32"/>
      <c r="I1207" s="31" t="str">
        <f>IFERROR(__xludf.DUMMYFUNCTION("""COMPUTED_VALUE"""),"frontiers in psychiatry")</f>
        <v>frontiers in psychiatry</v>
      </c>
      <c r="J1207" s="38">
        <f>COUNTIF(Data!$F$2:$F9917, $I1207)</f>
        <v>1</v>
      </c>
      <c r="T1207" s="31" t="s">
        <v>3967</v>
      </c>
      <c r="U1207" s="31" t="s">
        <v>3968</v>
      </c>
      <c r="V1207" s="32">
        <v>44867.0</v>
      </c>
    </row>
    <row r="1208">
      <c r="A1208" s="32"/>
      <c r="I1208" s="31" t="str">
        <f>IFERROR(__xludf.DUMMYFUNCTION("""COMPUTED_VALUE"""),"frontiers in human neuroscience")</f>
        <v>frontiers in human neuroscience</v>
      </c>
      <c r="J1208" s="38">
        <f>COUNTIF(Data!$F$2:$F9917, $I1208)</f>
        <v>1</v>
      </c>
      <c r="T1208" s="31" t="s">
        <v>3971</v>
      </c>
      <c r="U1208" s="31" t="s">
        <v>3972</v>
      </c>
      <c r="V1208" s="32">
        <v>44866.0</v>
      </c>
    </row>
    <row r="1209">
      <c r="A1209" s="32"/>
      <c r="I1209" s="31" t="str">
        <f>IFERROR(__xludf.DUMMYFUNCTION("""COMPUTED_VALUE"""),"journal of health population and nutrition")</f>
        <v>journal of health population and nutrition</v>
      </c>
      <c r="J1209" s="38">
        <f>COUNTIF(Data!$F$2:$F9917, $I1209)</f>
        <v>1</v>
      </c>
      <c r="T1209" s="31" t="s">
        <v>3976</v>
      </c>
      <c r="U1209" s="31" t="s">
        <v>3977</v>
      </c>
      <c r="V1209" s="32">
        <v>44866.0</v>
      </c>
    </row>
    <row r="1210">
      <c r="A1210" s="32"/>
      <c r="I1210" s="31" t="str">
        <f>IFERROR(__xludf.DUMMYFUNCTION("""COMPUTED_VALUE"""),"medical image analysis")</f>
        <v>medical image analysis</v>
      </c>
      <c r="J1210" s="38">
        <f>COUNTIF(Data!$F$2:$F9917, $I1210)</f>
        <v>1</v>
      </c>
      <c r="T1210" s="31" t="s">
        <v>3979</v>
      </c>
      <c r="U1210" s="31" t="s">
        <v>3980</v>
      </c>
      <c r="V1210" s="32">
        <v>44866.0</v>
      </c>
    </row>
    <row r="1211">
      <c r="A1211" s="32"/>
      <c r="I1211" s="31" t="str">
        <f>IFERROR(__xludf.DUMMYFUNCTION("""COMPUTED_VALUE"""),"the journal of physiology")</f>
        <v>the journal of physiology</v>
      </c>
      <c r="J1211" s="38">
        <f>COUNTIF(Data!$F$2:$F9917, $I1211)</f>
        <v>1</v>
      </c>
      <c r="T1211" s="31" t="s">
        <v>3983</v>
      </c>
      <c r="U1211" s="31" t="s">
        <v>3984</v>
      </c>
      <c r="V1211" s="32">
        <v>44865.0</v>
      </c>
    </row>
    <row r="1212">
      <c r="A1212" s="32"/>
      <c r="I1212" s="31" t="str">
        <f>IFERROR(__xludf.DUMMYFUNCTION("""COMPUTED_VALUE"""),"studies in mycology")</f>
        <v>studies in mycology</v>
      </c>
      <c r="J1212" s="38">
        <f>COUNTIF(Data!$F$2:$F9917, $I1212)</f>
        <v>1</v>
      </c>
      <c r="T1212" s="31" t="s">
        <v>3988</v>
      </c>
      <c r="U1212" s="31" t="s">
        <v>3989</v>
      </c>
      <c r="V1212" s="32">
        <v>44864.0</v>
      </c>
    </row>
    <row r="1213">
      <c r="A1213" s="32"/>
      <c r="I1213" s="31" t="str">
        <f>IFERROR(__xludf.DUMMYFUNCTION("""COMPUTED_VALUE"""),"journal of applied statistics")</f>
        <v>journal of applied statistics</v>
      </c>
      <c r="J1213" s="38">
        <f>COUNTIF(Data!$F$2:$F9917, $I1213)</f>
        <v>1</v>
      </c>
      <c r="T1213" s="31" t="s">
        <v>3992</v>
      </c>
      <c r="U1213" s="31" t="s">
        <v>3993</v>
      </c>
      <c r="V1213" s="32">
        <v>44862.0</v>
      </c>
    </row>
    <row r="1214">
      <c r="A1214" s="32"/>
      <c r="I1214" s="31" t="str">
        <f>IFERROR(__xludf.DUMMYFUNCTION("""COMPUTED_VALUE"""),"journal of clinical gastroenterology")</f>
        <v>journal of clinical gastroenterology</v>
      </c>
      <c r="J1214" s="38">
        <f>COUNTIF(Data!$F$2:$F9917, $I1214)</f>
        <v>1</v>
      </c>
      <c r="T1214" s="31" t="s">
        <v>3996</v>
      </c>
      <c r="U1214" s="31" t="s">
        <v>3997</v>
      </c>
      <c r="V1214" s="32">
        <v>44861.0</v>
      </c>
    </row>
    <row r="1215">
      <c r="A1215" s="32"/>
      <c r="I1215" s="31" t="str">
        <f>IFERROR(__xludf.DUMMYFUNCTION("""COMPUTED_VALUE"""),"seminars in arthritis and rheumatism")</f>
        <v>seminars in arthritis and rheumatism</v>
      </c>
      <c r="J1215" s="38">
        <f>COUNTIF(Data!$F$2:$F9917, $I1215)</f>
        <v>1</v>
      </c>
      <c r="T1215" s="31" t="s">
        <v>4001</v>
      </c>
      <c r="U1215" s="31" t="s">
        <v>4002</v>
      </c>
      <c r="V1215" s="32">
        <v>44860.0</v>
      </c>
    </row>
    <row r="1216">
      <c r="A1216" s="32"/>
      <c r="I1216" s="31" t="str">
        <f>IFERROR(__xludf.DUMMYFUNCTION("""COMPUTED_VALUE"""),"journal of physiology and biochemistry")</f>
        <v>journal of physiology and biochemistry</v>
      </c>
      <c r="J1216" s="38">
        <f>COUNTIF(Data!$F$2:$F9917, $I1216)</f>
        <v>1</v>
      </c>
      <c r="T1216" s="31" t="s">
        <v>4006</v>
      </c>
      <c r="U1216" s="31" t="s">
        <v>4007</v>
      </c>
      <c r="V1216" s="32">
        <v>44860.0</v>
      </c>
    </row>
    <row r="1217">
      <c r="A1217" s="32"/>
      <c r="I1217" s="31" t="str">
        <f>IFERROR(__xludf.DUMMYFUNCTION("""COMPUTED_VALUE"""),"annals of noninvasive electrocardiology the official journal of the international society for holter and noninvasive electrocardiology inc")</f>
        <v>annals of noninvasive electrocardiology the official journal of the international society for holter and noninvasive electrocardiology inc</v>
      </c>
      <c r="J1217" s="38">
        <f>COUNTIF(Data!$F$2:$F9917, $I1217)</f>
        <v>1</v>
      </c>
      <c r="T1217" s="31" t="s">
        <v>4010</v>
      </c>
      <c r="U1217" s="31" t="s">
        <v>4011</v>
      </c>
      <c r="V1217" s="32">
        <v>44860.0</v>
      </c>
    </row>
    <row r="1218">
      <c r="A1218" s="32"/>
      <c r="I1218" s="31" t="str">
        <f>IFERROR(__xludf.DUMMYFUNCTION("""COMPUTED_VALUE"""),"schizophrenia bulletin")</f>
        <v>schizophrenia bulletin</v>
      </c>
      <c r="J1218" s="38">
        <f>COUNTIF(Data!$F$2:$F9917, $I1218)</f>
        <v>1</v>
      </c>
      <c r="T1218" s="31" t="s">
        <v>4014</v>
      </c>
      <c r="U1218" s="31" t="s">
        <v>4015</v>
      </c>
      <c r="V1218" s="32">
        <v>44858.0</v>
      </c>
    </row>
    <row r="1219">
      <c r="A1219" s="32"/>
      <c r="I1219" s="31"/>
      <c r="J1219" s="38">
        <f>COUNTIF(Data!$F$2:$F9917, $I1219)</f>
        <v>0</v>
      </c>
      <c r="T1219" s="31" t="s">
        <v>4018</v>
      </c>
      <c r="U1219" s="31" t="s">
        <v>1813</v>
      </c>
      <c r="V1219" s="32">
        <v>44856.0</v>
      </c>
    </row>
    <row r="1220">
      <c r="A1220" s="32"/>
      <c r="J1220" s="38">
        <f>COUNTIF(Data!$F$2:$F9917, $I1220)</f>
        <v>0</v>
      </c>
      <c r="T1220" s="31" t="s">
        <v>4021</v>
      </c>
      <c r="U1220" s="31" t="s">
        <v>4022</v>
      </c>
      <c r="V1220" s="32">
        <v>44855.0</v>
      </c>
    </row>
    <row r="1221">
      <c r="A1221" s="32"/>
      <c r="J1221" s="38">
        <f>COUNTIF(Data!$F$2:$F9917, $I1221)</f>
        <v>0</v>
      </c>
      <c r="T1221" s="31" t="s">
        <v>4026</v>
      </c>
      <c r="U1221" s="31" t="s">
        <v>4027</v>
      </c>
      <c r="V1221" s="32">
        <v>44854.0</v>
      </c>
    </row>
    <row r="1222">
      <c r="A1222" s="32"/>
      <c r="J1222" s="38">
        <f>COUNTIF(Data!$F$2:$F9917, $I1222)</f>
        <v>0</v>
      </c>
      <c r="T1222" s="31" t="s">
        <v>4031</v>
      </c>
      <c r="U1222" s="31" t="s">
        <v>4032</v>
      </c>
      <c r="V1222" s="32">
        <v>44852.0</v>
      </c>
    </row>
    <row r="1223">
      <c r="A1223" s="32"/>
      <c r="J1223" s="38">
        <f>COUNTIF(Data!$F$2:$F9917, $I1223)</f>
        <v>0</v>
      </c>
      <c r="T1223" s="31" t="s">
        <v>4035</v>
      </c>
      <c r="U1223" s="31" t="s">
        <v>4036</v>
      </c>
      <c r="V1223" s="32">
        <v>44852.0</v>
      </c>
    </row>
    <row r="1224">
      <c r="A1224" s="32"/>
      <c r="J1224" s="38">
        <f>COUNTIF(Data!$F$2:$F9917, $I1224)</f>
        <v>0</v>
      </c>
      <c r="T1224" s="31" t="s">
        <v>4040</v>
      </c>
      <c r="U1224" s="31" t="s">
        <v>4041</v>
      </c>
      <c r="V1224" s="32">
        <v>44852.0</v>
      </c>
    </row>
    <row r="1225">
      <c r="A1225" s="32"/>
      <c r="J1225" s="38">
        <f>COUNTIF(Data!$F$2:$F9917, $I1225)</f>
        <v>0</v>
      </c>
      <c r="T1225" s="31" t="s">
        <v>4044</v>
      </c>
      <c r="U1225" s="31" t="s">
        <v>4045</v>
      </c>
      <c r="V1225" s="32">
        <v>44851.0</v>
      </c>
    </row>
    <row r="1226">
      <c r="A1226" s="32"/>
      <c r="J1226" s="38">
        <f>COUNTIF(Data!$F$2:$F9917, $I1226)</f>
        <v>0</v>
      </c>
      <c r="T1226" s="31" t="s">
        <v>4048</v>
      </c>
      <c r="U1226" s="31" t="s">
        <v>4049</v>
      </c>
      <c r="V1226" s="32">
        <v>44851.0</v>
      </c>
    </row>
    <row r="1227">
      <c r="A1227" s="32"/>
      <c r="J1227" s="38">
        <f>COUNTIF(Data!$F$2:$F9917, $I1227)</f>
        <v>0</v>
      </c>
      <c r="T1227" s="31" t="s">
        <v>4052</v>
      </c>
      <c r="U1227" s="31" t="s">
        <v>4053</v>
      </c>
      <c r="V1227" s="32">
        <v>44851.0</v>
      </c>
    </row>
    <row r="1228">
      <c r="A1228" s="32"/>
      <c r="J1228" s="38">
        <f>COUNTIF(Data!$F$2:$F9917, $I1228)</f>
        <v>0</v>
      </c>
      <c r="T1228" s="31" t="s">
        <v>4057</v>
      </c>
      <c r="U1228" s="31" t="s">
        <v>4058</v>
      </c>
      <c r="V1228" s="32">
        <v>44851.0</v>
      </c>
    </row>
    <row r="1229">
      <c r="A1229" s="32"/>
      <c r="J1229" s="38">
        <f>COUNTIF(Data!$F$2:$F9917, $I1229)</f>
        <v>0</v>
      </c>
      <c r="T1229" s="31" t="s">
        <v>4061</v>
      </c>
      <c r="U1229" s="31" t="s">
        <v>4062</v>
      </c>
      <c r="V1229" s="32">
        <v>44850.0</v>
      </c>
    </row>
    <row r="1230">
      <c r="A1230" s="32"/>
      <c r="J1230" s="38">
        <f>COUNTIF(Data!$F$2:$F9917, $I1230)</f>
        <v>0</v>
      </c>
      <c r="T1230" s="31" t="s">
        <v>4066</v>
      </c>
      <c r="U1230" s="31" t="s">
        <v>4067</v>
      </c>
      <c r="V1230" s="32">
        <v>44848.0</v>
      </c>
    </row>
    <row r="1231">
      <c r="A1231" s="32"/>
      <c r="J1231" s="38">
        <f>COUNTIF(Data!$F$2:$F9917, $I1231)</f>
        <v>0</v>
      </c>
      <c r="T1231" s="31" t="s">
        <v>4071</v>
      </c>
      <c r="U1231" s="31" t="s">
        <v>4072</v>
      </c>
      <c r="V1231" s="32">
        <v>44846.0</v>
      </c>
    </row>
    <row r="1232">
      <c r="A1232" s="32"/>
      <c r="J1232" s="38">
        <f>COUNTIF(Data!$F$2:$F9917, $I1232)</f>
        <v>0</v>
      </c>
      <c r="T1232" s="31" t="s">
        <v>4076</v>
      </c>
      <c r="U1232" s="31" t="s">
        <v>4077</v>
      </c>
      <c r="V1232" s="32">
        <v>44846.0</v>
      </c>
    </row>
    <row r="1233">
      <c r="A1233" s="32"/>
      <c r="J1233" s="38">
        <f>COUNTIF(Data!$F$2:$F9917, $I1233)</f>
        <v>0</v>
      </c>
      <c r="T1233" s="31" t="s">
        <v>4080</v>
      </c>
      <c r="U1233" s="31" t="s">
        <v>4081</v>
      </c>
      <c r="V1233" s="32">
        <v>44846.0</v>
      </c>
    </row>
    <row r="1234">
      <c r="A1234" s="32"/>
      <c r="J1234" s="38">
        <f>COUNTIF(Data!$F$2:$F9917, $I1234)</f>
        <v>0</v>
      </c>
      <c r="T1234" s="31" t="s">
        <v>4084</v>
      </c>
      <c r="U1234" s="31" t="s">
        <v>4085</v>
      </c>
      <c r="V1234" s="32">
        <v>44846.0</v>
      </c>
    </row>
    <row r="1235">
      <c r="A1235" s="32"/>
      <c r="J1235" s="38">
        <f>COUNTIF(Data!$F$2:$F9917, $I1235)</f>
        <v>0</v>
      </c>
      <c r="T1235" s="31" t="s">
        <v>4088</v>
      </c>
      <c r="U1235" s="31" t="s">
        <v>4089</v>
      </c>
      <c r="V1235" s="32">
        <v>44844.0</v>
      </c>
    </row>
    <row r="1236">
      <c r="A1236" s="32"/>
      <c r="J1236" s="38">
        <f>COUNTIF(Data!$F$2:$F9917, $I1236)</f>
        <v>0</v>
      </c>
      <c r="T1236" s="31" t="s">
        <v>4092</v>
      </c>
      <c r="U1236" s="31" t="s">
        <v>4093</v>
      </c>
      <c r="V1236" s="32">
        <v>44844.0</v>
      </c>
    </row>
    <row r="1237">
      <c r="A1237" s="32"/>
      <c r="J1237" s="38">
        <f>COUNTIF(Data!$F$2:$F9917, $I1237)</f>
        <v>0</v>
      </c>
      <c r="T1237" s="31" t="s">
        <v>4096</v>
      </c>
      <c r="U1237" s="31" t="s">
        <v>4097</v>
      </c>
      <c r="V1237" s="32">
        <v>44844.0</v>
      </c>
    </row>
    <row r="1238">
      <c r="A1238" s="32"/>
      <c r="J1238" s="38">
        <f>COUNTIF(Data!$F$2:$F9917, $I1238)</f>
        <v>0</v>
      </c>
      <c r="T1238" s="31" t="s">
        <v>4100</v>
      </c>
      <c r="U1238" s="31" t="s">
        <v>4101</v>
      </c>
      <c r="V1238" s="32">
        <v>44842.0</v>
      </c>
    </row>
    <row r="1239">
      <c r="A1239" s="32"/>
      <c r="J1239" s="38">
        <f>COUNTIF(Data!$F$2:$F9917, $I1239)</f>
        <v>0</v>
      </c>
      <c r="T1239" s="31" t="s">
        <v>4105</v>
      </c>
      <c r="U1239" s="31" t="s">
        <v>4106</v>
      </c>
      <c r="V1239" s="32">
        <v>44842.0</v>
      </c>
    </row>
    <row r="1240">
      <c r="A1240" s="32"/>
      <c r="J1240" s="38">
        <f>COUNTIF(Data!$F$2:$F9917, $I1240)</f>
        <v>0</v>
      </c>
      <c r="T1240" s="31" t="s">
        <v>4110</v>
      </c>
      <c r="U1240" s="31" t="s">
        <v>4111</v>
      </c>
      <c r="V1240" s="32">
        <v>44840.0</v>
      </c>
    </row>
    <row r="1241">
      <c r="A1241" s="32"/>
      <c r="J1241" s="38">
        <f>COUNTIF(Data!$F$2:$F9917, $I1241)</f>
        <v>0</v>
      </c>
      <c r="T1241" s="31" t="s">
        <v>4114</v>
      </c>
      <c r="U1241" s="31" t="s">
        <v>4115</v>
      </c>
      <c r="V1241" s="32">
        <v>44840.0</v>
      </c>
    </row>
    <row r="1242">
      <c r="A1242" s="32"/>
      <c r="J1242" s="38">
        <f>COUNTIF(Data!$F$2:$F9917, $I1242)</f>
        <v>0</v>
      </c>
      <c r="T1242" s="31" t="s">
        <v>4118</v>
      </c>
      <c r="U1242" s="31" t="s">
        <v>4119</v>
      </c>
      <c r="V1242" s="32">
        <v>44839.0</v>
      </c>
    </row>
    <row r="1243">
      <c r="A1243" s="32"/>
      <c r="J1243" s="38">
        <f>COUNTIF(Data!$F$2:$F9917, $I1243)</f>
        <v>0</v>
      </c>
      <c r="T1243" s="31" t="s">
        <v>4122</v>
      </c>
      <c r="U1243" s="31" t="s">
        <v>4123</v>
      </c>
      <c r="V1243" s="32">
        <v>44839.0</v>
      </c>
    </row>
    <row r="1244">
      <c r="A1244" s="32"/>
      <c r="J1244" s="38">
        <f>COUNTIF(Data!$F$2:$F9917, $I1244)</f>
        <v>0</v>
      </c>
      <c r="T1244" s="31" t="s">
        <v>4126</v>
      </c>
      <c r="U1244" s="31" t="s">
        <v>4127</v>
      </c>
      <c r="V1244" s="32">
        <v>44838.0</v>
      </c>
    </row>
    <row r="1245">
      <c r="A1245" s="32"/>
      <c r="J1245" s="38">
        <f>COUNTIF(Data!$F$2:$F9917, $I1245)</f>
        <v>0</v>
      </c>
      <c r="T1245" s="31" t="s">
        <v>4130</v>
      </c>
      <c r="U1245" s="31" t="s">
        <v>4131</v>
      </c>
      <c r="V1245" s="32">
        <v>44837.0</v>
      </c>
    </row>
    <row r="1246">
      <c r="A1246" s="32"/>
      <c r="J1246" s="38">
        <f>COUNTIF(Data!$F$2:$F9917, $I1246)</f>
        <v>0</v>
      </c>
      <c r="T1246" s="31" t="s">
        <v>4134</v>
      </c>
      <c r="U1246" s="31" t="s">
        <v>4135</v>
      </c>
      <c r="V1246" s="32">
        <v>44837.0</v>
      </c>
    </row>
    <row r="1247">
      <c r="A1247" s="32"/>
      <c r="J1247" s="38">
        <f>COUNTIF(Data!$F$2:$F9917, $I1247)</f>
        <v>0</v>
      </c>
      <c r="T1247" s="31" t="s">
        <v>4138</v>
      </c>
      <c r="U1247" s="31" t="s">
        <v>3771</v>
      </c>
      <c r="V1247" s="32">
        <v>44834.0</v>
      </c>
    </row>
    <row r="1248">
      <c r="A1248" s="32"/>
      <c r="J1248" s="38">
        <f>COUNTIF(Data!$F$2:$F9917, $I1248)</f>
        <v>0</v>
      </c>
      <c r="T1248" s="31" t="s">
        <v>4141</v>
      </c>
      <c r="U1248" s="31" t="s">
        <v>4142</v>
      </c>
      <c r="V1248" s="32">
        <v>44832.0</v>
      </c>
    </row>
    <row r="1249">
      <c r="A1249" s="32"/>
      <c r="J1249" s="38">
        <f>COUNTIF(Data!$F$2:$F9917, $I1249)</f>
        <v>0</v>
      </c>
      <c r="T1249" s="31" t="s">
        <v>4145</v>
      </c>
      <c r="U1249" s="31" t="s">
        <v>4146</v>
      </c>
      <c r="V1249" s="32">
        <v>44831.0</v>
      </c>
    </row>
    <row r="1250">
      <c r="A1250" s="32"/>
      <c r="J1250" s="38">
        <f>COUNTIF(Data!$F$2:$F9917, $I1250)</f>
        <v>0</v>
      </c>
      <c r="T1250" s="31" t="s">
        <v>4150</v>
      </c>
      <c r="U1250" s="31" t="s">
        <v>4151</v>
      </c>
      <c r="V1250" s="32">
        <v>44830.0</v>
      </c>
    </row>
    <row r="1251">
      <c r="A1251" s="32"/>
      <c r="J1251" s="38">
        <f>COUNTIF(Data!$F$2:$F9917, $I1251)</f>
        <v>0</v>
      </c>
      <c r="T1251" s="31" t="s">
        <v>4154</v>
      </c>
      <c r="U1251" s="31" t="s">
        <v>4155</v>
      </c>
      <c r="V1251" s="32">
        <v>44830.0</v>
      </c>
    </row>
    <row r="1252">
      <c r="A1252" s="32"/>
      <c r="J1252" s="38">
        <f>COUNTIF(Data!$F$2:$F9917, $I1252)</f>
        <v>0</v>
      </c>
      <c r="T1252" s="31" t="s">
        <v>4159</v>
      </c>
      <c r="U1252" s="31" t="s">
        <v>4160</v>
      </c>
      <c r="V1252" s="32">
        <v>44830.0</v>
      </c>
    </row>
    <row r="1253">
      <c r="A1253" s="32"/>
      <c r="J1253" s="38">
        <f>COUNTIF(Data!$F$2:$F9917, $I1253)</f>
        <v>0</v>
      </c>
      <c r="T1253" s="31" t="s">
        <v>4163</v>
      </c>
      <c r="U1253" s="31" t="s">
        <v>4164</v>
      </c>
      <c r="V1253" s="32">
        <v>44827.0</v>
      </c>
    </row>
    <row r="1254">
      <c r="A1254" s="32"/>
      <c r="J1254" s="38">
        <f>COUNTIF(Data!$F$2:$F9917, $I1254)</f>
        <v>0</v>
      </c>
      <c r="T1254" s="31" t="s">
        <v>4167</v>
      </c>
      <c r="U1254" s="31" t="s">
        <v>4168</v>
      </c>
      <c r="V1254" s="32">
        <v>44826.0</v>
      </c>
    </row>
    <row r="1255">
      <c r="A1255" s="32"/>
      <c r="J1255" s="38">
        <f>COUNTIF(Data!$F$2:$F9917, $I1255)</f>
        <v>0</v>
      </c>
      <c r="T1255" s="31" t="s">
        <v>4171</v>
      </c>
      <c r="U1255" s="31" t="s">
        <v>4172</v>
      </c>
      <c r="V1255" s="32">
        <v>44824.0</v>
      </c>
    </row>
    <row r="1256">
      <c r="A1256" s="32"/>
      <c r="J1256" s="38">
        <f>COUNTIF(Data!$F$2:$F9917, $I1256)</f>
        <v>0</v>
      </c>
      <c r="T1256" s="31" t="s">
        <v>4175</v>
      </c>
      <c r="U1256" s="31" t="s">
        <v>4176</v>
      </c>
      <c r="V1256" s="32">
        <v>44824.0</v>
      </c>
    </row>
    <row r="1257">
      <c r="A1257" s="32"/>
      <c r="J1257" s="38">
        <f>COUNTIF(Data!$F$2:$F9917, $I1257)</f>
        <v>0</v>
      </c>
      <c r="T1257" s="31" t="s">
        <v>4179</v>
      </c>
      <c r="U1257" s="31" t="s">
        <v>4180</v>
      </c>
      <c r="V1257" s="32">
        <v>44824.0</v>
      </c>
    </row>
    <row r="1258">
      <c r="A1258" s="32"/>
      <c r="J1258" s="38">
        <f>COUNTIF(Data!$F$2:$F9917, $I1258)</f>
        <v>0</v>
      </c>
      <c r="T1258" s="31" t="s">
        <v>4183</v>
      </c>
      <c r="U1258" s="31" t="s">
        <v>4184</v>
      </c>
      <c r="V1258" s="32">
        <v>44823.0</v>
      </c>
    </row>
    <row r="1259">
      <c r="A1259" s="32"/>
      <c r="J1259" s="38">
        <f>COUNTIF(Data!$F$2:$F9917, $I1259)</f>
        <v>0</v>
      </c>
      <c r="T1259" s="31" t="s">
        <v>4187</v>
      </c>
      <c r="U1259" s="31" t="s">
        <v>4188</v>
      </c>
      <c r="V1259" s="32">
        <v>44820.0</v>
      </c>
    </row>
    <row r="1260">
      <c r="A1260" s="32"/>
      <c r="J1260" s="38">
        <f>COUNTIF(Data!$F$2:$F9917, $I1260)</f>
        <v>0</v>
      </c>
      <c r="T1260" s="31" t="s">
        <v>4191</v>
      </c>
      <c r="U1260" s="31" t="s">
        <v>4192</v>
      </c>
      <c r="V1260" s="32">
        <v>44820.0</v>
      </c>
    </row>
    <row r="1261">
      <c r="A1261" s="32"/>
      <c r="J1261" s="38">
        <f>COUNTIF(Data!$F$2:$F9917, $I1261)</f>
        <v>0</v>
      </c>
      <c r="T1261" s="31" t="s">
        <v>4195</v>
      </c>
      <c r="U1261" s="31" t="s">
        <v>4196</v>
      </c>
      <c r="V1261" s="32">
        <v>44819.0</v>
      </c>
    </row>
    <row r="1262">
      <c r="A1262" s="32"/>
      <c r="J1262" s="38">
        <f>COUNTIF(Data!$F$2:$F9917, $I1262)</f>
        <v>0</v>
      </c>
      <c r="T1262" s="31" t="s">
        <v>4199</v>
      </c>
      <c r="U1262" s="31" t="s">
        <v>4200</v>
      </c>
      <c r="V1262" s="32">
        <v>44819.0</v>
      </c>
    </row>
    <row r="1263">
      <c r="A1263" s="32"/>
      <c r="J1263" s="38">
        <f>COUNTIF(Data!$F$2:$F9917, $I1263)</f>
        <v>0</v>
      </c>
      <c r="T1263" s="31" t="s">
        <v>4203</v>
      </c>
      <c r="U1263" s="31" t="s">
        <v>4204</v>
      </c>
      <c r="V1263" s="32">
        <v>44819.0</v>
      </c>
    </row>
    <row r="1264">
      <c r="A1264" s="32"/>
      <c r="J1264" s="38">
        <f>COUNTIF(Data!$F$2:$F9917, $I1264)</f>
        <v>0</v>
      </c>
      <c r="T1264" s="31" t="s">
        <v>4207</v>
      </c>
      <c r="U1264" s="31" t="s">
        <v>4208</v>
      </c>
      <c r="V1264" s="32">
        <v>44818.0</v>
      </c>
    </row>
    <row r="1265">
      <c r="A1265" s="32"/>
      <c r="J1265" s="38">
        <f>COUNTIF(Data!$F$2:$F9917, $I1265)</f>
        <v>0</v>
      </c>
      <c r="T1265" s="31" t="s">
        <v>4211</v>
      </c>
      <c r="U1265" s="31" t="s">
        <v>4212</v>
      </c>
      <c r="V1265" s="32">
        <v>44816.0</v>
      </c>
    </row>
    <row r="1266">
      <c r="A1266" s="32"/>
      <c r="J1266" s="38">
        <f>COUNTIF(Data!$F$2:$F9917, $I1266)</f>
        <v>0</v>
      </c>
      <c r="T1266" s="31" t="s">
        <v>4215</v>
      </c>
      <c r="U1266" s="31" t="s">
        <v>4216</v>
      </c>
      <c r="V1266" s="32">
        <v>44816.0</v>
      </c>
    </row>
    <row r="1267">
      <c r="A1267" s="32"/>
      <c r="J1267" s="38">
        <f>COUNTIF(Data!$F$2:$F9917, $I1267)</f>
        <v>0</v>
      </c>
      <c r="T1267" s="31" t="s">
        <v>4220</v>
      </c>
      <c r="U1267" s="31" t="s">
        <v>4221</v>
      </c>
      <c r="V1267" s="32">
        <v>44815.0</v>
      </c>
    </row>
    <row r="1268">
      <c r="A1268" s="32"/>
      <c r="J1268" s="38">
        <f>COUNTIF(Data!$F$2:$F9917, $I1268)</f>
        <v>0</v>
      </c>
      <c r="T1268" s="31" t="s">
        <v>4225</v>
      </c>
      <c r="U1268" s="31" t="s">
        <v>4226</v>
      </c>
      <c r="V1268" s="32">
        <v>44813.0</v>
      </c>
    </row>
    <row r="1269">
      <c r="A1269" s="32"/>
      <c r="J1269" s="38">
        <f>COUNTIF(Data!$F$2:$F9917, $I1269)</f>
        <v>0</v>
      </c>
      <c r="T1269" s="31" t="s">
        <v>4229</v>
      </c>
      <c r="U1269" s="31" t="s">
        <v>4230</v>
      </c>
      <c r="V1269" s="32">
        <v>44813.0</v>
      </c>
    </row>
    <row r="1270">
      <c r="A1270" s="32"/>
      <c r="J1270" s="38">
        <f>COUNTIF(Data!$F$2:$F9917, $I1270)</f>
        <v>0</v>
      </c>
      <c r="T1270" s="31" t="s">
        <v>4233</v>
      </c>
      <c r="U1270" s="31" t="s">
        <v>4234</v>
      </c>
      <c r="V1270" s="32">
        <v>44813.0</v>
      </c>
    </row>
    <row r="1271">
      <c r="A1271" s="32"/>
      <c r="J1271" s="38">
        <f>COUNTIF(Data!$F$2:$F9917, $I1271)</f>
        <v>0</v>
      </c>
      <c r="T1271" s="31" t="s">
        <v>4238</v>
      </c>
      <c r="U1271" s="31" t="s">
        <v>4239</v>
      </c>
      <c r="V1271" s="32">
        <v>44813.0</v>
      </c>
    </row>
    <row r="1272">
      <c r="A1272" s="32"/>
      <c r="J1272" s="38">
        <f>COUNTIF(Data!$F$2:$F9917, $I1272)</f>
        <v>0</v>
      </c>
      <c r="T1272" s="31" t="s">
        <v>4242</v>
      </c>
      <c r="U1272" s="31" t="s">
        <v>4243</v>
      </c>
      <c r="V1272" s="32">
        <v>44811.0</v>
      </c>
    </row>
    <row r="1273">
      <c r="A1273" s="32"/>
      <c r="J1273" s="38">
        <f>COUNTIF(Data!$F$2:$F9917, $I1273)</f>
        <v>0</v>
      </c>
      <c r="T1273" s="31" t="s">
        <v>4246</v>
      </c>
      <c r="U1273" s="31" t="s">
        <v>4247</v>
      </c>
      <c r="V1273" s="32">
        <v>44811.0</v>
      </c>
    </row>
    <row r="1274">
      <c r="A1274" s="32"/>
      <c r="J1274" s="38">
        <f>COUNTIF(Data!$F$2:$F9917, $I1274)</f>
        <v>0</v>
      </c>
      <c r="T1274" s="31" t="s">
        <v>4251</v>
      </c>
      <c r="U1274" s="31" t="s">
        <v>4252</v>
      </c>
      <c r="V1274" s="32">
        <v>44811.0</v>
      </c>
    </row>
    <row r="1275">
      <c r="A1275" s="32"/>
      <c r="J1275" s="38">
        <f>COUNTIF(Data!$F$2:$F9917, $I1275)</f>
        <v>0</v>
      </c>
      <c r="T1275" s="31" t="s">
        <v>4256</v>
      </c>
      <c r="U1275" s="31" t="s">
        <v>4257</v>
      </c>
      <c r="V1275" s="32">
        <v>44811.0</v>
      </c>
    </row>
    <row r="1276">
      <c r="A1276" s="32"/>
      <c r="J1276" s="38">
        <f>COUNTIF(Data!$F$2:$F9917, $I1276)</f>
        <v>0</v>
      </c>
      <c r="T1276" s="31" t="s">
        <v>4260</v>
      </c>
      <c r="U1276" s="31" t="s">
        <v>4261</v>
      </c>
      <c r="V1276" s="32">
        <v>44810.0</v>
      </c>
    </row>
    <row r="1277">
      <c r="A1277" s="32"/>
      <c r="J1277" s="38">
        <f>COUNTIF(Data!$F$2:$F9917, $I1277)</f>
        <v>0</v>
      </c>
      <c r="T1277" s="31" t="s">
        <v>4265</v>
      </c>
      <c r="U1277" s="31" t="s">
        <v>4266</v>
      </c>
      <c r="V1277" s="32">
        <v>44810.0</v>
      </c>
    </row>
    <row r="1278">
      <c r="A1278" s="32"/>
      <c r="J1278" s="38">
        <f>COUNTIF(Data!$F$2:$F9917, $I1278)</f>
        <v>0</v>
      </c>
      <c r="T1278" s="31" t="s">
        <v>4269</v>
      </c>
      <c r="U1278" s="31" t="s">
        <v>4270</v>
      </c>
      <c r="V1278" s="32">
        <v>44810.0</v>
      </c>
    </row>
    <row r="1279">
      <c r="A1279" s="32"/>
      <c r="J1279" s="38">
        <f>COUNTIF(Data!$F$2:$F9917, $I1279)</f>
        <v>0</v>
      </c>
      <c r="T1279" s="31" t="s">
        <v>4273</v>
      </c>
      <c r="U1279" s="31" t="s">
        <v>4274</v>
      </c>
      <c r="V1279" s="32">
        <v>44810.0</v>
      </c>
    </row>
    <row r="1280">
      <c r="A1280" s="32"/>
      <c r="J1280" s="38">
        <f>COUNTIF(Data!$F$2:$F9917, $I1280)</f>
        <v>0</v>
      </c>
      <c r="T1280" s="31" t="s">
        <v>4278</v>
      </c>
      <c r="U1280" s="31" t="s">
        <v>4279</v>
      </c>
      <c r="V1280" s="32">
        <v>44809.0</v>
      </c>
    </row>
    <row r="1281">
      <c r="A1281" s="32"/>
      <c r="J1281" s="38">
        <f>COUNTIF(Data!$F$2:$F9917, $I1281)</f>
        <v>0</v>
      </c>
      <c r="T1281" s="31" t="s">
        <v>4282</v>
      </c>
      <c r="U1281" s="31" t="s">
        <v>4283</v>
      </c>
      <c r="V1281" s="32">
        <v>44805.0</v>
      </c>
    </row>
    <row r="1282">
      <c r="A1282" s="32"/>
      <c r="J1282" s="38">
        <f>COUNTIF(Data!$F$2:$F9917, $I1282)</f>
        <v>0</v>
      </c>
      <c r="T1282" s="31" t="s">
        <v>4286</v>
      </c>
      <c r="U1282" s="31" t="s">
        <v>4287</v>
      </c>
      <c r="V1282" s="32">
        <v>44805.0</v>
      </c>
    </row>
    <row r="1283">
      <c r="A1283" s="32"/>
      <c r="J1283" s="38">
        <f>COUNTIF(Data!$F$2:$F9917, $I1283)</f>
        <v>0</v>
      </c>
      <c r="T1283" s="31" t="s">
        <v>4291</v>
      </c>
      <c r="U1283" s="31" t="s">
        <v>4292</v>
      </c>
      <c r="V1283" s="32">
        <v>44805.0</v>
      </c>
    </row>
    <row r="1284">
      <c r="A1284" s="32"/>
      <c r="J1284" s="38">
        <f>COUNTIF(Data!$F$2:$F9917, $I1284)</f>
        <v>0</v>
      </c>
      <c r="T1284" s="31" t="s">
        <v>4296</v>
      </c>
      <c r="U1284" s="31" t="s">
        <v>4297</v>
      </c>
      <c r="V1284" s="32">
        <v>44805.0</v>
      </c>
    </row>
    <row r="1285">
      <c r="A1285" s="32"/>
      <c r="J1285" s="38">
        <f>COUNTIF(Data!$F$2:$F9917, $I1285)</f>
        <v>0</v>
      </c>
      <c r="T1285" s="31" t="s">
        <v>4301</v>
      </c>
      <c r="U1285" s="31" t="s">
        <v>4302</v>
      </c>
      <c r="V1285" s="32">
        <v>44804.0</v>
      </c>
    </row>
    <row r="1286">
      <c r="A1286" s="32"/>
      <c r="J1286" s="38">
        <f>COUNTIF(Data!$F$2:$F9917, $I1286)</f>
        <v>0</v>
      </c>
      <c r="T1286" s="31" t="s">
        <v>4305</v>
      </c>
      <c r="U1286" s="31" t="s">
        <v>4306</v>
      </c>
      <c r="V1286" s="32">
        <v>44803.0</v>
      </c>
    </row>
    <row r="1287">
      <c r="A1287" s="32"/>
      <c r="J1287" s="38">
        <f>COUNTIF(Data!$F$2:$F9917, $I1287)</f>
        <v>0</v>
      </c>
      <c r="T1287" s="31" t="s">
        <v>4309</v>
      </c>
      <c r="U1287" s="31" t="s">
        <v>4310</v>
      </c>
      <c r="V1287" s="32">
        <v>44803.0</v>
      </c>
    </row>
    <row r="1288">
      <c r="A1288" s="32"/>
      <c r="J1288" s="38">
        <f>COUNTIF(Data!$F$2:$F9917, $I1288)</f>
        <v>0</v>
      </c>
      <c r="T1288" s="31" t="s">
        <v>4313</v>
      </c>
      <c r="U1288" s="31" t="s">
        <v>4314</v>
      </c>
      <c r="V1288" s="32">
        <v>44803.0</v>
      </c>
    </row>
    <row r="1289">
      <c r="A1289" s="32"/>
      <c r="J1289" s="38">
        <f>COUNTIF(Data!$F$2:$F9917, $I1289)</f>
        <v>0</v>
      </c>
      <c r="T1289" s="31" t="s">
        <v>4317</v>
      </c>
      <c r="U1289" s="31" t="s">
        <v>4318</v>
      </c>
      <c r="V1289" s="32">
        <v>44803.0</v>
      </c>
    </row>
    <row r="1290">
      <c r="A1290" s="32"/>
      <c r="J1290" s="38">
        <f>COUNTIF(Data!$F$2:$F9917, $I1290)</f>
        <v>0</v>
      </c>
      <c r="T1290" s="31" t="s">
        <v>4321</v>
      </c>
      <c r="U1290" s="31" t="s">
        <v>4322</v>
      </c>
      <c r="V1290" s="32">
        <v>44803.0</v>
      </c>
    </row>
    <row r="1291">
      <c r="A1291" s="32"/>
      <c r="J1291" s="38">
        <f>COUNTIF(Data!$F$2:$F9917, $I1291)</f>
        <v>0</v>
      </c>
      <c r="T1291" s="31" t="s">
        <v>4325</v>
      </c>
      <c r="U1291" s="31" t="s">
        <v>4326</v>
      </c>
      <c r="V1291" s="32">
        <v>44802.0</v>
      </c>
    </row>
    <row r="1292">
      <c r="A1292" s="32"/>
      <c r="J1292" s="38">
        <f>COUNTIF(Data!$F$2:$F9917, $I1292)</f>
        <v>0</v>
      </c>
      <c r="T1292" s="31" t="s">
        <v>4329</v>
      </c>
      <c r="U1292" s="31" t="s">
        <v>4330</v>
      </c>
      <c r="V1292" s="32">
        <v>44802.0</v>
      </c>
    </row>
    <row r="1293">
      <c r="A1293" s="32"/>
      <c r="J1293" s="38">
        <f>COUNTIF(Data!$F$2:$F9917, $I1293)</f>
        <v>0</v>
      </c>
      <c r="T1293" s="31" t="s">
        <v>4333</v>
      </c>
      <c r="U1293" s="31" t="s">
        <v>4334</v>
      </c>
      <c r="V1293" s="32">
        <v>44802.0</v>
      </c>
    </row>
    <row r="1294">
      <c r="A1294" s="32"/>
      <c r="J1294" s="38">
        <f>COUNTIF(Data!$F$2:$F9917, $I1294)</f>
        <v>0</v>
      </c>
      <c r="T1294" s="31" t="s">
        <v>4337</v>
      </c>
      <c r="U1294" s="31" t="s">
        <v>4338</v>
      </c>
      <c r="V1294" s="32">
        <v>44802.0</v>
      </c>
    </row>
    <row r="1295">
      <c r="A1295" s="32"/>
      <c r="J1295" s="38">
        <f>COUNTIF(Data!$F$2:$F9917, $I1295)</f>
        <v>0</v>
      </c>
      <c r="T1295" s="31" t="s">
        <v>4341</v>
      </c>
      <c r="U1295" s="31" t="s">
        <v>4342</v>
      </c>
      <c r="V1295" s="32">
        <v>44800.0</v>
      </c>
    </row>
    <row r="1296">
      <c r="A1296" s="32"/>
      <c r="J1296" s="38">
        <f>COUNTIF(Data!$F$2:$F9917, $I1296)</f>
        <v>0</v>
      </c>
      <c r="T1296" s="31" t="s">
        <v>4345</v>
      </c>
      <c r="U1296" s="31" t="s">
        <v>4346</v>
      </c>
      <c r="V1296" s="32">
        <v>44799.0</v>
      </c>
    </row>
    <row r="1297">
      <c r="A1297" s="32"/>
      <c r="J1297" s="38">
        <f>COUNTIF(Data!$F$2:$F9917, $I1297)</f>
        <v>0</v>
      </c>
      <c r="T1297" s="31" t="s">
        <v>4350</v>
      </c>
      <c r="U1297" s="31" t="s">
        <v>4351</v>
      </c>
      <c r="V1297" s="32">
        <v>44799.0</v>
      </c>
    </row>
    <row r="1298">
      <c r="A1298" s="32"/>
      <c r="J1298" s="38">
        <f>COUNTIF(Data!$F$2:$F9917, $I1298)</f>
        <v>0</v>
      </c>
      <c r="T1298" s="31" t="s">
        <v>4354</v>
      </c>
      <c r="U1298" s="31" t="s">
        <v>4355</v>
      </c>
      <c r="V1298" s="32">
        <v>44798.0</v>
      </c>
    </row>
    <row r="1299">
      <c r="A1299" s="32"/>
      <c r="J1299" s="38">
        <f>COUNTIF(Data!$F$2:$F9917, $I1299)</f>
        <v>0</v>
      </c>
      <c r="T1299" s="31" t="s">
        <v>4359</v>
      </c>
      <c r="U1299" s="31" t="s">
        <v>4360</v>
      </c>
      <c r="V1299" s="32">
        <v>44798.0</v>
      </c>
    </row>
    <row r="1300">
      <c r="A1300" s="32"/>
      <c r="J1300" s="38">
        <f>COUNTIF(Data!$F$2:$F9917, $I1300)</f>
        <v>0</v>
      </c>
      <c r="T1300" s="31" t="s">
        <v>4363</v>
      </c>
      <c r="U1300" s="31" t="s">
        <v>4364</v>
      </c>
      <c r="V1300" s="32">
        <v>44798.0</v>
      </c>
    </row>
    <row r="1301">
      <c r="A1301" s="32"/>
      <c r="J1301" s="38">
        <f>COUNTIF(Data!$F$2:$F9917, $I1301)</f>
        <v>0</v>
      </c>
      <c r="T1301" s="31" t="s">
        <v>4367</v>
      </c>
      <c r="U1301" s="31" t="s">
        <v>4368</v>
      </c>
      <c r="V1301" s="32">
        <v>44797.0</v>
      </c>
    </row>
    <row r="1302">
      <c r="A1302" s="32"/>
      <c r="J1302" s="38">
        <f>COUNTIF(Data!$F$2:$F9917, $I1302)</f>
        <v>0</v>
      </c>
      <c r="T1302" s="31" t="s">
        <v>4372</v>
      </c>
      <c r="U1302" s="31" t="s">
        <v>4373</v>
      </c>
      <c r="V1302" s="32">
        <v>44796.0</v>
      </c>
    </row>
    <row r="1303">
      <c r="A1303" s="32"/>
      <c r="J1303" s="38">
        <f>COUNTIF(Data!$F$2:$F9917, $I1303)</f>
        <v>0</v>
      </c>
      <c r="T1303" s="31" t="s">
        <v>4377</v>
      </c>
      <c r="U1303" s="31" t="s">
        <v>4378</v>
      </c>
      <c r="V1303" s="32">
        <v>44794.0</v>
      </c>
    </row>
    <row r="1304">
      <c r="A1304" s="32"/>
      <c r="J1304" s="38">
        <f>COUNTIF(Data!$F$2:$F9917, $I1304)</f>
        <v>0</v>
      </c>
      <c r="T1304" s="31" t="s">
        <v>4381</v>
      </c>
      <c r="U1304" s="31" t="s">
        <v>4382</v>
      </c>
      <c r="V1304" s="32">
        <v>44792.0</v>
      </c>
    </row>
    <row r="1305">
      <c r="A1305" s="32"/>
      <c r="J1305" s="38">
        <f>COUNTIF(Data!$F$2:$F9917, $I1305)</f>
        <v>0</v>
      </c>
      <c r="T1305" s="31" t="s">
        <v>4386</v>
      </c>
      <c r="U1305" s="31" t="s">
        <v>4387</v>
      </c>
      <c r="V1305" s="32">
        <v>44791.0</v>
      </c>
    </row>
    <row r="1306">
      <c r="A1306" s="32"/>
      <c r="J1306" s="38">
        <f>COUNTIF(Data!$F$2:$F9917, $I1306)</f>
        <v>0</v>
      </c>
      <c r="T1306" s="31" t="s">
        <v>4390</v>
      </c>
      <c r="U1306" s="31" t="s">
        <v>4391</v>
      </c>
      <c r="V1306" s="32">
        <v>44789.0</v>
      </c>
    </row>
    <row r="1307">
      <c r="A1307" s="32"/>
      <c r="J1307" s="38">
        <f>COUNTIF(Data!$F$2:$F9917, $I1307)</f>
        <v>0</v>
      </c>
      <c r="T1307" s="31" t="s">
        <v>4395</v>
      </c>
      <c r="U1307" s="31" t="s">
        <v>4396</v>
      </c>
      <c r="V1307" s="32">
        <v>44787.0</v>
      </c>
    </row>
    <row r="1308">
      <c r="A1308" s="32"/>
      <c r="J1308" s="38">
        <f>COUNTIF(Data!$F$2:$F9917, $I1308)</f>
        <v>0</v>
      </c>
      <c r="T1308" s="31" t="s">
        <v>4399</v>
      </c>
      <c r="U1308" s="31" t="s">
        <v>4400</v>
      </c>
      <c r="V1308" s="32">
        <v>44786.0</v>
      </c>
    </row>
    <row r="1309">
      <c r="A1309" s="32"/>
      <c r="J1309" s="38">
        <f>COUNTIF(Data!$F$2:$F9917, $I1309)</f>
        <v>0</v>
      </c>
      <c r="T1309" s="31" t="s">
        <v>4403</v>
      </c>
      <c r="U1309" s="31" t="s">
        <v>4404</v>
      </c>
      <c r="V1309" s="32">
        <v>44785.0</v>
      </c>
    </row>
    <row r="1310">
      <c r="A1310" s="32"/>
      <c r="J1310" s="38">
        <f>COUNTIF(Data!$F$2:$F9917, $I1310)</f>
        <v>0</v>
      </c>
      <c r="T1310" s="31" t="s">
        <v>4408</v>
      </c>
      <c r="U1310" s="31" t="s">
        <v>4409</v>
      </c>
      <c r="V1310" s="32">
        <v>44785.0</v>
      </c>
    </row>
    <row r="1311">
      <c r="A1311" s="32"/>
      <c r="J1311" s="38">
        <f>COUNTIF(Data!$F$2:$F9917, $I1311)</f>
        <v>0</v>
      </c>
      <c r="T1311" s="31" t="s">
        <v>4412</v>
      </c>
      <c r="U1311" s="31" t="s">
        <v>4413</v>
      </c>
      <c r="V1311" s="32">
        <v>44785.0</v>
      </c>
    </row>
    <row r="1312">
      <c r="A1312" s="32"/>
      <c r="J1312" s="38">
        <f>COUNTIF(Data!$F$2:$F9917, $I1312)</f>
        <v>0</v>
      </c>
      <c r="T1312" s="31" t="s">
        <v>4416</v>
      </c>
      <c r="U1312" s="31" t="s">
        <v>4417</v>
      </c>
      <c r="V1312" s="32">
        <v>44785.0</v>
      </c>
    </row>
    <row r="1313">
      <c r="A1313" s="32"/>
      <c r="J1313" s="38">
        <f>COUNTIF(Data!$F$2:$F9917, $I1313)</f>
        <v>0</v>
      </c>
      <c r="T1313" s="31" t="s">
        <v>4420</v>
      </c>
      <c r="U1313" s="31" t="s">
        <v>4421</v>
      </c>
      <c r="V1313" s="32">
        <v>44784.0</v>
      </c>
    </row>
    <row r="1314">
      <c r="A1314" s="32"/>
      <c r="J1314" s="38">
        <f>COUNTIF(Data!$F$2:$F9917, $I1314)</f>
        <v>0</v>
      </c>
      <c r="T1314" s="31" t="s">
        <v>4424</v>
      </c>
      <c r="U1314" s="31" t="s">
        <v>4425</v>
      </c>
      <c r="V1314" s="32">
        <v>44784.0</v>
      </c>
    </row>
    <row r="1315">
      <c r="A1315" s="32"/>
      <c r="J1315" s="38">
        <f>COUNTIF(Data!$F$2:$F9917, $I1315)</f>
        <v>0</v>
      </c>
      <c r="T1315" s="31" t="s">
        <v>4428</v>
      </c>
      <c r="U1315" s="31" t="s">
        <v>4429</v>
      </c>
      <c r="V1315" s="32">
        <v>44784.0</v>
      </c>
    </row>
    <row r="1316">
      <c r="A1316" s="32"/>
      <c r="J1316" s="38">
        <f>COUNTIF(Data!$F$2:$F9917, $I1316)</f>
        <v>0</v>
      </c>
      <c r="T1316" s="31" t="s">
        <v>4432</v>
      </c>
      <c r="U1316" s="31" t="s">
        <v>4433</v>
      </c>
      <c r="V1316" s="32">
        <v>44783.0</v>
      </c>
    </row>
    <row r="1317">
      <c r="A1317" s="32"/>
      <c r="J1317" s="38">
        <f>COUNTIF(Data!$F$2:$F9917, $I1317)</f>
        <v>0</v>
      </c>
      <c r="T1317" s="31" t="s">
        <v>4436</v>
      </c>
      <c r="U1317" s="31" t="s">
        <v>4437</v>
      </c>
      <c r="V1317" s="32">
        <v>44783.0</v>
      </c>
    </row>
    <row r="1318">
      <c r="A1318" s="32"/>
      <c r="J1318" s="38">
        <f>COUNTIF(Data!$F$2:$F9917, $I1318)</f>
        <v>0</v>
      </c>
      <c r="T1318" s="31" t="s">
        <v>4441</v>
      </c>
      <c r="U1318" s="31" t="s">
        <v>4442</v>
      </c>
      <c r="V1318" s="32">
        <v>44782.0</v>
      </c>
    </row>
    <row r="1319">
      <c r="A1319" s="32"/>
      <c r="J1319" s="38">
        <f>COUNTIF(Data!$F$2:$F9917, $I1319)</f>
        <v>0</v>
      </c>
      <c r="T1319" s="31" t="s">
        <v>4445</v>
      </c>
      <c r="U1319" s="31" t="s">
        <v>4446</v>
      </c>
      <c r="V1319" s="32">
        <v>44778.0</v>
      </c>
    </row>
    <row r="1320">
      <c r="A1320" s="32"/>
      <c r="J1320" s="38">
        <f>COUNTIF(Data!$F$2:$F9917, $I1320)</f>
        <v>0</v>
      </c>
      <c r="T1320" s="31" t="s">
        <v>4449</v>
      </c>
      <c r="U1320" s="31" t="s">
        <v>4450</v>
      </c>
      <c r="V1320" s="32">
        <v>44778.0</v>
      </c>
    </row>
    <row r="1321">
      <c r="A1321" s="32"/>
      <c r="J1321" s="38">
        <f>COUNTIF(Data!$F$2:$F9917, $I1321)</f>
        <v>0</v>
      </c>
      <c r="T1321" s="31" t="s">
        <v>4452</v>
      </c>
      <c r="U1321" s="31" t="s">
        <v>4453</v>
      </c>
      <c r="V1321" s="32">
        <v>44778.0</v>
      </c>
    </row>
    <row r="1322">
      <c r="A1322" s="32"/>
      <c r="J1322" s="38">
        <f>COUNTIF(Data!$F$2:$F9917, $I1322)</f>
        <v>0</v>
      </c>
      <c r="T1322" s="31" t="s">
        <v>4456</v>
      </c>
      <c r="U1322" s="31" t="s">
        <v>4457</v>
      </c>
      <c r="V1322" s="32">
        <v>44778.0</v>
      </c>
    </row>
    <row r="1323">
      <c r="A1323" s="32"/>
      <c r="J1323" s="38">
        <f>COUNTIF(Data!$F$2:$F9917, $I1323)</f>
        <v>0</v>
      </c>
      <c r="T1323" s="31" t="s">
        <v>4460</v>
      </c>
      <c r="U1323" s="31" t="s">
        <v>4461</v>
      </c>
      <c r="V1323" s="32">
        <v>44778.0</v>
      </c>
    </row>
    <row r="1324">
      <c r="A1324" s="32"/>
      <c r="J1324" s="38">
        <f>COUNTIF(Data!$F$2:$F9917, $I1324)</f>
        <v>0</v>
      </c>
      <c r="T1324" s="31" t="s">
        <v>4464</v>
      </c>
      <c r="U1324" s="31" t="s">
        <v>4465</v>
      </c>
      <c r="V1324" s="32">
        <v>44777.0</v>
      </c>
    </row>
    <row r="1325">
      <c r="A1325" s="32"/>
      <c r="J1325" s="38">
        <f>COUNTIF(Data!$F$2:$F9917, $I1325)</f>
        <v>0</v>
      </c>
      <c r="T1325" s="31" t="s">
        <v>4468</v>
      </c>
      <c r="U1325" s="31" t="s">
        <v>4469</v>
      </c>
      <c r="V1325" s="32">
        <v>44777.0</v>
      </c>
    </row>
    <row r="1326">
      <c r="A1326" s="32"/>
      <c r="J1326" s="38">
        <f>COUNTIF(Data!$F$2:$F9917, $I1326)</f>
        <v>0</v>
      </c>
      <c r="T1326" s="31" t="s">
        <v>4472</v>
      </c>
      <c r="U1326" s="31" t="s">
        <v>4473</v>
      </c>
      <c r="V1326" s="32">
        <v>44777.0</v>
      </c>
    </row>
    <row r="1327">
      <c r="A1327" s="32"/>
      <c r="J1327" s="38">
        <f>COUNTIF(Data!$F$2:$F9917, $I1327)</f>
        <v>0</v>
      </c>
      <c r="T1327" s="31" t="s">
        <v>4476</v>
      </c>
      <c r="U1327" s="31" t="s">
        <v>4477</v>
      </c>
      <c r="V1327" s="32">
        <v>44777.0</v>
      </c>
    </row>
    <row r="1328">
      <c r="A1328" s="32"/>
      <c r="J1328" s="38">
        <f>COUNTIF(Data!$F$2:$F9917, $I1328)</f>
        <v>0</v>
      </c>
      <c r="T1328" s="31" t="s">
        <v>4480</v>
      </c>
      <c r="U1328" s="31" t="s">
        <v>4481</v>
      </c>
      <c r="V1328" s="32">
        <v>44775.0</v>
      </c>
    </row>
    <row r="1329">
      <c r="A1329" s="32"/>
      <c r="J1329" s="38">
        <f>COUNTIF(Data!$F$2:$F9917, $I1329)</f>
        <v>0</v>
      </c>
      <c r="T1329" s="31" t="s">
        <v>4485</v>
      </c>
      <c r="U1329" s="31" t="s">
        <v>4486</v>
      </c>
      <c r="V1329" s="32">
        <v>44775.0</v>
      </c>
    </row>
    <row r="1330">
      <c r="A1330" s="32"/>
      <c r="J1330" s="38">
        <f>COUNTIF(Data!$F$2:$F9917, $I1330)</f>
        <v>0</v>
      </c>
      <c r="T1330" s="31" t="s">
        <v>4489</v>
      </c>
      <c r="U1330" s="31" t="s">
        <v>4490</v>
      </c>
      <c r="V1330" s="32">
        <v>44774.0</v>
      </c>
    </row>
    <row r="1331">
      <c r="A1331" s="32"/>
      <c r="J1331" s="38">
        <f>COUNTIF(Data!$F$2:$F9917, $I1331)</f>
        <v>0</v>
      </c>
      <c r="T1331" s="31" t="s">
        <v>4493</v>
      </c>
      <c r="U1331" s="31" t="s">
        <v>4494</v>
      </c>
      <c r="V1331" s="32">
        <v>44774.0</v>
      </c>
    </row>
    <row r="1332">
      <c r="A1332" s="32"/>
      <c r="J1332" s="38">
        <f>COUNTIF(Data!$F$2:$F9917, $I1332)</f>
        <v>0</v>
      </c>
      <c r="T1332" s="31" t="s">
        <v>4497</v>
      </c>
      <c r="U1332" s="31" t="s">
        <v>4498</v>
      </c>
      <c r="V1332" s="32">
        <v>44774.0</v>
      </c>
    </row>
    <row r="1333">
      <c r="A1333" s="32"/>
      <c r="J1333" s="38">
        <f>COUNTIF(Data!$F$2:$F9917, $I1333)</f>
        <v>0</v>
      </c>
      <c r="T1333" s="31" t="s">
        <v>4502</v>
      </c>
      <c r="U1333" s="31" t="s">
        <v>4503</v>
      </c>
      <c r="V1333" s="32">
        <v>44774.0</v>
      </c>
    </row>
    <row r="1334">
      <c r="A1334" s="32"/>
      <c r="J1334" s="38">
        <f>COUNTIF(Data!$F$2:$F9917, $I1334)</f>
        <v>0</v>
      </c>
      <c r="T1334" s="31" t="s">
        <v>4507</v>
      </c>
      <c r="U1334" s="31" t="s">
        <v>4508</v>
      </c>
      <c r="V1334" s="32">
        <v>44771.0</v>
      </c>
    </row>
    <row r="1335">
      <c r="A1335" s="32"/>
      <c r="J1335" s="38">
        <f>COUNTIF(Data!$F$2:$F9917, $I1335)</f>
        <v>0</v>
      </c>
      <c r="T1335" s="31" t="s">
        <v>4511</v>
      </c>
      <c r="U1335" s="31" t="s">
        <v>4512</v>
      </c>
      <c r="V1335" s="32">
        <v>44771.0</v>
      </c>
    </row>
    <row r="1336">
      <c r="A1336" s="32"/>
      <c r="J1336" s="38">
        <f>COUNTIF(Data!$F$2:$F9917, $I1336)</f>
        <v>0</v>
      </c>
      <c r="T1336" s="31" t="s">
        <v>4515</v>
      </c>
      <c r="U1336" s="31" t="s">
        <v>4516</v>
      </c>
      <c r="V1336" s="32">
        <v>44770.0</v>
      </c>
    </row>
    <row r="1337">
      <c r="A1337" s="32"/>
      <c r="J1337" s="38">
        <f>COUNTIF(Data!$F$2:$F9917, $I1337)</f>
        <v>0</v>
      </c>
      <c r="T1337" s="31" t="s">
        <v>4519</v>
      </c>
      <c r="U1337" s="31" t="s">
        <v>4520</v>
      </c>
      <c r="V1337" s="32">
        <v>44770.0</v>
      </c>
    </row>
    <row r="1338">
      <c r="A1338" s="32"/>
      <c r="J1338" s="38">
        <f>COUNTIF(Data!$F$2:$F9917, $I1338)</f>
        <v>0</v>
      </c>
      <c r="T1338" s="31" t="s">
        <v>4523</v>
      </c>
      <c r="U1338" s="31" t="s">
        <v>4524</v>
      </c>
      <c r="V1338" s="32">
        <v>44769.0</v>
      </c>
    </row>
    <row r="1339">
      <c r="A1339" s="32"/>
      <c r="J1339" s="38">
        <f>COUNTIF(Data!$F$2:$F9917, $I1339)</f>
        <v>0</v>
      </c>
      <c r="T1339" s="31" t="s">
        <v>4528</v>
      </c>
      <c r="U1339" s="31" t="s">
        <v>4529</v>
      </c>
      <c r="V1339" s="32">
        <v>44769.0</v>
      </c>
    </row>
    <row r="1340">
      <c r="A1340" s="32"/>
      <c r="J1340" s="38">
        <f>COUNTIF(Data!$F$2:$F9917, $I1340)</f>
        <v>0</v>
      </c>
      <c r="T1340" s="31" t="s">
        <v>4533</v>
      </c>
      <c r="U1340" s="31" t="s">
        <v>4534</v>
      </c>
      <c r="V1340" s="32">
        <v>44767.0</v>
      </c>
    </row>
    <row r="1341">
      <c r="A1341" s="32"/>
      <c r="J1341" s="38">
        <f>COUNTIF(Data!$F$2:$F9917, $I1341)</f>
        <v>0</v>
      </c>
      <c r="T1341" s="31" t="s">
        <v>4537</v>
      </c>
      <c r="U1341" s="31" t="s">
        <v>4538</v>
      </c>
      <c r="V1341" s="32">
        <v>44766.0</v>
      </c>
    </row>
    <row r="1342">
      <c r="A1342" s="32"/>
      <c r="J1342" s="38">
        <f>COUNTIF(Data!$F$2:$F9917, $I1342)</f>
        <v>0</v>
      </c>
      <c r="T1342" s="31" t="s">
        <v>4542</v>
      </c>
      <c r="U1342" s="31" t="s">
        <v>4543</v>
      </c>
      <c r="V1342" s="32">
        <v>44764.0</v>
      </c>
    </row>
    <row r="1343">
      <c r="A1343" s="32"/>
      <c r="J1343" s="38">
        <f>COUNTIF(Data!$F$2:$F9917, $I1343)</f>
        <v>0</v>
      </c>
      <c r="T1343" s="31" t="s">
        <v>4547</v>
      </c>
      <c r="U1343" s="31" t="s">
        <v>4548</v>
      </c>
      <c r="V1343" s="32">
        <v>44764.0</v>
      </c>
    </row>
    <row r="1344">
      <c r="A1344" s="32"/>
      <c r="J1344" s="38">
        <f>COUNTIF(Data!$F$2:$F9917, $I1344)</f>
        <v>0</v>
      </c>
      <c r="T1344" s="31" t="s">
        <v>4551</v>
      </c>
      <c r="U1344" s="31" t="s">
        <v>4552</v>
      </c>
      <c r="V1344" s="32">
        <v>44764.0</v>
      </c>
    </row>
    <row r="1345">
      <c r="A1345" s="32"/>
      <c r="J1345" s="38">
        <f>COUNTIF(Data!$F$2:$F9917, $I1345)</f>
        <v>0</v>
      </c>
      <c r="T1345" s="31" t="s">
        <v>4555</v>
      </c>
      <c r="U1345" s="31" t="s">
        <v>4556</v>
      </c>
      <c r="V1345" s="32">
        <v>44763.0</v>
      </c>
    </row>
    <row r="1346">
      <c r="A1346" s="32"/>
      <c r="J1346" s="38">
        <f>COUNTIF(Data!$F$2:$F9917, $I1346)</f>
        <v>0</v>
      </c>
      <c r="T1346" s="31" t="s">
        <v>4559</v>
      </c>
      <c r="U1346" s="31" t="s">
        <v>4560</v>
      </c>
      <c r="V1346" s="32">
        <v>44763.0</v>
      </c>
    </row>
    <row r="1347">
      <c r="A1347" s="32"/>
      <c r="J1347" s="38">
        <f>COUNTIF(Data!$F$2:$F9917, $I1347)</f>
        <v>0</v>
      </c>
      <c r="T1347" s="31" t="s">
        <v>4563</v>
      </c>
      <c r="U1347" s="31" t="s">
        <v>4564</v>
      </c>
      <c r="V1347" s="32">
        <v>44762.0</v>
      </c>
    </row>
    <row r="1348">
      <c r="A1348" s="32"/>
      <c r="J1348" s="38">
        <f>COUNTIF(Data!$F$2:$F9917, $I1348)</f>
        <v>0</v>
      </c>
      <c r="T1348" s="31" t="s">
        <v>4567</v>
      </c>
      <c r="U1348" s="31" t="s">
        <v>4568</v>
      </c>
      <c r="V1348" s="32">
        <v>44760.0</v>
      </c>
    </row>
    <row r="1349">
      <c r="A1349" s="32"/>
      <c r="J1349" s="38">
        <f>COUNTIF(Data!$F$2:$F9917, $I1349)</f>
        <v>0</v>
      </c>
      <c r="T1349" s="31" t="s">
        <v>4571</v>
      </c>
      <c r="U1349" s="31" t="s">
        <v>4572</v>
      </c>
      <c r="V1349" s="32">
        <v>44760.0</v>
      </c>
    </row>
    <row r="1350">
      <c r="A1350" s="32"/>
      <c r="J1350" s="38">
        <f>COUNTIF(Data!$F$2:$F9917, $I1350)</f>
        <v>0</v>
      </c>
      <c r="T1350" s="31" t="s">
        <v>4575</v>
      </c>
      <c r="U1350" s="31" t="s">
        <v>4576</v>
      </c>
      <c r="V1350" s="32">
        <v>44756.0</v>
      </c>
    </row>
    <row r="1351">
      <c r="A1351" s="32"/>
      <c r="J1351" s="38">
        <f>COUNTIF(Data!$F$2:$F9917, $I1351)</f>
        <v>0</v>
      </c>
      <c r="T1351" s="31" t="s">
        <v>4580</v>
      </c>
      <c r="U1351" s="31" t="s">
        <v>4581</v>
      </c>
      <c r="V1351" s="32">
        <v>44754.0</v>
      </c>
    </row>
    <row r="1352">
      <c r="A1352" s="32"/>
      <c r="J1352" s="38">
        <f>COUNTIF(Data!$F$2:$F9917, $I1352)</f>
        <v>0</v>
      </c>
      <c r="T1352" s="31" t="s">
        <v>4584</v>
      </c>
      <c r="U1352" s="31" t="s">
        <v>4585</v>
      </c>
      <c r="V1352" s="32">
        <v>44751.0</v>
      </c>
    </row>
    <row r="1353">
      <c r="A1353" s="32"/>
      <c r="J1353" s="38">
        <f>COUNTIF(Data!$F$2:$F9917, $I1353)</f>
        <v>0</v>
      </c>
      <c r="T1353" s="31" t="s">
        <v>4589</v>
      </c>
      <c r="U1353" s="31" t="s">
        <v>4590</v>
      </c>
      <c r="V1353" s="32">
        <v>44750.0</v>
      </c>
    </row>
    <row r="1354">
      <c r="A1354" s="32"/>
      <c r="J1354" s="38">
        <f>COUNTIF(Data!$F$2:$F9917, $I1354)</f>
        <v>0</v>
      </c>
      <c r="T1354" s="31" t="s">
        <v>4593</v>
      </c>
      <c r="U1354" s="31" t="s">
        <v>3024</v>
      </c>
      <c r="V1354" s="32">
        <v>44749.0</v>
      </c>
    </row>
    <row r="1355">
      <c r="A1355" s="32"/>
      <c r="J1355" s="38">
        <f>COUNTIF(Data!$F$2:$F9917, $I1355)</f>
        <v>0</v>
      </c>
      <c r="T1355" s="31" t="s">
        <v>4596</v>
      </c>
      <c r="U1355" s="31" t="s">
        <v>4597</v>
      </c>
      <c r="V1355" s="32">
        <v>44748.0</v>
      </c>
    </row>
    <row r="1356">
      <c r="A1356" s="32"/>
      <c r="J1356" s="38">
        <f>COUNTIF(Data!$F$2:$F9917, $I1356)</f>
        <v>0</v>
      </c>
      <c r="T1356" s="31" t="s">
        <v>4600</v>
      </c>
      <c r="U1356" s="31" t="s">
        <v>4601</v>
      </c>
      <c r="V1356" s="32">
        <v>44747.0</v>
      </c>
    </row>
    <row r="1357">
      <c r="A1357" s="32"/>
      <c r="J1357" s="38">
        <f>COUNTIF(Data!$F$2:$F9917, $I1357)</f>
        <v>0</v>
      </c>
      <c r="T1357" s="31" t="s">
        <v>4604</v>
      </c>
      <c r="U1357" s="31" t="s">
        <v>4605</v>
      </c>
      <c r="V1357" s="32">
        <v>44744.0</v>
      </c>
    </row>
    <row r="1358">
      <c r="A1358" s="32"/>
      <c r="J1358" s="38">
        <f>COUNTIF(Data!$F$2:$F9917, $I1358)</f>
        <v>0</v>
      </c>
      <c r="T1358" s="31" t="s">
        <v>4608</v>
      </c>
      <c r="U1358" s="31" t="s">
        <v>4609</v>
      </c>
      <c r="V1358" s="32">
        <v>44743.0</v>
      </c>
    </row>
    <row r="1359">
      <c r="A1359" s="32"/>
      <c r="J1359" s="38">
        <f>COUNTIF(Data!$F$2:$F9917, $I1359)</f>
        <v>0</v>
      </c>
      <c r="T1359" s="31" t="s">
        <v>4612</v>
      </c>
      <c r="U1359" s="31" t="s">
        <v>4613</v>
      </c>
      <c r="V1359" s="32">
        <v>44743.0</v>
      </c>
    </row>
    <row r="1360">
      <c r="A1360" s="32"/>
      <c r="J1360" s="38">
        <f>COUNTIF(Data!$F$2:$F9917, $I1360)</f>
        <v>0</v>
      </c>
      <c r="T1360" s="31" t="s">
        <v>4617</v>
      </c>
      <c r="U1360" s="31" t="s">
        <v>4618</v>
      </c>
      <c r="V1360" s="32">
        <v>44743.0</v>
      </c>
    </row>
    <row r="1361">
      <c r="A1361" s="32"/>
      <c r="J1361" s="38">
        <f>COUNTIF(Data!$F$2:$F9917, $I1361)</f>
        <v>0</v>
      </c>
      <c r="T1361" s="31" t="s">
        <v>4621</v>
      </c>
      <c r="U1361" s="31" t="s">
        <v>4622</v>
      </c>
      <c r="V1361" s="32">
        <v>44741.0</v>
      </c>
    </row>
    <row r="1362">
      <c r="A1362" s="32"/>
      <c r="J1362" s="38">
        <f>COUNTIF(Data!$F$2:$F9917, $I1362)</f>
        <v>0</v>
      </c>
      <c r="T1362" s="31" t="s">
        <v>4625</v>
      </c>
      <c r="U1362" s="31" t="s">
        <v>4626</v>
      </c>
      <c r="V1362" s="32">
        <v>44741.0</v>
      </c>
    </row>
    <row r="1363">
      <c r="A1363" s="32"/>
      <c r="J1363" s="38">
        <f>COUNTIF(Data!$F$2:$F9917, $I1363)</f>
        <v>0</v>
      </c>
      <c r="T1363" s="31" t="s">
        <v>4628</v>
      </c>
      <c r="U1363" s="31" t="s">
        <v>4629</v>
      </c>
      <c r="V1363" s="32">
        <v>44740.0</v>
      </c>
    </row>
    <row r="1364">
      <c r="A1364" s="32"/>
      <c r="J1364" s="38">
        <f>COUNTIF(Data!$F$2:$F9917, $I1364)</f>
        <v>0</v>
      </c>
      <c r="T1364" s="31" t="s">
        <v>4632</v>
      </c>
      <c r="U1364" s="31" t="s">
        <v>4633</v>
      </c>
      <c r="V1364" s="32">
        <v>44740.0</v>
      </c>
    </row>
    <row r="1365">
      <c r="A1365" s="32"/>
      <c r="J1365" s="38">
        <f>COUNTIF(Data!$F$2:$F9917, $I1365)</f>
        <v>0</v>
      </c>
      <c r="T1365" s="31" t="s">
        <v>4636</v>
      </c>
      <c r="U1365" s="31" t="s">
        <v>4637</v>
      </c>
      <c r="V1365" s="32">
        <v>44740.0</v>
      </c>
    </row>
    <row r="1366">
      <c r="A1366" s="32"/>
      <c r="J1366" s="38">
        <f>COUNTIF(Data!$F$2:$F9917, $I1366)</f>
        <v>0</v>
      </c>
      <c r="T1366" s="31" t="s">
        <v>4641</v>
      </c>
      <c r="U1366" s="31" t="s">
        <v>4642</v>
      </c>
      <c r="V1366" s="32">
        <v>44739.0</v>
      </c>
    </row>
    <row r="1367">
      <c r="A1367" s="32"/>
      <c r="J1367" s="38">
        <f>COUNTIF(Data!$F$2:$F9917, $I1367)</f>
        <v>0</v>
      </c>
      <c r="T1367" s="31" t="s">
        <v>4645</v>
      </c>
      <c r="U1367" s="31" t="s">
        <v>4646</v>
      </c>
      <c r="V1367" s="32">
        <v>44736.0</v>
      </c>
    </row>
    <row r="1368">
      <c r="A1368" s="32"/>
      <c r="J1368" s="38">
        <f>COUNTIF(Data!$F$2:$F9917, $I1368)</f>
        <v>0</v>
      </c>
      <c r="T1368" s="31" t="s">
        <v>4649</v>
      </c>
      <c r="U1368" s="31" t="s">
        <v>4650</v>
      </c>
      <c r="V1368" s="32">
        <v>44736.0</v>
      </c>
    </row>
    <row r="1369">
      <c r="A1369" s="32"/>
      <c r="J1369" s="38">
        <f>COUNTIF(Data!$F$2:$F9917, $I1369)</f>
        <v>0</v>
      </c>
      <c r="T1369" s="31" t="s">
        <v>4653</v>
      </c>
      <c r="U1369" s="31" t="s">
        <v>4654</v>
      </c>
      <c r="V1369" s="32">
        <v>44736.0</v>
      </c>
    </row>
    <row r="1370">
      <c r="A1370" s="32"/>
      <c r="J1370" s="38">
        <f>COUNTIF(Data!$F$2:$F9917, $I1370)</f>
        <v>0</v>
      </c>
      <c r="T1370" s="31" t="s">
        <v>4658</v>
      </c>
      <c r="U1370" s="31" t="s">
        <v>4659</v>
      </c>
      <c r="V1370" s="32">
        <v>44736.0</v>
      </c>
    </row>
    <row r="1371">
      <c r="A1371" s="32"/>
      <c r="J1371" s="38">
        <f>COUNTIF(Data!$F$2:$F9917, $I1371)</f>
        <v>0</v>
      </c>
      <c r="T1371" s="31" t="s">
        <v>4662</v>
      </c>
      <c r="U1371" s="31" t="s">
        <v>4663</v>
      </c>
      <c r="V1371" s="32">
        <v>44735.0</v>
      </c>
    </row>
    <row r="1372">
      <c r="A1372" s="32"/>
      <c r="J1372" s="38">
        <f>COUNTIF(Data!$F$2:$F9917, $I1372)</f>
        <v>0</v>
      </c>
      <c r="T1372" s="31" t="s">
        <v>4667</v>
      </c>
      <c r="U1372" s="31" t="s">
        <v>4668</v>
      </c>
      <c r="V1372" s="32">
        <v>44735.0</v>
      </c>
    </row>
    <row r="1373">
      <c r="A1373" s="32"/>
      <c r="J1373" s="38">
        <f>COUNTIF(Data!$F$2:$F9917, $I1373)</f>
        <v>0</v>
      </c>
      <c r="T1373" s="31" t="s">
        <v>4671</v>
      </c>
      <c r="U1373" s="31" t="s">
        <v>4672</v>
      </c>
      <c r="V1373" s="32">
        <v>44735.0</v>
      </c>
    </row>
    <row r="1374">
      <c r="A1374" s="32"/>
      <c r="J1374" s="38">
        <f>COUNTIF(Data!$F$2:$F9917, $I1374)</f>
        <v>0</v>
      </c>
      <c r="T1374" s="31" t="s">
        <v>4675</v>
      </c>
      <c r="U1374" s="31" t="s">
        <v>4676</v>
      </c>
      <c r="V1374" s="32">
        <v>44734.0</v>
      </c>
    </row>
    <row r="1375">
      <c r="A1375" s="32"/>
      <c r="J1375" s="38">
        <f>COUNTIF(Data!$F$2:$F9917, $I1375)</f>
        <v>0</v>
      </c>
      <c r="T1375" s="31" t="s">
        <v>4680</v>
      </c>
      <c r="U1375" s="31" t="s">
        <v>4681</v>
      </c>
      <c r="V1375" s="32">
        <v>44734.0</v>
      </c>
    </row>
    <row r="1376">
      <c r="A1376" s="32"/>
      <c r="J1376" s="38">
        <f>COUNTIF(Data!$F$2:$F9917, $I1376)</f>
        <v>0</v>
      </c>
      <c r="T1376" s="31" t="s">
        <v>4684</v>
      </c>
      <c r="U1376" s="31" t="s">
        <v>4685</v>
      </c>
      <c r="V1376" s="32">
        <v>44734.0</v>
      </c>
    </row>
    <row r="1377">
      <c r="A1377" s="32"/>
      <c r="J1377" s="38">
        <f>COUNTIF(Data!$F$2:$F9917, $I1377)</f>
        <v>0</v>
      </c>
      <c r="T1377" s="31" t="s">
        <v>4688</v>
      </c>
      <c r="U1377" s="31" t="s">
        <v>4689</v>
      </c>
      <c r="V1377" s="32">
        <v>44734.0</v>
      </c>
    </row>
    <row r="1378">
      <c r="A1378" s="32"/>
      <c r="J1378" s="38">
        <f>COUNTIF(Data!$F$2:$F9917, $I1378)</f>
        <v>0</v>
      </c>
      <c r="T1378" s="31" t="s">
        <v>4692</v>
      </c>
      <c r="U1378" s="31" t="s">
        <v>4693</v>
      </c>
      <c r="V1378" s="32">
        <v>44734.0</v>
      </c>
    </row>
    <row r="1379">
      <c r="A1379" s="32"/>
      <c r="J1379" s="38">
        <f>COUNTIF(Data!$F$2:$F9917, $I1379)</f>
        <v>0</v>
      </c>
      <c r="T1379" s="31" t="s">
        <v>4696</v>
      </c>
      <c r="U1379" s="31" t="s">
        <v>4697</v>
      </c>
      <c r="V1379" s="32">
        <v>44734.0</v>
      </c>
    </row>
    <row r="1380">
      <c r="A1380" s="32"/>
      <c r="J1380" s="38">
        <f>COUNTIF(Data!$F$2:$F9917, $I1380)</f>
        <v>0</v>
      </c>
      <c r="T1380" s="31" t="s">
        <v>4701</v>
      </c>
      <c r="U1380" s="31" t="s">
        <v>4702</v>
      </c>
      <c r="V1380" s="32">
        <v>44734.0</v>
      </c>
    </row>
    <row r="1381">
      <c r="A1381" s="32"/>
      <c r="J1381" s="38">
        <f>COUNTIF(Data!$F$2:$F9917, $I1381)</f>
        <v>0</v>
      </c>
      <c r="T1381" s="31" t="s">
        <v>4705</v>
      </c>
      <c r="U1381" s="31" t="s">
        <v>4706</v>
      </c>
      <c r="V1381" s="32">
        <v>44733.0</v>
      </c>
    </row>
    <row r="1382">
      <c r="A1382" s="32"/>
      <c r="J1382" s="38">
        <f>COUNTIF(Data!$F$2:$F9917, $I1382)</f>
        <v>0</v>
      </c>
      <c r="T1382" s="31" t="s">
        <v>4710</v>
      </c>
      <c r="U1382" s="31" t="s">
        <v>4711</v>
      </c>
      <c r="V1382" s="32">
        <v>44733.0</v>
      </c>
    </row>
    <row r="1383">
      <c r="A1383" s="32"/>
      <c r="J1383" s="38">
        <f>COUNTIF(Data!$F$2:$F9917, $I1383)</f>
        <v>0</v>
      </c>
      <c r="T1383" s="31" t="s">
        <v>4714</v>
      </c>
      <c r="U1383" s="31" t="s">
        <v>4715</v>
      </c>
      <c r="V1383" s="32">
        <v>44733.0</v>
      </c>
    </row>
    <row r="1384">
      <c r="A1384" s="32"/>
      <c r="J1384" s="38">
        <f>COUNTIF(Data!$F$2:$F9917, $I1384)</f>
        <v>0</v>
      </c>
      <c r="T1384" s="31" t="s">
        <v>4718</v>
      </c>
      <c r="U1384" s="31" t="s">
        <v>4719</v>
      </c>
      <c r="V1384" s="32">
        <v>44732.0</v>
      </c>
    </row>
    <row r="1385">
      <c r="A1385" s="32"/>
      <c r="J1385" s="38">
        <f>COUNTIF(Data!$F$2:$F9917, $I1385)</f>
        <v>0</v>
      </c>
      <c r="T1385" s="31" t="s">
        <v>4722</v>
      </c>
      <c r="U1385" s="31" t="s">
        <v>4723</v>
      </c>
      <c r="V1385" s="32">
        <v>44732.0</v>
      </c>
    </row>
    <row r="1386">
      <c r="A1386" s="32"/>
      <c r="J1386" s="38">
        <f>COUNTIF(Data!$F$2:$F9917, $I1386)</f>
        <v>0</v>
      </c>
      <c r="T1386" s="31" t="s">
        <v>4727</v>
      </c>
      <c r="U1386" s="31" t="s">
        <v>4728</v>
      </c>
      <c r="V1386" s="32">
        <v>44732.0</v>
      </c>
    </row>
    <row r="1387">
      <c r="A1387" s="32"/>
      <c r="J1387" s="38">
        <f>COUNTIF(Data!$F$2:$F9917, $I1387)</f>
        <v>0</v>
      </c>
      <c r="T1387" s="31" t="s">
        <v>4731</v>
      </c>
      <c r="U1387" s="31" t="s">
        <v>4732</v>
      </c>
      <c r="V1387" s="32">
        <v>44729.0</v>
      </c>
    </row>
    <row r="1388">
      <c r="A1388" s="32"/>
      <c r="J1388" s="38">
        <f>COUNTIF(Data!$F$2:$F9917, $I1388)</f>
        <v>0</v>
      </c>
      <c r="T1388" s="31" t="s">
        <v>4735</v>
      </c>
      <c r="U1388" s="31" t="s">
        <v>4736</v>
      </c>
      <c r="V1388" s="32">
        <v>44728.0</v>
      </c>
    </row>
    <row r="1389">
      <c r="A1389" s="32"/>
      <c r="J1389" s="38">
        <f>COUNTIF(Data!$F$2:$F9917, $I1389)</f>
        <v>0</v>
      </c>
      <c r="T1389" s="31" t="s">
        <v>4739</v>
      </c>
      <c r="U1389" s="31" t="s">
        <v>4740</v>
      </c>
      <c r="V1389" s="32">
        <v>44728.0</v>
      </c>
    </row>
    <row r="1390">
      <c r="A1390" s="32"/>
      <c r="J1390" s="38">
        <f>COUNTIF(Data!$F$2:$F9917, $I1390)</f>
        <v>0</v>
      </c>
      <c r="T1390" s="31" t="s">
        <v>4744</v>
      </c>
      <c r="U1390" s="31" t="s">
        <v>4745</v>
      </c>
      <c r="V1390" s="32">
        <v>44727.0</v>
      </c>
    </row>
    <row r="1391">
      <c r="A1391" s="32"/>
      <c r="J1391" s="38">
        <f>COUNTIF(Data!$F$2:$F9917, $I1391)</f>
        <v>0</v>
      </c>
      <c r="T1391" s="31" t="s">
        <v>4749</v>
      </c>
      <c r="U1391" s="31" t="s">
        <v>4750</v>
      </c>
      <c r="V1391" s="32">
        <v>44727.0</v>
      </c>
    </row>
    <row r="1392">
      <c r="A1392" s="32"/>
      <c r="J1392" s="38">
        <f>COUNTIF(Data!$F$2:$F9917, $I1392)</f>
        <v>0</v>
      </c>
      <c r="T1392" s="31" t="s">
        <v>4753</v>
      </c>
      <c r="U1392" s="31" t="s">
        <v>4754</v>
      </c>
      <c r="V1392" s="32">
        <v>44727.0</v>
      </c>
    </row>
    <row r="1393">
      <c r="A1393" s="32"/>
      <c r="J1393" s="38">
        <f>COUNTIF(Data!$F$2:$F9917, $I1393)</f>
        <v>0</v>
      </c>
      <c r="T1393" s="31" t="s">
        <v>4758</v>
      </c>
      <c r="U1393" s="31" t="s">
        <v>4759</v>
      </c>
      <c r="V1393" s="32">
        <v>44725.0</v>
      </c>
    </row>
    <row r="1394">
      <c r="A1394" s="32"/>
      <c r="J1394" s="38">
        <f>COUNTIF(Data!$F$2:$F9917, $I1394)</f>
        <v>0</v>
      </c>
      <c r="T1394" s="31" t="s">
        <v>4763</v>
      </c>
      <c r="U1394" s="31" t="s">
        <v>4764</v>
      </c>
      <c r="V1394" s="32">
        <v>44725.0</v>
      </c>
    </row>
    <row r="1395">
      <c r="A1395" s="32"/>
      <c r="J1395" s="38">
        <f>COUNTIF(Data!$F$2:$F9917, $I1395)</f>
        <v>0</v>
      </c>
      <c r="T1395" s="31" t="s">
        <v>4767</v>
      </c>
      <c r="U1395" s="31" t="s">
        <v>4768</v>
      </c>
      <c r="V1395" s="32">
        <v>44725.0</v>
      </c>
    </row>
    <row r="1396">
      <c r="A1396" s="32"/>
      <c r="J1396" s="38">
        <f>COUNTIF(Data!$F$2:$F9917, $I1396)</f>
        <v>0</v>
      </c>
      <c r="T1396" s="31" t="s">
        <v>4772</v>
      </c>
      <c r="U1396" s="31" t="s">
        <v>4773</v>
      </c>
      <c r="V1396" s="32">
        <v>44725.0</v>
      </c>
    </row>
    <row r="1397">
      <c r="A1397" s="32"/>
      <c r="J1397" s="38">
        <f>COUNTIF(Data!$F$2:$F9917, $I1397)</f>
        <v>0</v>
      </c>
      <c r="T1397" s="31" t="s">
        <v>4776</v>
      </c>
      <c r="U1397" s="31" t="s">
        <v>4777</v>
      </c>
      <c r="V1397" s="32">
        <v>44724.0</v>
      </c>
    </row>
    <row r="1398">
      <c r="A1398" s="32"/>
      <c r="J1398" s="38">
        <f>COUNTIF(Data!$F$2:$F9917, $I1398)</f>
        <v>0</v>
      </c>
      <c r="T1398" s="31" t="s">
        <v>4781</v>
      </c>
      <c r="U1398" s="31" t="s">
        <v>4782</v>
      </c>
      <c r="V1398" s="32">
        <v>44723.0</v>
      </c>
    </row>
    <row r="1399">
      <c r="A1399" s="32"/>
      <c r="J1399" s="38">
        <f>COUNTIF(Data!$F$2:$F9917, $I1399)</f>
        <v>0</v>
      </c>
      <c r="T1399" s="31" t="s">
        <v>4785</v>
      </c>
      <c r="U1399" s="31" t="s">
        <v>1926</v>
      </c>
      <c r="V1399" s="32">
        <v>44722.0</v>
      </c>
    </row>
    <row r="1400">
      <c r="A1400" s="32"/>
      <c r="J1400" s="38">
        <f>COUNTIF(Data!$F$2:$F9917, $I1400)</f>
        <v>0</v>
      </c>
      <c r="T1400" s="31" t="s">
        <v>4787</v>
      </c>
      <c r="U1400" s="31" t="s">
        <v>4788</v>
      </c>
      <c r="V1400" s="32">
        <v>44721.0</v>
      </c>
    </row>
    <row r="1401">
      <c r="A1401" s="32"/>
      <c r="J1401" s="38">
        <f>COUNTIF(Data!$F$2:$F9917, $I1401)</f>
        <v>0</v>
      </c>
      <c r="T1401" s="31" t="s">
        <v>4791</v>
      </c>
      <c r="U1401" s="31" t="s">
        <v>4792</v>
      </c>
      <c r="V1401" s="32">
        <v>44721.0</v>
      </c>
    </row>
    <row r="1402">
      <c r="A1402" s="32"/>
      <c r="J1402" s="38">
        <f>COUNTIF(Data!$F$2:$F9917, $I1402)</f>
        <v>0</v>
      </c>
      <c r="T1402" s="31" t="s">
        <v>4796</v>
      </c>
      <c r="U1402" s="31" t="s">
        <v>4797</v>
      </c>
      <c r="V1402" s="32">
        <v>44720.0</v>
      </c>
    </row>
    <row r="1403">
      <c r="A1403" s="32"/>
      <c r="J1403" s="38">
        <f>COUNTIF(Data!$F$2:$F9917, $I1403)</f>
        <v>0</v>
      </c>
      <c r="T1403" s="31" t="s">
        <v>4800</v>
      </c>
      <c r="U1403" s="31" t="s">
        <v>4801</v>
      </c>
      <c r="V1403" s="32">
        <v>44720.0</v>
      </c>
    </row>
    <row r="1404">
      <c r="A1404" s="32"/>
      <c r="J1404" s="38">
        <f>COUNTIF(Data!$F$2:$F9917, $I1404)</f>
        <v>0</v>
      </c>
      <c r="T1404" s="31" t="s">
        <v>4804</v>
      </c>
      <c r="U1404" s="31" t="s">
        <v>4805</v>
      </c>
      <c r="V1404" s="32">
        <v>44719.0</v>
      </c>
    </row>
    <row r="1405">
      <c r="A1405" s="32"/>
      <c r="J1405" s="38">
        <f>COUNTIF(Data!$F$2:$F9917, $I1405)</f>
        <v>0</v>
      </c>
      <c r="T1405" s="31" t="s">
        <v>4809</v>
      </c>
      <c r="U1405" s="31" t="s">
        <v>4810</v>
      </c>
      <c r="V1405" s="32">
        <v>44716.0</v>
      </c>
    </row>
    <row r="1406">
      <c r="A1406" s="32"/>
      <c r="J1406" s="38">
        <f>COUNTIF(Data!$F$2:$F9917, $I1406)</f>
        <v>0</v>
      </c>
      <c r="T1406" s="31" t="s">
        <v>4813</v>
      </c>
      <c r="U1406" s="31" t="s">
        <v>4814</v>
      </c>
      <c r="V1406" s="32">
        <v>44715.0</v>
      </c>
    </row>
    <row r="1407">
      <c r="A1407" s="32"/>
      <c r="J1407" s="38">
        <f>COUNTIF(Data!$F$2:$F9917, $I1407)</f>
        <v>0</v>
      </c>
      <c r="T1407" s="31" t="s">
        <v>4817</v>
      </c>
      <c r="U1407" s="31" t="s">
        <v>4818</v>
      </c>
      <c r="V1407" s="32">
        <v>44715.0</v>
      </c>
    </row>
    <row r="1408">
      <c r="A1408" s="32"/>
      <c r="J1408" s="38">
        <f>COUNTIF(Data!$F$2:$F9917, $I1408)</f>
        <v>0</v>
      </c>
      <c r="T1408" s="31" t="s">
        <v>4822</v>
      </c>
      <c r="U1408" s="31" t="s">
        <v>4823</v>
      </c>
      <c r="V1408" s="32">
        <v>44714.0</v>
      </c>
    </row>
    <row r="1409">
      <c r="A1409" s="32"/>
      <c r="J1409" s="38">
        <f>COUNTIF(Data!$F$2:$F9917, $I1409)</f>
        <v>0</v>
      </c>
      <c r="T1409" s="31" t="s">
        <v>4826</v>
      </c>
      <c r="U1409" s="31" t="s">
        <v>4827</v>
      </c>
      <c r="V1409" s="32">
        <v>44713.0</v>
      </c>
    </row>
    <row r="1410">
      <c r="A1410" s="32"/>
      <c r="J1410" s="38">
        <f>COUNTIF(Data!$F$2:$F9917, $I1410)</f>
        <v>0</v>
      </c>
      <c r="T1410" s="31" t="s">
        <v>4831</v>
      </c>
      <c r="U1410" s="31" t="s">
        <v>4832</v>
      </c>
      <c r="V1410" s="32">
        <v>44713.0</v>
      </c>
    </row>
    <row r="1411">
      <c r="A1411" s="32"/>
      <c r="J1411" s="38">
        <f>COUNTIF(Data!$F$2:$F9917, $I1411)</f>
        <v>0</v>
      </c>
      <c r="T1411" s="31" t="s">
        <v>4834</v>
      </c>
      <c r="U1411" s="31" t="s">
        <v>4835</v>
      </c>
      <c r="V1411" s="32">
        <v>44713.0</v>
      </c>
    </row>
    <row r="1412">
      <c r="A1412" s="32"/>
      <c r="J1412" s="38">
        <f>COUNTIF(Data!$F$2:$F9917, $I1412)</f>
        <v>0</v>
      </c>
      <c r="T1412" s="31" t="s">
        <v>4838</v>
      </c>
      <c r="U1412" s="31" t="s">
        <v>4839</v>
      </c>
      <c r="V1412" s="32">
        <v>44713.0</v>
      </c>
    </row>
    <row r="1413">
      <c r="A1413" s="32"/>
      <c r="J1413" s="38">
        <f>COUNTIF(Data!$F$2:$F9917, $I1413)</f>
        <v>0</v>
      </c>
      <c r="T1413" s="31" t="s">
        <v>4842</v>
      </c>
      <c r="U1413" s="31" t="s">
        <v>4843</v>
      </c>
      <c r="V1413" s="32">
        <v>44709.0</v>
      </c>
    </row>
    <row r="1414">
      <c r="A1414" s="32"/>
      <c r="J1414" s="38">
        <f>COUNTIF(Data!$F$2:$F9917, $I1414)</f>
        <v>0</v>
      </c>
      <c r="T1414" s="31" t="s">
        <v>4846</v>
      </c>
      <c r="U1414" s="31" t="s">
        <v>4847</v>
      </c>
      <c r="V1414" s="32">
        <v>44709.0</v>
      </c>
    </row>
    <row r="1415">
      <c r="A1415" s="32"/>
      <c r="J1415" s="38">
        <f>COUNTIF(Data!$F$2:$F9917, $I1415)</f>
        <v>0</v>
      </c>
      <c r="T1415" s="31" t="s">
        <v>4851</v>
      </c>
      <c r="U1415" s="31" t="s">
        <v>4852</v>
      </c>
      <c r="V1415" s="32">
        <v>44708.0</v>
      </c>
    </row>
    <row r="1416">
      <c r="A1416" s="32"/>
      <c r="J1416" s="38">
        <f>COUNTIF(Data!$F$2:$F9917, $I1416)</f>
        <v>0</v>
      </c>
      <c r="T1416" s="31" t="s">
        <v>4855</v>
      </c>
      <c r="U1416" s="31" t="s">
        <v>4856</v>
      </c>
      <c r="V1416" s="32">
        <v>44707.0</v>
      </c>
    </row>
    <row r="1417">
      <c r="A1417" s="32"/>
      <c r="J1417" s="38">
        <f>COUNTIF(Data!$F$2:$F9917, $I1417)</f>
        <v>0</v>
      </c>
      <c r="T1417" s="31" t="s">
        <v>4859</v>
      </c>
      <c r="U1417" s="31" t="s">
        <v>4860</v>
      </c>
      <c r="V1417" s="32">
        <v>44707.0</v>
      </c>
    </row>
    <row r="1418">
      <c r="A1418" s="32"/>
      <c r="J1418" s="38">
        <f>COUNTIF(Data!$F$2:$F9917, $I1418)</f>
        <v>0</v>
      </c>
      <c r="T1418" s="31" t="s">
        <v>4864</v>
      </c>
      <c r="U1418" s="31" t="s">
        <v>4865</v>
      </c>
      <c r="V1418" s="32">
        <v>44707.0</v>
      </c>
    </row>
    <row r="1419">
      <c r="A1419" s="32"/>
      <c r="J1419" s="38">
        <f>COUNTIF(Data!$F$2:$F9917, $I1419)</f>
        <v>0</v>
      </c>
      <c r="T1419" s="31" t="s">
        <v>4868</v>
      </c>
      <c r="U1419" s="31" t="s">
        <v>4869</v>
      </c>
      <c r="V1419" s="32">
        <v>44707.0</v>
      </c>
    </row>
    <row r="1420">
      <c r="A1420" s="32"/>
      <c r="J1420" s="38">
        <f>COUNTIF(Data!$F$2:$F9917, $I1420)</f>
        <v>0</v>
      </c>
      <c r="T1420" s="31" t="s">
        <v>4873</v>
      </c>
      <c r="U1420" s="31" t="s">
        <v>4874</v>
      </c>
      <c r="V1420" s="32">
        <v>44706.0</v>
      </c>
    </row>
    <row r="1421">
      <c r="A1421" s="32"/>
      <c r="J1421" s="38">
        <f>COUNTIF(Data!$F$2:$F9917, $I1421)</f>
        <v>0</v>
      </c>
      <c r="T1421" s="31" t="s">
        <v>4877</v>
      </c>
      <c r="U1421" s="31" t="s">
        <v>4878</v>
      </c>
      <c r="V1421" s="32">
        <v>44706.0</v>
      </c>
    </row>
    <row r="1422">
      <c r="A1422" s="32"/>
      <c r="J1422" s="38">
        <f>COUNTIF(Data!$F$2:$F9917, $I1422)</f>
        <v>0</v>
      </c>
      <c r="T1422" s="31" t="s">
        <v>4881</v>
      </c>
      <c r="U1422" s="31" t="s">
        <v>4882</v>
      </c>
      <c r="V1422" s="32">
        <v>44706.0</v>
      </c>
    </row>
    <row r="1423">
      <c r="A1423" s="32"/>
      <c r="J1423" s="38">
        <f>COUNTIF(Data!$F$2:$F9917, $I1423)</f>
        <v>0</v>
      </c>
      <c r="T1423" s="31" t="s">
        <v>4886</v>
      </c>
      <c r="U1423" s="31" t="s">
        <v>4887</v>
      </c>
      <c r="V1423" s="32">
        <v>44705.0</v>
      </c>
    </row>
    <row r="1424">
      <c r="A1424" s="32"/>
      <c r="J1424" s="38">
        <f>COUNTIF(Data!$F$2:$F9917, $I1424)</f>
        <v>0</v>
      </c>
      <c r="T1424" s="31" t="s">
        <v>4889</v>
      </c>
      <c r="U1424" s="31" t="s">
        <v>4890</v>
      </c>
      <c r="V1424" s="32">
        <v>44705.0</v>
      </c>
    </row>
    <row r="1425">
      <c r="A1425" s="32"/>
      <c r="J1425" s="38">
        <f>COUNTIF(Data!$F$2:$F9917, $I1425)</f>
        <v>0</v>
      </c>
      <c r="T1425" s="31" t="s">
        <v>4893</v>
      </c>
      <c r="U1425" s="31" t="s">
        <v>4894</v>
      </c>
      <c r="V1425" s="32">
        <v>44704.0</v>
      </c>
    </row>
    <row r="1426">
      <c r="A1426" s="32"/>
      <c r="J1426" s="38">
        <f>COUNTIF(Data!$F$2:$F9917, $I1426)</f>
        <v>0</v>
      </c>
      <c r="T1426" s="31" t="s">
        <v>4897</v>
      </c>
      <c r="U1426" s="31" t="s">
        <v>4898</v>
      </c>
      <c r="V1426" s="32">
        <v>44704.0</v>
      </c>
    </row>
    <row r="1427">
      <c r="A1427" s="32"/>
      <c r="J1427" s="38">
        <f>COUNTIF(Data!$F$2:$F9917, $I1427)</f>
        <v>0</v>
      </c>
      <c r="T1427" s="31" t="s">
        <v>4901</v>
      </c>
      <c r="U1427" s="31" t="s">
        <v>4902</v>
      </c>
      <c r="V1427" s="32">
        <v>44701.0</v>
      </c>
    </row>
    <row r="1428">
      <c r="A1428" s="32"/>
      <c r="J1428" s="38">
        <f>COUNTIF(Data!$F$2:$F9917, $I1428)</f>
        <v>0</v>
      </c>
      <c r="T1428" s="31" t="s">
        <v>4905</v>
      </c>
      <c r="U1428" s="31" t="s">
        <v>4906</v>
      </c>
      <c r="V1428" s="32">
        <v>44701.0</v>
      </c>
    </row>
    <row r="1429">
      <c r="A1429" s="32"/>
      <c r="J1429" s="38">
        <f>COUNTIF(Data!$F$2:$F9917, $I1429)</f>
        <v>0</v>
      </c>
      <c r="T1429" s="31" t="s">
        <v>4909</v>
      </c>
      <c r="U1429" s="31" t="s">
        <v>4910</v>
      </c>
      <c r="V1429" s="32">
        <v>44701.0</v>
      </c>
    </row>
    <row r="1430">
      <c r="A1430" s="32"/>
      <c r="J1430" s="38">
        <f>COUNTIF(Data!$F$2:$F9917, $I1430)</f>
        <v>0</v>
      </c>
      <c r="T1430" s="31" t="s">
        <v>4913</v>
      </c>
      <c r="U1430" s="31" t="s">
        <v>4914</v>
      </c>
      <c r="V1430" s="32">
        <v>44701.0</v>
      </c>
    </row>
    <row r="1431">
      <c r="A1431" s="32"/>
      <c r="J1431" s="38">
        <f>COUNTIF(Data!$F$2:$F9917, $I1431)</f>
        <v>0</v>
      </c>
      <c r="T1431" s="31" t="s">
        <v>4917</v>
      </c>
      <c r="U1431" s="31" t="s">
        <v>4918</v>
      </c>
      <c r="V1431" s="32">
        <v>44701.0</v>
      </c>
    </row>
    <row r="1432">
      <c r="A1432" s="32"/>
      <c r="J1432" s="38">
        <f>COUNTIF(Data!$F$2:$F9917, $I1432)</f>
        <v>0</v>
      </c>
      <c r="T1432" s="31" t="s">
        <v>4921</v>
      </c>
      <c r="U1432" s="31" t="s">
        <v>4922</v>
      </c>
      <c r="V1432" s="32">
        <v>44699.0</v>
      </c>
    </row>
    <row r="1433">
      <c r="A1433" s="32"/>
      <c r="J1433" s="38">
        <f>COUNTIF(Data!$F$2:$F9917, $I1433)</f>
        <v>0</v>
      </c>
      <c r="T1433" s="31" t="s">
        <v>4925</v>
      </c>
      <c r="U1433" s="31" t="s">
        <v>4926</v>
      </c>
      <c r="V1433" s="32">
        <v>44698.0</v>
      </c>
    </row>
    <row r="1434">
      <c r="A1434" s="32"/>
      <c r="J1434" s="38">
        <f>COUNTIF(Data!$F$2:$F9917, $I1434)</f>
        <v>0</v>
      </c>
      <c r="T1434" s="31" t="s">
        <v>4929</v>
      </c>
      <c r="U1434" s="31" t="s">
        <v>4930</v>
      </c>
      <c r="V1434" s="32">
        <v>44698.0</v>
      </c>
    </row>
    <row r="1435">
      <c r="A1435" s="32"/>
      <c r="J1435" s="38">
        <f>COUNTIF(Data!$F$2:$F9917, $I1435)</f>
        <v>0</v>
      </c>
      <c r="T1435" s="31" t="s">
        <v>4933</v>
      </c>
      <c r="U1435" s="31" t="s">
        <v>4934</v>
      </c>
      <c r="V1435" s="32">
        <v>44697.0</v>
      </c>
    </row>
    <row r="1436">
      <c r="A1436" s="32"/>
      <c r="J1436" s="38">
        <f>COUNTIF(Data!$F$2:$F9917, $I1436)</f>
        <v>0</v>
      </c>
      <c r="T1436" s="31" t="s">
        <v>4937</v>
      </c>
      <c r="U1436" s="31" t="s">
        <v>4938</v>
      </c>
      <c r="V1436" s="32">
        <v>44695.0</v>
      </c>
    </row>
    <row r="1437">
      <c r="A1437" s="32"/>
      <c r="J1437" s="38">
        <f>COUNTIF(Data!$F$2:$F9917, $I1437)</f>
        <v>0</v>
      </c>
      <c r="T1437" s="31" t="s">
        <v>4942</v>
      </c>
      <c r="U1437" s="31" t="s">
        <v>4943</v>
      </c>
      <c r="V1437" s="32">
        <v>44693.0</v>
      </c>
    </row>
    <row r="1438">
      <c r="A1438" s="32"/>
      <c r="J1438" s="38">
        <f>COUNTIF(Data!$F$2:$F9917, $I1438)</f>
        <v>0</v>
      </c>
      <c r="T1438" s="31" t="s">
        <v>4946</v>
      </c>
      <c r="U1438" s="31" t="s">
        <v>4947</v>
      </c>
      <c r="V1438" s="32">
        <v>44693.0</v>
      </c>
    </row>
    <row r="1439">
      <c r="A1439" s="32"/>
      <c r="J1439" s="38">
        <f>COUNTIF(Data!$F$2:$F9917, $I1439)</f>
        <v>0</v>
      </c>
      <c r="T1439" s="31" t="s">
        <v>4950</v>
      </c>
      <c r="U1439" s="31" t="s">
        <v>4951</v>
      </c>
      <c r="V1439" s="32">
        <v>44691.0</v>
      </c>
    </row>
    <row r="1440">
      <c r="A1440" s="32"/>
      <c r="J1440" s="38">
        <f>COUNTIF(Data!$F$2:$F9917, $I1440)</f>
        <v>0</v>
      </c>
      <c r="T1440" s="31" t="s">
        <v>4954</v>
      </c>
      <c r="U1440" s="31" t="s">
        <v>4955</v>
      </c>
      <c r="V1440" s="32">
        <v>44691.0</v>
      </c>
    </row>
    <row r="1441">
      <c r="A1441" s="32"/>
      <c r="J1441" s="38">
        <f>COUNTIF(Data!$F$2:$F9917, $I1441)</f>
        <v>0</v>
      </c>
      <c r="T1441" s="31" t="s">
        <v>4958</v>
      </c>
      <c r="U1441" s="31" t="s">
        <v>4959</v>
      </c>
      <c r="V1441" s="32">
        <v>44690.0</v>
      </c>
    </row>
    <row r="1442">
      <c r="A1442" s="32"/>
      <c r="J1442" s="38">
        <f>COUNTIF(Data!$F$2:$F9917, $I1442)</f>
        <v>0</v>
      </c>
      <c r="T1442" s="31" t="s">
        <v>4962</v>
      </c>
      <c r="U1442" s="31" t="s">
        <v>4963</v>
      </c>
      <c r="V1442" s="32">
        <v>44690.0</v>
      </c>
    </row>
    <row r="1443">
      <c r="A1443" s="32"/>
      <c r="J1443" s="38">
        <f>COUNTIF(Data!$F$2:$F9917, $I1443)</f>
        <v>0</v>
      </c>
      <c r="T1443" s="31" t="s">
        <v>4966</v>
      </c>
      <c r="U1443" s="31" t="s">
        <v>4967</v>
      </c>
      <c r="V1443" s="32">
        <v>44690.0</v>
      </c>
    </row>
    <row r="1444">
      <c r="A1444" s="32"/>
      <c r="J1444" s="38">
        <f>COUNTIF(Data!$F$2:$F9917, $I1444)</f>
        <v>0</v>
      </c>
      <c r="T1444" s="31" t="s">
        <v>4970</v>
      </c>
      <c r="U1444" s="31" t="s">
        <v>4971</v>
      </c>
      <c r="V1444" s="32">
        <v>44686.0</v>
      </c>
    </row>
    <row r="1445">
      <c r="A1445" s="32"/>
      <c r="J1445" s="38">
        <f>COUNTIF(Data!$F$2:$F9917, $I1445)</f>
        <v>0</v>
      </c>
      <c r="T1445" s="31" t="s">
        <v>4974</v>
      </c>
      <c r="U1445" s="31" t="s">
        <v>4975</v>
      </c>
      <c r="V1445" s="32">
        <v>44686.0</v>
      </c>
    </row>
    <row r="1446">
      <c r="A1446" s="32"/>
      <c r="J1446" s="38">
        <f>COUNTIF(Data!$F$2:$F9917, $I1446)</f>
        <v>0</v>
      </c>
      <c r="T1446" s="31" t="s">
        <v>4978</v>
      </c>
      <c r="U1446" s="31" t="s">
        <v>4979</v>
      </c>
      <c r="V1446" s="32">
        <v>44684.0</v>
      </c>
    </row>
    <row r="1447">
      <c r="A1447" s="32"/>
      <c r="J1447" s="38">
        <f>COUNTIF(Data!$F$2:$F9917, $I1447)</f>
        <v>0</v>
      </c>
      <c r="T1447" s="31" t="s">
        <v>4983</v>
      </c>
      <c r="U1447" s="31" t="s">
        <v>4984</v>
      </c>
      <c r="V1447" s="32">
        <v>44684.0</v>
      </c>
    </row>
    <row r="1448">
      <c r="A1448" s="32"/>
      <c r="J1448" s="38">
        <f>COUNTIF(Data!$F$2:$F9917, $I1448)</f>
        <v>0</v>
      </c>
      <c r="T1448" s="31" t="s">
        <v>4987</v>
      </c>
      <c r="U1448" s="31" t="s">
        <v>4988</v>
      </c>
      <c r="V1448" s="32">
        <v>44684.0</v>
      </c>
    </row>
    <row r="1449">
      <c r="A1449" s="32"/>
      <c r="J1449" s="38">
        <f>COUNTIF(Data!$F$2:$F9917, $I1449)</f>
        <v>0</v>
      </c>
      <c r="T1449" s="31" t="s">
        <v>4991</v>
      </c>
      <c r="U1449" s="31" t="s">
        <v>4992</v>
      </c>
      <c r="V1449" s="32">
        <v>44683.0</v>
      </c>
    </row>
    <row r="1450">
      <c r="A1450" s="32"/>
      <c r="J1450" s="38">
        <f>COUNTIF(Data!$F$2:$F9917, $I1450)</f>
        <v>0</v>
      </c>
      <c r="T1450" s="31" t="s">
        <v>4995</v>
      </c>
      <c r="U1450" s="31" t="s">
        <v>4996</v>
      </c>
      <c r="V1450" s="32">
        <v>44683.0</v>
      </c>
    </row>
    <row r="1451">
      <c r="A1451" s="32"/>
      <c r="J1451" s="38">
        <f>COUNTIF(Data!$F$2:$F9917, $I1451)</f>
        <v>0</v>
      </c>
      <c r="T1451" s="31" t="s">
        <v>5000</v>
      </c>
      <c r="U1451" s="31" t="s">
        <v>5001</v>
      </c>
      <c r="V1451" s="32">
        <v>44683.0</v>
      </c>
    </row>
    <row r="1452">
      <c r="A1452" s="32"/>
      <c r="J1452" s="38">
        <f>COUNTIF(Data!$F$2:$F9917, $I1452)</f>
        <v>0</v>
      </c>
      <c r="T1452" s="31" t="s">
        <v>5004</v>
      </c>
      <c r="U1452" s="31" t="s">
        <v>5005</v>
      </c>
      <c r="V1452" s="32">
        <v>44683.0</v>
      </c>
    </row>
    <row r="1453">
      <c r="A1453" s="32"/>
      <c r="J1453" s="38">
        <f>COUNTIF(Data!$F$2:$F9917, $I1453)</f>
        <v>0</v>
      </c>
      <c r="T1453" s="31" t="s">
        <v>5009</v>
      </c>
      <c r="U1453" s="31" t="s">
        <v>5010</v>
      </c>
      <c r="V1453" s="32">
        <v>44682.0</v>
      </c>
    </row>
    <row r="1454">
      <c r="A1454" s="32"/>
      <c r="J1454" s="38">
        <f>COUNTIF(Data!$F$2:$F9917, $I1454)</f>
        <v>0</v>
      </c>
      <c r="T1454" s="31" t="s">
        <v>5013</v>
      </c>
      <c r="U1454" s="31" t="s">
        <v>5014</v>
      </c>
      <c r="V1454" s="32">
        <v>44682.0</v>
      </c>
    </row>
    <row r="1455">
      <c r="A1455" s="32"/>
      <c r="J1455" s="38">
        <f>COUNTIF(Data!$F$2:$F9917, $I1455)</f>
        <v>0</v>
      </c>
      <c r="T1455" s="31" t="s">
        <v>5018</v>
      </c>
      <c r="U1455" s="31" t="s">
        <v>5019</v>
      </c>
      <c r="V1455" s="32">
        <v>44682.0</v>
      </c>
    </row>
    <row r="1456">
      <c r="A1456" s="32"/>
      <c r="J1456" s="38">
        <f>COUNTIF(Data!$F$2:$F9917, $I1456)</f>
        <v>0</v>
      </c>
      <c r="T1456" s="31" t="s">
        <v>5023</v>
      </c>
      <c r="U1456" s="31" t="s">
        <v>5024</v>
      </c>
      <c r="V1456" s="32">
        <v>44682.0</v>
      </c>
    </row>
    <row r="1457">
      <c r="A1457" s="32"/>
      <c r="J1457" s="38">
        <f>COUNTIF(Data!$F$2:$F9917, $I1457)</f>
        <v>0</v>
      </c>
      <c r="T1457" s="31" t="s">
        <v>5027</v>
      </c>
      <c r="U1457" s="31" t="s">
        <v>5028</v>
      </c>
      <c r="V1457" s="32">
        <v>44681.0</v>
      </c>
    </row>
    <row r="1458">
      <c r="A1458" s="32"/>
      <c r="J1458" s="38">
        <f>COUNTIF(Data!$F$2:$F9917, $I1458)</f>
        <v>0</v>
      </c>
      <c r="T1458" s="31" t="s">
        <v>5030</v>
      </c>
      <c r="U1458" s="31" t="s">
        <v>5031</v>
      </c>
      <c r="V1458" s="32">
        <v>44679.0</v>
      </c>
    </row>
    <row r="1459">
      <c r="A1459" s="32"/>
      <c r="J1459" s="38">
        <f>COUNTIF(Data!$F$2:$F9917, $I1459)</f>
        <v>0</v>
      </c>
      <c r="T1459" s="31" t="s">
        <v>5035</v>
      </c>
      <c r="U1459" s="31" t="s">
        <v>5036</v>
      </c>
      <c r="V1459" s="32">
        <v>44679.0</v>
      </c>
    </row>
    <row r="1460">
      <c r="A1460" s="32"/>
      <c r="J1460" s="38">
        <f>COUNTIF(Data!$F$2:$F9917, $I1460)</f>
        <v>0</v>
      </c>
      <c r="T1460" s="31" t="s">
        <v>5039</v>
      </c>
      <c r="U1460" s="31" t="s">
        <v>3801</v>
      </c>
      <c r="V1460" s="32">
        <v>44679.0</v>
      </c>
    </row>
    <row r="1461">
      <c r="A1461" s="32"/>
      <c r="J1461" s="38">
        <f>COUNTIF(Data!$F$2:$F9917, $I1461)</f>
        <v>0</v>
      </c>
      <c r="T1461" s="31" t="s">
        <v>5042</v>
      </c>
      <c r="U1461" s="31" t="s">
        <v>5043</v>
      </c>
      <c r="V1461" s="32">
        <v>44679.0</v>
      </c>
    </row>
    <row r="1462">
      <c r="A1462" s="32"/>
      <c r="J1462" s="38">
        <f>COUNTIF(Data!$F$2:$F9917, $I1462)</f>
        <v>0</v>
      </c>
      <c r="T1462" s="31" t="s">
        <v>5046</v>
      </c>
      <c r="U1462" s="31" t="s">
        <v>5047</v>
      </c>
      <c r="V1462" s="32">
        <v>44679.0</v>
      </c>
    </row>
    <row r="1463">
      <c r="A1463" s="32"/>
      <c r="J1463" s="38">
        <f>COUNTIF(Data!$F$2:$F9917, $I1463)</f>
        <v>0</v>
      </c>
      <c r="T1463" s="31" t="s">
        <v>5049</v>
      </c>
      <c r="U1463" s="31" t="s">
        <v>5050</v>
      </c>
      <c r="V1463" s="32">
        <v>44678.0</v>
      </c>
    </row>
    <row r="1464">
      <c r="A1464" s="32"/>
      <c r="J1464" s="38">
        <f>COUNTIF(Data!$F$2:$F9917, $I1464)</f>
        <v>0</v>
      </c>
      <c r="T1464" s="31" t="s">
        <v>5053</v>
      </c>
      <c r="U1464" s="31" t="s">
        <v>5054</v>
      </c>
      <c r="V1464" s="32">
        <v>44678.0</v>
      </c>
    </row>
    <row r="1465">
      <c r="A1465" s="32"/>
      <c r="J1465" s="38">
        <f>COUNTIF(Data!$F$2:$F9917, $I1465)</f>
        <v>0</v>
      </c>
      <c r="T1465" s="31" t="s">
        <v>5058</v>
      </c>
      <c r="U1465" s="31" t="s">
        <v>5059</v>
      </c>
      <c r="V1465" s="32">
        <v>44673.0</v>
      </c>
    </row>
    <row r="1466">
      <c r="A1466" s="32"/>
      <c r="J1466" s="38">
        <f>COUNTIF(Data!$F$2:$F9917, $I1466)</f>
        <v>0</v>
      </c>
      <c r="T1466" s="31" t="s">
        <v>5062</v>
      </c>
      <c r="U1466" s="31" t="s">
        <v>5063</v>
      </c>
      <c r="V1466" s="32">
        <v>44673.0</v>
      </c>
    </row>
    <row r="1467">
      <c r="A1467" s="32"/>
      <c r="J1467" s="38">
        <f>COUNTIF(Data!$F$2:$F9917, $I1467)</f>
        <v>0</v>
      </c>
      <c r="T1467" s="31" t="s">
        <v>5066</v>
      </c>
      <c r="U1467" s="31" t="s">
        <v>5067</v>
      </c>
      <c r="V1467" s="32">
        <v>44672.0</v>
      </c>
    </row>
    <row r="1468">
      <c r="A1468" s="32"/>
      <c r="J1468" s="38">
        <f>COUNTIF(Data!$F$2:$F9917, $I1468)</f>
        <v>0</v>
      </c>
      <c r="T1468" s="31" t="s">
        <v>5070</v>
      </c>
      <c r="U1468" s="31" t="s">
        <v>5071</v>
      </c>
      <c r="V1468" s="32">
        <v>44672.0</v>
      </c>
    </row>
    <row r="1469">
      <c r="A1469" s="32"/>
      <c r="J1469" s="38">
        <f>COUNTIF(Data!$F$2:$F9917, $I1469)</f>
        <v>0</v>
      </c>
      <c r="T1469" s="31" t="s">
        <v>5074</v>
      </c>
      <c r="U1469" s="31" t="s">
        <v>5075</v>
      </c>
      <c r="V1469" s="32">
        <v>44672.0</v>
      </c>
    </row>
    <row r="1470">
      <c r="A1470" s="32"/>
      <c r="J1470" s="38">
        <f>COUNTIF(Data!$F$2:$F9917, $I1470)</f>
        <v>0</v>
      </c>
      <c r="T1470" s="31" t="s">
        <v>5079</v>
      </c>
      <c r="U1470" s="31" t="s">
        <v>5080</v>
      </c>
      <c r="V1470" s="32">
        <v>44671.0</v>
      </c>
    </row>
    <row r="1471">
      <c r="A1471" s="32"/>
      <c r="J1471" s="38">
        <f>COUNTIF(Data!$F$2:$F9917, $I1471)</f>
        <v>0</v>
      </c>
      <c r="T1471" s="31" t="s">
        <v>5084</v>
      </c>
      <c r="U1471" s="31" t="s">
        <v>5085</v>
      </c>
      <c r="V1471" s="32">
        <v>44670.0</v>
      </c>
    </row>
    <row r="1472">
      <c r="A1472" s="32"/>
      <c r="J1472" s="38">
        <f>COUNTIF(Data!$F$2:$F9917, $I1472)</f>
        <v>0</v>
      </c>
      <c r="T1472" s="31" t="s">
        <v>5088</v>
      </c>
      <c r="U1472" s="31" t="s">
        <v>5089</v>
      </c>
      <c r="V1472" s="32">
        <v>44670.0</v>
      </c>
    </row>
    <row r="1473">
      <c r="A1473" s="32"/>
      <c r="J1473" s="38">
        <f>COUNTIF(Data!$F$2:$F9917, $I1473)</f>
        <v>0</v>
      </c>
      <c r="T1473" s="31" t="s">
        <v>5093</v>
      </c>
      <c r="U1473" s="31" t="s">
        <v>5094</v>
      </c>
      <c r="V1473" s="32">
        <v>44669.0</v>
      </c>
    </row>
    <row r="1474">
      <c r="A1474" s="32"/>
      <c r="J1474" s="38">
        <f>COUNTIF(Data!$F$2:$F9917, $I1474)</f>
        <v>0</v>
      </c>
      <c r="T1474" s="31" t="s">
        <v>5097</v>
      </c>
      <c r="U1474" s="31" t="s">
        <v>5098</v>
      </c>
      <c r="V1474" s="32">
        <v>44669.0</v>
      </c>
    </row>
    <row r="1475">
      <c r="A1475" s="32"/>
      <c r="J1475" s="38">
        <f>COUNTIF(Data!$F$2:$F9917, $I1475)</f>
        <v>0</v>
      </c>
      <c r="T1475" s="31" t="s">
        <v>5101</v>
      </c>
      <c r="U1475" s="31" t="s">
        <v>5102</v>
      </c>
      <c r="V1475" s="32">
        <v>44669.0</v>
      </c>
    </row>
    <row r="1476">
      <c r="A1476" s="32"/>
      <c r="J1476" s="38">
        <f>COUNTIF(Data!$F$2:$F9917, $I1476)</f>
        <v>0</v>
      </c>
      <c r="T1476" s="31" t="s">
        <v>5105</v>
      </c>
      <c r="U1476" s="31" t="s">
        <v>5106</v>
      </c>
      <c r="V1476" s="32">
        <v>44669.0</v>
      </c>
    </row>
    <row r="1477">
      <c r="A1477" s="32"/>
      <c r="J1477" s="38">
        <f>COUNTIF(Data!$F$2:$F9917, $I1477)</f>
        <v>0</v>
      </c>
      <c r="T1477" s="31" t="s">
        <v>5109</v>
      </c>
      <c r="U1477" s="31" t="s">
        <v>5110</v>
      </c>
      <c r="V1477" s="32">
        <v>44666.0</v>
      </c>
    </row>
    <row r="1478">
      <c r="A1478" s="32"/>
      <c r="J1478" s="38">
        <f>COUNTIF(Data!$F$2:$F9917, $I1478)</f>
        <v>0</v>
      </c>
      <c r="T1478" s="31" t="s">
        <v>5113</v>
      </c>
      <c r="U1478" s="31" t="s">
        <v>5114</v>
      </c>
      <c r="V1478" s="32">
        <v>44666.0</v>
      </c>
    </row>
    <row r="1479">
      <c r="A1479" s="32"/>
      <c r="J1479" s="38">
        <f>COUNTIF(Data!$F$2:$F9917, $I1479)</f>
        <v>0</v>
      </c>
      <c r="T1479" s="31" t="s">
        <v>5117</v>
      </c>
      <c r="U1479" s="31" t="s">
        <v>5118</v>
      </c>
      <c r="V1479" s="32">
        <v>44666.0</v>
      </c>
    </row>
    <row r="1480">
      <c r="A1480" s="32"/>
      <c r="J1480" s="38">
        <f>COUNTIF(Data!$F$2:$F9917, $I1480)</f>
        <v>0</v>
      </c>
      <c r="T1480" s="31" t="s">
        <v>5121</v>
      </c>
      <c r="U1480" s="31" t="s">
        <v>5122</v>
      </c>
      <c r="V1480" s="32">
        <v>44664.0</v>
      </c>
    </row>
    <row r="1481">
      <c r="A1481" s="32"/>
      <c r="J1481" s="38">
        <f>COUNTIF(Data!$F$2:$F9917, $I1481)</f>
        <v>0</v>
      </c>
      <c r="T1481" s="31" t="s">
        <v>5126</v>
      </c>
      <c r="U1481" s="31" t="s">
        <v>5127</v>
      </c>
      <c r="V1481" s="32">
        <v>44664.0</v>
      </c>
    </row>
    <row r="1482">
      <c r="A1482" s="32"/>
      <c r="J1482" s="38">
        <f>COUNTIF(Data!$F$2:$F9917, $I1482)</f>
        <v>0</v>
      </c>
      <c r="T1482" s="31" t="s">
        <v>5130</v>
      </c>
      <c r="U1482" s="31" t="s">
        <v>5131</v>
      </c>
      <c r="V1482" s="32">
        <v>44664.0</v>
      </c>
    </row>
    <row r="1483">
      <c r="A1483" s="32"/>
      <c r="J1483" s="38">
        <f>COUNTIF(Data!$F$2:$F9917, $I1483)</f>
        <v>0</v>
      </c>
      <c r="T1483" s="31" t="s">
        <v>5134</v>
      </c>
      <c r="U1483" s="31" t="s">
        <v>5135</v>
      </c>
      <c r="V1483" s="32">
        <v>44664.0</v>
      </c>
    </row>
    <row r="1484">
      <c r="A1484" s="32"/>
      <c r="J1484" s="38">
        <f>COUNTIF(Data!$F$2:$F9917, $I1484)</f>
        <v>0</v>
      </c>
      <c r="T1484" s="31" t="s">
        <v>5138</v>
      </c>
      <c r="U1484" s="31" t="s">
        <v>5139</v>
      </c>
      <c r="V1484" s="32">
        <v>44663.0</v>
      </c>
    </row>
    <row r="1485">
      <c r="A1485" s="32"/>
      <c r="J1485" s="38">
        <f>COUNTIF(Data!$F$2:$F9917, $I1485)</f>
        <v>0</v>
      </c>
      <c r="T1485" s="31" t="s">
        <v>5142</v>
      </c>
      <c r="U1485" s="31" t="s">
        <v>5143</v>
      </c>
      <c r="V1485" s="32">
        <v>44663.0</v>
      </c>
    </row>
    <row r="1486">
      <c r="A1486" s="32"/>
      <c r="J1486" s="38">
        <f>COUNTIF(Data!$F$2:$F9917, $I1486)</f>
        <v>0</v>
      </c>
      <c r="T1486" s="31" t="s">
        <v>5146</v>
      </c>
      <c r="U1486" s="31" t="s">
        <v>5147</v>
      </c>
      <c r="V1486" s="32">
        <v>44662.0</v>
      </c>
    </row>
    <row r="1487">
      <c r="A1487" s="32"/>
      <c r="J1487" s="38">
        <f>COUNTIF(Data!$F$2:$F9917, $I1487)</f>
        <v>0</v>
      </c>
      <c r="T1487" s="31" t="s">
        <v>5150</v>
      </c>
      <c r="U1487" s="31" t="s">
        <v>5151</v>
      </c>
      <c r="V1487" s="32">
        <v>44662.0</v>
      </c>
    </row>
    <row r="1488">
      <c r="A1488" s="32"/>
      <c r="J1488" s="38">
        <f>COUNTIF(Data!$F$2:$F9917, $I1488)</f>
        <v>0</v>
      </c>
      <c r="T1488" s="31" t="s">
        <v>5154</v>
      </c>
      <c r="U1488" s="31" t="s">
        <v>5155</v>
      </c>
      <c r="V1488" s="32">
        <v>44659.0</v>
      </c>
    </row>
    <row r="1489">
      <c r="A1489" s="32"/>
      <c r="J1489" s="38">
        <f>COUNTIF(Data!$F$2:$F9917, $I1489)</f>
        <v>0</v>
      </c>
      <c r="T1489" s="31" t="s">
        <v>5158</v>
      </c>
      <c r="U1489" s="31" t="s">
        <v>3024</v>
      </c>
      <c r="V1489" s="32">
        <v>44659.0</v>
      </c>
    </row>
    <row r="1490">
      <c r="A1490" s="32"/>
      <c r="J1490" s="38">
        <f>COUNTIF(Data!$F$2:$F9917, $I1490)</f>
        <v>0</v>
      </c>
      <c r="T1490" s="31" t="s">
        <v>5161</v>
      </c>
      <c r="U1490" s="31" t="s">
        <v>5162</v>
      </c>
      <c r="V1490" s="32">
        <v>44659.0</v>
      </c>
    </row>
    <row r="1491">
      <c r="A1491" s="32"/>
      <c r="J1491" s="38">
        <f>COUNTIF(Data!$F$2:$F9917, $I1491)</f>
        <v>0</v>
      </c>
      <c r="T1491" s="31" t="s">
        <v>5165</v>
      </c>
      <c r="U1491" s="31" t="s">
        <v>5166</v>
      </c>
      <c r="V1491" s="32">
        <v>44658.0</v>
      </c>
    </row>
    <row r="1492">
      <c r="A1492" s="32"/>
      <c r="J1492" s="38">
        <f>COUNTIF(Data!$F$2:$F9917, $I1492)</f>
        <v>0</v>
      </c>
      <c r="T1492" s="31" t="s">
        <v>5170</v>
      </c>
      <c r="U1492" s="31" t="s">
        <v>5171</v>
      </c>
      <c r="V1492" s="32">
        <v>44657.0</v>
      </c>
    </row>
    <row r="1493">
      <c r="A1493" s="32"/>
      <c r="J1493" s="38">
        <f>COUNTIF(Data!$F$2:$F9917, $I1493)</f>
        <v>0</v>
      </c>
      <c r="T1493" s="31" t="s">
        <v>5174</v>
      </c>
      <c r="U1493" s="31" t="s">
        <v>5175</v>
      </c>
      <c r="V1493" s="32">
        <v>44657.0</v>
      </c>
    </row>
    <row r="1494">
      <c r="A1494" s="32"/>
      <c r="J1494" s="38">
        <f>COUNTIF(Data!$F$2:$F9917, $I1494)</f>
        <v>0</v>
      </c>
      <c r="T1494" s="31" t="s">
        <v>5178</v>
      </c>
      <c r="U1494" s="31" t="s">
        <v>5179</v>
      </c>
      <c r="V1494" s="32">
        <v>44657.0</v>
      </c>
    </row>
    <row r="1495">
      <c r="A1495" s="32"/>
      <c r="J1495" s="38">
        <f>COUNTIF(Data!$F$2:$F9917, $I1495)</f>
        <v>0</v>
      </c>
      <c r="T1495" s="31" t="s">
        <v>5182</v>
      </c>
      <c r="U1495" s="31" t="s">
        <v>5183</v>
      </c>
      <c r="V1495" s="32">
        <v>44656.0</v>
      </c>
    </row>
    <row r="1496">
      <c r="A1496" s="32"/>
      <c r="J1496" s="38">
        <f>COUNTIF(Data!$F$2:$F9917, $I1496)</f>
        <v>0</v>
      </c>
      <c r="T1496" s="31" t="s">
        <v>5186</v>
      </c>
      <c r="U1496" s="31" t="s">
        <v>5187</v>
      </c>
      <c r="V1496" s="32">
        <v>44656.0</v>
      </c>
    </row>
    <row r="1497">
      <c r="A1497" s="32"/>
      <c r="J1497" s="38">
        <f>COUNTIF(Data!$F$2:$F9917, $I1497)</f>
        <v>0</v>
      </c>
      <c r="T1497" s="31" t="s">
        <v>5190</v>
      </c>
      <c r="U1497" s="31" t="s">
        <v>4123</v>
      </c>
      <c r="V1497" s="32">
        <v>44656.0</v>
      </c>
    </row>
    <row r="1498">
      <c r="A1498" s="32"/>
      <c r="J1498" s="38">
        <f>COUNTIF(Data!$F$2:$F9917, $I1498)</f>
        <v>0</v>
      </c>
      <c r="T1498" s="31" t="s">
        <v>5193</v>
      </c>
      <c r="U1498" s="31" t="s">
        <v>4115</v>
      </c>
      <c r="V1498" s="32">
        <v>44656.0</v>
      </c>
    </row>
    <row r="1499">
      <c r="A1499" s="32"/>
      <c r="J1499" s="38">
        <f>COUNTIF(Data!$F$2:$F9917, $I1499)</f>
        <v>0</v>
      </c>
      <c r="T1499" s="31" t="s">
        <v>5196</v>
      </c>
      <c r="U1499" s="31" t="s">
        <v>5197</v>
      </c>
      <c r="V1499" s="32">
        <v>44655.0</v>
      </c>
    </row>
    <row r="1500">
      <c r="A1500" s="32"/>
      <c r="J1500" s="38">
        <f>COUNTIF(Data!$F$2:$F9917, $I1500)</f>
        <v>0</v>
      </c>
      <c r="T1500" s="31" t="s">
        <v>5200</v>
      </c>
      <c r="U1500" s="31" t="s">
        <v>5201</v>
      </c>
      <c r="V1500" s="32">
        <v>44655.0</v>
      </c>
    </row>
    <row r="1501">
      <c r="A1501" s="32"/>
      <c r="J1501" s="38">
        <f>COUNTIF(Data!$F$2:$F9917, $I1501)</f>
        <v>0</v>
      </c>
      <c r="T1501" s="31" t="s">
        <v>5205</v>
      </c>
      <c r="U1501" s="31" t="s">
        <v>5206</v>
      </c>
      <c r="V1501" s="32">
        <v>44652.0</v>
      </c>
    </row>
    <row r="1502">
      <c r="A1502" s="32"/>
      <c r="J1502" s="38">
        <f>COUNTIF(Data!$F$2:$F9917, $I1502)</f>
        <v>0</v>
      </c>
      <c r="T1502" s="31" t="s">
        <v>5209</v>
      </c>
      <c r="U1502" s="31" t="s">
        <v>5210</v>
      </c>
      <c r="V1502" s="32">
        <v>44652.0</v>
      </c>
    </row>
    <row r="1503">
      <c r="A1503" s="32"/>
      <c r="J1503" s="38">
        <f>COUNTIF(Data!$F$2:$F9917, $I1503)</f>
        <v>0</v>
      </c>
      <c r="T1503" s="31" t="s">
        <v>5213</v>
      </c>
      <c r="U1503" s="31" t="s">
        <v>5214</v>
      </c>
      <c r="V1503" s="32">
        <v>44652.0</v>
      </c>
    </row>
    <row r="1504">
      <c r="A1504" s="32"/>
      <c r="J1504" s="38">
        <f>COUNTIF(Data!$F$2:$F9917, $I1504)</f>
        <v>0</v>
      </c>
      <c r="T1504" s="31" t="s">
        <v>5217</v>
      </c>
      <c r="U1504" s="31" t="s">
        <v>5218</v>
      </c>
      <c r="V1504" s="32">
        <v>44652.0</v>
      </c>
    </row>
    <row r="1505">
      <c r="A1505" s="32"/>
      <c r="J1505" s="38">
        <f>COUNTIF(Data!$F$2:$F9917, $I1505)</f>
        <v>0</v>
      </c>
      <c r="T1505" s="31" t="s">
        <v>5221</v>
      </c>
      <c r="U1505" s="31" t="s">
        <v>5222</v>
      </c>
      <c r="V1505" s="32">
        <v>44652.0</v>
      </c>
    </row>
    <row r="1506">
      <c r="A1506" s="32"/>
      <c r="J1506" s="38">
        <f>COUNTIF(Data!$F$2:$F9917, $I1506)</f>
        <v>0</v>
      </c>
      <c r="T1506" s="31" t="s">
        <v>5224</v>
      </c>
      <c r="U1506" s="31" t="s">
        <v>5225</v>
      </c>
      <c r="V1506" s="32">
        <v>44652.0</v>
      </c>
    </row>
    <row r="1507">
      <c r="A1507" s="32"/>
      <c r="J1507" s="38">
        <f>COUNTIF(Data!$F$2:$F9917, $I1507)</f>
        <v>0</v>
      </c>
      <c r="T1507" s="31" t="s">
        <v>5229</v>
      </c>
      <c r="U1507" s="31" t="s">
        <v>5230</v>
      </c>
      <c r="V1507" s="32">
        <v>44652.0</v>
      </c>
    </row>
    <row r="1508">
      <c r="A1508" s="32"/>
      <c r="J1508" s="38">
        <f>COUNTIF(Data!$F$2:$F9917, $I1508)</f>
        <v>0</v>
      </c>
      <c r="T1508" s="31" t="s">
        <v>5233</v>
      </c>
      <c r="U1508" s="31" t="s">
        <v>5234</v>
      </c>
      <c r="V1508" s="32">
        <v>44652.0</v>
      </c>
    </row>
    <row r="1509">
      <c r="A1509" s="32"/>
      <c r="J1509" s="38">
        <f>COUNTIF(Data!$F$2:$F9917, $I1509)</f>
        <v>0</v>
      </c>
      <c r="T1509" s="31" t="s">
        <v>5237</v>
      </c>
      <c r="U1509" s="31" t="s">
        <v>5238</v>
      </c>
      <c r="V1509" s="32">
        <v>44651.0</v>
      </c>
    </row>
    <row r="1510">
      <c r="A1510" s="32"/>
      <c r="J1510" s="38">
        <f>COUNTIF(Data!$F$2:$F9917, $I1510)</f>
        <v>0</v>
      </c>
      <c r="T1510" s="31" t="s">
        <v>5241</v>
      </c>
      <c r="U1510" s="31" t="s">
        <v>5242</v>
      </c>
      <c r="V1510" s="32">
        <v>44650.0</v>
      </c>
    </row>
    <row r="1511">
      <c r="A1511" s="32"/>
      <c r="J1511" s="38">
        <f>COUNTIF(Data!$F$2:$F9917, $I1511)</f>
        <v>0</v>
      </c>
      <c r="T1511" s="31" t="s">
        <v>5245</v>
      </c>
      <c r="U1511" s="31" t="s">
        <v>5246</v>
      </c>
      <c r="V1511" s="32">
        <v>44650.0</v>
      </c>
    </row>
    <row r="1512">
      <c r="A1512" s="32"/>
      <c r="J1512" s="38">
        <f>COUNTIF(Data!$F$2:$F9917, $I1512)</f>
        <v>0</v>
      </c>
      <c r="T1512" s="31" t="s">
        <v>5249</v>
      </c>
      <c r="U1512" s="31" t="s">
        <v>5250</v>
      </c>
      <c r="V1512" s="32">
        <v>44649.0</v>
      </c>
    </row>
    <row r="1513">
      <c r="A1513" s="32"/>
      <c r="J1513" s="38">
        <f>COUNTIF(Data!$F$2:$F9917, $I1513)</f>
        <v>0</v>
      </c>
      <c r="T1513" s="31" t="s">
        <v>5254</v>
      </c>
      <c r="U1513" s="31" t="s">
        <v>5255</v>
      </c>
      <c r="V1513" s="32">
        <v>44649.0</v>
      </c>
    </row>
    <row r="1514">
      <c r="A1514" s="32"/>
      <c r="J1514" s="38">
        <f>COUNTIF(Data!$F$2:$F9917, $I1514)</f>
        <v>0</v>
      </c>
      <c r="T1514" s="31" t="s">
        <v>5258</v>
      </c>
      <c r="U1514" s="31" t="s">
        <v>5259</v>
      </c>
      <c r="V1514" s="32">
        <v>44648.0</v>
      </c>
    </row>
    <row r="1515">
      <c r="A1515" s="32"/>
      <c r="J1515" s="38">
        <f>COUNTIF(Data!$F$2:$F9917, $I1515)</f>
        <v>0</v>
      </c>
      <c r="T1515" s="31" t="s">
        <v>5263</v>
      </c>
      <c r="U1515" s="31" t="s">
        <v>5264</v>
      </c>
      <c r="V1515" s="32">
        <v>44647.0</v>
      </c>
    </row>
    <row r="1516">
      <c r="A1516" s="32"/>
      <c r="J1516" s="38">
        <f>COUNTIF(Data!$F$2:$F9917, $I1516)</f>
        <v>0</v>
      </c>
      <c r="T1516" s="31" t="s">
        <v>5268</v>
      </c>
      <c r="U1516" s="31" t="s">
        <v>5269</v>
      </c>
      <c r="V1516" s="32">
        <v>44644.0</v>
      </c>
    </row>
    <row r="1517">
      <c r="A1517" s="32"/>
      <c r="J1517" s="38">
        <f>COUNTIF(Data!$F$2:$F9917, $I1517)</f>
        <v>0</v>
      </c>
      <c r="T1517" s="31" t="s">
        <v>5272</v>
      </c>
      <c r="U1517" s="31" t="s">
        <v>5273</v>
      </c>
      <c r="V1517" s="32">
        <v>44644.0</v>
      </c>
    </row>
    <row r="1518">
      <c r="A1518" s="32"/>
      <c r="J1518" s="38">
        <f>COUNTIF(Data!$F$2:$F9917, $I1518)</f>
        <v>0</v>
      </c>
      <c r="T1518" s="31" t="s">
        <v>5276</v>
      </c>
      <c r="U1518" s="31" t="s">
        <v>5277</v>
      </c>
      <c r="V1518" s="32">
        <v>44641.0</v>
      </c>
    </row>
    <row r="1519">
      <c r="A1519" s="32"/>
      <c r="J1519" s="38">
        <f>COUNTIF(Data!$F$2:$F9917, $I1519)</f>
        <v>0</v>
      </c>
      <c r="T1519" s="31" t="s">
        <v>5280</v>
      </c>
      <c r="U1519" s="31" t="s">
        <v>5281</v>
      </c>
      <c r="V1519" s="32">
        <v>44641.0</v>
      </c>
    </row>
    <row r="1520">
      <c r="A1520" s="32"/>
      <c r="J1520" s="38">
        <f>COUNTIF(Data!$F$2:$F9917, $I1520)</f>
        <v>0</v>
      </c>
      <c r="T1520" s="31" t="s">
        <v>5284</v>
      </c>
      <c r="U1520" s="31" t="s">
        <v>5285</v>
      </c>
      <c r="V1520" s="32">
        <v>44638.0</v>
      </c>
    </row>
    <row r="1521">
      <c r="A1521" s="32"/>
      <c r="J1521" s="38">
        <f>COUNTIF(Data!$F$2:$F9917, $I1521)</f>
        <v>0</v>
      </c>
      <c r="T1521" s="31" t="s">
        <v>5287</v>
      </c>
      <c r="U1521" s="31" t="s">
        <v>5288</v>
      </c>
      <c r="V1521" s="32">
        <v>44638.0</v>
      </c>
    </row>
    <row r="1522">
      <c r="A1522" s="32"/>
      <c r="J1522" s="38">
        <f>COUNTIF(Data!$F$2:$F9917, $I1522)</f>
        <v>0</v>
      </c>
      <c r="T1522" s="31" t="s">
        <v>5291</v>
      </c>
      <c r="U1522" s="31" t="s">
        <v>5292</v>
      </c>
      <c r="V1522" s="32">
        <v>44637.0</v>
      </c>
    </row>
    <row r="1523">
      <c r="A1523" s="32"/>
      <c r="J1523" s="38">
        <f>COUNTIF(Data!$F$2:$F9917, $I1523)</f>
        <v>0</v>
      </c>
      <c r="T1523" s="31" t="s">
        <v>5295</v>
      </c>
      <c r="U1523" s="31" t="s">
        <v>5296</v>
      </c>
      <c r="V1523" s="32">
        <v>44637.0</v>
      </c>
    </row>
    <row r="1524">
      <c r="A1524" s="32"/>
      <c r="J1524" s="38">
        <f>COUNTIF(Data!$F$2:$F9917, $I1524)</f>
        <v>0</v>
      </c>
      <c r="T1524" s="31" t="s">
        <v>5299</v>
      </c>
      <c r="U1524" s="31" t="s">
        <v>5300</v>
      </c>
      <c r="V1524" s="32">
        <v>44637.0</v>
      </c>
    </row>
    <row r="1525">
      <c r="A1525" s="32"/>
      <c r="J1525" s="38">
        <f>COUNTIF(Data!$F$2:$F9917, $I1525)</f>
        <v>0</v>
      </c>
      <c r="T1525" s="31" t="s">
        <v>5302</v>
      </c>
      <c r="U1525" s="31" t="s">
        <v>5303</v>
      </c>
      <c r="V1525" s="32">
        <v>44637.0</v>
      </c>
    </row>
    <row r="1526">
      <c r="A1526" s="32"/>
      <c r="J1526" s="38">
        <f>COUNTIF(Data!$F$2:$F9917, $I1526)</f>
        <v>0</v>
      </c>
      <c r="T1526" s="31" t="s">
        <v>5306</v>
      </c>
      <c r="U1526" s="31" t="s">
        <v>5307</v>
      </c>
      <c r="V1526" s="32">
        <v>44637.0</v>
      </c>
    </row>
    <row r="1527">
      <c r="A1527" s="32"/>
      <c r="J1527" s="38">
        <f>COUNTIF(Data!$F$2:$F9917, $I1527)</f>
        <v>0</v>
      </c>
      <c r="T1527" s="31" t="s">
        <v>5310</v>
      </c>
      <c r="U1527" s="31" t="s">
        <v>5311</v>
      </c>
      <c r="V1527" s="32">
        <v>44636.0</v>
      </c>
    </row>
    <row r="1528">
      <c r="A1528" s="32"/>
      <c r="J1528" s="38">
        <f>COUNTIF(Data!$F$2:$F9917, $I1528)</f>
        <v>0</v>
      </c>
      <c r="T1528" s="31" t="s">
        <v>5314</v>
      </c>
      <c r="U1528" s="31" t="s">
        <v>5315</v>
      </c>
      <c r="V1528" s="32">
        <v>44634.0</v>
      </c>
    </row>
    <row r="1529">
      <c r="A1529" s="32"/>
      <c r="J1529" s="38">
        <f>COUNTIF(Data!$F$2:$F9917, $I1529)</f>
        <v>0</v>
      </c>
      <c r="T1529" s="31" t="s">
        <v>5318</v>
      </c>
      <c r="U1529" s="31" t="s">
        <v>5319</v>
      </c>
      <c r="V1529" s="32">
        <v>44634.0</v>
      </c>
    </row>
    <row r="1530">
      <c r="A1530" s="32"/>
      <c r="J1530" s="38">
        <f>COUNTIF(Data!$F$2:$F9917, $I1530)</f>
        <v>0</v>
      </c>
      <c r="T1530" s="31" t="s">
        <v>5322</v>
      </c>
      <c r="U1530" s="31" t="s">
        <v>5323</v>
      </c>
      <c r="V1530" s="32">
        <v>44634.0</v>
      </c>
    </row>
    <row r="1531">
      <c r="A1531" s="32"/>
      <c r="J1531" s="38">
        <f>COUNTIF(Data!$F$2:$F9917, $I1531)</f>
        <v>0</v>
      </c>
      <c r="T1531" s="31" t="s">
        <v>5326</v>
      </c>
      <c r="U1531" s="31" t="s">
        <v>5327</v>
      </c>
      <c r="V1531" s="32">
        <v>44634.0</v>
      </c>
    </row>
    <row r="1532">
      <c r="A1532" s="32"/>
      <c r="J1532" s="38">
        <f>COUNTIF(Data!$F$2:$F9917, $I1532)</f>
        <v>0</v>
      </c>
      <c r="T1532" s="31" t="s">
        <v>5330</v>
      </c>
      <c r="U1532" s="31" t="s">
        <v>5331</v>
      </c>
      <c r="V1532" s="32">
        <v>44634.0</v>
      </c>
    </row>
    <row r="1533">
      <c r="A1533" s="32"/>
      <c r="J1533" s="38">
        <f>COUNTIF(Data!$F$2:$F9917, $I1533)</f>
        <v>0</v>
      </c>
      <c r="T1533" s="31" t="s">
        <v>5334</v>
      </c>
      <c r="U1533" s="31" t="s">
        <v>5335</v>
      </c>
      <c r="V1533" s="32">
        <v>44632.0</v>
      </c>
    </row>
    <row r="1534">
      <c r="A1534" s="32"/>
      <c r="J1534" s="38">
        <f>COUNTIF(Data!$F$2:$F9917, $I1534)</f>
        <v>0</v>
      </c>
      <c r="T1534" s="31" t="s">
        <v>5339</v>
      </c>
      <c r="U1534" s="31" t="s">
        <v>5340</v>
      </c>
      <c r="V1534" s="32">
        <v>44631.0</v>
      </c>
    </row>
    <row r="1535">
      <c r="A1535" s="32"/>
      <c r="J1535" s="38">
        <f>COUNTIF(Data!$F$2:$F9917, $I1535)</f>
        <v>0</v>
      </c>
      <c r="T1535" s="31" t="s">
        <v>5343</v>
      </c>
      <c r="U1535" s="31" t="s">
        <v>5344</v>
      </c>
      <c r="V1535" s="32">
        <v>44631.0</v>
      </c>
    </row>
    <row r="1536">
      <c r="A1536" s="32"/>
      <c r="J1536" s="38">
        <f>COUNTIF(Data!$F$2:$F9917, $I1536)</f>
        <v>0</v>
      </c>
      <c r="T1536" s="31" t="s">
        <v>5347</v>
      </c>
      <c r="U1536" s="31" t="s">
        <v>5348</v>
      </c>
      <c r="V1536" s="32">
        <v>44630.0</v>
      </c>
    </row>
    <row r="1537">
      <c r="A1537" s="32"/>
      <c r="J1537" s="38">
        <f>COUNTIF(Data!$F$2:$F9917, $I1537)</f>
        <v>0</v>
      </c>
      <c r="T1537" s="31" t="s">
        <v>5351</v>
      </c>
      <c r="U1537" s="31" t="s">
        <v>5352</v>
      </c>
      <c r="V1537" s="32">
        <v>44630.0</v>
      </c>
    </row>
    <row r="1538">
      <c r="A1538" s="32"/>
      <c r="J1538" s="38">
        <f>COUNTIF(Data!$F$2:$F9917, $I1538)</f>
        <v>0</v>
      </c>
      <c r="T1538" s="31" t="s">
        <v>5355</v>
      </c>
      <c r="U1538" s="31" t="s">
        <v>5356</v>
      </c>
      <c r="V1538" s="32">
        <v>44628.0</v>
      </c>
    </row>
    <row r="1539">
      <c r="A1539" s="32"/>
      <c r="J1539" s="38">
        <f>COUNTIF(Data!$F$2:$F9917, $I1539)</f>
        <v>0</v>
      </c>
      <c r="T1539" s="31" t="s">
        <v>5359</v>
      </c>
      <c r="U1539" s="31" t="s">
        <v>5360</v>
      </c>
      <c r="V1539" s="32">
        <v>44628.0</v>
      </c>
    </row>
    <row r="1540">
      <c r="A1540" s="32"/>
      <c r="J1540" s="38">
        <f>COUNTIF(Data!$F$2:$F9917, $I1540)</f>
        <v>0</v>
      </c>
      <c r="T1540" s="31" t="s">
        <v>5362</v>
      </c>
      <c r="U1540" s="31" t="s">
        <v>5363</v>
      </c>
      <c r="V1540" s="32">
        <v>44628.0</v>
      </c>
    </row>
    <row r="1541">
      <c r="A1541" s="32"/>
      <c r="J1541" s="38">
        <f>COUNTIF(Data!$F$2:$F9917, $I1541)</f>
        <v>0</v>
      </c>
      <c r="T1541" s="31" t="s">
        <v>5366</v>
      </c>
      <c r="U1541" s="31" t="s">
        <v>5367</v>
      </c>
      <c r="V1541" s="32">
        <v>44627.0</v>
      </c>
    </row>
    <row r="1542">
      <c r="A1542" s="32"/>
      <c r="J1542" s="38">
        <f>COUNTIF(Data!$F$2:$F9917, $I1542)</f>
        <v>0</v>
      </c>
      <c r="T1542" s="31" t="s">
        <v>5371</v>
      </c>
      <c r="U1542" s="31" t="s">
        <v>5372</v>
      </c>
      <c r="V1542" s="32">
        <v>44625.0</v>
      </c>
    </row>
    <row r="1543">
      <c r="A1543" s="32"/>
      <c r="J1543" s="38">
        <f>COUNTIF(Data!$F$2:$F9917, $I1543)</f>
        <v>0</v>
      </c>
      <c r="T1543" s="31" t="s">
        <v>5375</v>
      </c>
      <c r="U1543" s="31" t="s">
        <v>5376</v>
      </c>
      <c r="V1543" s="32">
        <v>44625.0</v>
      </c>
    </row>
    <row r="1544">
      <c r="A1544" s="32"/>
      <c r="J1544" s="38">
        <f>COUNTIF(Data!$F$2:$F9917, $I1544)</f>
        <v>0</v>
      </c>
      <c r="T1544" s="31" t="s">
        <v>5379</v>
      </c>
      <c r="U1544" s="31" t="s">
        <v>5380</v>
      </c>
      <c r="V1544" s="32">
        <v>44624.0</v>
      </c>
    </row>
    <row r="1545">
      <c r="A1545" s="32"/>
      <c r="J1545" s="38">
        <f>COUNTIF(Data!$F$2:$F9917, $I1545)</f>
        <v>0</v>
      </c>
      <c r="T1545" s="31" t="s">
        <v>5382</v>
      </c>
      <c r="U1545" s="31" t="s">
        <v>5383</v>
      </c>
      <c r="V1545" s="32">
        <v>44623.0</v>
      </c>
    </row>
    <row r="1546">
      <c r="A1546" s="32"/>
      <c r="J1546" s="38">
        <f>COUNTIF(Data!$F$2:$F9917, $I1546)</f>
        <v>0</v>
      </c>
      <c r="T1546" s="31" t="s">
        <v>5386</v>
      </c>
      <c r="U1546" s="31" t="s">
        <v>5387</v>
      </c>
      <c r="V1546" s="32">
        <v>44622.0</v>
      </c>
    </row>
    <row r="1547">
      <c r="A1547" s="32"/>
      <c r="J1547" s="38">
        <f>COUNTIF(Data!$F$2:$F9917, $I1547)</f>
        <v>0</v>
      </c>
      <c r="T1547" s="31" t="s">
        <v>5390</v>
      </c>
      <c r="U1547" s="31" t="s">
        <v>5391</v>
      </c>
      <c r="V1547" s="32">
        <v>44622.0</v>
      </c>
    </row>
    <row r="1548">
      <c r="A1548" s="32"/>
      <c r="J1548" s="38">
        <f>COUNTIF(Data!$F$2:$F9917, $I1548)</f>
        <v>0</v>
      </c>
      <c r="T1548" s="31" t="s">
        <v>5395</v>
      </c>
      <c r="U1548" s="31" t="s">
        <v>5396</v>
      </c>
      <c r="V1548" s="32">
        <v>44622.0</v>
      </c>
    </row>
    <row r="1549">
      <c r="A1549" s="32"/>
      <c r="J1549" s="38">
        <f>COUNTIF(Data!$F$2:$F9917, $I1549)</f>
        <v>0</v>
      </c>
      <c r="T1549" s="31" t="s">
        <v>5399</v>
      </c>
      <c r="U1549" s="31" t="s">
        <v>5400</v>
      </c>
      <c r="V1549" s="32">
        <v>44622.0</v>
      </c>
    </row>
    <row r="1550">
      <c r="A1550" s="32"/>
      <c r="J1550" s="38">
        <f>COUNTIF(Data!$F$2:$F9917, $I1550)</f>
        <v>0</v>
      </c>
      <c r="T1550" s="31" t="s">
        <v>5403</v>
      </c>
      <c r="U1550" s="31" t="s">
        <v>5404</v>
      </c>
      <c r="V1550" s="32">
        <v>44621.0</v>
      </c>
    </row>
    <row r="1551">
      <c r="A1551" s="32"/>
      <c r="J1551" s="38">
        <f>COUNTIF(Data!$F$2:$F9917, $I1551)</f>
        <v>0</v>
      </c>
      <c r="T1551" s="31" t="s">
        <v>5408</v>
      </c>
      <c r="U1551" s="31" t="s">
        <v>5409</v>
      </c>
      <c r="V1551" s="32">
        <v>44621.0</v>
      </c>
    </row>
    <row r="1552">
      <c r="A1552" s="32"/>
      <c r="J1552" s="38">
        <f>COUNTIF(Data!$F$2:$F9917, $I1552)</f>
        <v>0</v>
      </c>
      <c r="T1552" s="31" t="s">
        <v>5412</v>
      </c>
      <c r="U1552" s="31" t="s">
        <v>5413</v>
      </c>
      <c r="V1552" s="32">
        <v>44621.0</v>
      </c>
    </row>
    <row r="1553">
      <c r="A1553" s="32"/>
      <c r="J1553" s="38">
        <f>COUNTIF(Data!$F$2:$F9917, $I1553)</f>
        <v>0</v>
      </c>
      <c r="T1553" s="31" t="s">
        <v>5417</v>
      </c>
      <c r="U1553" s="31" t="s">
        <v>5418</v>
      </c>
      <c r="V1553" s="32">
        <v>44621.0</v>
      </c>
    </row>
    <row r="1554">
      <c r="A1554" s="32"/>
      <c r="J1554" s="38">
        <f>COUNTIF(Data!$F$2:$F9917, $I1554)</f>
        <v>0</v>
      </c>
      <c r="T1554" s="31" t="s">
        <v>5421</v>
      </c>
      <c r="U1554" s="31" t="s">
        <v>5422</v>
      </c>
      <c r="V1554" s="32">
        <v>44621.0</v>
      </c>
    </row>
    <row r="1555">
      <c r="A1555" s="32"/>
      <c r="J1555" s="38">
        <f>COUNTIF(Data!$F$2:$F9917, $I1555)</f>
        <v>0</v>
      </c>
      <c r="T1555" s="31" t="s">
        <v>5426</v>
      </c>
      <c r="U1555" s="31" t="s">
        <v>5427</v>
      </c>
      <c r="V1555" s="32">
        <v>44621.0</v>
      </c>
    </row>
    <row r="1556">
      <c r="A1556" s="32"/>
      <c r="J1556" s="38">
        <f>COUNTIF(Data!$F$2:$F9917, $I1556)</f>
        <v>0</v>
      </c>
      <c r="T1556" s="31" t="s">
        <v>5430</v>
      </c>
      <c r="U1556" s="31" t="s">
        <v>5431</v>
      </c>
      <c r="V1556" s="32">
        <v>44621.0</v>
      </c>
    </row>
    <row r="1557">
      <c r="A1557" s="32"/>
      <c r="J1557" s="38">
        <f>COUNTIF(Data!$F$2:$F9917, $I1557)</f>
        <v>0</v>
      </c>
      <c r="T1557" s="31" t="s">
        <v>5434</v>
      </c>
      <c r="U1557" s="31" t="s">
        <v>5435</v>
      </c>
      <c r="V1557" s="32">
        <v>44620.0</v>
      </c>
    </row>
    <row r="1558">
      <c r="A1558" s="32"/>
      <c r="J1558" s="38">
        <f>COUNTIF(Data!$F$2:$F9917, $I1558)</f>
        <v>0</v>
      </c>
      <c r="T1558" s="31" t="s">
        <v>5439</v>
      </c>
      <c r="U1558" s="31" t="s">
        <v>5440</v>
      </c>
      <c r="V1558" s="32">
        <v>44619.0</v>
      </c>
    </row>
    <row r="1559">
      <c r="A1559" s="32"/>
      <c r="J1559" s="38">
        <f>COUNTIF(Data!$F$2:$F9917, $I1559)</f>
        <v>0</v>
      </c>
      <c r="T1559" s="31" t="s">
        <v>5443</v>
      </c>
      <c r="U1559" s="31" t="s">
        <v>5444</v>
      </c>
      <c r="V1559" s="32">
        <v>44619.0</v>
      </c>
    </row>
    <row r="1560">
      <c r="A1560" s="32"/>
      <c r="J1560" s="38">
        <f>COUNTIF(Data!$F$2:$F9917, $I1560)</f>
        <v>0</v>
      </c>
      <c r="T1560" s="31" t="s">
        <v>5447</v>
      </c>
      <c r="U1560" s="31" t="s">
        <v>5448</v>
      </c>
      <c r="V1560" s="32">
        <v>44619.0</v>
      </c>
    </row>
    <row r="1561">
      <c r="A1561" s="32"/>
      <c r="J1561" s="38">
        <f>COUNTIF(Data!$F$2:$F9917, $I1561)</f>
        <v>0</v>
      </c>
      <c r="T1561" s="31" t="s">
        <v>5451</v>
      </c>
      <c r="U1561" s="31" t="s">
        <v>5452</v>
      </c>
      <c r="V1561" s="32">
        <v>44617.0</v>
      </c>
    </row>
    <row r="1562">
      <c r="A1562" s="32"/>
      <c r="J1562" s="38">
        <f>COUNTIF(Data!$F$2:$F9917, $I1562)</f>
        <v>0</v>
      </c>
      <c r="T1562" s="31" t="s">
        <v>5455</v>
      </c>
      <c r="U1562" s="31" t="s">
        <v>5456</v>
      </c>
      <c r="V1562" s="32">
        <v>44617.0</v>
      </c>
    </row>
    <row r="1563">
      <c r="A1563" s="32"/>
      <c r="J1563" s="38">
        <f>COUNTIF(Data!$F$2:$F9917, $I1563)</f>
        <v>0</v>
      </c>
      <c r="T1563" s="31" t="s">
        <v>5459</v>
      </c>
      <c r="U1563" s="31" t="s">
        <v>5460</v>
      </c>
      <c r="V1563" s="32">
        <v>44617.0</v>
      </c>
    </row>
    <row r="1564">
      <c r="A1564" s="32"/>
      <c r="J1564" s="38">
        <f>COUNTIF(Data!$F$2:$F9917, $I1564)</f>
        <v>0</v>
      </c>
      <c r="T1564" s="31" t="s">
        <v>5464</v>
      </c>
      <c r="U1564" s="31" t="s">
        <v>5465</v>
      </c>
      <c r="V1564" s="32">
        <v>44616.0</v>
      </c>
    </row>
    <row r="1565">
      <c r="A1565" s="32"/>
      <c r="J1565" s="38">
        <f>COUNTIF(Data!$F$2:$F9917, $I1565)</f>
        <v>0</v>
      </c>
      <c r="T1565" s="31" t="s">
        <v>5468</v>
      </c>
      <c r="U1565" s="31" t="s">
        <v>5469</v>
      </c>
      <c r="V1565" s="32">
        <v>44616.0</v>
      </c>
    </row>
    <row r="1566">
      <c r="A1566" s="32"/>
      <c r="J1566" s="38">
        <f>COUNTIF(Data!$F$2:$F9917, $I1566)</f>
        <v>0</v>
      </c>
      <c r="T1566" s="31" t="s">
        <v>5472</v>
      </c>
      <c r="U1566" s="31" t="s">
        <v>5473</v>
      </c>
      <c r="V1566" s="32">
        <v>44616.0</v>
      </c>
    </row>
    <row r="1567">
      <c r="A1567" s="32"/>
      <c r="J1567" s="38">
        <f>COUNTIF(Data!$F$2:$F9917, $I1567)</f>
        <v>0</v>
      </c>
      <c r="T1567" s="31" t="s">
        <v>5476</v>
      </c>
      <c r="U1567" s="31" t="s">
        <v>5477</v>
      </c>
      <c r="V1567" s="32">
        <v>44616.0</v>
      </c>
    </row>
    <row r="1568">
      <c r="A1568" s="32"/>
      <c r="J1568" s="38">
        <f>COUNTIF(Data!$F$2:$F9917, $I1568)</f>
        <v>0</v>
      </c>
      <c r="T1568" s="31" t="s">
        <v>5480</v>
      </c>
      <c r="U1568" s="31" t="s">
        <v>5481</v>
      </c>
      <c r="V1568" s="32">
        <v>44615.0</v>
      </c>
    </row>
    <row r="1569">
      <c r="A1569" s="32"/>
      <c r="J1569" s="38">
        <f>COUNTIF(Data!$F$2:$F9917, $I1569)</f>
        <v>0</v>
      </c>
      <c r="T1569" s="31" t="s">
        <v>5484</v>
      </c>
      <c r="U1569" s="31" t="s">
        <v>5485</v>
      </c>
      <c r="V1569" s="32">
        <v>44614.0</v>
      </c>
    </row>
    <row r="1570">
      <c r="A1570" s="32"/>
      <c r="J1570" s="38">
        <f>COUNTIF(Data!$F$2:$F9917, $I1570)</f>
        <v>0</v>
      </c>
      <c r="T1570" s="31" t="s">
        <v>5488</v>
      </c>
      <c r="U1570" s="31" t="s">
        <v>5489</v>
      </c>
      <c r="V1570" s="32">
        <v>44614.0</v>
      </c>
    </row>
    <row r="1571">
      <c r="A1571" s="32"/>
      <c r="J1571" s="38">
        <f>COUNTIF(Data!$F$2:$F9917, $I1571)</f>
        <v>0</v>
      </c>
      <c r="T1571" s="31" t="s">
        <v>5492</v>
      </c>
      <c r="U1571" s="31" t="s">
        <v>5493</v>
      </c>
      <c r="V1571" s="32">
        <v>44614.0</v>
      </c>
    </row>
    <row r="1572">
      <c r="A1572" s="32"/>
      <c r="J1572" s="38">
        <f>COUNTIF(Data!$F$2:$F9917, $I1572)</f>
        <v>0</v>
      </c>
      <c r="T1572" s="31" t="s">
        <v>5497</v>
      </c>
      <c r="U1572" s="31" t="s">
        <v>5498</v>
      </c>
      <c r="V1572" s="32">
        <v>44613.0</v>
      </c>
    </row>
    <row r="1573">
      <c r="A1573" s="32"/>
      <c r="J1573" s="38">
        <f>COUNTIF(Data!$F$2:$F9917, $I1573)</f>
        <v>0</v>
      </c>
      <c r="T1573" s="31" t="s">
        <v>5501</v>
      </c>
      <c r="U1573" s="31" t="s">
        <v>5502</v>
      </c>
      <c r="V1573" s="32">
        <v>44613.0</v>
      </c>
    </row>
    <row r="1574">
      <c r="A1574" s="32"/>
      <c r="J1574" s="38">
        <f>COUNTIF(Data!$F$2:$F9917, $I1574)</f>
        <v>0</v>
      </c>
      <c r="T1574" s="31" t="s">
        <v>5505</v>
      </c>
      <c r="U1574" s="31" t="s">
        <v>5506</v>
      </c>
      <c r="V1574" s="32">
        <v>44611.0</v>
      </c>
    </row>
    <row r="1575">
      <c r="A1575" s="32"/>
      <c r="J1575" s="38">
        <f>COUNTIF(Data!$F$2:$F9917, $I1575)</f>
        <v>0</v>
      </c>
      <c r="T1575" s="31" t="s">
        <v>5509</v>
      </c>
      <c r="U1575" s="31" t="s">
        <v>5510</v>
      </c>
      <c r="V1575" s="32">
        <v>44610.0</v>
      </c>
    </row>
    <row r="1576">
      <c r="A1576" s="32"/>
      <c r="J1576" s="38">
        <f>COUNTIF(Data!$F$2:$F9917, $I1576)</f>
        <v>0</v>
      </c>
      <c r="T1576" s="31" t="s">
        <v>5514</v>
      </c>
      <c r="U1576" s="31" t="s">
        <v>5515</v>
      </c>
      <c r="V1576" s="32">
        <v>44609.0</v>
      </c>
    </row>
    <row r="1577">
      <c r="A1577" s="32"/>
      <c r="J1577" s="38">
        <f>COUNTIF(Data!$F$2:$F9917, $I1577)</f>
        <v>0</v>
      </c>
      <c r="T1577" s="31" t="s">
        <v>5518</v>
      </c>
      <c r="U1577" s="31" t="s">
        <v>5519</v>
      </c>
      <c r="V1577" s="32">
        <v>44608.0</v>
      </c>
    </row>
    <row r="1578">
      <c r="A1578" s="32"/>
      <c r="J1578" s="38">
        <f>COUNTIF(Data!$F$2:$F9917, $I1578)</f>
        <v>0</v>
      </c>
      <c r="T1578" s="31" t="s">
        <v>5522</v>
      </c>
      <c r="U1578" s="31" t="s">
        <v>5523</v>
      </c>
      <c r="V1578" s="32">
        <v>44608.0</v>
      </c>
    </row>
    <row r="1579">
      <c r="A1579" s="32"/>
      <c r="J1579" s="38">
        <f>COUNTIF(Data!$F$2:$F9917, $I1579)</f>
        <v>0</v>
      </c>
      <c r="T1579" s="31" t="s">
        <v>5526</v>
      </c>
      <c r="U1579" s="31" t="s">
        <v>5527</v>
      </c>
      <c r="V1579" s="32">
        <v>44607.0</v>
      </c>
    </row>
    <row r="1580">
      <c r="A1580" s="32"/>
      <c r="J1580" s="38">
        <f>COUNTIF(Data!$F$2:$F9917, $I1580)</f>
        <v>0</v>
      </c>
      <c r="T1580" s="31" t="s">
        <v>5530</v>
      </c>
      <c r="U1580" s="31" t="s">
        <v>5531</v>
      </c>
      <c r="V1580" s="32">
        <v>44606.0</v>
      </c>
    </row>
    <row r="1581">
      <c r="A1581" s="32"/>
      <c r="J1581" s="38">
        <f>COUNTIF(Data!$F$2:$F9917, $I1581)</f>
        <v>0</v>
      </c>
      <c r="T1581" s="31" t="s">
        <v>5535</v>
      </c>
      <c r="U1581" s="31" t="s">
        <v>5536</v>
      </c>
      <c r="V1581" s="32">
        <v>44606.0</v>
      </c>
    </row>
    <row r="1582">
      <c r="A1582" s="32"/>
      <c r="J1582" s="38">
        <f>COUNTIF(Data!$F$2:$F9917, $I1582)</f>
        <v>0</v>
      </c>
      <c r="T1582" s="31" t="s">
        <v>5539</v>
      </c>
      <c r="U1582" s="31" t="s">
        <v>5540</v>
      </c>
      <c r="V1582" s="32">
        <v>44606.0</v>
      </c>
    </row>
    <row r="1583">
      <c r="A1583" s="32"/>
      <c r="J1583" s="38">
        <f>COUNTIF(Data!$F$2:$F9917, $I1583)</f>
        <v>0</v>
      </c>
      <c r="T1583" s="31" t="s">
        <v>5543</v>
      </c>
      <c r="U1583" s="31" t="s">
        <v>5544</v>
      </c>
      <c r="V1583" s="32">
        <v>44603.0</v>
      </c>
    </row>
    <row r="1584">
      <c r="A1584" s="32"/>
      <c r="J1584" s="38">
        <f>COUNTIF(Data!$F$2:$F9917, $I1584)</f>
        <v>0</v>
      </c>
      <c r="T1584" s="31" t="s">
        <v>5548</v>
      </c>
      <c r="U1584" s="31" t="s">
        <v>5549</v>
      </c>
      <c r="V1584" s="32">
        <v>44603.0</v>
      </c>
    </row>
    <row r="1585">
      <c r="A1585" s="32"/>
      <c r="J1585" s="38">
        <f>COUNTIF(Data!$F$2:$F9917, $I1585)</f>
        <v>0</v>
      </c>
      <c r="T1585" s="31" t="s">
        <v>5552</v>
      </c>
      <c r="U1585" s="31" t="s">
        <v>5553</v>
      </c>
      <c r="V1585" s="32">
        <v>44603.0</v>
      </c>
    </row>
    <row r="1586">
      <c r="A1586" s="32"/>
      <c r="J1586" s="38">
        <f>COUNTIF(Data!$F$2:$F9917, $I1586)</f>
        <v>0</v>
      </c>
      <c r="T1586" s="31" t="s">
        <v>5557</v>
      </c>
      <c r="U1586" s="31" t="s">
        <v>5558</v>
      </c>
      <c r="V1586" s="32">
        <v>44603.0</v>
      </c>
    </row>
    <row r="1587">
      <c r="A1587" s="32"/>
      <c r="J1587" s="38">
        <f>COUNTIF(Data!$F$2:$F9917, $I1587)</f>
        <v>0</v>
      </c>
      <c r="T1587" s="31" t="s">
        <v>5562</v>
      </c>
      <c r="U1587" s="31" t="s">
        <v>5563</v>
      </c>
      <c r="V1587" s="32">
        <v>44602.0</v>
      </c>
    </row>
    <row r="1588">
      <c r="A1588" s="32"/>
      <c r="J1588" s="38">
        <f>COUNTIF(Data!$F$2:$F9917, $I1588)</f>
        <v>0</v>
      </c>
      <c r="T1588" s="31" t="s">
        <v>5567</v>
      </c>
      <c r="U1588" s="31" t="s">
        <v>5568</v>
      </c>
      <c r="V1588" s="32">
        <v>44601.0</v>
      </c>
    </row>
    <row r="1589">
      <c r="A1589" s="32"/>
      <c r="J1589" s="38">
        <f>COUNTIF(Data!$F$2:$F9917, $I1589)</f>
        <v>0</v>
      </c>
      <c r="T1589" s="31" t="s">
        <v>5571</v>
      </c>
      <c r="U1589" s="31" t="s">
        <v>5572</v>
      </c>
      <c r="V1589" s="32">
        <v>44601.0</v>
      </c>
    </row>
    <row r="1590">
      <c r="A1590" s="32"/>
      <c r="J1590" s="38">
        <f>COUNTIF(Data!$F$2:$F9917, $I1590)</f>
        <v>0</v>
      </c>
      <c r="T1590" s="31" t="s">
        <v>5576</v>
      </c>
      <c r="U1590" s="31" t="s">
        <v>5577</v>
      </c>
      <c r="V1590" s="32">
        <v>44601.0</v>
      </c>
    </row>
    <row r="1591">
      <c r="A1591" s="32"/>
      <c r="J1591" s="38">
        <f>COUNTIF(Data!$F$2:$F9917, $I1591)</f>
        <v>0</v>
      </c>
      <c r="T1591" s="31" t="s">
        <v>5580</v>
      </c>
      <c r="U1591" s="31" t="s">
        <v>5581</v>
      </c>
      <c r="V1591" s="32">
        <v>44600.0</v>
      </c>
    </row>
    <row r="1592">
      <c r="A1592" s="32"/>
      <c r="J1592" s="38">
        <f>COUNTIF(Data!$F$2:$F9917, $I1592)</f>
        <v>0</v>
      </c>
      <c r="T1592" s="31" t="s">
        <v>5584</v>
      </c>
      <c r="U1592" s="31" t="s">
        <v>5585</v>
      </c>
      <c r="V1592" s="32">
        <v>44599.0</v>
      </c>
    </row>
    <row r="1593">
      <c r="A1593" s="32"/>
      <c r="J1593" s="38">
        <f>COUNTIF(Data!$F$2:$F9917, $I1593)</f>
        <v>0</v>
      </c>
      <c r="T1593" s="31" t="s">
        <v>5588</v>
      </c>
      <c r="U1593" s="31" t="s">
        <v>5589</v>
      </c>
      <c r="V1593" s="32">
        <v>44599.0</v>
      </c>
    </row>
    <row r="1594">
      <c r="A1594" s="32"/>
      <c r="J1594" s="38">
        <f>COUNTIF(Data!$F$2:$F9917, $I1594)</f>
        <v>0</v>
      </c>
      <c r="T1594" s="31" t="s">
        <v>5592</v>
      </c>
      <c r="U1594" s="31" t="s">
        <v>5593</v>
      </c>
      <c r="V1594" s="32">
        <v>44599.0</v>
      </c>
    </row>
    <row r="1595">
      <c r="A1595" s="32"/>
      <c r="J1595" s="38">
        <f>COUNTIF(Data!$F$2:$F9917, $I1595)</f>
        <v>0</v>
      </c>
      <c r="T1595" s="31" t="s">
        <v>5596</v>
      </c>
      <c r="U1595" s="31" t="s">
        <v>5597</v>
      </c>
      <c r="V1595" s="32">
        <v>44596.0</v>
      </c>
    </row>
    <row r="1596">
      <c r="A1596" s="32"/>
      <c r="J1596" s="38">
        <f>COUNTIF(Data!$F$2:$F9917, $I1596)</f>
        <v>0</v>
      </c>
      <c r="T1596" s="31" t="s">
        <v>5601</v>
      </c>
      <c r="U1596" s="31" t="s">
        <v>5602</v>
      </c>
      <c r="V1596" s="32">
        <v>44596.0</v>
      </c>
    </row>
    <row r="1597">
      <c r="A1597" s="32"/>
      <c r="J1597" s="38">
        <f>COUNTIF(Data!$F$2:$F9917, $I1597)</f>
        <v>0</v>
      </c>
      <c r="T1597" s="31" t="s">
        <v>5605</v>
      </c>
      <c r="U1597" s="31" t="s">
        <v>5606</v>
      </c>
      <c r="V1597" s="32">
        <v>44596.0</v>
      </c>
    </row>
    <row r="1598">
      <c r="A1598" s="32"/>
      <c r="J1598" s="38">
        <f>COUNTIF(Data!$F$2:$F9917, $I1598)</f>
        <v>0</v>
      </c>
      <c r="T1598" s="31" t="s">
        <v>5609</v>
      </c>
      <c r="U1598" s="31" t="s">
        <v>5610</v>
      </c>
      <c r="V1598" s="32">
        <v>44595.0</v>
      </c>
    </row>
    <row r="1599">
      <c r="A1599" s="32"/>
      <c r="J1599" s="38">
        <f>COUNTIF(Data!$F$2:$F9917, $I1599)</f>
        <v>0</v>
      </c>
      <c r="T1599" s="31" t="s">
        <v>5613</v>
      </c>
      <c r="U1599" s="31" t="s">
        <v>5614</v>
      </c>
      <c r="V1599" s="32">
        <v>44595.0</v>
      </c>
    </row>
    <row r="1600">
      <c r="A1600" s="32"/>
      <c r="J1600" s="38">
        <f>COUNTIF(Data!$F$2:$F9917, $I1600)</f>
        <v>0</v>
      </c>
      <c r="T1600" s="31" t="s">
        <v>5617</v>
      </c>
      <c r="U1600" s="31" t="s">
        <v>5618</v>
      </c>
      <c r="V1600" s="32">
        <v>44595.0</v>
      </c>
    </row>
    <row r="1601">
      <c r="A1601" s="32"/>
      <c r="J1601" s="38">
        <f>COUNTIF(Data!$F$2:$F9917, $I1601)</f>
        <v>0</v>
      </c>
      <c r="T1601" s="31" t="s">
        <v>5621</v>
      </c>
      <c r="U1601" s="31" t="s">
        <v>5622</v>
      </c>
      <c r="V1601" s="32">
        <v>44594.0</v>
      </c>
    </row>
    <row r="1602">
      <c r="A1602" s="32"/>
      <c r="J1602" s="38">
        <f>COUNTIF(Data!$F$2:$F9917, $I1602)</f>
        <v>0</v>
      </c>
      <c r="T1602" s="31" t="s">
        <v>5625</v>
      </c>
      <c r="U1602" s="31" t="s">
        <v>5264</v>
      </c>
      <c r="V1602" s="32">
        <v>44593.0</v>
      </c>
    </row>
    <row r="1603">
      <c r="A1603" s="32"/>
      <c r="J1603" s="38">
        <f>COUNTIF(Data!$F$2:$F9917, $I1603)</f>
        <v>0</v>
      </c>
      <c r="T1603" s="31" t="s">
        <v>5628</v>
      </c>
      <c r="U1603" s="31" t="s">
        <v>5629</v>
      </c>
      <c r="V1603" s="32">
        <v>44593.0</v>
      </c>
    </row>
    <row r="1604">
      <c r="A1604" s="32"/>
      <c r="J1604" s="38">
        <f>COUNTIF(Data!$F$2:$F9917, $I1604)</f>
        <v>0</v>
      </c>
      <c r="T1604" s="31" t="s">
        <v>5633</v>
      </c>
      <c r="U1604" s="31" t="s">
        <v>5634</v>
      </c>
      <c r="V1604" s="32">
        <v>44593.0</v>
      </c>
    </row>
    <row r="1605">
      <c r="A1605" s="32"/>
      <c r="J1605" s="38">
        <f>COUNTIF(Data!$F$2:$F9917, $I1605)</f>
        <v>0</v>
      </c>
      <c r="T1605" s="31" t="s">
        <v>5637</v>
      </c>
      <c r="U1605" s="31" t="s">
        <v>5638</v>
      </c>
      <c r="V1605" s="32">
        <v>44593.0</v>
      </c>
    </row>
    <row r="1606">
      <c r="A1606" s="32"/>
      <c r="J1606" s="38">
        <f>COUNTIF(Data!$F$2:$F9917, $I1606)</f>
        <v>0</v>
      </c>
      <c r="T1606" s="31" t="s">
        <v>5641</v>
      </c>
      <c r="U1606" s="31" t="s">
        <v>5642</v>
      </c>
      <c r="V1606" s="32">
        <v>44593.0</v>
      </c>
    </row>
    <row r="1607">
      <c r="A1607" s="32"/>
      <c r="J1607" s="38">
        <f>COUNTIF(Data!$F$2:$F9917, $I1607)</f>
        <v>0</v>
      </c>
      <c r="T1607" s="31" t="s">
        <v>5645</v>
      </c>
      <c r="U1607" s="31" t="s">
        <v>5646</v>
      </c>
      <c r="V1607" s="32">
        <v>44592.0</v>
      </c>
    </row>
    <row r="1608">
      <c r="A1608" s="32"/>
      <c r="J1608" s="38">
        <f>COUNTIF(Data!$F$2:$F9917, $I1608)</f>
        <v>0</v>
      </c>
      <c r="T1608" s="31" t="s">
        <v>5649</v>
      </c>
      <c r="U1608" s="31" t="s">
        <v>5650</v>
      </c>
      <c r="V1608" s="32">
        <v>44592.0</v>
      </c>
    </row>
    <row r="1609">
      <c r="A1609" s="32"/>
      <c r="J1609" s="38">
        <f>COUNTIF(Data!$F$2:$F9917, $I1609)</f>
        <v>0</v>
      </c>
      <c r="T1609" s="31" t="s">
        <v>5654</v>
      </c>
      <c r="U1609" s="31" t="s">
        <v>5655</v>
      </c>
      <c r="V1609" s="32">
        <v>44589.0</v>
      </c>
    </row>
    <row r="1610">
      <c r="A1610" s="32"/>
      <c r="J1610" s="38">
        <f>COUNTIF(Data!$F$2:$F9917, $I1610)</f>
        <v>0</v>
      </c>
      <c r="T1610" s="31" t="s">
        <v>5659</v>
      </c>
      <c r="U1610" s="31" t="s">
        <v>5660</v>
      </c>
      <c r="V1610" s="32">
        <v>44587.0</v>
      </c>
    </row>
    <row r="1611">
      <c r="A1611" s="32"/>
      <c r="J1611" s="38">
        <f>COUNTIF(Data!$F$2:$F9917, $I1611)</f>
        <v>0</v>
      </c>
      <c r="T1611" s="31" t="s">
        <v>5663</v>
      </c>
      <c r="U1611" s="31" t="s">
        <v>5664</v>
      </c>
      <c r="V1611" s="32">
        <v>44587.0</v>
      </c>
    </row>
    <row r="1612">
      <c r="A1612" s="32"/>
      <c r="J1612" s="38">
        <f>COUNTIF(Data!$F$2:$F9917, $I1612)</f>
        <v>0</v>
      </c>
      <c r="T1612" s="31" t="s">
        <v>5667</v>
      </c>
      <c r="U1612" s="31" t="s">
        <v>5668</v>
      </c>
      <c r="V1612" s="32">
        <v>44586.0</v>
      </c>
    </row>
    <row r="1613">
      <c r="A1613" s="32"/>
      <c r="J1613" s="38">
        <f>COUNTIF(Data!$F$2:$F9917, $I1613)</f>
        <v>0</v>
      </c>
      <c r="T1613" s="31" t="s">
        <v>5672</v>
      </c>
      <c r="U1613" s="31" t="s">
        <v>5673</v>
      </c>
      <c r="V1613" s="32">
        <v>44586.0</v>
      </c>
    </row>
    <row r="1614">
      <c r="A1614" s="32"/>
      <c r="J1614" s="38">
        <f>COUNTIF(Data!$F$2:$F9917, $I1614)</f>
        <v>0</v>
      </c>
      <c r="T1614" s="31" t="s">
        <v>5676</v>
      </c>
      <c r="U1614" s="31" t="s">
        <v>5677</v>
      </c>
      <c r="V1614" s="32">
        <v>44586.0</v>
      </c>
    </row>
    <row r="1615">
      <c r="A1615" s="32"/>
      <c r="J1615" s="38">
        <f>COUNTIF(Data!$F$2:$F9917, $I1615)</f>
        <v>0</v>
      </c>
      <c r="T1615" s="31" t="s">
        <v>5681</v>
      </c>
      <c r="U1615" s="31" t="s">
        <v>5682</v>
      </c>
      <c r="V1615" s="32">
        <v>44585.0</v>
      </c>
    </row>
    <row r="1616">
      <c r="A1616" s="32"/>
      <c r="J1616" s="38">
        <f>COUNTIF(Data!$F$2:$F9917, $I1616)</f>
        <v>0</v>
      </c>
      <c r="T1616" s="31" t="s">
        <v>5685</v>
      </c>
      <c r="U1616" s="31" t="s">
        <v>5536</v>
      </c>
      <c r="V1616" s="32">
        <v>44585.0</v>
      </c>
    </row>
    <row r="1617">
      <c r="A1617" s="32"/>
      <c r="J1617" s="38">
        <f>COUNTIF(Data!$F$2:$F9917, $I1617)</f>
        <v>0</v>
      </c>
      <c r="T1617" s="31" t="s">
        <v>5689</v>
      </c>
      <c r="U1617" s="31" t="s">
        <v>5690</v>
      </c>
      <c r="V1617" s="32">
        <v>44584.0</v>
      </c>
    </row>
    <row r="1618">
      <c r="A1618" s="32"/>
      <c r="J1618" s="38">
        <f>COUNTIF(Data!$F$2:$F9917, $I1618)</f>
        <v>0</v>
      </c>
      <c r="T1618" s="31" t="s">
        <v>5693</v>
      </c>
      <c r="U1618" s="31" t="s">
        <v>5694</v>
      </c>
      <c r="V1618" s="32">
        <v>44582.0</v>
      </c>
    </row>
    <row r="1619">
      <c r="A1619" s="32"/>
      <c r="J1619" s="38">
        <f>COUNTIF(Data!$F$2:$F9917, $I1619)</f>
        <v>0</v>
      </c>
      <c r="T1619" s="31" t="s">
        <v>5697</v>
      </c>
      <c r="U1619" s="31" t="s">
        <v>5698</v>
      </c>
      <c r="V1619" s="32">
        <v>44582.0</v>
      </c>
    </row>
    <row r="1620">
      <c r="A1620" s="32"/>
      <c r="J1620" s="38">
        <f>COUNTIF(Data!$F$2:$F9917, $I1620)</f>
        <v>0</v>
      </c>
      <c r="T1620" s="31" t="s">
        <v>5701</v>
      </c>
      <c r="U1620" s="31" t="s">
        <v>5702</v>
      </c>
      <c r="V1620" s="32">
        <v>44582.0</v>
      </c>
    </row>
    <row r="1621">
      <c r="A1621" s="32"/>
      <c r="J1621" s="38">
        <f>COUNTIF(Data!$F$2:$F9917, $I1621)</f>
        <v>0</v>
      </c>
      <c r="T1621" s="31" t="s">
        <v>5705</v>
      </c>
      <c r="U1621" s="31" t="s">
        <v>5706</v>
      </c>
      <c r="V1621" s="32">
        <v>44581.0</v>
      </c>
    </row>
    <row r="1622">
      <c r="A1622" s="32"/>
      <c r="J1622" s="38">
        <f>COUNTIF(Data!$F$2:$F9917, $I1622)</f>
        <v>0</v>
      </c>
      <c r="T1622" s="31" t="s">
        <v>5709</v>
      </c>
      <c r="U1622" s="31" t="s">
        <v>5710</v>
      </c>
      <c r="V1622" s="32">
        <v>44579.0</v>
      </c>
    </row>
    <row r="1623">
      <c r="A1623" s="32"/>
      <c r="J1623" s="38">
        <f>COUNTIF(Data!$F$2:$F9917, $I1623)</f>
        <v>0</v>
      </c>
      <c r="T1623" s="31" t="s">
        <v>5713</v>
      </c>
      <c r="U1623" s="31" t="s">
        <v>5714</v>
      </c>
      <c r="V1623" s="32">
        <v>44579.0</v>
      </c>
    </row>
    <row r="1624">
      <c r="A1624" s="32"/>
      <c r="J1624" s="38">
        <f>COUNTIF(Data!$F$2:$F9917, $I1624)</f>
        <v>0</v>
      </c>
      <c r="T1624" s="31" t="s">
        <v>5716</v>
      </c>
      <c r="U1624" s="31" t="s">
        <v>5717</v>
      </c>
      <c r="V1624" s="32">
        <v>44579.0</v>
      </c>
    </row>
    <row r="1625">
      <c r="A1625" s="32"/>
      <c r="J1625" s="38">
        <f>COUNTIF(Data!$F$2:$F9917, $I1625)</f>
        <v>0</v>
      </c>
      <c r="T1625" s="31" t="s">
        <v>5720</v>
      </c>
      <c r="U1625" s="31" t="s">
        <v>5721</v>
      </c>
      <c r="V1625" s="32">
        <v>44578.0</v>
      </c>
    </row>
    <row r="1626">
      <c r="A1626" s="32"/>
      <c r="J1626" s="38">
        <f>COUNTIF(Data!$F$2:$F9917, $I1626)</f>
        <v>0</v>
      </c>
      <c r="T1626" s="31" t="s">
        <v>5724</v>
      </c>
      <c r="U1626" s="31" t="s">
        <v>5725</v>
      </c>
      <c r="V1626" s="32">
        <v>44578.0</v>
      </c>
    </row>
    <row r="1627">
      <c r="A1627" s="32"/>
      <c r="J1627" s="38">
        <f>COUNTIF(Data!$F$2:$F9917, $I1627)</f>
        <v>0</v>
      </c>
      <c r="T1627" s="31" t="s">
        <v>5728</v>
      </c>
      <c r="U1627" s="31" t="s">
        <v>5729</v>
      </c>
      <c r="V1627" s="32">
        <v>44577.0</v>
      </c>
    </row>
    <row r="1628">
      <c r="A1628" s="32"/>
      <c r="J1628" s="38">
        <f>COUNTIF(Data!$F$2:$F9917, $I1628)</f>
        <v>0</v>
      </c>
      <c r="T1628" s="31" t="s">
        <v>5732</v>
      </c>
      <c r="U1628" s="31" t="s">
        <v>5733</v>
      </c>
      <c r="V1628" s="32">
        <v>44577.0</v>
      </c>
    </row>
    <row r="1629">
      <c r="A1629" s="32"/>
      <c r="J1629" s="38">
        <f>COUNTIF(Data!$F$2:$F9917, $I1629)</f>
        <v>0</v>
      </c>
      <c r="T1629" s="31" t="s">
        <v>5736</v>
      </c>
      <c r="U1629" s="31" t="s">
        <v>5737</v>
      </c>
      <c r="V1629" s="32">
        <v>44575.0</v>
      </c>
    </row>
    <row r="1630">
      <c r="A1630" s="32"/>
      <c r="J1630" s="38">
        <f>COUNTIF(Data!$F$2:$F9917, $I1630)</f>
        <v>0</v>
      </c>
      <c r="T1630" s="31" t="s">
        <v>5740</v>
      </c>
      <c r="U1630" s="31" t="s">
        <v>2918</v>
      </c>
      <c r="V1630" s="32">
        <v>44574.0</v>
      </c>
    </row>
    <row r="1631">
      <c r="A1631" s="32"/>
      <c r="J1631" s="38">
        <f>COUNTIF(Data!$F$2:$F9917, $I1631)</f>
        <v>0</v>
      </c>
      <c r="T1631" s="31" t="s">
        <v>5743</v>
      </c>
      <c r="U1631" s="31" t="s">
        <v>5744</v>
      </c>
      <c r="V1631" s="32">
        <v>44574.0</v>
      </c>
    </row>
    <row r="1632">
      <c r="A1632" s="32"/>
      <c r="J1632" s="38">
        <f>COUNTIF(Data!$F$2:$F9917, $I1632)</f>
        <v>0</v>
      </c>
      <c r="T1632" s="31" t="s">
        <v>5747</v>
      </c>
      <c r="U1632" s="31" t="s">
        <v>5748</v>
      </c>
      <c r="V1632" s="32">
        <v>44573.0</v>
      </c>
    </row>
    <row r="1633">
      <c r="A1633" s="32"/>
      <c r="J1633" s="38">
        <f>COUNTIF(Data!$F$2:$F9917, $I1633)</f>
        <v>0</v>
      </c>
      <c r="T1633" s="31" t="s">
        <v>5751</v>
      </c>
      <c r="U1633" s="31" t="s">
        <v>5752</v>
      </c>
      <c r="V1633" s="32">
        <v>44573.0</v>
      </c>
    </row>
    <row r="1634">
      <c r="A1634" s="32"/>
      <c r="J1634" s="38">
        <f>COUNTIF(Data!$F$2:$F9917, $I1634)</f>
        <v>0</v>
      </c>
      <c r="T1634" s="31" t="s">
        <v>5756</v>
      </c>
      <c r="U1634" s="31" t="s">
        <v>5757</v>
      </c>
      <c r="V1634" s="32">
        <v>44572.0</v>
      </c>
    </row>
    <row r="1635">
      <c r="A1635" s="32"/>
      <c r="J1635" s="38">
        <f>COUNTIF(Data!$F$2:$F9917, $I1635)</f>
        <v>0</v>
      </c>
      <c r="T1635" s="31" t="s">
        <v>5761</v>
      </c>
      <c r="U1635" s="31" t="s">
        <v>5762</v>
      </c>
      <c r="V1635" s="32">
        <v>44572.0</v>
      </c>
    </row>
    <row r="1636">
      <c r="A1636" s="32"/>
      <c r="J1636" s="38">
        <f>COUNTIF(Data!$F$2:$F9917, $I1636)</f>
        <v>0</v>
      </c>
      <c r="T1636" s="31" t="s">
        <v>5765</v>
      </c>
      <c r="U1636" s="31" t="s">
        <v>5766</v>
      </c>
      <c r="V1636" s="32">
        <v>44572.0</v>
      </c>
    </row>
    <row r="1637">
      <c r="A1637" s="32"/>
      <c r="J1637" s="38">
        <f>COUNTIF(Data!$F$2:$F9917, $I1637)</f>
        <v>0</v>
      </c>
      <c r="T1637" s="31" t="s">
        <v>5769</v>
      </c>
      <c r="U1637" s="31" t="s">
        <v>5770</v>
      </c>
      <c r="V1637" s="32">
        <v>44571.0</v>
      </c>
    </row>
    <row r="1638">
      <c r="A1638" s="32"/>
      <c r="J1638" s="38">
        <f>COUNTIF(Data!$F$2:$F9917, $I1638)</f>
        <v>0</v>
      </c>
      <c r="T1638" s="31" t="s">
        <v>5773</v>
      </c>
      <c r="U1638" s="31" t="s">
        <v>5774</v>
      </c>
      <c r="V1638" s="32">
        <v>44571.0</v>
      </c>
    </row>
    <row r="1639">
      <c r="A1639" s="32"/>
      <c r="J1639" s="38">
        <f>COUNTIF(Data!$F$2:$F9917, $I1639)</f>
        <v>0</v>
      </c>
      <c r="T1639" s="31" t="s">
        <v>5777</v>
      </c>
      <c r="U1639" s="31" t="s">
        <v>5778</v>
      </c>
      <c r="V1639" s="32">
        <v>44571.0</v>
      </c>
    </row>
    <row r="1640">
      <c r="A1640" s="32"/>
      <c r="J1640" s="38">
        <f>COUNTIF(Data!$F$2:$F9917, $I1640)</f>
        <v>0</v>
      </c>
      <c r="T1640" s="31" t="s">
        <v>5781</v>
      </c>
      <c r="U1640" s="31" t="s">
        <v>5782</v>
      </c>
      <c r="V1640" s="32">
        <v>44571.0</v>
      </c>
    </row>
    <row r="1641">
      <c r="A1641" s="32"/>
      <c r="J1641" s="38">
        <f>COUNTIF(Data!$F$2:$F9917, $I1641)</f>
        <v>0</v>
      </c>
      <c r="T1641" s="31" t="s">
        <v>5786</v>
      </c>
      <c r="U1641" s="31" t="s">
        <v>5787</v>
      </c>
      <c r="V1641" s="32">
        <v>44571.0</v>
      </c>
    </row>
    <row r="1642">
      <c r="A1642" s="32"/>
      <c r="J1642" s="38">
        <f>COUNTIF(Data!$F$2:$F9917, $I1642)</f>
        <v>0</v>
      </c>
      <c r="T1642" s="31" t="s">
        <v>5791</v>
      </c>
      <c r="U1642" s="31" t="s">
        <v>5792</v>
      </c>
      <c r="V1642" s="32">
        <v>44570.0</v>
      </c>
    </row>
    <row r="1643">
      <c r="A1643" s="32"/>
      <c r="J1643" s="38">
        <f>COUNTIF(Data!$F$2:$F9917, $I1643)</f>
        <v>0</v>
      </c>
      <c r="T1643" s="31" t="s">
        <v>5795</v>
      </c>
      <c r="U1643" s="31" t="s">
        <v>5796</v>
      </c>
      <c r="V1643" s="32">
        <v>44569.0</v>
      </c>
    </row>
    <row r="1644">
      <c r="A1644" s="32"/>
      <c r="J1644" s="38">
        <f>COUNTIF(Data!$F$2:$F9917, $I1644)</f>
        <v>0</v>
      </c>
      <c r="T1644" s="31" t="s">
        <v>5800</v>
      </c>
      <c r="U1644" s="31" t="s">
        <v>5801</v>
      </c>
      <c r="V1644" s="32">
        <v>44567.0</v>
      </c>
    </row>
    <row r="1645">
      <c r="A1645" s="32"/>
      <c r="J1645" s="38">
        <f>COUNTIF(Data!$F$2:$F9917, $I1645)</f>
        <v>0</v>
      </c>
      <c r="T1645" s="31" t="s">
        <v>5804</v>
      </c>
      <c r="U1645" s="31" t="s">
        <v>5805</v>
      </c>
      <c r="V1645" s="32">
        <v>44566.0</v>
      </c>
    </row>
    <row r="1646">
      <c r="A1646" s="32"/>
      <c r="J1646" s="38">
        <f>COUNTIF(Data!$F$2:$F9917, $I1646)</f>
        <v>0</v>
      </c>
      <c r="T1646" s="31" t="s">
        <v>5809</v>
      </c>
      <c r="U1646" s="31" t="s">
        <v>5810</v>
      </c>
      <c r="V1646" s="32">
        <v>44566.0</v>
      </c>
    </row>
    <row r="1647">
      <c r="A1647" s="32"/>
      <c r="J1647" s="38">
        <f>COUNTIF(Data!$F$2:$F9917, $I1647)</f>
        <v>0</v>
      </c>
      <c r="T1647" s="31" t="s">
        <v>5813</v>
      </c>
      <c r="U1647" s="31" t="s">
        <v>5814</v>
      </c>
      <c r="V1647" s="32">
        <v>44565.0</v>
      </c>
    </row>
    <row r="1648">
      <c r="A1648" s="32"/>
      <c r="J1648" s="38">
        <f>COUNTIF(Data!$F$2:$F9917, $I1648)</f>
        <v>0</v>
      </c>
      <c r="T1648" s="31" t="s">
        <v>5818</v>
      </c>
      <c r="U1648" s="31" t="s">
        <v>5819</v>
      </c>
      <c r="V1648" s="32">
        <v>44565.0</v>
      </c>
    </row>
    <row r="1649">
      <c r="A1649" s="32"/>
      <c r="J1649" s="38">
        <f>COUNTIF(Data!$F$2:$F9917, $I1649)</f>
        <v>0</v>
      </c>
      <c r="T1649" s="31" t="s">
        <v>5822</v>
      </c>
      <c r="U1649" s="31" t="s">
        <v>5823</v>
      </c>
      <c r="V1649" s="32">
        <v>44565.0</v>
      </c>
    </row>
    <row r="1650">
      <c r="A1650" s="32"/>
      <c r="J1650" s="38">
        <f>COUNTIF(Data!$F$2:$F9917, $I1650)</f>
        <v>0</v>
      </c>
      <c r="T1650" s="31" t="s">
        <v>5827</v>
      </c>
      <c r="U1650" s="31" t="s">
        <v>5828</v>
      </c>
      <c r="V1650" s="32">
        <v>44565.0</v>
      </c>
    </row>
    <row r="1651">
      <c r="A1651" s="32"/>
      <c r="J1651" s="38">
        <f>COUNTIF(Data!$F$2:$F9917, $I1651)</f>
        <v>0</v>
      </c>
      <c r="T1651" s="31" t="s">
        <v>5832</v>
      </c>
      <c r="U1651" s="31" t="s">
        <v>5833</v>
      </c>
      <c r="V1651" s="32">
        <v>44562.0</v>
      </c>
    </row>
    <row r="1652">
      <c r="A1652" s="32"/>
      <c r="J1652" s="38">
        <f>COUNTIF(Data!$F$2:$F9917, $I1652)</f>
        <v>0</v>
      </c>
      <c r="T1652" s="31" t="s">
        <v>5837</v>
      </c>
      <c r="U1652" s="31" t="s">
        <v>5838</v>
      </c>
      <c r="V1652" s="32">
        <v>44562.0</v>
      </c>
    </row>
    <row r="1653">
      <c r="A1653" s="32"/>
      <c r="J1653" s="38">
        <f>COUNTIF(Data!$F$2:$F9917, $I1653)</f>
        <v>0</v>
      </c>
      <c r="T1653" s="31" t="s">
        <v>5841</v>
      </c>
      <c r="U1653" s="31" t="s">
        <v>5842</v>
      </c>
      <c r="V1653" s="32">
        <v>44562.0</v>
      </c>
    </row>
    <row r="1654">
      <c r="A1654" s="32"/>
      <c r="J1654" s="38">
        <f>COUNTIF(Data!$F$2:$F9917, $I1654)</f>
        <v>0</v>
      </c>
      <c r="T1654" s="31" t="s">
        <v>5846</v>
      </c>
      <c r="U1654" s="31" t="s">
        <v>5847</v>
      </c>
      <c r="V1654" s="32">
        <v>44562.0</v>
      </c>
    </row>
    <row r="1655">
      <c r="A1655" s="32"/>
      <c r="J1655" s="38">
        <f>COUNTIF(Data!$F$2:$F9917, $I1655)</f>
        <v>0</v>
      </c>
      <c r="T1655" s="31" t="s">
        <v>5850</v>
      </c>
      <c r="U1655" s="31" t="s">
        <v>5851</v>
      </c>
      <c r="V1655" s="32">
        <v>44562.0</v>
      </c>
    </row>
    <row r="1656">
      <c r="A1656" s="32"/>
      <c r="J1656" s="38">
        <f>COUNTIF(Data!$F$2:$F9917, $I1656)</f>
        <v>0</v>
      </c>
      <c r="T1656" s="31" t="s">
        <v>5854</v>
      </c>
      <c r="U1656" s="31" t="s">
        <v>5855</v>
      </c>
      <c r="V1656" s="32">
        <v>44562.0</v>
      </c>
    </row>
    <row r="1657">
      <c r="A1657" s="32"/>
      <c r="J1657" s="38">
        <f>COUNTIF(Data!$F$2:$F9917, $I1657)</f>
        <v>0</v>
      </c>
      <c r="T1657" s="31" t="s">
        <v>5858</v>
      </c>
      <c r="U1657" s="31" t="s">
        <v>5859</v>
      </c>
      <c r="V1657" s="32">
        <v>44562.0</v>
      </c>
    </row>
    <row r="1658">
      <c r="A1658" s="32"/>
      <c r="J1658" s="38">
        <f>COUNTIF(Data!$F$2:$F9917, $I1658)</f>
        <v>0</v>
      </c>
      <c r="T1658" s="31" t="s">
        <v>5862</v>
      </c>
      <c r="U1658" s="31" t="s">
        <v>5863</v>
      </c>
      <c r="V1658" s="32">
        <v>44562.0</v>
      </c>
    </row>
    <row r="1659">
      <c r="A1659" s="32"/>
      <c r="J1659" s="38">
        <f>COUNTIF(Data!$F$2:$F9917, $I1659)</f>
        <v>0</v>
      </c>
      <c r="T1659" s="31" t="s">
        <v>5866</v>
      </c>
      <c r="U1659" s="31" t="s">
        <v>5867</v>
      </c>
      <c r="V1659" s="32">
        <v>44561.0</v>
      </c>
    </row>
    <row r="1660">
      <c r="A1660" s="32"/>
      <c r="J1660" s="38">
        <f>COUNTIF(Data!$F$2:$F9917, $I1660)</f>
        <v>0</v>
      </c>
      <c r="T1660" s="31" t="s">
        <v>5870</v>
      </c>
      <c r="U1660" s="31" t="s">
        <v>5871</v>
      </c>
      <c r="V1660" s="32">
        <v>44561.0</v>
      </c>
    </row>
    <row r="1661">
      <c r="A1661" s="32"/>
      <c r="J1661" s="38">
        <f>COUNTIF(Data!$F$2:$F9917, $I1661)</f>
        <v>0</v>
      </c>
      <c r="T1661" s="31" t="s">
        <v>5874</v>
      </c>
      <c r="U1661" s="31" t="s">
        <v>5875</v>
      </c>
      <c r="V1661" s="32">
        <v>44560.0</v>
      </c>
    </row>
    <row r="1662">
      <c r="A1662" s="32"/>
      <c r="J1662" s="38">
        <f>COUNTIF(Data!$F$2:$F9917, $I1662)</f>
        <v>0</v>
      </c>
      <c r="T1662" s="31" t="s">
        <v>5878</v>
      </c>
      <c r="U1662" s="31" t="s">
        <v>5879</v>
      </c>
      <c r="V1662" s="32">
        <v>44559.0</v>
      </c>
    </row>
    <row r="1663">
      <c r="A1663" s="32"/>
      <c r="J1663" s="38">
        <f>COUNTIF(Data!$F$2:$F9917, $I1663)</f>
        <v>0</v>
      </c>
      <c r="T1663" s="31" t="s">
        <v>5882</v>
      </c>
      <c r="U1663" s="31" t="s">
        <v>5883</v>
      </c>
      <c r="V1663" s="32">
        <v>44559.0</v>
      </c>
    </row>
    <row r="1664">
      <c r="A1664" s="32"/>
      <c r="J1664" s="38">
        <f>COUNTIF(Data!$F$2:$F9917, $I1664)</f>
        <v>0</v>
      </c>
      <c r="T1664" s="31" t="s">
        <v>5885</v>
      </c>
      <c r="U1664" s="31" t="s">
        <v>5886</v>
      </c>
      <c r="V1664" s="32">
        <v>44558.0</v>
      </c>
    </row>
    <row r="1665">
      <c r="A1665" s="32"/>
      <c r="J1665" s="38">
        <f>COUNTIF(Data!$F$2:$F9917, $I1665)</f>
        <v>0</v>
      </c>
      <c r="T1665" s="31" t="s">
        <v>5889</v>
      </c>
      <c r="U1665" s="31" t="s">
        <v>5890</v>
      </c>
      <c r="V1665" s="32">
        <v>44558.0</v>
      </c>
    </row>
    <row r="1666">
      <c r="A1666" s="32"/>
      <c r="J1666" s="38">
        <f>COUNTIF(Data!$F$2:$F9917, $I1666)</f>
        <v>0</v>
      </c>
      <c r="T1666" s="31" t="s">
        <v>5892</v>
      </c>
      <c r="U1666" s="31" t="s">
        <v>5893</v>
      </c>
      <c r="V1666" s="32">
        <v>44557.0</v>
      </c>
    </row>
    <row r="1667">
      <c r="A1667" s="32"/>
      <c r="J1667" s="38">
        <f>COUNTIF(Data!$F$2:$F9917, $I1667)</f>
        <v>0</v>
      </c>
      <c r="T1667" s="31" t="s">
        <v>5896</v>
      </c>
      <c r="U1667" s="31" t="s">
        <v>5897</v>
      </c>
      <c r="V1667" s="32">
        <v>44555.0</v>
      </c>
    </row>
    <row r="1668">
      <c r="A1668" s="32"/>
      <c r="J1668" s="38">
        <f>COUNTIF(Data!$F$2:$F9917, $I1668)</f>
        <v>0</v>
      </c>
      <c r="T1668" s="31" t="s">
        <v>5899</v>
      </c>
      <c r="U1668" s="31" t="s">
        <v>5900</v>
      </c>
      <c r="V1668" s="32">
        <v>44554.0</v>
      </c>
    </row>
    <row r="1669">
      <c r="A1669" s="32"/>
      <c r="J1669" s="38">
        <f>COUNTIF(Data!$F$2:$F9917, $I1669)</f>
        <v>0</v>
      </c>
      <c r="T1669" s="31" t="s">
        <v>5904</v>
      </c>
      <c r="U1669" s="31" t="s">
        <v>5905</v>
      </c>
      <c r="V1669" s="32">
        <v>44553.0</v>
      </c>
    </row>
    <row r="1670">
      <c r="A1670" s="32"/>
      <c r="J1670" s="38">
        <f>COUNTIF(Data!$F$2:$F9917, $I1670)</f>
        <v>0</v>
      </c>
      <c r="T1670" s="31" t="s">
        <v>5908</v>
      </c>
      <c r="U1670" s="31" t="s">
        <v>5909</v>
      </c>
      <c r="V1670" s="32">
        <v>44552.0</v>
      </c>
    </row>
    <row r="1671">
      <c r="A1671" s="32"/>
      <c r="J1671" s="38">
        <f>COUNTIF(Data!$F$2:$F9917, $I1671)</f>
        <v>0</v>
      </c>
      <c r="T1671" s="31" t="s">
        <v>5912</v>
      </c>
      <c r="U1671" s="31" t="s">
        <v>5913</v>
      </c>
      <c r="V1671" s="32">
        <v>44551.0</v>
      </c>
    </row>
    <row r="1672">
      <c r="A1672" s="32"/>
      <c r="J1672" s="38">
        <f>COUNTIF(Data!$F$2:$F9917, $I1672)</f>
        <v>0</v>
      </c>
      <c r="T1672" s="31" t="s">
        <v>5916</v>
      </c>
      <c r="U1672" s="31" t="s">
        <v>5917</v>
      </c>
      <c r="V1672" s="32">
        <v>44551.0</v>
      </c>
    </row>
    <row r="1673">
      <c r="A1673" s="32"/>
      <c r="J1673" s="38">
        <f>COUNTIF(Data!$F$2:$F9917, $I1673)</f>
        <v>0</v>
      </c>
      <c r="T1673" s="31" t="s">
        <v>5920</v>
      </c>
      <c r="U1673" s="31" t="s">
        <v>5921</v>
      </c>
      <c r="V1673" s="32">
        <v>44551.0</v>
      </c>
    </row>
    <row r="1674">
      <c r="A1674" s="32"/>
      <c r="J1674" s="38">
        <f>COUNTIF(Data!$F$2:$F9917, $I1674)</f>
        <v>0</v>
      </c>
      <c r="T1674" s="31" t="s">
        <v>5925</v>
      </c>
      <c r="U1674" s="31" t="s">
        <v>5926</v>
      </c>
      <c r="V1674" s="32">
        <v>44551.0</v>
      </c>
    </row>
    <row r="1675">
      <c r="A1675" s="32"/>
      <c r="J1675" s="38">
        <f>COUNTIF(Data!$F$2:$F9917, $I1675)</f>
        <v>0</v>
      </c>
      <c r="T1675" s="31" t="s">
        <v>5929</v>
      </c>
      <c r="U1675" s="31" t="s">
        <v>5930</v>
      </c>
      <c r="V1675" s="32">
        <v>44550.0</v>
      </c>
    </row>
    <row r="1676">
      <c r="A1676" s="32"/>
      <c r="J1676" s="38">
        <f>COUNTIF(Data!$F$2:$F9917, $I1676)</f>
        <v>0</v>
      </c>
      <c r="T1676" s="31" t="s">
        <v>5933</v>
      </c>
      <c r="U1676" s="31" t="s">
        <v>5934</v>
      </c>
      <c r="V1676" s="32">
        <v>44550.0</v>
      </c>
    </row>
    <row r="1677">
      <c r="A1677" s="32"/>
      <c r="J1677" s="38">
        <f>COUNTIF(Data!$F$2:$F9917, $I1677)</f>
        <v>0</v>
      </c>
      <c r="T1677" s="31" t="s">
        <v>5937</v>
      </c>
      <c r="U1677" s="31" t="s">
        <v>5938</v>
      </c>
      <c r="V1677" s="32">
        <v>44550.0</v>
      </c>
    </row>
    <row r="1678">
      <c r="A1678" s="32"/>
      <c r="J1678" s="38">
        <f>COUNTIF(Data!$F$2:$F9917, $I1678)</f>
        <v>0</v>
      </c>
      <c r="T1678" s="31" t="s">
        <v>5942</v>
      </c>
      <c r="U1678" s="31" t="s">
        <v>5943</v>
      </c>
      <c r="V1678" s="32">
        <v>44547.0</v>
      </c>
    </row>
    <row r="1679">
      <c r="A1679" s="32"/>
      <c r="J1679" s="38">
        <f>COUNTIF(Data!$F$2:$F9917, $I1679)</f>
        <v>0</v>
      </c>
      <c r="T1679" s="31" t="s">
        <v>5947</v>
      </c>
      <c r="U1679" s="31" t="s">
        <v>5948</v>
      </c>
      <c r="V1679" s="32">
        <v>44547.0</v>
      </c>
    </row>
    <row r="1680">
      <c r="A1680" s="32"/>
      <c r="J1680" s="38">
        <f>COUNTIF(Data!$F$2:$F9917, $I1680)</f>
        <v>0</v>
      </c>
      <c r="T1680" s="31" t="s">
        <v>5951</v>
      </c>
      <c r="U1680" s="31" t="s">
        <v>5952</v>
      </c>
      <c r="V1680" s="32">
        <v>44547.0</v>
      </c>
    </row>
    <row r="1681">
      <c r="A1681" s="32"/>
      <c r="J1681" s="38">
        <f>COUNTIF(Data!$F$2:$F9917, $I1681)</f>
        <v>0</v>
      </c>
      <c r="T1681" s="31" t="s">
        <v>5955</v>
      </c>
      <c r="U1681" s="31" t="s">
        <v>5956</v>
      </c>
      <c r="V1681" s="32">
        <v>44547.0</v>
      </c>
    </row>
    <row r="1682">
      <c r="A1682" s="32"/>
      <c r="J1682" s="38">
        <f>COUNTIF(Data!$F$2:$F9917, $I1682)</f>
        <v>0</v>
      </c>
      <c r="T1682" s="31" t="s">
        <v>5959</v>
      </c>
      <c r="U1682" s="31" t="s">
        <v>5960</v>
      </c>
      <c r="V1682" s="32">
        <v>44546.0</v>
      </c>
    </row>
    <row r="1683">
      <c r="A1683" s="32"/>
      <c r="J1683" s="38">
        <f>COUNTIF(Data!$F$2:$F9917, $I1683)</f>
        <v>0</v>
      </c>
      <c r="T1683" s="31" t="s">
        <v>5963</v>
      </c>
      <c r="U1683" s="31" t="s">
        <v>5964</v>
      </c>
      <c r="V1683" s="32">
        <v>44546.0</v>
      </c>
    </row>
    <row r="1684">
      <c r="A1684" s="32"/>
      <c r="J1684" s="38">
        <f>COUNTIF(Data!$F$2:$F9917, $I1684)</f>
        <v>0</v>
      </c>
      <c r="T1684" s="31" t="s">
        <v>5967</v>
      </c>
      <c r="U1684" s="31" t="s">
        <v>5968</v>
      </c>
      <c r="V1684" s="32">
        <v>44546.0</v>
      </c>
    </row>
    <row r="1685">
      <c r="A1685" s="32"/>
      <c r="J1685" s="38">
        <f>COUNTIF(Data!$F$2:$F9917, $I1685)</f>
        <v>0</v>
      </c>
      <c r="T1685" s="31" t="s">
        <v>5971</v>
      </c>
      <c r="U1685" s="31" t="s">
        <v>5972</v>
      </c>
      <c r="V1685" s="32">
        <v>44546.0</v>
      </c>
    </row>
    <row r="1686">
      <c r="A1686" s="32"/>
      <c r="J1686" s="38">
        <f>COUNTIF(Data!$F$2:$F9917, $I1686)</f>
        <v>0</v>
      </c>
      <c r="T1686" s="31" t="s">
        <v>5975</v>
      </c>
      <c r="U1686" s="31" t="s">
        <v>5976</v>
      </c>
      <c r="V1686" s="32">
        <v>44546.0</v>
      </c>
    </row>
    <row r="1687">
      <c r="A1687" s="32"/>
      <c r="J1687" s="38">
        <f>COUNTIF(Data!$F$2:$F9917, $I1687)</f>
        <v>0</v>
      </c>
      <c r="T1687" s="31" t="s">
        <v>5979</v>
      </c>
      <c r="U1687" s="31" t="s">
        <v>5980</v>
      </c>
      <c r="V1687" s="32">
        <v>44544.0</v>
      </c>
    </row>
    <row r="1688">
      <c r="A1688" s="32"/>
      <c r="J1688" s="38">
        <f>COUNTIF(Data!$F$2:$F9917, $I1688)</f>
        <v>0</v>
      </c>
      <c r="T1688" s="31" t="s">
        <v>5983</v>
      </c>
      <c r="U1688" s="31" t="s">
        <v>5984</v>
      </c>
      <c r="V1688" s="32">
        <v>44543.0</v>
      </c>
    </row>
    <row r="1689">
      <c r="A1689" s="32"/>
      <c r="J1689" s="38">
        <f>COUNTIF(Data!$F$2:$F9917, $I1689)</f>
        <v>0</v>
      </c>
      <c r="T1689" s="31" t="s">
        <v>5988</v>
      </c>
      <c r="U1689" s="31" t="s">
        <v>5989</v>
      </c>
      <c r="V1689" s="32">
        <v>44543.0</v>
      </c>
    </row>
    <row r="1690">
      <c r="A1690" s="32"/>
      <c r="J1690" s="38">
        <f>COUNTIF(Data!$F$2:$F9917, $I1690)</f>
        <v>0</v>
      </c>
      <c r="T1690" s="31" t="s">
        <v>5992</v>
      </c>
      <c r="U1690" s="31" t="s">
        <v>5993</v>
      </c>
      <c r="V1690" s="32">
        <v>44542.0</v>
      </c>
    </row>
    <row r="1691">
      <c r="A1691" s="32"/>
      <c r="J1691" s="38">
        <f>COUNTIF(Data!$F$2:$F9917, $I1691)</f>
        <v>0</v>
      </c>
      <c r="T1691" s="31" t="s">
        <v>5996</v>
      </c>
      <c r="U1691" s="31" t="s">
        <v>5997</v>
      </c>
      <c r="V1691" s="32">
        <v>44542.0</v>
      </c>
    </row>
    <row r="1692">
      <c r="A1692" s="32"/>
      <c r="J1692" s="38">
        <f>COUNTIF(Data!$F$2:$F9917, $I1692)</f>
        <v>0</v>
      </c>
      <c r="T1692" s="31" t="s">
        <v>6000</v>
      </c>
      <c r="U1692" s="31" t="s">
        <v>6001</v>
      </c>
      <c r="V1692" s="32">
        <v>44542.0</v>
      </c>
    </row>
    <row r="1693">
      <c r="A1693" s="32"/>
      <c r="J1693" s="38">
        <f>COUNTIF(Data!$F$2:$F9917, $I1693)</f>
        <v>0</v>
      </c>
      <c r="T1693" s="31" t="s">
        <v>6004</v>
      </c>
      <c r="U1693" s="31" t="s">
        <v>6005</v>
      </c>
      <c r="V1693" s="32">
        <v>44541.0</v>
      </c>
    </row>
    <row r="1694">
      <c r="A1694" s="32"/>
      <c r="J1694" s="38">
        <f>COUNTIF(Data!$F$2:$F9917, $I1694)</f>
        <v>0</v>
      </c>
      <c r="T1694" s="31" t="s">
        <v>6009</v>
      </c>
      <c r="U1694" s="31" t="s">
        <v>6010</v>
      </c>
      <c r="V1694" s="32">
        <v>44540.0</v>
      </c>
    </row>
    <row r="1695">
      <c r="A1695" s="32"/>
      <c r="J1695" s="38">
        <f>COUNTIF(Data!$F$2:$F9917, $I1695)</f>
        <v>0</v>
      </c>
      <c r="T1695" s="31" t="s">
        <v>6013</v>
      </c>
      <c r="U1695" s="31" t="s">
        <v>6014</v>
      </c>
      <c r="V1695" s="32">
        <v>44540.0</v>
      </c>
    </row>
    <row r="1696">
      <c r="A1696" s="32"/>
      <c r="J1696" s="38">
        <f>COUNTIF(Data!$F$2:$F9917, $I1696)</f>
        <v>0</v>
      </c>
      <c r="T1696" s="31" t="s">
        <v>6017</v>
      </c>
      <c r="U1696" s="31" t="s">
        <v>6018</v>
      </c>
      <c r="V1696" s="32">
        <v>44539.0</v>
      </c>
    </row>
    <row r="1697">
      <c r="A1697" s="32"/>
      <c r="J1697" s="38">
        <f>COUNTIF(Data!$F$2:$F9917, $I1697)</f>
        <v>0</v>
      </c>
      <c r="T1697" s="31" t="s">
        <v>6021</v>
      </c>
      <c r="U1697" s="31" t="s">
        <v>6022</v>
      </c>
      <c r="V1697" s="32">
        <v>44539.0</v>
      </c>
    </row>
    <row r="1698">
      <c r="A1698" s="32"/>
      <c r="J1698" s="38">
        <f>COUNTIF(Data!$F$2:$F9917, $I1698)</f>
        <v>0</v>
      </c>
      <c r="T1698" s="31" t="s">
        <v>6025</v>
      </c>
      <c r="U1698" s="31" t="s">
        <v>2539</v>
      </c>
      <c r="V1698" s="32">
        <v>44539.0</v>
      </c>
    </row>
    <row r="1699">
      <c r="A1699" s="32"/>
      <c r="J1699" s="38">
        <f>COUNTIF(Data!$F$2:$F9917, $I1699)</f>
        <v>0</v>
      </c>
      <c r="T1699" s="31" t="s">
        <v>6028</v>
      </c>
      <c r="U1699" s="31" t="s">
        <v>6029</v>
      </c>
      <c r="V1699" s="32">
        <v>44539.0</v>
      </c>
    </row>
    <row r="1700">
      <c r="A1700" s="32"/>
      <c r="J1700" s="38">
        <f>COUNTIF(Data!$F$2:$F9917, $I1700)</f>
        <v>0</v>
      </c>
      <c r="T1700" s="31" t="s">
        <v>6032</v>
      </c>
      <c r="U1700" s="31" t="s">
        <v>6033</v>
      </c>
      <c r="V1700" s="32">
        <v>44538.0</v>
      </c>
    </row>
    <row r="1701">
      <c r="A1701" s="32"/>
      <c r="J1701" s="38">
        <f>COUNTIF(Data!$F$2:$F9917, $I1701)</f>
        <v>0</v>
      </c>
      <c r="T1701" s="31" t="s">
        <v>6036</v>
      </c>
      <c r="U1701" s="31" t="s">
        <v>6037</v>
      </c>
      <c r="V1701" s="32">
        <v>44536.0</v>
      </c>
    </row>
    <row r="1702">
      <c r="A1702" s="32"/>
      <c r="J1702" s="38">
        <f>COUNTIF(Data!$F$2:$F9917, $I1702)</f>
        <v>0</v>
      </c>
      <c r="T1702" s="31" t="s">
        <v>6040</v>
      </c>
      <c r="U1702" s="31" t="s">
        <v>6041</v>
      </c>
      <c r="V1702" s="32">
        <v>44536.0</v>
      </c>
    </row>
    <row r="1703">
      <c r="A1703" s="32"/>
      <c r="J1703" s="38">
        <f>COUNTIF(Data!$F$2:$F9917, $I1703)</f>
        <v>0</v>
      </c>
      <c r="T1703" s="31" t="s">
        <v>6044</v>
      </c>
      <c r="U1703" s="31" t="s">
        <v>6045</v>
      </c>
      <c r="V1703" s="32">
        <v>44534.0</v>
      </c>
    </row>
    <row r="1704">
      <c r="A1704" s="32"/>
      <c r="J1704" s="38">
        <f>COUNTIF(Data!$F$2:$F9917, $I1704)</f>
        <v>0</v>
      </c>
      <c r="T1704" s="31" t="s">
        <v>6047</v>
      </c>
      <c r="U1704" s="31" t="s">
        <v>6048</v>
      </c>
      <c r="V1704" s="32">
        <v>44534.0</v>
      </c>
    </row>
    <row r="1705">
      <c r="A1705" s="32"/>
      <c r="J1705" s="38">
        <f>COUNTIF(Data!$F$2:$F9917, $I1705)</f>
        <v>0</v>
      </c>
      <c r="T1705" s="31" t="s">
        <v>6052</v>
      </c>
      <c r="U1705" s="31" t="s">
        <v>6053</v>
      </c>
      <c r="V1705" s="32">
        <v>44533.0</v>
      </c>
    </row>
    <row r="1706">
      <c r="A1706" s="32"/>
      <c r="J1706" s="38">
        <f>COUNTIF(Data!$F$2:$F9917, $I1706)</f>
        <v>0</v>
      </c>
      <c r="T1706" s="31" t="s">
        <v>6056</v>
      </c>
      <c r="U1706" s="31" t="s">
        <v>6057</v>
      </c>
      <c r="V1706" s="32">
        <v>44532.0</v>
      </c>
    </row>
    <row r="1707">
      <c r="A1707" s="32"/>
      <c r="J1707" s="38">
        <f>COUNTIF(Data!$F$2:$F9917, $I1707)</f>
        <v>0</v>
      </c>
      <c r="T1707" s="31" t="s">
        <v>6060</v>
      </c>
      <c r="U1707" s="31" t="s">
        <v>6061</v>
      </c>
      <c r="V1707" s="32">
        <v>44532.0</v>
      </c>
    </row>
    <row r="1708">
      <c r="A1708" s="32"/>
      <c r="J1708" s="38">
        <f>COUNTIF(Data!$F$2:$F9917, $I1708)</f>
        <v>0</v>
      </c>
      <c r="T1708" s="31" t="s">
        <v>6064</v>
      </c>
      <c r="U1708" s="31" t="s">
        <v>6065</v>
      </c>
      <c r="V1708" s="32">
        <v>44531.0</v>
      </c>
    </row>
    <row r="1709">
      <c r="A1709" s="32"/>
      <c r="J1709" s="38">
        <f>COUNTIF(Data!$F$2:$F9917, $I1709)</f>
        <v>0</v>
      </c>
      <c r="T1709" s="31" t="s">
        <v>6068</v>
      </c>
      <c r="U1709" s="31" t="s">
        <v>6069</v>
      </c>
      <c r="V1709" s="32">
        <v>44531.0</v>
      </c>
    </row>
    <row r="1710">
      <c r="A1710" s="32"/>
      <c r="J1710" s="38">
        <f>COUNTIF(Data!$F$2:$F9917, $I1710)</f>
        <v>0</v>
      </c>
      <c r="T1710" s="31" t="s">
        <v>6072</v>
      </c>
      <c r="U1710" s="31" t="s">
        <v>6073</v>
      </c>
      <c r="V1710" s="32">
        <v>44531.0</v>
      </c>
    </row>
    <row r="1711">
      <c r="A1711" s="32"/>
      <c r="J1711" s="38">
        <f>COUNTIF(Data!$F$2:$F9917, $I1711)</f>
        <v>0</v>
      </c>
      <c r="T1711" s="31" t="s">
        <v>6077</v>
      </c>
      <c r="U1711" s="31" t="s">
        <v>6078</v>
      </c>
      <c r="V1711" s="32">
        <v>44531.0</v>
      </c>
    </row>
    <row r="1712">
      <c r="A1712" s="32"/>
      <c r="J1712" s="38">
        <f>COUNTIF(Data!$F$2:$F9917, $I1712)</f>
        <v>0</v>
      </c>
      <c r="T1712" s="31" t="s">
        <v>6081</v>
      </c>
      <c r="U1712" s="31" t="s">
        <v>6082</v>
      </c>
      <c r="V1712" s="32">
        <v>44531.0</v>
      </c>
    </row>
    <row r="1713">
      <c r="A1713" s="32"/>
      <c r="J1713" s="38">
        <f>COUNTIF(Data!$F$2:$F9917, $I1713)</f>
        <v>0</v>
      </c>
      <c r="T1713" s="31" t="s">
        <v>6085</v>
      </c>
      <c r="U1713" s="31" t="s">
        <v>6086</v>
      </c>
      <c r="V1713" s="32">
        <v>44531.0</v>
      </c>
    </row>
    <row r="1714">
      <c r="A1714" s="32"/>
      <c r="J1714" s="38">
        <f>COUNTIF(Data!$F$2:$F9917, $I1714)</f>
        <v>0</v>
      </c>
      <c r="T1714" s="31" t="s">
        <v>6089</v>
      </c>
      <c r="U1714" s="31" t="s">
        <v>5143</v>
      </c>
      <c r="V1714" s="32">
        <v>44531.0</v>
      </c>
    </row>
    <row r="1715">
      <c r="A1715" s="32"/>
      <c r="J1715" s="38">
        <f>COUNTIF(Data!$F$2:$F9917, $I1715)</f>
        <v>0</v>
      </c>
      <c r="T1715" s="31" t="s">
        <v>6092</v>
      </c>
      <c r="U1715" s="31" t="s">
        <v>6093</v>
      </c>
      <c r="V1715" s="32">
        <v>44530.0</v>
      </c>
    </row>
    <row r="1716">
      <c r="A1716" s="32"/>
      <c r="J1716" s="38">
        <f>COUNTIF(Data!$F$2:$F9917, $I1716)</f>
        <v>0</v>
      </c>
      <c r="T1716" s="31" t="s">
        <v>6096</v>
      </c>
      <c r="U1716" s="31" t="s">
        <v>6097</v>
      </c>
      <c r="V1716" s="32">
        <v>44530.0</v>
      </c>
    </row>
    <row r="1717">
      <c r="A1717" s="32"/>
      <c r="J1717" s="38">
        <f>COUNTIF(Data!$F$2:$F9917, $I1717)</f>
        <v>0</v>
      </c>
      <c r="T1717" s="31" t="s">
        <v>6100</v>
      </c>
      <c r="U1717" s="31" t="s">
        <v>6101</v>
      </c>
      <c r="V1717" s="32">
        <v>44529.0</v>
      </c>
    </row>
    <row r="1718">
      <c r="A1718" s="32"/>
      <c r="J1718" s="38">
        <f>COUNTIF(Data!$F$2:$F9917, $I1718)</f>
        <v>0</v>
      </c>
      <c r="T1718" s="31" t="s">
        <v>6104</v>
      </c>
      <c r="U1718" s="31" t="s">
        <v>6105</v>
      </c>
      <c r="V1718" s="32">
        <v>44527.0</v>
      </c>
    </row>
    <row r="1719">
      <c r="A1719" s="32"/>
      <c r="J1719" s="38">
        <f>COUNTIF(Data!$F$2:$F9917, $I1719)</f>
        <v>0</v>
      </c>
      <c r="T1719" s="31" t="s">
        <v>6108</v>
      </c>
      <c r="U1719" s="31" t="s">
        <v>6109</v>
      </c>
      <c r="V1719" s="32">
        <v>44524.0</v>
      </c>
    </row>
    <row r="1720">
      <c r="A1720" s="32"/>
      <c r="J1720" s="38">
        <f>COUNTIF(Data!$F$2:$F9917, $I1720)</f>
        <v>0</v>
      </c>
      <c r="T1720" s="31" t="s">
        <v>6112</v>
      </c>
      <c r="U1720" s="31" t="s">
        <v>6113</v>
      </c>
      <c r="V1720" s="32">
        <v>44523.0</v>
      </c>
    </row>
    <row r="1721">
      <c r="A1721" s="32"/>
      <c r="J1721" s="38">
        <f>COUNTIF(Data!$F$2:$F9917, $I1721)</f>
        <v>0</v>
      </c>
      <c r="T1721" s="31" t="s">
        <v>6116</v>
      </c>
      <c r="U1721" s="31" t="s">
        <v>6117</v>
      </c>
      <c r="V1721" s="32">
        <v>44520.0</v>
      </c>
    </row>
    <row r="1722">
      <c r="A1722" s="32"/>
      <c r="J1722" s="38">
        <f>COUNTIF(Data!$F$2:$F9917, $I1722)</f>
        <v>0</v>
      </c>
      <c r="T1722" s="31" t="s">
        <v>6121</v>
      </c>
      <c r="U1722" s="31" t="s">
        <v>6122</v>
      </c>
      <c r="V1722" s="32">
        <v>44520.0</v>
      </c>
    </row>
    <row r="1723">
      <c r="A1723" s="32"/>
      <c r="J1723" s="38">
        <f>COUNTIF(Data!$F$2:$F9917, $I1723)</f>
        <v>0</v>
      </c>
      <c r="T1723" s="31" t="s">
        <v>6126</v>
      </c>
      <c r="U1723" s="31" t="s">
        <v>6127</v>
      </c>
      <c r="V1723" s="32">
        <v>44519.0</v>
      </c>
    </row>
    <row r="1724">
      <c r="A1724" s="32"/>
      <c r="J1724" s="38">
        <f>COUNTIF(Data!$F$2:$F9917, $I1724)</f>
        <v>0</v>
      </c>
      <c r="T1724" s="31" t="s">
        <v>6130</v>
      </c>
      <c r="U1724" s="31" t="s">
        <v>6131</v>
      </c>
      <c r="V1724" s="32">
        <v>44519.0</v>
      </c>
    </row>
    <row r="1725">
      <c r="A1725" s="32"/>
      <c r="J1725" s="38">
        <f>COUNTIF(Data!$F$2:$F9917, $I1725)</f>
        <v>0</v>
      </c>
      <c r="T1725" s="31" t="s">
        <v>6134</v>
      </c>
      <c r="U1725" s="31" t="s">
        <v>6135</v>
      </c>
      <c r="V1725" s="32">
        <v>44518.0</v>
      </c>
    </row>
    <row r="1726">
      <c r="A1726" s="32"/>
      <c r="J1726" s="38">
        <f>COUNTIF(Data!$F$2:$F9917, $I1726)</f>
        <v>0</v>
      </c>
      <c r="T1726" s="31" t="s">
        <v>6138</v>
      </c>
      <c r="U1726" s="31" t="s">
        <v>6139</v>
      </c>
      <c r="V1726" s="32">
        <v>44518.0</v>
      </c>
    </row>
    <row r="1727">
      <c r="A1727" s="32"/>
      <c r="J1727" s="38">
        <f>COUNTIF(Data!$F$2:$F9917, $I1727)</f>
        <v>0</v>
      </c>
      <c r="T1727" s="31" t="s">
        <v>6142</v>
      </c>
      <c r="U1727" s="31" t="s">
        <v>6143</v>
      </c>
      <c r="V1727" s="32">
        <v>44517.0</v>
      </c>
    </row>
    <row r="1728">
      <c r="A1728" s="32"/>
      <c r="J1728" s="38">
        <f>COUNTIF(Data!$F$2:$F9917, $I1728)</f>
        <v>0</v>
      </c>
      <c r="T1728" s="31" t="s">
        <v>6146</v>
      </c>
      <c r="U1728" s="31" t="s">
        <v>6147</v>
      </c>
      <c r="V1728" s="32">
        <v>44516.0</v>
      </c>
    </row>
    <row r="1729">
      <c r="A1729" s="32"/>
      <c r="J1729" s="38">
        <f>COUNTIF(Data!$F$2:$F9917, $I1729)</f>
        <v>0</v>
      </c>
      <c r="T1729" s="31" t="s">
        <v>6150</v>
      </c>
      <c r="U1729" s="31" t="s">
        <v>6151</v>
      </c>
      <c r="V1729" s="32">
        <v>44515.0</v>
      </c>
    </row>
    <row r="1730">
      <c r="A1730" s="32"/>
      <c r="J1730" s="38">
        <f>COUNTIF(Data!$F$2:$F9917, $I1730)</f>
        <v>0</v>
      </c>
      <c r="T1730" s="31" t="s">
        <v>6154</v>
      </c>
      <c r="U1730" s="31" t="s">
        <v>6155</v>
      </c>
      <c r="V1730" s="32">
        <v>44515.0</v>
      </c>
    </row>
    <row r="1731">
      <c r="A1731" s="32"/>
      <c r="J1731" s="38">
        <f>COUNTIF(Data!$F$2:$F9917, $I1731)</f>
        <v>0</v>
      </c>
      <c r="T1731" s="31" t="s">
        <v>6158</v>
      </c>
      <c r="U1731" s="31" t="s">
        <v>4914</v>
      </c>
      <c r="V1731" s="32">
        <v>44515.0</v>
      </c>
    </row>
    <row r="1732">
      <c r="A1732" s="32"/>
      <c r="J1732" s="38">
        <f>COUNTIF(Data!$F$2:$F9917, $I1732)</f>
        <v>0</v>
      </c>
      <c r="T1732" s="31" t="s">
        <v>6161</v>
      </c>
      <c r="U1732" s="31" t="s">
        <v>6162</v>
      </c>
      <c r="V1732" s="32">
        <v>44515.0</v>
      </c>
    </row>
    <row r="1733">
      <c r="A1733" s="32"/>
      <c r="J1733" s="38">
        <f>COUNTIF(Data!$F$2:$F9917, $I1733)</f>
        <v>0</v>
      </c>
      <c r="T1733" s="31" t="s">
        <v>6165</v>
      </c>
      <c r="U1733" s="31" t="s">
        <v>6166</v>
      </c>
      <c r="V1733" s="32">
        <v>44512.0</v>
      </c>
    </row>
    <row r="1734">
      <c r="A1734" s="32"/>
      <c r="J1734" s="38">
        <f>COUNTIF(Data!$F$2:$F9917, $I1734)</f>
        <v>0</v>
      </c>
      <c r="T1734" s="31" t="s">
        <v>6169</v>
      </c>
      <c r="U1734" s="31" t="s">
        <v>6170</v>
      </c>
      <c r="V1734" s="32">
        <v>44511.0</v>
      </c>
    </row>
    <row r="1735">
      <c r="A1735" s="32"/>
      <c r="J1735" s="38">
        <f>COUNTIF(Data!$F$2:$F9917, $I1735)</f>
        <v>0</v>
      </c>
      <c r="T1735" s="31" t="s">
        <v>6173</v>
      </c>
      <c r="U1735" s="31" t="s">
        <v>6174</v>
      </c>
      <c r="V1735" s="32">
        <v>44510.0</v>
      </c>
    </row>
    <row r="1736">
      <c r="A1736" s="32"/>
      <c r="J1736" s="38">
        <f>COUNTIF(Data!$F$2:$F9917, $I1736)</f>
        <v>0</v>
      </c>
      <c r="T1736" s="31" t="s">
        <v>6177</v>
      </c>
      <c r="U1736" s="31" t="s">
        <v>6178</v>
      </c>
      <c r="V1736" s="32">
        <v>44510.0</v>
      </c>
    </row>
    <row r="1737">
      <c r="A1737" s="32"/>
      <c r="J1737" s="38">
        <f>COUNTIF(Data!$F$2:$F9917, $I1737)</f>
        <v>0</v>
      </c>
      <c r="T1737" s="31" t="s">
        <v>6182</v>
      </c>
      <c r="U1737" s="31" t="s">
        <v>6183</v>
      </c>
      <c r="V1737" s="32">
        <v>44509.0</v>
      </c>
    </row>
    <row r="1738">
      <c r="A1738" s="32"/>
      <c r="J1738" s="38">
        <f>COUNTIF(Data!$F$2:$F9917, $I1738)</f>
        <v>0</v>
      </c>
      <c r="T1738" s="31" t="s">
        <v>6186</v>
      </c>
      <c r="U1738" s="31" t="s">
        <v>6187</v>
      </c>
      <c r="V1738" s="32">
        <v>44509.0</v>
      </c>
    </row>
    <row r="1739">
      <c r="A1739" s="32"/>
      <c r="J1739" s="38">
        <f>COUNTIF(Data!$F$2:$F9917, $I1739)</f>
        <v>0</v>
      </c>
      <c r="T1739" s="31" t="s">
        <v>6191</v>
      </c>
      <c r="U1739" s="31" t="s">
        <v>6192</v>
      </c>
      <c r="V1739" s="32">
        <v>44506.0</v>
      </c>
    </row>
    <row r="1740">
      <c r="A1740" s="32"/>
      <c r="J1740" s="38">
        <f>COUNTIF(Data!$F$2:$F9917, $I1740)</f>
        <v>0</v>
      </c>
      <c r="T1740" s="31" t="s">
        <v>6196</v>
      </c>
      <c r="U1740" s="31" t="s">
        <v>6197</v>
      </c>
      <c r="V1740" s="32">
        <v>44506.0</v>
      </c>
    </row>
    <row r="1741">
      <c r="A1741" s="32"/>
      <c r="J1741" s="38">
        <f>COUNTIF(Data!$F$2:$F9917, $I1741)</f>
        <v>0</v>
      </c>
      <c r="T1741" s="31" t="s">
        <v>6200</v>
      </c>
      <c r="U1741" s="31" t="s">
        <v>6201</v>
      </c>
      <c r="V1741" s="32">
        <v>44504.0</v>
      </c>
    </row>
    <row r="1742">
      <c r="A1742" s="32"/>
      <c r="J1742" s="38">
        <f>COUNTIF(Data!$F$2:$F9917, $I1742)</f>
        <v>0</v>
      </c>
      <c r="T1742" s="31" t="s">
        <v>6205</v>
      </c>
      <c r="U1742" s="31" t="s">
        <v>6206</v>
      </c>
      <c r="V1742" s="32">
        <v>44503.0</v>
      </c>
    </row>
    <row r="1743">
      <c r="A1743" s="32"/>
      <c r="J1743" s="38">
        <f>COUNTIF(Data!$F$2:$F9917, $I1743)</f>
        <v>0</v>
      </c>
      <c r="T1743" s="31" t="s">
        <v>6209</v>
      </c>
      <c r="U1743" s="31" t="s">
        <v>6210</v>
      </c>
      <c r="V1743" s="32">
        <v>44503.0</v>
      </c>
    </row>
    <row r="1744">
      <c r="A1744" s="32"/>
      <c r="J1744" s="38">
        <f>COUNTIF(Data!$F$2:$F9917, $I1744)</f>
        <v>0</v>
      </c>
      <c r="T1744" s="31" t="s">
        <v>6212</v>
      </c>
      <c r="U1744" s="31" t="s">
        <v>6213</v>
      </c>
      <c r="V1744" s="32">
        <v>44502.0</v>
      </c>
    </row>
    <row r="1745">
      <c r="A1745" s="32"/>
      <c r="J1745" s="38">
        <f>COUNTIF(Data!$F$2:$F9917, $I1745)</f>
        <v>0</v>
      </c>
      <c r="T1745" s="31" t="s">
        <v>6217</v>
      </c>
      <c r="U1745" s="31" t="s">
        <v>6218</v>
      </c>
      <c r="V1745" s="32">
        <v>44502.0</v>
      </c>
    </row>
    <row r="1746">
      <c r="A1746" s="32"/>
      <c r="J1746" s="38">
        <f>COUNTIF(Data!$F$2:$F9917, $I1746)</f>
        <v>0</v>
      </c>
      <c r="T1746" s="31" t="s">
        <v>6221</v>
      </c>
      <c r="U1746" s="31" t="s">
        <v>6222</v>
      </c>
      <c r="V1746" s="32">
        <v>44502.0</v>
      </c>
    </row>
    <row r="1747">
      <c r="A1747" s="32"/>
      <c r="J1747" s="38"/>
      <c r="T1747" s="31" t="s">
        <v>6225</v>
      </c>
      <c r="U1747" s="31" t="s">
        <v>6226</v>
      </c>
      <c r="V1747" s="32">
        <v>44502.0</v>
      </c>
    </row>
    <row r="1748">
      <c r="A1748" s="32"/>
      <c r="T1748" s="31" t="s">
        <v>6229</v>
      </c>
      <c r="U1748" s="31" t="s">
        <v>6230</v>
      </c>
      <c r="V1748" s="32">
        <v>44501.0</v>
      </c>
    </row>
    <row r="1749">
      <c r="A1749" s="32"/>
      <c r="T1749" s="31" t="s">
        <v>6232</v>
      </c>
      <c r="U1749" s="31" t="s">
        <v>6233</v>
      </c>
      <c r="V1749" s="32">
        <v>44501.0</v>
      </c>
    </row>
    <row r="1750">
      <c r="A1750" s="32"/>
      <c r="T1750" s="31" t="s">
        <v>6236</v>
      </c>
      <c r="U1750" s="31" t="s">
        <v>6237</v>
      </c>
      <c r="V1750" s="32">
        <v>44501.0</v>
      </c>
    </row>
    <row r="1751">
      <c r="A1751" s="32"/>
      <c r="T1751" s="31" t="s">
        <v>6240</v>
      </c>
      <c r="U1751" s="31" t="s">
        <v>6241</v>
      </c>
      <c r="V1751" s="32">
        <v>44501.0</v>
      </c>
    </row>
    <row r="1752">
      <c r="A1752" s="32"/>
      <c r="T1752" s="31" t="s">
        <v>6244</v>
      </c>
      <c r="U1752" s="31" t="s">
        <v>6245</v>
      </c>
      <c r="V1752" s="32">
        <v>44501.0</v>
      </c>
    </row>
    <row r="1753">
      <c r="A1753" s="32"/>
      <c r="T1753" s="31" t="s">
        <v>6249</v>
      </c>
      <c r="U1753" s="31" t="s">
        <v>6250</v>
      </c>
      <c r="V1753" s="32">
        <v>44501.0</v>
      </c>
    </row>
    <row r="1754">
      <c r="A1754" s="32"/>
      <c r="T1754" s="31" t="s">
        <v>6254</v>
      </c>
      <c r="U1754" s="31" t="s">
        <v>6255</v>
      </c>
      <c r="V1754" s="32">
        <v>44501.0</v>
      </c>
    </row>
    <row r="1755">
      <c r="A1755" s="32"/>
      <c r="T1755" s="31" t="s">
        <v>6259</v>
      </c>
      <c r="U1755" s="31" t="s">
        <v>6260</v>
      </c>
      <c r="V1755" s="32">
        <v>44501.0</v>
      </c>
    </row>
    <row r="1756">
      <c r="A1756" s="32"/>
      <c r="T1756" s="31" t="s">
        <v>6262</v>
      </c>
      <c r="U1756" s="31" t="s">
        <v>6263</v>
      </c>
      <c r="V1756" s="32">
        <v>44498.0</v>
      </c>
    </row>
    <row r="1757">
      <c r="A1757" s="32"/>
      <c r="T1757" s="31" t="s">
        <v>6267</v>
      </c>
      <c r="U1757" s="31" t="s">
        <v>6268</v>
      </c>
      <c r="V1757" s="32">
        <v>44497.0</v>
      </c>
    </row>
    <row r="1758">
      <c r="A1758" s="32"/>
      <c r="T1758" s="31" t="s">
        <v>6271</v>
      </c>
      <c r="U1758" s="31" t="s">
        <v>6272</v>
      </c>
      <c r="V1758" s="32">
        <v>44497.0</v>
      </c>
    </row>
    <row r="1759">
      <c r="A1759" s="32"/>
      <c r="T1759" s="31" t="s">
        <v>6276</v>
      </c>
      <c r="U1759" s="31" t="s">
        <v>6277</v>
      </c>
      <c r="V1759" s="32">
        <v>44496.0</v>
      </c>
    </row>
    <row r="1760">
      <c r="A1760" s="32"/>
      <c r="T1760" s="31" t="s">
        <v>6280</v>
      </c>
      <c r="U1760" s="31" t="s">
        <v>6281</v>
      </c>
      <c r="V1760" s="32">
        <v>44495.0</v>
      </c>
    </row>
    <row r="1761">
      <c r="A1761" s="32"/>
      <c r="T1761" s="31" t="s">
        <v>6284</v>
      </c>
      <c r="U1761" s="31" t="s">
        <v>6285</v>
      </c>
      <c r="V1761" s="32">
        <v>44495.0</v>
      </c>
    </row>
    <row r="1762">
      <c r="A1762" s="32"/>
      <c r="T1762" s="31" t="s">
        <v>6288</v>
      </c>
      <c r="U1762" s="31" t="s">
        <v>6289</v>
      </c>
      <c r="V1762" s="32">
        <v>44495.0</v>
      </c>
    </row>
    <row r="1763">
      <c r="A1763" s="32"/>
      <c r="T1763" s="31" t="s">
        <v>6292</v>
      </c>
      <c r="U1763" s="31" t="s">
        <v>6293</v>
      </c>
      <c r="V1763" s="32">
        <v>44495.0</v>
      </c>
    </row>
    <row r="1764">
      <c r="A1764" s="32"/>
      <c r="T1764" s="31" t="s">
        <v>6296</v>
      </c>
      <c r="U1764" s="31" t="s">
        <v>6297</v>
      </c>
      <c r="V1764" s="32">
        <v>44491.0</v>
      </c>
    </row>
    <row r="1765">
      <c r="A1765" s="32"/>
      <c r="T1765" s="31" t="s">
        <v>6299</v>
      </c>
      <c r="U1765" s="31" t="s">
        <v>6300</v>
      </c>
      <c r="V1765" s="32">
        <v>44490.0</v>
      </c>
    </row>
    <row r="1766">
      <c r="A1766" s="32"/>
      <c r="T1766" s="31" t="s">
        <v>6304</v>
      </c>
      <c r="U1766" s="31" t="s">
        <v>6305</v>
      </c>
      <c r="V1766" s="32">
        <v>44489.0</v>
      </c>
    </row>
    <row r="1767">
      <c r="A1767" s="32"/>
      <c r="T1767" s="31" t="s">
        <v>6308</v>
      </c>
      <c r="U1767" s="31" t="s">
        <v>6309</v>
      </c>
      <c r="V1767" s="32">
        <v>44489.0</v>
      </c>
    </row>
    <row r="1768">
      <c r="A1768" s="32"/>
      <c r="T1768" s="31" t="s">
        <v>6312</v>
      </c>
      <c r="U1768" s="31" t="s">
        <v>2918</v>
      </c>
      <c r="V1768" s="32">
        <v>44489.0</v>
      </c>
    </row>
    <row r="1769">
      <c r="A1769" s="32"/>
      <c r="T1769" s="31" t="s">
        <v>6315</v>
      </c>
      <c r="U1769" s="31" t="s">
        <v>6316</v>
      </c>
      <c r="V1769" s="32">
        <v>44488.0</v>
      </c>
    </row>
    <row r="1770">
      <c r="A1770" s="32"/>
      <c r="T1770" s="31" t="s">
        <v>6320</v>
      </c>
      <c r="U1770" s="31" t="s">
        <v>6321</v>
      </c>
      <c r="V1770" s="32">
        <v>44488.0</v>
      </c>
    </row>
    <row r="1771">
      <c r="A1771" s="32"/>
      <c r="T1771" s="31" t="s">
        <v>6324</v>
      </c>
      <c r="U1771" s="31" t="s">
        <v>6325</v>
      </c>
      <c r="V1771" s="32">
        <v>44488.0</v>
      </c>
    </row>
    <row r="1772">
      <c r="A1772" s="32"/>
      <c r="T1772" s="31" t="s">
        <v>6328</v>
      </c>
      <c r="U1772" s="31" t="s">
        <v>6329</v>
      </c>
      <c r="V1772" s="32">
        <v>44487.0</v>
      </c>
    </row>
    <row r="1773">
      <c r="A1773" s="32"/>
      <c r="T1773" s="31" t="s">
        <v>6332</v>
      </c>
      <c r="U1773" s="31" t="s">
        <v>6333</v>
      </c>
      <c r="V1773" s="32">
        <v>44485.0</v>
      </c>
    </row>
    <row r="1774">
      <c r="A1774" s="32"/>
      <c r="T1774" s="31" t="s">
        <v>6337</v>
      </c>
      <c r="U1774" s="31" t="s">
        <v>6338</v>
      </c>
      <c r="V1774" s="32">
        <v>44485.0</v>
      </c>
    </row>
    <row r="1775">
      <c r="A1775" s="32"/>
      <c r="T1775" s="31" t="s">
        <v>6341</v>
      </c>
      <c r="U1775" s="31" t="s">
        <v>6342</v>
      </c>
      <c r="V1775" s="32">
        <v>44485.0</v>
      </c>
    </row>
    <row r="1776">
      <c r="A1776" s="32"/>
      <c r="T1776" s="31" t="s">
        <v>6345</v>
      </c>
      <c r="U1776" s="31" t="s">
        <v>6346</v>
      </c>
      <c r="V1776" s="32">
        <v>44484.0</v>
      </c>
    </row>
    <row r="1777">
      <c r="A1777" s="32"/>
      <c r="T1777" s="31" t="s">
        <v>6350</v>
      </c>
      <c r="U1777" s="31" t="s">
        <v>6351</v>
      </c>
      <c r="V1777" s="32">
        <v>44483.0</v>
      </c>
    </row>
    <row r="1778">
      <c r="A1778" s="32"/>
      <c r="T1778" s="31" t="s">
        <v>6354</v>
      </c>
      <c r="U1778" s="31" t="s">
        <v>6355</v>
      </c>
      <c r="V1778" s="32">
        <v>44482.0</v>
      </c>
    </row>
    <row r="1779">
      <c r="A1779" s="32"/>
      <c r="T1779" s="31" t="s">
        <v>6358</v>
      </c>
      <c r="U1779" s="31" t="s">
        <v>6359</v>
      </c>
      <c r="V1779" s="32">
        <v>44481.0</v>
      </c>
    </row>
    <row r="1780">
      <c r="A1780" s="32"/>
      <c r="T1780" s="31" t="s">
        <v>6362</v>
      </c>
      <c r="U1780" s="31" t="s">
        <v>6363</v>
      </c>
      <c r="V1780" s="32">
        <v>44480.0</v>
      </c>
    </row>
    <row r="1781">
      <c r="A1781" s="32"/>
      <c r="T1781" s="31" t="s">
        <v>6366</v>
      </c>
      <c r="U1781" s="31" t="s">
        <v>6367</v>
      </c>
      <c r="V1781" s="32">
        <v>44478.0</v>
      </c>
    </row>
    <row r="1782">
      <c r="A1782" s="32"/>
      <c r="T1782" s="31" t="s">
        <v>6370</v>
      </c>
      <c r="U1782" s="31" t="s">
        <v>6371</v>
      </c>
      <c r="V1782" s="32">
        <v>44478.0</v>
      </c>
    </row>
    <row r="1783">
      <c r="A1783" s="32"/>
      <c r="T1783" s="31" t="s">
        <v>6374</v>
      </c>
      <c r="U1783" s="31" t="s">
        <v>6375</v>
      </c>
      <c r="V1783" s="32">
        <v>44478.0</v>
      </c>
    </row>
    <row r="1784">
      <c r="A1784" s="32"/>
      <c r="T1784" s="31" t="s">
        <v>6379</v>
      </c>
      <c r="U1784" s="31" t="s">
        <v>6380</v>
      </c>
      <c r="V1784" s="32">
        <v>44476.0</v>
      </c>
    </row>
    <row r="1785">
      <c r="A1785" s="32"/>
      <c r="T1785" s="31" t="s">
        <v>6383</v>
      </c>
      <c r="U1785" s="31" t="s">
        <v>6384</v>
      </c>
      <c r="V1785" s="32">
        <v>44476.0</v>
      </c>
    </row>
    <row r="1786">
      <c r="A1786" s="32"/>
      <c r="T1786" s="31" t="s">
        <v>6387</v>
      </c>
      <c r="U1786" s="31" t="s">
        <v>6388</v>
      </c>
      <c r="V1786" s="32">
        <v>44476.0</v>
      </c>
    </row>
    <row r="1787">
      <c r="A1787" s="32"/>
      <c r="T1787" s="31" t="s">
        <v>6391</v>
      </c>
      <c r="U1787" s="31" t="s">
        <v>6392</v>
      </c>
      <c r="V1787" s="32">
        <v>44476.0</v>
      </c>
    </row>
    <row r="1788">
      <c r="A1788" s="32"/>
      <c r="T1788" s="31" t="s">
        <v>6396</v>
      </c>
      <c r="U1788" s="31" t="s">
        <v>6397</v>
      </c>
      <c r="V1788" s="32">
        <v>44476.0</v>
      </c>
    </row>
    <row r="1789">
      <c r="A1789" s="32"/>
      <c r="T1789" s="31" t="s">
        <v>6400</v>
      </c>
      <c r="U1789" s="31" t="s">
        <v>6401</v>
      </c>
      <c r="V1789" s="32">
        <v>44476.0</v>
      </c>
    </row>
    <row r="1790">
      <c r="A1790" s="32"/>
      <c r="T1790" s="31" t="s">
        <v>6404</v>
      </c>
      <c r="U1790" s="31" t="s">
        <v>6405</v>
      </c>
      <c r="V1790" s="32">
        <v>44474.0</v>
      </c>
    </row>
    <row r="1791">
      <c r="A1791" s="32"/>
      <c r="T1791" s="31" t="s">
        <v>6409</v>
      </c>
      <c r="U1791" s="31" t="s">
        <v>4053</v>
      </c>
      <c r="V1791" s="32">
        <v>44474.0</v>
      </c>
    </row>
    <row r="1792">
      <c r="A1792" s="32"/>
      <c r="T1792" s="31" t="s">
        <v>6412</v>
      </c>
      <c r="U1792" s="31" t="s">
        <v>6413</v>
      </c>
      <c r="V1792" s="32">
        <v>44474.0</v>
      </c>
    </row>
    <row r="1793">
      <c r="A1793" s="32"/>
      <c r="T1793" s="31" t="s">
        <v>6416</v>
      </c>
      <c r="U1793" s="31" t="s">
        <v>6417</v>
      </c>
      <c r="V1793" s="32">
        <v>44470.0</v>
      </c>
    </row>
    <row r="1794">
      <c r="A1794" s="32"/>
      <c r="T1794" s="31" t="s">
        <v>6421</v>
      </c>
      <c r="U1794" s="31" t="s">
        <v>6422</v>
      </c>
      <c r="V1794" s="32">
        <v>44470.0</v>
      </c>
    </row>
    <row r="1795">
      <c r="A1795" s="32"/>
      <c r="T1795" s="31" t="s">
        <v>6425</v>
      </c>
      <c r="U1795" s="31" t="s">
        <v>5867</v>
      </c>
      <c r="V1795" s="32">
        <v>44470.0</v>
      </c>
    </row>
    <row r="1796">
      <c r="A1796" s="32"/>
      <c r="T1796" s="31" t="s">
        <v>6428</v>
      </c>
      <c r="U1796" s="31" t="s">
        <v>6429</v>
      </c>
      <c r="V1796" s="32">
        <v>44470.0</v>
      </c>
    </row>
    <row r="1797">
      <c r="A1797" s="32"/>
      <c r="T1797" s="31" t="s">
        <v>6432</v>
      </c>
      <c r="U1797" s="31" t="s">
        <v>6433</v>
      </c>
      <c r="V1797" s="32">
        <v>44470.0</v>
      </c>
    </row>
    <row r="1798">
      <c r="A1798" s="32"/>
      <c r="T1798" s="31" t="s">
        <v>6436</v>
      </c>
      <c r="U1798" s="31" t="s">
        <v>6437</v>
      </c>
      <c r="V1798" s="32">
        <v>44470.0</v>
      </c>
    </row>
    <row r="1799">
      <c r="A1799" s="32"/>
      <c r="T1799" s="31" t="s">
        <v>6439</v>
      </c>
      <c r="U1799" s="31" t="s">
        <v>6440</v>
      </c>
      <c r="V1799" s="32">
        <v>44469.0</v>
      </c>
    </row>
    <row r="1800">
      <c r="A1800" s="32"/>
      <c r="T1800" s="31" t="s">
        <v>6443</v>
      </c>
      <c r="U1800" s="31" t="s">
        <v>6444</v>
      </c>
      <c r="V1800" s="32">
        <v>44468.0</v>
      </c>
    </row>
    <row r="1801">
      <c r="A1801" s="32"/>
      <c r="T1801" s="31" t="s">
        <v>6447</v>
      </c>
      <c r="U1801" s="31" t="s">
        <v>6448</v>
      </c>
      <c r="V1801" s="32">
        <v>44467.0</v>
      </c>
    </row>
    <row r="1802">
      <c r="A1802" s="32"/>
      <c r="T1802" s="31" t="s">
        <v>6451</v>
      </c>
      <c r="U1802" s="31" t="s">
        <v>6452</v>
      </c>
      <c r="V1802" s="32">
        <v>44467.0</v>
      </c>
    </row>
    <row r="1803">
      <c r="A1803" s="32"/>
      <c r="T1803" s="31" t="s">
        <v>6455</v>
      </c>
      <c r="U1803" s="31" t="s">
        <v>6456</v>
      </c>
      <c r="V1803" s="32">
        <v>44467.0</v>
      </c>
    </row>
    <row r="1804">
      <c r="A1804" s="32"/>
      <c r="T1804" s="31" t="s">
        <v>6460</v>
      </c>
      <c r="U1804" s="31" t="s">
        <v>6461</v>
      </c>
      <c r="V1804" s="32">
        <v>44464.0</v>
      </c>
    </row>
    <row r="1805">
      <c r="A1805" s="32"/>
      <c r="T1805" s="31" t="s">
        <v>6464</v>
      </c>
      <c r="U1805" s="31" t="s">
        <v>6465</v>
      </c>
      <c r="V1805" s="32">
        <v>44462.0</v>
      </c>
    </row>
    <row r="1806">
      <c r="A1806" s="32"/>
      <c r="T1806" s="31" t="s">
        <v>6468</v>
      </c>
      <c r="U1806" s="31" t="s">
        <v>6469</v>
      </c>
      <c r="V1806" s="32">
        <v>44462.0</v>
      </c>
    </row>
    <row r="1807">
      <c r="A1807" s="32"/>
      <c r="T1807" s="31" t="s">
        <v>6472</v>
      </c>
      <c r="U1807" s="31" t="s">
        <v>6473</v>
      </c>
      <c r="V1807" s="32">
        <v>44461.0</v>
      </c>
    </row>
    <row r="1808">
      <c r="A1808" s="32"/>
      <c r="T1808" s="31" t="s">
        <v>6475</v>
      </c>
      <c r="U1808" s="31" t="s">
        <v>6476</v>
      </c>
      <c r="V1808" s="32">
        <v>44460.0</v>
      </c>
    </row>
    <row r="1809">
      <c r="A1809" s="32"/>
      <c r="T1809" s="31" t="s">
        <v>6479</v>
      </c>
      <c r="U1809" s="31" t="s">
        <v>6480</v>
      </c>
      <c r="V1809" s="32">
        <v>44459.0</v>
      </c>
    </row>
    <row r="1810">
      <c r="A1810" s="32"/>
      <c r="T1810" s="31" t="s">
        <v>6483</v>
      </c>
      <c r="U1810" s="31" t="s">
        <v>6484</v>
      </c>
      <c r="V1810" s="32">
        <v>44456.0</v>
      </c>
    </row>
    <row r="1811">
      <c r="A1811" s="32"/>
      <c r="T1811" s="31" t="s">
        <v>6488</v>
      </c>
      <c r="U1811" s="31" t="s">
        <v>6489</v>
      </c>
      <c r="V1811" s="32">
        <v>44456.0</v>
      </c>
    </row>
    <row r="1812">
      <c r="A1812" s="32"/>
      <c r="T1812" s="31" t="s">
        <v>6493</v>
      </c>
      <c r="U1812" s="31" t="s">
        <v>6494</v>
      </c>
      <c r="V1812" s="32">
        <v>44455.0</v>
      </c>
    </row>
    <row r="1813">
      <c r="A1813" s="32"/>
      <c r="T1813" s="31" t="s">
        <v>6497</v>
      </c>
      <c r="U1813" s="31" t="s">
        <v>6498</v>
      </c>
      <c r="V1813" s="32">
        <v>44455.0</v>
      </c>
    </row>
    <row r="1814">
      <c r="A1814" s="32"/>
      <c r="T1814" s="31" t="s">
        <v>6501</v>
      </c>
      <c r="U1814" s="31" t="s">
        <v>6502</v>
      </c>
      <c r="V1814" s="32">
        <v>44454.0</v>
      </c>
    </row>
    <row r="1815">
      <c r="A1815" s="32"/>
      <c r="T1815" s="31" t="s">
        <v>6506</v>
      </c>
      <c r="U1815" s="31" t="s">
        <v>6507</v>
      </c>
      <c r="V1815" s="32">
        <v>44453.0</v>
      </c>
    </row>
    <row r="1816">
      <c r="A1816" s="32"/>
      <c r="T1816" s="31" t="s">
        <v>6510</v>
      </c>
      <c r="U1816" s="31" t="s">
        <v>6511</v>
      </c>
      <c r="V1816" s="32">
        <v>44453.0</v>
      </c>
    </row>
    <row r="1817">
      <c r="A1817" s="32"/>
      <c r="T1817" s="31" t="s">
        <v>6515</v>
      </c>
      <c r="U1817" s="31" t="s">
        <v>6516</v>
      </c>
      <c r="V1817" s="32">
        <v>44453.0</v>
      </c>
    </row>
    <row r="1818">
      <c r="A1818" s="32"/>
      <c r="T1818" s="31" t="s">
        <v>6519</v>
      </c>
      <c r="U1818" s="31" t="s">
        <v>6520</v>
      </c>
      <c r="V1818" s="32">
        <v>44453.0</v>
      </c>
    </row>
    <row r="1819">
      <c r="A1819" s="32"/>
      <c r="T1819" s="31" t="s">
        <v>6523</v>
      </c>
      <c r="U1819" s="31" t="s">
        <v>6524</v>
      </c>
      <c r="V1819" s="32">
        <v>44452.0</v>
      </c>
    </row>
    <row r="1820">
      <c r="A1820" s="32"/>
      <c r="T1820" s="31" t="s">
        <v>6527</v>
      </c>
      <c r="U1820" s="31" t="s">
        <v>6528</v>
      </c>
      <c r="V1820" s="32">
        <v>44452.0</v>
      </c>
    </row>
    <row r="1821">
      <c r="A1821" s="32"/>
      <c r="T1821" s="31" t="s">
        <v>6531</v>
      </c>
      <c r="U1821" s="31" t="s">
        <v>6230</v>
      </c>
      <c r="V1821" s="32">
        <v>44450.0</v>
      </c>
    </row>
    <row r="1822">
      <c r="A1822" s="32"/>
      <c r="T1822" s="31" t="s">
        <v>6534</v>
      </c>
      <c r="U1822" s="31" t="s">
        <v>6535</v>
      </c>
      <c r="V1822" s="32">
        <v>44448.0</v>
      </c>
    </row>
    <row r="1823">
      <c r="A1823" s="32"/>
      <c r="T1823" s="31" t="s">
        <v>6538</v>
      </c>
      <c r="U1823" s="31" t="s">
        <v>6539</v>
      </c>
      <c r="V1823" s="32">
        <v>44448.0</v>
      </c>
    </row>
    <row r="1824">
      <c r="A1824" s="32"/>
      <c r="T1824" s="31" t="s">
        <v>6542</v>
      </c>
      <c r="U1824" s="31" t="s">
        <v>6543</v>
      </c>
      <c r="V1824" s="32">
        <v>44448.0</v>
      </c>
    </row>
    <row r="1825">
      <c r="A1825" s="32"/>
      <c r="T1825" s="31" t="s">
        <v>6546</v>
      </c>
      <c r="U1825" s="31" t="s">
        <v>6547</v>
      </c>
      <c r="V1825" s="32">
        <v>44446.0</v>
      </c>
    </row>
    <row r="1826">
      <c r="A1826" s="32"/>
      <c r="T1826" s="31" t="s">
        <v>6550</v>
      </c>
      <c r="U1826" s="31" t="s">
        <v>6551</v>
      </c>
      <c r="V1826" s="32">
        <v>44446.0</v>
      </c>
    </row>
    <row r="1827">
      <c r="A1827" s="32"/>
      <c r="T1827" s="31" t="s">
        <v>6554</v>
      </c>
      <c r="U1827" s="31" t="s">
        <v>6555</v>
      </c>
      <c r="V1827" s="32">
        <v>44446.0</v>
      </c>
    </row>
    <row r="1828">
      <c r="A1828" s="32"/>
      <c r="T1828" s="31" t="s">
        <v>6558</v>
      </c>
      <c r="U1828" s="31" t="s">
        <v>6559</v>
      </c>
      <c r="V1828" s="32">
        <v>44445.0</v>
      </c>
    </row>
    <row r="1829">
      <c r="A1829" s="32"/>
      <c r="T1829" s="31" t="s">
        <v>6562</v>
      </c>
      <c r="U1829" s="31" t="s">
        <v>6563</v>
      </c>
      <c r="V1829" s="32">
        <v>44441.0</v>
      </c>
    </row>
    <row r="1830">
      <c r="A1830" s="32"/>
      <c r="T1830" s="31" t="s">
        <v>6566</v>
      </c>
      <c r="U1830" s="31" t="s">
        <v>6567</v>
      </c>
      <c r="V1830" s="32">
        <v>44441.0</v>
      </c>
    </row>
    <row r="1831">
      <c r="A1831" s="32"/>
      <c r="T1831" s="31" t="s">
        <v>6571</v>
      </c>
      <c r="U1831" s="31" t="s">
        <v>6572</v>
      </c>
      <c r="V1831" s="32">
        <v>44440.0</v>
      </c>
    </row>
    <row r="1832">
      <c r="A1832" s="32"/>
      <c r="T1832" s="31" t="s">
        <v>6575</v>
      </c>
      <c r="U1832" s="31" t="s">
        <v>6576</v>
      </c>
      <c r="V1832" s="32">
        <v>44440.0</v>
      </c>
    </row>
    <row r="1833">
      <c r="A1833" s="32"/>
      <c r="T1833" s="31" t="s">
        <v>6580</v>
      </c>
      <c r="U1833" s="31" t="s">
        <v>6581</v>
      </c>
      <c r="V1833" s="32">
        <v>44440.0</v>
      </c>
    </row>
    <row r="1834">
      <c r="A1834" s="32"/>
      <c r="T1834" s="31" t="s">
        <v>6583</v>
      </c>
      <c r="U1834" s="31" t="s">
        <v>6584</v>
      </c>
      <c r="V1834" s="32">
        <v>44440.0</v>
      </c>
    </row>
    <row r="1835">
      <c r="A1835" s="32"/>
      <c r="T1835" s="31" t="s">
        <v>6588</v>
      </c>
      <c r="U1835" s="31" t="s">
        <v>6589</v>
      </c>
      <c r="V1835" s="32">
        <v>44440.0</v>
      </c>
    </row>
    <row r="1836">
      <c r="A1836" s="32"/>
      <c r="T1836" s="31" t="s">
        <v>6592</v>
      </c>
      <c r="U1836" s="31" t="s">
        <v>6593</v>
      </c>
      <c r="V1836" s="32">
        <v>44440.0</v>
      </c>
    </row>
    <row r="1837">
      <c r="A1837" s="32"/>
      <c r="T1837" s="31" t="s">
        <v>6596</v>
      </c>
      <c r="U1837" s="31" t="s">
        <v>6597</v>
      </c>
      <c r="V1837" s="32">
        <v>44440.0</v>
      </c>
    </row>
    <row r="1838">
      <c r="A1838" s="32"/>
      <c r="T1838" s="31" t="s">
        <v>6600</v>
      </c>
      <c r="U1838" s="31" t="s">
        <v>6601</v>
      </c>
      <c r="V1838" s="32">
        <v>44440.0</v>
      </c>
    </row>
    <row r="1839">
      <c r="A1839" s="32"/>
      <c r="T1839" s="31" t="s">
        <v>6604</v>
      </c>
      <c r="U1839" s="31" t="s">
        <v>1926</v>
      </c>
      <c r="V1839" s="32">
        <v>44438.0</v>
      </c>
    </row>
    <row r="1840">
      <c r="A1840" s="32"/>
      <c r="T1840" s="31" t="s">
        <v>6607</v>
      </c>
      <c r="U1840" s="31" t="s">
        <v>6608</v>
      </c>
      <c r="V1840" s="32">
        <v>44435.0</v>
      </c>
    </row>
    <row r="1841">
      <c r="A1841" s="32"/>
      <c r="T1841" s="31" t="s">
        <v>6611</v>
      </c>
      <c r="U1841" s="31" t="s">
        <v>6612</v>
      </c>
      <c r="V1841" s="32">
        <v>44435.0</v>
      </c>
    </row>
    <row r="1842">
      <c r="A1842" s="32"/>
      <c r="T1842" s="31" t="s">
        <v>6616</v>
      </c>
      <c r="U1842" s="31" t="s">
        <v>6617</v>
      </c>
      <c r="V1842" s="32">
        <v>44434.0</v>
      </c>
    </row>
    <row r="1843">
      <c r="A1843" s="32"/>
      <c r="T1843" s="31" t="s">
        <v>6620</v>
      </c>
      <c r="U1843" s="31" t="s">
        <v>6621</v>
      </c>
      <c r="V1843" s="32">
        <v>44434.0</v>
      </c>
    </row>
    <row r="1844">
      <c r="A1844" s="32"/>
      <c r="T1844" s="31" t="s">
        <v>6625</v>
      </c>
      <c r="U1844" s="31" t="s">
        <v>6626</v>
      </c>
      <c r="V1844" s="32">
        <v>44432.0</v>
      </c>
    </row>
    <row r="1845">
      <c r="A1845" s="32"/>
      <c r="T1845" s="31" t="s">
        <v>6629</v>
      </c>
      <c r="U1845" s="31" t="s">
        <v>6630</v>
      </c>
      <c r="V1845" s="32">
        <v>44432.0</v>
      </c>
    </row>
    <row r="1846">
      <c r="A1846" s="32"/>
      <c r="T1846" s="31" t="s">
        <v>6633</v>
      </c>
      <c r="U1846" s="31" t="s">
        <v>6634</v>
      </c>
      <c r="V1846" s="32">
        <v>44432.0</v>
      </c>
    </row>
    <row r="1847">
      <c r="A1847" s="32"/>
      <c r="T1847" s="31" t="s">
        <v>6637</v>
      </c>
      <c r="U1847" s="31" t="s">
        <v>6638</v>
      </c>
      <c r="V1847" s="32">
        <v>44430.0</v>
      </c>
    </row>
    <row r="1848">
      <c r="A1848" s="32"/>
      <c r="T1848" s="31" t="s">
        <v>6641</v>
      </c>
      <c r="U1848" s="31" t="s">
        <v>6642</v>
      </c>
      <c r="V1848" s="32">
        <v>44430.0</v>
      </c>
    </row>
    <row r="1849">
      <c r="A1849" s="32"/>
      <c r="T1849" s="31" t="s">
        <v>6645</v>
      </c>
      <c r="U1849" s="31" t="s">
        <v>6646</v>
      </c>
      <c r="V1849" s="32">
        <v>44429.0</v>
      </c>
    </row>
    <row r="1850">
      <c r="A1850" s="32"/>
      <c r="T1850" s="31" t="s">
        <v>6649</v>
      </c>
      <c r="U1850" s="31" t="s">
        <v>6650</v>
      </c>
      <c r="V1850" s="32">
        <v>44427.0</v>
      </c>
    </row>
    <row r="1851">
      <c r="A1851" s="32"/>
      <c r="T1851" s="31" t="s">
        <v>6653</v>
      </c>
      <c r="U1851" s="31" t="s">
        <v>6654</v>
      </c>
      <c r="V1851" s="32">
        <v>44426.0</v>
      </c>
    </row>
    <row r="1852">
      <c r="A1852" s="32"/>
      <c r="T1852" s="31" t="s">
        <v>6657</v>
      </c>
      <c r="U1852" s="31" t="s">
        <v>6658</v>
      </c>
      <c r="V1852" s="32">
        <v>44426.0</v>
      </c>
    </row>
    <row r="1853">
      <c r="A1853" s="32"/>
      <c r="T1853" s="31" t="s">
        <v>6661</v>
      </c>
      <c r="U1853" s="31" t="s">
        <v>6662</v>
      </c>
      <c r="V1853" s="32">
        <v>44425.0</v>
      </c>
    </row>
    <row r="1854">
      <c r="A1854" s="32"/>
      <c r="T1854" s="31" t="s">
        <v>6665</v>
      </c>
      <c r="U1854" s="31" t="s">
        <v>6666</v>
      </c>
      <c r="V1854" s="32">
        <v>44425.0</v>
      </c>
    </row>
    <row r="1855">
      <c r="A1855" s="32"/>
      <c r="T1855" s="31" t="s">
        <v>6670</v>
      </c>
      <c r="U1855" s="31" t="s">
        <v>6671</v>
      </c>
      <c r="V1855" s="32">
        <v>44425.0</v>
      </c>
    </row>
    <row r="1856">
      <c r="A1856" s="32"/>
      <c r="T1856" s="31" t="s">
        <v>6674</v>
      </c>
      <c r="U1856" s="31" t="s">
        <v>6675</v>
      </c>
      <c r="V1856" s="32">
        <v>44424.0</v>
      </c>
    </row>
    <row r="1857">
      <c r="A1857" s="32"/>
      <c r="T1857" s="31" t="s">
        <v>6678</v>
      </c>
      <c r="U1857" s="31" t="s">
        <v>6679</v>
      </c>
      <c r="V1857" s="32">
        <v>44424.0</v>
      </c>
    </row>
    <row r="1858">
      <c r="A1858" s="32"/>
      <c r="T1858" s="31" t="s">
        <v>6683</v>
      </c>
      <c r="U1858" s="31" t="s">
        <v>6684</v>
      </c>
      <c r="V1858" s="32">
        <v>44422.0</v>
      </c>
    </row>
    <row r="1859">
      <c r="A1859" s="32"/>
      <c r="T1859" s="31" t="s">
        <v>6687</v>
      </c>
      <c r="U1859" s="31" t="s">
        <v>6688</v>
      </c>
      <c r="V1859" s="32">
        <v>44421.0</v>
      </c>
    </row>
    <row r="1860">
      <c r="A1860" s="32"/>
      <c r="T1860" s="31" t="s">
        <v>6691</v>
      </c>
      <c r="U1860" s="31" t="s">
        <v>6692</v>
      </c>
      <c r="V1860" s="32">
        <v>44420.0</v>
      </c>
    </row>
    <row r="1861">
      <c r="A1861" s="32"/>
      <c r="T1861" s="31" t="s">
        <v>6695</v>
      </c>
      <c r="U1861" s="31" t="s">
        <v>6696</v>
      </c>
      <c r="V1861" s="32">
        <v>44420.0</v>
      </c>
    </row>
    <row r="1862">
      <c r="A1862" s="32"/>
      <c r="T1862" s="31" t="s">
        <v>6699</v>
      </c>
      <c r="U1862" s="31" t="s">
        <v>6700</v>
      </c>
      <c r="V1862" s="32">
        <v>44420.0</v>
      </c>
    </row>
    <row r="1863">
      <c r="A1863" s="32"/>
      <c r="T1863" s="31" t="s">
        <v>6702</v>
      </c>
      <c r="U1863" s="31" t="s">
        <v>6703</v>
      </c>
      <c r="V1863" s="32">
        <v>44420.0</v>
      </c>
    </row>
    <row r="1864">
      <c r="A1864" s="32"/>
      <c r="T1864" s="31" t="s">
        <v>6707</v>
      </c>
      <c r="U1864" s="31" t="s">
        <v>6708</v>
      </c>
      <c r="V1864" s="32">
        <v>44419.0</v>
      </c>
    </row>
    <row r="1865">
      <c r="A1865" s="32"/>
      <c r="T1865" s="31" t="s">
        <v>6711</v>
      </c>
      <c r="U1865" s="31" t="s">
        <v>6712</v>
      </c>
      <c r="V1865" s="32">
        <v>44418.0</v>
      </c>
    </row>
    <row r="1866">
      <c r="A1866" s="32"/>
      <c r="T1866" s="31" t="s">
        <v>6716</v>
      </c>
      <c r="U1866" s="31" t="s">
        <v>6717</v>
      </c>
      <c r="V1866" s="32">
        <v>44418.0</v>
      </c>
    </row>
    <row r="1867">
      <c r="A1867" s="32"/>
      <c r="T1867" s="31" t="s">
        <v>6720</v>
      </c>
      <c r="U1867" s="31" t="s">
        <v>6721</v>
      </c>
      <c r="V1867" s="32">
        <v>44412.0</v>
      </c>
    </row>
    <row r="1868">
      <c r="A1868" s="32"/>
      <c r="T1868" s="31" t="s">
        <v>6724</v>
      </c>
      <c r="U1868" s="31" t="s">
        <v>6725</v>
      </c>
      <c r="V1868" s="32">
        <v>44410.0</v>
      </c>
    </row>
    <row r="1869">
      <c r="A1869" s="32"/>
      <c r="T1869" s="31" t="s">
        <v>6727</v>
      </c>
      <c r="U1869" s="31" t="s">
        <v>6728</v>
      </c>
      <c r="V1869" s="32">
        <v>44410.0</v>
      </c>
    </row>
    <row r="1870">
      <c r="A1870" s="32"/>
      <c r="T1870" s="31" t="s">
        <v>6731</v>
      </c>
      <c r="U1870" s="31" t="s">
        <v>6732</v>
      </c>
      <c r="V1870" s="32">
        <v>44410.0</v>
      </c>
    </row>
    <row r="1871">
      <c r="A1871" s="32"/>
      <c r="T1871" s="31" t="s">
        <v>6735</v>
      </c>
      <c r="U1871" s="31" t="s">
        <v>6736</v>
      </c>
      <c r="V1871" s="32">
        <v>44410.0</v>
      </c>
    </row>
    <row r="1872">
      <c r="A1872" s="32"/>
      <c r="T1872" s="31" t="s">
        <v>6738</v>
      </c>
      <c r="U1872" s="31" t="s">
        <v>6739</v>
      </c>
      <c r="V1872" s="32">
        <v>44410.0</v>
      </c>
    </row>
    <row r="1873">
      <c r="A1873" s="32"/>
      <c r="T1873" s="31" t="s">
        <v>6742</v>
      </c>
      <c r="U1873" s="31" t="s">
        <v>6743</v>
      </c>
      <c r="V1873" s="32">
        <v>44409.0</v>
      </c>
    </row>
    <row r="1874">
      <c r="A1874" s="32"/>
      <c r="T1874" s="31" t="s">
        <v>6745</v>
      </c>
      <c r="U1874" s="31" t="s">
        <v>6746</v>
      </c>
      <c r="V1874" s="32">
        <v>44409.0</v>
      </c>
    </row>
    <row r="1875">
      <c r="A1875" s="32"/>
      <c r="T1875" s="31" t="s">
        <v>6749</v>
      </c>
      <c r="U1875" s="31" t="s">
        <v>6750</v>
      </c>
      <c r="V1875" s="32">
        <v>44409.0</v>
      </c>
    </row>
    <row r="1876">
      <c r="A1876" s="32"/>
      <c r="T1876" s="31" t="s">
        <v>6754</v>
      </c>
      <c r="U1876" s="31" t="s">
        <v>6755</v>
      </c>
      <c r="V1876" s="32">
        <v>44409.0</v>
      </c>
    </row>
    <row r="1877">
      <c r="A1877" s="32"/>
      <c r="T1877" s="31" t="s">
        <v>6758</v>
      </c>
      <c r="U1877" s="31" t="s">
        <v>6759</v>
      </c>
      <c r="V1877" s="32">
        <v>44409.0</v>
      </c>
    </row>
    <row r="1878">
      <c r="A1878" s="32"/>
      <c r="T1878" s="31" t="s">
        <v>6761</v>
      </c>
      <c r="U1878" s="31" t="s">
        <v>6762</v>
      </c>
      <c r="V1878" s="32">
        <v>44407.0</v>
      </c>
    </row>
    <row r="1879">
      <c r="A1879" s="32"/>
      <c r="T1879" s="31" t="s">
        <v>6765</v>
      </c>
      <c r="U1879" s="31" t="s">
        <v>6766</v>
      </c>
      <c r="V1879" s="32">
        <v>44407.0</v>
      </c>
    </row>
    <row r="1880">
      <c r="A1880" s="32"/>
      <c r="T1880" s="31" t="s">
        <v>6769</v>
      </c>
      <c r="U1880" s="31" t="s">
        <v>6770</v>
      </c>
      <c r="V1880" s="32">
        <v>44407.0</v>
      </c>
    </row>
    <row r="1881">
      <c r="A1881" s="32"/>
      <c r="T1881" s="31" t="s">
        <v>6773</v>
      </c>
      <c r="U1881" s="31" t="s">
        <v>6774</v>
      </c>
      <c r="V1881" s="32">
        <v>44406.0</v>
      </c>
    </row>
    <row r="1882">
      <c r="A1882" s="32"/>
      <c r="T1882" s="31" t="s">
        <v>6777</v>
      </c>
      <c r="U1882" s="31" t="s">
        <v>6778</v>
      </c>
      <c r="V1882" s="32">
        <v>44406.0</v>
      </c>
    </row>
    <row r="1883">
      <c r="A1883" s="32"/>
      <c r="T1883" s="31" t="s">
        <v>6781</v>
      </c>
      <c r="U1883" s="31" t="s">
        <v>6782</v>
      </c>
      <c r="V1883" s="32">
        <v>44406.0</v>
      </c>
    </row>
    <row r="1884">
      <c r="A1884" s="32"/>
      <c r="T1884" s="31" t="s">
        <v>6785</v>
      </c>
      <c r="U1884" s="31" t="s">
        <v>6786</v>
      </c>
      <c r="V1884" s="32">
        <v>44406.0</v>
      </c>
    </row>
    <row r="1885">
      <c r="A1885" s="32"/>
      <c r="T1885" s="31" t="s">
        <v>6789</v>
      </c>
      <c r="U1885" s="31" t="s">
        <v>6790</v>
      </c>
      <c r="V1885" s="32">
        <v>44405.0</v>
      </c>
    </row>
    <row r="1886">
      <c r="A1886" s="32"/>
      <c r="T1886" s="31" t="s">
        <v>6794</v>
      </c>
      <c r="U1886" s="31" t="s">
        <v>6795</v>
      </c>
      <c r="V1886" s="32">
        <v>44405.0</v>
      </c>
    </row>
    <row r="1887">
      <c r="A1887" s="32"/>
      <c r="T1887" s="31" t="s">
        <v>6798</v>
      </c>
      <c r="U1887" s="31" t="s">
        <v>6799</v>
      </c>
      <c r="V1887" s="32">
        <v>44405.0</v>
      </c>
    </row>
    <row r="1888">
      <c r="A1888" s="32"/>
      <c r="T1888" s="31" t="s">
        <v>6803</v>
      </c>
      <c r="U1888" s="31" t="s">
        <v>6804</v>
      </c>
      <c r="V1888" s="32">
        <v>44405.0</v>
      </c>
    </row>
    <row r="1889">
      <c r="A1889" s="32"/>
      <c r="T1889" s="31" t="s">
        <v>6807</v>
      </c>
      <c r="U1889" s="31" t="s">
        <v>6808</v>
      </c>
      <c r="V1889" s="32">
        <v>44404.0</v>
      </c>
    </row>
    <row r="1890">
      <c r="A1890" s="32"/>
      <c r="T1890" s="31" t="s">
        <v>6811</v>
      </c>
      <c r="U1890" s="31" t="s">
        <v>6812</v>
      </c>
      <c r="V1890" s="32">
        <v>44404.0</v>
      </c>
    </row>
    <row r="1891">
      <c r="A1891" s="32"/>
      <c r="T1891" s="31" t="s">
        <v>6815</v>
      </c>
      <c r="U1891" s="31" t="s">
        <v>6816</v>
      </c>
      <c r="V1891" s="32">
        <v>44404.0</v>
      </c>
    </row>
    <row r="1892">
      <c r="A1892" s="32"/>
      <c r="T1892" s="31" t="s">
        <v>6819</v>
      </c>
      <c r="U1892" s="31" t="s">
        <v>6820</v>
      </c>
      <c r="V1892" s="32">
        <v>44404.0</v>
      </c>
    </row>
    <row r="1893">
      <c r="A1893" s="32"/>
      <c r="T1893" s="31" t="s">
        <v>6823</v>
      </c>
      <c r="U1893" s="31" t="s">
        <v>6824</v>
      </c>
      <c r="V1893" s="32">
        <v>44403.0</v>
      </c>
    </row>
    <row r="1894">
      <c r="A1894" s="32"/>
      <c r="T1894" s="31" t="s">
        <v>6827</v>
      </c>
      <c r="U1894" s="31" t="s">
        <v>6828</v>
      </c>
      <c r="V1894" s="32">
        <v>44403.0</v>
      </c>
    </row>
    <row r="1895">
      <c r="A1895" s="32"/>
      <c r="T1895" s="31" t="s">
        <v>6831</v>
      </c>
      <c r="U1895" s="31" t="s">
        <v>6832</v>
      </c>
      <c r="V1895" s="32">
        <v>44402.0</v>
      </c>
    </row>
    <row r="1896">
      <c r="A1896" s="32"/>
      <c r="T1896" s="31" t="s">
        <v>6835</v>
      </c>
      <c r="U1896" s="31" t="s">
        <v>5897</v>
      </c>
      <c r="V1896" s="32">
        <v>44401.0</v>
      </c>
    </row>
    <row r="1897">
      <c r="A1897" s="32"/>
      <c r="T1897" s="31" t="s">
        <v>6838</v>
      </c>
      <c r="U1897" s="31" t="s">
        <v>6839</v>
      </c>
      <c r="V1897" s="32">
        <v>44400.0</v>
      </c>
    </row>
    <row r="1898">
      <c r="A1898" s="32"/>
      <c r="T1898" s="31" t="s">
        <v>6842</v>
      </c>
      <c r="U1898" s="31" t="s">
        <v>6843</v>
      </c>
      <c r="V1898" s="32">
        <v>44400.0</v>
      </c>
    </row>
    <row r="1899">
      <c r="A1899" s="32"/>
      <c r="T1899" s="31" t="s">
        <v>6846</v>
      </c>
      <c r="U1899" s="31" t="s">
        <v>6847</v>
      </c>
      <c r="V1899" s="32">
        <v>44400.0</v>
      </c>
    </row>
    <row r="1900">
      <c r="A1900" s="32"/>
      <c r="T1900" s="31" t="s">
        <v>6850</v>
      </c>
      <c r="U1900" s="31" t="s">
        <v>6851</v>
      </c>
      <c r="V1900" s="32">
        <v>44399.0</v>
      </c>
    </row>
    <row r="1901">
      <c r="A1901" s="32"/>
      <c r="T1901" s="31" t="s">
        <v>6855</v>
      </c>
      <c r="U1901" s="31" t="s">
        <v>6856</v>
      </c>
      <c r="V1901" s="32">
        <v>44398.0</v>
      </c>
    </row>
    <row r="1902">
      <c r="A1902" s="32"/>
      <c r="T1902" s="31" t="s">
        <v>6859</v>
      </c>
      <c r="U1902" s="31" t="s">
        <v>6860</v>
      </c>
      <c r="V1902" s="32">
        <v>44398.0</v>
      </c>
    </row>
    <row r="1903">
      <c r="A1903" s="32"/>
      <c r="T1903" s="31" t="s">
        <v>6863</v>
      </c>
      <c r="U1903" s="31" t="s">
        <v>6864</v>
      </c>
      <c r="V1903" s="32">
        <v>44398.0</v>
      </c>
    </row>
    <row r="1904">
      <c r="A1904" s="32"/>
      <c r="T1904" s="31" t="s">
        <v>6868</v>
      </c>
      <c r="U1904" s="31" t="s">
        <v>6869</v>
      </c>
      <c r="V1904" s="32">
        <v>44396.0</v>
      </c>
    </row>
    <row r="1905">
      <c r="A1905" s="32"/>
      <c r="T1905" s="31" t="s">
        <v>6872</v>
      </c>
      <c r="U1905" s="31" t="s">
        <v>6873</v>
      </c>
      <c r="V1905" s="32">
        <v>44393.0</v>
      </c>
    </row>
    <row r="1906">
      <c r="A1906" s="32"/>
      <c r="T1906" s="31" t="s">
        <v>6876</v>
      </c>
      <c r="U1906" s="31" t="s">
        <v>6877</v>
      </c>
      <c r="V1906" s="32">
        <v>44393.0</v>
      </c>
    </row>
    <row r="1907">
      <c r="A1907" s="32"/>
      <c r="T1907" s="31" t="s">
        <v>6880</v>
      </c>
      <c r="U1907" s="31" t="s">
        <v>6881</v>
      </c>
      <c r="V1907" s="32">
        <v>44393.0</v>
      </c>
    </row>
    <row r="1908">
      <c r="A1908" s="32"/>
      <c r="T1908" s="31" t="s">
        <v>6884</v>
      </c>
      <c r="U1908" s="31" t="s">
        <v>6885</v>
      </c>
      <c r="V1908" s="32">
        <v>44392.0</v>
      </c>
    </row>
    <row r="1909">
      <c r="A1909" s="32"/>
      <c r="T1909" s="31" t="s">
        <v>6888</v>
      </c>
      <c r="U1909" s="31" t="s">
        <v>6889</v>
      </c>
      <c r="V1909" s="32">
        <v>44392.0</v>
      </c>
    </row>
    <row r="1910">
      <c r="A1910" s="32"/>
      <c r="T1910" s="31" t="s">
        <v>6893</v>
      </c>
      <c r="U1910" s="31" t="s">
        <v>6894</v>
      </c>
      <c r="V1910" s="32">
        <v>44391.0</v>
      </c>
    </row>
    <row r="1911">
      <c r="A1911" s="32"/>
      <c r="T1911" s="31" t="s">
        <v>6897</v>
      </c>
      <c r="U1911" s="31" t="s">
        <v>6898</v>
      </c>
      <c r="V1911" s="32">
        <v>44391.0</v>
      </c>
    </row>
    <row r="1912">
      <c r="A1912" s="32"/>
      <c r="T1912" s="31" t="s">
        <v>6901</v>
      </c>
      <c r="U1912" s="31" t="s">
        <v>6902</v>
      </c>
      <c r="V1912" s="32">
        <v>44389.0</v>
      </c>
    </row>
    <row r="1913">
      <c r="A1913" s="32"/>
      <c r="T1913" s="31" t="s">
        <v>6905</v>
      </c>
      <c r="U1913" s="31" t="s">
        <v>6906</v>
      </c>
      <c r="V1913" s="32">
        <v>44389.0</v>
      </c>
    </row>
    <row r="1914">
      <c r="A1914" s="32"/>
      <c r="T1914" s="31" t="s">
        <v>6910</v>
      </c>
      <c r="U1914" s="31" t="s">
        <v>6911</v>
      </c>
      <c r="V1914" s="32">
        <v>44389.0</v>
      </c>
    </row>
    <row r="1915">
      <c r="A1915" s="32"/>
      <c r="T1915" s="31" t="s">
        <v>6914</v>
      </c>
      <c r="U1915" s="31" t="s">
        <v>6915</v>
      </c>
      <c r="V1915" s="32">
        <v>44389.0</v>
      </c>
    </row>
    <row r="1916">
      <c r="A1916" s="32"/>
      <c r="T1916" s="31" t="s">
        <v>6919</v>
      </c>
      <c r="U1916" s="31" t="s">
        <v>6920</v>
      </c>
      <c r="V1916" s="32">
        <v>44387.0</v>
      </c>
    </row>
    <row r="1917">
      <c r="A1917" s="32"/>
      <c r="T1917" s="31" t="s">
        <v>6923</v>
      </c>
      <c r="U1917" s="31" t="s">
        <v>6924</v>
      </c>
      <c r="V1917" s="32">
        <v>44387.0</v>
      </c>
    </row>
    <row r="1918">
      <c r="A1918" s="32"/>
      <c r="T1918" s="31" t="s">
        <v>6927</v>
      </c>
      <c r="U1918" s="31" t="s">
        <v>6928</v>
      </c>
      <c r="V1918" s="32">
        <v>44386.0</v>
      </c>
    </row>
    <row r="1919">
      <c r="A1919" s="32"/>
      <c r="T1919" s="31" t="s">
        <v>6932</v>
      </c>
      <c r="U1919" s="31" t="s">
        <v>6933</v>
      </c>
      <c r="V1919" s="32">
        <v>44386.0</v>
      </c>
    </row>
    <row r="1920">
      <c r="A1920" s="32"/>
      <c r="T1920" s="31" t="s">
        <v>6936</v>
      </c>
      <c r="U1920" s="31" t="s">
        <v>6937</v>
      </c>
      <c r="V1920" s="32">
        <v>44385.0</v>
      </c>
    </row>
    <row r="1921">
      <c r="A1921" s="32"/>
      <c r="T1921" s="31" t="s">
        <v>6940</v>
      </c>
      <c r="U1921" s="31" t="s">
        <v>6941</v>
      </c>
      <c r="V1921" s="32">
        <v>44385.0</v>
      </c>
    </row>
    <row r="1922">
      <c r="A1922" s="32"/>
      <c r="T1922" s="31" t="s">
        <v>6945</v>
      </c>
      <c r="U1922" s="31" t="s">
        <v>6946</v>
      </c>
      <c r="V1922" s="32">
        <v>44384.0</v>
      </c>
    </row>
    <row r="1923">
      <c r="A1923" s="32"/>
      <c r="T1923" s="31" t="s">
        <v>6949</v>
      </c>
      <c r="U1923" s="31" t="s">
        <v>6950</v>
      </c>
      <c r="V1923" s="32">
        <v>44383.0</v>
      </c>
    </row>
    <row r="1924">
      <c r="A1924" s="32"/>
      <c r="T1924" s="31" t="s">
        <v>6953</v>
      </c>
      <c r="U1924" s="31" t="s">
        <v>6954</v>
      </c>
      <c r="V1924" s="32">
        <v>44383.0</v>
      </c>
    </row>
    <row r="1925">
      <c r="A1925" s="32"/>
      <c r="T1925" s="31" t="s">
        <v>6957</v>
      </c>
      <c r="U1925" s="31" t="s">
        <v>6437</v>
      </c>
      <c r="V1925" s="32">
        <v>44383.0</v>
      </c>
    </row>
    <row r="1926">
      <c r="A1926" s="32"/>
      <c r="T1926" s="31" t="s">
        <v>6960</v>
      </c>
      <c r="U1926" s="31" t="s">
        <v>6961</v>
      </c>
      <c r="V1926" s="32">
        <v>44382.0</v>
      </c>
    </row>
    <row r="1927">
      <c r="A1927" s="32"/>
      <c r="T1927" s="31" t="s">
        <v>6964</v>
      </c>
      <c r="U1927" s="31" t="s">
        <v>6965</v>
      </c>
      <c r="V1927" s="32">
        <v>44381.0</v>
      </c>
    </row>
    <row r="1928">
      <c r="A1928" s="32"/>
      <c r="T1928" s="31" t="s">
        <v>6969</v>
      </c>
      <c r="U1928" s="31" t="s">
        <v>6970</v>
      </c>
      <c r="V1928" s="32">
        <v>44380.0</v>
      </c>
    </row>
    <row r="1929">
      <c r="A1929" s="32"/>
      <c r="T1929" s="31" t="s">
        <v>6974</v>
      </c>
      <c r="U1929" s="31" t="s">
        <v>6975</v>
      </c>
      <c r="V1929" s="32">
        <v>44380.0</v>
      </c>
    </row>
    <row r="1930">
      <c r="A1930" s="32"/>
      <c r="T1930" s="31" t="s">
        <v>6978</v>
      </c>
      <c r="U1930" s="31" t="s">
        <v>6979</v>
      </c>
      <c r="V1930" s="32">
        <v>44380.0</v>
      </c>
    </row>
    <row r="1931">
      <c r="A1931" s="32"/>
      <c r="T1931" s="31" t="s">
        <v>6983</v>
      </c>
      <c r="U1931" s="31" t="s">
        <v>6984</v>
      </c>
      <c r="V1931" s="32">
        <v>44379.0</v>
      </c>
    </row>
    <row r="1932">
      <c r="A1932" s="32"/>
      <c r="T1932" s="31" t="s">
        <v>6987</v>
      </c>
      <c r="U1932" s="31" t="s">
        <v>6988</v>
      </c>
      <c r="V1932" s="32">
        <v>44379.0</v>
      </c>
    </row>
    <row r="1933">
      <c r="A1933" s="32"/>
      <c r="T1933" s="31" t="s">
        <v>6991</v>
      </c>
      <c r="U1933" s="31" t="s">
        <v>6992</v>
      </c>
      <c r="V1933" s="32">
        <v>44378.0</v>
      </c>
    </row>
    <row r="1934">
      <c r="A1934" s="32"/>
      <c r="T1934" s="31" t="s">
        <v>6996</v>
      </c>
      <c r="U1934" s="31" t="s">
        <v>6997</v>
      </c>
      <c r="V1934" s="32">
        <v>44378.0</v>
      </c>
    </row>
    <row r="1935">
      <c r="A1935" s="32"/>
      <c r="T1935" s="31" t="s">
        <v>7001</v>
      </c>
      <c r="U1935" s="31" t="s">
        <v>7002</v>
      </c>
      <c r="V1935" s="32">
        <v>44378.0</v>
      </c>
    </row>
    <row r="1936">
      <c r="A1936" s="32"/>
      <c r="T1936" s="31" t="s">
        <v>7005</v>
      </c>
      <c r="U1936" s="31" t="s">
        <v>7006</v>
      </c>
      <c r="V1936" s="32">
        <v>44378.0</v>
      </c>
    </row>
    <row r="1937">
      <c r="A1937" s="32"/>
      <c r="T1937" s="31" t="s">
        <v>7010</v>
      </c>
      <c r="U1937" s="31" t="s">
        <v>7011</v>
      </c>
      <c r="V1937" s="32">
        <v>44378.0</v>
      </c>
    </row>
    <row r="1938">
      <c r="A1938" s="32"/>
      <c r="T1938" s="31" t="s">
        <v>7014</v>
      </c>
      <c r="U1938" s="31" t="s">
        <v>7015</v>
      </c>
      <c r="V1938" s="32">
        <v>44378.0</v>
      </c>
    </row>
    <row r="1939">
      <c r="A1939" s="32"/>
      <c r="T1939" s="31" t="s">
        <v>7019</v>
      </c>
      <c r="U1939" s="31" t="s">
        <v>7020</v>
      </c>
      <c r="V1939" s="32">
        <v>44378.0</v>
      </c>
    </row>
    <row r="1940">
      <c r="A1940" s="32"/>
      <c r="T1940" s="31" t="s">
        <v>7022</v>
      </c>
      <c r="U1940" s="31" t="s">
        <v>7023</v>
      </c>
      <c r="V1940" s="32">
        <v>44378.0</v>
      </c>
    </row>
    <row r="1941">
      <c r="A1941" s="32"/>
      <c r="T1941" s="31" t="s">
        <v>7026</v>
      </c>
      <c r="U1941" s="31" t="s">
        <v>7027</v>
      </c>
      <c r="V1941" s="32">
        <v>44378.0</v>
      </c>
    </row>
    <row r="1942">
      <c r="A1942" s="32"/>
      <c r="T1942" s="31" t="s">
        <v>7029</v>
      </c>
      <c r="U1942" s="31" t="s">
        <v>4930</v>
      </c>
      <c r="V1942" s="32">
        <v>44378.0</v>
      </c>
    </row>
    <row r="1943">
      <c r="A1943" s="32"/>
      <c r="T1943" s="31" t="s">
        <v>7033</v>
      </c>
      <c r="U1943" s="31" t="s">
        <v>7034</v>
      </c>
      <c r="V1943" s="32">
        <v>44378.0</v>
      </c>
    </row>
    <row r="1944">
      <c r="A1944" s="32"/>
      <c r="T1944" s="31" t="s">
        <v>7037</v>
      </c>
      <c r="U1944" s="31" t="s">
        <v>7038</v>
      </c>
      <c r="V1944" s="32">
        <v>44377.0</v>
      </c>
    </row>
    <row r="1945">
      <c r="A1945" s="32"/>
      <c r="T1945" s="31" t="s">
        <v>7041</v>
      </c>
      <c r="U1945" s="31" t="s">
        <v>7042</v>
      </c>
      <c r="V1945" s="32">
        <v>44377.0</v>
      </c>
    </row>
    <row r="1946">
      <c r="A1946" s="32"/>
      <c r="T1946" s="31" t="s">
        <v>7045</v>
      </c>
      <c r="U1946" s="31" t="s">
        <v>7046</v>
      </c>
      <c r="V1946" s="32">
        <v>44377.0</v>
      </c>
    </row>
    <row r="1947">
      <c r="A1947" s="32"/>
      <c r="T1947" s="31" t="s">
        <v>7048</v>
      </c>
      <c r="U1947" s="31" t="s">
        <v>7049</v>
      </c>
      <c r="V1947" s="32">
        <v>44376.0</v>
      </c>
    </row>
    <row r="1948">
      <c r="A1948" s="32"/>
      <c r="T1948" s="31" t="s">
        <v>7052</v>
      </c>
      <c r="U1948" s="31" t="s">
        <v>7053</v>
      </c>
      <c r="V1948" s="32">
        <v>44376.0</v>
      </c>
    </row>
    <row r="1949">
      <c r="A1949" s="32"/>
      <c r="T1949" s="31" t="s">
        <v>7056</v>
      </c>
      <c r="U1949" s="31" t="s">
        <v>7057</v>
      </c>
      <c r="V1949" s="32">
        <v>44375.0</v>
      </c>
    </row>
    <row r="1950">
      <c r="A1950" s="32"/>
      <c r="T1950" s="31" t="s">
        <v>7060</v>
      </c>
      <c r="U1950" s="31" t="s">
        <v>7061</v>
      </c>
      <c r="V1950" s="32">
        <v>44375.0</v>
      </c>
    </row>
    <row r="1951">
      <c r="A1951" s="32"/>
      <c r="T1951" s="31" t="s">
        <v>7064</v>
      </c>
      <c r="U1951" s="31" t="s">
        <v>7065</v>
      </c>
      <c r="V1951" s="32">
        <v>44375.0</v>
      </c>
    </row>
    <row r="1952">
      <c r="A1952" s="32"/>
      <c r="T1952" s="31" t="s">
        <v>7068</v>
      </c>
      <c r="U1952" s="31" t="s">
        <v>7069</v>
      </c>
      <c r="V1952" s="32">
        <v>44374.0</v>
      </c>
    </row>
    <row r="1953">
      <c r="A1953" s="32"/>
      <c r="T1953" s="31" t="s">
        <v>7072</v>
      </c>
      <c r="U1953" s="31" t="s">
        <v>7073</v>
      </c>
      <c r="V1953" s="32">
        <v>44372.0</v>
      </c>
    </row>
    <row r="1954">
      <c r="A1954" s="32"/>
      <c r="T1954" s="31" t="s">
        <v>7077</v>
      </c>
      <c r="U1954" s="31" t="s">
        <v>7078</v>
      </c>
      <c r="V1954" s="32">
        <v>44372.0</v>
      </c>
    </row>
    <row r="1955">
      <c r="A1955" s="32"/>
      <c r="T1955" s="31" t="s">
        <v>7081</v>
      </c>
      <c r="U1955" s="31" t="s">
        <v>7082</v>
      </c>
      <c r="V1955" s="32">
        <v>44372.0</v>
      </c>
    </row>
    <row r="1956">
      <c r="A1956" s="32"/>
      <c r="T1956" s="31" t="s">
        <v>7085</v>
      </c>
      <c r="U1956" s="31" t="s">
        <v>7086</v>
      </c>
      <c r="V1956" s="32">
        <v>44370.0</v>
      </c>
    </row>
    <row r="1957">
      <c r="A1957" s="32"/>
      <c r="T1957" s="31" t="s">
        <v>7089</v>
      </c>
      <c r="U1957" s="31" t="s">
        <v>6363</v>
      </c>
      <c r="V1957" s="32">
        <v>44369.0</v>
      </c>
    </row>
    <row r="1958">
      <c r="A1958" s="32"/>
      <c r="T1958" s="31" t="s">
        <v>7092</v>
      </c>
      <c r="U1958" s="31" t="s">
        <v>7093</v>
      </c>
      <c r="V1958" s="32">
        <v>44368.0</v>
      </c>
    </row>
    <row r="1959">
      <c r="A1959" s="32"/>
      <c r="T1959" s="31" t="s">
        <v>7096</v>
      </c>
      <c r="U1959" s="31" t="s">
        <v>7097</v>
      </c>
      <c r="V1959" s="32">
        <v>44367.0</v>
      </c>
    </row>
    <row r="1960">
      <c r="A1960" s="32"/>
      <c r="T1960" s="31" t="s">
        <v>7101</v>
      </c>
      <c r="U1960" s="31" t="s">
        <v>7102</v>
      </c>
      <c r="V1960" s="32">
        <v>44367.0</v>
      </c>
    </row>
    <row r="1961">
      <c r="A1961" s="32"/>
      <c r="T1961" s="31" t="s">
        <v>7105</v>
      </c>
      <c r="U1961" s="31" t="s">
        <v>7106</v>
      </c>
      <c r="V1961" s="32">
        <v>44366.0</v>
      </c>
    </row>
    <row r="1962">
      <c r="A1962" s="32"/>
      <c r="T1962" s="31" t="s">
        <v>7109</v>
      </c>
      <c r="U1962" s="31" t="s">
        <v>7110</v>
      </c>
      <c r="V1962" s="32">
        <v>44365.0</v>
      </c>
    </row>
    <row r="1963">
      <c r="A1963" s="32"/>
      <c r="T1963" s="31" t="s">
        <v>7114</v>
      </c>
      <c r="U1963" s="31" t="s">
        <v>7115</v>
      </c>
      <c r="V1963" s="32">
        <v>44365.0</v>
      </c>
    </row>
    <row r="1964">
      <c r="A1964" s="32"/>
      <c r="T1964" s="31" t="s">
        <v>7118</v>
      </c>
      <c r="U1964" s="31" t="s">
        <v>7119</v>
      </c>
      <c r="V1964" s="32">
        <v>44364.0</v>
      </c>
    </row>
    <row r="1965">
      <c r="A1965" s="32"/>
      <c r="T1965" s="31" t="s">
        <v>7123</v>
      </c>
      <c r="U1965" s="31" t="s">
        <v>7124</v>
      </c>
      <c r="V1965" s="32">
        <v>44364.0</v>
      </c>
    </row>
    <row r="1966">
      <c r="A1966" s="32"/>
      <c r="T1966" s="31" t="s">
        <v>7128</v>
      </c>
      <c r="U1966" s="31" t="s">
        <v>7129</v>
      </c>
      <c r="V1966" s="32">
        <v>44363.0</v>
      </c>
    </row>
    <row r="1967">
      <c r="A1967" s="32"/>
      <c r="T1967" s="31" t="s">
        <v>7132</v>
      </c>
      <c r="U1967" s="31" t="s">
        <v>7133</v>
      </c>
      <c r="V1967" s="32">
        <v>44363.0</v>
      </c>
    </row>
    <row r="1968">
      <c r="A1968" s="32"/>
      <c r="T1968" s="31" t="s">
        <v>7136</v>
      </c>
      <c r="U1968" s="31" t="s">
        <v>7137</v>
      </c>
      <c r="V1968" s="32">
        <v>44363.0</v>
      </c>
    </row>
    <row r="1969">
      <c r="A1969" s="32"/>
      <c r="T1969" s="31" t="s">
        <v>7140</v>
      </c>
      <c r="U1969" s="31" t="s">
        <v>7141</v>
      </c>
      <c r="V1969" s="32">
        <v>44362.0</v>
      </c>
    </row>
    <row r="1970">
      <c r="A1970" s="32"/>
      <c r="T1970" s="31" t="s">
        <v>7144</v>
      </c>
      <c r="U1970" s="31" t="s">
        <v>7145</v>
      </c>
      <c r="V1970" s="32">
        <v>44361.0</v>
      </c>
    </row>
    <row r="1971">
      <c r="A1971" s="32"/>
      <c r="T1971" s="31" t="s">
        <v>7148</v>
      </c>
      <c r="U1971" s="31" t="s">
        <v>7149</v>
      </c>
      <c r="V1971" s="32">
        <v>44361.0</v>
      </c>
    </row>
    <row r="1972">
      <c r="A1972" s="32"/>
      <c r="T1972" s="31" t="s">
        <v>7152</v>
      </c>
      <c r="U1972" s="31" t="s">
        <v>7153</v>
      </c>
      <c r="V1972" s="32">
        <v>44361.0</v>
      </c>
    </row>
    <row r="1973">
      <c r="A1973" s="32"/>
      <c r="T1973" s="31" t="s">
        <v>7156</v>
      </c>
      <c r="U1973" s="31" t="s">
        <v>7157</v>
      </c>
      <c r="V1973" s="32">
        <v>44361.0</v>
      </c>
    </row>
    <row r="1974">
      <c r="A1974" s="32"/>
      <c r="T1974" s="31" t="s">
        <v>7160</v>
      </c>
      <c r="U1974" s="31" t="s">
        <v>7161</v>
      </c>
      <c r="V1974" s="32">
        <v>44359.0</v>
      </c>
    </row>
    <row r="1975">
      <c r="A1975" s="32"/>
      <c r="T1975" s="31" t="s">
        <v>7165</v>
      </c>
      <c r="U1975" s="31" t="s">
        <v>7166</v>
      </c>
      <c r="V1975" s="32">
        <v>44358.0</v>
      </c>
    </row>
    <row r="1976">
      <c r="A1976" s="32"/>
      <c r="T1976" s="31" t="s">
        <v>7168</v>
      </c>
      <c r="U1976" s="31" t="s">
        <v>7169</v>
      </c>
      <c r="V1976" s="32">
        <v>44358.0</v>
      </c>
    </row>
    <row r="1977">
      <c r="A1977" s="32"/>
      <c r="T1977" s="31" t="s">
        <v>7173</v>
      </c>
      <c r="U1977" s="31" t="s">
        <v>7174</v>
      </c>
      <c r="V1977" s="32">
        <v>44357.0</v>
      </c>
    </row>
    <row r="1978">
      <c r="A1978" s="32"/>
      <c r="T1978" s="31" t="s">
        <v>7177</v>
      </c>
      <c r="U1978" s="31" t="s">
        <v>7178</v>
      </c>
      <c r="V1978" s="32">
        <v>44357.0</v>
      </c>
    </row>
    <row r="1979">
      <c r="A1979" s="32"/>
      <c r="T1979" s="31" t="s">
        <v>7181</v>
      </c>
      <c r="U1979" s="31" t="s">
        <v>7182</v>
      </c>
      <c r="V1979" s="32">
        <v>44357.0</v>
      </c>
    </row>
    <row r="1980">
      <c r="A1980" s="32"/>
      <c r="T1980" s="31" t="s">
        <v>7185</v>
      </c>
      <c r="U1980" s="31" t="s">
        <v>7186</v>
      </c>
      <c r="V1980" s="32">
        <v>44355.0</v>
      </c>
    </row>
    <row r="1981">
      <c r="A1981" s="32"/>
      <c r="T1981" s="31" t="s">
        <v>7189</v>
      </c>
      <c r="U1981" s="31" t="s">
        <v>7190</v>
      </c>
      <c r="V1981" s="32">
        <v>44354.0</v>
      </c>
    </row>
    <row r="1982">
      <c r="A1982" s="32"/>
      <c r="T1982" s="31" t="s">
        <v>7193</v>
      </c>
      <c r="U1982" s="31" t="s">
        <v>7194</v>
      </c>
      <c r="V1982" s="32">
        <v>44354.0</v>
      </c>
    </row>
    <row r="1983">
      <c r="A1983" s="32"/>
      <c r="T1983" s="31" t="s">
        <v>7197</v>
      </c>
      <c r="U1983" s="31" t="s">
        <v>7198</v>
      </c>
      <c r="V1983" s="32">
        <v>44353.0</v>
      </c>
    </row>
    <row r="1984">
      <c r="A1984" s="32"/>
      <c r="T1984" s="31" t="s">
        <v>7201</v>
      </c>
      <c r="U1984" s="31" t="s">
        <v>7202</v>
      </c>
      <c r="V1984" s="32">
        <v>44351.0</v>
      </c>
    </row>
    <row r="1985">
      <c r="A1985" s="32"/>
      <c r="T1985" s="31" t="s">
        <v>7205</v>
      </c>
      <c r="U1985" s="31" t="s">
        <v>7206</v>
      </c>
      <c r="V1985" s="32">
        <v>44350.0</v>
      </c>
    </row>
    <row r="1986">
      <c r="A1986" s="32"/>
      <c r="T1986" s="31" t="s">
        <v>7209</v>
      </c>
      <c r="U1986" s="31" t="s">
        <v>7210</v>
      </c>
      <c r="V1986" s="32">
        <v>44350.0</v>
      </c>
    </row>
    <row r="1987">
      <c r="A1987" s="32"/>
      <c r="T1987" s="31" t="s">
        <v>7213</v>
      </c>
      <c r="U1987" s="31" t="s">
        <v>7214</v>
      </c>
      <c r="V1987" s="32">
        <v>44349.0</v>
      </c>
    </row>
    <row r="1988">
      <c r="A1988" s="32"/>
      <c r="T1988" s="31" t="s">
        <v>7217</v>
      </c>
      <c r="U1988" s="31" t="s">
        <v>7218</v>
      </c>
      <c r="V1988" s="32">
        <v>44348.0</v>
      </c>
    </row>
    <row r="1989">
      <c r="A1989" s="32"/>
      <c r="T1989" s="31" t="s">
        <v>7221</v>
      </c>
      <c r="U1989" s="31" t="s">
        <v>7222</v>
      </c>
      <c r="V1989" s="32">
        <v>44346.0</v>
      </c>
    </row>
    <row r="1990">
      <c r="A1990" s="32"/>
      <c r="T1990" s="31" t="s">
        <v>7225</v>
      </c>
      <c r="U1990" s="31" t="s">
        <v>7226</v>
      </c>
      <c r="V1990" s="32">
        <v>44344.0</v>
      </c>
    </row>
    <row r="1991">
      <c r="A1991" s="32"/>
      <c r="T1991" s="31" t="s">
        <v>7229</v>
      </c>
      <c r="U1991" s="31" t="s">
        <v>7230</v>
      </c>
      <c r="V1991" s="32">
        <v>44343.0</v>
      </c>
    </row>
    <row r="1992">
      <c r="A1992" s="32"/>
      <c r="T1992" s="31" t="s">
        <v>7233</v>
      </c>
      <c r="U1992" s="31" t="s">
        <v>7234</v>
      </c>
      <c r="V1992" s="32">
        <v>44343.0</v>
      </c>
    </row>
    <row r="1993">
      <c r="A1993" s="32"/>
      <c r="T1993" s="31" t="s">
        <v>7237</v>
      </c>
      <c r="U1993" s="31" t="s">
        <v>7238</v>
      </c>
      <c r="V1993" s="32">
        <v>44343.0</v>
      </c>
    </row>
    <row r="1994">
      <c r="A1994" s="32"/>
      <c r="T1994" s="31" t="s">
        <v>7241</v>
      </c>
      <c r="U1994" s="31" t="s">
        <v>7242</v>
      </c>
      <c r="V1994" s="32">
        <v>44343.0</v>
      </c>
    </row>
    <row r="1995">
      <c r="A1995" s="32"/>
      <c r="T1995" s="31" t="s">
        <v>7245</v>
      </c>
      <c r="U1995" s="31" t="s">
        <v>7246</v>
      </c>
      <c r="V1995" s="32">
        <v>44342.0</v>
      </c>
    </row>
    <row r="1996">
      <c r="A1996" s="32"/>
      <c r="T1996" s="31" t="s">
        <v>7249</v>
      </c>
      <c r="U1996" s="31" t="s">
        <v>7250</v>
      </c>
      <c r="V1996" s="32">
        <v>44342.0</v>
      </c>
    </row>
    <row r="1997">
      <c r="A1997" s="32"/>
      <c r="T1997" s="31" t="s">
        <v>7253</v>
      </c>
      <c r="U1997" s="31" t="s">
        <v>7254</v>
      </c>
      <c r="V1997" s="32">
        <v>44341.0</v>
      </c>
    </row>
    <row r="1998">
      <c r="A1998" s="32"/>
      <c r="T1998" s="31" t="s">
        <v>7258</v>
      </c>
      <c r="U1998" s="31" t="s">
        <v>7259</v>
      </c>
      <c r="V1998" s="32">
        <v>44340.0</v>
      </c>
    </row>
    <row r="1999">
      <c r="A1999" s="32"/>
      <c r="T1999" s="31" t="s">
        <v>7262</v>
      </c>
      <c r="U1999" s="31" t="s">
        <v>7263</v>
      </c>
      <c r="V1999" s="32">
        <v>44340.0</v>
      </c>
    </row>
    <row r="2000">
      <c r="A2000" s="32"/>
      <c r="T2000" s="31" t="s">
        <v>7266</v>
      </c>
      <c r="U2000" s="31" t="s">
        <v>7267</v>
      </c>
      <c r="V2000" s="32">
        <v>44340.0</v>
      </c>
    </row>
    <row r="2001">
      <c r="A2001" s="32"/>
      <c r="T2001" s="31" t="s">
        <v>7269</v>
      </c>
      <c r="U2001" s="31" t="s">
        <v>7270</v>
      </c>
      <c r="V2001" s="32">
        <v>44338.0</v>
      </c>
    </row>
    <row r="2002">
      <c r="A2002" s="32"/>
      <c r="T2002" s="31" t="s">
        <v>7274</v>
      </c>
      <c r="U2002" s="31" t="s">
        <v>7275</v>
      </c>
      <c r="V2002" s="32">
        <v>44336.0</v>
      </c>
    </row>
    <row r="2003">
      <c r="A2003" s="32"/>
      <c r="T2003" s="31" t="s">
        <v>7278</v>
      </c>
      <c r="U2003" s="31" t="s">
        <v>4115</v>
      </c>
      <c r="V2003" s="32">
        <v>44335.0</v>
      </c>
    </row>
    <row r="2004">
      <c r="A2004" s="32"/>
      <c r="T2004" s="31" t="s">
        <v>7281</v>
      </c>
      <c r="U2004" s="31" t="s">
        <v>7282</v>
      </c>
      <c r="V2004" s="32">
        <v>44334.0</v>
      </c>
    </row>
    <row r="2005">
      <c r="A2005" s="32"/>
      <c r="T2005" s="31" t="s">
        <v>7285</v>
      </c>
      <c r="U2005" s="31" t="s">
        <v>7286</v>
      </c>
      <c r="V2005" s="32">
        <v>44333.0</v>
      </c>
    </row>
    <row r="2006">
      <c r="A2006" s="32"/>
      <c r="T2006" s="31" t="s">
        <v>7289</v>
      </c>
      <c r="U2006" s="31" t="s">
        <v>7290</v>
      </c>
      <c r="V2006" s="32">
        <v>44333.0</v>
      </c>
    </row>
    <row r="2007">
      <c r="A2007" s="32"/>
      <c r="T2007" s="31" t="s">
        <v>7293</v>
      </c>
      <c r="U2007" s="31" t="s">
        <v>7294</v>
      </c>
      <c r="V2007" s="32">
        <v>44332.0</v>
      </c>
    </row>
    <row r="2008">
      <c r="A2008" s="32"/>
      <c r="T2008" s="31" t="s">
        <v>7297</v>
      </c>
      <c r="U2008" s="31" t="s">
        <v>7298</v>
      </c>
      <c r="V2008" s="32">
        <v>44331.0</v>
      </c>
    </row>
    <row r="2009">
      <c r="A2009" s="32"/>
      <c r="T2009" s="31" t="s">
        <v>7302</v>
      </c>
      <c r="U2009" s="31" t="s">
        <v>7303</v>
      </c>
      <c r="V2009" s="32">
        <v>44329.0</v>
      </c>
    </row>
    <row r="2010">
      <c r="A2010" s="32"/>
      <c r="T2010" s="31" t="s">
        <v>7306</v>
      </c>
      <c r="U2010" s="31" t="s">
        <v>7307</v>
      </c>
      <c r="V2010" s="32">
        <v>44328.0</v>
      </c>
    </row>
    <row r="2011">
      <c r="A2011" s="32"/>
      <c r="T2011" s="31" t="s">
        <v>7310</v>
      </c>
      <c r="U2011" s="31" t="s">
        <v>7311</v>
      </c>
      <c r="V2011" s="32">
        <v>44328.0</v>
      </c>
    </row>
    <row r="2012">
      <c r="A2012" s="32"/>
      <c r="T2012" s="31" t="s">
        <v>7314</v>
      </c>
      <c r="U2012" s="31" t="s">
        <v>7315</v>
      </c>
      <c r="V2012" s="32">
        <v>44327.0</v>
      </c>
    </row>
    <row r="2013">
      <c r="A2013" s="32"/>
      <c r="T2013" s="31" t="s">
        <v>7319</v>
      </c>
      <c r="U2013" s="31" t="s">
        <v>7320</v>
      </c>
      <c r="V2013" s="32">
        <v>44327.0</v>
      </c>
    </row>
    <row r="2014">
      <c r="A2014" s="32"/>
      <c r="T2014" s="31" t="s">
        <v>7323</v>
      </c>
      <c r="U2014" s="31" t="s">
        <v>7324</v>
      </c>
      <c r="V2014" s="32">
        <v>44326.0</v>
      </c>
    </row>
    <row r="2015">
      <c r="A2015" s="32"/>
      <c r="T2015" s="31" t="s">
        <v>7327</v>
      </c>
      <c r="U2015" s="31" t="s">
        <v>7328</v>
      </c>
      <c r="V2015" s="32">
        <v>44325.0</v>
      </c>
    </row>
    <row r="2016">
      <c r="A2016" s="32"/>
      <c r="T2016" s="31" t="s">
        <v>7331</v>
      </c>
      <c r="U2016" s="31" t="s">
        <v>7332</v>
      </c>
      <c r="V2016" s="32">
        <v>44324.0</v>
      </c>
    </row>
    <row r="2017">
      <c r="A2017" s="32"/>
      <c r="T2017" s="31" t="s">
        <v>7335</v>
      </c>
      <c r="U2017" s="31" t="s">
        <v>7336</v>
      </c>
      <c r="V2017" s="32">
        <v>44324.0</v>
      </c>
    </row>
    <row r="2018">
      <c r="A2018" s="32"/>
      <c r="T2018" s="31" t="s">
        <v>7339</v>
      </c>
      <c r="U2018" s="31" t="s">
        <v>7340</v>
      </c>
      <c r="V2018" s="32">
        <v>44324.0</v>
      </c>
    </row>
    <row r="2019">
      <c r="A2019" s="32"/>
      <c r="T2019" s="31" t="s">
        <v>7344</v>
      </c>
      <c r="U2019" s="31" t="s">
        <v>7345</v>
      </c>
      <c r="V2019" s="32">
        <v>44323.0</v>
      </c>
    </row>
    <row r="2020">
      <c r="A2020" s="32"/>
      <c r="T2020" s="31" t="s">
        <v>7348</v>
      </c>
      <c r="U2020" s="31" t="s">
        <v>7349</v>
      </c>
      <c r="V2020" s="32">
        <v>44322.0</v>
      </c>
    </row>
    <row r="2021">
      <c r="A2021" s="32"/>
      <c r="T2021" s="31" t="s">
        <v>7353</v>
      </c>
      <c r="U2021" s="31" t="s">
        <v>7354</v>
      </c>
      <c r="V2021" s="32">
        <v>44322.0</v>
      </c>
    </row>
    <row r="2022">
      <c r="A2022" s="32"/>
      <c r="T2022" s="31" t="s">
        <v>7357</v>
      </c>
      <c r="U2022" s="31" t="s">
        <v>7358</v>
      </c>
      <c r="V2022" s="32">
        <v>44322.0</v>
      </c>
    </row>
    <row r="2023">
      <c r="A2023" s="32"/>
      <c r="T2023" s="31" t="s">
        <v>7361</v>
      </c>
      <c r="U2023" s="31" t="s">
        <v>7362</v>
      </c>
      <c r="V2023" s="32">
        <v>44322.0</v>
      </c>
    </row>
    <row r="2024">
      <c r="A2024" s="32"/>
      <c r="T2024" s="31" t="s">
        <v>7365</v>
      </c>
      <c r="U2024" s="31" t="s">
        <v>7366</v>
      </c>
      <c r="V2024" s="32">
        <v>44322.0</v>
      </c>
    </row>
    <row r="2025">
      <c r="A2025" s="32"/>
      <c r="T2025" s="31" t="s">
        <v>7370</v>
      </c>
      <c r="U2025" s="31" t="s">
        <v>7371</v>
      </c>
      <c r="V2025" s="32">
        <v>44322.0</v>
      </c>
    </row>
    <row r="2026">
      <c r="A2026" s="32"/>
      <c r="T2026" s="31" t="s">
        <v>7375</v>
      </c>
      <c r="U2026" s="31" t="s">
        <v>7376</v>
      </c>
      <c r="V2026" s="32">
        <v>44321.0</v>
      </c>
    </row>
    <row r="2027">
      <c r="A2027" s="32"/>
      <c r="T2027" s="31" t="s">
        <v>7379</v>
      </c>
      <c r="U2027" s="31" t="s">
        <v>6970</v>
      </c>
      <c r="V2027" s="32">
        <v>44320.0</v>
      </c>
    </row>
    <row r="2028">
      <c r="A2028" s="32"/>
      <c r="T2028" s="31" t="s">
        <v>7383</v>
      </c>
      <c r="U2028" s="31" t="s">
        <v>7384</v>
      </c>
      <c r="V2028" s="32">
        <v>44320.0</v>
      </c>
    </row>
    <row r="2029">
      <c r="A2029" s="32"/>
      <c r="T2029" s="31" t="s">
        <v>7388</v>
      </c>
      <c r="U2029" s="31" t="s">
        <v>7389</v>
      </c>
      <c r="V2029" s="32">
        <v>44320.0</v>
      </c>
    </row>
    <row r="2030">
      <c r="A2030" s="32"/>
      <c r="T2030" s="31" t="s">
        <v>7392</v>
      </c>
      <c r="U2030" s="31" t="s">
        <v>7393</v>
      </c>
      <c r="V2030" s="32">
        <v>44320.0</v>
      </c>
    </row>
    <row r="2031">
      <c r="A2031" s="32"/>
      <c r="T2031" s="31" t="s">
        <v>7395</v>
      </c>
      <c r="U2031" s="31" t="s">
        <v>7396</v>
      </c>
      <c r="V2031" s="32">
        <v>44320.0</v>
      </c>
    </row>
    <row r="2032">
      <c r="A2032" s="32"/>
      <c r="T2032" s="31" t="s">
        <v>7399</v>
      </c>
      <c r="U2032" s="31" t="s">
        <v>7400</v>
      </c>
      <c r="V2032" s="32">
        <v>44320.0</v>
      </c>
    </row>
    <row r="2033">
      <c r="A2033" s="32"/>
      <c r="T2033" s="31" t="s">
        <v>7403</v>
      </c>
      <c r="U2033" s="31" t="s">
        <v>7404</v>
      </c>
      <c r="V2033" s="32">
        <v>44319.0</v>
      </c>
    </row>
    <row r="2034">
      <c r="A2034" s="32"/>
      <c r="T2034" s="31" t="s">
        <v>7407</v>
      </c>
      <c r="U2034" s="31" t="s">
        <v>7408</v>
      </c>
      <c r="V2034" s="32">
        <v>44319.0</v>
      </c>
    </row>
    <row r="2035">
      <c r="A2035" s="32"/>
      <c r="T2035" s="31" t="s">
        <v>7411</v>
      </c>
      <c r="U2035" s="31" t="s">
        <v>7412</v>
      </c>
      <c r="V2035" s="32">
        <v>44319.0</v>
      </c>
    </row>
    <row r="2036">
      <c r="A2036" s="32"/>
      <c r="T2036" s="31" t="s">
        <v>7415</v>
      </c>
      <c r="U2036" s="31" t="s">
        <v>7416</v>
      </c>
      <c r="V2036" s="32">
        <v>44317.0</v>
      </c>
    </row>
    <row r="2037">
      <c r="A2037" s="32"/>
      <c r="T2037" s="31" t="s">
        <v>7419</v>
      </c>
      <c r="U2037" s="31" t="s">
        <v>7420</v>
      </c>
      <c r="V2037" s="32">
        <v>44317.0</v>
      </c>
    </row>
    <row r="2038">
      <c r="A2038" s="32"/>
      <c r="T2038" s="31" t="s">
        <v>7423</v>
      </c>
      <c r="U2038" s="31" t="s">
        <v>7424</v>
      </c>
      <c r="V2038" s="32">
        <v>44317.0</v>
      </c>
    </row>
    <row r="2039">
      <c r="A2039" s="32"/>
      <c r="T2039" s="31" t="s">
        <v>7428</v>
      </c>
      <c r="U2039" s="31" t="s">
        <v>7429</v>
      </c>
      <c r="V2039" s="32">
        <v>44317.0</v>
      </c>
    </row>
    <row r="2040">
      <c r="A2040" s="32"/>
      <c r="T2040" s="31" t="s">
        <v>7431</v>
      </c>
      <c r="U2040" s="31" t="s">
        <v>7432</v>
      </c>
      <c r="V2040" s="32">
        <v>44317.0</v>
      </c>
    </row>
    <row r="2041">
      <c r="A2041" s="32"/>
      <c r="T2041" s="31" t="s">
        <v>7435</v>
      </c>
      <c r="U2041" s="31" t="s">
        <v>7436</v>
      </c>
      <c r="V2041" s="32">
        <v>44315.0</v>
      </c>
    </row>
    <row r="2042">
      <c r="A2042" s="32"/>
      <c r="T2042" s="31" t="s">
        <v>7439</v>
      </c>
      <c r="U2042" s="31" t="s">
        <v>7440</v>
      </c>
      <c r="V2042" s="32">
        <v>44315.0</v>
      </c>
    </row>
    <row r="2043">
      <c r="A2043" s="32"/>
      <c r="T2043" s="31" t="s">
        <v>7443</v>
      </c>
      <c r="U2043" s="31" t="s">
        <v>7444</v>
      </c>
      <c r="V2043" s="32">
        <v>44315.0</v>
      </c>
    </row>
    <row r="2044">
      <c r="A2044" s="32"/>
      <c r="T2044" s="31" t="s">
        <v>7446</v>
      </c>
      <c r="U2044" s="31" t="s">
        <v>7447</v>
      </c>
      <c r="V2044" s="32">
        <v>44314.0</v>
      </c>
    </row>
    <row r="2045">
      <c r="A2045" s="32"/>
      <c r="T2045" s="31" t="s">
        <v>7450</v>
      </c>
      <c r="U2045" s="31" t="s">
        <v>7451</v>
      </c>
      <c r="V2045" s="32">
        <v>44314.0</v>
      </c>
    </row>
    <row r="2046">
      <c r="A2046" s="32"/>
      <c r="T2046" s="31" t="s">
        <v>7454</v>
      </c>
      <c r="U2046" s="31" t="s">
        <v>7455</v>
      </c>
      <c r="V2046" s="32">
        <v>44313.0</v>
      </c>
    </row>
    <row r="2047">
      <c r="A2047" s="32"/>
      <c r="T2047" s="31" t="s">
        <v>7458</v>
      </c>
      <c r="U2047" s="31" t="s">
        <v>7459</v>
      </c>
      <c r="V2047" s="32">
        <v>44313.0</v>
      </c>
    </row>
    <row r="2048">
      <c r="A2048" s="32"/>
      <c r="T2048" s="31" t="s">
        <v>7462</v>
      </c>
      <c r="U2048" s="31" t="s">
        <v>7463</v>
      </c>
      <c r="V2048" s="32">
        <v>44313.0</v>
      </c>
    </row>
    <row r="2049">
      <c r="A2049" s="32"/>
      <c r="T2049" s="31" t="s">
        <v>7467</v>
      </c>
      <c r="U2049" s="31" t="s">
        <v>7468</v>
      </c>
      <c r="V2049" s="32">
        <v>44312.0</v>
      </c>
    </row>
    <row r="2050">
      <c r="A2050" s="32"/>
      <c r="T2050" s="31" t="s">
        <v>7471</v>
      </c>
      <c r="U2050" s="31" t="s">
        <v>7472</v>
      </c>
      <c r="V2050" s="32">
        <v>44311.0</v>
      </c>
    </row>
    <row r="2051">
      <c r="A2051" s="32"/>
      <c r="T2051" s="31" t="s">
        <v>7475</v>
      </c>
      <c r="U2051" s="31" t="s">
        <v>7476</v>
      </c>
      <c r="V2051" s="32">
        <v>44309.0</v>
      </c>
    </row>
    <row r="2052">
      <c r="A2052" s="32"/>
      <c r="T2052" s="31" t="s">
        <v>7479</v>
      </c>
      <c r="U2052" s="31" t="s">
        <v>7480</v>
      </c>
      <c r="V2052" s="32">
        <v>44309.0</v>
      </c>
    </row>
    <row r="2053">
      <c r="A2053" s="32"/>
      <c r="T2053" s="31" t="s">
        <v>7484</v>
      </c>
      <c r="U2053" s="31" t="s">
        <v>7485</v>
      </c>
      <c r="V2053" s="32">
        <v>44306.0</v>
      </c>
    </row>
    <row r="2054">
      <c r="A2054" s="32"/>
      <c r="T2054" s="31" t="s">
        <v>7488</v>
      </c>
      <c r="U2054" s="31" t="s">
        <v>7489</v>
      </c>
      <c r="V2054" s="32">
        <v>44306.0</v>
      </c>
    </row>
    <row r="2055">
      <c r="A2055" s="32"/>
      <c r="T2055" s="31" t="s">
        <v>7493</v>
      </c>
      <c r="U2055" s="31" t="s">
        <v>7494</v>
      </c>
      <c r="V2055" s="32">
        <v>44306.0</v>
      </c>
    </row>
    <row r="2056">
      <c r="A2056" s="32"/>
      <c r="T2056" s="31" t="s">
        <v>7498</v>
      </c>
      <c r="U2056" s="31" t="s">
        <v>7499</v>
      </c>
      <c r="V2056" s="32">
        <v>44306.0</v>
      </c>
    </row>
    <row r="2057">
      <c r="A2057" s="32"/>
      <c r="T2057" s="31" t="s">
        <v>7503</v>
      </c>
      <c r="U2057" s="31" t="s">
        <v>7504</v>
      </c>
      <c r="V2057" s="32">
        <v>44305.0</v>
      </c>
    </row>
    <row r="2058">
      <c r="A2058" s="32"/>
      <c r="T2058" s="31" t="s">
        <v>7508</v>
      </c>
      <c r="U2058" s="31" t="s">
        <v>7509</v>
      </c>
      <c r="V2058" s="32">
        <v>44305.0</v>
      </c>
    </row>
    <row r="2059">
      <c r="A2059" s="32"/>
      <c r="T2059" s="31" t="s">
        <v>7512</v>
      </c>
      <c r="U2059" s="31" t="s">
        <v>7513</v>
      </c>
      <c r="V2059" s="32">
        <v>44301.0</v>
      </c>
    </row>
    <row r="2060">
      <c r="A2060" s="32"/>
      <c r="T2060" s="31" t="s">
        <v>7517</v>
      </c>
      <c r="U2060" s="31" t="s">
        <v>7518</v>
      </c>
      <c r="V2060" s="32">
        <v>44301.0</v>
      </c>
    </row>
    <row r="2061">
      <c r="A2061" s="32"/>
      <c r="T2061" s="31" t="s">
        <v>7521</v>
      </c>
      <c r="U2061" s="31" t="s">
        <v>7522</v>
      </c>
      <c r="V2061" s="32">
        <v>44300.0</v>
      </c>
    </row>
    <row r="2062">
      <c r="A2062" s="32"/>
      <c r="T2062" s="31" t="s">
        <v>7525</v>
      </c>
      <c r="U2062" s="31" t="s">
        <v>7526</v>
      </c>
      <c r="V2062" s="32">
        <v>44300.0</v>
      </c>
    </row>
    <row r="2063">
      <c r="A2063" s="32"/>
      <c r="T2063" s="31" t="s">
        <v>7529</v>
      </c>
      <c r="U2063" s="31" t="s">
        <v>7530</v>
      </c>
      <c r="V2063" s="32">
        <v>44298.0</v>
      </c>
    </row>
    <row r="2064">
      <c r="A2064" s="32"/>
      <c r="T2064" s="31" t="s">
        <v>7533</v>
      </c>
      <c r="U2064" s="31" t="s">
        <v>7534</v>
      </c>
      <c r="V2064" s="32">
        <v>44298.0</v>
      </c>
    </row>
    <row r="2065">
      <c r="A2065" s="32"/>
      <c r="T2065" s="31" t="s">
        <v>7537</v>
      </c>
      <c r="U2065" s="31" t="s">
        <v>7538</v>
      </c>
      <c r="V2065" s="32">
        <v>44296.0</v>
      </c>
    </row>
    <row r="2066">
      <c r="A2066" s="32"/>
      <c r="T2066" s="31" t="s">
        <v>7541</v>
      </c>
      <c r="U2066" s="31" t="s">
        <v>7542</v>
      </c>
      <c r="V2066" s="32">
        <v>44295.0</v>
      </c>
    </row>
    <row r="2067">
      <c r="A2067" s="32"/>
      <c r="T2067" s="31" t="s">
        <v>7546</v>
      </c>
      <c r="U2067" s="31" t="s">
        <v>7547</v>
      </c>
      <c r="V2067" s="32">
        <v>44294.0</v>
      </c>
    </row>
    <row r="2068">
      <c r="A2068" s="32"/>
      <c r="T2068" s="31" t="s">
        <v>7550</v>
      </c>
      <c r="U2068" s="31" t="s">
        <v>7551</v>
      </c>
      <c r="V2068" s="32">
        <v>44294.0</v>
      </c>
    </row>
    <row r="2069">
      <c r="A2069" s="32"/>
      <c r="T2069" s="31" t="s">
        <v>7554</v>
      </c>
      <c r="U2069" s="31" t="s">
        <v>7555</v>
      </c>
      <c r="V2069" s="32">
        <v>44293.0</v>
      </c>
    </row>
    <row r="2070">
      <c r="A2070" s="32"/>
      <c r="T2070" s="31" t="s">
        <v>7558</v>
      </c>
      <c r="U2070" s="31" t="s">
        <v>7559</v>
      </c>
      <c r="V2070" s="32">
        <v>44293.0</v>
      </c>
    </row>
    <row r="2071">
      <c r="A2071" s="32"/>
      <c r="T2071" s="31" t="s">
        <v>7561</v>
      </c>
      <c r="U2071" s="31" t="s">
        <v>7562</v>
      </c>
      <c r="V2071" s="32">
        <v>44293.0</v>
      </c>
    </row>
    <row r="2072">
      <c r="A2072" s="32"/>
      <c r="T2072" s="31" t="s">
        <v>7565</v>
      </c>
      <c r="U2072" s="31" t="s">
        <v>7444</v>
      </c>
      <c r="V2072" s="32">
        <v>44293.0</v>
      </c>
    </row>
    <row r="2073">
      <c r="A2073" s="32"/>
      <c r="T2073" s="31" t="s">
        <v>7568</v>
      </c>
      <c r="U2073" s="31" t="s">
        <v>7569</v>
      </c>
      <c r="V2073" s="32">
        <v>44293.0</v>
      </c>
    </row>
    <row r="2074">
      <c r="A2074" s="32"/>
      <c r="T2074" s="31" t="s">
        <v>7573</v>
      </c>
      <c r="U2074" s="31" t="s">
        <v>7574</v>
      </c>
      <c r="V2074" s="32">
        <v>44292.0</v>
      </c>
    </row>
    <row r="2075">
      <c r="A2075" s="32"/>
      <c r="T2075" s="31" t="s">
        <v>7577</v>
      </c>
      <c r="U2075" s="31" t="s">
        <v>7578</v>
      </c>
      <c r="V2075" s="32">
        <v>44292.0</v>
      </c>
    </row>
    <row r="2076">
      <c r="A2076" s="32"/>
      <c r="T2076" s="31" t="s">
        <v>7581</v>
      </c>
      <c r="U2076" s="31" t="s">
        <v>7582</v>
      </c>
      <c r="V2076" s="32">
        <v>44291.0</v>
      </c>
    </row>
    <row r="2077">
      <c r="A2077" s="32"/>
      <c r="T2077" s="31" t="s">
        <v>7585</v>
      </c>
      <c r="U2077" s="31" t="s">
        <v>7586</v>
      </c>
      <c r="V2077" s="32">
        <v>44290.0</v>
      </c>
    </row>
    <row r="2078">
      <c r="A2078" s="32"/>
      <c r="T2078" s="31" t="s">
        <v>7589</v>
      </c>
      <c r="U2078" s="31" t="s">
        <v>7590</v>
      </c>
      <c r="V2078" s="32">
        <v>44289.0</v>
      </c>
    </row>
    <row r="2079">
      <c r="A2079" s="32"/>
      <c r="T2079" s="31" t="s">
        <v>7593</v>
      </c>
      <c r="U2079" s="31" t="s">
        <v>7594</v>
      </c>
      <c r="V2079" s="32">
        <v>44288.0</v>
      </c>
    </row>
    <row r="2080">
      <c r="A2080" s="32"/>
      <c r="T2080" s="31" t="s">
        <v>7597</v>
      </c>
      <c r="U2080" s="31" t="s">
        <v>7598</v>
      </c>
      <c r="V2080" s="32">
        <v>44287.0</v>
      </c>
    </row>
    <row r="2081">
      <c r="A2081" s="32"/>
      <c r="T2081" s="31" t="s">
        <v>7601</v>
      </c>
      <c r="U2081" s="31" t="s">
        <v>7602</v>
      </c>
      <c r="V2081" s="32">
        <v>44287.0</v>
      </c>
    </row>
    <row r="2082">
      <c r="A2082" s="32"/>
      <c r="T2082" s="31" t="s">
        <v>7605</v>
      </c>
      <c r="U2082" s="31" t="s">
        <v>7606</v>
      </c>
      <c r="V2082" s="32">
        <v>44287.0</v>
      </c>
    </row>
    <row r="2083">
      <c r="A2083" s="32"/>
      <c r="T2083" s="31" t="s">
        <v>7609</v>
      </c>
      <c r="U2083" s="31" t="s">
        <v>7610</v>
      </c>
      <c r="V2083" s="32">
        <v>44287.0</v>
      </c>
    </row>
    <row r="2084">
      <c r="A2084" s="32"/>
      <c r="T2084" s="31" t="s">
        <v>7613</v>
      </c>
      <c r="U2084" s="31" t="s">
        <v>7614</v>
      </c>
      <c r="V2084" s="32">
        <v>44287.0</v>
      </c>
    </row>
    <row r="2085">
      <c r="A2085" s="32"/>
      <c r="T2085" s="31" t="s">
        <v>7617</v>
      </c>
      <c r="U2085" s="31" t="s">
        <v>7618</v>
      </c>
      <c r="V2085" s="32">
        <v>44287.0</v>
      </c>
    </row>
    <row r="2086">
      <c r="A2086" s="32"/>
      <c r="T2086" s="31" t="s">
        <v>7620</v>
      </c>
      <c r="U2086" s="31" t="s">
        <v>7621</v>
      </c>
      <c r="V2086" s="32">
        <v>44287.0</v>
      </c>
    </row>
    <row r="2087">
      <c r="A2087" s="32"/>
      <c r="T2087" s="31" t="s">
        <v>7624</v>
      </c>
      <c r="U2087" s="31" t="s">
        <v>7625</v>
      </c>
      <c r="V2087" s="32">
        <v>44286.0</v>
      </c>
    </row>
    <row r="2088">
      <c r="A2088" s="32"/>
      <c r="T2088" s="31" t="s">
        <v>7628</v>
      </c>
      <c r="U2088" s="31" t="s">
        <v>7629</v>
      </c>
      <c r="V2088" s="32">
        <v>44285.0</v>
      </c>
    </row>
    <row r="2089">
      <c r="A2089" s="32"/>
      <c r="T2089" s="31" t="s">
        <v>7632</v>
      </c>
      <c r="U2089" s="31" t="s">
        <v>7633</v>
      </c>
      <c r="V2089" s="32">
        <v>44284.0</v>
      </c>
    </row>
    <row r="2090">
      <c r="A2090" s="32"/>
      <c r="T2090" s="31" t="s">
        <v>7635</v>
      </c>
      <c r="U2090" s="31" t="s">
        <v>7636</v>
      </c>
      <c r="V2090" s="32">
        <v>44284.0</v>
      </c>
    </row>
    <row r="2091">
      <c r="A2091" s="32"/>
      <c r="T2091" s="31" t="s">
        <v>7638</v>
      </c>
      <c r="U2091" s="31" t="s">
        <v>7639</v>
      </c>
      <c r="V2091" s="32">
        <v>44282.0</v>
      </c>
    </row>
    <row r="2092">
      <c r="A2092" s="32"/>
      <c r="T2092" s="31" t="s">
        <v>7642</v>
      </c>
      <c r="U2092" s="31" t="s">
        <v>7643</v>
      </c>
      <c r="V2092" s="32">
        <v>44281.0</v>
      </c>
    </row>
    <row r="2093">
      <c r="A2093" s="32"/>
      <c r="T2093" s="31" t="s">
        <v>7646</v>
      </c>
      <c r="U2093" s="31" t="s">
        <v>7647</v>
      </c>
      <c r="V2093" s="32">
        <v>44281.0</v>
      </c>
    </row>
    <row r="2094">
      <c r="A2094" s="32"/>
      <c r="T2094" s="31" t="s">
        <v>7650</v>
      </c>
      <c r="U2094" s="31" t="s">
        <v>7651</v>
      </c>
      <c r="V2094" s="32">
        <v>44281.0</v>
      </c>
    </row>
    <row r="2095">
      <c r="A2095" s="32"/>
      <c r="T2095" s="31" t="s">
        <v>7654</v>
      </c>
      <c r="U2095" s="31" t="s">
        <v>7655</v>
      </c>
      <c r="V2095" s="32">
        <v>44281.0</v>
      </c>
    </row>
    <row r="2096">
      <c r="A2096" s="32"/>
      <c r="T2096" s="31" t="s">
        <v>7658</v>
      </c>
      <c r="U2096" s="31" t="s">
        <v>7659</v>
      </c>
      <c r="V2096" s="32">
        <v>44280.0</v>
      </c>
    </row>
    <row r="2097">
      <c r="A2097" s="32"/>
      <c r="T2097" s="31" t="s">
        <v>7663</v>
      </c>
      <c r="U2097" s="31" t="s">
        <v>7664</v>
      </c>
      <c r="V2097" s="32">
        <v>44279.0</v>
      </c>
    </row>
    <row r="2098">
      <c r="A2098" s="32"/>
      <c r="T2098" s="31" t="s">
        <v>7667</v>
      </c>
      <c r="U2098" s="31" t="s">
        <v>7668</v>
      </c>
      <c r="V2098" s="32">
        <v>44279.0</v>
      </c>
    </row>
    <row r="2099">
      <c r="A2099" s="32"/>
      <c r="T2099" s="31" t="s">
        <v>7672</v>
      </c>
      <c r="U2099" s="31" t="s">
        <v>7673</v>
      </c>
      <c r="V2099" s="32">
        <v>44279.0</v>
      </c>
    </row>
    <row r="2100">
      <c r="A2100" s="32"/>
      <c r="T2100" s="31" t="s">
        <v>7676</v>
      </c>
      <c r="U2100" s="31" t="s">
        <v>7677</v>
      </c>
      <c r="V2100" s="32">
        <v>44279.0</v>
      </c>
    </row>
    <row r="2101">
      <c r="A2101" s="32"/>
      <c r="T2101" s="31" t="s">
        <v>7680</v>
      </c>
      <c r="U2101" s="31" t="s">
        <v>7681</v>
      </c>
      <c r="V2101" s="32">
        <v>44278.0</v>
      </c>
    </row>
    <row r="2102">
      <c r="A2102" s="32"/>
      <c r="T2102" s="31" t="s">
        <v>7684</v>
      </c>
      <c r="U2102" s="31" t="s">
        <v>7685</v>
      </c>
      <c r="V2102" s="32">
        <v>44277.0</v>
      </c>
    </row>
    <row r="2103">
      <c r="A2103" s="32"/>
      <c r="T2103" s="31" t="s">
        <v>7688</v>
      </c>
      <c r="U2103" s="31" t="s">
        <v>7689</v>
      </c>
      <c r="V2103" s="32">
        <v>44276.0</v>
      </c>
    </row>
    <row r="2104">
      <c r="A2104" s="32"/>
      <c r="T2104" s="31" t="s">
        <v>7692</v>
      </c>
      <c r="U2104" s="31" t="s">
        <v>7693</v>
      </c>
      <c r="V2104" s="32">
        <v>44276.0</v>
      </c>
    </row>
    <row r="2105">
      <c r="A2105" s="32"/>
      <c r="T2105" s="31" t="s">
        <v>7696</v>
      </c>
      <c r="U2105" s="31" t="s">
        <v>7697</v>
      </c>
      <c r="V2105" s="32">
        <v>44275.0</v>
      </c>
    </row>
    <row r="2106">
      <c r="A2106" s="32"/>
      <c r="T2106" s="31" t="s">
        <v>7700</v>
      </c>
      <c r="U2106" s="31" t="s">
        <v>7701</v>
      </c>
      <c r="V2106" s="32">
        <v>44274.0</v>
      </c>
    </row>
    <row r="2107">
      <c r="A2107" s="32"/>
      <c r="T2107" s="31" t="s">
        <v>7704</v>
      </c>
      <c r="U2107" s="31" t="s">
        <v>7705</v>
      </c>
      <c r="V2107" s="32">
        <v>44274.0</v>
      </c>
    </row>
    <row r="2108">
      <c r="A2108" s="32"/>
      <c r="T2108" s="31" t="s">
        <v>7708</v>
      </c>
      <c r="U2108" s="31" t="s">
        <v>7709</v>
      </c>
      <c r="V2108" s="32">
        <v>44274.0</v>
      </c>
    </row>
    <row r="2109">
      <c r="A2109" s="32"/>
      <c r="T2109" s="31" t="s">
        <v>7712</v>
      </c>
      <c r="U2109" s="31" t="s">
        <v>7713</v>
      </c>
      <c r="V2109" s="32">
        <v>44274.0</v>
      </c>
    </row>
    <row r="2110">
      <c r="A2110" s="32"/>
      <c r="T2110" s="31" t="s">
        <v>7716</v>
      </c>
      <c r="U2110" s="31" t="s">
        <v>7717</v>
      </c>
      <c r="V2110" s="32">
        <v>44273.0</v>
      </c>
    </row>
    <row r="2111">
      <c r="A2111" s="32"/>
      <c r="T2111" s="31" t="s">
        <v>7720</v>
      </c>
      <c r="U2111" s="31" t="s">
        <v>7157</v>
      </c>
      <c r="V2111" s="32">
        <v>44273.0</v>
      </c>
    </row>
    <row r="2112">
      <c r="A2112" s="32"/>
      <c r="T2112" s="31" t="s">
        <v>7723</v>
      </c>
      <c r="U2112" s="31" t="s">
        <v>7724</v>
      </c>
      <c r="V2112" s="32">
        <v>44273.0</v>
      </c>
    </row>
    <row r="2113">
      <c r="A2113" s="32"/>
      <c r="T2113" s="31" t="s">
        <v>7727</v>
      </c>
      <c r="U2113" s="31" t="s">
        <v>7728</v>
      </c>
      <c r="V2113" s="32">
        <v>44272.0</v>
      </c>
    </row>
    <row r="2114">
      <c r="A2114" s="32"/>
      <c r="T2114" s="31" t="s">
        <v>7732</v>
      </c>
      <c r="U2114" s="31" t="s">
        <v>7733</v>
      </c>
      <c r="V2114" s="32">
        <v>44272.0</v>
      </c>
    </row>
    <row r="2115">
      <c r="A2115" s="32"/>
      <c r="T2115" s="31" t="s">
        <v>7736</v>
      </c>
      <c r="U2115" s="31" t="s">
        <v>7737</v>
      </c>
      <c r="V2115" s="32">
        <v>44272.0</v>
      </c>
    </row>
    <row r="2116">
      <c r="A2116" s="32"/>
      <c r="T2116" s="31" t="s">
        <v>7741</v>
      </c>
      <c r="U2116" s="31" t="s">
        <v>7742</v>
      </c>
      <c r="V2116" s="32">
        <v>44271.0</v>
      </c>
    </row>
    <row r="2117">
      <c r="A2117" s="32"/>
      <c r="T2117" s="31" t="s">
        <v>7745</v>
      </c>
      <c r="U2117" s="31" t="s">
        <v>7746</v>
      </c>
      <c r="V2117" s="32">
        <v>44271.0</v>
      </c>
    </row>
    <row r="2118">
      <c r="A2118" s="32"/>
      <c r="T2118" s="31" t="s">
        <v>7749</v>
      </c>
      <c r="U2118" s="31" t="s">
        <v>7750</v>
      </c>
      <c r="V2118" s="32">
        <v>44270.0</v>
      </c>
    </row>
    <row r="2119">
      <c r="A2119" s="32"/>
      <c r="T2119" s="31" t="s">
        <v>7752</v>
      </c>
      <c r="U2119" s="31" t="s">
        <v>7753</v>
      </c>
      <c r="V2119" s="32">
        <v>44270.0</v>
      </c>
    </row>
    <row r="2120">
      <c r="A2120" s="32"/>
      <c r="T2120" s="31" t="s">
        <v>7755</v>
      </c>
      <c r="U2120" s="31" t="s">
        <v>7756</v>
      </c>
      <c r="V2120" s="32">
        <v>44270.0</v>
      </c>
    </row>
    <row r="2121">
      <c r="A2121" s="32"/>
      <c r="T2121" s="31" t="s">
        <v>7759</v>
      </c>
      <c r="U2121" s="31" t="s">
        <v>7760</v>
      </c>
      <c r="V2121" s="32">
        <v>44268.0</v>
      </c>
    </row>
    <row r="2122">
      <c r="A2122" s="32"/>
      <c r="T2122" s="31" t="s">
        <v>7764</v>
      </c>
      <c r="U2122" s="31" t="s">
        <v>7765</v>
      </c>
      <c r="V2122" s="32">
        <v>44268.0</v>
      </c>
    </row>
    <row r="2123">
      <c r="A2123" s="32"/>
      <c r="T2123" s="31" t="s">
        <v>7768</v>
      </c>
      <c r="U2123" s="31" t="s">
        <v>7769</v>
      </c>
      <c r="V2123" s="32">
        <v>44267.0</v>
      </c>
    </row>
    <row r="2124">
      <c r="A2124" s="32"/>
      <c r="T2124" s="31" t="s">
        <v>7773</v>
      </c>
      <c r="U2124" s="31" t="s">
        <v>7774</v>
      </c>
      <c r="V2124" s="32">
        <v>44267.0</v>
      </c>
    </row>
    <row r="2125">
      <c r="A2125" s="32"/>
      <c r="T2125" s="31" t="s">
        <v>7777</v>
      </c>
      <c r="U2125" s="31" t="s">
        <v>7778</v>
      </c>
      <c r="V2125" s="32">
        <v>44267.0</v>
      </c>
    </row>
    <row r="2126">
      <c r="A2126" s="32"/>
      <c r="T2126" s="31" t="s">
        <v>7781</v>
      </c>
      <c r="U2126" s="31" t="s">
        <v>7782</v>
      </c>
      <c r="V2126" s="32">
        <v>44267.0</v>
      </c>
    </row>
    <row r="2127">
      <c r="A2127" s="32"/>
      <c r="T2127" s="31" t="s">
        <v>7785</v>
      </c>
      <c r="U2127" s="31" t="s">
        <v>7786</v>
      </c>
      <c r="V2127" s="32">
        <v>44266.0</v>
      </c>
    </row>
    <row r="2128">
      <c r="A2128" s="32"/>
      <c r="T2128" s="31" t="s">
        <v>7789</v>
      </c>
      <c r="U2128" s="31" t="s">
        <v>7790</v>
      </c>
      <c r="V2128" s="32">
        <v>44266.0</v>
      </c>
    </row>
    <row r="2129">
      <c r="A2129" s="32"/>
      <c r="T2129" s="31" t="s">
        <v>7793</v>
      </c>
      <c r="U2129" s="31" t="s">
        <v>7794</v>
      </c>
      <c r="V2129" s="32">
        <v>44265.0</v>
      </c>
    </row>
    <row r="2130">
      <c r="A2130" s="32"/>
      <c r="T2130" s="31" t="s">
        <v>7797</v>
      </c>
      <c r="U2130" s="31" t="s">
        <v>7798</v>
      </c>
      <c r="V2130" s="32">
        <v>44263.0</v>
      </c>
    </row>
    <row r="2131">
      <c r="A2131" s="32"/>
      <c r="T2131" s="31" t="s">
        <v>7801</v>
      </c>
      <c r="U2131" s="31" t="s">
        <v>7802</v>
      </c>
      <c r="V2131" s="32">
        <v>44263.0</v>
      </c>
    </row>
    <row r="2132">
      <c r="A2132" s="32"/>
      <c r="T2132" s="31" t="s">
        <v>7805</v>
      </c>
      <c r="U2132" s="31" t="s">
        <v>7806</v>
      </c>
      <c r="V2132" s="32">
        <v>44262.0</v>
      </c>
    </row>
    <row r="2133">
      <c r="A2133" s="32"/>
      <c r="T2133" s="31" t="s">
        <v>7810</v>
      </c>
      <c r="U2133" s="31" t="s">
        <v>7811</v>
      </c>
      <c r="V2133" s="32">
        <v>44262.0</v>
      </c>
    </row>
    <row r="2134">
      <c r="A2134" s="32"/>
      <c r="T2134" s="31" t="s">
        <v>7813</v>
      </c>
      <c r="U2134" s="31" t="s">
        <v>7814</v>
      </c>
      <c r="V2134" s="32">
        <v>44259.0</v>
      </c>
    </row>
    <row r="2135">
      <c r="A2135" s="32"/>
      <c r="T2135" s="31" t="s">
        <v>7817</v>
      </c>
      <c r="U2135" s="31" t="s">
        <v>7818</v>
      </c>
      <c r="V2135" s="32">
        <v>44259.0</v>
      </c>
    </row>
    <row r="2136">
      <c r="A2136" s="32"/>
      <c r="T2136" s="31" t="s">
        <v>7821</v>
      </c>
      <c r="U2136" s="31" t="s">
        <v>7822</v>
      </c>
      <c r="V2136" s="32">
        <v>44257.0</v>
      </c>
    </row>
    <row r="2137">
      <c r="A2137" s="32"/>
      <c r="T2137" s="31" t="s">
        <v>7825</v>
      </c>
      <c r="U2137" s="31" t="s">
        <v>7826</v>
      </c>
      <c r="V2137" s="32">
        <v>44257.0</v>
      </c>
    </row>
    <row r="2138">
      <c r="A2138" s="32"/>
      <c r="T2138" s="31" t="s">
        <v>7829</v>
      </c>
      <c r="U2138" s="31" t="s">
        <v>7830</v>
      </c>
      <c r="V2138" s="32">
        <v>44256.0</v>
      </c>
    </row>
    <row r="2139">
      <c r="A2139" s="32"/>
      <c r="T2139" s="31" t="s">
        <v>7833</v>
      </c>
      <c r="U2139" s="31" t="s">
        <v>7834</v>
      </c>
      <c r="V2139" s="32">
        <v>44256.0</v>
      </c>
    </row>
    <row r="2140">
      <c r="A2140" s="32"/>
      <c r="T2140" s="31" t="s">
        <v>7838</v>
      </c>
      <c r="U2140" s="31" t="s">
        <v>7839</v>
      </c>
      <c r="V2140" s="32">
        <v>44256.0</v>
      </c>
    </row>
    <row r="2141">
      <c r="A2141" s="32"/>
      <c r="T2141" s="31" t="s">
        <v>7843</v>
      </c>
      <c r="U2141" s="31" t="s">
        <v>7844</v>
      </c>
      <c r="V2141" s="32">
        <v>44256.0</v>
      </c>
    </row>
    <row r="2142">
      <c r="A2142" s="32"/>
      <c r="T2142" s="31" t="s">
        <v>7847</v>
      </c>
      <c r="U2142" s="31" t="s">
        <v>7848</v>
      </c>
      <c r="V2142" s="32">
        <v>44256.0</v>
      </c>
    </row>
    <row r="2143">
      <c r="A2143" s="32"/>
      <c r="T2143" s="31" t="s">
        <v>7851</v>
      </c>
      <c r="U2143" s="31" t="s">
        <v>7852</v>
      </c>
      <c r="V2143" s="32">
        <v>44254.0</v>
      </c>
    </row>
    <row r="2144">
      <c r="A2144" s="32"/>
      <c r="T2144" s="31" t="s">
        <v>7856</v>
      </c>
      <c r="U2144" s="31" t="s">
        <v>6581</v>
      </c>
      <c r="V2144" s="32">
        <v>44254.0</v>
      </c>
    </row>
    <row r="2145">
      <c r="A2145" s="32"/>
      <c r="T2145" s="31" t="s">
        <v>7859</v>
      </c>
      <c r="U2145" s="31" t="s">
        <v>7860</v>
      </c>
      <c r="V2145" s="32">
        <v>44253.0</v>
      </c>
    </row>
    <row r="2146">
      <c r="A2146" s="32"/>
      <c r="T2146" s="31" t="s">
        <v>7863</v>
      </c>
      <c r="U2146" s="31" t="s">
        <v>7864</v>
      </c>
      <c r="V2146" s="32">
        <v>44253.0</v>
      </c>
    </row>
    <row r="2147">
      <c r="A2147" s="32"/>
      <c r="T2147" s="31" t="s">
        <v>7867</v>
      </c>
      <c r="U2147" s="31" t="s">
        <v>7868</v>
      </c>
      <c r="V2147" s="32">
        <v>44252.0</v>
      </c>
    </row>
    <row r="2148">
      <c r="A2148" s="32"/>
      <c r="T2148" s="31" t="s">
        <v>7872</v>
      </c>
      <c r="U2148" s="31" t="s">
        <v>7873</v>
      </c>
      <c r="V2148" s="32">
        <v>44252.0</v>
      </c>
    </row>
    <row r="2149">
      <c r="A2149" s="32"/>
      <c r="T2149" s="31" t="s">
        <v>7876</v>
      </c>
      <c r="U2149" s="31" t="s">
        <v>7877</v>
      </c>
      <c r="V2149" s="32">
        <v>44252.0</v>
      </c>
    </row>
    <row r="2150">
      <c r="A2150" s="32"/>
      <c r="T2150" s="31" t="s">
        <v>7880</v>
      </c>
      <c r="U2150" s="31" t="s">
        <v>7881</v>
      </c>
      <c r="V2150" s="32">
        <v>44251.0</v>
      </c>
    </row>
    <row r="2151">
      <c r="A2151" s="32"/>
      <c r="T2151" s="31" t="s">
        <v>7885</v>
      </c>
      <c r="U2151" s="31" t="s">
        <v>7886</v>
      </c>
      <c r="V2151" s="32">
        <v>44251.0</v>
      </c>
    </row>
    <row r="2152">
      <c r="A2152" s="32"/>
      <c r="T2152" s="31" t="s">
        <v>7889</v>
      </c>
      <c r="U2152" s="31" t="s">
        <v>7890</v>
      </c>
      <c r="V2152" s="32">
        <v>44250.0</v>
      </c>
    </row>
    <row r="2153">
      <c r="A2153" s="32"/>
      <c r="T2153" s="31" t="s">
        <v>7893</v>
      </c>
      <c r="U2153" s="31" t="s">
        <v>7894</v>
      </c>
      <c r="V2153" s="32">
        <v>44250.0</v>
      </c>
    </row>
    <row r="2154">
      <c r="A2154" s="32"/>
      <c r="T2154" s="31" t="s">
        <v>7897</v>
      </c>
      <c r="U2154" s="31" t="s">
        <v>7898</v>
      </c>
      <c r="V2154" s="32">
        <v>44250.0</v>
      </c>
    </row>
    <row r="2155">
      <c r="A2155" s="32"/>
      <c r="T2155" s="31" t="s">
        <v>7902</v>
      </c>
      <c r="U2155" s="31" t="s">
        <v>7903</v>
      </c>
      <c r="V2155" s="32">
        <v>44249.0</v>
      </c>
    </row>
    <row r="2156">
      <c r="A2156" s="32"/>
      <c r="T2156" s="31" t="s">
        <v>7906</v>
      </c>
      <c r="U2156" s="31" t="s">
        <v>7907</v>
      </c>
      <c r="V2156" s="32">
        <v>44249.0</v>
      </c>
    </row>
    <row r="2157">
      <c r="A2157" s="32"/>
      <c r="T2157" s="31" t="s">
        <v>7910</v>
      </c>
      <c r="U2157" s="31" t="s">
        <v>7911</v>
      </c>
      <c r="V2157" s="32">
        <v>44246.0</v>
      </c>
    </row>
    <row r="2158">
      <c r="A2158" s="32"/>
      <c r="T2158" s="31" t="s">
        <v>7914</v>
      </c>
      <c r="U2158" s="31" t="s">
        <v>7915</v>
      </c>
      <c r="V2158" s="32">
        <v>44246.0</v>
      </c>
    </row>
    <row r="2159">
      <c r="A2159" s="32"/>
      <c r="T2159" s="31" t="s">
        <v>7918</v>
      </c>
      <c r="U2159" s="31" t="s">
        <v>7919</v>
      </c>
      <c r="V2159" s="32">
        <v>44245.0</v>
      </c>
    </row>
    <row r="2160">
      <c r="A2160" s="32"/>
      <c r="T2160" s="31" t="s">
        <v>7922</v>
      </c>
      <c r="U2160" s="31" t="s">
        <v>7923</v>
      </c>
      <c r="V2160" s="32">
        <v>44245.0</v>
      </c>
    </row>
    <row r="2161">
      <c r="A2161" s="32"/>
      <c r="T2161" s="31" t="s">
        <v>7926</v>
      </c>
      <c r="U2161" s="31" t="s">
        <v>7927</v>
      </c>
      <c r="V2161" s="32">
        <v>44244.0</v>
      </c>
    </row>
    <row r="2162">
      <c r="A2162" s="32"/>
      <c r="T2162" s="31" t="s">
        <v>7930</v>
      </c>
      <c r="U2162" s="31" t="s">
        <v>7931</v>
      </c>
      <c r="V2162" s="32">
        <v>44243.0</v>
      </c>
    </row>
    <row r="2163">
      <c r="A2163" s="32"/>
      <c r="T2163" s="31" t="s">
        <v>7934</v>
      </c>
      <c r="U2163" s="31" t="s">
        <v>7935</v>
      </c>
      <c r="V2163" s="32">
        <v>44243.0</v>
      </c>
    </row>
    <row r="2164">
      <c r="A2164" s="32"/>
      <c r="T2164" s="31" t="s">
        <v>7938</v>
      </c>
      <c r="U2164" s="31" t="s">
        <v>7939</v>
      </c>
      <c r="V2164" s="32">
        <v>44243.0</v>
      </c>
    </row>
    <row r="2165">
      <c r="A2165" s="32"/>
      <c r="T2165" s="31" t="s">
        <v>7942</v>
      </c>
      <c r="U2165" s="31" t="s">
        <v>7943</v>
      </c>
      <c r="V2165" s="32">
        <v>44240.0</v>
      </c>
    </row>
    <row r="2166">
      <c r="A2166" s="32"/>
      <c r="T2166" s="31" t="s">
        <v>7947</v>
      </c>
      <c r="U2166" s="31" t="s">
        <v>7948</v>
      </c>
      <c r="V2166" s="32">
        <v>44239.0</v>
      </c>
    </row>
    <row r="2167">
      <c r="A2167" s="32"/>
      <c r="T2167" s="31" t="s">
        <v>7952</v>
      </c>
      <c r="U2167" s="31" t="s">
        <v>7953</v>
      </c>
      <c r="V2167" s="32">
        <v>44239.0</v>
      </c>
    </row>
    <row r="2168">
      <c r="A2168" s="32"/>
      <c r="T2168" s="31" t="s">
        <v>7957</v>
      </c>
      <c r="U2168" s="31" t="s">
        <v>7958</v>
      </c>
      <c r="V2168" s="32">
        <v>44239.0</v>
      </c>
    </row>
    <row r="2169">
      <c r="A2169" s="32"/>
      <c r="T2169" s="31" t="s">
        <v>7961</v>
      </c>
      <c r="U2169" s="31" t="s">
        <v>7962</v>
      </c>
      <c r="V2169" s="32">
        <v>44239.0</v>
      </c>
    </row>
    <row r="2170">
      <c r="A2170" s="32"/>
      <c r="T2170" s="31" t="s">
        <v>7965</v>
      </c>
      <c r="U2170" s="31" t="s">
        <v>7966</v>
      </c>
      <c r="V2170" s="32">
        <v>44237.0</v>
      </c>
    </row>
    <row r="2171">
      <c r="A2171" s="32"/>
      <c r="T2171" s="31" t="s">
        <v>7969</v>
      </c>
      <c r="U2171" s="31" t="s">
        <v>7970</v>
      </c>
      <c r="V2171" s="32">
        <v>44237.0</v>
      </c>
    </row>
    <row r="2172">
      <c r="A2172" s="32"/>
      <c r="T2172" s="31" t="s">
        <v>7973</v>
      </c>
      <c r="U2172" s="31" t="s">
        <v>7974</v>
      </c>
      <c r="V2172" s="32">
        <v>44236.0</v>
      </c>
    </row>
    <row r="2173">
      <c r="A2173" s="32"/>
      <c r="T2173" s="31" t="s">
        <v>7977</v>
      </c>
      <c r="U2173" s="31" t="s">
        <v>7978</v>
      </c>
      <c r="V2173" s="32">
        <v>44235.0</v>
      </c>
    </row>
    <row r="2174">
      <c r="A2174" s="32"/>
      <c r="T2174" s="31" t="s">
        <v>7982</v>
      </c>
      <c r="U2174" s="31" t="s">
        <v>7983</v>
      </c>
      <c r="V2174" s="32">
        <v>44235.0</v>
      </c>
    </row>
    <row r="2175">
      <c r="A2175" s="32"/>
      <c r="T2175" s="31" t="s">
        <v>7986</v>
      </c>
      <c r="U2175" s="31" t="s">
        <v>7987</v>
      </c>
      <c r="V2175" s="32">
        <v>44233.0</v>
      </c>
    </row>
    <row r="2176">
      <c r="A2176" s="32"/>
      <c r="T2176" s="31" t="s">
        <v>7991</v>
      </c>
      <c r="U2176" s="31" t="s">
        <v>7992</v>
      </c>
      <c r="V2176" s="32">
        <v>44232.0</v>
      </c>
    </row>
    <row r="2177">
      <c r="A2177" s="32"/>
      <c r="T2177" s="31" t="s">
        <v>7995</v>
      </c>
      <c r="U2177" s="31" t="s">
        <v>7996</v>
      </c>
      <c r="V2177" s="32">
        <v>44231.0</v>
      </c>
    </row>
    <row r="2178">
      <c r="A2178" s="32"/>
      <c r="T2178" s="31" t="s">
        <v>8000</v>
      </c>
      <c r="U2178" s="31" t="s">
        <v>8001</v>
      </c>
      <c r="V2178" s="32">
        <v>44231.0</v>
      </c>
    </row>
    <row r="2179">
      <c r="A2179" s="32"/>
      <c r="T2179" s="31" t="s">
        <v>8004</v>
      </c>
      <c r="U2179" s="31" t="s">
        <v>8005</v>
      </c>
      <c r="V2179" s="32">
        <v>44230.0</v>
      </c>
    </row>
    <row r="2180">
      <c r="A2180" s="32"/>
      <c r="T2180" s="31" t="s">
        <v>8008</v>
      </c>
      <c r="U2180" s="31" t="s">
        <v>8009</v>
      </c>
      <c r="V2180" s="32">
        <v>44230.0</v>
      </c>
    </row>
    <row r="2181">
      <c r="A2181" s="32"/>
      <c r="T2181" s="31" t="s">
        <v>8012</v>
      </c>
      <c r="U2181" s="31" t="s">
        <v>8013</v>
      </c>
      <c r="V2181" s="32">
        <v>44229.0</v>
      </c>
    </row>
    <row r="2182">
      <c r="A2182" s="32"/>
      <c r="T2182" s="31" t="s">
        <v>8016</v>
      </c>
      <c r="U2182" s="31" t="s">
        <v>8017</v>
      </c>
      <c r="V2182" s="32">
        <v>44229.0</v>
      </c>
    </row>
    <row r="2183">
      <c r="A2183" s="32"/>
      <c r="T2183" s="31" t="s">
        <v>8020</v>
      </c>
      <c r="U2183" s="31" t="s">
        <v>8021</v>
      </c>
      <c r="V2183" s="32">
        <v>44229.0</v>
      </c>
    </row>
    <row r="2184">
      <c r="A2184" s="32"/>
      <c r="T2184" s="31" t="s">
        <v>8025</v>
      </c>
      <c r="U2184" s="31" t="s">
        <v>8026</v>
      </c>
      <c r="V2184" s="32">
        <v>44229.0</v>
      </c>
    </row>
    <row r="2185">
      <c r="A2185" s="32"/>
      <c r="T2185" s="31" t="s">
        <v>8029</v>
      </c>
      <c r="U2185" s="31" t="s">
        <v>8030</v>
      </c>
      <c r="V2185" s="32">
        <v>44229.0</v>
      </c>
    </row>
    <row r="2186">
      <c r="A2186" s="32"/>
      <c r="T2186" s="31" t="s">
        <v>8033</v>
      </c>
      <c r="U2186" s="31" t="s">
        <v>8034</v>
      </c>
      <c r="V2186" s="32">
        <v>44228.0</v>
      </c>
    </row>
    <row r="2187">
      <c r="A2187" s="32"/>
      <c r="T2187" s="31" t="s">
        <v>8037</v>
      </c>
      <c r="U2187" s="31" t="s">
        <v>8038</v>
      </c>
      <c r="V2187" s="32">
        <v>44228.0</v>
      </c>
    </row>
    <row r="2188">
      <c r="A2188" s="32"/>
      <c r="T2188" s="31" t="s">
        <v>8041</v>
      </c>
      <c r="U2188" s="31" t="s">
        <v>8042</v>
      </c>
      <c r="V2188" s="32">
        <v>44228.0</v>
      </c>
    </row>
    <row r="2189">
      <c r="A2189" s="32"/>
      <c r="T2189" s="31" t="s">
        <v>8045</v>
      </c>
      <c r="U2189" s="31" t="s">
        <v>8046</v>
      </c>
      <c r="V2189" s="32">
        <v>44228.0</v>
      </c>
    </row>
    <row r="2190">
      <c r="A2190" s="32"/>
      <c r="T2190" s="31" t="s">
        <v>8049</v>
      </c>
      <c r="U2190" s="31" t="s">
        <v>8050</v>
      </c>
      <c r="V2190" s="32">
        <v>44228.0</v>
      </c>
    </row>
    <row r="2191">
      <c r="A2191" s="32"/>
      <c r="T2191" s="31" t="s">
        <v>8052</v>
      </c>
      <c r="U2191" s="31" t="s">
        <v>8053</v>
      </c>
      <c r="V2191" s="32">
        <v>44228.0</v>
      </c>
    </row>
    <row r="2192">
      <c r="A2192" s="32"/>
      <c r="T2192" s="31" t="s">
        <v>8055</v>
      </c>
      <c r="U2192" s="31" t="s">
        <v>8056</v>
      </c>
      <c r="V2192" s="32">
        <v>44228.0</v>
      </c>
    </row>
    <row r="2193">
      <c r="A2193" s="32"/>
      <c r="T2193" s="31" t="s">
        <v>8059</v>
      </c>
      <c r="U2193" s="31" t="s">
        <v>8060</v>
      </c>
      <c r="V2193" s="32">
        <v>44225.0</v>
      </c>
    </row>
    <row r="2194">
      <c r="A2194" s="32"/>
      <c r="T2194" s="31" t="s">
        <v>8064</v>
      </c>
      <c r="U2194" s="31" t="s">
        <v>8065</v>
      </c>
      <c r="V2194" s="32">
        <v>44225.0</v>
      </c>
    </row>
    <row r="2195">
      <c r="A2195" s="32"/>
      <c r="T2195" s="31" t="s">
        <v>8068</v>
      </c>
      <c r="U2195" s="31" t="s">
        <v>8069</v>
      </c>
      <c r="V2195" s="32">
        <v>44225.0</v>
      </c>
    </row>
    <row r="2196">
      <c r="A2196" s="32"/>
      <c r="T2196" s="31" t="s">
        <v>8073</v>
      </c>
      <c r="U2196" s="31" t="s">
        <v>8074</v>
      </c>
      <c r="V2196" s="32">
        <v>44225.0</v>
      </c>
    </row>
    <row r="2197">
      <c r="A2197" s="32"/>
      <c r="T2197" s="31" t="s">
        <v>8078</v>
      </c>
      <c r="U2197" s="31" t="s">
        <v>8079</v>
      </c>
      <c r="V2197" s="32">
        <v>44223.0</v>
      </c>
    </row>
    <row r="2198">
      <c r="A2198" s="32"/>
      <c r="T2198" s="31" t="s">
        <v>8082</v>
      </c>
      <c r="U2198" s="31" t="s">
        <v>8083</v>
      </c>
      <c r="V2198" s="32">
        <v>44221.0</v>
      </c>
    </row>
    <row r="2199">
      <c r="A2199" s="32"/>
      <c r="T2199" s="31" t="s">
        <v>8086</v>
      </c>
      <c r="U2199" s="31" t="s">
        <v>8087</v>
      </c>
      <c r="V2199" s="32">
        <v>44221.0</v>
      </c>
    </row>
    <row r="2200">
      <c r="A2200" s="32"/>
      <c r="T2200" s="31" t="s">
        <v>8090</v>
      </c>
      <c r="U2200" s="31" t="s">
        <v>8091</v>
      </c>
      <c r="V2200" s="32">
        <v>44221.0</v>
      </c>
    </row>
    <row r="2201">
      <c r="A2201" s="32"/>
      <c r="T2201" s="31" t="s">
        <v>8094</v>
      </c>
      <c r="U2201" s="31" t="s">
        <v>8095</v>
      </c>
      <c r="V2201" s="32">
        <v>44221.0</v>
      </c>
    </row>
    <row r="2202">
      <c r="A2202" s="32"/>
      <c r="T2202" s="31" t="s">
        <v>8098</v>
      </c>
      <c r="U2202" s="31" t="s">
        <v>8099</v>
      </c>
      <c r="V2202" s="32">
        <v>44221.0</v>
      </c>
    </row>
    <row r="2203">
      <c r="A2203" s="32"/>
      <c r="T2203" s="31" t="s">
        <v>8102</v>
      </c>
      <c r="U2203" s="31" t="s">
        <v>8103</v>
      </c>
      <c r="V2203" s="32">
        <v>44221.0</v>
      </c>
    </row>
    <row r="2204">
      <c r="A2204" s="32"/>
      <c r="T2204" s="31" t="s">
        <v>8106</v>
      </c>
      <c r="U2204" s="31" t="s">
        <v>8107</v>
      </c>
      <c r="V2204" s="32">
        <v>44220.0</v>
      </c>
    </row>
    <row r="2205">
      <c r="A2205" s="32"/>
      <c r="T2205" s="31" t="s">
        <v>8110</v>
      </c>
      <c r="U2205" s="31" t="s">
        <v>8111</v>
      </c>
      <c r="V2205" s="32">
        <v>44218.0</v>
      </c>
    </row>
    <row r="2206">
      <c r="A2206" s="32"/>
      <c r="T2206" s="31" t="s">
        <v>8114</v>
      </c>
      <c r="U2206" s="31" t="s">
        <v>8115</v>
      </c>
      <c r="V2206" s="32">
        <v>44216.0</v>
      </c>
    </row>
    <row r="2207">
      <c r="A2207" s="32"/>
      <c r="T2207" s="31" t="s">
        <v>8118</v>
      </c>
      <c r="U2207" s="31" t="s">
        <v>8119</v>
      </c>
      <c r="V2207" s="32">
        <v>44216.0</v>
      </c>
    </row>
    <row r="2208">
      <c r="A2208" s="32"/>
      <c r="T2208" s="31" t="s">
        <v>8123</v>
      </c>
      <c r="U2208" s="31" t="s">
        <v>8124</v>
      </c>
      <c r="V2208" s="32">
        <v>44216.0</v>
      </c>
    </row>
    <row r="2209">
      <c r="A2209" s="32"/>
      <c r="T2209" s="31" t="s">
        <v>8127</v>
      </c>
      <c r="U2209" s="31" t="s">
        <v>8128</v>
      </c>
      <c r="V2209" s="32">
        <v>44216.0</v>
      </c>
    </row>
    <row r="2210">
      <c r="A2210" s="32"/>
      <c r="T2210" s="31" t="s">
        <v>8131</v>
      </c>
      <c r="U2210" s="31" t="s">
        <v>8132</v>
      </c>
      <c r="V2210" s="32">
        <v>44216.0</v>
      </c>
    </row>
    <row r="2211">
      <c r="A2211" s="32"/>
      <c r="T2211" s="31" t="s">
        <v>8135</v>
      </c>
      <c r="U2211" s="31" t="s">
        <v>8136</v>
      </c>
      <c r="V2211" s="32">
        <v>44215.0</v>
      </c>
    </row>
    <row r="2212">
      <c r="A2212" s="32"/>
      <c r="T2212" s="31" t="s">
        <v>8139</v>
      </c>
      <c r="U2212" s="31" t="s">
        <v>8140</v>
      </c>
      <c r="V2212" s="32">
        <v>44215.0</v>
      </c>
    </row>
    <row r="2213">
      <c r="A2213" s="32"/>
      <c r="T2213" s="31" t="s">
        <v>8143</v>
      </c>
      <c r="U2213" s="31" t="s">
        <v>8144</v>
      </c>
      <c r="V2213" s="32">
        <v>44215.0</v>
      </c>
    </row>
    <row r="2214">
      <c r="A2214" s="32"/>
      <c r="T2214" s="31" t="s">
        <v>8147</v>
      </c>
      <c r="U2214" s="31" t="s">
        <v>8148</v>
      </c>
      <c r="V2214" s="32">
        <v>44215.0</v>
      </c>
    </row>
    <row r="2215">
      <c r="A2215" s="32"/>
      <c r="T2215" s="31" t="s">
        <v>8152</v>
      </c>
      <c r="U2215" s="31" t="s">
        <v>8153</v>
      </c>
      <c r="V2215" s="32">
        <v>44212.0</v>
      </c>
    </row>
    <row r="2216">
      <c r="A2216" s="32"/>
      <c r="T2216" s="31" t="s">
        <v>8157</v>
      </c>
      <c r="U2216" s="31" t="s">
        <v>8158</v>
      </c>
      <c r="V2216" s="32">
        <v>44212.0</v>
      </c>
    </row>
    <row r="2217">
      <c r="A2217" s="32"/>
      <c r="T2217" s="31" t="s">
        <v>8162</v>
      </c>
      <c r="U2217" s="31" t="s">
        <v>8163</v>
      </c>
      <c r="V2217" s="32">
        <v>44212.0</v>
      </c>
    </row>
    <row r="2218">
      <c r="A2218" s="32"/>
      <c r="T2218" s="31" t="s">
        <v>8166</v>
      </c>
      <c r="U2218" s="31" t="s">
        <v>8167</v>
      </c>
      <c r="V2218" s="32">
        <v>44211.0</v>
      </c>
    </row>
    <row r="2219">
      <c r="A2219" s="32"/>
      <c r="T2219" s="31" t="s">
        <v>8170</v>
      </c>
      <c r="U2219" s="31" t="s">
        <v>8171</v>
      </c>
      <c r="V2219" s="32">
        <v>44210.0</v>
      </c>
    </row>
    <row r="2220">
      <c r="A2220" s="32"/>
      <c r="T2220" s="31" t="s">
        <v>8174</v>
      </c>
      <c r="U2220" s="31" t="s">
        <v>8175</v>
      </c>
      <c r="V2220" s="32">
        <v>44210.0</v>
      </c>
    </row>
    <row r="2221">
      <c r="A2221" s="32"/>
      <c r="T2221" s="31" t="s">
        <v>8178</v>
      </c>
      <c r="U2221" s="31" t="s">
        <v>8179</v>
      </c>
      <c r="V2221" s="32">
        <v>44209.0</v>
      </c>
    </row>
    <row r="2222">
      <c r="A2222" s="32"/>
      <c r="T2222" s="31" t="s">
        <v>8182</v>
      </c>
      <c r="U2222" s="31" t="s">
        <v>8183</v>
      </c>
      <c r="V2222" s="32">
        <v>44207.0</v>
      </c>
    </row>
    <row r="2223">
      <c r="A2223" s="32"/>
      <c r="T2223" s="31" t="s">
        <v>8187</v>
      </c>
      <c r="U2223" s="31" t="s">
        <v>8188</v>
      </c>
      <c r="V2223" s="32">
        <v>44203.0</v>
      </c>
    </row>
    <row r="2224">
      <c r="A2224" s="32"/>
      <c r="T2224" s="31" t="s">
        <v>8192</v>
      </c>
      <c r="U2224" s="31" t="s">
        <v>8193</v>
      </c>
      <c r="V2224" s="32">
        <v>44202.0</v>
      </c>
    </row>
    <row r="2225">
      <c r="A2225" s="32"/>
      <c r="T2225" s="31" t="s">
        <v>8196</v>
      </c>
      <c r="U2225" s="31" t="s">
        <v>8197</v>
      </c>
      <c r="V2225" s="32">
        <v>44202.0</v>
      </c>
    </row>
    <row r="2226">
      <c r="A2226" s="32"/>
      <c r="T2226" s="31" t="s">
        <v>8199</v>
      </c>
      <c r="U2226" s="31" t="s">
        <v>8200</v>
      </c>
      <c r="V2226" s="32">
        <v>44202.0</v>
      </c>
    </row>
    <row r="2227">
      <c r="A2227" s="32"/>
      <c r="T2227" s="31" t="s">
        <v>8203</v>
      </c>
      <c r="U2227" s="31" t="s">
        <v>8204</v>
      </c>
      <c r="V2227" s="32">
        <v>44202.0</v>
      </c>
    </row>
    <row r="2228">
      <c r="A2228" s="32"/>
      <c r="T2228" s="31" t="s">
        <v>8207</v>
      </c>
      <c r="U2228" s="31" t="s">
        <v>8208</v>
      </c>
      <c r="V2228" s="32">
        <v>44202.0</v>
      </c>
    </row>
    <row r="2229">
      <c r="A2229" s="32"/>
      <c r="T2229" s="31" t="s">
        <v>8212</v>
      </c>
      <c r="U2229" s="31" t="s">
        <v>8213</v>
      </c>
      <c r="V2229" s="32">
        <v>44202.0</v>
      </c>
    </row>
    <row r="2230">
      <c r="A2230" s="32"/>
      <c r="T2230" s="31" t="s">
        <v>8217</v>
      </c>
      <c r="U2230" s="31" t="s">
        <v>8218</v>
      </c>
      <c r="V2230" s="32">
        <v>44201.0</v>
      </c>
    </row>
    <row r="2231">
      <c r="A2231" s="32"/>
      <c r="T2231" s="31" t="s">
        <v>8222</v>
      </c>
      <c r="U2231" s="31" t="s">
        <v>8223</v>
      </c>
      <c r="V2231" s="32">
        <v>44200.0</v>
      </c>
    </row>
    <row r="2232">
      <c r="A2232" s="32"/>
      <c r="T2232" s="31" t="s">
        <v>8226</v>
      </c>
      <c r="U2232" s="31" t="s">
        <v>8227</v>
      </c>
      <c r="V2232" s="32">
        <v>44200.0</v>
      </c>
    </row>
    <row r="2233">
      <c r="A2233" s="32"/>
      <c r="T2233" s="31" t="s">
        <v>8230</v>
      </c>
      <c r="U2233" s="31" t="s">
        <v>8231</v>
      </c>
      <c r="V2233" s="32">
        <v>44199.0</v>
      </c>
    </row>
    <row r="2234">
      <c r="A2234" s="32"/>
      <c r="T2234" s="31" t="s">
        <v>8234</v>
      </c>
      <c r="U2234" s="31" t="s">
        <v>8235</v>
      </c>
      <c r="V2234" s="32">
        <v>44197.0</v>
      </c>
    </row>
    <row r="2235">
      <c r="A2235" s="32"/>
      <c r="T2235" s="31" t="s">
        <v>8239</v>
      </c>
      <c r="U2235" s="31" t="s">
        <v>8240</v>
      </c>
      <c r="V2235" s="32">
        <v>44197.0</v>
      </c>
    </row>
    <row r="2236">
      <c r="A2236" s="32"/>
      <c r="T2236" s="31" t="s">
        <v>8242</v>
      </c>
      <c r="U2236" s="31" t="s">
        <v>8243</v>
      </c>
      <c r="V2236" s="32">
        <v>44197.0</v>
      </c>
    </row>
    <row r="2237">
      <c r="A2237" s="32"/>
      <c r="T2237" s="31" t="s">
        <v>8247</v>
      </c>
      <c r="U2237" s="31" t="s">
        <v>8248</v>
      </c>
      <c r="V2237" s="32">
        <v>44197.0</v>
      </c>
    </row>
    <row r="2238">
      <c r="A2238" s="32"/>
      <c r="T2238" s="31" t="s">
        <v>8251</v>
      </c>
      <c r="U2238" s="31" t="s">
        <v>8252</v>
      </c>
      <c r="V2238" s="32">
        <v>44197.0</v>
      </c>
    </row>
    <row r="2239">
      <c r="A2239" s="32"/>
      <c r="T2239" s="31" t="s">
        <v>8255</v>
      </c>
      <c r="U2239" s="31" t="s">
        <v>8256</v>
      </c>
      <c r="V2239" s="32">
        <v>44197.0</v>
      </c>
    </row>
    <row r="2240">
      <c r="A2240" s="32"/>
      <c r="T2240" s="31" t="s">
        <v>8259</v>
      </c>
      <c r="U2240" s="31" t="s">
        <v>8260</v>
      </c>
      <c r="V2240" s="32">
        <v>44197.0</v>
      </c>
    </row>
    <row r="2241">
      <c r="A2241" s="32"/>
      <c r="T2241" s="31" t="s">
        <v>8263</v>
      </c>
      <c r="U2241" s="31" t="s">
        <v>8264</v>
      </c>
      <c r="V2241" s="32">
        <v>44197.0</v>
      </c>
    </row>
    <row r="2242">
      <c r="A2242" s="32"/>
      <c r="T2242" s="31" t="s">
        <v>8267</v>
      </c>
      <c r="U2242" s="31" t="s">
        <v>8268</v>
      </c>
      <c r="V2242" s="32">
        <v>44197.0</v>
      </c>
    </row>
    <row r="2243">
      <c r="A2243" s="32"/>
      <c r="T2243" s="31" t="s">
        <v>8271</v>
      </c>
      <c r="U2243" s="31" t="s">
        <v>8272</v>
      </c>
      <c r="V2243" s="32">
        <v>44197.0</v>
      </c>
    </row>
    <row r="2244">
      <c r="A2244" s="32"/>
      <c r="T2244" s="31" t="s">
        <v>8276</v>
      </c>
      <c r="U2244" s="31" t="s">
        <v>7647</v>
      </c>
      <c r="V2244" s="32">
        <v>44196.0</v>
      </c>
    </row>
    <row r="2245">
      <c r="A2245" s="32"/>
      <c r="T2245" s="31" t="s">
        <v>8279</v>
      </c>
      <c r="U2245" s="31" t="s">
        <v>8280</v>
      </c>
      <c r="V2245" s="32">
        <v>44196.0</v>
      </c>
    </row>
    <row r="2246">
      <c r="A2246" s="32"/>
      <c r="T2246" s="31" t="s">
        <v>8283</v>
      </c>
      <c r="U2246" s="31" t="s">
        <v>8284</v>
      </c>
      <c r="V2246" s="32">
        <v>44196.0</v>
      </c>
    </row>
    <row r="2247">
      <c r="A2247" s="32"/>
      <c r="T2247" s="31" t="s">
        <v>8287</v>
      </c>
      <c r="U2247" s="31" t="s">
        <v>8288</v>
      </c>
      <c r="V2247" s="32">
        <v>44194.0</v>
      </c>
    </row>
    <row r="2248">
      <c r="A2248" s="32"/>
      <c r="T2248" s="31" t="s">
        <v>8292</v>
      </c>
      <c r="U2248" s="31" t="s">
        <v>8293</v>
      </c>
      <c r="V2248" s="32">
        <v>44194.0</v>
      </c>
    </row>
    <row r="2249">
      <c r="A2249" s="32"/>
      <c r="T2249" s="31" t="s">
        <v>8296</v>
      </c>
      <c r="U2249" s="31" t="s">
        <v>8297</v>
      </c>
      <c r="V2249" s="32">
        <v>44193.0</v>
      </c>
    </row>
    <row r="2250">
      <c r="A2250" s="32"/>
      <c r="T2250" s="31" t="s">
        <v>8300</v>
      </c>
      <c r="U2250" s="31" t="s">
        <v>8301</v>
      </c>
      <c r="V2250" s="32">
        <v>44191.0</v>
      </c>
    </row>
    <row r="2251">
      <c r="A2251" s="32"/>
      <c r="T2251" s="31" t="s">
        <v>8305</v>
      </c>
      <c r="U2251" s="31" t="s">
        <v>8306</v>
      </c>
      <c r="V2251" s="32">
        <v>44190.0</v>
      </c>
    </row>
    <row r="2252">
      <c r="A2252" s="32"/>
      <c r="T2252" s="31" t="s">
        <v>8309</v>
      </c>
      <c r="U2252" s="31" t="s">
        <v>8310</v>
      </c>
      <c r="V2252" s="32">
        <v>44189.0</v>
      </c>
    </row>
    <row r="2253">
      <c r="A2253" s="32"/>
      <c r="T2253" s="31" t="s">
        <v>8313</v>
      </c>
      <c r="U2253" s="31" t="s">
        <v>8314</v>
      </c>
      <c r="V2253" s="32">
        <v>44189.0</v>
      </c>
    </row>
    <row r="2254">
      <c r="A2254" s="32"/>
      <c r="T2254" s="31" t="s">
        <v>8317</v>
      </c>
      <c r="U2254" s="31" t="s">
        <v>8318</v>
      </c>
      <c r="V2254" s="32">
        <v>44189.0</v>
      </c>
    </row>
    <row r="2255">
      <c r="A2255" s="32"/>
      <c r="T2255" s="31" t="s">
        <v>8321</v>
      </c>
      <c r="U2255" s="31" t="s">
        <v>8322</v>
      </c>
      <c r="V2255" s="32">
        <v>44188.0</v>
      </c>
    </row>
    <row r="2256">
      <c r="A2256" s="32"/>
      <c r="T2256" s="31" t="s">
        <v>8325</v>
      </c>
      <c r="U2256" s="31" t="s">
        <v>8326</v>
      </c>
      <c r="V2256" s="32">
        <v>44188.0</v>
      </c>
    </row>
    <row r="2257">
      <c r="A2257" s="32"/>
      <c r="T2257" s="31" t="s">
        <v>8330</v>
      </c>
      <c r="U2257" s="31" t="s">
        <v>8331</v>
      </c>
      <c r="V2257" s="32">
        <v>44188.0</v>
      </c>
    </row>
    <row r="2258">
      <c r="A2258" s="32"/>
      <c r="T2258" s="31" t="s">
        <v>8334</v>
      </c>
      <c r="U2258" s="31" t="s">
        <v>8335</v>
      </c>
      <c r="V2258" s="32">
        <v>44188.0</v>
      </c>
    </row>
    <row r="2259">
      <c r="A2259" s="32"/>
      <c r="T2259" s="31" t="s">
        <v>8339</v>
      </c>
      <c r="U2259" s="31" t="s">
        <v>8340</v>
      </c>
      <c r="V2259" s="32">
        <v>44187.0</v>
      </c>
    </row>
    <row r="2260">
      <c r="A2260" s="32"/>
      <c r="T2260" s="31" t="s">
        <v>8343</v>
      </c>
      <c r="U2260" s="31" t="s">
        <v>8344</v>
      </c>
      <c r="V2260" s="32">
        <v>44187.0</v>
      </c>
    </row>
    <row r="2261">
      <c r="A2261" s="32"/>
      <c r="T2261" s="31" t="s">
        <v>8347</v>
      </c>
      <c r="U2261" s="31" t="s">
        <v>8348</v>
      </c>
      <c r="V2261" s="32">
        <v>44187.0</v>
      </c>
    </row>
    <row r="2262">
      <c r="A2262" s="32"/>
      <c r="T2262" s="31" t="s">
        <v>8351</v>
      </c>
      <c r="U2262" s="31" t="s">
        <v>8352</v>
      </c>
      <c r="V2262" s="32">
        <v>44186.0</v>
      </c>
    </row>
    <row r="2263">
      <c r="A2263" s="32"/>
      <c r="T2263" s="31" t="s">
        <v>8355</v>
      </c>
      <c r="U2263" s="31" t="s">
        <v>8356</v>
      </c>
      <c r="V2263" s="32">
        <v>44186.0</v>
      </c>
    </row>
    <row r="2264">
      <c r="A2264" s="32"/>
      <c r="T2264" s="31" t="s">
        <v>8359</v>
      </c>
      <c r="U2264" s="31" t="s">
        <v>8360</v>
      </c>
      <c r="V2264" s="32">
        <v>44184.0</v>
      </c>
    </row>
    <row r="2265">
      <c r="A2265" s="32"/>
      <c r="T2265" s="31" t="s">
        <v>8363</v>
      </c>
      <c r="U2265" s="31" t="s">
        <v>7911</v>
      </c>
      <c r="V2265" s="32">
        <v>44183.0</v>
      </c>
    </row>
    <row r="2266">
      <c r="A2266" s="32"/>
      <c r="T2266" s="31" t="s">
        <v>8366</v>
      </c>
      <c r="U2266" s="31" t="s">
        <v>8367</v>
      </c>
      <c r="V2266" s="32">
        <v>44183.0</v>
      </c>
    </row>
    <row r="2267">
      <c r="A2267" s="32"/>
      <c r="T2267" s="31" t="s">
        <v>8370</v>
      </c>
      <c r="U2267" s="31" t="s">
        <v>8371</v>
      </c>
      <c r="V2267" s="32">
        <v>44183.0</v>
      </c>
    </row>
    <row r="2268">
      <c r="A2268" s="32"/>
      <c r="T2268" s="31" t="s">
        <v>8374</v>
      </c>
      <c r="U2268" s="31" t="s">
        <v>8375</v>
      </c>
      <c r="V2268" s="32">
        <v>44182.0</v>
      </c>
    </row>
    <row r="2269">
      <c r="A2269" s="32"/>
      <c r="T2269" s="31" t="s">
        <v>8378</v>
      </c>
      <c r="U2269" s="31" t="s">
        <v>8379</v>
      </c>
      <c r="V2269" s="32">
        <v>44182.0</v>
      </c>
    </row>
    <row r="2270">
      <c r="A2270" s="32"/>
      <c r="T2270" s="31" t="s">
        <v>8382</v>
      </c>
      <c r="U2270" s="31" t="s">
        <v>8383</v>
      </c>
      <c r="V2270" s="32">
        <v>44182.0</v>
      </c>
    </row>
    <row r="2271">
      <c r="A2271" s="32"/>
      <c r="T2271" s="31" t="s">
        <v>8386</v>
      </c>
      <c r="U2271" s="31" t="s">
        <v>8387</v>
      </c>
      <c r="V2271" s="32">
        <v>44181.0</v>
      </c>
    </row>
    <row r="2272">
      <c r="A2272" s="32"/>
      <c r="T2272" s="31" t="s">
        <v>8390</v>
      </c>
      <c r="U2272" s="31" t="s">
        <v>8391</v>
      </c>
      <c r="V2272" s="32">
        <v>44180.0</v>
      </c>
    </row>
    <row r="2273">
      <c r="A2273" s="32"/>
      <c r="T2273" s="31" t="s">
        <v>8394</v>
      </c>
      <c r="U2273" s="31" t="s">
        <v>8395</v>
      </c>
      <c r="V2273" s="32">
        <v>44180.0</v>
      </c>
    </row>
    <row r="2274">
      <c r="A2274" s="32"/>
      <c r="T2274" s="31" t="s">
        <v>8398</v>
      </c>
      <c r="U2274" s="31" t="s">
        <v>8399</v>
      </c>
      <c r="V2274" s="32">
        <v>44180.0</v>
      </c>
    </row>
    <row r="2275">
      <c r="A2275" s="32"/>
      <c r="T2275" s="31" t="s">
        <v>8402</v>
      </c>
      <c r="U2275" s="31" t="s">
        <v>8403</v>
      </c>
      <c r="V2275" s="32">
        <v>44180.0</v>
      </c>
    </row>
    <row r="2276">
      <c r="A2276" s="32"/>
      <c r="T2276" s="31" t="s">
        <v>8406</v>
      </c>
      <c r="U2276" s="31" t="s">
        <v>8407</v>
      </c>
      <c r="V2276" s="32">
        <v>44180.0</v>
      </c>
    </row>
    <row r="2277">
      <c r="A2277" s="32"/>
      <c r="T2277" s="31" t="s">
        <v>8410</v>
      </c>
      <c r="U2277" s="31" t="s">
        <v>8411</v>
      </c>
      <c r="V2277" s="32">
        <v>44179.0</v>
      </c>
    </row>
    <row r="2278">
      <c r="A2278" s="32"/>
      <c r="T2278" s="31" t="s">
        <v>8414</v>
      </c>
      <c r="U2278" s="31" t="s">
        <v>8415</v>
      </c>
      <c r="V2278" s="32">
        <v>44175.0</v>
      </c>
    </row>
    <row r="2279">
      <c r="A2279" s="32"/>
      <c r="T2279" s="31" t="s">
        <v>8418</v>
      </c>
      <c r="U2279" s="31" t="s">
        <v>8419</v>
      </c>
      <c r="V2279" s="32">
        <v>44175.0</v>
      </c>
    </row>
    <row r="2280">
      <c r="A2280" s="32"/>
      <c r="T2280" s="31" t="s">
        <v>8423</v>
      </c>
      <c r="U2280" s="31" t="s">
        <v>8424</v>
      </c>
      <c r="V2280" s="32">
        <v>44175.0</v>
      </c>
    </row>
    <row r="2281">
      <c r="A2281" s="32"/>
      <c r="T2281" s="31" t="s">
        <v>8427</v>
      </c>
      <c r="U2281" s="31" t="s">
        <v>4975</v>
      </c>
      <c r="V2281" s="32">
        <v>44173.0</v>
      </c>
    </row>
    <row r="2282">
      <c r="A2282" s="32"/>
      <c r="T2282" s="31" t="s">
        <v>8429</v>
      </c>
      <c r="U2282" s="31" t="s">
        <v>8430</v>
      </c>
      <c r="V2282" s="32">
        <v>44172.0</v>
      </c>
    </row>
    <row r="2283">
      <c r="A2283" s="32"/>
      <c r="T2283" s="31" t="s">
        <v>8433</v>
      </c>
      <c r="U2283" s="31" t="s">
        <v>8434</v>
      </c>
      <c r="V2283" s="32">
        <v>44170.0</v>
      </c>
    </row>
    <row r="2284">
      <c r="A2284" s="32"/>
      <c r="T2284" s="31" t="s">
        <v>8437</v>
      </c>
      <c r="U2284" s="31" t="s">
        <v>8438</v>
      </c>
      <c r="V2284" s="32">
        <v>44169.0</v>
      </c>
    </row>
    <row r="2285">
      <c r="A2285" s="32"/>
      <c r="T2285" s="31" t="s">
        <v>8441</v>
      </c>
      <c r="U2285" s="31" t="s">
        <v>8442</v>
      </c>
      <c r="V2285" s="32">
        <v>44169.0</v>
      </c>
    </row>
    <row r="2286">
      <c r="A2286" s="32"/>
      <c r="T2286" s="31" t="s">
        <v>8445</v>
      </c>
      <c r="U2286" s="31" t="s">
        <v>8446</v>
      </c>
      <c r="V2286" s="32">
        <v>44168.0</v>
      </c>
    </row>
    <row r="2287">
      <c r="A2287" s="32"/>
      <c r="T2287" s="31" t="s">
        <v>8449</v>
      </c>
      <c r="U2287" s="31" t="s">
        <v>8450</v>
      </c>
      <c r="V2287" s="32">
        <v>44168.0</v>
      </c>
    </row>
    <row r="2288">
      <c r="A2288" s="32"/>
      <c r="T2288" s="31" t="s">
        <v>8453</v>
      </c>
      <c r="U2288" s="31" t="s">
        <v>8454</v>
      </c>
      <c r="V2288" s="32">
        <v>44167.0</v>
      </c>
    </row>
    <row r="2289">
      <c r="A2289" s="32"/>
      <c r="T2289" s="31" t="s">
        <v>8457</v>
      </c>
      <c r="U2289" s="31" t="s">
        <v>8458</v>
      </c>
      <c r="V2289" s="32">
        <v>44167.0</v>
      </c>
    </row>
    <row r="2290">
      <c r="A2290" s="32"/>
      <c r="T2290" s="31" t="s">
        <v>8462</v>
      </c>
      <c r="U2290" s="31" t="s">
        <v>8463</v>
      </c>
      <c r="V2290" s="32">
        <v>44167.0</v>
      </c>
    </row>
    <row r="2291">
      <c r="A2291" s="32"/>
      <c r="T2291" s="31" t="s">
        <v>8467</v>
      </c>
      <c r="U2291" s="31" t="s">
        <v>8468</v>
      </c>
      <c r="V2291" s="32">
        <v>44166.0</v>
      </c>
    </row>
    <row r="2292">
      <c r="A2292" s="32"/>
      <c r="T2292" s="31" t="s">
        <v>8471</v>
      </c>
      <c r="U2292" s="31" t="s">
        <v>8472</v>
      </c>
      <c r="V2292" s="32">
        <v>44166.0</v>
      </c>
    </row>
    <row r="2293">
      <c r="A2293" s="32"/>
      <c r="T2293" s="31" t="s">
        <v>8474</v>
      </c>
      <c r="U2293" s="31" t="s">
        <v>8475</v>
      </c>
      <c r="V2293" s="32">
        <v>44166.0</v>
      </c>
    </row>
    <row r="2294">
      <c r="A2294" s="32"/>
      <c r="T2294" s="31" t="s">
        <v>8478</v>
      </c>
      <c r="U2294" s="31" t="s">
        <v>8479</v>
      </c>
      <c r="V2294" s="32">
        <v>44166.0</v>
      </c>
    </row>
    <row r="2295">
      <c r="A2295" s="32"/>
      <c r="T2295" s="31" t="s">
        <v>8481</v>
      </c>
      <c r="U2295" s="31" t="s">
        <v>8482</v>
      </c>
      <c r="V2295" s="32">
        <v>44166.0</v>
      </c>
    </row>
    <row r="2296">
      <c r="A2296" s="32"/>
      <c r="T2296" s="31" t="s">
        <v>8486</v>
      </c>
      <c r="U2296" s="31" t="s">
        <v>8487</v>
      </c>
      <c r="V2296" s="32">
        <v>44165.0</v>
      </c>
    </row>
    <row r="2297">
      <c r="A2297" s="32"/>
      <c r="T2297" s="31" t="s">
        <v>8490</v>
      </c>
      <c r="U2297" s="31" t="s">
        <v>8491</v>
      </c>
      <c r="V2297" s="32">
        <v>44165.0</v>
      </c>
    </row>
    <row r="2298">
      <c r="A2298" s="32"/>
      <c r="T2298" s="31" t="s">
        <v>8494</v>
      </c>
      <c r="U2298" s="31" t="s">
        <v>8495</v>
      </c>
      <c r="V2298" s="32">
        <v>44163.0</v>
      </c>
    </row>
    <row r="2299">
      <c r="A2299" s="32"/>
      <c r="T2299" s="31" t="s">
        <v>8498</v>
      </c>
      <c r="U2299" s="31" t="s">
        <v>8499</v>
      </c>
      <c r="V2299" s="32">
        <v>44162.0</v>
      </c>
    </row>
    <row r="2300">
      <c r="A2300" s="32"/>
      <c r="T2300" s="31" t="s">
        <v>8502</v>
      </c>
      <c r="U2300" s="31" t="s">
        <v>8503</v>
      </c>
      <c r="V2300" s="32">
        <v>44162.0</v>
      </c>
    </row>
    <row r="2301">
      <c r="A2301" s="32"/>
      <c r="T2301" s="31" t="s">
        <v>8506</v>
      </c>
      <c r="U2301" s="31" t="s">
        <v>8507</v>
      </c>
      <c r="V2301" s="32">
        <v>44161.0</v>
      </c>
    </row>
    <row r="2302">
      <c r="A2302" s="32"/>
      <c r="T2302" s="31" t="s">
        <v>8510</v>
      </c>
      <c r="U2302" s="31" t="s">
        <v>8511</v>
      </c>
      <c r="V2302" s="32">
        <v>44161.0</v>
      </c>
    </row>
    <row r="2303">
      <c r="A2303" s="32"/>
      <c r="T2303" s="31" t="s">
        <v>8514</v>
      </c>
      <c r="U2303" s="31" t="s">
        <v>8515</v>
      </c>
      <c r="V2303" s="32">
        <v>44161.0</v>
      </c>
    </row>
    <row r="2304">
      <c r="A2304" s="32"/>
      <c r="T2304" s="31" t="s">
        <v>8518</v>
      </c>
      <c r="U2304" s="31" t="s">
        <v>8519</v>
      </c>
      <c r="V2304" s="32">
        <v>44160.0</v>
      </c>
    </row>
    <row r="2305">
      <c r="A2305" s="32"/>
      <c r="T2305" s="31" t="s">
        <v>8522</v>
      </c>
      <c r="U2305" s="31" t="s">
        <v>8523</v>
      </c>
      <c r="V2305" s="32">
        <v>44160.0</v>
      </c>
    </row>
    <row r="2306">
      <c r="A2306" s="32"/>
      <c r="T2306" s="31" t="s">
        <v>8526</v>
      </c>
      <c r="U2306" s="31" t="s">
        <v>8527</v>
      </c>
      <c r="V2306" s="32">
        <v>44159.0</v>
      </c>
    </row>
    <row r="2307">
      <c r="A2307" s="32"/>
      <c r="T2307" s="31" t="s">
        <v>8529</v>
      </c>
      <c r="U2307" s="31" t="s">
        <v>8530</v>
      </c>
      <c r="V2307" s="32">
        <v>44159.0</v>
      </c>
    </row>
    <row r="2308">
      <c r="A2308" s="32"/>
      <c r="T2308" s="31" t="s">
        <v>8533</v>
      </c>
      <c r="U2308" s="31" t="s">
        <v>8534</v>
      </c>
      <c r="V2308" s="32">
        <v>44159.0</v>
      </c>
    </row>
    <row r="2309">
      <c r="A2309" s="32"/>
      <c r="T2309" s="31" t="s">
        <v>8537</v>
      </c>
      <c r="U2309" s="31" t="s">
        <v>7424</v>
      </c>
      <c r="V2309" s="32">
        <v>44158.0</v>
      </c>
    </row>
    <row r="2310">
      <c r="A2310" s="32"/>
      <c r="T2310" s="31" t="s">
        <v>8540</v>
      </c>
      <c r="U2310" s="31" t="s">
        <v>8541</v>
      </c>
      <c r="V2310" s="32">
        <v>44158.0</v>
      </c>
    </row>
    <row r="2311">
      <c r="A2311" s="32"/>
      <c r="T2311" s="31" t="s">
        <v>8544</v>
      </c>
      <c r="U2311" s="31" t="s">
        <v>8545</v>
      </c>
      <c r="V2311" s="32">
        <v>44158.0</v>
      </c>
    </row>
    <row r="2312">
      <c r="A2312" s="32"/>
      <c r="T2312" s="31" t="s">
        <v>8548</v>
      </c>
      <c r="U2312" s="31" t="s">
        <v>8549</v>
      </c>
      <c r="V2312" s="32">
        <v>44156.0</v>
      </c>
    </row>
    <row r="2313">
      <c r="A2313" s="32"/>
      <c r="T2313" s="31" t="s">
        <v>8553</v>
      </c>
      <c r="U2313" s="31" t="s">
        <v>8554</v>
      </c>
      <c r="V2313" s="32">
        <v>44155.0</v>
      </c>
    </row>
    <row r="2314">
      <c r="A2314" s="32"/>
      <c r="T2314" s="31" t="s">
        <v>8557</v>
      </c>
      <c r="U2314" s="31" t="s">
        <v>8558</v>
      </c>
      <c r="V2314" s="32">
        <v>44155.0</v>
      </c>
    </row>
    <row r="2315">
      <c r="A2315" s="32"/>
      <c r="T2315" s="31" t="s">
        <v>8562</v>
      </c>
      <c r="U2315" s="31" t="s">
        <v>8563</v>
      </c>
      <c r="V2315" s="32">
        <v>44154.0</v>
      </c>
    </row>
    <row r="2316">
      <c r="A2316" s="32"/>
      <c r="T2316" s="31" t="s">
        <v>8566</v>
      </c>
      <c r="U2316" s="31" t="s">
        <v>8567</v>
      </c>
      <c r="V2316" s="32">
        <v>44154.0</v>
      </c>
    </row>
    <row r="2317">
      <c r="A2317" s="32"/>
      <c r="T2317" s="31" t="s">
        <v>8570</v>
      </c>
      <c r="U2317" s="31" t="s">
        <v>8571</v>
      </c>
      <c r="V2317" s="32">
        <v>44154.0</v>
      </c>
    </row>
    <row r="2318">
      <c r="A2318" s="32"/>
      <c r="T2318" s="31" t="s">
        <v>8574</v>
      </c>
      <c r="U2318" s="31" t="s">
        <v>8575</v>
      </c>
      <c r="V2318" s="32">
        <v>44153.0</v>
      </c>
    </row>
    <row r="2319">
      <c r="A2319" s="32"/>
      <c r="T2319" s="31" t="s">
        <v>8577</v>
      </c>
      <c r="U2319" s="31" t="s">
        <v>8578</v>
      </c>
      <c r="V2319" s="32">
        <v>44153.0</v>
      </c>
    </row>
    <row r="2320">
      <c r="A2320" s="32"/>
      <c r="T2320" s="31" t="s">
        <v>8581</v>
      </c>
      <c r="U2320" s="31" t="s">
        <v>8582</v>
      </c>
      <c r="V2320" s="32">
        <v>44152.0</v>
      </c>
    </row>
    <row r="2321">
      <c r="A2321" s="32"/>
      <c r="T2321" s="31" t="s">
        <v>8585</v>
      </c>
      <c r="U2321" s="31" t="s">
        <v>8586</v>
      </c>
      <c r="V2321" s="32">
        <v>44152.0</v>
      </c>
    </row>
    <row r="2322">
      <c r="A2322" s="32"/>
      <c r="T2322" s="31" t="s">
        <v>8589</v>
      </c>
      <c r="U2322" s="31" t="s">
        <v>8050</v>
      </c>
      <c r="V2322" s="32">
        <v>44151.0</v>
      </c>
    </row>
    <row r="2323">
      <c r="A2323" s="32"/>
      <c r="T2323" s="31" t="s">
        <v>8592</v>
      </c>
      <c r="U2323" s="31" t="s">
        <v>8593</v>
      </c>
      <c r="V2323" s="32">
        <v>44151.0</v>
      </c>
    </row>
    <row r="2324">
      <c r="A2324" s="32"/>
      <c r="T2324" s="31" t="s">
        <v>8597</v>
      </c>
      <c r="U2324" s="31" t="s">
        <v>8598</v>
      </c>
      <c r="V2324" s="32">
        <v>44148.0</v>
      </c>
    </row>
    <row r="2325">
      <c r="A2325" s="32"/>
      <c r="T2325" s="31" t="s">
        <v>8602</v>
      </c>
      <c r="U2325" s="31" t="s">
        <v>8603</v>
      </c>
      <c r="V2325" s="32">
        <v>44148.0</v>
      </c>
    </row>
    <row r="2326">
      <c r="A2326" s="32"/>
      <c r="T2326" s="31" t="s">
        <v>8606</v>
      </c>
      <c r="U2326" s="31" t="s">
        <v>8607</v>
      </c>
      <c r="V2326" s="32">
        <v>44148.0</v>
      </c>
    </row>
    <row r="2327">
      <c r="A2327" s="32"/>
      <c r="T2327" s="31" t="s">
        <v>8610</v>
      </c>
      <c r="U2327" s="31" t="s">
        <v>8611</v>
      </c>
      <c r="V2327" s="32">
        <v>44148.0</v>
      </c>
    </row>
    <row r="2328">
      <c r="A2328" s="32"/>
      <c r="T2328" s="31" t="s">
        <v>8615</v>
      </c>
      <c r="U2328" s="31" t="s">
        <v>8616</v>
      </c>
      <c r="V2328" s="32">
        <v>44148.0</v>
      </c>
    </row>
    <row r="2329">
      <c r="A2329" s="32"/>
      <c r="T2329" s="31" t="s">
        <v>8620</v>
      </c>
      <c r="U2329" s="31" t="s">
        <v>8621</v>
      </c>
      <c r="V2329" s="32">
        <v>44148.0</v>
      </c>
    </row>
    <row r="2330">
      <c r="A2330" s="32"/>
      <c r="T2330" s="31" t="s">
        <v>8623</v>
      </c>
      <c r="U2330" s="31" t="s">
        <v>8624</v>
      </c>
      <c r="V2330" s="32">
        <v>44147.0</v>
      </c>
    </row>
    <row r="2331">
      <c r="A2331" s="32"/>
      <c r="T2331" s="31" t="s">
        <v>8627</v>
      </c>
      <c r="U2331" s="31" t="s">
        <v>8628</v>
      </c>
      <c r="V2331" s="32">
        <v>44146.0</v>
      </c>
    </row>
    <row r="2332">
      <c r="A2332" s="32"/>
      <c r="T2332" s="31" t="s">
        <v>8631</v>
      </c>
      <c r="U2332" s="31" t="s">
        <v>8632</v>
      </c>
      <c r="V2332" s="32">
        <v>44146.0</v>
      </c>
    </row>
    <row r="2333">
      <c r="A2333" s="32"/>
      <c r="T2333" s="31" t="s">
        <v>8635</v>
      </c>
      <c r="U2333" s="31" t="s">
        <v>8636</v>
      </c>
      <c r="V2333" s="32">
        <v>44146.0</v>
      </c>
    </row>
    <row r="2334">
      <c r="A2334" s="32"/>
      <c r="T2334" s="31" t="s">
        <v>8639</v>
      </c>
      <c r="U2334" s="31" t="s">
        <v>8640</v>
      </c>
      <c r="V2334" s="32">
        <v>44146.0</v>
      </c>
    </row>
    <row r="2335">
      <c r="A2335" s="32"/>
      <c r="T2335" s="31" t="s">
        <v>8643</v>
      </c>
      <c r="U2335" s="31" t="s">
        <v>8644</v>
      </c>
      <c r="V2335" s="32">
        <v>44146.0</v>
      </c>
    </row>
    <row r="2336">
      <c r="A2336" s="32"/>
      <c r="T2336" s="31" t="s">
        <v>8647</v>
      </c>
      <c r="U2336" s="31" t="s">
        <v>8648</v>
      </c>
      <c r="V2336" s="32">
        <v>44145.0</v>
      </c>
    </row>
    <row r="2337">
      <c r="A2337" s="32"/>
      <c r="T2337" s="31" t="s">
        <v>8651</v>
      </c>
      <c r="U2337" s="31" t="s">
        <v>8652</v>
      </c>
      <c r="V2337" s="32">
        <v>44145.0</v>
      </c>
    </row>
    <row r="2338">
      <c r="A2338" s="32"/>
      <c r="T2338" s="31" t="s">
        <v>8655</v>
      </c>
      <c r="U2338" s="31" t="s">
        <v>8656</v>
      </c>
      <c r="V2338" s="32">
        <v>44141.0</v>
      </c>
    </row>
    <row r="2339">
      <c r="A2339" s="32"/>
      <c r="T2339" s="31" t="s">
        <v>8659</v>
      </c>
      <c r="U2339" s="31" t="s">
        <v>8660</v>
      </c>
      <c r="V2339" s="32">
        <v>44140.0</v>
      </c>
    </row>
    <row r="2340">
      <c r="A2340" s="32"/>
      <c r="T2340" s="31" t="s">
        <v>8663</v>
      </c>
      <c r="U2340" s="31" t="s">
        <v>8664</v>
      </c>
      <c r="V2340" s="32">
        <v>44139.0</v>
      </c>
    </row>
    <row r="2341">
      <c r="A2341" s="32"/>
      <c r="T2341" s="31" t="s">
        <v>8668</v>
      </c>
      <c r="U2341" s="31" t="s">
        <v>8669</v>
      </c>
      <c r="V2341" s="32">
        <v>44138.0</v>
      </c>
    </row>
    <row r="2342">
      <c r="A2342" s="32"/>
      <c r="T2342" s="31" t="s">
        <v>8672</v>
      </c>
      <c r="U2342" s="31" t="s">
        <v>8673</v>
      </c>
      <c r="V2342" s="32">
        <v>44138.0</v>
      </c>
    </row>
    <row r="2343">
      <c r="A2343" s="32"/>
      <c r="T2343" s="31" t="s">
        <v>8676</v>
      </c>
      <c r="U2343" s="31" t="s">
        <v>8677</v>
      </c>
      <c r="V2343" s="32">
        <v>44138.0</v>
      </c>
    </row>
    <row r="2344">
      <c r="A2344" s="32"/>
      <c r="T2344" s="31" t="s">
        <v>8680</v>
      </c>
      <c r="U2344" s="31" t="s">
        <v>8681</v>
      </c>
      <c r="V2344" s="32">
        <v>44138.0</v>
      </c>
    </row>
    <row r="2345">
      <c r="A2345" s="32"/>
      <c r="T2345" s="31" t="s">
        <v>8684</v>
      </c>
      <c r="U2345" s="31" t="s">
        <v>8685</v>
      </c>
      <c r="V2345" s="32">
        <v>44137.0</v>
      </c>
    </row>
    <row r="2346">
      <c r="A2346" s="32"/>
      <c r="T2346" s="31" t="s">
        <v>8688</v>
      </c>
      <c r="U2346" s="31" t="s">
        <v>8689</v>
      </c>
      <c r="V2346" s="32">
        <v>44137.0</v>
      </c>
    </row>
    <row r="2347">
      <c r="A2347" s="32"/>
      <c r="T2347" s="31" t="s">
        <v>8692</v>
      </c>
      <c r="U2347" s="31" t="s">
        <v>8693</v>
      </c>
      <c r="V2347" s="32">
        <v>44137.0</v>
      </c>
    </row>
    <row r="2348">
      <c r="A2348" s="32"/>
      <c r="T2348" s="31" t="s">
        <v>8696</v>
      </c>
      <c r="U2348" s="31" t="s">
        <v>8697</v>
      </c>
      <c r="V2348" s="32">
        <v>44137.0</v>
      </c>
    </row>
    <row r="2349">
      <c r="A2349" s="32"/>
      <c r="T2349" s="31" t="s">
        <v>8700</v>
      </c>
      <c r="U2349" s="31" t="s">
        <v>8701</v>
      </c>
      <c r="V2349" s="32">
        <v>44136.0</v>
      </c>
    </row>
    <row r="2350">
      <c r="A2350" s="32"/>
      <c r="T2350" s="31" t="s">
        <v>8704</v>
      </c>
      <c r="U2350" s="31" t="s">
        <v>8705</v>
      </c>
      <c r="V2350" s="32">
        <v>44136.0</v>
      </c>
    </row>
    <row r="2351">
      <c r="A2351" s="32"/>
      <c r="T2351" s="31" t="s">
        <v>8708</v>
      </c>
      <c r="U2351" s="31" t="s">
        <v>8709</v>
      </c>
      <c r="V2351" s="32">
        <v>44136.0</v>
      </c>
    </row>
    <row r="2352">
      <c r="A2352" s="32"/>
      <c r="T2352" s="31" t="s">
        <v>8712</v>
      </c>
      <c r="U2352" s="31" t="s">
        <v>8713</v>
      </c>
      <c r="V2352" s="32">
        <v>44136.0</v>
      </c>
    </row>
    <row r="2353">
      <c r="A2353" s="32"/>
      <c r="T2353" s="31" t="s">
        <v>8717</v>
      </c>
      <c r="U2353" s="31" t="s">
        <v>8718</v>
      </c>
      <c r="V2353" s="32">
        <v>44136.0</v>
      </c>
    </row>
    <row r="2354">
      <c r="A2354" s="32"/>
      <c r="T2354" s="31" t="s">
        <v>8721</v>
      </c>
      <c r="U2354" s="31" t="s">
        <v>8722</v>
      </c>
      <c r="V2354" s="32">
        <v>44135.0</v>
      </c>
    </row>
    <row r="2355">
      <c r="A2355" s="32"/>
      <c r="T2355" s="31" t="s">
        <v>8725</v>
      </c>
      <c r="U2355" s="31" t="s">
        <v>8726</v>
      </c>
      <c r="V2355" s="32">
        <v>44134.0</v>
      </c>
    </row>
    <row r="2356">
      <c r="A2356" s="32"/>
      <c r="T2356" s="31" t="s">
        <v>8729</v>
      </c>
      <c r="U2356" s="31" t="s">
        <v>8730</v>
      </c>
      <c r="V2356" s="32">
        <v>44134.0</v>
      </c>
    </row>
    <row r="2357">
      <c r="A2357" s="32"/>
      <c r="T2357" s="31" t="s">
        <v>8734</v>
      </c>
      <c r="U2357" s="31" t="s">
        <v>8735</v>
      </c>
      <c r="V2357" s="32">
        <v>44134.0</v>
      </c>
    </row>
    <row r="2358">
      <c r="A2358" s="32"/>
      <c r="T2358" s="31" t="s">
        <v>8738</v>
      </c>
      <c r="U2358" s="31" t="s">
        <v>8739</v>
      </c>
      <c r="V2358" s="32">
        <v>44131.0</v>
      </c>
    </row>
    <row r="2359">
      <c r="A2359" s="32"/>
      <c r="T2359" s="31" t="s">
        <v>8742</v>
      </c>
      <c r="U2359" s="31" t="s">
        <v>8743</v>
      </c>
      <c r="V2359" s="32">
        <v>44131.0</v>
      </c>
    </row>
    <row r="2360">
      <c r="A2360" s="32"/>
      <c r="T2360" s="31" t="s">
        <v>8746</v>
      </c>
      <c r="U2360" s="31" t="s">
        <v>8747</v>
      </c>
      <c r="V2360" s="32">
        <v>44128.0</v>
      </c>
    </row>
    <row r="2361">
      <c r="A2361" s="32"/>
      <c r="T2361" s="31" t="s">
        <v>8750</v>
      </c>
      <c r="U2361" s="31" t="s">
        <v>8751</v>
      </c>
      <c r="V2361" s="32">
        <v>44127.0</v>
      </c>
    </row>
    <row r="2362">
      <c r="A2362" s="32"/>
      <c r="T2362" s="31" t="s">
        <v>8754</v>
      </c>
      <c r="U2362" s="31" t="s">
        <v>8755</v>
      </c>
      <c r="V2362" s="32">
        <v>44125.0</v>
      </c>
    </row>
    <row r="2363">
      <c r="A2363" s="32"/>
      <c r="T2363" s="31" t="s">
        <v>8758</v>
      </c>
      <c r="U2363" s="31" t="s">
        <v>8759</v>
      </c>
      <c r="V2363" s="32">
        <v>44124.0</v>
      </c>
    </row>
    <row r="2364">
      <c r="A2364" s="32"/>
      <c r="T2364" s="31" t="s">
        <v>8762</v>
      </c>
      <c r="U2364" s="31" t="s">
        <v>8763</v>
      </c>
      <c r="V2364" s="32">
        <v>44124.0</v>
      </c>
    </row>
    <row r="2365">
      <c r="A2365" s="32"/>
      <c r="T2365" s="31" t="s">
        <v>8766</v>
      </c>
      <c r="U2365" s="31" t="s">
        <v>8767</v>
      </c>
      <c r="V2365" s="32">
        <v>44124.0</v>
      </c>
    </row>
    <row r="2366">
      <c r="A2366" s="32"/>
      <c r="T2366" s="31" t="s">
        <v>8769</v>
      </c>
      <c r="U2366" s="31" t="s">
        <v>8770</v>
      </c>
      <c r="V2366" s="32">
        <v>44123.0</v>
      </c>
    </row>
    <row r="2367">
      <c r="A2367" s="32"/>
      <c r="T2367" s="31" t="s">
        <v>8774</v>
      </c>
      <c r="U2367" s="31" t="s">
        <v>8775</v>
      </c>
      <c r="V2367" s="32">
        <v>44123.0</v>
      </c>
    </row>
    <row r="2368">
      <c r="A2368" s="32"/>
      <c r="T2368" s="31" t="s">
        <v>8778</v>
      </c>
      <c r="U2368" s="31" t="s">
        <v>8779</v>
      </c>
      <c r="V2368" s="32">
        <v>44121.0</v>
      </c>
    </row>
    <row r="2369">
      <c r="A2369" s="32"/>
      <c r="T2369" s="31" t="s">
        <v>8782</v>
      </c>
      <c r="U2369" s="31" t="s">
        <v>8783</v>
      </c>
      <c r="V2369" s="32">
        <v>44121.0</v>
      </c>
    </row>
    <row r="2370">
      <c r="A2370" s="32"/>
      <c r="T2370" s="31" t="s">
        <v>8786</v>
      </c>
      <c r="U2370" s="31" t="s">
        <v>8787</v>
      </c>
      <c r="V2370" s="32">
        <v>44120.0</v>
      </c>
    </row>
    <row r="2371">
      <c r="A2371" s="32"/>
      <c r="T2371" s="31" t="s">
        <v>8791</v>
      </c>
      <c r="U2371" s="31" t="s">
        <v>8792</v>
      </c>
      <c r="V2371" s="32">
        <v>44120.0</v>
      </c>
    </row>
    <row r="2372">
      <c r="A2372" s="32"/>
      <c r="T2372" s="31" t="s">
        <v>8795</v>
      </c>
      <c r="U2372" s="31" t="s">
        <v>8796</v>
      </c>
      <c r="V2372" s="32">
        <v>44120.0</v>
      </c>
    </row>
    <row r="2373">
      <c r="A2373" s="32"/>
      <c r="T2373" s="31" t="s">
        <v>8799</v>
      </c>
      <c r="U2373" s="31" t="s">
        <v>8800</v>
      </c>
      <c r="V2373" s="32">
        <v>44120.0</v>
      </c>
    </row>
    <row r="2374">
      <c r="A2374" s="32"/>
      <c r="T2374" s="31" t="s">
        <v>8803</v>
      </c>
      <c r="U2374" s="31" t="s">
        <v>8804</v>
      </c>
      <c r="V2374" s="32">
        <v>44119.0</v>
      </c>
    </row>
    <row r="2375">
      <c r="A2375" s="32"/>
      <c r="T2375" s="31" t="s">
        <v>8808</v>
      </c>
      <c r="U2375" s="31" t="s">
        <v>8809</v>
      </c>
      <c r="V2375" s="32">
        <v>44117.0</v>
      </c>
    </row>
    <row r="2376">
      <c r="A2376" s="32"/>
      <c r="T2376" s="31" t="s">
        <v>8812</v>
      </c>
      <c r="U2376" s="31" t="s">
        <v>8813</v>
      </c>
      <c r="V2376" s="32">
        <v>44117.0</v>
      </c>
    </row>
    <row r="2377">
      <c r="A2377" s="32"/>
      <c r="T2377" s="31" t="s">
        <v>8816</v>
      </c>
      <c r="U2377" s="31" t="s">
        <v>8817</v>
      </c>
      <c r="V2377" s="32">
        <v>44117.0</v>
      </c>
    </row>
    <row r="2378">
      <c r="A2378" s="32"/>
      <c r="T2378" s="31" t="s">
        <v>8821</v>
      </c>
      <c r="U2378" s="31" t="s">
        <v>8822</v>
      </c>
      <c r="V2378" s="32">
        <v>44115.0</v>
      </c>
    </row>
    <row r="2379">
      <c r="A2379" s="32"/>
      <c r="T2379" s="31" t="s">
        <v>8825</v>
      </c>
      <c r="U2379" s="31" t="s">
        <v>8826</v>
      </c>
      <c r="V2379" s="32">
        <v>44112.0</v>
      </c>
    </row>
    <row r="2380">
      <c r="A2380" s="32"/>
      <c r="T2380" s="31" t="s">
        <v>8829</v>
      </c>
      <c r="U2380" s="31" t="s">
        <v>8830</v>
      </c>
      <c r="V2380" s="32">
        <v>44111.0</v>
      </c>
    </row>
    <row r="2381">
      <c r="A2381" s="32"/>
      <c r="T2381" s="31" t="s">
        <v>8833</v>
      </c>
      <c r="U2381" s="31" t="s">
        <v>8834</v>
      </c>
      <c r="V2381" s="32">
        <v>44111.0</v>
      </c>
    </row>
    <row r="2382">
      <c r="A2382" s="32"/>
      <c r="T2382" s="31" t="s">
        <v>8837</v>
      </c>
      <c r="U2382" s="31" t="s">
        <v>8838</v>
      </c>
      <c r="V2382" s="32">
        <v>44110.0</v>
      </c>
    </row>
    <row r="2383">
      <c r="A2383" s="32"/>
      <c r="T2383" s="31" t="s">
        <v>8841</v>
      </c>
      <c r="U2383" s="31" t="s">
        <v>8842</v>
      </c>
      <c r="V2383" s="32">
        <v>44110.0</v>
      </c>
    </row>
    <row r="2384">
      <c r="A2384" s="32"/>
      <c r="T2384" s="31" t="s">
        <v>8846</v>
      </c>
      <c r="U2384" s="31" t="s">
        <v>8847</v>
      </c>
      <c r="V2384" s="32">
        <v>44110.0</v>
      </c>
    </row>
    <row r="2385">
      <c r="A2385" s="32"/>
      <c r="T2385" s="31" t="s">
        <v>8850</v>
      </c>
      <c r="U2385" s="31" t="s">
        <v>8851</v>
      </c>
      <c r="V2385" s="32">
        <v>44110.0</v>
      </c>
    </row>
    <row r="2386">
      <c r="A2386" s="32"/>
      <c r="T2386" s="31" t="s">
        <v>8854</v>
      </c>
      <c r="U2386" s="31" t="s">
        <v>8855</v>
      </c>
      <c r="V2386" s="32">
        <v>44110.0</v>
      </c>
    </row>
    <row r="2387">
      <c r="A2387" s="32"/>
      <c r="T2387" s="31" t="s">
        <v>8859</v>
      </c>
      <c r="U2387" s="31" t="s">
        <v>8860</v>
      </c>
      <c r="V2387" s="32">
        <v>44110.0</v>
      </c>
    </row>
    <row r="2388">
      <c r="A2388" s="32"/>
      <c r="T2388" s="31" t="s">
        <v>8863</v>
      </c>
      <c r="U2388" s="31" t="s">
        <v>8864</v>
      </c>
      <c r="V2388" s="32">
        <v>44109.0</v>
      </c>
    </row>
    <row r="2389">
      <c r="A2389" s="32"/>
      <c r="T2389" s="31" t="s">
        <v>8867</v>
      </c>
      <c r="U2389" s="31" t="s">
        <v>8868</v>
      </c>
      <c r="V2389" s="32">
        <v>44108.0</v>
      </c>
    </row>
    <row r="2390">
      <c r="A2390" s="32"/>
      <c r="T2390" s="31" t="s">
        <v>8871</v>
      </c>
      <c r="U2390" s="31" t="s">
        <v>8872</v>
      </c>
      <c r="V2390" s="32">
        <v>44108.0</v>
      </c>
    </row>
    <row r="2391">
      <c r="A2391" s="32"/>
      <c r="T2391" s="31" t="s">
        <v>8875</v>
      </c>
      <c r="U2391" s="31" t="s">
        <v>8876</v>
      </c>
      <c r="V2391" s="32">
        <v>44107.0</v>
      </c>
    </row>
    <row r="2392">
      <c r="A2392" s="32"/>
      <c r="T2392" s="31" t="s">
        <v>8879</v>
      </c>
      <c r="U2392" s="31" t="s">
        <v>8880</v>
      </c>
      <c r="V2392" s="32">
        <v>44106.0</v>
      </c>
    </row>
    <row r="2393">
      <c r="A2393" s="32"/>
      <c r="T2393" s="31" t="s">
        <v>8883</v>
      </c>
      <c r="U2393" s="31" t="s">
        <v>8884</v>
      </c>
      <c r="V2393" s="32">
        <v>44105.0</v>
      </c>
    </row>
    <row r="2394">
      <c r="A2394" s="32"/>
      <c r="T2394" s="31" t="s">
        <v>8887</v>
      </c>
      <c r="U2394" s="31" t="s">
        <v>8888</v>
      </c>
      <c r="V2394" s="32">
        <v>44105.0</v>
      </c>
    </row>
    <row r="2395">
      <c r="A2395" s="32"/>
      <c r="T2395" s="31" t="s">
        <v>8891</v>
      </c>
      <c r="U2395" s="31" t="s">
        <v>8892</v>
      </c>
      <c r="V2395" s="32">
        <v>44105.0</v>
      </c>
    </row>
    <row r="2396">
      <c r="A2396" s="32"/>
      <c r="T2396" s="31" t="s">
        <v>8895</v>
      </c>
      <c r="U2396" s="31" t="s">
        <v>8896</v>
      </c>
      <c r="V2396" s="32">
        <v>44105.0</v>
      </c>
    </row>
    <row r="2397">
      <c r="A2397" s="32"/>
      <c r="T2397" s="31" t="s">
        <v>8899</v>
      </c>
      <c r="U2397" s="31" t="s">
        <v>8900</v>
      </c>
      <c r="V2397" s="32">
        <v>44104.0</v>
      </c>
    </row>
    <row r="2398">
      <c r="A2398" s="32"/>
      <c r="T2398" s="31" t="s">
        <v>8904</v>
      </c>
      <c r="U2398" s="31" t="s">
        <v>8905</v>
      </c>
      <c r="V2398" s="32">
        <v>44100.0</v>
      </c>
    </row>
    <row r="2399">
      <c r="A2399" s="32"/>
      <c r="T2399" s="31" t="s">
        <v>8908</v>
      </c>
      <c r="U2399" s="31" t="s">
        <v>8909</v>
      </c>
      <c r="V2399" s="32">
        <v>44099.0</v>
      </c>
    </row>
    <row r="2400">
      <c r="A2400" s="32"/>
      <c r="T2400" s="31" t="s">
        <v>8912</v>
      </c>
      <c r="U2400" s="31" t="s">
        <v>7911</v>
      </c>
      <c r="V2400" s="32">
        <v>44099.0</v>
      </c>
    </row>
    <row r="2401">
      <c r="A2401" s="32"/>
      <c r="T2401" s="31" t="s">
        <v>8915</v>
      </c>
      <c r="U2401" s="31" t="s">
        <v>8916</v>
      </c>
      <c r="V2401" s="32">
        <v>44099.0</v>
      </c>
    </row>
    <row r="2402">
      <c r="A2402" s="32"/>
      <c r="T2402" s="31" t="s">
        <v>8919</v>
      </c>
      <c r="U2402" s="31" t="s">
        <v>8920</v>
      </c>
      <c r="V2402" s="32">
        <v>44099.0</v>
      </c>
    </row>
    <row r="2403">
      <c r="A2403" s="32"/>
      <c r="T2403" s="31" t="s">
        <v>8923</v>
      </c>
      <c r="U2403" s="31" t="s">
        <v>8924</v>
      </c>
      <c r="V2403" s="32">
        <v>44098.0</v>
      </c>
    </row>
    <row r="2404">
      <c r="A2404" s="32"/>
      <c r="T2404" s="31" t="s">
        <v>8927</v>
      </c>
      <c r="U2404" s="31" t="s">
        <v>8928</v>
      </c>
      <c r="V2404" s="32">
        <v>44096.0</v>
      </c>
    </row>
    <row r="2405">
      <c r="A2405" s="32"/>
      <c r="T2405" s="31" t="s">
        <v>8932</v>
      </c>
      <c r="U2405" s="31" t="s">
        <v>8933</v>
      </c>
      <c r="V2405" s="32">
        <v>44096.0</v>
      </c>
    </row>
    <row r="2406">
      <c r="A2406" s="32"/>
      <c r="T2406" s="31" t="s">
        <v>8935</v>
      </c>
      <c r="U2406" s="31" t="s">
        <v>8197</v>
      </c>
      <c r="V2406" s="32">
        <v>44096.0</v>
      </c>
    </row>
    <row r="2407">
      <c r="A2407" s="32"/>
      <c r="T2407" s="31" t="s">
        <v>8938</v>
      </c>
      <c r="U2407" s="31" t="s">
        <v>8939</v>
      </c>
      <c r="V2407" s="32">
        <v>44095.0</v>
      </c>
    </row>
    <row r="2408">
      <c r="A2408" s="32"/>
      <c r="T2408" s="31" t="s">
        <v>8942</v>
      </c>
      <c r="U2408" s="31" t="s">
        <v>8943</v>
      </c>
      <c r="V2408" s="32">
        <v>44095.0</v>
      </c>
    </row>
    <row r="2409">
      <c r="A2409" s="32"/>
      <c r="T2409" s="31" t="s">
        <v>8946</v>
      </c>
      <c r="U2409" s="31" t="s">
        <v>8947</v>
      </c>
      <c r="V2409" s="32">
        <v>44093.0</v>
      </c>
    </row>
    <row r="2410">
      <c r="A2410" s="32"/>
      <c r="T2410" s="31" t="s">
        <v>8951</v>
      </c>
      <c r="U2410" s="31" t="s">
        <v>8952</v>
      </c>
      <c r="V2410" s="32">
        <v>44093.0</v>
      </c>
    </row>
    <row r="2411">
      <c r="A2411" s="32"/>
      <c r="T2411" s="31" t="s">
        <v>8954</v>
      </c>
      <c r="U2411" s="31" t="s">
        <v>8955</v>
      </c>
      <c r="V2411" s="32">
        <v>44092.0</v>
      </c>
    </row>
    <row r="2412">
      <c r="A2412" s="32"/>
      <c r="T2412" s="31" t="s">
        <v>8958</v>
      </c>
      <c r="U2412" s="31" t="s">
        <v>8959</v>
      </c>
      <c r="V2412" s="32">
        <v>44091.0</v>
      </c>
    </row>
    <row r="2413">
      <c r="A2413" s="32"/>
      <c r="T2413" s="31" t="s">
        <v>8962</v>
      </c>
      <c r="U2413" s="31" t="s">
        <v>4442</v>
      </c>
      <c r="V2413" s="32">
        <v>44091.0</v>
      </c>
    </row>
    <row r="2414">
      <c r="A2414" s="32"/>
      <c r="T2414" s="31" t="s">
        <v>8965</v>
      </c>
      <c r="U2414" s="31" t="s">
        <v>8966</v>
      </c>
      <c r="V2414" s="32">
        <v>44091.0</v>
      </c>
    </row>
    <row r="2415">
      <c r="A2415" s="32"/>
      <c r="T2415" s="31" t="s">
        <v>8969</v>
      </c>
      <c r="U2415" s="31" t="s">
        <v>8970</v>
      </c>
      <c r="V2415" s="32">
        <v>44091.0</v>
      </c>
    </row>
    <row r="2416">
      <c r="A2416" s="32"/>
      <c r="T2416" s="31" t="s">
        <v>8973</v>
      </c>
      <c r="U2416" s="31" t="s">
        <v>8974</v>
      </c>
      <c r="V2416" s="32">
        <v>44090.0</v>
      </c>
    </row>
    <row r="2417">
      <c r="A2417" s="32"/>
      <c r="T2417" s="31" t="s">
        <v>8978</v>
      </c>
      <c r="U2417" s="31" t="s">
        <v>8979</v>
      </c>
      <c r="V2417" s="32">
        <v>44090.0</v>
      </c>
    </row>
    <row r="2418">
      <c r="A2418" s="32"/>
      <c r="T2418" s="31" t="s">
        <v>8982</v>
      </c>
      <c r="U2418" s="31" t="s">
        <v>8983</v>
      </c>
      <c r="V2418" s="32">
        <v>44089.0</v>
      </c>
    </row>
    <row r="2419">
      <c r="A2419" s="32"/>
      <c r="T2419" s="31" t="s">
        <v>8987</v>
      </c>
      <c r="U2419" s="31" t="s">
        <v>8988</v>
      </c>
      <c r="V2419" s="32">
        <v>44089.0</v>
      </c>
    </row>
    <row r="2420">
      <c r="A2420" s="32"/>
      <c r="T2420" s="31" t="s">
        <v>8991</v>
      </c>
      <c r="U2420" s="31" t="s">
        <v>8992</v>
      </c>
      <c r="V2420" s="32">
        <v>44088.0</v>
      </c>
    </row>
    <row r="2421">
      <c r="A2421" s="32"/>
      <c r="T2421" s="31" t="s">
        <v>8996</v>
      </c>
      <c r="U2421" s="31" t="s">
        <v>8997</v>
      </c>
      <c r="V2421" s="32">
        <v>44085.0</v>
      </c>
    </row>
    <row r="2422">
      <c r="A2422" s="32"/>
      <c r="T2422" s="31" t="s">
        <v>9000</v>
      </c>
      <c r="U2422" s="31" t="s">
        <v>9001</v>
      </c>
      <c r="V2422" s="32">
        <v>44084.0</v>
      </c>
    </row>
    <row r="2423">
      <c r="A2423" s="32"/>
      <c r="T2423" s="31" t="s">
        <v>9004</v>
      </c>
      <c r="U2423" s="31" t="s">
        <v>9005</v>
      </c>
      <c r="V2423" s="32">
        <v>44084.0</v>
      </c>
    </row>
    <row r="2424">
      <c r="A2424" s="32"/>
      <c r="T2424" s="31" t="s">
        <v>9009</v>
      </c>
      <c r="U2424" s="31" t="s">
        <v>9010</v>
      </c>
      <c r="V2424" s="32">
        <v>44081.0</v>
      </c>
    </row>
    <row r="2425">
      <c r="A2425" s="32"/>
      <c r="T2425" s="31" t="s">
        <v>9013</v>
      </c>
      <c r="U2425" s="31" t="s">
        <v>7618</v>
      </c>
      <c r="V2425" s="32">
        <v>44081.0</v>
      </c>
    </row>
    <row r="2426">
      <c r="A2426" s="32"/>
      <c r="T2426" s="31" t="s">
        <v>9016</v>
      </c>
      <c r="U2426" s="31" t="s">
        <v>9017</v>
      </c>
      <c r="V2426" s="32">
        <v>44081.0</v>
      </c>
    </row>
    <row r="2427">
      <c r="A2427" s="32"/>
      <c r="T2427" s="31" t="s">
        <v>9021</v>
      </c>
      <c r="U2427" s="31" t="s">
        <v>9022</v>
      </c>
      <c r="V2427" s="32">
        <v>44078.0</v>
      </c>
    </row>
    <row r="2428">
      <c r="A2428" s="32"/>
      <c r="T2428" s="31" t="s">
        <v>9025</v>
      </c>
      <c r="U2428" s="31" t="s">
        <v>9026</v>
      </c>
      <c r="V2428" s="32">
        <v>44078.0</v>
      </c>
    </row>
    <row r="2429">
      <c r="A2429" s="32"/>
      <c r="T2429" s="31" t="s">
        <v>9029</v>
      </c>
      <c r="U2429" s="31" t="s">
        <v>9030</v>
      </c>
      <c r="V2429" s="32">
        <v>44077.0</v>
      </c>
    </row>
    <row r="2430">
      <c r="A2430" s="32"/>
      <c r="T2430" s="31" t="s">
        <v>9033</v>
      </c>
      <c r="U2430" s="31" t="s">
        <v>9034</v>
      </c>
      <c r="V2430" s="32">
        <v>44077.0</v>
      </c>
    </row>
    <row r="2431">
      <c r="A2431" s="32"/>
      <c r="T2431" s="31" t="s">
        <v>9037</v>
      </c>
      <c r="U2431" s="31" t="s">
        <v>9038</v>
      </c>
      <c r="V2431" s="32">
        <v>44077.0</v>
      </c>
    </row>
    <row r="2432">
      <c r="A2432" s="32"/>
      <c r="T2432" s="31" t="s">
        <v>9041</v>
      </c>
      <c r="U2432" s="31" t="s">
        <v>9042</v>
      </c>
      <c r="V2432" s="32">
        <v>44076.0</v>
      </c>
    </row>
    <row r="2433">
      <c r="A2433" s="32"/>
      <c r="T2433" s="31" t="s">
        <v>9045</v>
      </c>
      <c r="U2433" s="31" t="s">
        <v>9046</v>
      </c>
      <c r="V2433" s="32">
        <v>44076.0</v>
      </c>
    </row>
    <row r="2434">
      <c r="A2434" s="32"/>
      <c r="T2434" s="31" t="s">
        <v>9049</v>
      </c>
      <c r="U2434" s="31" t="s">
        <v>9050</v>
      </c>
      <c r="V2434" s="32">
        <v>44076.0</v>
      </c>
    </row>
    <row r="2435">
      <c r="A2435" s="32"/>
      <c r="T2435" s="31" t="s">
        <v>9053</v>
      </c>
      <c r="U2435" s="31" t="s">
        <v>9054</v>
      </c>
      <c r="V2435" s="32">
        <v>44075.0</v>
      </c>
    </row>
    <row r="2436">
      <c r="A2436" s="32"/>
      <c r="T2436" s="31" t="s">
        <v>9057</v>
      </c>
      <c r="U2436" s="31" t="s">
        <v>9058</v>
      </c>
      <c r="V2436" s="32">
        <v>44075.0</v>
      </c>
    </row>
    <row r="2437">
      <c r="A2437" s="32"/>
      <c r="T2437" s="31" t="s">
        <v>9061</v>
      </c>
      <c r="U2437" s="31" t="s">
        <v>9062</v>
      </c>
      <c r="V2437" s="32">
        <v>44075.0</v>
      </c>
    </row>
    <row r="2438">
      <c r="A2438" s="32"/>
      <c r="T2438" s="31" t="s">
        <v>9065</v>
      </c>
      <c r="U2438" s="31" t="s">
        <v>9066</v>
      </c>
      <c r="V2438" s="32">
        <v>44075.0</v>
      </c>
    </row>
    <row r="2439">
      <c r="A2439" s="32"/>
      <c r="T2439" s="31" t="s">
        <v>9069</v>
      </c>
      <c r="U2439" s="31" t="s">
        <v>9070</v>
      </c>
      <c r="V2439" s="32">
        <v>44075.0</v>
      </c>
    </row>
    <row r="2440">
      <c r="A2440" s="32"/>
      <c r="T2440" s="31" t="s">
        <v>9073</v>
      </c>
      <c r="U2440" s="31" t="s">
        <v>9074</v>
      </c>
      <c r="V2440" s="32">
        <v>44075.0</v>
      </c>
    </row>
    <row r="2441">
      <c r="A2441" s="32"/>
      <c r="T2441" s="31" t="s">
        <v>9076</v>
      </c>
      <c r="U2441" s="31" t="s">
        <v>9077</v>
      </c>
      <c r="V2441" s="32">
        <v>44074.0</v>
      </c>
    </row>
    <row r="2442">
      <c r="A2442" s="32"/>
      <c r="T2442" s="31" t="s">
        <v>9080</v>
      </c>
      <c r="U2442" s="31" t="s">
        <v>9081</v>
      </c>
      <c r="V2442" s="32">
        <v>44072.0</v>
      </c>
    </row>
    <row r="2443">
      <c r="A2443" s="32"/>
      <c r="T2443" s="31" t="s">
        <v>9084</v>
      </c>
      <c r="U2443" s="31" t="s">
        <v>9085</v>
      </c>
      <c r="V2443" s="32">
        <v>44071.0</v>
      </c>
    </row>
    <row r="2444">
      <c r="A2444" s="32"/>
      <c r="T2444" s="31" t="s">
        <v>9088</v>
      </c>
      <c r="U2444" s="31" t="s">
        <v>9089</v>
      </c>
      <c r="V2444" s="32">
        <v>44071.0</v>
      </c>
    </row>
    <row r="2445">
      <c r="A2445" s="32"/>
      <c r="T2445" s="31" t="s">
        <v>9093</v>
      </c>
      <c r="U2445" s="31" t="s">
        <v>9094</v>
      </c>
      <c r="V2445" s="32">
        <v>44071.0</v>
      </c>
    </row>
    <row r="2446">
      <c r="A2446" s="32"/>
      <c r="T2446" s="31" t="s">
        <v>9097</v>
      </c>
      <c r="U2446" s="31" t="s">
        <v>9098</v>
      </c>
      <c r="V2446" s="32">
        <v>44069.0</v>
      </c>
    </row>
    <row r="2447">
      <c r="A2447" s="32"/>
      <c r="T2447" s="31" t="s">
        <v>9101</v>
      </c>
      <c r="U2447" s="31" t="s">
        <v>9102</v>
      </c>
      <c r="V2447" s="32">
        <v>44069.0</v>
      </c>
    </row>
    <row r="2448">
      <c r="A2448" s="32"/>
      <c r="T2448" s="31" t="s">
        <v>9105</v>
      </c>
      <c r="U2448" s="31" t="s">
        <v>9106</v>
      </c>
      <c r="V2448" s="32">
        <v>44067.0</v>
      </c>
    </row>
    <row r="2449">
      <c r="A2449" s="32"/>
      <c r="T2449" s="31" t="s">
        <v>9109</v>
      </c>
      <c r="U2449" s="31" t="s">
        <v>5300</v>
      </c>
      <c r="V2449" s="32">
        <v>44067.0</v>
      </c>
    </row>
    <row r="2450">
      <c r="A2450" s="32"/>
      <c r="T2450" s="31" t="s">
        <v>9112</v>
      </c>
      <c r="U2450" s="31" t="s">
        <v>9113</v>
      </c>
      <c r="V2450" s="32">
        <v>44067.0</v>
      </c>
    </row>
    <row r="2451">
      <c r="A2451" s="32"/>
      <c r="T2451" s="31" t="s">
        <v>9117</v>
      </c>
      <c r="U2451" s="31" t="s">
        <v>9118</v>
      </c>
      <c r="V2451" s="32">
        <v>44066.0</v>
      </c>
    </row>
    <row r="2452">
      <c r="A2452" s="32"/>
      <c r="T2452" s="31" t="s">
        <v>9122</v>
      </c>
      <c r="U2452" s="31" t="s">
        <v>9123</v>
      </c>
      <c r="V2452" s="32">
        <v>44066.0</v>
      </c>
    </row>
    <row r="2453">
      <c r="A2453" s="32"/>
      <c r="T2453" s="31" t="s">
        <v>9127</v>
      </c>
      <c r="U2453" s="31" t="s">
        <v>9128</v>
      </c>
      <c r="V2453" s="32">
        <v>44065.0</v>
      </c>
    </row>
    <row r="2454">
      <c r="A2454" s="32"/>
      <c r="T2454" s="31" t="s">
        <v>9131</v>
      </c>
      <c r="U2454" s="31" t="s">
        <v>9132</v>
      </c>
      <c r="V2454" s="32">
        <v>44064.0</v>
      </c>
    </row>
    <row r="2455">
      <c r="A2455" s="32"/>
      <c r="T2455" s="31" t="s">
        <v>9136</v>
      </c>
      <c r="U2455" s="31" t="s">
        <v>9137</v>
      </c>
      <c r="V2455" s="32">
        <v>44063.0</v>
      </c>
    </row>
    <row r="2456">
      <c r="A2456" s="32"/>
      <c r="T2456" s="31" t="s">
        <v>9140</v>
      </c>
      <c r="U2456" s="31" t="s">
        <v>9141</v>
      </c>
      <c r="V2456" s="32">
        <v>44063.0</v>
      </c>
    </row>
    <row r="2457">
      <c r="A2457" s="32"/>
      <c r="T2457" s="31" t="s">
        <v>9144</v>
      </c>
      <c r="U2457" s="31" t="s">
        <v>9145</v>
      </c>
      <c r="V2457" s="32">
        <v>44062.0</v>
      </c>
    </row>
    <row r="2458">
      <c r="A2458" s="32"/>
      <c r="T2458" s="31" t="s">
        <v>9148</v>
      </c>
      <c r="U2458" s="31" t="s">
        <v>9149</v>
      </c>
      <c r="V2458" s="32">
        <v>44061.0</v>
      </c>
    </row>
    <row r="2459">
      <c r="A2459" s="32"/>
      <c r="T2459" s="31" t="s">
        <v>9152</v>
      </c>
      <c r="U2459" s="31" t="s">
        <v>9153</v>
      </c>
      <c r="V2459" s="32">
        <v>44061.0</v>
      </c>
    </row>
    <row r="2460">
      <c r="A2460" s="32"/>
      <c r="T2460" s="31" t="s">
        <v>9156</v>
      </c>
      <c r="U2460" s="31" t="s">
        <v>9157</v>
      </c>
      <c r="V2460" s="32">
        <v>44060.0</v>
      </c>
    </row>
    <row r="2461">
      <c r="A2461" s="32"/>
      <c r="T2461" s="31" t="s">
        <v>9161</v>
      </c>
      <c r="U2461" s="31" t="s">
        <v>9162</v>
      </c>
      <c r="V2461" s="32">
        <v>44060.0</v>
      </c>
    </row>
    <row r="2462">
      <c r="A2462" s="32"/>
      <c r="T2462" s="31" t="s">
        <v>9165</v>
      </c>
      <c r="U2462" s="31" t="s">
        <v>9166</v>
      </c>
      <c r="V2462" s="32">
        <v>44058.0</v>
      </c>
    </row>
    <row r="2463">
      <c r="A2463" s="32"/>
      <c r="T2463" s="31" t="s">
        <v>9169</v>
      </c>
      <c r="U2463" s="31" t="s">
        <v>9170</v>
      </c>
      <c r="V2463" s="32">
        <v>44057.0</v>
      </c>
    </row>
    <row r="2464">
      <c r="A2464" s="32"/>
      <c r="T2464" s="31" t="s">
        <v>9172</v>
      </c>
      <c r="U2464" s="31" t="s">
        <v>9173</v>
      </c>
      <c r="V2464" s="32">
        <v>44057.0</v>
      </c>
    </row>
    <row r="2465">
      <c r="A2465" s="32"/>
      <c r="T2465" s="31" t="s">
        <v>9176</v>
      </c>
      <c r="U2465" s="31" t="s">
        <v>9177</v>
      </c>
      <c r="V2465" s="32">
        <v>44057.0</v>
      </c>
    </row>
    <row r="2466">
      <c r="A2466" s="32"/>
      <c r="T2466" s="31" t="s">
        <v>9180</v>
      </c>
      <c r="U2466" s="31" t="s">
        <v>9181</v>
      </c>
      <c r="V2466" s="32">
        <v>44056.0</v>
      </c>
    </row>
    <row r="2467">
      <c r="A2467" s="32"/>
      <c r="T2467" s="31" t="s">
        <v>9185</v>
      </c>
      <c r="U2467" s="31" t="s">
        <v>9186</v>
      </c>
      <c r="V2467" s="32">
        <v>44055.0</v>
      </c>
    </row>
    <row r="2468">
      <c r="A2468" s="32"/>
      <c r="T2468" s="31" t="s">
        <v>9188</v>
      </c>
      <c r="U2468" s="31" t="s">
        <v>9189</v>
      </c>
      <c r="V2468" s="32">
        <v>44055.0</v>
      </c>
    </row>
    <row r="2469">
      <c r="A2469" s="32"/>
      <c r="T2469" s="31" t="s">
        <v>9192</v>
      </c>
      <c r="U2469" s="31" t="s">
        <v>9193</v>
      </c>
      <c r="V2469" s="32">
        <v>44054.0</v>
      </c>
    </row>
    <row r="2470">
      <c r="A2470" s="32"/>
      <c r="T2470" s="31" t="s">
        <v>9196</v>
      </c>
      <c r="U2470" s="31" t="s">
        <v>9197</v>
      </c>
      <c r="V2470" s="32">
        <v>44051.0</v>
      </c>
    </row>
    <row r="2471">
      <c r="A2471" s="32"/>
      <c r="T2471" s="31" t="s">
        <v>9200</v>
      </c>
      <c r="U2471" s="31" t="s">
        <v>9201</v>
      </c>
      <c r="V2471" s="32">
        <v>44051.0</v>
      </c>
    </row>
    <row r="2472">
      <c r="A2472" s="32"/>
      <c r="T2472" s="31" t="s">
        <v>9205</v>
      </c>
      <c r="U2472" s="31" t="s">
        <v>9206</v>
      </c>
      <c r="V2472" s="32">
        <v>44050.0</v>
      </c>
    </row>
    <row r="2473">
      <c r="A2473" s="32"/>
      <c r="T2473" s="31" t="s">
        <v>9209</v>
      </c>
      <c r="U2473" s="31" t="s">
        <v>7911</v>
      </c>
      <c r="V2473" s="32">
        <v>44050.0</v>
      </c>
    </row>
    <row r="2474">
      <c r="A2474" s="32"/>
      <c r="T2474" s="31" t="s">
        <v>9212</v>
      </c>
      <c r="U2474" s="31" t="s">
        <v>9213</v>
      </c>
      <c r="V2474" s="32">
        <v>44050.0</v>
      </c>
    </row>
    <row r="2475">
      <c r="A2475" s="32"/>
      <c r="T2475" s="31" t="s">
        <v>9216</v>
      </c>
      <c r="U2475" s="31" t="s">
        <v>9217</v>
      </c>
      <c r="V2475" s="32">
        <v>44050.0</v>
      </c>
    </row>
    <row r="2476">
      <c r="A2476" s="32"/>
      <c r="T2476" s="31" t="s">
        <v>9220</v>
      </c>
      <c r="U2476" s="31" t="s">
        <v>9221</v>
      </c>
      <c r="V2476" s="32">
        <v>44050.0</v>
      </c>
    </row>
    <row r="2477">
      <c r="A2477" s="32"/>
      <c r="T2477" s="31" t="s">
        <v>9224</v>
      </c>
      <c r="U2477" s="31" t="s">
        <v>7586</v>
      </c>
      <c r="V2477" s="32">
        <v>44049.0</v>
      </c>
    </row>
    <row r="2478">
      <c r="A2478" s="32"/>
      <c r="T2478" s="31" t="s">
        <v>9228</v>
      </c>
      <c r="U2478" s="31" t="s">
        <v>9229</v>
      </c>
      <c r="V2478" s="32">
        <v>44049.0</v>
      </c>
    </row>
    <row r="2479">
      <c r="A2479" s="32"/>
      <c r="T2479" s="31" t="s">
        <v>9232</v>
      </c>
      <c r="U2479" s="31" t="s">
        <v>9233</v>
      </c>
      <c r="V2479" s="32">
        <v>44049.0</v>
      </c>
    </row>
    <row r="2480">
      <c r="A2480" s="32"/>
      <c r="T2480" s="31" t="s">
        <v>9236</v>
      </c>
      <c r="U2480" s="31" t="s">
        <v>9237</v>
      </c>
      <c r="V2480" s="32">
        <v>44048.0</v>
      </c>
    </row>
    <row r="2481">
      <c r="A2481" s="32"/>
      <c r="T2481" s="31" t="s">
        <v>9240</v>
      </c>
      <c r="U2481" s="31" t="s">
        <v>9241</v>
      </c>
      <c r="V2481" s="32">
        <v>44048.0</v>
      </c>
    </row>
    <row r="2482">
      <c r="A2482" s="32"/>
      <c r="T2482" s="31" t="s">
        <v>9245</v>
      </c>
      <c r="U2482" s="31" t="s">
        <v>9246</v>
      </c>
      <c r="V2482" s="32">
        <v>44048.0</v>
      </c>
    </row>
    <row r="2483">
      <c r="A2483" s="32"/>
      <c r="T2483" s="31" t="s">
        <v>9249</v>
      </c>
      <c r="U2483" s="31" t="s">
        <v>9250</v>
      </c>
      <c r="V2483" s="32">
        <v>44047.0</v>
      </c>
    </row>
    <row r="2484">
      <c r="A2484" s="32"/>
      <c r="T2484" s="31" t="s">
        <v>9254</v>
      </c>
      <c r="U2484" s="31" t="s">
        <v>9255</v>
      </c>
      <c r="V2484" s="32">
        <v>44046.0</v>
      </c>
    </row>
    <row r="2485">
      <c r="A2485" s="32"/>
      <c r="T2485" s="31" t="s">
        <v>9258</v>
      </c>
      <c r="U2485" s="31" t="s">
        <v>9259</v>
      </c>
      <c r="V2485" s="32">
        <v>44044.0</v>
      </c>
    </row>
    <row r="2486">
      <c r="A2486" s="32"/>
      <c r="T2486" s="31" t="s">
        <v>9263</v>
      </c>
      <c r="U2486" s="31" t="s">
        <v>9264</v>
      </c>
      <c r="V2486" s="32">
        <v>44044.0</v>
      </c>
    </row>
    <row r="2487">
      <c r="A2487" s="32"/>
      <c r="T2487" s="31" t="s">
        <v>9267</v>
      </c>
      <c r="U2487" s="31" t="s">
        <v>9268</v>
      </c>
      <c r="V2487" s="32">
        <v>44044.0</v>
      </c>
    </row>
    <row r="2488">
      <c r="A2488" s="32"/>
      <c r="T2488" s="31" t="s">
        <v>9271</v>
      </c>
      <c r="U2488" s="31" t="s">
        <v>9272</v>
      </c>
      <c r="V2488" s="32">
        <v>44044.0</v>
      </c>
    </row>
    <row r="2489">
      <c r="A2489" s="32"/>
      <c r="T2489" s="31" t="s">
        <v>9275</v>
      </c>
      <c r="U2489" s="31" t="s">
        <v>1926</v>
      </c>
      <c r="V2489" s="32">
        <v>44044.0</v>
      </c>
    </row>
    <row r="2490">
      <c r="A2490" s="32"/>
      <c r="T2490" s="31" t="s">
        <v>9278</v>
      </c>
      <c r="U2490" s="31" t="s">
        <v>9279</v>
      </c>
      <c r="V2490" s="32">
        <v>44044.0</v>
      </c>
    </row>
    <row r="2491">
      <c r="A2491" s="32"/>
      <c r="T2491" s="31" t="s">
        <v>9282</v>
      </c>
      <c r="U2491" s="31" t="s">
        <v>9283</v>
      </c>
      <c r="V2491" s="32">
        <v>44043.0</v>
      </c>
    </row>
    <row r="2492">
      <c r="A2492" s="32"/>
      <c r="T2492" s="31" t="s">
        <v>9286</v>
      </c>
      <c r="U2492" s="31" t="s">
        <v>9287</v>
      </c>
      <c r="V2492" s="32">
        <v>44043.0</v>
      </c>
    </row>
    <row r="2493">
      <c r="A2493" s="32"/>
      <c r="T2493" s="31" t="s">
        <v>9290</v>
      </c>
      <c r="U2493" s="31" t="s">
        <v>9291</v>
      </c>
      <c r="V2493" s="32">
        <v>44042.0</v>
      </c>
    </row>
    <row r="2494">
      <c r="A2494" s="32"/>
      <c r="T2494" s="31" t="s">
        <v>9294</v>
      </c>
      <c r="U2494" s="31" t="s">
        <v>9295</v>
      </c>
      <c r="V2494" s="32">
        <v>44040.0</v>
      </c>
    </row>
    <row r="2495">
      <c r="A2495" s="32"/>
      <c r="T2495" s="31" t="s">
        <v>9298</v>
      </c>
      <c r="U2495" s="31" t="s">
        <v>9299</v>
      </c>
      <c r="V2495" s="32">
        <v>44039.0</v>
      </c>
    </row>
    <row r="2496">
      <c r="A2496" s="32"/>
      <c r="T2496" s="31" t="s">
        <v>9303</v>
      </c>
      <c r="U2496" s="31" t="s">
        <v>9304</v>
      </c>
      <c r="V2496" s="32">
        <v>44035.0</v>
      </c>
    </row>
    <row r="2497">
      <c r="A2497" s="32"/>
      <c r="T2497" s="31" t="s">
        <v>9307</v>
      </c>
      <c r="U2497" s="31" t="s">
        <v>9308</v>
      </c>
      <c r="V2497" s="32">
        <v>44035.0</v>
      </c>
    </row>
    <row r="2498">
      <c r="A2498" s="32"/>
      <c r="T2498" s="31" t="s">
        <v>9311</v>
      </c>
      <c r="U2498" s="31" t="s">
        <v>9312</v>
      </c>
      <c r="V2498" s="32">
        <v>44035.0</v>
      </c>
    </row>
    <row r="2499">
      <c r="A2499" s="32"/>
      <c r="T2499" s="31" t="s">
        <v>9315</v>
      </c>
      <c r="U2499" s="31" t="s">
        <v>9316</v>
      </c>
      <c r="V2499" s="32">
        <v>44034.0</v>
      </c>
    </row>
    <row r="2500">
      <c r="A2500" s="32"/>
      <c r="T2500" s="31" t="s">
        <v>9319</v>
      </c>
      <c r="U2500" s="31" t="s">
        <v>9320</v>
      </c>
      <c r="V2500" s="32">
        <v>44033.0</v>
      </c>
    </row>
    <row r="2501">
      <c r="A2501" s="32"/>
      <c r="T2501" s="31" t="s">
        <v>9323</v>
      </c>
      <c r="U2501" s="31" t="s">
        <v>9324</v>
      </c>
      <c r="V2501" s="32">
        <v>44033.0</v>
      </c>
    </row>
    <row r="2502">
      <c r="A2502" s="32"/>
      <c r="T2502" s="31" t="s">
        <v>9327</v>
      </c>
      <c r="U2502" s="31" t="s">
        <v>9328</v>
      </c>
      <c r="V2502" s="32">
        <v>44032.0</v>
      </c>
    </row>
    <row r="2503">
      <c r="A2503" s="32"/>
      <c r="T2503" s="31" t="s">
        <v>9331</v>
      </c>
      <c r="U2503" s="31" t="s">
        <v>9332</v>
      </c>
      <c r="V2503" s="32">
        <v>44032.0</v>
      </c>
    </row>
    <row r="2504">
      <c r="A2504" s="32"/>
      <c r="T2504" s="31" t="s">
        <v>9335</v>
      </c>
      <c r="U2504" s="31" t="s">
        <v>9336</v>
      </c>
      <c r="V2504" s="32">
        <v>44032.0</v>
      </c>
    </row>
    <row r="2505">
      <c r="A2505" s="32"/>
      <c r="T2505" s="31" t="s">
        <v>9339</v>
      </c>
      <c r="U2505" s="31" t="s">
        <v>9340</v>
      </c>
      <c r="V2505" s="32">
        <v>44032.0</v>
      </c>
    </row>
    <row r="2506">
      <c r="A2506" s="32"/>
      <c r="T2506" s="31" t="s">
        <v>9343</v>
      </c>
      <c r="U2506" s="31" t="s">
        <v>9344</v>
      </c>
      <c r="V2506" s="32">
        <v>44032.0</v>
      </c>
    </row>
    <row r="2507">
      <c r="A2507" s="32"/>
      <c r="T2507" s="31" t="s">
        <v>9348</v>
      </c>
      <c r="U2507" s="31" t="s">
        <v>9349</v>
      </c>
      <c r="V2507" s="32">
        <v>44031.0</v>
      </c>
    </row>
    <row r="2508">
      <c r="A2508" s="32"/>
      <c r="T2508" s="31" t="s">
        <v>9352</v>
      </c>
      <c r="U2508" s="31" t="s">
        <v>9353</v>
      </c>
      <c r="V2508" s="32">
        <v>44029.0</v>
      </c>
    </row>
    <row r="2509">
      <c r="A2509" s="32"/>
      <c r="T2509" s="31" t="s">
        <v>9356</v>
      </c>
      <c r="U2509" s="31" t="s">
        <v>9357</v>
      </c>
      <c r="V2509" s="32">
        <v>44028.0</v>
      </c>
    </row>
    <row r="2510">
      <c r="A2510" s="32"/>
      <c r="T2510" s="31" t="s">
        <v>9360</v>
      </c>
      <c r="U2510" s="31" t="s">
        <v>8804</v>
      </c>
      <c r="V2510" s="32">
        <v>44027.0</v>
      </c>
    </row>
    <row r="2511">
      <c r="A2511" s="32"/>
      <c r="T2511" s="31" t="s">
        <v>9363</v>
      </c>
      <c r="U2511" s="31" t="s">
        <v>9364</v>
      </c>
      <c r="V2511" s="32">
        <v>44027.0</v>
      </c>
    </row>
    <row r="2512">
      <c r="A2512" s="32"/>
      <c r="T2512" s="31" t="s">
        <v>9368</v>
      </c>
      <c r="U2512" s="31" t="s">
        <v>9369</v>
      </c>
      <c r="V2512" s="32">
        <v>44027.0</v>
      </c>
    </row>
    <row r="2513">
      <c r="A2513" s="32"/>
      <c r="T2513" s="31" t="s">
        <v>9372</v>
      </c>
      <c r="U2513" s="31" t="s">
        <v>9373</v>
      </c>
      <c r="V2513" s="32">
        <v>44027.0</v>
      </c>
    </row>
    <row r="2514">
      <c r="A2514" s="32"/>
      <c r="T2514" s="31" t="s">
        <v>9376</v>
      </c>
      <c r="U2514" s="31" t="s">
        <v>9377</v>
      </c>
      <c r="V2514" s="32">
        <v>44027.0</v>
      </c>
    </row>
    <row r="2515">
      <c r="A2515" s="32"/>
      <c r="T2515" s="31" t="s">
        <v>9380</v>
      </c>
      <c r="U2515" s="31" t="s">
        <v>9381</v>
      </c>
      <c r="V2515" s="32">
        <v>44026.0</v>
      </c>
    </row>
    <row r="2516">
      <c r="A2516" s="32"/>
      <c r="T2516" s="31" t="s">
        <v>9384</v>
      </c>
      <c r="U2516" s="31" t="s">
        <v>9385</v>
      </c>
      <c r="V2516" s="32">
        <v>44026.0</v>
      </c>
    </row>
    <row r="2517">
      <c r="A2517" s="32"/>
      <c r="T2517" s="31" t="s">
        <v>9388</v>
      </c>
      <c r="U2517" s="31" t="s">
        <v>9389</v>
      </c>
      <c r="V2517" s="32">
        <v>44025.0</v>
      </c>
    </row>
    <row r="2518">
      <c r="A2518" s="32"/>
      <c r="T2518" s="31" t="s">
        <v>9392</v>
      </c>
      <c r="U2518" s="31" t="s">
        <v>9393</v>
      </c>
      <c r="V2518" s="32">
        <v>44025.0</v>
      </c>
    </row>
    <row r="2519">
      <c r="A2519" s="32"/>
      <c r="T2519" s="31" t="s">
        <v>9396</v>
      </c>
      <c r="U2519" s="31" t="s">
        <v>9397</v>
      </c>
      <c r="V2519" s="32">
        <v>44025.0</v>
      </c>
    </row>
    <row r="2520">
      <c r="A2520" s="32"/>
      <c r="T2520" s="31" t="s">
        <v>9400</v>
      </c>
      <c r="U2520" s="31" t="s">
        <v>9401</v>
      </c>
      <c r="V2520" s="32">
        <v>44023.0</v>
      </c>
    </row>
    <row r="2521">
      <c r="A2521" s="32"/>
      <c r="T2521" s="31" t="s">
        <v>9404</v>
      </c>
      <c r="U2521" s="31" t="s">
        <v>9405</v>
      </c>
      <c r="V2521" s="32">
        <v>44023.0</v>
      </c>
    </row>
    <row r="2522">
      <c r="A2522" s="32"/>
      <c r="T2522" s="31" t="s">
        <v>9408</v>
      </c>
      <c r="U2522" s="31" t="s">
        <v>9409</v>
      </c>
      <c r="V2522" s="32">
        <v>44022.0</v>
      </c>
    </row>
    <row r="2523">
      <c r="A2523" s="32"/>
      <c r="T2523" s="31" t="s">
        <v>9412</v>
      </c>
      <c r="U2523" s="31" t="s">
        <v>9413</v>
      </c>
      <c r="V2523" s="32">
        <v>44022.0</v>
      </c>
    </row>
    <row r="2524">
      <c r="A2524" s="32"/>
      <c r="T2524" s="31" t="s">
        <v>9416</v>
      </c>
      <c r="U2524" s="31" t="s">
        <v>4975</v>
      </c>
      <c r="V2524" s="32">
        <v>44022.0</v>
      </c>
    </row>
    <row r="2525">
      <c r="A2525" s="32"/>
      <c r="T2525" s="31" t="s">
        <v>9419</v>
      </c>
      <c r="U2525" s="31" t="s">
        <v>9420</v>
      </c>
      <c r="V2525" s="32">
        <v>44022.0</v>
      </c>
    </row>
    <row r="2526">
      <c r="A2526" s="32"/>
      <c r="T2526" s="31" t="s">
        <v>9423</v>
      </c>
      <c r="U2526" s="31" t="s">
        <v>9424</v>
      </c>
      <c r="V2526" s="32">
        <v>44021.0</v>
      </c>
    </row>
    <row r="2527">
      <c r="A2527" s="32"/>
      <c r="T2527" s="31" t="s">
        <v>9427</v>
      </c>
      <c r="U2527" s="31" t="s">
        <v>9428</v>
      </c>
      <c r="V2527" s="32">
        <v>44021.0</v>
      </c>
    </row>
    <row r="2528">
      <c r="A2528" s="32"/>
      <c r="T2528" s="31" t="s">
        <v>9431</v>
      </c>
      <c r="U2528" s="31" t="s">
        <v>9432</v>
      </c>
      <c r="V2528" s="32">
        <v>44020.0</v>
      </c>
    </row>
    <row r="2529">
      <c r="A2529" s="32"/>
      <c r="T2529" s="31" t="s">
        <v>9435</v>
      </c>
      <c r="U2529" s="31" t="s">
        <v>9436</v>
      </c>
      <c r="V2529" s="32">
        <v>44020.0</v>
      </c>
    </row>
    <row r="2530">
      <c r="A2530" s="32"/>
      <c r="T2530" s="31" t="s">
        <v>9439</v>
      </c>
      <c r="U2530" s="31" t="s">
        <v>9440</v>
      </c>
      <c r="V2530" s="32">
        <v>44020.0</v>
      </c>
    </row>
    <row r="2531">
      <c r="A2531" s="32"/>
      <c r="T2531" s="31" t="s">
        <v>9443</v>
      </c>
      <c r="U2531" s="31" t="s">
        <v>9444</v>
      </c>
      <c r="V2531" s="32">
        <v>44019.0</v>
      </c>
    </row>
    <row r="2532">
      <c r="A2532" s="32"/>
      <c r="T2532" s="31" t="s">
        <v>9447</v>
      </c>
      <c r="U2532" s="31" t="s">
        <v>9448</v>
      </c>
      <c r="V2532" s="32">
        <v>44019.0</v>
      </c>
    </row>
    <row r="2533">
      <c r="A2533" s="32"/>
      <c r="T2533" s="31" t="s">
        <v>9451</v>
      </c>
      <c r="U2533" s="31" t="s">
        <v>9452</v>
      </c>
      <c r="V2533" s="32">
        <v>44018.0</v>
      </c>
    </row>
    <row r="2534">
      <c r="A2534" s="32"/>
      <c r="T2534" s="31" t="s">
        <v>9455</v>
      </c>
      <c r="U2534" s="31" t="s">
        <v>9456</v>
      </c>
      <c r="V2534" s="32">
        <v>44015.0</v>
      </c>
    </row>
    <row r="2535">
      <c r="A2535" s="32"/>
      <c r="T2535" s="31" t="s">
        <v>9458</v>
      </c>
      <c r="U2535" s="31" t="s">
        <v>9459</v>
      </c>
      <c r="V2535" s="32">
        <v>44014.0</v>
      </c>
    </row>
    <row r="2536">
      <c r="A2536" s="32"/>
      <c r="T2536" s="31" t="s">
        <v>9462</v>
      </c>
      <c r="U2536" s="31" t="s">
        <v>9463</v>
      </c>
      <c r="V2536" s="32">
        <v>44014.0</v>
      </c>
    </row>
    <row r="2537">
      <c r="A2537" s="32"/>
      <c r="T2537" s="31" t="s">
        <v>9466</v>
      </c>
      <c r="U2537" s="31" t="s">
        <v>9467</v>
      </c>
      <c r="V2537" s="32">
        <v>44013.0</v>
      </c>
    </row>
    <row r="2538">
      <c r="A2538" s="32"/>
      <c r="T2538" s="31" t="s">
        <v>9470</v>
      </c>
      <c r="U2538" s="31" t="s">
        <v>9471</v>
      </c>
      <c r="V2538" s="32">
        <v>44013.0</v>
      </c>
    </row>
    <row r="2539">
      <c r="A2539" s="32"/>
      <c r="T2539" s="31" t="s">
        <v>9474</v>
      </c>
      <c r="U2539" s="31" t="s">
        <v>9475</v>
      </c>
      <c r="V2539" s="32">
        <v>44013.0</v>
      </c>
    </row>
    <row r="2540">
      <c r="A2540" s="32"/>
      <c r="T2540" s="31" t="s">
        <v>9478</v>
      </c>
      <c r="U2540" s="31" t="s">
        <v>9479</v>
      </c>
      <c r="V2540" s="32">
        <v>44013.0</v>
      </c>
    </row>
    <row r="2541">
      <c r="A2541" s="32"/>
      <c r="T2541" s="31" t="s">
        <v>9482</v>
      </c>
      <c r="U2541" s="31" t="s">
        <v>9483</v>
      </c>
      <c r="V2541" s="32">
        <v>44013.0</v>
      </c>
    </row>
    <row r="2542">
      <c r="A2542" s="32"/>
      <c r="T2542" s="31" t="s">
        <v>9486</v>
      </c>
      <c r="U2542" s="31" t="s">
        <v>9487</v>
      </c>
      <c r="V2542" s="32">
        <v>44013.0</v>
      </c>
    </row>
    <row r="2543">
      <c r="A2543" s="32"/>
      <c r="T2543" s="31" t="s">
        <v>9490</v>
      </c>
      <c r="U2543" s="31" t="s">
        <v>9491</v>
      </c>
      <c r="V2543" s="32">
        <v>44013.0</v>
      </c>
    </row>
    <row r="2544">
      <c r="A2544" s="32"/>
      <c r="T2544" s="31" t="s">
        <v>9494</v>
      </c>
      <c r="U2544" s="31" t="s">
        <v>9495</v>
      </c>
      <c r="V2544" s="32">
        <v>44008.0</v>
      </c>
    </row>
    <row r="2545">
      <c r="A2545" s="32"/>
      <c r="T2545" s="31" t="s">
        <v>9498</v>
      </c>
      <c r="U2545" s="31" t="s">
        <v>9499</v>
      </c>
      <c r="V2545" s="32">
        <v>44008.0</v>
      </c>
    </row>
    <row r="2546">
      <c r="A2546" s="32"/>
      <c r="T2546" s="31" t="s">
        <v>9502</v>
      </c>
      <c r="U2546" s="31" t="s">
        <v>9503</v>
      </c>
      <c r="V2546" s="32">
        <v>44007.0</v>
      </c>
    </row>
    <row r="2547">
      <c r="A2547" s="32"/>
      <c r="T2547" s="31" t="s">
        <v>9506</v>
      </c>
      <c r="U2547" s="31" t="s">
        <v>9507</v>
      </c>
      <c r="V2547" s="32">
        <v>44006.0</v>
      </c>
    </row>
    <row r="2548">
      <c r="A2548" s="32"/>
      <c r="T2548" s="31" t="s">
        <v>9511</v>
      </c>
      <c r="U2548" s="31" t="s">
        <v>9512</v>
      </c>
      <c r="V2548" s="32">
        <v>44006.0</v>
      </c>
    </row>
    <row r="2549">
      <c r="A2549" s="32"/>
      <c r="T2549" s="31" t="s">
        <v>9515</v>
      </c>
      <c r="U2549" s="31" t="s">
        <v>9516</v>
      </c>
      <c r="V2549" s="32">
        <v>44002.0</v>
      </c>
    </row>
    <row r="2550">
      <c r="A2550" s="32"/>
      <c r="T2550" s="31" t="s">
        <v>9519</v>
      </c>
      <c r="U2550" s="31" t="s">
        <v>9520</v>
      </c>
      <c r="V2550" s="32">
        <v>44001.0</v>
      </c>
    </row>
    <row r="2551">
      <c r="A2551" s="32"/>
      <c r="T2551" s="31" t="s">
        <v>9522</v>
      </c>
      <c r="U2551" s="31" t="s">
        <v>9523</v>
      </c>
      <c r="V2551" s="32">
        <v>44001.0</v>
      </c>
    </row>
    <row r="2552">
      <c r="A2552" s="32"/>
      <c r="T2552" s="31" t="s">
        <v>9526</v>
      </c>
      <c r="U2552" s="31" t="s">
        <v>9527</v>
      </c>
      <c r="V2552" s="32">
        <v>44000.0</v>
      </c>
    </row>
    <row r="2553">
      <c r="A2553" s="32"/>
      <c r="T2553" s="31" t="s">
        <v>9530</v>
      </c>
      <c r="U2553" s="31" t="s">
        <v>9531</v>
      </c>
      <c r="V2553" s="32">
        <v>43999.0</v>
      </c>
    </row>
    <row r="2554">
      <c r="A2554" s="32"/>
      <c r="T2554" s="31" t="s">
        <v>9534</v>
      </c>
      <c r="U2554" s="31" t="s">
        <v>9535</v>
      </c>
      <c r="V2554" s="32">
        <v>43999.0</v>
      </c>
    </row>
    <row r="2555">
      <c r="A2555" s="32"/>
      <c r="T2555" s="31" t="s">
        <v>9538</v>
      </c>
      <c r="U2555" s="31" t="s">
        <v>9539</v>
      </c>
      <c r="V2555" s="32">
        <v>43999.0</v>
      </c>
    </row>
    <row r="2556">
      <c r="A2556" s="32"/>
      <c r="T2556" s="31" t="s">
        <v>9542</v>
      </c>
      <c r="U2556" s="31" t="s">
        <v>9543</v>
      </c>
      <c r="V2556" s="32">
        <v>43997.0</v>
      </c>
    </row>
    <row r="2557">
      <c r="A2557" s="32"/>
      <c r="T2557" s="31" t="s">
        <v>9546</v>
      </c>
      <c r="U2557" s="31" t="s">
        <v>9547</v>
      </c>
      <c r="V2557" s="32">
        <v>43997.0</v>
      </c>
    </row>
    <row r="2558">
      <c r="A2558" s="32"/>
      <c r="T2558" s="31" t="s">
        <v>9550</v>
      </c>
      <c r="U2558" s="31" t="s">
        <v>9551</v>
      </c>
      <c r="V2558" s="32">
        <v>43997.0</v>
      </c>
    </row>
    <row r="2559">
      <c r="A2559" s="32"/>
      <c r="T2559" s="31" t="s">
        <v>9554</v>
      </c>
      <c r="U2559" s="31" t="s">
        <v>9555</v>
      </c>
      <c r="V2559" s="32">
        <v>43996.0</v>
      </c>
    </row>
    <row r="2560">
      <c r="A2560" s="32"/>
      <c r="T2560" s="31" t="s">
        <v>9558</v>
      </c>
      <c r="U2560" s="31" t="s">
        <v>9559</v>
      </c>
      <c r="V2560" s="32">
        <v>43995.0</v>
      </c>
    </row>
    <row r="2561">
      <c r="A2561" s="32"/>
      <c r="T2561" s="31" t="s">
        <v>9562</v>
      </c>
      <c r="U2561" s="31" t="s">
        <v>9563</v>
      </c>
      <c r="V2561" s="32">
        <v>43994.0</v>
      </c>
    </row>
    <row r="2562">
      <c r="A2562" s="32"/>
      <c r="T2562" s="31" t="s">
        <v>9565</v>
      </c>
      <c r="U2562" s="31" t="s">
        <v>9566</v>
      </c>
      <c r="V2562" s="32">
        <v>43993.0</v>
      </c>
    </row>
    <row r="2563">
      <c r="A2563" s="32"/>
      <c r="T2563" s="31" t="s">
        <v>9569</v>
      </c>
      <c r="U2563" s="31" t="s">
        <v>9570</v>
      </c>
      <c r="V2563" s="32">
        <v>43990.0</v>
      </c>
    </row>
    <row r="2564">
      <c r="A2564" s="32"/>
      <c r="T2564" s="31" t="s">
        <v>9574</v>
      </c>
      <c r="U2564" s="31" t="s">
        <v>9575</v>
      </c>
      <c r="V2564" s="32">
        <v>43987.0</v>
      </c>
    </row>
    <row r="2565">
      <c r="A2565" s="32"/>
      <c r="T2565" s="31" t="s">
        <v>9578</v>
      </c>
      <c r="U2565" s="31" t="s">
        <v>9579</v>
      </c>
      <c r="V2565" s="32">
        <v>43987.0</v>
      </c>
    </row>
    <row r="2566">
      <c r="A2566" s="32"/>
      <c r="T2566" s="31" t="s">
        <v>9582</v>
      </c>
      <c r="U2566" s="31" t="s">
        <v>9583</v>
      </c>
      <c r="V2566" s="32">
        <v>43987.0</v>
      </c>
    </row>
    <row r="2567">
      <c r="A2567" s="32"/>
      <c r="T2567" s="31" t="s">
        <v>9586</v>
      </c>
      <c r="U2567" s="31" t="s">
        <v>9587</v>
      </c>
      <c r="V2567" s="32">
        <v>43986.0</v>
      </c>
    </row>
    <row r="2568">
      <c r="A2568" s="32"/>
      <c r="T2568" s="31" t="s">
        <v>9590</v>
      </c>
      <c r="U2568" s="31" t="s">
        <v>9591</v>
      </c>
      <c r="V2568" s="32">
        <v>43985.0</v>
      </c>
    </row>
    <row r="2569">
      <c r="A2569" s="32"/>
      <c r="T2569" s="31" t="s">
        <v>9594</v>
      </c>
      <c r="U2569" s="31" t="s">
        <v>9595</v>
      </c>
      <c r="V2569" s="32">
        <v>43984.0</v>
      </c>
    </row>
    <row r="2570">
      <c r="A2570" s="32"/>
      <c r="T2570" s="31" t="s">
        <v>9598</v>
      </c>
      <c r="U2570" s="31" t="s">
        <v>9599</v>
      </c>
      <c r="V2570" s="32">
        <v>43984.0</v>
      </c>
    </row>
    <row r="2571">
      <c r="A2571" s="32"/>
      <c r="T2571" s="31" t="s">
        <v>9602</v>
      </c>
      <c r="U2571" s="31" t="s">
        <v>9603</v>
      </c>
      <c r="V2571" s="32">
        <v>43983.0</v>
      </c>
    </row>
    <row r="2572">
      <c r="A2572" s="32"/>
      <c r="T2572" s="31" t="s">
        <v>9607</v>
      </c>
      <c r="U2572" s="31" t="s">
        <v>9608</v>
      </c>
      <c r="V2572" s="32">
        <v>43983.0</v>
      </c>
    </row>
    <row r="2573">
      <c r="A2573" s="32"/>
      <c r="T2573" s="31" t="s">
        <v>9611</v>
      </c>
      <c r="U2573" s="31" t="s">
        <v>9612</v>
      </c>
      <c r="V2573" s="32">
        <v>43983.0</v>
      </c>
    </row>
    <row r="2574">
      <c r="A2574" s="32"/>
      <c r="T2574" s="31" t="s">
        <v>9615</v>
      </c>
      <c r="U2574" s="31" t="s">
        <v>9616</v>
      </c>
      <c r="V2574" s="32">
        <v>43983.0</v>
      </c>
    </row>
    <row r="2575">
      <c r="A2575" s="32"/>
      <c r="T2575" s="31" t="s">
        <v>9619</v>
      </c>
      <c r="U2575" s="31" t="s">
        <v>9620</v>
      </c>
      <c r="V2575" s="32">
        <v>43983.0</v>
      </c>
    </row>
    <row r="2576">
      <c r="A2576" s="32"/>
      <c r="T2576" s="31" t="s">
        <v>9623</v>
      </c>
      <c r="U2576" s="31" t="s">
        <v>9624</v>
      </c>
      <c r="V2576" s="32">
        <v>43983.0</v>
      </c>
    </row>
    <row r="2577">
      <c r="A2577" s="32"/>
      <c r="T2577" s="31" t="s">
        <v>9627</v>
      </c>
      <c r="U2577" s="31" t="s">
        <v>9628</v>
      </c>
      <c r="V2577" s="32">
        <v>43983.0</v>
      </c>
    </row>
    <row r="2578">
      <c r="A2578" s="32"/>
      <c r="T2578" s="31" t="s">
        <v>9631</v>
      </c>
      <c r="U2578" s="31" t="s">
        <v>9632</v>
      </c>
      <c r="V2578" s="32">
        <v>43983.0</v>
      </c>
    </row>
    <row r="2579">
      <c r="A2579" s="32"/>
      <c r="T2579" s="31" t="s">
        <v>9635</v>
      </c>
      <c r="U2579" s="31" t="s">
        <v>9636</v>
      </c>
      <c r="V2579" s="32">
        <v>43983.0</v>
      </c>
    </row>
    <row r="2580">
      <c r="A2580" s="32"/>
      <c r="T2580" s="31" t="s">
        <v>9639</v>
      </c>
      <c r="U2580" s="31" t="s">
        <v>9640</v>
      </c>
      <c r="V2580" s="32">
        <v>43983.0</v>
      </c>
    </row>
    <row r="2581">
      <c r="A2581" s="32"/>
      <c r="T2581" s="31" t="s">
        <v>9643</v>
      </c>
      <c r="U2581" s="31" t="s">
        <v>9644</v>
      </c>
      <c r="V2581" s="32">
        <v>43979.0</v>
      </c>
    </row>
    <row r="2582">
      <c r="A2582" s="32"/>
      <c r="T2582" s="31" t="s">
        <v>9647</v>
      </c>
      <c r="U2582" s="31" t="s">
        <v>9648</v>
      </c>
      <c r="V2582" s="32">
        <v>43979.0</v>
      </c>
    </row>
    <row r="2583">
      <c r="A2583" s="32"/>
      <c r="T2583" s="31" t="s">
        <v>9652</v>
      </c>
      <c r="U2583" s="31" t="s">
        <v>9653</v>
      </c>
      <c r="V2583" s="32">
        <v>43979.0</v>
      </c>
    </row>
    <row r="2584">
      <c r="A2584" s="32"/>
      <c r="T2584" s="31" t="s">
        <v>9656</v>
      </c>
      <c r="U2584" s="31" t="s">
        <v>9657</v>
      </c>
      <c r="V2584" s="32">
        <v>43978.0</v>
      </c>
    </row>
    <row r="2585">
      <c r="A2585" s="32"/>
      <c r="T2585" s="31" t="s">
        <v>9660</v>
      </c>
      <c r="U2585" s="31" t="s">
        <v>9661</v>
      </c>
      <c r="V2585" s="32">
        <v>43978.0</v>
      </c>
    </row>
    <row r="2586">
      <c r="A2586" s="32"/>
      <c r="T2586" s="31" t="s">
        <v>9664</v>
      </c>
      <c r="U2586" s="31" t="s">
        <v>9665</v>
      </c>
      <c r="V2586" s="32">
        <v>43978.0</v>
      </c>
    </row>
    <row r="2587">
      <c r="A2587" s="32"/>
      <c r="T2587" s="31" t="s">
        <v>9669</v>
      </c>
      <c r="U2587" s="31" t="s">
        <v>9670</v>
      </c>
      <c r="V2587" s="32">
        <v>43977.0</v>
      </c>
    </row>
    <row r="2588">
      <c r="A2588" s="32"/>
      <c r="T2588" s="31" t="s">
        <v>9674</v>
      </c>
      <c r="U2588" s="31" t="s">
        <v>9675</v>
      </c>
      <c r="V2588" s="32">
        <v>43973.0</v>
      </c>
    </row>
    <row r="2589">
      <c r="A2589" s="32"/>
      <c r="T2589" s="31" t="s">
        <v>9678</v>
      </c>
      <c r="U2589" s="31" t="s">
        <v>9679</v>
      </c>
      <c r="V2589" s="32">
        <v>43972.0</v>
      </c>
    </row>
    <row r="2590">
      <c r="A2590" s="32"/>
      <c r="T2590" s="31" t="s">
        <v>9681</v>
      </c>
      <c r="U2590" s="31" t="s">
        <v>9682</v>
      </c>
      <c r="V2590" s="32">
        <v>43972.0</v>
      </c>
    </row>
    <row r="2591">
      <c r="A2591" s="32"/>
      <c r="T2591" s="31" t="s">
        <v>9686</v>
      </c>
      <c r="U2591" s="31" t="s">
        <v>9687</v>
      </c>
      <c r="V2591" s="32">
        <v>43971.0</v>
      </c>
    </row>
    <row r="2592">
      <c r="A2592" s="32"/>
      <c r="T2592" s="31" t="s">
        <v>9690</v>
      </c>
      <c r="U2592" s="31" t="s">
        <v>9691</v>
      </c>
      <c r="V2592" s="32">
        <v>43971.0</v>
      </c>
    </row>
    <row r="2593">
      <c r="A2593" s="32"/>
      <c r="T2593" s="31" t="s">
        <v>9694</v>
      </c>
      <c r="U2593" s="31" t="s">
        <v>9695</v>
      </c>
      <c r="V2593" s="32">
        <v>43970.0</v>
      </c>
    </row>
    <row r="2594">
      <c r="A2594" s="32"/>
      <c r="T2594" s="31" t="s">
        <v>9698</v>
      </c>
      <c r="U2594" s="31" t="s">
        <v>9699</v>
      </c>
      <c r="V2594" s="32">
        <v>43970.0</v>
      </c>
    </row>
    <row r="2595">
      <c r="A2595" s="32"/>
      <c r="T2595" s="31" t="s">
        <v>9703</v>
      </c>
      <c r="U2595" s="31" t="s">
        <v>9704</v>
      </c>
      <c r="V2595" s="32">
        <v>43970.0</v>
      </c>
    </row>
    <row r="2596">
      <c r="A2596" s="32"/>
      <c r="T2596" s="31" t="s">
        <v>9707</v>
      </c>
      <c r="U2596" s="31" t="s">
        <v>4633</v>
      </c>
      <c r="V2596" s="32">
        <v>43970.0</v>
      </c>
    </row>
    <row r="2597">
      <c r="A2597" s="32"/>
      <c r="T2597" s="31" t="s">
        <v>9710</v>
      </c>
      <c r="U2597" s="31" t="s">
        <v>9711</v>
      </c>
      <c r="V2597" s="32">
        <v>43966.0</v>
      </c>
    </row>
    <row r="2598">
      <c r="A2598" s="32"/>
      <c r="T2598" s="31" t="s">
        <v>9714</v>
      </c>
      <c r="U2598" s="31" t="s">
        <v>9715</v>
      </c>
      <c r="V2598" s="32">
        <v>43964.0</v>
      </c>
    </row>
    <row r="2599">
      <c r="A2599" s="32"/>
      <c r="T2599" s="31" t="s">
        <v>9719</v>
      </c>
      <c r="U2599" s="31" t="s">
        <v>9720</v>
      </c>
      <c r="V2599" s="32">
        <v>43963.0</v>
      </c>
    </row>
    <row r="2600">
      <c r="A2600" s="32"/>
      <c r="T2600" s="31" t="s">
        <v>9724</v>
      </c>
      <c r="U2600" s="31" t="s">
        <v>9725</v>
      </c>
      <c r="V2600" s="32">
        <v>43963.0</v>
      </c>
    </row>
    <row r="2601">
      <c r="A2601" s="32"/>
      <c r="T2601" s="31" t="s">
        <v>9728</v>
      </c>
      <c r="U2601" s="31" t="s">
        <v>9729</v>
      </c>
      <c r="V2601" s="32">
        <v>43963.0</v>
      </c>
    </row>
    <row r="2602">
      <c r="A2602" s="32"/>
      <c r="T2602" s="31" t="s">
        <v>9733</v>
      </c>
      <c r="U2602" s="31" t="s">
        <v>9734</v>
      </c>
      <c r="V2602" s="32">
        <v>43962.0</v>
      </c>
    </row>
    <row r="2603">
      <c r="A2603" s="32"/>
      <c r="T2603" s="31" t="s">
        <v>9737</v>
      </c>
      <c r="U2603" s="31" t="s">
        <v>9738</v>
      </c>
      <c r="V2603" s="32">
        <v>43958.0</v>
      </c>
    </row>
    <row r="2604">
      <c r="A2604" s="32"/>
      <c r="T2604" s="31" t="s">
        <v>9741</v>
      </c>
      <c r="U2604" s="31" t="s">
        <v>9742</v>
      </c>
      <c r="V2604" s="32">
        <v>43958.0</v>
      </c>
    </row>
    <row r="2605">
      <c r="A2605" s="32"/>
      <c r="T2605" s="31" t="s">
        <v>9745</v>
      </c>
      <c r="U2605" s="31" t="s">
        <v>9746</v>
      </c>
      <c r="V2605" s="32">
        <v>43957.0</v>
      </c>
    </row>
    <row r="2606">
      <c r="A2606" s="32"/>
      <c r="T2606" s="31" t="s">
        <v>9750</v>
      </c>
      <c r="U2606" s="31" t="s">
        <v>9751</v>
      </c>
      <c r="V2606" s="32">
        <v>43957.0</v>
      </c>
    </row>
    <row r="2607">
      <c r="A2607" s="32"/>
      <c r="T2607" s="31" t="s">
        <v>9754</v>
      </c>
      <c r="U2607" s="31" t="s">
        <v>9755</v>
      </c>
      <c r="V2607" s="32">
        <v>43957.0</v>
      </c>
    </row>
    <row r="2608">
      <c r="A2608" s="32"/>
      <c r="T2608" s="31" t="s">
        <v>9759</v>
      </c>
      <c r="U2608" s="31" t="s">
        <v>9760</v>
      </c>
      <c r="V2608" s="32">
        <v>43955.0</v>
      </c>
    </row>
    <row r="2609">
      <c r="A2609" s="32"/>
      <c r="T2609" s="31" t="s">
        <v>9763</v>
      </c>
      <c r="U2609" s="31" t="s">
        <v>9764</v>
      </c>
      <c r="V2609" s="32">
        <v>43955.0</v>
      </c>
    </row>
    <row r="2610">
      <c r="A2610" s="32"/>
      <c r="T2610" s="31" t="s">
        <v>9767</v>
      </c>
      <c r="U2610" s="31" t="s">
        <v>9768</v>
      </c>
      <c r="V2610" s="32">
        <v>43952.0</v>
      </c>
    </row>
    <row r="2611">
      <c r="A2611" s="32"/>
      <c r="T2611" s="31" t="s">
        <v>9771</v>
      </c>
      <c r="U2611" s="31" t="s">
        <v>9772</v>
      </c>
      <c r="V2611" s="32">
        <v>43952.0</v>
      </c>
    </row>
    <row r="2612">
      <c r="A2612" s="32"/>
      <c r="T2612" s="31" t="s">
        <v>9775</v>
      </c>
      <c r="U2612" s="31" t="s">
        <v>9776</v>
      </c>
      <c r="V2612" s="32">
        <v>43952.0</v>
      </c>
    </row>
    <row r="2613">
      <c r="A2613" s="32"/>
      <c r="T2613" s="31" t="s">
        <v>9779</v>
      </c>
      <c r="U2613" s="31" t="s">
        <v>9780</v>
      </c>
      <c r="V2613" s="32">
        <v>43952.0</v>
      </c>
    </row>
    <row r="2614">
      <c r="A2614" s="32"/>
      <c r="T2614" s="31" t="s">
        <v>9783</v>
      </c>
      <c r="U2614" s="31" t="s">
        <v>9784</v>
      </c>
      <c r="V2614" s="32">
        <v>43952.0</v>
      </c>
    </row>
    <row r="2615">
      <c r="A2615" s="32"/>
      <c r="T2615" s="31" t="s">
        <v>9787</v>
      </c>
      <c r="U2615" s="31" t="s">
        <v>9788</v>
      </c>
      <c r="V2615" s="32">
        <v>43951.0</v>
      </c>
    </row>
    <row r="2616">
      <c r="A2616" s="32"/>
      <c r="T2616" s="31" t="s">
        <v>9791</v>
      </c>
      <c r="U2616" s="31" t="s">
        <v>9792</v>
      </c>
      <c r="V2616" s="32">
        <v>43951.0</v>
      </c>
    </row>
    <row r="2617">
      <c r="A2617" s="32"/>
      <c r="T2617" s="31" t="s">
        <v>9794</v>
      </c>
      <c r="U2617" s="31" t="s">
        <v>9795</v>
      </c>
      <c r="V2617" s="32">
        <v>43950.0</v>
      </c>
    </row>
    <row r="2618">
      <c r="A2618" s="32"/>
      <c r="T2618" s="31" t="s">
        <v>9799</v>
      </c>
      <c r="U2618" s="31" t="s">
        <v>9800</v>
      </c>
      <c r="V2618" s="32">
        <v>43950.0</v>
      </c>
    </row>
    <row r="2619">
      <c r="A2619" s="32"/>
      <c r="T2619" s="31" t="s">
        <v>9803</v>
      </c>
      <c r="U2619" s="31" t="s">
        <v>9804</v>
      </c>
      <c r="V2619" s="32">
        <v>43949.0</v>
      </c>
    </row>
    <row r="2620">
      <c r="A2620" s="32"/>
      <c r="T2620" s="31" t="s">
        <v>9807</v>
      </c>
      <c r="U2620" s="31" t="s">
        <v>9808</v>
      </c>
      <c r="V2620" s="32">
        <v>43948.0</v>
      </c>
    </row>
    <row r="2621">
      <c r="A2621" s="32"/>
      <c r="T2621" s="31" t="s">
        <v>9811</v>
      </c>
      <c r="U2621" s="31" t="s">
        <v>9812</v>
      </c>
      <c r="V2621" s="32">
        <v>43947.0</v>
      </c>
    </row>
    <row r="2622">
      <c r="A2622" s="32"/>
      <c r="T2622" s="31" t="s">
        <v>9815</v>
      </c>
      <c r="U2622" s="31" t="s">
        <v>9816</v>
      </c>
      <c r="V2622" s="32">
        <v>43947.0</v>
      </c>
    </row>
    <row r="2623">
      <c r="A2623" s="32"/>
      <c r="T2623" s="31" t="s">
        <v>9820</v>
      </c>
      <c r="U2623" s="31" t="s">
        <v>9821</v>
      </c>
      <c r="V2623" s="32">
        <v>43945.0</v>
      </c>
    </row>
    <row r="2624">
      <c r="A2624" s="32"/>
      <c r="T2624" s="31" t="s">
        <v>9824</v>
      </c>
      <c r="U2624" s="31" t="s">
        <v>9825</v>
      </c>
      <c r="V2624" s="32">
        <v>43944.0</v>
      </c>
    </row>
    <row r="2625">
      <c r="A2625" s="32"/>
      <c r="T2625" s="31" t="s">
        <v>9828</v>
      </c>
      <c r="U2625" s="31" t="s">
        <v>9829</v>
      </c>
      <c r="V2625" s="32">
        <v>43942.0</v>
      </c>
    </row>
    <row r="2626">
      <c r="A2626" s="32"/>
      <c r="T2626" s="31" t="s">
        <v>9832</v>
      </c>
      <c r="U2626" s="31" t="s">
        <v>9833</v>
      </c>
      <c r="V2626" s="32">
        <v>43942.0</v>
      </c>
    </row>
    <row r="2627">
      <c r="A2627" s="32"/>
      <c r="T2627" s="31" t="s">
        <v>9836</v>
      </c>
      <c r="U2627" s="31" t="s">
        <v>9837</v>
      </c>
      <c r="V2627" s="32">
        <v>43942.0</v>
      </c>
    </row>
    <row r="2628">
      <c r="A2628" s="32"/>
      <c r="T2628" s="31" t="s">
        <v>9840</v>
      </c>
      <c r="U2628" s="31" t="s">
        <v>9841</v>
      </c>
      <c r="V2628" s="32">
        <v>43942.0</v>
      </c>
    </row>
    <row r="2629">
      <c r="A2629" s="32"/>
      <c r="T2629" s="31" t="s">
        <v>9844</v>
      </c>
      <c r="U2629" s="31" t="s">
        <v>9845</v>
      </c>
      <c r="V2629" s="32">
        <v>43937.0</v>
      </c>
    </row>
    <row r="2630">
      <c r="A2630" s="32"/>
      <c r="T2630" s="31" t="s">
        <v>9848</v>
      </c>
      <c r="U2630" s="31" t="s">
        <v>9849</v>
      </c>
      <c r="V2630" s="32">
        <v>43937.0</v>
      </c>
    </row>
    <row r="2631">
      <c r="A2631" s="32"/>
      <c r="T2631" s="31" t="s">
        <v>9852</v>
      </c>
      <c r="U2631" s="31" t="s">
        <v>9853</v>
      </c>
      <c r="V2631" s="32">
        <v>43937.0</v>
      </c>
    </row>
    <row r="2632">
      <c r="A2632" s="32"/>
      <c r="T2632" s="31" t="s">
        <v>9856</v>
      </c>
      <c r="U2632" s="31" t="s">
        <v>9857</v>
      </c>
      <c r="V2632" s="32">
        <v>43937.0</v>
      </c>
    </row>
    <row r="2633">
      <c r="A2633" s="32"/>
      <c r="T2633" s="31" t="s">
        <v>9860</v>
      </c>
      <c r="U2633" s="31" t="s">
        <v>9861</v>
      </c>
      <c r="V2633" s="32">
        <v>43937.0</v>
      </c>
    </row>
    <row r="2634">
      <c r="A2634" s="32"/>
      <c r="T2634" s="31" t="s">
        <v>9863</v>
      </c>
      <c r="U2634" s="31" t="s">
        <v>9864</v>
      </c>
      <c r="V2634" s="32">
        <v>43937.0</v>
      </c>
    </row>
    <row r="2635">
      <c r="A2635" s="32"/>
      <c r="T2635" s="31" t="s">
        <v>9867</v>
      </c>
      <c r="U2635" s="31" t="s">
        <v>9868</v>
      </c>
      <c r="V2635" s="32">
        <v>43937.0</v>
      </c>
    </row>
    <row r="2636">
      <c r="A2636" s="32"/>
      <c r="T2636" s="31" t="s">
        <v>9871</v>
      </c>
      <c r="U2636" s="31" t="s">
        <v>9872</v>
      </c>
      <c r="V2636" s="32">
        <v>43937.0</v>
      </c>
    </row>
    <row r="2637">
      <c r="A2637" s="32"/>
      <c r="T2637" s="31" t="s">
        <v>9875</v>
      </c>
      <c r="U2637" s="31" t="s">
        <v>9876</v>
      </c>
      <c r="V2637" s="32">
        <v>43936.0</v>
      </c>
    </row>
    <row r="2638">
      <c r="A2638" s="32"/>
      <c r="T2638" s="31" t="s">
        <v>9879</v>
      </c>
      <c r="U2638" s="31" t="s">
        <v>9880</v>
      </c>
      <c r="V2638" s="32">
        <v>43931.0</v>
      </c>
    </row>
    <row r="2639">
      <c r="A2639" s="32"/>
      <c r="T2639" s="31" t="s">
        <v>9884</v>
      </c>
      <c r="U2639" s="31" t="s">
        <v>9885</v>
      </c>
      <c r="V2639" s="32">
        <v>43931.0</v>
      </c>
    </row>
    <row r="2640">
      <c r="A2640" s="32"/>
      <c r="T2640" s="31" t="s">
        <v>9888</v>
      </c>
      <c r="U2640" s="31" t="s">
        <v>9889</v>
      </c>
      <c r="V2640" s="32">
        <v>43930.0</v>
      </c>
    </row>
    <row r="2641">
      <c r="A2641" s="32"/>
      <c r="T2641" s="31" t="s">
        <v>9892</v>
      </c>
      <c r="U2641" s="31" t="s">
        <v>9893</v>
      </c>
      <c r="V2641" s="32">
        <v>43929.0</v>
      </c>
    </row>
    <row r="2642">
      <c r="A2642" s="32"/>
      <c r="T2642" s="31" t="s">
        <v>9896</v>
      </c>
      <c r="U2642" s="31" t="s">
        <v>9897</v>
      </c>
      <c r="V2642" s="32">
        <v>43928.0</v>
      </c>
    </row>
    <row r="2643">
      <c r="A2643" s="32"/>
      <c r="T2643" s="31" t="s">
        <v>9900</v>
      </c>
      <c r="U2643" s="31" t="s">
        <v>9901</v>
      </c>
      <c r="V2643" s="32">
        <v>43928.0</v>
      </c>
    </row>
    <row r="2644">
      <c r="A2644" s="32"/>
      <c r="T2644" s="31" t="s">
        <v>9905</v>
      </c>
      <c r="U2644" s="31" t="s">
        <v>9906</v>
      </c>
      <c r="V2644" s="32">
        <v>43927.0</v>
      </c>
    </row>
    <row r="2645">
      <c r="A2645" s="32"/>
      <c r="T2645" s="31" t="s">
        <v>9909</v>
      </c>
      <c r="U2645" s="31" t="s">
        <v>9910</v>
      </c>
      <c r="V2645" s="32">
        <v>43927.0</v>
      </c>
    </row>
    <row r="2646">
      <c r="A2646" s="32"/>
      <c r="T2646" s="31" t="s">
        <v>9913</v>
      </c>
      <c r="U2646" s="31" t="s">
        <v>9914</v>
      </c>
      <c r="V2646" s="32">
        <v>43927.0</v>
      </c>
    </row>
    <row r="2647">
      <c r="A2647" s="32"/>
      <c r="T2647" s="31" t="s">
        <v>9917</v>
      </c>
      <c r="U2647" s="31" t="s">
        <v>9918</v>
      </c>
      <c r="V2647" s="32">
        <v>43924.0</v>
      </c>
    </row>
    <row r="2648">
      <c r="A2648" s="32"/>
      <c r="T2648" s="31" t="s">
        <v>9921</v>
      </c>
      <c r="U2648" s="31" t="s">
        <v>9922</v>
      </c>
      <c r="V2648" s="32">
        <v>43923.0</v>
      </c>
    </row>
    <row r="2649">
      <c r="A2649" s="32"/>
      <c r="T2649" s="31" t="s">
        <v>9925</v>
      </c>
      <c r="U2649" s="31" t="s">
        <v>9926</v>
      </c>
      <c r="V2649" s="32">
        <v>43923.0</v>
      </c>
    </row>
    <row r="2650">
      <c r="A2650" s="32"/>
      <c r="T2650" s="31" t="s">
        <v>9930</v>
      </c>
      <c r="U2650" s="31" t="s">
        <v>9931</v>
      </c>
      <c r="V2650" s="32">
        <v>43922.0</v>
      </c>
    </row>
    <row r="2651">
      <c r="A2651" s="32"/>
      <c r="T2651" s="31" t="s">
        <v>9935</v>
      </c>
      <c r="U2651" s="31" t="s">
        <v>9936</v>
      </c>
      <c r="V2651" s="32">
        <v>43922.0</v>
      </c>
    </row>
    <row r="2652">
      <c r="A2652" s="32"/>
      <c r="T2652" s="31" t="s">
        <v>9939</v>
      </c>
      <c r="U2652" s="31" t="s">
        <v>9940</v>
      </c>
      <c r="V2652" s="32">
        <v>43922.0</v>
      </c>
    </row>
    <row r="2653">
      <c r="A2653" s="32"/>
      <c r="T2653" s="31" t="s">
        <v>9943</v>
      </c>
      <c r="U2653" s="31" t="s">
        <v>9944</v>
      </c>
      <c r="V2653" s="32">
        <v>43922.0</v>
      </c>
    </row>
    <row r="2654">
      <c r="A2654" s="32"/>
      <c r="T2654" s="31" t="s">
        <v>9948</v>
      </c>
      <c r="U2654" s="31" t="s">
        <v>9949</v>
      </c>
      <c r="V2654" s="32">
        <v>43922.0</v>
      </c>
    </row>
    <row r="2655">
      <c r="A2655" s="32"/>
      <c r="T2655" s="31" t="s">
        <v>9953</v>
      </c>
      <c r="U2655" s="31" t="s">
        <v>9954</v>
      </c>
      <c r="V2655" s="32">
        <v>43921.0</v>
      </c>
    </row>
    <row r="2656">
      <c r="A2656" s="32"/>
      <c r="T2656" s="31" t="s">
        <v>9957</v>
      </c>
      <c r="U2656" s="31" t="s">
        <v>9958</v>
      </c>
      <c r="V2656" s="32">
        <v>43920.0</v>
      </c>
    </row>
    <row r="2657">
      <c r="A2657" s="32"/>
      <c r="T2657" s="31" t="s">
        <v>9961</v>
      </c>
      <c r="U2657" s="31" t="s">
        <v>9962</v>
      </c>
      <c r="V2657" s="32">
        <v>43920.0</v>
      </c>
    </row>
    <row r="2658">
      <c r="A2658" s="32"/>
      <c r="T2658" s="31" t="s">
        <v>9965</v>
      </c>
      <c r="U2658" s="31" t="s">
        <v>9966</v>
      </c>
      <c r="V2658" s="32">
        <v>43918.0</v>
      </c>
    </row>
    <row r="2659">
      <c r="A2659" s="32"/>
      <c r="T2659" s="31" t="s">
        <v>9969</v>
      </c>
      <c r="U2659" s="31" t="s">
        <v>9970</v>
      </c>
      <c r="V2659" s="32">
        <v>43916.0</v>
      </c>
    </row>
    <row r="2660">
      <c r="A2660" s="32"/>
      <c r="T2660" s="31" t="s">
        <v>9974</v>
      </c>
      <c r="U2660" s="31" t="s">
        <v>9975</v>
      </c>
      <c r="V2660" s="32">
        <v>43915.0</v>
      </c>
    </row>
    <row r="2661">
      <c r="A2661" s="32"/>
      <c r="T2661" s="31" t="s">
        <v>9978</v>
      </c>
      <c r="U2661" s="31" t="s">
        <v>9979</v>
      </c>
      <c r="V2661" s="32">
        <v>43915.0</v>
      </c>
    </row>
    <row r="2662">
      <c r="A2662" s="32"/>
      <c r="T2662" s="31" t="s">
        <v>9982</v>
      </c>
      <c r="U2662" s="31" t="s">
        <v>9983</v>
      </c>
      <c r="V2662" s="32">
        <v>43914.0</v>
      </c>
    </row>
    <row r="2663">
      <c r="A2663" s="32"/>
      <c r="T2663" s="31" t="s">
        <v>9986</v>
      </c>
      <c r="U2663" s="31" t="s">
        <v>9987</v>
      </c>
      <c r="V2663" s="32">
        <v>43914.0</v>
      </c>
    </row>
    <row r="2664">
      <c r="A2664" s="32"/>
      <c r="T2664" s="31" t="s">
        <v>9989</v>
      </c>
      <c r="U2664" s="31" t="s">
        <v>9990</v>
      </c>
      <c r="V2664" s="32">
        <v>43911.0</v>
      </c>
    </row>
    <row r="2665">
      <c r="A2665" s="32"/>
      <c r="T2665" s="31" t="s">
        <v>9994</v>
      </c>
      <c r="U2665" s="31" t="s">
        <v>9995</v>
      </c>
      <c r="V2665" s="32">
        <v>43911.0</v>
      </c>
    </row>
    <row r="2666">
      <c r="A2666" s="32"/>
      <c r="T2666" s="31" t="s">
        <v>9998</v>
      </c>
      <c r="U2666" s="31" t="s">
        <v>9999</v>
      </c>
      <c r="V2666" s="32">
        <v>43910.0</v>
      </c>
    </row>
    <row r="2667">
      <c r="A2667" s="32"/>
      <c r="T2667" s="31" t="s">
        <v>10002</v>
      </c>
      <c r="U2667" s="31" t="s">
        <v>10003</v>
      </c>
      <c r="V2667" s="32">
        <v>43910.0</v>
      </c>
    </row>
    <row r="2668">
      <c r="A2668" s="32"/>
      <c r="T2668" s="31" t="s">
        <v>10006</v>
      </c>
      <c r="U2668" s="31" t="s">
        <v>10007</v>
      </c>
      <c r="V2668" s="32">
        <v>43910.0</v>
      </c>
    </row>
    <row r="2669">
      <c r="A2669" s="32"/>
      <c r="T2669" s="31" t="s">
        <v>10009</v>
      </c>
      <c r="U2669" s="31" t="s">
        <v>10010</v>
      </c>
      <c r="V2669" s="32">
        <v>43909.0</v>
      </c>
    </row>
    <row r="2670">
      <c r="A2670" s="32"/>
      <c r="T2670" s="31" t="s">
        <v>10013</v>
      </c>
      <c r="U2670" s="31" t="s">
        <v>10014</v>
      </c>
      <c r="V2670" s="32">
        <v>43909.0</v>
      </c>
    </row>
    <row r="2671">
      <c r="A2671" s="32"/>
      <c r="T2671" s="31" t="s">
        <v>10017</v>
      </c>
      <c r="U2671" s="31" t="s">
        <v>10018</v>
      </c>
      <c r="V2671" s="32">
        <v>43908.0</v>
      </c>
    </row>
    <row r="2672">
      <c r="A2672" s="32"/>
      <c r="T2672" s="31" t="s">
        <v>10020</v>
      </c>
      <c r="U2672" s="31" t="s">
        <v>10021</v>
      </c>
      <c r="V2672" s="32">
        <v>43908.0</v>
      </c>
    </row>
    <row r="2673">
      <c r="A2673" s="32"/>
      <c r="T2673" s="31" t="s">
        <v>10024</v>
      </c>
      <c r="U2673" s="31" t="s">
        <v>10025</v>
      </c>
      <c r="V2673" s="32">
        <v>43907.0</v>
      </c>
    </row>
    <row r="2674">
      <c r="A2674" s="32"/>
      <c r="T2674" s="31" t="s">
        <v>10028</v>
      </c>
      <c r="U2674" s="31" t="s">
        <v>10029</v>
      </c>
      <c r="V2674" s="32">
        <v>43907.0</v>
      </c>
    </row>
    <row r="2675">
      <c r="A2675" s="32"/>
      <c r="T2675" s="31" t="s">
        <v>10032</v>
      </c>
      <c r="U2675" s="31" t="s">
        <v>10033</v>
      </c>
      <c r="V2675" s="32">
        <v>43904.0</v>
      </c>
    </row>
    <row r="2676">
      <c r="A2676" s="32"/>
      <c r="T2676" s="31" t="s">
        <v>10036</v>
      </c>
      <c r="U2676" s="31" t="s">
        <v>10037</v>
      </c>
      <c r="V2676" s="32">
        <v>43904.0</v>
      </c>
    </row>
    <row r="2677">
      <c r="A2677" s="32"/>
      <c r="T2677" s="31" t="s">
        <v>10040</v>
      </c>
      <c r="U2677" s="31" t="s">
        <v>10041</v>
      </c>
      <c r="V2677" s="32">
        <v>43903.0</v>
      </c>
    </row>
    <row r="2678">
      <c r="A2678" s="32"/>
      <c r="T2678" s="31" t="s">
        <v>10043</v>
      </c>
      <c r="U2678" s="31" t="s">
        <v>10044</v>
      </c>
      <c r="V2678" s="32">
        <v>43903.0</v>
      </c>
    </row>
    <row r="2679">
      <c r="A2679" s="32"/>
      <c r="T2679" s="31" t="s">
        <v>10047</v>
      </c>
      <c r="U2679" s="31" t="s">
        <v>10048</v>
      </c>
      <c r="V2679" s="32">
        <v>43903.0</v>
      </c>
    </row>
    <row r="2680">
      <c r="A2680" s="32"/>
      <c r="T2680" s="31" t="s">
        <v>10052</v>
      </c>
      <c r="U2680" s="31" t="s">
        <v>10053</v>
      </c>
      <c r="V2680" s="32">
        <v>43902.0</v>
      </c>
    </row>
    <row r="2681">
      <c r="A2681" s="32"/>
      <c r="T2681" s="31" t="s">
        <v>10056</v>
      </c>
      <c r="U2681" s="31" t="s">
        <v>10057</v>
      </c>
      <c r="V2681" s="32">
        <v>43902.0</v>
      </c>
    </row>
    <row r="2682">
      <c r="A2682" s="32"/>
      <c r="T2682" s="31" t="s">
        <v>10060</v>
      </c>
      <c r="U2682" s="31" t="s">
        <v>10061</v>
      </c>
      <c r="V2682" s="32">
        <v>43902.0</v>
      </c>
    </row>
    <row r="2683">
      <c r="A2683" s="32"/>
      <c r="T2683" s="31" t="s">
        <v>10064</v>
      </c>
      <c r="U2683" s="31" t="s">
        <v>10065</v>
      </c>
      <c r="V2683" s="32">
        <v>43901.0</v>
      </c>
    </row>
    <row r="2684">
      <c r="A2684" s="32"/>
      <c r="T2684" s="31" t="s">
        <v>10068</v>
      </c>
      <c r="U2684" s="31" t="s">
        <v>10069</v>
      </c>
      <c r="V2684" s="32">
        <v>43900.0</v>
      </c>
    </row>
    <row r="2685">
      <c r="A2685" s="32"/>
      <c r="T2685" s="31" t="s">
        <v>10071</v>
      </c>
      <c r="U2685" s="31" t="s">
        <v>10072</v>
      </c>
      <c r="V2685" s="32">
        <v>43900.0</v>
      </c>
    </row>
    <row r="2686">
      <c r="A2686" s="32"/>
      <c r="T2686" s="31" t="s">
        <v>10076</v>
      </c>
      <c r="U2686" s="31" t="s">
        <v>10077</v>
      </c>
      <c r="V2686" s="32">
        <v>43899.0</v>
      </c>
    </row>
    <row r="2687">
      <c r="A2687" s="32"/>
      <c r="T2687" s="31" t="s">
        <v>10080</v>
      </c>
      <c r="U2687" s="31" t="s">
        <v>10081</v>
      </c>
      <c r="V2687" s="32">
        <v>43899.0</v>
      </c>
    </row>
    <row r="2688">
      <c r="A2688" s="32"/>
      <c r="T2688" s="31" t="s">
        <v>10084</v>
      </c>
      <c r="U2688" s="31" t="s">
        <v>10085</v>
      </c>
      <c r="V2688" s="32">
        <v>43895.0</v>
      </c>
    </row>
    <row r="2689">
      <c r="A2689" s="32"/>
      <c r="T2689" s="31" t="s">
        <v>10088</v>
      </c>
      <c r="U2689" s="31" t="s">
        <v>10089</v>
      </c>
      <c r="V2689" s="32">
        <v>43895.0</v>
      </c>
    </row>
    <row r="2690">
      <c r="A2690" s="32"/>
      <c r="T2690" s="31" t="s">
        <v>10092</v>
      </c>
      <c r="U2690" s="31" t="s">
        <v>10093</v>
      </c>
      <c r="V2690" s="32">
        <v>43895.0</v>
      </c>
    </row>
    <row r="2691">
      <c r="A2691" s="32"/>
      <c r="T2691" s="31" t="s">
        <v>10096</v>
      </c>
      <c r="U2691" s="31" t="s">
        <v>10097</v>
      </c>
      <c r="V2691" s="32">
        <v>43895.0</v>
      </c>
    </row>
    <row r="2692">
      <c r="A2692" s="32"/>
      <c r="T2692" s="31" t="s">
        <v>10101</v>
      </c>
      <c r="U2692" s="31" t="s">
        <v>10102</v>
      </c>
      <c r="V2692" s="32">
        <v>43895.0</v>
      </c>
    </row>
    <row r="2693">
      <c r="A2693" s="32"/>
      <c r="T2693" s="31" t="s">
        <v>10106</v>
      </c>
      <c r="U2693" s="31" t="s">
        <v>10107</v>
      </c>
      <c r="V2693" s="32">
        <v>43894.0</v>
      </c>
    </row>
    <row r="2694">
      <c r="A2694" s="32"/>
      <c r="T2694" s="31" t="s">
        <v>10111</v>
      </c>
      <c r="U2694" s="31" t="s">
        <v>10112</v>
      </c>
      <c r="V2694" s="32">
        <v>43893.0</v>
      </c>
    </row>
    <row r="2695">
      <c r="A2695" s="32"/>
      <c r="T2695" s="31" t="s">
        <v>10115</v>
      </c>
      <c r="U2695" s="31" t="s">
        <v>10116</v>
      </c>
      <c r="V2695" s="32">
        <v>43893.0</v>
      </c>
    </row>
    <row r="2696">
      <c r="A2696" s="32"/>
      <c r="T2696" s="31" t="s">
        <v>10119</v>
      </c>
      <c r="U2696" s="31" t="s">
        <v>10120</v>
      </c>
      <c r="V2696" s="32">
        <v>43892.0</v>
      </c>
    </row>
    <row r="2697">
      <c r="A2697" s="32"/>
      <c r="T2697" s="31" t="s">
        <v>10124</v>
      </c>
      <c r="U2697" s="31" t="s">
        <v>10125</v>
      </c>
      <c r="V2697" s="32">
        <v>43892.0</v>
      </c>
    </row>
    <row r="2698">
      <c r="A2698" s="32"/>
      <c r="T2698" s="31" t="s">
        <v>10129</v>
      </c>
      <c r="U2698" s="31" t="s">
        <v>10130</v>
      </c>
      <c r="V2698" s="32">
        <v>43891.0</v>
      </c>
    </row>
    <row r="2699">
      <c r="A2699" s="32"/>
      <c r="T2699" s="31" t="s">
        <v>10133</v>
      </c>
      <c r="U2699" s="31" t="s">
        <v>10134</v>
      </c>
      <c r="V2699" s="32">
        <v>43891.0</v>
      </c>
    </row>
    <row r="2700">
      <c r="A2700" s="32"/>
      <c r="T2700" s="31" t="s">
        <v>10137</v>
      </c>
      <c r="U2700" s="31" t="s">
        <v>10138</v>
      </c>
      <c r="V2700" s="32">
        <v>43891.0</v>
      </c>
    </row>
    <row r="2701">
      <c r="A2701" s="32"/>
      <c r="T2701" s="31" t="s">
        <v>10140</v>
      </c>
      <c r="U2701" s="31" t="s">
        <v>10141</v>
      </c>
      <c r="V2701" s="32">
        <v>43891.0</v>
      </c>
    </row>
    <row r="2702">
      <c r="A2702" s="32"/>
      <c r="T2702" s="31" t="s">
        <v>10144</v>
      </c>
      <c r="U2702" s="31" t="s">
        <v>10145</v>
      </c>
      <c r="V2702" s="32">
        <v>43890.0</v>
      </c>
    </row>
    <row r="2703">
      <c r="A2703" s="32"/>
      <c r="T2703" s="31" t="s">
        <v>10148</v>
      </c>
      <c r="U2703" s="31" t="s">
        <v>10149</v>
      </c>
      <c r="V2703" s="32">
        <v>43889.0</v>
      </c>
    </row>
    <row r="2704">
      <c r="A2704" s="32"/>
      <c r="T2704" s="31" t="s">
        <v>10152</v>
      </c>
      <c r="U2704" s="31" t="s">
        <v>10153</v>
      </c>
      <c r="V2704" s="32">
        <v>43889.0</v>
      </c>
    </row>
    <row r="2705">
      <c r="A2705" s="32"/>
      <c r="T2705" s="31" t="s">
        <v>10156</v>
      </c>
      <c r="U2705" s="31" t="s">
        <v>10157</v>
      </c>
      <c r="V2705" s="32">
        <v>43888.0</v>
      </c>
    </row>
    <row r="2706">
      <c r="A2706" s="32"/>
      <c r="T2706" s="31" t="s">
        <v>10160</v>
      </c>
      <c r="U2706" s="31" t="s">
        <v>10161</v>
      </c>
      <c r="V2706" s="32">
        <v>43888.0</v>
      </c>
    </row>
    <row r="2707">
      <c r="A2707" s="32"/>
      <c r="T2707" s="31" t="s">
        <v>10164</v>
      </c>
      <c r="U2707" s="31" t="s">
        <v>10165</v>
      </c>
      <c r="V2707" s="32">
        <v>43888.0</v>
      </c>
    </row>
    <row r="2708">
      <c r="A2708" s="32"/>
      <c r="T2708" s="31" t="s">
        <v>10168</v>
      </c>
      <c r="U2708" s="31" t="s">
        <v>10169</v>
      </c>
      <c r="V2708" s="32">
        <v>43888.0</v>
      </c>
    </row>
    <row r="2709">
      <c r="A2709" s="32"/>
      <c r="T2709" s="31" t="s">
        <v>10172</v>
      </c>
      <c r="U2709" s="31" t="s">
        <v>10173</v>
      </c>
      <c r="V2709" s="32">
        <v>43888.0</v>
      </c>
    </row>
    <row r="2710">
      <c r="A2710" s="32"/>
      <c r="T2710" s="31" t="s">
        <v>10176</v>
      </c>
      <c r="U2710" s="31" t="s">
        <v>10177</v>
      </c>
      <c r="V2710" s="32">
        <v>43886.0</v>
      </c>
    </row>
    <row r="2711">
      <c r="A2711" s="32"/>
      <c r="T2711" s="31" t="s">
        <v>10180</v>
      </c>
      <c r="U2711" s="31" t="s">
        <v>10181</v>
      </c>
      <c r="V2711" s="32">
        <v>43885.0</v>
      </c>
    </row>
    <row r="2712">
      <c r="A2712" s="32"/>
      <c r="T2712" s="31" t="s">
        <v>10185</v>
      </c>
      <c r="U2712" s="31" t="s">
        <v>10186</v>
      </c>
      <c r="V2712" s="32">
        <v>43883.0</v>
      </c>
    </row>
    <row r="2713">
      <c r="A2713" s="32"/>
      <c r="T2713" s="31" t="s">
        <v>10189</v>
      </c>
      <c r="U2713" s="31" t="s">
        <v>10190</v>
      </c>
      <c r="V2713" s="32">
        <v>43882.0</v>
      </c>
    </row>
    <row r="2714">
      <c r="A2714" s="32"/>
      <c r="T2714" s="31" t="s">
        <v>10194</v>
      </c>
      <c r="U2714" s="31" t="s">
        <v>10195</v>
      </c>
      <c r="V2714" s="32">
        <v>43882.0</v>
      </c>
    </row>
    <row r="2715">
      <c r="A2715" s="32"/>
      <c r="T2715" s="31" t="s">
        <v>10198</v>
      </c>
      <c r="U2715" s="31" t="s">
        <v>10199</v>
      </c>
      <c r="V2715" s="32">
        <v>43881.0</v>
      </c>
    </row>
    <row r="2716">
      <c r="A2716" s="32"/>
      <c r="T2716" s="31" t="s">
        <v>10202</v>
      </c>
      <c r="U2716" s="31" t="s">
        <v>10203</v>
      </c>
      <c r="V2716" s="32">
        <v>43879.0</v>
      </c>
    </row>
    <row r="2717">
      <c r="A2717" s="32"/>
      <c r="T2717" s="31" t="s">
        <v>10206</v>
      </c>
      <c r="U2717" s="31" t="s">
        <v>10207</v>
      </c>
      <c r="V2717" s="32">
        <v>43879.0</v>
      </c>
    </row>
    <row r="2718">
      <c r="A2718" s="32"/>
      <c r="T2718" s="31" t="s">
        <v>10210</v>
      </c>
      <c r="U2718" s="31" t="s">
        <v>10211</v>
      </c>
      <c r="V2718" s="32">
        <v>43879.0</v>
      </c>
    </row>
    <row r="2719">
      <c r="A2719" s="32"/>
      <c r="T2719" s="31" t="s">
        <v>10213</v>
      </c>
      <c r="U2719" s="31" t="s">
        <v>10214</v>
      </c>
      <c r="V2719" s="32">
        <v>43875.0</v>
      </c>
    </row>
    <row r="2720">
      <c r="A2720" s="32"/>
      <c r="T2720" s="31" t="s">
        <v>10217</v>
      </c>
      <c r="U2720" s="31" t="s">
        <v>10218</v>
      </c>
      <c r="V2720" s="32">
        <v>43875.0</v>
      </c>
    </row>
    <row r="2721">
      <c r="A2721" s="32"/>
      <c r="T2721" s="31" t="s">
        <v>10220</v>
      </c>
      <c r="U2721" s="31" t="s">
        <v>10221</v>
      </c>
      <c r="V2721" s="32">
        <v>43875.0</v>
      </c>
    </row>
    <row r="2722">
      <c r="A2722" s="32"/>
      <c r="T2722" s="31" t="s">
        <v>10225</v>
      </c>
      <c r="U2722" s="31" t="s">
        <v>10226</v>
      </c>
      <c r="V2722" s="32">
        <v>43874.0</v>
      </c>
    </row>
    <row r="2723">
      <c r="A2723" s="32"/>
      <c r="T2723" s="31" t="s">
        <v>10229</v>
      </c>
      <c r="U2723" s="31" t="s">
        <v>10230</v>
      </c>
      <c r="V2723" s="32">
        <v>43873.0</v>
      </c>
    </row>
    <row r="2724">
      <c r="A2724" s="32"/>
      <c r="T2724" s="31" t="s">
        <v>10233</v>
      </c>
      <c r="U2724" s="31" t="s">
        <v>10234</v>
      </c>
      <c r="V2724" s="32">
        <v>43873.0</v>
      </c>
    </row>
    <row r="2725">
      <c r="A2725" s="32"/>
      <c r="T2725" s="31" t="s">
        <v>10237</v>
      </c>
      <c r="U2725" s="31" t="s">
        <v>10238</v>
      </c>
      <c r="V2725" s="32">
        <v>43873.0</v>
      </c>
    </row>
    <row r="2726">
      <c r="A2726" s="32"/>
      <c r="T2726" s="31" t="s">
        <v>10242</v>
      </c>
      <c r="U2726" s="31" t="s">
        <v>10230</v>
      </c>
      <c r="V2726" s="32">
        <v>43871.0</v>
      </c>
    </row>
    <row r="2727">
      <c r="A2727" s="32"/>
      <c r="T2727" s="31" t="s">
        <v>10245</v>
      </c>
      <c r="U2727" s="31" t="s">
        <v>10246</v>
      </c>
      <c r="V2727" s="32">
        <v>43870.0</v>
      </c>
    </row>
    <row r="2728">
      <c r="A2728" s="32"/>
      <c r="T2728" s="31" t="s">
        <v>10250</v>
      </c>
      <c r="U2728" s="31" t="s">
        <v>10251</v>
      </c>
      <c r="V2728" s="32">
        <v>43869.0</v>
      </c>
    </row>
    <row r="2729">
      <c r="A2729" s="32"/>
      <c r="T2729" s="31" t="s">
        <v>10253</v>
      </c>
      <c r="U2729" s="31" t="s">
        <v>10254</v>
      </c>
      <c r="V2729" s="32">
        <v>43868.0</v>
      </c>
    </row>
    <row r="2730">
      <c r="A2730" s="32"/>
      <c r="T2730" s="31" t="s">
        <v>10258</v>
      </c>
      <c r="U2730" s="31" t="s">
        <v>10259</v>
      </c>
      <c r="V2730" s="32">
        <v>43868.0</v>
      </c>
    </row>
    <row r="2731">
      <c r="A2731" s="32"/>
      <c r="T2731" s="31" t="s">
        <v>10262</v>
      </c>
      <c r="U2731" s="31" t="s">
        <v>10263</v>
      </c>
      <c r="V2731" s="32">
        <v>43867.0</v>
      </c>
    </row>
    <row r="2732">
      <c r="A2732" s="32"/>
      <c r="T2732" s="31" t="s">
        <v>10266</v>
      </c>
      <c r="U2732" s="31" t="s">
        <v>10267</v>
      </c>
      <c r="V2732" s="32">
        <v>43866.0</v>
      </c>
    </row>
    <row r="2733">
      <c r="A2733" s="32"/>
      <c r="T2733" s="31" t="s">
        <v>10270</v>
      </c>
      <c r="U2733" s="31" t="s">
        <v>10271</v>
      </c>
      <c r="V2733" s="32">
        <v>43866.0</v>
      </c>
    </row>
    <row r="2734">
      <c r="A2734" s="32"/>
      <c r="T2734" s="31" t="s">
        <v>10274</v>
      </c>
      <c r="U2734" s="31" t="s">
        <v>10275</v>
      </c>
      <c r="V2734" s="32">
        <v>43866.0</v>
      </c>
    </row>
    <row r="2735">
      <c r="A2735" s="32"/>
      <c r="T2735" s="31" t="s">
        <v>10278</v>
      </c>
      <c r="U2735" s="31" t="s">
        <v>10279</v>
      </c>
      <c r="V2735" s="32">
        <v>43865.0</v>
      </c>
    </row>
    <row r="2736">
      <c r="A2736" s="32"/>
      <c r="T2736" s="31" t="s">
        <v>10282</v>
      </c>
      <c r="U2736" s="31" t="s">
        <v>10283</v>
      </c>
      <c r="V2736" s="32">
        <v>43862.0</v>
      </c>
    </row>
    <row r="2737">
      <c r="A2737" s="32"/>
      <c r="T2737" s="31" t="s">
        <v>10287</v>
      </c>
      <c r="U2737" s="31" t="s">
        <v>10288</v>
      </c>
      <c r="V2737" s="32">
        <v>43862.0</v>
      </c>
    </row>
    <row r="2738">
      <c r="A2738" s="32"/>
      <c r="T2738" s="31" t="s">
        <v>10291</v>
      </c>
      <c r="U2738" s="31" t="s">
        <v>10292</v>
      </c>
      <c r="V2738" s="32">
        <v>43862.0</v>
      </c>
    </row>
    <row r="2739">
      <c r="A2739" s="32"/>
      <c r="T2739" s="31" t="s">
        <v>10295</v>
      </c>
      <c r="U2739" s="31" t="s">
        <v>10296</v>
      </c>
      <c r="V2739" s="32">
        <v>43862.0</v>
      </c>
    </row>
    <row r="2740">
      <c r="A2740" s="32"/>
      <c r="T2740" s="31" t="s">
        <v>10298</v>
      </c>
      <c r="U2740" s="31" t="s">
        <v>10299</v>
      </c>
      <c r="V2740" s="32">
        <v>43861.0</v>
      </c>
    </row>
    <row r="2741">
      <c r="A2741" s="32"/>
      <c r="T2741" s="31" t="s">
        <v>10302</v>
      </c>
      <c r="U2741" s="31" t="s">
        <v>10303</v>
      </c>
      <c r="V2741" s="32">
        <v>43861.0</v>
      </c>
    </row>
    <row r="2742">
      <c r="A2742" s="32"/>
      <c r="T2742" s="31" t="s">
        <v>10307</v>
      </c>
      <c r="U2742" s="31" t="s">
        <v>10308</v>
      </c>
      <c r="V2742" s="32">
        <v>43860.0</v>
      </c>
    </row>
    <row r="2743">
      <c r="A2743" s="32"/>
      <c r="T2743" s="31" t="s">
        <v>10311</v>
      </c>
      <c r="U2743" s="31" t="s">
        <v>10312</v>
      </c>
      <c r="V2743" s="32">
        <v>43859.0</v>
      </c>
    </row>
    <row r="2744">
      <c r="A2744" s="32"/>
      <c r="T2744" s="31" t="s">
        <v>10316</v>
      </c>
      <c r="U2744" s="31" t="s">
        <v>10317</v>
      </c>
      <c r="V2744" s="32">
        <v>43858.0</v>
      </c>
    </row>
    <row r="2745">
      <c r="A2745" s="32"/>
      <c r="T2745" s="31" t="s">
        <v>10320</v>
      </c>
      <c r="U2745" s="31" t="s">
        <v>10321</v>
      </c>
      <c r="V2745" s="32">
        <v>43858.0</v>
      </c>
    </row>
    <row r="2746">
      <c r="A2746" s="32"/>
      <c r="T2746" s="31" t="s">
        <v>10324</v>
      </c>
      <c r="U2746" s="31" t="s">
        <v>10325</v>
      </c>
      <c r="V2746" s="32">
        <v>43858.0</v>
      </c>
    </row>
    <row r="2747">
      <c r="A2747" s="32"/>
      <c r="T2747" s="31" t="s">
        <v>10328</v>
      </c>
      <c r="U2747" s="31" t="s">
        <v>10329</v>
      </c>
      <c r="V2747" s="32">
        <v>43858.0</v>
      </c>
    </row>
    <row r="2748">
      <c r="A2748" s="32"/>
      <c r="T2748" s="31" t="s">
        <v>10332</v>
      </c>
      <c r="U2748" s="31" t="s">
        <v>10333</v>
      </c>
      <c r="V2748" s="32">
        <v>43857.0</v>
      </c>
    </row>
    <row r="2749">
      <c r="A2749" s="32"/>
      <c r="T2749" s="31" t="s">
        <v>10336</v>
      </c>
      <c r="U2749" s="31" t="s">
        <v>10337</v>
      </c>
      <c r="V2749" s="32">
        <v>43855.0</v>
      </c>
    </row>
    <row r="2750">
      <c r="A2750" s="32"/>
      <c r="T2750" s="31" t="s">
        <v>10340</v>
      </c>
      <c r="U2750" s="31" t="s">
        <v>10341</v>
      </c>
      <c r="V2750" s="32">
        <v>43854.0</v>
      </c>
    </row>
    <row r="2751">
      <c r="A2751" s="32"/>
      <c r="T2751" s="31" t="s">
        <v>10344</v>
      </c>
      <c r="U2751" s="31" t="s">
        <v>10345</v>
      </c>
      <c r="V2751" s="32">
        <v>43853.0</v>
      </c>
    </row>
    <row r="2752">
      <c r="A2752" s="32"/>
      <c r="T2752" s="31" t="s">
        <v>10348</v>
      </c>
      <c r="U2752" s="31" t="s">
        <v>10349</v>
      </c>
      <c r="V2752" s="32">
        <v>43853.0</v>
      </c>
    </row>
    <row r="2753">
      <c r="A2753" s="32"/>
      <c r="T2753" s="31" t="s">
        <v>10352</v>
      </c>
      <c r="U2753" s="31" t="s">
        <v>10353</v>
      </c>
      <c r="V2753" s="32">
        <v>43851.0</v>
      </c>
    </row>
    <row r="2754">
      <c r="A2754" s="32"/>
      <c r="T2754" s="31" t="s">
        <v>10356</v>
      </c>
      <c r="U2754" s="31" t="s">
        <v>10357</v>
      </c>
      <c r="V2754" s="32">
        <v>43850.0</v>
      </c>
    </row>
    <row r="2755">
      <c r="A2755" s="32"/>
      <c r="T2755" s="31" t="s">
        <v>10360</v>
      </c>
      <c r="U2755" s="31" t="s">
        <v>10361</v>
      </c>
      <c r="V2755" s="32">
        <v>43849.0</v>
      </c>
    </row>
    <row r="2756">
      <c r="A2756" s="32"/>
      <c r="T2756" s="31" t="s">
        <v>10364</v>
      </c>
      <c r="U2756" s="31" t="s">
        <v>10365</v>
      </c>
      <c r="V2756" s="32">
        <v>43847.0</v>
      </c>
    </row>
    <row r="2757">
      <c r="A2757" s="32"/>
      <c r="T2757" s="31" t="s">
        <v>10367</v>
      </c>
      <c r="U2757" s="31" t="s">
        <v>10368</v>
      </c>
      <c r="V2757" s="32">
        <v>43847.0</v>
      </c>
    </row>
    <row r="2758">
      <c r="A2758" s="32"/>
      <c r="T2758" s="31" t="s">
        <v>10371</v>
      </c>
      <c r="U2758" s="31" t="s">
        <v>10372</v>
      </c>
      <c r="V2758" s="32">
        <v>43846.0</v>
      </c>
    </row>
    <row r="2759">
      <c r="A2759" s="32"/>
      <c r="T2759" s="31" t="s">
        <v>10375</v>
      </c>
      <c r="U2759" s="31" t="s">
        <v>10376</v>
      </c>
      <c r="V2759" s="32">
        <v>43846.0</v>
      </c>
    </row>
    <row r="2760">
      <c r="A2760" s="32"/>
      <c r="T2760" s="31" t="s">
        <v>10379</v>
      </c>
      <c r="U2760" s="31" t="s">
        <v>10380</v>
      </c>
      <c r="V2760" s="32">
        <v>43846.0</v>
      </c>
    </row>
    <row r="2761">
      <c r="A2761" s="32"/>
      <c r="T2761" s="31" t="s">
        <v>10382</v>
      </c>
      <c r="U2761" s="31" t="s">
        <v>10383</v>
      </c>
      <c r="V2761" s="32">
        <v>43845.0</v>
      </c>
    </row>
    <row r="2762">
      <c r="A2762" s="32"/>
      <c r="T2762" s="31" t="s">
        <v>10386</v>
      </c>
      <c r="U2762" s="31" t="s">
        <v>10387</v>
      </c>
      <c r="V2762" s="32">
        <v>43845.0</v>
      </c>
    </row>
    <row r="2763">
      <c r="A2763" s="32"/>
      <c r="T2763" s="31" t="s">
        <v>10390</v>
      </c>
      <c r="U2763" s="31" t="s">
        <v>10391</v>
      </c>
      <c r="V2763" s="32">
        <v>43844.0</v>
      </c>
    </row>
    <row r="2764">
      <c r="A2764" s="32"/>
      <c r="T2764" s="31" t="s">
        <v>10394</v>
      </c>
      <c r="U2764" s="31" t="s">
        <v>10395</v>
      </c>
      <c r="V2764" s="32">
        <v>43844.0</v>
      </c>
    </row>
    <row r="2765">
      <c r="A2765" s="32"/>
      <c r="T2765" s="31" t="s">
        <v>10398</v>
      </c>
      <c r="U2765" s="31" t="s">
        <v>10399</v>
      </c>
      <c r="V2765" s="32">
        <v>43844.0</v>
      </c>
    </row>
    <row r="2766">
      <c r="A2766" s="32"/>
      <c r="T2766" s="31" t="s">
        <v>10402</v>
      </c>
      <c r="U2766" s="31" t="s">
        <v>10403</v>
      </c>
      <c r="V2766" s="32">
        <v>43844.0</v>
      </c>
    </row>
    <row r="2767">
      <c r="A2767" s="32"/>
      <c r="T2767" s="31" t="s">
        <v>10407</v>
      </c>
      <c r="U2767" s="31" t="s">
        <v>10408</v>
      </c>
      <c r="V2767" s="32">
        <v>43843.0</v>
      </c>
    </row>
    <row r="2768">
      <c r="A2768" s="32"/>
      <c r="T2768" s="31" t="s">
        <v>10412</v>
      </c>
      <c r="U2768" s="31" t="s">
        <v>10413</v>
      </c>
      <c r="V2768" s="32">
        <v>43843.0</v>
      </c>
    </row>
    <row r="2769">
      <c r="A2769" s="32"/>
      <c r="T2769" s="31" t="s">
        <v>10416</v>
      </c>
      <c r="U2769" s="31" t="s">
        <v>10417</v>
      </c>
      <c r="V2769" s="32">
        <v>43843.0</v>
      </c>
    </row>
    <row r="2770">
      <c r="A2770" s="32"/>
      <c r="T2770" s="31" t="s">
        <v>10421</v>
      </c>
      <c r="U2770" s="31" t="s">
        <v>10422</v>
      </c>
      <c r="V2770" s="32">
        <v>43840.0</v>
      </c>
    </row>
    <row r="2771">
      <c r="A2771" s="32"/>
      <c r="T2771" s="31" t="s">
        <v>10425</v>
      </c>
      <c r="U2771" s="31" t="s">
        <v>10426</v>
      </c>
      <c r="V2771" s="32">
        <v>43840.0</v>
      </c>
    </row>
    <row r="2772">
      <c r="A2772" s="32"/>
      <c r="T2772" s="31" t="s">
        <v>10430</v>
      </c>
      <c r="U2772" s="31" t="s">
        <v>10431</v>
      </c>
      <c r="V2772" s="32">
        <v>43838.0</v>
      </c>
    </row>
    <row r="2773">
      <c r="A2773" s="32"/>
      <c r="T2773" s="31" t="s">
        <v>10434</v>
      </c>
      <c r="U2773" s="31" t="s">
        <v>10435</v>
      </c>
      <c r="V2773" s="32">
        <v>43837.0</v>
      </c>
    </row>
    <row r="2774">
      <c r="A2774" s="32"/>
      <c r="T2774" s="31" t="s">
        <v>10438</v>
      </c>
      <c r="U2774" s="31" t="s">
        <v>10439</v>
      </c>
      <c r="V2774" s="32">
        <v>43837.0</v>
      </c>
    </row>
    <row r="2775">
      <c r="A2775" s="32"/>
      <c r="T2775" s="31" t="s">
        <v>10442</v>
      </c>
      <c r="U2775" s="31" t="s">
        <v>10443</v>
      </c>
      <c r="V2775" s="32">
        <v>43833.0</v>
      </c>
    </row>
    <row r="2776">
      <c r="A2776" s="32"/>
      <c r="T2776" s="31" t="s">
        <v>10446</v>
      </c>
      <c r="U2776" s="31" t="s">
        <v>10447</v>
      </c>
      <c r="V2776" s="32">
        <v>43833.0</v>
      </c>
    </row>
    <row r="2777">
      <c r="A2777" s="32"/>
      <c r="T2777" s="31" t="s">
        <v>10450</v>
      </c>
      <c r="U2777" s="31" t="s">
        <v>10451</v>
      </c>
      <c r="V2777" s="32">
        <v>43831.0</v>
      </c>
    </row>
    <row r="2778">
      <c r="A2778" s="32"/>
      <c r="T2778" s="31" t="s">
        <v>10454</v>
      </c>
      <c r="U2778" s="31" t="s">
        <v>10455</v>
      </c>
      <c r="V2778" s="32">
        <v>43831.0</v>
      </c>
    </row>
    <row r="2779">
      <c r="A2779" s="32"/>
      <c r="T2779" s="31" t="s">
        <v>10458</v>
      </c>
      <c r="U2779" s="31" t="s">
        <v>10459</v>
      </c>
      <c r="V2779" s="32">
        <v>43831.0</v>
      </c>
    </row>
    <row r="2780">
      <c r="A2780" s="32"/>
      <c r="T2780" s="31" t="s">
        <v>10462</v>
      </c>
      <c r="U2780" s="31" t="s">
        <v>10463</v>
      </c>
      <c r="V2780" s="32">
        <v>43831.0</v>
      </c>
    </row>
    <row r="2781">
      <c r="A2781" s="32"/>
      <c r="T2781" s="31" t="s">
        <v>10465</v>
      </c>
      <c r="U2781" s="31" t="s">
        <v>10466</v>
      </c>
      <c r="V2781" s="32">
        <v>43831.0</v>
      </c>
    </row>
    <row r="2782">
      <c r="A2782" s="32"/>
      <c r="T2782" s="31" t="s">
        <v>10469</v>
      </c>
      <c r="U2782" s="31" t="s">
        <v>10470</v>
      </c>
      <c r="V2782" s="32">
        <v>43831.0</v>
      </c>
    </row>
    <row r="2783">
      <c r="A2783" s="32"/>
      <c r="T2783" s="31" t="s">
        <v>10473</v>
      </c>
      <c r="U2783" s="31" t="s">
        <v>10474</v>
      </c>
      <c r="V2783" s="32">
        <v>43829.0</v>
      </c>
    </row>
    <row r="2784">
      <c r="A2784" s="32"/>
      <c r="T2784" s="31" t="s">
        <v>10477</v>
      </c>
      <c r="U2784" s="31" t="s">
        <v>10478</v>
      </c>
      <c r="V2784" s="32">
        <v>43829.0</v>
      </c>
    </row>
    <row r="2785">
      <c r="A2785" s="32"/>
      <c r="T2785" s="31" t="s">
        <v>10481</v>
      </c>
      <c r="U2785" s="31" t="s">
        <v>10482</v>
      </c>
      <c r="V2785" s="32">
        <v>43829.0</v>
      </c>
    </row>
    <row r="2786">
      <c r="A2786" s="32"/>
      <c r="T2786" s="31" t="s">
        <v>10485</v>
      </c>
      <c r="U2786" s="31" t="s">
        <v>10486</v>
      </c>
      <c r="V2786" s="32">
        <v>43828.0</v>
      </c>
    </row>
    <row r="2787">
      <c r="A2787" s="32"/>
      <c r="T2787" s="31" t="s">
        <v>10489</v>
      </c>
      <c r="U2787" s="31" t="s">
        <v>10490</v>
      </c>
      <c r="V2787" s="32">
        <v>43827.0</v>
      </c>
    </row>
    <row r="2788">
      <c r="A2788" s="32"/>
      <c r="T2788" s="31" t="s">
        <v>10493</v>
      </c>
      <c r="U2788" s="31" t="s">
        <v>10494</v>
      </c>
      <c r="V2788" s="32">
        <v>43826.0</v>
      </c>
    </row>
    <row r="2789">
      <c r="A2789" s="32"/>
      <c r="T2789" s="31" t="s">
        <v>10497</v>
      </c>
      <c r="U2789" s="31" t="s">
        <v>10498</v>
      </c>
      <c r="V2789" s="32">
        <v>43823.0</v>
      </c>
    </row>
    <row r="2790">
      <c r="A2790" s="32"/>
      <c r="T2790" s="31" t="s">
        <v>10501</v>
      </c>
      <c r="U2790" s="31" t="s">
        <v>10502</v>
      </c>
      <c r="V2790" s="32">
        <v>43823.0</v>
      </c>
    </row>
    <row r="2791">
      <c r="A2791" s="32"/>
      <c r="T2791" s="31" t="s">
        <v>10505</v>
      </c>
      <c r="U2791" s="31" t="s">
        <v>10506</v>
      </c>
      <c r="V2791" s="32">
        <v>43820.0</v>
      </c>
    </row>
    <row r="2792">
      <c r="A2792" s="32"/>
      <c r="T2792" s="31" t="s">
        <v>10509</v>
      </c>
      <c r="U2792" s="31" t="s">
        <v>10510</v>
      </c>
      <c r="V2792" s="32">
        <v>43819.0</v>
      </c>
    </row>
    <row r="2793">
      <c r="A2793" s="32"/>
      <c r="T2793" s="31" t="s">
        <v>10513</v>
      </c>
      <c r="U2793" s="31" t="s">
        <v>10514</v>
      </c>
      <c r="V2793" s="32">
        <v>43818.0</v>
      </c>
    </row>
    <row r="2794">
      <c r="A2794" s="32"/>
      <c r="T2794" s="31" t="s">
        <v>10517</v>
      </c>
      <c r="U2794" s="31" t="s">
        <v>10518</v>
      </c>
      <c r="V2794" s="32">
        <v>43818.0</v>
      </c>
    </row>
    <row r="2795">
      <c r="A2795" s="32"/>
      <c r="T2795" s="31" t="s">
        <v>10521</v>
      </c>
      <c r="U2795" s="31" t="s">
        <v>10522</v>
      </c>
      <c r="V2795" s="32">
        <v>43818.0</v>
      </c>
    </row>
    <row r="2796">
      <c r="A2796" s="32"/>
      <c r="T2796" s="31" t="s">
        <v>10525</v>
      </c>
      <c r="U2796" s="31" t="s">
        <v>10526</v>
      </c>
      <c r="V2796" s="32">
        <v>43817.0</v>
      </c>
    </row>
    <row r="2797">
      <c r="A2797" s="32"/>
      <c r="T2797" s="31" t="s">
        <v>10529</v>
      </c>
      <c r="U2797" s="31" t="s">
        <v>10530</v>
      </c>
      <c r="V2797" s="32">
        <v>43817.0</v>
      </c>
    </row>
    <row r="2798">
      <c r="A2798" s="32"/>
      <c r="T2798" s="31" t="s">
        <v>10533</v>
      </c>
      <c r="U2798" s="31" t="s">
        <v>10534</v>
      </c>
      <c r="V2798" s="32">
        <v>43817.0</v>
      </c>
    </row>
    <row r="2799">
      <c r="A2799" s="32"/>
      <c r="T2799" s="31" t="s">
        <v>10538</v>
      </c>
      <c r="U2799" s="31" t="s">
        <v>10539</v>
      </c>
      <c r="V2799" s="32">
        <v>43817.0</v>
      </c>
    </row>
    <row r="2800">
      <c r="A2800" s="32"/>
      <c r="T2800" s="31" t="s">
        <v>10542</v>
      </c>
      <c r="U2800" s="31" t="s">
        <v>10543</v>
      </c>
      <c r="V2800" s="32">
        <v>43816.0</v>
      </c>
    </row>
    <row r="2801">
      <c r="A2801" s="32"/>
      <c r="T2801" s="31" t="s">
        <v>10546</v>
      </c>
      <c r="U2801" s="31" t="s">
        <v>10547</v>
      </c>
      <c r="V2801" s="32">
        <v>43816.0</v>
      </c>
    </row>
    <row r="2802">
      <c r="A2802" s="32"/>
      <c r="T2802" s="31" t="s">
        <v>10550</v>
      </c>
      <c r="U2802" s="31" t="s">
        <v>10551</v>
      </c>
      <c r="V2802" s="32">
        <v>43816.0</v>
      </c>
    </row>
    <row r="2803">
      <c r="A2803" s="32"/>
      <c r="T2803" s="31" t="s">
        <v>10554</v>
      </c>
      <c r="U2803" s="31" t="s">
        <v>10555</v>
      </c>
      <c r="V2803" s="32">
        <v>43815.0</v>
      </c>
    </row>
    <row r="2804">
      <c r="A2804" s="32"/>
      <c r="T2804" s="31" t="s">
        <v>10558</v>
      </c>
      <c r="U2804" s="31" t="s">
        <v>10559</v>
      </c>
      <c r="V2804" s="32">
        <v>43815.0</v>
      </c>
    </row>
    <row r="2805">
      <c r="A2805" s="32"/>
      <c r="T2805" s="31" t="s">
        <v>10561</v>
      </c>
      <c r="U2805" s="31" t="s">
        <v>10562</v>
      </c>
      <c r="V2805" s="32">
        <v>43813.0</v>
      </c>
    </row>
    <row r="2806">
      <c r="A2806" s="32"/>
      <c r="T2806" s="31" t="s">
        <v>10565</v>
      </c>
      <c r="U2806" s="31" t="s">
        <v>10566</v>
      </c>
      <c r="V2806" s="32">
        <v>43812.0</v>
      </c>
    </row>
    <row r="2807">
      <c r="A2807" s="32"/>
      <c r="T2807" s="31" t="s">
        <v>10569</v>
      </c>
      <c r="U2807" s="31" t="s">
        <v>10570</v>
      </c>
      <c r="V2807" s="32">
        <v>43811.0</v>
      </c>
    </row>
    <row r="2808">
      <c r="A2808" s="32"/>
      <c r="T2808" s="31" t="s">
        <v>10573</v>
      </c>
      <c r="U2808" s="31" t="s">
        <v>10574</v>
      </c>
      <c r="V2808" s="32">
        <v>43811.0</v>
      </c>
    </row>
    <row r="2809">
      <c r="A2809" s="32"/>
      <c r="T2809" s="31" t="s">
        <v>10577</v>
      </c>
      <c r="U2809" s="31" t="s">
        <v>10578</v>
      </c>
      <c r="V2809" s="32">
        <v>43810.0</v>
      </c>
    </row>
    <row r="2810">
      <c r="A2810" s="32"/>
      <c r="T2810" s="31" t="s">
        <v>10582</v>
      </c>
      <c r="U2810" s="31" t="s">
        <v>10583</v>
      </c>
      <c r="V2810" s="32">
        <v>43809.0</v>
      </c>
    </row>
    <row r="2811">
      <c r="A2811" s="32"/>
      <c r="T2811" s="31" t="s">
        <v>10586</v>
      </c>
      <c r="U2811" s="31" t="s">
        <v>10587</v>
      </c>
      <c r="V2811" s="32">
        <v>43808.0</v>
      </c>
    </row>
    <row r="2812">
      <c r="A2812" s="32"/>
      <c r="T2812" s="31" t="s">
        <v>10590</v>
      </c>
      <c r="U2812" s="31" t="s">
        <v>10591</v>
      </c>
      <c r="V2812" s="32">
        <v>43808.0</v>
      </c>
    </row>
    <row r="2813">
      <c r="A2813" s="32"/>
      <c r="T2813" s="31" t="s">
        <v>10594</v>
      </c>
      <c r="U2813" s="31" t="s">
        <v>10595</v>
      </c>
      <c r="V2813" s="32">
        <v>43806.0</v>
      </c>
    </row>
    <row r="2814">
      <c r="A2814" s="32"/>
      <c r="T2814" s="31" t="s">
        <v>10598</v>
      </c>
      <c r="U2814" s="31" t="s">
        <v>10599</v>
      </c>
      <c r="V2814" s="32">
        <v>43804.0</v>
      </c>
    </row>
    <row r="2815">
      <c r="A2815" s="32"/>
      <c r="T2815" s="31" t="s">
        <v>10602</v>
      </c>
      <c r="U2815" s="31" t="s">
        <v>10603</v>
      </c>
      <c r="V2815" s="32">
        <v>43803.0</v>
      </c>
    </row>
    <row r="2816">
      <c r="A2816" s="32"/>
      <c r="T2816" s="31" t="s">
        <v>10606</v>
      </c>
      <c r="U2816" s="31" t="s">
        <v>10607</v>
      </c>
      <c r="V2816" s="32">
        <v>43803.0</v>
      </c>
    </row>
    <row r="2817">
      <c r="A2817" s="32"/>
      <c r="T2817" s="31" t="s">
        <v>10609</v>
      </c>
      <c r="U2817" s="31" t="s">
        <v>10610</v>
      </c>
      <c r="V2817" s="32">
        <v>43802.0</v>
      </c>
    </row>
    <row r="2818">
      <c r="A2818" s="32"/>
      <c r="T2818" s="31" t="s">
        <v>10613</v>
      </c>
      <c r="U2818" s="31" t="s">
        <v>10614</v>
      </c>
      <c r="V2818" s="32">
        <v>43801.0</v>
      </c>
    </row>
    <row r="2819">
      <c r="A2819" s="32"/>
      <c r="T2819" s="31" t="s">
        <v>10617</v>
      </c>
      <c r="U2819" s="31" t="s">
        <v>10618</v>
      </c>
      <c r="V2819" s="32">
        <v>43801.0</v>
      </c>
    </row>
    <row r="2820">
      <c r="A2820" s="32"/>
      <c r="T2820" s="31" t="s">
        <v>10621</v>
      </c>
      <c r="U2820" s="31" t="s">
        <v>10622</v>
      </c>
      <c r="V2820" s="32">
        <v>43801.0</v>
      </c>
    </row>
    <row r="2821">
      <c r="A2821" s="32"/>
      <c r="T2821" s="31" t="s">
        <v>10625</v>
      </c>
      <c r="U2821" s="31" t="s">
        <v>10626</v>
      </c>
      <c r="V2821" s="32">
        <v>43800.0</v>
      </c>
    </row>
    <row r="2822">
      <c r="A2822" s="32"/>
      <c r="T2822" s="31" t="s">
        <v>10629</v>
      </c>
      <c r="U2822" s="31" t="s">
        <v>10630</v>
      </c>
      <c r="V2822" s="32">
        <v>43800.0</v>
      </c>
    </row>
    <row r="2823">
      <c r="A2823" s="32"/>
      <c r="T2823" s="31" t="s">
        <v>10632</v>
      </c>
      <c r="U2823" s="31" t="s">
        <v>10633</v>
      </c>
      <c r="V2823" s="32">
        <v>43800.0</v>
      </c>
    </row>
    <row r="2824">
      <c r="A2824" s="32"/>
      <c r="T2824" s="31" t="s">
        <v>10636</v>
      </c>
      <c r="U2824" s="31" t="s">
        <v>10637</v>
      </c>
      <c r="V2824" s="32">
        <v>43800.0</v>
      </c>
    </row>
    <row r="2825">
      <c r="A2825" s="32"/>
      <c r="T2825" s="31" t="s">
        <v>10640</v>
      </c>
      <c r="U2825" s="31" t="s">
        <v>10641</v>
      </c>
      <c r="V2825" s="32">
        <v>43800.0</v>
      </c>
    </row>
    <row r="2826">
      <c r="A2826" s="32"/>
      <c r="T2826" s="31" t="s">
        <v>10644</v>
      </c>
      <c r="U2826" s="31" t="s">
        <v>10645</v>
      </c>
      <c r="V2826" s="32">
        <v>43800.0</v>
      </c>
    </row>
    <row r="2827">
      <c r="A2827" s="32"/>
      <c r="T2827" s="31" t="s">
        <v>10648</v>
      </c>
      <c r="U2827" s="31" t="s">
        <v>8479</v>
      </c>
      <c r="V2827" s="32">
        <v>43800.0</v>
      </c>
    </row>
    <row r="2828">
      <c r="A2828" s="32"/>
      <c r="T2828" s="31" t="s">
        <v>10650</v>
      </c>
      <c r="U2828" s="31" t="s">
        <v>10651</v>
      </c>
      <c r="V2828" s="32">
        <v>43800.0</v>
      </c>
    </row>
    <row r="2829">
      <c r="A2829" s="32"/>
      <c r="T2829" s="31" t="s">
        <v>10654</v>
      </c>
      <c r="U2829" s="31" t="s">
        <v>10655</v>
      </c>
      <c r="V2829" s="32">
        <v>43800.0</v>
      </c>
    </row>
    <row r="2830">
      <c r="A2830" s="32"/>
      <c r="T2830" s="31" t="s">
        <v>10658</v>
      </c>
      <c r="U2830" s="31" t="s">
        <v>10659</v>
      </c>
      <c r="V2830" s="32">
        <v>43798.0</v>
      </c>
    </row>
    <row r="2831">
      <c r="A2831" s="32"/>
      <c r="T2831" s="31" t="s">
        <v>10662</v>
      </c>
      <c r="U2831" s="31" t="s">
        <v>10663</v>
      </c>
      <c r="V2831" s="32">
        <v>43797.0</v>
      </c>
    </row>
    <row r="2832">
      <c r="A2832" s="32"/>
      <c r="T2832" s="31" t="s">
        <v>10666</v>
      </c>
      <c r="U2832" s="31" t="s">
        <v>10667</v>
      </c>
      <c r="V2832" s="32">
        <v>43797.0</v>
      </c>
    </row>
    <row r="2833">
      <c r="A2833" s="32"/>
      <c r="T2833" s="31" t="s">
        <v>10670</v>
      </c>
      <c r="U2833" s="31" t="s">
        <v>10671</v>
      </c>
      <c r="V2833" s="32">
        <v>43795.0</v>
      </c>
    </row>
    <row r="2834">
      <c r="A2834" s="32"/>
      <c r="T2834" s="31" t="s">
        <v>10675</v>
      </c>
      <c r="U2834" s="31" t="s">
        <v>10676</v>
      </c>
      <c r="V2834" s="32">
        <v>43795.0</v>
      </c>
    </row>
    <row r="2835">
      <c r="A2835" s="32"/>
      <c r="T2835" s="31" t="s">
        <v>10679</v>
      </c>
      <c r="U2835" s="31" t="s">
        <v>10680</v>
      </c>
      <c r="V2835" s="32">
        <v>43795.0</v>
      </c>
    </row>
    <row r="2836">
      <c r="A2836" s="32"/>
      <c r="T2836" s="31" t="s">
        <v>10684</v>
      </c>
      <c r="U2836" s="31" t="s">
        <v>10685</v>
      </c>
      <c r="V2836" s="32">
        <v>43795.0</v>
      </c>
    </row>
    <row r="2837">
      <c r="A2837" s="32"/>
      <c r="T2837" s="31" t="s">
        <v>10688</v>
      </c>
      <c r="U2837" s="31" t="s">
        <v>10689</v>
      </c>
      <c r="V2837" s="32">
        <v>43792.0</v>
      </c>
    </row>
    <row r="2838">
      <c r="A2838" s="32"/>
      <c r="T2838" s="31" t="s">
        <v>10692</v>
      </c>
      <c r="U2838" s="31" t="s">
        <v>10693</v>
      </c>
      <c r="V2838" s="32">
        <v>43789.0</v>
      </c>
    </row>
    <row r="2839">
      <c r="A2839" s="32"/>
      <c r="T2839" s="31" t="s">
        <v>10697</v>
      </c>
      <c r="U2839" s="31" t="s">
        <v>10698</v>
      </c>
      <c r="V2839" s="32">
        <v>43789.0</v>
      </c>
    </row>
    <row r="2840">
      <c r="A2840" s="32"/>
      <c r="T2840" s="31" t="s">
        <v>10701</v>
      </c>
      <c r="U2840" s="31" t="s">
        <v>10702</v>
      </c>
      <c r="V2840" s="32">
        <v>43789.0</v>
      </c>
    </row>
    <row r="2841">
      <c r="A2841" s="32"/>
      <c r="T2841" s="31" t="s">
        <v>10705</v>
      </c>
      <c r="U2841" s="31" t="s">
        <v>10706</v>
      </c>
      <c r="V2841" s="32">
        <v>43789.0</v>
      </c>
    </row>
    <row r="2842">
      <c r="A2842" s="32"/>
      <c r="T2842" s="31" t="s">
        <v>10709</v>
      </c>
      <c r="U2842" s="31" t="s">
        <v>10710</v>
      </c>
      <c r="V2842" s="32">
        <v>43789.0</v>
      </c>
    </row>
    <row r="2843">
      <c r="A2843" s="32"/>
      <c r="T2843" s="31" t="s">
        <v>10713</v>
      </c>
      <c r="U2843" s="31" t="s">
        <v>10714</v>
      </c>
      <c r="V2843" s="32">
        <v>43788.0</v>
      </c>
    </row>
    <row r="2844">
      <c r="A2844" s="32"/>
      <c r="T2844" s="31" t="s">
        <v>10717</v>
      </c>
      <c r="U2844" s="31" t="s">
        <v>10718</v>
      </c>
      <c r="V2844" s="32">
        <v>43788.0</v>
      </c>
    </row>
    <row r="2845">
      <c r="A2845" s="32"/>
      <c r="T2845" s="31" t="s">
        <v>10721</v>
      </c>
      <c r="U2845" s="31" t="s">
        <v>10722</v>
      </c>
      <c r="V2845" s="32">
        <v>43787.0</v>
      </c>
    </row>
    <row r="2846">
      <c r="A2846" s="32"/>
      <c r="T2846" s="31" t="s">
        <v>10725</v>
      </c>
      <c r="U2846" s="31" t="s">
        <v>10726</v>
      </c>
      <c r="V2846" s="32">
        <v>43787.0</v>
      </c>
    </row>
    <row r="2847">
      <c r="A2847" s="32"/>
      <c r="T2847" s="31" t="s">
        <v>10729</v>
      </c>
      <c r="U2847" s="31" t="s">
        <v>10730</v>
      </c>
      <c r="V2847" s="32">
        <v>43787.0</v>
      </c>
    </row>
    <row r="2848">
      <c r="A2848" s="32"/>
      <c r="T2848" s="31" t="s">
        <v>10733</v>
      </c>
      <c r="U2848" s="31" t="s">
        <v>10734</v>
      </c>
      <c r="V2848" s="32">
        <v>43787.0</v>
      </c>
    </row>
    <row r="2849">
      <c r="A2849" s="32"/>
      <c r="T2849" s="31" t="s">
        <v>10737</v>
      </c>
      <c r="U2849" s="31" t="s">
        <v>10738</v>
      </c>
      <c r="V2849" s="32">
        <v>43785.0</v>
      </c>
    </row>
    <row r="2850">
      <c r="A2850" s="32"/>
      <c r="T2850" s="31" t="s">
        <v>10741</v>
      </c>
      <c r="U2850" s="31" t="s">
        <v>10742</v>
      </c>
      <c r="V2850" s="32">
        <v>43784.0</v>
      </c>
    </row>
    <row r="2851">
      <c r="A2851" s="32"/>
      <c r="T2851" s="31" t="s">
        <v>10745</v>
      </c>
      <c r="U2851" s="31" t="s">
        <v>10746</v>
      </c>
      <c r="V2851" s="32">
        <v>43784.0</v>
      </c>
    </row>
    <row r="2852">
      <c r="A2852" s="32"/>
      <c r="T2852" s="31" t="s">
        <v>10749</v>
      </c>
      <c r="U2852" s="31" t="s">
        <v>10750</v>
      </c>
      <c r="V2852" s="32">
        <v>43784.0</v>
      </c>
    </row>
    <row r="2853">
      <c r="A2853" s="32"/>
      <c r="T2853" s="31" t="s">
        <v>10753</v>
      </c>
      <c r="U2853" s="31" t="s">
        <v>10754</v>
      </c>
      <c r="V2853" s="32">
        <v>43782.0</v>
      </c>
    </row>
    <row r="2854">
      <c r="A2854" s="32"/>
      <c r="T2854" s="31" t="s">
        <v>10757</v>
      </c>
      <c r="U2854" s="31" t="s">
        <v>10758</v>
      </c>
      <c r="V2854" s="32">
        <v>43781.0</v>
      </c>
    </row>
    <row r="2855">
      <c r="A2855" s="32"/>
      <c r="T2855" s="31" t="s">
        <v>10761</v>
      </c>
      <c r="U2855" s="31" t="s">
        <v>10762</v>
      </c>
      <c r="V2855" s="32">
        <v>43781.0</v>
      </c>
    </row>
    <row r="2856">
      <c r="A2856" s="32"/>
      <c r="T2856" s="31" t="s">
        <v>10765</v>
      </c>
      <c r="U2856" s="31" t="s">
        <v>10766</v>
      </c>
      <c r="V2856" s="32">
        <v>43781.0</v>
      </c>
    </row>
    <row r="2857">
      <c r="A2857" s="32"/>
      <c r="T2857" s="31" t="s">
        <v>10769</v>
      </c>
      <c r="U2857" s="31" t="s">
        <v>10770</v>
      </c>
      <c r="V2857" s="32">
        <v>43780.0</v>
      </c>
    </row>
    <row r="2858">
      <c r="A2858" s="32"/>
      <c r="T2858" s="31" t="s">
        <v>10773</v>
      </c>
      <c r="U2858" s="31" t="s">
        <v>10774</v>
      </c>
      <c r="V2858" s="32">
        <v>43780.0</v>
      </c>
    </row>
    <row r="2859">
      <c r="A2859" s="32"/>
      <c r="T2859" s="31" t="s">
        <v>10777</v>
      </c>
      <c r="U2859" s="31" t="s">
        <v>10778</v>
      </c>
      <c r="V2859" s="32">
        <v>43780.0</v>
      </c>
    </row>
    <row r="2860">
      <c r="A2860" s="32"/>
      <c r="T2860" s="31" t="s">
        <v>10781</v>
      </c>
      <c r="U2860" s="31" t="s">
        <v>10782</v>
      </c>
      <c r="V2860" s="32">
        <v>43778.0</v>
      </c>
    </row>
    <row r="2861">
      <c r="A2861" s="32"/>
      <c r="T2861" s="31" t="s">
        <v>10785</v>
      </c>
      <c r="U2861" s="31" t="s">
        <v>10786</v>
      </c>
      <c r="V2861" s="32">
        <v>43777.0</v>
      </c>
    </row>
    <row r="2862">
      <c r="A2862" s="32"/>
      <c r="T2862" s="31" t="s">
        <v>10790</v>
      </c>
      <c r="U2862" s="31" t="s">
        <v>10791</v>
      </c>
      <c r="V2862" s="32">
        <v>43776.0</v>
      </c>
    </row>
    <row r="2863">
      <c r="A2863" s="32"/>
      <c r="T2863" s="31" t="s">
        <v>10794</v>
      </c>
      <c r="U2863" s="31" t="s">
        <v>10795</v>
      </c>
      <c r="V2863" s="32">
        <v>43776.0</v>
      </c>
    </row>
    <row r="2864">
      <c r="A2864" s="32"/>
      <c r="T2864" s="31" t="s">
        <v>10798</v>
      </c>
      <c r="U2864" s="31" t="s">
        <v>10799</v>
      </c>
      <c r="V2864" s="32">
        <v>43775.0</v>
      </c>
    </row>
    <row r="2865">
      <c r="A2865" s="32"/>
      <c r="T2865" s="31" t="s">
        <v>10802</v>
      </c>
      <c r="U2865" s="31" t="s">
        <v>9931</v>
      </c>
      <c r="V2865" s="32">
        <v>43775.0</v>
      </c>
    </row>
    <row r="2866">
      <c r="A2866" s="32"/>
      <c r="T2866" s="31" t="s">
        <v>10805</v>
      </c>
      <c r="U2866" s="31" t="s">
        <v>10806</v>
      </c>
      <c r="V2866" s="32">
        <v>43775.0</v>
      </c>
    </row>
    <row r="2867">
      <c r="A2867" s="32"/>
      <c r="T2867" s="31" t="s">
        <v>10809</v>
      </c>
      <c r="U2867" s="31" t="s">
        <v>10810</v>
      </c>
      <c r="V2867" s="32">
        <v>43774.0</v>
      </c>
    </row>
    <row r="2868">
      <c r="A2868" s="32"/>
      <c r="T2868" s="31" t="s">
        <v>10813</v>
      </c>
      <c r="U2868" s="31" t="s">
        <v>10814</v>
      </c>
      <c r="V2868" s="32">
        <v>43774.0</v>
      </c>
    </row>
    <row r="2869">
      <c r="A2869" s="32"/>
      <c r="T2869" s="31" t="s">
        <v>10817</v>
      </c>
      <c r="U2869" s="31" t="s">
        <v>10818</v>
      </c>
      <c r="V2869" s="32">
        <v>43773.0</v>
      </c>
    </row>
    <row r="2870">
      <c r="A2870" s="32"/>
      <c r="T2870" s="31" t="s">
        <v>10821</v>
      </c>
      <c r="U2870" s="31" t="s">
        <v>10822</v>
      </c>
      <c r="V2870" s="32">
        <v>43770.0</v>
      </c>
    </row>
    <row r="2871">
      <c r="A2871" s="32"/>
      <c r="T2871" s="31" t="s">
        <v>10825</v>
      </c>
      <c r="U2871" s="31" t="s">
        <v>10826</v>
      </c>
      <c r="V2871" s="32">
        <v>43770.0</v>
      </c>
    </row>
    <row r="2872">
      <c r="A2872" s="32"/>
      <c r="T2872" s="31" t="s">
        <v>10829</v>
      </c>
      <c r="U2872" s="31" t="s">
        <v>10830</v>
      </c>
      <c r="V2872" s="32">
        <v>43770.0</v>
      </c>
    </row>
    <row r="2873">
      <c r="A2873" s="32"/>
      <c r="T2873" s="31" t="s">
        <v>10833</v>
      </c>
      <c r="U2873" s="31" t="s">
        <v>10834</v>
      </c>
      <c r="V2873" s="32">
        <v>43770.0</v>
      </c>
    </row>
    <row r="2874">
      <c r="A2874" s="32"/>
      <c r="T2874" s="31" t="s">
        <v>10837</v>
      </c>
      <c r="U2874" s="31" t="s">
        <v>10838</v>
      </c>
      <c r="V2874" s="32">
        <v>43770.0</v>
      </c>
    </row>
    <row r="2875">
      <c r="A2875" s="32"/>
      <c r="T2875" s="31" t="s">
        <v>10842</v>
      </c>
      <c r="U2875" s="31" t="s">
        <v>10211</v>
      </c>
      <c r="V2875" s="32">
        <v>43770.0</v>
      </c>
    </row>
    <row r="2876">
      <c r="A2876" s="32"/>
      <c r="T2876" s="31" t="s">
        <v>10844</v>
      </c>
      <c r="U2876" s="31" t="s">
        <v>10845</v>
      </c>
      <c r="V2876" s="32">
        <v>43770.0</v>
      </c>
    </row>
    <row r="2877">
      <c r="A2877" s="32"/>
      <c r="T2877" s="31" t="s">
        <v>10848</v>
      </c>
      <c r="U2877" s="31" t="s">
        <v>10849</v>
      </c>
      <c r="V2877" s="32">
        <v>43770.0</v>
      </c>
    </row>
    <row r="2878">
      <c r="A2878" s="32"/>
      <c r="T2878" s="31" t="s">
        <v>10851</v>
      </c>
      <c r="U2878" s="31" t="s">
        <v>10852</v>
      </c>
      <c r="V2878" s="32">
        <v>43769.0</v>
      </c>
    </row>
    <row r="2879">
      <c r="A2879" s="32"/>
      <c r="T2879" s="31" t="s">
        <v>10856</v>
      </c>
      <c r="U2879" s="31" t="s">
        <v>10857</v>
      </c>
      <c r="V2879" s="32">
        <v>43769.0</v>
      </c>
    </row>
    <row r="2880">
      <c r="A2880" s="32"/>
      <c r="T2880" s="31" t="s">
        <v>10860</v>
      </c>
      <c r="U2880" s="31" t="s">
        <v>10861</v>
      </c>
      <c r="V2880" s="32">
        <v>43768.0</v>
      </c>
    </row>
    <row r="2881">
      <c r="A2881" s="32"/>
      <c r="T2881" s="31" t="s">
        <v>10864</v>
      </c>
      <c r="U2881" s="31" t="s">
        <v>10865</v>
      </c>
      <c r="V2881" s="32">
        <v>43768.0</v>
      </c>
    </row>
    <row r="2882">
      <c r="A2882" s="32"/>
      <c r="T2882" s="31" t="s">
        <v>10868</v>
      </c>
      <c r="U2882" s="31" t="s">
        <v>10869</v>
      </c>
      <c r="V2882" s="32">
        <v>43767.0</v>
      </c>
    </row>
    <row r="2883">
      <c r="A2883" s="32"/>
      <c r="T2883" s="31" t="s">
        <v>10873</v>
      </c>
      <c r="U2883" s="31" t="s">
        <v>10874</v>
      </c>
      <c r="V2883" s="32">
        <v>43766.0</v>
      </c>
    </row>
    <row r="2884">
      <c r="A2884" s="32"/>
      <c r="T2884" s="31" t="s">
        <v>10877</v>
      </c>
      <c r="U2884" s="31" t="s">
        <v>10878</v>
      </c>
      <c r="V2884" s="32">
        <v>43763.0</v>
      </c>
    </row>
    <row r="2885">
      <c r="A2885" s="32"/>
      <c r="T2885" s="31" t="s">
        <v>10881</v>
      </c>
      <c r="U2885" s="31" t="s">
        <v>10882</v>
      </c>
      <c r="V2885" s="32">
        <v>43763.0</v>
      </c>
    </row>
    <row r="2886">
      <c r="A2886" s="32"/>
      <c r="T2886" s="31" t="s">
        <v>10886</v>
      </c>
      <c r="U2886" s="31" t="s">
        <v>10887</v>
      </c>
      <c r="V2886" s="32">
        <v>43762.0</v>
      </c>
    </row>
    <row r="2887">
      <c r="A2887" s="32"/>
      <c r="T2887" s="31" t="s">
        <v>10890</v>
      </c>
      <c r="U2887" s="31" t="s">
        <v>10891</v>
      </c>
      <c r="V2887" s="32">
        <v>43762.0</v>
      </c>
    </row>
    <row r="2888">
      <c r="A2888" s="32"/>
      <c r="T2888" s="31" t="s">
        <v>10895</v>
      </c>
      <c r="U2888" s="31" t="s">
        <v>10896</v>
      </c>
      <c r="V2888" s="32">
        <v>43761.0</v>
      </c>
    </row>
    <row r="2889">
      <c r="A2889" s="32"/>
      <c r="T2889" s="31" t="s">
        <v>10900</v>
      </c>
      <c r="U2889" s="31" t="s">
        <v>10901</v>
      </c>
      <c r="V2889" s="32">
        <v>43761.0</v>
      </c>
    </row>
    <row r="2890">
      <c r="A2890" s="32"/>
      <c r="T2890" s="31" t="s">
        <v>10904</v>
      </c>
      <c r="U2890" s="31" t="s">
        <v>10905</v>
      </c>
      <c r="V2890" s="32">
        <v>43760.0</v>
      </c>
    </row>
    <row r="2891">
      <c r="A2891" s="32"/>
      <c r="T2891" s="31" t="s">
        <v>10909</v>
      </c>
      <c r="U2891" s="31" t="s">
        <v>10910</v>
      </c>
      <c r="V2891" s="32">
        <v>43760.0</v>
      </c>
    </row>
    <row r="2892">
      <c r="A2892" s="32"/>
      <c r="T2892" s="31" t="s">
        <v>10913</v>
      </c>
      <c r="U2892" s="31" t="s">
        <v>10914</v>
      </c>
      <c r="V2892" s="32">
        <v>43759.0</v>
      </c>
    </row>
    <row r="2893">
      <c r="A2893" s="32"/>
      <c r="T2893" s="31" t="s">
        <v>10917</v>
      </c>
      <c r="U2893" s="31" t="s">
        <v>10918</v>
      </c>
      <c r="V2893" s="32">
        <v>43756.0</v>
      </c>
    </row>
    <row r="2894">
      <c r="A2894" s="32"/>
      <c r="T2894" s="31" t="s">
        <v>10921</v>
      </c>
      <c r="U2894" s="31" t="s">
        <v>10922</v>
      </c>
      <c r="V2894" s="32">
        <v>43756.0</v>
      </c>
    </row>
    <row r="2895">
      <c r="A2895" s="32"/>
      <c r="T2895" s="31" t="s">
        <v>10925</v>
      </c>
      <c r="U2895" s="31" t="s">
        <v>10926</v>
      </c>
      <c r="V2895" s="32">
        <v>43756.0</v>
      </c>
    </row>
    <row r="2896">
      <c r="A2896" s="32"/>
      <c r="T2896" s="31" t="s">
        <v>10928</v>
      </c>
      <c r="U2896" s="31" t="s">
        <v>10929</v>
      </c>
      <c r="V2896" s="32">
        <v>43755.0</v>
      </c>
    </row>
    <row r="2897">
      <c r="A2897" s="32"/>
      <c r="T2897" s="31" t="s">
        <v>10933</v>
      </c>
      <c r="U2897" s="31" t="s">
        <v>10934</v>
      </c>
      <c r="V2897" s="32">
        <v>43755.0</v>
      </c>
    </row>
    <row r="2898">
      <c r="A2898" s="32"/>
      <c r="T2898" s="31" t="s">
        <v>10937</v>
      </c>
      <c r="U2898" s="31" t="s">
        <v>10938</v>
      </c>
      <c r="V2898" s="32">
        <v>43754.0</v>
      </c>
    </row>
    <row r="2899">
      <c r="A2899" s="32"/>
      <c r="T2899" s="31" t="s">
        <v>10941</v>
      </c>
      <c r="U2899" s="31" t="s">
        <v>10942</v>
      </c>
      <c r="V2899" s="32">
        <v>43754.0</v>
      </c>
    </row>
    <row r="2900">
      <c r="A2900" s="32"/>
      <c r="T2900" s="31" t="s">
        <v>10945</v>
      </c>
      <c r="U2900" s="31" t="s">
        <v>10946</v>
      </c>
      <c r="V2900" s="32">
        <v>43749.0</v>
      </c>
    </row>
    <row r="2901">
      <c r="A2901" s="32"/>
      <c r="T2901" s="31" t="s">
        <v>10949</v>
      </c>
      <c r="U2901" s="31" t="s">
        <v>10950</v>
      </c>
      <c r="V2901" s="32">
        <v>43749.0</v>
      </c>
    </row>
    <row r="2902">
      <c r="A2902" s="32"/>
      <c r="T2902" s="31" t="s">
        <v>10953</v>
      </c>
      <c r="U2902" s="31" t="s">
        <v>10954</v>
      </c>
      <c r="V2902" s="32">
        <v>43748.0</v>
      </c>
    </row>
    <row r="2903">
      <c r="A2903" s="32"/>
      <c r="T2903" s="31" t="s">
        <v>10957</v>
      </c>
      <c r="U2903" s="31" t="s">
        <v>10958</v>
      </c>
      <c r="V2903" s="32">
        <v>43747.0</v>
      </c>
    </row>
    <row r="2904">
      <c r="A2904" s="32"/>
      <c r="T2904" s="31" t="s">
        <v>10961</v>
      </c>
      <c r="U2904" s="31" t="s">
        <v>10962</v>
      </c>
      <c r="V2904" s="32">
        <v>43746.0</v>
      </c>
    </row>
    <row r="2905">
      <c r="A2905" s="32"/>
      <c r="T2905" s="31" t="s">
        <v>10965</v>
      </c>
      <c r="U2905" s="31" t="s">
        <v>10966</v>
      </c>
      <c r="V2905" s="32">
        <v>43745.0</v>
      </c>
    </row>
    <row r="2906">
      <c r="A2906" s="32"/>
      <c r="T2906" s="31" t="s">
        <v>10970</v>
      </c>
      <c r="U2906" s="31" t="s">
        <v>10971</v>
      </c>
      <c r="V2906" s="32">
        <v>43745.0</v>
      </c>
    </row>
    <row r="2907">
      <c r="A2907" s="32"/>
      <c r="T2907" s="31" t="s">
        <v>10975</v>
      </c>
      <c r="U2907" s="31" t="s">
        <v>10976</v>
      </c>
      <c r="V2907" s="32">
        <v>43742.0</v>
      </c>
    </row>
    <row r="2908">
      <c r="A2908" s="32"/>
      <c r="T2908" s="31" t="s">
        <v>10979</v>
      </c>
      <c r="U2908" s="31" t="s">
        <v>10980</v>
      </c>
      <c r="V2908" s="32">
        <v>43741.0</v>
      </c>
    </row>
    <row r="2909">
      <c r="A2909" s="32"/>
      <c r="T2909" s="31" t="s">
        <v>10983</v>
      </c>
      <c r="U2909" s="31" t="s">
        <v>10984</v>
      </c>
      <c r="V2909" s="32">
        <v>43739.0</v>
      </c>
    </row>
    <row r="2910">
      <c r="A2910" s="32"/>
      <c r="T2910" s="31" t="s">
        <v>10987</v>
      </c>
      <c r="U2910" s="31" t="s">
        <v>10988</v>
      </c>
      <c r="V2910" s="32">
        <v>43739.0</v>
      </c>
    </row>
    <row r="2911">
      <c r="A2911" s="32"/>
      <c r="T2911" s="31" t="s">
        <v>10991</v>
      </c>
      <c r="U2911" s="31" t="s">
        <v>10992</v>
      </c>
      <c r="V2911" s="32">
        <v>43739.0</v>
      </c>
    </row>
    <row r="2912">
      <c r="A2912" s="32"/>
      <c r="T2912" s="31" t="s">
        <v>10995</v>
      </c>
      <c r="U2912" s="31" t="s">
        <v>10996</v>
      </c>
      <c r="V2912" s="32">
        <v>43739.0</v>
      </c>
    </row>
    <row r="2913">
      <c r="A2913" s="32"/>
      <c r="T2913" s="31" t="s">
        <v>10999</v>
      </c>
      <c r="U2913" s="31" t="s">
        <v>11000</v>
      </c>
      <c r="V2913" s="32">
        <v>43739.0</v>
      </c>
    </row>
    <row r="2914">
      <c r="A2914" s="32"/>
      <c r="T2914" s="31" t="s">
        <v>11003</v>
      </c>
      <c r="U2914" s="31" t="s">
        <v>11004</v>
      </c>
      <c r="V2914" s="32">
        <v>43738.0</v>
      </c>
    </row>
    <row r="2915">
      <c r="A2915" s="32"/>
      <c r="T2915" s="31" t="s">
        <v>11008</v>
      </c>
      <c r="U2915" s="31" t="s">
        <v>11009</v>
      </c>
      <c r="V2915" s="32">
        <v>43738.0</v>
      </c>
    </row>
    <row r="2916">
      <c r="A2916" s="32"/>
      <c r="T2916" s="31" t="s">
        <v>11012</v>
      </c>
      <c r="U2916" s="31" t="s">
        <v>11013</v>
      </c>
      <c r="V2916" s="32">
        <v>43736.0</v>
      </c>
    </row>
    <row r="2917">
      <c r="A2917" s="32"/>
      <c r="T2917" s="31" t="s">
        <v>11016</v>
      </c>
      <c r="U2917" s="31" t="s">
        <v>11017</v>
      </c>
      <c r="V2917" s="32">
        <v>43735.0</v>
      </c>
    </row>
    <row r="2918">
      <c r="A2918" s="32"/>
      <c r="T2918" s="31" t="s">
        <v>11020</v>
      </c>
      <c r="U2918" s="31" t="s">
        <v>11021</v>
      </c>
      <c r="V2918" s="32">
        <v>43734.0</v>
      </c>
    </row>
    <row r="2919">
      <c r="A2919" s="32"/>
      <c r="T2919" s="31" t="s">
        <v>11025</v>
      </c>
      <c r="U2919" s="31" t="s">
        <v>11026</v>
      </c>
      <c r="V2919" s="32">
        <v>43734.0</v>
      </c>
    </row>
    <row r="2920">
      <c r="A2920" s="32"/>
      <c r="T2920" s="31" t="s">
        <v>11029</v>
      </c>
      <c r="U2920" s="31" t="s">
        <v>11030</v>
      </c>
      <c r="V2920" s="32">
        <v>43734.0</v>
      </c>
    </row>
    <row r="2921">
      <c r="A2921" s="32"/>
      <c r="T2921" s="31" t="s">
        <v>11033</v>
      </c>
      <c r="U2921" s="31" t="s">
        <v>11034</v>
      </c>
      <c r="V2921" s="32">
        <v>43733.0</v>
      </c>
    </row>
    <row r="2922">
      <c r="A2922" s="32"/>
      <c r="T2922" s="31" t="s">
        <v>11037</v>
      </c>
      <c r="U2922" s="31" t="s">
        <v>11038</v>
      </c>
      <c r="V2922" s="32">
        <v>43732.0</v>
      </c>
    </row>
    <row r="2923">
      <c r="A2923" s="32"/>
      <c r="T2923" s="31" t="s">
        <v>11041</v>
      </c>
      <c r="U2923" s="31" t="s">
        <v>11042</v>
      </c>
      <c r="V2923" s="32">
        <v>43728.0</v>
      </c>
    </row>
    <row r="2924">
      <c r="A2924" s="32"/>
      <c r="T2924" s="31" t="s">
        <v>11045</v>
      </c>
      <c r="U2924" s="31" t="s">
        <v>11046</v>
      </c>
      <c r="V2924" s="32">
        <v>43726.0</v>
      </c>
    </row>
    <row r="2925">
      <c r="A2925" s="32"/>
      <c r="T2925" s="31" t="s">
        <v>11050</v>
      </c>
      <c r="U2925" s="31" t="s">
        <v>11051</v>
      </c>
      <c r="V2925" s="32">
        <v>43723.0</v>
      </c>
    </row>
    <row r="2926">
      <c r="A2926" s="32"/>
      <c r="T2926" s="31" t="s">
        <v>11054</v>
      </c>
      <c r="U2926" s="31" t="s">
        <v>11055</v>
      </c>
      <c r="V2926" s="32">
        <v>43721.0</v>
      </c>
    </row>
    <row r="2927">
      <c r="A2927" s="32"/>
      <c r="T2927" s="31" t="s">
        <v>11058</v>
      </c>
      <c r="U2927" s="31" t="s">
        <v>11059</v>
      </c>
      <c r="V2927" s="32">
        <v>43721.0</v>
      </c>
    </row>
    <row r="2928">
      <c r="A2928" s="32"/>
      <c r="T2928" s="31" t="s">
        <v>11062</v>
      </c>
      <c r="U2928" s="31" t="s">
        <v>11063</v>
      </c>
      <c r="V2928" s="32">
        <v>43719.0</v>
      </c>
    </row>
    <row r="2929">
      <c r="A2929" s="32"/>
      <c r="T2929" s="31" t="s">
        <v>11066</v>
      </c>
      <c r="U2929" s="31" t="s">
        <v>11067</v>
      </c>
      <c r="V2929" s="32">
        <v>43719.0</v>
      </c>
    </row>
    <row r="2930">
      <c r="A2930" s="32"/>
      <c r="T2930" s="31" t="s">
        <v>11071</v>
      </c>
      <c r="U2930" s="31" t="s">
        <v>11072</v>
      </c>
      <c r="V2930" s="32">
        <v>43717.0</v>
      </c>
    </row>
    <row r="2931">
      <c r="A2931" s="32"/>
      <c r="T2931" s="31" t="s">
        <v>11075</v>
      </c>
      <c r="U2931" s="31" t="s">
        <v>11076</v>
      </c>
      <c r="V2931" s="32">
        <v>43715.0</v>
      </c>
    </row>
    <row r="2932">
      <c r="A2932" s="32"/>
      <c r="T2932" s="31" t="s">
        <v>11079</v>
      </c>
      <c r="U2932" s="31" t="s">
        <v>11080</v>
      </c>
      <c r="V2932" s="32">
        <v>43714.0</v>
      </c>
    </row>
    <row r="2933">
      <c r="A2933" s="32"/>
      <c r="T2933" s="31" t="s">
        <v>11083</v>
      </c>
      <c r="U2933" s="31" t="s">
        <v>11084</v>
      </c>
      <c r="V2933" s="32">
        <v>43712.0</v>
      </c>
    </row>
    <row r="2934">
      <c r="A2934" s="32"/>
      <c r="T2934" s="31" t="s">
        <v>11088</v>
      </c>
      <c r="U2934" s="31" t="s">
        <v>11089</v>
      </c>
      <c r="V2934" s="32">
        <v>43712.0</v>
      </c>
    </row>
    <row r="2935">
      <c r="A2935" s="32"/>
      <c r="T2935" s="31" t="s">
        <v>11092</v>
      </c>
      <c r="U2935" s="31" t="s">
        <v>11093</v>
      </c>
      <c r="V2935" s="32">
        <v>43711.0</v>
      </c>
    </row>
    <row r="2936">
      <c r="A2936" s="32"/>
      <c r="T2936" s="31" t="s">
        <v>11096</v>
      </c>
      <c r="U2936" s="31" t="s">
        <v>11097</v>
      </c>
      <c r="V2936" s="32">
        <v>43710.0</v>
      </c>
    </row>
    <row r="2937">
      <c r="A2937" s="32"/>
      <c r="T2937" s="31" t="s">
        <v>11100</v>
      </c>
      <c r="U2937" s="31" t="s">
        <v>11101</v>
      </c>
      <c r="V2937" s="32">
        <v>43709.0</v>
      </c>
    </row>
    <row r="2938">
      <c r="A2938" s="32"/>
      <c r="T2938" s="31" t="s">
        <v>11104</v>
      </c>
      <c r="U2938" s="31" t="s">
        <v>11105</v>
      </c>
      <c r="V2938" s="32">
        <v>43709.0</v>
      </c>
    </row>
    <row r="2939">
      <c r="A2939" s="32"/>
      <c r="T2939" s="31" t="s">
        <v>11108</v>
      </c>
      <c r="U2939" s="31" t="s">
        <v>11109</v>
      </c>
      <c r="V2939" s="32">
        <v>43709.0</v>
      </c>
    </row>
    <row r="2940">
      <c r="A2940" s="32"/>
      <c r="T2940" s="31" t="s">
        <v>11112</v>
      </c>
      <c r="U2940" s="31" t="s">
        <v>11113</v>
      </c>
      <c r="V2940" s="32">
        <v>43709.0</v>
      </c>
    </row>
    <row r="2941">
      <c r="A2941" s="32"/>
      <c r="T2941" s="31" t="s">
        <v>11116</v>
      </c>
      <c r="U2941" s="31" t="s">
        <v>11117</v>
      </c>
      <c r="V2941" s="32">
        <v>43709.0</v>
      </c>
    </row>
    <row r="2942">
      <c r="A2942" s="32"/>
      <c r="T2942" s="31" t="s">
        <v>11120</v>
      </c>
      <c r="U2942" s="31" t="s">
        <v>8479</v>
      </c>
      <c r="V2942" s="32">
        <v>43709.0</v>
      </c>
    </row>
    <row r="2943">
      <c r="A2943" s="32"/>
      <c r="T2943" s="31" t="s">
        <v>11122</v>
      </c>
      <c r="U2943" s="31" t="s">
        <v>11123</v>
      </c>
      <c r="V2943" s="32">
        <v>43708.0</v>
      </c>
    </row>
    <row r="2944">
      <c r="A2944" s="32"/>
      <c r="T2944" s="31" t="s">
        <v>11125</v>
      </c>
      <c r="U2944" s="31" t="s">
        <v>11126</v>
      </c>
      <c r="V2944" s="32">
        <v>43707.0</v>
      </c>
    </row>
    <row r="2945">
      <c r="A2945" s="32"/>
      <c r="T2945" s="31" t="s">
        <v>11129</v>
      </c>
      <c r="U2945" s="31" t="s">
        <v>11130</v>
      </c>
      <c r="V2945" s="32">
        <v>43705.0</v>
      </c>
    </row>
    <row r="2946">
      <c r="A2946" s="32"/>
      <c r="T2946" s="31" t="s">
        <v>11133</v>
      </c>
      <c r="U2946" s="31" t="s">
        <v>11134</v>
      </c>
      <c r="V2946" s="32">
        <v>43705.0</v>
      </c>
    </row>
    <row r="2947">
      <c r="A2947" s="32"/>
      <c r="T2947" s="31" t="s">
        <v>11137</v>
      </c>
      <c r="U2947" s="31" t="s">
        <v>11138</v>
      </c>
      <c r="V2947" s="32">
        <v>43701.0</v>
      </c>
    </row>
    <row r="2948">
      <c r="A2948" s="32"/>
      <c r="T2948" s="31" t="s">
        <v>11141</v>
      </c>
      <c r="U2948" s="31" t="s">
        <v>11142</v>
      </c>
      <c r="V2948" s="32">
        <v>43700.0</v>
      </c>
    </row>
    <row r="2949">
      <c r="A2949" s="32"/>
      <c r="T2949" s="31" t="s">
        <v>11145</v>
      </c>
      <c r="U2949" s="31" t="s">
        <v>11146</v>
      </c>
      <c r="V2949" s="32">
        <v>43700.0</v>
      </c>
    </row>
    <row r="2950">
      <c r="A2950" s="32"/>
      <c r="T2950" s="31" t="s">
        <v>11149</v>
      </c>
      <c r="U2950" s="31" t="s">
        <v>11150</v>
      </c>
      <c r="V2950" s="32">
        <v>43699.0</v>
      </c>
    </row>
    <row r="2951">
      <c r="A2951" s="32"/>
      <c r="T2951" s="31" t="s">
        <v>11153</v>
      </c>
      <c r="U2951" s="31" t="s">
        <v>8479</v>
      </c>
      <c r="V2951" s="32">
        <v>43698.0</v>
      </c>
    </row>
    <row r="2952">
      <c r="A2952" s="32"/>
      <c r="T2952" s="31" t="s">
        <v>11155</v>
      </c>
      <c r="U2952" s="31" t="s">
        <v>11156</v>
      </c>
      <c r="V2952" s="32">
        <v>43697.0</v>
      </c>
    </row>
    <row r="2953">
      <c r="A2953" s="32"/>
      <c r="T2953" s="31" t="s">
        <v>11159</v>
      </c>
      <c r="U2953" s="31" t="s">
        <v>11160</v>
      </c>
      <c r="V2953" s="32">
        <v>43697.0</v>
      </c>
    </row>
    <row r="2954">
      <c r="A2954" s="32"/>
      <c r="T2954" s="31" t="s">
        <v>11163</v>
      </c>
      <c r="U2954" s="31" t="s">
        <v>11164</v>
      </c>
      <c r="V2954" s="32">
        <v>43697.0</v>
      </c>
    </row>
    <row r="2955">
      <c r="A2955" s="32"/>
      <c r="T2955" s="31" t="s">
        <v>11167</v>
      </c>
      <c r="U2955" s="31" t="s">
        <v>11168</v>
      </c>
      <c r="V2955" s="32">
        <v>43696.0</v>
      </c>
    </row>
    <row r="2956">
      <c r="A2956" s="32"/>
      <c r="T2956" s="31" t="s">
        <v>11171</v>
      </c>
      <c r="U2956" s="31" t="s">
        <v>11172</v>
      </c>
      <c r="V2956" s="32">
        <v>43696.0</v>
      </c>
    </row>
    <row r="2957">
      <c r="A2957" s="32"/>
      <c r="T2957" s="31" t="s">
        <v>11176</v>
      </c>
      <c r="U2957" s="31" t="s">
        <v>11177</v>
      </c>
      <c r="V2957" s="32">
        <v>43696.0</v>
      </c>
    </row>
    <row r="2958">
      <c r="A2958" s="32"/>
      <c r="T2958" s="31" t="s">
        <v>11180</v>
      </c>
      <c r="U2958" s="31" t="s">
        <v>10710</v>
      </c>
      <c r="V2958" s="32">
        <v>43695.0</v>
      </c>
    </row>
    <row r="2959">
      <c r="A2959" s="32"/>
      <c r="T2959" s="31" t="s">
        <v>11183</v>
      </c>
      <c r="U2959" s="31" t="s">
        <v>11184</v>
      </c>
      <c r="V2959" s="32">
        <v>43693.0</v>
      </c>
    </row>
    <row r="2960">
      <c r="A2960" s="32"/>
      <c r="T2960" s="31" t="s">
        <v>11188</v>
      </c>
      <c r="U2960" s="31" t="s">
        <v>11189</v>
      </c>
      <c r="V2960" s="32">
        <v>43693.0</v>
      </c>
    </row>
    <row r="2961">
      <c r="A2961" s="32"/>
      <c r="T2961" s="31" t="s">
        <v>11192</v>
      </c>
      <c r="U2961" s="31" t="s">
        <v>11193</v>
      </c>
      <c r="V2961" s="32">
        <v>43693.0</v>
      </c>
    </row>
    <row r="2962">
      <c r="A2962" s="32"/>
      <c r="T2962" s="31" t="s">
        <v>11197</v>
      </c>
      <c r="U2962" s="31" t="s">
        <v>11198</v>
      </c>
      <c r="V2962" s="32">
        <v>43692.0</v>
      </c>
    </row>
    <row r="2963">
      <c r="A2963" s="32"/>
      <c r="T2963" s="31" t="s">
        <v>11201</v>
      </c>
      <c r="U2963" s="31" t="s">
        <v>11202</v>
      </c>
      <c r="V2963" s="32">
        <v>43691.0</v>
      </c>
    </row>
    <row r="2964">
      <c r="A2964" s="32"/>
      <c r="T2964" s="31" t="s">
        <v>11205</v>
      </c>
      <c r="U2964" s="31" t="s">
        <v>11206</v>
      </c>
      <c r="V2964" s="32">
        <v>43691.0</v>
      </c>
    </row>
    <row r="2965">
      <c r="A2965" s="32"/>
      <c r="T2965" s="31" t="s">
        <v>11209</v>
      </c>
      <c r="U2965" s="31" t="s">
        <v>11210</v>
      </c>
      <c r="V2965" s="32">
        <v>43691.0</v>
      </c>
    </row>
    <row r="2966">
      <c r="A2966" s="32"/>
      <c r="T2966" s="31" t="s">
        <v>11213</v>
      </c>
      <c r="U2966" s="31" t="s">
        <v>11214</v>
      </c>
      <c r="V2966" s="32">
        <v>43690.0</v>
      </c>
    </row>
    <row r="2967">
      <c r="A2967" s="32"/>
      <c r="T2967" s="31" t="s">
        <v>11217</v>
      </c>
      <c r="U2967" s="31" t="s">
        <v>11218</v>
      </c>
      <c r="V2967" s="32">
        <v>43690.0</v>
      </c>
    </row>
    <row r="2968">
      <c r="A2968" s="32"/>
      <c r="T2968" s="31" t="s">
        <v>11221</v>
      </c>
      <c r="U2968" s="31" t="s">
        <v>11222</v>
      </c>
      <c r="V2968" s="32">
        <v>43687.0</v>
      </c>
    </row>
    <row r="2969">
      <c r="A2969" s="32"/>
      <c r="T2969" s="31" t="s">
        <v>11226</v>
      </c>
      <c r="U2969" s="31" t="s">
        <v>11227</v>
      </c>
      <c r="V2969" s="32">
        <v>43686.0</v>
      </c>
    </row>
    <row r="2970">
      <c r="A2970" s="32"/>
      <c r="T2970" s="31" t="s">
        <v>11230</v>
      </c>
      <c r="U2970" s="31" t="s">
        <v>11231</v>
      </c>
      <c r="V2970" s="32">
        <v>43686.0</v>
      </c>
    </row>
    <row r="2971">
      <c r="A2971" s="32"/>
      <c r="T2971" s="31" t="s">
        <v>11234</v>
      </c>
      <c r="U2971" s="31" t="s">
        <v>11235</v>
      </c>
      <c r="V2971" s="32">
        <v>43685.0</v>
      </c>
    </row>
    <row r="2972">
      <c r="A2972" s="32"/>
      <c r="T2972" s="31" t="s">
        <v>11238</v>
      </c>
      <c r="U2972" s="31" t="s">
        <v>11239</v>
      </c>
      <c r="V2972" s="32">
        <v>43685.0</v>
      </c>
    </row>
    <row r="2973">
      <c r="A2973" s="32"/>
      <c r="T2973" s="31" t="s">
        <v>11242</v>
      </c>
      <c r="U2973" s="31" t="s">
        <v>11243</v>
      </c>
      <c r="V2973" s="32">
        <v>43685.0</v>
      </c>
    </row>
    <row r="2974">
      <c r="A2974" s="32"/>
      <c r="T2974" s="31" t="s">
        <v>11246</v>
      </c>
      <c r="U2974" s="31" t="s">
        <v>11247</v>
      </c>
      <c r="V2974" s="32">
        <v>43684.0</v>
      </c>
    </row>
    <row r="2975">
      <c r="A2975" s="32"/>
      <c r="T2975" s="31" t="s">
        <v>11251</v>
      </c>
      <c r="U2975" s="31" t="s">
        <v>11252</v>
      </c>
      <c r="V2975" s="32">
        <v>43684.0</v>
      </c>
    </row>
    <row r="2976">
      <c r="A2976" s="32"/>
      <c r="T2976" s="31" t="s">
        <v>11256</v>
      </c>
      <c r="U2976" s="31" t="s">
        <v>11257</v>
      </c>
      <c r="V2976" s="32">
        <v>43682.0</v>
      </c>
    </row>
    <row r="2977">
      <c r="A2977" s="32"/>
      <c r="T2977" s="31" t="s">
        <v>11261</v>
      </c>
      <c r="U2977" s="31" t="s">
        <v>11262</v>
      </c>
      <c r="V2977" s="32">
        <v>43682.0</v>
      </c>
    </row>
    <row r="2978">
      <c r="A2978" s="32"/>
      <c r="T2978" s="31" t="s">
        <v>11266</v>
      </c>
      <c r="U2978" s="31" t="s">
        <v>11267</v>
      </c>
      <c r="V2978" s="32">
        <v>43680.0</v>
      </c>
    </row>
    <row r="2979">
      <c r="A2979" s="32"/>
      <c r="T2979" s="31" t="s">
        <v>11270</v>
      </c>
      <c r="U2979" s="31" t="s">
        <v>10341</v>
      </c>
      <c r="V2979" s="32">
        <v>43679.0</v>
      </c>
    </row>
    <row r="2980">
      <c r="A2980" s="32"/>
      <c r="T2980" s="31" t="s">
        <v>11273</v>
      </c>
      <c r="U2980" s="31" t="s">
        <v>6551</v>
      </c>
      <c r="V2980" s="32">
        <v>43679.0</v>
      </c>
    </row>
    <row r="2981">
      <c r="A2981" s="32"/>
      <c r="T2981" s="31" t="s">
        <v>11276</v>
      </c>
      <c r="U2981" s="31" t="s">
        <v>11277</v>
      </c>
      <c r="V2981" s="32">
        <v>43679.0</v>
      </c>
    </row>
    <row r="2982">
      <c r="A2982" s="32"/>
      <c r="T2982" s="31" t="s">
        <v>11280</v>
      </c>
      <c r="U2982" s="31" t="s">
        <v>11281</v>
      </c>
      <c r="V2982" s="32">
        <v>43678.0</v>
      </c>
    </row>
    <row r="2983">
      <c r="A2983" s="32"/>
      <c r="T2983" s="31" t="s">
        <v>11285</v>
      </c>
      <c r="U2983" s="31" t="s">
        <v>11286</v>
      </c>
      <c r="V2983" s="32">
        <v>43678.0</v>
      </c>
    </row>
    <row r="2984">
      <c r="A2984" s="32"/>
      <c r="T2984" s="31" t="s">
        <v>11289</v>
      </c>
      <c r="U2984" s="31" t="s">
        <v>11290</v>
      </c>
      <c r="V2984" s="32">
        <v>43678.0</v>
      </c>
    </row>
    <row r="2985">
      <c r="A2985" s="32"/>
      <c r="T2985" s="31" t="s">
        <v>11293</v>
      </c>
      <c r="U2985" s="31" t="s">
        <v>11294</v>
      </c>
      <c r="V2985" s="32">
        <v>43678.0</v>
      </c>
    </row>
    <row r="2986">
      <c r="A2986" s="32"/>
      <c r="T2986" s="31" t="s">
        <v>11298</v>
      </c>
      <c r="U2986" s="31" t="s">
        <v>7020</v>
      </c>
      <c r="V2986" s="32">
        <v>43678.0</v>
      </c>
    </row>
    <row r="2987">
      <c r="A2987" s="32"/>
      <c r="T2987" s="31" t="s">
        <v>11300</v>
      </c>
      <c r="U2987" s="31" t="s">
        <v>11301</v>
      </c>
      <c r="V2987" s="32">
        <v>43678.0</v>
      </c>
    </row>
    <row r="2988">
      <c r="A2988" s="32"/>
      <c r="T2988" s="31" t="s">
        <v>11304</v>
      </c>
      <c r="U2988" s="31" t="s">
        <v>11305</v>
      </c>
      <c r="V2988" s="32">
        <v>43678.0</v>
      </c>
    </row>
    <row r="2989">
      <c r="A2989" s="32"/>
      <c r="T2989" s="31" t="s">
        <v>11308</v>
      </c>
      <c r="U2989" s="31" t="s">
        <v>11309</v>
      </c>
      <c r="V2989" s="32">
        <v>43678.0</v>
      </c>
    </row>
    <row r="2990">
      <c r="A2990" s="32"/>
      <c r="T2990" s="31" t="s">
        <v>11312</v>
      </c>
      <c r="U2990" s="31" t="s">
        <v>11313</v>
      </c>
      <c r="V2990" s="32">
        <v>43678.0</v>
      </c>
    </row>
    <row r="2991">
      <c r="A2991" s="32"/>
      <c r="T2991" s="31" t="s">
        <v>11316</v>
      </c>
      <c r="U2991" s="31" t="s">
        <v>11317</v>
      </c>
      <c r="V2991" s="32">
        <v>43678.0</v>
      </c>
    </row>
    <row r="2992">
      <c r="A2992" s="32"/>
      <c r="T2992" s="31" t="s">
        <v>11320</v>
      </c>
      <c r="U2992" s="31" t="s">
        <v>11321</v>
      </c>
      <c r="V2992" s="32">
        <v>43678.0</v>
      </c>
    </row>
    <row r="2993">
      <c r="A2993" s="32"/>
      <c r="T2993" s="31" t="s">
        <v>11324</v>
      </c>
      <c r="U2993" s="31" t="s">
        <v>11325</v>
      </c>
      <c r="V2993" s="32">
        <v>43678.0</v>
      </c>
    </row>
    <row r="2994">
      <c r="A2994" s="32"/>
      <c r="T2994" s="31" t="s">
        <v>11328</v>
      </c>
      <c r="U2994" s="31" t="s">
        <v>11329</v>
      </c>
      <c r="V2994" s="32">
        <v>43677.0</v>
      </c>
    </row>
    <row r="2995">
      <c r="A2995" s="32"/>
      <c r="T2995" s="31" t="s">
        <v>11332</v>
      </c>
      <c r="U2995" s="31" t="s">
        <v>11333</v>
      </c>
      <c r="V2995" s="32">
        <v>43677.0</v>
      </c>
    </row>
    <row r="2996">
      <c r="A2996" s="32"/>
      <c r="T2996" s="31" t="s">
        <v>11336</v>
      </c>
      <c r="U2996" s="31" t="s">
        <v>11337</v>
      </c>
      <c r="V2996" s="32">
        <v>43676.0</v>
      </c>
    </row>
    <row r="2997">
      <c r="A2997" s="32"/>
      <c r="T2997" s="31" t="s">
        <v>11340</v>
      </c>
      <c r="U2997" s="31" t="s">
        <v>11341</v>
      </c>
      <c r="V2997" s="32">
        <v>43676.0</v>
      </c>
    </row>
    <row r="2998">
      <c r="A2998" s="32"/>
      <c r="T2998" s="31" t="s">
        <v>11343</v>
      </c>
      <c r="U2998" s="31" t="s">
        <v>11344</v>
      </c>
      <c r="V2998" s="32">
        <v>43675.0</v>
      </c>
    </row>
    <row r="2999">
      <c r="A2999" s="32"/>
      <c r="T2999" s="31" t="s">
        <v>11347</v>
      </c>
      <c r="U2999" s="31" t="s">
        <v>11348</v>
      </c>
      <c r="V2999" s="32">
        <v>43675.0</v>
      </c>
    </row>
    <row r="3000">
      <c r="A3000" s="32"/>
      <c r="T3000" s="31" t="s">
        <v>11351</v>
      </c>
      <c r="U3000" s="31" t="s">
        <v>11352</v>
      </c>
      <c r="V3000" s="32">
        <v>43672.0</v>
      </c>
    </row>
    <row r="3001">
      <c r="A3001" s="32"/>
      <c r="T3001" s="31" t="s">
        <v>11355</v>
      </c>
      <c r="U3001" s="31" t="s">
        <v>11356</v>
      </c>
      <c r="V3001" s="32">
        <v>43672.0</v>
      </c>
    </row>
    <row r="3002">
      <c r="A3002" s="32"/>
      <c r="T3002" s="31" t="s">
        <v>11359</v>
      </c>
      <c r="U3002" s="31" t="s">
        <v>11360</v>
      </c>
      <c r="V3002" s="32">
        <v>43672.0</v>
      </c>
    </row>
    <row r="3003">
      <c r="A3003" s="32"/>
      <c r="T3003" s="31" t="s">
        <v>11363</v>
      </c>
      <c r="U3003" s="31" t="s">
        <v>11364</v>
      </c>
      <c r="V3003" s="32">
        <v>43671.0</v>
      </c>
    </row>
    <row r="3004">
      <c r="A3004" s="32"/>
      <c r="T3004" s="31" t="s">
        <v>11368</v>
      </c>
      <c r="U3004" s="31" t="s">
        <v>11369</v>
      </c>
      <c r="V3004" s="32">
        <v>43671.0</v>
      </c>
    </row>
    <row r="3005">
      <c r="A3005" s="32"/>
      <c r="T3005" s="31" t="s">
        <v>11372</v>
      </c>
      <c r="U3005" s="31" t="s">
        <v>11373</v>
      </c>
      <c r="V3005" s="32">
        <v>43670.0</v>
      </c>
    </row>
    <row r="3006">
      <c r="A3006" s="32"/>
      <c r="T3006" s="31" t="s">
        <v>11377</v>
      </c>
      <c r="U3006" s="31" t="s">
        <v>11378</v>
      </c>
      <c r="V3006" s="32">
        <v>43670.0</v>
      </c>
    </row>
    <row r="3007">
      <c r="A3007" s="32"/>
      <c r="T3007" s="31" t="s">
        <v>11381</v>
      </c>
      <c r="U3007" s="31" t="s">
        <v>11382</v>
      </c>
      <c r="V3007" s="32">
        <v>43670.0</v>
      </c>
    </row>
    <row r="3008">
      <c r="A3008" s="32"/>
      <c r="T3008" s="31" t="s">
        <v>11385</v>
      </c>
      <c r="U3008" s="31" t="s">
        <v>11386</v>
      </c>
      <c r="V3008" s="32">
        <v>43670.0</v>
      </c>
    </row>
    <row r="3009">
      <c r="A3009" s="32"/>
      <c r="T3009" s="31" t="s">
        <v>11389</v>
      </c>
      <c r="U3009" s="31" t="s">
        <v>11390</v>
      </c>
      <c r="V3009" s="32">
        <v>43669.0</v>
      </c>
    </row>
    <row r="3010">
      <c r="A3010" s="32"/>
      <c r="T3010" s="31" t="s">
        <v>11393</v>
      </c>
      <c r="U3010" s="31" t="s">
        <v>11394</v>
      </c>
      <c r="V3010" s="32">
        <v>43666.0</v>
      </c>
    </row>
    <row r="3011">
      <c r="A3011" s="32"/>
      <c r="T3011" s="31" t="s">
        <v>11398</v>
      </c>
      <c r="U3011" s="31" t="s">
        <v>11399</v>
      </c>
      <c r="V3011" s="32">
        <v>43665.0</v>
      </c>
    </row>
    <row r="3012">
      <c r="A3012" s="32"/>
      <c r="T3012" s="31" t="s">
        <v>11403</v>
      </c>
      <c r="U3012" s="31" t="s">
        <v>11404</v>
      </c>
      <c r="V3012" s="32">
        <v>43665.0</v>
      </c>
    </row>
    <row r="3013">
      <c r="A3013" s="32"/>
      <c r="T3013" s="31" t="s">
        <v>11407</v>
      </c>
      <c r="U3013" s="31" t="s">
        <v>11408</v>
      </c>
      <c r="V3013" s="32">
        <v>43663.0</v>
      </c>
    </row>
    <row r="3014">
      <c r="A3014" s="32"/>
      <c r="T3014" s="31" t="s">
        <v>11411</v>
      </c>
      <c r="U3014" s="31" t="s">
        <v>11412</v>
      </c>
      <c r="V3014" s="32">
        <v>43662.0</v>
      </c>
    </row>
    <row r="3015">
      <c r="A3015" s="32"/>
      <c r="T3015" s="31" t="s">
        <v>11415</v>
      </c>
      <c r="U3015" s="31" t="s">
        <v>11416</v>
      </c>
      <c r="V3015" s="32">
        <v>43659.0</v>
      </c>
    </row>
    <row r="3016">
      <c r="A3016" s="32"/>
      <c r="T3016" s="31" t="s">
        <v>11419</v>
      </c>
      <c r="U3016" s="31" t="s">
        <v>11420</v>
      </c>
      <c r="V3016" s="32">
        <v>43656.0</v>
      </c>
    </row>
    <row r="3017">
      <c r="A3017" s="32"/>
      <c r="T3017" s="31" t="s">
        <v>11424</v>
      </c>
      <c r="U3017" s="31" t="s">
        <v>11425</v>
      </c>
      <c r="V3017" s="32">
        <v>43656.0</v>
      </c>
    </row>
    <row r="3018">
      <c r="A3018" s="32"/>
      <c r="T3018" s="31" t="s">
        <v>11427</v>
      </c>
      <c r="U3018" s="31" t="s">
        <v>11428</v>
      </c>
      <c r="V3018" s="32">
        <v>43656.0</v>
      </c>
    </row>
    <row r="3019">
      <c r="A3019" s="32"/>
      <c r="T3019" s="31" t="s">
        <v>11431</v>
      </c>
      <c r="U3019" s="31" t="s">
        <v>11432</v>
      </c>
      <c r="V3019" s="32">
        <v>43656.0</v>
      </c>
    </row>
    <row r="3020">
      <c r="A3020" s="32"/>
      <c r="T3020" s="31" t="s">
        <v>11436</v>
      </c>
      <c r="U3020" s="31" t="s">
        <v>11437</v>
      </c>
      <c r="V3020" s="32">
        <v>43655.0</v>
      </c>
    </row>
    <row r="3021">
      <c r="A3021" s="32"/>
      <c r="T3021" s="31" t="s">
        <v>11440</v>
      </c>
      <c r="U3021" s="31" t="s">
        <v>11441</v>
      </c>
      <c r="V3021" s="32">
        <v>43655.0</v>
      </c>
    </row>
    <row r="3022">
      <c r="A3022" s="32"/>
      <c r="T3022" s="31" t="s">
        <v>11444</v>
      </c>
      <c r="U3022" s="31" t="s">
        <v>11445</v>
      </c>
      <c r="V3022" s="32">
        <v>43652.0</v>
      </c>
    </row>
    <row r="3023">
      <c r="A3023" s="32"/>
      <c r="T3023" s="31" t="s">
        <v>11448</v>
      </c>
      <c r="U3023" s="31" t="s">
        <v>11449</v>
      </c>
      <c r="V3023" s="32">
        <v>43651.0</v>
      </c>
    </row>
    <row r="3024">
      <c r="A3024" s="32"/>
      <c r="T3024" s="31" t="s">
        <v>11452</v>
      </c>
      <c r="U3024" s="31" t="s">
        <v>11453</v>
      </c>
      <c r="V3024" s="32">
        <v>43650.0</v>
      </c>
    </row>
    <row r="3025">
      <c r="A3025" s="32"/>
      <c r="T3025" s="31" t="s">
        <v>11456</v>
      </c>
      <c r="U3025" s="31" t="s">
        <v>11457</v>
      </c>
      <c r="V3025" s="32">
        <v>43650.0</v>
      </c>
    </row>
    <row r="3026">
      <c r="A3026" s="32"/>
      <c r="T3026" s="31" t="s">
        <v>11460</v>
      </c>
      <c r="U3026" s="31" t="s">
        <v>11461</v>
      </c>
      <c r="V3026" s="32">
        <v>43649.0</v>
      </c>
    </row>
    <row r="3027">
      <c r="A3027" s="32"/>
      <c r="T3027" s="31" t="s">
        <v>11464</v>
      </c>
      <c r="U3027" s="31" t="s">
        <v>11465</v>
      </c>
      <c r="V3027" s="32">
        <v>43649.0</v>
      </c>
    </row>
    <row r="3028">
      <c r="A3028" s="32"/>
      <c r="T3028" s="31" t="s">
        <v>11469</v>
      </c>
      <c r="U3028" s="31" t="s">
        <v>11470</v>
      </c>
      <c r="V3028" s="32">
        <v>43647.0</v>
      </c>
    </row>
    <row r="3029">
      <c r="A3029" s="32"/>
      <c r="T3029" s="31" t="s">
        <v>11473</v>
      </c>
      <c r="U3029" s="31" t="s">
        <v>11474</v>
      </c>
      <c r="V3029" s="32">
        <v>43647.0</v>
      </c>
    </row>
    <row r="3030">
      <c r="A3030" s="32"/>
      <c r="T3030" s="31" t="s">
        <v>11477</v>
      </c>
      <c r="U3030" s="31" t="s">
        <v>11478</v>
      </c>
      <c r="V3030" s="32">
        <v>43647.0</v>
      </c>
    </row>
    <row r="3031">
      <c r="A3031" s="32"/>
      <c r="T3031" s="31" t="s">
        <v>11480</v>
      </c>
      <c r="U3031" s="31" t="s">
        <v>11481</v>
      </c>
      <c r="V3031" s="32">
        <v>43647.0</v>
      </c>
    </row>
    <row r="3032">
      <c r="A3032" s="32"/>
      <c r="T3032" s="31" t="s">
        <v>11484</v>
      </c>
      <c r="U3032" s="31" t="s">
        <v>11485</v>
      </c>
      <c r="V3032" s="32">
        <v>43647.0</v>
      </c>
    </row>
    <row r="3033">
      <c r="A3033" s="32"/>
      <c r="T3033" s="31" t="s">
        <v>11488</v>
      </c>
      <c r="U3033" s="31" t="s">
        <v>11489</v>
      </c>
      <c r="V3033" s="32">
        <v>43647.0</v>
      </c>
    </row>
    <row r="3034">
      <c r="A3034" s="32"/>
      <c r="T3034" s="31" t="s">
        <v>11492</v>
      </c>
      <c r="U3034" s="31" t="s">
        <v>11184</v>
      </c>
      <c r="V3034" s="32">
        <v>43644.0</v>
      </c>
    </row>
    <row r="3035">
      <c r="A3035" s="32"/>
      <c r="T3035" s="31" t="s">
        <v>11496</v>
      </c>
      <c r="U3035" s="31" t="s">
        <v>11497</v>
      </c>
      <c r="V3035" s="32">
        <v>43644.0</v>
      </c>
    </row>
    <row r="3036">
      <c r="A3036" s="32"/>
      <c r="T3036" s="31" t="s">
        <v>11501</v>
      </c>
      <c r="U3036" s="31" t="s">
        <v>11502</v>
      </c>
      <c r="V3036" s="32">
        <v>43643.0</v>
      </c>
    </row>
    <row r="3037">
      <c r="A3037" s="32"/>
      <c r="T3037" s="31" t="s">
        <v>11505</v>
      </c>
      <c r="U3037" s="31" t="s">
        <v>11506</v>
      </c>
      <c r="V3037" s="32">
        <v>43642.0</v>
      </c>
    </row>
    <row r="3038">
      <c r="A3038" s="32"/>
      <c r="T3038" s="31" t="s">
        <v>11509</v>
      </c>
      <c r="U3038" s="31" t="s">
        <v>11510</v>
      </c>
      <c r="V3038" s="32">
        <v>43641.0</v>
      </c>
    </row>
    <row r="3039">
      <c r="A3039" s="32"/>
      <c r="T3039" s="31" t="s">
        <v>11514</v>
      </c>
      <c r="U3039" s="31" t="s">
        <v>11515</v>
      </c>
      <c r="V3039" s="32">
        <v>43641.0</v>
      </c>
    </row>
    <row r="3040">
      <c r="A3040" s="32"/>
      <c r="T3040" s="31" t="s">
        <v>11518</v>
      </c>
      <c r="U3040" s="31" t="s">
        <v>11519</v>
      </c>
      <c r="V3040" s="32">
        <v>43639.0</v>
      </c>
    </row>
    <row r="3041">
      <c r="A3041" s="32"/>
      <c r="T3041" s="31" t="s">
        <v>11523</v>
      </c>
      <c r="U3041" s="31" t="s">
        <v>11524</v>
      </c>
      <c r="V3041" s="32">
        <v>43638.0</v>
      </c>
    </row>
    <row r="3042">
      <c r="A3042" s="32"/>
      <c r="T3042" s="31" t="s">
        <v>11527</v>
      </c>
      <c r="U3042" s="31" t="s">
        <v>11528</v>
      </c>
      <c r="V3042" s="32">
        <v>43636.0</v>
      </c>
    </row>
    <row r="3043">
      <c r="A3043" s="32"/>
      <c r="T3043" s="31" t="s">
        <v>11531</v>
      </c>
      <c r="U3043" s="31" t="s">
        <v>11532</v>
      </c>
      <c r="V3043" s="32">
        <v>43636.0</v>
      </c>
    </row>
    <row r="3044">
      <c r="A3044" s="32"/>
      <c r="T3044" s="31" t="s">
        <v>11535</v>
      </c>
      <c r="U3044" s="31" t="s">
        <v>11536</v>
      </c>
      <c r="V3044" s="32">
        <v>43636.0</v>
      </c>
    </row>
    <row r="3045">
      <c r="A3045" s="32"/>
      <c r="T3045" s="31" t="s">
        <v>11539</v>
      </c>
      <c r="U3045" s="31" t="s">
        <v>11540</v>
      </c>
      <c r="V3045" s="32">
        <v>43636.0</v>
      </c>
    </row>
    <row r="3046">
      <c r="A3046" s="32"/>
      <c r="T3046" s="31" t="s">
        <v>11543</v>
      </c>
      <c r="U3046" s="31" t="s">
        <v>11544</v>
      </c>
      <c r="V3046" s="32">
        <v>43635.0</v>
      </c>
    </row>
    <row r="3047">
      <c r="A3047" s="32"/>
      <c r="T3047" s="31" t="s">
        <v>11548</v>
      </c>
      <c r="U3047" s="31" t="s">
        <v>8091</v>
      </c>
      <c r="V3047" s="32">
        <v>43635.0</v>
      </c>
    </row>
    <row r="3048">
      <c r="A3048" s="32"/>
      <c r="T3048" s="31" t="s">
        <v>11551</v>
      </c>
      <c r="U3048" s="31" t="s">
        <v>11552</v>
      </c>
      <c r="V3048" s="32">
        <v>43634.0</v>
      </c>
    </row>
    <row r="3049">
      <c r="A3049" s="32"/>
      <c r="T3049" s="31" t="s">
        <v>11555</v>
      </c>
      <c r="U3049" s="31" t="s">
        <v>11556</v>
      </c>
      <c r="V3049" s="32">
        <v>43634.0</v>
      </c>
    </row>
    <row r="3050">
      <c r="A3050" s="32"/>
      <c r="T3050" s="31" t="s">
        <v>11560</v>
      </c>
      <c r="U3050" s="31" t="s">
        <v>11561</v>
      </c>
      <c r="V3050" s="32">
        <v>43634.0</v>
      </c>
    </row>
    <row r="3051">
      <c r="A3051" s="32"/>
      <c r="T3051" s="31" t="s">
        <v>11564</v>
      </c>
      <c r="U3051" s="31" t="s">
        <v>11565</v>
      </c>
      <c r="V3051" s="32">
        <v>43633.0</v>
      </c>
    </row>
    <row r="3052">
      <c r="A3052" s="32"/>
      <c r="T3052" s="31" t="s">
        <v>11568</v>
      </c>
      <c r="U3052" s="31" t="s">
        <v>11569</v>
      </c>
      <c r="V3052" s="32">
        <v>43633.0</v>
      </c>
    </row>
    <row r="3053">
      <c r="A3053" s="32"/>
      <c r="T3053" s="31" t="s">
        <v>11572</v>
      </c>
      <c r="U3053" s="31" t="s">
        <v>11573</v>
      </c>
      <c r="V3053" s="32">
        <v>43632.0</v>
      </c>
    </row>
    <row r="3054">
      <c r="A3054" s="32"/>
      <c r="T3054" s="31" t="s">
        <v>11576</v>
      </c>
      <c r="U3054" s="31" t="s">
        <v>11577</v>
      </c>
      <c r="V3054" s="32">
        <v>43630.0</v>
      </c>
    </row>
    <row r="3055">
      <c r="A3055" s="32"/>
      <c r="T3055" s="31" t="s">
        <v>11580</v>
      </c>
      <c r="U3055" s="31" t="s">
        <v>11581</v>
      </c>
      <c r="V3055" s="32">
        <v>43630.0</v>
      </c>
    </row>
    <row r="3056">
      <c r="A3056" s="32"/>
      <c r="T3056" s="31" t="s">
        <v>11584</v>
      </c>
      <c r="U3056" s="31" t="s">
        <v>11585</v>
      </c>
      <c r="V3056" s="32">
        <v>43629.0</v>
      </c>
    </row>
    <row r="3057">
      <c r="A3057" s="32"/>
      <c r="T3057" s="31" t="s">
        <v>11588</v>
      </c>
      <c r="U3057" s="31" t="s">
        <v>11589</v>
      </c>
      <c r="V3057" s="32">
        <v>43629.0</v>
      </c>
    </row>
    <row r="3058">
      <c r="A3058" s="32"/>
      <c r="T3058" s="31" t="s">
        <v>11592</v>
      </c>
      <c r="U3058" s="31" t="s">
        <v>11593</v>
      </c>
      <c r="V3058" s="32">
        <v>43626.0</v>
      </c>
    </row>
    <row r="3059">
      <c r="A3059" s="32"/>
      <c r="T3059" s="31" t="s">
        <v>11596</v>
      </c>
      <c r="U3059" s="31" t="s">
        <v>11597</v>
      </c>
      <c r="V3059" s="32">
        <v>43626.0</v>
      </c>
    </row>
    <row r="3060">
      <c r="A3060" s="32"/>
      <c r="T3060" s="31" t="s">
        <v>11600</v>
      </c>
      <c r="U3060" s="31" t="s">
        <v>11601</v>
      </c>
      <c r="V3060" s="32">
        <v>43626.0</v>
      </c>
    </row>
    <row r="3061">
      <c r="A3061" s="32"/>
      <c r="T3061" s="31" t="s">
        <v>11604</v>
      </c>
      <c r="U3061" s="31" t="s">
        <v>11605</v>
      </c>
      <c r="V3061" s="32">
        <v>43626.0</v>
      </c>
    </row>
    <row r="3062">
      <c r="A3062" s="32"/>
      <c r="T3062" s="31" t="s">
        <v>11608</v>
      </c>
      <c r="U3062" s="31" t="s">
        <v>11609</v>
      </c>
      <c r="V3062" s="32">
        <v>43622.0</v>
      </c>
    </row>
    <row r="3063">
      <c r="A3063" s="32"/>
      <c r="T3063" s="31" t="s">
        <v>11612</v>
      </c>
      <c r="U3063" s="31" t="s">
        <v>11613</v>
      </c>
      <c r="V3063" s="32">
        <v>43621.0</v>
      </c>
    </row>
    <row r="3064">
      <c r="A3064" s="32"/>
      <c r="T3064" s="31" t="s">
        <v>11616</v>
      </c>
      <c r="U3064" s="31" t="s">
        <v>11617</v>
      </c>
      <c r="V3064" s="32">
        <v>43620.0</v>
      </c>
    </row>
    <row r="3065">
      <c r="A3065" s="32"/>
      <c r="T3065" s="31" t="s">
        <v>11619</v>
      </c>
      <c r="U3065" s="31" t="s">
        <v>11620</v>
      </c>
      <c r="V3065" s="32">
        <v>43618.0</v>
      </c>
    </row>
    <row r="3066">
      <c r="A3066" s="32"/>
      <c r="T3066" s="31" t="s">
        <v>11624</v>
      </c>
      <c r="U3066" s="31" t="s">
        <v>11625</v>
      </c>
      <c r="V3066" s="32">
        <v>43617.0</v>
      </c>
    </row>
    <row r="3067">
      <c r="A3067" s="32"/>
      <c r="T3067" s="31" t="s">
        <v>11628</v>
      </c>
      <c r="U3067" s="31" t="s">
        <v>6065</v>
      </c>
      <c r="V3067" s="32">
        <v>43617.0</v>
      </c>
    </row>
    <row r="3068">
      <c r="A3068" s="32"/>
      <c r="T3068" s="31" t="s">
        <v>11631</v>
      </c>
      <c r="U3068" s="31" t="s">
        <v>11632</v>
      </c>
      <c r="V3068" s="32">
        <v>43617.0</v>
      </c>
    </row>
    <row r="3069">
      <c r="A3069" s="32"/>
      <c r="T3069" s="31" t="s">
        <v>11635</v>
      </c>
      <c r="U3069" s="31" t="s">
        <v>11636</v>
      </c>
      <c r="V3069" s="32">
        <v>43617.0</v>
      </c>
    </row>
    <row r="3070">
      <c r="A3070" s="32"/>
      <c r="T3070" s="31" t="s">
        <v>11639</v>
      </c>
      <c r="U3070" s="31" t="s">
        <v>11640</v>
      </c>
      <c r="V3070" s="32">
        <v>43617.0</v>
      </c>
    </row>
    <row r="3071">
      <c r="A3071" s="32"/>
      <c r="T3071" s="31" t="s">
        <v>11643</v>
      </c>
      <c r="U3071" s="31" t="s">
        <v>11644</v>
      </c>
      <c r="V3071" s="32">
        <v>43617.0</v>
      </c>
    </row>
    <row r="3072">
      <c r="A3072" s="32"/>
      <c r="T3072" s="31" t="s">
        <v>11647</v>
      </c>
      <c r="U3072" s="31" t="s">
        <v>11648</v>
      </c>
      <c r="V3072" s="32">
        <v>43617.0</v>
      </c>
    </row>
    <row r="3073">
      <c r="A3073" s="32"/>
      <c r="T3073" s="31" t="s">
        <v>11651</v>
      </c>
      <c r="U3073" s="31" t="s">
        <v>11652</v>
      </c>
      <c r="V3073" s="32">
        <v>43616.0</v>
      </c>
    </row>
    <row r="3074">
      <c r="A3074" s="32"/>
      <c r="T3074" s="31" t="s">
        <v>11655</v>
      </c>
      <c r="U3074" s="31" t="s">
        <v>11656</v>
      </c>
      <c r="V3074" s="32">
        <v>43616.0</v>
      </c>
    </row>
    <row r="3075">
      <c r="A3075" s="32"/>
      <c r="T3075" s="31" t="s">
        <v>11660</v>
      </c>
      <c r="U3075" s="31" t="s">
        <v>11661</v>
      </c>
      <c r="V3075" s="32">
        <v>43616.0</v>
      </c>
    </row>
    <row r="3076">
      <c r="A3076" s="32"/>
      <c r="T3076" s="31" t="s">
        <v>11664</v>
      </c>
      <c r="U3076" s="31" t="s">
        <v>11665</v>
      </c>
      <c r="V3076" s="32">
        <v>43616.0</v>
      </c>
    </row>
    <row r="3077">
      <c r="A3077" s="32"/>
      <c r="T3077" s="31" t="s">
        <v>11668</v>
      </c>
      <c r="U3077" s="31" t="s">
        <v>11669</v>
      </c>
      <c r="V3077" s="32">
        <v>43615.0</v>
      </c>
    </row>
    <row r="3078">
      <c r="A3078" s="32"/>
      <c r="T3078" s="31" t="s">
        <v>11672</v>
      </c>
      <c r="U3078" s="31" t="s">
        <v>11673</v>
      </c>
      <c r="V3078" s="32">
        <v>43614.0</v>
      </c>
    </row>
    <row r="3079">
      <c r="A3079" s="32"/>
      <c r="T3079" s="31" t="s">
        <v>11675</v>
      </c>
      <c r="U3079" s="31" t="s">
        <v>11676</v>
      </c>
      <c r="V3079" s="32">
        <v>43613.0</v>
      </c>
    </row>
    <row r="3080">
      <c r="A3080" s="32"/>
      <c r="T3080" s="31" t="s">
        <v>11679</v>
      </c>
      <c r="U3080" s="31" t="s">
        <v>11680</v>
      </c>
      <c r="V3080" s="32">
        <v>43613.0</v>
      </c>
    </row>
    <row r="3081">
      <c r="A3081" s="32"/>
      <c r="T3081" s="31" t="s">
        <v>11683</v>
      </c>
      <c r="U3081" s="31" t="s">
        <v>11684</v>
      </c>
      <c r="V3081" s="32">
        <v>43612.0</v>
      </c>
    </row>
    <row r="3082">
      <c r="A3082" s="32"/>
      <c r="T3082" s="31" t="s">
        <v>11687</v>
      </c>
      <c r="U3082" s="31" t="s">
        <v>11688</v>
      </c>
      <c r="V3082" s="32">
        <v>43612.0</v>
      </c>
    </row>
    <row r="3083">
      <c r="A3083" s="32"/>
      <c r="T3083" s="31" t="s">
        <v>11691</v>
      </c>
      <c r="U3083" s="31" t="s">
        <v>11692</v>
      </c>
      <c r="V3083" s="32">
        <v>43609.0</v>
      </c>
    </row>
    <row r="3084">
      <c r="A3084" s="32"/>
      <c r="T3084" s="31" t="s">
        <v>11695</v>
      </c>
      <c r="U3084" s="31" t="s">
        <v>11696</v>
      </c>
      <c r="V3084" s="32">
        <v>43609.0</v>
      </c>
    </row>
    <row r="3085">
      <c r="A3085" s="32"/>
      <c r="T3085" s="31" t="s">
        <v>11699</v>
      </c>
      <c r="U3085" s="31" t="s">
        <v>11700</v>
      </c>
      <c r="V3085" s="32">
        <v>43609.0</v>
      </c>
    </row>
    <row r="3086">
      <c r="A3086" s="32"/>
      <c r="T3086" s="31" t="s">
        <v>11703</v>
      </c>
      <c r="U3086" s="31" t="s">
        <v>11704</v>
      </c>
      <c r="V3086" s="32">
        <v>43608.0</v>
      </c>
    </row>
    <row r="3087">
      <c r="A3087" s="32"/>
      <c r="T3087" s="31" t="s">
        <v>11707</v>
      </c>
      <c r="U3087" s="31" t="s">
        <v>11708</v>
      </c>
      <c r="V3087" s="32">
        <v>43608.0</v>
      </c>
    </row>
    <row r="3088">
      <c r="A3088" s="32"/>
      <c r="T3088" s="31" t="s">
        <v>11711</v>
      </c>
      <c r="U3088" s="31" t="s">
        <v>11712</v>
      </c>
      <c r="V3088" s="32">
        <v>43608.0</v>
      </c>
    </row>
    <row r="3089">
      <c r="A3089" s="32"/>
      <c r="T3089" s="31" t="s">
        <v>11715</v>
      </c>
      <c r="U3089" s="31" t="s">
        <v>11716</v>
      </c>
      <c r="V3089" s="32">
        <v>43608.0</v>
      </c>
    </row>
    <row r="3090">
      <c r="A3090" s="32"/>
      <c r="T3090" s="31" t="s">
        <v>11719</v>
      </c>
      <c r="U3090" s="31" t="s">
        <v>11720</v>
      </c>
      <c r="V3090" s="32">
        <v>43608.0</v>
      </c>
    </row>
    <row r="3091">
      <c r="A3091" s="32"/>
      <c r="T3091" s="31" t="s">
        <v>11724</v>
      </c>
      <c r="U3091" s="31" t="s">
        <v>11725</v>
      </c>
      <c r="V3091" s="32">
        <v>43607.0</v>
      </c>
    </row>
    <row r="3092">
      <c r="A3092" s="32"/>
      <c r="T3092" s="31" t="s">
        <v>11728</v>
      </c>
      <c r="U3092" s="31" t="s">
        <v>11729</v>
      </c>
      <c r="V3092" s="32">
        <v>43606.0</v>
      </c>
    </row>
    <row r="3093">
      <c r="A3093" s="32"/>
      <c r="T3093" s="31" t="s">
        <v>11732</v>
      </c>
      <c r="U3093" s="31" t="s">
        <v>11733</v>
      </c>
      <c r="V3093" s="32">
        <v>43606.0</v>
      </c>
    </row>
    <row r="3094">
      <c r="A3094" s="32"/>
      <c r="T3094" s="31" t="s">
        <v>11736</v>
      </c>
      <c r="U3094" s="31" t="s">
        <v>11737</v>
      </c>
      <c r="V3094" s="32">
        <v>43604.0</v>
      </c>
    </row>
    <row r="3095">
      <c r="A3095" s="32"/>
      <c r="T3095" s="31" t="s">
        <v>11740</v>
      </c>
      <c r="U3095" s="31" t="s">
        <v>11741</v>
      </c>
      <c r="V3095" s="32">
        <v>43601.0</v>
      </c>
    </row>
    <row r="3096">
      <c r="A3096" s="32"/>
      <c r="T3096" s="31" t="s">
        <v>11744</v>
      </c>
      <c r="U3096" s="31" t="s">
        <v>11745</v>
      </c>
      <c r="V3096" s="32">
        <v>43601.0</v>
      </c>
    </row>
    <row r="3097">
      <c r="A3097" s="32"/>
      <c r="T3097" s="31" t="s">
        <v>11748</v>
      </c>
      <c r="U3097" s="31" t="s">
        <v>11749</v>
      </c>
      <c r="V3097" s="32">
        <v>43601.0</v>
      </c>
    </row>
    <row r="3098">
      <c r="A3098" s="32"/>
      <c r="T3098" s="31" t="s">
        <v>11752</v>
      </c>
      <c r="U3098" s="31" t="s">
        <v>11753</v>
      </c>
      <c r="V3098" s="32">
        <v>43601.0</v>
      </c>
    </row>
    <row r="3099">
      <c r="A3099" s="32"/>
      <c r="T3099" s="31" t="s">
        <v>11756</v>
      </c>
      <c r="U3099" s="31" t="s">
        <v>11757</v>
      </c>
      <c r="V3099" s="32">
        <v>43599.0</v>
      </c>
    </row>
    <row r="3100">
      <c r="A3100" s="32"/>
      <c r="T3100" s="31" t="s">
        <v>11761</v>
      </c>
      <c r="U3100" s="31" t="s">
        <v>11762</v>
      </c>
      <c r="V3100" s="32">
        <v>43598.0</v>
      </c>
    </row>
    <row r="3101">
      <c r="A3101" s="32"/>
      <c r="T3101" s="31" t="s">
        <v>11765</v>
      </c>
      <c r="U3101" s="31" t="s">
        <v>11766</v>
      </c>
      <c r="V3101" s="32">
        <v>43598.0</v>
      </c>
    </row>
    <row r="3102">
      <c r="A3102" s="32"/>
      <c r="T3102" s="31" t="s">
        <v>11770</v>
      </c>
      <c r="U3102" s="31" t="s">
        <v>11771</v>
      </c>
      <c r="V3102" s="32">
        <v>43595.0</v>
      </c>
    </row>
    <row r="3103">
      <c r="A3103" s="32"/>
      <c r="T3103" s="31" t="s">
        <v>11774</v>
      </c>
      <c r="U3103" s="31" t="s">
        <v>11775</v>
      </c>
      <c r="V3103" s="32">
        <v>43593.0</v>
      </c>
    </row>
    <row r="3104">
      <c r="A3104" s="32"/>
      <c r="T3104" s="31" t="s">
        <v>11778</v>
      </c>
      <c r="U3104" s="31" t="s">
        <v>11779</v>
      </c>
      <c r="V3104" s="32">
        <v>43592.0</v>
      </c>
    </row>
    <row r="3105">
      <c r="A3105" s="32"/>
      <c r="T3105" s="31" t="s">
        <v>11782</v>
      </c>
      <c r="U3105" s="31" t="s">
        <v>11783</v>
      </c>
      <c r="V3105" s="32">
        <v>43592.0</v>
      </c>
    </row>
    <row r="3106">
      <c r="A3106" s="32"/>
      <c r="T3106" s="31" t="s">
        <v>11786</v>
      </c>
      <c r="U3106" s="31" t="s">
        <v>11787</v>
      </c>
      <c r="V3106" s="32">
        <v>43588.0</v>
      </c>
    </row>
    <row r="3107">
      <c r="A3107" s="32"/>
      <c r="T3107" s="31" t="s">
        <v>11790</v>
      </c>
      <c r="U3107" s="31" t="s">
        <v>11791</v>
      </c>
      <c r="V3107" s="32">
        <v>43587.0</v>
      </c>
    </row>
    <row r="3108">
      <c r="A3108" s="32"/>
      <c r="T3108" s="31" t="s">
        <v>11794</v>
      </c>
      <c r="U3108" s="31" t="s">
        <v>11795</v>
      </c>
      <c r="V3108" s="32">
        <v>43586.0</v>
      </c>
    </row>
    <row r="3109">
      <c r="A3109" s="32"/>
      <c r="T3109" s="31" t="s">
        <v>11798</v>
      </c>
      <c r="U3109" s="31" t="s">
        <v>11799</v>
      </c>
      <c r="V3109" s="32">
        <v>43586.0</v>
      </c>
    </row>
    <row r="3110">
      <c r="A3110" s="32"/>
      <c r="T3110" s="31" t="s">
        <v>11802</v>
      </c>
      <c r="U3110" s="31" t="s">
        <v>11803</v>
      </c>
      <c r="V3110" s="32">
        <v>43586.0</v>
      </c>
    </row>
    <row r="3111">
      <c r="A3111" s="32"/>
      <c r="T3111" s="31" t="s">
        <v>11807</v>
      </c>
      <c r="U3111" s="31" t="s">
        <v>11808</v>
      </c>
      <c r="V3111" s="32">
        <v>43586.0</v>
      </c>
    </row>
    <row r="3112">
      <c r="A3112" s="32"/>
      <c r="T3112" s="31" t="s">
        <v>11811</v>
      </c>
      <c r="U3112" s="31" t="s">
        <v>11812</v>
      </c>
      <c r="V3112" s="32">
        <v>43586.0</v>
      </c>
    </row>
    <row r="3113">
      <c r="A3113" s="32"/>
      <c r="T3113" s="31" t="s">
        <v>11815</v>
      </c>
      <c r="U3113" s="31" t="s">
        <v>11816</v>
      </c>
      <c r="V3113" s="32">
        <v>43586.0</v>
      </c>
    </row>
    <row r="3114">
      <c r="A3114" s="32"/>
      <c r="T3114" s="31" t="s">
        <v>11819</v>
      </c>
      <c r="U3114" s="31" t="s">
        <v>11820</v>
      </c>
      <c r="V3114" s="32">
        <v>43585.0</v>
      </c>
    </row>
    <row r="3115">
      <c r="A3115" s="32"/>
      <c r="T3115" s="31" t="s">
        <v>11823</v>
      </c>
      <c r="U3115" s="31" t="s">
        <v>11824</v>
      </c>
      <c r="V3115" s="32">
        <v>43581.0</v>
      </c>
    </row>
    <row r="3116">
      <c r="A3116" s="32"/>
      <c r="T3116" s="31" t="s">
        <v>11828</v>
      </c>
      <c r="U3116" s="31" t="s">
        <v>11829</v>
      </c>
      <c r="V3116" s="32">
        <v>43580.0</v>
      </c>
    </row>
    <row r="3117">
      <c r="A3117" s="32"/>
      <c r="T3117" s="31" t="s">
        <v>11832</v>
      </c>
      <c r="U3117" s="31" t="s">
        <v>11833</v>
      </c>
      <c r="V3117" s="32">
        <v>43580.0</v>
      </c>
    </row>
    <row r="3118">
      <c r="A3118" s="32"/>
      <c r="T3118" s="31" t="s">
        <v>11836</v>
      </c>
      <c r="U3118" s="31" t="s">
        <v>11837</v>
      </c>
      <c r="V3118" s="32">
        <v>43580.0</v>
      </c>
    </row>
    <row r="3119">
      <c r="A3119" s="32"/>
      <c r="T3119" s="31" t="s">
        <v>11840</v>
      </c>
      <c r="U3119" s="31" t="s">
        <v>11841</v>
      </c>
      <c r="V3119" s="32">
        <v>43579.0</v>
      </c>
    </row>
    <row r="3120">
      <c r="A3120" s="32"/>
      <c r="T3120" s="31" t="s">
        <v>11844</v>
      </c>
      <c r="U3120" s="31" t="s">
        <v>11845</v>
      </c>
      <c r="V3120" s="32">
        <v>43578.0</v>
      </c>
    </row>
    <row r="3121">
      <c r="A3121" s="32"/>
      <c r="T3121" s="31" t="s">
        <v>11848</v>
      </c>
      <c r="U3121" s="31" t="s">
        <v>11849</v>
      </c>
      <c r="V3121" s="32">
        <v>43577.0</v>
      </c>
    </row>
    <row r="3122">
      <c r="A3122" s="32"/>
      <c r="T3122" s="31" t="s">
        <v>11852</v>
      </c>
      <c r="U3122" s="31" t="s">
        <v>11853</v>
      </c>
      <c r="V3122" s="32">
        <v>43575.0</v>
      </c>
    </row>
    <row r="3123">
      <c r="A3123" s="32"/>
      <c r="T3123" s="31" t="s">
        <v>11856</v>
      </c>
      <c r="U3123" s="31" t="s">
        <v>11857</v>
      </c>
      <c r="V3123" s="32">
        <v>43575.0</v>
      </c>
    </row>
    <row r="3124">
      <c r="A3124" s="32"/>
      <c r="T3124" s="31" t="s">
        <v>11859</v>
      </c>
      <c r="U3124" s="31" t="s">
        <v>11860</v>
      </c>
      <c r="V3124" s="32">
        <v>43574.0</v>
      </c>
    </row>
    <row r="3125">
      <c r="A3125" s="32"/>
      <c r="T3125" s="31" t="s">
        <v>11863</v>
      </c>
      <c r="U3125" s="31" t="s">
        <v>11864</v>
      </c>
      <c r="V3125" s="32">
        <v>43571.0</v>
      </c>
    </row>
    <row r="3126">
      <c r="A3126" s="32"/>
      <c r="T3126" s="31" t="s">
        <v>11867</v>
      </c>
      <c r="U3126" s="31" t="s">
        <v>11868</v>
      </c>
      <c r="V3126" s="32">
        <v>43571.0</v>
      </c>
    </row>
    <row r="3127">
      <c r="A3127" s="32"/>
      <c r="T3127" s="31" t="s">
        <v>11870</v>
      </c>
      <c r="U3127" s="31" t="s">
        <v>11871</v>
      </c>
      <c r="V3127" s="32">
        <v>43570.0</v>
      </c>
    </row>
    <row r="3128">
      <c r="A3128" s="32"/>
      <c r="T3128" s="31" t="s">
        <v>11874</v>
      </c>
      <c r="U3128" s="31" t="s">
        <v>11875</v>
      </c>
      <c r="V3128" s="32">
        <v>43569.0</v>
      </c>
    </row>
    <row r="3129">
      <c r="A3129" s="32"/>
      <c r="T3129" s="31" t="s">
        <v>11878</v>
      </c>
      <c r="U3129" s="31" t="s">
        <v>11879</v>
      </c>
      <c r="V3129" s="32">
        <v>43569.0</v>
      </c>
    </row>
    <row r="3130">
      <c r="A3130" s="32"/>
      <c r="T3130" s="31" t="s">
        <v>11882</v>
      </c>
      <c r="U3130" s="31" t="s">
        <v>11883</v>
      </c>
      <c r="V3130" s="32">
        <v>43566.0</v>
      </c>
    </row>
    <row r="3131">
      <c r="A3131" s="32"/>
      <c r="T3131" s="31" t="s">
        <v>11887</v>
      </c>
      <c r="U3131" s="31" t="s">
        <v>11888</v>
      </c>
      <c r="V3131" s="32">
        <v>43564.0</v>
      </c>
    </row>
    <row r="3132">
      <c r="A3132" s="32"/>
      <c r="T3132" s="31" t="s">
        <v>11890</v>
      </c>
      <c r="U3132" s="31" t="s">
        <v>11891</v>
      </c>
      <c r="V3132" s="32">
        <v>43563.0</v>
      </c>
    </row>
    <row r="3133">
      <c r="A3133" s="32"/>
      <c r="T3133" s="31" t="s">
        <v>11894</v>
      </c>
      <c r="U3133" s="31" t="s">
        <v>11895</v>
      </c>
      <c r="V3133" s="32">
        <v>43559.0</v>
      </c>
    </row>
    <row r="3134">
      <c r="A3134" s="32"/>
      <c r="T3134" s="31" t="s">
        <v>11898</v>
      </c>
      <c r="U3134" s="31" t="s">
        <v>11899</v>
      </c>
      <c r="V3134" s="32">
        <v>43559.0</v>
      </c>
    </row>
    <row r="3135">
      <c r="A3135" s="32"/>
      <c r="T3135" s="31" t="s">
        <v>11902</v>
      </c>
      <c r="U3135" s="31" t="s">
        <v>11903</v>
      </c>
      <c r="V3135" s="32">
        <v>43557.0</v>
      </c>
    </row>
    <row r="3136">
      <c r="A3136" s="32"/>
      <c r="T3136" s="31" t="s">
        <v>11906</v>
      </c>
      <c r="U3136" s="31" t="s">
        <v>11907</v>
      </c>
      <c r="V3136" s="32">
        <v>43556.0</v>
      </c>
    </row>
    <row r="3137">
      <c r="A3137" s="32"/>
      <c r="T3137" s="31" t="s">
        <v>11910</v>
      </c>
      <c r="U3137" s="31" t="s">
        <v>7020</v>
      </c>
      <c r="V3137" s="32">
        <v>43556.0</v>
      </c>
    </row>
    <row r="3138">
      <c r="A3138" s="32"/>
      <c r="T3138" s="31" t="s">
        <v>11913</v>
      </c>
      <c r="U3138" s="31" t="s">
        <v>11914</v>
      </c>
      <c r="V3138" s="32">
        <v>43556.0</v>
      </c>
    </row>
    <row r="3139">
      <c r="A3139" s="32"/>
      <c r="T3139" s="31" t="s">
        <v>11917</v>
      </c>
      <c r="U3139" s="31" t="s">
        <v>11918</v>
      </c>
      <c r="V3139" s="32">
        <v>43556.0</v>
      </c>
    </row>
    <row r="3140">
      <c r="A3140" s="32"/>
      <c r="T3140" s="31" t="s">
        <v>11921</v>
      </c>
      <c r="U3140" s="31" t="s">
        <v>11922</v>
      </c>
      <c r="V3140" s="32">
        <v>43556.0</v>
      </c>
    </row>
    <row r="3141">
      <c r="A3141" s="32"/>
      <c r="T3141" s="31" t="s">
        <v>11925</v>
      </c>
      <c r="U3141" s="31" t="s">
        <v>11926</v>
      </c>
      <c r="V3141" s="32">
        <v>43556.0</v>
      </c>
    </row>
    <row r="3142">
      <c r="A3142" s="32"/>
      <c r="T3142" s="31" t="s">
        <v>11929</v>
      </c>
      <c r="U3142" s="31" t="s">
        <v>11930</v>
      </c>
      <c r="V3142" s="32">
        <v>43556.0</v>
      </c>
    </row>
    <row r="3143">
      <c r="A3143" s="32"/>
      <c r="T3143" s="31" t="s">
        <v>11933</v>
      </c>
      <c r="U3143" s="31" t="s">
        <v>11934</v>
      </c>
      <c r="V3143" s="32">
        <v>43556.0</v>
      </c>
    </row>
    <row r="3144">
      <c r="A3144" s="32"/>
      <c r="T3144" s="31" t="s">
        <v>11938</v>
      </c>
      <c r="U3144" s="31" t="s">
        <v>11939</v>
      </c>
      <c r="V3144" s="32">
        <v>43556.0</v>
      </c>
    </row>
    <row r="3145">
      <c r="A3145" s="32"/>
      <c r="T3145" s="31" t="s">
        <v>11942</v>
      </c>
      <c r="U3145" s="31" t="s">
        <v>11943</v>
      </c>
      <c r="V3145" s="32">
        <v>43553.0</v>
      </c>
    </row>
    <row r="3146">
      <c r="A3146" s="32"/>
      <c r="T3146" s="31" t="s">
        <v>11946</v>
      </c>
      <c r="U3146" s="31" t="s">
        <v>11947</v>
      </c>
      <c r="V3146" s="32">
        <v>43552.0</v>
      </c>
    </row>
    <row r="3147">
      <c r="A3147" s="32"/>
      <c r="T3147" s="31" t="s">
        <v>11950</v>
      </c>
      <c r="U3147" s="31" t="s">
        <v>11951</v>
      </c>
      <c r="V3147" s="32">
        <v>43552.0</v>
      </c>
    </row>
    <row r="3148">
      <c r="A3148" s="32"/>
      <c r="T3148" s="31" t="s">
        <v>11954</v>
      </c>
      <c r="U3148" s="31" t="s">
        <v>11955</v>
      </c>
      <c r="V3148" s="32">
        <v>43550.0</v>
      </c>
    </row>
    <row r="3149">
      <c r="A3149" s="32"/>
      <c r="T3149" s="31" t="s">
        <v>11959</v>
      </c>
      <c r="U3149" s="31" t="s">
        <v>11960</v>
      </c>
      <c r="V3149" s="32">
        <v>43549.0</v>
      </c>
    </row>
    <row r="3150">
      <c r="A3150" s="32"/>
      <c r="T3150" s="31" t="s">
        <v>11963</v>
      </c>
      <c r="U3150" s="31" t="s">
        <v>11964</v>
      </c>
      <c r="V3150" s="32">
        <v>43545.0</v>
      </c>
    </row>
    <row r="3151">
      <c r="A3151" s="32"/>
      <c r="T3151" s="31" t="s">
        <v>11967</v>
      </c>
      <c r="U3151" s="31" t="s">
        <v>11968</v>
      </c>
      <c r="V3151" s="32">
        <v>43545.0</v>
      </c>
    </row>
    <row r="3152">
      <c r="A3152" s="32"/>
      <c r="T3152" s="31" t="s">
        <v>11971</v>
      </c>
      <c r="U3152" s="31" t="s">
        <v>11972</v>
      </c>
      <c r="V3152" s="32">
        <v>43545.0</v>
      </c>
    </row>
    <row r="3153">
      <c r="A3153" s="32"/>
      <c r="T3153" s="31" t="s">
        <v>11975</v>
      </c>
      <c r="U3153" s="31" t="s">
        <v>11976</v>
      </c>
      <c r="V3153" s="32">
        <v>43544.0</v>
      </c>
    </row>
    <row r="3154">
      <c r="A3154" s="32"/>
      <c r="T3154" s="31" t="s">
        <v>11980</v>
      </c>
      <c r="U3154" s="31" t="s">
        <v>11981</v>
      </c>
      <c r="V3154" s="32">
        <v>43544.0</v>
      </c>
    </row>
    <row r="3155">
      <c r="A3155" s="32"/>
      <c r="T3155" s="31" t="s">
        <v>11984</v>
      </c>
      <c r="U3155" s="31" t="s">
        <v>11985</v>
      </c>
      <c r="V3155" s="32">
        <v>43543.0</v>
      </c>
    </row>
    <row r="3156">
      <c r="A3156" s="32"/>
      <c r="T3156" s="31" t="s">
        <v>11988</v>
      </c>
      <c r="U3156" s="31" t="s">
        <v>11989</v>
      </c>
      <c r="V3156" s="32">
        <v>43542.0</v>
      </c>
    </row>
    <row r="3157">
      <c r="A3157" s="32"/>
      <c r="T3157" s="31" t="s">
        <v>11992</v>
      </c>
      <c r="U3157" s="31" t="s">
        <v>11993</v>
      </c>
      <c r="V3157" s="32">
        <v>43538.0</v>
      </c>
    </row>
    <row r="3158">
      <c r="A3158" s="32"/>
      <c r="T3158" s="31" t="s">
        <v>11996</v>
      </c>
      <c r="U3158" s="31" t="s">
        <v>11997</v>
      </c>
      <c r="V3158" s="32">
        <v>43538.0</v>
      </c>
    </row>
    <row r="3159">
      <c r="A3159" s="32"/>
      <c r="T3159" s="31" t="s">
        <v>12000</v>
      </c>
      <c r="U3159" s="31" t="s">
        <v>12001</v>
      </c>
      <c r="V3159" s="32">
        <v>43538.0</v>
      </c>
    </row>
    <row r="3160">
      <c r="A3160" s="32"/>
      <c r="T3160" s="31" t="s">
        <v>12004</v>
      </c>
      <c r="U3160" s="31" t="s">
        <v>12005</v>
      </c>
      <c r="V3160" s="32">
        <v>43536.0</v>
      </c>
    </row>
    <row r="3161">
      <c r="A3161" s="32"/>
      <c r="T3161" s="31" t="s">
        <v>12008</v>
      </c>
      <c r="U3161" s="31" t="s">
        <v>12009</v>
      </c>
      <c r="V3161" s="32">
        <v>43535.0</v>
      </c>
    </row>
    <row r="3162">
      <c r="A3162" s="32"/>
      <c r="T3162" s="31" t="s">
        <v>12013</v>
      </c>
      <c r="U3162" s="31" t="s">
        <v>12014</v>
      </c>
      <c r="V3162" s="32">
        <v>43534.0</v>
      </c>
    </row>
    <row r="3163">
      <c r="A3163" s="32"/>
      <c r="T3163" s="31" t="s">
        <v>12017</v>
      </c>
      <c r="U3163" s="31" t="s">
        <v>12018</v>
      </c>
      <c r="V3163" s="32">
        <v>43533.0</v>
      </c>
    </row>
    <row r="3164">
      <c r="A3164" s="32"/>
      <c r="T3164" s="31" t="s">
        <v>12021</v>
      </c>
      <c r="U3164" s="31" t="s">
        <v>12022</v>
      </c>
      <c r="V3164" s="32">
        <v>43532.0</v>
      </c>
    </row>
    <row r="3165">
      <c r="A3165" s="32"/>
      <c r="T3165" s="31" t="s">
        <v>12026</v>
      </c>
      <c r="U3165" s="31" t="s">
        <v>12027</v>
      </c>
      <c r="V3165" s="32">
        <v>43532.0</v>
      </c>
    </row>
    <row r="3166">
      <c r="A3166" s="32"/>
      <c r="T3166" s="31" t="s">
        <v>12030</v>
      </c>
      <c r="U3166" s="31" t="s">
        <v>12031</v>
      </c>
      <c r="V3166" s="32">
        <v>43531.0</v>
      </c>
    </row>
    <row r="3167">
      <c r="A3167" s="32"/>
      <c r="T3167" s="31" t="s">
        <v>12034</v>
      </c>
      <c r="U3167" s="31" t="s">
        <v>5047</v>
      </c>
      <c r="V3167" s="32">
        <v>43531.0</v>
      </c>
    </row>
    <row r="3168">
      <c r="A3168" s="32"/>
      <c r="T3168" s="31" t="s">
        <v>12037</v>
      </c>
      <c r="U3168" s="31" t="s">
        <v>12038</v>
      </c>
      <c r="V3168" s="32">
        <v>43530.0</v>
      </c>
    </row>
    <row r="3169">
      <c r="A3169" s="32"/>
      <c r="T3169" s="31" t="s">
        <v>12041</v>
      </c>
      <c r="U3169" s="31" t="s">
        <v>12042</v>
      </c>
      <c r="V3169" s="32">
        <v>43530.0</v>
      </c>
    </row>
    <row r="3170">
      <c r="A3170" s="32"/>
      <c r="T3170" s="31" t="s">
        <v>12045</v>
      </c>
      <c r="U3170" s="31" t="s">
        <v>12046</v>
      </c>
      <c r="V3170" s="32">
        <v>43530.0</v>
      </c>
    </row>
    <row r="3171">
      <c r="A3171" s="32"/>
      <c r="T3171" s="31" t="s">
        <v>12049</v>
      </c>
      <c r="U3171" s="31" t="s">
        <v>12050</v>
      </c>
      <c r="V3171" s="32">
        <v>43528.0</v>
      </c>
    </row>
    <row r="3172">
      <c r="A3172" s="32"/>
      <c r="T3172" s="31" t="s">
        <v>12052</v>
      </c>
      <c r="U3172" s="31" t="s">
        <v>12053</v>
      </c>
      <c r="V3172" s="32">
        <v>43528.0</v>
      </c>
    </row>
    <row r="3173">
      <c r="A3173" s="32"/>
      <c r="T3173" s="31" t="s">
        <v>12056</v>
      </c>
      <c r="U3173" s="31" t="s">
        <v>12057</v>
      </c>
      <c r="V3173" s="32">
        <v>43525.0</v>
      </c>
    </row>
    <row r="3174">
      <c r="A3174" s="32"/>
      <c r="T3174" s="31" t="s">
        <v>12061</v>
      </c>
      <c r="U3174" s="31" t="s">
        <v>12062</v>
      </c>
      <c r="V3174" s="32">
        <v>43525.0</v>
      </c>
    </row>
    <row r="3175">
      <c r="A3175" s="32"/>
      <c r="T3175" s="31" t="s">
        <v>12065</v>
      </c>
      <c r="U3175" s="31" t="s">
        <v>12066</v>
      </c>
      <c r="V3175" s="32">
        <v>43525.0</v>
      </c>
    </row>
    <row r="3176">
      <c r="A3176" s="32"/>
      <c r="T3176" s="31" t="s">
        <v>12070</v>
      </c>
      <c r="U3176" s="31" t="s">
        <v>8479</v>
      </c>
      <c r="V3176" s="32">
        <v>43525.0</v>
      </c>
    </row>
    <row r="3177">
      <c r="A3177" s="32"/>
      <c r="T3177" s="31" t="s">
        <v>12072</v>
      </c>
      <c r="U3177" s="31" t="s">
        <v>12073</v>
      </c>
      <c r="V3177" s="32">
        <v>43523.0</v>
      </c>
    </row>
    <row r="3178">
      <c r="A3178" s="32"/>
      <c r="T3178" s="31" t="s">
        <v>12076</v>
      </c>
      <c r="U3178" s="31" t="s">
        <v>12077</v>
      </c>
      <c r="V3178" s="32">
        <v>43523.0</v>
      </c>
    </row>
    <row r="3179">
      <c r="A3179" s="32"/>
      <c r="T3179" s="31" t="s">
        <v>12080</v>
      </c>
      <c r="U3179" s="31" t="s">
        <v>12081</v>
      </c>
      <c r="V3179" s="32">
        <v>43517.0</v>
      </c>
    </row>
    <row r="3180">
      <c r="A3180" s="32"/>
      <c r="T3180" s="31" t="s">
        <v>12084</v>
      </c>
      <c r="U3180" s="31" t="s">
        <v>12085</v>
      </c>
      <c r="V3180" s="32">
        <v>43515.0</v>
      </c>
    </row>
    <row r="3181">
      <c r="A3181" s="32"/>
      <c r="T3181" s="31" t="s">
        <v>12088</v>
      </c>
      <c r="U3181" s="31" t="s">
        <v>12089</v>
      </c>
      <c r="V3181" s="32">
        <v>43515.0</v>
      </c>
    </row>
    <row r="3182">
      <c r="A3182" s="32"/>
      <c r="T3182" s="31" t="s">
        <v>12092</v>
      </c>
      <c r="U3182" s="31" t="s">
        <v>12093</v>
      </c>
      <c r="V3182" s="32">
        <v>43515.0</v>
      </c>
    </row>
    <row r="3183">
      <c r="A3183" s="32"/>
      <c r="T3183" s="31" t="s">
        <v>12096</v>
      </c>
      <c r="U3183" s="31" t="s">
        <v>12097</v>
      </c>
      <c r="V3183" s="32">
        <v>43512.0</v>
      </c>
    </row>
    <row r="3184">
      <c r="A3184" s="32"/>
      <c r="T3184" s="31" t="s">
        <v>12100</v>
      </c>
      <c r="U3184" s="31" t="s">
        <v>12101</v>
      </c>
      <c r="V3184" s="32">
        <v>43511.0</v>
      </c>
    </row>
    <row r="3185">
      <c r="A3185" s="32"/>
      <c r="T3185" s="31" t="s">
        <v>12104</v>
      </c>
      <c r="U3185" s="31" t="s">
        <v>12105</v>
      </c>
      <c r="V3185" s="32">
        <v>43510.0</v>
      </c>
    </row>
    <row r="3186">
      <c r="A3186" s="32"/>
      <c r="T3186" s="31" t="s">
        <v>12108</v>
      </c>
      <c r="U3186" s="31" t="s">
        <v>12109</v>
      </c>
      <c r="V3186" s="32">
        <v>43509.0</v>
      </c>
    </row>
    <row r="3187">
      <c r="A3187" s="32"/>
      <c r="T3187" s="31" t="s">
        <v>12112</v>
      </c>
      <c r="U3187" s="31" t="s">
        <v>12113</v>
      </c>
      <c r="V3187" s="32">
        <v>43508.0</v>
      </c>
    </row>
    <row r="3188">
      <c r="A3188" s="32"/>
      <c r="T3188" s="31" t="s">
        <v>12116</v>
      </c>
      <c r="U3188" s="31" t="s">
        <v>12117</v>
      </c>
      <c r="V3188" s="32">
        <v>43508.0</v>
      </c>
    </row>
    <row r="3189">
      <c r="A3189" s="32"/>
      <c r="T3189" s="31" t="s">
        <v>12121</v>
      </c>
      <c r="U3189" s="31" t="s">
        <v>12122</v>
      </c>
      <c r="V3189" s="32">
        <v>43508.0</v>
      </c>
    </row>
    <row r="3190">
      <c r="A3190" s="32"/>
      <c r="T3190" s="31" t="s">
        <v>12125</v>
      </c>
      <c r="U3190" s="31" t="s">
        <v>12126</v>
      </c>
      <c r="V3190" s="32">
        <v>43508.0</v>
      </c>
    </row>
    <row r="3191">
      <c r="A3191" s="32"/>
      <c r="T3191" s="31" t="s">
        <v>12130</v>
      </c>
      <c r="U3191" s="31" t="s">
        <v>12131</v>
      </c>
      <c r="V3191" s="32">
        <v>43507.0</v>
      </c>
    </row>
    <row r="3192">
      <c r="A3192" s="32"/>
      <c r="T3192" s="31" t="s">
        <v>12134</v>
      </c>
      <c r="U3192" s="31" t="s">
        <v>12135</v>
      </c>
      <c r="V3192" s="32">
        <v>43507.0</v>
      </c>
    </row>
    <row r="3193">
      <c r="A3193" s="32"/>
      <c r="T3193" s="31" t="s">
        <v>12138</v>
      </c>
      <c r="U3193" s="31" t="s">
        <v>12139</v>
      </c>
      <c r="V3193" s="32">
        <v>43507.0</v>
      </c>
    </row>
    <row r="3194">
      <c r="A3194" s="32"/>
      <c r="T3194" s="31" t="s">
        <v>12142</v>
      </c>
      <c r="U3194" s="31" t="s">
        <v>12143</v>
      </c>
      <c r="V3194" s="32">
        <v>43503.0</v>
      </c>
    </row>
    <row r="3195">
      <c r="A3195" s="32"/>
      <c r="T3195" s="31" t="s">
        <v>12146</v>
      </c>
      <c r="U3195" s="31" t="s">
        <v>12147</v>
      </c>
      <c r="V3195" s="32">
        <v>43502.0</v>
      </c>
    </row>
    <row r="3196">
      <c r="A3196" s="32"/>
      <c r="T3196" s="31" t="s">
        <v>12150</v>
      </c>
      <c r="U3196" s="31" t="s">
        <v>12151</v>
      </c>
      <c r="V3196" s="32">
        <v>43502.0</v>
      </c>
    </row>
    <row r="3197">
      <c r="A3197" s="32"/>
      <c r="T3197" s="31" t="s">
        <v>12154</v>
      </c>
      <c r="U3197" s="31" t="s">
        <v>12155</v>
      </c>
      <c r="V3197" s="32">
        <v>43502.0</v>
      </c>
    </row>
    <row r="3198">
      <c r="A3198" s="32"/>
      <c r="T3198" s="31" t="s">
        <v>12158</v>
      </c>
      <c r="U3198" s="31" t="s">
        <v>12159</v>
      </c>
      <c r="V3198" s="32">
        <v>43502.0</v>
      </c>
    </row>
    <row r="3199">
      <c r="A3199" s="32"/>
      <c r="T3199" s="31" t="s">
        <v>12162</v>
      </c>
      <c r="U3199" s="31" t="s">
        <v>12163</v>
      </c>
      <c r="V3199" s="32">
        <v>43501.0</v>
      </c>
    </row>
    <row r="3200">
      <c r="A3200" s="32"/>
      <c r="T3200" s="31" t="s">
        <v>12167</v>
      </c>
      <c r="U3200" s="31" t="s">
        <v>12168</v>
      </c>
      <c r="V3200" s="32">
        <v>43497.0</v>
      </c>
    </row>
    <row r="3201">
      <c r="A3201" s="32"/>
      <c r="T3201" s="31" t="s">
        <v>12171</v>
      </c>
      <c r="U3201" s="31" t="s">
        <v>12172</v>
      </c>
      <c r="V3201" s="32">
        <v>43497.0</v>
      </c>
    </row>
    <row r="3202">
      <c r="A3202" s="32"/>
      <c r="T3202" s="31" t="s">
        <v>12175</v>
      </c>
      <c r="U3202" s="31" t="s">
        <v>12176</v>
      </c>
      <c r="V3202" s="32">
        <v>43497.0</v>
      </c>
    </row>
    <row r="3203">
      <c r="A3203" s="32"/>
      <c r="T3203" s="31" t="s">
        <v>12179</v>
      </c>
      <c r="U3203" s="31" t="s">
        <v>12180</v>
      </c>
      <c r="V3203" s="32">
        <v>43497.0</v>
      </c>
    </row>
    <row r="3204">
      <c r="A3204" s="32"/>
      <c r="T3204" s="31" t="s">
        <v>12183</v>
      </c>
      <c r="U3204" s="31" t="s">
        <v>12184</v>
      </c>
      <c r="V3204" s="32">
        <v>43497.0</v>
      </c>
    </row>
    <row r="3205">
      <c r="A3205" s="32"/>
      <c r="T3205" s="31" t="s">
        <v>12187</v>
      </c>
      <c r="U3205" s="31" t="s">
        <v>12188</v>
      </c>
      <c r="V3205" s="32">
        <v>43497.0</v>
      </c>
    </row>
    <row r="3206">
      <c r="A3206" s="32"/>
      <c r="T3206" s="31" t="s">
        <v>12191</v>
      </c>
      <c r="U3206" s="31" t="s">
        <v>12192</v>
      </c>
      <c r="V3206" s="32">
        <v>43497.0</v>
      </c>
    </row>
    <row r="3207">
      <c r="A3207" s="32"/>
      <c r="T3207" s="31" t="s">
        <v>12196</v>
      </c>
      <c r="U3207" s="31" t="s">
        <v>12197</v>
      </c>
      <c r="V3207" s="32">
        <v>43497.0</v>
      </c>
    </row>
    <row r="3208">
      <c r="A3208" s="32"/>
      <c r="T3208" s="31" t="s">
        <v>12200</v>
      </c>
      <c r="U3208" s="31" t="s">
        <v>12201</v>
      </c>
      <c r="V3208" s="32">
        <v>43495.0</v>
      </c>
    </row>
    <row r="3209">
      <c r="A3209" s="32"/>
      <c r="T3209" s="31" t="s">
        <v>12203</v>
      </c>
      <c r="U3209" s="31" t="s">
        <v>12204</v>
      </c>
      <c r="V3209" s="32">
        <v>43495.0</v>
      </c>
    </row>
    <row r="3210">
      <c r="A3210" s="32"/>
      <c r="T3210" s="31" t="s">
        <v>12207</v>
      </c>
      <c r="U3210" s="31" t="s">
        <v>12208</v>
      </c>
      <c r="V3210" s="32">
        <v>43495.0</v>
      </c>
    </row>
    <row r="3211">
      <c r="A3211" s="32"/>
      <c r="T3211" s="31" t="s">
        <v>12211</v>
      </c>
      <c r="U3211" s="31" t="s">
        <v>12212</v>
      </c>
      <c r="V3211" s="32">
        <v>43493.0</v>
      </c>
    </row>
    <row r="3212">
      <c r="A3212" s="32"/>
      <c r="T3212" s="31" t="s">
        <v>12215</v>
      </c>
      <c r="U3212" s="31" t="s">
        <v>12216</v>
      </c>
      <c r="V3212" s="32">
        <v>43493.0</v>
      </c>
    </row>
    <row r="3213">
      <c r="A3213" s="32"/>
      <c r="T3213" s="31" t="s">
        <v>12219</v>
      </c>
      <c r="U3213" s="31" t="s">
        <v>12220</v>
      </c>
      <c r="V3213" s="32">
        <v>43489.0</v>
      </c>
    </row>
    <row r="3214">
      <c r="A3214" s="32"/>
      <c r="T3214" s="31" t="s">
        <v>12223</v>
      </c>
      <c r="U3214" s="31" t="s">
        <v>12224</v>
      </c>
      <c r="V3214" s="32">
        <v>43489.0</v>
      </c>
    </row>
    <row r="3215">
      <c r="A3215" s="32"/>
      <c r="T3215" s="31" t="s">
        <v>12227</v>
      </c>
      <c r="U3215" s="31" t="s">
        <v>12228</v>
      </c>
      <c r="V3215" s="32">
        <v>43489.0</v>
      </c>
    </row>
    <row r="3216">
      <c r="A3216" s="32"/>
      <c r="T3216" s="31" t="s">
        <v>12231</v>
      </c>
      <c r="U3216" s="31" t="s">
        <v>12232</v>
      </c>
      <c r="V3216" s="32">
        <v>43489.0</v>
      </c>
    </row>
    <row r="3217">
      <c r="A3217" s="32"/>
      <c r="T3217" s="31" t="s">
        <v>12235</v>
      </c>
      <c r="U3217" s="31" t="s">
        <v>12236</v>
      </c>
      <c r="V3217" s="32">
        <v>43488.0</v>
      </c>
    </row>
    <row r="3218">
      <c r="A3218" s="32"/>
      <c r="T3218" s="31" t="s">
        <v>12239</v>
      </c>
      <c r="U3218" s="31" t="s">
        <v>11352</v>
      </c>
      <c r="V3218" s="32">
        <v>43488.0</v>
      </c>
    </row>
    <row r="3219">
      <c r="A3219" s="32"/>
      <c r="T3219" s="31" t="s">
        <v>12243</v>
      </c>
      <c r="U3219" s="31" t="s">
        <v>12244</v>
      </c>
      <c r="V3219" s="32">
        <v>43488.0</v>
      </c>
    </row>
    <row r="3220">
      <c r="A3220" s="32"/>
      <c r="T3220" s="31" t="s">
        <v>12247</v>
      </c>
      <c r="U3220" s="31" t="s">
        <v>12248</v>
      </c>
      <c r="V3220" s="32">
        <v>43487.0</v>
      </c>
    </row>
    <row r="3221">
      <c r="A3221" s="32"/>
      <c r="T3221" s="31" t="s">
        <v>12251</v>
      </c>
      <c r="U3221" s="31" t="s">
        <v>12252</v>
      </c>
      <c r="V3221" s="32">
        <v>43483.0</v>
      </c>
    </row>
    <row r="3222">
      <c r="A3222" s="32"/>
      <c r="T3222" s="31" t="s">
        <v>12255</v>
      </c>
      <c r="U3222" s="31" t="s">
        <v>12256</v>
      </c>
      <c r="V3222" s="32">
        <v>43483.0</v>
      </c>
    </row>
    <row r="3223">
      <c r="A3223" s="32"/>
      <c r="T3223" s="31" t="s">
        <v>12259</v>
      </c>
      <c r="U3223" s="31" t="s">
        <v>12260</v>
      </c>
      <c r="V3223" s="32">
        <v>43482.0</v>
      </c>
    </row>
    <row r="3224">
      <c r="A3224" s="32"/>
      <c r="T3224" s="31" t="s">
        <v>12263</v>
      </c>
      <c r="U3224" s="31" t="s">
        <v>12264</v>
      </c>
      <c r="V3224" s="32">
        <v>43480.0</v>
      </c>
    </row>
    <row r="3225">
      <c r="A3225" s="32"/>
      <c r="T3225" s="31" t="s">
        <v>12267</v>
      </c>
      <c r="U3225" s="31" t="s">
        <v>12268</v>
      </c>
      <c r="V3225" s="32">
        <v>43480.0</v>
      </c>
    </row>
    <row r="3226">
      <c r="A3226" s="32"/>
      <c r="T3226" s="31" t="s">
        <v>12271</v>
      </c>
      <c r="U3226" s="31" t="s">
        <v>12272</v>
      </c>
      <c r="V3226" s="32">
        <v>43479.0</v>
      </c>
    </row>
    <row r="3227">
      <c r="A3227" s="32"/>
      <c r="T3227" s="31" t="s">
        <v>12275</v>
      </c>
      <c r="U3227" s="31" t="s">
        <v>12276</v>
      </c>
      <c r="V3227" s="32">
        <v>43474.0</v>
      </c>
    </row>
    <row r="3228">
      <c r="A3228" s="32"/>
      <c r="T3228" s="31" t="s">
        <v>12279</v>
      </c>
      <c r="U3228" s="31" t="s">
        <v>12280</v>
      </c>
      <c r="V3228" s="32">
        <v>43474.0</v>
      </c>
    </row>
    <row r="3229">
      <c r="A3229" s="32"/>
      <c r="T3229" s="31" t="s">
        <v>12283</v>
      </c>
      <c r="U3229" s="31" t="s">
        <v>12284</v>
      </c>
      <c r="V3229" s="32">
        <v>43473.0</v>
      </c>
    </row>
    <row r="3230">
      <c r="A3230" s="32"/>
      <c r="T3230" s="31" t="s">
        <v>12287</v>
      </c>
      <c r="U3230" s="31" t="s">
        <v>12288</v>
      </c>
      <c r="V3230" s="32">
        <v>43473.0</v>
      </c>
    </row>
    <row r="3231">
      <c r="A3231" s="32"/>
      <c r="T3231" s="31" t="s">
        <v>12291</v>
      </c>
      <c r="U3231" s="31" t="s">
        <v>12292</v>
      </c>
      <c r="V3231" s="32">
        <v>43472.0</v>
      </c>
    </row>
    <row r="3232">
      <c r="A3232" s="32"/>
      <c r="T3232" s="31" t="s">
        <v>12295</v>
      </c>
      <c r="U3232" s="31" t="s">
        <v>12296</v>
      </c>
      <c r="V3232" s="32">
        <v>43472.0</v>
      </c>
    </row>
    <row r="3233">
      <c r="A3233" s="32"/>
      <c r="T3233" s="31" t="s">
        <v>12300</v>
      </c>
      <c r="U3233" s="31" t="s">
        <v>12301</v>
      </c>
      <c r="V3233" s="32">
        <v>43472.0</v>
      </c>
    </row>
    <row r="3234">
      <c r="A3234" s="32"/>
      <c r="T3234" s="31" t="s">
        <v>12304</v>
      </c>
      <c r="U3234" s="31" t="s">
        <v>12305</v>
      </c>
      <c r="V3234" s="32">
        <v>43471.0</v>
      </c>
    </row>
    <row r="3235">
      <c r="A3235" s="32"/>
      <c r="T3235" s="31" t="s">
        <v>12308</v>
      </c>
      <c r="U3235" s="31" t="s">
        <v>12309</v>
      </c>
      <c r="V3235" s="32">
        <v>43468.0</v>
      </c>
    </row>
    <row r="3236">
      <c r="A3236" s="32"/>
      <c r="T3236" s="31" t="s">
        <v>12312</v>
      </c>
      <c r="U3236" s="31" t="s">
        <v>12313</v>
      </c>
      <c r="V3236" s="32">
        <v>43467.0</v>
      </c>
    </row>
    <row r="3237">
      <c r="A3237" s="32"/>
      <c r="T3237" s="31" t="s">
        <v>12316</v>
      </c>
      <c r="U3237" s="31" t="s">
        <v>12317</v>
      </c>
      <c r="V3237" s="32">
        <v>43466.0</v>
      </c>
    </row>
    <row r="3238">
      <c r="A3238" s="32"/>
      <c r="T3238" s="31" t="s">
        <v>12320</v>
      </c>
      <c r="U3238" s="31" t="s">
        <v>12321</v>
      </c>
      <c r="V3238" s="32">
        <v>43466.0</v>
      </c>
    </row>
    <row r="3239">
      <c r="A3239" s="32"/>
      <c r="T3239" s="31" t="s">
        <v>12324</v>
      </c>
      <c r="U3239" s="31" t="s">
        <v>12325</v>
      </c>
      <c r="V3239" s="32">
        <v>43466.0</v>
      </c>
    </row>
    <row r="3240">
      <c r="A3240" s="32"/>
      <c r="T3240" s="31" t="s">
        <v>12328</v>
      </c>
      <c r="U3240" s="31" t="s">
        <v>12329</v>
      </c>
      <c r="V3240" s="32">
        <v>43466.0</v>
      </c>
    </row>
    <row r="3241">
      <c r="A3241" s="32"/>
      <c r="T3241" s="31" t="s">
        <v>12333</v>
      </c>
      <c r="U3241" s="31" t="s">
        <v>9452</v>
      </c>
      <c r="V3241" s="32">
        <v>43466.0</v>
      </c>
    </row>
    <row r="3242">
      <c r="A3242" s="32"/>
      <c r="T3242" s="31" t="s">
        <v>12336</v>
      </c>
      <c r="U3242" s="31" t="s">
        <v>12337</v>
      </c>
      <c r="V3242" s="32">
        <v>43466.0</v>
      </c>
    </row>
    <row r="3243">
      <c r="A3243" s="32"/>
      <c r="T3243" s="31" t="s">
        <v>12340</v>
      </c>
      <c r="U3243" s="31" t="s">
        <v>12341</v>
      </c>
      <c r="V3243" s="32">
        <v>43466.0</v>
      </c>
    </row>
    <row r="3244">
      <c r="A3244" s="32"/>
      <c r="T3244" s="31" t="s">
        <v>12344</v>
      </c>
      <c r="U3244" s="31" t="s">
        <v>12345</v>
      </c>
      <c r="V3244" s="32">
        <v>43466.0</v>
      </c>
    </row>
    <row r="3245">
      <c r="A3245" s="32"/>
      <c r="T3245" s="31" t="s">
        <v>12348</v>
      </c>
      <c r="U3245" s="31" t="s">
        <v>12349</v>
      </c>
      <c r="V3245" s="32">
        <v>43466.0</v>
      </c>
    </row>
    <row r="3246">
      <c r="A3246" s="32"/>
      <c r="T3246" s="31" t="s">
        <v>12353</v>
      </c>
      <c r="U3246" s="31" t="s">
        <v>12354</v>
      </c>
      <c r="V3246" s="32">
        <v>43466.0</v>
      </c>
    </row>
    <row r="3247">
      <c r="A3247" s="32"/>
      <c r="T3247" s="31" t="s">
        <v>12357</v>
      </c>
      <c r="U3247" s="31" t="s">
        <v>12358</v>
      </c>
      <c r="V3247" s="32">
        <v>43466.0</v>
      </c>
    </row>
    <row r="3248">
      <c r="A3248" s="32"/>
      <c r="T3248" s="31" t="s">
        <v>12362</v>
      </c>
      <c r="U3248" s="31" t="s">
        <v>12363</v>
      </c>
      <c r="V3248" s="32">
        <v>43466.0</v>
      </c>
    </row>
    <row r="3249">
      <c r="A3249" s="32"/>
      <c r="T3249" s="31" t="s">
        <v>12367</v>
      </c>
      <c r="U3249" s="31" t="s">
        <v>12368</v>
      </c>
      <c r="V3249" s="32">
        <v>43458.0</v>
      </c>
    </row>
    <row r="3250">
      <c r="A3250" s="32"/>
      <c r="T3250" s="31" t="s">
        <v>12371</v>
      </c>
      <c r="U3250" s="31" t="s">
        <v>12372</v>
      </c>
      <c r="V3250" s="32">
        <v>43456.0</v>
      </c>
    </row>
    <row r="3251">
      <c r="A3251" s="32"/>
      <c r="T3251" s="31" t="s">
        <v>12375</v>
      </c>
      <c r="U3251" s="31" t="s">
        <v>12376</v>
      </c>
      <c r="V3251" s="32">
        <v>43456.0</v>
      </c>
    </row>
    <row r="3252">
      <c r="A3252" s="32"/>
      <c r="T3252" s="31" t="s">
        <v>12379</v>
      </c>
      <c r="U3252" s="31" t="s">
        <v>12380</v>
      </c>
      <c r="V3252" s="32">
        <v>43455.0</v>
      </c>
    </row>
    <row r="3253">
      <c r="A3253" s="32"/>
      <c r="T3253" s="31" t="s">
        <v>12383</v>
      </c>
      <c r="U3253" s="31" t="s">
        <v>12384</v>
      </c>
      <c r="V3253" s="32">
        <v>43455.0</v>
      </c>
    </row>
    <row r="3254">
      <c r="A3254" s="32"/>
      <c r="T3254" s="31" t="s">
        <v>12386</v>
      </c>
      <c r="U3254" s="31" t="s">
        <v>12387</v>
      </c>
      <c r="V3254" s="32">
        <v>43455.0</v>
      </c>
    </row>
    <row r="3255">
      <c r="A3255" s="32"/>
      <c r="T3255" s="31" t="s">
        <v>12390</v>
      </c>
      <c r="U3255" s="31" t="s">
        <v>12391</v>
      </c>
      <c r="V3255" s="32">
        <v>43453.0</v>
      </c>
    </row>
    <row r="3256">
      <c r="A3256" s="32"/>
      <c r="T3256" s="31" t="s">
        <v>12394</v>
      </c>
      <c r="U3256" s="31" t="s">
        <v>12395</v>
      </c>
      <c r="V3256" s="32">
        <v>43453.0</v>
      </c>
    </row>
    <row r="3257">
      <c r="A3257" s="32"/>
      <c r="T3257" s="31" t="s">
        <v>12398</v>
      </c>
      <c r="U3257" s="31" t="s">
        <v>12399</v>
      </c>
      <c r="V3257" s="32">
        <v>43452.0</v>
      </c>
    </row>
    <row r="3258">
      <c r="A3258" s="32"/>
      <c r="T3258" s="31" t="s">
        <v>12402</v>
      </c>
      <c r="U3258" s="31" t="s">
        <v>12403</v>
      </c>
      <c r="V3258" s="32">
        <v>43451.0</v>
      </c>
    </row>
    <row r="3259">
      <c r="A3259" s="32"/>
      <c r="T3259" s="31" t="s">
        <v>12406</v>
      </c>
      <c r="U3259" s="31" t="s">
        <v>12407</v>
      </c>
      <c r="V3259" s="32">
        <v>43449.0</v>
      </c>
    </row>
    <row r="3260">
      <c r="A3260" s="32"/>
      <c r="T3260" s="31" t="s">
        <v>12410</v>
      </c>
      <c r="U3260" s="31" t="s">
        <v>12411</v>
      </c>
      <c r="V3260" s="32">
        <v>43448.0</v>
      </c>
    </row>
    <row r="3261">
      <c r="A3261" s="32"/>
      <c r="T3261" s="31" t="s">
        <v>12414</v>
      </c>
      <c r="U3261" s="31" t="s">
        <v>12415</v>
      </c>
      <c r="V3261" s="32">
        <v>43448.0</v>
      </c>
    </row>
    <row r="3262">
      <c r="A3262" s="32"/>
      <c r="T3262" s="31" t="s">
        <v>12418</v>
      </c>
      <c r="U3262" s="31" t="s">
        <v>12419</v>
      </c>
      <c r="V3262" s="32">
        <v>43447.0</v>
      </c>
    </row>
    <row r="3263">
      <c r="A3263" s="32"/>
      <c r="T3263" s="31" t="s">
        <v>12422</v>
      </c>
      <c r="U3263" s="31" t="s">
        <v>12423</v>
      </c>
      <c r="V3263" s="32">
        <v>43446.0</v>
      </c>
    </row>
    <row r="3264">
      <c r="A3264" s="32"/>
      <c r="T3264" s="31" t="s">
        <v>12426</v>
      </c>
      <c r="U3264" s="31" t="s">
        <v>12427</v>
      </c>
      <c r="V3264" s="32">
        <v>43446.0</v>
      </c>
    </row>
    <row r="3265">
      <c r="A3265" s="32"/>
      <c r="T3265" s="31" t="s">
        <v>12430</v>
      </c>
      <c r="U3265" s="31" t="s">
        <v>12431</v>
      </c>
      <c r="V3265" s="32">
        <v>43445.0</v>
      </c>
    </row>
    <row r="3266">
      <c r="A3266" s="32"/>
      <c r="T3266" s="31" t="s">
        <v>12434</v>
      </c>
      <c r="U3266" s="31" t="s">
        <v>12435</v>
      </c>
      <c r="V3266" s="32">
        <v>43445.0</v>
      </c>
    </row>
    <row r="3267">
      <c r="A3267" s="32"/>
      <c r="T3267" s="31" t="s">
        <v>12438</v>
      </c>
      <c r="U3267" s="31" t="s">
        <v>11352</v>
      </c>
      <c r="V3267" s="32">
        <v>43442.0</v>
      </c>
    </row>
    <row r="3268">
      <c r="A3268" s="32"/>
      <c r="T3268" s="31" t="s">
        <v>12441</v>
      </c>
      <c r="U3268" s="31" t="s">
        <v>12442</v>
      </c>
      <c r="V3268" s="32">
        <v>43441.0</v>
      </c>
    </row>
    <row r="3269">
      <c r="A3269" s="32"/>
      <c r="T3269" s="31" t="s">
        <v>12444</v>
      </c>
      <c r="U3269" s="31" t="s">
        <v>10211</v>
      </c>
      <c r="V3269" s="32">
        <v>43440.0</v>
      </c>
    </row>
    <row r="3270">
      <c r="A3270" s="32"/>
      <c r="T3270" s="31" t="s">
        <v>12446</v>
      </c>
      <c r="U3270" s="31" t="s">
        <v>12447</v>
      </c>
      <c r="V3270" s="32">
        <v>43439.0</v>
      </c>
    </row>
    <row r="3271">
      <c r="A3271" s="32"/>
      <c r="T3271" s="31" t="s">
        <v>12450</v>
      </c>
      <c r="U3271" s="31" t="s">
        <v>12451</v>
      </c>
      <c r="V3271" s="32">
        <v>43439.0</v>
      </c>
    </row>
    <row r="3272">
      <c r="A3272" s="32"/>
      <c r="T3272" s="31" t="s">
        <v>12454</v>
      </c>
      <c r="U3272" s="31" t="s">
        <v>12455</v>
      </c>
      <c r="V3272" s="32">
        <v>43439.0</v>
      </c>
    </row>
    <row r="3273">
      <c r="A3273" s="32"/>
      <c r="T3273" s="31" t="s">
        <v>12458</v>
      </c>
      <c r="U3273" s="31" t="s">
        <v>12459</v>
      </c>
      <c r="V3273" s="32">
        <v>43439.0</v>
      </c>
    </row>
    <row r="3274">
      <c r="A3274" s="32"/>
      <c r="T3274" s="31" t="s">
        <v>12462</v>
      </c>
      <c r="U3274" s="31" t="s">
        <v>12463</v>
      </c>
      <c r="V3274" s="32">
        <v>43439.0</v>
      </c>
    </row>
    <row r="3275">
      <c r="A3275" s="32"/>
      <c r="T3275" s="31" t="s">
        <v>12466</v>
      </c>
      <c r="U3275" s="31" t="s">
        <v>12467</v>
      </c>
      <c r="V3275" s="32">
        <v>43437.0</v>
      </c>
    </row>
    <row r="3276">
      <c r="A3276" s="32"/>
      <c r="T3276" s="31" t="s">
        <v>12470</v>
      </c>
      <c r="U3276" s="31" t="s">
        <v>12471</v>
      </c>
      <c r="V3276" s="32">
        <v>43435.0</v>
      </c>
    </row>
    <row r="3277">
      <c r="A3277" s="32"/>
      <c r="T3277" s="31" t="s">
        <v>12475</v>
      </c>
      <c r="U3277" s="31" t="s">
        <v>12476</v>
      </c>
      <c r="V3277" s="32">
        <v>43435.0</v>
      </c>
    </row>
    <row r="3278">
      <c r="A3278" s="32"/>
      <c r="T3278" s="31" t="s">
        <v>12480</v>
      </c>
      <c r="U3278" s="31" t="s">
        <v>12481</v>
      </c>
      <c r="V3278" s="32">
        <v>43435.0</v>
      </c>
    </row>
    <row r="3279">
      <c r="A3279" s="32"/>
      <c r="T3279" s="31" t="s">
        <v>12485</v>
      </c>
      <c r="U3279" s="31" t="s">
        <v>12486</v>
      </c>
      <c r="V3279" s="32">
        <v>43435.0</v>
      </c>
    </row>
    <row r="3280">
      <c r="A3280" s="32"/>
      <c r="T3280" s="31" t="s">
        <v>12489</v>
      </c>
      <c r="U3280" s="31" t="s">
        <v>12490</v>
      </c>
      <c r="V3280" s="32">
        <v>43434.0</v>
      </c>
    </row>
    <row r="3281">
      <c r="A3281" s="32"/>
      <c r="T3281" s="31" t="s">
        <v>12493</v>
      </c>
      <c r="U3281" s="31" t="s">
        <v>12494</v>
      </c>
      <c r="V3281" s="32">
        <v>43432.0</v>
      </c>
    </row>
    <row r="3282">
      <c r="A3282" s="32"/>
      <c r="T3282" s="31" t="s">
        <v>12497</v>
      </c>
      <c r="U3282" s="31" t="s">
        <v>12498</v>
      </c>
      <c r="V3282" s="32">
        <v>43432.0</v>
      </c>
    </row>
    <row r="3283">
      <c r="A3283" s="32"/>
      <c r="T3283" s="31" t="s">
        <v>12501</v>
      </c>
      <c r="U3283" s="31" t="s">
        <v>12502</v>
      </c>
      <c r="V3283" s="32">
        <v>43432.0</v>
      </c>
    </row>
    <row r="3284">
      <c r="A3284" s="32"/>
      <c r="T3284" s="31" t="s">
        <v>12505</v>
      </c>
      <c r="U3284" s="31" t="s">
        <v>12506</v>
      </c>
      <c r="V3284" s="32">
        <v>43432.0</v>
      </c>
    </row>
    <row r="3285">
      <c r="A3285" s="32"/>
      <c r="T3285" s="31" t="s">
        <v>12508</v>
      </c>
      <c r="U3285" s="31" t="s">
        <v>12509</v>
      </c>
      <c r="V3285" s="32">
        <v>43432.0</v>
      </c>
    </row>
    <row r="3286">
      <c r="A3286" s="32"/>
      <c r="T3286" s="31" t="s">
        <v>12512</v>
      </c>
      <c r="U3286" s="31" t="s">
        <v>12513</v>
      </c>
      <c r="V3286" s="32">
        <v>43431.0</v>
      </c>
    </row>
    <row r="3287">
      <c r="A3287" s="32"/>
      <c r="T3287" s="31" t="s">
        <v>12516</v>
      </c>
      <c r="U3287" s="31" t="s">
        <v>12517</v>
      </c>
      <c r="V3287" s="32">
        <v>43431.0</v>
      </c>
    </row>
    <row r="3288">
      <c r="A3288" s="32"/>
      <c r="T3288" s="31" t="s">
        <v>12520</v>
      </c>
      <c r="U3288" s="31" t="s">
        <v>12521</v>
      </c>
      <c r="V3288" s="32">
        <v>43430.0</v>
      </c>
    </row>
    <row r="3289">
      <c r="A3289" s="32"/>
      <c r="T3289" s="31" t="s">
        <v>12524</v>
      </c>
      <c r="U3289" s="31" t="s">
        <v>12525</v>
      </c>
      <c r="V3289" s="32">
        <v>43427.0</v>
      </c>
    </row>
    <row r="3290">
      <c r="A3290" s="32"/>
      <c r="T3290" s="31" t="s">
        <v>12529</v>
      </c>
      <c r="U3290" s="31" t="s">
        <v>12530</v>
      </c>
      <c r="V3290" s="32">
        <v>43427.0</v>
      </c>
    </row>
    <row r="3291">
      <c r="A3291" s="32"/>
      <c r="T3291" s="31" t="s">
        <v>12533</v>
      </c>
      <c r="U3291" s="31" t="s">
        <v>12534</v>
      </c>
      <c r="V3291" s="32">
        <v>43427.0</v>
      </c>
    </row>
    <row r="3292">
      <c r="A3292" s="32"/>
      <c r="T3292" s="31" t="s">
        <v>12537</v>
      </c>
      <c r="U3292" s="31" t="s">
        <v>11352</v>
      </c>
      <c r="V3292" s="32">
        <v>43427.0</v>
      </c>
    </row>
    <row r="3293">
      <c r="A3293" s="32"/>
      <c r="T3293" s="31" t="s">
        <v>12540</v>
      </c>
      <c r="U3293" s="31" t="s">
        <v>12541</v>
      </c>
      <c r="V3293" s="32">
        <v>43426.0</v>
      </c>
    </row>
    <row r="3294">
      <c r="A3294" s="32"/>
      <c r="T3294" s="31" t="s">
        <v>12544</v>
      </c>
      <c r="U3294" s="31" t="s">
        <v>12545</v>
      </c>
      <c r="V3294" s="32">
        <v>43424.0</v>
      </c>
    </row>
    <row r="3295">
      <c r="A3295" s="32"/>
      <c r="T3295" s="31" t="s">
        <v>12548</v>
      </c>
      <c r="U3295" s="31" t="s">
        <v>12549</v>
      </c>
      <c r="V3295" s="32">
        <v>43423.0</v>
      </c>
    </row>
    <row r="3296">
      <c r="A3296" s="32"/>
      <c r="T3296" s="31" t="s">
        <v>12552</v>
      </c>
      <c r="U3296" s="31" t="s">
        <v>12553</v>
      </c>
      <c r="V3296" s="32">
        <v>43421.0</v>
      </c>
    </row>
    <row r="3297">
      <c r="A3297" s="32"/>
      <c r="T3297" s="31" t="s">
        <v>12556</v>
      </c>
      <c r="U3297" s="31" t="s">
        <v>12557</v>
      </c>
      <c r="V3297" s="32">
        <v>43420.0</v>
      </c>
    </row>
    <row r="3298">
      <c r="A3298" s="32"/>
      <c r="T3298" s="31" t="s">
        <v>12560</v>
      </c>
      <c r="U3298" s="31" t="s">
        <v>12561</v>
      </c>
      <c r="V3298" s="32">
        <v>43419.0</v>
      </c>
    </row>
    <row r="3299">
      <c r="A3299" s="32"/>
      <c r="T3299" s="31" t="s">
        <v>12564</v>
      </c>
      <c r="U3299" s="31" t="s">
        <v>12565</v>
      </c>
      <c r="V3299" s="32">
        <v>43418.0</v>
      </c>
    </row>
    <row r="3300">
      <c r="A3300" s="32"/>
      <c r="T3300" s="31" t="s">
        <v>12568</v>
      </c>
      <c r="U3300" s="31" t="s">
        <v>12569</v>
      </c>
      <c r="V3300" s="32">
        <v>43417.0</v>
      </c>
    </row>
    <row r="3301">
      <c r="A3301" s="32"/>
      <c r="T3301" s="31" t="s">
        <v>12572</v>
      </c>
      <c r="U3301" s="31" t="s">
        <v>12573</v>
      </c>
      <c r="V3301" s="32">
        <v>43417.0</v>
      </c>
    </row>
    <row r="3302">
      <c r="A3302" s="32"/>
      <c r="T3302" s="31" t="s">
        <v>12576</v>
      </c>
      <c r="U3302" s="31" t="s">
        <v>12577</v>
      </c>
      <c r="V3302" s="32">
        <v>43416.0</v>
      </c>
    </row>
    <row r="3303">
      <c r="A3303" s="32"/>
      <c r="T3303" s="31" t="s">
        <v>12580</v>
      </c>
      <c r="U3303" s="31" t="s">
        <v>11352</v>
      </c>
      <c r="V3303" s="32">
        <v>43413.0</v>
      </c>
    </row>
    <row r="3304">
      <c r="A3304" s="32"/>
      <c r="T3304" s="31" t="s">
        <v>12583</v>
      </c>
      <c r="U3304" s="31" t="s">
        <v>12584</v>
      </c>
      <c r="V3304" s="32">
        <v>43412.0</v>
      </c>
    </row>
    <row r="3305">
      <c r="A3305" s="32"/>
      <c r="T3305" s="31" t="s">
        <v>12587</v>
      </c>
      <c r="U3305" s="31" t="s">
        <v>12451</v>
      </c>
      <c r="V3305" s="32">
        <v>43412.0</v>
      </c>
    </row>
    <row r="3306">
      <c r="A3306" s="32"/>
      <c r="T3306" s="31" t="s">
        <v>12590</v>
      </c>
      <c r="U3306" s="31" t="s">
        <v>12591</v>
      </c>
      <c r="V3306" s="32">
        <v>43412.0</v>
      </c>
    </row>
    <row r="3307">
      <c r="A3307" s="32"/>
      <c r="T3307" s="31" t="s">
        <v>12594</v>
      </c>
      <c r="U3307" s="31" t="s">
        <v>12595</v>
      </c>
      <c r="V3307" s="32">
        <v>43411.0</v>
      </c>
    </row>
    <row r="3308">
      <c r="A3308" s="32"/>
      <c r="T3308" s="31" t="s">
        <v>12598</v>
      </c>
      <c r="U3308" s="31" t="s">
        <v>12599</v>
      </c>
      <c r="V3308" s="32">
        <v>43411.0</v>
      </c>
    </row>
    <row r="3309">
      <c r="A3309" s="32"/>
      <c r="T3309" s="31" t="s">
        <v>12602</v>
      </c>
      <c r="U3309" s="31" t="s">
        <v>12603</v>
      </c>
      <c r="V3309" s="32">
        <v>43411.0</v>
      </c>
    </row>
    <row r="3310">
      <c r="A3310" s="32"/>
      <c r="T3310" s="31" t="s">
        <v>12606</v>
      </c>
      <c r="U3310" s="31" t="s">
        <v>12607</v>
      </c>
      <c r="V3310" s="32">
        <v>43410.0</v>
      </c>
    </row>
    <row r="3311">
      <c r="A3311" s="32"/>
      <c r="T3311" s="31" t="s">
        <v>12610</v>
      </c>
      <c r="U3311" s="31" t="s">
        <v>12611</v>
      </c>
      <c r="V3311" s="32">
        <v>43410.0</v>
      </c>
    </row>
    <row r="3312">
      <c r="A3312" s="32"/>
      <c r="T3312" s="31" t="s">
        <v>12615</v>
      </c>
      <c r="U3312" s="31" t="s">
        <v>12616</v>
      </c>
      <c r="V3312" s="32">
        <v>43409.0</v>
      </c>
    </row>
    <row r="3313">
      <c r="A3313" s="32"/>
      <c r="T3313" s="31" t="s">
        <v>12620</v>
      </c>
      <c r="U3313" s="31" t="s">
        <v>12621</v>
      </c>
      <c r="V3313" s="32">
        <v>43409.0</v>
      </c>
    </row>
    <row r="3314">
      <c r="A3314" s="32"/>
      <c r="T3314" s="31" t="s">
        <v>12624</v>
      </c>
      <c r="U3314" s="31" t="s">
        <v>12625</v>
      </c>
      <c r="V3314" s="32">
        <v>43406.0</v>
      </c>
    </row>
    <row r="3315">
      <c r="A3315" s="32"/>
      <c r="T3315" s="31" t="s">
        <v>12628</v>
      </c>
      <c r="U3315" s="31" t="s">
        <v>12629</v>
      </c>
      <c r="V3315" s="32">
        <v>43406.0</v>
      </c>
    </row>
    <row r="3316">
      <c r="A3316" s="32"/>
      <c r="T3316" s="31" t="s">
        <v>12632</v>
      </c>
      <c r="U3316" s="31" t="s">
        <v>12633</v>
      </c>
      <c r="V3316" s="32">
        <v>43405.0</v>
      </c>
    </row>
    <row r="3317">
      <c r="A3317" s="32"/>
      <c r="T3317" s="31" t="s">
        <v>12636</v>
      </c>
      <c r="U3317" s="31" t="s">
        <v>12637</v>
      </c>
      <c r="V3317" s="32">
        <v>43405.0</v>
      </c>
    </row>
    <row r="3318">
      <c r="A3318" s="32"/>
      <c r="T3318" s="31" t="s">
        <v>12641</v>
      </c>
      <c r="U3318" s="31" t="s">
        <v>12642</v>
      </c>
      <c r="V3318" s="32">
        <v>43405.0</v>
      </c>
    </row>
    <row r="3319">
      <c r="A3319" s="32"/>
      <c r="T3319" s="31" t="s">
        <v>12645</v>
      </c>
      <c r="U3319" s="31" t="s">
        <v>12646</v>
      </c>
      <c r="V3319" s="32">
        <v>43405.0</v>
      </c>
    </row>
    <row r="3320">
      <c r="A3320" s="32"/>
      <c r="T3320" s="31" t="s">
        <v>12649</v>
      </c>
      <c r="U3320" s="31" t="s">
        <v>12650</v>
      </c>
      <c r="V3320" s="32">
        <v>43405.0</v>
      </c>
    </row>
    <row r="3321">
      <c r="A3321" s="32"/>
      <c r="T3321" s="31" t="s">
        <v>12654</v>
      </c>
      <c r="U3321" s="31" t="s">
        <v>12655</v>
      </c>
      <c r="V3321" s="32">
        <v>43405.0</v>
      </c>
    </row>
    <row r="3322">
      <c r="A3322" s="32"/>
      <c r="T3322" s="31" t="s">
        <v>12658</v>
      </c>
      <c r="U3322" s="31" t="s">
        <v>12659</v>
      </c>
      <c r="V3322" s="32">
        <v>43405.0</v>
      </c>
    </row>
    <row r="3323">
      <c r="A3323" s="32"/>
      <c r="T3323" s="31" t="s">
        <v>12662</v>
      </c>
      <c r="U3323" s="31" t="s">
        <v>12663</v>
      </c>
      <c r="V3323" s="32">
        <v>43404.0</v>
      </c>
    </row>
    <row r="3324">
      <c r="A3324" s="32"/>
      <c r="T3324" s="31" t="s">
        <v>12666</v>
      </c>
      <c r="U3324" s="31" t="s">
        <v>12667</v>
      </c>
      <c r="V3324" s="32">
        <v>43404.0</v>
      </c>
    </row>
    <row r="3325">
      <c r="A3325" s="32"/>
      <c r="T3325" s="31" t="s">
        <v>12670</v>
      </c>
      <c r="U3325" s="31" t="s">
        <v>12671</v>
      </c>
      <c r="V3325" s="32">
        <v>43403.0</v>
      </c>
    </row>
    <row r="3326">
      <c r="A3326" s="32"/>
      <c r="T3326" s="31" t="s">
        <v>12673</v>
      </c>
      <c r="U3326" s="31" t="s">
        <v>12674</v>
      </c>
      <c r="V3326" s="32">
        <v>43403.0</v>
      </c>
    </row>
    <row r="3327">
      <c r="A3327" s="32"/>
      <c r="T3327" s="31" t="s">
        <v>12678</v>
      </c>
      <c r="U3327" s="31" t="s">
        <v>12679</v>
      </c>
      <c r="V3327" s="32">
        <v>43402.0</v>
      </c>
    </row>
    <row r="3328">
      <c r="A3328" s="32"/>
      <c r="T3328" s="31" t="s">
        <v>12683</v>
      </c>
      <c r="U3328" s="31" t="s">
        <v>12684</v>
      </c>
      <c r="V3328" s="32">
        <v>43399.0</v>
      </c>
    </row>
    <row r="3329">
      <c r="A3329" s="32"/>
      <c r="T3329" s="31" t="s">
        <v>12688</v>
      </c>
      <c r="U3329" s="31" t="s">
        <v>12689</v>
      </c>
      <c r="V3329" s="32">
        <v>43399.0</v>
      </c>
    </row>
    <row r="3330">
      <c r="A3330" s="32"/>
      <c r="T3330" s="31" t="s">
        <v>12692</v>
      </c>
      <c r="U3330" s="31" t="s">
        <v>12693</v>
      </c>
      <c r="V3330" s="32">
        <v>43399.0</v>
      </c>
    </row>
    <row r="3331">
      <c r="A3331" s="32"/>
      <c r="T3331" s="31" t="s">
        <v>12696</v>
      </c>
      <c r="U3331" s="31" t="s">
        <v>12697</v>
      </c>
      <c r="V3331" s="32">
        <v>43398.0</v>
      </c>
    </row>
    <row r="3332">
      <c r="A3332" s="32"/>
      <c r="T3332" s="31" t="s">
        <v>12701</v>
      </c>
      <c r="U3332" s="31" t="s">
        <v>12702</v>
      </c>
      <c r="V3332" s="32">
        <v>43397.0</v>
      </c>
    </row>
    <row r="3333">
      <c r="A3333" s="32"/>
      <c r="T3333" s="31" t="s">
        <v>12705</v>
      </c>
      <c r="U3333" s="31" t="s">
        <v>12706</v>
      </c>
      <c r="V3333" s="32">
        <v>43396.0</v>
      </c>
    </row>
    <row r="3334">
      <c r="A3334" s="32"/>
      <c r="T3334" s="31" t="s">
        <v>12709</v>
      </c>
      <c r="U3334" s="31" t="s">
        <v>12710</v>
      </c>
      <c r="V3334" s="32">
        <v>43395.0</v>
      </c>
    </row>
    <row r="3335">
      <c r="A3335" s="32"/>
      <c r="T3335" s="31" t="s">
        <v>12713</v>
      </c>
      <c r="U3335" s="31" t="s">
        <v>12714</v>
      </c>
      <c r="V3335" s="32">
        <v>43395.0</v>
      </c>
    </row>
    <row r="3336">
      <c r="A3336" s="32"/>
      <c r="T3336" s="31" t="s">
        <v>12717</v>
      </c>
      <c r="U3336" s="31" t="s">
        <v>12718</v>
      </c>
      <c r="V3336" s="32">
        <v>43395.0</v>
      </c>
    </row>
    <row r="3337">
      <c r="A3337" s="32"/>
      <c r="T3337" s="31" t="s">
        <v>12721</v>
      </c>
      <c r="U3337" s="31" t="s">
        <v>12722</v>
      </c>
      <c r="V3337" s="32">
        <v>43395.0</v>
      </c>
    </row>
    <row r="3338">
      <c r="A3338" s="32"/>
      <c r="T3338" s="31" t="s">
        <v>12725</v>
      </c>
      <c r="U3338" s="31" t="s">
        <v>12726</v>
      </c>
      <c r="V3338" s="32">
        <v>43393.0</v>
      </c>
    </row>
    <row r="3339">
      <c r="A3339" s="32"/>
      <c r="T3339" s="31" t="s">
        <v>12729</v>
      </c>
      <c r="U3339" s="31" t="s">
        <v>12730</v>
      </c>
      <c r="V3339" s="32">
        <v>43392.0</v>
      </c>
    </row>
    <row r="3340">
      <c r="A3340" s="32"/>
      <c r="T3340" s="31" t="s">
        <v>12733</v>
      </c>
      <c r="U3340" s="31" t="s">
        <v>12734</v>
      </c>
      <c r="V3340" s="32">
        <v>43391.0</v>
      </c>
    </row>
    <row r="3341">
      <c r="A3341" s="32"/>
      <c r="T3341" s="31" t="s">
        <v>12737</v>
      </c>
      <c r="U3341" s="31" t="s">
        <v>12738</v>
      </c>
      <c r="V3341" s="32">
        <v>43388.0</v>
      </c>
    </row>
    <row r="3342">
      <c r="A3342" s="32"/>
      <c r="T3342" s="31" t="s">
        <v>12741</v>
      </c>
      <c r="U3342" s="31" t="s">
        <v>11352</v>
      </c>
      <c r="V3342" s="32">
        <v>43385.0</v>
      </c>
    </row>
    <row r="3343">
      <c r="A3343" s="32"/>
      <c r="T3343" s="31" t="s">
        <v>12744</v>
      </c>
      <c r="U3343" s="31" t="s">
        <v>12745</v>
      </c>
      <c r="V3343" s="32">
        <v>43384.0</v>
      </c>
    </row>
    <row r="3344">
      <c r="A3344" s="32"/>
      <c r="T3344" s="31" t="s">
        <v>12748</v>
      </c>
      <c r="U3344" s="31" t="s">
        <v>12749</v>
      </c>
      <c r="V3344" s="32">
        <v>43384.0</v>
      </c>
    </row>
    <row r="3345">
      <c r="A3345" s="32"/>
      <c r="T3345" s="31" t="s">
        <v>12752</v>
      </c>
      <c r="U3345" s="31" t="s">
        <v>12753</v>
      </c>
      <c r="V3345" s="32">
        <v>43384.0</v>
      </c>
    </row>
    <row r="3346">
      <c r="A3346" s="32"/>
      <c r="T3346" s="31" t="s">
        <v>12755</v>
      </c>
      <c r="U3346" s="31" t="s">
        <v>12756</v>
      </c>
      <c r="V3346" s="32">
        <v>43384.0</v>
      </c>
    </row>
    <row r="3347">
      <c r="A3347" s="32"/>
      <c r="T3347" s="31" t="s">
        <v>12759</v>
      </c>
      <c r="U3347" s="31" t="s">
        <v>12760</v>
      </c>
      <c r="V3347" s="32">
        <v>43383.0</v>
      </c>
    </row>
    <row r="3348">
      <c r="A3348" s="32"/>
      <c r="T3348" s="31" t="s">
        <v>12764</v>
      </c>
      <c r="U3348" s="31" t="s">
        <v>12765</v>
      </c>
      <c r="V3348" s="32">
        <v>43383.0</v>
      </c>
    </row>
    <row r="3349">
      <c r="A3349" s="32"/>
      <c r="T3349" s="31" t="s">
        <v>12768</v>
      </c>
      <c r="U3349" s="31" t="s">
        <v>12769</v>
      </c>
      <c r="V3349" s="32">
        <v>43381.0</v>
      </c>
    </row>
    <row r="3350">
      <c r="A3350" s="32"/>
      <c r="T3350" s="31" t="s">
        <v>12772</v>
      </c>
      <c r="U3350" s="31" t="s">
        <v>12773</v>
      </c>
      <c r="V3350" s="32">
        <v>43378.0</v>
      </c>
    </row>
    <row r="3351">
      <c r="A3351" s="32"/>
      <c r="T3351" s="31" t="s">
        <v>12776</v>
      </c>
      <c r="U3351" s="31" t="s">
        <v>12777</v>
      </c>
      <c r="V3351" s="32">
        <v>43377.0</v>
      </c>
    </row>
    <row r="3352">
      <c r="A3352" s="32"/>
      <c r="T3352" s="31" t="s">
        <v>12780</v>
      </c>
      <c r="U3352" s="31" t="s">
        <v>12781</v>
      </c>
      <c r="V3352" s="32">
        <v>43374.0</v>
      </c>
    </row>
    <row r="3353">
      <c r="A3353" s="32"/>
      <c r="T3353" s="31" t="s">
        <v>12784</v>
      </c>
      <c r="U3353" s="31" t="s">
        <v>12785</v>
      </c>
      <c r="V3353" s="32">
        <v>43374.0</v>
      </c>
    </row>
    <row r="3354">
      <c r="A3354" s="32"/>
      <c r="T3354" s="31" t="s">
        <v>12788</v>
      </c>
      <c r="U3354" s="31" t="s">
        <v>12789</v>
      </c>
      <c r="V3354" s="32">
        <v>43374.0</v>
      </c>
    </row>
    <row r="3355">
      <c r="A3355" s="32"/>
      <c r="T3355" s="31" t="s">
        <v>12792</v>
      </c>
      <c r="U3355" s="31" t="s">
        <v>12793</v>
      </c>
      <c r="V3355" s="32">
        <v>43374.0</v>
      </c>
    </row>
    <row r="3356">
      <c r="A3356" s="32"/>
      <c r="T3356" s="31" t="s">
        <v>12796</v>
      </c>
      <c r="U3356" s="31" t="s">
        <v>12797</v>
      </c>
      <c r="V3356" s="32">
        <v>43374.0</v>
      </c>
    </row>
    <row r="3357">
      <c r="A3357" s="32"/>
      <c r="T3357" s="31" t="s">
        <v>12800</v>
      </c>
      <c r="U3357" s="31" t="s">
        <v>12801</v>
      </c>
      <c r="V3357" s="32">
        <v>43370.0</v>
      </c>
    </row>
    <row r="3358">
      <c r="A3358" s="32"/>
      <c r="T3358" s="31" t="s">
        <v>12805</v>
      </c>
      <c r="U3358" s="31" t="s">
        <v>11352</v>
      </c>
      <c r="V3358" s="32">
        <v>43370.0</v>
      </c>
    </row>
    <row r="3359">
      <c r="A3359" s="32"/>
      <c r="T3359" s="31" t="s">
        <v>12808</v>
      </c>
      <c r="U3359" s="31" t="s">
        <v>12809</v>
      </c>
      <c r="V3359" s="32">
        <v>43370.0</v>
      </c>
    </row>
    <row r="3360">
      <c r="A3360" s="32"/>
      <c r="T3360" s="31" t="s">
        <v>12812</v>
      </c>
      <c r="U3360" s="31" t="s">
        <v>12813</v>
      </c>
      <c r="V3360" s="32">
        <v>43370.0</v>
      </c>
    </row>
    <row r="3361">
      <c r="A3361" s="32"/>
      <c r="T3361" s="31" t="s">
        <v>12816</v>
      </c>
      <c r="U3361" s="31" t="s">
        <v>12817</v>
      </c>
      <c r="V3361" s="32">
        <v>43369.0</v>
      </c>
    </row>
    <row r="3362">
      <c r="A3362" s="32"/>
      <c r="T3362" s="31" t="s">
        <v>12819</v>
      </c>
      <c r="U3362" s="31" t="s">
        <v>12820</v>
      </c>
      <c r="V3362" s="32">
        <v>43368.0</v>
      </c>
    </row>
    <row r="3363">
      <c r="A3363" s="32"/>
      <c r="T3363" s="31" t="s">
        <v>12823</v>
      </c>
      <c r="U3363" s="31" t="s">
        <v>12824</v>
      </c>
      <c r="V3363" s="32">
        <v>43368.0</v>
      </c>
    </row>
    <row r="3364">
      <c r="A3364" s="32"/>
      <c r="T3364" s="31" t="s">
        <v>12827</v>
      </c>
      <c r="U3364" s="31" t="s">
        <v>12828</v>
      </c>
      <c r="V3364" s="32">
        <v>43364.0</v>
      </c>
    </row>
    <row r="3365">
      <c r="A3365" s="32"/>
      <c r="T3365" s="31" t="s">
        <v>12832</v>
      </c>
      <c r="U3365" s="31" t="s">
        <v>12833</v>
      </c>
      <c r="V3365" s="32">
        <v>43364.0</v>
      </c>
    </row>
    <row r="3366">
      <c r="A3366" s="32"/>
      <c r="T3366" s="31" t="s">
        <v>12836</v>
      </c>
      <c r="U3366" s="31" t="s">
        <v>12837</v>
      </c>
      <c r="V3366" s="32">
        <v>43364.0</v>
      </c>
    </row>
    <row r="3367">
      <c r="A3367" s="32"/>
      <c r="T3367" s="31" t="s">
        <v>12840</v>
      </c>
      <c r="U3367" s="31" t="s">
        <v>12841</v>
      </c>
      <c r="V3367" s="32">
        <v>43363.0</v>
      </c>
    </row>
    <row r="3368">
      <c r="A3368" s="32"/>
      <c r="T3368" s="31" t="s">
        <v>12845</v>
      </c>
      <c r="U3368" s="31" t="s">
        <v>12846</v>
      </c>
      <c r="V3368" s="32">
        <v>43360.0</v>
      </c>
    </row>
    <row r="3369">
      <c r="A3369" s="32"/>
      <c r="T3369" s="31" t="s">
        <v>12849</v>
      </c>
      <c r="U3369" s="31" t="s">
        <v>12850</v>
      </c>
      <c r="V3369" s="32">
        <v>43360.0</v>
      </c>
    </row>
    <row r="3370">
      <c r="A3370" s="32"/>
      <c r="T3370" s="31" t="s">
        <v>12853</v>
      </c>
      <c r="U3370" s="31" t="s">
        <v>12854</v>
      </c>
      <c r="V3370" s="32">
        <v>43360.0</v>
      </c>
    </row>
    <row r="3371">
      <c r="A3371" s="32"/>
      <c r="T3371" s="31" t="s">
        <v>12857</v>
      </c>
      <c r="U3371" s="31" t="s">
        <v>12858</v>
      </c>
      <c r="V3371" s="32">
        <v>43358.0</v>
      </c>
    </row>
    <row r="3372">
      <c r="A3372" s="32"/>
      <c r="T3372" s="31" t="s">
        <v>12861</v>
      </c>
      <c r="U3372" s="31" t="s">
        <v>12862</v>
      </c>
      <c r="V3372" s="32">
        <v>43357.0</v>
      </c>
    </row>
    <row r="3373">
      <c r="A3373" s="32"/>
      <c r="T3373" s="31" t="s">
        <v>12865</v>
      </c>
      <c r="U3373" s="31" t="s">
        <v>12866</v>
      </c>
      <c r="V3373" s="32">
        <v>43356.0</v>
      </c>
    </row>
    <row r="3374">
      <c r="A3374" s="32"/>
      <c r="T3374" s="31" t="s">
        <v>12869</v>
      </c>
      <c r="U3374" s="31" t="s">
        <v>2434</v>
      </c>
      <c r="V3374" s="32">
        <v>43355.0</v>
      </c>
    </row>
    <row r="3375">
      <c r="A3375" s="32"/>
      <c r="T3375" s="31" t="s">
        <v>12872</v>
      </c>
      <c r="U3375" s="31" t="s">
        <v>12873</v>
      </c>
      <c r="V3375" s="32">
        <v>43355.0</v>
      </c>
    </row>
    <row r="3376">
      <c r="A3376" s="32"/>
      <c r="T3376" s="31" t="s">
        <v>12876</v>
      </c>
      <c r="U3376" s="31" t="s">
        <v>12877</v>
      </c>
      <c r="V3376" s="32">
        <v>43355.0</v>
      </c>
    </row>
    <row r="3377">
      <c r="A3377" s="32"/>
      <c r="T3377" s="31" t="s">
        <v>12880</v>
      </c>
      <c r="U3377" s="31" t="s">
        <v>12881</v>
      </c>
      <c r="V3377" s="32">
        <v>43354.0</v>
      </c>
    </row>
    <row r="3378">
      <c r="A3378" s="32"/>
      <c r="T3378" s="31" t="s">
        <v>12884</v>
      </c>
      <c r="U3378" s="31" t="s">
        <v>12885</v>
      </c>
      <c r="V3378" s="32">
        <v>43353.0</v>
      </c>
    </row>
    <row r="3379">
      <c r="A3379" s="32"/>
      <c r="T3379" s="31" t="s">
        <v>12888</v>
      </c>
      <c r="U3379" s="31" t="s">
        <v>12889</v>
      </c>
      <c r="V3379" s="32">
        <v>43351.0</v>
      </c>
    </row>
    <row r="3380">
      <c r="A3380" s="32"/>
      <c r="T3380" s="31" t="s">
        <v>12892</v>
      </c>
      <c r="U3380" s="31" t="s">
        <v>12893</v>
      </c>
      <c r="V3380" s="32">
        <v>43349.0</v>
      </c>
    </row>
    <row r="3381">
      <c r="A3381" s="32"/>
      <c r="T3381" s="31" t="s">
        <v>12896</v>
      </c>
      <c r="U3381" s="31" t="s">
        <v>12897</v>
      </c>
      <c r="V3381" s="32">
        <v>43348.0</v>
      </c>
    </row>
    <row r="3382">
      <c r="A3382" s="32"/>
      <c r="T3382" s="31" t="s">
        <v>12900</v>
      </c>
      <c r="U3382" s="31" t="s">
        <v>12901</v>
      </c>
      <c r="V3382" s="32">
        <v>43347.0</v>
      </c>
    </row>
    <row r="3383">
      <c r="A3383" s="32"/>
      <c r="T3383" s="31" t="s">
        <v>12905</v>
      </c>
      <c r="U3383" s="31" t="s">
        <v>12906</v>
      </c>
      <c r="V3383" s="32">
        <v>43346.0</v>
      </c>
    </row>
    <row r="3384">
      <c r="A3384" s="32"/>
      <c r="T3384" s="31" t="s">
        <v>12910</v>
      </c>
      <c r="U3384" s="31" t="s">
        <v>12911</v>
      </c>
      <c r="V3384" s="32">
        <v>43346.0</v>
      </c>
    </row>
    <row r="3385">
      <c r="A3385" s="32"/>
      <c r="T3385" s="31" t="s">
        <v>12914</v>
      </c>
      <c r="U3385" s="31" t="s">
        <v>12915</v>
      </c>
      <c r="V3385" s="32">
        <v>43344.0</v>
      </c>
    </row>
    <row r="3386">
      <c r="A3386" s="32"/>
      <c r="T3386" s="31" t="s">
        <v>12918</v>
      </c>
      <c r="U3386" s="31" t="s">
        <v>12919</v>
      </c>
      <c r="V3386" s="32">
        <v>43344.0</v>
      </c>
    </row>
    <row r="3387">
      <c r="A3387" s="32"/>
      <c r="T3387" s="31" t="s">
        <v>12923</v>
      </c>
      <c r="U3387" s="31" t="s">
        <v>12924</v>
      </c>
      <c r="V3387" s="32">
        <v>43344.0</v>
      </c>
    </row>
    <row r="3388">
      <c r="A3388" s="32"/>
      <c r="T3388" s="31" t="s">
        <v>12927</v>
      </c>
      <c r="U3388" s="31" t="s">
        <v>12928</v>
      </c>
      <c r="V3388" s="32">
        <v>43344.0</v>
      </c>
    </row>
    <row r="3389">
      <c r="A3389" s="32"/>
      <c r="T3389" s="31" t="s">
        <v>12931</v>
      </c>
      <c r="U3389" s="31" t="s">
        <v>12932</v>
      </c>
      <c r="V3389" s="32">
        <v>43344.0</v>
      </c>
    </row>
    <row r="3390">
      <c r="A3390" s="32"/>
      <c r="T3390" s="31" t="s">
        <v>12935</v>
      </c>
      <c r="U3390" s="31" t="s">
        <v>12936</v>
      </c>
      <c r="V3390" s="32">
        <v>43344.0</v>
      </c>
    </row>
    <row r="3391">
      <c r="A3391" s="32"/>
      <c r="T3391" s="31" t="s">
        <v>12940</v>
      </c>
      <c r="U3391" s="31" t="s">
        <v>12941</v>
      </c>
      <c r="V3391" s="32">
        <v>43344.0</v>
      </c>
    </row>
    <row r="3392">
      <c r="A3392" s="32"/>
      <c r="T3392" s="31" t="s">
        <v>12944</v>
      </c>
      <c r="U3392" s="31" t="s">
        <v>12945</v>
      </c>
      <c r="V3392" s="32">
        <v>43343.0</v>
      </c>
    </row>
    <row r="3393">
      <c r="A3393" s="32"/>
      <c r="T3393" s="31" t="s">
        <v>12948</v>
      </c>
      <c r="U3393" s="31" t="s">
        <v>12949</v>
      </c>
      <c r="V3393" s="32">
        <v>43342.0</v>
      </c>
    </row>
    <row r="3394">
      <c r="A3394" s="32"/>
      <c r="T3394" s="31" t="s">
        <v>12952</v>
      </c>
      <c r="U3394" s="31" t="s">
        <v>12953</v>
      </c>
      <c r="V3394" s="32">
        <v>43342.0</v>
      </c>
    </row>
    <row r="3395">
      <c r="A3395" s="32"/>
      <c r="T3395" s="31" t="s">
        <v>12956</v>
      </c>
      <c r="U3395" s="31" t="s">
        <v>12957</v>
      </c>
      <c r="V3395" s="32">
        <v>43337.0</v>
      </c>
    </row>
    <row r="3396">
      <c r="A3396" s="32"/>
      <c r="T3396" s="31" t="s">
        <v>12960</v>
      </c>
      <c r="U3396" s="31" t="s">
        <v>12961</v>
      </c>
      <c r="V3396" s="32">
        <v>43336.0</v>
      </c>
    </row>
    <row r="3397">
      <c r="A3397" s="32"/>
      <c r="T3397" s="31" t="s">
        <v>12964</v>
      </c>
      <c r="U3397" s="31" t="s">
        <v>12965</v>
      </c>
      <c r="V3397" s="32">
        <v>43336.0</v>
      </c>
    </row>
    <row r="3398">
      <c r="A3398" s="32"/>
      <c r="T3398" s="31" t="s">
        <v>12968</v>
      </c>
      <c r="U3398" s="31" t="s">
        <v>12969</v>
      </c>
      <c r="V3398" s="32">
        <v>43336.0</v>
      </c>
    </row>
    <row r="3399">
      <c r="A3399" s="32"/>
      <c r="T3399" s="31" t="s">
        <v>12972</v>
      </c>
      <c r="U3399" s="31" t="s">
        <v>12973</v>
      </c>
      <c r="V3399" s="32">
        <v>43335.0</v>
      </c>
    </row>
    <row r="3400">
      <c r="A3400" s="32"/>
      <c r="T3400" s="31" t="s">
        <v>12976</v>
      </c>
      <c r="U3400" s="31" t="s">
        <v>12977</v>
      </c>
      <c r="V3400" s="32">
        <v>43335.0</v>
      </c>
    </row>
    <row r="3401">
      <c r="A3401" s="32"/>
      <c r="T3401" s="31" t="s">
        <v>12980</v>
      </c>
      <c r="U3401" s="31" t="s">
        <v>12981</v>
      </c>
      <c r="V3401" s="32">
        <v>43334.0</v>
      </c>
    </row>
    <row r="3402">
      <c r="A3402" s="32"/>
      <c r="T3402" s="31" t="s">
        <v>12985</v>
      </c>
      <c r="U3402" s="31" t="s">
        <v>12986</v>
      </c>
      <c r="V3402" s="32">
        <v>43333.0</v>
      </c>
    </row>
    <row r="3403">
      <c r="A3403" s="32"/>
      <c r="T3403" s="31" t="s">
        <v>12989</v>
      </c>
      <c r="U3403" s="31" t="s">
        <v>12990</v>
      </c>
      <c r="V3403" s="32">
        <v>43332.0</v>
      </c>
    </row>
    <row r="3404">
      <c r="A3404" s="32"/>
      <c r="T3404" s="31" t="s">
        <v>12993</v>
      </c>
      <c r="U3404" s="31" t="s">
        <v>12994</v>
      </c>
      <c r="V3404" s="32">
        <v>43330.0</v>
      </c>
    </row>
    <row r="3405">
      <c r="A3405" s="32"/>
      <c r="T3405" s="31" t="s">
        <v>12997</v>
      </c>
      <c r="U3405" s="31" t="s">
        <v>12998</v>
      </c>
      <c r="V3405" s="32">
        <v>43329.0</v>
      </c>
    </row>
    <row r="3406">
      <c r="A3406" s="32"/>
      <c r="T3406" s="31" t="s">
        <v>13001</v>
      </c>
      <c r="U3406" s="31" t="s">
        <v>13002</v>
      </c>
      <c r="V3406" s="32">
        <v>43329.0</v>
      </c>
    </row>
    <row r="3407">
      <c r="A3407" s="32"/>
      <c r="T3407" s="31" t="s">
        <v>13005</v>
      </c>
      <c r="U3407" s="31" t="s">
        <v>13006</v>
      </c>
      <c r="V3407" s="32">
        <v>43328.0</v>
      </c>
    </row>
    <row r="3408">
      <c r="A3408" s="32"/>
      <c r="T3408" s="31" t="s">
        <v>13009</v>
      </c>
      <c r="U3408" s="31" t="s">
        <v>13010</v>
      </c>
      <c r="V3408" s="32">
        <v>43327.0</v>
      </c>
    </row>
    <row r="3409">
      <c r="A3409" s="32"/>
      <c r="T3409" s="31" t="s">
        <v>13012</v>
      </c>
      <c r="U3409" s="31" t="s">
        <v>13013</v>
      </c>
      <c r="V3409" s="32">
        <v>43325.0</v>
      </c>
    </row>
    <row r="3410">
      <c r="A3410" s="32"/>
      <c r="T3410" s="31" t="s">
        <v>13016</v>
      </c>
      <c r="U3410" s="31" t="s">
        <v>13017</v>
      </c>
      <c r="V3410" s="32">
        <v>43324.0</v>
      </c>
    </row>
    <row r="3411">
      <c r="A3411" s="32"/>
      <c r="T3411" s="31" t="s">
        <v>13020</v>
      </c>
      <c r="U3411" s="31" t="s">
        <v>13021</v>
      </c>
      <c r="V3411" s="32">
        <v>43318.0</v>
      </c>
    </row>
    <row r="3412">
      <c r="A3412" s="32"/>
      <c r="T3412" s="31" t="s">
        <v>13024</v>
      </c>
      <c r="U3412" s="31" t="s">
        <v>13025</v>
      </c>
      <c r="V3412" s="32">
        <v>43314.0</v>
      </c>
    </row>
    <row r="3413">
      <c r="A3413" s="32"/>
      <c r="T3413" s="31" t="s">
        <v>13029</v>
      </c>
      <c r="U3413" s="31" t="s">
        <v>13030</v>
      </c>
      <c r="V3413" s="32">
        <v>43314.0</v>
      </c>
    </row>
    <row r="3414">
      <c r="A3414" s="32"/>
      <c r="T3414" s="31" t="s">
        <v>13033</v>
      </c>
      <c r="U3414" s="31" t="s">
        <v>13034</v>
      </c>
      <c r="V3414" s="32">
        <v>43313.0</v>
      </c>
    </row>
    <row r="3415">
      <c r="A3415" s="32"/>
      <c r="T3415" s="31" t="s">
        <v>13037</v>
      </c>
      <c r="U3415" s="31" t="s">
        <v>13038</v>
      </c>
      <c r="V3415" s="32">
        <v>43313.0</v>
      </c>
    </row>
    <row r="3416">
      <c r="A3416" s="32"/>
      <c r="T3416" s="31" t="s">
        <v>13040</v>
      </c>
      <c r="U3416" s="31" t="s">
        <v>12380</v>
      </c>
      <c r="V3416" s="32">
        <v>43312.0</v>
      </c>
    </row>
    <row r="3417">
      <c r="A3417" s="32"/>
      <c r="T3417" s="31" t="s">
        <v>13043</v>
      </c>
      <c r="U3417" s="31" t="s">
        <v>13044</v>
      </c>
      <c r="V3417" s="32">
        <v>43308.0</v>
      </c>
    </row>
    <row r="3418">
      <c r="A3418" s="32"/>
      <c r="T3418" s="31" t="s">
        <v>13047</v>
      </c>
      <c r="U3418" s="31" t="s">
        <v>13048</v>
      </c>
      <c r="V3418" s="32">
        <v>43307.0</v>
      </c>
    </row>
    <row r="3419">
      <c r="A3419" s="32"/>
      <c r="T3419" s="31" t="s">
        <v>13052</v>
      </c>
      <c r="U3419" s="31" t="s">
        <v>13053</v>
      </c>
      <c r="V3419" s="32">
        <v>43305.0</v>
      </c>
    </row>
    <row r="3420">
      <c r="A3420" s="32"/>
      <c r="T3420" s="31" t="s">
        <v>13056</v>
      </c>
      <c r="U3420" s="31" t="s">
        <v>13057</v>
      </c>
      <c r="V3420" s="32">
        <v>43305.0</v>
      </c>
    </row>
    <row r="3421">
      <c r="A3421" s="32"/>
      <c r="T3421" s="31" t="s">
        <v>13061</v>
      </c>
      <c r="U3421" s="31" t="s">
        <v>13062</v>
      </c>
      <c r="V3421" s="32">
        <v>43304.0</v>
      </c>
    </row>
    <row r="3422">
      <c r="A3422" s="32"/>
      <c r="T3422" s="31" t="s">
        <v>13065</v>
      </c>
      <c r="U3422" s="31" t="s">
        <v>13066</v>
      </c>
      <c r="V3422" s="32">
        <v>43304.0</v>
      </c>
    </row>
    <row r="3423">
      <c r="A3423" s="32"/>
      <c r="T3423" s="31" t="s">
        <v>13069</v>
      </c>
      <c r="U3423" s="31" t="s">
        <v>13070</v>
      </c>
      <c r="V3423" s="32">
        <v>43304.0</v>
      </c>
    </row>
    <row r="3424">
      <c r="A3424" s="32"/>
      <c r="T3424" s="31" t="s">
        <v>13073</v>
      </c>
      <c r="U3424" s="31" t="s">
        <v>13074</v>
      </c>
      <c r="V3424" s="32">
        <v>43304.0</v>
      </c>
    </row>
    <row r="3425">
      <c r="A3425" s="32"/>
      <c r="T3425" s="31" t="s">
        <v>13078</v>
      </c>
      <c r="U3425" s="31" t="s">
        <v>13079</v>
      </c>
      <c r="V3425" s="32">
        <v>43301.0</v>
      </c>
    </row>
    <row r="3426">
      <c r="A3426" s="32"/>
      <c r="T3426" s="31" t="s">
        <v>13083</v>
      </c>
      <c r="U3426" s="31" t="s">
        <v>13084</v>
      </c>
      <c r="V3426" s="32">
        <v>43301.0</v>
      </c>
    </row>
    <row r="3427">
      <c r="A3427" s="32"/>
      <c r="T3427" s="31" t="s">
        <v>13087</v>
      </c>
      <c r="U3427" s="31" t="s">
        <v>11841</v>
      </c>
      <c r="V3427" s="32">
        <v>43300.0</v>
      </c>
    </row>
    <row r="3428">
      <c r="A3428" s="32"/>
      <c r="T3428" s="31" t="s">
        <v>13090</v>
      </c>
      <c r="U3428" s="31" t="s">
        <v>13091</v>
      </c>
      <c r="V3428" s="32">
        <v>43300.0</v>
      </c>
    </row>
    <row r="3429">
      <c r="A3429" s="32"/>
      <c r="T3429" s="31" t="s">
        <v>13094</v>
      </c>
      <c r="U3429" s="31" t="s">
        <v>13095</v>
      </c>
      <c r="V3429" s="32">
        <v>43300.0</v>
      </c>
    </row>
    <row r="3430">
      <c r="A3430" s="32"/>
      <c r="T3430" s="31" t="s">
        <v>13098</v>
      </c>
      <c r="U3430" s="31" t="s">
        <v>13099</v>
      </c>
      <c r="V3430" s="32">
        <v>43299.0</v>
      </c>
    </row>
    <row r="3431">
      <c r="A3431" s="32"/>
      <c r="T3431" s="31" t="s">
        <v>13102</v>
      </c>
      <c r="U3431" s="31" t="s">
        <v>13103</v>
      </c>
      <c r="V3431" s="32">
        <v>43299.0</v>
      </c>
    </row>
    <row r="3432">
      <c r="A3432" s="32"/>
      <c r="T3432" s="31" t="s">
        <v>13106</v>
      </c>
      <c r="U3432" s="31" t="s">
        <v>13107</v>
      </c>
      <c r="V3432" s="32">
        <v>43299.0</v>
      </c>
    </row>
    <row r="3433">
      <c r="A3433" s="32"/>
      <c r="T3433" s="31" t="s">
        <v>13110</v>
      </c>
      <c r="U3433" s="31" t="s">
        <v>13111</v>
      </c>
      <c r="V3433" s="32">
        <v>43298.0</v>
      </c>
    </row>
    <row r="3434">
      <c r="A3434" s="32"/>
      <c r="T3434" s="31" t="s">
        <v>13114</v>
      </c>
      <c r="U3434" s="31" t="s">
        <v>13115</v>
      </c>
      <c r="V3434" s="32">
        <v>43298.0</v>
      </c>
    </row>
    <row r="3435">
      <c r="A3435" s="32"/>
      <c r="T3435" s="31" t="s">
        <v>13118</v>
      </c>
      <c r="U3435" s="31" t="s">
        <v>13119</v>
      </c>
      <c r="V3435" s="32">
        <v>43295.0</v>
      </c>
    </row>
    <row r="3436">
      <c r="A3436" s="32"/>
      <c r="T3436" s="31" t="s">
        <v>13121</v>
      </c>
      <c r="U3436" s="31" t="s">
        <v>13122</v>
      </c>
      <c r="V3436" s="32">
        <v>43294.0</v>
      </c>
    </row>
    <row r="3437">
      <c r="A3437" s="32"/>
      <c r="T3437" s="31" t="s">
        <v>13125</v>
      </c>
      <c r="U3437" s="31" t="s">
        <v>13126</v>
      </c>
      <c r="V3437" s="32">
        <v>43294.0</v>
      </c>
    </row>
    <row r="3438">
      <c r="A3438" s="32"/>
      <c r="T3438" s="31" t="s">
        <v>13129</v>
      </c>
      <c r="U3438" s="31" t="s">
        <v>13130</v>
      </c>
      <c r="V3438" s="32">
        <v>43293.0</v>
      </c>
    </row>
    <row r="3439">
      <c r="A3439" s="32"/>
      <c r="T3439" s="31" t="s">
        <v>13133</v>
      </c>
      <c r="U3439" s="31" t="s">
        <v>13134</v>
      </c>
      <c r="V3439" s="32">
        <v>43292.0</v>
      </c>
    </row>
    <row r="3440">
      <c r="A3440" s="32"/>
      <c r="T3440" s="31" t="s">
        <v>13137</v>
      </c>
      <c r="U3440" s="31" t="s">
        <v>13138</v>
      </c>
      <c r="V3440" s="32">
        <v>43290.0</v>
      </c>
    </row>
    <row r="3441">
      <c r="A3441" s="32"/>
      <c r="T3441" s="31" t="s">
        <v>13141</v>
      </c>
      <c r="U3441" s="31" t="s">
        <v>13142</v>
      </c>
      <c r="V3441" s="32">
        <v>43288.0</v>
      </c>
    </row>
    <row r="3442">
      <c r="A3442" s="32"/>
      <c r="T3442" s="31" t="s">
        <v>13145</v>
      </c>
      <c r="U3442" s="31" t="s">
        <v>13146</v>
      </c>
      <c r="V3442" s="32">
        <v>43286.0</v>
      </c>
    </row>
    <row r="3443">
      <c r="A3443" s="32"/>
      <c r="T3443" s="31" t="s">
        <v>13149</v>
      </c>
      <c r="U3443" s="31" t="s">
        <v>13150</v>
      </c>
      <c r="V3443" s="32">
        <v>43285.0</v>
      </c>
    </row>
    <row r="3444">
      <c r="A3444" s="32"/>
      <c r="T3444" s="31" t="s">
        <v>13153</v>
      </c>
      <c r="U3444" s="31" t="s">
        <v>13154</v>
      </c>
      <c r="V3444" s="32">
        <v>43284.0</v>
      </c>
    </row>
    <row r="3445">
      <c r="A3445" s="32"/>
      <c r="T3445" s="31" t="s">
        <v>13157</v>
      </c>
      <c r="U3445" s="31" t="s">
        <v>13158</v>
      </c>
      <c r="V3445" s="32">
        <v>43283.0</v>
      </c>
    </row>
    <row r="3446">
      <c r="A3446" s="32"/>
      <c r="T3446" s="31" t="s">
        <v>13161</v>
      </c>
      <c r="U3446" s="31" t="s">
        <v>13162</v>
      </c>
      <c r="V3446" s="32">
        <v>43283.0</v>
      </c>
    </row>
    <row r="3447">
      <c r="A3447" s="32"/>
      <c r="T3447" s="31" t="s">
        <v>13165</v>
      </c>
      <c r="U3447" s="31" t="s">
        <v>13166</v>
      </c>
      <c r="V3447" s="32">
        <v>43282.0</v>
      </c>
    </row>
    <row r="3448">
      <c r="A3448" s="32"/>
      <c r="T3448" s="31" t="s">
        <v>13169</v>
      </c>
      <c r="U3448" s="31" t="s">
        <v>13170</v>
      </c>
      <c r="V3448" s="32">
        <v>43282.0</v>
      </c>
    </row>
    <row r="3449">
      <c r="A3449" s="32"/>
      <c r="T3449" s="31" t="s">
        <v>13173</v>
      </c>
      <c r="U3449" s="31" t="s">
        <v>13174</v>
      </c>
      <c r="V3449" s="32">
        <v>43281.0</v>
      </c>
    </row>
    <row r="3450">
      <c r="A3450" s="32"/>
      <c r="T3450" s="31" t="s">
        <v>13178</v>
      </c>
      <c r="U3450" s="31" t="s">
        <v>13179</v>
      </c>
      <c r="V3450" s="32">
        <v>43281.0</v>
      </c>
    </row>
    <row r="3451">
      <c r="A3451" s="32"/>
      <c r="T3451" s="31" t="s">
        <v>13182</v>
      </c>
      <c r="U3451" s="31" t="s">
        <v>13183</v>
      </c>
      <c r="V3451" s="32">
        <v>43280.0</v>
      </c>
    </row>
    <row r="3452">
      <c r="A3452" s="32"/>
      <c r="T3452" s="31" t="s">
        <v>13186</v>
      </c>
      <c r="U3452" s="31" t="s">
        <v>13187</v>
      </c>
      <c r="V3452" s="32">
        <v>43280.0</v>
      </c>
    </row>
    <row r="3453">
      <c r="A3453" s="32"/>
      <c r="T3453" s="31" t="s">
        <v>13190</v>
      </c>
      <c r="U3453" s="31" t="s">
        <v>13191</v>
      </c>
      <c r="V3453" s="32">
        <v>43279.0</v>
      </c>
    </row>
    <row r="3454">
      <c r="A3454" s="32"/>
      <c r="T3454" s="31" t="s">
        <v>13194</v>
      </c>
      <c r="U3454" s="31" t="s">
        <v>13195</v>
      </c>
      <c r="V3454" s="32">
        <v>43278.0</v>
      </c>
    </row>
    <row r="3455">
      <c r="A3455" s="32"/>
      <c r="T3455" s="31" t="s">
        <v>13198</v>
      </c>
      <c r="U3455" s="31" t="s">
        <v>13199</v>
      </c>
      <c r="V3455" s="32">
        <v>43278.0</v>
      </c>
    </row>
    <row r="3456">
      <c r="A3456" s="32"/>
      <c r="T3456" s="31" t="s">
        <v>13202</v>
      </c>
      <c r="U3456" s="31" t="s">
        <v>13203</v>
      </c>
      <c r="V3456" s="32">
        <v>43277.0</v>
      </c>
    </row>
    <row r="3457">
      <c r="A3457" s="32"/>
      <c r="T3457" s="31" t="s">
        <v>13206</v>
      </c>
      <c r="U3457" s="31" t="s">
        <v>13207</v>
      </c>
      <c r="V3457" s="32">
        <v>43276.0</v>
      </c>
    </row>
    <row r="3458">
      <c r="A3458" s="32"/>
      <c r="T3458" s="31" t="s">
        <v>13210</v>
      </c>
      <c r="U3458" s="31" t="s">
        <v>13211</v>
      </c>
      <c r="V3458" s="32">
        <v>43272.0</v>
      </c>
    </row>
    <row r="3459">
      <c r="A3459" s="32"/>
      <c r="T3459" s="31" t="s">
        <v>13214</v>
      </c>
      <c r="U3459" s="31" t="s">
        <v>13215</v>
      </c>
      <c r="V3459" s="32">
        <v>43271.0</v>
      </c>
    </row>
    <row r="3460">
      <c r="A3460" s="32"/>
      <c r="T3460" s="31" t="s">
        <v>13218</v>
      </c>
      <c r="U3460" s="31" t="s">
        <v>13219</v>
      </c>
      <c r="V3460" s="32">
        <v>43270.0</v>
      </c>
    </row>
    <row r="3461">
      <c r="A3461" s="32"/>
      <c r="T3461" s="31" t="s">
        <v>13222</v>
      </c>
      <c r="U3461" s="31" t="s">
        <v>13223</v>
      </c>
      <c r="V3461" s="32">
        <v>43269.0</v>
      </c>
    </row>
    <row r="3462">
      <c r="A3462" s="32"/>
      <c r="T3462" s="31" t="s">
        <v>13226</v>
      </c>
      <c r="U3462" s="31" t="s">
        <v>13227</v>
      </c>
      <c r="V3462" s="32">
        <v>43269.0</v>
      </c>
    </row>
    <row r="3463">
      <c r="A3463" s="32"/>
      <c r="T3463" s="31" t="s">
        <v>13230</v>
      </c>
      <c r="U3463" s="31" t="s">
        <v>13231</v>
      </c>
      <c r="V3463" s="32">
        <v>43269.0</v>
      </c>
    </row>
    <row r="3464">
      <c r="A3464" s="32"/>
      <c r="T3464" s="31" t="s">
        <v>13235</v>
      </c>
      <c r="U3464" s="31" t="s">
        <v>13236</v>
      </c>
      <c r="V3464" s="32">
        <v>43269.0</v>
      </c>
    </row>
    <row r="3465">
      <c r="A3465" s="32"/>
      <c r="T3465" s="31" t="s">
        <v>13239</v>
      </c>
      <c r="U3465" s="31" t="s">
        <v>13240</v>
      </c>
      <c r="V3465" s="32">
        <v>43266.0</v>
      </c>
    </row>
    <row r="3466">
      <c r="A3466" s="32"/>
      <c r="T3466" s="31" t="s">
        <v>13243</v>
      </c>
      <c r="U3466" s="31" t="s">
        <v>13244</v>
      </c>
      <c r="V3466" s="32">
        <v>43266.0</v>
      </c>
    </row>
    <row r="3467">
      <c r="A3467" s="32"/>
      <c r="T3467" s="31" t="s">
        <v>13247</v>
      </c>
      <c r="U3467" s="31" t="s">
        <v>13248</v>
      </c>
      <c r="V3467" s="32">
        <v>43266.0</v>
      </c>
    </row>
    <row r="3468">
      <c r="A3468" s="32"/>
      <c r="T3468" s="31" t="s">
        <v>13251</v>
      </c>
      <c r="U3468" s="31" t="s">
        <v>13252</v>
      </c>
      <c r="V3468" s="32">
        <v>43266.0</v>
      </c>
    </row>
    <row r="3469">
      <c r="A3469" s="32"/>
      <c r="T3469" s="31" t="s">
        <v>13255</v>
      </c>
      <c r="U3469" s="31" t="s">
        <v>13252</v>
      </c>
      <c r="V3469" s="32">
        <v>43266.0</v>
      </c>
    </row>
    <row r="3470">
      <c r="A3470" s="32"/>
      <c r="T3470" s="31" t="s">
        <v>13257</v>
      </c>
      <c r="U3470" s="31" t="s">
        <v>13258</v>
      </c>
      <c r="V3470" s="32">
        <v>43265.0</v>
      </c>
    </row>
    <row r="3471">
      <c r="A3471" s="32"/>
      <c r="T3471" s="31" t="s">
        <v>13261</v>
      </c>
      <c r="U3471" s="31" t="s">
        <v>13262</v>
      </c>
      <c r="V3471" s="32">
        <v>43264.0</v>
      </c>
    </row>
    <row r="3472">
      <c r="A3472" s="32"/>
      <c r="T3472" s="31" t="s">
        <v>13265</v>
      </c>
      <c r="U3472" s="31" t="s">
        <v>13266</v>
      </c>
      <c r="V3472" s="32">
        <v>43263.0</v>
      </c>
    </row>
    <row r="3473">
      <c r="A3473" s="32"/>
      <c r="T3473" s="31" t="s">
        <v>13269</v>
      </c>
      <c r="U3473" s="31" t="s">
        <v>13270</v>
      </c>
      <c r="V3473" s="32">
        <v>43263.0</v>
      </c>
    </row>
    <row r="3474">
      <c r="A3474" s="32"/>
      <c r="T3474" s="31" t="s">
        <v>13273</v>
      </c>
      <c r="U3474" s="31" t="s">
        <v>13274</v>
      </c>
      <c r="V3474" s="32">
        <v>43263.0</v>
      </c>
    </row>
    <row r="3475">
      <c r="A3475" s="32"/>
      <c r="T3475" s="31" t="s">
        <v>13277</v>
      </c>
      <c r="U3475" s="31" t="s">
        <v>13278</v>
      </c>
      <c r="V3475" s="32">
        <v>43263.0</v>
      </c>
    </row>
    <row r="3476">
      <c r="A3476" s="32"/>
      <c r="T3476" s="31" t="s">
        <v>13280</v>
      </c>
      <c r="U3476" s="31" t="s">
        <v>13281</v>
      </c>
      <c r="V3476" s="32">
        <v>43260.0</v>
      </c>
    </row>
    <row r="3477">
      <c r="A3477" s="32"/>
      <c r="T3477" s="31" t="s">
        <v>13284</v>
      </c>
      <c r="U3477" s="31" t="s">
        <v>13285</v>
      </c>
      <c r="V3477" s="32">
        <v>43259.0</v>
      </c>
    </row>
    <row r="3478">
      <c r="A3478" s="32"/>
      <c r="T3478" s="31" t="s">
        <v>13288</v>
      </c>
      <c r="U3478" s="31" t="s">
        <v>13289</v>
      </c>
      <c r="V3478" s="32">
        <v>43258.0</v>
      </c>
    </row>
    <row r="3479">
      <c r="A3479" s="32"/>
      <c r="T3479" s="31" t="s">
        <v>13292</v>
      </c>
      <c r="U3479" s="31" t="s">
        <v>13293</v>
      </c>
      <c r="V3479" s="32">
        <v>43257.0</v>
      </c>
    </row>
    <row r="3480">
      <c r="A3480" s="32"/>
      <c r="T3480" s="31" t="s">
        <v>13296</v>
      </c>
      <c r="U3480" s="31" t="s">
        <v>13002</v>
      </c>
      <c r="V3480" s="32">
        <v>43255.0</v>
      </c>
    </row>
    <row r="3481">
      <c r="A3481" s="32"/>
      <c r="T3481" s="31" t="s">
        <v>13299</v>
      </c>
      <c r="U3481" s="31" t="s">
        <v>13300</v>
      </c>
      <c r="V3481" s="32">
        <v>43253.0</v>
      </c>
    </row>
    <row r="3482">
      <c r="A3482" s="32"/>
      <c r="T3482" s="31" t="s">
        <v>13303</v>
      </c>
      <c r="U3482" s="31" t="s">
        <v>13304</v>
      </c>
      <c r="V3482" s="32">
        <v>43252.0</v>
      </c>
    </row>
    <row r="3483">
      <c r="A3483" s="32"/>
      <c r="T3483" s="31" t="s">
        <v>13307</v>
      </c>
      <c r="U3483" s="31" t="s">
        <v>13308</v>
      </c>
      <c r="V3483" s="32">
        <v>43252.0</v>
      </c>
    </row>
    <row r="3484">
      <c r="A3484" s="32"/>
      <c r="T3484" s="31" t="s">
        <v>13311</v>
      </c>
      <c r="U3484" s="31" t="s">
        <v>13312</v>
      </c>
      <c r="V3484" s="32">
        <v>43252.0</v>
      </c>
    </row>
    <row r="3485">
      <c r="A3485" s="32"/>
      <c r="T3485" s="31" t="s">
        <v>13315</v>
      </c>
      <c r="U3485" s="31" t="s">
        <v>13316</v>
      </c>
      <c r="V3485" s="32">
        <v>43251.0</v>
      </c>
    </row>
    <row r="3486">
      <c r="A3486" s="32"/>
      <c r="T3486" s="31" t="s">
        <v>13319</v>
      </c>
      <c r="U3486" s="31" t="s">
        <v>13320</v>
      </c>
      <c r="V3486" s="32">
        <v>43251.0</v>
      </c>
    </row>
    <row r="3487">
      <c r="A3487" s="32"/>
      <c r="T3487" s="31" t="s">
        <v>13323</v>
      </c>
      <c r="U3487" s="31" t="s">
        <v>13324</v>
      </c>
      <c r="V3487" s="32">
        <v>43249.0</v>
      </c>
    </row>
    <row r="3488">
      <c r="A3488" s="32"/>
      <c r="T3488" s="31" t="s">
        <v>13327</v>
      </c>
      <c r="U3488" s="31" t="s">
        <v>13328</v>
      </c>
      <c r="V3488" s="32">
        <v>43246.0</v>
      </c>
    </row>
    <row r="3489">
      <c r="A3489" s="32"/>
      <c r="T3489" s="31" t="s">
        <v>13331</v>
      </c>
      <c r="U3489" s="31" t="s">
        <v>13332</v>
      </c>
      <c r="V3489" s="32">
        <v>43246.0</v>
      </c>
    </row>
    <row r="3490">
      <c r="A3490" s="32"/>
      <c r="T3490" s="31" t="s">
        <v>13335</v>
      </c>
      <c r="U3490" s="31" t="s">
        <v>13336</v>
      </c>
      <c r="V3490" s="32">
        <v>43246.0</v>
      </c>
    </row>
    <row r="3491">
      <c r="A3491" s="32"/>
      <c r="T3491" s="31" t="s">
        <v>13340</v>
      </c>
      <c r="U3491" s="31" t="s">
        <v>13341</v>
      </c>
      <c r="V3491" s="32">
        <v>43245.0</v>
      </c>
    </row>
    <row r="3492">
      <c r="A3492" s="32"/>
      <c r="T3492" s="31" t="s">
        <v>13344</v>
      </c>
      <c r="U3492" s="31" t="s">
        <v>13345</v>
      </c>
      <c r="V3492" s="32">
        <v>43244.0</v>
      </c>
    </row>
    <row r="3493">
      <c r="A3493" s="32"/>
      <c r="T3493" s="31" t="s">
        <v>13348</v>
      </c>
      <c r="U3493" s="31" t="s">
        <v>13349</v>
      </c>
      <c r="V3493" s="32">
        <v>43244.0</v>
      </c>
    </row>
    <row r="3494">
      <c r="A3494" s="32"/>
      <c r="T3494" s="31" t="s">
        <v>13352</v>
      </c>
      <c r="U3494" s="31" t="s">
        <v>13353</v>
      </c>
      <c r="V3494" s="32">
        <v>43243.0</v>
      </c>
    </row>
    <row r="3495">
      <c r="A3495" s="32"/>
      <c r="T3495" s="31" t="s">
        <v>13355</v>
      </c>
      <c r="U3495" s="31" t="s">
        <v>13356</v>
      </c>
      <c r="V3495" s="32">
        <v>43242.0</v>
      </c>
    </row>
    <row r="3496">
      <c r="A3496" s="32"/>
      <c r="T3496" s="31" t="s">
        <v>13359</v>
      </c>
      <c r="U3496" s="31" t="s">
        <v>13360</v>
      </c>
      <c r="V3496" s="32">
        <v>43242.0</v>
      </c>
    </row>
    <row r="3497">
      <c r="A3497" s="32"/>
      <c r="T3497" s="31" t="s">
        <v>13363</v>
      </c>
      <c r="U3497" s="31" t="s">
        <v>13364</v>
      </c>
      <c r="V3497" s="32">
        <v>43241.0</v>
      </c>
    </row>
    <row r="3498">
      <c r="A3498" s="32"/>
      <c r="T3498" s="31" t="s">
        <v>13367</v>
      </c>
      <c r="U3498" s="31" t="s">
        <v>13368</v>
      </c>
      <c r="V3498" s="32">
        <v>43238.0</v>
      </c>
    </row>
    <row r="3499">
      <c r="A3499" s="32"/>
      <c r="T3499" s="31" t="s">
        <v>13371</v>
      </c>
      <c r="U3499" s="31" t="s">
        <v>13372</v>
      </c>
      <c r="V3499" s="32">
        <v>43237.0</v>
      </c>
    </row>
    <row r="3500">
      <c r="A3500" s="32"/>
      <c r="T3500" s="31" t="s">
        <v>13375</v>
      </c>
      <c r="U3500" s="31" t="s">
        <v>13376</v>
      </c>
      <c r="V3500" s="32">
        <v>43237.0</v>
      </c>
    </row>
    <row r="3501">
      <c r="A3501" s="32"/>
      <c r="T3501" s="31" t="s">
        <v>13379</v>
      </c>
      <c r="U3501" s="31" t="s">
        <v>13380</v>
      </c>
      <c r="V3501" s="32">
        <v>43237.0</v>
      </c>
    </row>
    <row r="3502">
      <c r="A3502" s="32"/>
      <c r="T3502" s="31" t="s">
        <v>13383</v>
      </c>
      <c r="U3502" s="31" t="s">
        <v>13384</v>
      </c>
      <c r="V3502" s="32">
        <v>43237.0</v>
      </c>
    </row>
    <row r="3503">
      <c r="A3503" s="32"/>
      <c r="T3503" s="31" t="s">
        <v>13387</v>
      </c>
      <c r="U3503" s="31" t="s">
        <v>13388</v>
      </c>
      <c r="V3503" s="32">
        <v>43236.0</v>
      </c>
    </row>
    <row r="3504">
      <c r="A3504" s="32"/>
      <c r="T3504" s="31" t="s">
        <v>13391</v>
      </c>
      <c r="U3504" s="31" t="s">
        <v>13392</v>
      </c>
      <c r="V3504" s="32">
        <v>43236.0</v>
      </c>
    </row>
    <row r="3505">
      <c r="A3505" s="32"/>
      <c r="T3505" s="31" t="s">
        <v>13395</v>
      </c>
      <c r="U3505" s="31" t="s">
        <v>13396</v>
      </c>
      <c r="V3505" s="32">
        <v>43236.0</v>
      </c>
    </row>
    <row r="3506">
      <c r="A3506" s="32"/>
      <c r="T3506" s="31" t="s">
        <v>13400</v>
      </c>
      <c r="U3506" s="31" t="s">
        <v>13401</v>
      </c>
      <c r="V3506" s="32">
        <v>43235.0</v>
      </c>
    </row>
    <row r="3507">
      <c r="A3507" s="32"/>
      <c r="T3507" s="31" t="s">
        <v>13405</v>
      </c>
      <c r="U3507" s="31" t="s">
        <v>13406</v>
      </c>
      <c r="V3507" s="32">
        <v>43234.0</v>
      </c>
    </row>
    <row r="3508">
      <c r="A3508" s="32"/>
      <c r="T3508" s="31" t="s">
        <v>13409</v>
      </c>
      <c r="U3508" s="31" t="s">
        <v>13410</v>
      </c>
      <c r="V3508" s="32">
        <v>43233.0</v>
      </c>
    </row>
    <row r="3509">
      <c r="A3509" s="32"/>
      <c r="T3509" s="31" t="s">
        <v>13413</v>
      </c>
      <c r="U3509" s="31" t="s">
        <v>13414</v>
      </c>
      <c r="V3509" s="32">
        <v>43230.0</v>
      </c>
    </row>
    <row r="3510">
      <c r="A3510" s="32"/>
      <c r="T3510" s="31" t="s">
        <v>13417</v>
      </c>
      <c r="U3510" s="31" t="s">
        <v>13418</v>
      </c>
      <c r="V3510" s="32">
        <v>43230.0</v>
      </c>
    </row>
    <row r="3511">
      <c r="A3511" s="32"/>
      <c r="T3511" s="31" t="s">
        <v>13422</v>
      </c>
      <c r="U3511" s="31" t="s">
        <v>13423</v>
      </c>
      <c r="V3511" s="32">
        <v>43229.0</v>
      </c>
    </row>
    <row r="3512">
      <c r="A3512" s="32"/>
      <c r="T3512" s="31" t="s">
        <v>13426</v>
      </c>
      <c r="U3512" s="31" t="s">
        <v>13427</v>
      </c>
      <c r="V3512" s="32">
        <v>43229.0</v>
      </c>
    </row>
    <row r="3513">
      <c r="A3513" s="32"/>
      <c r="T3513" s="31" t="s">
        <v>13430</v>
      </c>
      <c r="U3513" s="31" t="s">
        <v>13431</v>
      </c>
      <c r="V3513" s="32">
        <v>43228.0</v>
      </c>
    </row>
    <row r="3514">
      <c r="A3514" s="32"/>
      <c r="T3514" s="31" t="s">
        <v>13435</v>
      </c>
      <c r="U3514" s="31" t="s">
        <v>13436</v>
      </c>
      <c r="V3514" s="32">
        <v>43224.0</v>
      </c>
    </row>
    <row r="3515">
      <c r="A3515" s="32"/>
      <c r="T3515" s="31" t="s">
        <v>13438</v>
      </c>
      <c r="U3515" s="31" t="s">
        <v>13439</v>
      </c>
      <c r="V3515" s="32">
        <v>43222.0</v>
      </c>
    </row>
    <row r="3516">
      <c r="A3516" s="32"/>
      <c r="T3516" s="31" t="s">
        <v>13442</v>
      </c>
      <c r="U3516" s="31" t="s">
        <v>13443</v>
      </c>
      <c r="V3516" s="32">
        <v>43222.0</v>
      </c>
    </row>
    <row r="3517">
      <c r="A3517" s="32"/>
      <c r="T3517" s="31" t="s">
        <v>13446</v>
      </c>
      <c r="U3517" s="31" t="s">
        <v>13447</v>
      </c>
      <c r="V3517" s="32">
        <v>43222.0</v>
      </c>
    </row>
    <row r="3518">
      <c r="A3518" s="32"/>
      <c r="T3518" s="31" t="s">
        <v>13450</v>
      </c>
      <c r="U3518" s="31" t="s">
        <v>13451</v>
      </c>
      <c r="V3518" s="32">
        <v>43221.0</v>
      </c>
    </row>
    <row r="3519">
      <c r="A3519" s="32"/>
      <c r="T3519" s="31" t="s">
        <v>13454</v>
      </c>
      <c r="U3519" s="31" t="s">
        <v>13455</v>
      </c>
      <c r="V3519" s="32">
        <v>43221.0</v>
      </c>
    </row>
    <row r="3520">
      <c r="A3520" s="32"/>
      <c r="T3520" s="31" t="s">
        <v>13459</v>
      </c>
      <c r="U3520" s="31" t="s">
        <v>13460</v>
      </c>
      <c r="V3520" s="32">
        <v>43221.0</v>
      </c>
    </row>
    <row r="3521">
      <c r="A3521" s="32"/>
      <c r="T3521" s="31" t="s">
        <v>13463</v>
      </c>
      <c r="U3521" s="31" t="s">
        <v>13464</v>
      </c>
      <c r="V3521" s="32">
        <v>43221.0</v>
      </c>
    </row>
    <row r="3522">
      <c r="A3522" s="32"/>
      <c r="T3522" s="31" t="s">
        <v>13467</v>
      </c>
      <c r="U3522" s="31" t="s">
        <v>13468</v>
      </c>
      <c r="V3522" s="32">
        <v>43221.0</v>
      </c>
    </row>
    <row r="3523">
      <c r="A3523" s="32"/>
      <c r="T3523" s="31" t="s">
        <v>13471</v>
      </c>
      <c r="U3523" s="31" t="s">
        <v>13472</v>
      </c>
      <c r="V3523" s="32">
        <v>43221.0</v>
      </c>
    </row>
    <row r="3524">
      <c r="A3524" s="32"/>
      <c r="T3524" s="31" t="s">
        <v>13476</v>
      </c>
      <c r="U3524" s="31" t="s">
        <v>13477</v>
      </c>
      <c r="V3524" s="32">
        <v>43220.0</v>
      </c>
    </row>
    <row r="3525">
      <c r="A3525" s="32"/>
      <c r="T3525" s="31" t="s">
        <v>13480</v>
      </c>
      <c r="U3525" s="31" t="s">
        <v>13481</v>
      </c>
      <c r="V3525" s="32">
        <v>43220.0</v>
      </c>
    </row>
    <row r="3526">
      <c r="A3526" s="32"/>
      <c r="T3526" s="31" t="s">
        <v>13484</v>
      </c>
      <c r="U3526" s="31" t="s">
        <v>10822</v>
      </c>
      <c r="V3526" s="32">
        <v>43217.0</v>
      </c>
    </row>
    <row r="3527">
      <c r="A3527" s="32"/>
      <c r="T3527" s="31" t="s">
        <v>13487</v>
      </c>
      <c r="U3527" s="31" t="s">
        <v>13488</v>
      </c>
      <c r="V3527" s="32">
        <v>43216.0</v>
      </c>
    </row>
    <row r="3528">
      <c r="A3528" s="32"/>
      <c r="T3528" s="31" t="s">
        <v>13491</v>
      </c>
      <c r="U3528" s="31" t="s">
        <v>13492</v>
      </c>
      <c r="V3528" s="32">
        <v>43215.0</v>
      </c>
    </row>
    <row r="3529">
      <c r="A3529" s="32"/>
      <c r="T3529" s="31" t="s">
        <v>13495</v>
      </c>
      <c r="U3529" s="31" t="s">
        <v>13496</v>
      </c>
      <c r="V3529" s="32">
        <v>43215.0</v>
      </c>
    </row>
    <row r="3530">
      <c r="A3530" s="32"/>
      <c r="T3530" s="31" t="s">
        <v>13500</v>
      </c>
      <c r="U3530" s="31" t="s">
        <v>13501</v>
      </c>
      <c r="V3530" s="32">
        <v>43215.0</v>
      </c>
    </row>
    <row r="3531">
      <c r="A3531" s="32"/>
      <c r="T3531" s="31" t="s">
        <v>13504</v>
      </c>
      <c r="U3531" s="31" t="s">
        <v>13505</v>
      </c>
      <c r="V3531" s="32">
        <v>43214.0</v>
      </c>
    </row>
    <row r="3532">
      <c r="A3532" s="32"/>
      <c r="T3532" s="31" t="s">
        <v>13508</v>
      </c>
      <c r="U3532" s="31" t="s">
        <v>13509</v>
      </c>
      <c r="V3532" s="32">
        <v>43214.0</v>
      </c>
    </row>
    <row r="3533">
      <c r="A3533" s="32"/>
      <c r="T3533" s="31" t="s">
        <v>13512</v>
      </c>
      <c r="U3533" s="31" t="s">
        <v>13513</v>
      </c>
      <c r="V3533" s="32">
        <v>43214.0</v>
      </c>
    </row>
    <row r="3534">
      <c r="A3534" s="32"/>
      <c r="T3534" s="31" t="s">
        <v>13516</v>
      </c>
      <c r="U3534" s="31" t="s">
        <v>13517</v>
      </c>
      <c r="V3534" s="32">
        <v>43213.0</v>
      </c>
    </row>
    <row r="3535">
      <c r="A3535" s="32"/>
      <c r="T3535" s="31" t="s">
        <v>13520</v>
      </c>
      <c r="U3535" s="31" t="s">
        <v>13521</v>
      </c>
      <c r="V3535" s="32">
        <v>43211.0</v>
      </c>
    </row>
    <row r="3536">
      <c r="A3536" s="32"/>
      <c r="T3536" s="31" t="s">
        <v>13524</v>
      </c>
      <c r="U3536" s="31" t="s">
        <v>13525</v>
      </c>
      <c r="V3536" s="32">
        <v>43211.0</v>
      </c>
    </row>
    <row r="3537">
      <c r="A3537" s="32"/>
      <c r="T3537" s="31" t="s">
        <v>13528</v>
      </c>
      <c r="U3537" s="31" t="s">
        <v>13529</v>
      </c>
      <c r="V3537" s="32">
        <v>43210.0</v>
      </c>
    </row>
    <row r="3538">
      <c r="A3538" s="32"/>
      <c r="T3538" s="31" t="s">
        <v>13532</v>
      </c>
      <c r="U3538" s="31" t="s">
        <v>13533</v>
      </c>
      <c r="V3538" s="32">
        <v>43210.0</v>
      </c>
    </row>
    <row r="3539">
      <c r="A3539" s="32"/>
      <c r="T3539" s="31" t="s">
        <v>13536</v>
      </c>
      <c r="U3539" s="31" t="s">
        <v>13537</v>
      </c>
      <c r="V3539" s="32">
        <v>43209.0</v>
      </c>
    </row>
    <row r="3540">
      <c r="A3540" s="32"/>
      <c r="T3540" s="31" t="s">
        <v>13541</v>
      </c>
      <c r="U3540" s="31" t="s">
        <v>13542</v>
      </c>
      <c r="V3540" s="32">
        <v>43208.0</v>
      </c>
    </row>
    <row r="3541">
      <c r="A3541" s="32"/>
      <c r="T3541" s="31" t="s">
        <v>13545</v>
      </c>
      <c r="U3541" s="31" t="s">
        <v>13546</v>
      </c>
      <c r="V3541" s="32">
        <v>43207.0</v>
      </c>
    </row>
    <row r="3542">
      <c r="A3542" s="32"/>
      <c r="T3542" s="31" t="s">
        <v>13549</v>
      </c>
      <c r="U3542" s="31" t="s">
        <v>13550</v>
      </c>
      <c r="V3542" s="32">
        <v>43206.0</v>
      </c>
    </row>
    <row r="3543">
      <c r="A3543" s="32"/>
      <c r="T3543" s="31" t="s">
        <v>13553</v>
      </c>
      <c r="U3543" s="31" t="s">
        <v>13554</v>
      </c>
      <c r="V3543" s="32">
        <v>43206.0</v>
      </c>
    </row>
    <row r="3544">
      <c r="A3544" s="32"/>
      <c r="T3544" s="31" t="s">
        <v>13557</v>
      </c>
      <c r="U3544" s="31" t="s">
        <v>13558</v>
      </c>
      <c r="V3544" s="32">
        <v>43204.0</v>
      </c>
    </row>
    <row r="3545">
      <c r="A3545" s="32"/>
      <c r="T3545" s="31" t="s">
        <v>13561</v>
      </c>
      <c r="U3545" s="31" t="s">
        <v>13562</v>
      </c>
      <c r="V3545" s="32">
        <v>43202.0</v>
      </c>
    </row>
    <row r="3546">
      <c r="A3546" s="32"/>
      <c r="T3546" s="31" t="s">
        <v>13565</v>
      </c>
      <c r="U3546" s="31" t="s">
        <v>13566</v>
      </c>
      <c r="V3546" s="32">
        <v>43202.0</v>
      </c>
    </row>
    <row r="3547">
      <c r="A3547" s="32"/>
      <c r="T3547" s="31" t="s">
        <v>13569</v>
      </c>
      <c r="U3547" s="31" t="s">
        <v>13570</v>
      </c>
      <c r="V3547" s="32">
        <v>43202.0</v>
      </c>
    </row>
    <row r="3548">
      <c r="A3548" s="32"/>
      <c r="T3548" s="31" t="s">
        <v>13574</v>
      </c>
      <c r="U3548" s="31" t="s">
        <v>13575</v>
      </c>
      <c r="V3548" s="32">
        <v>43201.0</v>
      </c>
    </row>
    <row r="3549">
      <c r="A3549" s="32"/>
      <c r="T3549" s="31" t="s">
        <v>13578</v>
      </c>
      <c r="U3549" s="31" t="s">
        <v>13579</v>
      </c>
      <c r="V3549" s="32">
        <v>43200.0</v>
      </c>
    </row>
    <row r="3550">
      <c r="A3550" s="32"/>
      <c r="T3550" s="31" t="s">
        <v>13582</v>
      </c>
      <c r="U3550" s="31" t="s">
        <v>13583</v>
      </c>
      <c r="V3550" s="32">
        <v>43200.0</v>
      </c>
    </row>
    <row r="3551">
      <c r="A3551" s="32"/>
      <c r="T3551" s="31" t="s">
        <v>13586</v>
      </c>
      <c r="U3551" s="31" t="s">
        <v>13587</v>
      </c>
      <c r="V3551" s="32">
        <v>43200.0</v>
      </c>
    </row>
    <row r="3552">
      <c r="A3552" s="32"/>
      <c r="T3552" s="31" t="s">
        <v>13590</v>
      </c>
      <c r="U3552" s="31" t="s">
        <v>13591</v>
      </c>
      <c r="V3552" s="32">
        <v>43199.0</v>
      </c>
    </row>
    <row r="3553">
      <c r="A3553" s="32"/>
      <c r="T3553" s="31" t="s">
        <v>13595</v>
      </c>
      <c r="U3553" s="31" t="s">
        <v>13596</v>
      </c>
      <c r="V3553" s="32">
        <v>43197.0</v>
      </c>
    </row>
    <row r="3554">
      <c r="A3554" s="32"/>
      <c r="T3554" s="31" t="s">
        <v>13598</v>
      </c>
      <c r="U3554" s="31" t="s">
        <v>13599</v>
      </c>
      <c r="V3554" s="32">
        <v>43195.0</v>
      </c>
    </row>
    <row r="3555">
      <c r="A3555" s="32"/>
      <c r="T3555" s="31" t="s">
        <v>13602</v>
      </c>
      <c r="U3555" s="31" t="s">
        <v>13603</v>
      </c>
      <c r="V3555" s="32">
        <v>43193.0</v>
      </c>
    </row>
    <row r="3556">
      <c r="A3556" s="32"/>
      <c r="T3556" s="31" t="s">
        <v>13607</v>
      </c>
      <c r="U3556" s="31" t="s">
        <v>13608</v>
      </c>
      <c r="V3556" s="32">
        <v>43191.0</v>
      </c>
    </row>
    <row r="3557">
      <c r="A3557" s="32"/>
      <c r="T3557" s="31" t="s">
        <v>13612</v>
      </c>
      <c r="U3557" s="31" t="s">
        <v>13613</v>
      </c>
      <c r="V3557" s="32">
        <v>43191.0</v>
      </c>
    </row>
    <row r="3558">
      <c r="A3558" s="32"/>
      <c r="T3558" s="31" t="s">
        <v>13616</v>
      </c>
      <c r="U3558" s="31" t="s">
        <v>13617</v>
      </c>
      <c r="V3558" s="32">
        <v>43191.0</v>
      </c>
    </row>
    <row r="3559">
      <c r="A3559" s="32"/>
      <c r="T3559" s="31" t="s">
        <v>13621</v>
      </c>
      <c r="U3559" s="31" t="s">
        <v>8091</v>
      </c>
      <c r="V3559" s="32">
        <v>43191.0</v>
      </c>
    </row>
    <row r="3560">
      <c r="A3560" s="32"/>
      <c r="T3560" s="31" t="s">
        <v>13625</v>
      </c>
      <c r="U3560" s="31" t="s">
        <v>13626</v>
      </c>
      <c r="V3560" s="32">
        <v>43191.0</v>
      </c>
    </row>
    <row r="3561">
      <c r="A3561" s="32"/>
      <c r="T3561" s="31" t="s">
        <v>13628</v>
      </c>
      <c r="U3561" s="31" t="s">
        <v>13629</v>
      </c>
      <c r="V3561" s="32">
        <v>43189.0</v>
      </c>
    </row>
    <row r="3562">
      <c r="A3562" s="32"/>
      <c r="T3562" s="31" t="s">
        <v>13632</v>
      </c>
      <c r="U3562" s="31" t="s">
        <v>13633</v>
      </c>
      <c r="V3562" s="32">
        <v>43189.0</v>
      </c>
    </row>
    <row r="3563">
      <c r="A3563" s="32"/>
      <c r="T3563" s="31" t="s">
        <v>13636</v>
      </c>
      <c r="U3563" s="31" t="s">
        <v>13637</v>
      </c>
      <c r="V3563" s="32">
        <v>43187.0</v>
      </c>
    </row>
    <row r="3564">
      <c r="A3564" s="32"/>
      <c r="T3564" s="31" t="s">
        <v>13640</v>
      </c>
      <c r="U3564" s="31" t="s">
        <v>13641</v>
      </c>
      <c r="V3564" s="32">
        <v>43186.0</v>
      </c>
    </row>
    <row r="3565">
      <c r="A3565" s="32"/>
      <c r="T3565" s="31" t="s">
        <v>13643</v>
      </c>
      <c r="U3565" s="31" t="s">
        <v>13644</v>
      </c>
      <c r="V3565" s="32">
        <v>43186.0</v>
      </c>
    </row>
    <row r="3566">
      <c r="A3566" s="32"/>
      <c r="T3566" s="31" t="s">
        <v>13647</v>
      </c>
      <c r="U3566" s="31" t="s">
        <v>13648</v>
      </c>
      <c r="V3566" s="32">
        <v>43185.0</v>
      </c>
    </row>
    <row r="3567">
      <c r="A3567" s="32"/>
      <c r="T3567" s="31" t="s">
        <v>13651</v>
      </c>
      <c r="U3567" s="31" t="s">
        <v>13652</v>
      </c>
      <c r="V3567" s="32">
        <v>43184.0</v>
      </c>
    </row>
    <row r="3568">
      <c r="A3568" s="32"/>
      <c r="T3568" s="31" t="s">
        <v>13655</v>
      </c>
      <c r="U3568" s="31" t="s">
        <v>13656</v>
      </c>
      <c r="V3568" s="32">
        <v>43183.0</v>
      </c>
    </row>
    <row r="3569">
      <c r="A3569" s="32"/>
      <c r="T3569" s="31" t="s">
        <v>13659</v>
      </c>
      <c r="U3569" s="31" t="s">
        <v>13660</v>
      </c>
      <c r="V3569" s="32">
        <v>43183.0</v>
      </c>
    </row>
    <row r="3570">
      <c r="A3570" s="32"/>
      <c r="T3570" s="31" t="s">
        <v>13663</v>
      </c>
      <c r="U3570" s="31" t="s">
        <v>13664</v>
      </c>
      <c r="V3570" s="32">
        <v>43182.0</v>
      </c>
    </row>
    <row r="3571">
      <c r="A3571" s="32"/>
      <c r="T3571" s="31" t="s">
        <v>13667</v>
      </c>
      <c r="U3571" s="31" t="s">
        <v>13668</v>
      </c>
      <c r="V3571" s="32">
        <v>43182.0</v>
      </c>
    </row>
    <row r="3572">
      <c r="A3572" s="32"/>
      <c r="T3572" s="31" t="s">
        <v>13671</v>
      </c>
      <c r="U3572" s="31" t="s">
        <v>13672</v>
      </c>
      <c r="V3572" s="32">
        <v>43181.0</v>
      </c>
    </row>
    <row r="3573">
      <c r="A3573" s="32"/>
      <c r="T3573" s="31" t="s">
        <v>13675</v>
      </c>
      <c r="U3573" s="31" t="s">
        <v>13676</v>
      </c>
      <c r="V3573" s="32">
        <v>43180.0</v>
      </c>
    </row>
    <row r="3574">
      <c r="A3574" s="32"/>
      <c r="T3574" s="31" t="s">
        <v>13679</v>
      </c>
      <c r="U3574" s="31" t="s">
        <v>13680</v>
      </c>
      <c r="V3574" s="32">
        <v>43179.0</v>
      </c>
    </row>
    <row r="3575">
      <c r="A3575" s="32"/>
      <c r="T3575" s="31" t="s">
        <v>13683</v>
      </c>
      <c r="U3575" s="31" t="s">
        <v>13684</v>
      </c>
      <c r="V3575" s="32">
        <v>43176.0</v>
      </c>
    </row>
    <row r="3576">
      <c r="A3576" s="32"/>
      <c r="T3576" s="31" t="s">
        <v>13687</v>
      </c>
      <c r="U3576" s="31" t="s">
        <v>13688</v>
      </c>
      <c r="V3576" s="32">
        <v>43175.0</v>
      </c>
    </row>
    <row r="3577">
      <c r="A3577" s="32"/>
      <c r="T3577" s="31" t="s">
        <v>13691</v>
      </c>
      <c r="U3577" s="31" t="s">
        <v>13692</v>
      </c>
      <c r="V3577" s="32">
        <v>43174.0</v>
      </c>
    </row>
    <row r="3578">
      <c r="A3578" s="32"/>
      <c r="T3578" s="31" t="s">
        <v>13694</v>
      </c>
      <c r="U3578" s="31" t="s">
        <v>13695</v>
      </c>
      <c r="V3578" s="32">
        <v>43172.0</v>
      </c>
    </row>
    <row r="3579">
      <c r="A3579" s="32"/>
      <c r="T3579" s="31" t="s">
        <v>13697</v>
      </c>
      <c r="U3579" s="31" t="s">
        <v>13274</v>
      </c>
      <c r="V3579" s="32">
        <v>43169.0</v>
      </c>
    </row>
    <row r="3580">
      <c r="A3580" s="32"/>
      <c r="T3580" s="31" t="s">
        <v>13700</v>
      </c>
      <c r="U3580" s="31" t="s">
        <v>13701</v>
      </c>
      <c r="V3580" s="32">
        <v>43168.0</v>
      </c>
    </row>
    <row r="3581">
      <c r="A3581" s="32"/>
      <c r="T3581" s="31" t="s">
        <v>13704</v>
      </c>
      <c r="U3581" s="31" t="s">
        <v>13705</v>
      </c>
      <c r="V3581" s="32">
        <v>43168.0</v>
      </c>
    </row>
    <row r="3582">
      <c r="A3582" s="32"/>
      <c r="T3582" s="31" t="s">
        <v>13708</v>
      </c>
      <c r="U3582" s="31" t="s">
        <v>13709</v>
      </c>
      <c r="V3582" s="32">
        <v>43167.0</v>
      </c>
    </row>
    <row r="3583">
      <c r="A3583" s="32"/>
      <c r="T3583" s="31" t="s">
        <v>13712</v>
      </c>
      <c r="U3583" s="31" t="s">
        <v>13713</v>
      </c>
      <c r="V3583" s="32">
        <v>43167.0</v>
      </c>
    </row>
    <row r="3584">
      <c r="A3584" s="32"/>
      <c r="T3584" s="31" t="s">
        <v>13716</v>
      </c>
      <c r="U3584" s="31" t="s">
        <v>13717</v>
      </c>
      <c r="V3584" s="32">
        <v>43167.0</v>
      </c>
    </row>
    <row r="3585">
      <c r="A3585" s="32"/>
      <c r="T3585" s="31" t="s">
        <v>13720</v>
      </c>
      <c r="U3585" s="31" t="s">
        <v>13721</v>
      </c>
      <c r="V3585" s="32">
        <v>43166.0</v>
      </c>
    </row>
    <row r="3586">
      <c r="A3586" s="32"/>
      <c r="T3586" s="31" t="s">
        <v>13724</v>
      </c>
      <c r="U3586" s="31" t="s">
        <v>13725</v>
      </c>
      <c r="V3586" s="32">
        <v>43165.0</v>
      </c>
    </row>
    <row r="3587">
      <c r="A3587" s="32"/>
      <c r="T3587" s="31" t="s">
        <v>13728</v>
      </c>
      <c r="U3587" s="31" t="s">
        <v>13729</v>
      </c>
      <c r="V3587" s="32">
        <v>43165.0</v>
      </c>
    </row>
    <row r="3588">
      <c r="A3588" s="32"/>
      <c r="T3588" s="31" t="s">
        <v>13732</v>
      </c>
      <c r="U3588" s="31" t="s">
        <v>13733</v>
      </c>
      <c r="V3588" s="32">
        <v>43165.0</v>
      </c>
    </row>
    <row r="3589">
      <c r="A3589" s="32"/>
      <c r="T3589" s="31" t="s">
        <v>13736</v>
      </c>
      <c r="U3589" s="31" t="s">
        <v>13737</v>
      </c>
      <c r="V3589" s="32">
        <v>43165.0</v>
      </c>
    </row>
    <row r="3590">
      <c r="A3590" s="32"/>
      <c r="T3590" s="31" t="s">
        <v>13741</v>
      </c>
      <c r="U3590" s="31" t="s">
        <v>13742</v>
      </c>
      <c r="V3590" s="32">
        <v>43165.0</v>
      </c>
    </row>
    <row r="3591">
      <c r="A3591" s="32"/>
      <c r="T3591" s="31" t="s">
        <v>13745</v>
      </c>
      <c r="U3591" s="31" t="s">
        <v>13746</v>
      </c>
      <c r="V3591" s="32">
        <v>43164.0</v>
      </c>
    </row>
    <row r="3592">
      <c r="A3592" s="32"/>
      <c r="T3592" s="31" t="s">
        <v>13749</v>
      </c>
      <c r="U3592" s="31" t="s">
        <v>13750</v>
      </c>
      <c r="V3592" s="32">
        <v>43164.0</v>
      </c>
    </row>
    <row r="3593">
      <c r="A3593" s="32"/>
      <c r="T3593" s="31" t="s">
        <v>13753</v>
      </c>
      <c r="U3593" s="31" t="s">
        <v>13754</v>
      </c>
      <c r="V3593" s="32">
        <v>43164.0</v>
      </c>
    </row>
    <row r="3594">
      <c r="A3594" s="32"/>
      <c r="T3594" s="31" t="s">
        <v>13758</v>
      </c>
      <c r="U3594" s="31" t="s">
        <v>13759</v>
      </c>
      <c r="V3594" s="32">
        <v>43162.0</v>
      </c>
    </row>
    <row r="3595">
      <c r="A3595" s="32"/>
      <c r="T3595" s="31" t="s">
        <v>13762</v>
      </c>
      <c r="U3595" s="31" t="s">
        <v>13763</v>
      </c>
      <c r="V3595" s="32">
        <v>43161.0</v>
      </c>
    </row>
    <row r="3596">
      <c r="A3596" s="32"/>
      <c r="T3596" s="31" t="s">
        <v>13766</v>
      </c>
      <c r="U3596" s="31" t="s">
        <v>13767</v>
      </c>
      <c r="V3596" s="32">
        <v>43160.0</v>
      </c>
    </row>
    <row r="3597">
      <c r="A3597" s="32"/>
      <c r="T3597" s="31" t="s">
        <v>13770</v>
      </c>
      <c r="U3597" s="31" t="s">
        <v>13771</v>
      </c>
      <c r="V3597" s="32">
        <v>43160.0</v>
      </c>
    </row>
    <row r="3598">
      <c r="A3598" s="32"/>
      <c r="T3598" s="31" t="s">
        <v>13774</v>
      </c>
      <c r="U3598" s="31" t="s">
        <v>13775</v>
      </c>
      <c r="V3598" s="32">
        <v>43159.0</v>
      </c>
    </row>
    <row r="3599">
      <c r="A3599" s="32"/>
      <c r="T3599" s="31" t="s">
        <v>13778</v>
      </c>
      <c r="U3599" s="31" t="s">
        <v>13779</v>
      </c>
      <c r="V3599" s="32">
        <v>43159.0</v>
      </c>
    </row>
    <row r="3600">
      <c r="A3600" s="32"/>
      <c r="T3600" s="31" t="s">
        <v>13782</v>
      </c>
      <c r="U3600" s="31" t="s">
        <v>13783</v>
      </c>
      <c r="V3600" s="32">
        <v>43159.0</v>
      </c>
    </row>
    <row r="3601">
      <c r="A3601" s="32"/>
      <c r="T3601" s="31" t="s">
        <v>13786</v>
      </c>
      <c r="U3601" s="31" t="s">
        <v>13787</v>
      </c>
      <c r="V3601" s="32">
        <v>43157.0</v>
      </c>
    </row>
    <row r="3602">
      <c r="A3602" s="32"/>
      <c r="T3602" s="31" t="s">
        <v>13790</v>
      </c>
      <c r="U3602" s="31" t="s">
        <v>13274</v>
      </c>
      <c r="V3602" s="32">
        <v>43155.0</v>
      </c>
    </row>
    <row r="3603">
      <c r="A3603" s="32"/>
      <c r="T3603" s="31" t="s">
        <v>13793</v>
      </c>
      <c r="U3603" s="31" t="s">
        <v>13794</v>
      </c>
      <c r="V3603" s="32">
        <v>43153.0</v>
      </c>
    </row>
    <row r="3604">
      <c r="A3604" s="32"/>
      <c r="T3604" s="31" t="s">
        <v>13797</v>
      </c>
      <c r="U3604" s="31" t="s">
        <v>13274</v>
      </c>
      <c r="V3604" s="32">
        <v>43153.0</v>
      </c>
    </row>
    <row r="3605">
      <c r="A3605" s="32"/>
      <c r="T3605" s="31" t="s">
        <v>13800</v>
      </c>
      <c r="U3605" s="31" t="s">
        <v>13801</v>
      </c>
      <c r="V3605" s="32">
        <v>43153.0</v>
      </c>
    </row>
    <row r="3606">
      <c r="A3606" s="32"/>
      <c r="T3606" s="31" t="s">
        <v>13804</v>
      </c>
      <c r="U3606" s="31" t="s">
        <v>13805</v>
      </c>
      <c r="V3606" s="32">
        <v>43152.0</v>
      </c>
    </row>
    <row r="3607">
      <c r="A3607" s="32"/>
      <c r="T3607" s="31" t="s">
        <v>13808</v>
      </c>
      <c r="U3607" s="31" t="s">
        <v>13809</v>
      </c>
      <c r="V3607" s="32">
        <v>43151.0</v>
      </c>
    </row>
    <row r="3608">
      <c r="A3608" s="32"/>
      <c r="T3608" s="31" t="s">
        <v>13813</v>
      </c>
      <c r="U3608" s="31" t="s">
        <v>13814</v>
      </c>
      <c r="V3608" s="32">
        <v>43151.0</v>
      </c>
    </row>
    <row r="3609">
      <c r="A3609" s="32"/>
      <c r="T3609" s="31" t="s">
        <v>13816</v>
      </c>
      <c r="U3609" s="31" t="s">
        <v>13817</v>
      </c>
      <c r="V3609" s="32">
        <v>43151.0</v>
      </c>
    </row>
    <row r="3610">
      <c r="A3610" s="32"/>
      <c r="T3610" s="31" t="s">
        <v>13820</v>
      </c>
      <c r="U3610" s="31" t="s">
        <v>10361</v>
      </c>
      <c r="V3610" s="32">
        <v>43150.0</v>
      </c>
    </row>
    <row r="3611">
      <c r="A3611" s="32"/>
      <c r="T3611" s="31" t="s">
        <v>13823</v>
      </c>
      <c r="U3611" s="31" t="s">
        <v>13274</v>
      </c>
      <c r="V3611" s="32">
        <v>43150.0</v>
      </c>
    </row>
    <row r="3612">
      <c r="A3612" s="32"/>
      <c r="T3612" s="31" t="s">
        <v>13826</v>
      </c>
      <c r="U3612" s="31" t="s">
        <v>13827</v>
      </c>
      <c r="V3612" s="32">
        <v>43150.0</v>
      </c>
    </row>
    <row r="3613">
      <c r="A3613" s="32"/>
      <c r="T3613" s="31" t="s">
        <v>13830</v>
      </c>
      <c r="U3613" s="31" t="s">
        <v>13831</v>
      </c>
      <c r="V3613" s="32">
        <v>43146.0</v>
      </c>
    </row>
    <row r="3614">
      <c r="A3614" s="32"/>
      <c r="T3614" s="31" t="s">
        <v>13834</v>
      </c>
      <c r="U3614" s="31" t="s">
        <v>13835</v>
      </c>
      <c r="V3614" s="32">
        <v>43146.0</v>
      </c>
    </row>
    <row r="3615">
      <c r="A3615" s="32"/>
      <c r="T3615" s="31" t="s">
        <v>13838</v>
      </c>
      <c r="U3615" s="31" t="s">
        <v>13839</v>
      </c>
      <c r="V3615" s="32">
        <v>43146.0</v>
      </c>
    </row>
    <row r="3616">
      <c r="A3616" s="32"/>
      <c r="T3616" s="31" t="s">
        <v>13842</v>
      </c>
      <c r="U3616" s="31" t="s">
        <v>13843</v>
      </c>
      <c r="V3616" s="32">
        <v>43143.0</v>
      </c>
    </row>
    <row r="3617">
      <c r="A3617" s="32"/>
      <c r="T3617" s="31" t="s">
        <v>13846</v>
      </c>
      <c r="U3617" s="31" t="s">
        <v>13847</v>
      </c>
      <c r="V3617" s="32">
        <v>43143.0</v>
      </c>
    </row>
    <row r="3618">
      <c r="A3618" s="32"/>
      <c r="T3618" s="31" t="s">
        <v>13850</v>
      </c>
      <c r="U3618" s="31" t="s">
        <v>13851</v>
      </c>
      <c r="V3618" s="32">
        <v>43140.0</v>
      </c>
    </row>
    <row r="3619">
      <c r="A3619" s="32"/>
      <c r="T3619" s="31" t="s">
        <v>13854</v>
      </c>
      <c r="U3619" s="31" t="s">
        <v>13855</v>
      </c>
      <c r="V3619" s="32">
        <v>43138.0</v>
      </c>
    </row>
    <row r="3620">
      <c r="A3620" s="32"/>
      <c r="T3620" s="31" t="s">
        <v>13858</v>
      </c>
      <c r="U3620" s="31" t="s">
        <v>13859</v>
      </c>
      <c r="V3620" s="32">
        <v>43137.0</v>
      </c>
    </row>
    <row r="3621">
      <c r="A3621" s="32"/>
      <c r="T3621" s="31" t="s">
        <v>13862</v>
      </c>
      <c r="U3621" s="31" t="s">
        <v>13863</v>
      </c>
      <c r="V3621" s="32">
        <v>43137.0</v>
      </c>
    </row>
    <row r="3622">
      <c r="A3622" s="32"/>
      <c r="T3622" s="31" t="s">
        <v>13866</v>
      </c>
      <c r="U3622" s="31" t="s">
        <v>13867</v>
      </c>
      <c r="V3622" s="32">
        <v>43136.0</v>
      </c>
    </row>
    <row r="3623">
      <c r="A3623" s="32"/>
      <c r="T3623" s="31" t="s">
        <v>13870</v>
      </c>
      <c r="U3623" s="31" t="s">
        <v>13871</v>
      </c>
      <c r="V3623" s="32">
        <v>43136.0</v>
      </c>
    </row>
    <row r="3624">
      <c r="A3624" s="32"/>
      <c r="T3624" s="31" t="s">
        <v>13874</v>
      </c>
      <c r="U3624" s="31" t="s">
        <v>13274</v>
      </c>
      <c r="V3624" s="32">
        <v>43134.0</v>
      </c>
    </row>
    <row r="3625">
      <c r="A3625" s="32"/>
      <c r="T3625" s="31" t="s">
        <v>13877</v>
      </c>
      <c r="U3625" s="31" t="s">
        <v>13878</v>
      </c>
      <c r="V3625" s="32">
        <v>43134.0</v>
      </c>
    </row>
    <row r="3626">
      <c r="A3626" s="32"/>
      <c r="T3626" s="31" t="s">
        <v>13881</v>
      </c>
      <c r="U3626" s="31" t="s">
        <v>13882</v>
      </c>
      <c r="V3626" s="32">
        <v>43134.0</v>
      </c>
    </row>
    <row r="3627">
      <c r="A3627" s="32"/>
      <c r="T3627" s="31" t="s">
        <v>13885</v>
      </c>
      <c r="U3627" s="31" t="s">
        <v>13886</v>
      </c>
      <c r="V3627" s="32">
        <v>43132.0</v>
      </c>
    </row>
    <row r="3628">
      <c r="A3628" s="32"/>
      <c r="T3628" s="31" t="s">
        <v>13889</v>
      </c>
      <c r="U3628" s="31" t="s">
        <v>13890</v>
      </c>
      <c r="V3628" s="32">
        <v>43132.0</v>
      </c>
    </row>
    <row r="3629">
      <c r="A3629" s="32"/>
      <c r="T3629" s="31" t="s">
        <v>13893</v>
      </c>
      <c r="U3629" s="31" t="s">
        <v>13894</v>
      </c>
      <c r="V3629" s="32">
        <v>43132.0</v>
      </c>
    </row>
    <row r="3630">
      <c r="A3630" s="32"/>
      <c r="T3630" s="31" t="s">
        <v>13898</v>
      </c>
      <c r="U3630" s="31" t="s">
        <v>13899</v>
      </c>
      <c r="V3630" s="32">
        <v>43132.0</v>
      </c>
    </row>
    <row r="3631">
      <c r="A3631" s="32"/>
      <c r="T3631" s="31" t="s">
        <v>13902</v>
      </c>
      <c r="U3631" s="31" t="s">
        <v>13903</v>
      </c>
      <c r="V3631" s="32">
        <v>43132.0</v>
      </c>
    </row>
    <row r="3632">
      <c r="A3632" s="32"/>
      <c r="T3632" s="31" t="s">
        <v>13906</v>
      </c>
      <c r="U3632" s="31" t="s">
        <v>13907</v>
      </c>
      <c r="V3632" s="32">
        <v>43132.0</v>
      </c>
    </row>
    <row r="3633">
      <c r="A3633" s="32"/>
      <c r="T3633" s="31" t="s">
        <v>13910</v>
      </c>
      <c r="U3633" s="31" t="s">
        <v>13911</v>
      </c>
      <c r="V3633" s="32">
        <v>43132.0</v>
      </c>
    </row>
    <row r="3634">
      <c r="A3634" s="32"/>
      <c r="T3634" s="31" t="s">
        <v>13915</v>
      </c>
      <c r="U3634" s="31" t="s">
        <v>13916</v>
      </c>
      <c r="V3634" s="32">
        <v>43131.0</v>
      </c>
    </row>
    <row r="3635">
      <c r="A3635" s="32"/>
      <c r="T3635" s="31" t="s">
        <v>13919</v>
      </c>
      <c r="U3635" s="31" t="s">
        <v>13920</v>
      </c>
      <c r="V3635" s="32">
        <v>43131.0</v>
      </c>
    </row>
    <row r="3636">
      <c r="A3636" s="32"/>
      <c r="T3636" s="31" t="s">
        <v>13924</v>
      </c>
      <c r="U3636" s="31" t="s">
        <v>7811</v>
      </c>
      <c r="V3636" s="32">
        <v>43131.0</v>
      </c>
    </row>
    <row r="3637">
      <c r="A3637" s="32"/>
      <c r="T3637" s="31" t="s">
        <v>13927</v>
      </c>
      <c r="U3637" s="31" t="s">
        <v>13928</v>
      </c>
      <c r="V3637" s="32">
        <v>43129.0</v>
      </c>
    </row>
    <row r="3638">
      <c r="A3638" s="32"/>
      <c r="T3638" s="31" t="s">
        <v>13931</v>
      </c>
      <c r="U3638" s="31" t="s">
        <v>13932</v>
      </c>
      <c r="V3638" s="32">
        <v>43128.0</v>
      </c>
    </row>
    <row r="3639">
      <c r="A3639" s="32"/>
      <c r="T3639" s="31" t="s">
        <v>13935</v>
      </c>
      <c r="U3639" s="31" t="s">
        <v>13936</v>
      </c>
      <c r="V3639" s="32">
        <v>43126.0</v>
      </c>
    </row>
    <row r="3640">
      <c r="A3640" s="32"/>
      <c r="T3640" s="31" t="s">
        <v>13939</v>
      </c>
      <c r="U3640" s="31" t="s">
        <v>13940</v>
      </c>
      <c r="V3640" s="32">
        <v>43126.0</v>
      </c>
    </row>
    <row r="3641">
      <c r="A3641" s="32"/>
      <c r="T3641" s="31" t="s">
        <v>13942</v>
      </c>
      <c r="U3641" s="31" t="s">
        <v>13943</v>
      </c>
      <c r="V3641" s="32">
        <v>43124.0</v>
      </c>
    </row>
    <row r="3642">
      <c r="A3642" s="32"/>
      <c r="T3642" s="31" t="s">
        <v>13946</v>
      </c>
      <c r="U3642" s="31" t="s">
        <v>13947</v>
      </c>
      <c r="V3642" s="32">
        <v>43123.0</v>
      </c>
    </row>
    <row r="3643">
      <c r="A3643" s="32"/>
      <c r="T3643" s="31" t="s">
        <v>13950</v>
      </c>
      <c r="U3643" s="31" t="s">
        <v>13951</v>
      </c>
      <c r="V3643" s="32">
        <v>43123.0</v>
      </c>
    </row>
    <row r="3644">
      <c r="A3644" s="32"/>
      <c r="T3644" s="31" t="s">
        <v>13954</v>
      </c>
      <c r="U3644" s="31" t="s">
        <v>13955</v>
      </c>
      <c r="V3644" s="32">
        <v>43122.0</v>
      </c>
    </row>
    <row r="3645">
      <c r="A3645" s="32"/>
      <c r="T3645" s="31" t="s">
        <v>13958</v>
      </c>
      <c r="U3645" s="31" t="s">
        <v>13959</v>
      </c>
      <c r="V3645" s="32">
        <v>43119.0</v>
      </c>
    </row>
    <row r="3646">
      <c r="A3646" s="32"/>
      <c r="T3646" s="31" t="s">
        <v>13962</v>
      </c>
      <c r="U3646" s="31" t="s">
        <v>13963</v>
      </c>
      <c r="V3646" s="32">
        <v>43118.0</v>
      </c>
    </row>
    <row r="3647">
      <c r="A3647" s="32"/>
      <c r="T3647" s="31" t="s">
        <v>13965</v>
      </c>
      <c r="U3647" s="31" t="s">
        <v>13966</v>
      </c>
      <c r="V3647" s="32">
        <v>43118.0</v>
      </c>
    </row>
    <row r="3648">
      <c r="A3648" s="32"/>
      <c r="T3648" s="31" t="s">
        <v>13969</v>
      </c>
      <c r="U3648" s="31" t="s">
        <v>13970</v>
      </c>
      <c r="V3648" s="32">
        <v>43118.0</v>
      </c>
    </row>
    <row r="3649">
      <c r="A3649" s="32"/>
      <c r="T3649" s="31" t="s">
        <v>13972</v>
      </c>
      <c r="U3649" s="31" t="s">
        <v>13973</v>
      </c>
      <c r="V3649" s="32">
        <v>43118.0</v>
      </c>
    </row>
    <row r="3650">
      <c r="A3650" s="32"/>
      <c r="T3650" s="31" t="s">
        <v>13976</v>
      </c>
      <c r="U3650" s="31" t="s">
        <v>13977</v>
      </c>
      <c r="V3650" s="32">
        <v>43117.0</v>
      </c>
    </row>
    <row r="3651">
      <c r="A3651" s="32"/>
      <c r="T3651" s="31" t="s">
        <v>13981</v>
      </c>
      <c r="U3651" s="31" t="s">
        <v>13982</v>
      </c>
      <c r="V3651" s="32">
        <v>43116.0</v>
      </c>
    </row>
    <row r="3652">
      <c r="A3652" s="32"/>
      <c r="T3652" s="31" t="s">
        <v>13985</v>
      </c>
      <c r="U3652" s="31" t="s">
        <v>12945</v>
      </c>
      <c r="V3652" s="32">
        <v>43113.0</v>
      </c>
    </row>
    <row r="3653">
      <c r="A3653" s="32"/>
      <c r="T3653" s="31" t="s">
        <v>13988</v>
      </c>
      <c r="U3653" s="31" t="s">
        <v>13989</v>
      </c>
      <c r="V3653" s="32">
        <v>43112.0</v>
      </c>
    </row>
    <row r="3654">
      <c r="A3654" s="32"/>
      <c r="T3654" s="31" t="s">
        <v>13992</v>
      </c>
      <c r="U3654" s="31" t="s">
        <v>13575</v>
      </c>
      <c r="V3654" s="32">
        <v>43111.0</v>
      </c>
    </row>
    <row r="3655">
      <c r="A3655" s="32"/>
      <c r="T3655" s="31" t="s">
        <v>13995</v>
      </c>
      <c r="U3655" s="31" t="s">
        <v>13996</v>
      </c>
      <c r="V3655" s="32">
        <v>43111.0</v>
      </c>
    </row>
    <row r="3656">
      <c r="A3656" s="32"/>
      <c r="T3656" s="31" t="s">
        <v>13999</v>
      </c>
      <c r="U3656" s="31" t="s">
        <v>14000</v>
      </c>
      <c r="V3656" s="32">
        <v>43109.0</v>
      </c>
    </row>
    <row r="3657">
      <c r="A3657" s="32"/>
      <c r="T3657" s="31" t="s">
        <v>14003</v>
      </c>
      <c r="U3657" s="31" t="s">
        <v>14004</v>
      </c>
      <c r="V3657" s="32">
        <v>43108.0</v>
      </c>
    </row>
    <row r="3658">
      <c r="A3658" s="32"/>
      <c r="T3658" s="31" t="s">
        <v>14007</v>
      </c>
      <c r="U3658" s="31" t="s">
        <v>14008</v>
      </c>
      <c r="V3658" s="32">
        <v>43108.0</v>
      </c>
    </row>
    <row r="3659">
      <c r="A3659" s="32"/>
      <c r="T3659" s="31" t="s">
        <v>14011</v>
      </c>
      <c r="U3659" s="31" t="s">
        <v>14012</v>
      </c>
      <c r="V3659" s="32">
        <v>43104.0</v>
      </c>
    </row>
    <row r="3660">
      <c r="A3660" s="32"/>
      <c r="T3660" s="31" t="s">
        <v>14015</v>
      </c>
      <c r="U3660" s="31" t="s">
        <v>14016</v>
      </c>
      <c r="V3660" s="32">
        <v>43104.0</v>
      </c>
    </row>
    <row r="3661">
      <c r="A3661" s="32"/>
      <c r="T3661" s="31" t="s">
        <v>14019</v>
      </c>
      <c r="U3661" s="31" t="s">
        <v>14020</v>
      </c>
      <c r="V3661" s="32">
        <v>43103.0</v>
      </c>
    </row>
    <row r="3662">
      <c r="A3662" s="32"/>
      <c r="T3662" s="31" t="s">
        <v>14023</v>
      </c>
      <c r="U3662" s="31" t="s">
        <v>14024</v>
      </c>
      <c r="V3662" s="32">
        <v>43101.0</v>
      </c>
    </row>
    <row r="3663">
      <c r="A3663" s="32"/>
      <c r="T3663" s="31" t="s">
        <v>14027</v>
      </c>
      <c r="U3663" s="31" t="s">
        <v>14028</v>
      </c>
      <c r="V3663" s="32">
        <v>43101.0</v>
      </c>
    </row>
    <row r="3664">
      <c r="A3664" s="32"/>
      <c r="T3664" s="31" t="s">
        <v>14031</v>
      </c>
      <c r="U3664" s="31" t="s">
        <v>14032</v>
      </c>
      <c r="V3664" s="32">
        <v>43101.0</v>
      </c>
    </row>
    <row r="3665">
      <c r="A3665" s="32"/>
      <c r="T3665" s="31" t="s">
        <v>14035</v>
      </c>
      <c r="U3665" s="31" t="s">
        <v>14036</v>
      </c>
      <c r="V3665" s="32">
        <v>43101.0</v>
      </c>
    </row>
    <row r="3666">
      <c r="A3666" s="32"/>
      <c r="T3666" s="31" t="s">
        <v>14039</v>
      </c>
      <c r="U3666" s="31" t="s">
        <v>14040</v>
      </c>
      <c r="V3666" s="32">
        <v>43101.0</v>
      </c>
    </row>
    <row r="3667">
      <c r="A3667" s="32"/>
      <c r="T3667" s="31" t="s">
        <v>14043</v>
      </c>
      <c r="U3667" s="31" t="s">
        <v>14044</v>
      </c>
      <c r="V3667" s="32">
        <v>43101.0</v>
      </c>
    </row>
    <row r="3668">
      <c r="A3668" s="32"/>
      <c r="T3668" s="31" t="s">
        <v>14047</v>
      </c>
      <c r="U3668" s="31" t="s">
        <v>14048</v>
      </c>
      <c r="V3668" s="32">
        <v>43101.0</v>
      </c>
    </row>
    <row r="3669">
      <c r="A3669" s="32"/>
      <c r="T3669" s="31" t="s">
        <v>14051</v>
      </c>
      <c r="U3669" s="31" t="s">
        <v>14052</v>
      </c>
      <c r="V3669" s="32">
        <v>43101.0</v>
      </c>
    </row>
    <row r="3670">
      <c r="A3670" s="32"/>
      <c r="T3670" s="31" t="s">
        <v>14055</v>
      </c>
      <c r="U3670" s="31" t="s">
        <v>14056</v>
      </c>
      <c r="V3670" s="32">
        <v>43101.0</v>
      </c>
    </row>
    <row r="3671">
      <c r="A3671" s="32"/>
      <c r="T3671" s="31" t="s">
        <v>14060</v>
      </c>
      <c r="U3671" s="31" t="s">
        <v>14061</v>
      </c>
      <c r="V3671" s="32">
        <v>43101.0</v>
      </c>
    </row>
    <row r="3672">
      <c r="A3672" s="32"/>
      <c r="T3672" s="31" t="s">
        <v>14065</v>
      </c>
      <c r="U3672" s="31" t="s">
        <v>14066</v>
      </c>
      <c r="V3672" s="32">
        <v>43101.0</v>
      </c>
    </row>
    <row r="3673">
      <c r="A3673" s="32"/>
      <c r="T3673" s="31" t="s">
        <v>14069</v>
      </c>
      <c r="U3673" s="31" t="s">
        <v>14070</v>
      </c>
      <c r="V3673" s="32">
        <v>43101.0</v>
      </c>
    </row>
    <row r="3674">
      <c r="A3674" s="32"/>
      <c r="T3674" s="31" t="s">
        <v>14074</v>
      </c>
      <c r="U3674" s="31" t="s">
        <v>14075</v>
      </c>
      <c r="V3674" s="32">
        <v>43101.0</v>
      </c>
    </row>
    <row r="3675">
      <c r="A3675" s="32"/>
      <c r="T3675" s="31" t="s">
        <v>14078</v>
      </c>
      <c r="U3675" s="31" t="s">
        <v>14079</v>
      </c>
      <c r="V3675" s="32">
        <v>43101.0</v>
      </c>
    </row>
    <row r="3676">
      <c r="A3676" s="32"/>
      <c r="T3676" s="31" t="s">
        <v>14082</v>
      </c>
      <c r="U3676" s="31" t="s">
        <v>14083</v>
      </c>
      <c r="V3676" s="32">
        <v>43099.0</v>
      </c>
    </row>
    <row r="3677">
      <c r="A3677" s="32"/>
      <c r="T3677" s="31" t="s">
        <v>14086</v>
      </c>
      <c r="U3677" s="31" t="s">
        <v>14087</v>
      </c>
      <c r="V3677" s="32">
        <v>43097.0</v>
      </c>
    </row>
    <row r="3678">
      <c r="A3678" s="32"/>
      <c r="T3678" s="31" t="s">
        <v>14090</v>
      </c>
      <c r="U3678" s="31" t="s">
        <v>14091</v>
      </c>
      <c r="V3678" s="32">
        <v>43096.0</v>
      </c>
    </row>
    <row r="3679">
      <c r="A3679" s="32"/>
      <c r="T3679" s="31" t="s">
        <v>14094</v>
      </c>
      <c r="U3679" s="31" t="s">
        <v>14095</v>
      </c>
      <c r="V3679" s="32">
        <v>43096.0</v>
      </c>
    </row>
    <row r="3680">
      <c r="A3680" s="32"/>
      <c r="T3680" s="31" t="s">
        <v>14098</v>
      </c>
      <c r="U3680" s="31" t="s">
        <v>13641</v>
      </c>
      <c r="V3680" s="32">
        <v>43092.0</v>
      </c>
    </row>
    <row r="3681">
      <c r="A3681" s="32"/>
      <c r="T3681" s="31" t="s">
        <v>14101</v>
      </c>
      <c r="U3681" s="31" t="s">
        <v>11478</v>
      </c>
      <c r="V3681" s="32">
        <v>43091.0</v>
      </c>
    </row>
    <row r="3682">
      <c r="A3682" s="32"/>
      <c r="T3682" s="31" t="s">
        <v>14104</v>
      </c>
      <c r="U3682" s="31" t="s">
        <v>14105</v>
      </c>
      <c r="V3682" s="32">
        <v>43091.0</v>
      </c>
    </row>
    <row r="3683">
      <c r="A3683" s="32"/>
      <c r="T3683" s="31" t="s">
        <v>14108</v>
      </c>
      <c r="U3683" s="31" t="s">
        <v>14109</v>
      </c>
      <c r="V3683" s="32">
        <v>43089.0</v>
      </c>
    </row>
    <row r="3684">
      <c r="A3684" s="32"/>
      <c r="T3684" s="31" t="s">
        <v>14112</v>
      </c>
      <c r="U3684" s="31" t="s">
        <v>14113</v>
      </c>
      <c r="V3684" s="32">
        <v>43089.0</v>
      </c>
    </row>
    <row r="3685">
      <c r="A3685" s="32"/>
      <c r="T3685" s="31" t="s">
        <v>14116</v>
      </c>
      <c r="U3685" s="31" t="s">
        <v>14117</v>
      </c>
      <c r="V3685" s="32">
        <v>43088.0</v>
      </c>
    </row>
    <row r="3686">
      <c r="A3686" s="32"/>
      <c r="T3686" s="31" t="s">
        <v>14120</v>
      </c>
      <c r="U3686" s="31" t="s">
        <v>14121</v>
      </c>
      <c r="V3686" s="32">
        <v>43087.0</v>
      </c>
    </row>
    <row r="3687">
      <c r="A3687" s="32"/>
      <c r="T3687" s="31" t="s">
        <v>14123</v>
      </c>
      <c r="U3687" s="31" t="s">
        <v>14124</v>
      </c>
      <c r="V3687" s="32">
        <v>43085.0</v>
      </c>
    </row>
    <row r="3688">
      <c r="A3688" s="32"/>
      <c r="T3688" s="31" t="s">
        <v>14127</v>
      </c>
      <c r="U3688" s="31" t="s">
        <v>14128</v>
      </c>
      <c r="V3688" s="32">
        <v>43084.0</v>
      </c>
    </row>
    <row r="3689">
      <c r="A3689" s="32"/>
      <c r="T3689" s="31" t="s">
        <v>14131</v>
      </c>
      <c r="U3689" s="31" t="s">
        <v>14132</v>
      </c>
      <c r="V3689" s="32">
        <v>43081.0</v>
      </c>
    </row>
    <row r="3690">
      <c r="A3690" s="32"/>
      <c r="T3690" s="31" t="s">
        <v>14135</v>
      </c>
      <c r="U3690" s="31" t="s">
        <v>14136</v>
      </c>
      <c r="V3690" s="32">
        <v>43081.0</v>
      </c>
    </row>
    <row r="3691">
      <c r="A3691" s="32"/>
      <c r="T3691" s="31" t="s">
        <v>14140</v>
      </c>
      <c r="U3691" s="31" t="s">
        <v>14141</v>
      </c>
      <c r="V3691" s="32">
        <v>43081.0</v>
      </c>
    </row>
    <row r="3692">
      <c r="A3692" s="32"/>
      <c r="T3692" s="31" t="s">
        <v>14144</v>
      </c>
      <c r="U3692" s="31" t="s">
        <v>14145</v>
      </c>
      <c r="V3692" s="32">
        <v>43080.0</v>
      </c>
    </row>
    <row r="3693">
      <c r="A3693" s="32"/>
      <c r="T3693" s="31" t="s">
        <v>14148</v>
      </c>
      <c r="U3693" s="31" t="s">
        <v>14149</v>
      </c>
      <c r="V3693" s="32">
        <v>43080.0</v>
      </c>
    </row>
    <row r="3694">
      <c r="A3694" s="32"/>
      <c r="T3694" s="31" t="s">
        <v>14153</v>
      </c>
      <c r="U3694" s="31" t="s">
        <v>14154</v>
      </c>
      <c r="V3694" s="32">
        <v>43080.0</v>
      </c>
    </row>
    <row r="3695">
      <c r="A3695" s="32"/>
      <c r="T3695" s="31" t="s">
        <v>14157</v>
      </c>
      <c r="U3695" s="31" t="s">
        <v>14158</v>
      </c>
      <c r="V3695" s="32">
        <v>43079.0</v>
      </c>
    </row>
    <row r="3696">
      <c r="A3696" s="32"/>
      <c r="T3696" s="31" t="s">
        <v>14160</v>
      </c>
      <c r="U3696" s="31" t="s">
        <v>14161</v>
      </c>
      <c r="V3696" s="32">
        <v>43077.0</v>
      </c>
    </row>
    <row r="3697">
      <c r="A3697" s="32"/>
      <c r="T3697" s="31" t="s">
        <v>14164</v>
      </c>
      <c r="U3697" s="31" t="s">
        <v>14165</v>
      </c>
      <c r="V3697" s="32">
        <v>43077.0</v>
      </c>
    </row>
    <row r="3698">
      <c r="A3698" s="32"/>
      <c r="T3698" s="31" t="s">
        <v>14168</v>
      </c>
      <c r="U3698" s="31" t="s">
        <v>14169</v>
      </c>
      <c r="V3698" s="32">
        <v>43075.0</v>
      </c>
    </row>
    <row r="3699">
      <c r="A3699" s="32"/>
      <c r="T3699" s="31" t="s">
        <v>14172</v>
      </c>
      <c r="U3699" s="31" t="s">
        <v>14173</v>
      </c>
      <c r="V3699" s="32">
        <v>43074.0</v>
      </c>
    </row>
    <row r="3700">
      <c r="A3700" s="32"/>
      <c r="T3700" s="31" t="s">
        <v>14176</v>
      </c>
      <c r="U3700" s="31" t="s">
        <v>14177</v>
      </c>
      <c r="V3700" s="32">
        <v>43070.0</v>
      </c>
    </row>
    <row r="3701">
      <c r="A3701" s="32"/>
      <c r="T3701" s="31" t="s">
        <v>14180</v>
      </c>
      <c r="U3701" s="31" t="s">
        <v>14181</v>
      </c>
      <c r="V3701" s="32">
        <v>43070.0</v>
      </c>
    </row>
    <row r="3702">
      <c r="A3702" s="32"/>
      <c r="T3702" s="31" t="s">
        <v>14184</v>
      </c>
      <c r="U3702" s="31" t="s">
        <v>14185</v>
      </c>
      <c r="V3702" s="32">
        <v>43070.0</v>
      </c>
    </row>
    <row r="3703">
      <c r="A3703" s="32"/>
      <c r="T3703" s="31" t="s">
        <v>14187</v>
      </c>
      <c r="U3703" s="31" t="s">
        <v>14188</v>
      </c>
      <c r="V3703" s="32">
        <v>43070.0</v>
      </c>
    </row>
    <row r="3704">
      <c r="A3704" s="32"/>
      <c r="T3704" s="31" t="s">
        <v>14191</v>
      </c>
      <c r="U3704" s="31" t="s">
        <v>14192</v>
      </c>
      <c r="V3704" s="32">
        <v>43069.0</v>
      </c>
    </row>
    <row r="3705">
      <c r="A3705" s="32"/>
      <c r="T3705" s="31" t="s">
        <v>14195</v>
      </c>
      <c r="U3705" s="31" t="s">
        <v>14196</v>
      </c>
      <c r="V3705" s="32">
        <v>43068.0</v>
      </c>
    </row>
    <row r="3706">
      <c r="A3706" s="32"/>
      <c r="T3706" s="31" t="s">
        <v>14199</v>
      </c>
      <c r="U3706" s="31" t="s">
        <v>14200</v>
      </c>
      <c r="V3706" s="32">
        <v>43067.0</v>
      </c>
    </row>
    <row r="3707">
      <c r="A3707" s="32"/>
      <c r="T3707" s="31" t="s">
        <v>14203</v>
      </c>
      <c r="U3707" s="31" t="s">
        <v>14204</v>
      </c>
      <c r="V3707" s="32">
        <v>43067.0</v>
      </c>
    </row>
    <row r="3708">
      <c r="A3708" s="32"/>
      <c r="T3708" s="31" t="s">
        <v>14207</v>
      </c>
      <c r="U3708" s="31" t="s">
        <v>14208</v>
      </c>
      <c r="V3708" s="32">
        <v>43067.0</v>
      </c>
    </row>
    <row r="3709">
      <c r="A3709" s="32"/>
      <c r="T3709" s="31" t="s">
        <v>14211</v>
      </c>
      <c r="U3709" s="31" t="s">
        <v>14212</v>
      </c>
      <c r="V3709" s="32">
        <v>43066.0</v>
      </c>
    </row>
    <row r="3710">
      <c r="A3710" s="32"/>
      <c r="T3710" s="31" t="s">
        <v>14215</v>
      </c>
      <c r="U3710" s="31" t="s">
        <v>14216</v>
      </c>
      <c r="V3710" s="32">
        <v>43065.0</v>
      </c>
    </row>
    <row r="3711">
      <c r="A3711" s="32"/>
      <c r="T3711" s="31" t="s">
        <v>14219</v>
      </c>
      <c r="U3711" s="31" t="s">
        <v>13274</v>
      </c>
      <c r="V3711" s="32">
        <v>43064.0</v>
      </c>
    </row>
    <row r="3712">
      <c r="A3712" s="32"/>
      <c r="T3712" s="31" t="s">
        <v>14222</v>
      </c>
      <c r="U3712" s="31" t="s">
        <v>14223</v>
      </c>
      <c r="V3712" s="32">
        <v>43062.0</v>
      </c>
    </row>
    <row r="3713">
      <c r="A3713" s="32"/>
      <c r="T3713" s="31" t="s">
        <v>14227</v>
      </c>
      <c r="U3713" s="31" t="s">
        <v>14228</v>
      </c>
      <c r="V3713" s="32">
        <v>43062.0</v>
      </c>
    </row>
    <row r="3714">
      <c r="A3714" s="32"/>
      <c r="T3714" s="31" t="s">
        <v>14231</v>
      </c>
      <c r="U3714" s="31" t="s">
        <v>14232</v>
      </c>
      <c r="V3714" s="32">
        <v>43061.0</v>
      </c>
    </row>
    <row r="3715">
      <c r="A3715" s="32"/>
      <c r="T3715" s="31" t="s">
        <v>14235</v>
      </c>
      <c r="U3715" s="31" t="s">
        <v>14236</v>
      </c>
      <c r="V3715" s="32">
        <v>43059.0</v>
      </c>
    </row>
    <row r="3716">
      <c r="A3716" s="32"/>
      <c r="T3716" s="31" t="s">
        <v>14239</v>
      </c>
      <c r="U3716" s="31" t="s">
        <v>14240</v>
      </c>
      <c r="V3716" s="32">
        <v>43056.0</v>
      </c>
    </row>
    <row r="3717">
      <c r="A3717" s="32"/>
      <c r="T3717" s="31" t="s">
        <v>14243</v>
      </c>
      <c r="U3717" s="31" t="s">
        <v>14244</v>
      </c>
      <c r="V3717" s="32">
        <v>43056.0</v>
      </c>
    </row>
    <row r="3718">
      <c r="A3718" s="32"/>
      <c r="T3718" s="31" t="s">
        <v>14247</v>
      </c>
      <c r="U3718" s="31" t="s">
        <v>14248</v>
      </c>
      <c r="V3718" s="32">
        <v>43055.0</v>
      </c>
    </row>
    <row r="3719">
      <c r="A3719" s="32"/>
      <c r="T3719" s="31" t="s">
        <v>14251</v>
      </c>
      <c r="U3719" s="31" t="s">
        <v>14252</v>
      </c>
      <c r="V3719" s="32">
        <v>43055.0</v>
      </c>
    </row>
    <row r="3720">
      <c r="A3720" s="32"/>
      <c r="T3720" s="31" t="s">
        <v>14255</v>
      </c>
      <c r="U3720" s="31" t="s">
        <v>13353</v>
      </c>
      <c r="V3720" s="32">
        <v>43054.0</v>
      </c>
    </row>
    <row r="3721">
      <c r="A3721" s="32"/>
      <c r="T3721" s="31" t="s">
        <v>14258</v>
      </c>
      <c r="U3721" s="31" t="s">
        <v>14128</v>
      </c>
      <c r="V3721" s="32">
        <v>43054.0</v>
      </c>
    </row>
    <row r="3722">
      <c r="A3722" s="32"/>
      <c r="T3722" s="31" t="s">
        <v>14261</v>
      </c>
      <c r="U3722" s="31" t="s">
        <v>14262</v>
      </c>
      <c r="V3722" s="32">
        <v>43054.0</v>
      </c>
    </row>
    <row r="3723">
      <c r="A3723" s="32"/>
      <c r="T3723" s="31" t="s">
        <v>14264</v>
      </c>
      <c r="U3723" s="31" t="s">
        <v>14265</v>
      </c>
      <c r="V3723" s="32">
        <v>43053.0</v>
      </c>
    </row>
    <row r="3724">
      <c r="A3724" s="32"/>
      <c r="T3724" s="31" t="s">
        <v>14268</v>
      </c>
      <c r="U3724" s="31" t="s">
        <v>14269</v>
      </c>
      <c r="V3724" s="32">
        <v>43053.0</v>
      </c>
    </row>
    <row r="3725">
      <c r="A3725" s="32"/>
      <c r="T3725" s="31" t="s">
        <v>14272</v>
      </c>
      <c r="U3725" s="31" t="s">
        <v>14273</v>
      </c>
      <c r="V3725" s="32">
        <v>43052.0</v>
      </c>
    </row>
    <row r="3726">
      <c r="A3726" s="32"/>
      <c r="T3726" s="31" t="s">
        <v>14275</v>
      </c>
      <c r="U3726" s="31" t="s">
        <v>14276</v>
      </c>
      <c r="V3726" s="32">
        <v>43052.0</v>
      </c>
    </row>
    <row r="3727">
      <c r="A3727" s="32"/>
      <c r="T3727" s="31" t="s">
        <v>14279</v>
      </c>
      <c r="U3727" s="31" t="s">
        <v>14280</v>
      </c>
      <c r="V3727" s="32">
        <v>43051.0</v>
      </c>
    </row>
    <row r="3728">
      <c r="A3728" s="32"/>
      <c r="T3728" s="31" t="s">
        <v>14283</v>
      </c>
      <c r="U3728" s="31" t="s">
        <v>14284</v>
      </c>
      <c r="V3728" s="32">
        <v>43049.0</v>
      </c>
    </row>
    <row r="3729">
      <c r="A3729" s="32"/>
      <c r="T3729" s="31" t="s">
        <v>14287</v>
      </c>
      <c r="U3729" s="31" t="s">
        <v>14288</v>
      </c>
      <c r="V3729" s="32">
        <v>43048.0</v>
      </c>
    </row>
    <row r="3730">
      <c r="A3730" s="32"/>
      <c r="T3730" s="31" t="s">
        <v>14291</v>
      </c>
      <c r="U3730" s="31" t="s">
        <v>14292</v>
      </c>
      <c r="V3730" s="32">
        <v>43048.0</v>
      </c>
    </row>
    <row r="3731">
      <c r="A3731" s="32"/>
      <c r="T3731" s="31" t="s">
        <v>14295</v>
      </c>
      <c r="U3731" s="31" t="s">
        <v>14296</v>
      </c>
      <c r="V3731" s="32">
        <v>43045.0</v>
      </c>
    </row>
    <row r="3732">
      <c r="A3732" s="32"/>
      <c r="T3732" s="31" t="s">
        <v>14299</v>
      </c>
      <c r="U3732" s="31" t="s">
        <v>14300</v>
      </c>
      <c r="V3732" s="32">
        <v>43041.0</v>
      </c>
    </row>
    <row r="3733">
      <c r="A3733" s="32"/>
      <c r="T3733" s="31" t="s">
        <v>14303</v>
      </c>
      <c r="U3733" s="31" t="s">
        <v>14304</v>
      </c>
      <c r="V3733" s="32">
        <v>43040.0</v>
      </c>
    </row>
    <row r="3734">
      <c r="A3734" s="32"/>
      <c r="T3734" s="31" t="s">
        <v>14307</v>
      </c>
      <c r="U3734" s="31" t="s">
        <v>13672</v>
      </c>
      <c r="V3734" s="32">
        <v>43040.0</v>
      </c>
    </row>
    <row r="3735">
      <c r="A3735" s="32"/>
      <c r="T3735" s="31" t="s">
        <v>14310</v>
      </c>
      <c r="U3735" s="31" t="s">
        <v>14311</v>
      </c>
      <c r="V3735" s="32">
        <v>43040.0</v>
      </c>
    </row>
    <row r="3736">
      <c r="A3736" s="32"/>
      <c r="T3736" s="31" t="s">
        <v>14314</v>
      </c>
      <c r="U3736" s="31" t="s">
        <v>14315</v>
      </c>
      <c r="V3736" s="32">
        <v>43037.0</v>
      </c>
    </row>
    <row r="3737">
      <c r="A3737" s="32"/>
      <c r="T3737" s="31" t="s">
        <v>14319</v>
      </c>
      <c r="U3737" s="31" t="s">
        <v>14320</v>
      </c>
      <c r="V3737" s="32">
        <v>43036.0</v>
      </c>
    </row>
    <row r="3738">
      <c r="A3738" s="32"/>
      <c r="T3738" s="31" t="s">
        <v>14323</v>
      </c>
      <c r="U3738" s="31" t="s">
        <v>14324</v>
      </c>
      <c r="V3738" s="32">
        <v>43035.0</v>
      </c>
    </row>
    <row r="3739">
      <c r="A3739" s="32"/>
      <c r="T3739" s="31" t="s">
        <v>14327</v>
      </c>
      <c r="U3739" s="31" t="s">
        <v>14328</v>
      </c>
      <c r="V3739" s="32">
        <v>43035.0</v>
      </c>
    </row>
    <row r="3740">
      <c r="A3740" s="32"/>
      <c r="T3740" s="31" t="s">
        <v>14331</v>
      </c>
      <c r="U3740" s="31" t="s">
        <v>14332</v>
      </c>
      <c r="V3740" s="32">
        <v>43034.0</v>
      </c>
    </row>
    <row r="3741">
      <c r="A3741" s="32"/>
      <c r="T3741" s="31" t="s">
        <v>14335</v>
      </c>
      <c r="U3741" s="31" t="s">
        <v>14336</v>
      </c>
      <c r="V3741" s="32">
        <v>43034.0</v>
      </c>
    </row>
    <row r="3742">
      <c r="A3742" s="32"/>
      <c r="T3742" s="31" t="s">
        <v>14339</v>
      </c>
      <c r="U3742" s="31" t="s">
        <v>14340</v>
      </c>
      <c r="V3742" s="32">
        <v>43033.0</v>
      </c>
    </row>
    <row r="3743">
      <c r="A3743" s="32"/>
      <c r="T3743" s="31" t="s">
        <v>14343</v>
      </c>
      <c r="U3743" s="31" t="s">
        <v>14344</v>
      </c>
      <c r="V3743" s="32">
        <v>43030.0</v>
      </c>
    </row>
    <row r="3744">
      <c r="A3744" s="32"/>
      <c r="T3744" s="31" t="s">
        <v>14347</v>
      </c>
      <c r="U3744" s="31" t="s">
        <v>14348</v>
      </c>
      <c r="V3744" s="32">
        <v>43028.0</v>
      </c>
    </row>
    <row r="3745">
      <c r="A3745" s="32"/>
      <c r="T3745" s="31" t="s">
        <v>14351</v>
      </c>
      <c r="U3745" s="31" t="s">
        <v>14352</v>
      </c>
      <c r="V3745" s="32">
        <v>43028.0</v>
      </c>
    </row>
    <row r="3746">
      <c r="A3746" s="32"/>
      <c r="T3746" s="31" t="s">
        <v>14355</v>
      </c>
      <c r="U3746" s="31" t="s">
        <v>14356</v>
      </c>
      <c r="V3746" s="32">
        <v>43027.0</v>
      </c>
    </row>
    <row r="3747">
      <c r="A3747" s="32"/>
      <c r="T3747" s="31" t="s">
        <v>14358</v>
      </c>
      <c r="U3747" s="31" t="s">
        <v>14359</v>
      </c>
      <c r="V3747" s="32">
        <v>43025.0</v>
      </c>
    </row>
    <row r="3748">
      <c r="A3748" s="32"/>
      <c r="T3748" s="31" t="s">
        <v>14362</v>
      </c>
      <c r="U3748" s="31" t="s">
        <v>14363</v>
      </c>
      <c r="V3748" s="32">
        <v>43025.0</v>
      </c>
    </row>
    <row r="3749">
      <c r="A3749" s="32"/>
      <c r="T3749" s="31" t="s">
        <v>14366</v>
      </c>
      <c r="U3749" s="31" t="s">
        <v>14367</v>
      </c>
      <c r="V3749" s="32">
        <v>43024.0</v>
      </c>
    </row>
    <row r="3750">
      <c r="A3750" s="32"/>
      <c r="T3750" s="31" t="s">
        <v>14370</v>
      </c>
      <c r="U3750" s="31" t="s">
        <v>14371</v>
      </c>
      <c r="V3750" s="32">
        <v>43024.0</v>
      </c>
    </row>
    <row r="3751">
      <c r="A3751" s="32"/>
      <c r="T3751" s="31" t="s">
        <v>14374</v>
      </c>
      <c r="U3751" s="31" t="s">
        <v>14375</v>
      </c>
      <c r="V3751" s="32">
        <v>43024.0</v>
      </c>
    </row>
    <row r="3752">
      <c r="A3752" s="32"/>
      <c r="T3752" s="31" t="s">
        <v>14378</v>
      </c>
      <c r="U3752" s="31" t="s">
        <v>14379</v>
      </c>
      <c r="V3752" s="32">
        <v>43024.0</v>
      </c>
    </row>
    <row r="3753">
      <c r="A3753" s="32"/>
      <c r="T3753" s="31" t="s">
        <v>14382</v>
      </c>
      <c r="U3753" s="31" t="s">
        <v>14383</v>
      </c>
      <c r="V3753" s="32">
        <v>43023.0</v>
      </c>
    </row>
    <row r="3754">
      <c r="A3754" s="32"/>
      <c r="T3754" s="31" t="s">
        <v>14387</v>
      </c>
      <c r="U3754" s="31" t="s">
        <v>14388</v>
      </c>
      <c r="V3754" s="32">
        <v>43021.0</v>
      </c>
    </row>
    <row r="3755">
      <c r="A3755" s="32"/>
      <c r="T3755" s="31" t="s">
        <v>14391</v>
      </c>
      <c r="U3755" s="31" t="s">
        <v>14392</v>
      </c>
      <c r="V3755" s="32">
        <v>43019.0</v>
      </c>
    </row>
    <row r="3756">
      <c r="A3756" s="32"/>
      <c r="T3756" s="31" t="s">
        <v>14395</v>
      </c>
      <c r="U3756" s="31" t="s">
        <v>14396</v>
      </c>
      <c r="V3756" s="32">
        <v>43019.0</v>
      </c>
    </row>
    <row r="3757">
      <c r="A3757" s="32"/>
      <c r="T3757" s="31" t="s">
        <v>14399</v>
      </c>
      <c r="U3757" s="31" t="s">
        <v>14400</v>
      </c>
      <c r="V3757" s="32">
        <v>43018.0</v>
      </c>
    </row>
    <row r="3758">
      <c r="A3758" s="32"/>
      <c r="T3758" s="31" t="s">
        <v>14403</v>
      </c>
      <c r="U3758" s="31" t="s">
        <v>14404</v>
      </c>
      <c r="V3758" s="32">
        <v>43018.0</v>
      </c>
    </row>
    <row r="3759">
      <c r="A3759" s="32"/>
      <c r="T3759" s="31" t="s">
        <v>14408</v>
      </c>
      <c r="U3759" s="31" t="s">
        <v>14409</v>
      </c>
      <c r="V3759" s="32">
        <v>43017.0</v>
      </c>
    </row>
    <row r="3760">
      <c r="A3760" s="32"/>
      <c r="T3760" s="31" t="s">
        <v>14412</v>
      </c>
      <c r="U3760" s="31" t="s">
        <v>14413</v>
      </c>
      <c r="V3760" s="32">
        <v>43015.0</v>
      </c>
    </row>
    <row r="3761">
      <c r="A3761" s="32"/>
      <c r="T3761" s="31" t="s">
        <v>14415</v>
      </c>
      <c r="U3761" s="31" t="s">
        <v>14416</v>
      </c>
      <c r="V3761" s="32">
        <v>43013.0</v>
      </c>
    </row>
    <row r="3762">
      <c r="A3762" s="32"/>
      <c r="T3762" s="31" t="s">
        <v>14418</v>
      </c>
      <c r="U3762" s="31" t="s">
        <v>14419</v>
      </c>
      <c r="V3762" s="32">
        <v>43012.0</v>
      </c>
    </row>
    <row r="3763">
      <c r="A3763" s="32"/>
      <c r="T3763" s="31" t="s">
        <v>14422</v>
      </c>
      <c r="U3763" s="31" t="s">
        <v>14423</v>
      </c>
      <c r="V3763" s="32">
        <v>43011.0</v>
      </c>
    </row>
    <row r="3764">
      <c r="A3764" s="32"/>
      <c r="T3764" s="31" t="s">
        <v>14426</v>
      </c>
      <c r="U3764" s="31" t="s">
        <v>14427</v>
      </c>
      <c r="V3764" s="32">
        <v>43009.0</v>
      </c>
    </row>
    <row r="3765">
      <c r="A3765" s="32"/>
      <c r="T3765" s="31" t="s">
        <v>14430</v>
      </c>
      <c r="U3765" s="31" t="s">
        <v>14431</v>
      </c>
      <c r="V3765" s="32">
        <v>43009.0</v>
      </c>
    </row>
    <row r="3766">
      <c r="A3766" s="32"/>
      <c r="T3766" s="31" t="s">
        <v>14434</v>
      </c>
      <c r="U3766" s="31" t="s">
        <v>14435</v>
      </c>
      <c r="V3766" s="32">
        <v>43009.0</v>
      </c>
    </row>
    <row r="3767">
      <c r="A3767" s="32"/>
      <c r="T3767" s="31" t="s">
        <v>14439</v>
      </c>
      <c r="U3767" s="31" t="s">
        <v>14440</v>
      </c>
      <c r="V3767" s="32">
        <v>43006.0</v>
      </c>
    </row>
    <row r="3768">
      <c r="A3768" s="32"/>
      <c r="T3768" s="31" t="s">
        <v>14443</v>
      </c>
      <c r="U3768" s="31" t="s">
        <v>14444</v>
      </c>
      <c r="V3768" s="32">
        <v>43006.0</v>
      </c>
    </row>
    <row r="3769">
      <c r="A3769" s="32"/>
      <c r="T3769" s="31" t="s">
        <v>14447</v>
      </c>
      <c r="U3769" s="31" t="s">
        <v>14448</v>
      </c>
      <c r="V3769" s="32">
        <v>43005.0</v>
      </c>
    </row>
    <row r="3770">
      <c r="A3770" s="32"/>
      <c r="T3770" s="31" t="s">
        <v>14450</v>
      </c>
      <c r="U3770" s="31" t="s">
        <v>14451</v>
      </c>
      <c r="V3770" s="32">
        <v>43005.0</v>
      </c>
    </row>
    <row r="3771">
      <c r="A3771" s="32"/>
      <c r="T3771" s="31" t="s">
        <v>14455</v>
      </c>
      <c r="U3771" s="31" t="s">
        <v>14456</v>
      </c>
      <c r="V3771" s="32">
        <v>43005.0</v>
      </c>
    </row>
    <row r="3772">
      <c r="A3772" s="32"/>
      <c r="T3772" s="31" t="s">
        <v>14459</v>
      </c>
      <c r="U3772" s="31" t="s">
        <v>14460</v>
      </c>
      <c r="V3772" s="32">
        <v>43004.0</v>
      </c>
    </row>
    <row r="3773">
      <c r="A3773" s="32"/>
      <c r="T3773" s="31" t="s">
        <v>14463</v>
      </c>
      <c r="U3773" s="31" t="s">
        <v>14464</v>
      </c>
      <c r="V3773" s="32">
        <v>43004.0</v>
      </c>
    </row>
    <row r="3774">
      <c r="A3774" s="32"/>
      <c r="T3774" s="31" t="s">
        <v>14467</v>
      </c>
      <c r="U3774" s="31" t="s">
        <v>14468</v>
      </c>
      <c r="V3774" s="32">
        <v>43004.0</v>
      </c>
    </row>
    <row r="3775">
      <c r="A3775" s="32"/>
      <c r="T3775" s="31" t="s">
        <v>14471</v>
      </c>
      <c r="U3775" s="31" t="s">
        <v>14472</v>
      </c>
      <c r="V3775" s="32">
        <v>43003.0</v>
      </c>
    </row>
    <row r="3776">
      <c r="A3776" s="32"/>
      <c r="T3776" s="31" t="s">
        <v>14475</v>
      </c>
      <c r="U3776" s="31" t="s">
        <v>14292</v>
      </c>
      <c r="V3776" s="32">
        <v>43003.0</v>
      </c>
    </row>
    <row r="3777">
      <c r="A3777" s="32"/>
      <c r="T3777" s="31" t="s">
        <v>14478</v>
      </c>
      <c r="U3777" s="31" t="s">
        <v>14479</v>
      </c>
      <c r="V3777" s="32">
        <v>43003.0</v>
      </c>
    </row>
    <row r="3778">
      <c r="A3778" s="32"/>
      <c r="T3778" s="31" t="s">
        <v>14482</v>
      </c>
      <c r="U3778" s="31" t="s">
        <v>14483</v>
      </c>
      <c r="V3778" s="32">
        <v>43003.0</v>
      </c>
    </row>
    <row r="3779">
      <c r="A3779" s="32"/>
      <c r="T3779" s="31" t="s">
        <v>14486</v>
      </c>
      <c r="U3779" s="31" t="s">
        <v>13002</v>
      </c>
      <c r="V3779" s="32">
        <v>43000.0</v>
      </c>
    </row>
    <row r="3780">
      <c r="A3780" s="32"/>
      <c r="T3780" s="31" t="s">
        <v>14489</v>
      </c>
      <c r="U3780" s="31" t="s">
        <v>14490</v>
      </c>
      <c r="V3780" s="32">
        <v>42999.0</v>
      </c>
    </row>
    <row r="3781">
      <c r="A3781" s="32"/>
      <c r="T3781" s="31" t="s">
        <v>14493</v>
      </c>
      <c r="U3781" s="31" t="s">
        <v>14494</v>
      </c>
      <c r="V3781" s="32">
        <v>42999.0</v>
      </c>
    </row>
    <row r="3782">
      <c r="A3782" s="32"/>
      <c r="T3782" s="31" t="s">
        <v>14497</v>
      </c>
      <c r="U3782" s="31" t="s">
        <v>14498</v>
      </c>
      <c r="V3782" s="32">
        <v>42999.0</v>
      </c>
    </row>
    <row r="3783">
      <c r="A3783" s="32"/>
      <c r="T3783" s="31" t="s">
        <v>14501</v>
      </c>
      <c r="U3783" s="31" t="s">
        <v>14502</v>
      </c>
      <c r="V3783" s="32">
        <v>42998.0</v>
      </c>
    </row>
    <row r="3784">
      <c r="A3784" s="32"/>
      <c r="T3784" s="31" t="s">
        <v>14505</v>
      </c>
      <c r="U3784" s="31" t="s">
        <v>14506</v>
      </c>
      <c r="V3784" s="32">
        <v>42998.0</v>
      </c>
    </row>
    <row r="3785">
      <c r="A3785" s="32"/>
      <c r="T3785" s="31" t="s">
        <v>14509</v>
      </c>
      <c r="U3785" s="31" t="s">
        <v>14510</v>
      </c>
      <c r="V3785" s="32">
        <v>42998.0</v>
      </c>
    </row>
    <row r="3786">
      <c r="A3786" s="32"/>
      <c r="T3786" s="31" t="s">
        <v>14513</v>
      </c>
      <c r="U3786" s="31" t="s">
        <v>14514</v>
      </c>
      <c r="V3786" s="32">
        <v>42997.0</v>
      </c>
    </row>
    <row r="3787">
      <c r="A3787" s="32"/>
      <c r="T3787" s="31" t="s">
        <v>14518</v>
      </c>
      <c r="U3787" s="31" t="s">
        <v>14519</v>
      </c>
      <c r="V3787" s="32">
        <v>42997.0</v>
      </c>
    </row>
    <row r="3788">
      <c r="A3788" s="32"/>
      <c r="T3788" s="31" t="s">
        <v>14523</v>
      </c>
      <c r="U3788" s="31" t="s">
        <v>14524</v>
      </c>
      <c r="V3788" s="32">
        <v>42996.0</v>
      </c>
    </row>
    <row r="3789">
      <c r="A3789" s="32"/>
      <c r="T3789" s="31" t="s">
        <v>14527</v>
      </c>
      <c r="U3789" s="31" t="s">
        <v>14528</v>
      </c>
      <c r="V3789" s="32">
        <v>42996.0</v>
      </c>
    </row>
    <row r="3790">
      <c r="A3790" s="32"/>
      <c r="T3790" s="31" t="s">
        <v>14531</v>
      </c>
      <c r="U3790" s="31" t="s">
        <v>14532</v>
      </c>
      <c r="V3790" s="32">
        <v>42993.0</v>
      </c>
    </row>
    <row r="3791">
      <c r="A3791" s="32"/>
      <c r="T3791" s="31" t="s">
        <v>14535</v>
      </c>
      <c r="U3791" s="31" t="s">
        <v>14536</v>
      </c>
      <c r="V3791" s="32">
        <v>42993.0</v>
      </c>
    </row>
    <row r="3792">
      <c r="A3792" s="32"/>
      <c r="T3792" s="31" t="s">
        <v>14540</v>
      </c>
      <c r="U3792" s="31" t="s">
        <v>14541</v>
      </c>
      <c r="V3792" s="32">
        <v>42992.0</v>
      </c>
    </row>
    <row r="3793">
      <c r="A3793" s="32"/>
      <c r="T3793" s="31" t="s">
        <v>14544</v>
      </c>
      <c r="U3793" s="31" t="s">
        <v>14545</v>
      </c>
      <c r="V3793" s="32">
        <v>42992.0</v>
      </c>
    </row>
    <row r="3794">
      <c r="A3794" s="32"/>
      <c r="T3794" s="31" t="s">
        <v>14549</v>
      </c>
      <c r="U3794" s="31" t="s">
        <v>14550</v>
      </c>
      <c r="V3794" s="32">
        <v>42990.0</v>
      </c>
    </row>
    <row r="3795">
      <c r="A3795" s="32"/>
      <c r="T3795" s="31" t="s">
        <v>14553</v>
      </c>
      <c r="U3795" s="31" t="s">
        <v>14554</v>
      </c>
      <c r="V3795" s="32">
        <v>42990.0</v>
      </c>
    </row>
    <row r="3796">
      <c r="A3796" s="32"/>
      <c r="T3796" s="31" t="s">
        <v>14557</v>
      </c>
      <c r="U3796" s="31" t="s">
        <v>14558</v>
      </c>
      <c r="V3796" s="32">
        <v>42990.0</v>
      </c>
    </row>
    <row r="3797">
      <c r="A3797" s="32"/>
      <c r="T3797" s="31" t="s">
        <v>14561</v>
      </c>
      <c r="U3797" s="31" t="s">
        <v>14562</v>
      </c>
      <c r="V3797" s="32">
        <v>42989.0</v>
      </c>
    </row>
    <row r="3798">
      <c r="A3798" s="32"/>
      <c r="T3798" s="31" t="s">
        <v>14565</v>
      </c>
      <c r="U3798" s="31" t="s">
        <v>14566</v>
      </c>
      <c r="V3798" s="32">
        <v>42987.0</v>
      </c>
    </row>
    <row r="3799">
      <c r="A3799" s="32"/>
      <c r="T3799" s="31" t="s">
        <v>14569</v>
      </c>
      <c r="U3799" s="31" t="s">
        <v>14570</v>
      </c>
      <c r="V3799" s="32">
        <v>42985.0</v>
      </c>
    </row>
    <row r="3800">
      <c r="A3800" s="32"/>
      <c r="T3800" s="31" t="s">
        <v>14574</v>
      </c>
      <c r="U3800" s="31" t="s">
        <v>14575</v>
      </c>
      <c r="V3800" s="32">
        <v>42984.0</v>
      </c>
    </row>
    <row r="3801">
      <c r="A3801" s="32"/>
      <c r="T3801" s="31" t="s">
        <v>14578</v>
      </c>
      <c r="U3801" s="31" t="s">
        <v>14579</v>
      </c>
      <c r="V3801" s="32">
        <v>42983.0</v>
      </c>
    </row>
    <row r="3802">
      <c r="A3802" s="32"/>
      <c r="T3802" s="31" t="s">
        <v>14582</v>
      </c>
      <c r="U3802" s="31" t="s">
        <v>14583</v>
      </c>
      <c r="V3802" s="32">
        <v>42983.0</v>
      </c>
    </row>
    <row r="3803">
      <c r="A3803" s="32"/>
      <c r="T3803" s="31" t="s">
        <v>14586</v>
      </c>
      <c r="U3803" s="31" t="s">
        <v>14587</v>
      </c>
      <c r="V3803" s="32">
        <v>42983.0</v>
      </c>
    </row>
    <row r="3804">
      <c r="A3804" s="32"/>
      <c r="T3804" s="31" t="s">
        <v>14591</v>
      </c>
      <c r="U3804" s="31" t="s">
        <v>14592</v>
      </c>
      <c r="V3804" s="32">
        <v>42982.0</v>
      </c>
    </row>
    <row r="3805">
      <c r="A3805" s="32"/>
      <c r="T3805" s="31" t="s">
        <v>14595</v>
      </c>
      <c r="U3805" s="31" t="s">
        <v>14596</v>
      </c>
      <c r="V3805" s="32">
        <v>42982.0</v>
      </c>
    </row>
    <row r="3806">
      <c r="A3806" s="32"/>
      <c r="T3806" s="31" t="s">
        <v>14599</v>
      </c>
      <c r="U3806" s="31" t="s">
        <v>14600</v>
      </c>
      <c r="V3806" s="32">
        <v>42982.0</v>
      </c>
    </row>
    <row r="3807">
      <c r="A3807" s="32"/>
      <c r="T3807" s="31" t="s">
        <v>14603</v>
      </c>
      <c r="U3807" s="31" t="s">
        <v>14604</v>
      </c>
      <c r="V3807" s="32">
        <v>42980.0</v>
      </c>
    </row>
    <row r="3808">
      <c r="A3808" s="32"/>
      <c r="T3808" s="31" t="s">
        <v>14607</v>
      </c>
      <c r="U3808" s="31" t="s">
        <v>14608</v>
      </c>
      <c r="V3808" s="32">
        <v>42979.0</v>
      </c>
    </row>
    <row r="3809">
      <c r="A3809" s="32"/>
      <c r="T3809" s="31" t="s">
        <v>14611</v>
      </c>
      <c r="U3809" s="31" t="s">
        <v>14612</v>
      </c>
      <c r="V3809" s="32">
        <v>42979.0</v>
      </c>
    </row>
    <row r="3810">
      <c r="A3810" s="32"/>
      <c r="T3810" s="31" t="s">
        <v>14615</v>
      </c>
      <c r="U3810" s="31" t="s">
        <v>14616</v>
      </c>
      <c r="V3810" s="32">
        <v>42979.0</v>
      </c>
    </row>
    <row r="3811">
      <c r="A3811" s="32"/>
      <c r="T3811" s="31" t="s">
        <v>14619</v>
      </c>
      <c r="U3811" s="31" t="s">
        <v>13970</v>
      </c>
      <c r="V3811" s="32">
        <v>42979.0</v>
      </c>
    </row>
    <row r="3812">
      <c r="A3812" s="32"/>
      <c r="T3812" s="31" t="s">
        <v>14621</v>
      </c>
      <c r="U3812" s="31" t="s">
        <v>14622</v>
      </c>
      <c r="V3812" s="32">
        <v>42979.0</v>
      </c>
    </row>
    <row r="3813">
      <c r="A3813" s="32"/>
      <c r="T3813" s="31" t="s">
        <v>14625</v>
      </c>
      <c r="U3813" s="31" t="s">
        <v>14626</v>
      </c>
      <c r="V3813" s="32">
        <v>42977.0</v>
      </c>
    </row>
    <row r="3814">
      <c r="A3814" s="32"/>
      <c r="T3814" s="31" t="s">
        <v>14629</v>
      </c>
      <c r="U3814" s="31" t="s">
        <v>14630</v>
      </c>
      <c r="V3814" s="32">
        <v>42977.0</v>
      </c>
    </row>
    <row r="3815">
      <c r="A3815" s="32"/>
      <c r="T3815" s="31" t="s">
        <v>14633</v>
      </c>
      <c r="U3815" s="31" t="s">
        <v>13672</v>
      </c>
      <c r="V3815" s="32">
        <v>42967.0</v>
      </c>
    </row>
    <row r="3816">
      <c r="A3816" s="32"/>
      <c r="T3816" s="31" t="s">
        <v>14636</v>
      </c>
      <c r="U3816" s="31" t="s">
        <v>14637</v>
      </c>
      <c r="V3816" s="32">
        <v>42965.0</v>
      </c>
    </row>
    <row r="3817">
      <c r="A3817" s="32"/>
      <c r="T3817" s="31" t="s">
        <v>14640</v>
      </c>
      <c r="U3817" s="31" t="s">
        <v>14641</v>
      </c>
      <c r="V3817" s="32">
        <v>42964.0</v>
      </c>
    </row>
    <row r="3818">
      <c r="A3818" s="32"/>
      <c r="T3818" s="31" t="s">
        <v>14643</v>
      </c>
      <c r="U3818" s="31" t="s">
        <v>14644</v>
      </c>
      <c r="V3818" s="32">
        <v>42963.0</v>
      </c>
    </row>
    <row r="3819">
      <c r="A3819" s="32"/>
      <c r="T3819" s="31" t="s">
        <v>14646</v>
      </c>
      <c r="U3819" s="31" t="s">
        <v>14647</v>
      </c>
      <c r="V3819" s="32">
        <v>42963.0</v>
      </c>
    </row>
    <row r="3820">
      <c r="A3820" s="32"/>
      <c r="T3820" s="31" t="s">
        <v>14650</v>
      </c>
      <c r="U3820" s="31" t="s">
        <v>14651</v>
      </c>
      <c r="V3820" s="32">
        <v>42963.0</v>
      </c>
    </row>
    <row r="3821">
      <c r="A3821" s="32"/>
      <c r="T3821" s="31" t="s">
        <v>14654</v>
      </c>
      <c r="U3821" s="31" t="s">
        <v>14655</v>
      </c>
      <c r="V3821" s="32">
        <v>42960.0</v>
      </c>
    </row>
    <row r="3822">
      <c r="A3822" s="32"/>
      <c r="T3822" s="31" t="s">
        <v>14658</v>
      </c>
      <c r="U3822" s="31" t="s">
        <v>14659</v>
      </c>
      <c r="V3822" s="32">
        <v>42956.0</v>
      </c>
    </row>
    <row r="3823">
      <c r="A3823" s="32"/>
      <c r="T3823" s="31" t="s">
        <v>14662</v>
      </c>
      <c r="U3823" s="31" t="s">
        <v>14663</v>
      </c>
      <c r="V3823" s="32">
        <v>42956.0</v>
      </c>
    </row>
    <row r="3824">
      <c r="A3824" s="32"/>
      <c r="T3824" s="31" t="s">
        <v>14666</v>
      </c>
      <c r="U3824" s="31" t="s">
        <v>14667</v>
      </c>
      <c r="V3824" s="32">
        <v>42955.0</v>
      </c>
    </row>
    <row r="3825">
      <c r="A3825" s="32"/>
      <c r="T3825" s="31" t="s">
        <v>14670</v>
      </c>
      <c r="U3825" s="31" t="s">
        <v>14671</v>
      </c>
      <c r="V3825" s="32">
        <v>42955.0</v>
      </c>
    </row>
    <row r="3826">
      <c r="A3826" s="32"/>
      <c r="T3826" s="31" t="s">
        <v>14674</v>
      </c>
      <c r="U3826" s="31" t="s">
        <v>14675</v>
      </c>
      <c r="V3826" s="32">
        <v>42954.0</v>
      </c>
    </row>
    <row r="3827">
      <c r="A3827" s="32"/>
      <c r="T3827" s="31" t="s">
        <v>14678</v>
      </c>
      <c r="U3827" s="31" t="s">
        <v>14679</v>
      </c>
      <c r="V3827" s="32">
        <v>42953.0</v>
      </c>
    </row>
    <row r="3828">
      <c r="A3828" s="32"/>
      <c r="T3828" s="31" t="s">
        <v>14683</v>
      </c>
      <c r="U3828" s="31" t="s">
        <v>14684</v>
      </c>
      <c r="V3828" s="32">
        <v>42951.0</v>
      </c>
    </row>
    <row r="3829">
      <c r="A3829" s="32"/>
      <c r="T3829" s="31" t="s">
        <v>14687</v>
      </c>
      <c r="U3829" s="31" t="s">
        <v>13356</v>
      </c>
      <c r="V3829" s="32">
        <v>42951.0</v>
      </c>
    </row>
    <row r="3830">
      <c r="A3830" s="32"/>
      <c r="T3830" s="31" t="s">
        <v>14690</v>
      </c>
      <c r="U3830" s="31" t="s">
        <v>14691</v>
      </c>
      <c r="V3830" s="32">
        <v>42950.0</v>
      </c>
    </row>
    <row r="3831">
      <c r="A3831" s="32"/>
      <c r="T3831" s="31" t="s">
        <v>14694</v>
      </c>
      <c r="U3831" s="31" t="s">
        <v>14695</v>
      </c>
      <c r="V3831" s="32">
        <v>42949.0</v>
      </c>
    </row>
    <row r="3832">
      <c r="A3832" s="32"/>
      <c r="T3832" s="31" t="s">
        <v>14698</v>
      </c>
      <c r="U3832" s="31" t="s">
        <v>14699</v>
      </c>
      <c r="V3832" s="32">
        <v>42948.0</v>
      </c>
    </row>
    <row r="3833">
      <c r="A3833" s="32"/>
      <c r="T3833" s="31" t="s">
        <v>14702</v>
      </c>
      <c r="U3833" s="31" t="s">
        <v>14703</v>
      </c>
      <c r="V3833" s="32">
        <v>42948.0</v>
      </c>
    </row>
    <row r="3834">
      <c r="A3834" s="32"/>
      <c r="T3834" s="31" t="s">
        <v>14706</v>
      </c>
      <c r="U3834" s="31" t="s">
        <v>14707</v>
      </c>
      <c r="V3834" s="32">
        <v>42948.0</v>
      </c>
    </row>
    <row r="3835">
      <c r="A3835" s="32"/>
      <c r="T3835" s="31" t="s">
        <v>14710</v>
      </c>
      <c r="U3835" s="31" t="s">
        <v>14711</v>
      </c>
      <c r="V3835" s="32">
        <v>42948.0</v>
      </c>
    </row>
    <row r="3836">
      <c r="A3836" s="32"/>
      <c r="T3836" s="31" t="s">
        <v>14714</v>
      </c>
      <c r="U3836" s="31" t="s">
        <v>14715</v>
      </c>
      <c r="V3836" s="32">
        <v>42948.0</v>
      </c>
    </row>
    <row r="3837">
      <c r="A3837" s="32"/>
      <c r="T3837" s="31" t="s">
        <v>14718</v>
      </c>
      <c r="U3837" s="31" t="s">
        <v>14719</v>
      </c>
      <c r="V3837" s="32">
        <v>42948.0</v>
      </c>
    </row>
    <row r="3838">
      <c r="A3838" s="32"/>
      <c r="T3838" s="31" t="s">
        <v>14723</v>
      </c>
      <c r="U3838" s="31" t="s">
        <v>14724</v>
      </c>
      <c r="V3838" s="32">
        <v>42948.0</v>
      </c>
    </row>
    <row r="3839">
      <c r="A3839" s="32"/>
      <c r="T3839" s="31" t="s">
        <v>14727</v>
      </c>
      <c r="U3839" s="31" t="s">
        <v>14728</v>
      </c>
      <c r="V3839" s="32">
        <v>42947.0</v>
      </c>
    </row>
    <row r="3840">
      <c r="A3840" s="32"/>
      <c r="T3840" s="31" t="s">
        <v>14731</v>
      </c>
      <c r="U3840" s="31" t="s">
        <v>14732</v>
      </c>
      <c r="V3840" s="32">
        <v>42947.0</v>
      </c>
    </row>
    <row r="3841">
      <c r="A3841" s="32"/>
      <c r="T3841" s="31" t="s">
        <v>14735</v>
      </c>
      <c r="U3841" s="31" t="s">
        <v>14736</v>
      </c>
      <c r="V3841" s="32">
        <v>42943.0</v>
      </c>
    </row>
    <row r="3842">
      <c r="A3842" s="32"/>
      <c r="T3842" s="31" t="s">
        <v>14739</v>
      </c>
      <c r="U3842" s="31" t="s">
        <v>14740</v>
      </c>
      <c r="V3842" s="32">
        <v>42941.0</v>
      </c>
    </row>
    <row r="3843">
      <c r="A3843" s="32"/>
      <c r="T3843" s="31" t="s">
        <v>14743</v>
      </c>
      <c r="U3843" s="31" t="s">
        <v>14744</v>
      </c>
      <c r="V3843" s="32">
        <v>42941.0</v>
      </c>
    </row>
    <row r="3844">
      <c r="A3844" s="32"/>
      <c r="T3844" s="31" t="s">
        <v>14747</v>
      </c>
      <c r="U3844" s="31" t="s">
        <v>14748</v>
      </c>
      <c r="V3844" s="32">
        <v>42940.0</v>
      </c>
    </row>
    <row r="3845">
      <c r="A3845" s="32"/>
      <c r="T3845" s="31" t="s">
        <v>14751</v>
      </c>
      <c r="U3845" s="31" t="s">
        <v>14752</v>
      </c>
      <c r="V3845" s="32">
        <v>42940.0</v>
      </c>
    </row>
    <row r="3846">
      <c r="A3846" s="32"/>
      <c r="T3846" s="31" t="s">
        <v>14756</v>
      </c>
      <c r="U3846" s="31" t="s">
        <v>14757</v>
      </c>
      <c r="V3846" s="32">
        <v>42939.0</v>
      </c>
    </row>
    <row r="3847">
      <c r="A3847" s="32"/>
      <c r="T3847" s="31" t="s">
        <v>14760</v>
      </c>
      <c r="U3847" s="31" t="s">
        <v>14761</v>
      </c>
      <c r="V3847" s="32">
        <v>42939.0</v>
      </c>
    </row>
    <row r="3848">
      <c r="A3848" s="32"/>
      <c r="T3848" s="31" t="s">
        <v>14764</v>
      </c>
      <c r="U3848" s="31" t="s">
        <v>14765</v>
      </c>
      <c r="V3848" s="32">
        <v>42937.0</v>
      </c>
    </row>
    <row r="3849">
      <c r="A3849" s="32"/>
      <c r="T3849" s="31" t="s">
        <v>14768</v>
      </c>
      <c r="U3849" s="31" t="s">
        <v>14769</v>
      </c>
      <c r="V3849" s="32">
        <v>42936.0</v>
      </c>
    </row>
    <row r="3850">
      <c r="A3850" s="32"/>
      <c r="T3850" s="31" t="s">
        <v>14772</v>
      </c>
      <c r="U3850" s="31" t="s">
        <v>14773</v>
      </c>
      <c r="V3850" s="32">
        <v>42933.0</v>
      </c>
    </row>
    <row r="3851">
      <c r="A3851" s="32"/>
      <c r="T3851" s="31" t="s">
        <v>14776</v>
      </c>
      <c r="U3851" s="31" t="s">
        <v>14777</v>
      </c>
      <c r="V3851" s="32">
        <v>42933.0</v>
      </c>
    </row>
    <row r="3852">
      <c r="A3852" s="32"/>
      <c r="T3852" s="31" t="s">
        <v>14780</v>
      </c>
      <c r="U3852" s="31" t="s">
        <v>14781</v>
      </c>
      <c r="V3852" s="32">
        <v>42933.0</v>
      </c>
    </row>
    <row r="3853">
      <c r="A3853" s="32"/>
      <c r="T3853" s="31" t="s">
        <v>14784</v>
      </c>
      <c r="U3853" s="31" t="s">
        <v>14785</v>
      </c>
      <c r="V3853" s="32">
        <v>42930.0</v>
      </c>
    </row>
    <row r="3854">
      <c r="A3854" s="32"/>
      <c r="T3854" s="31" t="s">
        <v>14788</v>
      </c>
      <c r="U3854" s="31" t="s">
        <v>14789</v>
      </c>
      <c r="V3854" s="32">
        <v>42930.0</v>
      </c>
    </row>
    <row r="3855">
      <c r="A3855" s="32"/>
      <c r="T3855" s="31" t="s">
        <v>14792</v>
      </c>
      <c r="U3855" s="31" t="s">
        <v>14793</v>
      </c>
      <c r="V3855" s="32">
        <v>42930.0</v>
      </c>
    </row>
    <row r="3856">
      <c r="A3856" s="32"/>
      <c r="T3856" s="31" t="s">
        <v>14796</v>
      </c>
      <c r="U3856" s="31" t="s">
        <v>14797</v>
      </c>
      <c r="V3856" s="32">
        <v>42930.0</v>
      </c>
    </row>
    <row r="3857">
      <c r="A3857" s="32"/>
      <c r="T3857" s="31" t="s">
        <v>14800</v>
      </c>
      <c r="U3857" s="31" t="s">
        <v>14801</v>
      </c>
      <c r="V3857" s="32">
        <v>42929.0</v>
      </c>
    </row>
    <row r="3858">
      <c r="A3858" s="32"/>
      <c r="T3858" s="31" t="s">
        <v>14804</v>
      </c>
      <c r="U3858" s="31" t="s">
        <v>14805</v>
      </c>
      <c r="V3858" s="32">
        <v>42928.0</v>
      </c>
    </row>
    <row r="3859">
      <c r="A3859" s="32"/>
      <c r="T3859" s="31" t="s">
        <v>14809</v>
      </c>
      <c r="U3859" s="31" t="s">
        <v>14810</v>
      </c>
      <c r="V3859" s="32">
        <v>42928.0</v>
      </c>
    </row>
    <row r="3860">
      <c r="A3860" s="32"/>
      <c r="T3860" s="31" t="s">
        <v>14812</v>
      </c>
      <c r="U3860" s="31" t="s">
        <v>14813</v>
      </c>
      <c r="V3860" s="32">
        <v>42928.0</v>
      </c>
    </row>
    <row r="3861">
      <c r="A3861" s="32"/>
      <c r="T3861" s="31" t="s">
        <v>14816</v>
      </c>
      <c r="U3861" s="31" t="s">
        <v>14817</v>
      </c>
      <c r="V3861" s="32">
        <v>42927.0</v>
      </c>
    </row>
    <row r="3862">
      <c r="A3862" s="32"/>
      <c r="T3862" s="31" t="s">
        <v>14820</v>
      </c>
      <c r="U3862" s="31" t="s">
        <v>14821</v>
      </c>
      <c r="V3862" s="32">
        <v>42927.0</v>
      </c>
    </row>
    <row r="3863">
      <c r="A3863" s="32"/>
      <c r="T3863" s="31" t="s">
        <v>14824</v>
      </c>
      <c r="U3863" s="31" t="s">
        <v>14825</v>
      </c>
      <c r="V3863" s="32">
        <v>42926.0</v>
      </c>
    </row>
    <row r="3864">
      <c r="A3864" s="32"/>
      <c r="T3864" s="31" t="s">
        <v>14829</v>
      </c>
      <c r="U3864" s="31" t="s">
        <v>14830</v>
      </c>
      <c r="V3864" s="32">
        <v>42926.0</v>
      </c>
    </row>
    <row r="3865">
      <c r="A3865" s="32"/>
      <c r="T3865" s="31" t="s">
        <v>14833</v>
      </c>
      <c r="U3865" s="31" t="s">
        <v>14834</v>
      </c>
      <c r="V3865" s="32">
        <v>42926.0</v>
      </c>
    </row>
    <row r="3866">
      <c r="A3866" s="32"/>
      <c r="T3866" s="31" t="s">
        <v>14837</v>
      </c>
      <c r="U3866" s="31" t="s">
        <v>14838</v>
      </c>
      <c r="V3866" s="32">
        <v>42924.0</v>
      </c>
    </row>
    <row r="3867">
      <c r="A3867" s="32"/>
      <c r="T3867" s="31" t="s">
        <v>14841</v>
      </c>
      <c r="U3867" s="31" t="s">
        <v>14842</v>
      </c>
      <c r="V3867" s="32">
        <v>42922.0</v>
      </c>
    </row>
    <row r="3868">
      <c r="A3868" s="32"/>
      <c r="T3868" s="31" t="s">
        <v>14844</v>
      </c>
      <c r="U3868" s="31" t="s">
        <v>14845</v>
      </c>
      <c r="V3868" s="32">
        <v>42922.0</v>
      </c>
    </row>
    <row r="3869">
      <c r="A3869" s="32"/>
      <c r="T3869" s="31" t="s">
        <v>14848</v>
      </c>
      <c r="U3869" s="31" t="s">
        <v>14849</v>
      </c>
      <c r="V3869" s="32">
        <v>42922.0</v>
      </c>
    </row>
    <row r="3870">
      <c r="A3870" s="32"/>
      <c r="T3870" s="31" t="s">
        <v>14852</v>
      </c>
      <c r="U3870" s="31" t="s">
        <v>14853</v>
      </c>
      <c r="V3870" s="32">
        <v>42922.0</v>
      </c>
    </row>
    <row r="3871">
      <c r="A3871" s="32"/>
      <c r="T3871" s="31" t="s">
        <v>14856</v>
      </c>
      <c r="U3871" s="31" t="s">
        <v>14857</v>
      </c>
      <c r="V3871" s="32">
        <v>42919.0</v>
      </c>
    </row>
    <row r="3872">
      <c r="A3872" s="32"/>
      <c r="T3872" s="31" t="s">
        <v>14860</v>
      </c>
      <c r="U3872" s="31" t="s">
        <v>14861</v>
      </c>
      <c r="V3872" s="32">
        <v>42917.0</v>
      </c>
    </row>
    <row r="3873">
      <c r="A3873" s="32"/>
      <c r="T3873" s="31" t="s">
        <v>14864</v>
      </c>
      <c r="U3873" s="31" t="s">
        <v>14865</v>
      </c>
      <c r="V3873" s="32">
        <v>42917.0</v>
      </c>
    </row>
    <row r="3874">
      <c r="A3874" s="32"/>
      <c r="T3874" s="31" t="s">
        <v>14868</v>
      </c>
      <c r="U3874" s="31" t="s">
        <v>14869</v>
      </c>
      <c r="V3874" s="32">
        <v>42917.0</v>
      </c>
    </row>
    <row r="3875">
      <c r="A3875" s="32"/>
      <c r="T3875" s="31" t="s">
        <v>14873</v>
      </c>
      <c r="U3875" s="31" t="s">
        <v>14874</v>
      </c>
      <c r="V3875" s="32">
        <v>42917.0</v>
      </c>
    </row>
    <row r="3876">
      <c r="A3876" s="32"/>
      <c r="T3876" s="31" t="s">
        <v>14877</v>
      </c>
      <c r="U3876" s="31" t="s">
        <v>14878</v>
      </c>
      <c r="V3876" s="32">
        <v>42917.0</v>
      </c>
    </row>
    <row r="3877">
      <c r="A3877" s="32"/>
      <c r="T3877" s="31" t="s">
        <v>14880</v>
      </c>
      <c r="U3877" s="31" t="s">
        <v>14881</v>
      </c>
      <c r="V3877" s="32">
        <v>42917.0</v>
      </c>
    </row>
    <row r="3878">
      <c r="A3878" s="32"/>
      <c r="T3878" s="31" t="s">
        <v>14885</v>
      </c>
      <c r="U3878" s="31" t="s">
        <v>14886</v>
      </c>
      <c r="V3878" s="32">
        <v>42916.0</v>
      </c>
    </row>
    <row r="3879">
      <c r="A3879" s="32"/>
      <c r="T3879" s="31" t="s">
        <v>14889</v>
      </c>
      <c r="U3879" s="31" t="s">
        <v>14890</v>
      </c>
      <c r="V3879" s="32">
        <v>42916.0</v>
      </c>
    </row>
    <row r="3880">
      <c r="A3880" s="32"/>
      <c r="T3880" s="31" t="s">
        <v>14893</v>
      </c>
      <c r="U3880" s="31" t="s">
        <v>14894</v>
      </c>
      <c r="V3880" s="32">
        <v>42912.0</v>
      </c>
    </row>
    <row r="3881">
      <c r="A3881" s="32"/>
      <c r="T3881" s="31" t="s">
        <v>14897</v>
      </c>
      <c r="U3881" s="31" t="s">
        <v>14898</v>
      </c>
      <c r="V3881" s="32">
        <v>42907.0</v>
      </c>
    </row>
    <row r="3882">
      <c r="A3882" s="32"/>
      <c r="T3882" s="31" t="s">
        <v>14901</v>
      </c>
      <c r="U3882" s="31" t="s">
        <v>14902</v>
      </c>
      <c r="V3882" s="32">
        <v>42906.0</v>
      </c>
    </row>
    <row r="3883">
      <c r="A3883" s="32"/>
      <c r="T3883" s="31" t="s">
        <v>14906</v>
      </c>
      <c r="U3883" s="31" t="s">
        <v>14907</v>
      </c>
      <c r="V3883" s="32">
        <v>42905.0</v>
      </c>
    </row>
    <row r="3884">
      <c r="A3884" s="32"/>
      <c r="T3884" s="31" t="s">
        <v>14910</v>
      </c>
      <c r="U3884" s="31" t="s">
        <v>14911</v>
      </c>
      <c r="V3884" s="32">
        <v>42901.0</v>
      </c>
    </row>
    <row r="3885">
      <c r="A3885" s="32"/>
      <c r="T3885" s="31" t="s">
        <v>14914</v>
      </c>
      <c r="U3885" s="31" t="s">
        <v>14915</v>
      </c>
      <c r="V3885" s="32">
        <v>42900.0</v>
      </c>
    </row>
    <row r="3886">
      <c r="A3886" s="32"/>
      <c r="T3886" s="31" t="s">
        <v>14918</v>
      </c>
      <c r="U3886" s="31" t="s">
        <v>14919</v>
      </c>
      <c r="V3886" s="32">
        <v>42900.0</v>
      </c>
    </row>
    <row r="3887">
      <c r="A3887" s="32"/>
      <c r="T3887" s="31" t="s">
        <v>14922</v>
      </c>
      <c r="U3887" s="31" t="s">
        <v>14923</v>
      </c>
      <c r="V3887" s="32">
        <v>42895.0</v>
      </c>
    </row>
    <row r="3888">
      <c r="A3888" s="32"/>
      <c r="T3888" s="31" t="s">
        <v>14925</v>
      </c>
      <c r="U3888" s="31" t="s">
        <v>14926</v>
      </c>
      <c r="V3888" s="32">
        <v>42894.0</v>
      </c>
    </row>
    <row r="3889">
      <c r="A3889" s="32"/>
      <c r="T3889" s="31" t="s">
        <v>14929</v>
      </c>
      <c r="U3889" s="31" t="s">
        <v>14930</v>
      </c>
      <c r="V3889" s="32">
        <v>42893.0</v>
      </c>
    </row>
    <row r="3890">
      <c r="A3890" s="32"/>
      <c r="T3890" s="31" t="s">
        <v>14933</v>
      </c>
      <c r="U3890" s="31" t="s">
        <v>14934</v>
      </c>
      <c r="V3890" s="32">
        <v>42891.0</v>
      </c>
    </row>
    <row r="3891">
      <c r="A3891" s="32"/>
      <c r="T3891" s="31" t="s">
        <v>14937</v>
      </c>
      <c r="U3891" s="31" t="s">
        <v>12280</v>
      </c>
      <c r="V3891" s="32">
        <v>42888.0</v>
      </c>
    </row>
    <row r="3892">
      <c r="A3892" s="32"/>
      <c r="T3892" s="31" t="s">
        <v>14940</v>
      </c>
      <c r="U3892" s="31" t="s">
        <v>14941</v>
      </c>
      <c r="V3892" s="32">
        <v>42887.0</v>
      </c>
    </row>
    <row r="3893">
      <c r="A3893" s="32"/>
      <c r="T3893" s="31" t="s">
        <v>14944</v>
      </c>
      <c r="U3893" s="31" t="s">
        <v>14945</v>
      </c>
      <c r="V3893" s="32">
        <v>42887.0</v>
      </c>
    </row>
    <row r="3894">
      <c r="A3894" s="32"/>
      <c r="T3894" s="31" t="s">
        <v>14949</v>
      </c>
      <c r="U3894" s="31" t="s">
        <v>14950</v>
      </c>
      <c r="V3894" s="32">
        <v>42887.0</v>
      </c>
    </row>
    <row r="3895">
      <c r="A3895" s="32"/>
      <c r="T3895" s="31" t="s">
        <v>14953</v>
      </c>
      <c r="U3895" s="31" t="s">
        <v>14954</v>
      </c>
      <c r="V3895" s="32">
        <v>42886.0</v>
      </c>
    </row>
    <row r="3896">
      <c r="A3896" s="32"/>
      <c r="T3896" s="31" t="s">
        <v>14958</v>
      </c>
      <c r="U3896" s="31" t="s">
        <v>14959</v>
      </c>
      <c r="V3896" s="32">
        <v>42886.0</v>
      </c>
    </row>
    <row r="3897">
      <c r="A3897" s="32"/>
      <c r="T3897" s="31" t="s">
        <v>14962</v>
      </c>
      <c r="U3897" s="31" t="s">
        <v>14963</v>
      </c>
      <c r="V3897" s="32">
        <v>42880.0</v>
      </c>
    </row>
    <row r="3898">
      <c r="A3898" s="32"/>
      <c r="T3898" s="31" t="s">
        <v>14966</v>
      </c>
      <c r="U3898" s="31" t="s">
        <v>14967</v>
      </c>
      <c r="V3898" s="32">
        <v>42879.0</v>
      </c>
    </row>
    <row r="3899">
      <c r="A3899" s="32"/>
      <c r="T3899" s="31" t="s">
        <v>14970</v>
      </c>
      <c r="U3899" s="31" t="s">
        <v>14971</v>
      </c>
      <c r="V3899" s="32">
        <v>42879.0</v>
      </c>
    </row>
    <row r="3900">
      <c r="A3900" s="32"/>
      <c r="T3900" s="31" t="s">
        <v>14974</v>
      </c>
      <c r="U3900" s="31" t="s">
        <v>14975</v>
      </c>
      <c r="V3900" s="32">
        <v>42878.0</v>
      </c>
    </row>
    <row r="3901">
      <c r="A3901" s="32"/>
      <c r="T3901" s="31" t="s">
        <v>14978</v>
      </c>
      <c r="U3901" s="31" t="s">
        <v>14979</v>
      </c>
      <c r="V3901" s="32">
        <v>42874.0</v>
      </c>
    </row>
    <row r="3902">
      <c r="A3902" s="32"/>
      <c r="T3902" s="31" t="s">
        <v>14983</v>
      </c>
      <c r="U3902" s="31" t="s">
        <v>14984</v>
      </c>
      <c r="V3902" s="32">
        <v>42874.0</v>
      </c>
    </row>
    <row r="3903">
      <c r="A3903" s="32"/>
      <c r="T3903" s="31" t="s">
        <v>14987</v>
      </c>
      <c r="U3903" s="31" t="s">
        <v>14988</v>
      </c>
      <c r="V3903" s="32">
        <v>42874.0</v>
      </c>
    </row>
    <row r="3904">
      <c r="A3904" s="32"/>
      <c r="T3904" s="31" t="s">
        <v>14991</v>
      </c>
      <c r="U3904" s="31" t="s">
        <v>14992</v>
      </c>
      <c r="V3904" s="32">
        <v>42873.0</v>
      </c>
    </row>
    <row r="3905">
      <c r="A3905" s="32"/>
      <c r="T3905" s="31" t="s">
        <v>14995</v>
      </c>
      <c r="U3905" s="31" t="s">
        <v>14996</v>
      </c>
      <c r="V3905" s="32">
        <v>42872.0</v>
      </c>
    </row>
    <row r="3906">
      <c r="A3906" s="32"/>
      <c r="T3906" s="31" t="s">
        <v>15000</v>
      </c>
      <c r="U3906" s="31" t="s">
        <v>15001</v>
      </c>
      <c r="V3906" s="32">
        <v>42871.0</v>
      </c>
    </row>
    <row r="3907">
      <c r="A3907" s="32"/>
      <c r="T3907" s="31" t="s">
        <v>15004</v>
      </c>
      <c r="U3907" s="31" t="s">
        <v>15005</v>
      </c>
      <c r="V3907" s="32">
        <v>42871.0</v>
      </c>
    </row>
    <row r="3908">
      <c r="A3908" s="32"/>
      <c r="T3908" s="31" t="s">
        <v>15008</v>
      </c>
      <c r="U3908" s="31" t="s">
        <v>14781</v>
      </c>
      <c r="V3908" s="32">
        <v>42870.0</v>
      </c>
    </row>
    <row r="3909">
      <c r="A3909" s="32"/>
      <c r="T3909" s="31" t="s">
        <v>15011</v>
      </c>
      <c r="U3909" s="31" t="s">
        <v>15012</v>
      </c>
      <c r="V3909" s="32">
        <v>42868.0</v>
      </c>
    </row>
    <row r="3910">
      <c r="A3910" s="32"/>
      <c r="T3910" s="31" t="s">
        <v>15015</v>
      </c>
      <c r="U3910" s="31" t="s">
        <v>15016</v>
      </c>
      <c r="V3910" s="32">
        <v>42866.0</v>
      </c>
    </row>
    <row r="3911">
      <c r="A3911" s="32"/>
      <c r="T3911" s="31" t="s">
        <v>15019</v>
      </c>
      <c r="U3911" s="31" t="s">
        <v>15020</v>
      </c>
      <c r="V3911" s="32">
        <v>42866.0</v>
      </c>
    </row>
    <row r="3912">
      <c r="A3912" s="32"/>
      <c r="T3912" s="31" t="s">
        <v>15023</v>
      </c>
      <c r="U3912" s="31" t="s">
        <v>15024</v>
      </c>
      <c r="V3912" s="32">
        <v>42866.0</v>
      </c>
    </row>
    <row r="3913">
      <c r="A3913" s="32"/>
      <c r="T3913" s="31" t="s">
        <v>15027</v>
      </c>
      <c r="U3913" s="31" t="s">
        <v>15028</v>
      </c>
      <c r="V3913" s="32">
        <v>42866.0</v>
      </c>
    </row>
    <row r="3914">
      <c r="A3914" s="32"/>
      <c r="T3914" s="31" t="s">
        <v>15031</v>
      </c>
      <c r="U3914" s="31" t="s">
        <v>15032</v>
      </c>
      <c r="V3914" s="32">
        <v>42865.0</v>
      </c>
    </row>
    <row r="3915">
      <c r="A3915" s="32"/>
      <c r="T3915" s="31" t="s">
        <v>15036</v>
      </c>
      <c r="U3915" s="31" t="s">
        <v>15037</v>
      </c>
      <c r="V3915" s="32">
        <v>42865.0</v>
      </c>
    </row>
    <row r="3916">
      <c r="A3916" s="32"/>
      <c r="T3916" s="31" t="s">
        <v>15041</v>
      </c>
      <c r="U3916" s="31" t="s">
        <v>15042</v>
      </c>
      <c r="V3916" s="32">
        <v>42865.0</v>
      </c>
    </row>
    <row r="3917">
      <c r="A3917" s="32"/>
      <c r="T3917" s="31" t="s">
        <v>15045</v>
      </c>
      <c r="U3917" s="31" t="s">
        <v>15046</v>
      </c>
      <c r="V3917" s="32">
        <v>42864.0</v>
      </c>
    </row>
    <row r="3918">
      <c r="A3918" s="32"/>
      <c r="T3918" s="31" t="s">
        <v>15049</v>
      </c>
      <c r="U3918" s="31" t="s">
        <v>15050</v>
      </c>
      <c r="V3918" s="32">
        <v>42864.0</v>
      </c>
    </row>
    <row r="3919">
      <c r="A3919" s="32"/>
      <c r="T3919" s="31" t="s">
        <v>15053</v>
      </c>
      <c r="U3919" s="31" t="s">
        <v>15054</v>
      </c>
      <c r="V3919" s="32">
        <v>42864.0</v>
      </c>
    </row>
    <row r="3920">
      <c r="A3920" s="32"/>
      <c r="T3920" s="31" t="s">
        <v>15057</v>
      </c>
      <c r="U3920" s="31" t="s">
        <v>15058</v>
      </c>
      <c r="V3920" s="32">
        <v>42863.0</v>
      </c>
    </row>
    <row r="3921">
      <c r="A3921" s="32"/>
      <c r="T3921" s="31" t="s">
        <v>15061</v>
      </c>
      <c r="U3921" s="31" t="s">
        <v>15062</v>
      </c>
      <c r="V3921" s="32">
        <v>42863.0</v>
      </c>
    </row>
    <row r="3922">
      <c r="A3922" s="32"/>
      <c r="T3922" s="31" t="s">
        <v>15065</v>
      </c>
      <c r="U3922" s="31" t="s">
        <v>15066</v>
      </c>
      <c r="V3922" s="32">
        <v>42863.0</v>
      </c>
    </row>
    <row r="3923">
      <c r="A3923" s="32"/>
      <c r="T3923" s="31" t="s">
        <v>15069</v>
      </c>
      <c r="U3923" s="31" t="s">
        <v>15070</v>
      </c>
      <c r="V3923" s="32">
        <v>42863.0</v>
      </c>
    </row>
    <row r="3924">
      <c r="A3924" s="32"/>
      <c r="T3924" s="31" t="s">
        <v>15073</v>
      </c>
      <c r="U3924" s="31" t="s">
        <v>15074</v>
      </c>
      <c r="V3924" s="32">
        <v>42860.0</v>
      </c>
    </row>
    <row r="3925">
      <c r="A3925" s="32"/>
      <c r="T3925" s="31" t="s">
        <v>15077</v>
      </c>
      <c r="U3925" s="31" t="s">
        <v>15078</v>
      </c>
      <c r="V3925" s="32">
        <v>42860.0</v>
      </c>
    </row>
    <row r="3926">
      <c r="A3926" s="32"/>
      <c r="T3926" s="31" t="s">
        <v>15081</v>
      </c>
      <c r="U3926" s="31" t="s">
        <v>15082</v>
      </c>
      <c r="V3926" s="32">
        <v>42857.0</v>
      </c>
    </row>
    <row r="3927">
      <c r="A3927" s="32"/>
      <c r="T3927" s="31" t="s">
        <v>15085</v>
      </c>
      <c r="U3927" s="31" t="s">
        <v>15086</v>
      </c>
      <c r="V3927" s="32">
        <v>42857.0</v>
      </c>
    </row>
    <row r="3928">
      <c r="A3928" s="32"/>
      <c r="T3928" s="31" t="s">
        <v>15089</v>
      </c>
      <c r="U3928" s="31" t="s">
        <v>15090</v>
      </c>
      <c r="V3928" s="32">
        <v>42856.0</v>
      </c>
    </row>
    <row r="3929">
      <c r="A3929" s="32"/>
      <c r="T3929" s="31" t="s">
        <v>15093</v>
      </c>
      <c r="U3929" s="31" t="s">
        <v>15094</v>
      </c>
      <c r="V3929" s="32">
        <v>42856.0</v>
      </c>
    </row>
    <row r="3930">
      <c r="A3930" s="32"/>
      <c r="T3930" s="31" t="s">
        <v>15097</v>
      </c>
      <c r="U3930" s="31" t="s">
        <v>15098</v>
      </c>
      <c r="V3930" s="32">
        <v>42856.0</v>
      </c>
    </row>
    <row r="3931">
      <c r="A3931" s="32"/>
      <c r="T3931" s="31" t="s">
        <v>15101</v>
      </c>
      <c r="U3931" s="31" t="s">
        <v>15102</v>
      </c>
      <c r="V3931" s="32">
        <v>42856.0</v>
      </c>
    </row>
    <row r="3932">
      <c r="A3932" s="32"/>
      <c r="T3932" s="31" t="s">
        <v>15105</v>
      </c>
      <c r="U3932" s="31" t="s">
        <v>15106</v>
      </c>
      <c r="V3932" s="32">
        <v>42856.0</v>
      </c>
    </row>
    <row r="3933">
      <c r="A3933" s="32"/>
      <c r="T3933" s="31" t="s">
        <v>15108</v>
      </c>
      <c r="U3933" s="31" t="s">
        <v>15109</v>
      </c>
      <c r="V3933" s="32">
        <v>42853.0</v>
      </c>
    </row>
    <row r="3934">
      <c r="A3934" s="32"/>
      <c r="T3934" s="31" t="s">
        <v>15112</v>
      </c>
      <c r="U3934" s="31" t="s">
        <v>15113</v>
      </c>
      <c r="V3934" s="32">
        <v>42852.0</v>
      </c>
    </row>
    <row r="3935">
      <c r="A3935" s="32"/>
      <c r="T3935" s="31" t="s">
        <v>15117</v>
      </c>
      <c r="U3935" s="31" t="s">
        <v>15118</v>
      </c>
      <c r="V3935" s="32">
        <v>42852.0</v>
      </c>
    </row>
    <row r="3936">
      <c r="A3936" s="32"/>
      <c r="T3936" s="31" t="s">
        <v>15122</v>
      </c>
      <c r="U3936" s="31" t="s">
        <v>15123</v>
      </c>
      <c r="V3936" s="32">
        <v>42852.0</v>
      </c>
    </row>
    <row r="3937">
      <c r="A3937" s="32"/>
      <c r="T3937" s="31" t="s">
        <v>15126</v>
      </c>
      <c r="U3937" s="31" t="s">
        <v>15127</v>
      </c>
      <c r="V3937" s="32">
        <v>42851.0</v>
      </c>
    </row>
    <row r="3938">
      <c r="A3938" s="32"/>
      <c r="T3938" s="31" t="s">
        <v>15130</v>
      </c>
      <c r="U3938" s="31" t="s">
        <v>12280</v>
      </c>
      <c r="V3938" s="32">
        <v>42851.0</v>
      </c>
    </row>
    <row r="3939">
      <c r="A3939" s="32"/>
      <c r="T3939" s="31" t="s">
        <v>15133</v>
      </c>
      <c r="U3939" s="31" t="s">
        <v>15134</v>
      </c>
      <c r="V3939" s="32">
        <v>42851.0</v>
      </c>
    </row>
    <row r="3940">
      <c r="A3940" s="32"/>
      <c r="T3940" s="31" t="s">
        <v>15137</v>
      </c>
      <c r="U3940" s="31" t="s">
        <v>15138</v>
      </c>
      <c r="V3940" s="32">
        <v>42850.0</v>
      </c>
    </row>
    <row r="3941">
      <c r="A3941" s="32"/>
      <c r="T3941" s="31" t="s">
        <v>15141</v>
      </c>
      <c r="U3941" s="31" t="s">
        <v>15142</v>
      </c>
      <c r="V3941" s="32">
        <v>42849.0</v>
      </c>
    </row>
    <row r="3942">
      <c r="A3942" s="32"/>
      <c r="T3942" s="31" t="s">
        <v>15145</v>
      </c>
      <c r="U3942" s="31" t="s">
        <v>15146</v>
      </c>
      <c r="V3942" s="32">
        <v>42847.0</v>
      </c>
    </row>
    <row r="3943">
      <c r="A3943" s="32"/>
      <c r="T3943" s="31" t="s">
        <v>15149</v>
      </c>
      <c r="U3943" s="31" t="s">
        <v>15150</v>
      </c>
      <c r="V3943" s="32">
        <v>42845.0</v>
      </c>
    </row>
    <row r="3944">
      <c r="A3944" s="32"/>
      <c r="T3944" s="31" t="s">
        <v>15153</v>
      </c>
      <c r="U3944" s="31" t="s">
        <v>15154</v>
      </c>
      <c r="V3944" s="32">
        <v>42845.0</v>
      </c>
    </row>
    <row r="3945">
      <c r="A3945" s="32"/>
      <c r="T3945" s="31" t="s">
        <v>15157</v>
      </c>
      <c r="U3945" s="31" t="s">
        <v>15158</v>
      </c>
      <c r="V3945" s="32">
        <v>42844.0</v>
      </c>
    </row>
    <row r="3946">
      <c r="A3946" s="32"/>
      <c r="T3946" s="31" t="s">
        <v>15161</v>
      </c>
      <c r="U3946" s="31" t="s">
        <v>15162</v>
      </c>
      <c r="V3946" s="32">
        <v>42843.0</v>
      </c>
    </row>
    <row r="3947">
      <c r="A3947" s="32"/>
      <c r="T3947" s="31" t="s">
        <v>15165</v>
      </c>
      <c r="U3947" s="31" t="s">
        <v>15166</v>
      </c>
      <c r="V3947" s="32">
        <v>42843.0</v>
      </c>
    </row>
    <row r="3948">
      <c r="A3948" s="32"/>
      <c r="T3948" s="31" t="s">
        <v>15170</v>
      </c>
      <c r="U3948" s="31" t="s">
        <v>15171</v>
      </c>
      <c r="V3948" s="32">
        <v>42840.0</v>
      </c>
    </row>
    <row r="3949">
      <c r="A3949" s="32"/>
      <c r="T3949" s="31" t="s">
        <v>15174</v>
      </c>
      <c r="U3949" s="31" t="s">
        <v>15175</v>
      </c>
      <c r="V3949" s="32">
        <v>42838.0</v>
      </c>
    </row>
    <row r="3950">
      <c r="A3950" s="32"/>
      <c r="T3950" s="31" t="s">
        <v>15178</v>
      </c>
      <c r="U3950" s="31" t="s">
        <v>15179</v>
      </c>
      <c r="V3950" s="32">
        <v>42838.0</v>
      </c>
    </row>
    <row r="3951">
      <c r="A3951" s="32"/>
      <c r="T3951" s="31" t="s">
        <v>15182</v>
      </c>
      <c r="U3951" s="31" t="s">
        <v>15183</v>
      </c>
      <c r="V3951" s="32">
        <v>42837.0</v>
      </c>
    </row>
    <row r="3952">
      <c r="A3952" s="32"/>
      <c r="T3952" s="31" t="s">
        <v>15186</v>
      </c>
      <c r="U3952" s="31" t="s">
        <v>15187</v>
      </c>
      <c r="V3952" s="32">
        <v>42837.0</v>
      </c>
    </row>
    <row r="3953">
      <c r="A3953" s="32"/>
      <c r="T3953" s="31" t="s">
        <v>15190</v>
      </c>
      <c r="U3953" s="31" t="s">
        <v>15191</v>
      </c>
      <c r="V3953" s="32">
        <v>42837.0</v>
      </c>
    </row>
    <row r="3954">
      <c r="A3954" s="32"/>
      <c r="T3954" s="31" t="s">
        <v>15194</v>
      </c>
      <c r="U3954" s="31" t="s">
        <v>15195</v>
      </c>
      <c r="V3954" s="32">
        <v>42836.0</v>
      </c>
    </row>
    <row r="3955">
      <c r="A3955" s="32"/>
      <c r="T3955" s="31" t="s">
        <v>15198</v>
      </c>
      <c r="U3955" s="31" t="s">
        <v>15199</v>
      </c>
      <c r="V3955" s="32">
        <v>42836.0</v>
      </c>
    </row>
    <row r="3956">
      <c r="A3956" s="32"/>
      <c r="T3956" s="31" t="s">
        <v>15202</v>
      </c>
      <c r="U3956" s="31" t="s">
        <v>15203</v>
      </c>
      <c r="V3956" s="32">
        <v>42836.0</v>
      </c>
    </row>
    <row r="3957">
      <c r="A3957" s="32"/>
      <c r="T3957" s="31" t="s">
        <v>15206</v>
      </c>
      <c r="U3957" s="31" t="s">
        <v>15207</v>
      </c>
      <c r="V3957" s="32">
        <v>42833.0</v>
      </c>
    </row>
    <row r="3958">
      <c r="A3958" s="32"/>
      <c r="T3958" s="31" t="s">
        <v>15211</v>
      </c>
      <c r="U3958" s="31" t="s">
        <v>15212</v>
      </c>
      <c r="V3958" s="32">
        <v>42832.0</v>
      </c>
    </row>
    <row r="3959">
      <c r="A3959" s="32"/>
      <c r="T3959" s="31" t="s">
        <v>15215</v>
      </c>
      <c r="U3959" s="31" t="s">
        <v>15216</v>
      </c>
      <c r="V3959" s="32">
        <v>42831.0</v>
      </c>
    </row>
    <row r="3960">
      <c r="A3960" s="32"/>
      <c r="T3960" s="31" t="s">
        <v>15219</v>
      </c>
      <c r="U3960" s="31" t="s">
        <v>12957</v>
      </c>
      <c r="V3960" s="32">
        <v>42831.0</v>
      </c>
    </row>
    <row r="3961">
      <c r="A3961" s="32"/>
      <c r="T3961" s="31" t="s">
        <v>15222</v>
      </c>
      <c r="U3961" s="31" t="s">
        <v>15223</v>
      </c>
      <c r="V3961" s="32">
        <v>42830.0</v>
      </c>
    </row>
    <row r="3962">
      <c r="A3962" s="32"/>
      <c r="T3962" s="31" t="s">
        <v>15226</v>
      </c>
      <c r="U3962" s="31" t="s">
        <v>15227</v>
      </c>
      <c r="V3962" s="32">
        <v>42830.0</v>
      </c>
    </row>
    <row r="3963">
      <c r="A3963" s="32"/>
      <c r="T3963" s="31" t="s">
        <v>15230</v>
      </c>
      <c r="U3963" s="31" t="s">
        <v>15231</v>
      </c>
      <c r="V3963" s="32">
        <v>42830.0</v>
      </c>
    </row>
    <row r="3964">
      <c r="A3964" s="32"/>
      <c r="T3964" s="31" t="s">
        <v>15235</v>
      </c>
      <c r="U3964" s="31" t="s">
        <v>15236</v>
      </c>
      <c r="V3964" s="32">
        <v>42830.0</v>
      </c>
    </row>
    <row r="3965">
      <c r="A3965" s="32"/>
      <c r="T3965" s="31" t="s">
        <v>15239</v>
      </c>
      <c r="U3965" s="31" t="s">
        <v>15240</v>
      </c>
      <c r="V3965" s="32">
        <v>42829.0</v>
      </c>
    </row>
    <row r="3966">
      <c r="A3966" s="32"/>
      <c r="T3966" s="31" t="s">
        <v>15243</v>
      </c>
      <c r="U3966" s="31" t="s">
        <v>15244</v>
      </c>
      <c r="V3966" s="32">
        <v>42829.0</v>
      </c>
    </row>
    <row r="3967">
      <c r="A3967" s="32"/>
      <c r="T3967" s="31" t="s">
        <v>15247</v>
      </c>
      <c r="U3967" s="31" t="s">
        <v>15248</v>
      </c>
      <c r="V3967" s="32">
        <v>42829.0</v>
      </c>
    </row>
    <row r="3968">
      <c r="A3968" s="32"/>
      <c r="T3968" s="31" t="s">
        <v>15251</v>
      </c>
      <c r="U3968" s="31" t="s">
        <v>15252</v>
      </c>
      <c r="V3968" s="32">
        <v>42828.0</v>
      </c>
    </row>
    <row r="3969">
      <c r="A3969" s="32"/>
      <c r="T3969" s="31" t="s">
        <v>15255</v>
      </c>
      <c r="U3969" s="31" t="s">
        <v>15256</v>
      </c>
      <c r="V3969" s="32">
        <v>42828.0</v>
      </c>
    </row>
    <row r="3970">
      <c r="A3970" s="32"/>
      <c r="T3970" s="31" t="s">
        <v>15259</v>
      </c>
      <c r="U3970" s="31" t="s">
        <v>15260</v>
      </c>
      <c r="V3970" s="32">
        <v>42826.0</v>
      </c>
    </row>
    <row r="3971">
      <c r="A3971" s="32"/>
      <c r="T3971" s="31" t="s">
        <v>15263</v>
      </c>
      <c r="U3971" s="31" t="s">
        <v>15264</v>
      </c>
      <c r="V3971" s="32">
        <v>42826.0</v>
      </c>
    </row>
    <row r="3972">
      <c r="A3972" s="32"/>
      <c r="T3972" s="31" t="s">
        <v>15267</v>
      </c>
      <c r="U3972" s="31" t="s">
        <v>15268</v>
      </c>
      <c r="V3972" s="32">
        <v>42826.0</v>
      </c>
    </row>
    <row r="3973">
      <c r="A3973" s="32"/>
      <c r="T3973" s="31" t="s">
        <v>15271</v>
      </c>
      <c r="U3973" s="31" t="s">
        <v>15272</v>
      </c>
      <c r="V3973" s="32">
        <v>42826.0</v>
      </c>
    </row>
    <row r="3974">
      <c r="A3974" s="32"/>
      <c r="T3974" s="31" t="s">
        <v>15275</v>
      </c>
      <c r="U3974" s="31" t="s">
        <v>15276</v>
      </c>
      <c r="V3974" s="32">
        <v>42826.0</v>
      </c>
    </row>
    <row r="3975">
      <c r="A3975" s="32"/>
      <c r="T3975" s="31" t="s">
        <v>15279</v>
      </c>
      <c r="U3975" s="31" t="s">
        <v>15280</v>
      </c>
      <c r="V3975" s="32">
        <v>42826.0</v>
      </c>
    </row>
    <row r="3976">
      <c r="A3976" s="32"/>
      <c r="T3976" s="31" t="s">
        <v>15283</v>
      </c>
      <c r="U3976" s="31" t="s">
        <v>15284</v>
      </c>
      <c r="V3976" s="32">
        <v>42826.0</v>
      </c>
    </row>
    <row r="3977">
      <c r="A3977" s="32"/>
      <c r="T3977" s="31" t="s">
        <v>15287</v>
      </c>
      <c r="U3977" s="31" t="s">
        <v>15288</v>
      </c>
      <c r="V3977" s="32">
        <v>42826.0</v>
      </c>
    </row>
    <row r="3978">
      <c r="A3978" s="32"/>
      <c r="T3978" s="31" t="s">
        <v>15292</v>
      </c>
      <c r="U3978" s="31" t="s">
        <v>15293</v>
      </c>
      <c r="V3978" s="32">
        <v>42826.0</v>
      </c>
    </row>
    <row r="3979">
      <c r="A3979" s="32"/>
      <c r="T3979" s="31" t="s">
        <v>15296</v>
      </c>
      <c r="U3979" s="31" t="s">
        <v>15297</v>
      </c>
      <c r="V3979" s="32">
        <v>42826.0</v>
      </c>
    </row>
    <row r="3980">
      <c r="A3980" s="32"/>
      <c r="T3980" s="31" t="s">
        <v>15300</v>
      </c>
      <c r="U3980" s="31" t="s">
        <v>15301</v>
      </c>
      <c r="V3980" s="32">
        <v>42825.0</v>
      </c>
    </row>
    <row r="3981">
      <c r="A3981" s="32"/>
      <c r="T3981" s="31" t="s">
        <v>15304</v>
      </c>
      <c r="U3981" s="31" t="s">
        <v>15305</v>
      </c>
      <c r="V3981" s="32">
        <v>42824.0</v>
      </c>
    </row>
    <row r="3982">
      <c r="A3982" s="32"/>
      <c r="T3982" s="31" t="s">
        <v>15308</v>
      </c>
      <c r="U3982" s="31" t="s">
        <v>15309</v>
      </c>
      <c r="V3982" s="32">
        <v>42824.0</v>
      </c>
    </row>
    <row r="3983">
      <c r="A3983" s="32"/>
      <c r="T3983" s="31" t="s">
        <v>15312</v>
      </c>
      <c r="U3983" s="31" t="s">
        <v>15313</v>
      </c>
      <c r="V3983" s="32">
        <v>42823.0</v>
      </c>
    </row>
    <row r="3984">
      <c r="A3984" s="32"/>
      <c r="T3984" s="31" t="s">
        <v>15316</v>
      </c>
      <c r="U3984" s="31" t="s">
        <v>15317</v>
      </c>
      <c r="V3984" s="32">
        <v>42823.0</v>
      </c>
    </row>
    <row r="3985">
      <c r="A3985" s="32"/>
      <c r="T3985" s="31" t="s">
        <v>15319</v>
      </c>
      <c r="U3985" s="31" t="s">
        <v>15320</v>
      </c>
      <c r="V3985" s="32">
        <v>42822.0</v>
      </c>
    </row>
    <row r="3986">
      <c r="A3986" s="32"/>
      <c r="T3986" s="31" t="s">
        <v>15323</v>
      </c>
      <c r="U3986" s="31" t="s">
        <v>15324</v>
      </c>
      <c r="V3986" s="32">
        <v>42822.0</v>
      </c>
    </row>
    <row r="3987">
      <c r="A3987" s="32"/>
      <c r="T3987" s="31" t="s">
        <v>15326</v>
      </c>
      <c r="U3987" s="31" t="s">
        <v>15327</v>
      </c>
      <c r="V3987" s="32">
        <v>42821.0</v>
      </c>
    </row>
    <row r="3988">
      <c r="A3988" s="32"/>
      <c r="T3988" s="31" t="s">
        <v>15330</v>
      </c>
      <c r="U3988" s="31" t="s">
        <v>12280</v>
      </c>
      <c r="V3988" s="32">
        <v>42821.0</v>
      </c>
    </row>
    <row r="3989">
      <c r="A3989" s="32"/>
      <c r="T3989" s="31" t="s">
        <v>15333</v>
      </c>
      <c r="U3989" s="31" t="s">
        <v>15334</v>
      </c>
      <c r="V3989" s="32">
        <v>42821.0</v>
      </c>
    </row>
    <row r="3990">
      <c r="A3990" s="32"/>
      <c r="T3990" s="31" t="s">
        <v>15337</v>
      </c>
      <c r="U3990" s="31" t="s">
        <v>15338</v>
      </c>
      <c r="V3990" s="32">
        <v>42818.0</v>
      </c>
    </row>
    <row r="3991">
      <c r="A3991" s="32"/>
      <c r="T3991" s="31" t="s">
        <v>15342</v>
      </c>
      <c r="U3991" s="31" t="s">
        <v>15343</v>
      </c>
      <c r="V3991" s="32">
        <v>42817.0</v>
      </c>
    </row>
    <row r="3992">
      <c r="A3992" s="32"/>
      <c r="T3992" s="31" t="s">
        <v>15346</v>
      </c>
      <c r="U3992" s="31" t="s">
        <v>15347</v>
      </c>
      <c r="V3992" s="32">
        <v>42817.0</v>
      </c>
    </row>
    <row r="3993">
      <c r="A3993" s="32"/>
      <c r="T3993" s="31" t="s">
        <v>15350</v>
      </c>
      <c r="U3993" s="31" t="s">
        <v>15351</v>
      </c>
      <c r="V3993" s="32">
        <v>42817.0</v>
      </c>
    </row>
    <row r="3994">
      <c r="A3994" s="32"/>
      <c r="T3994" s="31" t="s">
        <v>15354</v>
      </c>
      <c r="U3994" s="31" t="s">
        <v>15355</v>
      </c>
      <c r="V3994" s="32">
        <v>42815.0</v>
      </c>
    </row>
    <row r="3995">
      <c r="A3995" s="32"/>
      <c r="T3995" s="31" t="s">
        <v>15358</v>
      </c>
      <c r="U3995" s="31" t="s">
        <v>15359</v>
      </c>
      <c r="V3995" s="32">
        <v>42815.0</v>
      </c>
    </row>
    <row r="3996">
      <c r="A3996" s="32"/>
      <c r="T3996" s="31" t="s">
        <v>15362</v>
      </c>
      <c r="U3996" s="31" t="s">
        <v>15363</v>
      </c>
      <c r="V3996" s="32">
        <v>42814.0</v>
      </c>
    </row>
    <row r="3997">
      <c r="A3997" s="32"/>
      <c r="T3997" s="31" t="s">
        <v>15366</v>
      </c>
      <c r="U3997" s="31" t="s">
        <v>15367</v>
      </c>
      <c r="V3997" s="32">
        <v>42814.0</v>
      </c>
    </row>
    <row r="3998">
      <c r="A3998" s="32"/>
      <c r="T3998" s="31" t="s">
        <v>15371</v>
      </c>
      <c r="U3998" s="31" t="s">
        <v>15372</v>
      </c>
      <c r="V3998" s="32">
        <v>42814.0</v>
      </c>
    </row>
    <row r="3999">
      <c r="A3999" s="32"/>
      <c r="T3999" s="31" t="s">
        <v>15375</v>
      </c>
      <c r="U3999" s="31" t="s">
        <v>15376</v>
      </c>
      <c r="V3999" s="32">
        <v>42814.0</v>
      </c>
    </row>
    <row r="4000">
      <c r="A4000" s="32"/>
      <c r="T4000" s="31" t="s">
        <v>15379</v>
      </c>
      <c r="U4000" s="31" t="s">
        <v>15380</v>
      </c>
      <c r="V4000" s="32">
        <v>42809.0</v>
      </c>
    </row>
    <row r="4001">
      <c r="A4001" s="32"/>
      <c r="T4001" s="31" t="s">
        <v>15383</v>
      </c>
      <c r="U4001" s="31" t="s">
        <v>15384</v>
      </c>
      <c r="V4001" s="32">
        <v>42808.0</v>
      </c>
    </row>
    <row r="4002">
      <c r="A4002" s="32"/>
      <c r="T4002" s="31" t="s">
        <v>15387</v>
      </c>
      <c r="U4002" s="31" t="s">
        <v>15388</v>
      </c>
      <c r="V4002" s="32">
        <v>42808.0</v>
      </c>
    </row>
    <row r="4003">
      <c r="A4003" s="32"/>
      <c r="T4003" s="31" t="s">
        <v>15391</v>
      </c>
      <c r="U4003" s="31" t="s">
        <v>15392</v>
      </c>
      <c r="V4003" s="32">
        <v>42807.0</v>
      </c>
    </row>
    <row r="4004">
      <c r="A4004" s="32"/>
      <c r="T4004" s="31" t="s">
        <v>15395</v>
      </c>
      <c r="U4004" s="31" t="s">
        <v>15396</v>
      </c>
      <c r="V4004" s="32">
        <v>42805.0</v>
      </c>
    </row>
    <row r="4005">
      <c r="A4005" s="32"/>
      <c r="T4005" s="31" t="s">
        <v>15399</v>
      </c>
      <c r="U4005" s="31" t="s">
        <v>15400</v>
      </c>
      <c r="V4005" s="32">
        <v>42805.0</v>
      </c>
    </row>
    <row r="4006">
      <c r="A4006" s="32"/>
      <c r="T4006" s="31" t="s">
        <v>15403</v>
      </c>
      <c r="U4006" s="31" t="s">
        <v>15404</v>
      </c>
      <c r="V4006" s="32">
        <v>42803.0</v>
      </c>
    </row>
    <row r="4007">
      <c r="A4007" s="32"/>
      <c r="T4007" s="31" t="s">
        <v>15407</v>
      </c>
      <c r="U4007" s="31" t="s">
        <v>15408</v>
      </c>
      <c r="V4007" s="32">
        <v>42803.0</v>
      </c>
    </row>
    <row r="4008">
      <c r="A4008" s="32"/>
      <c r="T4008" s="31" t="s">
        <v>15411</v>
      </c>
      <c r="U4008" s="31" t="s">
        <v>15412</v>
      </c>
      <c r="V4008" s="32">
        <v>42802.0</v>
      </c>
    </row>
    <row r="4009">
      <c r="A4009" s="32"/>
      <c r="T4009" s="31" t="s">
        <v>15415</v>
      </c>
      <c r="U4009" s="31" t="s">
        <v>15416</v>
      </c>
      <c r="V4009" s="32">
        <v>42802.0</v>
      </c>
    </row>
    <row r="4010">
      <c r="A4010" s="32"/>
      <c r="T4010" s="31" t="s">
        <v>15419</v>
      </c>
      <c r="U4010" s="31" t="s">
        <v>15420</v>
      </c>
      <c r="V4010" s="32">
        <v>42801.0</v>
      </c>
    </row>
    <row r="4011">
      <c r="A4011" s="32"/>
      <c r="T4011" s="31" t="s">
        <v>15423</v>
      </c>
      <c r="U4011" s="31" t="s">
        <v>15424</v>
      </c>
      <c r="V4011" s="32">
        <v>42801.0</v>
      </c>
    </row>
    <row r="4012">
      <c r="A4012" s="32"/>
      <c r="T4012" s="31" t="s">
        <v>15427</v>
      </c>
      <c r="U4012" s="31" t="s">
        <v>15428</v>
      </c>
      <c r="V4012" s="32">
        <v>42800.0</v>
      </c>
    </row>
    <row r="4013">
      <c r="A4013" s="32"/>
      <c r="T4013" s="31" t="s">
        <v>15431</v>
      </c>
      <c r="U4013" s="31" t="s">
        <v>15432</v>
      </c>
      <c r="V4013" s="32">
        <v>42798.0</v>
      </c>
    </row>
    <row r="4014">
      <c r="A4014" s="32"/>
      <c r="T4014" s="31" t="s">
        <v>15435</v>
      </c>
      <c r="U4014" s="31" t="s">
        <v>15436</v>
      </c>
      <c r="V4014" s="32">
        <v>42797.0</v>
      </c>
    </row>
    <row r="4015">
      <c r="A4015" s="32"/>
      <c r="T4015" s="31" t="s">
        <v>15440</v>
      </c>
      <c r="U4015" s="31" t="s">
        <v>15441</v>
      </c>
      <c r="V4015" s="32">
        <v>42796.0</v>
      </c>
    </row>
    <row r="4016">
      <c r="A4016" s="32"/>
      <c r="T4016" s="31" t="s">
        <v>15444</v>
      </c>
      <c r="U4016" s="31" t="s">
        <v>15445</v>
      </c>
      <c r="V4016" s="32">
        <v>42795.0</v>
      </c>
    </row>
    <row r="4017">
      <c r="A4017" s="32"/>
      <c r="T4017" s="31" t="s">
        <v>15448</v>
      </c>
      <c r="U4017" s="31" t="s">
        <v>15449</v>
      </c>
      <c r="V4017" s="32">
        <v>42795.0</v>
      </c>
    </row>
    <row r="4018">
      <c r="A4018" s="32"/>
      <c r="T4018" s="31" t="s">
        <v>15452</v>
      </c>
      <c r="U4018" s="31" t="s">
        <v>15453</v>
      </c>
      <c r="V4018" s="32">
        <v>42795.0</v>
      </c>
    </row>
    <row r="4019">
      <c r="A4019" s="32"/>
      <c r="T4019" s="31" t="s">
        <v>15456</v>
      </c>
      <c r="U4019" s="31" t="s">
        <v>15457</v>
      </c>
      <c r="V4019" s="32">
        <v>42795.0</v>
      </c>
    </row>
    <row r="4020">
      <c r="A4020" s="32"/>
      <c r="T4020" s="31" t="s">
        <v>15459</v>
      </c>
      <c r="U4020" s="31" t="s">
        <v>15460</v>
      </c>
      <c r="V4020" s="32">
        <v>42795.0</v>
      </c>
    </row>
    <row r="4021">
      <c r="A4021" s="32"/>
      <c r="T4021" s="31" t="s">
        <v>15463</v>
      </c>
      <c r="U4021" s="31" t="s">
        <v>15464</v>
      </c>
      <c r="V4021" s="32">
        <v>42794.0</v>
      </c>
    </row>
    <row r="4022">
      <c r="A4022" s="32"/>
      <c r="T4022" s="31" t="s">
        <v>15467</v>
      </c>
      <c r="U4022" s="31" t="s">
        <v>15468</v>
      </c>
      <c r="V4022" s="32">
        <v>42793.0</v>
      </c>
    </row>
    <row r="4023">
      <c r="A4023" s="32"/>
      <c r="T4023" s="31" t="s">
        <v>15471</v>
      </c>
      <c r="U4023" s="31" t="s">
        <v>15472</v>
      </c>
      <c r="V4023" s="32">
        <v>42790.0</v>
      </c>
    </row>
    <row r="4024">
      <c r="A4024" s="32"/>
      <c r="T4024" s="31" t="s">
        <v>15475</v>
      </c>
      <c r="U4024" s="31" t="s">
        <v>15476</v>
      </c>
      <c r="V4024" s="32">
        <v>42790.0</v>
      </c>
    </row>
    <row r="4025">
      <c r="A4025" s="32"/>
      <c r="T4025" s="31" t="s">
        <v>15479</v>
      </c>
      <c r="U4025" s="31" t="s">
        <v>15480</v>
      </c>
      <c r="V4025" s="32">
        <v>42789.0</v>
      </c>
    </row>
    <row r="4026">
      <c r="A4026" s="32"/>
      <c r="T4026" s="31" t="s">
        <v>15483</v>
      </c>
      <c r="U4026" s="31" t="s">
        <v>15484</v>
      </c>
      <c r="V4026" s="32">
        <v>42788.0</v>
      </c>
    </row>
    <row r="4027">
      <c r="A4027" s="32"/>
      <c r="T4027" s="31" t="s">
        <v>15487</v>
      </c>
      <c r="U4027" s="31" t="s">
        <v>15488</v>
      </c>
      <c r="V4027" s="32">
        <v>42787.0</v>
      </c>
    </row>
    <row r="4028">
      <c r="A4028" s="32"/>
      <c r="T4028" s="31" t="s">
        <v>15491</v>
      </c>
      <c r="U4028" s="31" t="s">
        <v>15492</v>
      </c>
      <c r="V4028" s="32">
        <v>42787.0</v>
      </c>
    </row>
    <row r="4029">
      <c r="A4029" s="32"/>
      <c r="T4029" s="31" t="s">
        <v>15495</v>
      </c>
      <c r="U4029" s="31" t="s">
        <v>15496</v>
      </c>
      <c r="V4029" s="32">
        <v>42786.0</v>
      </c>
    </row>
    <row r="4030">
      <c r="A4030" s="32"/>
      <c r="T4030" s="31" t="s">
        <v>15498</v>
      </c>
      <c r="U4030" s="31" t="s">
        <v>15499</v>
      </c>
      <c r="V4030" s="32">
        <v>42786.0</v>
      </c>
    </row>
    <row r="4031">
      <c r="A4031" s="32"/>
      <c r="T4031" s="31" t="s">
        <v>15502</v>
      </c>
      <c r="U4031" s="31" t="s">
        <v>15503</v>
      </c>
      <c r="V4031" s="32">
        <v>42786.0</v>
      </c>
    </row>
    <row r="4032">
      <c r="A4032" s="32"/>
      <c r="T4032" s="31" t="s">
        <v>15506</v>
      </c>
      <c r="U4032" s="31" t="s">
        <v>15507</v>
      </c>
      <c r="V4032" s="32">
        <v>42784.0</v>
      </c>
    </row>
    <row r="4033">
      <c r="A4033" s="32"/>
      <c r="T4033" s="31" t="s">
        <v>15510</v>
      </c>
      <c r="U4033" s="31" t="s">
        <v>15511</v>
      </c>
      <c r="V4033" s="32">
        <v>42782.0</v>
      </c>
    </row>
    <row r="4034">
      <c r="A4034" s="32"/>
      <c r="T4034" s="31" t="s">
        <v>15515</v>
      </c>
      <c r="U4034" s="31" t="s">
        <v>15516</v>
      </c>
      <c r="V4034" s="32">
        <v>42782.0</v>
      </c>
    </row>
    <row r="4035">
      <c r="A4035" s="32"/>
      <c r="T4035" s="31" t="s">
        <v>15519</v>
      </c>
      <c r="U4035" s="31" t="s">
        <v>15520</v>
      </c>
      <c r="V4035" s="32">
        <v>42781.0</v>
      </c>
    </row>
    <row r="4036">
      <c r="A4036" s="32"/>
      <c r="T4036" s="31" t="s">
        <v>15523</v>
      </c>
      <c r="U4036" s="31" t="s">
        <v>15524</v>
      </c>
      <c r="V4036" s="32">
        <v>42781.0</v>
      </c>
    </row>
    <row r="4037">
      <c r="A4037" s="32"/>
      <c r="T4037" s="31" t="s">
        <v>15527</v>
      </c>
      <c r="U4037" s="31" t="s">
        <v>15528</v>
      </c>
      <c r="V4037" s="32">
        <v>42779.0</v>
      </c>
    </row>
    <row r="4038">
      <c r="A4038" s="32"/>
      <c r="T4038" s="31" t="s">
        <v>15531</v>
      </c>
      <c r="U4038" s="31" t="s">
        <v>15532</v>
      </c>
      <c r="V4038" s="32">
        <v>42777.0</v>
      </c>
    </row>
    <row r="4039">
      <c r="A4039" s="32"/>
      <c r="T4039" s="31" t="s">
        <v>15535</v>
      </c>
      <c r="U4039" s="31" t="s">
        <v>15536</v>
      </c>
      <c r="V4039" s="32">
        <v>42776.0</v>
      </c>
    </row>
    <row r="4040">
      <c r="A4040" s="32"/>
      <c r="T4040" s="31" t="s">
        <v>15539</v>
      </c>
      <c r="U4040" s="31" t="s">
        <v>15540</v>
      </c>
      <c r="V4040" s="32">
        <v>42774.0</v>
      </c>
    </row>
    <row r="4041">
      <c r="A4041" s="32"/>
      <c r="T4041" s="31" t="s">
        <v>15543</v>
      </c>
      <c r="U4041" s="31" t="s">
        <v>15544</v>
      </c>
      <c r="V4041" s="32">
        <v>42774.0</v>
      </c>
    </row>
    <row r="4042">
      <c r="A4042" s="32"/>
      <c r="T4042" s="31" t="s">
        <v>15547</v>
      </c>
      <c r="U4042" s="31" t="s">
        <v>14959</v>
      </c>
      <c r="V4042" s="32">
        <v>42773.0</v>
      </c>
    </row>
    <row r="4043">
      <c r="A4043" s="32"/>
      <c r="T4043" s="31" t="s">
        <v>15550</v>
      </c>
      <c r="U4043" s="31" t="s">
        <v>15551</v>
      </c>
      <c r="V4043" s="32">
        <v>42773.0</v>
      </c>
    </row>
    <row r="4044">
      <c r="A4044" s="32"/>
      <c r="T4044" s="31" t="s">
        <v>15554</v>
      </c>
      <c r="U4044" s="31" t="s">
        <v>15555</v>
      </c>
      <c r="V4044" s="32">
        <v>42773.0</v>
      </c>
    </row>
    <row r="4045">
      <c r="A4045" s="32"/>
      <c r="T4045" s="31" t="s">
        <v>15559</v>
      </c>
      <c r="U4045" s="31" t="s">
        <v>15560</v>
      </c>
      <c r="V4045" s="32">
        <v>42772.0</v>
      </c>
    </row>
    <row r="4046">
      <c r="A4046" s="32"/>
      <c r="T4046" s="31" t="s">
        <v>15563</v>
      </c>
      <c r="U4046" s="31" t="s">
        <v>15564</v>
      </c>
      <c r="V4046" s="32">
        <v>42772.0</v>
      </c>
    </row>
    <row r="4047">
      <c r="A4047" s="32"/>
      <c r="T4047" s="31" t="s">
        <v>15567</v>
      </c>
      <c r="U4047" s="31" t="s">
        <v>15568</v>
      </c>
      <c r="V4047" s="32">
        <v>42772.0</v>
      </c>
    </row>
    <row r="4048">
      <c r="A4048" s="32"/>
      <c r="T4048" s="31" t="s">
        <v>15572</v>
      </c>
      <c r="U4048" s="31" t="s">
        <v>15573</v>
      </c>
      <c r="V4048" s="32">
        <v>42770.0</v>
      </c>
    </row>
    <row r="4049">
      <c r="A4049" s="32"/>
      <c r="T4049" s="31" t="s">
        <v>15576</v>
      </c>
      <c r="U4049" s="31" t="s">
        <v>15577</v>
      </c>
      <c r="V4049" s="32">
        <v>42770.0</v>
      </c>
    </row>
    <row r="4050">
      <c r="A4050" s="32"/>
      <c r="T4050" s="31" t="s">
        <v>15580</v>
      </c>
      <c r="U4050" s="31" t="s">
        <v>15581</v>
      </c>
      <c r="V4050" s="32">
        <v>42767.0</v>
      </c>
    </row>
    <row r="4051">
      <c r="A4051" s="32"/>
      <c r="T4051" s="31" t="s">
        <v>15584</v>
      </c>
      <c r="U4051" s="31" t="s">
        <v>15585</v>
      </c>
      <c r="V4051" s="32">
        <v>42767.0</v>
      </c>
    </row>
    <row r="4052">
      <c r="A4052" s="32"/>
      <c r="T4052" s="31" t="s">
        <v>15588</v>
      </c>
      <c r="U4052" s="31" t="s">
        <v>15589</v>
      </c>
      <c r="V4052" s="32">
        <v>42767.0</v>
      </c>
    </row>
    <row r="4053">
      <c r="A4053" s="32"/>
      <c r="T4053" s="31" t="s">
        <v>15592</v>
      </c>
      <c r="U4053" s="31" t="s">
        <v>15593</v>
      </c>
      <c r="V4053" s="32">
        <v>42767.0</v>
      </c>
    </row>
    <row r="4054">
      <c r="A4054" s="32"/>
      <c r="T4054" s="31" t="s">
        <v>15596</v>
      </c>
      <c r="U4054" s="31" t="s">
        <v>15597</v>
      </c>
      <c r="V4054" s="32">
        <v>42766.0</v>
      </c>
    </row>
    <row r="4055">
      <c r="A4055" s="32"/>
      <c r="T4055" s="31" t="s">
        <v>15600</v>
      </c>
      <c r="U4055" s="31" t="s">
        <v>15601</v>
      </c>
      <c r="V4055" s="32">
        <v>42765.0</v>
      </c>
    </row>
    <row r="4056">
      <c r="A4056" s="32"/>
      <c r="T4056" s="31" t="s">
        <v>15604</v>
      </c>
      <c r="U4056" s="31" t="s">
        <v>14810</v>
      </c>
      <c r="V4056" s="32">
        <v>42762.0</v>
      </c>
    </row>
    <row r="4057">
      <c r="A4057" s="32"/>
      <c r="T4057" s="31" t="s">
        <v>15607</v>
      </c>
      <c r="U4057" s="31" t="s">
        <v>15608</v>
      </c>
      <c r="V4057" s="32">
        <v>42762.0</v>
      </c>
    </row>
    <row r="4058">
      <c r="A4058" s="32"/>
      <c r="T4058" s="31" t="s">
        <v>15611</v>
      </c>
      <c r="U4058" s="31" t="s">
        <v>15612</v>
      </c>
      <c r="V4058" s="32">
        <v>42762.0</v>
      </c>
    </row>
    <row r="4059">
      <c r="A4059" s="32"/>
      <c r="T4059" s="31" t="s">
        <v>15615</v>
      </c>
      <c r="U4059" s="31" t="s">
        <v>15616</v>
      </c>
      <c r="V4059" s="32">
        <v>42761.0</v>
      </c>
    </row>
    <row r="4060">
      <c r="A4060" s="32"/>
      <c r="T4060" s="31" t="s">
        <v>15619</v>
      </c>
      <c r="U4060" s="31" t="s">
        <v>15620</v>
      </c>
      <c r="V4060" s="32">
        <v>42760.0</v>
      </c>
    </row>
    <row r="4061">
      <c r="A4061" s="32"/>
      <c r="T4061" s="31" t="s">
        <v>15623</v>
      </c>
      <c r="U4061" s="31" t="s">
        <v>15624</v>
      </c>
      <c r="V4061" s="32">
        <v>42760.0</v>
      </c>
    </row>
    <row r="4062">
      <c r="A4062" s="32"/>
      <c r="T4062" s="31" t="s">
        <v>15626</v>
      </c>
      <c r="U4062" s="31" t="s">
        <v>15627</v>
      </c>
      <c r="V4062" s="32">
        <v>42758.0</v>
      </c>
    </row>
    <row r="4063">
      <c r="A4063" s="32"/>
      <c r="T4063" s="31" t="s">
        <v>15630</v>
      </c>
      <c r="U4063" s="31" t="s">
        <v>15631</v>
      </c>
      <c r="V4063" s="32">
        <v>42758.0</v>
      </c>
    </row>
    <row r="4064">
      <c r="A4064" s="32"/>
      <c r="T4064" s="31" t="s">
        <v>15634</v>
      </c>
      <c r="U4064" s="31" t="s">
        <v>15635</v>
      </c>
      <c r="V4064" s="32">
        <v>42758.0</v>
      </c>
    </row>
    <row r="4065">
      <c r="A4065" s="32"/>
      <c r="T4065" s="31" t="s">
        <v>15638</v>
      </c>
      <c r="U4065" s="31" t="s">
        <v>15639</v>
      </c>
      <c r="V4065" s="32">
        <v>42757.0</v>
      </c>
    </row>
    <row r="4066">
      <c r="A4066" s="32"/>
      <c r="T4066" s="31" t="s">
        <v>15642</v>
      </c>
      <c r="U4066" s="31" t="s">
        <v>15643</v>
      </c>
      <c r="V4066" s="32">
        <v>42755.0</v>
      </c>
    </row>
    <row r="4067">
      <c r="A4067" s="32"/>
      <c r="T4067" s="31" t="s">
        <v>15646</v>
      </c>
      <c r="U4067" s="31" t="s">
        <v>15647</v>
      </c>
      <c r="V4067" s="32">
        <v>42755.0</v>
      </c>
    </row>
    <row r="4068">
      <c r="A4068" s="32"/>
      <c r="T4068" s="31" t="s">
        <v>15650</v>
      </c>
      <c r="U4068" s="31" t="s">
        <v>15651</v>
      </c>
      <c r="V4068" s="32">
        <v>42755.0</v>
      </c>
    </row>
    <row r="4069">
      <c r="A4069" s="32"/>
      <c r="T4069" s="31" t="s">
        <v>15655</v>
      </c>
      <c r="U4069" s="31" t="s">
        <v>15656</v>
      </c>
      <c r="V4069" s="32">
        <v>42754.0</v>
      </c>
    </row>
    <row r="4070">
      <c r="A4070" s="32"/>
      <c r="T4070" s="31" t="s">
        <v>15659</v>
      </c>
      <c r="U4070" s="31" t="s">
        <v>15660</v>
      </c>
      <c r="V4070" s="32">
        <v>42753.0</v>
      </c>
    </row>
    <row r="4071">
      <c r="A4071" s="32"/>
      <c r="T4071" s="31" t="s">
        <v>15663</v>
      </c>
      <c r="U4071" s="31" t="s">
        <v>15664</v>
      </c>
      <c r="V4071" s="32">
        <v>42751.0</v>
      </c>
    </row>
    <row r="4072">
      <c r="A4072" s="32"/>
      <c r="T4072" s="31" t="s">
        <v>15667</v>
      </c>
      <c r="U4072" s="31" t="s">
        <v>15668</v>
      </c>
      <c r="V4072" s="32">
        <v>42750.0</v>
      </c>
    </row>
    <row r="4073">
      <c r="A4073" s="32"/>
      <c r="T4073" s="31" t="s">
        <v>15671</v>
      </c>
      <c r="U4073" s="31" t="s">
        <v>14988</v>
      </c>
      <c r="V4073" s="32">
        <v>42748.0</v>
      </c>
    </row>
    <row r="4074">
      <c r="A4074" s="32"/>
      <c r="T4074" s="31" t="s">
        <v>15674</v>
      </c>
      <c r="U4074" s="31" t="s">
        <v>15675</v>
      </c>
      <c r="V4074" s="32">
        <v>42748.0</v>
      </c>
    </row>
    <row r="4075">
      <c r="A4075" s="32"/>
      <c r="T4075" s="31" t="s">
        <v>15678</v>
      </c>
      <c r="U4075" s="31" t="s">
        <v>15679</v>
      </c>
      <c r="V4075" s="32">
        <v>42747.0</v>
      </c>
    </row>
    <row r="4076">
      <c r="A4076" s="32"/>
      <c r="T4076" s="31" t="s">
        <v>15682</v>
      </c>
      <c r="U4076" s="31" t="s">
        <v>15683</v>
      </c>
      <c r="V4076" s="32">
        <v>42747.0</v>
      </c>
    </row>
    <row r="4077">
      <c r="A4077" s="32"/>
      <c r="T4077" s="31" t="s">
        <v>15686</v>
      </c>
      <c r="U4077" s="31" t="s">
        <v>15687</v>
      </c>
      <c r="V4077" s="32">
        <v>42746.0</v>
      </c>
    </row>
    <row r="4078">
      <c r="A4078" s="32"/>
      <c r="T4078" s="31" t="s">
        <v>15690</v>
      </c>
      <c r="U4078" s="31" t="s">
        <v>15691</v>
      </c>
      <c r="V4078" s="32">
        <v>42745.0</v>
      </c>
    </row>
    <row r="4079">
      <c r="A4079" s="32"/>
      <c r="T4079" s="31" t="s">
        <v>15694</v>
      </c>
      <c r="U4079" s="31" t="s">
        <v>15695</v>
      </c>
      <c r="V4079" s="32">
        <v>42745.0</v>
      </c>
    </row>
    <row r="4080">
      <c r="A4080" s="32"/>
      <c r="T4080" s="31" t="s">
        <v>15697</v>
      </c>
      <c r="U4080" s="31" t="s">
        <v>15698</v>
      </c>
      <c r="V4080" s="32">
        <v>42741.0</v>
      </c>
    </row>
    <row r="4081">
      <c r="A4081" s="32"/>
      <c r="T4081" s="31" t="s">
        <v>15701</v>
      </c>
      <c r="U4081" s="31" t="s">
        <v>15702</v>
      </c>
      <c r="V4081" s="32">
        <v>42740.0</v>
      </c>
    </row>
    <row r="4082">
      <c r="A4082" s="32"/>
      <c r="T4082" s="31" t="s">
        <v>15704</v>
      </c>
      <c r="U4082" s="31" t="s">
        <v>15317</v>
      </c>
      <c r="V4082" s="32">
        <v>42739.0</v>
      </c>
    </row>
    <row r="4083">
      <c r="A4083" s="32"/>
      <c r="T4083" s="31" t="s">
        <v>15707</v>
      </c>
      <c r="U4083" s="31" t="s">
        <v>15708</v>
      </c>
      <c r="V4083" s="32">
        <v>42738.0</v>
      </c>
    </row>
    <row r="4084">
      <c r="A4084" s="32"/>
      <c r="T4084" s="31" t="s">
        <v>15711</v>
      </c>
      <c r="U4084" s="31" t="s">
        <v>15712</v>
      </c>
      <c r="V4084" s="32">
        <v>42737.0</v>
      </c>
    </row>
    <row r="4085">
      <c r="A4085" s="32"/>
      <c r="T4085" s="31" t="s">
        <v>15715</v>
      </c>
      <c r="U4085" s="31" t="s">
        <v>15716</v>
      </c>
      <c r="V4085" s="32">
        <v>42736.0</v>
      </c>
    </row>
    <row r="4086">
      <c r="A4086" s="32"/>
      <c r="T4086" s="31" t="s">
        <v>15719</v>
      </c>
      <c r="U4086" s="31" t="s">
        <v>15720</v>
      </c>
      <c r="V4086" s="32">
        <v>42736.0</v>
      </c>
    </row>
    <row r="4087">
      <c r="A4087" s="32"/>
      <c r="T4087" s="31" t="s">
        <v>15723</v>
      </c>
      <c r="U4087" s="31" t="s">
        <v>15724</v>
      </c>
      <c r="V4087" s="32">
        <v>42736.0</v>
      </c>
    </row>
    <row r="4088">
      <c r="A4088" s="32"/>
      <c r="T4088" s="31" t="s">
        <v>15727</v>
      </c>
      <c r="U4088" s="31" t="s">
        <v>15728</v>
      </c>
      <c r="V4088" s="32">
        <v>42736.0</v>
      </c>
    </row>
    <row r="4089">
      <c r="A4089" s="32"/>
      <c r="T4089" s="31" t="s">
        <v>15731</v>
      </c>
      <c r="U4089" s="31" t="s">
        <v>15732</v>
      </c>
      <c r="V4089" s="32">
        <v>42736.0</v>
      </c>
    </row>
    <row r="4090">
      <c r="A4090" s="32"/>
      <c r="T4090" s="31" t="s">
        <v>15735</v>
      </c>
      <c r="U4090" s="31" t="s">
        <v>15736</v>
      </c>
      <c r="V4090" s="32">
        <v>42736.0</v>
      </c>
    </row>
    <row r="4091">
      <c r="A4091" s="32"/>
      <c r="T4091" s="31" t="s">
        <v>15740</v>
      </c>
      <c r="U4091" s="31" t="s">
        <v>15741</v>
      </c>
      <c r="V4091" s="32">
        <v>42734.0</v>
      </c>
    </row>
    <row r="4092">
      <c r="A4092" s="32"/>
      <c r="T4092" s="31" t="s">
        <v>15744</v>
      </c>
      <c r="U4092" s="31" t="s">
        <v>15745</v>
      </c>
      <c r="V4092" s="32">
        <v>42734.0</v>
      </c>
    </row>
    <row r="4093">
      <c r="A4093" s="32"/>
      <c r="T4093" s="31" t="s">
        <v>15748</v>
      </c>
      <c r="U4093" s="31" t="s">
        <v>15749</v>
      </c>
      <c r="V4093" s="32">
        <v>42732.0</v>
      </c>
    </row>
    <row r="4094">
      <c r="A4094" s="32"/>
      <c r="T4094" s="31" t="s">
        <v>15753</v>
      </c>
      <c r="U4094" s="31" t="s">
        <v>15754</v>
      </c>
      <c r="V4094" s="32">
        <v>42732.0</v>
      </c>
    </row>
    <row r="4095">
      <c r="A4095" s="32"/>
      <c r="T4095" s="31" t="s">
        <v>15757</v>
      </c>
      <c r="U4095" s="31" t="s">
        <v>15758</v>
      </c>
      <c r="V4095" s="32">
        <v>42727.0</v>
      </c>
    </row>
    <row r="4096">
      <c r="A4096" s="32"/>
      <c r="T4096" s="31" t="s">
        <v>15761</v>
      </c>
      <c r="U4096" s="31" t="s">
        <v>15762</v>
      </c>
      <c r="V4096" s="32">
        <v>42726.0</v>
      </c>
    </row>
    <row r="4097">
      <c r="A4097" s="32"/>
      <c r="T4097" s="31" t="s">
        <v>15766</v>
      </c>
      <c r="U4097" s="31" t="s">
        <v>15767</v>
      </c>
      <c r="V4097" s="32">
        <v>42724.0</v>
      </c>
    </row>
    <row r="4098">
      <c r="A4098" s="32"/>
      <c r="T4098" s="31" t="s">
        <v>15771</v>
      </c>
      <c r="U4098" s="31" t="s">
        <v>15772</v>
      </c>
      <c r="V4098" s="32">
        <v>42723.0</v>
      </c>
    </row>
    <row r="4099">
      <c r="A4099" s="32"/>
      <c r="T4099" s="31" t="s">
        <v>15775</v>
      </c>
      <c r="U4099" s="31" t="s">
        <v>15776</v>
      </c>
      <c r="V4099" s="32">
        <v>42720.0</v>
      </c>
    </row>
    <row r="4100">
      <c r="A4100" s="32"/>
      <c r="T4100" s="31" t="s">
        <v>15779</v>
      </c>
      <c r="U4100" s="31" t="s">
        <v>15780</v>
      </c>
      <c r="V4100" s="32">
        <v>42718.0</v>
      </c>
    </row>
    <row r="4101">
      <c r="A4101" s="32"/>
      <c r="T4101" s="31" t="s">
        <v>15783</v>
      </c>
      <c r="U4101" s="31" t="s">
        <v>15784</v>
      </c>
      <c r="V4101" s="32">
        <v>42716.0</v>
      </c>
    </row>
    <row r="4102">
      <c r="A4102" s="32"/>
      <c r="T4102" s="31" t="s">
        <v>15787</v>
      </c>
      <c r="U4102" s="31" t="s">
        <v>15788</v>
      </c>
      <c r="V4102" s="32">
        <v>42714.0</v>
      </c>
    </row>
    <row r="4103">
      <c r="A4103" s="32"/>
      <c r="T4103" s="31" t="s">
        <v>15791</v>
      </c>
      <c r="U4103" s="31" t="s">
        <v>15792</v>
      </c>
      <c r="V4103" s="32">
        <v>42713.0</v>
      </c>
    </row>
    <row r="4104">
      <c r="A4104" s="32"/>
      <c r="T4104" s="31" t="s">
        <v>15795</v>
      </c>
      <c r="U4104" s="31" t="s">
        <v>15796</v>
      </c>
      <c r="V4104" s="32">
        <v>42713.0</v>
      </c>
    </row>
    <row r="4105">
      <c r="A4105" s="32"/>
      <c r="T4105" s="31" t="s">
        <v>15799</v>
      </c>
      <c r="U4105" s="31" t="s">
        <v>15800</v>
      </c>
      <c r="V4105" s="32">
        <v>42713.0</v>
      </c>
    </row>
    <row r="4106">
      <c r="A4106" s="32"/>
      <c r="T4106" s="31" t="s">
        <v>15803</v>
      </c>
      <c r="U4106" s="31" t="s">
        <v>15804</v>
      </c>
      <c r="V4106" s="32">
        <v>42711.0</v>
      </c>
    </row>
    <row r="4107">
      <c r="A4107" s="32"/>
      <c r="T4107" s="31" t="s">
        <v>15807</v>
      </c>
      <c r="U4107" s="31" t="s">
        <v>15808</v>
      </c>
      <c r="V4107" s="32">
        <v>42711.0</v>
      </c>
    </row>
    <row r="4108">
      <c r="A4108" s="32"/>
      <c r="T4108" s="31" t="s">
        <v>15811</v>
      </c>
      <c r="U4108" s="31" t="s">
        <v>15812</v>
      </c>
      <c r="V4108" s="32">
        <v>42711.0</v>
      </c>
    </row>
    <row r="4109">
      <c r="A4109" s="32"/>
      <c r="T4109" s="31" t="s">
        <v>15815</v>
      </c>
      <c r="U4109" s="31" t="s">
        <v>15816</v>
      </c>
      <c r="V4109" s="32">
        <v>42710.0</v>
      </c>
    </row>
    <row r="4110">
      <c r="A4110" s="32"/>
      <c r="T4110" s="31" t="s">
        <v>15818</v>
      </c>
      <c r="U4110" s="31" t="s">
        <v>15819</v>
      </c>
      <c r="V4110" s="32">
        <v>42709.0</v>
      </c>
    </row>
    <row r="4111">
      <c r="A4111" s="32"/>
      <c r="T4111" s="31" t="s">
        <v>15822</v>
      </c>
      <c r="U4111" s="31" t="s">
        <v>15823</v>
      </c>
      <c r="V4111" s="32">
        <v>42709.0</v>
      </c>
    </row>
    <row r="4112">
      <c r="A4112" s="32"/>
      <c r="T4112" s="31" t="s">
        <v>15826</v>
      </c>
      <c r="U4112" s="31" t="s">
        <v>15827</v>
      </c>
      <c r="V4112" s="32">
        <v>42707.0</v>
      </c>
    </row>
    <row r="4113">
      <c r="A4113" s="32"/>
      <c r="T4113" s="31" t="s">
        <v>15830</v>
      </c>
      <c r="U4113" s="31" t="s">
        <v>15823</v>
      </c>
      <c r="V4113" s="32">
        <v>42707.0</v>
      </c>
    </row>
    <row r="4114">
      <c r="A4114" s="32"/>
      <c r="T4114" s="31" t="s">
        <v>15833</v>
      </c>
      <c r="U4114" s="31" t="s">
        <v>15834</v>
      </c>
      <c r="V4114" s="32">
        <v>42705.0</v>
      </c>
    </row>
    <row r="4115">
      <c r="A4115" s="32"/>
      <c r="T4115" s="31" t="s">
        <v>15836</v>
      </c>
      <c r="U4115" s="31" t="s">
        <v>15837</v>
      </c>
      <c r="V4115" s="32">
        <v>42705.0</v>
      </c>
    </row>
    <row r="4116">
      <c r="A4116" s="32"/>
      <c r="T4116" s="31" t="s">
        <v>15840</v>
      </c>
      <c r="U4116" s="31" t="s">
        <v>15841</v>
      </c>
      <c r="V4116" s="32">
        <v>42705.0</v>
      </c>
    </row>
    <row r="4117">
      <c r="A4117" s="32"/>
      <c r="T4117" s="31" t="s">
        <v>15844</v>
      </c>
      <c r="U4117" s="31" t="s">
        <v>15845</v>
      </c>
      <c r="V4117" s="32">
        <v>42705.0</v>
      </c>
    </row>
    <row r="4118">
      <c r="A4118" s="32"/>
      <c r="T4118" s="31" t="s">
        <v>15849</v>
      </c>
      <c r="U4118" s="31" t="s">
        <v>15850</v>
      </c>
      <c r="V4118" s="32">
        <v>42705.0</v>
      </c>
    </row>
    <row r="4119">
      <c r="A4119" s="32"/>
      <c r="T4119" s="31" t="s">
        <v>15852</v>
      </c>
      <c r="U4119" s="31" t="s">
        <v>15853</v>
      </c>
      <c r="V4119" s="32">
        <v>42705.0</v>
      </c>
    </row>
    <row r="4120">
      <c r="A4120" s="32"/>
      <c r="T4120" s="31" t="s">
        <v>15856</v>
      </c>
      <c r="U4120" s="31" t="s">
        <v>15857</v>
      </c>
      <c r="V4120" s="32">
        <v>42705.0</v>
      </c>
    </row>
    <row r="4121">
      <c r="A4121" s="32"/>
      <c r="T4121" s="31" t="s">
        <v>15861</v>
      </c>
      <c r="U4121" s="31" t="s">
        <v>15862</v>
      </c>
      <c r="V4121" s="32">
        <v>42705.0</v>
      </c>
    </row>
    <row r="4122">
      <c r="A4122" s="32"/>
      <c r="T4122" s="31" t="s">
        <v>15866</v>
      </c>
      <c r="U4122" s="31" t="s">
        <v>15867</v>
      </c>
      <c r="V4122" s="32">
        <v>42705.0</v>
      </c>
    </row>
    <row r="4123">
      <c r="A4123" s="32"/>
      <c r="T4123" s="31" t="s">
        <v>15870</v>
      </c>
      <c r="U4123" s="31" t="s">
        <v>15871</v>
      </c>
      <c r="V4123" s="32">
        <v>42703.0</v>
      </c>
    </row>
    <row r="4124">
      <c r="A4124" s="32"/>
      <c r="T4124" s="31" t="s">
        <v>15874</v>
      </c>
      <c r="U4124" s="31" t="s">
        <v>15875</v>
      </c>
      <c r="V4124" s="32">
        <v>42703.0</v>
      </c>
    </row>
    <row r="4125">
      <c r="A4125" s="32"/>
      <c r="T4125" s="31" t="s">
        <v>15878</v>
      </c>
      <c r="U4125" s="31" t="s">
        <v>15879</v>
      </c>
      <c r="V4125" s="32">
        <v>42702.0</v>
      </c>
    </row>
    <row r="4126">
      <c r="A4126" s="32"/>
      <c r="T4126" s="31" t="s">
        <v>15882</v>
      </c>
      <c r="U4126" s="31" t="s">
        <v>15823</v>
      </c>
      <c r="V4126" s="32">
        <v>42702.0</v>
      </c>
    </row>
    <row r="4127">
      <c r="A4127" s="32"/>
      <c r="T4127" s="31" t="s">
        <v>15885</v>
      </c>
      <c r="U4127" s="31" t="s">
        <v>15886</v>
      </c>
      <c r="V4127" s="32">
        <v>42702.0</v>
      </c>
    </row>
    <row r="4128">
      <c r="A4128" s="32"/>
      <c r="T4128" s="31" t="s">
        <v>15890</v>
      </c>
      <c r="U4128" s="31" t="s">
        <v>15891</v>
      </c>
      <c r="V4128" s="32">
        <v>42699.0</v>
      </c>
    </row>
    <row r="4129">
      <c r="A4129" s="32"/>
      <c r="T4129" s="31" t="s">
        <v>15894</v>
      </c>
      <c r="U4129" s="31" t="s">
        <v>15895</v>
      </c>
      <c r="V4129" s="32">
        <v>42699.0</v>
      </c>
    </row>
    <row r="4130">
      <c r="A4130" s="32"/>
      <c r="T4130" s="31" t="s">
        <v>15898</v>
      </c>
      <c r="U4130" s="31" t="s">
        <v>15899</v>
      </c>
      <c r="V4130" s="32">
        <v>42699.0</v>
      </c>
    </row>
    <row r="4131">
      <c r="A4131" s="32"/>
      <c r="T4131" s="31" t="s">
        <v>15902</v>
      </c>
      <c r="U4131" s="31" t="s">
        <v>15903</v>
      </c>
      <c r="V4131" s="32">
        <v>42698.0</v>
      </c>
    </row>
    <row r="4132">
      <c r="A4132" s="32"/>
      <c r="T4132" s="31" t="s">
        <v>15905</v>
      </c>
      <c r="U4132" s="31" t="s">
        <v>15906</v>
      </c>
      <c r="V4132" s="32">
        <v>42698.0</v>
      </c>
    </row>
    <row r="4133">
      <c r="A4133" s="32"/>
      <c r="T4133" s="31" t="s">
        <v>15909</v>
      </c>
      <c r="U4133" s="31" t="s">
        <v>15910</v>
      </c>
      <c r="V4133" s="32">
        <v>42698.0</v>
      </c>
    </row>
    <row r="4134">
      <c r="A4134" s="32"/>
      <c r="T4134" s="31" t="s">
        <v>15914</v>
      </c>
      <c r="U4134" s="31" t="s">
        <v>15915</v>
      </c>
      <c r="V4134" s="32">
        <v>42698.0</v>
      </c>
    </row>
    <row r="4135">
      <c r="A4135" s="32"/>
      <c r="T4135" s="31" t="s">
        <v>15918</v>
      </c>
      <c r="U4135" s="31" t="s">
        <v>15919</v>
      </c>
      <c r="V4135" s="32">
        <v>42696.0</v>
      </c>
    </row>
    <row r="4136">
      <c r="A4136" s="32"/>
      <c r="T4136" s="31" t="s">
        <v>15922</v>
      </c>
      <c r="U4136" s="31" t="s">
        <v>15923</v>
      </c>
      <c r="V4136" s="32">
        <v>42695.0</v>
      </c>
    </row>
    <row r="4137">
      <c r="A4137" s="32"/>
      <c r="T4137" s="31" t="s">
        <v>15926</v>
      </c>
      <c r="U4137" s="31" t="s">
        <v>15927</v>
      </c>
      <c r="V4137" s="32">
        <v>42693.0</v>
      </c>
    </row>
    <row r="4138">
      <c r="A4138" s="32"/>
      <c r="T4138" s="31" t="s">
        <v>15930</v>
      </c>
      <c r="U4138" s="31" t="s">
        <v>15931</v>
      </c>
      <c r="V4138" s="32">
        <v>42692.0</v>
      </c>
    </row>
    <row r="4139">
      <c r="A4139" s="32"/>
      <c r="T4139" s="31" t="s">
        <v>15935</v>
      </c>
      <c r="U4139" s="31" t="s">
        <v>15936</v>
      </c>
      <c r="V4139" s="32">
        <v>42691.0</v>
      </c>
    </row>
    <row r="4140">
      <c r="A4140" s="32"/>
      <c r="T4140" s="31" t="s">
        <v>15939</v>
      </c>
      <c r="U4140" s="31" t="s">
        <v>15940</v>
      </c>
      <c r="V4140" s="32">
        <v>42691.0</v>
      </c>
    </row>
    <row r="4141">
      <c r="A4141" s="32"/>
      <c r="T4141" s="31" t="s">
        <v>15943</v>
      </c>
      <c r="U4141" s="31" t="s">
        <v>15944</v>
      </c>
      <c r="V4141" s="32">
        <v>42689.0</v>
      </c>
    </row>
    <row r="4142">
      <c r="A4142" s="32"/>
      <c r="T4142" s="31" t="s">
        <v>15947</v>
      </c>
      <c r="U4142" s="31" t="s">
        <v>15948</v>
      </c>
      <c r="V4142" s="32">
        <v>42688.0</v>
      </c>
    </row>
    <row r="4143">
      <c r="A4143" s="32"/>
      <c r="T4143" s="31" t="s">
        <v>15951</v>
      </c>
      <c r="U4143" s="31" t="s">
        <v>15952</v>
      </c>
      <c r="V4143" s="32">
        <v>42684.0</v>
      </c>
    </row>
    <row r="4144">
      <c r="A4144" s="32"/>
      <c r="T4144" s="31" t="s">
        <v>15955</v>
      </c>
      <c r="U4144" s="31" t="s">
        <v>15956</v>
      </c>
      <c r="V4144" s="32">
        <v>42683.0</v>
      </c>
    </row>
    <row r="4145">
      <c r="A4145" s="32"/>
      <c r="T4145" s="31" t="s">
        <v>15959</v>
      </c>
      <c r="U4145" s="31" t="s">
        <v>15960</v>
      </c>
      <c r="V4145" s="32">
        <v>42683.0</v>
      </c>
    </row>
    <row r="4146">
      <c r="A4146" s="32"/>
      <c r="T4146" s="31" t="s">
        <v>15963</v>
      </c>
      <c r="U4146" s="31" t="s">
        <v>15964</v>
      </c>
      <c r="V4146" s="32">
        <v>42683.0</v>
      </c>
    </row>
    <row r="4147">
      <c r="A4147" s="32"/>
      <c r="T4147" s="31" t="s">
        <v>15968</v>
      </c>
      <c r="U4147" s="31" t="s">
        <v>15969</v>
      </c>
      <c r="V4147" s="32">
        <v>42682.0</v>
      </c>
    </row>
    <row r="4148">
      <c r="A4148" s="32"/>
      <c r="T4148" s="31" t="s">
        <v>15972</v>
      </c>
      <c r="U4148" s="31" t="s">
        <v>15973</v>
      </c>
      <c r="V4148" s="32">
        <v>42682.0</v>
      </c>
    </row>
    <row r="4149">
      <c r="A4149" s="32"/>
      <c r="T4149" s="31" t="s">
        <v>15976</v>
      </c>
      <c r="U4149" s="31" t="s">
        <v>14988</v>
      </c>
      <c r="V4149" s="32">
        <v>42679.0</v>
      </c>
    </row>
    <row r="4150">
      <c r="A4150" s="32"/>
      <c r="T4150" s="31" t="s">
        <v>15979</v>
      </c>
      <c r="U4150" s="31" t="s">
        <v>15980</v>
      </c>
      <c r="V4150" s="32">
        <v>42677.0</v>
      </c>
    </row>
    <row r="4151">
      <c r="A4151" s="32"/>
      <c r="T4151" s="31" t="s">
        <v>15983</v>
      </c>
      <c r="U4151" s="31" t="s">
        <v>15984</v>
      </c>
      <c r="V4151" s="32">
        <v>42675.0</v>
      </c>
    </row>
    <row r="4152">
      <c r="A4152" s="32"/>
      <c r="T4152" s="31" t="s">
        <v>15987</v>
      </c>
      <c r="U4152" s="31" t="s">
        <v>15988</v>
      </c>
      <c r="V4152" s="32">
        <v>42675.0</v>
      </c>
    </row>
    <row r="4153">
      <c r="A4153" s="32"/>
      <c r="T4153" s="31" t="s">
        <v>15992</v>
      </c>
      <c r="U4153" s="31" t="s">
        <v>15993</v>
      </c>
      <c r="V4153" s="32">
        <v>42673.0</v>
      </c>
    </row>
    <row r="4154">
      <c r="A4154" s="32"/>
      <c r="T4154" s="31" t="s">
        <v>15996</v>
      </c>
      <c r="U4154" s="31" t="s">
        <v>15997</v>
      </c>
      <c r="V4154" s="32">
        <v>42671.0</v>
      </c>
    </row>
    <row r="4155">
      <c r="A4155" s="32"/>
      <c r="T4155" s="31" t="s">
        <v>16000</v>
      </c>
      <c r="U4155" s="31" t="s">
        <v>16001</v>
      </c>
      <c r="V4155" s="32">
        <v>42671.0</v>
      </c>
    </row>
    <row r="4156">
      <c r="A4156" s="32"/>
      <c r="T4156" s="31" t="s">
        <v>16004</v>
      </c>
      <c r="U4156" s="31" t="s">
        <v>16005</v>
      </c>
      <c r="V4156" s="32">
        <v>42671.0</v>
      </c>
    </row>
    <row r="4157">
      <c r="A4157" s="32"/>
      <c r="T4157" s="31" t="s">
        <v>16008</v>
      </c>
      <c r="U4157" s="31" t="s">
        <v>16009</v>
      </c>
      <c r="V4157" s="32">
        <v>42670.0</v>
      </c>
    </row>
    <row r="4158">
      <c r="A4158" s="32"/>
      <c r="T4158" s="31" t="s">
        <v>16012</v>
      </c>
      <c r="U4158" s="31" t="s">
        <v>16013</v>
      </c>
      <c r="V4158" s="32">
        <v>42670.0</v>
      </c>
    </row>
    <row r="4159">
      <c r="A4159" s="32"/>
      <c r="T4159" s="31" t="s">
        <v>16016</v>
      </c>
      <c r="U4159" s="31" t="s">
        <v>16017</v>
      </c>
      <c r="V4159" s="32">
        <v>42669.0</v>
      </c>
    </row>
    <row r="4160">
      <c r="A4160" s="32"/>
      <c r="T4160" s="31" t="s">
        <v>16020</v>
      </c>
      <c r="U4160" s="31" t="s">
        <v>16021</v>
      </c>
      <c r="V4160" s="32">
        <v>42669.0</v>
      </c>
    </row>
    <row r="4161">
      <c r="A4161" s="32"/>
      <c r="T4161" s="31" t="s">
        <v>16024</v>
      </c>
      <c r="U4161" s="31" t="s">
        <v>15647</v>
      </c>
      <c r="V4161" s="32">
        <v>42669.0</v>
      </c>
    </row>
    <row r="4162">
      <c r="A4162" s="32"/>
      <c r="T4162" s="31" t="s">
        <v>16027</v>
      </c>
      <c r="U4162" s="31" t="s">
        <v>16028</v>
      </c>
      <c r="V4162" s="32">
        <v>42667.0</v>
      </c>
    </row>
    <row r="4163">
      <c r="A4163" s="32"/>
      <c r="T4163" s="31" t="s">
        <v>16032</v>
      </c>
      <c r="U4163" s="31" t="s">
        <v>16033</v>
      </c>
      <c r="V4163" s="32">
        <v>42664.0</v>
      </c>
    </row>
    <row r="4164">
      <c r="A4164" s="32"/>
      <c r="T4164" s="31" t="s">
        <v>16036</v>
      </c>
      <c r="U4164" s="31" t="s">
        <v>16037</v>
      </c>
      <c r="V4164" s="32">
        <v>42664.0</v>
      </c>
    </row>
    <row r="4165">
      <c r="A4165" s="32"/>
      <c r="T4165" s="31" t="s">
        <v>16040</v>
      </c>
      <c r="U4165" s="31" t="s">
        <v>16041</v>
      </c>
      <c r="V4165" s="32">
        <v>42664.0</v>
      </c>
    </row>
    <row r="4166">
      <c r="A4166" s="32"/>
      <c r="T4166" s="31" t="s">
        <v>16044</v>
      </c>
      <c r="U4166" s="31" t="s">
        <v>16045</v>
      </c>
      <c r="V4166" s="32">
        <v>42657.0</v>
      </c>
    </row>
    <row r="4167">
      <c r="A4167" s="32"/>
      <c r="T4167" s="31" t="s">
        <v>16048</v>
      </c>
      <c r="U4167" s="31" t="s">
        <v>16049</v>
      </c>
      <c r="V4167" s="32">
        <v>42655.0</v>
      </c>
    </row>
    <row r="4168">
      <c r="A4168" s="32"/>
      <c r="T4168" s="31" t="s">
        <v>16052</v>
      </c>
      <c r="U4168" s="31" t="s">
        <v>16053</v>
      </c>
      <c r="V4168" s="32">
        <v>42655.0</v>
      </c>
    </row>
    <row r="4169">
      <c r="A4169" s="32"/>
      <c r="T4169" s="31" t="s">
        <v>16056</v>
      </c>
      <c r="U4169" s="31" t="s">
        <v>16057</v>
      </c>
      <c r="V4169" s="32">
        <v>42655.0</v>
      </c>
    </row>
    <row r="4170">
      <c r="A4170" s="32"/>
      <c r="T4170" s="31" t="s">
        <v>16060</v>
      </c>
      <c r="U4170" s="31" t="s">
        <v>16061</v>
      </c>
      <c r="V4170" s="32">
        <v>42653.0</v>
      </c>
    </row>
    <row r="4171">
      <c r="A4171" s="32"/>
      <c r="T4171" s="31" t="s">
        <v>16064</v>
      </c>
      <c r="U4171" s="31" t="s">
        <v>16065</v>
      </c>
      <c r="V4171" s="32">
        <v>42649.0</v>
      </c>
    </row>
    <row r="4172">
      <c r="A4172" s="32"/>
      <c r="T4172" s="31" t="s">
        <v>16068</v>
      </c>
      <c r="U4172" s="31" t="s">
        <v>16069</v>
      </c>
      <c r="V4172" s="32">
        <v>42649.0</v>
      </c>
    </row>
    <row r="4173">
      <c r="A4173" s="32"/>
      <c r="T4173" s="31" t="s">
        <v>16072</v>
      </c>
      <c r="U4173" s="31" t="s">
        <v>16073</v>
      </c>
      <c r="V4173" s="32">
        <v>42649.0</v>
      </c>
    </row>
    <row r="4174">
      <c r="A4174" s="32"/>
      <c r="T4174" s="31" t="s">
        <v>16077</v>
      </c>
      <c r="U4174" s="31" t="s">
        <v>16078</v>
      </c>
      <c r="V4174" s="32">
        <v>42649.0</v>
      </c>
    </row>
    <row r="4175">
      <c r="A4175" s="32"/>
      <c r="T4175" s="31" t="s">
        <v>16081</v>
      </c>
      <c r="U4175" s="31" t="s">
        <v>16082</v>
      </c>
      <c r="V4175" s="32">
        <v>42648.0</v>
      </c>
    </row>
    <row r="4176">
      <c r="A4176" s="32"/>
      <c r="T4176" s="31" t="s">
        <v>16086</v>
      </c>
      <c r="U4176" s="31" t="s">
        <v>16087</v>
      </c>
      <c r="V4176" s="32">
        <v>42647.0</v>
      </c>
    </row>
    <row r="4177">
      <c r="A4177" s="32"/>
      <c r="T4177" s="31" t="s">
        <v>16090</v>
      </c>
      <c r="U4177" s="31" t="s">
        <v>16091</v>
      </c>
      <c r="V4177" s="32">
        <v>42646.0</v>
      </c>
    </row>
    <row r="4178">
      <c r="A4178" s="32"/>
      <c r="T4178" s="31" t="s">
        <v>16094</v>
      </c>
      <c r="U4178" s="31" t="s">
        <v>16095</v>
      </c>
      <c r="V4178" s="32">
        <v>42646.0</v>
      </c>
    </row>
    <row r="4179">
      <c r="A4179" s="32"/>
      <c r="T4179" s="31" t="s">
        <v>16098</v>
      </c>
      <c r="U4179" s="31" t="s">
        <v>16099</v>
      </c>
      <c r="V4179" s="32">
        <v>42646.0</v>
      </c>
    </row>
    <row r="4180">
      <c r="A4180" s="32"/>
      <c r="T4180" s="31" t="s">
        <v>16102</v>
      </c>
      <c r="U4180" s="31" t="s">
        <v>16103</v>
      </c>
      <c r="V4180" s="32">
        <v>42644.0</v>
      </c>
    </row>
    <row r="4181">
      <c r="A4181" s="32"/>
      <c r="T4181" s="31" t="s">
        <v>16107</v>
      </c>
      <c r="U4181" s="31" t="s">
        <v>16108</v>
      </c>
      <c r="V4181" s="32">
        <v>42644.0</v>
      </c>
    </row>
    <row r="4182">
      <c r="A4182" s="32"/>
      <c r="T4182" s="31" t="s">
        <v>16110</v>
      </c>
      <c r="U4182" s="31" t="s">
        <v>16111</v>
      </c>
      <c r="V4182" s="32">
        <v>42644.0</v>
      </c>
    </row>
    <row r="4183">
      <c r="A4183" s="32"/>
      <c r="T4183" s="31" t="s">
        <v>16114</v>
      </c>
      <c r="U4183" s="31" t="s">
        <v>16115</v>
      </c>
      <c r="V4183" s="32">
        <v>42642.0</v>
      </c>
    </row>
    <row r="4184">
      <c r="A4184" s="32"/>
      <c r="T4184" s="31" t="s">
        <v>16118</v>
      </c>
      <c r="U4184" s="31" t="s">
        <v>16119</v>
      </c>
      <c r="V4184" s="32">
        <v>42642.0</v>
      </c>
    </row>
    <row r="4185">
      <c r="A4185" s="32"/>
      <c r="T4185" s="31" t="s">
        <v>16122</v>
      </c>
      <c r="U4185" s="31" t="s">
        <v>16123</v>
      </c>
      <c r="V4185" s="32">
        <v>42641.0</v>
      </c>
    </row>
    <row r="4186">
      <c r="A4186" s="32"/>
      <c r="T4186" s="31" t="s">
        <v>16126</v>
      </c>
      <c r="U4186" s="31" t="s">
        <v>16127</v>
      </c>
      <c r="V4186" s="32">
        <v>42640.0</v>
      </c>
    </row>
    <row r="4187">
      <c r="A4187" s="32"/>
      <c r="T4187" s="31" t="s">
        <v>16130</v>
      </c>
      <c r="U4187" s="31" t="s">
        <v>16131</v>
      </c>
      <c r="V4187" s="32">
        <v>42639.0</v>
      </c>
    </row>
    <row r="4188">
      <c r="A4188" s="32"/>
      <c r="T4188" s="31" t="s">
        <v>16134</v>
      </c>
      <c r="U4188" s="31" t="s">
        <v>16135</v>
      </c>
      <c r="V4188" s="32">
        <v>42639.0</v>
      </c>
    </row>
    <row r="4189">
      <c r="A4189" s="32"/>
      <c r="T4189" s="31" t="s">
        <v>16138</v>
      </c>
      <c r="U4189" s="31" t="s">
        <v>16087</v>
      </c>
      <c r="V4189" s="32">
        <v>42637.0</v>
      </c>
    </row>
    <row r="4190">
      <c r="A4190" s="32"/>
      <c r="T4190" s="31" t="s">
        <v>16141</v>
      </c>
      <c r="U4190" s="31" t="s">
        <v>15823</v>
      </c>
      <c r="V4190" s="32">
        <v>42634.0</v>
      </c>
    </row>
    <row r="4191">
      <c r="A4191" s="32"/>
      <c r="T4191" s="31" t="s">
        <v>16144</v>
      </c>
      <c r="U4191" s="31" t="s">
        <v>16145</v>
      </c>
      <c r="V4191" s="32">
        <v>42634.0</v>
      </c>
    </row>
    <row r="4192">
      <c r="A4192" s="32"/>
      <c r="T4192" s="31" t="s">
        <v>16148</v>
      </c>
      <c r="U4192" s="31" t="s">
        <v>16149</v>
      </c>
      <c r="V4192" s="32">
        <v>42633.0</v>
      </c>
    </row>
    <row r="4193">
      <c r="A4193" s="32"/>
      <c r="T4193" s="31" t="s">
        <v>16152</v>
      </c>
      <c r="U4193" s="31" t="s">
        <v>16153</v>
      </c>
      <c r="V4193" s="32">
        <v>42633.0</v>
      </c>
    </row>
    <row r="4194">
      <c r="A4194" s="32"/>
      <c r="T4194" s="31" t="s">
        <v>16156</v>
      </c>
      <c r="U4194" s="31" t="s">
        <v>16157</v>
      </c>
      <c r="V4194" s="32">
        <v>42632.0</v>
      </c>
    </row>
    <row r="4195">
      <c r="A4195" s="32"/>
      <c r="T4195" s="31" t="s">
        <v>16160</v>
      </c>
      <c r="U4195" s="31" t="s">
        <v>16161</v>
      </c>
      <c r="V4195" s="32">
        <v>42628.0</v>
      </c>
    </row>
    <row r="4196">
      <c r="A4196" s="32"/>
      <c r="T4196" s="31" t="s">
        <v>16164</v>
      </c>
      <c r="U4196" s="31" t="s">
        <v>16165</v>
      </c>
      <c r="V4196" s="32">
        <v>42628.0</v>
      </c>
    </row>
    <row r="4197">
      <c r="A4197" s="32"/>
      <c r="T4197" s="31" t="s">
        <v>16168</v>
      </c>
      <c r="U4197" s="31" t="s">
        <v>16069</v>
      </c>
      <c r="V4197" s="32">
        <v>42628.0</v>
      </c>
    </row>
    <row r="4198">
      <c r="A4198" s="32"/>
      <c r="T4198" s="31" t="s">
        <v>16171</v>
      </c>
      <c r="U4198" s="31" t="s">
        <v>16172</v>
      </c>
      <c r="V4198" s="32">
        <v>42627.0</v>
      </c>
    </row>
    <row r="4199">
      <c r="A4199" s="32"/>
      <c r="T4199" s="31" t="s">
        <v>16176</v>
      </c>
      <c r="U4199" s="31" t="s">
        <v>16177</v>
      </c>
      <c r="V4199" s="32">
        <v>42626.0</v>
      </c>
    </row>
    <row r="4200">
      <c r="A4200" s="32"/>
      <c r="T4200" s="31" t="s">
        <v>16180</v>
      </c>
      <c r="U4200" s="31" t="s">
        <v>16181</v>
      </c>
      <c r="V4200" s="32">
        <v>42626.0</v>
      </c>
    </row>
    <row r="4201">
      <c r="A4201" s="32"/>
      <c r="T4201" s="31" t="s">
        <v>16184</v>
      </c>
      <c r="U4201" s="31" t="s">
        <v>15647</v>
      </c>
      <c r="V4201" s="32">
        <v>42622.0</v>
      </c>
    </row>
    <row r="4202">
      <c r="A4202" s="32"/>
      <c r="T4202" s="31" t="s">
        <v>16187</v>
      </c>
      <c r="U4202" s="31" t="s">
        <v>16188</v>
      </c>
      <c r="V4202" s="32">
        <v>42621.0</v>
      </c>
    </row>
    <row r="4203">
      <c r="A4203" s="32"/>
      <c r="T4203" s="31" t="s">
        <v>16192</v>
      </c>
      <c r="U4203" s="31" t="s">
        <v>16193</v>
      </c>
      <c r="V4203" s="32">
        <v>42621.0</v>
      </c>
    </row>
    <row r="4204">
      <c r="A4204" s="32"/>
      <c r="T4204" s="31" t="s">
        <v>16196</v>
      </c>
      <c r="U4204" s="31" t="s">
        <v>16197</v>
      </c>
      <c r="V4204" s="32">
        <v>42621.0</v>
      </c>
    </row>
    <row r="4205">
      <c r="A4205" s="32"/>
      <c r="T4205" s="31" t="s">
        <v>16201</v>
      </c>
      <c r="U4205" s="31" t="s">
        <v>16202</v>
      </c>
      <c r="V4205" s="32">
        <v>42619.0</v>
      </c>
    </row>
    <row r="4206">
      <c r="A4206" s="32"/>
      <c r="T4206" s="31" t="s">
        <v>16205</v>
      </c>
      <c r="U4206" s="31" t="s">
        <v>16206</v>
      </c>
      <c r="V4206" s="32">
        <v>42617.0</v>
      </c>
    </row>
    <row r="4207">
      <c r="A4207" s="32"/>
      <c r="T4207" s="31" t="s">
        <v>16209</v>
      </c>
      <c r="U4207" s="31" t="s">
        <v>16210</v>
      </c>
      <c r="V4207" s="32">
        <v>42616.0</v>
      </c>
    </row>
    <row r="4208">
      <c r="A4208" s="32"/>
      <c r="T4208" s="31" t="s">
        <v>16213</v>
      </c>
      <c r="U4208" s="31" t="s">
        <v>15903</v>
      </c>
      <c r="V4208" s="32">
        <v>42615.0</v>
      </c>
    </row>
    <row r="4209">
      <c r="A4209" s="32"/>
      <c r="T4209" s="31" t="s">
        <v>16216</v>
      </c>
      <c r="U4209" s="31" t="s">
        <v>16217</v>
      </c>
      <c r="V4209" s="32">
        <v>42615.0</v>
      </c>
    </row>
    <row r="4210">
      <c r="A4210" s="32"/>
      <c r="T4210" s="31" t="s">
        <v>16220</v>
      </c>
      <c r="U4210" s="31" t="s">
        <v>16221</v>
      </c>
      <c r="V4210" s="32">
        <v>42614.0</v>
      </c>
    </row>
    <row r="4211">
      <c r="A4211" s="32"/>
      <c r="T4211" s="31" t="s">
        <v>16224</v>
      </c>
      <c r="U4211" s="31" t="s">
        <v>16225</v>
      </c>
      <c r="V4211" s="32">
        <v>42614.0</v>
      </c>
    </row>
    <row r="4212">
      <c r="A4212" s="32"/>
      <c r="T4212" s="31" t="s">
        <v>16228</v>
      </c>
      <c r="U4212" s="31" t="s">
        <v>16229</v>
      </c>
      <c r="V4212" s="32">
        <v>42614.0</v>
      </c>
    </row>
    <row r="4213">
      <c r="A4213" s="32"/>
      <c r="T4213" s="31" t="s">
        <v>16232</v>
      </c>
      <c r="U4213" s="31" t="s">
        <v>16233</v>
      </c>
      <c r="V4213" s="32">
        <v>42614.0</v>
      </c>
    </row>
    <row r="4214">
      <c r="A4214" s="32"/>
      <c r="T4214" s="31" t="s">
        <v>16236</v>
      </c>
      <c r="U4214" s="31" t="s">
        <v>16237</v>
      </c>
      <c r="V4214" s="32">
        <v>42614.0</v>
      </c>
    </row>
    <row r="4215">
      <c r="A4215" s="32"/>
      <c r="T4215" s="31" t="s">
        <v>16240</v>
      </c>
      <c r="U4215" s="31" t="s">
        <v>16241</v>
      </c>
      <c r="V4215" s="32">
        <v>42613.0</v>
      </c>
    </row>
    <row r="4216">
      <c r="A4216" s="32"/>
      <c r="T4216" s="31" t="s">
        <v>16244</v>
      </c>
      <c r="U4216" s="31" t="s">
        <v>16245</v>
      </c>
      <c r="V4216" s="32">
        <v>42613.0</v>
      </c>
    </row>
    <row r="4217">
      <c r="A4217" s="32"/>
      <c r="T4217" s="31" t="s">
        <v>16248</v>
      </c>
      <c r="U4217" s="31" t="s">
        <v>16249</v>
      </c>
      <c r="V4217" s="32">
        <v>42612.0</v>
      </c>
    </row>
    <row r="4218">
      <c r="A4218" s="32"/>
      <c r="T4218" s="31" t="s">
        <v>16252</v>
      </c>
      <c r="U4218" s="31" t="s">
        <v>16253</v>
      </c>
      <c r="V4218" s="32">
        <v>42612.0</v>
      </c>
    </row>
    <row r="4219">
      <c r="A4219" s="32"/>
      <c r="T4219" s="31" t="s">
        <v>16256</v>
      </c>
      <c r="U4219" s="31" t="s">
        <v>16257</v>
      </c>
      <c r="V4219" s="32">
        <v>42612.0</v>
      </c>
    </row>
    <row r="4220">
      <c r="A4220" s="32"/>
      <c r="T4220" s="31" t="s">
        <v>16260</v>
      </c>
      <c r="U4220" s="31" t="s">
        <v>16261</v>
      </c>
      <c r="V4220" s="32">
        <v>42612.0</v>
      </c>
    </row>
    <row r="4221">
      <c r="A4221" s="32"/>
      <c r="T4221" s="31" t="s">
        <v>16264</v>
      </c>
      <c r="U4221" s="31" t="s">
        <v>16265</v>
      </c>
      <c r="V4221" s="32">
        <v>42609.0</v>
      </c>
    </row>
    <row r="4222">
      <c r="A4222" s="32"/>
      <c r="T4222" s="31" t="s">
        <v>16268</v>
      </c>
      <c r="U4222" s="31" t="s">
        <v>16269</v>
      </c>
      <c r="V4222" s="32">
        <v>42607.0</v>
      </c>
    </row>
    <row r="4223">
      <c r="A4223" s="32"/>
      <c r="T4223" s="31" t="s">
        <v>16272</v>
      </c>
      <c r="U4223" s="31" t="s">
        <v>16273</v>
      </c>
      <c r="V4223" s="32">
        <v>42607.0</v>
      </c>
    </row>
    <row r="4224">
      <c r="A4224" s="32"/>
      <c r="T4224" s="31" t="s">
        <v>16276</v>
      </c>
      <c r="U4224" s="31" t="s">
        <v>16277</v>
      </c>
      <c r="V4224" s="32">
        <v>42606.0</v>
      </c>
    </row>
    <row r="4225">
      <c r="A4225" s="32"/>
      <c r="T4225" s="31" t="s">
        <v>16280</v>
      </c>
      <c r="U4225" s="31" t="s">
        <v>16281</v>
      </c>
      <c r="V4225" s="32">
        <v>42605.0</v>
      </c>
    </row>
    <row r="4226">
      <c r="A4226" s="32"/>
      <c r="T4226" s="31" t="s">
        <v>16285</v>
      </c>
      <c r="U4226" s="31" t="s">
        <v>16286</v>
      </c>
      <c r="V4226" s="32">
        <v>42605.0</v>
      </c>
    </row>
    <row r="4227">
      <c r="A4227" s="32"/>
      <c r="T4227" s="31" t="s">
        <v>16289</v>
      </c>
      <c r="U4227" s="31" t="s">
        <v>16290</v>
      </c>
      <c r="V4227" s="32">
        <v>42605.0</v>
      </c>
    </row>
    <row r="4228">
      <c r="A4228" s="32"/>
      <c r="T4228" s="31" t="s">
        <v>16293</v>
      </c>
      <c r="U4228" s="31" t="s">
        <v>16294</v>
      </c>
      <c r="V4228" s="32">
        <v>42605.0</v>
      </c>
    </row>
    <row r="4229">
      <c r="A4229" s="32"/>
      <c r="T4229" s="31" t="s">
        <v>16296</v>
      </c>
      <c r="U4229" s="31" t="s">
        <v>16297</v>
      </c>
      <c r="V4229" s="32">
        <v>42605.0</v>
      </c>
    </row>
    <row r="4230">
      <c r="A4230" s="32"/>
      <c r="T4230" s="31" t="s">
        <v>16300</v>
      </c>
      <c r="U4230" s="31" t="s">
        <v>16301</v>
      </c>
      <c r="V4230" s="32">
        <v>42605.0</v>
      </c>
    </row>
    <row r="4231">
      <c r="A4231" s="32"/>
      <c r="T4231" s="31" t="s">
        <v>16304</v>
      </c>
      <c r="U4231" s="31" t="s">
        <v>16305</v>
      </c>
      <c r="V4231" s="32">
        <v>42604.0</v>
      </c>
    </row>
    <row r="4232">
      <c r="A4232" s="32"/>
      <c r="T4232" s="31" t="s">
        <v>16308</v>
      </c>
      <c r="U4232" s="31" t="s">
        <v>16309</v>
      </c>
      <c r="V4232" s="32">
        <v>42601.0</v>
      </c>
    </row>
    <row r="4233">
      <c r="A4233" s="32"/>
      <c r="T4233" s="31" t="s">
        <v>16312</v>
      </c>
      <c r="U4233" s="31" t="s">
        <v>16313</v>
      </c>
      <c r="V4233" s="32">
        <v>42601.0</v>
      </c>
    </row>
    <row r="4234">
      <c r="A4234" s="32"/>
      <c r="T4234" s="31" t="s">
        <v>16316</v>
      </c>
      <c r="U4234" s="31" t="s">
        <v>16317</v>
      </c>
      <c r="V4234" s="32">
        <v>42601.0</v>
      </c>
    </row>
    <row r="4235">
      <c r="A4235" s="32"/>
      <c r="T4235" s="31" t="s">
        <v>16320</v>
      </c>
      <c r="U4235" s="31" t="s">
        <v>16321</v>
      </c>
      <c r="V4235" s="32">
        <v>42600.0</v>
      </c>
    </row>
    <row r="4236">
      <c r="A4236" s="32"/>
      <c r="T4236" s="31" t="s">
        <v>16324</v>
      </c>
      <c r="U4236" s="31" t="s">
        <v>16325</v>
      </c>
      <c r="V4236" s="32">
        <v>42599.0</v>
      </c>
    </row>
    <row r="4237">
      <c r="A4237" s="32"/>
      <c r="T4237" s="31" t="s">
        <v>16328</v>
      </c>
      <c r="U4237" s="31" t="s">
        <v>16329</v>
      </c>
      <c r="V4237" s="32">
        <v>42599.0</v>
      </c>
    </row>
    <row r="4238">
      <c r="A4238" s="32"/>
      <c r="T4238" s="31" t="s">
        <v>16332</v>
      </c>
      <c r="U4238" s="31" t="s">
        <v>16333</v>
      </c>
      <c r="V4238" s="32">
        <v>42598.0</v>
      </c>
    </row>
    <row r="4239">
      <c r="A4239" s="32"/>
      <c r="T4239" s="31" t="s">
        <v>16335</v>
      </c>
      <c r="U4239" s="31" t="s">
        <v>16336</v>
      </c>
      <c r="V4239" s="32">
        <v>42598.0</v>
      </c>
    </row>
    <row r="4240">
      <c r="A4240" s="32"/>
      <c r="T4240" s="31" t="s">
        <v>16339</v>
      </c>
      <c r="U4240" s="31" t="s">
        <v>16340</v>
      </c>
      <c r="V4240" s="32">
        <v>42598.0</v>
      </c>
    </row>
    <row r="4241">
      <c r="A4241" s="32"/>
      <c r="T4241" s="31" t="s">
        <v>16343</v>
      </c>
      <c r="U4241" s="31" t="s">
        <v>16344</v>
      </c>
      <c r="V4241" s="32">
        <v>42594.0</v>
      </c>
    </row>
    <row r="4242">
      <c r="A4242" s="32"/>
      <c r="T4242" s="31" t="s">
        <v>16347</v>
      </c>
      <c r="U4242" s="31" t="s">
        <v>16348</v>
      </c>
      <c r="V4242" s="32">
        <v>42594.0</v>
      </c>
    </row>
    <row r="4243">
      <c r="A4243" s="32"/>
      <c r="T4243" s="31" t="s">
        <v>16351</v>
      </c>
      <c r="U4243" s="31" t="s">
        <v>16352</v>
      </c>
      <c r="V4243" s="32">
        <v>42593.0</v>
      </c>
    </row>
    <row r="4244">
      <c r="A4244" s="32"/>
      <c r="T4244" s="31" t="s">
        <v>16355</v>
      </c>
      <c r="U4244" s="31" t="s">
        <v>16356</v>
      </c>
      <c r="V4244" s="32">
        <v>42593.0</v>
      </c>
    </row>
    <row r="4245">
      <c r="A4245" s="32"/>
      <c r="T4245" s="31" t="s">
        <v>16359</v>
      </c>
      <c r="U4245" s="31" t="s">
        <v>16360</v>
      </c>
      <c r="V4245" s="32">
        <v>42593.0</v>
      </c>
    </row>
    <row r="4246">
      <c r="A4246" s="32"/>
      <c r="T4246" s="31" t="s">
        <v>16363</v>
      </c>
      <c r="U4246" s="31" t="s">
        <v>16364</v>
      </c>
      <c r="V4246" s="32">
        <v>42593.0</v>
      </c>
    </row>
    <row r="4247">
      <c r="A4247" s="32"/>
      <c r="T4247" s="31" t="s">
        <v>16367</v>
      </c>
      <c r="U4247" s="31" t="s">
        <v>16368</v>
      </c>
      <c r="V4247" s="32">
        <v>42590.0</v>
      </c>
    </row>
    <row r="4248">
      <c r="A4248" s="32"/>
      <c r="T4248" s="31" t="s">
        <v>16371</v>
      </c>
      <c r="U4248" s="31" t="s">
        <v>16372</v>
      </c>
      <c r="V4248" s="32">
        <v>42587.0</v>
      </c>
    </row>
    <row r="4249">
      <c r="A4249" s="32"/>
      <c r="T4249" s="31" t="s">
        <v>16375</v>
      </c>
      <c r="U4249" s="31" t="s">
        <v>16376</v>
      </c>
      <c r="V4249" s="32">
        <v>42587.0</v>
      </c>
    </row>
    <row r="4250">
      <c r="A4250" s="32"/>
      <c r="T4250" s="31" t="s">
        <v>16379</v>
      </c>
      <c r="U4250" s="31" t="s">
        <v>16380</v>
      </c>
      <c r="V4250" s="32">
        <v>42586.0</v>
      </c>
    </row>
    <row r="4251">
      <c r="A4251" s="32"/>
      <c r="T4251" s="31" t="s">
        <v>16383</v>
      </c>
      <c r="U4251" s="31" t="s">
        <v>16384</v>
      </c>
      <c r="V4251" s="32">
        <v>42585.0</v>
      </c>
    </row>
    <row r="4252">
      <c r="A4252" s="32"/>
      <c r="T4252" s="31" t="s">
        <v>16388</v>
      </c>
      <c r="U4252" s="31" t="s">
        <v>16389</v>
      </c>
      <c r="V4252" s="32">
        <v>42584.0</v>
      </c>
    </row>
    <row r="4253">
      <c r="A4253" s="32"/>
      <c r="T4253" s="31" t="s">
        <v>16392</v>
      </c>
      <c r="U4253" s="31" t="s">
        <v>16393</v>
      </c>
      <c r="V4253" s="32">
        <v>42584.0</v>
      </c>
    </row>
    <row r="4254">
      <c r="A4254" s="32"/>
      <c r="T4254" s="31" t="s">
        <v>16396</v>
      </c>
      <c r="U4254" s="31" t="s">
        <v>16397</v>
      </c>
      <c r="V4254" s="32">
        <v>42583.0</v>
      </c>
    </row>
    <row r="4255">
      <c r="A4255" s="32"/>
      <c r="T4255" s="31" t="s">
        <v>16400</v>
      </c>
      <c r="U4255" s="31" t="s">
        <v>16401</v>
      </c>
      <c r="V4255" s="32">
        <v>42581.0</v>
      </c>
    </row>
    <row r="4256">
      <c r="A4256" s="32"/>
      <c r="T4256" s="31" t="s">
        <v>16404</v>
      </c>
      <c r="U4256" s="31" t="s">
        <v>15499</v>
      </c>
      <c r="V4256" s="32">
        <v>42580.0</v>
      </c>
    </row>
    <row r="4257">
      <c r="A4257" s="32"/>
      <c r="T4257" s="31" t="s">
        <v>16407</v>
      </c>
      <c r="U4257" s="31" t="s">
        <v>16408</v>
      </c>
      <c r="V4257" s="32">
        <v>42580.0</v>
      </c>
    </row>
    <row r="4258">
      <c r="A4258" s="32"/>
      <c r="T4258" s="31" t="s">
        <v>16411</v>
      </c>
      <c r="U4258" s="31" t="s">
        <v>16412</v>
      </c>
      <c r="V4258" s="32">
        <v>42580.0</v>
      </c>
    </row>
    <row r="4259">
      <c r="A4259" s="32"/>
      <c r="T4259" s="31" t="s">
        <v>16415</v>
      </c>
      <c r="U4259" s="31" t="s">
        <v>16416</v>
      </c>
      <c r="V4259" s="32">
        <v>42578.0</v>
      </c>
    </row>
    <row r="4260">
      <c r="A4260" s="32"/>
      <c r="T4260" s="31" t="s">
        <v>16419</v>
      </c>
      <c r="U4260" s="31" t="s">
        <v>16420</v>
      </c>
      <c r="V4260" s="32">
        <v>42577.0</v>
      </c>
    </row>
    <row r="4261">
      <c r="A4261" s="32"/>
      <c r="T4261" s="31" t="s">
        <v>16423</v>
      </c>
      <c r="U4261" s="31" t="s">
        <v>16424</v>
      </c>
      <c r="V4261" s="32">
        <v>42576.0</v>
      </c>
    </row>
    <row r="4262">
      <c r="A4262" s="32"/>
      <c r="T4262" s="31" t="s">
        <v>16427</v>
      </c>
      <c r="U4262" s="31" t="s">
        <v>16428</v>
      </c>
      <c r="V4262" s="32">
        <v>42573.0</v>
      </c>
    </row>
    <row r="4263">
      <c r="A4263" s="32"/>
      <c r="T4263" s="31" t="s">
        <v>16432</v>
      </c>
      <c r="U4263" s="31" t="s">
        <v>16433</v>
      </c>
      <c r="V4263" s="32">
        <v>42571.0</v>
      </c>
    </row>
    <row r="4264">
      <c r="A4264" s="32"/>
      <c r="T4264" s="31" t="s">
        <v>16436</v>
      </c>
      <c r="U4264" s="31" t="s">
        <v>16437</v>
      </c>
      <c r="V4264" s="32">
        <v>42570.0</v>
      </c>
    </row>
    <row r="4265">
      <c r="A4265" s="32"/>
      <c r="T4265" s="31" t="s">
        <v>16440</v>
      </c>
      <c r="U4265" s="31" t="s">
        <v>16441</v>
      </c>
      <c r="V4265" s="32">
        <v>42570.0</v>
      </c>
    </row>
    <row r="4266">
      <c r="A4266" s="32"/>
      <c r="T4266" s="31" t="s">
        <v>16444</v>
      </c>
      <c r="U4266" s="31" t="s">
        <v>16445</v>
      </c>
      <c r="V4266" s="32">
        <v>42569.0</v>
      </c>
    </row>
    <row r="4267">
      <c r="A4267" s="32"/>
      <c r="T4267" s="31" t="s">
        <v>16448</v>
      </c>
      <c r="U4267" s="31" t="s">
        <v>16449</v>
      </c>
      <c r="V4267" s="32">
        <v>42566.0</v>
      </c>
    </row>
    <row r="4268">
      <c r="A4268" s="32"/>
      <c r="T4268" s="31" t="s">
        <v>16452</v>
      </c>
      <c r="U4268" s="31" t="s">
        <v>16453</v>
      </c>
      <c r="V4268" s="32">
        <v>42565.0</v>
      </c>
    </row>
    <row r="4269">
      <c r="A4269" s="32"/>
      <c r="T4269" s="31" t="s">
        <v>16456</v>
      </c>
      <c r="U4269" s="31" t="s">
        <v>16457</v>
      </c>
      <c r="V4269" s="32">
        <v>42564.0</v>
      </c>
    </row>
    <row r="4270">
      <c r="A4270" s="32"/>
      <c r="T4270" s="31" t="s">
        <v>16460</v>
      </c>
      <c r="U4270" s="31" t="s">
        <v>16461</v>
      </c>
      <c r="V4270" s="32">
        <v>42564.0</v>
      </c>
    </row>
    <row r="4271">
      <c r="A4271" s="32"/>
      <c r="T4271" s="31" t="s">
        <v>16464</v>
      </c>
      <c r="U4271" s="31" t="s">
        <v>16465</v>
      </c>
      <c r="V4271" s="32">
        <v>42564.0</v>
      </c>
    </row>
    <row r="4272">
      <c r="A4272" s="32"/>
      <c r="T4272" s="31" t="s">
        <v>16468</v>
      </c>
      <c r="U4272" s="31" t="s">
        <v>16469</v>
      </c>
      <c r="V4272" s="32">
        <v>42563.0</v>
      </c>
    </row>
    <row r="4273">
      <c r="A4273" s="32"/>
      <c r="T4273" s="31" t="s">
        <v>16472</v>
      </c>
      <c r="U4273" s="31" t="s">
        <v>16473</v>
      </c>
      <c r="V4273" s="32">
        <v>42563.0</v>
      </c>
    </row>
    <row r="4274">
      <c r="A4274" s="32"/>
      <c r="T4274" s="31" t="s">
        <v>16475</v>
      </c>
      <c r="U4274" s="31" t="s">
        <v>16476</v>
      </c>
      <c r="V4274" s="32">
        <v>42563.0</v>
      </c>
    </row>
    <row r="4275">
      <c r="A4275" s="32"/>
      <c r="T4275" s="31" t="s">
        <v>16479</v>
      </c>
      <c r="U4275" s="31" t="s">
        <v>16480</v>
      </c>
      <c r="V4275" s="32">
        <v>42562.0</v>
      </c>
    </row>
    <row r="4276">
      <c r="A4276" s="32"/>
      <c r="T4276" s="31" t="s">
        <v>16484</v>
      </c>
      <c r="U4276" s="31" t="s">
        <v>16485</v>
      </c>
      <c r="V4276" s="32">
        <v>42562.0</v>
      </c>
    </row>
    <row r="4277">
      <c r="A4277" s="32"/>
      <c r="T4277" s="31" t="s">
        <v>16488</v>
      </c>
      <c r="U4277" s="31" t="s">
        <v>16489</v>
      </c>
      <c r="V4277" s="32">
        <v>42560.0</v>
      </c>
    </row>
    <row r="4278">
      <c r="A4278" s="32"/>
      <c r="T4278" s="31" t="s">
        <v>16491</v>
      </c>
      <c r="U4278" s="31" t="s">
        <v>16492</v>
      </c>
      <c r="V4278" s="32">
        <v>42560.0</v>
      </c>
    </row>
    <row r="4279">
      <c r="A4279" s="32"/>
      <c r="T4279" s="31" t="s">
        <v>16495</v>
      </c>
      <c r="U4279" s="31" t="s">
        <v>16496</v>
      </c>
      <c r="V4279" s="32">
        <v>42559.0</v>
      </c>
    </row>
    <row r="4280">
      <c r="A4280" s="32"/>
      <c r="T4280" s="31" t="s">
        <v>16499</v>
      </c>
      <c r="U4280" s="31" t="s">
        <v>16500</v>
      </c>
      <c r="V4280" s="32">
        <v>42558.0</v>
      </c>
    </row>
    <row r="4281">
      <c r="A4281" s="32"/>
      <c r="T4281" s="31" t="s">
        <v>16503</v>
      </c>
      <c r="U4281" s="31" t="s">
        <v>16504</v>
      </c>
      <c r="V4281" s="32">
        <v>42557.0</v>
      </c>
    </row>
    <row r="4282">
      <c r="A4282" s="32"/>
      <c r="T4282" s="31" t="s">
        <v>16507</v>
      </c>
      <c r="U4282" s="31" t="s">
        <v>16508</v>
      </c>
      <c r="V4282" s="32">
        <v>42556.0</v>
      </c>
    </row>
    <row r="4283">
      <c r="A4283" s="32"/>
      <c r="T4283" s="31" t="s">
        <v>16511</v>
      </c>
      <c r="U4283" s="31" t="s">
        <v>16512</v>
      </c>
      <c r="V4283" s="32">
        <v>42555.0</v>
      </c>
    </row>
    <row r="4284">
      <c r="A4284" s="32"/>
      <c r="T4284" s="31" t="s">
        <v>16514</v>
      </c>
      <c r="U4284" s="31" t="s">
        <v>16515</v>
      </c>
      <c r="V4284" s="32">
        <v>42555.0</v>
      </c>
    </row>
    <row r="4285">
      <c r="A4285" s="32"/>
      <c r="T4285" s="31" t="s">
        <v>16518</v>
      </c>
      <c r="U4285" s="31" t="s">
        <v>16519</v>
      </c>
      <c r="V4285" s="32">
        <v>42553.0</v>
      </c>
    </row>
    <row r="4286">
      <c r="A4286" s="32"/>
      <c r="T4286" s="31" t="s">
        <v>16522</v>
      </c>
      <c r="U4286" s="31" t="s">
        <v>16523</v>
      </c>
      <c r="V4286" s="32">
        <v>42552.0</v>
      </c>
    </row>
    <row r="4287">
      <c r="A4287" s="32"/>
      <c r="T4287" s="31" t="s">
        <v>16526</v>
      </c>
      <c r="U4287" s="31" t="s">
        <v>16527</v>
      </c>
      <c r="V4287" s="32">
        <v>42552.0</v>
      </c>
    </row>
    <row r="4288">
      <c r="A4288" s="32"/>
      <c r="T4288" s="31" t="s">
        <v>16530</v>
      </c>
      <c r="U4288" s="31" t="s">
        <v>16531</v>
      </c>
      <c r="V4288" s="32">
        <v>42551.0</v>
      </c>
    </row>
    <row r="4289">
      <c r="A4289" s="32"/>
      <c r="T4289" s="31" t="s">
        <v>16534</v>
      </c>
      <c r="U4289" s="31" t="s">
        <v>16535</v>
      </c>
      <c r="V4289" s="32">
        <v>42551.0</v>
      </c>
    </row>
    <row r="4290">
      <c r="A4290" s="32"/>
      <c r="T4290" s="31" t="s">
        <v>16539</v>
      </c>
      <c r="U4290" s="31" t="s">
        <v>16540</v>
      </c>
      <c r="V4290" s="32">
        <v>42549.0</v>
      </c>
    </row>
    <row r="4291">
      <c r="A4291" s="32"/>
      <c r="T4291" s="31" t="s">
        <v>16543</v>
      </c>
      <c r="U4291" s="31" t="s">
        <v>16544</v>
      </c>
      <c r="V4291" s="32">
        <v>42545.0</v>
      </c>
    </row>
    <row r="4292">
      <c r="A4292" s="32"/>
      <c r="T4292" s="31" t="s">
        <v>16547</v>
      </c>
      <c r="U4292" s="31" t="s">
        <v>16548</v>
      </c>
      <c r="V4292" s="32">
        <v>42544.0</v>
      </c>
    </row>
    <row r="4293">
      <c r="A4293" s="32"/>
      <c r="T4293" s="31" t="s">
        <v>16550</v>
      </c>
      <c r="U4293" s="31" t="s">
        <v>16551</v>
      </c>
      <c r="V4293" s="32">
        <v>42543.0</v>
      </c>
    </row>
    <row r="4294">
      <c r="A4294" s="32"/>
      <c r="T4294" s="31" t="s">
        <v>16554</v>
      </c>
      <c r="U4294" s="31" t="s">
        <v>16555</v>
      </c>
      <c r="V4294" s="32">
        <v>42541.0</v>
      </c>
    </row>
    <row r="4295">
      <c r="A4295" s="32"/>
      <c r="T4295" s="31" t="s">
        <v>16558</v>
      </c>
      <c r="U4295" s="31" t="s">
        <v>16559</v>
      </c>
      <c r="V4295" s="32">
        <v>42541.0</v>
      </c>
    </row>
    <row r="4296">
      <c r="A4296" s="32"/>
      <c r="T4296" s="31" t="s">
        <v>16562</v>
      </c>
      <c r="U4296" s="31" t="s">
        <v>16563</v>
      </c>
      <c r="V4296" s="32">
        <v>42540.0</v>
      </c>
    </row>
    <row r="4297">
      <c r="A4297" s="32"/>
      <c r="T4297" s="31" t="s">
        <v>16566</v>
      </c>
      <c r="U4297" s="31" t="s">
        <v>16567</v>
      </c>
      <c r="V4297" s="32">
        <v>42538.0</v>
      </c>
    </row>
    <row r="4298">
      <c r="A4298" s="32"/>
      <c r="T4298" s="31" t="s">
        <v>16570</v>
      </c>
      <c r="U4298" s="31" t="s">
        <v>16571</v>
      </c>
      <c r="V4298" s="32">
        <v>42537.0</v>
      </c>
    </row>
    <row r="4299">
      <c r="A4299" s="32"/>
      <c r="T4299" s="31" t="s">
        <v>16574</v>
      </c>
      <c r="U4299" s="31" t="s">
        <v>16575</v>
      </c>
      <c r="V4299" s="32">
        <v>42537.0</v>
      </c>
    </row>
    <row r="4300">
      <c r="A4300" s="32"/>
      <c r="T4300" s="31" t="s">
        <v>16578</v>
      </c>
      <c r="U4300" s="31" t="s">
        <v>16579</v>
      </c>
      <c r="V4300" s="32">
        <v>42537.0</v>
      </c>
    </row>
    <row r="4301">
      <c r="A4301" s="32"/>
      <c r="T4301" s="31" t="s">
        <v>16583</v>
      </c>
      <c r="U4301" s="31" t="s">
        <v>16584</v>
      </c>
      <c r="V4301" s="32">
        <v>42535.0</v>
      </c>
    </row>
    <row r="4302">
      <c r="A4302" s="32"/>
      <c r="T4302" s="31" t="s">
        <v>16587</v>
      </c>
      <c r="U4302" s="31" t="s">
        <v>16588</v>
      </c>
      <c r="V4302" s="32">
        <v>42535.0</v>
      </c>
    </row>
    <row r="4303">
      <c r="A4303" s="32"/>
      <c r="T4303" s="31" t="s">
        <v>16591</v>
      </c>
      <c r="U4303" s="31" t="s">
        <v>16592</v>
      </c>
      <c r="V4303" s="32">
        <v>42534.0</v>
      </c>
    </row>
    <row r="4304">
      <c r="A4304" s="32"/>
      <c r="T4304" s="31" t="s">
        <v>16595</v>
      </c>
      <c r="U4304" s="31" t="s">
        <v>16596</v>
      </c>
      <c r="V4304" s="32">
        <v>42534.0</v>
      </c>
    </row>
    <row r="4305">
      <c r="A4305" s="32"/>
      <c r="T4305" s="31" t="s">
        <v>16599</v>
      </c>
      <c r="U4305" s="31" t="s">
        <v>16600</v>
      </c>
      <c r="V4305" s="32">
        <v>42533.0</v>
      </c>
    </row>
    <row r="4306">
      <c r="A4306" s="32"/>
      <c r="T4306" s="31" t="s">
        <v>16603</v>
      </c>
      <c r="U4306" s="31" t="s">
        <v>16604</v>
      </c>
      <c r="V4306" s="32">
        <v>42533.0</v>
      </c>
    </row>
    <row r="4307">
      <c r="A4307" s="32"/>
      <c r="T4307" s="31" t="s">
        <v>16606</v>
      </c>
      <c r="U4307" s="31" t="s">
        <v>16607</v>
      </c>
      <c r="V4307" s="32">
        <v>42528.0</v>
      </c>
    </row>
    <row r="4308">
      <c r="A4308" s="32"/>
      <c r="T4308" s="31" t="s">
        <v>16610</v>
      </c>
      <c r="U4308" s="31" t="s">
        <v>16611</v>
      </c>
      <c r="V4308" s="32">
        <v>42528.0</v>
      </c>
    </row>
    <row r="4309">
      <c r="A4309" s="32"/>
      <c r="T4309" s="31" t="s">
        <v>16615</v>
      </c>
      <c r="U4309" s="31" t="s">
        <v>16616</v>
      </c>
      <c r="V4309" s="32">
        <v>42527.0</v>
      </c>
    </row>
    <row r="4310">
      <c r="A4310" s="32"/>
      <c r="T4310" s="31" t="s">
        <v>16619</v>
      </c>
      <c r="U4310" s="31" t="s">
        <v>16620</v>
      </c>
      <c r="V4310" s="32">
        <v>42525.0</v>
      </c>
    </row>
    <row r="4311">
      <c r="A4311" s="32"/>
      <c r="T4311" s="31" t="s">
        <v>16624</v>
      </c>
      <c r="U4311" s="31" t="s">
        <v>16625</v>
      </c>
      <c r="V4311" s="32">
        <v>42523.0</v>
      </c>
    </row>
    <row r="4312">
      <c r="A4312" s="32"/>
      <c r="T4312" s="31" t="s">
        <v>16628</v>
      </c>
      <c r="U4312" s="31" t="s">
        <v>16629</v>
      </c>
      <c r="V4312" s="32">
        <v>42523.0</v>
      </c>
    </row>
    <row r="4313">
      <c r="A4313" s="32"/>
      <c r="T4313" s="31" t="s">
        <v>16632</v>
      </c>
      <c r="U4313" s="31" t="s">
        <v>16633</v>
      </c>
      <c r="V4313" s="32">
        <v>42522.0</v>
      </c>
    </row>
    <row r="4314">
      <c r="A4314" s="32"/>
      <c r="T4314" s="31" t="s">
        <v>16637</v>
      </c>
      <c r="U4314" s="31" t="s">
        <v>16638</v>
      </c>
      <c r="V4314" s="32">
        <v>42522.0</v>
      </c>
    </row>
    <row r="4315">
      <c r="A4315" s="32"/>
      <c r="T4315" s="31" t="s">
        <v>16641</v>
      </c>
      <c r="U4315" s="31" t="s">
        <v>16642</v>
      </c>
      <c r="V4315" s="32">
        <v>42522.0</v>
      </c>
    </row>
    <row r="4316">
      <c r="A4316" s="32"/>
      <c r="T4316" s="31" t="s">
        <v>16646</v>
      </c>
      <c r="U4316" s="31" t="s">
        <v>16647</v>
      </c>
      <c r="V4316" s="32">
        <v>42522.0</v>
      </c>
    </row>
    <row r="4317">
      <c r="A4317" s="32"/>
      <c r="T4317" s="31" t="s">
        <v>16651</v>
      </c>
      <c r="U4317" s="31" t="s">
        <v>16652</v>
      </c>
      <c r="V4317" s="32">
        <v>42522.0</v>
      </c>
    </row>
    <row r="4318">
      <c r="A4318" s="32"/>
      <c r="T4318" s="31" t="s">
        <v>16656</v>
      </c>
      <c r="U4318" s="31" t="s">
        <v>16657</v>
      </c>
      <c r="V4318" s="32">
        <v>42521.0</v>
      </c>
    </row>
    <row r="4319">
      <c r="A4319" s="32"/>
      <c r="T4319" s="31" t="s">
        <v>16660</v>
      </c>
      <c r="U4319" s="31" t="s">
        <v>16661</v>
      </c>
      <c r="V4319" s="32">
        <v>42521.0</v>
      </c>
    </row>
    <row r="4320">
      <c r="A4320" s="32"/>
      <c r="T4320" s="31" t="s">
        <v>16664</v>
      </c>
      <c r="U4320" s="31" t="s">
        <v>16665</v>
      </c>
      <c r="V4320" s="32">
        <v>42520.0</v>
      </c>
    </row>
    <row r="4321">
      <c r="A4321" s="32"/>
      <c r="T4321" s="31" t="s">
        <v>16668</v>
      </c>
      <c r="U4321" s="31" t="s">
        <v>16669</v>
      </c>
      <c r="V4321" s="32">
        <v>42516.0</v>
      </c>
    </row>
    <row r="4322">
      <c r="A4322" s="32"/>
      <c r="T4322" s="31" t="s">
        <v>16673</v>
      </c>
      <c r="U4322" s="31" t="s">
        <v>16674</v>
      </c>
      <c r="V4322" s="32">
        <v>42516.0</v>
      </c>
    </row>
    <row r="4323">
      <c r="A4323" s="32"/>
      <c r="T4323" s="31" t="s">
        <v>16677</v>
      </c>
      <c r="U4323" s="31" t="s">
        <v>16678</v>
      </c>
      <c r="V4323" s="32">
        <v>42515.0</v>
      </c>
    </row>
    <row r="4324">
      <c r="A4324" s="32"/>
      <c r="T4324" s="31" t="s">
        <v>16681</v>
      </c>
      <c r="U4324" s="31" t="s">
        <v>16682</v>
      </c>
      <c r="V4324" s="32">
        <v>42514.0</v>
      </c>
    </row>
    <row r="4325">
      <c r="A4325" s="32"/>
      <c r="T4325" s="31" t="s">
        <v>16685</v>
      </c>
      <c r="U4325" s="31" t="s">
        <v>16686</v>
      </c>
      <c r="V4325" s="32">
        <v>42514.0</v>
      </c>
    </row>
    <row r="4326">
      <c r="A4326" s="32"/>
      <c r="T4326" s="31" t="s">
        <v>16689</v>
      </c>
      <c r="U4326" s="31" t="s">
        <v>16108</v>
      </c>
      <c r="V4326" s="32">
        <v>42513.0</v>
      </c>
    </row>
    <row r="4327">
      <c r="A4327" s="32"/>
      <c r="T4327" s="31" t="s">
        <v>16692</v>
      </c>
      <c r="U4327" s="31" t="s">
        <v>16693</v>
      </c>
      <c r="V4327" s="32">
        <v>42513.0</v>
      </c>
    </row>
    <row r="4328">
      <c r="A4328" s="32"/>
      <c r="T4328" s="31" t="s">
        <v>16696</v>
      </c>
      <c r="U4328" s="31" t="s">
        <v>16678</v>
      </c>
      <c r="V4328" s="32">
        <v>42513.0</v>
      </c>
    </row>
    <row r="4329">
      <c r="A4329" s="32"/>
      <c r="T4329" s="31" t="s">
        <v>16699</v>
      </c>
      <c r="U4329" s="31" t="s">
        <v>16095</v>
      </c>
      <c r="V4329" s="32">
        <v>42510.0</v>
      </c>
    </row>
    <row r="4330">
      <c r="A4330" s="32"/>
      <c r="T4330" s="31" t="s">
        <v>16702</v>
      </c>
      <c r="U4330" s="31" t="s">
        <v>16703</v>
      </c>
      <c r="V4330" s="32">
        <v>42510.0</v>
      </c>
    </row>
    <row r="4331">
      <c r="A4331" s="32"/>
      <c r="T4331" s="31" t="s">
        <v>16706</v>
      </c>
      <c r="U4331" s="31" t="s">
        <v>16707</v>
      </c>
      <c r="V4331" s="32">
        <v>42508.0</v>
      </c>
    </row>
    <row r="4332">
      <c r="A4332" s="32"/>
      <c r="T4332" s="31" t="s">
        <v>16711</v>
      </c>
      <c r="U4332" s="31" t="s">
        <v>16712</v>
      </c>
      <c r="V4332" s="32">
        <v>42508.0</v>
      </c>
    </row>
    <row r="4333">
      <c r="A4333" s="32"/>
      <c r="T4333" s="31" t="s">
        <v>16715</v>
      </c>
      <c r="U4333" s="31" t="s">
        <v>16716</v>
      </c>
      <c r="V4333" s="32">
        <v>42506.0</v>
      </c>
    </row>
    <row r="4334">
      <c r="A4334" s="32"/>
      <c r="T4334" s="31" t="s">
        <v>16719</v>
      </c>
      <c r="U4334" s="31" t="s">
        <v>16720</v>
      </c>
      <c r="V4334" s="32">
        <v>42506.0</v>
      </c>
    </row>
    <row r="4335">
      <c r="A4335" s="32"/>
      <c r="T4335" s="31" t="s">
        <v>16723</v>
      </c>
      <c r="U4335" s="31" t="s">
        <v>16724</v>
      </c>
      <c r="V4335" s="32">
        <v>42502.0</v>
      </c>
    </row>
    <row r="4336">
      <c r="A4336" s="32"/>
      <c r="T4336" s="31" t="s">
        <v>16727</v>
      </c>
      <c r="U4336" s="31" t="s">
        <v>16728</v>
      </c>
      <c r="V4336" s="32">
        <v>42502.0</v>
      </c>
    </row>
    <row r="4337">
      <c r="A4337" s="32"/>
      <c r="T4337" s="31" t="s">
        <v>16732</v>
      </c>
      <c r="U4337" s="31" t="s">
        <v>16733</v>
      </c>
      <c r="V4337" s="32">
        <v>42502.0</v>
      </c>
    </row>
    <row r="4338">
      <c r="A4338" s="32"/>
      <c r="T4338" s="31" t="s">
        <v>16736</v>
      </c>
      <c r="U4338" s="31" t="s">
        <v>16737</v>
      </c>
      <c r="V4338" s="32">
        <v>42501.0</v>
      </c>
    </row>
    <row r="4339">
      <c r="A4339" s="32"/>
      <c r="T4339" s="31" t="s">
        <v>16740</v>
      </c>
      <c r="U4339" s="31" t="s">
        <v>16741</v>
      </c>
      <c r="V4339" s="32">
        <v>42501.0</v>
      </c>
    </row>
    <row r="4340">
      <c r="A4340" s="32"/>
      <c r="T4340" s="31" t="s">
        <v>16744</v>
      </c>
      <c r="U4340" s="31" t="s">
        <v>16745</v>
      </c>
      <c r="V4340" s="32">
        <v>42499.0</v>
      </c>
    </row>
    <row r="4341">
      <c r="A4341" s="32"/>
      <c r="T4341" s="31" t="s">
        <v>16748</v>
      </c>
      <c r="U4341" s="31" t="s">
        <v>16749</v>
      </c>
      <c r="V4341" s="32">
        <v>42497.0</v>
      </c>
    </row>
    <row r="4342">
      <c r="A4342" s="32"/>
      <c r="T4342" s="31" t="s">
        <v>16752</v>
      </c>
      <c r="U4342" s="31" t="s">
        <v>16753</v>
      </c>
      <c r="V4342" s="32">
        <v>42497.0</v>
      </c>
    </row>
    <row r="4343">
      <c r="A4343" s="32"/>
      <c r="T4343" s="31" t="s">
        <v>16756</v>
      </c>
      <c r="U4343" s="31" t="s">
        <v>16757</v>
      </c>
      <c r="V4343" s="32">
        <v>42497.0</v>
      </c>
    </row>
    <row r="4344">
      <c r="A4344" s="32"/>
      <c r="T4344" s="31" t="s">
        <v>16760</v>
      </c>
      <c r="U4344" s="31" t="s">
        <v>16761</v>
      </c>
      <c r="V4344" s="32">
        <v>42496.0</v>
      </c>
    </row>
    <row r="4345">
      <c r="A4345" s="32"/>
      <c r="T4345" s="31" t="s">
        <v>16764</v>
      </c>
      <c r="U4345" s="31" t="s">
        <v>16765</v>
      </c>
      <c r="V4345" s="32">
        <v>42496.0</v>
      </c>
    </row>
    <row r="4346">
      <c r="A4346" s="32"/>
      <c r="T4346" s="31" t="s">
        <v>16768</v>
      </c>
      <c r="U4346" s="31" t="s">
        <v>16769</v>
      </c>
      <c r="V4346" s="32">
        <v>42496.0</v>
      </c>
    </row>
    <row r="4347">
      <c r="A4347" s="32"/>
      <c r="T4347" s="31" t="s">
        <v>16772</v>
      </c>
      <c r="U4347" s="31" t="s">
        <v>16773</v>
      </c>
      <c r="V4347" s="32">
        <v>42496.0</v>
      </c>
    </row>
    <row r="4348">
      <c r="A4348" s="32"/>
      <c r="T4348" s="31" t="s">
        <v>16776</v>
      </c>
      <c r="U4348" s="31" t="s">
        <v>16777</v>
      </c>
      <c r="V4348" s="32">
        <v>42494.0</v>
      </c>
    </row>
    <row r="4349">
      <c r="A4349" s="32"/>
      <c r="T4349" s="31" t="s">
        <v>16780</v>
      </c>
      <c r="U4349" s="31" t="s">
        <v>16781</v>
      </c>
      <c r="V4349" s="32">
        <v>42494.0</v>
      </c>
    </row>
    <row r="4350">
      <c r="A4350" s="32"/>
      <c r="T4350" s="31" t="s">
        <v>16784</v>
      </c>
      <c r="U4350" s="31" t="s">
        <v>16785</v>
      </c>
      <c r="V4350" s="32">
        <v>42494.0</v>
      </c>
    </row>
    <row r="4351">
      <c r="A4351" s="32"/>
      <c r="T4351" s="31" t="s">
        <v>16788</v>
      </c>
      <c r="U4351" s="31" t="s">
        <v>16789</v>
      </c>
      <c r="V4351" s="32">
        <v>42491.0</v>
      </c>
    </row>
    <row r="4352">
      <c r="A4352" s="32"/>
      <c r="T4352" s="31" t="s">
        <v>16792</v>
      </c>
      <c r="U4352" s="31" t="s">
        <v>16793</v>
      </c>
      <c r="V4352" s="32">
        <v>42491.0</v>
      </c>
    </row>
    <row r="4353">
      <c r="A4353" s="32"/>
      <c r="T4353" s="31" t="s">
        <v>16796</v>
      </c>
      <c r="U4353" s="31" t="s">
        <v>16797</v>
      </c>
      <c r="V4353" s="32">
        <v>42491.0</v>
      </c>
    </row>
    <row r="4354">
      <c r="A4354" s="32"/>
      <c r="T4354" s="31" t="s">
        <v>16800</v>
      </c>
      <c r="U4354" s="31" t="s">
        <v>16801</v>
      </c>
      <c r="V4354" s="32">
        <v>42491.0</v>
      </c>
    </row>
    <row r="4355">
      <c r="A4355" s="32"/>
      <c r="T4355" s="31" t="s">
        <v>16804</v>
      </c>
      <c r="U4355" s="31" t="s">
        <v>16805</v>
      </c>
      <c r="V4355" s="32">
        <v>42489.0</v>
      </c>
    </row>
    <row r="4356">
      <c r="A4356" s="32"/>
      <c r="T4356" s="31" t="s">
        <v>16808</v>
      </c>
      <c r="U4356" s="31" t="s">
        <v>16809</v>
      </c>
      <c r="V4356" s="32">
        <v>42488.0</v>
      </c>
    </row>
    <row r="4357">
      <c r="A4357" s="32"/>
      <c r="T4357" s="31" t="s">
        <v>16812</v>
      </c>
      <c r="U4357" s="31" t="s">
        <v>16813</v>
      </c>
      <c r="V4357" s="32">
        <v>42488.0</v>
      </c>
    </row>
    <row r="4358">
      <c r="A4358" s="32"/>
      <c r="T4358" s="31" t="s">
        <v>16816</v>
      </c>
      <c r="U4358" s="31" t="s">
        <v>16678</v>
      </c>
      <c r="V4358" s="32">
        <v>42488.0</v>
      </c>
    </row>
    <row r="4359">
      <c r="A4359" s="32"/>
      <c r="T4359" s="31" t="s">
        <v>16819</v>
      </c>
      <c r="U4359" s="31" t="s">
        <v>16095</v>
      </c>
      <c r="V4359" s="32">
        <v>42487.0</v>
      </c>
    </row>
    <row r="4360">
      <c r="A4360" s="32"/>
      <c r="T4360" s="31" t="s">
        <v>16822</v>
      </c>
      <c r="U4360" s="31" t="s">
        <v>16823</v>
      </c>
      <c r="V4360" s="32">
        <v>42486.0</v>
      </c>
    </row>
    <row r="4361">
      <c r="A4361" s="32"/>
      <c r="T4361" s="31" t="s">
        <v>16826</v>
      </c>
      <c r="U4361" s="31" t="s">
        <v>16827</v>
      </c>
      <c r="V4361" s="32">
        <v>42486.0</v>
      </c>
    </row>
    <row r="4362">
      <c r="A4362" s="32"/>
      <c r="T4362" s="31" t="s">
        <v>16830</v>
      </c>
      <c r="U4362" s="31" t="s">
        <v>16831</v>
      </c>
      <c r="V4362" s="32">
        <v>42486.0</v>
      </c>
    </row>
    <row r="4363">
      <c r="A4363" s="32"/>
      <c r="T4363" s="31" t="s">
        <v>16834</v>
      </c>
      <c r="U4363" s="31" t="s">
        <v>16678</v>
      </c>
      <c r="V4363" s="32">
        <v>42486.0</v>
      </c>
    </row>
    <row r="4364">
      <c r="A4364" s="32"/>
      <c r="T4364" s="31" t="s">
        <v>16837</v>
      </c>
      <c r="U4364" s="31" t="s">
        <v>16838</v>
      </c>
      <c r="V4364" s="32">
        <v>42486.0</v>
      </c>
    </row>
    <row r="4365">
      <c r="A4365" s="32"/>
      <c r="T4365" s="31" t="s">
        <v>16841</v>
      </c>
      <c r="U4365" s="31" t="s">
        <v>16842</v>
      </c>
      <c r="V4365" s="32">
        <v>42486.0</v>
      </c>
    </row>
    <row r="4366">
      <c r="A4366" s="32"/>
      <c r="T4366" s="31" t="s">
        <v>16845</v>
      </c>
      <c r="U4366" s="31" t="s">
        <v>16846</v>
      </c>
      <c r="V4366" s="32">
        <v>42486.0</v>
      </c>
    </row>
    <row r="4367">
      <c r="A4367" s="32"/>
      <c r="T4367" s="31" t="s">
        <v>16849</v>
      </c>
      <c r="U4367" s="31" t="s">
        <v>16850</v>
      </c>
      <c r="V4367" s="32">
        <v>42485.0</v>
      </c>
    </row>
    <row r="4368">
      <c r="A4368" s="32"/>
      <c r="T4368" s="31" t="s">
        <v>16853</v>
      </c>
      <c r="U4368" s="31" t="s">
        <v>16854</v>
      </c>
      <c r="V4368" s="32">
        <v>42482.0</v>
      </c>
    </row>
    <row r="4369">
      <c r="A4369" s="32"/>
      <c r="T4369" s="31" t="s">
        <v>16857</v>
      </c>
      <c r="U4369" s="31" t="s">
        <v>16858</v>
      </c>
      <c r="V4369" s="32">
        <v>42482.0</v>
      </c>
    </row>
    <row r="4370">
      <c r="A4370" s="32"/>
      <c r="T4370" s="31" t="s">
        <v>16861</v>
      </c>
      <c r="U4370" s="31" t="s">
        <v>16862</v>
      </c>
      <c r="V4370" s="32">
        <v>42481.0</v>
      </c>
    </row>
    <row r="4371">
      <c r="A4371" s="32"/>
      <c r="T4371" s="31" t="s">
        <v>16865</v>
      </c>
      <c r="U4371" s="31" t="s">
        <v>16866</v>
      </c>
      <c r="V4371" s="32">
        <v>42481.0</v>
      </c>
    </row>
    <row r="4372">
      <c r="A4372" s="32"/>
      <c r="T4372" s="31" t="s">
        <v>16869</v>
      </c>
      <c r="U4372" s="31" t="s">
        <v>16870</v>
      </c>
      <c r="V4372" s="32">
        <v>42480.0</v>
      </c>
    </row>
    <row r="4373">
      <c r="A4373" s="32"/>
      <c r="T4373" s="31" t="s">
        <v>16873</v>
      </c>
      <c r="U4373" s="31" t="s">
        <v>16874</v>
      </c>
      <c r="V4373" s="32">
        <v>42479.0</v>
      </c>
    </row>
    <row r="4374">
      <c r="A4374" s="32"/>
      <c r="T4374" s="31" t="s">
        <v>16877</v>
      </c>
      <c r="U4374" s="31" t="s">
        <v>16878</v>
      </c>
      <c r="V4374" s="32">
        <v>42478.0</v>
      </c>
    </row>
    <row r="4375">
      <c r="A4375" s="32"/>
      <c r="T4375" s="31" t="s">
        <v>16880</v>
      </c>
      <c r="U4375" s="31" t="s">
        <v>16881</v>
      </c>
      <c r="V4375" s="32">
        <v>42478.0</v>
      </c>
    </row>
    <row r="4376">
      <c r="A4376" s="32"/>
      <c r="T4376" s="31" t="s">
        <v>16883</v>
      </c>
      <c r="U4376" s="31" t="s">
        <v>16884</v>
      </c>
      <c r="V4376" s="32">
        <v>42478.0</v>
      </c>
    </row>
    <row r="4377">
      <c r="A4377" s="32"/>
      <c r="T4377" s="31" t="s">
        <v>16886</v>
      </c>
      <c r="U4377" s="31" t="s">
        <v>16887</v>
      </c>
      <c r="V4377" s="32">
        <v>42478.0</v>
      </c>
    </row>
    <row r="4378">
      <c r="A4378" s="32"/>
      <c r="T4378" s="31" t="s">
        <v>16890</v>
      </c>
      <c r="U4378" s="31" t="s">
        <v>16095</v>
      </c>
      <c r="V4378" s="32">
        <v>42476.0</v>
      </c>
    </row>
    <row r="4379">
      <c r="A4379" s="32"/>
      <c r="T4379" s="31" t="s">
        <v>16893</v>
      </c>
      <c r="U4379" s="31" t="s">
        <v>16894</v>
      </c>
      <c r="V4379" s="32">
        <v>42474.0</v>
      </c>
    </row>
    <row r="4380">
      <c r="A4380" s="32"/>
      <c r="T4380" s="31" t="s">
        <v>16897</v>
      </c>
      <c r="U4380" s="31" t="s">
        <v>16898</v>
      </c>
      <c r="V4380" s="32">
        <v>42473.0</v>
      </c>
    </row>
    <row r="4381">
      <c r="A4381" s="32"/>
      <c r="T4381" s="31" t="s">
        <v>16901</v>
      </c>
      <c r="U4381" s="31" t="s">
        <v>16902</v>
      </c>
      <c r="V4381" s="32">
        <v>42472.0</v>
      </c>
    </row>
    <row r="4382">
      <c r="A4382" s="32"/>
      <c r="T4382" s="31" t="s">
        <v>16905</v>
      </c>
      <c r="U4382" s="31" t="s">
        <v>16906</v>
      </c>
      <c r="V4382" s="32">
        <v>42472.0</v>
      </c>
    </row>
    <row r="4383">
      <c r="A4383" s="32"/>
      <c r="T4383" s="31" t="s">
        <v>16909</v>
      </c>
      <c r="U4383" s="31" t="s">
        <v>16910</v>
      </c>
      <c r="V4383" s="32">
        <v>42471.0</v>
      </c>
    </row>
    <row r="4384">
      <c r="A4384" s="32"/>
      <c r="T4384" s="31" t="s">
        <v>16913</v>
      </c>
      <c r="U4384" s="31" t="s">
        <v>16914</v>
      </c>
      <c r="V4384" s="32">
        <v>42468.0</v>
      </c>
    </row>
    <row r="4385">
      <c r="A4385" s="32"/>
      <c r="T4385" s="31" t="s">
        <v>16917</v>
      </c>
      <c r="U4385" s="31" t="s">
        <v>16918</v>
      </c>
      <c r="V4385" s="32">
        <v>42468.0</v>
      </c>
    </row>
    <row r="4386">
      <c r="A4386" s="32"/>
      <c r="T4386" s="31" t="s">
        <v>16921</v>
      </c>
      <c r="U4386" s="31" t="s">
        <v>16922</v>
      </c>
      <c r="V4386" s="32">
        <v>42468.0</v>
      </c>
    </row>
    <row r="4387">
      <c r="A4387" s="32"/>
      <c r="T4387" s="31" t="s">
        <v>16925</v>
      </c>
      <c r="U4387" s="31" t="s">
        <v>16926</v>
      </c>
      <c r="V4387" s="32">
        <v>42467.0</v>
      </c>
    </row>
    <row r="4388">
      <c r="A4388" s="32"/>
      <c r="T4388" s="31" t="s">
        <v>16929</v>
      </c>
      <c r="U4388" s="31" t="s">
        <v>16930</v>
      </c>
      <c r="V4388" s="32">
        <v>42466.0</v>
      </c>
    </row>
    <row r="4389">
      <c r="A4389" s="32"/>
      <c r="T4389" s="31" t="s">
        <v>16932</v>
      </c>
      <c r="U4389" s="31" t="s">
        <v>16933</v>
      </c>
      <c r="V4389" s="32">
        <v>42466.0</v>
      </c>
    </row>
    <row r="4390">
      <c r="A4390" s="32"/>
      <c r="T4390" s="31" t="s">
        <v>16936</v>
      </c>
      <c r="U4390" s="31" t="s">
        <v>16937</v>
      </c>
      <c r="V4390" s="32">
        <v>42466.0</v>
      </c>
    </row>
    <row r="4391">
      <c r="A4391" s="32"/>
      <c r="T4391" s="31" t="s">
        <v>16940</v>
      </c>
      <c r="U4391" s="31" t="s">
        <v>16941</v>
      </c>
      <c r="V4391" s="32">
        <v>42465.0</v>
      </c>
    </row>
    <row r="4392">
      <c r="A4392" s="32"/>
      <c r="T4392" s="31" t="s">
        <v>16945</v>
      </c>
      <c r="U4392" s="31" t="s">
        <v>16946</v>
      </c>
      <c r="V4392" s="32">
        <v>42465.0</v>
      </c>
    </row>
    <row r="4393">
      <c r="A4393" s="32"/>
      <c r="T4393" s="31" t="s">
        <v>16948</v>
      </c>
      <c r="U4393" s="31" t="s">
        <v>16949</v>
      </c>
      <c r="V4393" s="32">
        <v>42465.0</v>
      </c>
    </row>
    <row r="4394">
      <c r="A4394" s="32"/>
      <c r="T4394" s="31" t="s">
        <v>16951</v>
      </c>
      <c r="U4394" s="31" t="s">
        <v>16952</v>
      </c>
      <c r="V4394" s="32">
        <v>42465.0</v>
      </c>
    </row>
    <row r="4395">
      <c r="A4395" s="32"/>
      <c r="T4395" s="31" t="s">
        <v>16955</v>
      </c>
      <c r="U4395" s="31" t="s">
        <v>16956</v>
      </c>
      <c r="V4395" s="32">
        <v>42461.0</v>
      </c>
    </row>
    <row r="4396">
      <c r="A4396" s="32"/>
      <c r="T4396" s="31" t="s">
        <v>16959</v>
      </c>
      <c r="U4396" s="31" t="s">
        <v>16960</v>
      </c>
      <c r="V4396" s="32">
        <v>42461.0</v>
      </c>
    </row>
    <row r="4397">
      <c r="A4397" s="32"/>
      <c r="T4397" s="31" t="s">
        <v>16964</v>
      </c>
      <c r="U4397" s="31" t="s">
        <v>16965</v>
      </c>
      <c r="V4397" s="32">
        <v>42461.0</v>
      </c>
    </row>
    <row r="4398">
      <c r="A4398" s="32"/>
      <c r="T4398" s="31" t="s">
        <v>16968</v>
      </c>
      <c r="U4398" s="31" t="s">
        <v>16969</v>
      </c>
      <c r="V4398" s="32">
        <v>42461.0</v>
      </c>
    </row>
    <row r="4399">
      <c r="A4399" s="32"/>
      <c r="T4399" s="31" t="s">
        <v>16973</v>
      </c>
      <c r="U4399" s="31" t="s">
        <v>16974</v>
      </c>
      <c r="V4399" s="32">
        <v>42459.0</v>
      </c>
    </row>
    <row r="4400">
      <c r="A4400" s="32"/>
      <c r="T4400" s="31" t="s">
        <v>16977</v>
      </c>
      <c r="U4400" s="31" t="s">
        <v>16978</v>
      </c>
      <c r="V4400" s="32">
        <v>42459.0</v>
      </c>
    </row>
    <row r="4401">
      <c r="A4401" s="32"/>
      <c r="T4401" s="31" t="s">
        <v>16980</v>
      </c>
      <c r="U4401" s="31" t="s">
        <v>16981</v>
      </c>
      <c r="V4401" s="32">
        <v>42459.0</v>
      </c>
    </row>
    <row r="4402">
      <c r="A4402" s="32"/>
      <c r="T4402" s="31" t="s">
        <v>16983</v>
      </c>
      <c r="U4402" s="31" t="s">
        <v>16984</v>
      </c>
      <c r="V4402" s="32">
        <v>42454.0</v>
      </c>
    </row>
    <row r="4403">
      <c r="A4403" s="32"/>
      <c r="T4403" s="31" t="s">
        <v>16987</v>
      </c>
      <c r="U4403" s="31" t="s">
        <v>16988</v>
      </c>
      <c r="V4403" s="32">
        <v>42451.0</v>
      </c>
    </row>
    <row r="4404">
      <c r="A4404" s="32"/>
      <c r="T4404" s="31" t="s">
        <v>16991</v>
      </c>
      <c r="U4404" s="31" t="s">
        <v>16992</v>
      </c>
      <c r="V4404" s="32">
        <v>42451.0</v>
      </c>
    </row>
    <row r="4405">
      <c r="A4405" s="32"/>
      <c r="T4405" s="31" t="s">
        <v>16995</v>
      </c>
      <c r="U4405" s="31" t="s">
        <v>16996</v>
      </c>
      <c r="V4405" s="32">
        <v>42451.0</v>
      </c>
    </row>
    <row r="4406">
      <c r="A4406" s="32"/>
      <c r="T4406" s="31" t="s">
        <v>16999</v>
      </c>
      <c r="U4406" s="31" t="s">
        <v>17000</v>
      </c>
      <c r="V4406" s="32">
        <v>42451.0</v>
      </c>
    </row>
    <row r="4407">
      <c r="A4407" s="32"/>
      <c r="T4407" s="31" t="s">
        <v>17003</v>
      </c>
      <c r="U4407" s="31" t="s">
        <v>17004</v>
      </c>
      <c r="V4407" s="32">
        <v>42451.0</v>
      </c>
    </row>
    <row r="4408">
      <c r="A4408" s="32"/>
      <c r="T4408" s="31" t="s">
        <v>17007</v>
      </c>
      <c r="U4408" s="31" t="s">
        <v>17008</v>
      </c>
      <c r="V4408" s="32">
        <v>42451.0</v>
      </c>
    </row>
    <row r="4409">
      <c r="A4409" s="32"/>
      <c r="T4409" s="31" t="s">
        <v>17011</v>
      </c>
      <c r="U4409" s="31" t="s">
        <v>17012</v>
      </c>
      <c r="V4409" s="32">
        <v>42450.0</v>
      </c>
    </row>
    <row r="4410">
      <c r="A4410" s="32"/>
      <c r="T4410" s="31" t="s">
        <v>17015</v>
      </c>
      <c r="U4410" s="31" t="s">
        <v>17016</v>
      </c>
      <c r="V4410" s="32">
        <v>42448.0</v>
      </c>
    </row>
    <row r="4411">
      <c r="A4411" s="32"/>
      <c r="T4411" s="31" t="s">
        <v>17019</v>
      </c>
      <c r="U4411" s="31" t="s">
        <v>17020</v>
      </c>
      <c r="V4411" s="32">
        <v>42447.0</v>
      </c>
    </row>
    <row r="4412">
      <c r="A4412" s="32"/>
      <c r="T4412" s="31" t="s">
        <v>17023</v>
      </c>
      <c r="U4412" s="31" t="s">
        <v>17024</v>
      </c>
      <c r="V4412" s="32">
        <v>42446.0</v>
      </c>
    </row>
    <row r="4413">
      <c r="A4413" s="32"/>
      <c r="T4413" s="31" t="s">
        <v>17027</v>
      </c>
      <c r="U4413" s="31" t="s">
        <v>16678</v>
      </c>
      <c r="V4413" s="32">
        <v>42446.0</v>
      </c>
    </row>
    <row r="4414">
      <c r="A4414" s="32"/>
      <c r="T4414" s="31" t="s">
        <v>17030</v>
      </c>
      <c r="U4414" s="31" t="s">
        <v>17031</v>
      </c>
      <c r="V4414" s="32">
        <v>42446.0</v>
      </c>
    </row>
    <row r="4415">
      <c r="A4415" s="32"/>
      <c r="T4415" s="31" t="s">
        <v>17034</v>
      </c>
      <c r="U4415" s="31" t="s">
        <v>17035</v>
      </c>
      <c r="V4415" s="32">
        <v>42439.0</v>
      </c>
    </row>
    <row r="4416">
      <c r="A4416" s="32"/>
      <c r="T4416" s="31" t="s">
        <v>17038</v>
      </c>
      <c r="U4416" s="31" t="s">
        <v>17039</v>
      </c>
      <c r="V4416" s="32">
        <v>42439.0</v>
      </c>
    </row>
    <row r="4417">
      <c r="A4417" s="32"/>
      <c r="T4417" s="31" t="s">
        <v>17042</v>
      </c>
      <c r="U4417" s="31" t="s">
        <v>17043</v>
      </c>
      <c r="V4417" s="32">
        <v>42438.0</v>
      </c>
    </row>
    <row r="4418">
      <c r="A4418" s="32"/>
      <c r="T4418" s="31" t="s">
        <v>17046</v>
      </c>
      <c r="U4418" s="31" t="s">
        <v>17047</v>
      </c>
      <c r="V4418" s="32">
        <v>42437.0</v>
      </c>
    </row>
    <row r="4419">
      <c r="A4419" s="32"/>
      <c r="T4419" s="31" t="s">
        <v>17050</v>
      </c>
      <c r="U4419" s="31" t="s">
        <v>17051</v>
      </c>
      <c r="V4419" s="32">
        <v>42435.0</v>
      </c>
    </row>
    <row r="4420">
      <c r="A4420" s="32"/>
      <c r="T4420" s="31" t="s">
        <v>17053</v>
      </c>
      <c r="U4420" s="31" t="s">
        <v>17054</v>
      </c>
      <c r="V4420" s="32">
        <v>42431.0</v>
      </c>
    </row>
    <row r="4421">
      <c r="A4421" s="32"/>
      <c r="T4421" s="31" t="s">
        <v>17057</v>
      </c>
      <c r="U4421" s="31" t="s">
        <v>17058</v>
      </c>
      <c r="V4421" s="32">
        <v>42431.0</v>
      </c>
    </row>
    <row r="4422">
      <c r="A4422" s="32"/>
      <c r="T4422" s="31" t="s">
        <v>17061</v>
      </c>
      <c r="U4422" s="31" t="s">
        <v>17062</v>
      </c>
      <c r="V4422" s="32">
        <v>42431.0</v>
      </c>
    </row>
    <row r="4423">
      <c r="A4423" s="32"/>
      <c r="T4423" s="31" t="s">
        <v>17065</v>
      </c>
      <c r="U4423" s="31" t="s">
        <v>17066</v>
      </c>
      <c r="V4423" s="32">
        <v>42431.0</v>
      </c>
    </row>
    <row r="4424">
      <c r="A4424" s="32"/>
      <c r="T4424" s="31" t="s">
        <v>17068</v>
      </c>
      <c r="U4424" s="31" t="s">
        <v>17069</v>
      </c>
      <c r="V4424" s="32">
        <v>42430.0</v>
      </c>
    </row>
    <row r="4425">
      <c r="A4425" s="32"/>
      <c r="T4425" s="31" t="s">
        <v>17073</v>
      </c>
      <c r="U4425" s="31" t="s">
        <v>17074</v>
      </c>
      <c r="V4425" s="32">
        <v>42430.0</v>
      </c>
    </row>
    <row r="4426">
      <c r="A4426" s="32"/>
      <c r="T4426" s="31" t="s">
        <v>17077</v>
      </c>
      <c r="U4426" s="31" t="s">
        <v>17078</v>
      </c>
      <c r="V4426" s="32">
        <v>42430.0</v>
      </c>
    </row>
    <row r="4427">
      <c r="A4427" s="32"/>
      <c r="T4427" s="31" t="s">
        <v>17081</v>
      </c>
      <c r="U4427" s="31" t="s">
        <v>17082</v>
      </c>
      <c r="V4427" s="32">
        <v>42430.0</v>
      </c>
    </row>
    <row r="4428">
      <c r="A4428" s="32"/>
      <c r="T4428" s="31" t="s">
        <v>17085</v>
      </c>
      <c r="U4428" s="31" t="s">
        <v>17086</v>
      </c>
      <c r="V4428" s="32">
        <v>42430.0</v>
      </c>
    </row>
    <row r="4429">
      <c r="A4429" s="32"/>
      <c r="T4429" s="31" t="s">
        <v>17089</v>
      </c>
      <c r="U4429" s="31" t="s">
        <v>17090</v>
      </c>
      <c r="V4429" s="32">
        <v>42430.0</v>
      </c>
    </row>
    <row r="4430">
      <c r="A4430" s="32"/>
      <c r="T4430" s="31" t="s">
        <v>17093</v>
      </c>
      <c r="U4430" s="31" t="s">
        <v>17094</v>
      </c>
      <c r="V4430" s="32">
        <v>42430.0</v>
      </c>
    </row>
    <row r="4431">
      <c r="A4431" s="32"/>
      <c r="T4431" s="31" t="s">
        <v>17097</v>
      </c>
      <c r="U4431" s="31" t="s">
        <v>17098</v>
      </c>
      <c r="V4431" s="32">
        <v>42430.0</v>
      </c>
    </row>
    <row r="4432">
      <c r="A4432" s="32"/>
      <c r="T4432" s="31" t="s">
        <v>17101</v>
      </c>
      <c r="U4432" s="31" t="s">
        <v>17102</v>
      </c>
      <c r="V4432" s="32">
        <v>42427.0</v>
      </c>
    </row>
    <row r="4433">
      <c r="A4433" s="32"/>
      <c r="T4433" s="31" t="s">
        <v>17106</v>
      </c>
      <c r="U4433" s="31" t="s">
        <v>17107</v>
      </c>
      <c r="V4433" s="32">
        <v>42426.0</v>
      </c>
    </row>
    <row r="4434">
      <c r="A4434" s="32"/>
      <c r="T4434" s="31" t="s">
        <v>17110</v>
      </c>
      <c r="U4434" s="31" t="s">
        <v>17111</v>
      </c>
      <c r="V4434" s="32">
        <v>42423.0</v>
      </c>
    </row>
    <row r="4435">
      <c r="A4435" s="32"/>
      <c r="T4435" s="31" t="s">
        <v>17114</v>
      </c>
      <c r="U4435" s="31" t="s">
        <v>17115</v>
      </c>
      <c r="V4435" s="32">
        <v>42423.0</v>
      </c>
    </row>
    <row r="4436">
      <c r="A4436" s="32"/>
      <c r="T4436" s="31" t="s">
        <v>17118</v>
      </c>
      <c r="U4436" s="31" t="s">
        <v>17119</v>
      </c>
      <c r="V4436" s="32">
        <v>42421.0</v>
      </c>
    </row>
    <row r="4437">
      <c r="A4437" s="32"/>
      <c r="T4437" s="31" t="s">
        <v>17122</v>
      </c>
      <c r="U4437" s="31" t="s">
        <v>16946</v>
      </c>
      <c r="V4437" s="32">
        <v>42421.0</v>
      </c>
    </row>
    <row r="4438">
      <c r="A4438" s="32"/>
      <c r="T4438" s="31" t="s">
        <v>17124</v>
      </c>
      <c r="U4438" s="31" t="s">
        <v>17125</v>
      </c>
      <c r="V4438" s="32">
        <v>42420.0</v>
      </c>
    </row>
    <row r="4439">
      <c r="A4439" s="32"/>
      <c r="T4439" s="31" t="s">
        <v>17128</v>
      </c>
      <c r="U4439" s="31" t="s">
        <v>16678</v>
      </c>
      <c r="V4439" s="32">
        <v>42419.0</v>
      </c>
    </row>
    <row r="4440">
      <c r="A4440" s="32"/>
      <c r="T4440" s="31" t="s">
        <v>17131</v>
      </c>
      <c r="U4440" s="31" t="s">
        <v>17132</v>
      </c>
      <c r="V4440" s="32">
        <v>42418.0</v>
      </c>
    </row>
    <row r="4441">
      <c r="A4441" s="32"/>
      <c r="T4441" s="31" t="s">
        <v>17136</v>
      </c>
      <c r="U4441" s="31" t="s">
        <v>17137</v>
      </c>
      <c r="V4441" s="32">
        <v>42417.0</v>
      </c>
    </row>
    <row r="4442">
      <c r="A4442" s="32"/>
      <c r="T4442" s="31" t="s">
        <v>17140</v>
      </c>
      <c r="U4442" s="31" t="s">
        <v>17141</v>
      </c>
      <c r="V4442" s="32">
        <v>42416.0</v>
      </c>
    </row>
    <row r="4443">
      <c r="A4443" s="32"/>
      <c r="T4443" s="31" t="s">
        <v>17144</v>
      </c>
      <c r="U4443" s="31" t="s">
        <v>16678</v>
      </c>
      <c r="V4443" s="32">
        <v>42416.0</v>
      </c>
    </row>
    <row r="4444">
      <c r="A4444" s="32"/>
      <c r="T4444" s="31" t="s">
        <v>17147</v>
      </c>
      <c r="U4444" s="31" t="s">
        <v>17148</v>
      </c>
      <c r="V4444" s="32">
        <v>42416.0</v>
      </c>
    </row>
    <row r="4445">
      <c r="A4445" s="32"/>
      <c r="T4445" s="31" t="s">
        <v>17151</v>
      </c>
      <c r="U4445" s="31" t="s">
        <v>17152</v>
      </c>
      <c r="V4445" s="32">
        <v>42415.0</v>
      </c>
    </row>
    <row r="4446">
      <c r="A4446" s="32"/>
      <c r="T4446" s="31" t="s">
        <v>17155</v>
      </c>
      <c r="U4446" s="31" t="s">
        <v>17156</v>
      </c>
      <c r="V4446" s="32">
        <v>42415.0</v>
      </c>
    </row>
    <row r="4447">
      <c r="A4447" s="32"/>
      <c r="T4447" s="31" t="s">
        <v>17159</v>
      </c>
      <c r="U4447" s="31" t="s">
        <v>17160</v>
      </c>
      <c r="V4447" s="32">
        <v>42412.0</v>
      </c>
    </row>
    <row r="4448">
      <c r="A4448" s="32"/>
      <c r="T4448" s="31" t="s">
        <v>17163</v>
      </c>
      <c r="U4448" s="31" t="s">
        <v>17164</v>
      </c>
      <c r="V4448" s="32">
        <v>42412.0</v>
      </c>
    </row>
    <row r="4449">
      <c r="A4449" s="32"/>
      <c r="T4449" s="31" t="s">
        <v>17167</v>
      </c>
      <c r="U4449" s="31" t="s">
        <v>17168</v>
      </c>
      <c r="V4449" s="32">
        <v>42412.0</v>
      </c>
    </row>
    <row r="4450">
      <c r="A4450" s="32"/>
      <c r="T4450" s="31" t="s">
        <v>17171</v>
      </c>
      <c r="U4450" s="31" t="s">
        <v>17172</v>
      </c>
      <c r="V4450" s="32">
        <v>42409.0</v>
      </c>
    </row>
    <row r="4451">
      <c r="A4451" s="32"/>
      <c r="T4451" s="31" t="s">
        <v>17175</v>
      </c>
      <c r="U4451" s="31" t="s">
        <v>17176</v>
      </c>
      <c r="V4451" s="32">
        <v>42409.0</v>
      </c>
    </row>
    <row r="4452">
      <c r="A4452" s="32"/>
      <c r="T4452" s="31" t="s">
        <v>17179</v>
      </c>
      <c r="U4452" s="31" t="s">
        <v>17180</v>
      </c>
      <c r="V4452" s="32">
        <v>42409.0</v>
      </c>
    </row>
    <row r="4453">
      <c r="A4453" s="32"/>
      <c r="T4453" s="31" t="s">
        <v>17183</v>
      </c>
      <c r="U4453" s="31" t="s">
        <v>17184</v>
      </c>
      <c r="V4453" s="32">
        <v>42408.0</v>
      </c>
    </row>
    <row r="4454">
      <c r="A4454" s="32"/>
      <c r="T4454" s="31" t="s">
        <v>17186</v>
      </c>
      <c r="U4454" s="31" t="s">
        <v>17187</v>
      </c>
      <c r="V4454" s="32">
        <v>42408.0</v>
      </c>
    </row>
    <row r="4455">
      <c r="A4455" s="32"/>
      <c r="T4455" s="31" t="s">
        <v>17190</v>
      </c>
      <c r="U4455" s="31" t="s">
        <v>17191</v>
      </c>
      <c r="V4455" s="32">
        <v>42408.0</v>
      </c>
    </row>
    <row r="4456">
      <c r="A4456" s="32"/>
      <c r="T4456" s="31" t="s">
        <v>17194</v>
      </c>
      <c r="U4456" s="31" t="s">
        <v>17195</v>
      </c>
      <c r="V4456" s="32">
        <v>42406.0</v>
      </c>
    </row>
    <row r="4457">
      <c r="A4457" s="32"/>
      <c r="T4457" s="31" t="s">
        <v>17198</v>
      </c>
      <c r="U4457" s="31" t="s">
        <v>17199</v>
      </c>
      <c r="V4457" s="32">
        <v>42405.0</v>
      </c>
    </row>
    <row r="4458">
      <c r="A4458" s="32"/>
      <c r="T4458" s="31" t="s">
        <v>17201</v>
      </c>
      <c r="U4458" s="31" t="s">
        <v>17202</v>
      </c>
      <c r="V4458" s="32">
        <v>42405.0</v>
      </c>
    </row>
    <row r="4459">
      <c r="A4459" s="32"/>
      <c r="T4459" s="31" t="s">
        <v>17205</v>
      </c>
      <c r="U4459" s="31" t="s">
        <v>17206</v>
      </c>
      <c r="V4459" s="32">
        <v>42404.0</v>
      </c>
    </row>
    <row r="4460">
      <c r="A4460" s="32"/>
      <c r="T4460" s="31" t="s">
        <v>17209</v>
      </c>
      <c r="U4460" s="31" t="s">
        <v>17210</v>
      </c>
      <c r="V4460" s="32">
        <v>42404.0</v>
      </c>
    </row>
    <row r="4461">
      <c r="A4461" s="32"/>
      <c r="T4461" s="31" t="s">
        <v>17212</v>
      </c>
      <c r="U4461" s="31" t="s">
        <v>17213</v>
      </c>
      <c r="V4461" s="32">
        <v>42404.0</v>
      </c>
    </row>
    <row r="4462">
      <c r="A4462" s="32"/>
      <c r="T4462" s="31" t="s">
        <v>17216</v>
      </c>
      <c r="U4462" s="31" t="s">
        <v>17217</v>
      </c>
      <c r="V4462" s="32">
        <v>42404.0</v>
      </c>
    </row>
    <row r="4463">
      <c r="A4463" s="32"/>
      <c r="T4463" s="31" t="s">
        <v>17220</v>
      </c>
      <c r="U4463" s="31" t="s">
        <v>17221</v>
      </c>
      <c r="V4463" s="32">
        <v>42402.0</v>
      </c>
    </row>
    <row r="4464">
      <c r="A4464" s="32"/>
      <c r="T4464" s="31" t="s">
        <v>17224</v>
      </c>
      <c r="U4464" s="31" t="s">
        <v>17225</v>
      </c>
      <c r="V4464" s="32">
        <v>42401.0</v>
      </c>
    </row>
    <row r="4465">
      <c r="A4465" s="32"/>
      <c r="T4465" s="31" t="s">
        <v>17228</v>
      </c>
      <c r="U4465" s="31" t="s">
        <v>17229</v>
      </c>
      <c r="V4465" s="32">
        <v>42401.0</v>
      </c>
    </row>
    <row r="4466">
      <c r="A4466" s="32"/>
      <c r="T4466" s="31" t="s">
        <v>17232</v>
      </c>
      <c r="U4466" s="31" t="s">
        <v>17233</v>
      </c>
      <c r="V4466" s="32">
        <v>42401.0</v>
      </c>
    </row>
    <row r="4467">
      <c r="A4467" s="32"/>
      <c r="T4467" s="31" t="s">
        <v>17236</v>
      </c>
      <c r="U4467" s="31" t="s">
        <v>17237</v>
      </c>
      <c r="V4467" s="32">
        <v>42399.0</v>
      </c>
    </row>
    <row r="4468">
      <c r="A4468" s="32"/>
      <c r="T4468" s="31" t="s">
        <v>17240</v>
      </c>
      <c r="U4468" s="31" t="s">
        <v>17241</v>
      </c>
      <c r="V4468" s="32">
        <v>42399.0</v>
      </c>
    </row>
    <row r="4469">
      <c r="A4469" s="32"/>
      <c r="T4469" s="31" t="s">
        <v>17245</v>
      </c>
      <c r="U4469" s="31" t="s">
        <v>17246</v>
      </c>
      <c r="V4469" s="32">
        <v>42398.0</v>
      </c>
    </row>
    <row r="4470">
      <c r="A4470" s="32"/>
      <c r="T4470" s="31" t="s">
        <v>17250</v>
      </c>
      <c r="U4470" s="31" t="s">
        <v>16095</v>
      </c>
      <c r="V4470" s="32">
        <v>42398.0</v>
      </c>
    </row>
    <row r="4471">
      <c r="A4471" s="32"/>
      <c r="T4471" s="31" t="s">
        <v>17253</v>
      </c>
      <c r="U4471" s="31" t="s">
        <v>17254</v>
      </c>
      <c r="V4471" s="32">
        <v>42395.0</v>
      </c>
    </row>
    <row r="4472">
      <c r="A4472" s="32"/>
      <c r="T4472" s="31" t="s">
        <v>17257</v>
      </c>
      <c r="U4472" s="31" t="s">
        <v>17258</v>
      </c>
      <c r="V4472" s="32">
        <v>42394.0</v>
      </c>
    </row>
    <row r="4473">
      <c r="A4473" s="32"/>
      <c r="T4473" s="31" t="s">
        <v>17260</v>
      </c>
      <c r="U4473" s="31" t="s">
        <v>17261</v>
      </c>
      <c r="V4473" s="32">
        <v>42394.0</v>
      </c>
    </row>
    <row r="4474">
      <c r="A4474" s="32"/>
      <c r="T4474" s="31" t="s">
        <v>17264</v>
      </c>
      <c r="U4474" s="31" t="s">
        <v>17265</v>
      </c>
      <c r="V4474" s="32">
        <v>42390.0</v>
      </c>
    </row>
    <row r="4475">
      <c r="A4475" s="32"/>
      <c r="T4475" s="31" t="s">
        <v>17268</v>
      </c>
      <c r="U4475" s="31" t="s">
        <v>17269</v>
      </c>
      <c r="V4475" s="32">
        <v>42390.0</v>
      </c>
    </row>
    <row r="4476">
      <c r="A4476" s="32"/>
      <c r="T4476" s="31" t="s">
        <v>17272</v>
      </c>
      <c r="U4476" s="31" t="s">
        <v>17273</v>
      </c>
      <c r="V4476" s="32">
        <v>42389.0</v>
      </c>
    </row>
    <row r="4477">
      <c r="A4477" s="32"/>
      <c r="T4477" s="31" t="s">
        <v>17277</v>
      </c>
      <c r="U4477" s="31" t="s">
        <v>17278</v>
      </c>
      <c r="V4477" s="32">
        <v>42389.0</v>
      </c>
    </row>
    <row r="4478">
      <c r="A4478" s="32"/>
      <c r="T4478" s="31" t="s">
        <v>17281</v>
      </c>
      <c r="U4478" s="31" t="s">
        <v>17282</v>
      </c>
      <c r="V4478" s="32">
        <v>42389.0</v>
      </c>
    </row>
    <row r="4479">
      <c r="A4479" s="32"/>
      <c r="T4479" s="31" t="s">
        <v>17285</v>
      </c>
      <c r="U4479" s="31" t="s">
        <v>17286</v>
      </c>
      <c r="V4479" s="32">
        <v>42389.0</v>
      </c>
    </row>
    <row r="4480">
      <c r="A4480" s="32"/>
      <c r="T4480" s="31" t="s">
        <v>17289</v>
      </c>
      <c r="U4480" s="31" t="s">
        <v>17290</v>
      </c>
      <c r="V4480" s="32">
        <v>42388.0</v>
      </c>
    </row>
    <row r="4481">
      <c r="A4481" s="32"/>
      <c r="T4481" s="31" t="s">
        <v>17294</v>
      </c>
      <c r="U4481" s="31" t="s">
        <v>17295</v>
      </c>
      <c r="V4481" s="32">
        <v>42384.0</v>
      </c>
    </row>
    <row r="4482">
      <c r="A4482" s="32"/>
      <c r="T4482" s="31" t="s">
        <v>17298</v>
      </c>
      <c r="U4482" s="31" t="s">
        <v>17299</v>
      </c>
      <c r="V4482" s="32">
        <v>42383.0</v>
      </c>
    </row>
    <row r="4483">
      <c r="A4483" s="32"/>
      <c r="T4483" s="31" t="s">
        <v>17302</v>
      </c>
      <c r="U4483" s="31" t="s">
        <v>17303</v>
      </c>
      <c r="V4483" s="32">
        <v>42383.0</v>
      </c>
    </row>
    <row r="4484">
      <c r="A4484" s="32"/>
      <c r="T4484" s="31" t="s">
        <v>17307</v>
      </c>
      <c r="U4484" s="31" t="s">
        <v>17308</v>
      </c>
      <c r="V4484" s="32">
        <v>42382.0</v>
      </c>
    </row>
    <row r="4485">
      <c r="A4485" s="32"/>
      <c r="T4485" s="31" t="s">
        <v>17311</v>
      </c>
      <c r="U4485" s="31" t="s">
        <v>17312</v>
      </c>
      <c r="V4485" s="32">
        <v>42381.0</v>
      </c>
    </row>
    <row r="4486">
      <c r="A4486" s="32"/>
      <c r="T4486" s="31" t="s">
        <v>17315</v>
      </c>
      <c r="U4486" s="31" t="s">
        <v>17316</v>
      </c>
      <c r="V4486" s="32">
        <v>42380.0</v>
      </c>
    </row>
    <row r="4487">
      <c r="A4487" s="32"/>
      <c r="T4487" s="31" t="s">
        <v>17319</v>
      </c>
      <c r="U4487" s="31" t="s">
        <v>17320</v>
      </c>
      <c r="V4487" s="32">
        <v>42380.0</v>
      </c>
    </row>
    <row r="4488">
      <c r="A4488" s="32"/>
      <c r="T4488" s="31" t="s">
        <v>17323</v>
      </c>
      <c r="U4488" s="31" t="s">
        <v>17324</v>
      </c>
      <c r="V4488" s="32">
        <v>42380.0</v>
      </c>
    </row>
    <row r="4489">
      <c r="A4489" s="32"/>
      <c r="T4489" s="31" t="s">
        <v>17327</v>
      </c>
      <c r="U4489" s="31" t="s">
        <v>17328</v>
      </c>
      <c r="V4489" s="32">
        <v>42378.0</v>
      </c>
    </row>
    <row r="4490">
      <c r="A4490" s="32"/>
      <c r="T4490" s="31" t="s">
        <v>17331</v>
      </c>
      <c r="U4490" s="31" t="s">
        <v>16095</v>
      </c>
      <c r="V4490" s="32">
        <v>42377.0</v>
      </c>
    </row>
    <row r="4491">
      <c r="A4491" s="32"/>
      <c r="T4491" s="31" t="s">
        <v>17334</v>
      </c>
      <c r="U4491" s="31" t="s">
        <v>17335</v>
      </c>
      <c r="V4491" s="32">
        <v>42376.0</v>
      </c>
    </row>
    <row r="4492">
      <c r="A4492" s="32"/>
      <c r="T4492" s="31" t="s">
        <v>17338</v>
      </c>
      <c r="U4492" s="31" t="s">
        <v>17339</v>
      </c>
      <c r="V4492" s="32">
        <v>42376.0</v>
      </c>
    </row>
    <row r="4493">
      <c r="A4493" s="32"/>
      <c r="T4493" s="31" t="s">
        <v>17342</v>
      </c>
      <c r="U4493" s="31" t="s">
        <v>16095</v>
      </c>
      <c r="V4493" s="32">
        <v>42376.0</v>
      </c>
    </row>
    <row r="4494">
      <c r="A4494" s="32"/>
      <c r="T4494" s="31" t="s">
        <v>17345</v>
      </c>
      <c r="U4494" s="31" t="s">
        <v>17346</v>
      </c>
      <c r="V4494" s="32">
        <v>42376.0</v>
      </c>
    </row>
    <row r="4495">
      <c r="A4495" s="32"/>
      <c r="T4495" s="31" t="s">
        <v>17350</v>
      </c>
      <c r="U4495" s="31" t="s">
        <v>17351</v>
      </c>
      <c r="V4495" s="32">
        <v>42376.0</v>
      </c>
    </row>
    <row r="4496">
      <c r="A4496" s="32"/>
      <c r="T4496" s="31" t="s">
        <v>17354</v>
      </c>
      <c r="U4496" s="31" t="s">
        <v>17355</v>
      </c>
      <c r="V4496" s="32">
        <v>42375.0</v>
      </c>
    </row>
    <row r="4497">
      <c r="A4497" s="32"/>
      <c r="T4497" s="31" t="s">
        <v>17359</v>
      </c>
      <c r="U4497" s="31" t="s">
        <v>17360</v>
      </c>
      <c r="V4497" s="32">
        <v>42374.0</v>
      </c>
    </row>
    <row r="4498">
      <c r="A4498" s="32"/>
      <c r="T4498" s="31" t="s">
        <v>17363</v>
      </c>
      <c r="U4498" s="31" t="s">
        <v>16678</v>
      </c>
      <c r="V4498" s="32">
        <v>42374.0</v>
      </c>
    </row>
    <row r="4499">
      <c r="A4499" s="32"/>
      <c r="T4499" s="31" t="s">
        <v>17366</v>
      </c>
      <c r="U4499" s="31" t="s">
        <v>17360</v>
      </c>
      <c r="V4499" s="32">
        <v>42374.0</v>
      </c>
    </row>
    <row r="4500">
      <c r="A4500" s="32"/>
      <c r="T4500" s="31" t="s">
        <v>17369</v>
      </c>
      <c r="U4500" s="31" t="s">
        <v>17370</v>
      </c>
      <c r="V4500" s="32">
        <v>42373.0</v>
      </c>
    </row>
    <row r="4501">
      <c r="A4501" s="32"/>
      <c r="T4501" s="31" t="s">
        <v>17374</v>
      </c>
      <c r="U4501" s="31" t="s">
        <v>17375</v>
      </c>
      <c r="V4501" s="32">
        <v>42373.0</v>
      </c>
    </row>
    <row r="4502">
      <c r="A4502" s="32"/>
      <c r="T4502" s="31" t="s">
        <v>17378</v>
      </c>
      <c r="U4502" s="31" t="s">
        <v>17379</v>
      </c>
      <c r="V4502" s="32">
        <v>42373.0</v>
      </c>
    </row>
    <row r="4503">
      <c r="A4503" s="32"/>
      <c r="T4503" s="31" t="s">
        <v>17382</v>
      </c>
      <c r="U4503" s="31" t="s">
        <v>17383</v>
      </c>
      <c r="V4503" s="32">
        <v>42373.0</v>
      </c>
    </row>
    <row r="4504">
      <c r="A4504" s="32"/>
      <c r="T4504" s="31" t="s">
        <v>17386</v>
      </c>
      <c r="U4504" s="31" t="s">
        <v>17387</v>
      </c>
      <c r="V4504" s="32">
        <v>42372.0</v>
      </c>
    </row>
    <row r="4505">
      <c r="A4505" s="32"/>
      <c r="T4505" s="31" t="s">
        <v>17390</v>
      </c>
      <c r="U4505" s="31" t="s">
        <v>17391</v>
      </c>
      <c r="V4505" s="32">
        <v>42370.0</v>
      </c>
    </row>
    <row r="4506">
      <c r="A4506" s="32"/>
      <c r="T4506" s="31" t="s">
        <v>17394</v>
      </c>
      <c r="U4506" s="31" t="s">
        <v>17395</v>
      </c>
      <c r="V4506" s="32">
        <v>42370.0</v>
      </c>
    </row>
    <row r="4507">
      <c r="A4507" s="32"/>
      <c r="T4507" s="31" t="s">
        <v>17398</v>
      </c>
      <c r="U4507" s="31" t="s">
        <v>16548</v>
      </c>
      <c r="V4507" s="32">
        <v>42370.0</v>
      </c>
    </row>
    <row r="4508">
      <c r="A4508" s="32"/>
      <c r="T4508" s="31" t="s">
        <v>17401</v>
      </c>
      <c r="U4508" s="31" t="s">
        <v>14056</v>
      </c>
      <c r="V4508" s="32">
        <v>42370.0</v>
      </c>
    </row>
    <row r="4509">
      <c r="A4509" s="32"/>
      <c r="T4509" s="31" t="s">
        <v>17404</v>
      </c>
      <c r="U4509" s="31" t="s">
        <v>17405</v>
      </c>
      <c r="V4509" s="32">
        <v>42370.0</v>
      </c>
    </row>
    <row r="4510">
      <c r="A4510" s="32"/>
      <c r="T4510" s="31" t="s">
        <v>17408</v>
      </c>
      <c r="U4510" s="31" t="s">
        <v>17409</v>
      </c>
      <c r="V4510" s="32">
        <v>42370.0</v>
      </c>
    </row>
    <row r="4511">
      <c r="A4511" s="32"/>
      <c r="T4511" s="31" t="s">
        <v>17412</v>
      </c>
      <c r="U4511" s="31" t="s">
        <v>17413</v>
      </c>
      <c r="V4511" s="32">
        <v>42370.0</v>
      </c>
    </row>
    <row r="4512">
      <c r="A4512" s="32"/>
      <c r="T4512" s="31" t="s">
        <v>17416</v>
      </c>
      <c r="U4512" s="31" t="s">
        <v>17417</v>
      </c>
      <c r="V4512" s="32">
        <v>42370.0</v>
      </c>
    </row>
    <row r="4513">
      <c r="A4513" s="32"/>
      <c r="T4513" s="31" t="s">
        <v>17420</v>
      </c>
      <c r="U4513" s="31" t="s">
        <v>17421</v>
      </c>
      <c r="V4513" s="32">
        <v>42370.0</v>
      </c>
    </row>
    <row r="4514">
      <c r="A4514" s="32"/>
      <c r="T4514" s="31" t="s">
        <v>17424</v>
      </c>
      <c r="U4514" s="31" t="s">
        <v>17425</v>
      </c>
      <c r="V4514" s="32">
        <v>42370.0</v>
      </c>
    </row>
    <row r="4515">
      <c r="A4515" s="32"/>
      <c r="T4515" s="31" t="s">
        <v>17428</v>
      </c>
      <c r="U4515" s="31" t="s">
        <v>17429</v>
      </c>
      <c r="V4515" s="32">
        <v>42370.0</v>
      </c>
    </row>
    <row r="4516">
      <c r="A4516" s="32"/>
      <c r="T4516" s="31" t="s">
        <v>17433</v>
      </c>
      <c r="U4516" s="31" t="s">
        <v>17434</v>
      </c>
      <c r="V4516" s="32">
        <v>42370.0</v>
      </c>
    </row>
    <row r="4517">
      <c r="A4517" s="32"/>
      <c r="T4517" s="31" t="s">
        <v>17437</v>
      </c>
      <c r="U4517" s="31" t="s">
        <v>17438</v>
      </c>
      <c r="V4517" s="32">
        <v>42369.0</v>
      </c>
    </row>
    <row r="4518">
      <c r="A4518" s="32"/>
      <c r="T4518" s="31" t="s">
        <v>17441</v>
      </c>
      <c r="U4518" s="31" t="s">
        <v>16095</v>
      </c>
      <c r="V4518" s="32">
        <v>42368.0</v>
      </c>
    </row>
    <row r="4519">
      <c r="A4519" s="32"/>
      <c r="T4519" s="31" t="s">
        <v>17444</v>
      </c>
      <c r="U4519" s="31" t="s">
        <v>17445</v>
      </c>
      <c r="V4519" s="32">
        <v>42367.0</v>
      </c>
    </row>
    <row r="4520">
      <c r="A4520" s="32"/>
      <c r="T4520" s="31" t="s">
        <v>17448</v>
      </c>
      <c r="U4520" s="31" t="s">
        <v>17449</v>
      </c>
      <c r="V4520" s="32">
        <v>42366.0</v>
      </c>
    </row>
    <row r="4521">
      <c r="A4521" s="32"/>
      <c r="T4521" s="31" t="s">
        <v>17452</v>
      </c>
      <c r="U4521" s="31" t="s">
        <v>17453</v>
      </c>
      <c r="V4521" s="32">
        <v>42362.0</v>
      </c>
    </row>
    <row r="4522">
      <c r="A4522" s="32"/>
      <c r="T4522" s="31" t="s">
        <v>17456</v>
      </c>
      <c r="U4522" s="31" t="s">
        <v>17457</v>
      </c>
      <c r="V4522" s="32">
        <v>42362.0</v>
      </c>
    </row>
    <row r="4523">
      <c r="A4523" s="32"/>
      <c r="T4523" s="31" t="s">
        <v>17461</v>
      </c>
      <c r="U4523" s="31" t="s">
        <v>17462</v>
      </c>
      <c r="V4523" s="32">
        <v>42361.0</v>
      </c>
    </row>
    <row r="4524">
      <c r="A4524" s="32"/>
      <c r="T4524" s="31" t="s">
        <v>17466</v>
      </c>
      <c r="U4524" s="31" t="s">
        <v>17467</v>
      </c>
      <c r="V4524" s="32">
        <v>42361.0</v>
      </c>
    </row>
    <row r="4525">
      <c r="A4525" s="32"/>
      <c r="T4525" s="31" t="s">
        <v>17470</v>
      </c>
      <c r="U4525" s="31" t="s">
        <v>17471</v>
      </c>
      <c r="V4525" s="32">
        <v>42359.0</v>
      </c>
    </row>
    <row r="4526">
      <c r="A4526" s="32"/>
      <c r="T4526" s="31" t="s">
        <v>17474</v>
      </c>
      <c r="U4526" s="31" t="s">
        <v>15899</v>
      </c>
      <c r="V4526" s="32">
        <v>42356.0</v>
      </c>
    </row>
    <row r="4527">
      <c r="A4527" s="32"/>
      <c r="T4527" s="31" t="s">
        <v>17477</v>
      </c>
      <c r="U4527" s="31" t="s">
        <v>17478</v>
      </c>
      <c r="V4527" s="32">
        <v>42356.0</v>
      </c>
    </row>
    <row r="4528">
      <c r="A4528" s="32"/>
      <c r="T4528" s="31" t="s">
        <v>17481</v>
      </c>
      <c r="U4528" s="31" t="s">
        <v>17482</v>
      </c>
      <c r="V4528" s="32">
        <v>42355.0</v>
      </c>
    </row>
    <row r="4529">
      <c r="A4529" s="32"/>
      <c r="T4529" s="31" t="s">
        <v>17485</v>
      </c>
      <c r="U4529" s="31" t="s">
        <v>17486</v>
      </c>
      <c r="V4529" s="32">
        <v>42355.0</v>
      </c>
    </row>
    <row r="4530">
      <c r="A4530" s="32"/>
      <c r="T4530" s="31" t="s">
        <v>17489</v>
      </c>
      <c r="U4530" s="31" t="s">
        <v>17490</v>
      </c>
      <c r="V4530" s="32">
        <v>42354.0</v>
      </c>
    </row>
    <row r="4531">
      <c r="A4531" s="32"/>
      <c r="T4531" s="31" t="s">
        <v>17493</v>
      </c>
      <c r="U4531" s="31" t="s">
        <v>17494</v>
      </c>
      <c r="V4531" s="32">
        <v>42353.0</v>
      </c>
    </row>
    <row r="4532">
      <c r="A4532" s="32"/>
      <c r="T4532" s="31" t="s">
        <v>17497</v>
      </c>
      <c r="U4532" s="31" t="s">
        <v>17498</v>
      </c>
      <c r="V4532" s="32">
        <v>42353.0</v>
      </c>
    </row>
    <row r="4533">
      <c r="A4533" s="32"/>
      <c r="T4533" s="31" t="s">
        <v>17501</v>
      </c>
      <c r="U4533" s="31" t="s">
        <v>17502</v>
      </c>
      <c r="V4533" s="32">
        <v>42352.0</v>
      </c>
    </row>
    <row r="4534">
      <c r="A4534" s="32"/>
      <c r="T4534" s="31" t="s">
        <v>17505</v>
      </c>
      <c r="U4534" s="31" t="s">
        <v>17506</v>
      </c>
      <c r="V4534" s="32">
        <v>42349.0</v>
      </c>
    </row>
    <row r="4535">
      <c r="A4535" s="32"/>
      <c r="T4535" s="31" t="s">
        <v>17509</v>
      </c>
      <c r="U4535" s="31" t="s">
        <v>17510</v>
      </c>
      <c r="V4535" s="32">
        <v>42348.0</v>
      </c>
    </row>
    <row r="4536">
      <c r="A4536" s="32"/>
      <c r="T4536" s="31" t="s">
        <v>17513</v>
      </c>
      <c r="U4536" s="31" t="s">
        <v>16946</v>
      </c>
      <c r="V4536" s="32">
        <v>42347.0</v>
      </c>
    </row>
    <row r="4537">
      <c r="A4537" s="32"/>
      <c r="T4537" s="31" t="s">
        <v>17516</v>
      </c>
      <c r="U4537" s="31" t="s">
        <v>17517</v>
      </c>
      <c r="V4537" s="32">
        <v>42345.0</v>
      </c>
    </row>
    <row r="4538">
      <c r="A4538" s="32"/>
      <c r="T4538" s="31" t="s">
        <v>17519</v>
      </c>
      <c r="U4538" s="31" t="s">
        <v>17520</v>
      </c>
      <c r="V4538" s="32">
        <v>42345.0</v>
      </c>
    </row>
    <row r="4539">
      <c r="A4539" s="32"/>
      <c r="T4539" s="31" t="s">
        <v>17523</v>
      </c>
      <c r="U4539" s="31" t="s">
        <v>17524</v>
      </c>
      <c r="V4539" s="32">
        <v>42342.0</v>
      </c>
    </row>
    <row r="4540">
      <c r="A4540" s="32"/>
      <c r="T4540" s="31" t="s">
        <v>17527</v>
      </c>
      <c r="U4540" s="31" t="s">
        <v>17528</v>
      </c>
      <c r="V4540" s="32">
        <v>42340.0</v>
      </c>
    </row>
    <row r="4541">
      <c r="A4541" s="32"/>
      <c r="T4541" s="31" t="s">
        <v>17530</v>
      </c>
      <c r="U4541" s="31" t="s">
        <v>17531</v>
      </c>
      <c r="V4541" s="32">
        <v>42339.0</v>
      </c>
    </row>
    <row r="4542">
      <c r="A4542" s="32"/>
      <c r="T4542" s="31" t="s">
        <v>17535</v>
      </c>
      <c r="U4542" s="31" t="s">
        <v>17536</v>
      </c>
      <c r="V4542" s="32">
        <v>42339.0</v>
      </c>
    </row>
    <row r="4543">
      <c r="A4543" s="32"/>
      <c r="T4543" s="31" t="s">
        <v>17538</v>
      </c>
      <c r="U4543" s="31" t="s">
        <v>17539</v>
      </c>
      <c r="V4543" s="32">
        <v>42339.0</v>
      </c>
    </row>
    <row r="4544">
      <c r="A4544" s="32"/>
      <c r="T4544" s="31" t="s">
        <v>17543</v>
      </c>
      <c r="U4544" s="31" t="s">
        <v>17544</v>
      </c>
      <c r="V4544" s="32">
        <v>42339.0</v>
      </c>
    </row>
    <row r="4545">
      <c r="A4545" s="32"/>
      <c r="T4545" s="31" t="s">
        <v>17547</v>
      </c>
      <c r="U4545" s="31" t="s">
        <v>17548</v>
      </c>
      <c r="V4545" s="32">
        <v>42339.0</v>
      </c>
    </row>
    <row r="4546">
      <c r="A4546" s="32"/>
      <c r="T4546" s="31" t="s">
        <v>17551</v>
      </c>
      <c r="U4546" s="31" t="s">
        <v>17552</v>
      </c>
      <c r="V4546" s="32">
        <v>42338.0</v>
      </c>
    </row>
    <row r="4547">
      <c r="A4547" s="32"/>
      <c r="T4547" s="31" t="s">
        <v>17555</v>
      </c>
      <c r="U4547" s="31" t="s">
        <v>17556</v>
      </c>
      <c r="V4547" s="32">
        <v>42334.0</v>
      </c>
    </row>
    <row r="4548">
      <c r="A4548" s="32"/>
      <c r="T4548" s="31" t="s">
        <v>17560</v>
      </c>
      <c r="U4548" s="31" t="s">
        <v>17561</v>
      </c>
      <c r="V4548" s="32">
        <v>42333.0</v>
      </c>
    </row>
    <row r="4549">
      <c r="A4549" s="32"/>
      <c r="T4549" s="31" t="s">
        <v>17564</v>
      </c>
      <c r="U4549" s="31" t="s">
        <v>17565</v>
      </c>
      <c r="V4549" s="32">
        <v>42333.0</v>
      </c>
    </row>
    <row r="4550">
      <c r="A4550" s="32"/>
      <c r="T4550" s="31" t="s">
        <v>17568</v>
      </c>
      <c r="U4550" s="31" t="s">
        <v>17569</v>
      </c>
      <c r="V4550" s="32">
        <v>42333.0</v>
      </c>
    </row>
    <row r="4551">
      <c r="A4551" s="32"/>
      <c r="T4551" s="31" t="s">
        <v>17572</v>
      </c>
      <c r="U4551" s="31" t="s">
        <v>17573</v>
      </c>
      <c r="V4551" s="32">
        <v>42332.0</v>
      </c>
    </row>
    <row r="4552">
      <c r="A4552" s="32"/>
      <c r="T4552" s="31" t="s">
        <v>17575</v>
      </c>
      <c r="U4552" s="31" t="s">
        <v>17576</v>
      </c>
      <c r="V4552" s="32">
        <v>42332.0</v>
      </c>
    </row>
    <row r="4553">
      <c r="A4553" s="32"/>
      <c r="T4553" s="31" t="s">
        <v>17579</v>
      </c>
      <c r="U4553" s="31" t="s">
        <v>17580</v>
      </c>
      <c r="V4553" s="32">
        <v>42331.0</v>
      </c>
    </row>
    <row r="4554">
      <c r="A4554" s="32"/>
      <c r="T4554" s="31" t="s">
        <v>17583</v>
      </c>
      <c r="U4554" s="31" t="s">
        <v>17584</v>
      </c>
      <c r="V4554" s="32">
        <v>42331.0</v>
      </c>
    </row>
    <row r="4555">
      <c r="A4555" s="32"/>
      <c r="T4555" s="31" t="s">
        <v>17587</v>
      </c>
      <c r="U4555" s="31" t="s">
        <v>17588</v>
      </c>
      <c r="V4555" s="32">
        <v>42331.0</v>
      </c>
    </row>
    <row r="4556">
      <c r="A4556" s="32"/>
      <c r="T4556" s="31" t="s">
        <v>17591</v>
      </c>
      <c r="U4556" s="31" t="s">
        <v>17592</v>
      </c>
      <c r="V4556" s="32">
        <v>42329.0</v>
      </c>
    </row>
    <row r="4557">
      <c r="A4557" s="32"/>
      <c r="T4557" s="31" t="s">
        <v>17595</v>
      </c>
      <c r="U4557" s="31" t="s">
        <v>17596</v>
      </c>
      <c r="V4557" s="32">
        <v>42328.0</v>
      </c>
    </row>
    <row r="4558">
      <c r="A4558" s="32"/>
      <c r="T4558" s="31" t="s">
        <v>17599</v>
      </c>
      <c r="U4558" s="31" t="s">
        <v>17600</v>
      </c>
      <c r="V4558" s="32">
        <v>42327.0</v>
      </c>
    </row>
    <row r="4559">
      <c r="A4559" s="32"/>
      <c r="T4559" s="31" t="s">
        <v>17604</v>
      </c>
      <c r="U4559" s="31" t="s">
        <v>17605</v>
      </c>
      <c r="V4559" s="32">
        <v>42327.0</v>
      </c>
    </row>
    <row r="4560">
      <c r="A4560" s="32"/>
      <c r="T4560" s="31" t="s">
        <v>17607</v>
      </c>
      <c r="U4560" s="31" t="s">
        <v>17608</v>
      </c>
      <c r="V4560" s="32">
        <v>42326.0</v>
      </c>
    </row>
    <row r="4561">
      <c r="A4561" s="32"/>
      <c r="T4561" s="31" t="s">
        <v>17611</v>
      </c>
      <c r="U4561" s="31" t="s">
        <v>17612</v>
      </c>
      <c r="V4561" s="32">
        <v>42325.0</v>
      </c>
    </row>
    <row r="4562">
      <c r="A4562" s="32"/>
      <c r="T4562" s="31" t="s">
        <v>17615</v>
      </c>
      <c r="U4562" s="31" t="s">
        <v>17616</v>
      </c>
      <c r="V4562" s="32">
        <v>42325.0</v>
      </c>
    </row>
    <row r="4563">
      <c r="A4563" s="32"/>
      <c r="T4563" s="31" t="s">
        <v>17619</v>
      </c>
      <c r="U4563" s="31" t="s">
        <v>17620</v>
      </c>
      <c r="V4563" s="32">
        <v>42325.0</v>
      </c>
    </row>
    <row r="4564">
      <c r="A4564" s="32"/>
      <c r="T4564" s="31" t="s">
        <v>17623</v>
      </c>
      <c r="U4564" s="31" t="s">
        <v>17624</v>
      </c>
      <c r="V4564" s="32">
        <v>42324.0</v>
      </c>
    </row>
    <row r="4565">
      <c r="A4565" s="32"/>
      <c r="T4565" s="31" t="s">
        <v>17627</v>
      </c>
      <c r="U4565" s="31" t="s">
        <v>17628</v>
      </c>
      <c r="V4565" s="32">
        <v>42323.0</v>
      </c>
    </row>
    <row r="4566">
      <c r="A4566" s="32"/>
      <c r="T4566" s="31" t="s">
        <v>17631</v>
      </c>
      <c r="U4566" s="31" t="s">
        <v>17632</v>
      </c>
      <c r="V4566" s="32">
        <v>42322.0</v>
      </c>
    </row>
    <row r="4567">
      <c r="A4567" s="32"/>
      <c r="T4567" s="31" t="s">
        <v>17635</v>
      </c>
      <c r="U4567" s="31" t="s">
        <v>17636</v>
      </c>
      <c r="V4567" s="32">
        <v>42320.0</v>
      </c>
    </row>
    <row r="4568">
      <c r="A4568" s="32"/>
      <c r="T4568" s="31" t="s">
        <v>17639</v>
      </c>
      <c r="U4568" s="31" t="s">
        <v>17640</v>
      </c>
      <c r="V4568" s="32">
        <v>42319.0</v>
      </c>
    </row>
    <row r="4569">
      <c r="A4569" s="32"/>
      <c r="T4569" s="31" t="s">
        <v>17643</v>
      </c>
      <c r="U4569" s="31" t="s">
        <v>17644</v>
      </c>
      <c r="V4569" s="32">
        <v>42319.0</v>
      </c>
    </row>
    <row r="4570">
      <c r="A4570" s="32"/>
      <c r="T4570" s="31" t="s">
        <v>17647</v>
      </c>
      <c r="U4570" s="31" t="s">
        <v>17648</v>
      </c>
      <c r="V4570" s="32">
        <v>42318.0</v>
      </c>
    </row>
    <row r="4571">
      <c r="A4571" s="32"/>
      <c r="T4571" s="31" t="s">
        <v>17651</v>
      </c>
      <c r="U4571" s="31" t="s">
        <v>17652</v>
      </c>
      <c r="V4571" s="32">
        <v>42318.0</v>
      </c>
    </row>
    <row r="4572">
      <c r="A4572" s="32"/>
      <c r="T4572" s="31" t="s">
        <v>17655</v>
      </c>
      <c r="U4572" s="31" t="s">
        <v>17656</v>
      </c>
      <c r="V4572" s="32">
        <v>42318.0</v>
      </c>
    </row>
    <row r="4573">
      <c r="A4573" s="32"/>
      <c r="T4573" s="31" t="s">
        <v>17659</v>
      </c>
      <c r="U4573" s="31" t="s">
        <v>17660</v>
      </c>
      <c r="V4573" s="32">
        <v>42318.0</v>
      </c>
    </row>
    <row r="4574">
      <c r="A4574" s="32"/>
      <c r="T4574" s="31" t="s">
        <v>17663</v>
      </c>
      <c r="U4574" s="31" t="s">
        <v>17664</v>
      </c>
      <c r="V4574" s="32">
        <v>42317.0</v>
      </c>
    </row>
    <row r="4575">
      <c r="A4575" s="32"/>
      <c r="T4575" s="31" t="s">
        <v>17667</v>
      </c>
      <c r="U4575" s="31" t="s">
        <v>17668</v>
      </c>
      <c r="V4575" s="32">
        <v>42317.0</v>
      </c>
    </row>
    <row r="4576">
      <c r="A4576" s="32"/>
      <c r="T4576" s="31" t="s">
        <v>17671</v>
      </c>
      <c r="U4576" s="31" t="s">
        <v>17672</v>
      </c>
      <c r="V4576" s="32">
        <v>42315.0</v>
      </c>
    </row>
    <row r="4577">
      <c r="A4577" s="32"/>
      <c r="T4577" s="31" t="s">
        <v>17674</v>
      </c>
      <c r="U4577" s="31" t="s">
        <v>17675</v>
      </c>
      <c r="V4577" s="32">
        <v>42314.0</v>
      </c>
    </row>
    <row r="4578">
      <c r="A4578" s="32"/>
      <c r="T4578" s="31" t="s">
        <v>17677</v>
      </c>
      <c r="U4578" s="31" t="s">
        <v>17678</v>
      </c>
      <c r="V4578" s="32">
        <v>42314.0</v>
      </c>
    </row>
    <row r="4579">
      <c r="A4579" s="32"/>
      <c r="T4579" s="31" t="s">
        <v>17681</v>
      </c>
      <c r="U4579" s="31" t="s">
        <v>17682</v>
      </c>
      <c r="V4579" s="32">
        <v>42313.0</v>
      </c>
    </row>
    <row r="4580">
      <c r="A4580" s="32"/>
      <c r="T4580" s="31" t="s">
        <v>17685</v>
      </c>
      <c r="U4580" s="31" t="s">
        <v>17686</v>
      </c>
      <c r="V4580" s="32">
        <v>42313.0</v>
      </c>
    </row>
    <row r="4581">
      <c r="A4581" s="32"/>
      <c r="T4581" s="31" t="s">
        <v>17688</v>
      </c>
      <c r="U4581" s="31" t="s">
        <v>17689</v>
      </c>
      <c r="V4581" s="32">
        <v>42309.0</v>
      </c>
    </row>
    <row r="4582">
      <c r="A4582" s="32"/>
      <c r="T4582" s="31" t="s">
        <v>17691</v>
      </c>
      <c r="U4582" s="31" t="s">
        <v>17692</v>
      </c>
      <c r="V4582" s="32">
        <v>42307.0</v>
      </c>
    </row>
    <row r="4583">
      <c r="A4583" s="32"/>
      <c r="T4583" s="31" t="s">
        <v>17695</v>
      </c>
      <c r="U4583" s="31" t="s">
        <v>17696</v>
      </c>
      <c r="V4583" s="32">
        <v>42305.0</v>
      </c>
    </row>
    <row r="4584">
      <c r="A4584" s="32"/>
      <c r="T4584" s="31" t="s">
        <v>17699</v>
      </c>
      <c r="U4584" s="31" t="s">
        <v>17700</v>
      </c>
      <c r="V4584" s="32">
        <v>42305.0</v>
      </c>
    </row>
    <row r="4585">
      <c r="A4585" s="32"/>
      <c r="T4585" s="31" t="s">
        <v>17703</v>
      </c>
      <c r="U4585" s="31" t="s">
        <v>17700</v>
      </c>
      <c r="V4585" s="32">
        <v>42305.0</v>
      </c>
    </row>
    <row r="4586">
      <c r="A4586" s="32"/>
      <c r="T4586" s="31" t="s">
        <v>17706</v>
      </c>
      <c r="U4586" s="31" t="s">
        <v>17707</v>
      </c>
      <c r="V4586" s="32">
        <v>42304.0</v>
      </c>
    </row>
    <row r="4587">
      <c r="A4587" s="32"/>
      <c r="T4587" s="31" t="s">
        <v>17710</v>
      </c>
      <c r="U4587" s="31" t="s">
        <v>17711</v>
      </c>
      <c r="V4587" s="32">
        <v>42303.0</v>
      </c>
    </row>
    <row r="4588">
      <c r="A4588" s="32"/>
      <c r="T4588" s="31" t="s">
        <v>17714</v>
      </c>
      <c r="U4588" s="31" t="s">
        <v>17715</v>
      </c>
      <c r="V4588" s="32">
        <v>42303.0</v>
      </c>
    </row>
    <row r="4589">
      <c r="A4589" s="32"/>
      <c r="T4589" s="31" t="s">
        <v>17718</v>
      </c>
      <c r="U4589" s="31" t="s">
        <v>17719</v>
      </c>
      <c r="V4589" s="32">
        <v>42300.0</v>
      </c>
    </row>
    <row r="4590">
      <c r="A4590" s="32"/>
      <c r="T4590" s="31" t="s">
        <v>17723</v>
      </c>
      <c r="U4590" s="31" t="s">
        <v>17724</v>
      </c>
      <c r="V4590" s="32">
        <v>42299.0</v>
      </c>
    </row>
    <row r="4591">
      <c r="A4591" s="32"/>
      <c r="T4591" s="31" t="s">
        <v>17727</v>
      </c>
      <c r="U4591" s="31" t="s">
        <v>17728</v>
      </c>
      <c r="V4591" s="32">
        <v>42298.0</v>
      </c>
    </row>
    <row r="4592">
      <c r="A4592" s="32"/>
      <c r="T4592" s="31" t="s">
        <v>17731</v>
      </c>
      <c r="U4592" s="31" t="s">
        <v>17732</v>
      </c>
      <c r="V4592" s="32">
        <v>42297.0</v>
      </c>
    </row>
    <row r="4593">
      <c r="A4593" s="32"/>
      <c r="T4593" s="31" t="s">
        <v>17735</v>
      </c>
      <c r="U4593" s="31" t="s">
        <v>17736</v>
      </c>
      <c r="V4593" s="32">
        <v>42297.0</v>
      </c>
    </row>
    <row r="4594">
      <c r="A4594" s="32"/>
      <c r="T4594" s="31" t="s">
        <v>17739</v>
      </c>
      <c r="U4594" s="31" t="s">
        <v>17740</v>
      </c>
      <c r="V4594" s="32">
        <v>42296.0</v>
      </c>
    </row>
    <row r="4595">
      <c r="A4595" s="32"/>
      <c r="T4595" s="31" t="s">
        <v>17743</v>
      </c>
      <c r="U4595" s="31" t="s">
        <v>17744</v>
      </c>
      <c r="V4595" s="32">
        <v>42293.0</v>
      </c>
    </row>
    <row r="4596">
      <c r="A4596" s="32"/>
      <c r="T4596" s="31" t="s">
        <v>17747</v>
      </c>
      <c r="U4596" s="31" t="s">
        <v>17748</v>
      </c>
      <c r="V4596" s="32">
        <v>42291.0</v>
      </c>
    </row>
    <row r="4597">
      <c r="A4597" s="32"/>
      <c r="T4597" s="31" t="s">
        <v>17751</v>
      </c>
      <c r="U4597" s="31" t="s">
        <v>17752</v>
      </c>
      <c r="V4597" s="32">
        <v>42291.0</v>
      </c>
    </row>
    <row r="4598">
      <c r="A4598" s="32"/>
      <c r="T4598" s="31" t="s">
        <v>17755</v>
      </c>
      <c r="U4598" s="31" t="s">
        <v>17756</v>
      </c>
      <c r="V4598" s="32">
        <v>42290.0</v>
      </c>
    </row>
    <row r="4599">
      <c r="A4599" s="32"/>
      <c r="T4599" s="31" t="s">
        <v>17759</v>
      </c>
      <c r="U4599" s="31" t="s">
        <v>17760</v>
      </c>
      <c r="V4599" s="32">
        <v>42290.0</v>
      </c>
    </row>
    <row r="4600">
      <c r="A4600" s="32"/>
      <c r="T4600" s="31" t="s">
        <v>17762</v>
      </c>
      <c r="U4600" s="31" t="s">
        <v>17763</v>
      </c>
      <c r="V4600" s="32">
        <v>42289.0</v>
      </c>
    </row>
    <row r="4601">
      <c r="A4601" s="32"/>
      <c r="T4601" s="31" t="s">
        <v>17766</v>
      </c>
      <c r="U4601" s="31" t="s">
        <v>17767</v>
      </c>
      <c r="V4601" s="32">
        <v>42285.0</v>
      </c>
    </row>
    <row r="4602">
      <c r="A4602" s="32"/>
      <c r="T4602" s="31" t="s">
        <v>17771</v>
      </c>
      <c r="U4602" s="31" t="s">
        <v>17772</v>
      </c>
      <c r="V4602" s="32">
        <v>42284.0</v>
      </c>
    </row>
    <row r="4603">
      <c r="A4603" s="32"/>
      <c r="T4603" s="31" t="s">
        <v>17775</v>
      </c>
      <c r="U4603" s="31" t="s">
        <v>17776</v>
      </c>
      <c r="V4603" s="32">
        <v>42283.0</v>
      </c>
    </row>
    <row r="4604">
      <c r="A4604" s="32"/>
      <c r="T4604" s="31" t="s">
        <v>17780</v>
      </c>
      <c r="U4604" s="31" t="s">
        <v>17781</v>
      </c>
      <c r="V4604" s="32">
        <v>42278.0</v>
      </c>
    </row>
    <row r="4605">
      <c r="A4605" s="32"/>
      <c r="T4605" s="31" t="s">
        <v>17784</v>
      </c>
      <c r="U4605" s="31" t="s">
        <v>17785</v>
      </c>
      <c r="V4605" s="32">
        <v>42278.0</v>
      </c>
    </row>
    <row r="4606">
      <c r="A4606" s="32"/>
      <c r="T4606" s="31" t="s">
        <v>17788</v>
      </c>
      <c r="U4606" s="31" t="s">
        <v>17789</v>
      </c>
      <c r="V4606" s="32">
        <v>42278.0</v>
      </c>
    </row>
    <row r="4607">
      <c r="A4607" s="32"/>
      <c r="T4607" s="31" t="s">
        <v>17792</v>
      </c>
      <c r="U4607" s="31" t="s">
        <v>17793</v>
      </c>
      <c r="V4607" s="32">
        <v>42278.0</v>
      </c>
    </row>
    <row r="4608">
      <c r="A4608" s="32"/>
      <c r="T4608" s="31" t="s">
        <v>17796</v>
      </c>
      <c r="U4608" s="31" t="s">
        <v>17797</v>
      </c>
      <c r="V4608" s="32">
        <v>42278.0</v>
      </c>
    </row>
    <row r="4609">
      <c r="A4609" s="32"/>
      <c r="T4609" s="31" t="s">
        <v>17800</v>
      </c>
      <c r="U4609" s="31" t="s">
        <v>17801</v>
      </c>
      <c r="V4609" s="32">
        <v>42278.0</v>
      </c>
    </row>
    <row r="4610">
      <c r="A4610" s="32"/>
      <c r="T4610" s="31" t="s">
        <v>17804</v>
      </c>
      <c r="U4610" s="31" t="s">
        <v>17805</v>
      </c>
      <c r="V4610" s="32">
        <v>42278.0</v>
      </c>
    </row>
    <row r="4611">
      <c r="A4611" s="32"/>
      <c r="T4611" s="31" t="s">
        <v>17808</v>
      </c>
      <c r="U4611" s="31" t="s">
        <v>17809</v>
      </c>
      <c r="V4611" s="32">
        <v>42278.0</v>
      </c>
    </row>
    <row r="4612">
      <c r="A4612" s="32"/>
      <c r="T4612" s="31" t="s">
        <v>17812</v>
      </c>
      <c r="U4612" s="31" t="s">
        <v>17813</v>
      </c>
      <c r="V4612" s="32">
        <v>42276.0</v>
      </c>
    </row>
    <row r="4613">
      <c r="A4613" s="32"/>
      <c r="T4613" s="31" t="s">
        <v>17816</v>
      </c>
      <c r="U4613" s="31" t="s">
        <v>17817</v>
      </c>
      <c r="V4613" s="32">
        <v>42276.0</v>
      </c>
    </row>
    <row r="4614">
      <c r="A4614" s="32"/>
      <c r="T4614" s="31" t="s">
        <v>17821</v>
      </c>
      <c r="U4614" s="31" t="s">
        <v>17822</v>
      </c>
      <c r="V4614" s="32">
        <v>42276.0</v>
      </c>
    </row>
    <row r="4615">
      <c r="A4615" s="32"/>
      <c r="T4615" s="31" t="s">
        <v>17825</v>
      </c>
      <c r="U4615" s="31" t="s">
        <v>17826</v>
      </c>
      <c r="V4615" s="32">
        <v>42275.0</v>
      </c>
    </row>
    <row r="4616">
      <c r="A4616" s="32"/>
      <c r="T4616" s="31" t="s">
        <v>17829</v>
      </c>
      <c r="U4616" s="31" t="s">
        <v>17830</v>
      </c>
      <c r="V4616" s="32">
        <v>42273.0</v>
      </c>
    </row>
    <row r="4617">
      <c r="A4617" s="32"/>
      <c r="T4617" s="31" t="s">
        <v>17833</v>
      </c>
      <c r="U4617" s="31" t="s">
        <v>17834</v>
      </c>
      <c r="V4617" s="32">
        <v>42271.0</v>
      </c>
    </row>
    <row r="4618">
      <c r="A4618" s="32"/>
      <c r="T4618" s="31" t="s">
        <v>17837</v>
      </c>
      <c r="U4618" s="31" t="s">
        <v>17838</v>
      </c>
      <c r="V4618" s="32">
        <v>42270.0</v>
      </c>
    </row>
    <row r="4619">
      <c r="A4619" s="32"/>
      <c r="T4619" s="31" t="s">
        <v>17841</v>
      </c>
      <c r="U4619" s="31" t="s">
        <v>17360</v>
      </c>
      <c r="V4619" s="32">
        <v>42269.0</v>
      </c>
    </row>
    <row r="4620">
      <c r="A4620" s="32"/>
      <c r="T4620" s="31" t="s">
        <v>17844</v>
      </c>
      <c r="U4620" s="31" t="s">
        <v>17845</v>
      </c>
      <c r="V4620" s="32">
        <v>42268.0</v>
      </c>
    </row>
    <row r="4621">
      <c r="A4621" s="32"/>
      <c r="T4621" s="31" t="s">
        <v>17848</v>
      </c>
      <c r="U4621" s="31" t="s">
        <v>17849</v>
      </c>
      <c r="V4621" s="32">
        <v>42266.0</v>
      </c>
    </row>
    <row r="4622">
      <c r="A4622" s="32"/>
      <c r="T4622" s="31" t="s">
        <v>17852</v>
      </c>
      <c r="U4622" s="31" t="s">
        <v>17853</v>
      </c>
      <c r="V4622" s="32">
        <v>42264.0</v>
      </c>
    </row>
    <row r="4623">
      <c r="A4623" s="32"/>
      <c r="T4623" s="31" t="s">
        <v>17856</v>
      </c>
      <c r="U4623" s="31" t="s">
        <v>17857</v>
      </c>
      <c r="V4623" s="32">
        <v>42261.0</v>
      </c>
    </row>
    <row r="4624">
      <c r="A4624" s="32"/>
      <c r="T4624" s="31" t="s">
        <v>17860</v>
      </c>
      <c r="U4624" s="31" t="s">
        <v>17861</v>
      </c>
      <c r="V4624" s="32">
        <v>42260.0</v>
      </c>
    </row>
    <row r="4625">
      <c r="A4625" s="32"/>
      <c r="T4625" s="31" t="s">
        <v>17865</v>
      </c>
      <c r="U4625" s="31" t="s">
        <v>17866</v>
      </c>
      <c r="V4625" s="32">
        <v>42257.0</v>
      </c>
    </row>
    <row r="4626">
      <c r="A4626" s="32"/>
      <c r="T4626" s="31" t="s">
        <v>17869</v>
      </c>
      <c r="U4626" s="31" t="s">
        <v>17360</v>
      </c>
      <c r="V4626" s="32">
        <v>42256.0</v>
      </c>
    </row>
    <row r="4627">
      <c r="A4627" s="32"/>
      <c r="T4627" s="31" t="s">
        <v>17872</v>
      </c>
      <c r="U4627" s="31" t="s">
        <v>17873</v>
      </c>
      <c r="V4627" s="32">
        <v>42255.0</v>
      </c>
    </row>
    <row r="4628">
      <c r="A4628" s="32"/>
      <c r="T4628" s="31" t="s">
        <v>17876</v>
      </c>
      <c r="U4628" s="31" t="s">
        <v>17877</v>
      </c>
      <c r="V4628" s="32">
        <v>42255.0</v>
      </c>
    </row>
    <row r="4629">
      <c r="A4629" s="32"/>
      <c r="T4629" s="31" t="s">
        <v>17880</v>
      </c>
      <c r="U4629" s="31" t="s">
        <v>17881</v>
      </c>
      <c r="V4629" s="32">
        <v>42255.0</v>
      </c>
    </row>
    <row r="4630">
      <c r="A4630" s="32"/>
      <c r="T4630" s="31" t="s">
        <v>17885</v>
      </c>
      <c r="U4630" s="31" t="s">
        <v>17886</v>
      </c>
      <c r="V4630" s="32">
        <v>42254.0</v>
      </c>
    </row>
    <row r="4631">
      <c r="A4631" s="32"/>
      <c r="T4631" s="31" t="s">
        <v>17889</v>
      </c>
      <c r="U4631" s="31" t="s">
        <v>17890</v>
      </c>
      <c r="V4631" s="32">
        <v>42254.0</v>
      </c>
    </row>
    <row r="4632">
      <c r="A4632" s="32"/>
      <c r="T4632" s="31" t="s">
        <v>17893</v>
      </c>
      <c r="U4632" s="31" t="s">
        <v>17894</v>
      </c>
      <c r="V4632" s="32">
        <v>42254.0</v>
      </c>
    </row>
    <row r="4633">
      <c r="A4633" s="32"/>
      <c r="T4633" s="31" t="s">
        <v>17897</v>
      </c>
      <c r="U4633" s="31" t="s">
        <v>17898</v>
      </c>
      <c r="V4633" s="32">
        <v>42251.0</v>
      </c>
    </row>
    <row r="4634">
      <c r="A4634" s="32"/>
      <c r="T4634" s="31" t="s">
        <v>17901</v>
      </c>
      <c r="U4634" s="31" t="s">
        <v>17902</v>
      </c>
      <c r="V4634" s="32">
        <v>42251.0</v>
      </c>
    </row>
    <row r="4635">
      <c r="A4635" s="32"/>
      <c r="T4635" s="31" t="s">
        <v>17905</v>
      </c>
      <c r="U4635" s="31" t="s">
        <v>17906</v>
      </c>
      <c r="V4635" s="32">
        <v>42251.0</v>
      </c>
    </row>
    <row r="4636">
      <c r="A4636" s="32"/>
      <c r="T4636" s="31" t="s">
        <v>17909</v>
      </c>
      <c r="U4636" s="31" t="s">
        <v>17910</v>
      </c>
      <c r="V4636" s="32">
        <v>42250.0</v>
      </c>
    </row>
    <row r="4637">
      <c r="A4637" s="32"/>
      <c r="T4637" s="31" t="s">
        <v>17913</v>
      </c>
      <c r="U4637" s="31" t="s">
        <v>17914</v>
      </c>
      <c r="V4637" s="32">
        <v>42250.0</v>
      </c>
    </row>
    <row r="4638">
      <c r="A4638" s="32"/>
      <c r="T4638" s="31" t="s">
        <v>17917</v>
      </c>
      <c r="U4638" s="31" t="s">
        <v>16678</v>
      </c>
      <c r="V4638" s="32">
        <v>42250.0</v>
      </c>
    </row>
    <row r="4639">
      <c r="A4639" s="32"/>
      <c r="T4639" s="31" t="s">
        <v>17920</v>
      </c>
      <c r="U4639" s="31" t="s">
        <v>17921</v>
      </c>
      <c r="V4639" s="32">
        <v>42249.0</v>
      </c>
    </row>
    <row r="4640">
      <c r="A4640" s="32"/>
      <c r="T4640" s="31" t="s">
        <v>17924</v>
      </c>
      <c r="U4640" s="31" t="s">
        <v>17925</v>
      </c>
      <c r="V4640" s="32">
        <v>42249.0</v>
      </c>
    </row>
    <row r="4641">
      <c r="A4641" s="32"/>
      <c r="T4641" s="31" t="s">
        <v>17928</v>
      </c>
      <c r="U4641" s="31" t="s">
        <v>17929</v>
      </c>
      <c r="V4641" s="32">
        <v>42248.0</v>
      </c>
    </row>
    <row r="4642">
      <c r="A4642" s="32"/>
      <c r="T4642" s="31" t="s">
        <v>17933</v>
      </c>
      <c r="U4642" s="31" t="s">
        <v>17934</v>
      </c>
      <c r="V4642" s="32">
        <v>42248.0</v>
      </c>
    </row>
    <row r="4643">
      <c r="A4643" s="32"/>
      <c r="T4643" s="31" t="s">
        <v>17936</v>
      </c>
      <c r="U4643" s="31" t="s">
        <v>17937</v>
      </c>
      <c r="V4643" s="32">
        <v>42248.0</v>
      </c>
    </row>
    <row r="4644">
      <c r="A4644" s="32"/>
      <c r="T4644" s="31" t="s">
        <v>17940</v>
      </c>
      <c r="U4644" s="31" t="s">
        <v>17941</v>
      </c>
      <c r="V4644" s="32">
        <v>42248.0</v>
      </c>
    </row>
    <row r="4645">
      <c r="A4645" s="32"/>
      <c r="T4645" s="31" t="s">
        <v>17944</v>
      </c>
      <c r="U4645" s="31" t="s">
        <v>17945</v>
      </c>
      <c r="V4645" s="32">
        <v>42244.0</v>
      </c>
    </row>
    <row r="4646">
      <c r="A4646" s="32"/>
      <c r="T4646" s="31" t="s">
        <v>17948</v>
      </c>
      <c r="U4646" s="31" t="s">
        <v>17949</v>
      </c>
      <c r="V4646" s="32">
        <v>42244.0</v>
      </c>
    </row>
    <row r="4647">
      <c r="A4647" s="32"/>
      <c r="T4647" s="31" t="s">
        <v>17952</v>
      </c>
      <c r="U4647" s="31" t="s">
        <v>17953</v>
      </c>
      <c r="V4647" s="32">
        <v>42244.0</v>
      </c>
    </row>
    <row r="4648">
      <c r="A4648" s="32"/>
      <c r="T4648" s="31" t="s">
        <v>17956</v>
      </c>
      <c r="U4648" s="31" t="s">
        <v>17957</v>
      </c>
      <c r="V4648" s="32">
        <v>42243.0</v>
      </c>
    </row>
    <row r="4649">
      <c r="A4649" s="32"/>
      <c r="T4649" s="31" t="s">
        <v>17960</v>
      </c>
      <c r="U4649" s="31" t="s">
        <v>17961</v>
      </c>
      <c r="V4649" s="32">
        <v>42243.0</v>
      </c>
    </row>
    <row r="4650">
      <c r="A4650" s="32"/>
      <c r="T4650" s="31" t="s">
        <v>17964</v>
      </c>
      <c r="U4650" s="31" t="s">
        <v>17965</v>
      </c>
      <c r="V4650" s="32">
        <v>42243.0</v>
      </c>
    </row>
    <row r="4651">
      <c r="A4651" s="32"/>
      <c r="T4651" s="31" t="s">
        <v>17968</v>
      </c>
      <c r="U4651" s="31" t="s">
        <v>17969</v>
      </c>
      <c r="V4651" s="32">
        <v>42243.0</v>
      </c>
    </row>
    <row r="4652">
      <c r="A4652" s="32"/>
      <c r="T4652" s="31" t="s">
        <v>17972</v>
      </c>
      <c r="U4652" s="31" t="s">
        <v>17973</v>
      </c>
      <c r="V4652" s="32">
        <v>42243.0</v>
      </c>
    </row>
    <row r="4653">
      <c r="A4653" s="32"/>
      <c r="T4653" s="31" t="s">
        <v>17976</v>
      </c>
      <c r="U4653" s="31" t="s">
        <v>17977</v>
      </c>
      <c r="V4653" s="32">
        <v>42243.0</v>
      </c>
    </row>
    <row r="4654">
      <c r="A4654" s="32"/>
      <c r="T4654" s="31" t="s">
        <v>17981</v>
      </c>
      <c r="U4654" s="31" t="s">
        <v>17982</v>
      </c>
      <c r="V4654" s="32">
        <v>42242.0</v>
      </c>
    </row>
    <row r="4655">
      <c r="A4655" s="32"/>
      <c r="T4655" s="31" t="s">
        <v>17985</v>
      </c>
      <c r="U4655" s="31" t="s">
        <v>17986</v>
      </c>
      <c r="V4655" s="32">
        <v>42241.0</v>
      </c>
    </row>
    <row r="4656">
      <c r="A4656" s="32"/>
      <c r="T4656" s="31" t="s">
        <v>17989</v>
      </c>
      <c r="U4656" s="31" t="s">
        <v>17990</v>
      </c>
      <c r="V4656" s="32">
        <v>42241.0</v>
      </c>
    </row>
    <row r="4657">
      <c r="A4657" s="32"/>
      <c r="T4657" s="31" t="s">
        <v>17993</v>
      </c>
      <c r="U4657" s="31" t="s">
        <v>17994</v>
      </c>
      <c r="V4657" s="32">
        <v>42240.0</v>
      </c>
    </row>
    <row r="4658">
      <c r="A4658" s="32"/>
      <c r="T4658" s="31" t="s">
        <v>17997</v>
      </c>
      <c r="U4658" s="31" t="s">
        <v>17998</v>
      </c>
      <c r="V4658" s="32">
        <v>42237.0</v>
      </c>
    </row>
    <row r="4659">
      <c r="A4659" s="32"/>
      <c r="T4659" s="31" t="s">
        <v>18001</v>
      </c>
      <c r="U4659" s="31" t="s">
        <v>18002</v>
      </c>
      <c r="V4659" s="32">
        <v>42235.0</v>
      </c>
    </row>
    <row r="4660">
      <c r="A4660" s="32"/>
      <c r="T4660" s="31" t="s">
        <v>18005</v>
      </c>
      <c r="U4660" s="31" t="s">
        <v>18006</v>
      </c>
      <c r="V4660" s="32">
        <v>42235.0</v>
      </c>
    </row>
    <row r="4661">
      <c r="A4661" s="32"/>
      <c r="T4661" s="31" t="s">
        <v>18009</v>
      </c>
      <c r="U4661" s="31" t="s">
        <v>18010</v>
      </c>
      <c r="V4661" s="32">
        <v>42235.0</v>
      </c>
    </row>
    <row r="4662">
      <c r="A4662" s="32"/>
      <c r="T4662" s="31" t="s">
        <v>18013</v>
      </c>
      <c r="U4662" s="31" t="s">
        <v>18014</v>
      </c>
      <c r="V4662" s="32">
        <v>42234.0</v>
      </c>
    </row>
    <row r="4663">
      <c r="A4663" s="32"/>
      <c r="T4663" s="31" t="s">
        <v>18017</v>
      </c>
      <c r="U4663" s="31" t="s">
        <v>18018</v>
      </c>
      <c r="V4663" s="32">
        <v>42234.0</v>
      </c>
    </row>
    <row r="4664">
      <c r="A4664" s="32"/>
      <c r="T4664" s="31" t="s">
        <v>18021</v>
      </c>
      <c r="U4664" s="31" t="s">
        <v>18022</v>
      </c>
      <c r="V4664" s="32">
        <v>42233.0</v>
      </c>
    </row>
    <row r="4665">
      <c r="A4665" s="32"/>
      <c r="T4665" s="31" t="s">
        <v>18025</v>
      </c>
      <c r="U4665" s="31" t="s">
        <v>18026</v>
      </c>
      <c r="V4665" s="32">
        <v>42230.0</v>
      </c>
    </row>
    <row r="4666">
      <c r="A4666" s="32"/>
      <c r="T4666" s="31" t="s">
        <v>18029</v>
      </c>
      <c r="U4666" s="31" t="s">
        <v>18030</v>
      </c>
      <c r="V4666" s="32">
        <v>42229.0</v>
      </c>
    </row>
    <row r="4667">
      <c r="A4667" s="32"/>
      <c r="T4667" s="31" t="s">
        <v>18033</v>
      </c>
      <c r="U4667" s="31" t="s">
        <v>18034</v>
      </c>
      <c r="V4667" s="32">
        <v>42229.0</v>
      </c>
    </row>
    <row r="4668">
      <c r="A4668" s="32"/>
      <c r="T4668" s="31" t="s">
        <v>18037</v>
      </c>
      <c r="U4668" s="31" t="s">
        <v>18038</v>
      </c>
      <c r="V4668" s="32">
        <v>42229.0</v>
      </c>
    </row>
    <row r="4669">
      <c r="A4669" s="32"/>
      <c r="T4669" s="31" t="s">
        <v>18042</v>
      </c>
      <c r="U4669" s="31" t="s">
        <v>18043</v>
      </c>
      <c r="V4669" s="32">
        <v>42227.0</v>
      </c>
    </row>
    <row r="4670">
      <c r="A4670" s="32"/>
      <c r="T4670" s="31" t="s">
        <v>18046</v>
      </c>
      <c r="U4670" s="31" t="s">
        <v>18047</v>
      </c>
      <c r="V4670" s="32">
        <v>42224.0</v>
      </c>
    </row>
    <row r="4671">
      <c r="A4671" s="32"/>
      <c r="T4671" s="31" t="s">
        <v>18050</v>
      </c>
      <c r="U4671" s="31" t="s">
        <v>18051</v>
      </c>
      <c r="V4671" s="32">
        <v>42224.0</v>
      </c>
    </row>
    <row r="4672">
      <c r="A4672" s="32"/>
      <c r="T4672" s="31" t="s">
        <v>18054</v>
      </c>
      <c r="U4672" s="31" t="s">
        <v>18055</v>
      </c>
      <c r="V4672" s="32">
        <v>42223.0</v>
      </c>
    </row>
    <row r="4673">
      <c r="A4673" s="32"/>
      <c r="T4673" s="31" t="s">
        <v>18058</v>
      </c>
      <c r="U4673" s="31" t="s">
        <v>18059</v>
      </c>
      <c r="V4673" s="32">
        <v>42221.0</v>
      </c>
    </row>
    <row r="4674">
      <c r="A4674" s="32"/>
      <c r="T4674" s="31" t="s">
        <v>18062</v>
      </c>
      <c r="U4674" s="31" t="s">
        <v>18063</v>
      </c>
      <c r="V4674" s="32">
        <v>42221.0</v>
      </c>
    </row>
    <row r="4675">
      <c r="A4675" s="32"/>
      <c r="T4675" s="31" t="s">
        <v>18066</v>
      </c>
      <c r="U4675" s="31" t="s">
        <v>18067</v>
      </c>
      <c r="V4675" s="32">
        <v>42216.0</v>
      </c>
    </row>
    <row r="4676">
      <c r="A4676" s="32"/>
      <c r="T4676" s="31" t="s">
        <v>18071</v>
      </c>
      <c r="U4676" s="31" t="s">
        <v>18072</v>
      </c>
      <c r="V4676" s="32">
        <v>42216.0</v>
      </c>
    </row>
    <row r="4677">
      <c r="A4677" s="32"/>
      <c r="T4677" s="31" t="s">
        <v>18076</v>
      </c>
      <c r="U4677" s="31" t="s">
        <v>18077</v>
      </c>
      <c r="V4677" s="32">
        <v>42215.0</v>
      </c>
    </row>
    <row r="4678">
      <c r="A4678" s="32"/>
      <c r="T4678" s="31" t="s">
        <v>18080</v>
      </c>
      <c r="U4678" s="31" t="s">
        <v>18081</v>
      </c>
      <c r="V4678" s="32">
        <v>42214.0</v>
      </c>
    </row>
    <row r="4679">
      <c r="A4679" s="32"/>
      <c r="T4679" s="31" t="s">
        <v>18084</v>
      </c>
      <c r="U4679" s="31" t="s">
        <v>18085</v>
      </c>
      <c r="V4679" s="32">
        <v>42213.0</v>
      </c>
    </row>
    <row r="4680">
      <c r="A4680" s="32"/>
      <c r="T4680" s="31" t="s">
        <v>18088</v>
      </c>
      <c r="U4680" s="31" t="s">
        <v>18089</v>
      </c>
      <c r="V4680" s="32">
        <v>42213.0</v>
      </c>
    </row>
    <row r="4681">
      <c r="A4681" s="32"/>
      <c r="T4681" s="31" t="s">
        <v>18092</v>
      </c>
      <c r="U4681" s="31" t="s">
        <v>18093</v>
      </c>
      <c r="V4681" s="32">
        <v>42209.0</v>
      </c>
    </row>
    <row r="4682">
      <c r="A4682" s="32"/>
      <c r="T4682" s="31" t="s">
        <v>18096</v>
      </c>
      <c r="U4682" s="31" t="s">
        <v>18097</v>
      </c>
      <c r="V4682" s="32">
        <v>42206.0</v>
      </c>
    </row>
    <row r="4683">
      <c r="A4683" s="32"/>
      <c r="T4683" s="31" t="s">
        <v>18100</v>
      </c>
      <c r="U4683" s="31" t="s">
        <v>18101</v>
      </c>
      <c r="V4683" s="32">
        <v>42203.0</v>
      </c>
    </row>
    <row r="4684">
      <c r="A4684" s="32"/>
      <c r="T4684" s="31" t="s">
        <v>18104</v>
      </c>
      <c r="U4684" s="31" t="s">
        <v>17360</v>
      </c>
      <c r="V4684" s="32">
        <v>42203.0</v>
      </c>
    </row>
    <row r="4685">
      <c r="A4685" s="32"/>
      <c r="T4685" s="31" t="s">
        <v>18107</v>
      </c>
      <c r="U4685" s="31" t="s">
        <v>18108</v>
      </c>
      <c r="V4685" s="32">
        <v>42202.0</v>
      </c>
    </row>
    <row r="4686">
      <c r="A4686" s="32"/>
      <c r="T4686" s="31" t="s">
        <v>18111</v>
      </c>
      <c r="U4686" s="31" t="s">
        <v>18112</v>
      </c>
      <c r="V4686" s="32">
        <v>42202.0</v>
      </c>
    </row>
    <row r="4687">
      <c r="A4687" s="32"/>
      <c r="T4687" s="31" t="s">
        <v>18114</v>
      </c>
      <c r="U4687" s="31" t="s">
        <v>18115</v>
      </c>
      <c r="V4687" s="32">
        <v>42202.0</v>
      </c>
    </row>
    <row r="4688">
      <c r="A4688" s="32"/>
      <c r="T4688" s="31" t="s">
        <v>18118</v>
      </c>
      <c r="U4688" s="31" t="s">
        <v>18119</v>
      </c>
      <c r="V4688" s="32">
        <v>42201.0</v>
      </c>
    </row>
    <row r="4689">
      <c r="A4689" s="32"/>
      <c r="T4689" s="31" t="s">
        <v>18122</v>
      </c>
      <c r="U4689" s="31" t="s">
        <v>18123</v>
      </c>
      <c r="V4689" s="32">
        <v>42200.0</v>
      </c>
    </row>
    <row r="4690">
      <c r="A4690" s="32"/>
      <c r="T4690" s="31" t="s">
        <v>18126</v>
      </c>
      <c r="U4690" s="31" t="s">
        <v>18127</v>
      </c>
      <c r="V4690" s="32">
        <v>42200.0</v>
      </c>
    </row>
    <row r="4691">
      <c r="A4691" s="32"/>
      <c r="T4691" s="31" t="s">
        <v>18130</v>
      </c>
      <c r="U4691" s="31" t="s">
        <v>18131</v>
      </c>
      <c r="V4691" s="32">
        <v>42200.0</v>
      </c>
    </row>
    <row r="4692">
      <c r="A4692" s="32"/>
      <c r="T4692" s="31" t="s">
        <v>18134</v>
      </c>
      <c r="U4692" s="31" t="s">
        <v>18135</v>
      </c>
      <c r="V4692" s="32">
        <v>42200.0</v>
      </c>
    </row>
    <row r="4693">
      <c r="A4693" s="32"/>
      <c r="T4693" s="31" t="s">
        <v>18138</v>
      </c>
      <c r="U4693" s="31" t="s">
        <v>18139</v>
      </c>
      <c r="V4693" s="32">
        <v>42200.0</v>
      </c>
    </row>
    <row r="4694">
      <c r="A4694" s="32"/>
      <c r="T4694" s="31" t="s">
        <v>18143</v>
      </c>
      <c r="U4694" s="31" t="s">
        <v>18144</v>
      </c>
      <c r="V4694" s="32">
        <v>42199.0</v>
      </c>
    </row>
    <row r="4695">
      <c r="A4695" s="32"/>
      <c r="T4695" s="31" t="s">
        <v>18147</v>
      </c>
      <c r="U4695" s="31" t="s">
        <v>18148</v>
      </c>
      <c r="V4695" s="32">
        <v>42199.0</v>
      </c>
    </row>
    <row r="4696">
      <c r="A4696" s="32"/>
      <c r="T4696" s="31" t="s">
        <v>18150</v>
      </c>
      <c r="U4696" s="31" t="s">
        <v>18151</v>
      </c>
      <c r="V4696" s="32">
        <v>42199.0</v>
      </c>
    </row>
    <row r="4697">
      <c r="A4697" s="32"/>
      <c r="T4697" s="31" t="s">
        <v>18154</v>
      </c>
      <c r="U4697" s="31" t="s">
        <v>18155</v>
      </c>
      <c r="V4697" s="32">
        <v>42199.0</v>
      </c>
    </row>
    <row r="4698">
      <c r="A4698" s="32"/>
      <c r="T4698" s="31" t="s">
        <v>18158</v>
      </c>
      <c r="U4698" s="31" t="s">
        <v>18159</v>
      </c>
      <c r="V4698" s="32">
        <v>42199.0</v>
      </c>
    </row>
    <row r="4699">
      <c r="A4699" s="32"/>
      <c r="T4699" s="31" t="s">
        <v>18162</v>
      </c>
      <c r="U4699" s="31" t="s">
        <v>18163</v>
      </c>
      <c r="V4699" s="32">
        <v>42195.0</v>
      </c>
    </row>
    <row r="4700">
      <c r="A4700" s="32"/>
      <c r="T4700" s="31" t="s">
        <v>18166</v>
      </c>
      <c r="U4700" s="31" t="s">
        <v>18167</v>
      </c>
      <c r="V4700" s="32">
        <v>42194.0</v>
      </c>
    </row>
    <row r="4701">
      <c r="A4701" s="32"/>
      <c r="T4701" s="31" t="s">
        <v>18170</v>
      </c>
      <c r="U4701" s="31" t="s">
        <v>18171</v>
      </c>
      <c r="V4701" s="32">
        <v>42194.0</v>
      </c>
    </row>
    <row r="4702">
      <c r="A4702" s="32"/>
      <c r="T4702" s="31" t="s">
        <v>18174</v>
      </c>
      <c r="U4702" s="31" t="s">
        <v>18081</v>
      </c>
      <c r="V4702" s="32">
        <v>42193.0</v>
      </c>
    </row>
    <row r="4703">
      <c r="A4703" s="32"/>
      <c r="T4703" s="31" t="s">
        <v>18177</v>
      </c>
      <c r="U4703" s="31" t="s">
        <v>18178</v>
      </c>
      <c r="V4703" s="32">
        <v>42192.0</v>
      </c>
    </row>
    <row r="4704">
      <c r="A4704" s="32"/>
      <c r="T4704" s="31" t="s">
        <v>18181</v>
      </c>
      <c r="U4704" s="31" t="s">
        <v>18182</v>
      </c>
      <c r="V4704" s="32">
        <v>42191.0</v>
      </c>
    </row>
    <row r="4705">
      <c r="A4705" s="32"/>
      <c r="T4705" s="31" t="s">
        <v>18185</v>
      </c>
      <c r="U4705" s="31" t="s">
        <v>18186</v>
      </c>
      <c r="V4705" s="32">
        <v>42191.0</v>
      </c>
    </row>
    <row r="4706">
      <c r="A4706" s="32"/>
      <c r="T4706" s="31" t="s">
        <v>18189</v>
      </c>
      <c r="U4706" s="31" t="s">
        <v>18190</v>
      </c>
      <c r="V4706" s="32">
        <v>42189.0</v>
      </c>
    </row>
    <row r="4707">
      <c r="A4707" s="32"/>
      <c r="T4707" s="31" t="s">
        <v>18193</v>
      </c>
      <c r="U4707" s="31" t="s">
        <v>18194</v>
      </c>
      <c r="V4707" s="32">
        <v>42188.0</v>
      </c>
    </row>
    <row r="4708">
      <c r="A4708" s="32"/>
      <c r="T4708" s="31" t="s">
        <v>18197</v>
      </c>
      <c r="U4708" s="31" t="s">
        <v>18198</v>
      </c>
      <c r="V4708" s="32">
        <v>42188.0</v>
      </c>
    </row>
    <row r="4709">
      <c r="A4709" s="32"/>
      <c r="T4709" s="31" t="s">
        <v>18201</v>
      </c>
      <c r="U4709" s="31" t="s">
        <v>18202</v>
      </c>
      <c r="V4709" s="32">
        <v>42187.0</v>
      </c>
    </row>
    <row r="4710">
      <c r="A4710" s="32"/>
      <c r="T4710" s="31" t="s">
        <v>18205</v>
      </c>
      <c r="U4710" s="31" t="s">
        <v>18119</v>
      </c>
      <c r="V4710" s="32">
        <v>42187.0</v>
      </c>
    </row>
    <row r="4711">
      <c r="A4711" s="32"/>
      <c r="T4711" s="31" t="s">
        <v>18208</v>
      </c>
      <c r="U4711" s="31" t="s">
        <v>18209</v>
      </c>
      <c r="V4711" s="32">
        <v>42187.0</v>
      </c>
    </row>
    <row r="4712">
      <c r="A4712" s="32"/>
      <c r="T4712" s="31" t="s">
        <v>18212</v>
      </c>
      <c r="U4712" s="31" t="s">
        <v>18119</v>
      </c>
      <c r="V4712" s="32">
        <v>42186.0</v>
      </c>
    </row>
    <row r="4713">
      <c r="A4713" s="32"/>
      <c r="T4713" s="31" t="s">
        <v>18215</v>
      </c>
      <c r="U4713" s="31" t="s">
        <v>18216</v>
      </c>
      <c r="V4713" s="32">
        <v>42186.0</v>
      </c>
    </row>
    <row r="4714">
      <c r="A4714" s="32"/>
      <c r="T4714" s="31" t="s">
        <v>18219</v>
      </c>
      <c r="U4714" s="31" t="s">
        <v>18220</v>
      </c>
      <c r="V4714" s="32">
        <v>42185.0</v>
      </c>
    </row>
    <row r="4715">
      <c r="A4715" s="32"/>
      <c r="T4715" s="31" t="s">
        <v>18223</v>
      </c>
      <c r="U4715" s="31" t="s">
        <v>18224</v>
      </c>
      <c r="V4715" s="32">
        <v>42185.0</v>
      </c>
    </row>
    <row r="4716">
      <c r="A4716" s="32"/>
      <c r="T4716" s="31" t="s">
        <v>18227</v>
      </c>
      <c r="U4716" s="31" t="s">
        <v>18228</v>
      </c>
      <c r="V4716" s="32">
        <v>42184.0</v>
      </c>
    </row>
    <row r="4717">
      <c r="A4717" s="32"/>
      <c r="T4717" s="31" t="s">
        <v>18231</v>
      </c>
      <c r="U4717" s="31" t="s">
        <v>18232</v>
      </c>
      <c r="V4717" s="32">
        <v>42181.0</v>
      </c>
    </row>
    <row r="4718">
      <c r="A4718" s="32"/>
      <c r="T4718" s="31" t="s">
        <v>18235</v>
      </c>
      <c r="U4718" s="31" t="s">
        <v>18236</v>
      </c>
      <c r="V4718" s="32">
        <v>42180.0</v>
      </c>
    </row>
    <row r="4719">
      <c r="A4719" s="32"/>
      <c r="T4719" s="31" t="s">
        <v>18239</v>
      </c>
      <c r="U4719" s="31" t="s">
        <v>18240</v>
      </c>
      <c r="V4719" s="32">
        <v>42180.0</v>
      </c>
    </row>
    <row r="4720">
      <c r="A4720" s="32"/>
      <c r="T4720" s="31" t="s">
        <v>18243</v>
      </c>
      <c r="U4720" s="31" t="s">
        <v>18244</v>
      </c>
      <c r="V4720" s="32">
        <v>42179.0</v>
      </c>
    </row>
    <row r="4721">
      <c r="A4721" s="32"/>
      <c r="T4721" s="31" t="s">
        <v>18247</v>
      </c>
      <c r="U4721" s="31" t="s">
        <v>18248</v>
      </c>
      <c r="V4721" s="32">
        <v>42178.0</v>
      </c>
    </row>
    <row r="4722">
      <c r="A4722" s="32"/>
      <c r="T4722" s="31" t="s">
        <v>18251</v>
      </c>
      <c r="U4722" s="31" t="s">
        <v>18252</v>
      </c>
      <c r="V4722" s="32">
        <v>42178.0</v>
      </c>
    </row>
    <row r="4723">
      <c r="A4723" s="32"/>
      <c r="T4723" s="31" t="s">
        <v>18255</v>
      </c>
      <c r="U4723" s="31" t="s">
        <v>18256</v>
      </c>
      <c r="V4723" s="32">
        <v>42177.0</v>
      </c>
    </row>
    <row r="4724">
      <c r="A4724" s="32"/>
      <c r="T4724" s="31" t="s">
        <v>18259</v>
      </c>
      <c r="U4724" s="31" t="s">
        <v>18260</v>
      </c>
      <c r="V4724" s="32">
        <v>42175.0</v>
      </c>
    </row>
    <row r="4725">
      <c r="A4725" s="32"/>
      <c r="T4725" s="31" t="s">
        <v>18263</v>
      </c>
      <c r="U4725" s="31" t="s">
        <v>18264</v>
      </c>
      <c r="V4725" s="32">
        <v>42173.0</v>
      </c>
    </row>
    <row r="4726">
      <c r="A4726" s="32"/>
      <c r="T4726" s="31" t="s">
        <v>18267</v>
      </c>
      <c r="U4726" s="31" t="s">
        <v>18268</v>
      </c>
      <c r="V4726" s="32">
        <v>42173.0</v>
      </c>
    </row>
    <row r="4727">
      <c r="A4727" s="32"/>
      <c r="T4727" s="31" t="s">
        <v>18271</v>
      </c>
      <c r="U4727" s="31" t="s">
        <v>18272</v>
      </c>
      <c r="V4727" s="32">
        <v>42172.0</v>
      </c>
    </row>
    <row r="4728">
      <c r="A4728" s="32"/>
      <c r="T4728" s="31" t="s">
        <v>18275</v>
      </c>
      <c r="U4728" s="31" t="s">
        <v>18276</v>
      </c>
      <c r="V4728" s="32">
        <v>42171.0</v>
      </c>
    </row>
    <row r="4729">
      <c r="A4729" s="32"/>
      <c r="T4729" s="31" t="s">
        <v>18279</v>
      </c>
      <c r="U4729" s="31" t="s">
        <v>18280</v>
      </c>
      <c r="V4729" s="32">
        <v>42171.0</v>
      </c>
    </row>
    <row r="4730">
      <c r="A4730" s="32"/>
      <c r="T4730" s="31" t="s">
        <v>18283</v>
      </c>
      <c r="U4730" s="31" t="s">
        <v>18284</v>
      </c>
      <c r="V4730" s="32">
        <v>42171.0</v>
      </c>
    </row>
    <row r="4731">
      <c r="A4731" s="32"/>
      <c r="T4731" s="31" t="s">
        <v>18287</v>
      </c>
      <c r="U4731" s="31" t="s">
        <v>18288</v>
      </c>
      <c r="V4731" s="32">
        <v>42170.0</v>
      </c>
    </row>
    <row r="4732">
      <c r="A4732" s="32"/>
      <c r="T4732" s="31" t="s">
        <v>18291</v>
      </c>
      <c r="U4732" s="31" t="s">
        <v>18292</v>
      </c>
      <c r="V4732" s="32">
        <v>42166.0</v>
      </c>
    </row>
    <row r="4733">
      <c r="A4733" s="32"/>
      <c r="T4733" s="31" t="s">
        <v>18296</v>
      </c>
      <c r="U4733" s="31" t="s">
        <v>18297</v>
      </c>
      <c r="V4733" s="32">
        <v>42165.0</v>
      </c>
    </row>
    <row r="4734">
      <c r="A4734" s="32"/>
      <c r="T4734" s="31" t="s">
        <v>18300</v>
      </c>
      <c r="U4734" s="31" t="s">
        <v>17360</v>
      </c>
      <c r="V4734" s="32">
        <v>42164.0</v>
      </c>
    </row>
    <row r="4735">
      <c r="A4735" s="32"/>
      <c r="T4735" s="31" t="s">
        <v>18303</v>
      </c>
      <c r="U4735" s="31" t="s">
        <v>18304</v>
      </c>
      <c r="V4735" s="32">
        <v>42163.0</v>
      </c>
    </row>
    <row r="4736">
      <c r="A4736" s="32"/>
      <c r="T4736" s="31" t="s">
        <v>18307</v>
      </c>
      <c r="U4736" s="31" t="s">
        <v>18308</v>
      </c>
      <c r="V4736" s="32">
        <v>42160.0</v>
      </c>
    </row>
    <row r="4737">
      <c r="A4737" s="32"/>
      <c r="T4737" s="31" t="s">
        <v>18311</v>
      </c>
      <c r="U4737" s="31" t="s">
        <v>17360</v>
      </c>
      <c r="V4737" s="32">
        <v>42159.0</v>
      </c>
    </row>
    <row r="4738">
      <c r="A4738" s="32"/>
      <c r="T4738" s="31" t="s">
        <v>18314</v>
      </c>
      <c r="U4738" s="31" t="s">
        <v>18315</v>
      </c>
      <c r="V4738" s="32">
        <v>42159.0</v>
      </c>
    </row>
    <row r="4739">
      <c r="A4739" s="32"/>
      <c r="T4739" s="31" t="s">
        <v>18318</v>
      </c>
      <c r="U4739" s="31" t="s">
        <v>18319</v>
      </c>
      <c r="V4739" s="32">
        <v>42158.0</v>
      </c>
    </row>
    <row r="4740">
      <c r="A4740" s="32"/>
      <c r="T4740" s="31" t="s">
        <v>18323</v>
      </c>
      <c r="U4740" s="31" t="s">
        <v>18324</v>
      </c>
      <c r="V4740" s="32">
        <v>42158.0</v>
      </c>
    </row>
    <row r="4741">
      <c r="A4741" s="32"/>
      <c r="T4741" s="31" t="s">
        <v>18327</v>
      </c>
      <c r="U4741" s="31" t="s">
        <v>18328</v>
      </c>
      <c r="V4741" s="32">
        <v>42157.0</v>
      </c>
    </row>
    <row r="4742">
      <c r="A4742" s="32"/>
      <c r="T4742" s="31" t="s">
        <v>18331</v>
      </c>
      <c r="U4742" s="31" t="s">
        <v>18332</v>
      </c>
      <c r="V4742" s="32">
        <v>42156.0</v>
      </c>
    </row>
    <row r="4743">
      <c r="A4743" s="32"/>
      <c r="T4743" s="31" t="s">
        <v>18335</v>
      </c>
      <c r="U4743" s="31" t="s">
        <v>18336</v>
      </c>
      <c r="V4743" s="32">
        <v>42156.0</v>
      </c>
    </row>
    <row r="4744">
      <c r="A4744" s="32"/>
      <c r="T4744" s="31" t="s">
        <v>18339</v>
      </c>
      <c r="U4744" s="31" t="s">
        <v>18340</v>
      </c>
      <c r="V4744" s="32">
        <v>42156.0</v>
      </c>
    </row>
    <row r="4745">
      <c r="A4745" s="32"/>
      <c r="T4745" s="31" t="s">
        <v>18344</v>
      </c>
      <c r="U4745" s="31" t="s">
        <v>18345</v>
      </c>
      <c r="V4745" s="32">
        <v>42156.0</v>
      </c>
    </row>
    <row r="4746">
      <c r="A4746" s="32"/>
      <c r="T4746" s="31" t="s">
        <v>18348</v>
      </c>
      <c r="U4746" s="31" t="s">
        <v>18349</v>
      </c>
      <c r="V4746" s="32">
        <v>42156.0</v>
      </c>
    </row>
    <row r="4747">
      <c r="A4747" s="32"/>
      <c r="T4747" s="31" t="s">
        <v>18352</v>
      </c>
      <c r="U4747" s="31" t="s">
        <v>18353</v>
      </c>
      <c r="V4747" s="32">
        <v>42154.0</v>
      </c>
    </row>
    <row r="4748">
      <c r="A4748" s="32"/>
      <c r="T4748" s="31" t="s">
        <v>18356</v>
      </c>
      <c r="U4748" s="31" t="s">
        <v>18357</v>
      </c>
      <c r="V4748" s="32">
        <v>42154.0</v>
      </c>
    </row>
    <row r="4749">
      <c r="A4749" s="32"/>
      <c r="T4749" s="31" t="s">
        <v>18360</v>
      </c>
      <c r="U4749" s="31" t="s">
        <v>18361</v>
      </c>
      <c r="V4749" s="32">
        <v>42153.0</v>
      </c>
    </row>
    <row r="4750">
      <c r="A4750" s="32"/>
      <c r="T4750" s="31" t="s">
        <v>18364</v>
      </c>
      <c r="U4750" s="31" t="s">
        <v>18108</v>
      </c>
      <c r="V4750" s="32">
        <v>42151.0</v>
      </c>
    </row>
    <row r="4751">
      <c r="A4751" s="32"/>
      <c r="T4751" s="31" t="s">
        <v>18367</v>
      </c>
      <c r="U4751" s="31" t="s">
        <v>18119</v>
      </c>
      <c r="V4751" s="32">
        <v>42151.0</v>
      </c>
    </row>
    <row r="4752">
      <c r="A4752" s="32"/>
      <c r="T4752" s="31" t="s">
        <v>18370</v>
      </c>
      <c r="U4752" s="31" t="s">
        <v>18371</v>
      </c>
      <c r="V4752" s="32">
        <v>42151.0</v>
      </c>
    </row>
    <row r="4753">
      <c r="A4753" s="32"/>
      <c r="T4753" s="31" t="s">
        <v>18374</v>
      </c>
      <c r="U4753" s="31" t="s">
        <v>18375</v>
      </c>
      <c r="V4753" s="32">
        <v>42151.0</v>
      </c>
    </row>
    <row r="4754">
      <c r="A4754" s="32"/>
      <c r="T4754" s="31" t="s">
        <v>18378</v>
      </c>
      <c r="U4754" s="31" t="s">
        <v>18379</v>
      </c>
      <c r="V4754" s="32">
        <v>42149.0</v>
      </c>
    </row>
    <row r="4755">
      <c r="A4755" s="32"/>
      <c r="T4755" s="31" t="s">
        <v>18382</v>
      </c>
      <c r="U4755" s="31" t="s">
        <v>18383</v>
      </c>
      <c r="V4755" s="32">
        <v>42147.0</v>
      </c>
    </row>
    <row r="4756">
      <c r="A4756" s="32"/>
      <c r="T4756" s="31" t="s">
        <v>18386</v>
      </c>
      <c r="U4756" s="31" t="s">
        <v>18387</v>
      </c>
      <c r="V4756" s="32">
        <v>42147.0</v>
      </c>
    </row>
    <row r="4757">
      <c r="A4757" s="32"/>
      <c r="T4757" s="31" t="s">
        <v>18390</v>
      </c>
      <c r="U4757" s="31" t="s">
        <v>18391</v>
      </c>
      <c r="V4757" s="32">
        <v>42146.0</v>
      </c>
    </row>
    <row r="4758">
      <c r="A4758" s="32"/>
      <c r="T4758" s="31" t="s">
        <v>18394</v>
      </c>
      <c r="U4758" s="31" t="s">
        <v>18198</v>
      </c>
      <c r="V4758" s="32">
        <v>42145.0</v>
      </c>
    </row>
    <row r="4759">
      <c r="A4759" s="32"/>
      <c r="T4759" s="31" t="s">
        <v>18397</v>
      </c>
      <c r="U4759" s="31" t="s">
        <v>18398</v>
      </c>
      <c r="V4759" s="32">
        <v>42144.0</v>
      </c>
    </row>
    <row r="4760">
      <c r="A4760" s="32"/>
      <c r="T4760" s="31" t="s">
        <v>18401</v>
      </c>
      <c r="U4760" s="31" t="s">
        <v>18402</v>
      </c>
      <c r="V4760" s="32">
        <v>42144.0</v>
      </c>
    </row>
    <row r="4761">
      <c r="A4761" s="32"/>
      <c r="T4761" s="31" t="s">
        <v>18405</v>
      </c>
      <c r="U4761" s="31" t="s">
        <v>18406</v>
      </c>
      <c r="V4761" s="32">
        <v>42144.0</v>
      </c>
    </row>
    <row r="4762">
      <c r="A4762" s="32"/>
      <c r="T4762" s="31" t="s">
        <v>18409</v>
      </c>
      <c r="U4762" s="31" t="s">
        <v>18410</v>
      </c>
      <c r="V4762" s="32">
        <v>42143.0</v>
      </c>
    </row>
    <row r="4763">
      <c r="A4763" s="32"/>
      <c r="T4763" s="31" t="s">
        <v>18413</v>
      </c>
      <c r="U4763" s="31" t="s">
        <v>18414</v>
      </c>
      <c r="V4763" s="32">
        <v>42143.0</v>
      </c>
    </row>
    <row r="4764">
      <c r="A4764" s="32"/>
      <c r="T4764" s="31" t="s">
        <v>18417</v>
      </c>
      <c r="U4764" s="31" t="s">
        <v>18418</v>
      </c>
      <c r="V4764" s="32">
        <v>42142.0</v>
      </c>
    </row>
    <row r="4765">
      <c r="A4765" s="32"/>
      <c r="T4765" s="31" t="s">
        <v>18421</v>
      </c>
      <c r="U4765" s="31" t="s">
        <v>18422</v>
      </c>
      <c r="V4765" s="32">
        <v>42140.0</v>
      </c>
    </row>
    <row r="4766">
      <c r="A4766" s="32"/>
      <c r="T4766" s="31" t="s">
        <v>18425</v>
      </c>
      <c r="U4766" s="31" t="s">
        <v>17360</v>
      </c>
      <c r="V4766" s="32">
        <v>42138.0</v>
      </c>
    </row>
    <row r="4767">
      <c r="A4767" s="32"/>
      <c r="T4767" s="31" t="s">
        <v>18428</v>
      </c>
      <c r="U4767" s="31" t="s">
        <v>18429</v>
      </c>
      <c r="V4767" s="32">
        <v>42138.0</v>
      </c>
    </row>
    <row r="4768">
      <c r="A4768" s="32"/>
      <c r="T4768" s="31" t="s">
        <v>18432</v>
      </c>
      <c r="U4768" s="31" t="s">
        <v>18433</v>
      </c>
      <c r="V4768" s="32">
        <v>42137.0</v>
      </c>
    </row>
    <row r="4769">
      <c r="A4769" s="32"/>
      <c r="T4769" s="31" t="s">
        <v>18436</v>
      </c>
      <c r="U4769" s="31" t="s">
        <v>18437</v>
      </c>
      <c r="V4769" s="32">
        <v>42137.0</v>
      </c>
    </row>
    <row r="4770">
      <c r="A4770" s="32"/>
      <c r="T4770" s="31" t="s">
        <v>18440</v>
      </c>
      <c r="U4770" s="31" t="s">
        <v>18441</v>
      </c>
      <c r="V4770" s="32">
        <v>42136.0</v>
      </c>
    </row>
    <row r="4771">
      <c r="A4771" s="32"/>
      <c r="T4771" s="31" t="s">
        <v>18444</v>
      </c>
      <c r="U4771" s="31" t="s">
        <v>18119</v>
      </c>
      <c r="V4771" s="32">
        <v>42136.0</v>
      </c>
    </row>
    <row r="4772">
      <c r="A4772" s="32"/>
      <c r="T4772" s="31" t="s">
        <v>18447</v>
      </c>
      <c r="U4772" s="31" t="s">
        <v>18119</v>
      </c>
      <c r="V4772" s="32">
        <v>42136.0</v>
      </c>
    </row>
    <row r="4773">
      <c r="A4773" s="32"/>
      <c r="T4773" s="31" t="s">
        <v>18450</v>
      </c>
      <c r="U4773" s="31" t="s">
        <v>18451</v>
      </c>
      <c r="V4773" s="32">
        <v>42135.0</v>
      </c>
    </row>
    <row r="4774">
      <c r="A4774" s="32"/>
      <c r="T4774" s="31" t="s">
        <v>18454</v>
      </c>
      <c r="U4774" s="31" t="s">
        <v>18455</v>
      </c>
      <c r="V4774" s="32">
        <v>42135.0</v>
      </c>
    </row>
    <row r="4775">
      <c r="A4775" s="32"/>
      <c r="T4775" s="31" t="s">
        <v>18458</v>
      </c>
      <c r="U4775" s="31" t="s">
        <v>18459</v>
      </c>
      <c r="V4775" s="32">
        <v>42133.0</v>
      </c>
    </row>
    <row r="4776">
      <c r="A4776" s="32"/>
      <c r="T4776" s="31" t="s">
        <v>18462</v>
      </c>
      <c r="U4776" s="31" t="s">
        <v>18463</v>
      </c>
      <c r="V4776" s="32">
        <v>42133.0</v>
      </c>
    </row>
    <row r="4777">
      <c r="A4777" s="32"/>
      <c r="T4777" s="31" t="s">
        <v>18466</v>
      </c>
      <c r="U4777" s="31" t="s">
        <v>18467</v>
      </c>
      <c r="V4777" s="32">
        <v>42131.0</v>
      </c>
    </row>
    <row r="4778">
      <c r="A4778" s="32"/>
      <c r="T4778" s="31" t="s">
        <v>18470</v>
      </c>
      <c r="U4778" s="31" t="s">
        <v>18471</v>
      </c>
      <c r="V4778" s="32">
        <v>42131.0</v>
      </c>
    </row>
    <row r="4779">
      <c r="A4779" s="32"/>
      <c r="T4779" s="31" t="s">
        <v>18474</v>
      </c>
      <c r="U4779" s="31" t="s">
        <v>18475</v>
      </c>
      <c r="V4779" s="32">
        <v>42131.0</v>
      </c>
    </row>
    <row r="4780">
      <c r="A4780" s="32"/>
      <c r="T4780" s="31" t="s">
        <v>18478</v>
      </c>
      <c r="U4780" s="31" t="s">
        <v>18479</v>
      </c>
      <c r="V4780" s="32">
        <v>42131.0</v>
      </c>
    </row>
    <row r="4781">
      <c r="A4781" s="32"/>
      <c r="T4781" s="31" t="s">
        <v>18482</v>
      </c>
      <c r="U4781" s="31" t="s">
        <v>18483</v>
      </c>
      <c r="V4781" s="32">
        <v>42128.0</v>
      </c>
    </row>
    <row r="4782">
      <c r="A4782" s="32"/>
      <c r="T4782" s="31" t="s">
        <v>18486</v>
      </c>
      <c r="U4782" s="31" t="s">
        <v>18487</v>
      </c>
      <c r="V4782" s="32">
        <v>42125.0</v>
      </c>
    </row>
    <row r="4783">
      <c r="A4783" s="32"/>
      <c r="T4783" s="31" t="s">
        <v>18489</v>
      </c>
      <c r="U4783" s="31" t="s">
        <v>16229</v>
      </c>
      <c r="V4783" s="32">
        <v>42125.0</v>
      </c>
    </row>
    <row r="4784">
      <c r="A4784" s="32"/>
      <c r="T4784" s="31" t="s">
        <v>18492</v>
      </c>
      <c r="U4784" s="31" t="s">
        <v>18493</v>
      </c>
      <c r="V4784" s="32">
        <v>42123.0</v>
      </c>
    </row>
    <row r="4785">
      <c r="A4785" s="32"/>
      <c r="T4785" s="31" t="s">
        <v>18496</v>
      </c>
      <c r="U4785" s="31" t="s">
        <v>18497</v>
      </c>
      <c r="V4785" s="32">
        <v>42123.0</v>
      </c>
    </row>
    <row r="4786">
      <c r="A4786" s="32"/>
      <c r="T4786" s="31" t="s">
        <v>18500</v>
      </c>
      <c r="U4786" s="31" t="s">
        <v>18501</v>
      </c>
      <c r="V4786" s="32">
        <v>42122.0</v>
      </c>
    </row>
    <row r="4787">
      <c r="A4787" s="32"/>
      <c r="T4787" s="31" t="s">
        <v>18504</v>
      </c>
      <c r="U4787" s="31" t="s">
        <v>18505</v>
      </c>
      <c r="V4787" s="32">
        <v>42122.0</v>
      </c>
    </row>
    <row r="4788">
      <c r="A4788" s="32"/>
      <c r="T4788" s="31" t="s">
        <v>18508</v>
      </c>
      <c r="U4788" s="31" t="s">
        <v>18509</v>
      </c>
      <c r="V4788" s="32">
        <v>42121.0</v>
      </c>
    </row>
    <row r="4789">
      <c r="A4789" s="32"/>
      <c r="T4789" s="31" t="s">
        <v>18512</v>
      </c>
      <c r="U4789" s="31" t="s">
        <v>18513</v>
      </c>
      <c r="V4789" s="32">
        <v>42121.0</v>
      </c>
    </row>
    <row r="4790">
      <c r="A4790" s="32"/>
      <c r="T4790" s="31" t="s">
        <v>18516</v>
      </c>
      <c r="U4790" s="31" t="s">
        <v>18517</v>
      </c>
      <c r="V4790" s="32">
        <v>42121.0</v>
      </c>
    </row>
    <row r="4791">
      <c r="A4791" s="32"/>
      <c r="T4791" s="31" t="s">
        <v>18520</v>
      </c>
      <c r="U4791" s="31" t="s">
        <v>18521</v>
      </c>
      <c r="V4791" s="32">
        <v>42120.0</v>
      </c>
    </row>
    <row r="4792">
      <c r="A4792" s="32"/>
      <c r="T4792" s="31" t="s">
        <v>18524</v>
      </c>
      <c r="U4792" s="31" t="s">
        <v>18525</v>
      </c>
      <c r="V4792" s="32">
        <v>42119.0</v>
      </c>
    </row>
    <row r="4793">
      <c r="A4793" s="32"/>
      <c r="T4793" s="31" t="s">
        <v>18528</v>
      </c>
      <c r="U4793" s="31" t="s">
        <v>18529</v>
      </c>
      <c r="V4793" s="32">
        <v>42118.0</v>
      </c>
    </row>
    <row r="4794">
      <c r="A4794" s="32"/>
      <c r="T4794" s="31" t="s">
        <v>18531</v>
      </c>
      <c r="U4794" s="31" t="s">
        <v>18371</v>
      </c>
      <c r="V4794" s="32">
        <v>42118.0</v>
      </c>
    </row>
    <row r="4795">
      <c r="A4795" s="32"/>
      <c r="T4795" s="31" t="s">
        <v>18534</v>
      </c>
      <c r="U4795" s="31" t="s">
        <v>15284</v>
      </c>
      <c r="V4795" s="32">
        <v>42118.0</v>
      </c>
    </row>
    <row r="4796">
      <c r="A4796" s="32"/>
      <c r="T4796" s="31" t="s">
        <v>18537</v>
      </c>
      <c r="U4796" s="31" t="s">
        <v>18538</v>
      </c>
      <c r="V4796" s="32">
        <v>42117.0</v>
      </c>
    </row>
    <row r="4797">
      <c r="A4797" s="32"/>
      <c r="T4797" s="31" t="s">
        <v>18541</v>
      </c>
      <c r="U4797" s="31" t="s">
        <v>18542</v>
      </c>
      <c r="V4797" s="32">
        <v>42117.0</v>
      </c>
    </row>
    <row r="4798">
      <c r="A4798" s="32"/>
      <c r="T4798" s="31" t="s">
        <v>18545</v>
      </c>
      <c r="U4798" s="31" t="s">
        <v>18546</v>
      </c>
      <c r="V4798" s="32">
        <v>42117.0</v>
      </c>
    </row>
    <row r="4799">
      <c r="A4799" s="32"/>
      <c r="T4799" s="31" t="s">
        <v>18549</v>
      </c>
      <c r="U4799" s="31" t="s">
        <v>18371</v>
      </c>
      <c r="V4799" s="32">
        <v>42117.0</v>
      </c>
    </row>
    <row r="4800">
      <c r="A4800" s="32"/>
      <c r="T4800" s="31" t="s">
        <v>18552</v>
      </c>
      <c r="U4800" s="31" t="s">
        <v>18119</v>
      </c>
      <c r="V4800" s="32">
        <v>42116.0</v>
      </c>
    </row>
    <row r="4801">
      <c r="A4801" s="32"/>
      <c r="T4801" s="31" t="s">
        <v>18555</v>
      </c>
      <c r="U4801" s="31" t="s">
        <v>18556</v>
      </c>
      <c r="V4801" s="32">
        <v>42116.0</v>
      </c>
    </row>
    <row r="4802">
      <c r="A4802" s="32"/>
      <c r="T4802" s="31" t="s">
        <v>18559</v>
      </c>
      <c r="U4802" s="31" t="s">
        <v>18560</v>
      </c>
      <c r="V4802" s="32">
        <v>42115.0</v>
      </c>
    </row>
    <row r="4803">
      <c r="A4803" s="32"/>
      <c r="T4803" s="31" t="s">
        <v>18562</v>
      </c>
      <c r="U4803" s="31" t="s">
        <v>18563</v>
      </c>
      <c r="V4803" s="32">
        <v>42114.0</v>
      </c>
    </row>
    <row r="4804">
      <c r="A4804" s="32"/>
      <c r="T4804" s="31" t="s">
        <v>18566</v>
      </c>
      <c r="U4804" s="31" t="s">
        <v>18567</v>
      </c>
      <c r="V4804" s="32">
        <v>42114.0</v>
      </c>
    </row>
    <row r="4805">
      <c r="A4805" s="32"/>
      <c r="T4805" s="31" t="s">
        <v>18570</v>
      </c>
      <c r="U4805" s="31" t="s">
        <v>18571</v>
      </c>
      <c r="V4805" s="32">
        <v>42114.0</v>
      </c>
    </row>
    <row r="4806">
      <c r="A4806" s="32"/>
      <c r="T4806" s="31" t="s">
        <v>18574</v>
      </c>
      <c r="U4806" s="31" t="s">
        <v>18575</v>
      </c>
      <c r="V4806" s="32">
        <v>42114.0</v>
      </c>
    </row>
    <row r="4807">
      <c r="A4807" s="32"/>
      <c r="T4807" s="31" t="s">
        <v>18578</v>
      </c>
      <c r="U4807" s="31" t="s">
        <v>18579</v>
      </c>
      <c r="V4807" s="32">
        <v>42112.0</v>
      </c>
    </row>
    <row r="4808">
      <c r="A4808" s="32"/>
      <c r="T4808" s="31" t="s">
        <v>18582</v>
      </c>
      <c r="U4808" s="31" t="s">
        <v>18583</v>
      </c>
      <c r="V4808" s="32">
        <v>42112.0</v>
      </c>
    </row>
    <row r="4809">
      <c r="A4809" s="32"/>
      <c r="T4809" s="31" t="s">
        <v>18586</v>
      </c>
      <c r="U4809" s="31" t="s">
        <v>18587</v>
      </c>
      <c r="V4809" s="32">
        <v>42110.0</v>
      </c>
    </row>
    <row r="4810">
      <c r="A4810" s="32"/>
      <c r="T4810" s="31" t="s">
        <v>18590</v>
      </c>
      <c r="U4810" s="31" t="s">
        <v>18591</v>
      </c>
      <c r="V4810" s="32">
        <v>42109.0</v>
      </c>
    </row>
    <row r="4811">
      <c r="A4811" s="32"/>
      <c r="T4811" s="31" t="s">
        <v>18594</v>
      </c>
      <c r="U4811" s="31" t="s">
        <v>18595</v>
      </c>
      <c r="V4811" s="32">
        <v>42107.0</v>
      </c>
    </row>
    <row r="4812">
      <c r="A4812" s="32"/>
      <c r="T4812" s="31" t="s">
        <v>18598</v>
      </c>
      <c r="U4812" s="31" t="s">
        <v>18599</v>
      </c>
      <c r="V4812" s="32">
        <v>42103.0</v>
      </c>
    </row>
    <row r="4813">
      <c r="A4813" s="32"/>
      <c r="T4813" s="31" t="s">
        <v>18602</v>
      </c>
      <c r="U4813" s="31" t="s">
        <v>18603</v>
      </c>
      <c r="V4813" s="32">
        <v>42102.0</v>
      </c>
    </row>
    <row r="4814">
      <c r="A4814" s="32"/>
      <c r="T4814" s="31" t="s">
        <v>18606</v>
      </c>
      <c r="U4814" s="31" t="s">
        <v>16918</v>
      </c>
      <c r="V4814" s="32">
        <v>42102.0</v>
      </c>
    </row>
    <row r="4815">
      <c r="A4815" s="32"/>
      <c r="T4815" s="31" t="s">
        <v>18609</v>
      </c>
      <c r="U4815" s="31" t="s">
        <v>18119</v>
      </c>
      <c r="V4815" s="32">
        <v>42102.0</v>
      </c>
    </row>
    <row r="4816">
      <c r="A4816" s="32"/>
      <c r="T4816" s="31" t="s">
        <v>18612</v>
      </c>
      <c r="U4816" s="31" t="s">
        <v>18613</v>
      </c>
      <c r="V4816" s="32">
        <v>42102.0</v>
      </c>
    </row>
    <row r="4817">
      <c r="A4817" s="32"/>
      <c r="T4817" s="31" t="s">
        <v>18616</v>
      </c>
      <c r="U4817" s="31" t="s">
        <v>18617</v>
      </c>
      <c r="V4817" s="32">
        <v>42101.0</v>
      </c>
    </row>
    <row r="4818">
      <c r="A4818" s="32"/>
      <c r="T4818" s="31" t="s">
        <v>18620</v>
      </c>
      <c r="U4818" s="31" t="s">
        <v>18621</v>
      </c>
      <c r="V4818" s="32">
        <v>42101.0</v>
      </c>
    </row>
    <row r="4819">
      <c r="A4819" s="32"/>
      <c r="T4819" s="31" t="s">
        <v>18624</v>
      </c>
      <c r="U4819" s="31" t="s">
        <v>18625</v>
      </c>
      <c r="V4819" s="32">
        <v>42101.0</v>
      </c>
    </row>
    <row r="4820">
      <c r="A4820" s="32"/>
      <c r="T4820" s="31" t="s">
        <v>18628</v>
      </c>
      <c r="U4820" s="31" t="s">
        <v>18629</v>
      </c>
      <c r="V4820" s="32">
        <v>42098.0</v>
      </c>
    </row>
    <row r="4821">
      <c r="A4821" s="32"/>
      <c r="T4821" s="31" t="s">
        <v>18631</v>
      </c>
      <c r="U4821" s="31" t="s">
        <v>18632</v>
      </c>
      <c r="V4821" s="32">
        <v>42096.0</v>
      </c>
    </row>
    <row r="4822">
      <c r="A4822" s="32"/>
      <c r="T4822" s="31" t="s">
        <v>18635</v>
      </c>
      <c r="U4822" s="31" t="s">
        <v>18636</v>
      </c>
      <c r="V4822" s="32">
        <v>42095.0</v>
      </c>
    </row>
    <row r="4823">
      <c r="A4823" s="32"/>
      <c r="T4823" s="31" t="s">
        <v>18639</v>
      </c>
      <c r="U4823" s="31" t="s">
        <v>18640</v>
      </c>
      <c r="V4823" s="32">
        <v>42095.0</v>
      </c>
    </row>
    <row r="4824">
      <c r="A4824" s="32"/>
      <c r="T4824" s="31" t="s">
        <v>18643</v>
      </c>
      <c r="U4824" s="31" t="s">
        <v>18644</v>
      </c>
      <c r="V4824" s="32">
        <v>42095.0</v>
      </c>
    </row>
    <row r="4825">
      <c r="A4825" s="32"/>
      <c r="T4825" s="31" t="s">
        <v>18646</v>
      </c>
      <c r="U4825" s="31" t="s">
        <v>18647</v>
      </c>
      <c r="V4825" s="32">
        <v>42095.0</v>
      </c>
    </row>
    <row r="4826">
      <c r="A4826" s="32"/>
      <c r="T4826" s="31" t="s">
        <v>18650</v>
      </c>
      <c r="U4826" s="31" t="s">
        <v>18651</v>
      </c>
      <c r="V4826" s="32">
        <v>42095.0</v>
      </c>
    </row>
    <row r="4827">
      <c r="A4827" s="32"/>
      <c r="T4827" s="31" t="s">
        <v>18654</v>
      </c>
      <c r="U4827" s="31" t="s">
        <v>18655</v>
      </c>
      <c r="V4827" s="32">
        <v>42095.0</v>
      </c>
    </row>
    <row r="4828">
      <c r="A4828" s="32"/>
      <c r="T4828" s="31" t="s">
        <v>18658</v>
      </c>
      <c r="U4828" s="31" t="s">
        <v>18659</v>
      </c>
      <c r="V4828" s="32">
        <v>42095.0</v>
      </c>
    </row>
    <row r="4829">
      <c r="A4829" s="32"/>
      <c r="T4829" s="31" t="s">
        <v>18662</v>
      </c>
      <c r="U4829" s="31" t="s">
        <v>18663</v>
      </c>
      <c r="V4829" s="32">
        <v>42094.0</v>
      </c>
    </row>
    <row r="4830">
      <c r="A4830" s="32"/>
      <c r="T4830" s="31" t="s">
        <v>18666</v>
      </c>
      <c r="U4830" s="31" t="s">
        <v>18667</v>
      </c>
      <c r="V4830" s="32">
        <v>42094.0</v>
      </c>
    </row>
    <row r="4831">
      <c r="A4831" s="32"/>
      <c r="T4831" s="31" t="s">
        <v>18670</v>
      </c>
      <c r="U4831" s="31" t="s">
        <v>18671</v>
      </c>
      <c r="V4831" s="32">
        <v>42091.0</v>
      </c>
    </row>
    <row r="4832">
      <c r="A4832" s="32"/>
      <c r="T4832" s="31" t="s">
        <v>18674</v>
      </c>
      <c r="U4832" s="31" t="s">
        <v>18675</v>
      </c>
      <c r="V4832" s="32">
        <v>42090.0</v>
      </c>
    </row>
    <row r="4833">
      <c r="A4833" s="32"/>
      <c r="T4833" s="31" t="s">
        <v>18678</v>
      </c>
      <c r="U4833" s="31" t="s">
        <v>18679</v>
      </c>
      <c r="V4833" s="32">
        <v>42090.0</v>
      </c>
    </row>
    <row r="4834">
      <c r="A4834" s="32"/>
      <c r="T4834" s="31" t="s">
        <v>18682</v>
      </c>
      <c r="U4834" s="31" t="s">
        <v>18683</v>
      </c>
      <c r="V4834" s="32">
        <v>42089.0</v>
      </c>
    </row>
    <row r="4835">
      <c r="A4835" s="32"/>
      <c r="T4835" s="31" t="s">
        <v>18686</v>
      </c>
      <c r="U4835" s="31" t="s">
        <v>18687</v>
      </c>
      <c r="V4835" s="32">
        <v>42089.0</v>
      </c>
    </row>
    <row r="4836">
      <c r="A4836" s="32"/>
      <c r="T4836" s="31" t="s">
        <v>18689</v>
      </c>
      <c r="U4836" s="31" t="s">
        <v>18119</v>
      </c>
      <c r="V4836" s="32">
        <v>42089.0</v>
      </c>
    </row>
    <row r="4837">
      <c r="A4837" s="32"/>
      <c r="T4837" s="31" t="s">
        <v>18692</v>
      </c>
      <c r="U4837" s="31" t="s">
        <v>18693</v>
      </c>
      <c r="V4837" s="32">
        <v>42088.0</v>
      </c>
    </row>
    <row r="4838">
      <c r="A4838" s="32"/>
      <c r="T4838" s="31" t="s">
        <v>18696</v>
      </c>
      <c r="U4838" s="31" t="s">
        <v>18697</v>
      </c>
      <c r="V4838" s="32">
        <v>42088.0</v>
      </c>
    </row>
    <row r="4839">
      <c r="A4839" s="32"/>
      <c r="T4839" s="31" t="s">
        <v>18700</v>
      </c>
      <c r="U4839" s="31" t="s">
        <v>18701</v>
      </c>
      <c r="V4839" s="32">
        <v>42087.0</v>
      </c>
    </row>
    <row r="4840">
      <c r="A4840" s="32"/>
      <c r="T4840" s="31" t="s">
        <v>18704</v>
      </c>
      <c r="U4840" s="31" t="s">
        <v>18705</v>
      </c>
      <c r="V4840" s="32">
        <v>42087.0</v>
      </c>
    </row>
    <row r="4841">
      <c r="A4841" s="32"/>
      <c r="T4841" s="31" t="s">
        <v>18708</v>
      </c>
      <c r="U4841" s="31" t="s">
        <v>17945</v>
      </c>
      <c r="V4841" s="32">
        <v>42083.0</v>
      </c>
    </row>
    <row r="4842">
      <c r="A4842" s="32"/>
      <c r="T4842" s="31" t="s">
        <v>18711</v>
      </c>
      <c r="U4842" s="31" t="s">
        <v>18712</v>
      </c>
      <c r="V4842" s="32">
        <v>42082.0</v>
      </c>
    </row>
    <row r="4843">
      <c r="A4843" s="32"/>
      <c r="T4843" s="31" t="s">
        <v>18715</v>
      </c>
      <c r="U4843" s="31" t="s">
        <v>13278</v>
      </c>
      <c r="V4843" s="32">
        <v>42080.0</v>
      </c>
    </row>
    <row r="4844">
      <c r="A4844" s="32"/>
      <c r="T4844" s="31" t="s">
        <v>18718</v>
      </c>
      <c r="U4844" s="31" t="s">
        <v>18719</v>
      </c>
      <c r="V4844" s="32">
        <v>42080.0</v>
      </c>
    </row>
    <row r="4845">
      <c r="A4845" s="32"/>
      <c r="T4845" s="31" t="s">
        <v>18722</v>
      </c>
      <c r="U4845" s="31" t="s">
        <v>18723</v>
      </c>
      <c r="V4845" s="32">
        <v>42078.0</v>
      </c>
    </row>
    <row r="4846">
      <c r="A4846" s="32"/>
      <c r="T4846" s="31" t="s">
        <v>18726</v>
      </c>
      <c r="U4846" s="31" t="s">
        <v>18727</v>
      </c>
      <c r="V4846" s="32">
        <v>42077.0</v>
      </c>
    </row>
    <row r="4847">
      <c r="A4847" s="32"/>
      <c r="T4847" s="31" t="s">
        <v>18730</v>
      </c>
      <c r="U4847" s="31" t="s">
        <v>18371</v>
      </c>
      <c r="V4847" s="32">
        <v>42076.0</v>
      </c>
    </row>
    <row r="4848">
      <c r="A4848" s="32"/>
      <c r="T4848" s="31" t="s">
        <v>18733</v>
      </c>
      <c r="U4848" s="31" t="s">
        <v>18538</v>
      </c>
      <c r="V4848" s="32">
        <v>42075.0</v>
      </c>
    </row>
    <row r="4849">
      <c r="A4849" s="32"/>
      <c r="T4849" s="31" t="s">
        <v>18736</v>
      </c>
      <c r="U4849" s="31" t="s">
        <v>18737</v>
      </c>
      <c r="V4849" s="32">
        <v>42075.0</v>
      </c>
    </row>
    <row r="4850">
      <c r="A4850" s="32"/>
      <c r="T4850" s="31" t="s">
        <v>18740</v>
      </c>
      <c r="U4850" s="31" t="s">
        <v>18741</v>
      </c>
      <c r="V4850" s="32">
        <v>42074.0</v>
      </c>
    </row>
    <row r="4851">
      <c r="A4851" s="32"/>
      <c r="T4851" s="31" t="s">
        <v>18745</v>
      </c>
      <c r="U4851" s="31" t="s">
        <v>18746</v>
      </c>
      <c r="V4851" s="32">
        <v>42074.0</v>
      </c>
    </row>
    <row r="4852">
      <c r="A4852" s="32"/>
      <c r="T4852" s="31" t="s">
        <v>18748</v>
      </c>
      <c r="U4852" s="31" t="s">
        <v>18749</v>
      </c>
      <c r="V4852" s="32">
        <v>42073.0</v>
      </c>
    </row>
    <row r="4853">
      <c r="A4853" s="32"/>
      <c r="T4853" s="31" t="s">
        <v>18752</v>
      </c>
      <c r="U4853" s="31" t="s">
        <v>18753</v>
      </c>
      <c r="V4853" s="32">
        <v>42073.0</v>
      </c>
    </row>
    <row r="4854">
      <c r="A4854" s="32"/>
      <c r="T4854" s="31" t="s">
        <v>18756</v>
      </c>
      <c r="U4854" s="31" t="s">
        <v>18757</v>
      </c>
      <c r="V4854" s="32">
        <v>42072.0</v>
      </c>
    </row>
    <row r="4855">
      <c r="A4855" s="32"/>
      <c r="T4855" s="31" t="s">
        <v>18760</v>
      </c>
      <c r="U4855" s="31" t="s">
        <v>18761</v>
      </c>
      <c r="V4855" s="32">
        <v>42072.0</v>
      </c>
    </row>
    <row r="4856">
      <c r="A4856" s="32"/>
      <c r="T4856" s="31" t="s">
        <v>18764</v>
      </c>
      <c r="U4856" s="31" t="s">
        <v>18765</v>
      </c>
      <c r="V4856" s="32">
        <v>42068.0</v>
      </c>
    </row>
    <row r="4857">
      <c r="A4857" s="32"/>
      <c r="T4857" s="31" t="s">
        <v>18768</v>
      </c>
      <c r="U4857" s="31" t="s">
        <v>18769</v>
      </c>
      <c r="V4857" s="32">
        <v>42068.0</v>
      </c>
    </row>
    <row r="4858">
      <c r="A4858" s="32"/>
      <c r="T4858" s="31" t="s">
        <v>18772</v>
      </c>
      <c r="U4858" s="31" t="s">
        <v>18773</v>
      </c>
      <c r="V4858" s="32">
        <v>42067.0</v>
      </c>
    </row>
    <row r="4859">
      <c r="A4859" s="32"/>
      <c r="T4859" s="31" t="s">
        <v>18775</v>
      </c>
      <c r="U4859" s="31" t="s">
        <v>18776</v>
      </c>
      <c r="V4859" s="32">
        <v>42064.0</v>
      </c>
    </row>
    <row r="4860">
      <c r="A4860" s="32"/>
      <c r="T4860" s="31" t="s">
        <v>18779</v>
      </c>
      <c r="U4860" s="31" t="s">
        <v>18780</v>
      </c>
      <c r="V4860" s="32">
        <v>42064.0</v>
      </c>
    </row>
    <row r="4861">
      <c r="A4861" s="32"/>
      <c r="T4861" s="31" t="s">
        <v>18783</v>
      </c>
      <c r="U4861" s="31" t="s">
        <v>18784</v>
      </c>
      <c r="V4861" s="32">
        <v>42064.0</v>
      </c>
    </row>
    <row r="4862">
      <c r="A4862" s="32"/>
      <c r="T4862" s="31" t="s">
        <v>18787</v>
      </c>
      <c r="U4862" s="31" t="s">
        <v>18788</v>
      </c>
      <c r="V4862" s="32">
        <v>42064.0</v>
      </c>
    </row>
    <row r="4863">
      <c r="A4863" s="32"/>
      <c r="T4863" s="31" t="s">
        <v>18791</v>
      </c>
      <c r="U4863" s="31" t="s">
        <v>18792</v>
      </c>
      <c r="V4863" s="32">
        <v>42062.0</v>
      </c>
    </row>
    <row r="4864">
      <c r="A4864" s="32"/>
      <c r="T4864" s="31" t="s">
        <v>18795</v>
      </c>
      <c r="U4864" s="31" t="s">
        <v>18796</v>
      </c>
      <c r="V4864" s="32">
        <v>42062.0</v>
      </c>
    </row>
    <row r="4865">
      <c r="A4865" s="32"/>
      <c r="T4865" s="31" t="s">
        <v>18800</v>
      </c>
      <c r="U4865" s="31" t="s">
        <v>18801</v>
      </c>
      <c r="V4865" s="32">
        <v>42062.0</v>
      </c>
    </row>
    <row r="4866">
      <c r="A4866" s="32"/>
      <c r="T4866" s="31" t="s">
        <v>18804</v>
      </c>
      <c r="U4866" s="31" t="s">
        <v>18805</v>
      </c>
      <c r="V4866" s="32">
        <v>42062.0</v>
      </c>
    </row>
    <row r="4867">
      <c r="A4867" s="32"/>
      <c r="T4867" s="31" t="s">
        <v>18808</v>
      </c>
      <c r="U4867" s="31" t="s">
        <v>18809</v>
      </c>
      <c r="V4867" s="32">
        <v>42061.0</v>
      </c>
    </row>
    <row r="4868">
      <c r="A4868" s="32"/>
      <c r="T4868" s="31" t="s">
        <v>18812</v>
      </c>
      <c r="U4868" s="31" t="s">
        <v>17789</v>
      </c>
      <c r="V4868" s="32">
        <v>42061.0</v>
      </c>
    </row>
    <row r="4869">
      <c r="A4869" s="32"/>
      <c r="T4869" s="31" t="s">
        <v>18815</v>
      </c>
      <c r="U4869" s="31" t="s">
        <v>18816</v>
      </c>
      <c r="V4869" s="32">
        <v>42059.0</v>
      </c>
    </row>
    <row r="4870">
      <c r="A4870" s="32"/>
      <c r="T4870" s="31" t="s">
        <v>18819</v>
      </c>
      <c r="U4870" s="31" t="s">
        <v>17789</v>
      </c>
      <c r="V4870" s="32">
        <v>42055.0</v>
      </c>
    </row>
    <row r="4871">
      <c r="A4871" s="32"/>
      <c r="T4871" s="31" t="s">
        <v>18822</v>
      </c>
      <c r="U4871" s="31" t="s">
        <v>18823</v>
      </c>
      <c r="V4871" s="32">
        <v>42055.0</v>
      </c>
    </row>
    <row r="4872">
      <c r="A4872" s="32"/>
      <c r="T4872" s="31" t="s">
        <v>18826</v>
      </c>
      <c r="U4872" s="31" t="s">
        <v>18827</v>
      </c>
      <c r="V4872" s="32">
        <v>42055.0</v>
      </c>
    </row>
    <row r="4873">
      <c r="A4873" s="32"/>
      <c r="T4873" s="31" t="s">
        <v>18831</v>
      </c>
      <c r="U4873" s="31" t="s">
        <v>18371</v>
      </c>
      <c r="V4873" s="32">
        <v>42054.0</v>
      </c>
    </row>
    <row r="4874">
      <c r="A4874" s="32"/>
      <c r="T4874" s="31" t="s">
        <v>18834</v>
      </c>
      <c r="U4874" s="31" t="s">
        <v>18835</v>
      </c>
      <c r="V4874" s="32">
        <v>42053.0</v>
      </c>
    </row>
    <row r="4875">
      <c r="A4875" s="32"/>
      <c r="T4875" s="31" t="s">
        <v>18839</v>
      </c>
      <c r="U4875" s="31" t="s">
        <v>18840</v>
      </c>
      <c r="V4875" s="32">
        <v>42053.0</v>
      </c>
    </row>
    <row r="4876">
      <c r="A4876" s="32"/>
      <c r="T4876" s="31" t="s">
        <v>18843</v>
      </c>
      <c r="U4876" s="31" t="s">
        <v>18816</v>
      </c>
      <c r="V4876" s="32">
        <v>42053.0</v>
      </c>
    </row>
    <row r="4877">
      <c r="A4877" s="32"/>
      <c r="T4877" s="31" t="s">
        <v>18846</v>
      </c>
      <c r="U4877" s="31" t="s">
        <v>18847</v>
      </c>
      <c r="V4877" s="32">
        <v>42052.0</v>
      </c>
    </row>
    <row r="4878">
      <c r="A4878" s="32"/>
      <c r="T4878" s="31" t="s">
        <v>18851</v>
      </c>
      <c r="U4878" s="31" t="s">
        <v>18852</v>
      </c>
      <c r="V4878" s="32">
        <v>42051.0</v>
      </c>
    </row>
    <row r="4879">
      <c r="A4879" s="32"/>
      <c r="T4879" s="31" t="s">
        <v>18855</v>
      </c>
      <c r="U4879" s="31" t="s">
        <v>18856</v>
      </c>
      <c r="V4879" s="32">
        <v>42050.0</v>
      </c>
    </row>
    <row r="4880">
      <c r="A4880" s="32"/>
      <c r="T4880" s="31" t="s">
        <v>18860</v>
      </c>
      <c r="U4880" s="31" t="s">
        <v>18861</v>
      </c>
      <c r="V4880" s="32">
        <v>42049.0</v>
      </c>
    </row>
    <row r="4881">
      <c r="A4881" s="32"/>
      <c r="T4881" s="31" t="s">
        <v>18864</v>
      </c>
      <c r="U4881" s="31" t="s">
        <v>18865</v>
      </c>
      <c r="V4881" s="32">
        <v>42048.0</v>
      </c>
    </row>
    <row r="4882">
      <c r="A4882" s="32"/>
      <c r="T4882" s="31" t="s">
        <v>18868</v>
      </c>
      <c r="U4882" s="31" t="s">
        <v>18869</v>
      </c>
      <c r="V4882" s="32">
        <v>42048.0</v>
      </c>
    </row>
    <row r="4883">
      <c r="A4883" s="32"/>
      <c r="T4883" s="31" t="s">
        <v>18872</v>
      </c>
      <c r="U4883" s="31" t="s">
        <v>18873</v>
      </c>
      <c r="V4883" s="32">
        <v>42047.0</v>
      </c>
    </row>
    <row r="4884">
      <c r="A4884" s="32"/>
      <c r="T4884" s="31" t="s">
        <v>18876</v>
      </c>
      <c r="U4884" s="31" t="s">
        <v>18877</v>
      </c>
      <c r="V4884" s="32">
        <v>42047.0</v>
      </c>
    </row>
    <row r="4885">
      <c r="A4885" s="32"/>
      <c r="T4885" s="31" t="s">
        <v>18880</v>
      </c>
      <c r="U4885" s="31" t="s">
        <v>18881</v>
      </c>
      <c r="V4885" s="32">
        <v>42046.0</v>
      </c>
    </row>
    <row r="4886">
      <c r="A4886" s="32"/>
      <c r="T4886" s="31" t="s">
        <v>18884</v>
      </c>
      <c r="U4886" s="31" t="s">
        <v>18371</v>
      </c>
      <c r="V4886" s="32">
        <v>42045.0</v>
      </c>
    </row>
    <row r="4887">
      <c r="A4887" s="32"/>
      <c r="T4887" s="31" t="s">
        <v>18887</v>
      </c>
      <c r="U4887" s="31" t="s">
        <v>18888</v>
      </c>
      <c r="V4887" s="32">
        <v>42044.0</v>
      </c>
    </row>
    <row r="4888">
      <c r="A4888" s="32"/>
      <c r="T4888" s="31" t="s">
        <v>18891</v>
      </c>
      <c r="U4888" s="31" t="s">
        <v>18892</v>
      </c>
      <c r="V4888" s="32">
        <v>42044.0</v>
      </c>
    </row>
    <row r="4889">
      <c r="A4889" s="32"/>
      <c r="T4889" s="31" t="s">
        <v>18895</v>
      </c>
      <c r="U4889" s="31" t="s">
        <v>18896</v>
      </c>
      <c r="V4889" s="32">
        <v>42044.0</v>
      </c>
    </row>
    <row r="4890">
      <c r="A4890" s="32"/>
      <c r="T4890" s="31" t="s">
        <v>18899</v>
      </c>
      <c r="U4890" s="31" t="s">
        <v>18900</v>
      </c>
      <c r="V4890" s="32">
        <v>42043.0</v>
      </c>
    </row>
    <row r="4891">
      <c r="A4891" s="32"/>
      <c r="T4891" s="31" t="s">
        <v>18904</v>
      </c>
      <c r="U4891" s="31" t="s">
        <v>18905</v>
      </c>
      <c r="V4891" s="32">
        <v>42042.0</v>
      </c>
    </row>
    <row r="4892">
      <c r="A4892" s="32"/>
      <c r="T4892" s="31" t="s">
        <v>18908</v>
      </c>
      <c r="U4892" s="31" t="s">
        <v>18909</v>
      </c>
      <c r="V4892" s="32">
        <v>42041.0</v>
      </c>
    </row>
    <row r="4893">
      <c r="A4893" s="32"/>
      <c r="T4893" s="31" t="s">
        <v>18912</v>
      </c>
      <c r="U4893" s="31" t="s">
        <v>18913</v>
      </c>
      <c r="V4893" s="32">
        <v>42041.0</v>
      </c>
    </row>
    <row r="4894">
      <c r="A4894" s="32"/>
      <c r="T4894" s="31" t="s">
        <v>18917</v>
      </c>
      <c r="U4894" s="31" t="s">
        <v>18918</v>
      </c>
      <c r="V4894" s="32">
        <v>42041.0</v>
      </c>
    </row>
    <row r="4895">
      <c r="A4895" s="32"/>
      <c r="T4895" s="31" t="s">
        <v>18921</v>
      </c>
      <c r="U4895" s="31" t="s">
        <v>18922</v>
      </c>
      <c r="V4895" s="32">
        <v>42038.0</v>
      </c>
    </row>
    <row r="4896">
      <c r="A4896" s="32"/>
      <c r="T4896" s="31" t="s">
        <v>18924</v>
      </c>
      <c r="U4896" s="31" t="s">
        <v>18925</v>
      </c>
      <c r="V4896" s="32">
        <v>42036.0</v>
      </c>
    </row>
    <row r="4897">
      <c r="A4897" s="32"/>
      <c r="T4897" s="31" t="s">
        <v>18928</v>
      </c>
      <c r="U4897" s="31" t="s">
        <v>18929</v>
      </c>
      <c r="V4897" s="32">
        <v>42036.0</v>
      </c>
    </row>
    <row r="4898">
      <c r="A4898" s="32"/>
      <c r="T4898" s="31" t="s">
        <v>18932</v>
      </c>
      <c r="U4898" s="31" t="s">
        <v>18933</v>
      </c>
      <c r="V4898" s="32">
        <v>42036.0</v>
      </c>
    </row>
    <row r="4899">
      <c r="A4899" s="32"/>
      <c r="T4899" s="31" t="s">
        <v>18936</v>
      </c>
      <c r="U4899" s="31" t="s">
        <v>18937</v>
      </c>
      <c r="V4899" s="32">
        <v>42036.0</v>
      </c>
    </row>
    <row r="4900">
      <c r="A4900" s="32"/>
      <c r="T4900" s="31" t="s">
        <v>18940</v>
      </c>
      <c r="U4900" s="31" t="s">
        <v>18941</v>
      </c>
      <c r="V4900" s="32">
        <v>42035.0</v>
      </c>
    </row>
    <row r="4901">
      <c r="A4901" s="32"/>
      <c r="T4901" s="31" t="s">
        <v>18944</v>
      </c>
      <c r="U4901" s="31" t="s">
        <v>18945</v>
      </c>
      <c r="V4901" s="32">
        <v>42035.0</v>
      </c>
    </row>
    <row r="4902">
      <c r="A4902" s="32"/>
      <c r="T4902" s="31" t="s">
        <v>18948</v>
      </c>
      <c r="U4902" s="31" t="s">
        <v>18949</v>
      </c>
      <c r="V4902" s="32">
        <v>42032.0</v>
      </c>
    </row>
    <row r="4903">
      <c r="A4903" s="32"/>
      <c r="T4903" s="31" t="s">
        <v>18952</v>
      </c>
      <c r="U4903" s="31" t="s">
        <v>18953</v>
      </c>
      <c r="V4903" s="32">
        <v>42032.0</v>
      </c>
    </row>
    <row r="4904">
      <c r="A4904" s="32"/>
      <c r="T4904" s="31" t="s">
        <v>18956</v>
      </c>
      <c r="U4904" s="31" t="s">
        <v>18957</v>
      </c>
      <c r="V4904" s="32">
        <v>42032.0</v>
      </c>
    </row>
    <row r="4905">
      <c r="A4905" s="32"/>
      <c r="T4905" s="31" t="s">
        <v>18960</v>
      </c>
      <c r="U4905" s="31" t="s">
        <v>18961</v>
      </c>
      <c r="V4905" s="32">
        <v>42030.0</v>
      </c>
    </row>
    <row r="4906">
      <c r="A4906" s="32"/>
      <c r="T4906" s="31" t="s">
        <v>18964</v>
      </c>
      <c r="U4906" s="31" t="s">
        <v>18965</v>
      </c>
      <c r="V4906" s="32">
        <v>42030.0</v>
      </c>
    </row>
    <row r="4907">
      <c r="A4907" s="32"/>
      <c r="T4907" s="31" t="s">
        <v>18968</v>
      </c>
      <c r="U4907" s="31" t="s">
        <v>18969</v>
      </c>
      <c r="V4907" s="32">
        <v>42027.0</v>
      </c>
    </row>
    <row r="4908">
      <c r="A4908" s="32"/>
      <c r="T4908" s="31" t="s">
        <v>18972</v>
      </c>
      <c r="U4908" s="31" t="s">
        <v>18973</v>
      </c>
      <c r="V4908" s="32">
        <v>42027.0</v>
      </c>
    </row>
    <row r="4909">
      <c r="A4909" s="32"/>
      <c r="T4909" s="31" t="s">
        <v>18976</v>
      </c>
      <c r="U4909" s="31" t="s">
        <v>18371</v>
      </c>
      <c r="V4909" s="32">
        <v>42026.0</v>
      </c>
    </row>
    <row r="4910">
      <c r="A4910" s="32"/>
      <c r="T4910" s="31" t="s">
        <v>18979</v>
      </c>
      <c r="U4910" s="31" t="s">
        <v>18980</v>
      </c>
      <c r="V4910" s="32">
        <v>42025.0</v>
      </c>
    </row>
    <row r="4911">
      <c r="A4911" s="32"/>
      <c r="T4911" s="31" t="s">
        <v>18983</v>
      </c>
      <c r="U4911" s="31" t="s">
        <v>18984</v>
      </c>
      <c r="V4911" s="32">
        <v>42024.0</v>
      </c>
    </row>
    <row r="4912">
      <c r="A4912" s="32"/>
      <c r="T4912" s="31" t="s">
        <v>18987</v>
      </c>
      <c r="U4912" s="31" t="s">
        <v>18988</v>
      </c>
      <c r="V4912" s="32">
        <v>42024.0</v>
      </c>
    </row>
    <row r="4913">
      <c r="A4913" s="32"/>
      <c r="T4913" s="31" t="s">
        <v>18991</v>
      </c>
      <c r="U4913" s="31" t="s">
        <v>18992</v>
      </c>
      <c r="V4913" s="32">
        <v>42024.0</v>
      </c>
    </row>
    <row r="4914">
      <c r="A4914" s="32"/>
      <c r="T4914" s="31" t="s">
        <v>18995</v>
      </c>
      <c r="U4914" s="31" t="s">
        <v>18996</v>
      </c>
      <c r="V4914" s="32">
        <v>42020.0</v>
      </c>
    </row>
    <row r="4915">
      <c r="A4915" s="32"/>
      <c r="T4915" s="31" t="s">
        <v>18999</v>
      </c>
      <c r="U4915" s="31" t="s">
        <v>19000</v>
      </c>
      <c r="V4915" s="32">
        <v>42019.0</v>
      </c>
    </row>
    <row r="4916">
      <c r="A4916" s="32"/>
      <c r="T4916" s="31" t="s">
        <v>19003</v>
      </c>
      <c r="U4916" s="31" t="s">
        <v>19004</v>
      </c>
      <c r="V4916" s="32">
        <v>42019.0</v>
      </c>
    </row>
    <row r="4917">
      <c r="A4917" s="32"/>
      <c r="T4917" s="31" t="s">
        <v>19007</v>
      </c>
      <c r="U4917" s="31" t="s">
        <v>19008</v>
      </c>
      <c r="V4917" s="32">
        <v>42018.0</v>
      </c>
    </row>
    <row r="4918">
      <c r="A4918" s="32"/>
      <c r="T4918" s="31" t="s">
        <v>19011</v>
      </c>
      <c r="U4918" s="31" t="s">
        <v>19012</v>
      </c>
      <c r="V4918" s="32">
        <v>42018.0</v>
      </c>
    </row>
    <row r="4919">
      <c r="A4919" s="32"/>
      <c r="T4919" s="31" t="s">
        <v>19015</v>
      </c>
      <c r="U4919" s="31" t="s">
        <v>19016</v>
      </c>
      <c r="V4919" s="32">
        <v>42017.0</v>
      </c>
    </row>
    <row r="4920">
      <c r="A4920" s="32"/>
      <c r="T4920" s="31" t="s">
        <v>19019</v>
      </c>
      <c r="U4920" s="31" t="s">
        <v>19020</v>
      </c>
      <c r="V4920" s="32">
        <v>42014.0</v>
      </c>
    </row>
    <row r="4921">
      <c r="A4921" s="32"/>
      <c r="T4921" s="31" t="s">
        <v>19023</v>
      </c>
      <c r="U4921" s="31" t="s">
        <v>19024</v>
      </c>
      <c r="V4921" s="32">
        <v>42013.0</v>
      </c>
    </row>
    <row r="4922">
      <c r="A4922" s="32"/>
      <c r="T4922" s="31" t="s">
        <v>19027</v>
      </c>
      <c r="U4922" s="31" t="s">
        <v>19028</v>
      </c>
      <c r="V4922" s="32">
        <v>42012.0</v>
      </c>
    </row>
    <row r="4923">
      <c r="A4923" s="32"/>
      <c r="T4923" s="31" t="s">
        <v>19031</v>
      </c>
      <c r="U4923" s="31" t="s">
        <v>19032</v>
      </c>
      <c r="V4923" s="32">
        <v>42012.0</v>
      </c>
    </row>
    <row r="4924">
      <c r="A4924" s="32"/>
      <c r="T4924" s="31" t="s">
        <v>19036</v>
      </c>
      <c r="U4924" s="31" t="s">
        <v>19037</v>
      </c>
      <c r="V4924" s="32">
        <v>42011.0</v>
      </c>
    </row>
    <row r="4925">
      <c r="A4925" s="32"/>
      <c r="T4925" s="31" t="s">
        <v>19041</v>
      </c>
      <c r="U4925" s="31" t="s">
        <v>19042</v>
      </c>
      <c r="V4925" s="32">
        <v>42011.0</v>
      </c>
    </row>
    <row r="4926">
      <c r="A4926" s="32"/>
      <c r="T4926" s="31" t="s">
        <v>19045</v>
      </c>
      <c r="U4926" s="31" t="s">
        <v>18933</v>
      </c>
      <c r="V4926" s="32">
        <v>42011.0</v>
      </c>
    </row>
    <row r="4927">
      <c r="A4927" s="32"/>
      <c r="T4927" s="31" t="s">
        <v>19048</v>
      </c>
      <c r="U4927" s="31" t="s">
        <v>19049</v>
      </c>
      <c r="V4927" s="32">
        <v>42009.0</v>
      </c>
    </row>
    <row r="4928">
      <c r="A4928" s="32"/>
      <c r="T4928" s="31" t="s">
        <v>19052</v>
      </c>
      <c r="U4928" s="31" t="s">
        <v>19049</v>
      </c>
      <c r="V4928" s="32">
        <v>42009.0</v>
      </c>
    </row>
    <row r="4929">
      <c r="A4929" s="32"/>
      <c r="T4929" s="31" t="s">
        <v>19054</v>
      </c>
      <c r="U4929" s="31" t="s">
        <v>19055</v>
      </c>
      <c r="V4929" s="32">
        <v>42007.0</v>
      </c>
    </row>
    <row r="4930">
      <c r="A4930" s="32"/>
      <c r="T4930" s="31" t="s">
        <v>19058</v>
      </c>
      <c r="U4930" s="31" t="s">
        <v>19059</v>
      </c>
      <c r="V4930" s="32">
        <v>42006.0</v>
      </c>
    </row>
    <row r="4931">
      <c r="A4931" s="32"/>
      <c r="T4931" s="31" t="s">
        <v>19062</v>
      </c>
      <c r="U4931" s="31" t="s">
        <v>19063</v>
      </c>
      <c r="V4931" s="32">
        <v>42005.0</v>
      </c>
    </row>
    <row r="4932">
      <c r="A4932" s="32"/>
      <c r="T4932" s="31" t="s">
        <v>19067</v>
      </c>
      <c r="U4932" s="31" t="s">
        <v>19068</v>
      </c>
      <c r="V4932" s="32">
        <v>42005.0</v>
      </c>
    </row>
    <row r="4933">
      <c r="A4933" s="32"/>
      <c r="T4933" s="31" t="s">
        <v>19072</v>
      </c>
      <c r="U4933" s="31" t="s">
        <v>19073</v>
      </c>
      <c r="V4933" s="32">
        <v>42005.0</v>
      </c>
    </row>
    <row r="4934">
      <c r="A4934" s="32"/>
      <c r="T4934" s="31" t="s">
        <v>19076</v>
      </c>
      <c r="U4934" s="31" t="s">
        <v>19077</v>
      </c>
      <c r="V4934" s="32">
        <v>42005.0</v>
      </c>
    </row>
    <row r="4935">
      <c r="A4935" s="32"/>
      <c r="T4935" s="31" t="s">
        <v>19080</v>
      </c>
      <c r="U4935" s="31" t="s">
        <v>19081</v>
      </c>
      <c r="V4935" s="32">
        <v>42005.0</v>
      </c>
    </row>
    <row r="4936">
      <c r="A4936" s="32"/>
      <c r="T4936" s="31" t="s">
        <v>19084</v>
      </c>
      <c r="U4936" s="31" t="s">
        <v>19085</v>
      </c>
      <c r="V4936" s="32">
        <v>42005.0</v>
      </c>
    </row>
    <row r="4937">
      <c r="A4937" s="32"/>
      <c r="T4937" s="31" t="s">
        <v>19088</v>
      </c>
      <c r="U4937" s="31" t="s">
        <v>19089</v>
      </c>
      <c r="V4937" s="32">
        <v>42005.0</v>
      </c>
    </row>
    <row r="4938">
      <c r="A4938" s="32"/>
      <c r="T4938" s="31" t="s">
        <v>19092</v>
      </c>
      <c r="U4938" s="31" t="s">
        <v>19093</v>
      </c>
      <c r="V4938" s="32">
        <v>42005.0</v>
      </c>
    </row>
    <row r="4939">
      <c r="A4939" s="32"/>
      <c r="T4939" s="31" t="s">
        <v>19095</v>
      </c>
      <c r="U4939" s="31" t="s">
        <v>19096</v>
      </c>
      <c r="V4939" s="32">
        <v>42005.0</v>
      </c>
    </row>
    <row r="4940">
      <c r="A4940" s="32"/>
      <c r="T4940" s="31" t="s">
        <v>19099</v>
      </c>
      <c r="U4940" s="31" t="s">
        <v>19100</v>
      </c>
      <c r="V4940" s="32">
        <v>42005.0</v>
      </c>
    </row>
    <row r="4941">
      <c r="A4941" s="32"/>
      <c r="T4941" s="31" t="s">
        <v>19102</v>
      </c>
      <c r="U4941" s="31" t="s">
        <v>19103</v>
      </c>
      <c r="V4941" s="32">
        <v>42005.0</v>
      </c>
    </row>
    <row r="4942">
      <c r="A4942" s="32"/>
      <c r="T4942" s="31" t="s">
        <v>19106</v>
      </c>
      <c r="U4942" s="31" t="s">
        <v>19107</v>
      </c>
      <c r="V4942" s="32">
        <v>42005.0</v>
      </c>
    </row>
    <row r="4943">
      <c r="A4943" s="32"/>
      <c r="T4943" s="31" t="s">
        <v>19110</v>
      </c>
      <c r="U4943" s="31" t="s">
        <v>19111</v>
      </c>
      <c r="V4943" s="32">
        <v>42005.0</v>
      </c>
    </row>
    <row r="4944">
      <c r="A4944" s="32"/>
      <c r="T4944" s="31" t="s">
        <v>19114</v>
      </c>
      <c r="U4944" s="31" t="s">
        <v>19115</v>
      </c>
      <c r="V4944" s="32">
        <v>42005.0</v>
      </c>
    </row>
    <row r="4945">
      <c r="A4945" s="32"/>
      <c r="T4945" s="31" t="s">
        <v>19118</v>
      </c>
      <c r="U4945" s="31" t="s">
        <v>19119</v>
      </c>
      <c r="V4945" s="32">
        <v>42005.0</v>
      </c>
    </row>
    <row r="4946">
      <c r="A4946" s="32"/>
      <c r="T4946" s="31" t="s">
        <v>19122</v>
      </c>
      <c r="U4946" s="31" t="s">
        <v>8424</v>
      </c>
      <c r="V4946" s="32">
        <v>42005.0</v>
      </c>
    </row>
    <row r="4947">
      <c r="A4947" s="32"/>
      <c r="T4947" s="31" t="s">
        <v>19125</v>
      </c>
      <c r="U4947" s="31" t="s">
        <v>19126</v>
      </c>
      <c r="V4947" s="32">
        <v>42005.0</v>
      </c>
    </row>
    <row r="4948">
      <c r="A4948" s="32"/>
      <c r="T4948" s="31" t="s">
        <v>19129</v>
      </c>
      <c r="U4948" s="31" t="s">
        <v>19130</v>
      </c>
      <c r="V4948" s="32">
        <v>42004.0</v>
      </c>
    </row>
    <row r="4949">
      <c r="A4949" s="32"/>
      <c r="T4949" s="31" t="s">
        <v>19133</v>
      </c>
      <c r="U4949" s="31" t="s">
        <v>19134</v>
      </c>
      <c r="V4949" s="32">
        <v>42004.0</v>
      </c>
    </row>
    <row r="4950">
      <c r="A4950" s="32"/>
      <c r="T4950" s="31" t="s">
        <v>19137</v>
      </c>
      <c r="U4950" s="31" t="s">
        <v>19138</v>
      </c>
      <c r="V4950" s="32">
        <v>42004.0</v>
      </c>
    </row>
    <row r="4951">
      <c r="A4951" s="32"/>
      <c r="T4951" s="31" t="s">
        <v>19141</v>
      </c>
      <c r="U4951" s="31" t="s">
        <v>19142</v>
      </c>
      <c r="V4951" s="32">
        <v>42004.0</v>
      </c>
    </row>
    <row r="4952">
      <c r="A4952" s="32"/>
      <c r="T4952" s="31" t="s">
        <v>19145</v>
      </c>
      <c r="U4952" s="31" t="s">
        <v>19146</v>
      </c>
      <c r="V4952" s="32">
        <v>42003.0</v>
      </c>
    </row>
    <row r="4953">
      <c r="A4953" s="32"/>
      <c r="T4953" s="31" t="s">
        <v>19149</v>
      </c>
      <c r="U4953" s="31" t="s">
        <v>19150</v>
      </c>
      <c r="V4953" s="32">
        <v>42003.0</v>
      </c>
    </row>
    <row r="4954">
      <c r="A4954" s="32"/>
      <c r="T4954" s="31" t="s">
        <v>19153</v>
      </c>
      <c r="U4954" s="31" t="s">
        <v>19154</v>
      </c>
      <c r="V4954" s="32">
        <v>41997.0</v>
      </c>
    </row>
    <row r="4955">
      <c r="A4955" s="32"/>
      <c r="T4955" s="31" t="s">
        <v>19157</v>
      </c>
      <c r="U4955" s="31" t="s">
        <v>19158</v>
      </c>
      <c r="V4955" s="32">
        <v>41997.0</v>
      </c>
    </row>
    <row r="4956">
      <c r="A4956" s="32"/>
      <c r="T4956" s="31" t="s">
        <v>19161</v>
      </c>
      <c r="U4956" s="31" t="s">
        <v>19162</v>
      </c>
      <c r="V4956" s="32">
        <v>41996.0</v>
      </c>
    </row>
    <row r="4957">
      <c r="A4957" s="32"/>
      <c r="T4957" s="31" t="s">
        <v>19165</v>
      </c>
      <c r="U4957" s="31" t="s">
        <v>19166</v>
      </c>
      <c r="V4957" s="32">
        <v>41996.0</v>
      </c>
    </row>
    <row r="4958">
      <c r="A4958" s="32"/>
      <c r="T4958" s="31" t="s">
        <v>19169</v>
      </c>
      <c r="U4958" s="31" t="s">
        <v>19170</v>
      </c>
      <c r="V4958" s="32">
        <v>41993.0</v>
      </c>
    </row>
    <row r="4959">
      <c r="A4959" s="32"/>
      <c r="T4959" s="31" t="s">
        <v>19173</v>
      </c>
      <c r="U4959" s="31" t="s">
        <v>19174</v>
      </c>
      <c r="V4959" s="32">
        <v>41990.0</v>
      </c>
    </row>
    <row r="4960">
      <c r="A4960" s="32"/>
      <c r="T4960" s="31" t="s">
        <v>19177</v>
      </c>
      <c r="U4960" s="31" t="s">
        <v>19178</v>
      </c>
      <c r="V4960" s="32">
        <v>41988.0</v>
      </c>
    </row>
    <row r="4961">
      <c r="A4961" s="32"/>
      <c r="T4961" s="31" t="s">
        <v>19182</v>
      </c>
      <c r="U4961" s="31" t="s">
        <v>19183</v>
      </c>
      <c r="V4961" s="32">
        <v>41985.0</v>
      </c>
    </row>
    <row r="4962">
      <c r="A4962" s="32"/>
      <c r="T4962" s="31" t="s">
        <v>19186</v>
      </c>
      <c r="U4962" s="31" t="s">
        <v>19187</v>
      </c>
      <c r="V4962" s="32">
        <v>41984.0</v>
      </c>
    </row>
    <row r="4963">
      <c r="A4963" s="32"/>
      <c r="T4963" s="31" t="s">
        <v>19190</v>
      </c>
      <c r="U4963" s="31" t="s">
        <v>19191</v>
      </c>
      <c r="V4963" s="32">
        <v>41984.0</v>
      </c>
    </row>
    <row r="4964">
      <c r="A4964" s="32"/>
      <c r="T4964" s="31" t="s">
        <v>19194</v>
      </c>
      <c r="U4964" s="31" t="s">
        <v>18371</v>
      </c>
      <c r="V4964" s="32">
        <v>41984.0</v>
      </c>
    </row>
    <row r="4965">
      <c r="A4965" s="32"/>
      <c r="T4965" s="31" t="s">
        <v>19197</v>
      </c>
      <c r="U4965" s="31" t="s">
        <v>18371</v>
      </c>
      <c r="V4965" s="32">
        <v>41983.0</v>
      </c>
    </row>
    <row r="4966">
      <c r="A4966" s="32"/>
      <c r="T4966" s="31" t="s">
        <v>19200</v>
      </c>
      <c r="U4966" s="31" t="s">
        <v>19201</v>
      </c>
      <c r="V4966" s="32">
        <v>41983.0</v>
      </c>
    </row>
    <row r="4967">
      <c r="A4967" s="32"/>
      <c r="T4967" s="31" t="s">
        <v>19204</v>
      </c>
      <c r="U4967" s="31" t="s">
        <v>19205</v>
      </c>
      <c r="V4967" s="32">
        <v>41977.0</v>
      </c>
    </row>
    <row r="4968">
      <c r="A4968" s="32"/>
      <c r="T4968" s="31" t="s">
        <v>19208</v>
      </c>
      <c r="U4968" s="31" t="s">
        <v>19209</v>
      </c>
      <c r="V4968" s="32">
        <v>41976.0</v>
      </c>
    </row>
    <row r="4969">
      <c r="A4969" s="32"/>
      <c r="T4969" s="31" t="s">
        <v>19212</v>
      </c>
      <c r="U4969" s="31" t="s">
        <v>18371</v>
      </c>
      <c r="V4969" s="32">
        <v>41975.0</v>
      </c>
    </row>
    <row r="4970">
      <c r="A4970" s="32"/>
      <c r="T4970" s="31" t="s">
        <v>19215</v>
      </c>
      <c r="U4970" s="31" t="s">
        <v>19103</v>
      </c>
      <c r="V4970" s="32">
        <v>41974.0</v>
      </c>
    </row>
    <row r="4971">
      <c r="A4971" s="32"/>
      <c r="T4971" s="31" t="s">
        <v>19217</v>
      </c>
      <c r="U4971" s="31" t="s">
        <v>19218</v>
      </c>
      <c r="V4971" s="32">
        <v>41974.0</v>
      </c>
    </row>
    <row r="4972">
      <c r="A4972" s="32"/>
      <c r="T4972" s="31" t="s">
        <v>19221</v>
      </c>
      <c r="U4972" s="31" t="s">
        <v>19222</v>
      </c>
      <c r="V4972" s="32">
        <v>41974.0</v>
      </c>
    </row>
    <row r="4973">
      <c r="A4973" s="32"/>
      <c r="T4973" s="31" t="s">
        <v>19225</v>
      </c>
      <c r="U4973" s="31" t="s">
        <v>19226</v>
      </c>
      <c r="V4973" s="32">
        <v>41972.0</v>
      </c>
    </row>
    <row r="4974">
      <c r="A4974" s="32"/>
      <c r="T4974" s="31" t="s">
        <v>19229</v>
      </c>
      <c r="U4974" s="31" t="s">
        <v>19230</v>
      </c>
      <c r="V4974" s="32">
        <v>41972.0</v>
      </c>
    </row>
    <row r="4975">
      <c r="A4975" s="32"/>
      <c r="T4975" s="31" t="s">
        <v>19233</v>
      </c>
      <c r="U4975" s="31" t="s">
        <v>19234</v>
      </c>
      <c r="V4975" s="32">
        <v>41971.0</v>
      </c>
    </row>
    <row r="4976">
      <c r="A4976" s="32"/>
      <c r="T4976" s="31" t="s">
        <v>19237</v>
      </c>
      <c r="U4976" s="31" t="s">
        <v>18371</v>
      </c>
      <c r="V4976" s="32">
        <v>41969.0</v>
      </c>
    </row>
    <row r="4977">
      <c r="A4977" s="32"/>
      <c r="T4977" s="31" t="s">
        <v>19240</v>
      </c>
      <c r="U4977" s="31" t="s">
        <v>18371</v>
      </c>
      <c r="V4977" s="32">
        <v>41969.0</v>
      </c>
    </row>
    <row r="4978">
      <c r="A4978" s="32"/>
      <c r="T4978" s="31" t="s">
        <v>19243</v>
      </c>
      <c r="U4978" s="31" t="s">
        <v>19244</v>
      </c>
      <c r="V4978" s="32">
        <v>41969.0</v>
      </c>
    </row>
    <row r="4979">
      <c r="A4979" s="32"/>
      <c r="T4979" s="31" t="s">
        <v>19247</v>
      </c>
      <c r="U4979" s="31" t="s">
        <v>19248</v>
      </c>
      <c r="V4979" s="32">
        <v>41969.0</v>
      </c>
    </row>
    <row r="4980">
      <c r="A4980" s="32"/>
      <c r="T4980" s="31" t="s">
        <v>19251</v>
      </c>
      <c r="U4980" s="31" t="s">
        <v>19252</v>
      </c>
      <c r="V4980" s="32">
        <v>41968.0</v>
      </c>
    </row>
    <row r="4981">
      <c r="A4981" s="32"/>
      <c r="T4981" s="31" t="s">
        <v>19255</v>
      </c>
      <c r="U4981" s="31" t="s">
        <v>19256</v>
      </c>
      <c r="V4981" s="32">
        <v>41968.0</v>
      </c>
    </row>
    <row r="4982">
      <c r="A4982" s="32"/>
      <c r="T4982" s="31" t="s">
        <v>19260</v>
      </c>
      <c r="U4982" s="31" t="s">
        <v>18268</v>
      </c>
      <c r="V4982" s="32">
        <v>41968.0</v>
      </c>
    </row>
    <row r="4983">
      <c r="A4983" s="32"/>
      <c r="T4983" s="31" t="s">
        <v>19263</v>
      </c>
      <c r="U4983" s="31" t="s">
        <v>17789</v>
      </c>
      <c r="V4983" s="32">
        <v>41964.0</v>
      </c>
    </row>
    <row r="4984">
      <c r="A4984" s="32"/>
      <c r="T4984" s="31" t="s">
        <v>19266</v>
      </c>
      <c r="U4984" s="31" t="s">
        <v>19267</v>
      </c>
      <c r="V4984" s="32">
        <v>41963.0</v>
      </c>
    </row>
    <row r="4985">
      <c r="A4985" s="32"/>
      <c r="T4985" s="31" t="s">
        <v>19270</v>
      </c>
      <c r="U4985" s="31" t="s">
        <v>19271</v>
      </c>
      <c r="V4985" s="32">
        <v>41961.0</v>
      </c>
    </row>
    <row r="4986">
      <c r="A4986" s="32"/>
      <c r="T4986" s="31" t="s">
        <v>19275</v>
      </c>
      <c r="U4986" s="31" t="s">
        <v>19276</v>
      </c>
      <c r="V4986" s="32">
        <v>41961.0</v>
      </c>
    </row>
    <row r="4987">
      <c r="A4987" s="32"/>
      <c r="T4987" s="31" t="s">
        <v>19279</v>
      </c>
      <c r="U4987" s="31" t="s">
        <v>19280</v>
      </c>
      <c r="V4987" s="32">
        <v>41961.0</v>
      </c>
    </row>
    <row r="4988">
      <c r="A4988" s="32"/>
      <c r="T4988" s="31" t="s">
        <v>19283</v>
      </c>
      <c r="U4988" s="31" t="s">
        <v>19284</v>
      </c>
      <c r="V4988" s="32">
        <v>41959.0</v>
      </c>
    </row>
    <row r="4989">
      <c r="A4989" s="32"/>
      <c r="T4989" s="31" t="s">
        <v>19287</v>
      </c>
      <c r="U4989" s="31" t="s">
        <v>19288</v>
      </c>
      <c r="V4989" s="32">
        <v>41957.0</v>
      </c>
    </row>
    <row r="4990">
      <c r="A4990" s="32"/>
      <c r="T4990" s="31" t="s">
        <v>19291</v>
      </c>
      <c r="U4990" s="31" t="s">
        <v>19292</v>
      </c>
      <c r="V4990" s="32">
        <v>41957.0</v>
      </c>
    </row>
    <row r="4991">
      <c r="A4991" s="32"/>
      <c r="T4991" s="31" t="s">
        <v>19295</v>
      </c>
      <c r="U4991" s="31" t="s">
        <v>19296</v>
      </c>
      <c r="V4991" s="32">
        <v>41950.0</v>
      </c>
    </row>
    <row r="4992">
      <c r="A4992" s="32"/>
      <c r="T4992" s="31" t="s">
        <v>19299</v>
      </c>
      <c r="U4992" s="31" t="s">
        <v>19300</v>
      </c>
      <c r="V4992" s="32">
        <v>41948.0</v>
      </c>
    </row>
    <row r="4993">
      <c r="A4993" s="32"/>
      <c r="T4993" s="31" t="s">
        <v>19303</v>
      </c>
      <c r="U4993" s="31" t="s">
        <v>19304</v>
      </c>
      <c r="V4993" s="32">
        <v>41947.0</v>
      </c>
    </row>
    <row r="4994">
      <c r="A4994" s="32"/>
      <c r="T4994" s="31" t="s">
        <v>19307</v>
      </c>
      <c r="U4994" s="31" t="s">
        <v>19308</v>
      </c>
      <c r="V4994" s="32">
        <v>41947.0</v>
      </c>
    </row>
    <row r="4995">
      <c r="A4995" s="32"/>
      <c r="T4995" s="31" t="s">
        <v>19311</v>
      </c>
      <c r="U4995" s="31" t="s">
        <v>19312</v>
      </c>
      <c r="V4995" s="32">
        <v>41947.0</v>
      </c>
    </row>
    <row r="4996">
      <c r="A4996" s="32"/>
      <c r="T4996" s="31" t="s">
        <v>19315</v>
      </c>
      <c r="U4996" s="31" t="s">
        <v>18487</v>
      </c>
      <c r="V4996" s="32">
        <v>41946.0</v>
      </c>
    </row>
    <row r="4997">
      <c r="A4997" s="32"/>
      <c r="T4997" s="31" t="s">
        <v>19318</v>
      </c>
      <c r="U4997" s="31" t="s">
        <v>19319</v>
      </c>
      <c r="V4997" s="32">
        <v>41946.0</v>
      </c>
    </row>
    <row r="4998">
      <c r="A4998" s="32"/>
      <c r="T4998" s="31" t="s">
        <v>19322</v>
      </c>
      <c r="U4998" s="31" t="s">
        <v>19323</v>
      </c>
      <c r="V4998" s="32">
        <v>41944.0</v>
      </c>
    </row>
    <row r="4999">
      <c r="A4999" s="32"/>
      <c r="T4999" s="31" t="s">
        <v>19326</v>
      </c>
      <c r="U4999" s="31" t="s">
        <v>19327</v>
      </c>
      <c r="V4999" s="32">
        <v>41943.0</v>
      </c>
    </row>
    <row r="5000">
      <c r="A5000" s="32"/>
      <c r="T5000" s="31" t="s">
        <v>19330</v>
      </c>
      <c r="U5000" s="31" t="s">
        <v>18371</v>
      </c>
      <c r="V5000" s="32">
        <v>41943.0</v>
      </c>
    </row>
    <row r="5001">
      <c r="A5001" s="32"/>
      <c r="T5001" s="31" t="s">
        <v>19333</v>
      </c>
      <c r="U5001" s="31" t="s">
        <v>19334</v>
      </c>
      <c r="V5001" s="32">
        <v>41943.0</v>
      </c>
    </row>
    <row r="5002">
      <c r="A5002" s="32"/>
      <c r="T5002" s="31" t="s">
        <v>19337</v>
      </c>
      <c r="U5002" s="31" t="s">
        <v>17789</v>
      </c>
      <c r="V5002" s="32">
        <v>41941.0</v>
      </c>
    </row>
    <row r="5003">
      <c r="A5003" s="32"/>
      <c r="T5003" s="31" t="s">
        <v>19340</v>
      </c>
      <c r="U5003" s="31" t="s">
        <v>19341</v>
      </c>
      <c r="V5003" s="32">
        <v>41939.0</v>
      </c>
    </row>
    <row r="5004">
      <c r="A5004" s="32"/>
      <c r="T5004" s="31" t="s">
        <v>19344</v>
      </c>
      <c r="U5004" s="31" t="s">
        <v>19345</v>
      </c>
      <c r="V5004" s="32">
        <v>41939.0</v>
      </c>
    </row>
    <row r="5005">
      <c r="A5005" s="32"/>
      <c r="T5005" s="31" t="s">
        <v>19348</v>
      </c>
      <c r="U5005" s="31" t="s">
        <v>19349</v>
      </c>
      <c r="V5005" s="32">
        <v>41939.0</v>
      </c>
    </row>
    <row r="5006">
      <c r="A5006" s="32"/>
      <c r="T5006" s="31" t="s">
        <v>19352</v>
      </c>
      <c r="U5006" s="31" t="s">
        <v>19353</v>
      </c>
      <c r="V5006" s="32">
        <v>41935.0</v>
      </c>
    </row>
    <row r="5007">
      <c r="A5007" s="32"/>
      <c r="T5007" s="31" t="s">
        <v>19356</v>
      </c>
      <c r="U5007" s="31" t="s">
        <v>19357</v>
      </c>
      <c r="V5007" s="32">
        <v>41932.0</v>
      </c>
    </row>
    <row r="5008">
      <c r="A5008" s="32"/>
      <c r="T5008" s="31" t="s">
        <v>19360</v>
      </c>
      <c r="U5008" s="31" t="s">
        <v>19361</v>
      </c>
      <c r="V5008" s="32">
        <v>41932.0</v>
      </c>
    </row>
    <row r="5009">
      <c r="A5009" s="32"/>
      <c r="T5009" s="31" t="s">
        <v>19364</v>
      </c>
      <c r="U5009" s="31" t="s">
        <v>19365</v>
      </c>
      <c r="V5009" s="32">
        <v>41930.0</v>
      </c>
    </row>
    <row r="5010">
      <c r="A5010" s="32"/>
      <c r="T5010" s="31" t="s">
        <v>19368</v>
      </c>
      <c r="U5010" s="31" t="s">
        <v>19369</v>
      </c>
      <c r="V5010" s="32">
        <v>41929.0</v>
      </c>
    </row>
    <row r="5011">
      <c r="A5011" s="32"/>
      <c r="T5011" s="31" t="s">
        <v>19372</v>
      </c>
      <c r="U5011" s="31" t="s">
        <v>19373</v>
      </c>
      <c r="V5011" s="32">
        <v>41929.0</v>
      </c>
    </row>
    <row r="5012">
      <c r="A5012" s="32"/>
      <c r="T5012" s="31" t="s">
        <v>19376</v>
      </c>
      <c r="U5012" s="31" t="s">
        <v>19377</v>
      </c>
      <c r="V5012" s="32">
        <v>41927.0</v>
      </c>
    </row>
    <row r="5013">
      <c r="A5013" s="32"/>
      <c r="T5013" s="31" t="s">
        <v>19380</v>
      </c>
      <c r="U5013" s="31" t="s">
        <v>19381</v>
      </c>
      <c r="V5013" s="32">
        <v>41926.0</v>
      </c>
    </row>
    <row r="5014">
      <c r="A5014" s="32"/>
      <c r="T5014" s="31" t="s">
        <v>19384</v>
      </c>
      <c r="U5014" s="31" t="s">
        <v>19385</v>
      </c>
      <c r="V5014" s="32">
        <v>41926.0</v>
      </c>
    </row>
    <row r="5015">
      <c r="A5015" s="32"/>
      <c r="T5015" s="31" t="s">
        <v>19389</v>
      </c>
      <c r="U5015" s="31" t="s">
        <v>19390</v>
      </c>
      <c r="V5015" s="32">
        <v>41925.0</v>
      </c>
    </row>
    <row r="5016">
      <c r="A5016" s="32"/>
      <c r="T5016" s="31" t="s">
        <v>19393</v>
      </c>
      <c r="U5016" s="31" t="s">
        <v>19394</v>
      </c>
      <c r="V5016" s="32">
        <v>41922.0</v>
      </c>
    </row>
    <row r="5017">
      <c r="A5017" s="32"/>
      <c r="T5017" s="31" t="s">
        <v>19397</v>
      </c>
      <c r="U5017" s="31" t="s">
        <v>19398</v>
      </c>
      <c r="V5017" s="32">
        <v>41921.0</v>
      </c>
    </row>
    <row r="5018">
      <c r="A5018" s="32"/>
      <c r="T5018" s="31" t="s">
        <v>19401</v>
      </c>
      <c r="U5018" s="31" t="s">
        <v>19402</v>
      </c>
      <c r="V5018" s="32">
        <v>41921.0</v>
      </c>
    </row>
    <row r="5019">
      <c r="A5019" s="32"/>
      <c r="T5019" s="31" t="s">
        <v>19405</v>
      </c>
      <c r="U5019" s="31" t="s">
        <v>17789</v>
      </c>
      <c r="V5019" s="32">
        <v>41915.0</v>
      </c>
    </row>
    <row r="5020">
      <c r="A5020" s="32"/>
      <c r="T5020" s="31" t="s">
        <v>19408</v>
      </c>
      <c r="U5020" s="31" t="s">
        <v>19409</v>
      </c>
      <c r="V5020" s="32">
        <v>41914.0</v>
      </c>
    </row>
    <row r="5021">
      <c r="A5021" s="32"/>
      <c r="T5021" s="31" t="s">
        <v>19412</v>
      </c>
      <c r="U5021" s="31" t="s">
        <v>19413</v>
      </c>
      <c r="V5021" s="32">
        <v>41913.0</v>
      </c>
    </row>
    <row r="5022">
      <c r="A5022" s="32"/>
      <c r="T5022" s="31" t="s">
        <v>19416</v>
      </c>
      <c r="U5022" s="31" t="s">
        <v>19417</v>
      </c>
      <c r="V5022" s="32">
        <v>41913.0</v>
      </c>
    </row>
    <row r="5023">
      <c r="A5023" s="32"/>
      <c r="T5023" s="31" t="s">
        <v>19419</v>
      </c>
      <c r="U5023" s="31" t="s">
        <v>19420</v>
      </c>
      <c r="V5023" s="32">
        <v>41913.0</v>
      </c>
    </row>
    <row r="5024">
      <c r="A5024" s="32"/>
      <c r="T5024" s="31" t="s">
        <v>19424</v>
      </c>
      <c r="U5024" s="31" t="s">
        <v>19425</v>
      </c>
      <c r="V5024" s="32">
        <v>41912.0</v>
      </c>
    </row>
    <row r="5025">
      <c r="A5025" s="32"/>
      <c r="T5025" s="31" t="s">
        <v>19428</v>
      </c>
      <c r="U5025" s="31" t="s">
        <v>19429</v>
      </c>
      <c r="V5025" s="32">
        <v>41910.0</v>
      </c>
    </row>
    <row r="5026">
      <c r="A5026" s="32"/>
      <c r="T5026" s="31" t="s">
        <v>19432</v>
      </c>
      <c r="U5026" s="31" t="s">
        <v>19433</v>
      </c>
      <c r="V5026" s="32">
        <v>41909.0</v>
      </c>
    </row>
    <row r="5027">
      <c r="A5027" s="32"/>
      <c r="T5027" s="31" t="s">
        <v>19436</v>
      </c>
      <c r="U5027" s="31" t="s">
        <v>19437</v>
      </c>
      <c r="V5027" s="32">
        <v>41907.0</v>
      </c>
    </row>
    <row r="5028">
      <c r="A5028" s="32"/>
      <c r="T5028" s="31" t="s">
        <v>19439</v>
      </c>
      <c r="U5028" s="31" t="s">
        <v>19440</v>
      </c>
      <c r="V5028" s="32">
        <v>41907.0</v>
      </c>
    </row>
    <row r="5029">
      <c r="A5029" s="32"/>
      <c r="T5029" s="31" t="s">
        <v>19443</v>
      </c>
      <c r="U5029" s="31" t="s">
        <v>19444</v>
      </c>
      <c r="V5029" s="32">
        <v>41907.0</v>
      </c>
    </row>
    <row r="5030">
      <c r="A5030" s="32"/>
      <c r="T5030" s="31" t="s">
        <v>19447</v>
      </c>
      <c r="U5030" s="31" t="s">
        <v>19448</v>
      </c>
      <c r="V5030" s="32">
        <v>41907.0</v>
      </c>
    </row>
    <row r="5031">
      <c r="A5031" s="32"/>
      <c r="T5031" s="31" t="s">
        <v>19451</v>
      </c>
      <c r="U5031" s="31" t="s">
        <v>19452</v>
      </c>
      <c r="V5031" s="32">
        <v>41906.0</v>
      </c>
    </row>
    <row r="5032">
      <c r="A5032" s="32"/>
      <c r="T5032" s="31" t="s">
        <v>19455</v>
      </c>
      <c r="U5032" s="31" t="s">
        <v>19456</v>
      </c>
      <c r="V5032" s="32">
        <v>41906.0</v>
      </c>
    </row>
    <row r="5033">
      <c r="A5033" s="32"/>
      <c r="T5033" s="31" t="s">
        <v>19459</v>
      </c>
      <c r="U5033" s="31" t="s">
        <v>19460</v>
      </c>
      <c r="V5033" s="32">
        <v>41901.0</v>
      </c>
    </row>
    <row r="5034">
      <c r="A5034" s="32"/>
      <c r="T5034" s="31" t="s">
        <v>19464</v>
      </c>
      <c r="U5034" s="31" t="s">
        <v>19465</v>
      </c>
      <c r="V5034" s="32">
        <v>41900.0</v>
      </c>
    </row>
    <row r="5035">
      <c r="A5035" s="32"/>
      <c r="T5035" s="31" t="s">
        <v>19468</v>
      </c>
      <c r="U5035" s="31" t="s">
        <v>19469</v>
      </c>
      <c r="V5035" s="32">
        <v>41900.0</v>
      </c>
    </row>
    <row r="5036">
      <c r="A5036" s="32"/>
      <c r="T5036" s="31" t="s">
        <v>19472</v>
      </c>
      <c r="U5036" s="31" t="s">
        <v>19473</v>
      </c>
      <c r="V5036" s="32">
        <v>41900.0</v>
      </c>
    </row>
    <row r="5037">
      <c r="A5037" s="32"/>
      <c r="T5037" s="31" t="s">
        <v>19476</v>
      </c>
      <c r="U5037" s="31" t="s">
        <v>19477</v>
      </c>
      <c r="V5037" s="32">
        <v>41898.0</v>
      </c>
    </row>
    <row r="5038">
      <c r="A5038" s="32"/>
      <c r="T5038" s="31" t="s">
        <v>19480</v>
      </c>
      <c r="U5038" s="31" t="s">
        <v>19481</v>
      </c>
      <c r="V5038" s="32">
        <v>41898.0</v>
      </c>
    </row>
    <row r="5039">
      <c r="A5039" s="32"/>
      <c r="T5039" s="31" t="s">
        <v>19484</v>
      </c>
      <c r="U5039" s="31" t="s">
        <v>19485</v>
      </c>
      <c r="V5039" s="32">
        <v>41898.0</v>
      </c>
    </row>
    <row r="5040">
      <c r="A5040" s="32"/>
      <c r="T5040" s="31" t="s">
        <v>19488</v>
      </c>
      <c r="U5040" s="31" t="s">
        <v>19489</v>
      </c>
      <c r="V5040" s="32">
        <v>41898.0</v>
      </c>
    </row>
    <row r="5041">
      <c r="A5041" s="32"/>
      <c r="T5041" s="31" t="s">
        <v>19492</v>
      </c>
      <c r="U5041" s="31" t="s">
        <v>19493</v>
      </c>
      <c r="V5041" s="32">
        <v>41894.0</v>
      </c>
    </row>
    <row r="5042">
      <c r="A5042" s="32"/>
      <c r="T5042" s="31" t="s">
        <v>19496</v>
      </c>
      <c r="U5042" s="31" t="s">
        <v>19497</v>
      </c>
      <c r="V5042" s="32">
        <v>41894.0</v>
      </c>
    </row>
    <row r="5043">
      <c r="A5043" s="32"/>
      <c r="T5043" s="31" t="s">
        <v>19500</v>
      </c>
      <c r="U5043" s="31" t="s">
        <v>15899</v>
      </c>
      <c r="V5043" s="32">
        <v>41887.0</v>
      </c>
    </row>
    <row r="5044">
      <c r="A5044" s="32"/>
      <c r="T5044" s="31" t="s">
        <v>19503</v>
      </c>
      <c r="U5044" s="31" t="s">
        <v>19504</v>
      </c>
      <c r="V5044" s="32">
        <v>41884.0</v>
      </c>
    </row>
    <row r="5045">
      <c r="A5045" s="32"/>
      <c r="T5045" s="31" t="s">
        <v>19507</v>
      </c>
      <c r="U5045" s="31" t="s">
        <v>19508</v>
      </c>
      <c r="V5045" s="32">
        <v>41883.0</v>
      </c>
    </row>
    <row r="5046">
      <c r="A5046" s="32"/>
      <c r="T5046" s="31" t="s">
        <v>19510</v>
      </c>
      <c r="U5046" s="31" t="s">
        <v>19511</v>
      </c>
      <c r="V5046" s="32">
        <v>41883.0</v>
      </c>
    </row>
    <row r="5047">
      <c r="A5047" s="32"/>
      <c r="T5047" s="31" t="s">
        <v>19513</v>
      </c>
      <c r="U5047" s="31" t="s">
        <v>19514</v>
      </c>
      <c r="V5047" s="32">
        <v>41881.0</v>
      </c>
    </row>
    <row r="5048">
      <c r="A5048" s="32"/>
      <c r="T5048" s="31" t="s">
        <v>19517</v>
      </c>
      <c r="U5048" s="31" t="s">
        <v>19518</v>
      </c>
      <c r="V5048" s="32">
        <v>41879.0</v>
      </c>
    </row>
    <row r="5049">
      <c r="A5049" s="32"/>
      <c r="T5049" s="31" t="s">
        <v>19521</v>
      </c>
      <c r="U5049" s="31" t="s">
        <v>19522</v>
      </c>
      <c r="V5049" s="32">
        <v>41877.0</v>
      </c>
    </row>
    <row r="5050">
      <c r="A5050" s="32"/>
      <c r="T5050" s="31" t="s">
        <v>19525</v>
      </c>
      <c r="U5050" s="31" t="s">
        <v>19526</v>
      </c>
      <c r="V5050" s="32">
        <v>41877.0</v>
      </c>
    </row>
    <row r="5051">
      <c r="A5051" s="32"/>
      <c r="T5051" s="31" t="s">
        <v>19529</v>
      </c>
      <c r="U5051" s="31" t="s">
        <v>19530</v>
      </c>
      <c r="V5051" s="32">
        <v>41877.0</v>
      </c>
    </row>
    <row r="5052">
      <c r="A5052" s="32"/>
      <c r="T5052" s="31" t="s">
        <v>19533</v>
      </c>
      <c r="U5052" s="31" t="s">
        <v>19534</v>
      </c>
      <c r="V5052" s="32">
        <v>41873.0</v>
      </c>
    </row>
    <row r="5053">
      <c r="A5053" s="32"/>
      <c r="T5053" s="31" t="s">
        <v>19537</v>
      </c>
      <c r="U5053" s="31" t="s">
        <v>19538</v>
      </c>
      <c r="V5053" s="32">
        <v>41873.0</v>
      </c>
    </row>
    <row r="5054">
      <c r="A5054" s="32"/>
      <c r="T5054" s="31" t="s">
        <v>19541</v>
      </c>
      <c r="U5054" s="31" t="s">
        <v>19542</v>
      </c>
      <c r="V5054" s="32">
        <v>41872.0</v>
      </c>
    </row>
    <row r="5055">
      <c r="A5055" s="32"/>
      <c r="T5055" s="31" t="s">
        <v>19544</v>
      </c>
      <c r="U5055" s="31" t="s">
        <v>19545</v>
      </c>
      <c r="V5055" s="32">
        <v>41872.0</v>
      </c>
    </row>
    <row r="5056">
      <c r="A5056" s="32"/>
      <c r="T5056" s="31" t="s">
        <v>19548</v>
      </c>
      <c r="U5056" s="31" t="s">
        <v>19549</v>
      </c>
      <c r="V5056" s="32">
        <v>41872.0</v>
      </c>
    </row>
    <row r="5057">
      <c r="A5057" s="32"/>
      <c r="T5057" s="31" t="s">
        <v>19552</v>
      </c>
      <c r="U5057" s="31" t="s">
        <v>19553</v>
      </c>
      <c r="V5057" s="32">
        <v>41871.0</v>
      </c>
    </row>
    <row r="5058">
      <c r="A5058" s="32"/>
      <c r="T5058" s="31" t="s">
        <v>19556</v>
      </c>
      <c r="U5058" s="31" t="s">
        <v>19557</v>
      </c>
      <c r="V5058" s="32">
        <v>41871.0</v>
      </c>
    </row>
    <row r="5059">
      <c r="A5059" s="32"/>
      <c r="T5059" s="31" t="s">
        <v>19560</v>
      </c>
      <c r="U5059" s="31" t="s">
        <v>19561</v>
      </c>
      <c r="V5059" s="32">
        <v>41866.0</v>
      </c>
    </row>
    <row r="5060">
      <c r="A5060" s="32"/>
      <c r="T5060" s="31" t="s">
        <v>19564</v>
      </c>
      <c r="U5060" s="31" t="s">
        <v>19565</v>
      </c>
      <c r="V5060" s="32">
        <v>41864.0</v>
      </c>
    </row>
    <row r="5061">
      <c r="A5061" s="32"/>
      <c r="T5061" s="31" t="s">
        <v>19569</v>
      </c>
      <c r="U5061" s="31" t="s">
        <v>19570</v>
      </c>
      <c r="V5061" s="32">
        <v>41864.0</v>
      </c>
    </row>
    <row r="5062">
      <c r="A5062" s="32"/>
      <c r="T5062" s="31" t="s">
        <v>19573</v>
      </c>
      <c r="U5062" s="31" t="s">
        <v>19574</v>
      </c>
      <c r="V5062" s="32">
        <v>41864.0</v>
      </c>
    </row>
    <row r="5063">
      <c r="A5063" s="32"/>
      <c r="T5063" s="31" t="s">
        <v>19577</v>
      </c>
      <c r="U5063" s="31" t="s">
        <v>19578</v>
      </c>
      <c r="V5063" s="32">
        <v>41864.0</v>
      </c>
    </row>
    <row r="5064">
      <c r="A5064" s="32"/>
      <c r="T5064" s="31" t="s">
        <v>19581</v>
      </c>
      <c r="U5064" s="31" t="s">
        <v>19582</v>
      </c>
      <c r="V5064" s="32">
        <v>41860.0</v>
      </c>
    </row>
    <row r="5065">
      <c r="A5065" s="32"/>
      <c r="T5065" s="31" t="s">
        <v>19585</v>
      </c>
      <c r="U5065" s="31" t="s">
        <v>19586</v>
      </c>
      <c r="V5065" s="32">
        <v>41859.0</v>
      </c>
    </row>
    <row r="5066">
      <c r="A5066" s="32"/>
      <c r="T5066" s="31" t="s">
        <v>19589</v>
      </c>
      <c r="U5066" s="31" t="s">
        <v>19590</v>
      </c>
      <c r="V5066" s="32">
        <v>41858.0</v>
      </c>
    </row>
    <row r="5067">
      <c r="A5067" s="32"/>
      <c r="T5067" s="31" t="s">
        <v>19593</v>
      </c>
      <c r="U5067" s="31" t="s">
        <v>19594</v>
      </c>
      <c r="V5067" s="32">
        <v>41858.0</v>
      </c>
    </row>
    <row r="5068">
      <c r="A5068" s="32"/>
      <c r="T5068" s="31" t="s">
        <v>19597</v>
      </c>
      <c r="U5068" s="31" t="s">
        <v>19598</v>
      </c>
      <c r="V5068" s="32">
        <v>41853.0</v>
      </c>
    </row>
    <row r="5069">
      <c r="A5069" s="32"/>
      <c r="T5069" s="31" t="s">
        <v>19601</v>
      </c>
      <c r="U5069" s="31" t="s">
        <v>19602</v>
      </c>
      <c r="V5069" s="32">
        <v>41853.0</v>
      </c>
    </row>
    <row r="5070">
      <c r="A5070" s="32"/>
      <c r="T5070" s="31" t="s">
        <v>19605</v>
      </c>
      <c r="U5070" s="31" t="s">
        <v>19606</v>
      </c>
      <c r="V5070" s="32">
        <v>41852.0</v>
      </c>
    </row>
    <row r="5071">
      <c r="A5071" s="32"/>
      <c r="T5071" s="31" t="s">
        <v>19609</v>
      </c>
      <c r="U5071" s="31" t="s">
        <v>15347</v>
      </c>
      <c r="V5071" s="32">
        <v>41852.0</v>
      </c>
    </row>
    <row r="5072">
      <c r="A5072" s="32"/>
      <c r="T5072" s="31" t="s">
        <v>19612</v>
      </c>
      <c r="U5072" s="31" t="s">
        <v>19613</v>
      </c>
      <c r="V5072" s="32">
        <v>41851.0</v>
      </c>
    </row>
    <row r="5073">
      <c r="A5073" s="32"/>
      <c r="T5073" s="31" t="s">
        <v>19616</v>
      </c>
      <c r="U5073" s="31" t="s">
        <v>19617</v>
      </c>
      <c r="V5073" s="32">
        <v>41850.0</v>
      </c>
    </row>
    <row r="5074">
      <c r="A5074" s="32"/>
      <c r="T5074" s="31" t="s">
        <v>19620</v>
      </c>
      <c r="U5074" s="31" t="s">
        <v>19621</v>
      </c>
      <c r="V5074" s="32">
        <v>41849.0</v>
      </c>
    </row>
    <row r="5075">
      <c r="A5075" s="32"/>
      <c r="T5075" s="31" t="s">
        <v>19624</v>
      </c>
      <c r="U5075" s="31" t="s">
        <v>19625</v>
      </c>
      <c r="V5075" s="32">
        <v>41848.0</v>
      </c>
    </row>
    <row r="5076">
      <c r="A5076" s="32"/>
      <c r="T5076" s="31" t="s">
        <v>19628</v>
      </c>
      <c r="U5076" s="31" t="s">
        <v>19629</v>
      </c>
      <c r="V5076" s="32">
        <v>41844.0</v>
      </c>
    </row>
    <row r="5077">
      <c r="A5077" s="32"/>
      <c r="T5077" s="31" t="s">
        <v>19632</v>
      </c>
      <c r="U5077" s="31" t="s">
        <v>19633</v>
      </c>
      <c r="V5077" s="32">
        <v>41842.0</v>
      </c>
    </row>
    <row r="5078">
      <c r="A5078" s="32"/>
      <c r="T5078" s="31" t="s">
        <v>19636</v>
      </c>
      <c r="U5078" s="31" t="s">
        <v>19637</v>
      </c>
      <c r="V5078" s="32">
        <v>41837.0</v>
      </c>
    </row>
    <row r="5079">
      <c r="A5079" s="32"/>
      <c r="T5079" s="31" t="s">
        <v>19640</v>
      </c>
      <c r="U5079" s="31" t="s">
        <v>19641</v>
      </c>
      <c r="V5079" s="32">
        <v>41836.0</v>
      </c>
    </row>
    <row r="5080">
      <c r="A5080" s="32"/>
      <c r="T5080" s="31" t="s">
        <v>19643</v>
      </c>
      <c r="U5080" s="31" t="s">
        <v>19644</v>
      </c>
      <c r="V5080" s="32">
        <v>41835.0</v>
      </c>
    </row>
    <row r="5081">
      <c r="A5081" s="32"/>
      <c r="T5081" s="31" t="s">
        <v>19647</v>
      </c>
      <c r="U5081" s="31" t="s">
        <v>19648</v>
      </c>
      <c r="V5081" s="32">
        <v>41835.0</v>
      </c>
    </row>
    <row r="5082">
      <c r="A5082" s="32"/>
      <c r="T5082" s="31" t="s">
        <v>19651</v>
      </c>
      <c r="U5082" s="31" t="s">
        <v>19652</v>
      </c>
      <c r="V5082" s="32">
        <v>41834.0</v>
      </c>
    </row>
    <row r="5083">
      <c r="A5083" s="32"/>
      <c r="T5083" s="31" t="s">
        <v>19655</v>
      </c>
      <c r="U5083" s="31" t="s">
        <v>19656</v>
      </c>
      <c r="V5083" s="32">
        <v>41832.0</v>
      </c>
    </row>
    <row r="5084">
      <c r="A5084" s="32"/>
      <c r="T5084" s="31" t="s">
        <v>19659</v>
      </c>
      <c r="U5084" s="31" t="s">
        <v>19660</v>
      </c>
      <c r="V5084" s="32">
        <v>41830.0</v>
      </c>
    </row>
    <row r="5085">
      <c r="A5085" s="32"/>
      <c r="T5085" s="31" t="s">
        <v>19663</v>
      </c>
      <c r="U5085" s="31" t="s">
        <v>19664</v>
      </c>
      <c r="V5085" s="32">
        <v>41830.0</v>
      </c>
    </row>
    <row r="5086">
      <c r="A5086" s="32"/>
      <c r="T5086" s="31" t="s">
        <v>19667</v>
      </c>
      <c r="U5086" s="31" t="s">
        <v>19668</v>
      </c>
      <c r="V5086" s="32">
        <v>41828.0</v>
      </c>
    </row>
    <row r="5087">
      <c r="A5087" s="32"/>
      <c r="T5087" s="31" t="s">
        <v>19671</v>
      </c>
      <c r="U5087" s="31" t="s">
        <v>19672</v>
      </c>
      <c r="V5087" s="32">
        <v>41828.0</v>
      </c>
    </row>
    <row r="5088">
      <c r="A5088" s="32"/>
      <c r="T5088" s="31" t="s">
        <v>19675</v>
      </c>
      <c r="U5088" s="31" t="s">
        <v>19676</v>
      </c>
      <c r="V5088" s="32">
        <v>41823.0</v>
      </c>
    </row>
    <row r="5089">
      <c r="A5089" s="32"/>
      <c r="T5089" s="31" t="s">
        <v>19679</v>
      </c>
      <c r="U5089" s="31" t="s">
        <v>19680</v>
      </c>
      <c r="V5089" s="32">
        <v>41821.0</v>
      </c>
    </row>
    <row r="5090">
      <c r="A5090" s="32"/>
      <c r="T5090" s="31" t="s">
        <v>19683</v>
      </c>
      <c r="U5090" s="31" t="s">
        <v>19684</v>
      </c>
      <c r="V5090" s="32">
        <v>41821.0</v>
      </c>
    </row>
    <row r="5091">
      <c r="A5091" s="32"/>
      <c r="T5091" s="31" t="s">
        <v>19687</v>
      </c>
      <c r="U5091" s="31" t="s">
        <v>19688</v>
      </c>
      <c r="V5091" s="32">
        <v>41820.0</v>
      </c>
    </row>
    <row r="5092">
      <c r="A5092" s="32"/>
      <c r="T5092" s="31" t="s">
        <v>19691</v>
      </c>
      <c r="U5092" s="31" t="s">
        <v>19692</v>
      </c>
      <c r="V5092" s="32">
        <v>41820.0</v>
      </c>
    </row>
    <row r="5093">
      <c r="A5093" s="32"/>
      <c r="T5093" s="31" t="s">
        <v>19695</v>
      </c>
      <c r="U5093" s="31" t="s">
        <v>19696</v>
      </c>
      <c r="V5093" s="32">
        <v>41820.0</v>
      </c>
    </row>
    <row r="5094">
      <c r="A5094" s="32"/>
      <c r="T5094" s="31" t="s">
        <v>19699</v>
      </c>
      <c r="U5094" s="31" t="s">
        <v>19700</v>
      </c>
      <c r="V5094" s="32">
        <v>41818.0</v>
      </c>
    </row>
    <row r="5095">
      <c r="A5095" s="32"/>
      <c r="T5095" s="31" t="s">
        <v>19703</v>
      </c>
      <c r="U5095" s="31" t="s">
        <v>19704</v>
      </c>
      <c r="V5095" s="32">
        <v>41816.0</v>
      </c>
    </row>
    <row r="5096">
      <c r="A5096" s="32"/>
      <c r="T5096" s="31" t="s">
        <v>19707</v>
      </c>
      <c r="U5096" s="31" t="s">
        <v>19708</v>
      </c>
      <c r="V5096" s="32">
        <v>41815.0</v>
      </c>
    </row>
    <row r="5097">
      <c r="A5097" s="32"/>
      <c r="T5097" s="31" t="s">
        <v>19711</v>
      </c>
      <c r="U5097" s="31" t="s">
        <v>19712</v>
      </c>
      <c r="V5097" s="32">
        <v>41814.0</v>
      </c>
    </row>
    <row r="5098">
      <c r="A5098" s="32"/>
      <c r="T5098" s="31" t="s">
        <v>19715</v>
      </c>
      <c r="U5098" s="31" t="s">
        <v>19716</v>
      </c>
      <c r="V5098" s="32">
        <v>41810.0</v>
      </c>
    </row>
    <row r="5099">
      <c r="A5099" s="32"/>
      <c r="T5099" s="31" t="s">
        <v>19719</v>
      </c>
      <c r="U5099" s="31" t="s">
        <v>19720</v>
      </c>
      <c r="V5099" s="32">
        <v>41810.0</v>
      </c>
    </row>
    <row r="5100">
      <c r="A5100" s="32"/>
      <c r="T5100" s="31" t="s">
        <v>19723</v>
      </c>
      <c r="U5100" s="31" t="s">
        <v>19724</v>
      </c>
      <c r="V5100" s="32">
        <v>41809.0</v>
      </c>
    </row>
    <row r="5101">
      <c r="A5101" s="32"/>
      <c r="T5101" s="31" t="s">
        <v>19727</v>
      </c>
      <c r="U5101" s="31" t="s">
        <v>19728</v>
      </c>
      <c r="V5101" s="32">
        <v>41807.0</v>
      </c>
    </row>
    <row r="5102">
      <c r="A5102" s="32"/>
      <c r="T5102" s="31" t="s">
        <v>19731</v>
      </c>
      <c r="U5102" s="31" t="s">
        <v>19732</v>
      </c>
      <c r="V5102" s="32">
        <v>41807.0</v>
      </c>
    </row>
    <row r="5103">
      <c r="A5103" s="32"/>
      <c r="T5103" s="31" t="s">
        <v>19735</v>
      </c>
      <c r="U5103" s="31" t="s">
        <v>19736</v>
      </c>
      <c r="V5103" s="32">
        <v>41804.0</v>
      </c>
    </row>
    <row r="5104">
      <c r="A5104" s="32"/>
      <c r="T5104" s="31" t="s">
        <v>19739</v>
      </c>
      <c r="U5104" s="31" t="s">
        <v>19740</v>
      </c>
      <c r="V5104" s="32">
        <v>41803.0</v>
      </c>
    </row>
    <row r="5105">
      <c r="A5105" s="32"/>
      <c r="T5105" s="31" t="s">
        <v>19743</v>
      </c>
      <c r="U5105" s="31" t="s">
        <v>19744</v>
      </c>
      <c r="V5105" s="32">
        <v>41802.0</v>
      </c>
    </row>
    <row r="5106">
      <c r="A5106" s="32"/>
      <c r="T5106" s="31" t="s">
        <v>19747</v>
      </c>
      <c r="U5106" s="31" t="s">
        <v>19748</v>
      </c>
      <c r="V5106" s="32">
        <v>41802.0</v>
      </c>
    </row>
    <row r="5107">
      <c r="A5107" s="32"/>
      <c r="T5107" s="31" t="s">
        <v>19751</v>
      </c>
      <c r="U5107" s="31" t="s">
        <v>19752</v>
      </c>
      <c r="V5107" s="32">
        <v>41799.0</v>
      </c>
    </row>
    <row r="5108">
      <c r="A5108" s="32"/>
      <c r="T5108" s="31" t="s">
        <v>19755</v>
      </c>
      <c r="U5108" s="31" t="s">
        <v>19756</v>
      </c>
      <c r="V5108" s="32">
        <v>41799.0</v>
      </c>
    </row>
    <row r="5109">
      <c r="A5109" s="32"/>
      <c r="T5109" s="31" t="s">
        <v>19759</v>
      </c>
      <c r="U5109" s="31" t="s">
        <v>19760</v>
      </c>
      <c r="V5109" s="32">
        <v>41799.0</v>
      </c>
    </row>
    <row r="5110">
      <c r="A5110" s="32"/>
      <c r="T5110" s="31" t="s">
        <v>19762</v>
      </c>
      <c r="U5110" s="31" t="s">
        <v>19763</v>
      </c>
      <c r="V5110" s="32">
        <v>41798.0</v>
      </c>
    </row>
    <row r="5111">
      <c r="A5111" s="32"/>
      <c r="T5111" s="31" t="s">
        <v>19766</v>
      </c>
      <c r="U5111" s="31" t="s">
        <v>19767</v>
      </c>
      <c r="V5111" s="32">
        <v>41795.0</v>
      </c>
    </row>
    <row r="5112">
      <c r="A5112" s="32"/>
      <c r="T5112" s="31" t="s">
        <v>19770</v>
      </c>
      <c r="U5112" s="31" t="s">
        <v>19771</v>
      </c>
      <c r="V5112" s="32">
        <v>41795.0</v>
      </c>
    </row>
    <row r="5113">
      <c r="A5113" s="32"/>
      <c r="T5113" s="31" t="s">
        <v>19774</v>
      </c>
      <c r="U5113" s="31" t="s">
        <v>19775</v>
      </c>
      <c r="V5113" s="32">
        <v>41794.0</v>
      </c>
    </row>
    <row r="5114">
      <c r="A5114" s="32"/>
      <c r="T5114" s="31" t="s">
        <v>19778</v>
      </c>
      <c r="U5114" s="31" t="s">
        <v>19779</v>
      </c>
      <c r="V5114" s="32">
        <v>41793.0</v>
      </c>
    </row>
    <row r="5115">
      <c r="A5115" s="32"/>
      <c r="T5115" s="31" t="s">
        <v>19782</v>
      </c>
      <c r="U5115" s="31" t="s">
        <v>19783</v>
      </c>
      <c r="V5115" s="32">
        <v>41791.0</v>
      </c>
    </row>
    <row r="5116">
      <c r="A5116" s="32"/>
      <c r="T5116" s="31" t="s">
        <v>19785</v>
      </c>
      <c r="U5116" s="31" t="s">
        <v>19786</v>
      </c>
      <c r="V5116" s="32">
        <v>41788.0</v>
      </c>
    </row>
    <row r="5117">
      <c r="A5117" s="32"/>
      <c r="T5117" s="31" t="s">
        <v>19790</v>
      </c>
      <c r="U5117" s="31" t="s">
        <v>19791</v>
      </c>
      <c r="V5117" s="32">
        <v>41787.0</v>
      </c>
    </row>
    <row r="5118">
      <c r="A5118" s="32"/>
      <c r="T5118" s="31" t="s">
        <v>19794</v>
      </c>
      <c r="U5118" s="31" t="s">
        <v>19795</v>
      </c>
      <c r="V5118" s="32">
        <v>41786.0</v>
      </c>
    </row>
    <row r="5119">
      <c r="A5119" s="32"/>
      <c r="T5119" s="31" t="s">
        <v>19798</v>
      </c>
      <c r="U5119" s="31" t="s">
        <v>19799</v>
      </c>
      <c r="V5119" s="32">
        <v>41785.0</v>
      </c>
    </row>
    <row r="5120">
      <c r="A5120" s="32"/>
      <c r="T5120" s="31" t="s">
        <v>19802</v>
      </c>
      <c r="U5120" s="31" t="s">
        <v>19803</v>
      </c>
      <c r="V5120" s="32">
        <v>41784.0</v>
      </c>
    </row>
    <row r="5121">
      <c r="A5121" s="32"/>
      <c r="T5121" s="31" t="s">
        <v>19806</v>
      </c>
      <c r="U5121" s="31" t="s">
        <v>19807</v>
      </c>
      <c r="V5121" s="32">
        <v>41783.0</v>
      </c>
    </row>
    <row r="5122">
      <c r="A5122" s="32"/>
      <c r="T5122" s="31" t="s">
        <v>19810</v>
      </c>
      <c r="U5122" s="31" t="s">
        <v>19811</v>
      </c>
      <c r="V5122" s="32">
        <v>41782.0</v>
      </c>
    </row>
    <row r="5123">
      <c r="A5123" s="32"/>
      <c r="T5123" s="31" t="s">
        <v>19814</v>
      </c>
      <c r="U5123" s="31" t="s">
        <v>19815</v>
      </c>
      <c r="V5123" s="32">
        <v>41781.0</v>
      </c>
    </row>
    <row r="5124">
      <c r="A5124" s="32"/>
      <c r="T5124" s="31" t="s">
        <v>19817</v>
      </c>
      <c r="U5124" s="31" t="s">
        <v>19818</v>
      </c>
      <c r="V5124" s="32">
        <v>41781.0</v>
      </c>
    </row>
    <row r="5125">
      <c r="A5125" s="32"/>
      <c r="T5125" s="31" t="s">
        <v>19821</v>
      </c>
      <c r="U5125" s="31" t="s">
        <v>19822</v>
      </c>
      <c r="V5125" s="32">
        <v>41780.0</v>
      </c>
    </row>
    <row r="5126">
      <c r="A5126" s="32"/>
      <c r="T5126" s="31" t="s">
        <v>19825</v>
      </c>
      <c r="U5126" s="31" t="s">
        <v>19826</v>
      </c>
      <c r="V5126" s="32">
        <v>41779.0</v>
      </c>
    </row>
    <row r="5127">
      <c r="A5127" s="32"/>
      <c r="T5127" s="31" t="s">
        <v>19829</v>
      </c>
      <c r="U5127" s="31" t="s">
        <v>19830</v>
      </c>
      <c r="V5127" s="32">
        <v>41775.0</v>
      </c>
    </row>
    <row r="5128">
      <c r="A5128" s="32"/>
      <c r="T5128" s="31" t="s">
        <v>19833</v>
      </c>
      <c r="U5128" s="31" t="s">
        <v>19834</v>
      </c>
      <c r="V5128" s="32">
        <v>41774.0</v>
      </c>
    </row>
    <row r="5129">
      <c r="A5129" s="32"/>
      <c r="T5129" s="31" t="s">
        <v>19838</v>
      </c>
      <c r="U5129" s="31" t="s">
        <v>19839</v>
      </c>
      <c r="V5129" s="32">
        <v>41771.0</v>
      </c>
    </row>
    <row r="5130">
      <c r="A5130" s="32"/>
      <c r="T5130" s="31" t="s">
        <v>19842</v>
      </c>
      <c r="U5130" s="31" t="s">
        <v>19843</v>
      </c>
      <c r="V5130" s="32">
        <v>41769.0</v>
      </c>
    </row>
    <row r="5131">
      <c r="A5131" s="32"/>
      <c r="T5131" s="31" t="s">
        <v>19846</v>
      </c>
      <c r="U5131" s="31" t="s">
        <v>19847</v>
      </c>
      <c r="V5131" s="32">
        <v>41768.0</v>
      </c>
    </row>
    <row r="5132">
      <c r="A5132" s="32"/>
      <c r="T5132" s="31" t="s">
        <v>19850</v>
      </c>
      <c r="U5132" s="31" t="s">
        <v>19851</v>
      </c>
      <c r="V5132" s="32">
        <v>41768.0</v>
      </c>
    </row>
    <row r="5133">
      <c r="A5133" s="32"/>
      <c r="T5133" s="31" t="s">
        <v>19854</v>
      </c>
      <c r="U5133" s="31" t="s">
        <v>19855</v>
      </c>
      <c r="V5133" s="32">
        <v>41768.0</v>
      </c>
    </row>
    <row r="5134">
      <c r="A5134" s="32"/>
      <c r="T5134" s="31" t="s">
        <v>19858</v>
      </c>
      <c r="U5134" s="31" t="s">
        <v>19859</v>
      </c>
      <c r="V5134" s="32">
        <v>41766.0</v>
      </c>
    </row>
    <row r="5135">
      <c r="A5135" s="32"/>
      <c r="T5135" s="31" t="s">
        <v>19862</v>
      </c>
      <c r="U5135" s="31" t="s">
        <v>19863</v>
      </c>
      <c r="V5135" s="32">
        <v>41766.0</v>
      </c>
    </row>
    <row r="5136">
      <c r="A5136" s="32"/>
      <c r="T5136" s="31" t="s">
        <v>19866</v>
      </c>
      <c r="U5136" s="31" t="s">
        <v>19867</v>
      </c>
      <c r="V5136" s="32">
        <v>41764.0</v>
      </c>
    </row>
    <row r="5137">
      <c r="A5137" s="32"/>
      <c r="T5137" s="31" t="s">
        <v>19869</v>
      </c>
      <c r="U5137" s="31" t="s">
        <v>19870</v>
      </c>
      <c r="V5137" s="32">
        <v>41760.0</v>
      </c>
    </row>
    <row r="5138">
      <c r="A5138" s="32"/>
      <c r="T5138" s="31" t="s">
        <v>19872</v>
      </c>
      <c r="U5138" s="31" t="s">
        <v>18148</v>
      </c>
      <c r="V5138" s="32">
        <v>41760.0</v>
      </c>
    </row>
    <row r="5139">
      <c r="A5139" s="32"/>
      <c r="T5139" s="31" t="s">
        <v>19874</v>
      </c>
      <c r="U5139" s="31" t="s">
        <v>19875</v>
      </c>
      <c r="V5139" s="32">
        <v>41760.0</v>
      </c>
    </row>
    <row r="5140">
      <c r="A5140" s="32"/>
      <c r="T5140" s="31" t="s">
        <v>19878</v>
      </c>
      <c r="U5140" s="31" t="s">
        <v>19879</v>
      </c>
      <c r="V5140" s="32">
        <v>41759.0</v>
      </c>
    </row>
    <row r="5141">
      <c r="A5141" s="32"/>
      <c r="T5141" s="31" t="s">
        <v>19881</v>
      </c>
      <c r="U5141" s="31" t="s">
        <v>19882</v>
      </c>
      <c r="V5141" s="32">
        <v>41757.0</v>
      </c>
    </row>
    <row r="5142">
      <c r="A5142" s="32"/>
      <c r="T5142" s="31" t="s">
        <v>19884</v>
      </c>
      <c r="U5142" s="31" t="s">
        <v>19885</v>
      </c>
      <c r="V5142" s="32">
        <v>41753.0</v>
      </c>
    </row>
    <row r="5143">
      <c r="A5143" s="32"/>
      <c r="T5143" s="31" t="s">
        <v>19888</v>
      </c>
      <c r="U5143" s="31" t="s">
        <v>19889</v>
      </c>
      <c r="V5143" s="32">
        <v>41752.0</v>
      </c>
    </row>
    <row r="5144">
      <c r="A5144" s="32"/>
      <c r="T5144" s="31" t="s">
        <v>19892</v>
      </c>
      <c r="U5144" s="31" t="s">
        <v>19893</v>
      </c>
      <c r="V5144" s="32">
        <v>41749.0</v>
      </c>
    </row>
    <row r="5145">
      <c r="A5145" s="32"/>
      <c r="T5145" s="31" t="s">
        <v>19896</v>
      </c>
      <c r="U5145" s="31" t="s">
        <v>19897</v>
      </c>
      <c r="V5145" s="32">
        <v>41746.0</v>
      </c>
    </row>
    <row r="5146">
      <c r="A5146" s="32"/>
      <c r="T5146" s="31" t="s">
        <v>19900</v>
      </c>
      <c r="U5146" s="31" t="s">
        <v>19901</v>
      </c>
      <c r="V5146" s="32">
        <v>41746.0</v>
      </c>
    </row>
    <row r="5147">
      <c r="A5147" s="32"/>
      <c r="T5147" s="31" t="s">
        <v>19904</v>
      </c>
      <c r="U5147" s="31" t="s">
        <v>19905</v>
      </c>
      <c r="V5147" s="32">
        <v>41745.0</v>
      </c>
    </row>
    <row r="5148">
      <c r="A5148" s="32"/>
      <c r="T5148" s="31" t="s">
        <v>19908</v>
      </c>
      <c r="U5148" s="31" t="s">
        <v>19909</v>
      </c>
      <c r="V5148" s="32">
        <v>41745.0</v>
      </c>
    </row>
    <row r="5149">
      <c r="A5149" s="32"/>
      <c r="T5149" s="31" t="s">
        <v>19912</v>
      </c>
      <c r="U5149" s="31" t="s">
        <v>19913</v>
      </c>
      <c r="V5149" s="32">
        <v>41744.0</v>
      </c>
    </row>
    <row r="5150">
      <c r="A5150" s="32"/>
      <c r="T5150" s="31" t="s">
        <v>19916</v>
      </c>
      <c r="U5150" s="31" t="s">
        <v>19917</v>
      </c>
      <c r="V5150" s="32">
        <v>41739.0</v>
      </c>
    </row>
    <row r="5151">
      <c r="A5151" s="32"/>
      <c r="T5151" s="31" t="s">
        <v>19920</v>
      </c>
      <c r="U5151" s="31" t="s">
        <v>19921</v>
      </c>
      <c r="V5151" s="32">
        <v>41738.0</v>
      </c>
    </row>
    <row r="5152">
      <c r="A5152" s="32"/>
      <c r="T5152" s="31" t="s">
        <v>19924</v>
      </c>
      <c r="U5152" s="31" t="s">
        <v>19925</v>
      </c>
      <c r="V5152" s="32">
        <v>41738.0</v>
      </c>
    </row>
    <row r="5153">
      <c r="A5153" s="32"/>
      <c r="T5153" s="31" t="s">
        <v>19928</v>
      </c>
      <c r="U5153" s="31" t="s">
        <v>19929</v>
      </c>
      <c r="V5153" s="32">
        <v>41737.0</v>
      </c>
    </row>
    <row r="5154">
      <c r="A5154" s="32"/>
      <c r="T5154" s="31" t="s">
        <v>19932</v>
      </c>
      <c r="U5154" s="31" t="s">
        <v>19933</v>
      </c>
      <c r="V5154" s="32">
        <v>41736.0</v>
      </c>
    </row>
    <row r="5155">
      <c r="A5155" s="32"/>
      <c r="T5155" s="31" t="s">
        <v>19936</v>
      </c>
      <c r="U5155" s="31" t="s">
        <v>19937</v>
      </c>
      <c r="V5155" s="32">
        <v>41734.0</v>
      </c>
    </row>
    <row r="5156">
      <c r="A5156" s="32"/>
      <c r="T5156" s="31" t="s">
        <v>19940</v>
      </c>
      <c r="U5156" s="31" t="s">
        <v>19941</v>
      </c>
      <c r="V5156" s="32">
        <v>41732.0</v>
      </c>
    </row>
    <row r="5157">
      <c r="A5157" s="32"/>
      <c r="T5157" s="31" t="s">
        <v>19944</v>
      </c>
      <c r="U5157" s="31" t="s">
        <v>19945</v>
      </c>
      <c r="V5157" s="32">
        <v>41731.0</v>
      </c>
    </row>
    <row r="5158">
      <c r="A5158" s="32"/>
      <c r="T5158" s="31" t="s">
        <v>19948</v>
      </c>
      <c r="U5158" s="31" t="s">
        <v>19949</v>
      </c>
      <c r="V5158" s="32">
        <v>41731.0</v>
      </c>
    </row>
    <row r="5159">
      <c r="A5159" s="32"/>
      <c r="T5159" s="31" t="s">
        <v>19952</v>
      </c>
      <c r="U5159" s="31" t="s">
        <v>19953</v>
      </c>
      <c r="V5159" s="32">
        <v>41731.0</v>
      </c>
    </row>
    <row r="5160">
      <c r="A5160" s="32"/>
      <c r="T5160" s="31" t="s">
        <v>19956</v>
      </c>
      <c r="U5160" s="31" t="s">
        <v>19957</v>
      </c>
      <c r="V5160" s="32">
        <v>41730.0</v>
      </c>
    </row>
    <row r="5161">
      <c r="A5161" s="32"/>
      <c r="T5161" s="31" t="s">
        <v>19960</v>
      </c>
      <c r="U5161" s="31" t="s">
        <v>19961</v>
      </c>
      <c r="V5161" s="32">
        <v>41730.0</v>
      </c>
    </row>
    <row r="5162">
      <c r="A5162" s="32"/>
      <c r="T5162" s="31" t="s">
        <v>19965</v>
      </c>
      <c r="U5162" s="31" t="s">
        <v>19966</v>
      </c>
      <c r="V5162" s="32">
        <v>41729.0</v>
      </c>
    </row>
    <row r="5163">
      <c r="A5163" s="32"/>
      <c r="T5163" s="31" t="s">
        <v>19969</v>
      </c>
      <c r="U5163" s="31" t="s">
        <v>19970</v>
      </c>
      <c r="V5163" s="32">
        <v>41724.0</v>
      </c>
    </row>
    <row r="5164">
      <c r="A5164" s="32"/>
      <c r="T5164" s="31" t="s">
        <v>19973</v>
      </c>
      <c r="U5164" s="31" t="s">
        <v>19974</v>
      </c>
      <c r="V5164" s="32">
        <v>41724.0</v>
      </c>
    </row>
    <row r="5165">
      <c r="A5165" s="32"/>
      <c r="T5165" s="31" t="s">
        <v>19977</v>
      </c>
      <c r="U5165" s="31" t="s">
        <v>19978</v>
      </c>
      <c r="V5165" s="32">
        <v>41723.0</v>
      </c>
    </row>
    <row r="5166">
      <c r="A5166" s="32"/>
      <c r="T5166" s="31" t="s">
        <v>19982</v>
      </c>
      <c r="U5166" s="31" t="s">
        <v>19983</v>
      </c>
      <c r="V5166" s="32">
        <v>41723.0</v>
      </c>
    </row>
    <row r="5167">
      <c r="A5167" s="32"/>
      <c r="T5167" s="31" t="s">
        <v>19986</v>
      </c>
      <c r="U5167" s="31" t="s">
        <v>19987</v>
      </c>
      <c r="V5167" s="32">
        <v>41723.0</v>
      </c>
    </row>
    <row r="5168">
      <c r="A5168" s="32"/>
      <c r="T5168" s="31" t="s">
        <v>19990</v>
      </c>
      <c r="U5168" s="31" t="s">
        <v>19991</v>
      </c>
      <c r="V5168" s="32">
        <v>41723.0</v>
      </c>
    </row>
    <row r="5169">
      <c r="A5169" s="32"/>
      <c r="T5169" s="31" t="s">
        <v>19994</v>
      </c>
      <c r="U5169" s="31" t="s">
        <v>19995</v>
      </c>
      <c r="V5169" s="32">
        <v>41723.0</v>
      </c>
    </row>
    <row r="5170">
      <c r="A5170" s="32"/>
      <c r="T5170" s="31" t="s">
        <v>19998</v>
      </c>
      <c r="U5170" s="31" t="s">
        <v>19999</v>
      </c>
      <c r="V5170" s="32">
        <v>41722.0</v>
      </c>
    </row>
    <row r="5171">
      <c r="A5171" s="32"/>
      <c r="T5171" s="31" t="s">
        <v>20002</v>
      </c>
      <c r="U5171" s="31" t="s">
        <v>20003</v>
      </c>
      <c r="V5171" s="32">
        <v>41718.0</v>
      </c>
    </row>
    <row r="5172">
      <c r="A5172" s="32"/>
      <c r="T5172" s="31" t="s">
        <v>20006</v>
      </c>
      <c r="U5172" s="31" t="s">
        <v>20007</v>
      </c>
      <c r="V5172" s="32">
        <v>41718.0</v>
      </c>
    </row>
    <row r="5173">
      <c r="A5173" s="32"/>
      <c r="T5173" s="31" t="s">
        <v>20010</v>
      </c>
      <c r="U5173" s="31" t="s">
        <v>20011</v>
      </c>
      <c r="V5173" s="32">
        <v>41718.0</v>
      </c>
    </row>
    <row r="5174">
      <c r="A5174" s="32"/>
      <c r="T5174" s="31" t="s">
        <v>20014</v>
      </c>
      <c r="U5174" s="31" t="s">
        <v>20015</v>
      </c>
      <c r="V5174" s="32">
        <v>41717.0</v>
      </c>
    </row>
    <row r="5175">
      <c r="A5175" s="32"/>
      <c r="T5175" s="31" t="s">
        <v>20018</v>
      </c>
      <c r="U5175" s="31" t="s">
        <v>20019</v>
      </c>
      <c r="V5175" s="32">
        <v>41715.0</v>
      </c>
    </row>
    <row r="5176">
      <c r="A5176" s="32"/>
      <c r="T5176" s="31" t="s">
        <v>20022</v>
      </c>
      <c r="U5176" s="31" t="s">
        <v>20023</v>
      </c>
      <c r="V5176" s="32">
        <v>41713.0</v>
      </c>
    </row>
    <row r="5177">
      <c r="A5177" s="32"/>
      <c r="T5177" s="31" t="s">
        <v>20026</v>
      </c>
      <c r="U5177" s="31" t="s">
        <v>20027</v>
      </c>
      <c r="V5177" s="32">
        <v>41711.0</v>
      </c>
    </row>
    <row r="5178">
      <c r="A5178" s="32"/>
      <c r="T5178" s="31" t="s">
        <v>20030</v>
      </c>
      <c r="U5178" s="31" t="s">
        <v>20031</v>
      </c>
      <c r="V5178" s="32">
        <v>41708.0</v>
      </c>
    </row>
    <row r="5179">
      <c r="A5179" s="32"/>
      <c r="T5179" s="31" t="s">
        <v>20034</v>
      </c>
      <c r="U5179" s="31" t="s">
        <v>20035</v>
      </c>
      <c r="V5179" s="32">
        <v>41708.0</v>
      </c>
    </row>
    <row r="5180">
      <c r="A5180" s="32"/>
      <c r="T5180" s="31" t="s">
        <v>20038</v>
      </c>
      <c r="U5180" s="31" t="s">
        <v>20039</v>
      </c>
      <c r="V5180" s="32">
        <v>41708.0</v>
      </c>
    </row>
    <row r="5181">
      <c r="A5181" s="32"/>
      <c r="T5181" s="31" t="s">
        <v>20042</v>
      </c>
      <c r="U5181" s="31" t="s">
        <v>19803</v>
      </c>
      <c r="V5181" s="32">
        <v>41705.0</v>
      </c>
    </row>
    <row r="5182">
      <c r="A5182" s="32"/>
      <c r="T5182" s="31" t="s">
        <v>20045</v>
      </c>
      <c r="U5182" s="31" t="s">
        <v>20046</v>
      </c>
      <c r="V5182" s="32">
        <v>41705.0</v>
      </c>
    </row>
    <row r="5183">
      <c r="A5183" s="32"/>
      <c r="T5183" s="31" t="s">
        <v>20049</v>
      </c>
      <c r="U5183" s="31" t="s">
        <v>20050</v>
      </c>
      <c r="V5183" s="32">
        <v>41704.0</v>
      </c>
    </row>
    <row r="5184">
      <c r="A5184" s="32"/>
      <c r="T5184" s="31" t="s">
        <v>20053</v>
      </c>
      <c r="U5184" s="31" t="s">
        <v>20054</v>
      </c>
      <c r="V5184" s="32">
        <v>41703.0</v>
      </c>
    </row>
    <row r="5185">
      <c r="A5185" s="32"/>
      <c r="T5185" s="31" t="s">
        <v>20057</v>
      </c>
      <c r="U5185" s="31" t="s">
        <v>20058</v>
      </c>
      <c r="V5185" s="32">
        <v>41703.0</v>
      </c>
    </row>
    <row r="5186">
      <c r="A5186" s="32"/>
      <c r="T5186" s="31" t="s">
        <v>20060</v>
      </c>
      <c r="U5186" s="31" t="s">
        <v>20061</v>
      </c>
      <c r="V5186" s="32">
        <v>41703.0</v>
      </c>
    </row>
    <row r="5187">
      <c r="A5187" s="32"/>
      <c r="T5187" s="31" t="s">
        <v>20064</v>
      </c>
      <c r="U5187" s="31" t="s">
        <v>20065</v>
      </c>
      <c r="V5187" s="32">
        <v>41701.0</v>
      </c>
    </row>
    <row r="5188">
      <c r="A5188" s="32"/>
      <c r="T5188" s="31" t="s">
        <v>20068</v>
      </c>
      <c r="U5188" s="31" t="s">
        <v>20069</v>
      </c>
      <c r="V5188" s="32">
        <v>41701.0</v>
      </c>
    </row>
    <row r="5189">
      <c r="A5189" s="32"/>
      <c r="T5189" s="31" t="s">
        <v>20072</v>
      </c>
      <c r="U5189" s="31" t="s">
        <v>20073</v>
      </c>
      <c r="V5189" s="32">
        <v>41698.0</v>
      </c>
    </row>
    <row r="5190">
      <c r="A5190" s="32"/>
      <c r="T5190" s="31" t="s">
        <v>20076</v>
      </c>
      <c r="U5190" s="31" t="s">
        <v>20077</v>
      </c>
      <c r="V5190" s="32">
        <v>41692.0</v>
      </c>
    </row>
    <row r="5191">
      <c r="A5191" s="32"/>
      <c r="T5191" s="31" t="s">
        <v>20080</v>
      </c>
      <c r="U5191" s="31" t="s">
        <v>20081</v>
      </c>
      <c r="V5191" s="32">
        <v>41690.0</v>
      </c>
    </row>
    <row r="5192">
      <c r="A5192" s="32"/>
      <c r="T5192" s="31" t="s">
        <v>20084</v>
      </c>
      <c r="U5192" s="31" t="s">
        <v>20085</v>
      </c>
      <c r="V5192" s="32">
        <v>41690.0</v>
      </c>
    </row>
    <row r="5193">
      <c r="A5193" s="32"/>
      <c r="T5193" s="31" t="s">
        <v>20088</v>
      </c>
      <c r="U5193" s="31" t="s">
        <v>20089</v>
      </c>
      <c r="V5193" s="32">
        <v>41690.0</v>
      </c>
    </row>
    <row r="5194">
      <c r="A5194" s="32"/>
      <c r="T5194" s="31" t="s">
        <v>20092</v>
      </c>
      <c r="U5194" s="31" t="s">
        <v>20093</v>
      </c>
      <c r="V5194" s="32">
        <v>41689.0</v>
      </c>
    </row>
    <row r="5195">
      <c r="A5195" s="32"/>
      <c r="T5195" s="31" t="s">
        <v>20096</v>
      </c>
      <c r="U5195" s="31" t="s">
        <v>20097</v>
      </c>
      <c r="V5195" s="32">
        <v>41689.0</v>
      </c>
    </row>
    <row r="5196">
      <c r="A5196" s="32"/>
      <c r="T5196" s="31" t="s">
        <v>20099</v>
      </c>
      <c r="U5196" s="31" t="s">
        <v>20100</v>
      </c>
      <c r="V5196" s="32">
        <v>41688.0</v>
      </c>
    </row>
    <row r="5197">
      <c r="A5197" s="32"/>
      <c r="T5197" s="31" t="s">
        <v>20103</v>
      </c>
      <c r="U5197" s="31" t="s">
        <v>20104</v>
      </c>
      <c r="V5197" s="32">
        <v>41688.0</v>
      </c>
    </row>
    <row r="5198">
      <c r="A5198" s="32"/>
      <c r="T5198" s="31" t="s">
        <v>20107</v>
      </c>
      <c r="U5198" s="31" t="s">
        <v>20108</v>
      </c>
      <c r="V5198" s="32">
        <v>41683.0</v>
      </c>
    </row>
    <row r="5199">
      <c r="A5199" s="32"/>
      <c r="T5199" s="31" t="s">
        <v>20111</v>
      </c>
      <c r="U5199" s="31" t="s">
        <v>20112</v>
      </c>
      <c r="V5199" s="32">
        <v>41681.0</v>
      </c>
    </row>
    <row r="5200">
      <c r="A5200" s="32"/>
      <c r="T5200" s="31" t="s">
        <v>20115</v>
      </c>
      <c r="U5200" s="31" t="s">
        <v>20116</v>
      </c>
      <c r="V5200" s="32">
        <v>41681.0</v>
      </c>
    </row>
    <row r="5201">
      <c r="A5201" s="32"/>
      <c r="T5201" s="31" t="s">
        <v>20119</v>
      </c>
      <c r="U5201" s="31" t="s">
        <v>20120</v>
      </c>
      <c r="V5201" s="32">
        <v>41677.0</v>
      </c>
    </row>
    <row r="5202">
      <c r="A5202" s="32"/>
      <c r="T5202" s="31" t="s">
        <v>20123</v>
      </c>
      <c r="U5202" s="31" t="s">
        <v>20124</v>
      </c>
      <c r="V5202" s="32">
        <v>41676.0</v>
      </c>
    </row>
    <row r="5203">
      <c r="A5203" s="32"/>
      <c r="T5203" s="31" t="s">
        <v>20127</v>
      </c>
      <c r="U5203" s="31" t="s">
        <v>20128</v>
      </c>
      <c r="V5203" s="32">
        <v>41676.0</v>
      </c>
    </row>
    <row r="5204">
      <c r="A5204" s="32"/>
      <c r="T5204" s="31" t="s">
        <v>20131</v>
      </c>
      <c r="U5204" s="31" t="s">
        <v>20132</v>
      </c>
      <c r="V5204" s="32">
        <v>41675.0</v>
      </c>
    </row>
    <row r="5205">
      <c r="A5205" s="32"/>
      <c r="T5205" s="31" t="s">
        <v>20135</v>
      </c>
      <c r="U5205" s="31" t="s">
        <v>20136</v>
      </c>
      <c r="V5205" s="32">
        <v>41675.0</v>
      </c>
    </row>
    <row r="5206">
      <c r="A5206" s="32"/>
      <c r="T5206" s="31" t="s">
        <v>20139</v>
      </c>
      <c r="U5206" s="31" t="s">
        <v>20140</v>
      </c>
      <c r="V5206" s="32">
        <v>41671.0</v>
      </c>
    </row>
    <row r="5207">
      <c r="A5207" s="32"/>
      <c r="T5207" s="31" t="s">
        <v>20143</v>
      </c>
      <c r="U5207" s="31" t="s">
        <v>20144</v>
      </c>
      <c r="V5207" s="32">
        <v>41671.0</v>
      </c>
    </row>
    <row r="5208">
      <c r="A5208" s="32"/>
      <c r="T5208" s="31" t="s">
        <v>20147</v>
      </c>
      <c r="U5208" s="31" t="s">
        <v>20148</v>
      </c>
      <c r="V5208" s="32">
        <v>41671.0</v>
      </c>
    </row>
    <row r="5209">
      <c r="A5209" s="32"/>
      <c r="T5209" s="31" t="s">
        <v>20152</v>
      </c>
      <c r="U5209" s="31" t="s">
        <v>20153</v>
      </c>
      <c r="V5209" s="32">
        <v>41671.0</v>
      </c>
    </row>
    <row r="5210">
      <c r="A5210" s="32"/>
      <c r="T5210" s="31" t="s">
        <v>20156</v>
      </c>
      <c r="U5210" s="31" t="s">
        <v>20157</v>
      </c>
      <c r="V5210" s="32">
        <v>41669.0</v>
      </c>
    </row>
    <row r="5211">
      <c r="A5211" s="32"/>
      <c r="T5211" s="31" t="s">
        <v>20160</v>
      </c>
      <c r="U5211" s="31" t="s">
        <v>20161</v>
      </c>
      <c r="V5211" s="32">
        <v>41668.0</v>
      </c>
    </row>
    <row r="5212">
      <c r="A5212" s="32"/>
      <c r="T5212" s="31" t="s">
        <v>20164</v>
      </c>
      <c r="U5212" s="31" t="s">
        <v>20165</v>
      </c>
      <c r="V5212" s="32">
        <v>41668.0</v>
      </c>
    </row>
    <row r="5213">
      <c r="A5213" s="32"/>
      <c r="T5213" s="31" t="s">
        <v>20168</v>
      </c>
      <c r="U5213" s="31" t="s">
        <v>20169</v>
      </c>
      <c r="V5213" s="32">
        <v>41666.0</v>
      </c>
    </row>
    <row r="5214">
      <c r="A5214" s="32"/>
      <c r="T5214" s="31" t="s">
        <v>20172</v>
      </c>
      <c r="U5214" s="31" t="s">
        <v>20173</v>
      </c>
      <c r="V5214" s="32">
        <v>41666.0</v>
      </c>
    </row>
    <row r="5215">
      <c r="A5215" s="32"/>
      <c r="T5215" s="31" t="s">
        <v>20176</v>
      </c>
      <c r="U5215" s="31" t="s">
        <v>20177</v>
      </c>
      <c r="V5215" s="32">
        <v>41666.0</v>
      </c>
    </row>
    <row r="5216">
      <c r="A5216" s="32"/>
      <c r="T5216" s="31" t="s">
        <v>20180</v>
      </c>
      <c r="U5216" s="31" t="s">
        <v>20181</v>
      </c>
      <c r="V5216" s="32">
        <v>41662.0</v>
      </c>
    </row>
    <row r="5217">
      <c r="A5217" s="32"/>
      <c r="T5217" s="31" t="s">
        <v>20184</v>
      </c>
      <c r="U5217" s="31" t="s">
        <v>20185</v>
      </c>
      <c r="V5217" s="32">
        <v>41662.0</v>
      </c>
    </row>
    <row r="5218">
      <c r="A5218" s="32"/>
      <c r="T5218" s="31" t="s">
        <v>20187</v>
      </c>
      <c r="U5218" s="31" t="s">
        <v>20188</v>
      </c>
      <c r="V5218" s="32">
        <v>41662.0</v>
      </c>
    </row>
    <row r="5219">
      <c r="A5219" s="32"/>
      <c r="T5219" s="31" t="s">
        <v>20191</v>
      </c>
      <c r="U5219" s="31" t="s">
        <v>20192</v>
      </c>
      <c r="V5219" s="32">
        <v>41657.0</v>
      </c>
    </row>
    <row r="5220">
      <c r="A5220" s="32"/>
      <c r="T5220" s="31" t="s">
        <v>20195</v>
      </c>
      <c r="U5220" s="31" t="s">
        <v>20196</v>
      </c>
      <c r="V5220" s="32">
        <v>41656.0</v>
      </c>
    </row>
    <row r="5221">
      <c r="A5221" s="32"/>
      <c r="T5221" s="31" t="s">
        <v>20199</v>
      </c>
      <c r="U5221" s="31" t="s">
        <v>20200</v>
      </c>
      <c r="V5221" s="32">
        <v>41654.0</v>
      </c>
    </row>
    <row r="5222">
      <c r="A5222" s="32"/>
      <c r="T5222" s="31" t="s">
        <v>20203</v>
      </c>
      <c r="U5222" s="31" t="s">
        <v>20204</v>
      </c>
      <c r="V5222" s="32">
        <v>41653.0</v>
      </c>
    </row>
    <row r="5223">
      <c r="A5223" s="32"/>
      <c r="T5223" s="31" t="s">
        <v>20207</v>
      </c>
      <c r="U5223" s="31" t="s">
        <v>20208</v>
      </c>
      <c r="V5223" s="32">
        <v>41653.0</v>
      </c>
    </row>
    <row r="5224">
      <c r="A5224" s="32"/>
      <c r="T5224" s="31" t="s">
        <v>20211</v>
      </c>
      <c r="U5224" s="31" t="s">
        <v>20212</v>
      </c>
      <c r="V5224" s="32">
        <v>41652.0</v>
      </c>
    </row>
    <row r="5225">
      <c r="A5225" s="32"/>
      <c r="T5225" s="31" t="s">
        <v>20215</v>
      </c>
      <c r="U5225" s="31" t="s">
        <v>20216</v>
      </c>
      <c r="V5225" s="32">
        <v>41649.0</v>
      </c>
    </row>
    <row r="5226">
      <c r="A5226" s="32"/>
      <c r="T5226" s="31" t="s">
        <v>20219</v>
      </c>
      <c r="U5226" s="31" t="s">
        <v>20220</v>
      </c>
      <c r="V5226" s="32">
        <v>41649.0</v>
      </c>
    </row>
    <row r="5227">
      <c r="A5227" s="32"/>
      <c r="T5227" s="31" t="s">
        <v>20223</v>
      </c>
      <c r="U5227" s="31" t="s">
        <v>20224</v>
      </c>
      <c r="V5227" s="32">
        <v>41648.0</v>
      </c>
    </row>
    <row r="5228">
      <c r="A5228" s="32"/>
      <c r="T5228" s="31" t="s">
        <v>20227</v>
      </c>
      <c r="U5228" s="31" t="s">
        <v>20228</v>
      </c>
      <c r="V5228" s="32">
        <v>41648.0</v>
      </c>
    </row>
    <row r="5229">
      <c r="A5229" s="32"/>
      <c r="T5229" s="31" t="s">
        <v>20230</v>
      </c>
      <c r="U5229" s="31" t="s">
        <v>20231</v>
      </c>
      <c r="V5229" s="32">
        <v>41647.0</v>
      </c>
    </row>
    <row r="5230">
      <c r="A5230" s="32"/>
      <c r="T5230" s="31" t="s">
        <v>20234</v>
      </c>
      <c r="U5230" s="31" t="s">
        <v>20235</v>
      </c>
      <c r="V5230" s="32">
        <v>41647.0</v>
      </c>
    </row>
    <row r="5231">
      <c r="A5231" s="32"/>
      <c r="T5231" s="31" t="s">
        <v>20238</v>
      </c>
      <c r="U5231" s="31" t="s">
        <v>20239</v>
      </c>
      <c r="V5231" s="32">
        <v>41642.0</v>
      </c>
    </row>
    <row r="5232">
      <c r="A5232" s="32"/>
      <c r="T5232" s="31" t="s">
        <v>20242</v>
      </c>
      <c r="U5232" s="31" t="s">
        <v>20243</v>
      </c>
      <c r="V5232" s="32">
        <v>41640.0</v>
      </c>
    </row>
    <row r="5233">
      <c r="A5233" s="32"/>
      <c r="T5233" s="31" t="s">
        <v>20246</v>
      </c>
      <c r="U5233" s="31" t="s">
        <v>20247</v>
      </c>
      <c r="V5233" s="32">
        <v>41640.0</v>
      </c>
    </row>
    <row r="5234">
      <c r="A5234" s="32"/>
      <c r="T5234" s="31" t="s">
        <v>20250</v>
      </c>
      <c r="U5234" s="31" t="s">
        <v>20251</v>
      </c>
      <c r="V5234" s="32">
        <v>41640.0</v>
      </c>
    </row>
    <row r="5235">
      <c r="A5235" s="32"/>
      <c r="T5235" s="31" t="s">
        <v>20255</v>
      </c>
      <c r="U5235" s="31" t="s">
        <v>20256</v>
      </c>
      <c r="V5235" s="32">
        <v>41640.0</v>
      </c>
    </row>
    <row r="5236">
      <c r="A5236" s="32"/>
      <c r="T5236" s="31" t="s">
        <v>20259</v>
      </c>
      <c r="U5236" s="31" t="s">
        <v>19756</v>
      </c>
      <c r="V5236" s="32">
        <v>41640.0</v>
      </c>
    </row>
    <row r="5237">
      <c r="A5237" s="32"/>
      <c r="T5237" s="31" t="s">
        <v>20262</v>
      </c>
      <c r="U5237" s="31" t="s">
        <v>20263</v>
      </c>
      <c r="V5237" s="32">
        <v>41640.0</v>
      </c>
    </row>
    <row r="5238">
      <c r="A5238" s="32"/>
      <c r="T5238" s="31" t="s">
        <v>20267</v>
      </c>
      <c r="U5238" s="31" t="s">
        <v>20268</v>
      </c>
      <c r="V5238" s="32">
        <v>41640.0</v>
      </c>
    </row>
    <row r="5239">
      <c r="A5239" s="32"/>
      <c r="T5239" s="31" t="s">
        <v>20272</v>
      </c>
      <c r="U5239" s="31" t="s">
        <v>19708</v>
      </c>
      <c r="V5239" s="32">
        <v>41640.0</v>
      </c>
    </row>
    <row r="5240">
      <c r="A5240" s="32"/>
      <c r="T5240" s="31" t="s">
        <v>20276</v>
      </c>
      <c r="U5240" s="31" t="s">
        <v>19111</v>
      </c>
      <c r="V5240" s="32">
        <v>41640.0</v>
      </c>
    </row>
    <row r="5241">
      <c r="A5241" s="32"/>
      <c r="T5241" s="31" t="s">
        <v>20279</v>
      </c>
      <c r="U5241" s="31" t="s">
        <v>20280</v>
      </c>
      <c r="V5241" s="32">
        <v>41640.0</v>
      </c>
    </row>
    <row r="5242">
      <c r="A5242" s="32"/>
      <c r="T5242" s="31" t="s">
        <v>20283</v>
      </c>
      <c r="U5242" s="31" t="s">
        <v>19111</v>
      </c>
      <c r="V5242" s="32">
        <v>41640.0</v>
      </c>
    </row>
    <row r="5243">
      <c r="A5243" s="32"/>
      <c r="T5243" s="31" t="s">
        <v>20286</v>
      </c>
      <c r="U5243" s="31" t="s">
        <v>15899</v>
      </c>
      <c r="V5243" s="32">
        <v>41640.0</v>
      </c>
    </row>
    <row r="5244">
      <c r="A5244" s="32"/>
      <c r="T5244" s="31" t="s">
        <v>20288</v>
      </c>
      <c r="U5244" s="31" t="s">
        <v>20289</v>
      </c>
      <c r="V5244" s="32">
        <v>41640.0</v>
      </c>
    </row>
    <row r="5245">
      <c r="A5245" s="32"/>
      <c r="T5245" s="31" t="s">
        <v>20292</v>
      </c>
      <c r="U5245" s="31" t="s">
        <v>20293</v>
      </c>
      <c r="V5245" s="32">
        <v>41640.0</v>
      </c>
    </row>
    <row r="5246">
      <c r="A5246" s="32"/>
      <c r="T5246" s="31" t="s">
        <v>20296</v>
      </c>
      <c r="U5246" s="31" t="s">
        <v>20297</v>
      </c>
      <c r="V5246" s="32">
        <v>41639.0</v>
      </c>
    </row>
    <row r="5247">
      <c r="A5247" s="32"/>
      <c r="T5247" s="31" t="s">
        <v>20300</v>
      </c>
      <c r="U5247" s="31" t="s">
        <v>20301</v>
      </c>
      <c r="V5247" s="32">
        <v>41634.0</v>
      </c>
    </row>
    <row r="5248">
      <c r="A5248" s="32"/>
      <c r="T5248" s="31" t="s">
        <v>20304</v>
      </c>
      <c r="U5248" s="31" t="s">
        <v>20305</v>
      </c>
      <c r="V5248" s="32">
        <v>41631.0</v>
      </c>
    </row>
    <row r="5249">
      <c r="A5249" s="32"/>
      <c r="T5249" s="31" t="s">
        <v>20308</v>
      </c>
      <c r="U5249" s="31" t="s">
        <v>20309</v>
      </c>
      <c r="V5249" s="32">
        <v>41628.0</v>
      </c>
    </row>
    <row r="5250">
      <c r="A5250" s="32"/>
      <c r="T5250" s="31" t="s">
        <v>20312</v>
      </c>
      <c r="U5250" s="31" t="s">
        <v>20313</v>
      </c>
      <c r="V5250" s="32">
        <v>41628.0</v>
      </c>
    </row>
    <row r="5251">
      <c r="A5251" s="32"/>
      <c r="T5251" s="31" t="s">
        <v>20316</v>
      </c>
      <c r="U5251" s="31" t="s">
        <v>20317</v>
      </c>
      <c r="V5251" s="32">
        <v>41627.0</v>
      </c>
    </row>
    <row r="5252">
      <c r="A5252" s="32"/>
      <c r="T5252" s="31" t="s">
        <v>20320</v>
      </c>
      <c r="U5252" s="31" t="s">
        <v>20321</v>
      </c>
      <c r="V5252" s="32">
        <v>41627.0</v>
      </c>
    </row>
    <row r="5253">
      <c r="A5253" s="32"/>
      <c r="T5253" s="31" t="s">
        <v>20324</v>
      </c>
      <c r="U5253" s="31" t="s">
        <v>20325</v>
      </c>
      <c r="V5253" s="32">
        <v>41626.0</v>
      </c>
    </row>
    <row r="5254">
      <c r="A5254" s="32"/>
      <c r="T5254" s="31" t="s">
        <v>20328</v>
      </c>
      <c r="U5254" s="31" t="s">
        <v>20329</v>
      </c>
      <c r="V5254" s="32">
        <v>41625.0</v>
      </c>
    </row>
    <row r="5255">
      <c r="A5255" s="32"/>
      <c r="T5255" s="31" t="s">
        <v>20332</v>
      </c>
      <c r="U5255" s="31" t="s">
        <v>20333</v>
      </c>
      <c r="V5255" s="32">
        <v>41624.0</v>
      </c>
    </row>
    <row r="5256">
      <c r="A5256" s="32"/>
      <c r="T5256" s="31" t="s">
        <v>20336</v>
      </c>
      <c r="U5256" s="31" t="s">
        <v>20337</v>
      </c>
      <c r="V5256" s="32">
        <v>41621.0</v>
      </c>
    </row>
    <row r="5257">
      <c r="A5257" s="32"/>
      <c r="T5257" s="31" t="s">
        <v>20340</v>
      </c>
      <c r="U5257" s="31" t="s">
        <v>19481</v>
      </c>
      <c r="V5257" s="32">
        <v>41619.0</v>
      </c>
    </row>
    <row r="5258">
      <c r="A5258" s="32"/>
      <c r="T5258" s="31" t="s">
        <v>20343</v>
      </c>
      <c r="U5258" s="31" t="s">
        <v>20344</v>
      </c>
      <c r="V5258" s="32">
        <v>41619.0</v>
      </c>
    </row>
    <row r="5259">
      <c r="A5259" s="32"/>
      <c r="T5259" s="31" t="s">
        <v>20348</v>
      </c>
      <c r="U5259" s="31" t="s">
        <v>20349</v>
      </c>
      <c r="V5259" s="32">
        <v>41618.0</v>
      </c>
    </row>
    <row r="5260">
      <c r="A5260" s="32"/>
      <c r="T5260" s="31" t="s">
        <v>20352</v>
      </c>
      <c r="U5260" s="31" t="s">
        <v>20353</v>
      </c>
      <c r="V5260" s="32">
        <v>41615.0</v>
      </c>
    </row>
    <row r="5261">
      <c r="A5261" s="32"/>
      <c r="T5261" s="31" t="s">
        <v>20356</v>
      </c>
      <c r="U5261" s="31" t="s">
        <v>20357</v>
      </c>
      <c r="V5261" s="32">
        <v>41614.0</v>
      </c>
    </row>
    <row r="5262">
      <c r="A5262" s="32"/>
      <c r="T5262" s="31" t="s">
        <v>20359</v>
      </c>
      <c r="U5262" s="31" t="s">
        <v>20360</v>
      </c>
      <c r="V5262" s="32">
        <v>41613.0</v>
      </c>
    </row>
    <row r="5263">
      <c r="A5263" s="32"/>
      <c r="T5263" s="31" t="s">
        <v>20363</v>
      </c>
      <c r="U5263" s="31" t="s">
        <v>20364</v>
      </c>
      <c r="V5263" s="32">
        <v>41612.0</v>
      </c>
    </row>
    <row r="5264">
      <c r="A5264" s="32"/>
      <c r="T5264" s="31" t="s">
        <v>20367</v>
      </c>
      <c r="U5264" s="31" t="s">
        <v>20368</v>
      </c>
      <c r="V5264" s="32">
        <v>41612.0</v>
      </c>
    </row>
    <row r="5265">
      <c r="A5265" s="32"/>
      <c r="T5265" s="31" t="s">
        <v>20371</v>
      </c>
      <c r="U5265" s="31" t="s">
        <v>20372</v>
      </c>
      <c r="V5265" s="32">
        <v>41609.0</v>
      </c>
    </row>
    <row r="5266">
      <c r="A5266" s="32"/>
      <c r="T5266" s="31" t="s">
        <v>20374</v>
      </c>
      <c r="U5266" s="31" t="s">
        <v>20375</v>
      </c>
      <c r="V5266" s="32">
        <v>41609.0</v>
      </c>
    </row>
    <row r="5267">
      <c r="A5267" s="32"/>
      <c r="T5267" s="31" t="s">
        <v>20378</v>
      </c>
      <c r="U5267" s="31" t="s">
        <v>20379</v>
      </c>
      <c r="V5267" s="32">
        <v>41609.0</v>
      </c>
    </row>
    <row r="5268">
      <c r="A5268" s="32"/>
      <c r="T5268" s="31" t="s">
        <v>20382</v>
      </c>
      <c r="U5268" s="31" t="s">
        <v>20383</v>
      </c>
      <c r="V5268" s="32">
        <v>41609.0</v>
      </c>
    </row>
    <row r="5269">
      <c r="A5269" s="32"/>
      <c r="T5269" s="31" t="s">
        <v>20385</v>
      </c>
      <c r="U5269" s="31" t="s">
        <v>20386</v>
      </c>
      <c r="V5269" s="32">
        <v>41609.0</v>
      </c>
    </row>
    <row r="5270">
      <c r="A5270" s="32"/>
      <c r="T5270" s="31" t="s">
        <v>20389</v>
      </c>
      <c r="U5270" s="31" t="s">
        <v>20390</v>
      </c>
      <c r="V5270" s="32">
        <v>41609.0</v>
      </c>
    </row>
    <row r="5271">
      <c r="A5271" s="32"/>
      <c r="T5271" s="31" t="s">
        <v>20393</v>
      </c>
      <c r="U5271" s="31" t="s">
        <v>20394</v>
      </c>
      <c r="V5271" s="32">
        <v>41605.0</v>
      </c>
    </row>
    <row r="5272">
      <c r="A5272" s="32"/>
      <c r="T5272" s="31" t="s">
        <v>20397</v>
      </c>
      <c r="U5272" s="31" t="s">
        <v>20398</v>
      </c>
      <c r="V5272" s="32">
        <v>41605.0</v>
      </c>
    </row>
    <row r="5273">
      <c r="A5273" s="32"/>
      <c r="T5273" s="31" t="s">
        <v>20401</v>
      </c>
      <c r="U5273" s="31" t="s">
        <v>20402</v>
      </c>
      <c r="V5273" s="32">
        <v>41605.0</v>
      </c>
    </row>
    <row r="5274">
      <c r="A5274" s="32"/>
      <c r="T5274" s="31" t="s">
        <v>20405</v>
      </c>
      <c r="U5274" s="31" t="s">
        <v>20406</v>
      </c>
      <c r="V5274" s="32">
        <v>41604.0</v>
      </c>
    </row>
    <row r="5275">
      <c r="A5275" s="32"/>
      <c r="T5275" s="31" t="s">
        <v>20409</v>
      </c>
      <c r="U5275" s="31" t="s">
        <v>20410</v>
      </c>
      <c r="V5275" s="32">
        <v>41603.0</v>
      </c>
    </row>
    <row r="5276">
      <c r="A5276" s="32"/>
      <c r="T5276" s="31" t="s">
        <v>20413</v>
      </c>
      <c r="U5276" s="31" t="s">
        <v>20414</v>
      </c>
      <c r="V5276" s="32">
        <v>41603.0</v>
      </c>
    </row>
    <row r="5277">
      <c r="A5277" s="32"/>
      <c r="T5277" s="31" t="s">
        <v>20416</v>
      </c>
      <c r="U5277" s="31" t="s">
        <v>20417</v>
      </c>
      <c r="V5277" s="32">
        <v>41600.0</v>
      </c>
    </row>
    <row r="5278">
      <c r="A5278" s="32"/>
      <c r="T5278" s="31" t="s">
        <v>20420</v>
      </c>
      <c r="U5278" s="31" t="s">
        <v>20421</v>
      </c>
      <c r="V5278" s="32">
        <v>41598.0</v>
      </c>
    </row>
    <row r="5279">
      <c r="A5279" s="32"/>
      <c r="T5279" s="31" t="s">
        <v>20424</v>
      </c>
      <c r="U5279" s="31" t="s">
        <v>20425</v>
      </c>
      <c r="V5279" s="32">
        <v>41596.0</v>
      </c>
    </row>
    <row r="5280">
      <c r="A5280" s="32"/>
      <c r="T5280" s="31" t="s">
        <v>20428</v>
      </c>
      <c r="U5280" s="31" t="s">
        <v>20429</v>
      </c>
      <c r="V5280" s="32">
        <v>41591.0</v>
      </c>
    </row>
    <row r="5281">
      <c r="A5281" s="32"/>
      <c r="T5281" s="31" t="s">
        <v>20432</v>
      </c>
      <c r="U5281" s="31" t="s">
        <v>20433</v>
      </c>
      <c r="V5281" s="32">
        <v>41585.0</v>
      </c>
    </row>
    <row r="5282">
      <c r="A5282" s="32"/>
      <c r="T5282" s="31" t="s">
        <v>20436</v>
      </c>
      <c r="U5282" s="31" t="s">
        <v>17148</v>
      </c>
      <c r="V5282" s="32">
        <v>41584.0</v>
      </c>
    </row>
    <row r="5283">
      <c r="A5283" s="32"/>
      <c r="T5283" s="31" t="s">
        <v>20438</v>
      </c>
      <c r="U5283" s="31" t="s">
        <v>19957</v>
      </c>
      <c r="V5283" s="32">
        <v>41579.0</v>
      </c>
    </row>
    <row r="5284">
      <c r="A5284" s="32"/>
      <c r="T5284" s="31" t="s">
        <v>20440</v>
      </c>
      <c r="U5284" s="31" t="s">
        <v>20441</v>
      </c>
      <c r="V5284" s="32">
        <v>41579.0</v>
      </c>
    </row>
    <row r="5285">
      <c r="A5285" s="32"/>
      <c r="T5285" s="31" t="s">
        <v>20445</v>
      </c>
      <c r="U5285" s="31" t="s">
        <v>20446</v>
      </c>
      <c r="V5285" s="32">
        <v>41579.0</v>
      </c>
    </row>
    <row r="5286">
      <c r="A5286" s="32"/>
      <c r="T5286" s="31" t="s">
        <v>20450</v>
      </c>
      <c r="U5286" s="31" t="s">
        <v>20451</v>
      </c>
      <c r="V5286" s="32">
        <v>41577.0</v>
      </c>
    </row>
    <row r="5287">
      <c r="A5287" s="32"/>
      <c r="T5287" s="31" t="s">
        <v>20454</v>
      </c>
      <c r="U5287" s="31" t="s">
        <v>20455</v>
      </c>
      <c r="V5287" s="32">
        <v>41572.0</v>
      </c>
    </row>
    <row r="5288">
      <c r="A5288" s="32"/>
      <c r="T5288" s="31" t="s">
        <v>20457</v>
      </c>
      <c r="U5288" s="31" t="s">
        <v>20458</v>
      </c>
      <c r="V5288" s="32">
        <v>41572.0</v>
      </c>
    </row>
    <row r="5289">
      <c r="A5289" s="32"/>
      <c r="T5289" s="31" t="s">
        <v>20461</v>
      </c>
      <c r="U5289" s="31" t="s">
        <v>20462</v>
      </c>
      <c r="V5289" s="32">
        <v>41570.0</v>
      </c>
    </row>
    <row r="5290">
      <c r="A5290" s="32"/>
      <c r="T5290" s="31" t="s">
        <v>20465</v>
      </c>
      <c r="U5290" s="31" t="s">
        <v>20466</v>
      </c>
      <c r="V5290" s="32">
        <v>41568.0</v>
      </c>
    </row>
    <row r="5291">
      <c r="A5291" s="32"/>
      <c r="T5291" s="31" t="s">
        <v>20469</v>
      </c>
      <c r="U5291" s="31" t="s">
        <v>20470</v>
      </c>
      <c r="V5291" s="32">
        <v>41568.0</v>
      </c>
    </row>
    <row r="5292">
      <c r="A5292" s="32"/>
      <c r="T5292" s="31" t="s">
        <v>20473</v>
      </c>
      <c r="U5292" s="31" t="s">
        <v>20474</v>
      </c>
      <c r="V5292" s="32">
        <v>41565.0</v>
      </c>
    </row>
    <row r="5293">
      <c r="A5293" s="32"/>
      <c r="T5293" s="31" t="s">
        <v>20477</v>
      </c>
      <c r="U5293" s="31" t="s">
        <v>20478</v>
      </c>
      <c r="V5293" s="32">
        <v>41562.0</v>
      </c>
    </row>
    <row r="5294">
      <c r="A5294" s="32"/>
      <c r="T5294" s="31" t="s">
        <v>20481</v>
      </c>
      <c r="U5294" s="31" t="s">
        <v>20482</v>
      </c>
      <c r="V5294" s="32">
        <v>41562.0</v>
      </c>
    </row>
    <row r="5295">
      <c r="A5295" s="32"/>
      <c r="T5295" s="31" t="s">
        <v>20485</v>
      </c>
      <c r="U5295" s="31" t="s">
        <v>20486</v>
      </c>
      <c r="V5295" s="32">
        <v>41561.0</v>
      </c>
    </row>
    <row r="5296">
      <c r="A5296" s="32"/>
      <c r="T5296" s="31" t="s">
        <v>20489</v>
      </c>
      <c r="U5296" s="31" t="s">
        <v>20490</v>
      </c>
      <c r="V5296" s="32">
        <v>41557.0</v>
      </c>
    </row>
    <row r="5297">
      <c r="A5297" s="32"/>
      <c r="T5297" s="31" t="s">
        <v>20493</v>
      </c>
      <c r="U5297" s="31" t="s">
        <v>20494</v>
      </c>
      <c r="V5297" s="32">
        <v>41548.0</v>
      </c>
    </row>
    <row r="5298">
      <c r="A5298" s="32"/>
      <c r="T5298" s="31" t="s">
        <v>20496</v>
      </c>
      <c r="U5298" s="31" t="s">
        <v>20497</v>
      </c>
      <c r="V5298" s="32">
        <v>41548.0</v>
      </c>
    </row>
    <row r="5299">
      <c r="A5299" s="32"/>
      <c r="T5299" s="31" t="s">
        <v>20500</v>
      </c>
      <c r="U5299" s="31" t="s">
        <v>20501</v>
      </c>
      <c r="V5299" s="32">
        <v>41547.0</v>
      </c>
    </row>
    <row r="5300">
      <c r="A5300" s="32"/>
      <c r="T5300" s="31" t="s">
        <v>20505</v>
      </c>
      <c r="U5300" s="31" t="s">
        <v>20506</v>
      </c>
      <c r="V5300" s="32">
        <v>41547.0</v>
      </c>
    </row>
    <row r="5301">
      <c r="A5301" s="32"/>
      <c r="T5301" s="31" t="s">
        <v>20509</v>
      </c>
      <c r="U5301" s="31" t="s">
        <v>20510</v>
      </c>
      <c r="V5301" s="32">
        <v>41547.0</v>
      </c>
    </row>
    <row r="5302">
      <c r="A5302" s="32"/>
      <c r="T5302" s="31" t="s">
        <v>20513</v>
      </c>
      <c r="U5302" s="31" t="s">
        <v>20514</v>
      </c>
      <c r="V5302" s="32">
        <v>41543.0</v>
      </c>
    </row>
    <row r="5303">
      <c r="A5303" s="32"/>
      <c r="T5303" s="31" t="s">
        <v>20517</v>
      </c>
      <c r="U5303" s="31" t="s">
        <v>20518</v>
      </c>
      <c r="V5303" s="32">
        <v>41542.0</v>
      </c>
    </row>
    <row r="5304">
      <c r="A5304" s="32"/>
      <c r="T5304" s="31" t="s">
        <v>20521</v>
      </c>
      <c r="U5304" s="31" t="s">
        <v>20522</v>
      </c>
      <c r="V5304" s="32">
        <v>41537.0</v>
      </c>
    </row>
    <row r="5305">
      <c r="A5305" s="32"/>
      <c r="T5305" s="31" t="s">
        <v>20525</v>
      </c>
      <c r="U5305" s="31" t="s">
        <v>20526</v>
      </c>
      <c r="V5305" s="32">
        <v>41534.0</v>
      </c>
    </row>
    <row r="5306">
      <c r="A5306" s="32"/>
      <c r="T5306" s="31" t="s">
        <v>20529</v>
      </c>
      <c r="U5306" s="31" t="s">
        <v>20530</v>
      </c>
      <c r="V5306" s="32">
        <v>41534.0</v>
      </c>
    </row>
    <row r="5307">
      <c r="A5307" s="32"/>
      <c r="T5307" s="31" t="s">
        <v>20533</v>
      </c>
      <c r="U5307" s="31" t="s">
        <v>20534</v>
      </c>
      <c r="V5307" s="32">
        <v>41533.0</v>
      </c>
    </row>
    <row r="5308">
      <c r="A5308" s="32"/>
      <c r="T5308" s="31" t="s">
        <v>20537</v>
      </c>
      <c r="U5308" s="31" t="s">
        <v>20538</v>
      </c>
      <c r="V5308" s="32">
        <v>41533.0</v>
      </c>
    </row>
    <row r="5309">
      <c r="A5309" s="32"/>
      <c r="T5309" s="31" t="s">
        <v>20541</v>
      </c>
      <c r="U5309" s="31" t="s">
        <v>20542</v>
      </c>
      <c r="V5309" s="32">
        <v>41522.0</v>
      </c>
    </row>
    <row r="5310">
      <c r="A5310" s="32"/>
      <c r="T5310" s="31" t="s">
        <v>20545</v>
      </c>
      <c r="U5310" s="31" t="s">
        <v>20546</v>
      </c>
      <c r="V5310" s="32">
        <v>41520.0</v>
      </c>
    </row>
    <row r="5311">
      <c r="A5311" s="32"/>
      <c r="T5311" s="31" t="s">
        <v>20549</v>
      </c>
      <c r="U5311" s="31" t="s">
        <v>20550</v>
      </c>
      <c r="V5311" s="32">
        <v>41518.0</v>
      </c>
    </row>
    <row r="5312">
      <c r="A5312" s="32"/>
      <c r="T5312" s="31" t="s">
        <v>20553</v>
      </c>
      <c r="U5312" s="31" t="s">
        <v>16229</v>
      </c>
      <c r="V5312" s="32">
        <v>41515.0</v>
      </c>
    </row>
    <row r="5313">
      <c r="A5313" s="32"/>
      <c r="T5313" s="31" t="s">
        <v>20556</v>
      </c>
      <c r="U5313" s="31" t="s">
        <v>20557</v>
      </c>
      <c r="V5313" s="32">
        <v>41513.0</v>
      </c>
    </row>
    <row r="5314">
      <c r="A5314" s="32"/>
      <c r="T5314" s="31" t="s">
        <v>20559</v>
      </c>
      <c r="U5314" s="31" t="s">
        <v>20560</v>
      </c>
      <c r="V5314" s="32">
        <v>41512.0</v>
      </c>
    </row>
    <row r="5315">
      <c r="A5315" s="32"/>
      <c r="T5315" s="31" t="s">
        <v>20563</v>
      </c>
      <c r="U5315" s="31" t="s">
        <v>19803</v>
      </c>
      <c r="V5315" s="32">
        <v>41508.0</v>
      </c>
    </row>
    <row r="5316">
      <c r="A5316" s="32"/>
      <c r="T5316" s="31" t="s">
        <v>20566</v>
      </c>
      <c r="U5316" s="31" t="s">
        <v>20567</v>
      </c>
      <c r="V5316" s="32">
        <v>41506.0</v>
      </c>
    </row>
    <row r="5317">
      <c r="A5317" s="32"/>
      <c r="T5317" s="31" t="s">
        <v>20570</v>
      </c>
      <c r="U5317" s="31" t="s">
        <v>20571</v>
      </c>
      <c r="V5317" s="32">
        <v>41501.0</v>
      </c>
    </row>
    <row r="5318">
      <c r="A5318" s="32"/>
      <c r="T5318" s="31" t="s">
        <v>20574</v>
      </c>
      <c r="U5318" s="31" t="s">
        <v>20575</v>
      </c>
      <c r="V5318" s="32">
        <v>41500.0</v>
      </c>
    </row>
    <row r="5319">
      <c r="A5319" s="32"/>
      <c r="T5319" s="31" t="s">
        <v>20578</v>
      </c>
      <c r="U5319" s="31" t="s">
        <v>20579</v>
      </c>
      <c r="V5319" s="32">
        <v>41499.0</v>
      </c>
    </row>
    <row r="5320">
      <c r="A5320" s="32"/>
      <c r="T5320" s="31" t="s">
        <v>20582</v>
      </c>
      <c r="U5320" s="31" t="s">
        <v>20583</v>
      </c>
      <c r="V5320" s="32">
        <v>41494.0</v>
      </c>
    </row>
    <row r="5321">
      <c r="A5321" s="32"/>
      <c r="T5321" s="31" t="s">
        <v>20586</v>
      </c>
      <c r="U5321" s="31" t="s">
        <v>20587</v>
      </c>
      <c r="V5321" s="32">
        <v>41494.0</v>
      </c>
    </row>
    <row r="5322">
      <c r="A5322" s="32"/>
      <c r="T5322" s="31" t="s">
        <v>20589</v>
      </c>
      <c r="U5322" s="31" t="s">
        <v>20590</v>
      </c>
      <c r="V5322" s="32">
        <v>41493.0</v>
      </c>
    </row>
    <row r="5323">
      <c r="A5323" s="32"/>
      <c r="T5323" s="31" t="s">
        <v>20593</v>
      </c>
      <c r="U5323" s="31" t="s">
        <v>20594</v>
      </c>
      <c r="V5323" s="32">
        <v>41493.0</v>
      </c>
    </row>
    <row r="5324">
      <c r="A5324" s="32"/>
      <c r="T5324" s="31" t="s">
        <v>20597</v>
      </c>
      <c r="U5324" s="31" t="s">
        <v>20598</v>
      </c>
      <c r="V5324" s="32">
        <v>41492.0</v>
      </c>
    </row>
    <row r="5325">
      <c r="A5325" s="32"/>
      <c r="T5325" s="31" t="s">
        <v>20601</v>
      </c>
      <c r="U5325" s="31" t="s">
        <v>20602</v>
      </c>
      <c r="V5325" s="32">
        <v>41492.0</v>
      </c>
    </row>
    <row r="5326">
      <c r="A5326" s="32"/>
      <c r="T5326" s="31" t="s">
        <v>20605</v>
      </c>
      <c r="U5326" s="31" t="s">
        <v>20606</v>
      </c>
      <c r="V5326" s="32">
        <v>41491.0</v>
      </c>
    </row>
    <row r="5327">
      <c r="A5327" s="32"/>
      <c r="T5327" s="31" t="s">
        <v>20609</v>
      </c>
      <c r="U5327" s="31" t="s">
        <v>19684</v>
      </c>
      <c r="V5327" s="32">
        <v>41489.0</v>
      </c>
    </row>
    <row r="5328">
      <c r="A5328" s="32"/>
      <c r="T5328" s="31" t="s">
        <v>20612</v>
      </c>
      <c r="U5328" s="31" t="s">
        <v>20613</v>
      </c>
      <c r="V5328" s="32">
        <v>41487.0</v>
      </c>
    </row>
    <row r="5329">
      <c r="A5329" s="32"/>
      <c r="T5329" s="31" t="s">
        <v>20616</v>
      </c>
      <c r="U5329" s="31" t="s">
        <v>20617</v>
      </c>
      <c r="V5329" s="32">
        <v>41486.0</v>
      </c>
    </row>
    <row r="5330">
      <c r="A5330" s="32"/>
      <c r="T5330" s="31" t="s">
        <v>20620</v>
      </c>
      <c r="U5330" s="31" t="s">
        <v>20621</v>
      </c>
      <c r="V5330" s="32">
        <v>41485.0</v>
      </c>
    </row>
    <row r="5331">
      <c r="A5331" s="32"/>
      <c r="T5331" s="31" t="s">
        <v>20624</v>
      </c>
      <c r="U5331" s="31" t="s">
        <v>20625</v>
      </c>
      <c r="V5331" s="32">
        <v>41484.0</v>
      </c>
    </row>
    <row r="5332">
      <c r="A5332" s="32"/>
      <c r="T5332" s="31" t="s">
        <v>20628</v>
      </c>
      <c r="U5332" s="31" t="s">
        <v>20629</v>
      </c>
      <c r="V5332" s="32">
        <v>41477.0</v>
      </c>
    </row>
    <row r="5333">
      <c r="A5333" s="32"/>
      <c r="T5333" s="31" t="s">
        <v>20632</v>
      </c>
      <c r="U5333" s="31" t="s">
        <v>20633</v>
      </c>
      <c r="V5333" s="32">
        <v>41477.0</v>
      </c>
    </row>
    <row r="5334">
      <c r="A5334" s="32"/>
      <c r="T5334" s="31" t="s">
        <v>20636</v>
      </c>
      <c r="U5334" s="31" t="s">
        <v>20637</v>
      </c>
      <c r="V5334" s="32">
        <v>41472.0</v>
      </c>
    </row>
    <row r="5335">
      <c r="A5335" s="32"/>
      <c r="T5335" s="31" t="s">
        <v>20640</v>
      </c>
      <c r="U5335" s="31" t="s">
        <v>20641</v>
      </c>
      <c r="V5335" s="32">
        <v>41471.0</v>
      </c>
    </row>
    <row r="5336">
      <c r="A5336" s="32"/>
      <c r="T5336" s="31" t="s">
        <v>20644</v>
      </c>
      <c r="U5336" s="31" t="s">
        <v>20645</v>
      </c>
      <c r="V5336" s="32">
        <v>41471.0</v>
      </c>
    </row>
    <row r="5337">
      <c r="A5337" s="32"/>
      <c r="T5337" s="31" t="s">
        <v>20649</v>
      </c>
      <c r="U5337" s="31" t="s">
        <v>20650</v>
      </c>
      <c r="V5337" s="32">
        <v>41467.0</v>
      </c>
    </row>
    <row r="5338">
      <c r="A5338" s="32"/>
      <c r="T5338" s="31" t="s">
        <v>20653</v>
      </c>
      <c r="U5338" s="31" t="s">
        <v>20654</v>
      </c>
      <c r="V5338" s="32">
        <v>41461.0</v>
      </c>
    </row>
    <row r="5339">
      <c r="A5339" s="32"/>
      <c r="T5339" s="31" t="s">
        <v>20657</v>
      </c>
      <c r="U5339" s="31" t="s">
        <v>20658</v>
      </c>
      <c r="V5339" s="32">
        <v>41457.0</v>
      </c>
    </row>
    <row r="5340">
      <c r="A5340" s="32"/>
      <c r="T5340" s="31" t="s">
        <v>20661</v>
      </c>
      <c r="U5340" s="31" t="s">
        <v>20662</v>
      </c>
      <c r="V5340" s="32">
        <v>41445.0</v>
      </c>
    </row>
    <row r="5341">
      <c r="A5341" s="32"/>
      <c r="T5341" s="31" t="s">
        <v>20665</v>
      </c>
      <c r="U5341" s="31" t="s">
        <v>20666</v>
      </c>
      <c r="V5341" s="32">
        <v>41444.0</v>
      </c>
    </row>
    <row r="5342">
      <c r="A5342" s="32"/>
      <c r="T5342" s="31" t="s">
        <v>20669</v>
      </c>
      <c r="U5342" s="31" t="s">
        <v>20670</v>
      </c>
      <c r="V5342" s="32">
        <v>41443.0</v>
      </c>
    </row>
    <row r="5343">
      <c r="A5343" s="32"/>
      <c r="T5343" s="31" t="s">
        <v>20674</v>
      </c>
      <c r="U5343" s="31" t="s">
        <v>20675</v>
      </c>
      <c r="V5343" s="32">
        <v>41440.0</v>
      </c>
    </row>
    <row r="5344">
      <c r="A5344" s="32"/>
      <c r="T5344" s="31" t="s">
        <v>20678</v>
      </c>
      <c r="U5344" s="31" t="s">
        <v>17148</v>
      </c>
      <c r="V5344" s="32">
        <v>41437.0</v>
      </c>
    </row>
    <row r="5345">
      <c r="A5345" s="32"/>
      <c r="T5345" s="31" t="s">
        <v>20681</v>
      </c>
      <c r="U5345" s="31" t="s">
        <v>20682</v>
      </c>
      <c r="V5345" s="32">
        <v>41431.0</v>
      </c>
    </row>
    <row r="5346">
      <c r="A5346" s="32"/>
      <c r="T5346" s="31" t="s">
        <v>20685</v>
      </c>
      <c r="U5346" s="31" t="s">
        <v>20686</v>
      </c>
      <c r="V5346" s="32">
        <v>41426.0</v>
      </c>
    </row>
    <row r="5347">
      <c r="A5347" s="32"/>
      <c r="T5347" s="31" t="s">
        <v>20689</v>
      </c>
      <c r="U5347" s="31" t="s">
        <v>20690</v>
      </c>
      <c r="V5347" s="32">
        <v>41426.0</v>
      </c>
    </row>
    <row r="5348">
      <c r="A5348" s="32"/>
      <c r="T5348" s="31" t="s">
        <v>20694</v>
      </c>
      <c r="U5348" s="31" t="s">
        <v>20695</v>
      </c>
      <c r="V5348" s="32">
        <v>41424.0</v>
      </c>
    </row>
    <row r="5349">
      <c r="A5349" s="32"/>
      <c r="T5349" s="31" t="s">
        <v>20698</v>
      </c>
      <c r="U5349" s="31" t="s">
        <v>20699</v>
      </c>
      <c r="V5349" s="32">
        <v>41416.0</v>
      </c>
    </row>
    <row r="5350">
      <c r="A5350" s="32"/>
      <c r="T5350" s="31" t="s">
        <v>20702</v>
      </c>
      <c r="U5350" s="31" t="s">
        <v>20703</v>
      </c>
      <c r="V5350" s="32">
        <v>41415.0</v>
      </c>
    </row>
    <row r="5351">
      <c r="A5351" s="32"/>
      <c r="T5351" s="31" t="s">
        <v>20706</v>
      </c>
      <c r="U5351" s="31" t="s">
        <v>20707</v>
      </c>
      <c r="V5351" s="32">
        <v>41409.0</v>
      </c>
    </row>
    <row r="5352">
      <c r="A5352" s="32"/>
      <c r="T5352" s="31" t="s">
        <v>20710</v>
      </c>
      <c r="U5352" s="31" t="s">
        <v>20711</v>
      </c>
      <c r="V5352" s="32">
        <v>41405.0</v>
      </c>
    </row>
    <row r="5353">
      <c r="A5353" s="32"/>
      <c r="T5353" s="31" t="s">
        <v>20714</v>
      </c>
      <c r="U5353" s="31" t="s">
        <v>20715</v>
      </c>
      <c r="V5353" s="32">
        <v>41403.0</v>
      </c>
    </row>
    <row r="5354">
      <c r="A5354" s="32"/>
      <c r="T5354" s="31" t="s">
        <v>20718</v>
      </c>
      <c r="U5354" s="31" t="s">
        <v>20719</v>
      </c>
      <c r="V5354" s="32">
        <v>41403.0</v>
      </c>
    </row>
    <row r="5355">
      <c r="A5355" s="32"/>
      <c r="T5355" s="31" t="s">
        <v>20721</v>
      </c>
      <c r="U5355" s="31" t="s">
        <v>20722</v>
      </c>
      <c r="V5355" s="32">
        <v>41402.0</v>
      </c>
    </row>
    <row r="5356">
      <c r="A5356" s="32"/>
      <c r="T5356" s="31" t="s">
        <v>20725</v>
      </c>
      <c r="U5356" s="31" t="s">
        <v>20621</v>
      </c>
      <c r="V5356" s="32">
        <v>41401.0</v>
      </c>
    </row>
    <row r="5357">
      <c r="A5357" s="32"/>
      <c r="T5357" s="31" t="s">
        <v>20728</v>
      </c>
      <c r="U5357" s="31" t="s">
        <v>20729</v>
      </c>
      <c r="V5357" s="32">
        <v>41397.0</v>
      </c>
    </row>
    <row r="5358">
      <c r="A5358" s="32"/>
      <c r="T5358" s="31" t="s">
        <v>20732</v>
      </c>
      <c r="U5358" s="31" t="s">
        <v>20733</v>
      </c>
      <c r="V5358" s="32">
        <v>41395.0</v>
      </c>
    </row>
    <row r="5359">
      <c r="A5359" s="32"/>
      <c r="T5359" s="31" t="s">
        <v>20737</v>
      </c>
      <c r="U5359" s="31" t="s">
        <v>20738</v>
      </c>
      <c r="V5359" s="32">
        <v>41395.0</v>
      </c>
    </row>
    <row r="5360">
      <c r="A5360" s="32"/>
      <c r="T5360" s="31" t="s">
        <v>20741</v>
      </c>
      <c r="U5360" s="31" t="s">
        <v>20742</v>
      </c>
      <c r="V5360" s="32">
        <v>41395.0</v>
      </c>
    </row>
    <row r="5361">
      <c r="A5361" s="32"/>
      <c r="T5361" s="31" t="s">
        <v>20744</v>
      </c>
      <c r="U5361" s="31" t="s">
        <v>20745</v>
      </c>
      <c r="V5361" s="32">
        <v>41394.0</v>
      </c>
    </row>
    <row r="5362">
      <c r="A5362" s="32"/>
      <c r="T5362" s="31" t="s">
        <v>20748</v>
      </c>
      <c r="U5362" s="31" t="s">
        <v>20749</v>
      </c>
      <c r="V5362" s="32">
        <v>41390.0</v>
      </c>
    </row>
    <row r="5363">
      <c r="A5363" s="32"/>
      <c r="T5363" s="31" t="s">
        <v>20752</v>
      </c>
      <c r="U5363" s="31" t="s">
        <v>20753</v>
      </c>
      <c r="V5363" s="32">
        <v>41389.0</v>
      </c>
    </row>
    <row r="5364">
      <c r="A5364" s="32"/>
      <c r="T5364" s="31" t="s">
        <v>20756</v>
      </c>
      <c r="U5364" s="31" t="s">
        <v>20757</v>
      </c>
      <c r="V5364" s="32">
        <v>41386.0</v>
      </c>
    </row>
    <row r="5365">
      <c r="A5365" s="32"/>
      <c r="T5365" s="31" t="s">
        <v>20760</v>
      </c>
      <c r="U5365" s="31" t="s">
        <v>20761</v>
      </c>
      <c r="V5365" s="32">
        <v>41382.0</v>
      </c>
    </row>
    <row r="5366">
      <c r="A5366" s="32"/>
      <c r="T5366" s="31" t="s">
        <v>20764</v>
      </c>
      <c r="U5366" s="31" t="s">
        <v>20765</v>
      </c>
      <c r="V5366" s="32">
        <v>41380.0</v>
      </c>
    </row>
    <row r="5367">
      <c r="A5367" s="32"/>
      <c r="T5367" s="31" t="s">
        <v>20768</v>
      </c>
      <c r="U5367" s="31" t="s">
        <v>20769</v>
      </c>
      <c r="V5367" s="32">
        <v>41373.0</v>
      </c>
    </row>
    <row r="5368">
      <c r="A5368" s="32"/>
      <c r="T5368" s="31" t="s">
        <v>20772</v>
      </c>
      <c r="U5368" s="31" t="s">
        <v>20773</v>
      </c>
      <c r="V5368" s="32">
        <v>41373.0</v>
      </c>
    </row>
    <row r="5369">
      <c r="A5369" s="32"/>
      <c r="T5369" s="31" t="s">
        <v>20776</v>
      </c>
      <c r="U5369" s="31" t="s">
        <v>20777</v>
      </c>
      <c r="V5369" s="32">
        <v>41370.0</v>
      </c>
    </row>
    <row r="5370">
      <c r="A5370" s="32"/>
      <c r="T5370" s="31" t="s">
        <v>20780</v>
      </c>
      <c r="U5370" s="31" t="s">
        <v>20781</v>
      </c>
      <c r="V5370" s="32">
        <v>41369.0</v>
      </c>
    </row>
    <row r="5371">
      <c r="A5371" s="32"/>
      <c r="T5371" s="31" t="s">
        <v>20784</v>
      </c>
      <c r="U5371" s="31" t="s">
        <v>20785</v>
      </c>
      <c r="V5371" s="32">
        <v>41365.0</v>
      </c>
    </row>
    <row r="5372">
      <c r="A5372" s="32"/>
      <c r="T5372" s="31" t="s">
        <v>20788</v>
      </c>
      <c r="U5372" s="31" t="s">
        <v>20789</v>
      </c>
      <c r="V5372" s="32">
        <v>41360.0</v>
      </c>
    </row>
    <row r="5373">
      <c r="A5373" s="32"/>
      <c r="T5373" s="31" t="s">
        <v>20792</v>
      </c>
      <c r="U5373" s="31" t="s">
        <v>20682</v>
      </c>
      <c r="V5373" s="32">
        <v>41360.0</v>
      </c>
    </row>
    <row r="5374">
      <c r="A5374" s="32"/>
      <c r="T5374" s="31" t="s">
        <v>20795</v>
      </c>
      <c r="U5374" s="31" t="s">
        <v>20796</v>
      </c>
      <c r="V5374" s="32">
        <v>41359.0</v>
      </c>
    </row>
    <row r="5375">
      <c r="A5375" s="32"/>
      <c r="T5375" s="31" t="s">
        <v>20799</v>
      </c>
      <c r="U5375" s="31" t="s">
        <v>20800</v>
      </c>
      <c r="V5375" s="32">
        <v>41357.0</v>
      </c>
    </row>
    <row r="5376">
      <c r="A5376" s="32"/>
      <c r="T5376" s="31" t="s">
        <v>20803</v>
      </c>
      <c r="U5376" s="31" t="s">
        <v>20804</v>
      </c>
      <c r="V5376" s="32">
        <v>41349.0</v>
      </c>
    </row>
    <row r="5377">
      <c r="A5377" s="32"/>
      <c r="T5377" s="31" t="s">
        <v>20807</v>
      </c>
      <c r="U5377" s="31" t="s">
        <v>20808</v>
      </c>
      <c r="V5377" s="32">
        <v>41346.0</v>
      </c>
    </row>
    <row r="5378">
      <c r="A5378" s="32"/>
      <c r="T5378" s="31" t="s">
        <v>20811</v>
      </c>
      <c r="U5378" s="31" t="s">
        <v>20812</v>
      </c>
      <c r="V5378" s="32">
        <v>41340.0</v>
      </c>
    </row>
    <row r="5379">
      <c r="A5379" s="32"/>
      <c r="T5379" s="31" t="s">
        <v>20814</v>
      </c>
      <c r="U5379" s="31" t="s">
        <v>20815</v>
      </c>
      <c r="V5379" s="32">
        <v>41338.0</v>
      </c>
    </row>
    <row r="5380">
      <c r="A5380" s="32"/>
      <c r="T5380" s="31" t="s">
        <v>20818</v>
      </c>
      <c r="U5380" s="31" t="s">
        <v>20819</v>
      </c>
      <c r="V5380" s="32">
        <v>41335.0</v>
      </c>
    </row>
    <row r="5381">
      <c r="A5381" s="32"/>
      <c r="T5381" s="31" t="s">
        <v>20822</v>
      </c>
      <c r="U5381" s="31" t="s">
        <v>20823</v>
      </c>
      <c r="V5381" s="32">
        <v>41335.0</v>
      </c>
    </row>
    <row r="5382">
      <c r="A5382" s="32"/>
      <c r="T5382" s="31" t="s">
        <v>20826</v>
      </c>
      <c r="U5382" s="31" t="s">
        <v>20827</v>
      </c>
      <c r="V5382" s="32">
        <v>41333.0</v>
      </c>
    </row>
    <row r="5383">
      <c r="A5383" s="32"/>
      <c r="T5383" s="31" t="s">
        <v>20830</v>
      </c>
      <c r="U5383" s="31" t="s">
        <v>20831</v>
      </c>
      <c r="V5383" s="32">
        <v>41330.0</v>
      </c>
    </row>
    <row r="5384">
      <c r="A5384" s="32"/>
      <c r="T5384" s="31" t="s">
        <v>20835</v>
      </c>
      <c r="U5384" s="31" t="s">
        <v>20836</v>
      </c>
      <c r="V5384" s="32">
        <v>41326.0</v>
      </c>
    </row>
    <row r="5385">
      <c r="A5385" s="32"/>
      <c r="T5385" s="31" t="s">
        <v>20839</v>
      </c>
      <c r="U5385" s="31" t="s">
        <v>20840</v>
      </c>
      <c r="V5385" s="32">
        <v>41326.0</v>
      </c>
    </row>
    <row r="5386">
      <c r="A5386" s="32"/>
      <c r="T5386" s="31" t="s">
        <v>20844</v>
      </c>
      <c r="U5386" s="31" t="s">
        <v>20845</v>
      </c>
      <c r="V5386" s="32">
        <v>41320.0</v>
      </c>
    </row>
    <row r="5387">
      <c r="A5387" s="32"/>
      <c r="T5387" s="31" t="s">
        <v>20848</v>
      </c>
      <c r="U5387" s="31" t="s">
        <v>20849</v>
      </c>
      <c r="V5387" s="32">
        <v>41313.0</v>
      </c>
    </row>
    <row r="5388">
      <c r="A5388" s="32"/>
      <c r="T5388" s="31" t="s">
        <v>20852</v>
      </c>
      <c r="U5388" s="31" t="s">
        <v>20853</v>
      </c>
      <c r="V5388" s="32">
        <v>41306.0</v>
      </c>
    </row>
    <row r="5389">
      <c r="A5389" s="32"/>
      <c r="T5389" s="31" t="s">
        <v>20856</v>
      </c>
      <c r="U5389" s="31" t="s">
        <v>20857</v>
      </c>
      <c r="V5389" s="32">
        <v>41306.0</v>
      </c>
    </row>
    <row r="5390">
      <c r="A5390" s="32"/>
      <c r="T5390" s="31" t="s">
        <v>20861</v>
      </c>
      <c r="U5390" s="31" t="s">
        <v>20862</v>
      </c>
      <c r="V5390" s="32">
        <v>41305.0</v>
      </c>
    </row>
    <row r="5391">
      <c r="A5391" s="32"/>
      <c r="T5391" s="31" t="s">
        <v>20865</v>
      </c>
      <c r="U5391" s="31" t="s">
        <v>20866</v>
      </c>
      <c r="V5391" s="32">
        <v>41305.0</v>
      </c>
    </row>
    <row r="5392">
      <c r="A5392" s="32"/>
      <c r="T5392" s="31" t="s">
        <v>20869</v>
      </c>
      <c r="U5392" s="31" t="s">
        <v>20870</v>
      </c>
      <c r="V5392" s="32">
        <v>41303.0</v>
      </c>
    </row>
    <row r="5393">
      <c r="A5393" s="32"/>
      <c r="T5393" s="31" t="s">
        <v>20873</v>
      </c>
      <c r="U5393" s="31" t="s">
        <v>20874</v>
      </c>
      <c r="V5393" s="32">
        <v>41299.0</v>
      </c>
    </row>
    <row r="5394">
      <c r="A5394" s="32"/>
      <c r="T5394" s="31" t="s">
        <v>20878</v>
      </c>
      <c r="U5394" s="31" t="s">
        <v>20879</v>
      </c>
      <c r="V5394" s="32">
        <v>41296.0</v>
      </c>
    </row>
    <row r="5395">
      <c r="A5395" s="32"/>
      <c r="T5395" s="31" t="s">
        <v>20882</v>
      </c>
      <c r="U5395" s="31" t="s">
        <v>20883</v>
      </c>
      <c r="V5395" s="32">
        <v>41295.0</v>
      </c>
    </row>
    <row r="5396">
      <c r="A5396" s="32"/>
      <c r="T5396" s="31" t="s">
        <v>20885</v>
      </c>
      <c r="U5396" s="31" t="s">
        <v>20886</v>
      </c>
      <c r="V5396" s="32">
        <v>41291.0</v>
      </c>
    </row>
    <row r="5397">
      <c r="A5397" s="32"/>
      <c r="T5397" s="31" t="s">
        <v>20889</v>
      </c>
      <c r="U5397" s="31" t="s">
        <v>20890</v>
      </c>
      <c r="V5397" s="32">
        <v>41291.0</v>
      </c>
    </row>
    <row r="5398">
      <c r="A5398" s="32"/>
      <c r="T5398" s="31" t="s">
        <v>20893</v>
      </c>
      <c r="U5398" s="31" t="s">
        <v>20894</v>
      </c>
      <c r="V5398" s="32">
        <v>41285.0</v>
      </c>
    </row>
    <row r="5399">
      <c r="A5399" s="32"/>
      <c r="T5399" s="31" t="s">
        <v>20897</v>
      </c>
      <c r="U5399" s="31" t="s">
        <v>20898</v>
      </c>
      <c r="V5399" s="32">
        <v>41285.0</v>
      </c>
    </row>
    <row r="5400">
      <c r="A5400" s="32"/>
      <c r="T5400" s="31" t="s">
        <v>20900</v>
      </c>
      <c r="U5400" s="31" t="s">
        <v>20901</v>
      </c>
      <c r="V5400" s="32">
        <v>41277.0</v>
      </c>
    </row>
    <row r="5401">
      <c r="A5401" s="32"/>
      <c r="T5401" s="31" t="s">
        <v>20904</v>
      </c>
      <c r="U5401" s="31" t="s">
        <v>19402</v>
      </c>
      <c r="V5401" s="32">
        <v>41276.0</v>
      </c>
    </row>
    <row r="5402">
      <c r="A5402" s="32"/>
      <c r="T5402" s="31" t="s">
        <v>20907</v>
      </c>
      <c r="U5402" s="31" t="s">
        <v>20908</v>
      </c>
      <c r="V5402" s="32">
        <v>41275.0</v>
      </c>
    </row>
    <row r="5403">
      <c r="A5403" s="32"/>
      <c r="T5403" s="31" t="s">
        <v>20912</v>
      </c>
      <c r="U5403" s="31" t="s">
        <v>20913</v>
      </c>
      <c r="V5403" s="32">
        <v>41275.0</v>
      </c>
    </row>
    <row r="5404">
      <c r="A5404" s="32"/>
      <c r="T5404" s="31" t="s">
        <v>20916</v>
      </c>
      <c r="U5404" s="31" t="s">
        <v>20917</v>
      </c>
      <c r="V5404" s="32">
        <v>41275.0</v>
      </c>
    </row>
    <row r="5405">
      <c r="A5405" s="32"/>
      <c r="T5405" s="31" t="s">
        <v>20920</v>
      </c>
      <c r="U5405" s="31" t="s">
        <v>20921</v>
      </c>
      <c r="V5405" s="32">
        <v>41275.0</v>
      </c>
    </row>
    <row r="5406">
      <c r="A5406" s="32"/>
      <c r="T5406" s="31" t="s">
        <v>20924</v>
      </c>
      <c r="U5406" s="31" t="s">
        <v>20925</v>
      </c>
      <c r="V5406" s="32">
        <v>41275.0</v>
      </c>
    </row>
    <row r="5407">
      <c r="A5407" s="32"/>
      <c r="T5407" s="31" t="s">
        <v>20928</v>
      </c>
      <c r="U5407" s="31" t="s">
        <v>12463</v>
      </c>
      <c r="V5407" s="32">
        <v>41275.0</v>
      </c>
    </row>
    <row r="5408">
      <c r="A5408" s="32"/>
      <c r="T5408" s="31" t="s">
        <v>20930</v>
      </c>
      <c r="U5408" s="31" t="s">
        <v>17148</v>
      </c>
      <c r="V5408" s="32">
        <v>41275.0</v>
      </c>
    </row>
    <row r="5409">
      <c r="A5409" s="32"/>
      <c r="T5409" s="31" t="s">
        <v>20932</v>
      </c>
      <c r="U5409" s="31" t="s">
        <v>20933</v>
      </c>
      <c r="V5409" s="32">
        <v>41275.0</v>
      </c>
    </row>
    <row r="5410">
      <c r="A5410" s="32"/>
      <c r="T5410" s="31" t="s">
        <v>20936</v>
      </c>
      <c r="U5410" s="31" t="s">
        <v>20937</v>
      </c>
      <c r="V5410" s="32">
        <v>41253.0</v>
      </c>
    </row>
    <row r="5411">
      <c r="A5411" s="32"/>
      <c r="T5411" s="31" t="s">
        <v>20940</v>
      </c>
      <c r="U5411" s="31" t="s">
        <v>20941</v>
      </c>
      <c r="V5411" s="32">
        <v>41244.0</v>
      </c>
    </row>
    <row r="5412">
      <c r="A5412" s="32"/>
      <c r="T5412" s="31" t="s">
        <v>20944</v>
      </c>
      <c r="U5412" s="31" t="s">
        <v>20945</v>
      </c>
      <c r="V5412" s="32">
        <v>41244.0</v>
      </c>
    </row>
    <row r="5413">
      <c r="A5413" s="32"/>
      <c r="T5413" s="31" t="s">
        <v>20948</v>
      </c>
      <c r="U5413" s="31" t="s">
        <v>20949</v>
      </c>
      <c r="V5413" s="32">
        <v>41243.0</v>
      </c>
    </row>
    <row r="5414">
      <c r="A5414" s="32"/>
      <c r="T5414" s="31" t="s">
        <v>20952</v>
      </c>
      <c r="U5414" s="31" t="s">
        <v>20953</v>
      </c>
      <c r="V5414" s="32">
        <v>41243.0</v>
      </c>
    </row>
    <row r="5415">
      <c r="A5415" s="32"/>
      <c r="T5415" s="31" t="s">
        <v>20957</v>
      </c>
      <c r="U5415" s="31" t="s">
        <v>20958</v>
      </c>
      <c r="V5415" s="32">
        <v>41241.0</v>
      </c>
    </row>
    <row r="5416">
      <c r="A5416" s="32"/>
      <c r="T5416" s="31" t="s">
        <v>20961</v>
      </c>
      <c r="U5416" s="31" t="s">
        <v>20962</v>
      </c>
      <c r="V5416" s="32">
        <v>41234.0</v>
      </c>
    </row>
    <row r="5417">
      <c r="A5417" s="32"/>
      <c r="T5417" s="31" t="s">
        <v>20965</v>
      </c>
      <c r="U5417" s="31" t="s">
        <v>20966</v>
      </c>
      <c r="V5417" s="32">
        <v>41234.0</v>
      </c>
    </row>
    <row r="5418">
      <c r="A5418" s="32"/>
      <c r="T5418" s="31" t="s">
        <v>20969</v>
      </c>
      <c r="U5418" s="31" t="s">
        <v>20970</v>
      </c>
      <c r="V5418" s="32">
        <v>41233.0</v>
      </c>
    </row>
    <row r="5419">
      <c r="A5419" s="32"/>
      <c r="T5419" s="31" t="s">
        <v>20974</v>
      </c>
      <c r="U5419" s="31" t="s">
        <v>20975</v>
      </c>
      <c r="V5419" s="32">
        <v>41230.0</v>
      </c>
    </row>
    <row r="5420">
      <c r="A5420" s="32"/>
      <c r="T5420" s="31" t="s">
        <v>20978</v>
      </c>
      <c r="U5420" s="31" t="s">
        <v>20979</v>
      </c>
      <c r="V5420" s="32">
        <v>41229.0</v>
      </c>
    </row>
    <row r="5421">
      <c r="A5421" s="32"/>
      <c r="T5421" s="31" t="s">
        <v>20982</v>
      </c>
      <c r="U5421" s="31" t="s">
        <v>20983</v>
      </c>
      <c r="V5421" s="32">
        <v>41227.0</v>
      </c>
    </row>
    <row r="5422">
      <c r="A5422" s="32"/>
      <c r="T5422" s="31" t="s">
        <v>20986</v>
      </c>
      <c r="U5422" s="31" t="s">
        <v>20987</v>
      </c>
      <c r="V5422" s="32">
        <v>41215.0</v>
      </c>
    </row>
    <row r="5423">
      <c r="A5423" s="32"/>
      <c r="T5423" s="31" t="s">
        <v>20990</v>
      </c>
      <c r="U5423" s="31" t="s">
        <v>20991</v>
      </c>
      <c r="V5423" s="32">
        <v>41214.0</v>
      </c>
    </row>
    <row r="5424">
      <c r="A5424" s="32"/>
      <c r="T5424" s="31" t="s">
        <v>20993</v>
      </c>
      <c r="U5424" s="31" t="s">
        <v>20994</v>
      </c>
      <c r="V5424" s="32">
        <v>41214.0</v>
      </c>
    </row>
    <row r="5425">
      <c r="A5425" s="32"/>
      <c r="T5425" s="31" t="s">
        <v>20997</v>
      </c>
      <c r="U5425" s="31" t="s">
        <v>20998</v>
      </c>
      <c r="V5425" s="32">
        <v>41213.0</v>
      </c>
    </row>
    <row r="5426">
      <c r="A5426" s="32"/>
      <c r="T5426" s="31" t="s">
        <v>21001</v>
      </c>
      <c r="U5426" s="31" t="s">
        <v>21002</v>
      </c>
      <c r="V5426" s="32">
        <v>41204.0</v>
      </c>
    </row>
    <row r="5427">
      <c r="A5427" s="32"/>
      <c r="T5427" s="31" t="s">
        <v>21005</v>
      </c>
      <c r="U5427" s="31" t="s">
        <v>21006</v>
      </c>
      <c r="V5427" s="32">
        <v>41201.0</v>
      </c>
    </row>
    <row r="5428">
      <c r="A5428" s="32"/>
      <c r="T5428" s="31" t="s">
        <v>21009</v>
      </c>
      <c r="U5428" s="31" t="s">
        <v>21010</v>
      </c>
      <c r="V5428" s="32">
        <v>41198.0</v>
      </c>
    </row>
    <row r="5429">
      <c r="A5429" s="32"/>
      <c r="T5429" s="31" t="s">
        <v>21013</v>
      </c>
      <c r="U5429" s="31" t="s">
        <v>21014</v>
      </c>
      <c r="V5429" s="32">
        <v>41188.0</v>
      </c>
    </row>
    <row r="5430">
      <c r="A5430" s="32"/>
      <c r="T5430" s="31" t="s">
        <v>21017</v>
      </c>
      <c r="U5430" s="31" t="s">
        <v>21018</v>
      </c>
      <c r="V5430" s="32">
        <v>41187.0</v>
      </c>
    </row>
    <row r="5431">
      <c r="A5431" s="32"/>
      <c r="T5431" s="31" t="s">
        <v>21021</v>
      </c>
      <c r="U5431" s="31" t="s">
        <v>21022</v>
      </c>
      <c r="V5431" s="32">
        <v>41186.0</v>
      </c>
    </row>
    <row r="5432">
      <c r="A5432" s="32"/>
      <c r="T5432" s="31" t="s">
        <v>21025</v>
      </c>
      <c r="U5432" s="31" t="s">
        <v>21026</v>
      </c>
      <c r="V5432" s="32">
        <v>41183.0</v>
      </c>
    </row>
    <row r="5433">
      <c r="A5433" s="32"/>
      <c r="T5433" s="31" t="s">
        <v>21029</v>
      </c>
      <c r="U5433" s="31" t="s">
        <v>21030</v>
      </c>
      <c r="V5433" s="32">
        <v>41183.0</v>
      </c>
    </row>
    <row r="5434">
      <c r="A5434" s="32"/>
      <c r="T5434" s="31" t="s">
        <v>21033</v>
      </c>
      <c r="U5434" s="31" t="s">
        <v>21034</v>
      </c>
      <c r="V5434" s="32">
        <v>41183.0</v>
      </c>
    </row>
    <row r="5435">
      <c r="A5435" s="32"/>
      <c r="T5435" s="31" t="s">
        <v>21037</v>
      </c>
      <c r="U5435" s="31" t="s">
        <v>21038</v>
      </c>
      <c r="V5435" s="32">
        <v>41183.0</v>
      </c>
    </row>
    <row r="5436">
      <c r="A5436" s="32"/>
      <c r="T5436" s="31" t="s">
        <v>21041</v>
      </c>
      <c r="U5436" s="31" t="s">
        <v>21042</v>
      </c>
      <c r="V5436" s="32">
        <v>41183.0</v>
      </c>
    </row>
    <row r="5437">
      <c r="A5437" s="32"/>
      <c r="T5437" s="31" t="s">
        <v>21044</v>
      </c>
      <c r="U5437" s="31" t="s">
        <v>21045</v>
      </c>
      <c r="V5437" s="32">
        <v>41179.0</v>
      </c>
    </row>
    <row r="5438">
      <c r="A5438" s="32"/>
      <c r="T5438" s="31" t="s">
        <v>21049</v>
      </c>
      <c r="U5438" s="31" t="s">
        <v>21050</v>
      </c>
      <c r="V5438" s="32">
        <v>41177.0</v>
      </c>
    </row>
    <row r="5439">
      <c r="A5439" s="32"/>
      <c r="T5439" s="31" t="s">
        <v>21053</v>
      </c>
      <c r="U5439" s="31" t="s">
        <v>21054</v>
      </c>
      <c r="V5439" s="32">
        <v>41176.0</v>
      </c>
    </row>
    <row r="5440">
      <c r="A5440" s="32"/>
      <c r="T5440" s="31" t="s">
        <v>21057</v>
      </c>
      <c r="U5440" s="31" t="s">
        <v>21058</v>
      </c>
      <c r="V5440" s="32">
        <v>41171.0</v>
      </c>
    </row>
    <row r="5441">
      <c r="A5441" s="32"/>
      <c r="T5441" s="31" t="s">
        <v>21061</v>
      </c>
      <c r="U5441" s="31" t="s">
        <v>21062</v>
      </c>
      <c r="V5441" s="32">
        <v>41170.0</v>
      </c>
    </row>
    <row r="5442">
      <c r="A5442" s="32"/>
      <c r="T5442" s="31" t="s">
        <v>21065</v>
      </c>
      <c r="U5442" s="31" t="s">
        <v>21066</v>
      </c>
      <c r="V5442" s="32">
        <v>41159.0</v>
      </c>
    </row>
    <row r="5443">
      <c r="A5443" s="32"/>
      <c r="T5443" s="31" t="s">
        <v>21069</v>
      </c>
      <c r="U5443" s="31" t="s">
        <v>21070</v>
      </c>
      <c r="V5443" s="32">
        <v>41157.0</v>
      </c>
    </row>
    <row r="5444">
      <c r="A5444" s="32"/>
      <c r="T5444" s="31" t="s">
        <v>21073</v>
      </c>
      <c r="U5444" s="31" t="s">
        <v>21074</v>
      </c>
      <c r="V5444" s="32">
        <v>41154.0</v>
      </c>
    </row>
    <row r="5445">
      <c r="A5445" s="32"/>
      <c r="T5445" s="31" t="s">
        <v>21076</v>
      </c>
      <c r="U5445" s="31" t="s">
        <v>21077</v>
      </c>
      <c r="V5445" s="32">
        <v>41153.0</v>
      </c>
    </row>
    <row r="5446">
      <c r="A5446" s="32"/>
      <c r="T5446" s="31" t="s">
        <v>21080</v>
      </c>
      <c r="U5446" s="31" t="s">
        <v>21081</v>
      </c>
      <c r="V5446" s="32">
        <v>41148.0</v>
      </c>
    </row>
    <row r="5447">
      <c r="A5447" s="32"/>
      <c r="T5447" s="31" t="s">
        <v>21084</v>
      </c>
      <c r="U5447" s="31" t="s">
        <v>21085</v>
      </c>
      <c r="V5447" s="32">
        <v>41143.0</v>
      </c>
    </row>
    <row r="5448">
      <c r="A5448" s="32"/>
      <c r="T5448" s="31" t="s">
        <v>21088</v>
      </c>
      <c r="U5448" s="31" t="s">
        <v>21089</v>
      </c>
      <c r="V5448" s="32">
        <v>41131.0</v>
      </c>
    </row>
    <row r="5449">
      <c r="A5449" s="32"/>
      <c r="T5449" s="31" t="s">
        <v>21092</v>
      </c>
      <c r="U5449" s="31" t="s">
        <v>21093</v>
      </c>
      <c r="V5449" s="32">
        <v>41128.0</v>
      </c>
    </row>
    <row r="5450">
      <c r="A5450" s="32"/>
      <c r="T5450" s="31" t="s">
        <v>21096</v>
      </c>
      <c r="U5450" s="31" t="s">
        <v>21097</v>
      </c>
      <c r="V5450" s="32">
        <v>41128.0</v>
      </c>
    </row>
    <row r="5451">
      <c r="A5451" s="32"/>
      <c r="T5451" s="31" t="s">
        <v>21100</v>
      </c>
      <c r="U5451" s="31" t="s">
        <v>17148</v>
      </c>
      <c r="V5451" s="32">
        <v>41128.0</v>
      </c>
    </row>
    <row r="5452">
      <c r="A5452" s="32"/>
      <c r="T5452" s="31" t="s">
        <v>21103</v>
      </c>
      <c r="U5452" s="31" t="s">
        <v>21104</v>
      </c>
      <c r="V5452" s="32">
        <v>41126.0</v>
      </c>
    </row>
    <row r="5453">
      <c r="A5453" s="32"/>
      <c r="T5453" s="31" t="s">
        <v>21107</v>
      </c>
      <c r="U5453" s="31" t="s">
        <v>21108</v>
      </c>
      <c r="V5453" s="32">
        <v>41124.0</v>
      </c>
    </row>
    <row r="5454">
      <c r="A5454" s="32"/>
      <c r="T5454" s="31" t="s">
        <v>21111</v>
      </c>
      <c r="U5454" s="31" t="s">
        <v>21112</v>
      </c>
      <c r="V5454" s="32">
        <v>41122.0</v>
      </c>
    </row>
    <row r="5455">
      <c r="A5455" s="32"/>
      <c r="T5455" s="31" t="s">
        <v>21116</v>
      </c>
      <c r="U5455" s="31" t="s">
        <v>21117</v>
      </c>
      <c r="V5455" s="32">
        <v>41122.0</v>
      </c>
    </row>
    <row r="5456">
      <c r="A5456" s="32"/>
      <c r="T5456" s="31" t="s">
        <v>21119</v>
      </c>
      <c r="U5456" s="31" t="s">
        <v>21120</v>
      </c>
      <c r="V5456" s="32">
        <v>41118.0</v>
      </c>
    </row>
    <row r="5457">
      <c r="A5457" s="32"/>
      <c r="T5457" s="31" t="s">
        <v>21123</v>
      </c>
      <c r="U5457" s="31" t="s">
        <v>21124</v>
      </c>
      <c r="V5457" s="32">
        <v>41117.0</v>
      </c>
    </row>
    <row r="5458">
      <c r="A5458" s="32"/>
      <c r="T5458" s="31" t="s">
        <v>21127</v>
      </c>
      <c r="U5458" s="31" t="s">
        <v>21128</v>
      </c>
      <c r="V5458" s="32">
        <v>41116.0</v>
      </c>
    </row>
    <row r="5459">
      <c r="A5459" s="32"/>
      <c r="T5459" s="31" t="s">
        <v>21131</v>
      </c>
      <c r="U5459" s="31" t="s">
        <v>21132</v>
      </c>
      <c r="V5459" s="32">
        <v>41115.0</v>
      </c>
    </row>
    <row r="5460">
      <c r="A5460" s="32"/>
      <c r="T5460" s="31" t="s">
        <v>21135</v>
      </c>
      <c r="U5460" s="31" t="s">
        <v>21136</v>
      </c>
      <c r="V5460" s="32">
        <v>41110.0</v>
      </c>
    </row>
    <row r="5461">
      <c r="A5461" s="32"/>
      <c r="T5461" s="31" t="s">
        <v>21140</v>
      </c>
      <c r="U5461" s="31" t="s">
        <v>21141</v>
      </c>
      <c r="V5461" s="32">
        <v>41110.0</v>
      </c>
    </row>
    <row r="5462">
      <c r="A5462" s="32"/>
      <c r="T5462" s="31" t="s">
        <v>21144</v>
      </c>
      <c r="U5462" s="31" t="s">
        <v>21145</v>
      </c>
      <c r="V5462" s="32">
        <v>41109.0</v>
      </c>
    </row>
    <row r="5463">
      <c r="A5463" s="32"/>
      <c r="T5463" s="31" t="s">
        <v>21148</v>
      </c>
      <c r="U5463" s="31" t="s">
        <v>21149</v>
      </c>
      <c r="V5463" s="32">
        <v>41093.0</v>
      </c>
    </row>
    <row r="5464">
      <c r="A5464" s="32"/>
      <c r="T5464" s="31" t="s">
        <v>21152</v>
      </c>
      <c r="U5464" s="31" t="s">
        <v>21153</v>
      </c>
      <c r="V5464" s="32">
        <v>41093.0</v>
      </c>
    </row>
    <row r="5465">
      <c r="A5465" s="32"/>
      <c r="T5465" s="31" t="s">
        <v>21156</v>
      </c>
      <c r="U5465" s="31" t="s">
        <v>21157</v>
      </c>
      <c r="V5465" s="32">
        <v>41086.0</v>
      </c>
    </row>
    <row r="5466">
      <c r="A5466" s="32"/>
      <c r="T5466" s="31" t="s">
        <v>21160</v>
      </c>
      <c r="U5466" s="31" t="s">
        <v>21153</v>
      </c>
      <c r="V5466" s="32">
        <v>41081.0</v>
      </c>
    </row>
    <row r="5467">
      <c r="A5467" s="32"/>
      <c r="T5467" s="31" t="s">
        <v>21163</v>
      </c>
      <c r="U5467" s="31" t="s">
        <v>21149</v>
      </c>
      <c r="V5467" s="32">
        <v>41081.0</v>
      </c>
    </row>
    <row r="5468">
      <c r="A5468" s="32"/>
      <c r="T5468" s="31" t="s">
        <v>21166</v>
      </c>
      <c r="U5468" s="31" t="s">
        <v>21167</v>
      </c>
      <c r="V5468" s="32">
        <v>41080.0</v>
      </c>
    </row>
    <row r="5469">
      <c r="A5469" s="32"/>
      <c r="T5469" s="31" t="s">
        <v>21169</v>
      </c>
      <c r="U5469" s="31" t="s">
        <v>21170</v>
      </c>
      <c r="V5469" s="32">
        <v>41075.0</v>
      </c>
    </row>
    <row r="5470">
      <c r="A5470" s="32"/>
      <c r="T5470" s="31" t="s">
        <v>21173</v>
      </c>
      <c r="U5470" s="31" t="s">
        <v>21174</v>
      </c>
      <c r="V5470" s="32">
        <v>41074.0</v>
      </c>
    </row>
    <row r="5471">
      <c r="A5471" s="32"/>
      <c r="T5471" s="31" t="s">
        <v>21177</v>
      </c>
      <c r="U5471" s="31" t="s">
        <v>21178</v>
      </c>
      <c r="V5471" s="32">
        <v>41073.0</v>
      </c>
    </row>
    <row r="5472">
      <c r="A5472" s="32"/>
      <c r="T5472" s="31" t="s">
        <v>21181</v>
      </c>
      <c r="U5472" s="31" t="s">
        <v>21182</v>
      </c>
      <c r="V5472" s="32">
        <v>41071.0</v>
      </c>
    </row>
    <row r="5473">
      <c r="A5473" s="32"/>
      <c r="T5473" s="31" t="s">
        <v>21186</v>
      </c>
      <c r="U5473" s="31" t="s">
        <v>21187</v>
      </c>
      <c r="V5473" s="32">
        <v>41067.0</v>
      </c>
    </row>
    <row r="5474">
      <c r="A5474" s="32"/>
      <c r="T5474" s="31" t="s">
        <v>21191</v>
      </c>
      <c r="U5474" s="31" t="s">
        <v>21192</v>
      </c>
      <c r="V5474" s="32">
        <v>41066.0</v>
      </c>
    </row>
    <row r="5475">
      <c r="A5475" s="32"/>
      <c r="T5475" s="31" t="s">
        <v>21195</v>
      </c>
      <c r="U5475" s="31" t="s">
        <v>21196</v>
      </c>
      <c r="V5475" s="32">
        <v>41065.0</v>
      </c>
    </row>
    <row r="5476">
      <c r="A5476" s="32"/>
      <c r="T5476" s="31" t="s">
        <v>21199</v>
      </c>
      <c r="U5476" s="31" t="s">
        <v>21200</v>
      </c>
      <c r="V5476" s="32">
        <v>41061.0</v>
      </c>
    </row>
    <row r="5477">
      <c r="A5477" s="32"/>
      <c r="T5477" s="31" t="s">
        <v>21203</v>
      </c>
      <c r="U5477" s="31" t="s">
        <v>21066</v>
      </c>
      <c r="V5477" s="32">
        <v>41061.0</v>
      </c>
    </row>
    <row r="5478">
      <c r="A5478" s="32"/>
      <c r="T5478" s="31" t="s">
        <v>21206</v>
      </c>
      <c r="U5478" s="31" t="s">
        <v>21207</v>
      </c>
      <c r="V5478" s="32">
        <v>41060.0</v>
      </c>
    </row>
    <row r="5479">
      <c r="A5479" s="32"/>
      <c r="T5479" s="31" t="s">
        <v>21210</v>
      </c>
      <c r="U5479" s="31" t="s">
        <v>21211</v>
      </c>
      <c r="V5479" s="32">
        <v>41059.0</v>
      </c>
    </row>
    <row r="5480">
      <c r="A5480" s="32"/>
      <c r="T5480" s="31" t="s">
        <v>21214</v>
      </c>
      <c r="U5480" s="31" t="s">
        <v>21215</v>
      </c>
      <c r="V5480" s="32">
        <v>41058.0</v>
      </c>
    </row>
    <row r="5481">
      <c r="A5481" s="32"/>
      <c r="T5481" s="31" t="s">
        <v>21218</v>
      </c>
      <c r="U5481" s="31" t="s">
        <v>21219</v>
      </c>
      <c r="V5481" s="32">
        <v>41058.0</v>
      </c>
    </row>
    <row r="5482">
      <c r="A5482" s="32"/>
      <c r="T5482" s="31" t="s">
        <v>21222</v>
      </c>
      <c r="U5482" s="31" t="s">
        <v>21223</v>
      </c>
      <c r="V5482" s="32">
        <v>41057.0</v>
      </c>
    </row>
    <row r="5483">
      <c r="A5483" s="32"/>
      <c r="T5483" s="31" t="s">
        <v>21226</v>
      </c>
      <c r="U5483" s="31" t="s">
        <v>21227</v>
      </c>
      <c r="V5483" s="32">
        <v>41057.0</v>
      </c>
    </row>
    <row r="5484">
      <c r="A5484" s="32"/>
      <c r="T5484" s="31" t="s">
        <v>21230</v>
      </c>
      <c r="U5484" s="31" t="s">
        <v>21231</v>
      </c>
      <c r="V5484" s="32">
        <v>41054.0</v>
      </c>
    </row>
    <row r="5485">
      <c r="A5485" s="32"/>
      <c r="T5485" s="31" t="s">
        <v>21234</v>
      </c>
      <c r="U5485" s="31" t="s">
        <v>21235</v>
      </c>
      <c r="V5485" s="32">
        <v>41051.0</v>
      </c>
    </row>
    <row r="5486">
      <c r="A5486" s="32"/>
      <c r="T5486" s="31" t="s">
        <v>21238</v>
      </c>
      <c r="U5486" s="31" t="s">
        <v>21239</v>
      </c>
      <c r="V5486" s="32">
        <v>41050.0</v>
      </c>
    </row>
    <row r="5487">
      <c r="A5487" s="32"/>
      <c r="T5487" s="31" t="s">
        <v>21243</v>
      </c>
      <c r="U5487" s="31" t="s">
        <v>21244</v>
      </c>
      <c r="V5487" s="32">
        <v>41047.0</v>
      </c>
    </row>
    <row r="5488">
      <c r="A5488" s="32"/>
      <c r="T5488" s="31" t="s">
        <v>21247</v>
      </c>
      <c r="U5488" s="31" t="s">
        <v>21248</v>
      </c>
      <c r="V5488" s="32">
        <v>41047.0</v>
      </c>
    </row>
    <row r="5489">
      <c r="A5489" s="32"/>
      <c r="T5489" s="31" t="s">
        <v>21251</v>
      </c>
      <c r="U5489" s="31" t="s">
        <v>21252</v>
      </c>
      <c r="V5489" s="32">
        <v>41038.0</v>
      </c>
    </row>
    <row r="5490">
      <c r="A5490" s="32"/>
      <c r="T5490" s="31" t="s">
        <v>21255</v>
      </c>
      <c r="U5490" s="31" t="s">
        <v>19402</v>
      </c>
      <c r="V5490" s="32">
        <v>41038.0</v>
      </c>
    </row>
    <row r="5491">
      <c r="A5491" s="32"/>
      <c r="T5491" s="31" t="s">
        <v>21259</v>
      </c>
      <c r="U5491" s="31" t="s">
        <v>21260</v>
      </c>
      <c r="V5491" s="32">
        <v>41036.0</v>
      </c>
    </row>
    <row r="5492">
      <c r="A5492" s="32"/>
      <c r="T5492" s="31" t="s">
        <v>21263</v>
      </c>
      <c r="U5492" s="31" t="s">
        <v>21264</v>
      </c>
      <c r="V5492" s="32">
        <v>41030.0</v>
      </c>
    </row>
    <row r="5493">
      <c r="A5493" s="32"/>
      <c r="T5493" s="31" t="s">
        <v>21268</v>
      </c>
      <c r="U5493" s="31" t="s">
        <v>21269</v>
      </c>
      <c r="V5493" s="32">
        <v>41030.0</v>
      </c>
    </row>
    <row r="5494">
      <c r="A5494" s="32"/>
      <c r="T5494" s="31" t="s">
        <v>21272</v>
      </c>
      <c r="U5494" s="31" t="s">
        <v>21273</v>
      </c>
      <c r="V5494" s="32">
        <v>41025.0</v>
      </c>
    </row>
    <row r="5495">
      <c r="A5495" s="32"/>
      <c r="T5495" s="31" t="s">
        <v>21277</v>
      </c>
      <c r="U5495" s="31" t="s">
        <v>21278</v>
      </c>
      <c r="V5495" s="32">
        <v>41024.0</v>
      </c>
    </row>
    <row r="5496">
      <c r="A5496" s="32"/>
      <c r="T5496" s="31" t="s">
        <v>21282</v>
      </c>
      <c r="U5496" s="31" t="s">
        <v>21283</v>
      </c>
      <c r="V5496" s="32">
        <v>41024.0</v>
      </c>
    </row>
    <row r="5497">
      <c r="A5497" s="32"/>
      <c r="T5497" s="31" t="s">
        <v>21286</v>
      </c>
      <c r="U5497" s="31" t="s">
        <v>21287</v>
      </c>
      <c r="V5497" s="32">
        <v>41019.0</v>
      </c>
    </row>
    <row r="5498">
      <c r="A5498" s="32"/>
      <c r="T5498" s="31" t="s">
        <v>21290</v>
      </c>
      <c r="U5498" s="31" t="s">
        <v>20120</v>
      </c>
      <c r="V5498" s="32">
        <v>41019.0</v>
      </c>
    </row>
    <row r="5499">
      <c r="A5499" s="32"/>
      <c r="T5499" s="31" t="s">
        <v>21293</v>
      </c>
      <c r="U5499" s="31" t="s">
        <v>21294</v>
      </c>
      <c r="V5499" s="32">
        <v>41011.0</v>
      </c>
    </row>
    <row r="5500">
      <c r="A5500" s="32"/>
      <c r="T5500" s="31" t="s">
        <v>21297</v>
      </c>
      <c r="U5500" s="31" t="s">
        <v>20836</v>
      </c>
      <c r="V5500" s="32">
        <v>41003.0</v>
      </c>
    </row>
    <row r="5501">
      <c r="A5501" s="32"/>
      <c r="T5501" s="31" t="s">
        <v>21300</v>
      </c>
      <c r="U5501" s="31" t="s">
        <v>21301</v>
      </c>
      <c r="V5501" s="32">
        <v>41003.0</v>
      </c>
    </row>
    <row r="5502">
      <c r="A5502" s="32"/>
      <c r="T5502" s="31" t="s">
        <v>21304</v>
      </c>
      <c r="U5502" s="31" t="s">
        <v>21305</v>
      </c>
      <c r="V5502" s="32">
        <v>41000.0</v>
      </c>
    </row>
    <row r="5503">
      <c r="A5503" s="32"/>
      <c r="T5503" s="31" t="s">
        <v>21309</v>
      </c>
      <c r="U5503" s="31" t="s">
        <v>21310</v>
      </c>
      <c r="V5503" s="32">
        <v>41000.0</v>
      </c>
    </row>
    <row r="5504">
      <c r="A5504" s="32"/>
      <c r="T5504" s="31" t="s">
        <v>21313</v>
      </c>
      <c r="U5504" s="31" t="s">
        <v>21314</v>
      </c>
      <c r="V5504" s="32">
        <v>41000.0</v>
      </c>
    </row>
    <row r="5505">
      <c r="A5505" s="32"/>
      <c r="T5505" s="31" t="s">
        <v>21317</v>
      </c>
      <c r="U5505" s="31" t="s">
        <v>21318</v>
      </c>
      <c r="V5505" s="32">
        <v>41000.0</v>
      </c>
    </row>
    <row r="5506">
      <c r="A5506" s="32"/>
      <c r="T5506" s="31" t="s">
        <v>21321</v>
      </c>
      <c r="U5506" s="31" t="s">
        <v>21322</v>
      </c>
      <c r="V5506" s="32">
        <v>40996.0</v>
      </c>
    </row>
    <row r="5507">
      <c r="A5507" s="32"/>
      <c r="T5507" s="31" t="s">
        <v>21325</v>
      </c>
      <c r="U5507" s="31" t="s">
        <v>21326</v>
      </c>
      <c r="V5507" s="32">
        <v>40995.0</v>
      </c>
    </row>
    <row r="5508">
      <c r="A5508" s="32"/>
      <c r="T5508" s="31" t="s">
        <v>21329</v>
      </c>
      <c r="U5508" s="31" t="s">
        <v>21330</v>
      </c>
      <c r="V5508" s="32">
        <v>40989.0</v>
      </c>
    </row>
    <row r="5509">
      <c r="A5509" s="32"/>
      <c r="T5509" s="31" t="s">
        <v>21333</v>
      </c>
      <c r="U5509" s="31" t="s">
        <v>21334</v>
      </c>
      <c r="V5509" s="32">
        <v>40989.0</v>
      </c>
    </row>
    <row r="5510">
      <c r="A5510" s="32"/>
      <c r="T5510" s="31" t="s">
        <v>21337</v>
      </c>
      <c r="U5510" s="31" t="s">
        <v>21338</v>
      </c>
      <c r="V5510" s="32">
        <v>40988.0</v>
      </c>
    </row>
    <row r="5511">
      <c r="A5511" s="32"/>
      <c r="T5511" s="31" t="s">
        <v>21342</v>
      </c>
      <c r="U5511" s="31" t="s">
        <v>21343</v>
      </c>
      <c r="V5511" s="32">
        <v>40984.0</v>
      </c>
    </row>
    <row r="5512">
      <c r="A5512" s="32"/>
      <c r="T5512" s="31" t="s">
        <v>21346</v>
      </c>
      <c r="U5512" s="31" t="s">
        <v>21347</v>
      </c>
      <c r="V5512" s="32">
        <v>40983.0</v>
      </c>
    </row>
    <row r="5513">
      <c r="A5513" s="32"/>
      <c r="T5513" s="31" t="s">
        <v>21350</v>
      </c>
      <c r="U5513" s="31" t="s">
        <v>21351</v>
      </c>
      <c r="V5513" s="32">
        <v>40983.0</v>
      </c>
    </row>
    <row r="5514">
      <c r="A5514" s="32"/>
      <c r="T5514" s="31" t="s">
        <v>21354</v>
      </c>
      <c r="U5514" s="31" t="s">
        <v>17675</v>
      </c>
      <c r="V5514" s="32">
        <v>40982.0</v>
      </c>
    </row>
    <row r="5515">
      <c r="A5515" s="32"/>
      <c r="T5515" s="31" t="s">
        <v>21357</v>
      </c>
      <c r="U5515" s="31" t="s">
        <v>21358</v>
      </c>
      <c r="V5515" s="32">
        <v>40977.0</v>
      </c>
    </row>
    <row r="5516">
      <c r="A5516" s="32"/>
      <c r="T5516" s="31" t="s">
        <v>21361</v>
      </c>
      <c r="U5516" s="31" t="s">
        <v>21362</v>
      </c>
      <c r="V5516" s="32">
        <v>40975.0</v>
      </c>
    </row>
    <row r="5517">
      <c r="A5517" s="32"/>
      <c r="T5517" s="31" t="s">
        <v>21365</v>
      </c>
      <c r="U5517" s="31" t="s">
        <v>21366</v>
      </c>
      <c r="V5517" s="32">
        <v>40975.0</v>
      </c>
    </row>
    <row r="5518">
      <c r="A5518" s="32"/>
      <c r="T5518" s="31" t="s">
        <v>21369</v>
      </c>
      <c r="U5518" s="31" t="s">
        <v>21370</v>
      </c>
      <c r="V5518" s="32">
        <v>40975.0</v>
      </c>
    </row>
    <row r="5519">
      <c r="A5519" s="32"/>
      <c r="T5519" s="31" t="s">
        <v>21373</v>
      </c>
      <c r="U5519" s="31" t="s">
        <v>21374</v>
      </c>
      <c r="V5519" s="32">
        <v>40969.0</v>
      </c>
    </row>
    <row r="5520">
      <c r="A5520" s="32"/>
      <c r="T5520" s="31" t="s">
        <v>21378</v>
      </c>
      <c r="U5520" s="31" t="s">
        <v>21379</v>
      </c>
      <c r="V5520" s="32">
        <v>40969.0</v>
      </c>
    </row>
    <row r="5521">
      <c r="A5521" s="32"/>
      <c r="T5521" s="31" t="s">
        <v>21382</v>
      </c>
      <c r="U5521" s="31" t="s">
        <v>21383</v>
      </c>
      <c r="V5521" s="32">
        <v>40969.0</v>
      </c>
    </row>
    <row r="5522">
      <c r="A5522" s="32"/>
      <c r="T5522" s="31" t="s">
        <v>21386</v>
      </c>
      <c r="U5522" s="31" t="s">
        <v>21387</v>
      </c>
      <c r="V5522" s="32">
        <v>40969.0</v>
      </c>
    </row>
    <row r="5523">
      <c r="A5523" s="32"/>
      <c r="T5523" s="31" t="s">
        <v>21390</v>
      </c>
      <c r="U5523" s="31" t="s">
        <v>21391</v>
      </c>
      <c r="V5523" s="32">
        <v>40968.0</v>
      </c>
    </row>
    <row r="5524">
      <c r="A5524" s="32"/>
      <c r="T5524" s="31" t="s">
        <v>21394</v>
      </c>
      <c r="U5524" s="31" t="s">
        <v>21395</v>
      </c>
      <c r="V5524" s="32">
        <v>40967.0</v>
      </c>
    </row>
    <row r="5525">
      <c r="A5525" s="32"/>
      <c r="T5525" s="31" t="s">
        <v>21398</v>
      </c>
      <c r="U5525" s="31" t="s">
        <v>21399</v>
      </c>
      <c r="V5525" s="32">
        <v>40966.0</v>
      </c>
    </row>
    <row r="5526">
      <c r="A5526" s="32"/>
      <c r="T5526" s="31" t="s">
        <v>21401</v>
      </c>
      <c r="U5526" s="31" t="s">
        <v>21402</v>
      </c>
      <c r="V5526" s="32">
        <v>40965.0</v>
      </c>
    </row>
    <row r="5527">
      <c r="A5527" s="32"/>
      <c r="T5527" s="31" t="s">
        <v>21405</v>
      </c>
      <c r="U5527" s="31" t="s">
        <v>21406</v>
      </c>
      <c r="V5527" s="32">
        <v>40945.0</v>
      </c>
    </row>
    <row r="5528">
      <c r="A5528" s="32"/>
      <c r="T5528" s="31" t="s">
        <v>21410</v>
      </c>
      <c r="U5528" s="31" t="s">
        <v>21411</v>
      </c>
      <c r="V5528" s="32">
        <v>40935.0</v>
      </c>
    </row>
    <row r="5529">
      <c r="A5529" s="32"/>
      <c r="T5529" s="31" t="s">
        <v>21415</v>
      </c>
      <c r="U5529" s="31" t="s">
        <v>21416</v>
      </c>
      <c r="V5529" s="32">
        <v>40920.0</v>
      </c>
    </row>
    <row r="5530">
      <c r="A5530" s="32"/>
      <c r="T5530" s="31" t="s">
        <v>21419</v>
      </c>
      <c r="U5530" s="31" t="s">
        <v>21420</v>
      </c>
      <c r="V5530" s="32">
        <v>40912.0</v>
      </c>
    </row>
    <row r="5531">
      <c r="A5531" s="32"/>
      <c r="T5531" s="31" t="s">
        <v>21423</v>
      </c>
      <c r="U5531" s="31" t="s">
        <v>21424</v>
      </c>
      <c r="V5531" s="32">
        <v>40910.0</v>
      </c>
    </row>
    <row r="5532">
      <c r="A5532" s="32"/>
      <c r="T5532" s="31" t="s">
        <v>21427</v>
      </c>
      <c r="U5532" s="31" t="s">
        <v>21428</v>
      </c>
      <c r="V5532" s="32">
        <v>40909.0</v>
      </c>
    </row>
    <row r="5533">
      <c r="A5533" s="32"/>
      <c r="T5533" s="31" t="s">
        <v>21431</v>
      </c>
      <c r="U5533" s="31" t="s">
        <v>21432</v>
      </c>
      <c r="V5533" s="32">
        <v>40909.0</v>
      </c>
    </row>
    <row r="5534">
      <c r="A5534" s="32"/>
      <c r="T5534" s="31" t="s">
        <v>21435</v>
      </c>
      <c r="U5534" s="31" t="s">
        <v>21436</v>
      </c>
      <c r="V5534" s="32">
        <v>40909.0</v>
      </c>
    </row>
    <row r="5535">
      <c r="A5535" s="32"/>
      <c r="T5535" s="31" t="s">
        <v>21440</v>
      </c>
      <c r="U5535" s="31" t="s">
        <v>21441</v>
      </c>
      <c r="V5535" s="32">
        <v>40909.0</v>
      </c>
    </row>
    <row r="5536">
      <c r="A5536" s="32"/>
      <c r="T5536" s="31" t="s">
        <v>21444</v>
      </c>
      <c r="U5536" s="31" t="s">
        <v>21445</v>
      </c>
      <c r="V5536" s="32">
        <v>40909.0</v>
      </c>
    </row>
    <row r="5537">
      <c r="A5537" s="32"/>
      <c r="T5537" s="31" t="s">
        <v>21448</v>
      </c>
      <c r="U5537" s="31" t="s">
        <v>21449</v>
      </c>
      <c r="V5537" s="32">
        <v>40909.0</v>
      </c>
    </row>
    <row r="5538">
      <c r="A5538" s="32"/>
      <c r="T5538" s="31" t="s">
        <v>21452</v>
      </c>
      <c r="U5538" s="31" t="s">
        <v>21453</v>
      </c>
      <c r="V5538" s="32">
        <v>40909.0</v>
      </c>
    </row>
    <row r="5539">
      <c r="A5539" s="32"/>
      <c r="T5539" s="31" t="s">
        <v>21456</v>
      </c>
      <c r="U5539" s="31" t="s">
        <v>21457</v>
      </c>
      <c r="V5539" s="32">
        <v>40909.0</v>
      </c>
    </row>
    <row r="5540">
      <c r="A5540" s="32"/>
      <c r="T5540" s="31" t="s">
        <v>21460</v>
      </c>
      <c r="U5540" s="31" t="s">
        <v>21461</v>
      </c>
      <c r="V5540" s="32">
        <v>40909.0</v>
      </c>
    </row>
    <row r="5541">
      <c r="A5541" s="32"/>
      <c r="T5541" s="31" t="s">
        <v>21464</v>
      </c>
      <c r="U5541" s="31" t="s">
        <v>21461</v>
      </c>
      <c r="V5541" s="32">
        <v>40909.0</v>
      </c>
    </row>
    <row r="5542">
      <c r="A5542" s="32"/>
      <c r="T5542" s="31" t="s">
        <v>21467</v>
      </c>
      <c r="U5542" s="31" t="s">
        <v>21468</v>
      </c>
      <c r="V5542" s="32">
        <v>40909.0</v>
      </c>
    </row>
    <row r="5543">
      <c r="A5543" s="32"/>
      <c r="T5543" s="31" t="s">
        <v>21471</v>
      </c>
      <c r="U5543" s="31" t="s">
        <v>21472</v>
      </c>
      <c r="V5543" s="32">
        <v>40903.0</v>
      </c>
    </row>
    <row r="5544">
      <c r="A5544" s="32"/>
      <c r="T5544" s="31" t="s">
        <v>21475</v>
      </c>
      <c r="U5544" s="31" t="s">
        <v>21476</v>
      </c>
      <c r="V5544" s="32">
        <v>40900.0</v>
      </c>
    </row>
    <row r="5545">
      <c r="A5545" s="32"/>
      <c r="T5545" s="31" t="s">
        <v>21479</v>
      </c>
      <c r="U5545" s="31" t="s">
        <v>21480</v>
      </c>
      <c r="V5545" s="32">
        <v>40895.0</v>
      </c>
    </row>
    <row r="5546">
      <c r="A5546" s="32"/>
      <c r="T5546" s="31" t="s">
        <v>21483</v>
      </c>
      <c r="U5546" s="31" t="s">
        <v>21484</v>
      </c>
      <c r="V5546" s="32">
        <v>40894.0</v>
      </c>
    </row>
    <row r="5547">
      <c r="A5547" s="32"/>
      <c r="T5547" s="31" t="s">
        <v>21487</v>
      </c>
      <c r="U5547" s="31" t="s">
        <v>21488</v>
      </c>
      <c r="V5547" s="32">
        <v>40890.0</v>
      </c>
    </row>
    <row r="5548">
      <c r="A5548" s="32"/>
      <c r="T5548" s="31" t="s">
        <v>21491</v>
      </c>
      <c r="U5548" s="31" t="s">
        <v>21492</v>
      </c>
      <c r="V5548" s="32">
        <v>40889.0</v>
      </c>
    </row>
    <row r="5549">
      <c r="A5549" s="32"/>
      <c r="T5549" s="31" t="s">
        <v>21494</v>
      </c>
      <c r="U5549" s="31" t="s">
        <v>21495</v>
      </c>
      <c r="V5549" s="32">
        <v>40882.0</v>
      </c>
    </row>
    <row r="5550">
      <c r="A5550" s="32"/>
      <c r="T5550" s="31" t="s">
        <v>21497</v>
      </c>
      <c r="U5550" s="31" t="s">
        <v>21498</v>
      </c>
      <c r="V5550" s="32">
        <v>40878.0</v>
      </c>
    </row>
    <row r="5551">
      <c r="A5551" s="32"/>
      <c r="T5551" s="31" t="s">
        <v>21501</v>
      </c>
      <c r="U5551" s="31" t="s">
        <v>21502</v>
      </c>
      <c r="V5551" s="32">
        <v>40872.0</v>
      </c>
    </row>
    <row r="5552">
      <c r="A5552" s="32"/>
      <c r="T5552" s="31" t="s">
        <v>21505</v>
      </c>
      <c r="U5552" s="31" t="s">
        <v>21506</v>
      </c>
      <c r="V5552" s="32">
        <v>40868.0</v>
      </c>
    </row>
    <row r="5553">
      <c r="A5553" s="32"/>
      <c r="T5553" s="31" t="s">
        <v>21509</v>
      </c>
      <c r="U5553" s="31" t="s">
        <v>21510</v>
      </c>
      <c r="V5553" s="32">
        <v>40864.0</v>
      </c>
    </row>
    <row r="5554">
      <c r="A5554" s="32"/>
      <c r="T5554" s="31" t="s">
        <v>21513</v>
      </c>
      <c r="U5554" s="31" t="s">
        <v>21514</v>
      </c>
      <c r="V5554" s="32">
        <v>40863.0</v>
      </c>
    </row>
    <row r="5555">
      <c r="A5555" s="32"/>
      <c r="T5555" s="31" t="s">
        <v>21517</v>
      </c>
      <c r="U5555" s="31" t="s">
        <v>21518</v>
      </c>
      <c r="V5555" s="32">
        <v>40848.0</v>
      </c>
    </row>
    <row r="5556">
      <c r="A5556" s="32"/>
      <c r="T5556" s="31" t="s">
        <v>21521</v>
      </c>
      <c r="U5556" s="31" t="s">
        <v>21522</v>
      </c>
      <c r="V5556" s="32">
        <v>40848.0</v>
      </c>
    </row>
    <row r="5557">
      <c r="A5557" s="32"/>
      <c r="T5557" s="31" t="s">
        <v>21525</v>
      </c>
      <c r="U5557" s="31" t="s">
        <v>21526</v>
      </c>
      <c r="V5557" s="32">
        <v>40848.0</v>
      </c>
    </row>
    <row r="5558">
      <c r="A5558" s="32"/>
      <c r="T5558" s="31" t="s">
        <v>21529</v>
      </c>
      <c r="U5558" s="31" t="s">
        <v>12463</v>
      </c>
      <c r="V5558" s="32">
        <v>40848.0</v>
      </c>
    </row>
    <row r="5559">
      <c r="A5559" s="32"/>
      <c r="T5559" s="31" t="s">
        <v>21533</v>
      </c>
      <c r="U5559" s="31" t="s">
        <v>21534</v>
      </c>
      <c r="V5559" s="32">
        <v>40848.0</v>
      </c>
    </row>
    <row r="5560">
      <c r="A5560" s="32"/>
      <c r="T5560" s="31" t="s">
        <v>21537</v>
      </c>
      <c r="U5560" s="31" t="s">
        <v>21538</v>
      </c>
      <c r="V5560" s="32">
        <v>40848.0</v>
      </c>
    </row>
    <row r="5561">
      <c r="A5561" s="32"/>
      <c r="T5561" s="31" t="s">
        <v>21541</v>
      </c>
      <c r="U5561" s="31" t="s">
        <v>21542</v>
      </c>
      <c r="V5561" s="32">
        <v>40842.0</v>
      </c>
    </row>
    <row r="5562">
      <c r="A5562" s="32"/>
      <c r="T5562" s="31" t="s">
        <v>21545</v>
      </c>
      <c r="U5562" s="31" t="s">
        <v>21546</v>
      </c>
      <c r="V5562" s="32">
        <v>40840.0</v>
      </c>
    </row>
    <row r="5563">
      <c r="A5563" s="32"/>
      <c r="T5563" s="31" t="s">
        <v>21549</v>
      </c>
      <c r="U5563" s="31" t="s">
        <v>21550</v>
      </c>
      <c r="V5563" s="32">
        <v>40833.0</v>
      </c>
    </row>
    <row r="5564">
      <c r="A5564" s="32"/>
      <c r="T5564" s="31" t="s">
        <v>21553</v>
      </c>
      <c r="U5564" s="31" t="s">
        <v>21554</v>
      </c>
      <c r="V5564" s="32">
        <v>40832.0</v>
      </c>
    </row>
    <row r="5565">
      <c r="A5565" s="32"/>
      <c r="T5565" s="31" t="s">
        <v>21558</v>
      </c>
      <c r="U5565" s="31" t="s">
        <v>21559</v>
      </c>
      <c r="V5565" s="32">
        <v>40832.0</v>
      </c>
    </row>
    <row r="5566">
      <c r="A5566" s="32"/>
      <c r="T5566" s="31" t="s">
        <v>21562</v>
      </c>
      <c r="U5566" s="31" t="s">
        <v>21563</v>
      </c>
      <c r="V5566" s="32">
        <v>40823.0</v>
      </c>
    </row>
    <row r="5567">
      <c r="A5567" s="32"/>
      <c r="T5567" s="31" t="s">
        <v>21566</v>
      </c>
      <c r="U5567" s="31" t="s">
        <v>21567</v>
      </c>
      <c r="V5567" s="32">
        <v>40821.0</v>
      </c>
    </row>
    <row r="5568">
      <c r="A5568" s="32"/>
      <c r="T5568" s="31" t="s">
        <v>21570</v>
      </c>
      <c r="U5568" s="31" t="s">
        <v>21571</v>
      </c>
      <c r="V5568" s="32">
        <v>40817.0</v>
      </c>
    </row>
    <row r="5569">
      <c r="A5569" s="32"/>
      <c r="T5569" s="31" t="s">
        <v>21574</v>
      </c>
      <c r="U5569" s="31" t="s">
        <v>21575</v>
      </c>
      <c r="V5569" s="32">
        <v>40807.0</v>
      </c>
    </row>
    <row r="5570">
      <c r="A5570" s="32"/>
      <c r="T5570" s="31" t="s">
        <v>21578</v>
      </c>
      <c r="U5570" s="31" t="s">
        <v>21579</v>
      </c>
      <c r="V5570" s="32">
        <v>40795.0</v>
      </c>
    </row>
    <row r="5571">
      <c r="A5571" s="32"/>
      <c r="T5571" s="31" t="s">
        <v>21582</v>
      </c>
      <c r="U5571" s="31" t="s">
        <v>21583</v>
      </c>
      <c r="V5571" s="32">
        <v>40787.0</v>
      </c>
    </row>
    <row r="5572">
      <c r="A5572" s="32"/>
      <c r="T5572" s="31" t="s">
        <v>21586</v>
      </c>
      <c r="U5572" s="31" t="s">
        <v>21587</v>
      </c>
      <c r="V5572" s="32">
        <v>40787.0</v>
      </c>
    </row>
    <row r="5573">
      <c r="A5573" s="32"/>
      <c r="T5573" s="31" t="s">
        <v>21590</v>
      </c>
      <c r="U5573" s="31" t="s">
        <v>21591</v>
      </c>
      <c r="V5573" s="32">
        <v>40781.0</v>
      </c>
    </row>
    <row r="5574">
      <c r="A5574" s="32"/>
      <c r="T5574" s="31" t="s">
        <v>21594</v>
      </c>
      <c r="U5574" s="31" t="s">
        <v>21215</v>
      </c>
      <c r="V5574" s="32">
        <v>40780.0</v>
      </c>
    </row>
    <row r="5575">
      <c r="A5575" s="32"/>
      <c r="T5575" s="31" t="s">
        <v>21597</v>
      </c>
      <c r="U5575" s="31" t="s">
        <v>21598</v>
      </c>
      <c r="V5575" s="32">
        <v>40777.0</v>
      </c>
    </row>
    <row r="5576">
      <c r="A5576" s="32"/>
      <c r="T5576" s="31" t="s">
        <v>21601</v>
      </c>
      <c r="U5576" s="31" t="s">
        <v>21602</v>
      </c>
      <c r="V5576" s="32">
        <v>40774.0</v>
      </c>
    </row>
    <row r="5577">
      <c r="A5577" s="32"/>
      <c r="T5577" s="31" t="s">
        <v>21605</v>
      </c>
      <c r="U5577" s="31" t="s">
        <v>21606</v>
      </c>
      <c r="V5577" s="32">
        <v>40771.0</v>
      </c>
    </row>
    <row r="5578">
      <c r="A5578" s="32"/>
      <c r="T5578" s="31" t="s">
        <v>21610</v>
      </c>
      <c r="U5578" s="31" t="s">
        <v>21611</v>
      </c>
      <c r="V5578" s="32">
        <v>40766.0</v>
      </c>
    </row>
    <row r="5579">
      <c r="A5579" s="32"/>
      <c r="T5579" s="31" t="s">
        <v>21614</v>
      </c>
      <c r="U5579" s="31" t="s">
        <v>21615</v>
      </c>
      <c r="V5579" s="32">
        <v>40766.0</v>
      </c>
    </row>
    <row r="5580">
      <c r="A5580" s="32"/>
      <c r="T5580" s="31" t="s">
        <v>21618</v>
      </c>
      <c r="U5580" s="31" t="s">
        <v>21619</v>
      </c>
      <c r="V5580" s="32">
        <v>40765.0</v>
      </c>
    </row>
    <row r="5581">
      <c r="A5581" s="32"/>
      <c r="T5581" s="31" t="s">
        <v>21622</v>
      </c>
      <c r="U5581" s="31" t="s">
        <v>21623</v>
      </c>
      <c r="V5581" s="32">
        <v>40758.0</v>
      </c>
    </row>
    <row r="5582">
      <c r="A5582" s="32"/>
      <c r="T5582" s="31" t="s">
        <v>21626</v>
      </c>
      <c r="U5582" s="31" t="s">
        <v>21627</v>
      </c>
      <c r="V5582" s="32">
        <v>40757.0</v>
      </c>
    </row>
    <row r="5583">
      <c r="A5583" s="32"/>
      <c r="T5583" s="31" t="s">
        <v>21629</v>
      </c>
      <c r="U5583" s="31" t="s">
        <v>21630</v>
      </c>
      <c r="V5583" s="32">
        <v>40757.0</v>
      </c>
    </row>
    <row r="5584">
      <c r="A5584" s="32"/>
      <c r="T5584" s="31" t="s">
        <v>21633</v>
      </c>
      <c r="U5584" s="31" t="s">
        <v>21634</v>
      </c>
      <c r="V5584" s="32">
        <v>40756.0</v>
      </c>
    </row>
    <row r="5585">
      <c r="A5585" s="32"/>
      <c r="T5585" s="31" t="s">
        <v>21637</v>
      </c>
      <c r="U5585" s="31" t="s">
        <v>21074</v>
      </c>
      <c r="V5585" s="32">
        <v>40756.0</v>
      </c>
    </row>
    <row r="5586">
      <c r="A5586" s="32"/>
      <c r="T5586" s="31" t="s">
        <v>21641</v>
      </c>
      <c r="U5586" s="31" t="s">
        <v>21642</v>
      </c>
      <c r="V5586" s="32">
        <v>40756.0</v>
      </c>
    </row>
    <row r="5587">
      <c r="A5587" s="32"/>
      <c r="T5587" s="31" t="s">
        <v>21645</v>
      </c>
      <c r="U5587" s="31" t="s">
        <v>21646</v>
      </c>
      <c r="V5587" s="32">
        <v>40747.0</v>
      </c>
    </row>
    <row r="5588">
      <c r="A5588" s="32"/>
      <c r="T5588" s="31" t="s">
        <v>21649</v>
      </c>
      <c r="U5588" s="31" t="s">
        <v>21650</v>
      </c>
      <c r="V5588" s="32">
        <v>40737.0</v>
      </c>
    </row>
    <row r="5589">
      <c r="A5589" s="32"/>
      <c r="T5589" s="31" t="s">
        <v>21654</v>
      </c>
      <c r="U5589" s="31" t="s">
        <v>21655</v>
      </c>
      <c r="V5589" s="32">
        <v>40735.0</v>
      </c>
    </row>
    <row r="5590">
      <c r="A5590" s="32"/>
      <c r="T5590" s="31" t="s">
        <v>21658</v>
      </c>
      <c r="U5590" s="31" t="s">
        <v>21659</v>
      </c>
      <c r="V5590" s="32">
        <v>40725.0</v>
      </c>
    </row>
    <row r="5591">
      <c r="A5591" s="32"/>
      <c r="T5591" s="31" t="s">
        <v>21662</v>
      </c>
      <c r="U5591" s="31" t="s">
        <v>21663</v>
      </c>
      <c r="V5591" s="32">
        <v>40725.0</v>
      </c>
    </row>
    <row r="5592">
      <c r="A5592" s="32"/>
      <c r="T5592" s="31" t="s">
        <v>21667</v>
      </c>
      <c r="U5592" s="31" t="s">
        <v>21668</v>
      </c>
      <c r="V5592" s="32">
        <v>40724.0</v>
      </c>
    </row>
    <row r="5593">
      <c r="A5593" s="32"/>
      <c r="T5593" s="31" t="s">
        <v>21671</v>
      </c>
      <c r="U5593" s="31" t="s">
        <v>21672</v>
      </c>
      <c r="V5593" s="32">
        <v>40723.0</v>
      </c>
    </row>
    <row r="5594">
      <c r="A5594" s="32"/>
      <c r="T5594" s="31" t="s">
        <v>21675</v>
      </c>
      <c r="U5594" s="31" t="s">
        <v>21141</v>
      </c>
      <c r="V5594" s="32">
        <v>40723.0</v>
      </c>
    </row>
    <row r="5595">
      <c r="A5595" s="32"/>
      <c r="T5595" s="31" t="s">
        <v>21678</v>
      </c>
      <c r="U5595" s="31" t="s">
        <v>21679</v>
      </c>
      <c r="V5595" s="32">
        <v>40715.0</v>
      </c>
    </row>
    <row r="5596">
      <c r="A5596" s="32"/>
      <c r="T5596" s="31" t="s">
        <v>21682</v>
      </c>
      <c r="U5596" s="31" t="s">
        <v>21683</v>
      </c>
      <c r="V5596" s="32">
        <v>40710.0</v>
      </c>
    </row>
    <row r="5597">
      <c r="A5597" s="32"/>
      <c r="T5597" s="31" t="s">
        <v>21686</v>
      </c>
      <c r="U5597" s="31" t="s">
        <v>21687</v>
      </c>
      <c r="V5597" s="32">
        <v>40700.0</v>
      </c>
    </row>
    <row r="5598">
      <c r="A5598" s="32"/>
      <c r="T5598" s="31" t="s">
        <v>21690</v>
      </c>
      <c r="U5598" s="31" t="s">
        <v>21691</v>
      </c>
      <c r="V5598" s="32">
        <v>40695.0</v>
      </c>
    </row>
    <row r="5599">
      <c r="A5599" s="32"/>
      <c r="T5599" s="31" t="s">
        <v>21694</v>
      </c>
      <c r="U5599" s="31" t="s">
        <v>21695</v>
      </c>
      <c r="V5599" s="32">
        <v>40691.0</v>
      </c>
    </row>
    <row r="5600">
      <c r="A5600" s="32"/>
      <c r="T5600" s="31" t="s">
        <v>21698</v>
      </c>
      <c r="U5600" s="31" t="s">
        <v>21699</v>
      </c>
      <c r="V5600" s="32">
        <v>40690.0</v>
      </c>
    </row>
    <row r="5601">
      <c r="A5601" s="32"/>
      <c r="T5601" s="31" t="s">
        <v>21702</v>
      </c>
      <c r="U5601" s="31" t="s">
        <v>21703</v>
      </c>
      <c r="V5601" s="32">
        <v>40688.0</v>
      </c>
    </row>
    <row r="5602">
      <c r="A5602" s="32"/>
      <c r="T5602" s="31" t="s">
        <v>21707</v>
      </c>
      <c r="U5602" s="31" t="s">
        <v>21708</v>
      </c>
      <c r="V5602" s="32">
        <v>40688.0</v>
      </c>
    </row>
    <row r="5603">
      <c r="A5603" s="32"/>
      <c r="T5603" s="31" t="s">
        <v>21711</v>
      </c>
      <c r="U5603" s="31" t="s">
        <v>21712</v>
      </c>
      <c r="V5603" s="32">
        <v>40684.0</v>
      </c>
    </row>
    <row r="5604">
      <c r="A5604" s="32"/>
      <c r="T5604" s="31" t="s">
        <v>21715</v>
      </c>
      <c r="U5604" s="31" t="s">
        <v>21716</v>
      </c>
      <c r="V5604" s="32">
        <v>40684.0</v>
      </c>
    </row>
    <row r="5605">
      <c r="A5605" s="32"/>
      <c r="T5605" s="31" t="s">
        <v>21720</v>
      </c>
      <c r="U5605" s="31" t="s">
        <v>21182</v>
      </c>
      <c r="V5605" s="32">
        <v>40681.0</v>
      </c>
    </row>
    <row r="5606">
      <c r="A5606" s="32"/>
      <c r="T5606" s="31" t="s">
        <v>21723</v>
      </c>
      <c r="U5606" s="31" t="s">
        <v>21074</v>
      </c>
      <c r="V5606" s="32">
        <v>40680.0</v>
      </c>
    </row>
    <row r="5607">
      <c r="A5607" s="32"/>
      <c r="T5607" s="31" t="s">
        <v>21727</v>
      </c>
      <c r="U5607" s="31" t="s">
        <v>21728</v>
      </c>
      <c r="V5607" s="32">
        <v>40668.0</v>
      </c>
    </row>
    <row r="5608">
      <c r="A5608" s="32"/>
      <c r="T5608" s="31" t="s">
        <v>21731</v>
      </c>
      <c r="U5608" s="31" t="s">
        <v>21732</v>
      </c>
      <c r="V5608" s="32">
        <v>40664.0</v>
      </c>
    </row>
    <row r="5609">
      <c r="A5609" s="32"/>
      <c r="T5609" s="31" t="s">
        <v>21735</v>
      </c>
      <c r="U5609" s="31" t="s">
        <v>21736</v>
      </c>
      <c r="V5609" s="32">
        <v>40654.0</v>
      </c>
    </row>
    <row r="5610">
      <c r="A5610" s="32"/>
      <c r="T5610" s="31" t="s">
        <v>21739</v>
      </c>
      <c r="U5610" s="31" t="s">
        <v>21740</v>
      </c>
      <c r="V5610" s="32">
        <v>40641.0</v>
      </c>
    </row>
    <row r="5611">
      <c r="A5611" s="32"/>
      <c r="T5611" s="31" t="s">
        <v>21743</v>
      </c>
      <c r="U5611" s="31" t="s">
        <v>21744</v>
      </c>
      <c r="V5611" s="32">
        <v>40634.0</v>
      </c>
    </row>
    <row r="5612">
      <c r="A5612" s="32"/>
      <c r="T5612" s="31" t="s">
        <v>21747</v>
      </c>
      <c r="U5612" s="31" t="s">
        <v>21748</v>
      </c>
      <c r="V5612" s="32">
        <v>40634.0</v>
      </c>
    </row>
    <row r="5613">
      <c r="A5613" s="32"/>
      <c r="T5613" s="31" t="s">
        <v>21751</v>
      </c>
      <c r="U5613" s="31" t="s">
        <v>21752</v>
      </c>
      <c r="V5613" s="32">
        <v>40634.0</v>
      </c>
    </row>
    <row r="5614">
      <c r="A5614" s="32"/>
      <c r="T5614" s="31" t="s">
        <v>21755</v>
      </c>
      <c r="U5614" s="31" t="s">
        <v>21756</v>
      </c>
      <c r="V5614" s="32">
        <v>40632.0</v>
      </c>
    </row>
    <row r="5615">
      <c r="A5615" s="32"/>
      <c r="T5615" s="31" t="s">
        <v>21759</v>
      </c>
      <c r="U5615" s="31" t="s">
        <v>21760</v>
      </c>
      <c r="V5615" s="32">
        <v>40631.0</v>
      </c>
    </row>
    <row r="5616">
      <c r="A5616" s="32"/>
      <c r="T5616" s="31" t="s">
        <v>21763</v>
      </c>
      <c r="U5616" s="31" t="s">
        <v>21764</v>
      </c>
      <c r="V5616" s="32">
        <v>40626.0</v>
      </c>
    </row>
    <row r="5617">
      <c r="A5617" s="32"/>
      <c r="T5617" s="31" t="s">
        <v>21767</v>
      </c>
      <c r="U5617" s="31" t="s">
        <v>21768</v>
      </c>
      <c r="V5617" s="32">
        <v>40621.0</v>
      </c>
    </row>
    <row r="5618">
      <c r="A5618" s="32"/>
      <c r="T5618" s="31" t="s">
        <v>21770</v>
      </c>
      <c r="U5618" s="31" t="s">
        <v>21771</v>
      </c>
      <c r="V5618" s="32">
        <v>40604.0</v>
      </c>
    </row>
    <row r="5619">
      <c r="A5619" s="32"/>
      <c r="T5619" s="31" t="s">
        <v>21774</v>
      </c>
      <c r="U5619" s="31" t="s">
        <v>21775</v>
      </c>
      <c r="V5619" s="32">
        <v>40603.0</v>
      </c>
    </row>
    <row r="5620">
      <c r="A5620" s="32"/>
      <c r="T5620" s="31" t="s">
        <v>21778</v>
      </c>
      <c r="U5620" s="31" t="s">
        <v>21779</v>
      </c>
      <c r="V5620" s="32">
        <v>40603.0</v>
      </c>
    </row>
    <row r="5621">
      <c r="A5621" s="32"/>
      <c r="T5621" s="31" t="s">
        <v>21782</v>
      </c>
      <c r="U5621" s="31" t="s">
        <v>21783</v>
      </c>
      <c r="V5621" s="32">
        <v>40603.0</v>
      </c>
    </row>
    <row r="5622">
      <c r="A5622" s="32"/>
      <c r="T5622" s="31" t="s">
        <v>21786</v>
      </c>
      <c r="U5622" s="31" t="s">
        <v>21787</v>
      </c>
      <c r="V5622" s="32">
        <v>40597.0</v>
      </c>
    </row>
    <row r="5623">
      <c r="A5623" s="32"/>
      <c r="T5623" s="31" t="s">
        <v>21790</v>
      </c>
      <c r="U5623" s="31" t="s">
        <v>21791</v>
      </c>
      <c r="V5623" s="32">
        <v>40590.0</v>
      </c>
    </row>
    <row r="5624">
      <c r="A5624" s="32"/>
      <c r="T5624" s="31" t="s">
        <v>21794</v>
      </c>
      <c r="U5624" s="31" t="s">
        <v>21795</v>
      </c>
      <c r="V5624" s="32">
        <v>40584.0</v>
      </c>
    </row>
    <row r="5625">
      <c r="A5625" s="32"/>
      <c r="T5625" s="31" t="s">
        <v>21798</v>
      </c>
      <c r="U5625" s="31" t="s">
        <v>21799</v>
      </c>
      <c r="V5625" s="32">
        <v>40575.0</v>
      </c>
    </row>
    <row r="5626">
      <c r="A5626" s="32"/>
      <c r="T5626" s="31" t="s">
        <v>21802</v>
      </c>
      <c r="U5626" s="31" t="s">
        <v>21567</v>
      </c>
      <c r="V5626" s="32">
        <v>40575.0</v>
      </c>
    </row>
    <row r="5627">
      <c r="A5627" s="32"/>
      <c r="T5627" s="31" t="s">
        <v>21805</v>
      </c>
      <c r="U5627" s="31" t="s">
        <v>21806</v>
      </c>
      <c r="V5627" s="32">
        <v>40573.0</v>
      </c>
    </row>
    <row r="5628">
      <c r="A5628" s="32"/>
      <c r="T5628" s="31" t="s">
        <v>21809</v>
      </c>
      <c r="U5628" s="31" t="s">
        <v>21810</v>
      </c>
      <c r="V5628" s="32">
        <v>40557.0</v>
      </c>
    </row>
    <row r="5629">
      <c r="A5629" s="32"/>
      <c r="T5629" s="31" t="s">
        <v>21813</v>
      </c>
      <c r="U5629" s="31" t="s">
        <v>21814</v>
      </c>
      <c r="V5629" s="32">
        <v>40554.0</v>
      </c>
    </row>
    <row r="5630">
      <c r="A5630" s="32"/>
      <c r="T5630" s="31" t="s">
        <v>21817</v>
      </c>
      <c r="U5630" s="31" t="s">
        <v>21818</v>
      </c>
      <c r="V5630" s="32">
        <v>40551.0</v>
      </c>
    </row>
    <row r="5631">
      <c r="A5631" s="32"/>
      <c r="T5631" s="31" t="s">
        <v>21821</v>
      </c>
      <c r="U5631" s="31" t="s">
        <v>21822</v>
      </c>
      <c r="V5631" s="32">
        <v>40548.0</v>
      </c>
    </row>
    <row r="5632">
      <c r="A5632" s="32"/>
      <c r="T5632" s="31" t="s">
        <v>21825</v>
      </c>
      <c r="U5632" s="31" t="s">
        <v>21826</v>
      </c>
      <c r="V5632" s="32">
        <v>40544.0</v>
      </c>
    </row>
    <row r="5633">
      <c r="A5633" s="32"/>
      <c r="T5633" s="31" t="s">
        <v>21829</v>
      </c>
      <c r="U5633" s="31" t="s">
        <v>18148</v>
      </c>
      <c r="V5633" s="32">
        <v>40544.0</v>
      </c>
    </row>
    <row r="5634">
      <c r="A5634" s="32"/>
      <c r="T5634" s="31" t="s">
        <v>21832</v>
      </c>
      <c r="U5634" s="31" t="s">
        <v>21833</v>
      </c>
      <c r="V5634" s="32">
        <v>40544.0</v>
      </c>
    </row>
    <row r="5635">
      <c r="A5635" s="32"/>
      <c r="T5635" s="31" t="s">
        <v>21837</v>
      </c>
      <c r="U5635" s="31" t="s">
        <v>21838</v>
      </c>
      <c r="V5635" s="32">
        <v>40544.0</v>
      </c>
    </row>
    <row r="5636">
      <c r="A5636" s="32"/>
      <c r="T5636" s="31" t="s">
        <v>21841</v>
      </c>
      <c r="U5636" s="31" t="s">
        <v>12463</v>
      </c>
      <c r="V5636" s="32">
        <v>40544.0</v>
      </c>
    </row>
    <row r="5637">
      <c r="A5637" s="32"/>
      <c r="T5637" s="31" t="s">
        <v>21844</v>
      </c>
      <c r="U5637" s="31" t="s">
        <v>20414</v>
      </c>
      <c r="V5637" s="32">
        <v>40544.0</v>
      </c>
    </row>
    <row r="5638">
      <c r="A5638" s="32"/>
      <c r="T5638" s="31" t="s">
        <v>21847</v>
      </c>
      <c r="U5638" s="31" t="s">
        <v>21848</v>
      </c>
      <c r="V5638" s="32">
        <v>40543.0</v>
      </c>
    </row>
    <row r="5639">
      <c r="A5639" s="32"/>
      <c r="T5639" s="31" t="s">
        <v>21851</v>
      </c>
      <c r="U5639" s="31" t="s">
        <v>21852</v>
      </c>
      <c r="V5639" s="32">
        <v>40539.0</v>
      </c>
    </row>
    <row r="5640">
      <c r="A5640" s="32"/>
      <c r="T5640" s="31" t="s">
        <v>21856</v>
      </c>
      <c r="U5640" s="31" t="s">
        <v>21857</v>
      </c>
      <c r="V5640" s="32">
        <v>40534.0</v>
      </c>
    </row>
    <row r="5641">
      <c r="A5641" s="32"/>
      <c r="T5641" s="31" t="s">
        <v>21860</v>
      </c>
      <c r="U5641" s="31" t="s">
        <v>21861</v>
      </c>
      <c r="V5641" s="32">
        <v>40527.0</v>
      </c>
    </row>
    <row r="5642">
      <c r="A5642" s="32"/>
      <c r="T5642" s="31" t="s">
        <v>21864</v>
      </c>
      <c r="U5642" s="31" t="s">
        <v>21865</v>
      </c>
      <c r="V5642" s="32">
        <v>40525.0</v>
      </c>
    </row>
    <row r="5643">
      <c r="A5643" s="32"/>
      <c r="T5643" s="31" t="s">
        <v>21868</v>
      </c>
      <c r="U5643" s="31" t="s">
        <v>21869</v>
      </c>
      <c r="V5643" s="32">
        <v>40515.0</v>
      </c>
    </row>
    <row r="5644">
      <c r="A5644" s="32"/>
      <c r="T5644" s="31" t="s">
        <v>21872</v>
      </c>
      <c r="U5644" s="31" t="s">
        <v>21873</v>
      </c>
      <c r="V5644" s="32">
        <v>40513.0</v>
      </c>
    </row>
    <row r="5645">
      <c r="A5645" s="32"/>
      <c r="T5645" s="31" t="s">
        <v>21876</v>
      </c>
      <c r="U5645" s="31" t="s">
        <v>21877</v>
      </c>
      <c r="V5645" s="32">
        <v>40513.0</v>
      </c>
    </row>
    <row r="5646">
      <c r="A5646" s="32"/>
      <c r="T5646" s="31" t="s">
        <v>21880</v>
      </c>
      <c r="U5646" s="31" t="s">
        <v>21881</v>
      </c>
      <c r="V5646" s="32">
        <v>40513.0</v>
      </c>
    </row>
    <row r="5647">
      <c r="A5647" s="32"/>
      <c r="T5647" s="31" t="s">
        <v>21884</v>
      </c>
      <c r="U5647" s="31" t="s">
        <v>21885</v>
      </c>
      <c r="V5647" s="32">
        <v>40512.0</v>
      </c>
    </row>
    <row r="5648">
      <c r="A5648" s="32"/>
      <c r="T5648" s="31" t="s">
        <v>21889</v>
      </c>
      <c r="U5648" s="31" t="s">
        <v>21890</v>
      </c>
      <c r="V5648" s="32">
        <v>40507.0</v>
      </c>
    </row>
    <row r="5649">
      <c r="A5649" s="32"/>
      <c r="T5649" s="31" t="s">
        <v>21893</v>
      </c>
      <c r="U5649" s="31" t="s">
        <v>21894</v>
      </c>
      <c r="V5649" s="32">
        <v>40496.0</v>
      </c>
    </row>
    <row r="5650">
      <c r="A5650" s="32"/>
      <c r="T5650" s="31" t="s">
        <v>21897</v>
      </c>
      <c r="U5650" s="31" t="s">
        <v>21898</v>
      </c>
      <c r="V5650" s="32">
        <v>40493.0</v>
      </c>
    </row>
    <row r="5651">
      <c r="A5651" s="32"/>
      <c r="T5651" s="31" t="s">
        <v>21901</v>
      </c>
      <c r="U5651" s="31" t="s">
        <v>21902</v>
      </c>
      <c r="V5651" s="32">
        <v>40490.0</v>
      </c>
    </row>
    <row r="5652">
      <c r="A5652" s="32"/>
      <c r="T5652" s="31" t="s">
        <v>21905</v>
      </c>
      <c r="U5652" s="31" t="s">
        <v>21906</v>
      </c>
      <c r="V5652" s="32">
        <v>40490.0</v>
      </c>
    </row>
    <row r="5653">
      <c r="A5653" s="32"/>
      <c r="T5653" s="31" t="s">
        <v>21908</v>
      </c>
      <c r="U5653" s="31" t="s">
        <v>21909</v>
      </c>
      <c r="V5653" s="32">
        <v>40488.0</v>
      </c>
    </row>
    <row r="5654">
      <c r="A5654" s="32"/>
      <c r="T5654" s="31" t="s">
        <v>21912</v>
      </c>
      <c r="U5654" s="31" t="s">
        <v>21913</v>
      </c>
      <c r="V5654" s="32">
        <v>40473.0</v>
      </c>
    </row>
    <row r="5655">
      <c r="A5655" s="32"/>
      <c r="T5655" s="31" t="s">
        <v>21916</v>
      </c>
      <c r="U5655" s="31" t="s">
        <v>21917</v>
      </c>
      <c r="V5655" s="32">
        <v>40471.0</v>
      </c>
    </row>
    <row r="5656">
      <c r="A5656" s="32"/>
      <c r="T5656" s="31" t="s">
        <v>21920</v>
      </c>
      <c r="U5656" s="31" t="s">
        <v>21921</v>
      </c>
      <c r="V5656" s="32">
        <v>40455.0</v>
      </c>
    </row>
    <row r="5657">
      <c r="A5657" s="32"/>
      <c r="T5657" s="31" t="s">
        <v>21924</v>
      </c>
      <c r="U5657" s="31" t="s">
        <v>21925</v>
      </c>
      <c r="V5657" s="32">
        <v>40452.0</v>
      </c>
    </row>
    <row r="5658">
      <c r="A5658" s="32"/>
      <c r="T5658" s="31" t="s">
        <v>21929</v>
      </c>
      <c r="U5658" s="31" t="s">
        <v>21930</v>
      </c>
      <c r="V5658" s="32">
        <v>40452.0</v>
      </c>
    </row>
    <row r="5659">
      <c r="A5659" s="32"/>
      <c r="T5659" s="31" t="s">
        <v>21933</v>
      </c>
      <c r="U5659" s="31" t="s">
        <v>21934</v>
      </c>
      <c r="V5659" s="32">
        <v>40451.0</v>
      </c>
    </row>
    <row r="5660">
      <c r="A5660" s="32"/>
      <c r="T5660" s="31" t="s">
        <v>21937</v>
      </c>
      <c r="U5660" s="31" t="s">
        <v>21938</v>
      </c>
      <c r="V5660" s="32">
        <v>40449.0</v>
      </c>
    </row>
    <row r="5661">
      <c r="A5661" s="32"/>
      <c r="T5661" s="31" t="s">
        <v>21941</v>
      </c>
      <c r="U5661" s="31" t="s">
        <v>21942</v>
      </c>
      <c r="V5661" s="32">
        <v>40445.0</v>
      </c>
    </row>
    <row r="5662">
      <c r="A5662" s="32"/>
      <c r="T5662" s="31" t="s">
        <v>21945</v>
      </c>
      <c r="U5662" s="31" t="s">
        <v>21946</v>
      </c>
      <c r="V5662" s="32">
        <v>40437.0</v>
      </c>
    </row>
    <row r="5663">
      <c r="A5663" s="32"/>
      <c r="T5663" s="31" t="s">
        <v>21949</v>
      </c>
      <c r="U5663" s="31" t="s">
        <v>21950</v>
      </c>
      <c r="V5663" s="32">
        <v>40423.0</v>
      </c>
    </row>
    <row r="5664">
      <c r="A5664" s="32"/>
      <c r="T5664" s="31" t="s">
        <v>21953</v>
      </c>
      <c r="U5664" s="31" t="s">
        <v>21954</v>
      </c>
      <c r="V5664" s="32">
        <v>40422.0</v>
      </c>
    </row>
    <row r="5665">
      <c r="A5665" s="32"/>
      <c r="T5665" s="31" t="s">
        <v>21957</v>
      </c>
      <c r="U5665" s="31" t="s">
        <v>21958</v>
      </c>
      <c r="V5665" s="32">
        <v>40421.0</v>
      </c>
    </row>
    <row r="5666">
      <c r="A5666" s="32"/>
      <c r="T5666" s="31" t="s">
        <v>21961</v>
      </c>
      <c r="U5666" s="31" t="s">
        <v>21962</v>
      </c>
      <c r="V5666" s="32">
        <v>40417.0</v>
      </c>
    </row>
    <row r="5667">
      <c r="A5667" s="32"/>
      <c r="T5667" s="31" t="s">
        <v>21965</v>
      </c>
      <c r="U5667" s="31" t="s">
        <v>21966</v>
      </c>
      <c r="V5667" s="32">
        <v>40409.0</v>
      </c>
    </row>
    <row r="5668">
      <c r="A5668" s="32"/>
      <c r="T5668" s="31" t="s">
        <v>21969</v>
      </c>
      <c r="U5668" s="31" t="s">
        <v>21970</v>
      </c>
      <c r="V5668" s="32">
        <v>40396.0</v>
      </c>
    </row>
    <row r="5669">
      <c r="A5669" s="32"/>
      <c r="T5669" s="31" t="s">
        <v>21974</v>
      </c>
      <c r="U5669" s="31" t="s">
        <v>21975</v>
      </c>
      <c r="V5669" s="32">
        <v>40394.0</v>
      </c>
    </row>
    <row r="5670">
      <c r="A5670" s="32"/>
      <c r="T5670" s="31" t="s">
        <v>21978</v>
      </c>
      <c r="U5670" s="31" t="s">
        <v>21979</v>
      </c>
      <c r="V5670" s="32">
        <v>40391.0</v>
      </c>
    </row>
    <row r="5671">
      <c r="A5671" s="32"/>
      <c r="T5671" s="31" t="s">
        <v>21982</v>
      </c>
      <c r="U5671" s="31" t="s">
        <v>21983</v>
      </c>
      <c r="V5671" s="32">
        <v>40385.0</v>
      </c>
    </row>
    <row r="5672">
      <c r="A5672" s="32"/>
      <c r="T5672" s="31" t="s">
        <v>21987</v>
      </c>
      <c r="U5672" s="31" t="s">
        <v>21988</v>
      </c>
      <c r="V5672" s="32">
        <v>40382.0</v>
      </c>
    </row>
    <row r="5673">
      <c r="A5673" s="32"/>
      <c r="T5673" s="31" t="s">
        <v>21991</v>
      </c>
      <c r="U5673" s="31" t="s">
        <v>21992</v>
      </c>
      <c r="V5673" s="32">
        <v>40376.0</v>
      </c>
    </row>
    <row r="5674">
      <c r="A5674" s="32"/>
      <c r="T5674" s="31" t="s">
        <v>21996</v>
      </c>
      <c r="U5674" s="31" t="s">
        <v>21997</v>
      </c>
      <c r="V5674" s="32">
        <v>40365.0</v>
      </c>
    </row>
    <row r="5675">
      <c r="A5675" s="32"/>
      <c r="T5675" s="31" t="s">
        <v>22000</v>
      </c>
      <c r="U5675" s="31" t="s">
        <v>22001</v>
      </c>
      <c r="V5675" s="32">
        <v>40360.0</v>
      </c>
    </row>
    <row r="5676">
      <c r="A5676" s="32"/>
      <c r="T5676" s="31" t="s">
        <v>22004</v>
      </c>
      <c r="U5676" s="31" t="s">
        <v>22005</v>
      </c>
      <c r="V5676" s="32">
        <v>40360.0</v>
      </c>
    </row>
    <row r="5677">
      <c r="A5677" s="32"/>
      <c r="T5677" s="31" t="s">
        <v>22008</v>
      </c>
      <c r="U5677" s="31" t="s">
        <v>22009</v>
      </c>
      <c r="V5677" s="32">
        <v>40360.0</v>
      </c>
    </row>
    <row r="5678">
      <c r="A5678" s="32"/>
      <c r="T5678" s="31" t="s">
        <v>22011</v>
      </c>
      <c r="U5678" s="31" t="s">
        <v>22012</v>
      </c>
      <c r="V5678" s="32">
        <v>40347.0</v>
      </c>
    </row>
    <row r="5679">
      <c r="A5679" s="32"/>
      <c r="T5679" s="31" t="s">
        <v>22015</v>
      </c>
      <c r="U5679" s="31" t="s">
        <v>22016</v>
      </c>
      <c r="V5679" s="32">
        <v>40340.0</v>
      </c>
    </row>
    <row r="5680">
      <c r="A5680" s="32"/>
      <c r="T5680" s="31" t="s">
        <v>22020</v>
      </c>
      <c r="U5680" s="31" t="s">
        <v>22021</v>
      </c>
      <c r="V5680" s="32">
        <v>40337.0</v>
      </c>
    </row>
    <row r="5681">
      <c r="A5681" s="32"/>
      <c r="T5681" s="31" t="s">
        <v>22024</v>
      </c>
      <c r="U5681" s="31" t="s">
        <v>22025</v>
      </c>
      <c r="V5681" s="32">
        <v>40330.0</v>
      </c>
    </row>
    <row r="5682">
      <c r="A5682" s="32"/>
      <c r="T5682" s="31" t="s">
        <v>22028</v>
      </c>
      <c r="U5682" s="31" t="s">
        <v>22029</v>
      </c>
      <c r="V5682" s="32">
        <v>40330.0</v>
      </c>
    </row>
    <row r="5683">
      <c r="A5683" s="32"/>
      <c r="T5683" s="31" t="s">
        <v>22032</v>
      </c>
      <c r="U5683" s="31" t="s">
        <v>22033</v>
      </c>
      <c r="V5683" s="32">
        <v>40330.0</v>
      </c>
    </row>
    <row r="5684">
      <c r="A5684" s="32"/>
      <c r="T5684" s="31" t="s">
        <v>22036</v>
      </c>
      <c r="U5684" s="31" t="s">
        <v>22037</v>
      </c>
      <c r="V5684" s="32">
        <v>40322.0</v>
      </c>
    </row>
    <row r="5685">
      <c r="A5685" s="32"/>
      <c r="T5685" s="31" t="s">
        <v>22040</v>
      </c>
      <c r="U5685" s="31" t="s">
        <v>22041</v>
      </c>
      <c r="V5685" s="32">
        <v>40321.0</v>
      </c>
    </row>
    <row r="5686">
      <c r="A5686" s="32"/>
      <c r="T5686" s="31" t="s">
        <v>22044</v>
      </c>
      <c r="U5686" s="31" t="s">
        <v>22045</v>
      </c>
      <c r="V5686" s="32">
        <v>40320.0</v>
      </c>
    </row>
    <row r="5687">
      <c r="A5687" s="32"/>
      <c r="T5687" s="31" t="s">
        <v>22048</v>
      </c>
      <c r="U5687" s="31" t="s">
        <v>22049</v>
      </c>
      <c r="V5687" s="32">
        <v>40310.0</v>
      </c>
    </row>
    <row r="5688">
      <c r="A5688" s="32"/>
      <c r="T5688" s="31" t="s">
        <v>22052</v>
      </c>
      <c r="U5688" s="31" t="s">
        <v>22053</v>
      </c>
      <c r="V5688" s="32">
        <v>40309.0</v>
      </c>
    </row>
    <row r="5689">
      <c r="A5689" s="32"/>
      <c r="T5689" s="31" t="s">
        <v>22056</v>
      </c>
      <c r="U5689" s="31" t="s">
        <v>22057</v>
      </c>
      <c r="V5689" s="32">
        <v>40305.0</v>
      </c>
    </row>
    <row r="5690">
      <c r="A5690" s="32"/>
      <c r="T5690" s="31" t="s">
        <v>22060</v>
      </c>
      <c r="U5690" s="31" t="s">
        <v>22061</v>
      </c>
      <c r="V5690" s="32">
        <v>40304.0</v>
      </c>
    </row>
    <row r="5691">
      <c r="A5691" s="32"/>
      <c r="T5691" s="31" t="s">
        <v>22064</v>
      </c>
      <c r="U5691" s="31" t="s">
        <v>22065</v>
      </c>
      <c r="V5691" s="32">
        <v>40299.0</v>
      </c>
    </row>
    <row r="5692">
      <c r="A5692" s="32"/>
      <c r="T5692" s="31" t="s">
        <v>22068</v>
      </c>
      <c r="U5692" s="31" t="s">
        <v>22069</v>
      </c>
      <c r="V5692" s="32">
        <v>40299.0</v>
      </c>
    </row>
    <row r="5693">
      <c r="A5693" s="32"/>
      <c r="T5693" s="31" t="s">
        <v>22072</v>
      </c>
      <c r="U5693" s="31" t="s">
        <v>22073</v>
      </c>
      <c r="V5693" s="32">
        <v>40299.0</v>
      </c>
    </row>
    <row r="5694">
      <c r="A5694" s="32"/>
      <c r="T5694" s="31" t="s">
        <v>22076</v>
      </c>
      <c r="U5694" s="31" t="s">
        <v>22077</v>
      </c>
      <c r="V5694" s="32">
        <v>40299.0</v>
      </c>
    </row>
    <row r="5695">
      <c r="A5695" s="32"/>
      <c r="T5695" s="31" t="s">
        <v>22081</v>
      </c>
      <c r="U5695" s="31" t="s">
        <v>22082</v>
      </c>
      <c r="V5695" s="32">
        <v>40299.0</v>
      </c>
    </row>
    <row r="5696">
      <c r="A5696" s="32"/>
      <c r="T5696" s="31" t="s">
        <v>22085</v>
      </c>
      <c r="U5696" s="31" t="s">
        <v>22086</v>
      </c>
      <c r="V5696" s="32">
        <v>40297.0</v>
      </c>
    </row>
    <row r="5697">
      <c r="A5697" s="32"/>
      <c r="T5697" s="31" t="s">
        <v>22089</v>
      </c>
      <c r="U5697" s="31" t="s">
        <v>22090</v>
      </c>
      <c r="V5697" s="32">
        <v>40295.0</v>
      </c>
    </row>
    <row r="5698">
      <c r="A5698" s="32"/>
      <c r="T5698" s="31" t="s">
        <v>22093</v>
      </c>
      <c r="U5698" s="31" t="s">
        <v>22094</v>
      </c>
      <c r="V5698" s="32">
        <v>40288.0</v>
      </c>
    </row>
    <row r="5699">
      <c r="A5699" s="32"/>
      <c r="T5699" s="31" t="s">
        <v>22097</v>
      </c>
      <c r="U5699" s="31" t="s">
        <v>22098</v>
      </c>
      <c r="V5699" s="32">
        <v>40286.0</v>
      </c>
    </row>
    <row r="5700">
      <c r="A5700" s="32"/>
      <c r="T5700" s="31" t="s">
        <v>22101</v>
      </c>
      <c r="U5700" s="31" t="s">
        <v>22102</v>
      </c>
      <c r="V5700" s="32">
        <v>40283.0</v>
      </c>
    </row>
    <row r="5701">
      <c r="A5701" s="32"/>
      <c r="T5701" s="31" t="s">
        <v>22105</v>
      </c>
      <c r="U5701" s="31" t="s">
        <v>22106</v>
      </c>
      <c r="V5701" s="32">
        <v>40269.0</v>
      </c>
    </row>
    <row r="5702">
      <c r="A5702" s="32"/>
      <c r="T5702" s="31" t="s">
        <v>22109</v>
      </c>
      <c r="U5702" s="31" t="s">
        <v>22110</v>
      </c>
      <c r="V5702" s="32">
        <v>40267.0</v>
      </c>
    </row>
    <row r="5703">
      <c r="A5703" s="32"/>
      <c r="T5703" s="31" t="s">
        <v>22113</v>
      </c>
      <c r="U5703" s="31" t="s">
        <v>22114</v>
      </c>
      <c r="V5703" s="32">
        <v>40262.0</v>
      </c>
    </row>
    <row r="5704">
      <c r="A5704" s="32"/>
      <c r="T5704" s="31" t="s">
        <v>22117</v>
      </c>
      <c r="U5704" s="31" t="s">
        <v>22118</v>
      </c>
      <c r="V5704" s="32">
        <v>40261.0</v>
      </c>
    </row>
    <row r="5705">
      <c r="A5705" s="32"/>
      <c r="T5705" s="31" t="s">
        <v>22121</v>
      </c>
      <c r="U5705" s="31" t="s">
        <v>22122</v>
      </c>
      <c r="V5705" s="32">
        <v>40254.0</v>
      </c>
    </row>
    <row r="5706">
      <c r="A5706" s="32"/>
      <c r="T5706" s="31" t="s">
        <v>22125</v>
      </c>
      <c r="U5706" s="31" t="s">
        <v>22126</v>
      </c>
      <c r="V5706" s="32">
        <v>40250.0</v>
      </c>
    </row>
    <row r="5707">
      <c r="A5707" s="32"/>
      <c r="T5707" s="31" t="s">
        <v>22129</v>
      </c>
      <c r="U5707" s="31" t="s">
        <v>22130</v>
      </c>
      <c r="V5707" s="32">
        <v>40248.0</v>
      </c>
    </row>
    <row r="5708">
      <c r="A5708" s="32"/>
      <c r="T5708" s="31" t="s">
        <v>22133</v>
      </c>
      <c r="U5708" s="31" t="s">
        <v>22134</v>
      </c>
      <c r="V5708" s="32">
        <v>40243.0</v>
      </c>
    </row>
    <row r="5709">
      <c r="A5709" s="32"/>
      <c r="T5709" s="31" t="s">
        <v>22137</v>
      </c>
      <c r="U5709" s="31" t="s">
        <v>22138</v>
      </c>
      <c r="V5709" s="32">
        <v>40242.0</v>
      </c>
    </row>
    <row r="5710">
      <c r="A5710" s="32"/>
      <c r="T5710" s="31" t="s">
        <v>22142</v>
      </c>
      <c r="U5710" s="31" t="s">
        <v>22143</v>
      </c>
      <c r="V5710" s="32">
        <v>40242.0</v>
      </c>
    </row>
    <row r="5711">
      <c r="A5711" s="32"/>
      <c r="T5711" s="31" t="s">
        <v>22146</v>
      </c>
      <c r="U5711" s="31" t="s">
        <v>22147</v>
      </c>
      <c r="V5711" s="32">
        <v>40240.0</v>
      </c>
    </row>
    <row r="5712">
      <c r="A5712" s="32"/>
      <c r="T5712" s="31" t="s">
        <v>22150</v>
      </c>
      <c r="U5712" s="31" t="s">
        <v>22151</v>
      </c>
      <c r="V5712" s="32">
        <v>40238.0</v>
      </c>
    </row>
    <row r="5713">
      <c r="A5713" s="32"/>
      <c r="T5713" s="31" t="s">
        <v>22154</v>
      </c>
      <c r="U5713" s="31" t="s">
        <v>22155</v>
      </c>
      <c r="V5713" s="32">
        <v>40238.0</v>
      </c>
    </row>
    <row r="5714">
      <c r="A5714" s="32"/>
      <c r="T5714" s="31" t="s">
        <v>22158</v>
      </c>
      <c r="U5714" s="31" t="s">
        <v>22159</v>
      </c>
      <c r="V5714" s="32">
        <v>40238.0</v>
      </c>
    </row>
    <row r="5715">
      <c r="A5715" s="32"/>
      <c r="T5715" s="31" t="s">
        <v>22163</v>
      </c>
      <c r="U5715" s="31" t="s">
        <v>22164</v>
      </c>
      <c r="V5715" s="32">
        <v>40227.0</v>
      </c>
    </row>
    <row r="5716">
      <c r="A5716" s="32"/>
      <c r="T5716" s="31" t="s">
        <v>22167</v>
      </c>
      <c r="U5716" s="31" t="s">
        <v>22168</v>
      </c>
      <c r="V5716" s="32">
        <v>40223.0</v>
      </c>
    </row>
    <row r="5717">
      <c r="A5717" s="32"/>
      <c r="T5717" s="31" t="s">
        <v>22171</v>
      </c>
      <c r="U5717" s="31" t="s">
        <v>22172</v>
      </c>
      <c r="V5717" s="32">
        <v>40223.0</v>
      </c>
    </row>
    <row r="5718">
      <c r="A5718" s="32"/>
      <c r="T5718" s="31" t="s">
        <v>22176</v>
      </c>
      <c r="U5718" s="31" t="s">
        <v>22177</v>
      </c>
      <c r="V5718" s="32">
        <v>40213.0</v>
      </c>
    </row>
    <row r="5719">
      <c r="A5719" s="32"/>
      <c r="T5719" s="31" t="s">
        <v>22179</v>
      </c>
      <c r="U5719" s="31" t="s">
        <v>22180</v>
      </c>
      <c r="V5719" s="32">
        <v>40210.0</v>
      </c>
    </row>
    <row r="5720">
      <c r="A5720" s="32"/>
      <c r="T5720" s="31" t="s">
        <v>22183</v>
      </c>
      <c r="U5720" s="31" t="s">
        <v>22184</v>
      </c>
      <c r="V5720" s="32">
        <v>40199.0</v>
      </c>
    </row>
    <row r="5721">
      <c r="A5721" s="32"/>
      <c r="T5721" s="31" t="s">
        <v>22188</v>
      </c>
      <c r="U5721" s="31" t="s">
        <v>22189</v>
      </c>
      <c r="V5721" s="32">
        <v>40183.0</v>
      </c>
    </row>
    <row r="5722">
      <c r="A5722" s="32"/>
      <c r="T5722" s="31" t="s">
        <v>22193</v>
      </c>
      <c r="U5722" s="31" t="s">
        <v>22194</v>
      </c>
      <c r="V5722" s="32">
        <v>40183.0</v>
      </c>
    </row>
    <row r="5723">
      <c r="A5723" s="32"/>
      <c r="T5723" s="31" t="s">
        <v>22197</v>
      </c>
      <c r="U5723" s="31" t="s">
        <v>22198</v>
      </c>
      <c r="V5723" s="32">
        <v>40182.0</v>
      </c>
    </row>
    <row r="5724">
      <c r="A5724" s="32"/>
      <c r="T5724" s="31" t="s">
        <v>22201</v>
      </c>
      <c r="U5724" s="31" t="s">
        <v>22202</v>
      </c>
      <c r="V5724" s="32">
        <v>40179.0</v>
      </c>
    </row>
    <row r="5725">
      <c r="A5725" s="32"/>
      <c r="T5725" s="31" t="s">
        <v>22205</v>
      </c>
      <c r="U5725" s="31" t="s">
        <v>22206</v>
      </c>
      <c r="V5725" s="32">
        <v>40179.0</v>
      </c>
    </row>
    <row r="5726">
      <c r="A5726" s="32"/>
      <c r="T5726" s="31" t="s">
        <v>22209</v>
      </c>
      <c r="U5726" s="31" t="s">
        <v>22210</v>
      </c>
      <c r="V5726" s="32">
        <v>40179.0</v>
      </c>
    </row>
    <row r="5727">
      <c r="A5727" s="32"/>
      <c r="T5727" s="31" t="s">
        <v>22213</v>
      </c>
      <c r="U5727" s="31" t="s">
        <v>21461</v>
      </c>
      <c r="V5727" s="32">
        <v>40179.0</v>
      </c>
    </row>
    <row r="5728">
      <c r="A5728" s="32"/>
      <c r="T5728" s="31" t="s">
        <v>22216</v>
      </c>
      <c r="U5728" s="31" t="s">
        <v>22217</v>
      </c>
      <c r="V5728" s="32">
        <v>40176.0</v>
      </c>
    </row>
    <row r="5729">
      <c r="A5729" s="32"/>
      <c r="T5729" s="31" t="s">
        <v>22220</v>
      </c>
      <c r="U5729" s="31" t="s">
        <v>22221</v>
      </c>
      <c r="V5729" s="32">
        <v>40169.0</v>
      </c>
    </row>
    <row r="5730">
      <c r="A5730" s="32"/>
      <c r="T5730" s="31" t="s">
        <v>22224</v>
      </c>
      <c r="U5730" s="31" t="s">
        <v>22225</v>
      </c>
      <c r="V5730" s="32">
        <v>40168.0</v>
      </c>
    </row>
    <row r="5731">
      <c r="A5731" s="32"/>
      <c r="T5731" s="31" t="s">
        <v>22228</v>
      </c>
      <c r="U5731" s="31" t="s">
        <v>22229</v>
      </c>
      <c r="V5731" s="32">
        <v>40155.0</v>
      </c>
    </row>
    <row r="5732">
      <c r="A5732" s="32"/>
      <c r="T5732" s="31" t="s">
        <v>22232</v>
      </c>
      <c r="U5732" s="31" t="s">
        <v>22233</v>
      </c>
      <c r="V5732" s="32">
        <v>40150.0</v>
      </c>
    </row>
    <row r="5733">
      <c r="A5733" s="32"/>
      <c r="T5733" s="31" t="s">
        <v>22236</v>
      </c>
      <c r="U5733" s="31" t="s">
        <v>22237</v>
      </c>
      <c r="V5733" s="32">
        <v>40148.0</v>
      </c>
    </row>
    <row r="5734">
      <c r="A5734" s="32"/>
      <c r="T5734" s="31" t="s">
        <v>22240</v>
      </c>
      <c r="U5734" s="31" t="s">
        <v>22241</v>
      </c>
      <c r="V5734" s="32">
        <v>40148.0</v>
      </c>
    </row>
    <row r="5735">
      <c r="A5735" s="32"/>
      <c r="T5735" s="31" t="s">
        <v>22244</v>
      </c>
      <c r="U5735" s="31" t="s">
        <v>22245</v>
      </c>
      <c r="V5735" s="32">
        <v>40148.0</v>
      </c>
    </row>
    <row r="5736">
      <c r="A5736" s="32"/>
      <c r="T5736" s="31" t="s">
        <v>22248</v>
      </c>
      <c r="U5736" s="31" t="s">
        <v>22249</v>
      </c>
      <c r="V5736" s="32">
        <v>40143.0</v>
      </c>
    </row>
    <row r="5737">
      <c r="A5737" s="32"/>
      <c r="T5737" s="31" t="s">
        <v>22252</v>
      </c>
      <c r="U5737" s="31" t="s">
        <v>22253</v>
      </c>
      <c r="V5737" s="32">
        <v>40140.0</v>
      </c>
    </row>
    <row r="5738">
      <c r="A5738" s="32"/>
      <c r="T5738" s="31" t="s">
        <v>22256</v>
      </c>
      <c r="U5738" s="31" t="s">
        <v>22257</v>
      </c>
      <c r="V5738" s="32">
        <v>40135.0</v>
      </c>
    </row>
    <row r="5739">
      <c r="A5739" s="32"/>
      <c r="T5739" s="31" t="s">
        <v>22260</v>
      </c>
      <c r="U5739" s="31" t="s">
        <v>22261</v>
      </c>
      <c r="V5739" s="32">
        <v>40127.0</v>
      </c>
    </row>
    <row r="5740">
      <c r="A5740" s="32"/>
      <c r="T5740" s="31" t="s">
        <v>22264</v>
      </c>
      <c r="U5740" s="31" t="s">
        <v>22265</v>
      </c>
      <c r="V5740" s="32">
        <v>40124.0</v>
      </c>
    </row>
    <row r="5741">
      <c r="A5741" s="32"/>
      <c r="T5741" s="31" t="s">
        <v>22268</v>
      </c>
      <c r="U5741" s="31" t="s">
        <v>22269</v>
      </c>
      <c r="V5741" s="32">
        <v>40121.0</v>
      </c>
    </row>
    <row r="5742">
      <c r="A5742" s="32"/>
      <c r="T5742" s="31" t="s">
        <v>22272</v>
      </c>
      <c r="U5742" s="31" t="s">
        <v>22273</v>
      </c>
      <c r="V5742" s="32">
        <v>40120.0</v>
      </c>
    </row>
    <row r="5743">
      <c r="A5743" s="32"/>
      <c r="T5743" s="31" t="s">
        <v>22276</v>
      </c>
      <c r="U5743" s="31" t="s">
        <v>22277</v>
      </c>
      <c r="V5743" s="32">
        <v>40118.0</v>
      </c>
    </row>
    <row r="5744">
      <c r="A5744" s="32"/>
      <c r="T5744" s="31" t="s">
        <v>22281</v>
      </c>
      <c r="U5744" s="31" t="s">
        <v>22282</v>
      </c>
      <c r="V5744" s="32">
        <v>40118.0</v>
      </c>
    </row>
    <row r="5745">
      <c r="A5745" s="32"/>
      <c r="T5745" s="31" t="s">
        <v>22285</v>
      </c>
      <c r="U5745" s="31" t="s">
        <v>21141</v>
      </c>
      <c r="V5745" s="32">
        <v>40118.0</v>
      </c>
    </row>
    <row r="5746">
      <c r="A5746" s="32"/>
      <c r="T5746" s="31" t="s">
        <v>22287</v>
      </c>
      <c r="U5746" s="31" t="s">
        <v>22288</v>
      </c>
      <c r="V5746" s="32">
        <v>40116.0</v>
      </c>
    </row>
    <row r="5747">
      <c r="A5747" s="32"/>
      <c r="T5747" s="31" t="s">
        <v>22291</v>
      </c>
      <c r="U5747" s="31" t="s">
        <v>22292</v>
      </c>
      <c r="V5747" s="32">
        <v>40108.0</v>
      </c>
    </row>
    <row r="5748">
      <c r="A5748" s="32"/>
      <c r="T5748" s="31" t="s">
        <v>22295</v>
      </c>
      <c r="U5748" s="31" t="s">
        <v>22296</v>
      </c>
      <c r="V5748" s="32">
        <v>40102.0</v>
      </c>
    </row>
    <row r="5749">
      <c r="A5749" s="32"/>
      <c r="T5749" s="31" t="s">
        <v>22299</v>
      </c>
      <c r="U5749" s="31" t="s">
        <v>22300</v>
      </c>
      <c r="V5749" s="32">
        <v>40099.0</v>
      </c>
    </row>
    <row r="5750">
      <c r="A5750" s="32"/>
      <c r="T5750" s="31" t="s">
        <v>22303</v>
      </c>
      <c r="U5750" s="31" t="s">
        <v>22304</v>
      </c>
      <c r="V5750" s="32">
        <v>40087.0</v>
      </c>
    </row>
    <row r="5751">
      <c r="A5751" s="32"/>
      <c r="T5751" s="31" t="s">
        <v>22307</v>
      </c>
      <c r="U5751" s="31" t="s">
        <v>22308</v>
      </c>
      <c r="V5751" s="32">
        <v>40087.0</v>
      </c>
    </row>
    <row r="5752">
      <c r="A5752" s="32"/>
      <c r="T5752" s="31" t="s">
        <v>22311</v>
      </c>
      <c r="U5752" s="31" t="s">
        <v>20372</v>
      </c>
      <c r="V5752" s="32">
        <v>40087.0</v>
      </c>
    </row>
    <row r="5753">
      <c r="A5753" s="32"/>
      <c r="T5753" s="31" t="s">
        <v>22314</v>
      </c>
      <c r="U5753" s="31" t="s">
        <v>22315</v>
      </c>
      <c r="V5753" s="32">
        <v>40082.0</v>
      </c>
    </row>
    <row r="5754">
      <c r="A5754" s="32"/>
      <c r="T5754" s="31" t="s">
        <v>22318</v>
      </c>
      <c r="U5754" s="31" t="s">
        <v>22319</v>
      </c>
      <c r="V5754" s="32">
        <v>40081.0</v>
      </c>
    </row>
    <row r="5755">
      <c r="A5755" s="32"/>
      <c r="T5755" s="31" t="s">
        <v>22322</v>
      </c>
      <c r="U5755" s="31" t="s">
        <v>22323</v>
      </c>
      <c r="V5755" s="32">
        <v>40066.0</v>
      </c>
    </row>
    <row r="5756">
      <c r="A5756" s="32"/>
      <c r="T5756" s="31" t="s">
        <v>22326</v>
      </c>
      <c r="U5756" s="31" t="s">
        <v>22327</v>
      </c>
      <c r="V5756" s="32">
        <v>40062.0</v>
      </c>
    </row>
    <row r="5757">
      <c r="A5757" s="32"/>
      <c r="T5757" s="31" t="s">
        <v>22331</v>
      </c>
      <c r="U5757" s="31" t="s">
        <v>22332</v>
      </c>
      <c r="V5757" s="32">
        <v>40059.0</v>
      </c>
    </row>
    <row r="5758">
      <c r="A5758" s="32"/>
      <c r="T5758" s="31" t="s">
        <v>22335</v>
      </c>
      <c r="U5758" s="31" t="s">
        <v>22336</v>
      </c>
      <c r="V5758" s="32">
        <v>40057.0</v>
      </c>
    </row>
    <row r="5759">
      <c r="A5759" s="32"/>
      <c r="T5759" s="31" t="s">
        <v>22339</v>
      </c>
      <c r="U5759" s="31" t="s">
        <v>22340</v>
      </c>
      <c r="V5759" s="32">
        <v>40057.0</v>
      </c>
    </row>
    <row r="5760">
      <c r="A5760" s="32"/>
      <c r="T5760" s="31" t="s">
        <v>22343</v>
      </c>
      <c r="U5760" s="31" t="s">
        <v>21655</v>
      </c>
      <c r="V5760" s="32">
        <v>40057.0</v>
      </c>
    </row>
    <row r="5761">
      <c r="A5761" s="32"/>
      <c r="T5761" s="31" t="s">
        <v>22345</v>
      </c>
      <c r="U5761" s="31" t="s">
        <v>22346</v>
      </c>
      <c r="V5761" s="32">
        <v>40057.0</v>
      </c>
    </row>
    <row r="5762">
      <c r="A5762" s="32"/>
      <c r="T5762" s="31" t="s">
        <v>22349</v>
      </c>
      <c r="U5762" s="31" t="s">
        <v>22350</v>
      </c>
      <c r="V5762" s="32">
        <v>40053.0</v>
      </c>
    </row>
    <row r="5763">
      <c r="A5763" s="32"/>
      <c r="T5763" s="31" t="s">
        <v>22353</v>
      </c>
      <c r="U5763" s="31" t="s">
        <v>22354</v>
      </c>
      <c r="V5763" s="32">
        <v>40045.0</v>
      </c>
    </row>
    <row r="5764">
      <c r="A5764" s="32"/>
      <c r="T5764" s="31" t="s">
        <v>22357</v>
      </c>
      <c r="U5764" s="31" t="s">
        <v>22358</v>
      </c>
      <c r="V5764" s="32">
        <v>40043.0</v>
      </c>
    </row>
    <row r="5765">
      <c r="A5765" s="32"/>
      <c r="T5765" s="31" t="s">
        <v>22361</v>
      </c>
      <c r="U5765" s="31" t="s">
        <v>22362</v>
      </c>
      <c r="V5765" s="32">
        <v>40042.0</v>
      </c>
    </row>
    <row r="5766">
      <c r="A5766" s="32"/>
      <c r="T5766" s="31" t="s">
        <v>22365</v>
      </c>
      <c r="U5766" s="31" t="s">
        <v>22366</v>
      </c>
      <c r="V5766" s="32">
        <v>40040.0</v>
      </c>
    </row>
    <row r="5767">
      <c r="A5767" s="32"/>
      <c r="T5767" s="31" t="s">
        <v>22369</v>
      </c>
      <c r="U5767" s="31" t="s">
        <v>22370</v>
      </c>
      <c r="V5767" s="32">
        <v>40039.0</v>
      </c>
    </row>
    <row r="5768">
      <c r="A5768" s="32"/>
      <c r="T5768" s="31" t="s">
        <v>22373</v>
      </c>
      <c r="U5768" s="31" t="s">
        <v>22374</v>
      </c>
      <c r="V5768" s="32">
        <v>40037.0</v>
      </c>
    </row>
    <row r="5769">
      <c r="A5769" s="32"/>
      <c r="T5769" s="31" t="s">
        <v>22377</v>
      </c>
      <c r="U5769" s="31" t="s">
        <v>22378</v>
      </c>
      <c r="V5769" s="32">
        <v>40026.0</v>
      </c>
    </row>
    <row r="5770">
      <c r="A5770" s="32"/>
      <c r="T5770" s="31" t="s">
        <v>22382</v>
      </c>
      <c r="U5770" s="31" t="s">
        <v>22383</v>
      </c>
      <c r="V5770" s="32">
        <v>40019.0</v>
      </c>
    </row>
    <row r="5771">
      <c r="A5771" s="32"/>
      <c r="T5771" s="31" t="s">
        <v>22386</v>
      </c>
      <c r="U5771" s="31" t="s">
        <v>22387</v>
      </c>
      <c r="V5771" s="32">
        <v>40009.0</v>
      </c>
    </row>
    <row r="5772">
      <c r="A5772" s="32"/>
      <c r="T5772" s="31" t="s">
        <v>22390</v>
      </c>
      <c r="U5772" s="31" t="s">
        <v>22391</v>
      </c>
      <c r="V5772" s="32">
        <v>40006.0</v>
      </c>
    </row>
    <row r="5773">
      <c r="A5773" s="32"/>
      <c r="T5773" s="31" t="s">
        <v>22394</v>
      </c>
      <c r="U5773" s="31" t="s">
        <v>22395</v>
      </c>
      <c r="V5773" s="32">
        <v>39994.0</v>
      </c>
    </row>
    <row r="5774">
      <c r="A5774" s="32"/>
      <c r="T5774" s="31" t="s">
        <v>22398</v>
      </c>
      <c r="U5774" s="31" t="s">
        <v>22399</v>
      </c>
      <c r="V5774" s="32">
        <v>39994.0</v>
      </c>
    </row>
    <row r="5775">
      <c r="A5775" s="32"/>
      <c r="T5775" s="31" t="s">
        <v>22402</v>
      </c>
      <c r="U5775" s="31" t="s">
        <v>22403</v>
      </c>
      <c r="V5775" s="32">
        <v>39985.0</v>
      </c>
    </row>
    <row r="5776">
      <c r="A5776" s="32"/>
      <c r="T5776" s="31" t="s">
        <v>22406</v>
      </c>
      <c r="U5776" s="31" t="s">
        <v>22407</v>
      </c>
      <c r="V5776" s="32">
        <v>39968.0</v>
      </c>
    </row>
    <row r="5777">
      <c r="A5777" s="32"/>
      <c r="T5777" s="31" t="s">
        <v>22409</v>
      </c>
      <c r="U5777" s="31" t="s">
        <v>22410</v>
      </c>
      <c r="V5777" s="32">
        <v>39968.0</v>
      </c>
    </row>
    <row r="5778">
      <c r="A5778" s="32"/>
      <c r="T5778" s="31" t="s">
        <v>22413</v>
      </c>
      <c r="U5778" s="31" t="s">
        <v>22414</v>
      </c>
      <c r="V5778" s="32">
        <v>39965.0</v>
      </c>
    </row>
    <row r="5779">
      <c r="A5779" s="32"/>
      <c r="T5779" s="31" t="s">
        <v>22418</v>
      </c>
      <c r="U5779" s="31" t="s">
        <v>22419</v>
      </c>
      <c r="V5779" s="32">
        <v>39962.0</v>
      </c>
    </row>
    <row r="5780">
      <c r="A5780" s="32"/>
      <c r="T5780" s="31" t="s">
        <v>22421</v>
      </c>
      <c r="U5780" s="31" t="s">
        <v>22422</v>
      </c>
      <c r="V5780" s="32">
        <v>39962.0</v>
      </c>
    </row>
    <row r="5781">
      <c r="A5781" s="32"/>
      <c r="T5781" s="31" t="s">
        <v>22425</v>
      </c>
      <c r="U5781" s="31" t="s">
        <v>22426</v>
      </c>
      <c r="V5781" s="32">
        <v>39953.0</v>
      </c>
    </row>
    <row r="5782">
      <c r="A5782" s="32"/>
      <c r="T5782" s="31" t="s">
        <v>22429</v>
      </c>
      <c r="U5782" s="31" t="s">
        <v>22430</v>
      </c>
      <c r="V5782" s="32">
        <v>39940.0</v>
      </c>
    </row>
    <row r="5783">
      <c r="A5783" s="32"/>
      <c r="T5783" s="31" t="s">
        <v>22433</v>
      </c>
      <c r="U5783" s="31" t="s">
        <v>22434</v>
      </c>
      <c r="V5783" s="32">
        <v>39934.0</v>
      </c>
    </row>
    <row r="5784">
      <c r="A5784" s="32"/>
      <c r="T5784" s="31" t="s">
        <v>22437</v>
      </c>
      <c r="U5784" s="31" t="s">
        <v>22438</v>
      </c>
      <c r="V5784" s="32">
        <v>39904.0</v>
      </c>
    </row>
    <row r="5785">
      <c r="A5785" s="32"/>
      <c r="T5785" s="31" t="s">
        <v>22441</v>
      </c>
      <c r="U5785" s="31" t="s">
        <v>22442</v>
      </c>
      <c r="V5785" s="32">
        <v>39904.0</v>
      </c>
    </row>
    <row r="5786">
      <c r="A5786" s="32"/>
      <c r="T5786" s="31" t="s">
        <v>22445</v>
      </c>
      <c r="U5786" s="31" t="s">
        <v>22446</v>
      </c>
      <c r="V5786" s="32">
        <v>39904.0</v>
      </c>
    </row>
    <row r="5787">
      <c r="A5787" s="32"/>
      <c r="T5787" s="31" t="s">
        <v>22449</v>
      </c>
      <c r="U5787" s="31" t="s">
        <v>22450</v>
      </c>
      <c r="V5787" s="32">
        <v>39897.0</v>
      </c>
    </row>
    <row r="5788">
      <c r="A5788" s="32"/>
      <c r="T5788" s="31" t="s">
        <v>22453</v>
      </c>
      <c r="U5788" s="31" t="s">
        <v>22454</v>
      </c>
      <c r="V5788" s="32">
        <v>39890.0</v>
      </c>
    </row>
    <row r="5789">
      <c r="A5789" s="32"/>
      <c r="T5789" s="31" t="s">
        <v>22457</v>
      </c>
      <c r="U5789" s="31" t="s">
        <v>22458</v>
      </c>
      <c r="V5789" s="32">
        <v>39884.0</v>
      </c>
    </row>
    <row r="5790">
      <c r="A5790" s="32"/>
      <c r="T5790" s="31" t="s">
        <v>22461</v>
      </c>
      <c r="U5790" s="31" t="s">
        <v>22462</v>
      </c>
      <c r="V5790" s="32">
        <v>39875.0</v>
      </c>
    </row>
    <row r="5791">
      <c r="A5791" s="32"/>
      <c r="T5791" s="31" t="s">
        <v>22465</v>
      </c>
      <c r="U5791" s="31" t="s">
        <v>22466</v>
      </c>
      <c r="V5791" s="32">
        <v>39874.0</v>
      </c>
    </row>
    <row r="5792">
      <c r="A5792" s="32"/>
      <c r="T5792" s="31" t="s">
        <v>22469</v>
      </c>
      <c r="U5792" s="31" t="s">
        <v>22470</v>
      </c>
      <c r="V5792" s="32">
        <v>39873.0</v>
      </c>
    </row>
    <row r="5793">
      <c r="A5793" s="32"/>
      <c r="T5793" s="31" t="s">
        <v>22473</v>
      </c>
      <c r="U5793" s="31" t="s">
        <v>22474</v>
      </c>
      <c r="V5793" s="32">
        <v>39873.0</v>
      </c>
    </row>
    <row r="5794">
      <c r="A5794" s="32"/>
      <c r="T5794" s="31" t="s">
        <v>22477</v>
      </c>
      <c r="U5794" s="31" t="s">
        <v>21655</v>
      </c>
      <c r="V5794" s="32">
        <v>39873.0</v>
      </c>
    </row>
    <row r="5795">
      <c r="A5795" s="32"/>
      <c r="T5795" s="31" t="s">
        <v>22480</v>
      </c>
      <c r="U5795" s="31" t="s">
        <v>22481</v>
      </c>
      <c r="V5795" s="32">
        <v>39870.0</v>
      </c>
    </row>
    <row r="5796">
      <c r="A5796" s="32"/>
      <c r="T5796" s="31" t="s">
        <v>22484</v>
      </c>
      <c r="U5796" s="31" t="s">
        <v>22485</v>
      </c>
      <c r="V5796" s="32">
        <v>39867.0</v>
      </c>
    </row>
    <row r="5797">
      <c r="A5797" s="32"/>
      <c r="T5797" s="31" t="s">
        <v>22487</v>
      </c>
      <c r="U5797" s="31" t="s">
        <v>22488</v>
      </c>
      <c r="V5797" s="32">
        <v>39865.0</v>
      </c>
    </row>
    <row r="5798">
      <c r="A5798" s="32"/>
      <c r="T5798" s="31" t="s">
        <v>22491</v>
      </c>
      <c r="U5798" s="31" t="s">
        <v>22492</v>
      </c>
      <c r="V5798" s="32">
        <v>39859.0</v>
      </c>
    </row>
    <row r="5799">
      <c r="A5799" s="32"/>
      <c r="T5799" s="31" t="s">
        <v>22495</v>
      </c>
      <c r="U5799" s="31" t="s">
        <v>22496</v>
      </c>
      <c r="V5799" s="32">
        <v>39856.0</v>
      </c>
    </row>
    <row r="5800">
      <c r="A5800" s="32"/>
      <c r="T5800" s="31" t="s">
        <v>22499</v>
      </c>
      <c r="U5800" s="31" t="s">
        <v>22500</v>
      </c>
      <c r="V5800" s="32">
        <v>39852.0</v>
      </c>
    </row>
    <row r="5801">
      <c r="A5801" s="32"/>
      <c r="T5801" s="31" t="s">
        <v>22503</v>
      </c>
      <c r="U5801" s="31" t="s">
        <v>22504</v>
      </c>
      <c r="V5801" s="32">
        <v>39851.0</v>
      </c>
    </row>
    <row r="5802">
      <c r="A5802" s="32"/>
      <c r="T5802" s="31" t="s">
        <v>22508</v>
      </c>
      <c r="U5802" s="31" t="s">
        <v>22509</v>
      </c>
      <c r="V5802" s="32">
        <v>39851.0</v>
      </c>
    </row>
    <row r="5803">
      <c r="A5803" s="32"/>
      <c r="T5803" s="31" t="s">
        <v>22511</v>
      </c>
      <c r="U5803" s="31" t="s">
        <v>22512</v>
      </c>
      <c r="V5803" s="32">
        <v>39847.0</v>
      </c>
    </row>
    <row r="5804">
      <c r="A5804" s="32"/>
      <c r="T5804" s="31" t="s">
        <v>22515</v>
      </c>
      <c r="U5804" s="31" t="s">
        <v>22516</v>
      </c>
      <c r="V5804" s="32">
        <v>39845.0</v>
      </c>
    </row>
    <row r="5805">
      <c r="A5805" s="32"/>
      <c r="T5805" s="31" t="s">
        <v>22519</v>
      </c>
      <c r="U5805" s="31" t="s">
        <v>22520</v>
      </c>
      <c r="V5805" s="32">
        <v>39841.0</v>
      </c>
    </row>
    <row r="5806">
      <c r="A5806" s="32"/>
      <c r="T5806" s="31" t="s">
        <v>22523</v>
      </c>
      <c r="U5806" s="31" t="s">
        <v>22524</v>
      </c>
      <c r="V5806" s="32">
        <v>39839.0</v>
      </c>
    </row>
    <row r="5807">
      <c r="A5807" s="32"/>
      <c r="T5807" s="31" t="s">
        <v>22527</v>
      </c>
      <c r="U5807" s="31" t="s">
        <v>22528</v>
      </c>
      <c r="V5807" s="32">
        <v>39832.0</v>
      </c>
    </row>
    <row r="5808">
      <c r="A5808" s="32"/>
      <c r="T5808" s="31" t="s">
        <v>22532</v>
      </c>
      <c r="U5808" s="31" t="s">
        <v>22533</v>
      </c>
      <c r="V5808" s="32">
        <v>39832.0</v>
      </c>
    </row>
    <row r="5809">
      <c r="A5809" s="32"/>
      <c r="T5809" s="31" t="s">
        <v>22536</v>
      </c>
      <c r="U5809" s="31" t="s">
        <v>22537</v>
      </c>
      <c r="V5809" s="32">
        <v>39821.0</v>
      </c>
    </row>
    <row r="5810">
      <c r="A5810" s="32"/>
      <c r="T5810" s="31" t="s">
        <v>22540</v>
      </c>
      <c r="U5810" s="31" t="s">
        <v>22541</v>
      </c>
      <c r="V5810" s="32">
        <v>39814.0</v>
      </c>
    </row>
    <row r="5811">
      <c r="A5811" s="32"/>
      <c r="T5811" s="31" t="s">
        <v>22544</v>
      </c>
      <c r="U5811" s="31" t="s">
        <v>4764</v>
      </c>
      <c r="V5811" s="32">
        <v>39814.0</v>
      </c>
    </row>
    <row r="5812">
      <c r="A5812" s="32"/>
      <c r="T5812" s="31" t="s">
        <v>22547</v>
      </c>
      <c r="U5812" s="31" t="s">
        <v>22548</v>
      </c>
      <c r="V5812" s="32">
        <v>39814.0</v>
      </c>
    </row>
    <row r="5813">
      <c r="A5813" s="32"/>
      <c r="T5813" s="31" t="s">
        <v>22551</v>
      </c>
      <c r="U5813" s="31" t="s">
        <v>22552</v>
      </c>
      <c r="V5813" s="32">
        <v>39814.0</v>
      </c>
    </row>
    <row r="5814">
      <c r="A5814" s="32"/>
      <c r="T5814" s="31" t="s">
        <v>22555</v>
      </c>
      <c r="U5814" s="31" t="s">
        <v>22556</v>
      </c>
      <c r="V5814" s="32">
        <v>39814.0</v>
      </c>
    </row>
    <row r="5815">
      <c r="A5815" s="32"/>
      <c r="T5815" s="31" t="s">
        <v>22560</v>
      </c>
      <c r="U5815" s="31" t="s">
        <v>21655</v>
      </c>
      <c r="V5815" s="32">
        <v>39814.0</v>
      </c>
    </row>
    <row r="5816">
      <c r="A5816" s="32"/>
      <c r="T5816" s="31" t="s">
        <v>22562</v>
      </c>
      <c r="U5816" s="31" t="s">
        <v>22563</v>
      </c>
      <c r="V5816" s="32">
        <v>39814.0</v>
      </c>
    </row>
    <row r="5817">
      <c r="A5817" s="32"/>
      <c r="T5817" s="31" t="s">
        <v>22566</v>
      </c>
      <c r="U5817" s="31" t="s">
        <v>22567</v>
      </c>
      <c r="V5817" s="32">
        <v>39799.0</v>
      </c>
    </row>
    <row r="5818">
      <c r="A5818" s="32"/>
      <c r="T5818" s="31" t="s">
        <v>22570</v>
      </c>
      <c r="U5818" s="31" t="s">
        <v>22571</v>
      </c>
      <c r="V5818" s="32">
        <v>39798.0</v>
      </c>
    </row>
    <row r="5819">
      <c r="A5819" s="32"/>
      <c r="T5819" s="31" t="s">
        <v>22574</v>
      </c>
      <c r="U5819" s="31" t="s">
        <v>22575</v>
      </c>
      <c r="V5819" s="32">
        <v>39792.0</v>
      </c>
    </row>
    <row r="5820">
      <c r="A5820" s="32"/>
      <c r="T5820" s="31" t="s">
        <v>22578</v>
      </c>
      <c r="U5820" s="31" t="s">
        <v>16548</v>
      </c>
      <c r="V5820" s="32">
        <v>39788.0</v>
      </c>
    </row>
    <row r="5821">
      <c r="A5821" s="32"/>
      <c r="T5821" s="31" t="s">
        <v>22581</v>
      </c>
      <c r="U5821" s="31" t="s">
        <v>22582</v>
      </c>
      <c r="V5821" s="32">
        <v>39785.0</v>
      </c>
    </row>
    <row r="5822">
      <c r="A5822" s="32"/>
      <c r="T5822" s="31" t="s">
        <v>22585</v>
      </c>
      <c r="U5822" s="31" t="s">
        <v>22586</v>
      </c>
      <c r="V5822" s="32">
        <v>39783.0</v>
      </c>
    </row>
    <row r="5823">
      <c r="A5823" s="32"/>
      <c r="T5823" s="31" t="s">
        <v>22589</v>
      </c>
      <c r="U5823" s="31" t="s">
        <v>22590</v>
      </c>
      <c r="V5823" s="32">
        <v>39783.0</v>
      </c>
    </row>
    <row r="5824">
      <c r="A5824" s="32"/>
      <c r="T5824" s="31" t="s">
        <v>22593</v>
      </c>
      <c r="U5824" s="31" t="s">
        <v>22594</v>
      </c>
      <c r="V5824" s="32">
        <v>39783.0</v>
      </c>
    </row>
    <row r="5825">
      <c r="A5825" s="32"/>
      <c r="T5825" s="31" t="s">
        <v>22598</v>
      </c>
      <c r="U5825" s="31" t="s">
        <v>22599</v>
      </c>
      <c r="V5825" s="32">
        <v>39760.0</v>
      </c>
    </row>
    <row r="5826">
      <c r="A5826" s="32"/>
      <c r="T5826" s="31" t="s">
        <v>22602</v>
      </c>
      <c r="U5826" s="31" t="s">
        <v>22603</v>
      </c>
      <c r="V5826" s="32">
        <v>39759.0</v>
      </c>
    </row>
    <row r="5827">
      <c r="A5827" s="32"/>
      <c r="T5827" s="31" t="s">
        <v>22606</v>
      </c>
      <c r="U5827" s="31" t="s">
        <v>22607</v>
      </c>
      <c r="V5827" s="32">
        <v>39753.0</v>
      </c>
    </row>
    <row r="5828">
      <c r="A5828" s="32"/>
      <c r="T5828" s="31" t="s">
        <v>22610</v>
      </c>
      <c r="U5828" s="31" t="s">
        <v>22611</v>
      </c>
      <c r="V5828" s="32">
        <v>39753.0</v>
      </c>
    </row>
    <row r="5829">
      <c r="A5829" s="32"/>
      <c r="T5829" s="31" t="s">
        <v>22614</v>
      </c>
      <c r="U5829" s="31" t="s">
        <v>22615</v>
      </c>
      <c r="V5829" s="32">
        <v>39749.0</v>
      </c>
    </row>
    <row r="5830">
      <c r="A5830" s="32"/>
      <c r="T5830" s="31" t="s">
        <v>22618</v>
      </c>
      <c r="U5830" s="31" t="s">
        <v>22619</v>
      </c>
      <c r="V5830" s="32">
        <v>39746.0</v>
      </c>
    </row>
    <row r="5831">
      <c r="A5831" s="32"/>
      <c r="T5831" s="31" t="s">
        <v>22622</v>
      </c>
      <c r="U5831" s="31" t="s">
        <v>22623</v>
      </c>
      <c r="V5831" s="32">
        <v>39722.0</v>
      </c>
    </row>
    <row r="5832">
      <c r="A5832" s="32"/>
      <c r="T5832" s="31" t="s">
        <v>22626</v>
      </c>
      <c r="U5832" s="31" t="s">
        <v>22627</v>
      </c>
      <c r="V5832" s="32">
        <v>39722.0</v>
      </c>
    </row>
    <row r="5833">
      <c r="A5833" s="32"/>
      <c r="T5833" s="31" t="s">
        <v>22630</v>
      </c>
      <c r="U5833" s="31" t="s">
        <v>22631</v>
      </c>
      <c r="V5833" s="32">
        <v>39722.0</v>
      </c>
    </row>
    <row r="5834">
      <c r="A5834" s="32"/>
      <c r="T5834" s="31" t="s">
        <v>22634</v>
      </c>
      <c r="U5834" s="31" t="s">
        <v>22635</v>
      </c>
      <c r="V5834" s="32">
        <v>39722.0</v>
      </c>
    </row>
    <row r="5835">
      <c r="A5835" s="32"/>
      <c r="T5835" s="31" t="s">
        <v>22638</v>
      </c>
      <c r="U5835" s="31" t="s">
        <v>22639</v>
      </c>
      <c r="V5835" s="32">
        <v>39722.0</v>
      </c>
    </row>
    <row r="5836">
      <c r="A5836" s="32"/>
      <c r="T5836" s="31" t="s">
        <v>22642</v>
      </c>
      <c r="U5836" s="31" t="s">
        <v>22643</v>
      </c>
      <c r="V5836" s="32">
        <v>39721.0</v>
      </c>
    </row>
    <row r="5837">
      <c r="A5837" s="32"/>
      <c r="T5837" s="31" t="s">
        <v>22647</v>
      </c>
      <c r="U5837" s="31" t="s">
        <v>22648</v>
      </c>
      <c r="V5837" s="32">
        <v>39707.0</v>
      </c>
    </row>
    <row r="5838">
      <c r="A5838" s="32"/>
      <c r="T5838" s="31" t="s">
        <v>22651</v>
      </c>
      <c r="U5838" s="31" t="s">
        <v>22652</v>
      </c>
      <c r="V5838" s="32">
        <v>39692.0</v>
      </c>
    </row>
    <row r="5839">
      <c r="A5839" s="32"/>
      <c r="T5839" s="31" t="s">
        <v>22655</v>
      </c>
      <c r="U5839" s="31" t="s">
        <v>22656</v>
      </c>
      <c r="V5839" s="32">
        <v>39692.0</v>
      </c>
    </row>
    <row r="5840">
      <c r="A5840" s="32"/>
      <c r="T5840" s="31" t="s">
        <v>22659</v>
      </c>
      <c r="U5840" s="31" t="s">
        <v>22660</v>
      </c>
      <c r="V5840" s="32">
        <v>39681.0</v>
      </c>
    </row>
    <row r="5841">
      <c r="A5841" s="32"/>
      <c r="T5841" s="31" t="s">
        <v>22663</v>
      </c>
      <c r="U5841" s="31" t="s">
        <v>22664</v>
      </c>
      <c r="V5841" s="32">
        <v>39681.0</v>
      </c>
    </row>
    <row r="5842">
      <c r="A5842" s="32"/>
      <c r="T5842" s="31" t="s">
        <v>22667</v>
      </c>
      <c r="U5842" s="31" t="s">
        <v>22668</v>
      </c>
      <c r="V5842" s="32">
        <v>39669.0</v>
      </c>
    </row>
    <row r="5843">
      <c r="A5843" s="32"/>
      <c r="T5843" s="31" t="s">
        <v>22671</v>
      </c>
      <c r="U5843" s="31" t="s">
        <v>22672</v>
      </c>
      <c r="V5843" s="32">
        <v>39661.0</v>
      </c>
    </row>
    <row r="5844">
      <c r="A5844" s="32"/>
      <c r="T5844" s="31" t="s">
        <v>22675</v>
      </c>
      <c r="U5844" s="31" t="s">
        <v>22676</v>
      </c>
      <c r="V5844" s="32">
        <v>39661.0</v>
      </c>
    </row>
    <row r="5845">
      <c r="A5845" s="32"/>
      <c r="T5845" s="31" t="s">
        <v>22679</v>
      </c>
      <c r="U5845" s="31" t="s">
        <v>22680</v>
      </c>
      <c r="V5845" s="32">
        <v>39653.0</v>
      </c>
    </row>
    <row r="5846">
      <c r="A5846" s="32"/>
      <c r="T5846" s="31" t="s">
        <v>22683</v>
      </c>
      <c r="U5846" s="31" t="s">
        <v>22684</v>
      </c>
      <c r="V5846" s="32">
        <v>39650.0</v>
      </c>
    </row>
    <row r="5847">
      <c r="A5847" s="32"/>
      <c r="T5847" s="31" t="s">
        <v>22687</v>
      </c>
      <c r="U5847" s="31" t="s">
        <v>22688</v>
      </c>
      <c r="V5847" s="32">
        <v>39650.0</v>
      </c>
    </row>
    <row r="5848">
      <c r="A5848" s="32"/>
      <c r="T5848" s="31" t="s">
        <v>22691</v>
      </c>
      <c r="U5848" s="31" t="s">
        <v>22692</v>
      </c>
      <c r="V5848" s="32">
        <v>39648.0</v>
      </c>
    </row>
    <row r="5849">
      <c r="A5849" s="32"/>
      <c r="T5849" s="31" t="s">
        <v>22695</v>
      </c>
      <c r="U5849" s="31" t="s">
        <v>22696</v>
      </c>
      <c r="V5849" s="32">
        <v>39647.0</v>
      </c>
    </row>
    <row r="5850">
      <c r="A5850" s="32"/>
      <c r="T5850" s="31" t="s">
        <v>22699</v>
      </c>
      <c r="U5850" s="31" t="s">
        <v>22700</v>
      </c>
      <c r="V5850" s="32">
        <v>39646.0</v>
      </c>
    </row>
    <row r="5851">
      <c r="A5851" s="32"/>
      <c r="T5851" s="31" t="s">
        <v>22703</v>
      </c>
      <c r="U5851" s="31" t="s">
        <v>22704</v>
      </c>
      <c r="V5851" s="32">
        <v>39644.0</v>
      </c>
    </row>
    <row r="5852">
      <c r="A5852" s="32"/>
      <c r="T5852" s="31" t="s">
        <v>22707</v>
      </c>
      <c r="U5852" s="31" t="s">
        <v>22708</v>
      </c>
      <c r="V5852" s="32">
        <v>39644.0</v>
      </c>
    </row>
    <row r="5853">
      <c r="A5853" s="32"/>
      <c r="T5853" s="31" t="s">
        <v>22711</v>
      </c>
      <c r="U5853" s="31" t="s">
        <v>22221</v>
      </c>
      <c r="V5853" s="32">
        <v>39639.0</v>
      </c>
    </row>
    <row r="5854">
      <c r="A5854" s="32"/>
      <c r="T5854" s="31" t="s">
        <v>22714</v>
      </c>
      <c r="U5854" s="31" t="s">
        <v>22715</v>
      </c>
      <c r="V5854" s="32">
        <v>39630.0</v>
      </c>
    </row>
    <row r="5855">
      <c r="A5855" s="32"/>
      <c r="T5855" s="31" t="s">
        <v>22719</v>
      </c>
      <c r="U5855" s="31" t="s">
        <v>22720</v>
      </c>
      <c r="V5855" s="32">
        <v>39624.0</v>
      </c>
    </row>
    <row r="5856">
      <c r="A5856" s="32"/>
      <c r="T5856" s="31" t="s">
        <v>22723</v>
      </c>
      <c r="U5856" s="31" t="s">
        <v>22724</v>
      </c>
      <c r="V5856" s="32">
        <v>39616.0</v>
      </c>
    </row>
    <row r="5857">
      <c r="A5857" s="32"/>
      <c r="T5857" s="31" t="s">
        <v>22727</v>
      </c>
      <c r="U5857" s="31" t="s">
        <v>22728</v>
      </c>
      <c r="V5857" s="32">
        <v>39616.0</v>
      </c>
    </row>
    <row r="5858">
      <c r="A5858" s="32"/>
      <c r="T5858" s="31" t="s">
        <v>22731</v>
      </c>
      <c r="U5858" s="31" t="s">
        <v>22732</v>
      </c>
      <c r="V5858" s="32">
        <v>39609.0</v>
      </c>
    </row>
    <row r="5859">
      <c r="A5859" s="32"/>
      <c r="T5859" s="31" t="s">
        <v>22735</v>
      </c>
      <c r="U5859" s="31" t="s">
        <v>22736</v>
      </c>
      <c r="V5859" s="32">
        <v>39604.0</v>
      </c>
    </row>
    <row r="5860">
      <c r="A5860" s="32"/>
      <c r="T5860" s="31" t="s">
        <v>22739</v>
      </c>
      <c r="U5860" s="31" t="s">
        <v>22740</v>
      </c>
      <c r="V5860" s="32">
        <v>39602.0</v>
      </c>
    </row>
    <row r="5861">
      <c r="A5861" s="32"/>
      <c r="T5861" s="31" t="s">
        <v>22743</v>
      </c>
      <c r="U5861" s="31" t="s">
        <v>22744</v>
      </c>
      <c r="V5861" s="32">
        <v>39600.0</v>
      </c>
    </row>
    <row r="5862">
      <c r="A5862" s="32"/>
      <c r="T5862" s="31" t="s">
        <v>22747</v>
      </c>
      <c r="U5862" s="31" t="s">
        <v>22748</v>
      </c>
      <c r="V5862" s="32">
        <v>39600.0</v>
      </c>
    </row>
    <row r="5863">
      <c r="A5863" s="32"/>
      <c r="T5863" s="31" t="s">
        <v>22750</v>
      </c>
      <c r="U5863" s="31" t="s">
        <v>22751</v>
      </c>
      <c r="V5863" s="32">
        <v>39600.0</v>
      </c>
    </row>
    <row r="5864">
      <c r="A5864" s="32"/>
      <c r="T5864" s="31" t="s">
        <v>22754</v>
      </c>
      <c r="U5864" s="31" t="s">
        <v>22556</v>
      </c>
      <c r="V5864" s="32">
        <v>39600.0</v>
      </c>
    </row>
    <row r="5865">
      <c r="A5865" s="32"/>
      <c r="T5865" s="31" t="s">
        <v>22757</v>
      </c>
      <c r="U5865" s="31" t="s">
        <v>22758</v>
      </c>
      <c r="V5865" s="32">
        <v>39595.0</v>
      </c>
    </row>
    <row r="5866">
      <c r="A5866" s="32"/>
      <c r="T5866" s="31" t="s">
        <v>22761</v>
      </c>
      <c r="U5866" s="31" t="s">
        <v>22762</v>
      </c>
      <c r="V5866" s="32">
        <v>39595.0</v>
      </c>
    </row>
    <row r="5867">
      <c r="A5867" s="32"/>
      <c r="T5867" s="31" t="s">
        <v>22765</v>
      </c>
      <c r="U5867" s="31" t="s">
        <v>22766</v>
      </c>
      <c r="V5867" s="32">
        <v>39592.0</v>
      </c>
    </row>
    <row r="5868">
      <c r="A5868" s="32"/>
      <c r="T5868" s="31" t="s">
        <v>22769</v>
      </c>
      <c r="U5868" s="31" t="s">
        <v>22770</v>
      </c>
      <c r="V5868" s="32">
        <v>39578.0</v>
      </c>
    </row>
    <row r="5869">
      <c r="A5869" s="32"/>
      <c r="T5869" s="31" t="s">
        <v>22773</v>
      </c>
      <c r="U5869" s="31" t="s">
        <v>22720</v>
      </c>
      <c r="V5869" s="32">
        <v>39573.0</v>
      </c>
    </row>
    <row r="5870">
      <c r="A5870" s="32"/>
      <c r="T5870" s="31" t="s">
        <v>22776</v>
      </c>
      <c r="U5870" s="31" t="s">
        <v>22777</v>
      </c>
      <c r="V5870" s="32">
        <v>39569.0</v>
      </c>
    </row>
    <row r="5871">
      <c r="A5871" s="32"/>
      <c r="T5871" s="31" t="s">
        <v>22780</v>
      </c>
      <c r="U5871" s="31" t="s">
        <v>22781</v>
      </c>
      <c r="V5871" s="32">
        <v>39555.0</v>
      </c>
    </row>
    <row r="5872">
      <c r="A5872" s="32"/>
      <c r="T5872" s="31" t="s">
        <v>22784</v>
      </c>
      <c r="U5872" s="31" t="s">
        <v>22785</v>
      </c>
      <c r="V5872" s="32">
        <v>39554.0</v>
      </c>
    </row>
    <row r="5873">
      <c r="A5873" s="32"/>
      <c r="T5873" s="31" t="s">
        <v>22788</v>
      </c>
      <c r="U5873" s="31" t="s">
        <v>22789</v>
      </c>
      <c r="V5873" s="32">
        <v>39553.0</v>
      </c>
    </row>
    <row r="5874">
      <c r="A5874" s="32"/>
      <c r="T5874" s="31" t="s">
        <v>22792</v>
      </c>
      <c r="U5874" s="31" t="s">
        <v>22793</v>
      </c>
      <c r="V5874" s="32">
        <v>39546.0</v>
      </c>
    </row>
    <row r="5875">
      <c r="A5875" s="32"/>
      <c r="T5875" s="31" t="s">
        <v>22796</v>
      </c>
      <c r="U5875" s="31" t="s">
        <v>22563</v>
      </c>
      <c r="V5875" s="32">
        <v>39545.0</v>
      </c>
    </row>
    <row r="5876">
      <c r="A5876" s="32"/>
      <c r="T5876" s="31" t="s">
        <v>22799</v>
      </c>
      <c r="U5876" s="31" t="s">
        <v>22800</v>
      </c>
      <c r="V5876" s="32">
        <v>39539.0</v>
      </c>
    </row>
    <row r="5877">
      <c r="A5877" s="32"/>
      <c r="T5877" s="31" t="s">
        <v>22804</v>
      </c>
      <c r="U5877" s="31" t="s">
        <v>22805</v>
      </c>
      <c r="V5877" s="32">
        <v>39539.0</v>
      </c>
    </row>
    <row r="5878">
      <c r="A5878" s="32"/>
      <c r="T5878" s="31" t="s">
        <v>22808</v>
      </c>
      <c r="U5878" s="31" t="s">
        <v>22809</v>
      </c>
      <c r="V5878" s="32">
        <v>39539.0</v>
      </c>
    </row>
    <row r="5879">
      <c r="A5879" s="32"/>
      <c r="T5879" s="31" t="s">
        <v>22812</v>
      </c>
      <c r="U5879" s="31" t="s">
        <v>22748</v>
      </c>
      <c r="V5879" s="32">
        <v>39536.0</v>
      </c>
    </row>
    <row r="5880">
      <c r="A5880" s="32"/>
      <c r="T5880" s="31" t="s">
        <v>22815</v>
      </c>
      <c r="U5880" s="31" t="s">
        <v>22816</v>
      </c>
      <c r="V5880" s="32">
        <v>39535.0</v>
      </c>
    </row>
    <row r="5881">
      <c r="A5881" s="32"/>
      <c r="T5881" s="31" t="s">
        <v>22819</v>
      </c>
      <c r="U5881" s="31" t="s">
        <v>22820</v>
      </c>
      <c r="V5881" s="32">
        <v>39526.0</v>
      </c>
    </row>
    <row r="5882">
      <c r="A5882" s="32"/>
      <c r="T5882" s="31" t="s">
        <v>22823</v>
      </c>
      <c r="U5882" s="31" t="s">
        <v>22824</v>
      </c>
      <c r="V5882" s="32">
        <v>39513.0</v>
      </c>
    </row>
    <row r="5883">
      <c r="A5883" s="32"/>
      <c r="T5883" s="31" t="s">
        <v>22827</v>
      </c>
      <c r="U5883" s="31" t="s">
        <v>22828</v>
      </c>
      <c r="V5883" s="32">
        <v>39508.0</v>
      </c>
    </row>
    <row r="5884">
      <c r="A5884" s="32"/>
      <c r="T5884" s="31" t="s">
        <v>22832</v>
      </c>
      <c r="U5884" s="31" t="s">
        <v>22833</v>
      </c>
      <c r="V5884" s="32">
        <v>39499.0</v>
      </c>
    </row>
    <row r="5885">
      <c r="A5885" s="32"/>
      <c r="T5885" s="31" t="s">
        <v>22836</v>
      </c>
      <c r="U5885" s="31" t="s">
        <v>22837</v>
      </c>
      <c r="V5885" s="32">
        <v>39499.0</v>
      </c>
    </row>
    <row r="5886">
      <c r="A5886" s="32"/>
      <c r="T5886" s="31" t="s">
        <v>22840</v>
      </c>
      <c r="U5886" s="31" t="s">
        <v>22841</v>
      </c>
      <c r="V5886" s="32">
        <v>39492.0</v>
      </c>
    </row>
    <row r="5887">
      <c r="A5887" s="32"/>
      <c r="T5887" s="31" t="s">
        <v>22844</v>
      </c>
      <c r="U5887" s="31" t="s">
        <v>22845</v>
      </c>
      <c r="V5887" s="32">
        <v>39469.0</v>
      </c>
    </row>
    <row r="5888">
      <c r="A5888" s="32"/>
      <c r="T5888" s="31" t="s">
        <v>22848</v>
      </c>
      <c r="U5888" s="31" t="s">
        <v>22849</v>
      </c>
      <c r="V5888" s="32">
        <v>39469.0</v>
      </c>
    </row>
    <row r="5889">
      <c r="A5889" s="32"/>
      <c r="T5889" s="31" t="s">
        <v>22852</v>
      </c>
      <c r="U5889" s="31" t="s">
        <v>22853</v>
      </c>
      <c r="V5889" s="32">
        <v>39465.0</v>
      </c>
    </row>
    <row r="5890">
      <c r="A5890" s="32"/>
      <c r="T5890" s="31" t="s">
        <v>22856</v>
      </c>
      <c r="U5890" s="31" t="s">
        <v>22857</v>
      </c>
      <c r="V5890" s="32">
        <v>39456.0</v>
      </c>
    </row>
    <row r="5891">
      <c r="A5891" s="32"/>
      <c r="T5891" s="31" t="s">
        <v>22860</v>
      </c>
      <c r="U5891" s="31" t="s">
        <v>22861</v>
      </c>
      <c r="V5891" s="32">
        <v>39448.0</v>
      </c>
    </row>
    <row r="5892">
      <c r="A5892" s="32"/>
      <c r="T5892" s="31" t="s">
        <v>22864</v>
      </c>
      <c r="U5892" s="31" t="s">
        <v>22720</v>
      </c>
      <c r="V5892" s="32">
        <v>39448.0</v>
      </c>
    </row>
    <row r="5893">
      <c r="A5893" s="32"/>
      <c r="T5893" s="31" t="s">
        <v>22868</v>
      </c>
      <c r="U5893" s="31" t="s">
        <v>22869</v>
      </c>
      <c r="V5893" s="32">
        <v>39448.0</v>
      </c>
    </row>
    <row r="5894">
      <c r="A5894" s="32"/>
      <c r="T5894" s="31" t="s">
        <v>22872</v>
      </c>
      <c r="U5894" s="31" t="s">
        <v>22873</v>
      </c>
      <c r="V5894" s="32">
        <v>39448.0</v>
      </c>
    </row>
    <row r="5895">
      <c r="A5895" s="32"/>
      <c r="T5895" s="31" t="s">
        <v>22876</v>
      </c>
      <c r="U5895" s="31" t="s">
        <v>22877</v>
      </c>
      <c r="V5895" s="32">
        <v>39448.0</v>
      </c>
    </row>
    <row r="5896">
      <c r="A5896" s="32"/>
      <c r="T5896" s="31" t="s">
        <v>22880</v>
      </c>
      <c r="U5896" s="31" t="s">
        <v>22881</v>
      </c>
      <c r="V5896" s="32">
        <v>39448.0</v>
      </c>
    </row>
    <row r="5897">
      <c r="A5897" s="32"/>
      <c r="T5897" s="31" t="s">
        <v>22884</v>
      </c>
      <c r="U5897" s="31" t="s">
        <v>22885</v>
      </c>
      <c r="V5897" s="32">
        <v>39427.0</v>
      </c>
    </row>
    <row r="5898">
      <c r="A5898" s="32"/>
      <c r="T5898" s="31" t="s">
        <v>22888</v>
      </c>
      <c r="U5898" s="31" t="s">
        <v>22889</v>
      </c>
      <c r="V5898" s="32">
        <v>39424.0</v>
      </c>
    </row>
    <row r="5899">
      <c r="A5899" s="32"/>
      <c r="T5899" s="31" t="s">
        <v>22892</v>
      </c>
      <c r="U5899" s="31" t="s">
        <v>22893</v>
      </c>
      <c r="V5899" s="32">
        <v>39423.0</v>
      </c>
    </row>
    <row r="5900">
      <c r="A5900" s="32"/>
      <c r="T5900" s="31" t="s">
        <v>22896</v>
      </c>
      <c r="U5900" s="31" t="s">
        <v>22897</v>
      </c>
      <c r="V5900" s="32">
        <v>39420.0</v>
      </c>
    </row>
    <row r="5901">
      <c r="A5901" s="32"/>
      <c r="T5901" s="31" t="s">
        <v>22900</v>
      </c>
      <c r="U5901" s="31" t="s">
        <v>22901</v>
      </c>
      <c r="V5901" s="32">
        <v>39417.0</v>
      </c>
    </row>
    <row r="5902">
      <c r="A5902" s="32"/>
      <c r="T5902" s="31" t="s">
        <v>22904</v>
      </c>
      <c r="U5902" s="31" t="s">
        <v>22905</v>
      </c>
      <c r="V5902" s="32">
        <v>39417.0</v>
      </c>
    </row>
    <row r="5903">
      <c r="A5903" s="32"/>
      <c r="T5903" s="31" t="s">
        <v>22908</v>
      </c>
      <c r="U5903" s="31" t="s">
        <v>22909</v>
      </c>
      <c r="V5903" s="32">
        <v>39412.0</v>
      </c>
    </row>
    <row r="5904">
      <c r="A5904" s="32"/>
      <c r="T5904" s="31" t="s">
        <v>22912</v>
      </c>
      <c r="U5904" s="31" t="s">
        <v>22913</v>
      </c>
      <c r="V5904" s="32">
        <v>39387.0</v>
      </c>
    </row>
    <row r="5905">
      <c r="A5905" s="32"/>
      <c r="T5905" s="31" t="s">
        <v>22917</v>
      </c>
      <c r="U5905" s="31" t="s">
        <v>22918</v>
      </c>
      <c r="V5905" s="32">
        <v>39381.0</v>
      </c>
    </row>
    <row r="5906">
      <c r="A5906" s="32"/>
      <c r="T5906" s="31" t="s">
        <v>22921</v>
      </c>
      <c r="U5906" s="31" t="s">
        <v>18773</v>
      </c>
      <c r="V5906" s="32">
        <v>39380.0</v>
      </c>
    </row>
    <row r="5907">
      <c r="A5907" s="32"/>
      <c r="T5907" s="31" t="s">
        <v>22924</v>
      </c>
      <c r="U5907" s="31" t="s">
        <v>22925</v>
      </c>
      <c r="V5907" s="32">
        <v>39380.0</v>
      </c>
    </row>
    <row r="5908">
      <c r="A5908" s="32"/>
      <c r="T5908" s="31" t="s">
        <v>22928</v>
      </c>
      <c r="U5908" s="31" t="s">
        <v>22929</v>
      </c>
      <c r="V5908" s="32">
        <v>39365.0</v>
      </c>
    </row>
    <row r="5909">
      <c r="A5909" s="32"/>
      <c r="T5909" s="31" t="s">
        <v>22932</v>
      </c>
      <c r="U5909" s="31" t="s">
        <v>22933</v>
      </c>
      <c r="V5909" s="32">
        <v>39356.0</v>
      </c>
    </row>
    <row r="5910">
      <c r="A5910" s="32"/>
      <c r="T5910" s="31" t="s">
        <v>22936</v>
      </c>
      <c r="U5910" s="31" t="s">
        <v>22937</v>
      </c>
      <c r="V5910" s="32">
        <v>39356.0</v>
      </c>
    </row>
    <row r="5911">
      <c r="A5911" s="32"/>
      <c r="T5911" s="31" t="s">
        <v>22940</v>
      </c>
      <c r="U5911" s="31" t="s">
        <v>22941</v>
      </c>
      <c r="V5911" s="32">
        <v>39345.0</v>
      </c>
    </row>
    <row r="5912">
      <c r="A5912" s="32"/>
      <c r="T5912" s="31" t="s">
        <v>22944</v>
      </c>
      <c r="U5912" s="31" t="s">
        <v>22945</v>
      </c>
      <c r="V5912" s="32">
        <v>39337.0</v>
      </c>
    </row>
    <row r="5913">
      <c r="A5913" s="32"/>
      <c r="T5913" s="31" t="s">
        <v>22948</v>
      </c>
      <c r="U5913" s="31" t="s">
        <v>22949</v>
      </c>
      <c r="V5913" s="32">
        <v>39333.0</v>
      </c>
    </row>
    <row r="5914">
      <c r="A5914" s="32"/>
      <c r="T5914" s="31" t="s">
        <v>22952</v>
      </c>
      <c r="U5914" s="31" t="s">
        <v>22953</v>
      </c>
      <c r="V5914" s="32">
        <v>39329.0</v>
      </c>
    </row>
    <row r="5915">
      <c r="A5915" s="32"/>
      <c r="T5915" s="31" t="s">
        <v>22956</v>
      </c>
      <c r="U5915" s="31" t="s">
        <v>22957</v>
      </c>
      <c r="V5915" s="32">
        <v>39329.0</v>
      </c>
    </row>
    <row r="5916">
      <c r="A5916" s="32"/>
      <c r="T5916" s="31" t="s">
        <v>22960</v>
      </c>
      <c r="U5916" s="31" t="s">
        <v>22961</v>
      </c>
      <c r="V5916" s="32">
        <v>39321.0</v>
      </c>
    </row>
    <row r="5917">
      <c r="A5917" s="32"/>
      <c r="T5917" s="31" t="s">
        <v>22964</v>
      </c>
      <c r="U5917" s="31" t="s">
        <v>22965</v>
      </c>
      <c r="V5917" s="32">
        <v>39307.0</v>
      </c>
    </row>
    <row r="5918">
      <c r="A5918" s="32"/>
      <c r="T5918" s="31" t="s">
        <v>22968</v>
      </c>
      <c r="U5918" s="31" t="s">
        <v>22969</v>
      </c>
      <c r="V5918" s="32">
        <v>39301.0</v>
      </c>
    </row>
    <row r="5919">
      <c r="A5919" s="32"/>
      <c r="T5919" s="31" t="s">
        <v>22972</v>
      </c>
      <c r="U5919" s="31" t="s">
        <v>22973</v>
      </c>
      <c r="V5919" s="32">
        <v>39295.0</v>
      </c>
    </row>
    <row r="5920">
      <c r="A5920" s="32"/>
      <c r="T5920" s="31" t="s">
        <v>22977</v>
      </c>
      <c r="U5920" s="31" t="s">
        <v>22978</v>
      </c>
      <c r="V5920" s="32">
        <v>39295.0</v>
      </c>
    </row>
    <row r="5921">
      <c r="A5921" s="32"/>
      <c r="T5921" s="31" t="s">
        <v>22981</v>
      </c>
      <c r="U5921" s="31" t="s">
        <v>22982</v>
      </c>
      <c r="V5921" s="32">
        <v>39295.0</v>
      </c>
    </row>
    <row r="5922">
      <c r="A5922" s="32"/>
      <c r="T5922" s="31" t="s">
        <v>22985</v>
      </c>
      <c r="U5922" s="31" t="s">
        <v>22986</v>
      </c>
      <c r="V5922" s="32">
        <v>39293.0</v>
      </c>
    </row>
    <row r="5923">
      <c r="A5923" s="32"/>
      <c r="T5923" s="31" t="s">
        <v>22989</v>
      </c>
      <c r="U5923" s="31" t="s">
        <v>22990</v>
      </c>
      <c r="V5923" s="32">
        <v>39282.0</v>
      </c>
    </row>
    <row r="5924">
      <c r="A5924" s="32"/>
      <c r="T5924" s="31" t="s">
        <v>22993</v>
      </c>
      <c r="U5924" s="31" t="s">
        <v>22994</v>
      </c>
      <c r="V5924" s="32">
        <v>39280.0</v>
      </c>
    </row>
    <row r="5925">
      <c r="A5925" s="32"/>
      <c r="T5925" s="31" t="s">
        <v>22997</v>
      </c>
      <c r="U5925" s="31" t="s">
        <v>22998</v>
      </c>
      <c r="V5925" s="32">
        <v>39277.0</v>
      </c>
    </row>
    <row r="5926">
      <c r="A5926" s="32"/>
      <c r="T5926" s="31" t="s">
        <v>23001</v>
      </c>
      <c r="U5926" s="31" t="s">
        <v>23002</v>
      </c>
      <c r="V5926" s="32">
        <v>39262.0</v>
      </c>
    </row>
    <row r="5927">
      <c r="A5927" s="32"/>
      <c r="T5927" s="31" t="s">
        <v>23005</v>
      </c>
      <c r="U5927" s="31" t="s">
        <v>23006</v>
      </c>
      <c r="V5927" s="32">
        <v>39262.0</v>
      </c>
    </row>
    <row r="5928">
      <c r="A5928" s="32"/>
      <c r="T5928" s="31" t="s">
        <v>23009</v>
      </c>
      <c r="U5928" s="31" t="s">
        <v>23010</v>
      </c>
      <c r="V5928" s="32">
        <v>39261.0</v>
      </c>
    </row>
    <row r="5929">
      <c r="A5929" s="32"/>
      <c r="T5929" s="31" t="s">
        <v>23013</v>
      </c>
      <c r="U5929" s="31" t="s">
        <v>23010</v>
      </c>
      <c r="V5929" s="32">
        <v>39261.0</v>
      </c>
    </row>
    <row r="5930">
      <c r="A5930" s="32"/>
      <c r="T5930" s="31" t="s">
        <v>23016</v>
      </c>
      <c r="U5930" s="31" t="s">
        <v>23017</v>
      </c>
      <c r="V5930" s="32">
        <v>39251.0</v>
      </c>
    </row>
    <row r="5931">
      <c r="A5931" s="32"/>
      <c r="T5931" s="31" t="s">
        <v>23020</v>
      </c>
      <c r="U5931" s="31" t="s">
        <v>23021</v>
      </c>
      <c r="V5931" s="32">
        <v>39240.0</v>
      </c>
    </row>
    <row r="5932">
      <c r="A5932" s="32"/>
      <c r="T5932" s="31" t="s">
        <v>23024</v>
      </c>
      <c r="U5932" s="31" t="s">
        <v>23025</v>
      </c>
      <c r="V5932" s="32">
        <v>39237.0</v>
      </c>
    </row>
    <row r="5933">
      <c r="A5933" s="32"/>
      <c r="T5933" s="31" t="s">
        <v>23028</v>
      </c>
      <c r="U5933" s="31" t="s">
        <v>23029</v>
      </c>
      <c r="V5933" s="32">
        <v>39232.0</v>
      </c>
    </row>
    <row r="5934">
      <c r="A5934" s="32"/>
      <c r="T5934" s="31" t="s">
        <v>23032</v>
      </c>
      <c r="U5934" s="31" t="s">
        <v>23033</v>
      </c>
      <c r="V5934" s="32">
        <v>39224.0</v>
      </c>
    </row>
    <row r="5935">
      <c r="A5935" s="32"/>
      <c r="T5935" s="31" t="s">
        <v>23036</v>
      </c>
      <c r="U5935" s="31" t="s">
        <v>23037</v>
      </c>
      <c r="V5935" s="32">
        <v>39217.0</v>
      </c>
    </row>
    <row r="5936">
      <c r="A5936" s="32"/>
      <c r="T5936" s="31" t="s">
        <v>23040</v>
      </c>
      <c r="U5936" s="31" t="s">
        <v>23041</v>
      </c>
      <c r="V5936" s="32">
        <v>39203.0</v>
      </c>
    </row>
    <row r="5937">
      <c r="A5937" s="32"/>
      <c r="T5937" s="31" t="s">
        <v>23044</v>
      </c>
      <c r="U5937" s="31" t="s">
        <v>23045</v>
      </c>
      <c r="V5937" s="32">
        <v>39203.0</v>
      </c>
    </row>
    <row r="5938">
      <c r="A5938" s="32"/>
      <c r="T5938" s="31" t="s">
        <v>23049</v>
      </c>
      <c r="U5938" s="31" t="s">
        <v>23050</v>
      </c>
      <c r="V5938" s="32">
        <v>39203.0</v>
      </c>
    </row>
    <row r="5939">
      <c r="A5939" s="32"/>
      <c r="T5939" s="31" t="s">
        <v>23053</v>
      </c>
      <c r="U5939" s="31" t="s">
        <v>23054</v>
      </c>
      <c r="V5939" s="32">
        <v>39202.0</v>
      </c>
    </row>
    <row r="5940">
      <c r="A5940" s="32"/>
      <c r="T5940" s="31" t="s">
        <v>23057</v>
      </c>
      <c r="U5940" s="31" t="s">
        <v>23058</v>
      </c>
      <c r="V5940" s="32">
        <v>39195.0</v>
      </c>
    </row>
    <row r="5941">
      <c r="A5941" s="32"/>
      <c r="T5941" s="31" t="s">
        <v>23061</v>
      </c>
      <c r="U5941" s="31" t="s">
        <v>23062</v>
      </c>
      <c r="V5941" s="32">
        <v>39183.0</v>
      </c>
    </row>
    <row r="5942">
      <c r="A5942" s="32"/>
      <c r="T5942" s="31" t="s">
        <v>23065</v>
      </c>
      <c r="U5942" s="31" t="s">
        <v>23066</v>
      </c>
      <c r="V5942" s="32">
        <v>39173.0</v>
      </c>
    </row>
    <row r="5943">
      <c r="A5943" s="32"/>
      <c r="T5943" s="31" t="s">
        <v>23069</v>
      </c>
      <c r="U5943" s="31" t="s">
        <v>22881</v>
      </c>
      <c r="V5943" s="32">
        <v>39170.0</v>
      </c>
    </row>
    <row r="5944">
      <c r="A5944" s="32"/>
      <c r="T5944" s="31" t="s">
        <v>23072</v>
      </c>
      <c r="U5944" s="31" t="s">
        <v>23073</v>
      </c>
      <c r="V5944" s="32">
        <v>39167.0</v>
      </c>
    </row>
    <row r="5945">
      <c r="A5945" s="32"/>
      <c r="T5945" s="31" t="s">
        <v>23076</v>
      </c>
      <c r="U5945" s="31" t="s">
        <v>23077</v>
      </c>
      <c r="V5945" s="32">
        <v>39160.0</v>
      </c>
    </row>
    <row r="5946">
      <c r="A5946" s="32"/>
      <c r="T5946" s="31" t="s">
        <v>23079</v>
      </c>
      <c r="U5946" s="31" t="s">
        <v>23080</v>
      </c>
      <c r="V5946" s="32">
        <v>39156.0</v>
      </c>
    </row>
    <row r="5947">
      <c r="A5947" s="32"/>
      <c r="T5947" s="31" t="s">
        <v>23083</v>
      </c>
      <c r="U5947" s="31" t="s">
        <v>23084</v>
      </c>
      <c r="V5947" s="32">
        <v>39148.0</v>
      </c>
    </row>
    <row r="5948">
      <c r="A5948" s="32"/>
      <c r="T5948" s="31" t="s">
        <v>23087</v>
      </c>
      <c r="U5948" s="31" t="s">
        <v>23088</v>
      </c>
      <c r="V5948" s="32">
        <v>39142.0</v>
      </c>
    </row>
    <row r="5949">
      <c r="A5949" s="32"/>
      <c r="T5949" s="31" t="s">
        <v>23091</v>
      </c>
      <c r="U5949" s="31" t="s">
        <v>23092</v>
      </c>
      <c r="V5949" s="32">
        <v>39142.0</v>
      </c>
    </row>
    <row r="5950">
      <c r="A5950" s="32"/>
      <c r="T5950" s="31" t="s">
        <v>23095</v>
      </c>
      <c r="U5950" s="31" t="s">
        <v>23096</v>
      </c>
      <c r="V5950" s="32">
        <v>39142.0</v>
      </c>
    </row>
    <row r="5951">
      <c r="A5951" s="32"/>
      <c r="T5951" s="31" t="s">
        <v>23100</v>
      </c>
      <c r="U5951" s="31" t="s">
        <v>23101</v>
      </c>
      <c r="V5951" s="32">
        <v>39142.0</v>
      </c>
    </row>
    <row r="5952">
      <c r="A5952" s="32"/>
      <c r="T5952" s="31" t="s">
        <v>23104</v>
      </c>
      <c r="U5952" s="31" t="s">
        <v>23105</v>
      </c>
      <c r="V5952" s="32">
        <v>39142.0</v>
      </c>
    </row>
    <row r="5953">
      <c r="A5953" s="32"/>
      <c r="T5953" s="31" t="s">
        <v>23108</v>
      </c>
      <c r="U5953" s="31" t="s">
        <v>23109</v>
      </c>
      <c r="V5953" s="32">
        <v>39137.0</v>
      </c>
    </row>
    <row r="5954">
      <c r="A5954" s="32"/>
      <c r="T5954" s="31" t="s">
        <v>23112</v>
      </c>
      <c r="U5954" s="31" t="s">
        <v>23113</v>
      </c>
      <c r="V5954" s="32">
        <v>39133.0</v>
      </c>
    </row>
    <row r="5955">
      <c r="A5955" s="32"/>
      <c r="T5955" s="31" t="s">
        <v>23116</v>
      </c>
      <c r="U5955" s="31" t="s">
        <v>23117</v>
      </c>
      <c r="V5955" s="32">
        <v>39118.0</v>
      </c>
    </row>
    <row r="5956">
      <c r="A5956" s="32"/>
      <c r="T5956" s="31" t="s">
        <v>23120</v>
      </c>
      <c r="U5956" s="31" t="s">
        <v>23121</v>
      </c>
      <c r="V5956" s="32">
        <v>39118.0</v>
      </c>
    </row>
    <row r="5957">
      <c r="A5957" s="32"/>
      <c r="T5957" s="31" t="s">
        <v>23124</v>
      </c>
      <c r="U5957" s="31" t="s">
        <v>23125</v>
      </c>
      <c r="V5957" s="32">
        <v>39115.0</v>
      </c>
    </row>
    <row r="5958">
      <c r="A5958" s="32"/>
      <c r="T5958" s="31" t="s">
        <v>23128</v>
      </c>
      <c r="U5958" s="31" t="s">
        <v>23129</v>
      </c>
      <c r="V5958" s="32">
        <v>39101.0</v>
      </c>
    </row>
    <row r="5959">
      <c r="A5959" s="32"/>
      <c r="T5959" s="31" t="s">
        <v>23132</v>
      </c>
      <c r="U5959" s="31" t="s">
        <v>23133</v>
      </c>
      <c r="V5959" s="32">
        <v>39094.0</v>
      </c>
    </row>
    <row r="5960">
      <c r="A5960" s="32"/>
      <c r="T5960" s="31" t="s">
        <v>23136</v>
      </c>
      <c r="U5960" s="31" t="s">
        <v>23137</v>
      </c>
      <c r="V5960" s="32">
        <v>39092.0</v>
      </c>
    </row>
    <row r="5961">
      <c r="A5961" s="32"/>
      <c r="T5961" s="31" t="s">
        <v>23140</v>
      </c>
      <c r="U5961" s="31" t="s">
        <v>23141</v>
      </c>
      <c r="V5961" s="32">
        <v>39085.0</v>
      </c>
    </row>
    <row r="5962">
      <c r="A5962" s="32"/>
      <c r="T5962" s="31" t="s">
        <v>23144</v>
      </c>
      <c r="U5962" s="31" t="s">
        <v>23145</v>
      </c>
      <c r="V5962" s="32">
        <v>39084.0</v>
      </c>
    </row>
    <row r="5963">
      <c r="A5963" s="32"/>
      <c r="T5963" s="31" t="s">
        <v>23148</v>
      </c>
      <c r="U5963" s="31" t="s">
        <v>23149</v>
      </c>
      <c r="V5963" s="32">
        <v>39083.0</v>
      </c>
    </row>
    <row r="5964">
      <c r="A5964" s="32"/>
      <c r="T5964" s="31" t="s">
        <v>23152</v>
      </c>
      <c r="U5964" s="31" t="s">
        <v>23153</v>
      </c>
      <c r="V5964" s="32">
        <v>39083.0</v>
      </c>
    </row>
    <row r="5965">
      <c r="A5965" s="32"/>
      <c r="T5965" s="31" t="s">
        <v>23156</v>
      </c>
      <c r="U5965" s="31" t="s">
        <v>23157</v>
      </c>
      <c r="V5965" s="32">
        <v>39083.0</v>
      </c>
    </row>
    <row r="5966">
      <c r="A5966" s="32"/>
      <c r="T5966" s="31" t="s">
        <v>23160</v>
      </c>
      <c r="U5966" s="31" t="s">
        <v>23161</v>
      </c>
      <c r="V5966" s="32">
        <v>39083.0</v>
      </c>
    </row>
    <row r="5967">
      <c r="A5967" s="32"/>
      <c r="T5967" s="31" t="s">
        <v>23164</v>
      </c>
      <c r="U5967" s="31" t="s">
        <v>23165</v>
      </c>
      <c r="V5967" s="32">
        <v>39083.0</v>
      </c>
    </row>
    <row r="5968">
      <c r="A5968" s="32"/>
      <c r="T5968" s="31" t="s">
        <v>23169</v>
      </c>
      <c r="U5968" s="31" t="s">
        <v>23170</v>
      </c>
      <c r="V5968" s="32">
        <v>39053.0</v>
      </c>
    </row>
    <row r="5969">
      <c r="A5969" s="32"/>
      <c r="T5969" s="31" t="s">
        <v>23173</v>
      </c>
      <c r="U5969" s="31" t="s">
        <v>23174</v>
      </c>
      <c r="V5969" s="32">
        <v>39052.0</v>
      </c>
    </row>
    <row r="5970">
      <c r="A5970" s="32"/>
      <c r="T5970" s="31" t="s">
        <v>23177</v>
      </c>
      <c r="U5970" s="31" t="s">
        <v>23178</v>
      </c>
      <c r="V5970" s="32">
        <v>39052.0</v>
      </c>
    </row>
    <row r="5971">
      <c r="A5971" s="32"/>
      <c r="T5971" s="31" t="s">
        <v>23181</v>
      </c>
      <c r="U5971" s="31" t="s">
        <v>23182</v>
      </c>
      <c r="V5971" s="32">
        <v>39052.0</v>
      </c>
    </row>
    <row r="5972">
      <c r="A5972" s="32"/>
      <c r="T5972" s="31" t="s">
        <v>23185</v>
      </c>
      <c r="U5972" s="31" t="s">
        <v>23186</v>
      </c>
      <c r="V5972" s="32">
        <v>39052.0</v>
      </c>
    </row>
    <row r="5973">
      <c r="A5973" s="32"/>
      <c r="T5973" s="31" t="s">
        <v>23189</v>
      </c>
      <c r="U5973" s="31" t="s">
        <v>23190</v>
      </c>
      <c r="V5973" s="32">
        <v>39051.0</v>
      </c>
    </row>
    <row r="5974">
      <c r="A5974" s="32"/>
      <c r="T5974" s="31" t="s">
        <v>23193</v>
      </c>
      <c r="U5974" s="31" t="s">
        <v>23194</v>
      </c>
      <c r="V5974" s="32">
        <v>39030.0</v>
      </c>
    </row>
    <row r="5975">
      <c r="A5975" s="32"/>
      <c r="T5975" s="31" t="s">
        <v>23198</v>
      </c>
      <c r="U5975" s="31" t="s">
        <v>23199</v>
      </c>
      <c r="V5975" s="32">
        <v>39022.0</v>
      </c>
    </row>
    <row r="5976">
      <c r="A5976" s="32"/>
      <c r="T5976" s="31" t="s">
        <v>23202</v>
      </c>
      <c r="U5976" s="31" t="s">
        <v>23203</v>
      </c>
      <c r="V5976" s="32">
        <v>39015.0</v>
      </c>
    </row>
    <row r="5977">
      <c r="A5977" s="32"/>
      <c r="T5977" s="31" t="s">
        <v>23206</v>
      </c>
      <c r="U5977" s="31" t="s">
        <v>23207</v>
      </c>
      <c r="V5977" s="32">
        <v>39013.0</v>
      </c>
    </row>
    <row r="5978">
      <c r="A5978" s="32"/>
      <c r="T5978" s="31" t="s">
        <v>23210</v>
      </c>
      <c r="U5978" s="31" t="s">
        <v>23211</v>
      </c>
      <c r="V5978" s="32">
        <v>39003.0</v>
      </c>
    </row>
    <row r="5979">
      <c r="A5979" s="32"/>
      <c r="T5979" s="31" t="s">
        <v>23214</v>
      </c>
      <c r="U5979" s="31" t="s">
        <v>23215</v>
      </c>
      <c r="V5979" s="32">
        <v>38991.0</v>
      </c>
    </row>
    <row r="5980">
      <c r="A5980" s="32"/>
      <c r="T5980" s="31" t="s">
        <v>23219</v>
      </c>
      <c r="U5980" s="31" t="s">
        <v>23220</v>
      </c>
      <c r="V5980" s="32">
        <v>38963.0</v>
      </c>
    </row>
    <row r="5981">
      <c r="A5981" s="32"/>
      <c r="T5981" s="31" t="s">
        <v>23223</v>
      </c>
      <c r="U5981" s="31" t="s">
        <v>23224</v>
      </c>
      <c r="V5981" s="32">
        <v>38961.0</v>
      </c>
    </row>
    <row r="5982">
      <c r="A5982" s="32"/>
      <c r="T5982" s="31" t="s">
        <v>23227</v>
      </c>
      <c r="U5982" s="31" t="s">
        <v>23228</v>
      </c>
      <c r="V5982" s="32">
        <v>38961.0</v>
      </c>
    </row>
    <row r="5983">
      <c r="A5983" s="32"/>
      <c r="T5983" s="31" t="s">
        <v>23232</v>
      </c>
      <c r="U5983" s="31" t="s">
        <v>23233</v>
      </c>
      <c r="V5983" s="32">
        <v>38961.0</v>
      </c>
    </row>
    <row r="5984">
      <c r="A5984" s="32"/>
      <c r="T5984" s="31" t="s">
        <v>23236</v>
      </c>
      <c r="U5984" s="31" t="s">
        <v>23237</v>
      </c>
      <c r="V5984" s="32">
        <v>38946.0</v>
      </c>
    </row>
    <row r="5985">
      <c r="A5985" s="32"/>
      <c r="T5985" s="31" t="s">
        <v>23240</v>
      </c>
      <c r="U5985" s="31" t="s">
        <v>23241</v>
      </c>
      <c r="V5985" s="32">
        <v>38944.0</v>
      </c>
    </row>
    <row r="5986">
      <c r="A5986" s="32"/>
      <c r="T5986" s="31" t="s">
        <v>23244</v>
      </c>
      <c r="U5986" s="31" t="s">
        <v>23245</v>
      </c>
      <c r="V5986" s="32">
        <v>38932.0</v>
      </c>
    </row>
    <row r="5987">
      <c r="A5987" s="32"/>
      <c r="T5987" s="31" t="s">
        <v>23248</v>
      </c>
      <c r="U5987" s="31" t="s">
        <v>23249</v>
      </c>
      <c r="V5987" s="32">
        <v>38932.0</v>
      </c>
    </row>
    <row r="5988">
      <c r="A5988" s="32"/>
      <c r="T5988" s="31" t="s">
        <v>23252</v>
      </c>
      <c r="U5988" s="31" t="s">
        <v>23253</v>
      </c>
      <c r="V5988" s="32">
        <v>38930.0</v>
      </c>
    </row>
    <row r="5989">
      <c r="A5989" s="32"/>
      <c r="T5989" s="31" t="s">
        <v>23256</v>
      </c>
      <c r="U5989" s="31" t="s">
        <v>23257</v>
      </c>
      <c r="V5989" s="32">
        <v>38930.0</v>
      </c>
    </row>
    <row r="5990">
      <c r="A5990" s="32"/>
      <c r="T5990" s="31" t="s">
        <v>23260</v>
      </c>
      <c r="U5990" s="31" t="s">
        <v>23261</v>
      </c>
      <c r="V5990" s="32">
        <v>38930.0</v>
      </c>
    </row>
    <row r="5991">
      <c r="A5991" s="32"/>
      <c r="T5991" s="31" t="s">
        <v>23264</v>
      </c>
      <c r="U5991" s="31" t="s">
        <v>23265</v>
      </c>
      <c r="V5991" s="32">
        <v>38909.0</v>
      </c>
    </row>
    <row r="5992">
      <c r="A5992" s="32"/>
      <c r="T5992" s="31" t="s">
        <v>23268</v>
      </c>
      <c r="U5992" s="31" t="s">
        <v>23269</v>
      </c>
      <c r="V5992" s="32">
        <v>38909.0</v>
      </c>
    </row>
    <row r="5993">
      <c r="A5993" s="32"/>
      <c r="T5993" s="31" t="s">
        <v>23272</v>
      </c>
      <c r="U5993" s="31" t="s">
        <v>23273</v>
      </c>
      <c r="V5993" s="32">
        <v>38899.0</v>
      </c>
    </row>
    <row r="5994">
      <c r="A5994" s="32"/>
      <c r="T5994" s="31" t="s">
        <v>23277</v>
      </c>
      <c r="U5994" s="31" t="s">
        <v>23278</v>
      </c>
      <c r="V5994" s="32">
        <v>38895.0</v>
      </c>
    </row>
    <row r="5995">
      <c r="A5995" s="32"/>
      <c r="T5995" s="31" t="s">
        <v>23281</v>
      </c>
      <c r="U5995" s="31" t="s">
        <v>23282</v>
      </c>
      <c r="V5995" s="32">
        <v>38888.0</v>
      </c>
    </row>
    <row r="5996">
      <c r="A5996" s="32"/>
      <c r="T5996" s="31" t="s">
        <v>23285</v>
      </c>
      <c r="U5996" s="31" t="s">
        <v>23286</v>
      </c>
      <c r="V5996" s="32">
        <v>38887.0</v>
      </c>
    </row>
    <row r="5997">
      <c r="A5997" s="32"/>
      <c r="T5997" s="31" t="s">
        <v>23289</v>
      </c>
      <c r="U5997" s="31" t="s">
        <v>23290</v>
      </c>
      <c r="V5997" s="32">
        <v>38869.0</v>
      </c>
    </row>
    <row r="5998">
      <c r="A5998" s="32"/>
      <c r="T5998" s="31" t="s">
        <v>23293</v>
      </c>
      <c r="U5998" s="31" t="s">
        <v>23294</v>
      </c>
      <c r="V5998" s="32">
        <v>38869.0</v>
      </c>
    </row>
    <row r="5999">
      <c r="A5999" s="32"/>
      <c r="T5999" s="31" t="s">
        <v>23297</v>
      </c>
      <c r="U5999" s="31" t="s">
        <v>23298</v>
      </c>
      <c r="V5999" s="32">
        <v>38869.0</v>
      </c>
    </row>
    <row r="6000">
      <c r="A6000" s="32"/>
      <c r="T6000" s="31" t="s">
        <v>23301</v>
      </c>
      <c r="U6000" s="31" t="s">
        <v>23302</v>
      </c>
      <c r="V6000" s="32">
        <v>38869.0</v>
      </c>
    </row>
    <row r="6001">
      <c r="A6001" s="32"/>
      <c r="T6001" s="31" t="s">
        <v>23305</v>
      </c>
      <c r="U6001" s="31" t="s">
        <v>23306</v>
      </c>
      <c r="V6001" s="32">
        <v>38850.0</v>
      </c>
    </row>
    <row r="6002">
      <c r="A6002" s="32"/>
      <c r="T6002" s="31" t="s">
        <v>23308</v>
      </c>
      <c r="U6002" s="31" t="s">
        <v>23309</v>
      </c>
      <c r="V6002" s="32">
        <v>38848.0</v>
      </c>
    </row>
    <row r="6003">
      <c r="A6003" s="32"/>
      <c r="T6003" s="31" t="s">
        <v>23312</v>
      </c>
      <c r="U6003" s="31" t="s">
        <v>23313</v>
      </c>
      <c r="V6003" s="32">
        <v>38838.0</v>
      </c>
    </row>
    <row r="6004">
      <c r="A6004" s="32"/>
      <c r="T6004" s="31" t="s">
        <v>23316</v>
      </c>
      <c r="U6004" s="31" t="s">
        <v>23317</v>
      </c>
      <c r="V6004" s="32">
        <v>38834.0</v>
      </c>
    </row>
    <row r="6005">
      <c r="A6005" s="32"/>
      <c r="T6005" s="31" t="s">
        <v>23321</v>
      </c>
      <c r="U6005" s="31" t="s">
        <v>23322</v>
      </c>
      <c r="V6005" s="32">
        <v>38831.0</v>
      </c>
    </row>
    <row r="6006">
      <c r="A6006" s="32"/>
      <c r="T6006" s="31" t="s">
        <v>23325</v>
      </c>
      <c r="U6006" s="31" t="s">
        <v>23326</v>
      </c>
      <c r="V6006" s="32">
        <v>38824.0</v>
      </c>
    </row>
    <row r="6007">
      <c r="A6007" s="32"/>
      <c r="T6007" s="31" t="s">
        <v>23329</v>
      </c>
      <c r="U6007" s="31" t="s">
        <v>23330</v>
      </c>
      <c r="V6007" s="32">
        <v>38808.0</v>
      </c>
    </row>
    <row r="6008">
      <c r="A6008" s="32"/>
      <c r="T6008" s="31" t="s">
        <v>23333</v>
      </c>
      <c r="U6008" s="31" t="s">
        <v>23334</v>
      </c>
      <c r="V6008" s="32">
        <v>38808.0</v>
      </c>
    </row>
    <row r="6009">
      <c r="A6009" s="32"/>
      <c r="T6009" s="31" t="s">
        <v>23337</v>
      </c>
      <c r="U6009" s="31" t="s">
        <v>23338</v>
      </c>
      <c r="V6009" s="32">
        <v>38796.0</v>
      </c>
    </row>
    <row r="6010">
      <c r="A6010" s="32"/>
      <c r="T6010" s="31" t="s">
        <v>23340</v>
      </c>
      <c r="U6010" s="31" t="s">
        <v>23341</v>
      </c>
      <c r="V6010" s="32">
        <v>38789.0</v>
      </c>
    </row>
    <row r="6011">
      <c r="A6011" s="32"/>
      <c r="T6011" s="31" t="s">
        <v>23344</v>
      </c>
      <c r="U6011" s="31" t="s">
        <v>23345</v>
      </c>
      <c r="V6011" s="32">
        <v>38787.0</v>
      </c>
    </row>
    <row r="6012">
      <c r="A6012" s="32"/>
      <c r="T6012" s="31" t="s">
        <v>23348</v>
      </c>
      <c r="U6012" s="31" t="s">
        <v>23349</v>
      </c>
      <c r="V6012" s="32">
        <v>38777.0</v>
      </c>
    </row>
    <row r="6013">
      <c r="A6013" s="32"/>
      <c r="T6013" s="31" t="s">
        <v>23352</v>
      </c>
      <c r="U6013" s="31" t="s">
        <v>23353</v>
      </c>
      <c r="V6013" s="32">
        <v>38777.0</v>
      </c>
    </row>
    <row r="6014">
      <c r="A6014" s="32"/>
      <c r="T6014" s="31" t="s">
        <v>23356</v>
      </c>
      <c r="U6014" s="31" t="s">
        <v>23357</v>
      </c>
      <c r="V6014" s="32">
        <v>38777.0</v>
      </c>
    </row>
    <row r="6015">
      <c r="A6015" s="32"/>
      <c r="T6015" s="31" t="s">
        <v>23360</v>
      </c>
      <c r="U6015" s="31" t="s">
        <v>23361</v>
      </c>
      <c r="V6015" s="32">
        <v>38776.0</v>
      </c>
    </row>
    <row r="6016">
      <c r="A6016" s="32"/>
      <c r="T6016" s="31" t="s">
        <v>23363</v>
      </c>
      <c r="U6016" s="31" t="s">
        <v>23364</v>
      </c>
      <c r="V6016" s="32">
        <v>38771.0</v>
      </c>
    </row>
    <row r="6017">
      <c r="A6017" s="32"/>
      <c r="T6017" s="31" t="s">
        <v>23367</v>
      </c>
      <c r="U6017" s="31" t="s">
        <v>23368</v>
      </c>
      <c r="V6017" s="32">
        <v>38768.0</v>
      </c>
    </row>
    <row r="6018">
      <c r="A6018" s="32"/>
      <c r="T6018" s="31" t="s">
        <v>23371</v>
      </c>
      <c r="U6018" s="31" t="s">
        <v>23372</v>
      </c>
      <c r="V6018" s="32">
        <v>38755.0</v>
      </c>
    </row>
    <row r="6019">
      <c r="A6019" s="32"/>
      <c r="T6019" s="31" t="s">
        <v>23375</v>
      </c>
      <c r="U6019" s="31" t="s">
        <v>23376</v>
      </c>
      <c r="V6019" s="32">
        <v>38735.0</v>
      </c>
    </row>
    <row r="6020">
      <c r="A6020" s="32"/>
      <c r="T6020" s="31" t="s">
        <v>23379</v>
      </c>
      <c r="U6020" s="31" t="s">
        <v>23380</v>
      </c>
      <c r="V6020" s="32">
        <v>38733.0</v>
      </c>
    </row>
    <row r="6021">
      <c r="A6021" s="32"/>
      <c r="T6021" s="31" t="s">
        <v>23383</v>
      </c>
      <c r="U6021" s="31" t="s">
        <v>23384</v>
      </c>
      <c r="V6021" s="32">
        <v>38721.0</v>
      </c>
    </row>
    <row r="6022">
      <c r="A6022" s="32"/>
      <c r="T6022" s="31" t="s">
        <v>23387</v>
      </c>
      <c r="U6022" s="31" t="s">
        <v>23388</v>
      </c>
      <c r="V6022" s="32">
        <v>38721.0</v>
      </c>
    </row>
    <row r="6023">
      <c r="A6023" s="32"/>
      <c r="T6023" s="31" t="s">
        <v>23391</v>
      </c>
      <c r="U6023" s="31" t="s">
        <v>23392</v>
      </c>
      <c r="V6023" s="32">
        <v>38718.0</v>
      </c>
    </row>
    <row r="6024">
      <c r="A6024" s="32"/>
      <c r="T6024" s="31" t="s">
        <v>23395</v>
      </c>
      <c r="U6024" s="31" t="s">
        <v>23396</v>
      </c>
      <c r="V6024" s="32">
        <v>38718.0</v>
      </c>
    </row>
    <row r="6025">
      <c r="A6025" s="32"/>
      <c r="T6025" s="31" t="s">
        <v>23399</v>
      </c>
      <c r="U6025" s="31" t="s">
        <v>23400</v>
      </c>
      <c r="V6025" s="32">
        <v>38718.0</v>
      </c>
    </row>
    <row r="6026">
      <c r="A6026" s="32"/>
      <c r="T6026" s="31" t="s">
        <v>23403</v>
      </c>
      <c r="U6026" s="31" t="s">
        <v>23404</v>
      </c>
      <c r="V6026" s="32">
        <v>38718.0</v>
      </c>
    </row>
    <row r="6027">
      <c r="A6027" s="32"/>
      <c r="T6027" s="31" t="s">
        <v>23408</v>
      </c>
      <c r="U6027" s="31" t="s">
        <v>23409</v>
      </c>
      <c r="V6027" s="32">
        <v>38718.0</v>
      </c>
    </row>
    <row r="6028">
      <c r="A6028" s="32"/>
      <c r="T6028" s="31" t="s">
        <v>23412</v>
      </c>
      <c r="U6028" s="31" t="s">
        <v>23413</v>
      </c>
      <c r="V6028" s="32">
        <v>38718.0</v>
      </c>
    </row>
    <row r="6029">
      <c r="A6029" s="32"/>
      <c r="T6029" s="31" t="s">
        <v>23416</v>
      </c>
      <c r="U6029" s="31" t="s">
        <v>23417</v>
      </c>
      <c r="V6029" s="32">
        <v>38718.0</v>
      </c>
    </row>
    <row r="6030">
      <c r="A6030" s="32"/>
      <c r="T6030" s="31" t="s">
        <v>23420</v>
      </c>
      <c r="U6030" s="31" t="s">
        <v>23421</v>
      </c>
      <c r="V6030" s="32">
        <v>38718.0</v>
      </c>
    </row>
    <row r="6031">
      <c r="A6031" s="32"/>
      <c r="T6031" s="31" t="s">
        <v>23424</v>
      </c>
      <c r="U6031" s="31" t="s">
        <v>23425</v>
      </c>
      <c r="V6031" s="32">
        <v>38707.0</v>
      </c>
    </row>
    <row r="6032">
      <c r="A6032" s="32"/>
      <c r="T6032" s="31" t="s">
        <v>23428</v>
      </c>
      <c r="U6032" s="31" t="s">
        <v>22611</v>
      </c>
      <c r="V6032" s="32">
        <v>38703.0</v>
      </c>
    </row>
    <row r="6033">
      <c r="A6033" s="32"/>
      <c r="T6033" s="31" t="s">
        <v>23431</v>
      </c>
      <c r="U6033" s="31" t="s">
        <v>23432</v>
      </c>
      <c r="V6033" s="32">
        <v>38687.0</v>
      </c>
    </row>
    <row r="6034">
      <c r="A6034" s="32"/>
      <c r="T6034" s="31" t="s">
        <v>23435</v>
      </c>
      <c r="U6034" s="31" t="s">
        <v>23436</v>
      </c>
      <c r="V6034" s="32">
        <v>38687.0</v>
      </c>
    </row>
    <row r="6035">
      <c r="A6035" s="32"/>
      <c r="T6035" s="31" t="s">
        <v>23439</v>
      </c>
      <c r="U6035" s="31" t="s">
        <v>23440</v>
      </c>
      <c r="V6035" s="32">
        <v>38687.0</v>
      </c>
    </row>
    <row r="6036">
      <c r="A6036" s="32"/>
      <c r="T6036" s="31" t="s">
        <v>23443</v>
      </c>
      <c r="U6036" s="31" t="s">
        <v>23444</v>
      </c>
      <c r="V6036" s="32">
        <v>38687.0</v>
      </c>
    </row>
    <row r="6037">
      <c r="A6037" s="32"/>
      <c r="T6037" s="31" t="s">
        <v>23447</v>
      </c>
      <c r="U6037" s="31" t="s">
        <v>23448</v>
      </c>
      <c r="V6037" s="32">
        <v>38679.0</v>
      </c>
    </row>
    <row r="6038">
      <c r="A6038" s="32"/>
      <c r="T6038" s="31" t="s">
        <v>23451</v>
      </c>
      <c r="U6038" s="31" t="s">
        <v>23452</v>
      </c>
      <c r="V6038" s="32">
        <v>38677.0</v>
      </c>
    </row>
    <row r="6039">
      <c r="A6039" s="32"/>
      <c r="T6039" s="31" t="s">
        <v>23455</v>
      </c>
      <c r="U6039" s="31" t="s">
        <v>23456</v>
      </c>
      <c r="V6039" s="32">
        <v>38657.0</v>
      </c>
    </row>
    <row r="6040">
      <c r="A6040" s="32"/>
      <c r="T6040" s="31" t="s">
        <v>23459</v>
      </c>
      <c r="U6040" s="31" t="s">
        <v>23460</v>
      </c>
      <c r="V6040" s="32">
        <v>38657.0</v>
      </c>
    </row>
    <row r="6041">
      <c r="A6041" s="32"/>
      <c r="T6041" s="31" t="s">
        <v>23463</v>
      </c>
      <c r="U6041" s="31" t="s">
        <v>23464</v>
      </c>
      <c r="V6041" s="32">
        <v>38641.0</v>
      </c>
    </row>
    <row r="6042">
      <c r="A6042" s="32"/>
      <c r="T6042" s="31" t="s">
        <v>23467</v>
      </c>
      <c r="U6042" s="31" t="s">
        <v>23421</v>
      </c>
      <c r="V6042" s="32">
        <v>38638.0</v>
      </c>
    </row>
    <row r="6043">
      <c r="A6043" s="32"/>
      <c r="T6043" s="31" t="s">
        <v>23470</v>
      </c>
      <c r="U6043" s="31" t="s">
        <v>23471</v>
      </c>
      <c r="V6043" s="32">
        <v>38626.0</v>
      </c>
    </row>
    <row r="6044">
      <c r="A6044" s="32"/>
      <c r="T6044" s="31" t="s">
        <v>23474</v>
      </c>
      <c r="U6044" s="31" t="s">
        <v>23475</v>
      </c>
      <c r="V6044" s="32">
        <v>38626.0</v>
      </c>
    </row>
    <row r="6045">
      <c r="A6045" s="32"/>
      <c r="T6045" s="31" t="s">
        <v>23478</v>
      </c>
      <c r="U6045" s="31" t="s">
        <v>23479</v>
      </c>
      <c r="V6045" s="32">
        <v>38625.0</v>
      </c>
    </row>
    <row r="6046">
      <c r="A6046" s="32"/>
      <c r="T6046" s="31" t="s">
        <v>23482</v>
      </c>
      <c r="U6046" s="31" t="s">
        <v>23483</v>
      </c>
      <c r="V6046" s="32">
        <v>38624.0</v>
      </c>
    </row>
    <row r="6047">
      <c r="A6047" s="32"/>
      <c r="T6047" s="31" t="s">
        <v>23486</v>
      </c>
      <c r="U6047" s="31" t="s">
        <v>23088</v>
      </c>
      <c r="V6047" s="32">
        <v>38621.0</v>
      </c>
    </row>
    <row r="6048">
      <c r="A6048" s="32"/>
      <c r="T6048" s="31" t="s">
        <v>23488</v>
      </c>
      <c r="U6048" s="31" t="s">
        <v>23489</v>
      </c>
      <c r="V6048" s="32">
        <v>38610.0</v>
      </c>
    </row>
    <row r="6049">
      <c r="A6049" s="32"/>
      <c r="T6049" s="31" t="s">
        <v>23492</v>
      </c>
      <c r="U6049" s="31" t="s">
        <v>23493</v>
      </c>
      <c r="V6049" s="32">
        <v>38604.0</v>
      </c>
    </row>
    <row r="6050">
      <c r="A6050" s="32"/>
      <c r="T6050" s="31" t="s">
        <v>23496</v>
      </c>
      <c r="U6050" s="31" t="s">
        <v>23497</v>
      </c>
      <c r="V6050" s="32">
        <v>38581.0</v>
      </c>
    </row>
    <row r="6051">
      <c r="A6051" s="32"/>
      <c r="T6051" s="31" t="s">
        <v>23500</v>
      </c>
      <c r="U6051" s="31" t="s">
        <v>23501</v>
      </c>
      <c r="V6051" s="32">
        <v>38581.0</v>
      </c>
    </row>
    <row r="6052">
      <c r="A6052" s="32"/>
      <c r="T6052" s="31" t="s">
        <v>23504</v>
      </c>
      <c r="U6052" s="31" t="s">
        <v>23505</v>
      </c>
      <c r="V6052" s="32">
        <v>38573.0</v>
      </c>
    </row>
    <row r="6053">
      <c r="A6053" s="32"/>
      <c r="T6053" s="31" t="s">
        <v>23508</v>
      </c>
      <c r="U6053" s="31" t="s">
        <v>23509</v>
      </c>
      <c r="V6053" s="32">
        <v>38565.0</v>
      </c>
    </row>
    <row r="6054">
      <c r="A6054" s="32"/>
      <c r="T6054" s="31" t="s">
        <v>23512</v>
      </c>
      <c r="U6054" s="31" t="s">
        <v>23513</v>
      </c>
      <c r="V6054" s="32">
        <v>38565.0</v>
      </c>
    </row>
    <row r="6055">
      <c r="A6055" s="32"/>
      <c r="T6055" s="31" t="s">
        <v>23516</v>
      </c>
      <c r="U6055" s="31" t="s">
        <v>23517</v>
      </c>
      <c r="V6055" s="32">
        <v>38565.0</v>
      </c>
    </row>
    <row r="6056">
      <c r="A6056" s="32"/>
      <c r="T6056" s="31" t="s">
        <v>23520</v>
      </c>
      <c r="U6056" s="31" t="s">
        <v>23521</v>
      </c>
      <c r="V6056" s="32">
        <v>38565.0</v>
      </c>
    </row>
    <row r="6057">
      <c r="A6057" s="32"/>
      <c r="T6057" s="31" t="s">
        <v>23524</v>
      </c>
      <c r="U6057" s="31" t="s">
        <v>23493</v>
      </c>
      <c r="V6057" s="32">
        <v>38553.0</v>
      </c>
    </row>
    <row r="6058">
      <c r="A6058" s="32"/>
      <c r="T6058" s="31" t="s">
        <v>23527</v>
      </c>
      <c r="U6058" s="31" t="s">
        <v>23528</v>
      </c>
      <c r="V6058" s="32">
        <v>38552.0</v>
      </c>
    </row>
    <row r="6059">
      <c r="A6059" s="32"/>
      <c r="T6059" s="31" t="s">
        <v>23531</v>
      </c>
      <c r="U6059" s="31" t="s">
        <v>23532</v>
      </c>
      <c r="V6059" s="32">
        <v>38549.0</v>
      </c>
    </row>
    <row r="6060">
      <c r="A6060" s="32"/>
      <c r="T6060" s="31" t="s">
        <v>23534</v>
      </c>
      <c r="U6060" s="31" t="s">
        <v>23535</v>
      </c>
      <c r="V6060" s="32">
        <v>38548.0</v>
      </c>
    </row>
    <row r="6061">
      <c r="A6061" s="32"/>
      <c r="T6061" s="31" t="s">
        <v>23538</v>
      </c>
      <c r="U6061" s="31" t="s">
        <v>23539</v>
      </c>
      <c r="V6061" s="32">
        <v>38541.0</v>
      </c>
    </row>
    <row r="6062">
      <c r="A6062" s="32"/>
      <c r="T6062" s="31" t="s">
        <v>23542</v>
      </c>
      <c r="U6062" s="31" t="s">
        <v>23543</v>
      </c>
      <c r="V6062" s="32">
        <v>38540.0</v>
      </c>
    </row>
    <row r="6063">
      <c r="A6063" s="32"/>
      <c r="T6063" s="31" t="s">
        <v>23546</v>
      </c>
      <c r="U6063" s="31" t="s">
        <v>23547</v>
      </c>
      <c r="V6063" s="32">
        <v>38534.0</v>
      </c>
    </row>
    <row r="6064">
      <c r="A6064" s="32"/>
      <c r="T6064" s="31" t="s">
        <v>23550</v>
      </c>
      <c r="U6064" s="31" t="s">
        <v>23551</v>
      </c>
      <c r="V6064" s="32">
        <v>38534.0</v>
      </c>
    </row>
    <row r="6065">
      <c r="A6065" s="32"/>
      <c r="T6065" s="31" t="s">
        <v>23554</v>
      </c>
      <c r="U6065" s="31" t="s">
        <v>23396</v>
      </c>
      <c r="V6065" s="32">
        <v>38534.0</v>
      </c>
    </row>
    <row r="6066">
      <c r="A6066" s="32"/>
      <c r="T6066" s="31" t="s">
        <v>23557</v>
      </c>
      <c r="U6066" s="31" t="s">
        <v>23558</v>
      </c>
      <c r="V6066" s="32">
        <v>38524.0</v>
      </c>
    </row>
    <row r="6067">
      <c r="A6067" s="32"/>
      <c r="T6067" s="31" t="s">
        <v>23561</v>
      </c>
      <c r="U6067" s="31" t="s">
        <v>23562</v>
      </c>
      <c r="V6067" s="32">
        <v>38520.0</v>
      </c>
    </row>
    <row r="6068">
      <c r="A6068" s="32"/>
      <c r="T6068" s="31" t="s">
        <v>23565</v>
      </c>
      <c r="U6068" s="31" t="s">
        <v>23566</v>
      </c>
      <c r="V6068" s="32">
        <v>38519.0</v>
      </c>
    </row>
    <row r="6069">
      <c r="A6069" s="32"/>
      <c r="T6069" s="31" t="s">
        <v>23569</v>
      </c>
      <c r="U6069" s="31" t="s">
        <v>23570</v>
      </c>
      <c r="V6069" s="32">
        <v>38519.0</v>
      </c>
    </row>
    <row r="6070">
      <c r="A6070" s="32"/>
      <c r="T6070" s="31" t="s">
        <v>23573</v>
      </c>
      <c r="U6070" s="31" t="s">
        <v>23574</v>
      </c>
      <c r="V6070" s="32">
        <v>38505.0</v>
      </c>
    </row>
    <row r="6071">
      <c r="A6071" s="32"/>
      <c r="T6071" s="31" t="s">
        <v>23577</v>
      </c>
      <c r="U6071" s="31" t="s">
        <v>23578</v>
      </c>
      <c r="V6071" s="32">
        <v>38504.0</v>
      </c>
    </row>
    <row r="6072">
      <c r="A6072" s="32"/>
      <c r="T6072" s="31" t="s">
        <v>23581</v>
      </c>
      <c r="U6072" s="31" t="s">
        <v>23582</v>
      </c>
      <c r="V6072" s="32">
        <v>38504.0</v>
      </c>
    </row>
    <row r="6073">
      <c r="A6073" s="32"/>
      <c r="T6073" s="31" t="s">
        <v>23585</v>
      </c>
      <c r="U6073" s="31" t="s">
        <v>23586</v>
      </c>
      <c r="V6073" s="32">
        <v>38504.0</v>
      </c>
    </row>
    <row r="6074">
      <c r="A6074" s="32"/>
      <c r="T6074" s="31" t="s">
        <v>23589</v>
      </c>
      <c r="U6074" s="31" t="s">
        <v>23590</v>
      </c>
      <c r="V6074" s="32">
        <v>38473.0</v>
      </c>
    </row>
    <row r="6075">
      <c r="A6075" s="32"/>
      <c r="T6075" s="31" t="s">
        <v>23593</v>
      </c>
      <c r="U6075" s="31" t="s">
        <v>22905</v>
      </c>
      <c r="V6075" s="32">
        <v>38471.0</v>
      </c>
    </row>
    <row r="6076">
      <c r="A6076" s="32"/>
      <c r="T6076" s="31" t="s">
        <v>23596</v>
      </c>
      <c r="U6076" s="31" t="s">
        <v>23597</v>
      </c>
      <c r="V6076" s="32">
        <v>38470.0</v>
      </c>
    </row>
    <row r="6077">
      <c r="A6077" s="32"/>
      <c r="T6077" s="31" t="s">
        <v>23600</v>
      </c>
      <c r="U6077" s="31" t="s">
        <v>23601</v>
      </c>
      <c r="V6077" s="32">
        <v>38470.0</v>
      </c>
    </row>
    <row r="6078">
      <c r="A6078" s="32"/>
      <c r="T6078" s="31" t="s">
        <v>23604</v>
      </c>
      <c r="U6078" s="31" t="s">
        <v>23605</v>
      </c>
      <c r="V6078" s="32">
        <v>38467.0</v>
      </c>
    </row>
    <row r="6079">
      <c r="A6079" s="32"/>
      <c r="T6079" s="31" t="s">
        <v>23608</v>
      </c>
      <c r="U6079" s="31" t="s">
        <v>23609</v>
      </c>
      <c r="V6079" s="32">
        <v>38463.0</v>
      </c>
    </row>
    <row r="6080">
      <c r="A6080" s="32"/>
      <c r="T6080" s="31" t="s">
        <v>23612</v>
      </c>
      <c r="U6080" s="31" t="s">
        <v>23566</v>
      </c>
      <c r="V6080" s="32">
        <v>38463.0</v>
      </c>
    </row>
    <row r="6081">
      <c r="A6081" s="32"/>
      <c r="T6081" s="31" t="s">
        <v>23615</v>
      </c>
      <c r="U6081" s="31" t="s">
        <v>23616</v>
      </c>
      <c r="V6081" s="32">
        <v>38455.0</v>
      </c>
    </row>
    <row r="6082">
      <c r="A6082" s="32"/>
      <c r="T6082" s="31" t="s">
        <v>23619</v>
      </c>
      <c r="U6082" s="31" t="s">
        <v>23620</v>
      </c>
      <c r="V6082" s="32">
        <v>38453.0</v>
      </c>
    </row>
    <row r="6083">
      <c r="A6083" s="32"/>
      <c r="T6083" s="31" t="s">
        <v>23623</v>
      </c>
      <c r="U6083" s="31" t="s">
        <v>23440</v>
      </c>
      <c r="V6083" s="32">
        <v>38443.0</v>
      </c>
    </row>
    <row r="6084">
      <c r="A6084" s="32"/>
      <c r="T6084" s="31" t="s">
        <v>23626</v>
      </c>
      <c r="U6084" s="31" t="s">
        <v>23627</v>
      </c>
      <c r="V6084" s="32">
        <v>38443.0</v>
      </c>
    </row>
    <row r="6085">
      <c r="A6085" s="32"/>
      <c r="T6085" s="31" t="s">
        <v>23630</v>
      </c>
      <c r="U6085" s="31" t="s">
        <v>23475</v>
      </c>
      <c r="V6085" s="32">
        <v>38443.0</v>
      </c>
    </row>
    <row r="6086">
      <c r="A6086" s="32"/>
      <c r="T6086" s="31" t="s">
        <v>23633</v>
      </c>
      <c r="U6086" s="31" t="s">
        <v>23634</v>
      </c>
      <c r="V6086" s="32">
        <v>38443.0</v>
      </c>
    </row>
    <row r="6087">
      <c r="A6087" s="32"/>
      <c r="T6087" s="31" t="s">
        <v>23637</v>
      </c>
      <c r="U6087" s="31" t="s">
        <v>23638</v>
      </c>
      <c r="V6087" s="32">
        <v>38419.0</v>
      </c>
    </row>
    <row r="6088">
      <c r="A6088" s="32"/>
      <c r="T6088" s="31" t="s">
        <v>23641</v>
      </c>
      <c r="U6088" s="31" t="s">
        <v>23642</v>
      </c>
      <c r="V6088" s="32">
        <v>38414.0</v>
      </c>
    </row>
    <row r="6089">
      <c r="A6089" s="32"/>
      <c r="T6089" s="31" t="s">
        <v>23645</v>
      </c>
      <c r="U6089" s="31" t="s">
        <v>23646</v>
      </c>
      <c r="V6089" s="32">
        <v>38397.0</v>
      </c>
    </row>
    <row r="6090">
      <c r="A6090" s="32"/>
      <c r="T6090" s="31" t="s">
        <v>23649</v>
      </c>
      <c r="U6090" s="31" t="s">
        <v>23650</v>
      </c>
      <c r="V6090" s="32">
        <v>38384.0</v>
      </c>
    </row>
    <row r="6091">
      <c r="A6091" s="32"/>
      <c r="T6091" s="31" t="s">
        <v>23653</v>
      </c>
      <c r="U6091" s="31" t="s">
        <v>23654</v>
      </c>
      <c r="V6091" s="32">
        <v>38384.0</v>
      </c>
    </row>
    <row r="6092">
      <c r="A6092" s="32"/>
      <c r="T6092" s="31" t="s">
        <v>23657</v>
      </c>
      <c r="U6092" s="31" t="s">
        <v>23493</v>
      </c>
      <c r="V6092" s="32">
        <v>38384.0</v>
      </c>
    </row>
    <row r="6093">
      <c r="A6093" s="32"/>
      <c r="T6093" s="31" t="s">
        <v>23660</v>
      </c>
      <c r="U6093" s="31" t="s">
        <v>23661</v>
      </c>
      <c r="V6093" s="32">
        <v>38384.0</v>
      </c>
    </row>
    <row r="6094">
      <c r="A6094" s="32"/>
      <c r="T6094" s="31" t="s">
        <v>23664</v>
      </c>
      <c r="U6094" s="31" t="s">
        <v>23665</v>
      </c>
      <c r="V6094" s="32">
        <v>38384.0</v>
      </c>
    </row>
    <row r="6095">
      <c r="A6095" s="32"/>
      <c r="T6095" s="31" t="s">
        <v>23668</v>
      </c>
      <c r="U6095" s="31" t="s">
        <v>23669</v>
      </c>
      <c r="V6095" s="32">
        <v>38384.0</v>
      </c>
    </row>
    <row r="6096">
      <c r="A6096" s="32"/>
      <c r="T6096" s="31" t="s">
        <v>23672</v>
      </c>
      <c r="U6096" s="31" t="s">
        <v>23673</v>
      </c>
      <c r="V6096" s="32">
        <v>38364.0</v>
      </c>
    </row>
    <row r="6097">
      <c r="A6097" s="32"/>
      <c r="T6097" s="31" t="s">
        <v>23676</v>
      </c>
      <c r="U6097" s="31" t="s">
        <v>23551</v>
      </c>
      <c r="V6097" s="32">
        <v>38359.0</v>
      </c>
    </row>
    <row r="6098">
      <c r="A6098" s="32"/>
      <c r="T6098" s="31" t="s">
        <v>23679</v>
      </c>
      <c r="U6098" s="31" t="s">
        <v>23680</v>
      </c>
      <c r="V6098" s="32">
        <v>38353.0</v>
      </c>
    </row>
    <row r="6099">
      <c r="A6099" s="32"/>
      <c r="T6099" s="31" t="s">
        <v>23683</v>
      </c>
      <c r="U6099" s="31" t="s">
        <v>23684</v>
      </c>
      <c r="V6099" s="32">
        <v>38353.0</v>
      </c>
    </row>
    <row r="6100">
      <c r="A6100" s="32"/>
      <c r="T6100" s="31" t="s">
        <v>23687</v>
      </c>
      <c r="U6100" s="31" t="s">
        <v>23680</v>
      </c>
      <c r="V6100" s="32">
        <v>38353.0</v>
      </c>
    </row>
    <row r="6101">
      <c r="A6101" s="32"/>
      <c r="T6101" s="31" t="s">
        <v>23690</v>
      </c>
      <c r="U6101" s="31" t="s">
        <v>23691</v>
      </c>
      <c r="V6101" s="32">
        <v>38353.0</v>
      </c>
    </row>
    <row r="6102">
      <c r="A6102" s="32"/>
      <c r="T6102" s="31" t="s">
        <v>23694</v>
      </c>
      <c r="U6102" s="31" t="s">
        <v>23695</v>
      </c>
      <c r="V6102" s="32">
        <v>38353.0</v>
      </c>
    </row>
    <row r="6103">
      <c r="A6103" s="32"/>
      <c r="T6103" s="31" t="s">
        <v>23698</v>
      </c>
      <c r="U6103" s="31" t="s">
        <v>23464</v>
      </c>
      <c r="V6103" s="32">
        <v>38353.0</v>
      </c>
    </row>
    <row r="6104">
      <c r="A6104" s="32"/>
      <c r="T6104" s="31" t="s">
        <v>23701</v>
      </c>
      <c r="U6104" s="31" t="s">
        <v>23702</v>
      </c>
      <c r="V6104" s="32">
        <v>38323.0</v>
      </c>
    </row>
    <row r="6105">
      <c r="A6105" s="32"/>
      <c r="T6105" s="31" t="s">
        <v>23705</v>
      </c>
      <c r="U6105" s="31" t="s">
        <v>23706</v>
      </c>
      <c r="V6105" s="32">
        <v>38322.0</v>
      </c>
    </row>
    <row r="6106">
      <c r="A6106" s="32"/>
      <c r="T6106" s="31" t="s">
        <v>23709</v>
      </c>
      <c r="U6106" s="31" t="s">
        <v>23710</v>
      </c>
      <c r="V6106" s="32">
        <v>38322.0</v>
      </c>
    </row>
    <row r="6107">
      <c r="A6107" s="32"/>
      <c r="T6107" s="31" t="s">
        <v>23713</v>
      </c>
      <c r="U6107" s="31" t="s">
        <v>23714</v>
      </c>
      <c r="V6107" s="32">
        <v>38322.0</v>
      </c>
    </row>
    <row r="6108">
      <c r="A6108" s="32"/>
      <c r="T6108" s="31" t="s">
        <v>23717</v>
      </c>
      <c r="U6108" s="31" t="s">
        <v>23718</v>
      </c>
      <c r="V6108" s="32">
        <v>38321.0</v>
      </c>
    </row>
    <row r="6109">
      <c r="A6109" s="32"/>
      <c r="T6109" s="31" t="s">
        <v>23721</v>
      </c>
      <c r="U6109" s="31" t="s">
        <v>23722</v>
      </c>
      <c r="V6109" s="32">
        <v>38321.0</v>
      </c>
    </row>
    <row r="6110">
      <c r="A6110" s="32"/>
      <c r="T6110" s="31" t="s">
        <v>23725</v>
      </c>
      <c r="U6110" s="31" t="s">
        <v>23726</v>
      </c>
      <c r="V6110" s="32">
        <v>38307.0</v>
      </c>
    </row>
    <row r="6111">
      <c r="A6111" s="32"/>
      <c r="T6111" s="31" t="s">
        <v>23729</v>
      </c>
      <c r="U6111" s="31" t="s">
        <v>23730</v>
      </c>
      <c r="V6111" s="32">
        <v>38302.0</v>
      </c>
    </row>
    <row r="6112">
      <c r="A6112" s="32"/>
      <c r="T6112" s="31" t="s">
        <v>23733</v>
      </c>
      <c r="U6112" s="31" t="s">
        <v>23734</v>
      </c>
      <c r="V6112" s="32">
        <v>38292.0</v>
      </c>
    </row>
    <row r="6113">
      <c r="A6113" s="32"/>
      <c r="T6113" s="31" t="s">
        <v>23737</v>
      </c>
      <c r="U6113" s="31" t="s">
        <v>23738</v>
      </c>
      <c r="V6113" s="32">
        <v>38292.0</v>
      </c>
    </row>
    <row r="6114">
      <c r="A6114" s="32"/>
      <c r="T6114" s="31" t="s">
        <v>23741</v>
      </c>
      <c r="U6114" s="31" t="s">
        <v>23742</v>
      </c>
      <c r="V6114" s="32">
        <v>38278.0</v>
      </c>
    </row>
    <row r="6115">
      <c r="A6115" s="32"/>
      <c r="T6115" s="31" t="s">
        <v>23745</v>
      </c>
      <c r="U6115" s="31" t="s">
        <v>23746</v>
      </c>
      <c r="V6115" s="32">
        <v>38261.0</v>
      </c>
    </row>
    <row r="6116">
      <c r="A6116" s="32"/>
      <c r="T6116" s="31" t="s">
        <v>23749</v>
      </c>
      <c r="U6116" s="31" t="s">
        <v>18148</v>
      </c>
      <c r="V6116" s="32">
        <v>38261.0</v>
      </c>
    </row>
    <row r="6117">
      <c r="A6117" s="32"/>
      <c r="T6117" s="31" t="s">
        <v>23752</v>
      </c>
      <c r="U6117" s="31" t="s">
        <v>23753</v>
      </c>
      <c r="V6117" s="32">
        <v>38261.0</v>
      </c>
    </row>
    <row r="6118">
      <c r="A6118" s="32"/>
      <c r="T6118" s="31" t="s">
        <v>23756</v>
      </c>
      <c r="U6118" s="31" t="s">
        <v>23757</v>
      </c>
      <c r="V6118" s="32">
        <v>38261.0</v>
      </c>
    </row>
    <row r="6119">
      <c r="A6119" s="32"/>
      <c r="T6119" s="31" t="s">
        <v>23760</v>
      </c>
      <c r="U6119" s="31" t="s">
        <v>15732</v>
      </c>
      <c r="V6119" s="32">
        <v>38261.0</v>
      </c>
    </row>
    <row r="6120">
      <c r="A6120" s="32"/>
      <c r="T6120" s="31" t="s">
        <v>23763</v>
      </c>
      <c r="U6120" s="31" t="s">
        <v>23764</v>
      </c>
      <c r="V6120" s="32">
        <v>38231.0</v>
      </c>
    </row>
    <row r="6121">
      <c r="A6121" s="32"/>
      <c r="T6121" s="31" t="s">
        <v>23767</v>
      </c>
      <c r="U6121" s="31" t="s">
        <v>23768</v>
      </c>
      <c r="V6121" s="32">
        <v>38231.0</v>
      </c>
    </row>
    <row r="6122">
      <c r="A6122" s="32"/>
      <c r="T6122" s="31" t="s">
        <v>23771</v>
      </c>
      <c r="U6122" s="31" t="s">
        <v>23772</v>
      </c>
      <c r="V6122" s="32">
        <v>38231.0</v>
      </c>
    </row>
    <row r="6123">
      <c r="A6123" s="32"/>
      <c r="T6123" s="31" t="s">
        <v>23775</v>
      </c>
      <c r="U6123" s="31" t="s">
        <v>23109</v>
      </c>
      <c r="V6123" s="32">
        <v>38231.0</v>
      </c>
    </row>
    <row r="6124">
      <c r="A6124" s="32"/>
      <c r="T6124" s="31" t="s">
        <v>23777</v>
      </c>
      <c r="U6124" s="31" t="s">
        <v>23778</v>
      </c>
      <c r="V6124" s="32">
        <v>38231.0</v>
      </c>
    </row>
    <row r="6125">
      <c r="A6125" s="32"/>
      <c r="T6125" s="31" t="s">
        <v>23781</v>
      </c>
      <c r="U6125" s="31" t="s">
        <v>23782</v>
      </c>
      <c r="V6125" s="32">
        <v>38226.0</v>
      </c>
    </row>
    <row r="6126">
      <c r="A6126" s="32"/>
      <c r="T6126" s="31" t="s">
        <v>23785</v>
      </c>
      <c r="U6126" s="31" t="s">
        <v>23786</v>
      </c>
      <c r="V6126" s="32">
        <v>38225.0</v>
      </c>
    </row>
    <row r="6127">
      <c r="A6127" s="32"/>
      <c r="T6127" s="31" t="s">
        <v>23789</v>
      </c>
      <c r="U6127" s="31" t="s">
        <v>23790</v>
      </c>
      <c r="V6127" s="32">
        <v>38204.0</v>
      </c>
    </row>
    <row r="6128">
      <c r="A6128" s="32"/>
      <c r="T6128" s="31" t="s">
        <v>23793</v>
      </c>
      <c r="U6128" s="31" t="s">
        <v>23794</v>
      </c>
      <c r="V6128" s="32">
        <v>38200.0</v>
      </c>
    </row>
    <row r="6129">
      <c r="A6129" s="32"/>
      <c r="T6129" s="31" t="s">
        <v>23797</v>
      </c>
      <c r="U6129" s="31" t="s">
        <v>23798</v>
      </c>
      <c r="V6129" s="32">
        <v>38200.0</v>
      </c>
    </row>
    <row r="6130">
      <c r="A6130" s="32"/>
      <c r="T6130" s="31" t="s">
        <v>23802</v>
      </c>
      <c r="U6130" s="31" t="s">
        <v>23803</v>
      </c>
      <c r="V6130" s="32">
        <v>38200.0</v>
      </c>
    </row>
    <row r="6131">
      <c r="A6131" s="32"/>
      <c r="T6131" s="31" t="s">
        <v>23806</v>
      </c>
      <c r="U6131" s="31" t="s">
        <v>23807</v>
      </c>
      <c r="V6131" s="32">
        <v>38175.0</v>
      </c>
    </row>
    <row r="6132">
      <c r="A6132" s="32"/>
      <c r="T6132" s="31" t="s">
        <v>23810</v>
      </c>
      <c r="U6132" s="31" t="s">
        <v>23811</v>
      </c>
      <c r="V6132" s="32">
        <v>38174.0</v>
      </c>
    </row>
    <row r="6133">
      <c r="A6133" s="32"/>
      <c r="T6133" s="31" t="s">
        <v>23814</v>
      </c>
      <c r="U6133" s="31" t="s">
        <v>23684</v>
      </c>
      <c r="V6133" s="32">
        <v>38169.0</v>
      </c>
    </row>
    <row r="6134">
      <c r="A6134" s="32"/>
      <c r="T6134" s="31" t="s">
        <v>23817</v>
      </c>
      <c r="U6134" s="31" t="s">
        <v>23818</v>
      </c>
      <c r="V6134" s="32">
        <v>38169.0</v>
      </c>
    </row>
    <row r="6135">
      <c r="A6135" s="32"/>
      <c r="T6135" s="31" t="s">
        <v>23821</v>
      </c>
      <c r="U6135" s="31" t="s">
        <v>23822</v>
      </c>
      <c r="V6135" s="32">
        <v>38169.0</v>
      </c>
    </row>
    <row r="6136">
      <c r="A6136" s="32"/>
      <c r="T6136" s="31" t="s">
        <v>23825</v>
      </c>
      <c r="U6136" s="31" t="s">
        <v>23826</v>
      </c>
      <c r="V6136" s="32">
        <v>38168.0</v>
      </c>
    </row>
    <row r="6137">
      <c r="A6137" s="32"/>
      <c r="T6137" s="31" t="s">
        <v>23829</v>
      </c>
      <c r="U6137" s="31" t="s">
        <v>23830</v>
      </c>
      <c r="V6137" s="32">
        <v>38139.0</v>
      </c>
    </row>
    <row r="6138">
      <c r="A6138" s="32"/>
      <c r="T6138" s="31" t="s">
        <v>23833</v>
      </c>
      <c r="U6138" s="31" t="s">
        <v>23794</v>
      </c>
      <c r="V6138" s="32">
        <v>38139.0</v>
      </c>
    </row>
    <row r="6139">
      <c r="A6139" s="32"/>
      <c r="T6139" s="31" t="s">
        <v>23836</v>
      </c>
      <c r="U6139" s="31" t="s">
        <v>23837</v>
      </c>
      <c r="V6139" s="32">
        <v>38120.0</v>
      </c>
    </row>
    <row r="6140">
      <c r="A6140" s="32"/>
      <c r="T6140" s="31" t="s">
        <v>23840</v>
      </c>
      <c r="U6140" s="31" t="s">
        <v>23841</v>
      </c>
      <c r="V6140" s="32">
        <v>38108.0</v>
      </c>
    </row>
    <row r="6141">
      <c r="A6141" s="32"/>
      <c r="T6141" s="31" t="s">
        <v>23844</v>
      </c>
      <c r="U6141" s="31" t="s">
        <v>23845</v>
      </c>
      <c r="V6141" s="32">
        <v>38108.0</v>
      </c>
    </row>
    <row r="6142">
      <c r="A6142" s="32"/>
      <c r="T6142" s="31" t="s">
        <v>23848</v>
      </c>
      <c r="U6142" s="31" t="s">
        <v>23849</v>
      </c>
      <c r="V6142" s="32">
        <v>38096.0</v>
      </c>
    </row>
    <row r="6143">
      <c r="A6143" s="32"/>
      <c r="T6143" s="31" t="s">
        <v>23852</v>
      </c>
      <c r="U6143" s="31" t="s">
        <v>23853</v>
      </c>
      <c r="V6143" s="32">
        <v>38089.0</v>
      </c>
    </row>
    <row r="6144">
      <c r="A6144" s="32"/>
      <c r="T6144" s="31" t="s">
        <v>23856</v>
      </c>
      <c r="U6144" s="31" t="s">
        <v>23517</v>
      </c>
      <c r="V6144" s="32">
        <v>38084.0</v>
      </c>
    </row>
    <row r="6145">
      <c r="A6145" s="32"/>
      <c r="T6145" s="31" t="s">
        <v>23859</v>
      </c>
      <c r="U6145" s="31" t="s">
        <v>23860</v>
      </c>
      <c r="V6145" s="32">
        <v>38078.0</v>
      </c>
    </row>
    <row r="6146">
      <c r="A6146" s="32"/>
      <c r="T6146" s="31" t="s">
        <v>23863</v>
      </c>
      <c r="U6146" s="31" t="s">
        <v>23864</v>
      </c>
      <c r="V6146" s="32">
        <v>38078.0</v>
      </c>
    </row>
    <row r="6147">
      <c r="A6147" s="32"/>
      <c r="T6147" s="31" t="s">
        <v>23867</v>
      </c>
      <c r="U6147" s="31" t="s">
        <v>23868</v>
      </c>
      <c r="V6147" s="32">
        <v>38047.0</v>
      </c>
    </row>
    <row r="6148">
      <c r="A6148" s="32"/>
      <c r="T6148" s="31" t="s">
        <v>23872</v>
      </c>
      <c r="U6148" s="31" t="s">
        <v>23873</v>
      </c>
      <c r="V6148" s="32">
        <v>38047.0</v>
      </c>
    </row>
    <row r="6149">
      <c r="A6149" s="32"/>
      <c r="T6149" s="31" t="s">
        <v>23875</v>
      </c>
      <c r="U6149" s="31" t="s">
        <v>23876</v>
      </c>
      <c r="V6149" s="32">
        <v>38047.0</v>
      </c>
    </row>
    <row r="6150">
      <c r="A6150" s="32"/>
      <c r="T6150" s="31" t="s">
        <v>23879</v>
      </c>
      <c r="U6150" s="31" t="s">
        <v>23880</v>
      </c>
      <c r="V6150" s="32">
        <v>38029.0</v>
      </c>
    </row>
    <row r="6151">
      <c r="A6151" s="32"/>
      <c r="T6151" s="31" t="s">
        <v>23883</v>
      </c>
      <c r="U6151" s="31" t="s">
        <v>23884</v>
      </c>
      <c r="V6151" s="32">
        <v>38027.0</v>
      </c>
    </row>
    <row r="6152">
      <c r="A6152" s="32"/>
      <c r="T6152" s="31" t="s">
        <v>23887</v>
      </c>
      <c r="U6152" s="31" t="s">
        <v>23888</v>
      </c>
      <c r="V6152" s="32">
        <v>38022.0</v>
      </c>
    </row>
    <row r="6153">
      <c r="A6153" s="32"/>
      <c r="T6153" s="31" t="s">
        <v>23891</v>
      </c>
      <c r="U6153" s="31" t="s">
        <v>23892</v>
      </c>
      <c r="V6153" s="32">
        <v>38021.0</v>
      </c>
    </row>
    <row r="6154">
      <c r="A6154" s="32"/>
      <c r="T6154" s="31" t="s">
        <v>23895</v>
      </c>
      <c r="U6154" s="31" t="s">
        <v>23896</v>
      </c>
      <c r="V6154" s="32">
        <v>38018.0</v>
      </c>
    </row>
    <row r="6155">
      <c r="A6155" s="32"/>
      <c r="T6155" s="31" t="s">
        <v>23898</v>
      </c>
      <c r="U6155" s="31" t="s">
        <v>23899</v>
      </c>
      <c r="V6155" s="32">
        <v>38018.0</v>
      </c>
    </row>
    <row r="6156">
      <c r="A6156" s="32"/>
      <c r="T6156" s="31" t="s">
        <v>23902</v>
      </c>
      <c r="U6156" s="31" t="s">
        <v>23903</v>
      </c>
      <c r="V6156" s="32">
        <v>38013.0</v>
      </c>
    </row>
    <row r="6157">
      <c r="A6157" s="32"/>
      <c r="T6157" s="31" t="s">
        <v>23906</v>
      </c>
      <c r="U6157" s="31" t="s">
        <v>23907</v>
      </c>
      <c r="V6157" s="32">
        <v>38012.0</v>
      </c>
    </row>
    <row r="6158">
      <c r="A6158" s="32"/>
      <c r="T6158" s="31" t="s">
        <v>23911</v>
      </c>
      <c r="U6158" s="31" t="s">
        <v>23912</v>
      </c>
      <c r="V6158" s="32">
        <v>38008.0</v>
      </c>
    </row>
    <row r="6159">
      <c r="A6159" s="32"/>
      <c r="T6159" s="31" t="s">
        <v>23915</v>
      </c>
      <c r="U6159" s="31" t="s">
        <v>23916</v>
      </c>
      <c r="V6159" s="32">
        <v>38006.0</v>
      </c>
    </row>
    <row r="6160">
      <c r="A6160" s="32"/>
      <c r="T6160" s="31" t="s">
        <v>23919</v>
      </c>
      <c r="U6160" s="31" t="s">
        <v>23920</v>
      </c>
      <c r="V6160" s="32">
        <v>37998.0</v>
      </c>
    </row>
    <row r="6161">
      <c r="A6161" s="32"/>
      <c r="T6161" s="31" t="s">
        <v>23923</v>
      </c>
      <c r="U6161" s="31" t="s">
        <v>23924</v>
      </c>
      <c r="V6161" s="32">
        <v>37989.0</v>
      </c>
    </row>
    <row r="6162">
      <c r="A6162" s="32"/>
      <c r="T6162" s="31" t="s">
        <v>23927</v>
      </c>
      <c r="U6162" s="31" t="s">
        <v>23928</v>
      </c>
      <c r="V6162" s="32">
        <v>37987.0</v>
      </c>
    </row>
    <row r="6163">
      <c r="A6163" s="32"/>
      <c r="T6163" s="31" t="s">
        <v>23931</v>
      </c>
      <c r="U6163" s="31" t="s">
        <v>23932</v>
      </c>
      <c r="V6163" s="32">
        <v>37987.0</v>
      </c>
    </row>
    <row r="6164">
      <c r="A6164" s="32"/>
      <c r="T6164" s="31" t="s">
        <v>23935</v>
      </c>
      <c r="U6164" s="31" t="s">
        <v>8479</v>
      </c>
      <c r="V6164" s="32">
        <v>37987.0</v>
      </c>
    </row>
    <row r="6165">
      <c r="A6165" s="32"/>
      <c r="T6165" s="31" t="s">
        <v>23937</v>
      </c>
      <c r="U6165" s="31" t="s">
        <v>23938</v>
      </c>
      <c r="V6165" s="32">
        <v>37959.0</v>
      </c>
    </row>
    <row r="6166">
      <c r="A6166" s="32"/>
      <c r="T6166" s="31" t="s">
        <v>23941</v>
      </c>
      <c r="U6166" s="31" t="s">
        <v>23942</v>
      </c>
      <c r="V6166" s="32">
        <v>37956.0</v>
      </c>
    </row>
    <row r="6167">
      <c r="A6167" s="32"/>
      <c r="T6167" s="31" t="s">
        <v>23946</v>
      </c>
      <c r="U6167" s="31" t="s">
        <v>23947</v>
      </c>
      <c r="V6167" s="32">
        <v>37956.0</v>
      </c>
    </row>
    <row r="6168">
      <c r="A6168" s="32"/>
      <c r="T6168" s="31" t="s">
        <v>23950</v>
      </c>
      <c r="U6168" s="31" t="s">
        <v>23951</v>
      </c>
      <c r="V6168" s="32">
        <v>37947.0</v>
      </c>
    </row>
    <row r="6169">
      <c r="A6169" s="32"/>
      <c r="T6169" s="31" t="s">
        <v>23954</v>
      </c>
      <c r="U6169" s="31" t="s">
        <v>23955</v>
      </c>
      <c r="V6169" s="32">
        <v>37945.0</v>
      </c>
    </row>
    <row r="6170">
      <c r="A6170" s="32"/>
      <c r="T6170" s="31" t="s">
        <v>23958</v>
      </c>
      <c r="U6170" s="31" t="s">
        <v>23959</v>
      </c>
      <c r="V6170" s="32">
        <v>37938.0</v>
      </c>
    </row>
    <row r="6171">
      <c r="A6171" s="32"/>
      <c r="T6171" s="31" t="s">
        <v>23962</v>
      </c>
      <c r="U6171" s="31" t="s">
        <v>23963</v>
      </c>
      <c r="V6171" s="32">
        <v>37926.0</v>
      </c>
    </row>
    <row r="6172">
      <c r="A6172" s="32"/>
      <c r="T6172" s="31" t="s">
        <v>23967</v>
      </c>
      <c r="U6172" s="31" t="s">
        <v>23968</v>
      </c>
      <c r="V6172" s="32">
        <v>37926.0</v>
      </c>
    </row>
    <row r="6173">
      <c r="A6173" s="32"/>
      <c r="T6173" s="31" t="s">
        <v>23971</v>
      </c>
      <c r="U6173" s="31" t="s">
        <v>23972</v>
      </c>
      <c r="V6173" s="32">
        <v>37926.0</v>
      </c>
    </row>
    <row r="6174">
      <c r="A6174" s="32"/>
      <c r="T6174" s="31" t="s">
        <v>23975</v>
      </c>
      <c r="U6174" s="31" t="s">
        <v>23976</v>
      </c>
      <c r="V6174" s="32">
        <v>37926.0</v>
      </c>
    </row>
    <row r="6175">
      <c r="A6175" s="32"/>
      <c r="T6175" s="31" t="s">
        <v>23979</v>
      </c>
      <c r="U6175" s="31" t="s">
        <v>23980</v>
      </c>
      <c r="V6175" s="32">
        <v>37912.0</v>
      </c>
    </row>
    <row r="6176">
      <c r="A6176" s="32"/>
      <c r="T6176" s="31" t="s">
        <v>23983</v>
      </c>
      <c r="U6176" s="31" t="s">
        <v>23984</v>
      </c>
      <c r="V6176" s="32">
        <v>37903.0</v>
      </c>
    </row>
    <row r="6177">
      <c r="A6177" s="32"/>
      <c r="T6177" s="31" t="s">
        <v>23987</v>
      </c>
      <c r="U6177" s="31" t="s">
        <v>23988</v>
      </c>
      <c r="V6177" s="32">
        <v>37895.0</v>
      </c>
    </row>
    <row r="6178">
      <c r="A6178" s="32"/>
      <c r="T6178" s="31" t="s">
        <v>23991</v>
      </c>
      <c r="U6178" s="31" t="s">
        <v>23992</v>
      </c>
      <c r="V6178" s="32">
        <v>37895.0</v>
      </c>
    </row>
    <row r="6179">
      <c r="A6179" s="32"/>
      <c r="T6179" s="31" t="s">
        <v>23995</v>
      </c>
      <c r="U6179" s="31" t="s">
        <v>23996</v>
      </c>
      <c r="V6179" s="32">
        <v>37865.0</v>
      </c>
    </row>
    <row r="6180">
      <c r="A6180" s="32"/>
      <c r="T6180" s="31" t="s">
        <v>23999</v>
      </c>
      <c r="U6180" s="31" t="s">
        <v>24000</v>
      </c>
      <c r="V6180" s="32">
        <v>37865.0</v>
      </c>
    </row>
    <row r="6181">
      <c r="A6181" s="32"/>
      <c r="T6181" s="31" t="s">
        <v>24003</v>
      </c>
      <c r="U6181" s="31" t="s">
        <v>24004</v>
      </c>
      <c r="V6181" s="32">
        <v>37843.0</v>
      </c>
    </row>
    <row r="6182">
      <c r="A6182" s="32"/>
      <c r="T6182" s="31" t="s">
        <v>24007</v>
      </c>
      <c r="U6182" s="31" t="s">
        <v>24008</v>
      </c>
      <c r="V6182" s="32">
        <v>37834.0</v>
      </c>
    </row>
    <row r="6183">
      <c r="A6183" s="32"/>
      <c r="T6183" s="31" t="s">
        <v>24011</v>
      </c>
      <c r="U6183" s="31" t="s">
        <v>24012</v>
      </c>
      <c r="V6183" s="32">
        <v>37834.0</v>
      </c>
    </row>
    <row r="6184">
      <c r="A6184" s="32"/>
      <c r="T6184" s="31" t="s">
        <v>24016</v>
      </c>
      <c r="U6184" s="31" t="s">
        <v>24017</v>
      </c>
      <c r="V6184" s="32">
        <v>37834.0</v>
      </c>
    </row>
    <row r="6185">
      <c r="A6185" s="32"/>
      <c r="T6185" s="31" t="s">
        <v>24020</v>
      </c>
      <c r="U6185" s="31" t="s">
        <v>8479</v>
      </c>
      <c r="V6185" s="32">
        <v>37834.0</v>
      </c>
    </row>
    <row r="6186">
      <c r="A6186" s="32"/>
      <c r="T6186" s="31" t="s">
        <v>24024</v>
      </c>
      <c r="U6186" s="31" t="s">
        <v>24025</v>
      </c>
      <c r="V6186" s="32">
        <v>37834.0</v>
      </c>
    </row>
    <row r="6187">
      <c r="A6187" s="32"/>
      <c r="T6187" s="31" t="s">
        <v>24028</v>
      </c>
      <c r="U6187" s="31" t="s">
        <v>24029</v>
      </c>
      <c r="V6187" s="32">
        <v>37828.0</v>
      </c>
    </row>
    <row r="6188">
      <c r="A6188" s="32"/>
      <c r="T6188" s="31" t="s">
        <v>24032</v>
      </c>
      <c r="U6188" s="31" t="s">
        <v>24033</v>
      </c>
      <c r="V6188" s="32">
        <v>37819.0</v>
      </c>
    </row>
    <row r="6189">
      <c r="A6189" s="32"/>
      <c r="T6189" s="31" t="s">
        <v>24036</v>
      </c>
      <c r="U6189" s="31" t="s">
        <v>24037</v>
      </c>
      <c r="V6189" s="32">
        <v>37805.0</v>
      </c>
    </row>
    <row r="6190">
      <c r="A6190" s="32"/>
      <c r="T6190" s="31" t="s">
        <v>24040</v>
      </c>
      <c r="U6190" s="31" t="s">
        <v>24041</v>
      </c>
      <c r="V6190" s="32">
        <v>37803.0</v>
      </c>
    </row>
    <row r="6191">
      <c r="A6191" s="32"/>
      <c r="T6191" s="31" t="s">
        <v>24044</v>
      </c>
      <c r="U6191" s="31" t="s">
        <v>24045</v>
      </c>
      <c r="V6191" s="32">
        <v>37803.0</v>
      </c>
    </row>
    <row r="6192">
      <c r="A6192" s="32"/>
      <c r="T6192" s="31" t="s">
        <v>24048</v>
      </c>
      <c r="U6192" s="31" t="s">
        <v>24049</v>
      </c>
      <c r="V6192" s="32">
        <v>37803.0</v>
      </c>
    </row>
    <row r="6193">
      <c r="A6193" s="32"/>
      <c r="T6193" s="31" t="s">
        <v>24052</v>
      </c>
      <c r="U6193" s="31" t="s">
        <v>24053</v>
      </c>
      <c r="V6193" s="32">
        <v>37803.0</v>
      </c>
    </row>
    <row r="6194">
      <c r="A6194" s="32"/>
      <c r="T6194" s="31" t="s">
        <v>24057</v>
      </c>
      <c r="U6194" s="31" t="s">
        <v>24058</v>
      </c>
      <c r="V6194" s="32">
        <v>37803.0</v>
      </c>
    </row>
    <row r="6195">
      <c r="A6195" s="32"/>
      <c r="T6195" s="31" t="s">
        <v>24060</v>
      </c>
      <c r="U6195" s="31" t="s">
        <v>24061</v>
      </c>
      <c r="V6195" s="32">
        <v>37773.0</v>
      </c>
    </row>
    <row r="6196">
      <c r="A6196" s="32"/>
      <c r="T6196" s="31" t="s">
        <v>24064</v>
      </c>
      <c r="U6196" s="31" t="s">
        <v>24065</v>
      </c>
      <c r="V6196" s="32">
        <v>37773.0</v>
      </c>
    </row>
    <row r="6197">
      <c r="A6197" s="32"/>
      <c r="T6197" s="31" t="s">
        <v>24067</v>
      </c>
      <c r="U6197" s="31" t="s">
        <v>24068</v>
      </c>
      <c r="V6197" s="32">
        <v>37773.0</v>
      </c>
    </row>
    <row r="6198">
      <c r="A6198" s="32"/>
      <c r="T6198" s="31" t="s">
        <v>24070</v>
      </c>
      <c r="U6198" s="31" t="s">
        <v>24068</v>
      </c>
      <c r="V6198" s="32">
        <v>37773.0</v>
      </c>
    </row>
    <row r="6199">
      <c r="A6199" s="32"/>
      <c r="T6199" s="31" t="s">
        <v>24073</v>
      </c>
      <c r="U6199" s="31" t="s">
        <v>24074</v>
      </c>
      <c r="V6199" s="32">
        <v>37773.0</v>
      </c>
    </row>
    <row r="6200">
      <c r="A6200" s="32"/>
      <c r="T6200" s="31" t="s">
        <v>24077</v>
      </c>
      <c r="U6200" s="31" t="s">
        <v>24078</v>
      </c>
      <c r="V6200" s="32">
        <v>37771.0</v>
      </c>
    </row>
    <row r="6201">
      <c r="A6201" s="32"/>
      <c r="T6201" s="31" t="s">
        <v>24081</v>
      </c>
      <c r="U6201" s="31" t="s">
        <v>24082</v>
      </c>
      <c r="V6201" s="32">
        <v>37761.0</v>
      </c>
    </row>
    <row r="6202">
      <c r="A6202" s="32"/>
      <c r="T6202" s="31" t="s">
        <v>24084</v>
      </c>
      <c r="U6202" s="31" t="s">
        <v>24085</v>
      </c>
      <c r="V6202" s="32">
        <v>37747.0</v>
      </c>
    </row>
    <row r="6203">
      <c r="A6203" s="32"/>
      <c r="T6203" s="31" t="s">
        <v>24088</v>
      </c>
      <c r="U6203" s="31" t="s">
        <v>24089</v>
      </c>
      <c r="V6203" s="32">
        <v>37742.0</v>
      </c>
    </row>
    <row r="6204">
      <c r="A6204" s="32"/>
      <c r="T6204" s="31" t="s">
        <v>24092</v>
      </c>
      <c r="U6204" s="31" t="s">
        <v>24093</v>
      </c>
      <c r="V6204" s="32">
        <v>37726.0</v>
      </c>
    </row>
    <row r="6205">
      <c r="A6205" s="32"/>
      <c r="T6205" s="31" t="s">
        <v>24096</v>
      </c>
      <c r="U6205" s="31" t="s">
        <v>24097</v>
      </c>
      <c r="V6205" s="32">
        <v>37721.0</v>
      </c>
    </row>
    <row r="6206">
      <c r="A6206" s="32"/>
      <c r="T6206" s="31" t="s">
        <v>24100</v>
      </c>
      <c r="U6206" s="31" t="s">
        <v>24101</v>
      </c>
      <c r="V6206" s="32">
        <v>37713.0</v>
      </c>
    </row>
    <row r="6207">
      <c r="A6207" s="32"/>
      <c r="T6207" s="31" t="s">
        <v>24104</v>
      </c>
      <c r="U6207" s="31" t="s">
        <v>24105</v>
      </c>
      <c r="V6207" s="32">
        <v>37712.0</v>
      </c>
    </row>
    <row r="6208">
      <c r="A6208" s="32"/>
      <c r="T6208" s="31" t="s">
        <v>24108</v>
      </c>
      <c r="U6208" s="31" t="s">
        <v>24109</v>
      </c>
      <c r="V6208" s="32">
        <v>37712.0</v>
      </c>
    </row>
    <row r="6209">
      <c r="A6209" s="32"/>
      <c r="T6209" s="31" t="s">
        <v>24112</v>
      </c>
      <c r="U6209" s="31" t="s">
        <v>24113</v>
      </c>
      <c r="V6209" s="32">
        <v>37712.0</v>
      </c>
    </row>
    <row r="6210">
      <c r="A6210" s="32"/>
      <c r="T6210" s="31" t="s">
        <v>24116</v>
      </c>
      <c r="U6210" s="31" t="s">
        <v>24117</v>
      </c>
      <c r="V6210" s="32">
        <v>37708.0</v>
      </c>
    </row>
    <row r="6211">
      <c r="A6211" s="32"/>
      <c r="T6211" s="31" t="s">
        <v>24120</v>
      </c>
      <c r="U6211" s="31" t="s">
        <v>24121</v>
      </c>
      <c r="V6211" s="32">
        <v>37688.0</v>
      </c>
    </row>
    <row r="6212">
      <c r="A6212" s="32"/>
      <c r="T6212" s="31" t="s">
        <v>24123</v>
      </c>
      <c r="U6212" s="31" t="s">
        <v>24124</v>
      </c>
      <c r="V6212" s="32">
        <v>37681.0</v>
      </c>
    </row>
    <row r="6213">
      <c r="A6213" s="32"/>
      <c r="T6213" s="31" t="s">
        <v>24127</v>
      </c>
      <c r="U6213" s="31" t="s">
        <v>24128</v>
      </c>
      <c r="V6213" s="32">
        <v>37681.0</v>
      </c>
    </row>
    <row r="6214">
      <c r="A6214" s="32"/>
      <c r="T6214" s="31" t="s">
        <v>24131</v>
      </c>
      <c r="U6214" s="31" t="s">
        <v>24132</v>
      </c>
      <c r="V6214" s="32">
        <v>37681.0</v>
      </c>
    </row>
    <row r="6215">
      <c r="A6215" s="32"/>
      <c r="T6215" s="31" t="s">
        <v>24135</v>
      </c>
      <c r="U6215" s="31" t="s">
        <v>24136</v>
      </c>
      <c r="V6215" s="32">
        <v>37681.0</v>
      </c>
    </row>
    <row r="6216">
      <c r="A6216" s="32"/>
      <c r="T6216" s="31" t="s">
        <v>24139</v>
      </c>
      <c r="U6216" s="31" t="s">
        <v>24140</v>
      </c>
      <c r="V6216" s="32">
        <v>37681.0</v>
      </c>
    </row>
    <row r="6217">
      <c r="A6217" s="32"/>
      <c r="T6217" s="31" t="s">
        <v>24143</v>
      </c>
      <c r="U6217" s="31" t="s">
        <v>24144</v>
      </c>
      <c r="V6217" s="32">
        <v>37681.0</v>
      </c>
    </row>
    <row r="6218">
      <c r="A6218" s="32"/>
      <c r="T6218" s="31" t="s">
        <v>24147</v>
      </c>
      <c r="U6218" s="31" t="s">
        <v>24148</v>
      </c>
      <c r="V6218" s="32">
        <v>37653.0</v>
      </c>
    </row>
    <row r="6219">
      <c r="A6219" s="32"/>
      <c r="T6219" s="31" t="s">
        <v>24151</v>
      </c>
      <c r="U6219" s="31" t="s">
        <v>24152</v>
      </c>
      <c r="V6219" s="32">
        <v>37653.0</v>
      </c>
    </row>
    <row r="6220">
      <c r="A6220" s="32"/>
      <c r="T6220" s="31" t="s">
        <v>24155</v>
      </c>
      <c r="U6220" s="31" t="s">
        <v>24156</v>
      </c>
      <c r="V6220" s="32">
        <v>37622.0</v>
      </c>
    </row>
    <row r="6221">
      <c r="A6221" s="32"/>
      <c r="T6221" s="31" t="s">
        <v>24158</v>
      </c>
      <c r="U6221" s="31" t="s">
        <v>24159</v>
      </c>
      <c r="V6221" s="32">
        <v>37622.0</v>
      </c>
    </row>
    <row r="6222">
      <c r="A6222" s="32"/>
      <c r="T6222" s="31" t="s">
        <v>24162</v>
      </c>
      <c r="U6222" s="31" t="s">
        <v>24163</v>
      </c>
      <c r="V6222" s="32">
        <v>37622.0</v>
      </c>
    </row>
    <row r="6223">
      <c r="A6223" s="32"/>
      <c r="T6223" s="31" t="s">
        <v>24166</v>
      </c>
      <c r="U6223" s="31" t="s">
        <v>24167</v>
      </c>
      <c r="V6223" s="32">
        <v>37622.0</v>
      </c>
    </row>
    <row r="6224">
      <c r="A6224" s="32"/>
      <c r="T6224" s="31" t="s">
        <v>24170</v>
      </c>
      <c r="U6224" s="31" t="s">
        <v>23764</v>
      </c>
      <c r="V6224" s="32">
        <v>37622.0</v>
      </c>
    </row>
    <row r="6225">
      <c r="A6225" s="32"/>
      <c r="T6225" s="31" t="s">
        <v>24174</v>
      </c>
      <c r="U6225" s="31" t="s">
        <v>20587</v>
      </c>
      <c r="V6225" s="32">
        <v>37622.0</v>
      </c>
    </row>
    <row r="6226">
      <c r="A6226" s="32"/>
      <c r="T6226" s="31" t="s">
        <v>24177</v>
      </c>
      <c r="U6226" s="31" t="s">
        <v>24178</v>
      </c>
      <c r="V6226" s="32">
        <v>37622.0</v>
      </c>
    </row>
    <row r="6227">
      <c r="A6227" s="32"/>
      <c r="T6227" s="31" t="s">
        <v>24181</v>
      </c>
      <c r="U6227" s="31" t="s">
        <v>24182</v>
      </c>
      <c r="V6227" s="32">
        <v>37622.0</v>
      </c>
    </row>
    <row r="6228">
      <c r="A6228" s="32"/>
      <c r="T6228" s="31" t="s">
        <v>24185</v>
      </c>
      <c r="U6228" s="31" t="s">
        <v>24186</v>
      </c>
      <c r="V6228" s="32">
        <v>37622.0</v>
      </c>
    </row>
    <row r="6229">
      <c r="A6229" s="32"/>
      <c r="T6229" s="31" t="s">
        <v>24189</v>
      </c>
      <c r="U6229" s="31" t="s">
        <v>24190</v>
      </c>
      <c r="V6229" s="32">
        <v>37622.0</v>
      </c>
    </row>
    <row r="6230">
      <c r="A6230" s="32"/>
      <c r="T6230" s="31" t="s">
        <v>24192</v>
      </c>
      <c r="U6230" s="31" t="s">
        <v>24193</v>
      </c>
      <c r="V6230" s="32">
        <v>37591.0</v>
      </c>
    </row>
    <row r="6231">
      <c r="A6231" s="32"/>
      <c r="T6231" s="31" t="s">
        <v>24196</v>
      </c>
      <c r="U6231" s="31" t="s">
        <v>24197</v>
      </c>
      <c r="V6231" s="32">
        <v>37591.0</v>
      </c>
    </row>
    <row r="6232">
      <c r="A6232" s="32"/>
      <c r="T6232" s="31" t="s">
        <v>24200</v>
      </c>
      <c r="U6232" s="31" t="s">
        <v>24201</v>
      </c>
      <c r="V6232" s="32">
        <v>37591.0</v>
      </c>
    </row>
    <row r="6233">
      <c r="A6233" s="32"/>
      <c r="T6233" s="31" t="s">
        <v>24204</v>
      </c>
      <c r="U6233" s="31" t="s">
        <v>24205</v>
      </c>
      <c r="V6233" s="32">
        <v>37561.0</v>
      </c>
    </row>
    <row r="6234">
      <c r="A6234" s="32"/>
      <c r="T6234" s="31" t="s">
        <v>24208</v>
      </c>
      <c r="U6234" s="31" t="s">
        <v>24209</v>
      </c>
      <c r="V6234" s="32">
        <v>37561.0</v>
      </c>
    </row>
    <row r="6235">
      <c r="A6235" s="32"/>
      <c r="T6235" s="31" t="s">
        <v>24211</v>
      </c>
      <c r="U6235" s="31" t="s">
        <v>24212</v>
      </c>
      <c r="V6235" s="32">
        <v>37553.0</v>
      </c>
    </row>
    <row r="6236">
      <c r="A6236" s="32"/>
      <c r="T6236" s="31" t="s">
        <v>24215</v>
      </c>
      <c r="U6236" s="31" t="s">
        <v>24216</v>
      </c>
      <c r="V6236" s="32">
        <v>37544.0</v>
      </c>
    </row>
    <row r="6237">
      <c r="A6237" s="32"/>
      <c r="T6237" s="31" t="s">
        <v>24219</v>
      </c>
      <c r="U6237" s="31" t="s">
        <v>24220</v>
      </c>
      <c r="V6237" s="32">
        <v>37541.0</v>
      </c>
    </row>
    <row r="6238">
      <c r="A6238" s="32"/>
      <c r="T6238" s="31" t="s">
        <v>24223</v>
      </c>
      <c r="U6238" s="31" t="s">
        <v>24224</v>
      </c>
      <c r="V6238" s="32">
        <v>37530.0</v>
      </c>
    </row>
    <row r="6239">
      <c r="A6239" s="32"/>
      <c r="T6239" s="31" t="s">
        <v>24227</v>
      </c>
      <c r="U6239" s="31" t="s">
        <v>24228</v>
      </c>
      <c r="V6239" s="32">
        <v>37530.0</v>
      </c>
    </row>
    <row r="6240">
      <c r="A6240" s="32"/>
      <c r="T6240" s="31" t="s">
        <v>24231</v>
      </c>
      <c r="U6240" s="31" t="s">
        <v>24232</v>
      </c>
      <c r="V6240" s="32">
        <v>37500.0</v>
      </c>
    </row>
    <row r="6241">
      <c r="A6241" s="32"/>
      <c r="T6241" s="31" t="s">
        <v>24235</v>
      </c>
      <c r="U6241" s="31" t="s">
        <v>22748</v>
      </c>
      <c r="V6241" s="32">
        <v>37492.0</v>
      </c>
    </row>
    <row r="6242">
      <c r="A6242" s="32"/>
      <c r="T6242" s="31" t="s">
        <v>24238</v>
      </c>
      <c r="U6242" s="31" t="s">
        <v>24239</v>
      </c>
      <c r="V6242" s="32">
        <v>37492.0</v>
      </c>
    </row>
    <row r="6243">
      <c r="A6243" s="32"/>
      <c r="T6243" s="31" t="s">
        <v>24242</v>
      </c>
      <c r="U6243" s="31" t="s">
        <v>24243</v>
      </c>
      <c r="V6243" s="32">
        <v>37469.0</v>
      </c>
    </row>
    <row r="6244">
      <c r="A6244" s="32"/>
      <c r="T6244" s="31" t="s">
        <v>24246</v>
      </c>
      <c r="U6244" s="31" t="s">
        <v>24247</v>
      </c>
      <c r="V6244" s="32">
        <v>37469.0</v>
      </c>
    </row>
    <row r="6245">
      <c r="A6245" s="32"/>
      <c r="T6245" s="31" t="s">
        <v>24250</v>
      </c>
      <c r="U6245" s="31" t="s">
        <v>24251</v>
      </c>
      <c r="V6245" s="32">
        <v>37469.0</v>
      </c>
    </row>
    <row r="6246">
      <c r="A6246" s="32"/>
      <c r="T6246" s="31" t="s">
        <v>24254</v>
      </c>
      <c r="U6246" s="31" t="s">
        <v>24255</v>
      </c>
      <c r="V6246" s="32">
        <v>37469.0</v>
      </c>
    </row>
    <row r="6247">
      <c r="A6247" s="32"/>
      <c r="T6247" s="31" t="s">
        <v>24258</v>
      </c>
      <c r="U6247" s="31" t="s">
        <v>24259</v>
      </c>
      <c r="V6247" s="32">
        <v>37469.0</v>
      </c>
    </row>
    <row r="6248">
      <c r="A6248" s="32"/>
      <c r="T6248" s="31" t="s">
        <v>24263</v>
      </c>
      <c r="U6248" s="31" t="s">
        <v>24264</v>
      </c>
      <c r="V6248" s="32">
        <v>37452.0</v>
      </c>
    </row>
    <row r="6249">
      <c r="A6249" s="32"/>
      <c r="T6249" s="31" t="s">
        <v>24267</v>
      </c>
      <c r="U6249" s="31" t="s">
        <v>24268</v>
      </c>
      <c r="V6249" s="32">
        <v>37450.0</v>
      </c>
    </row>
    <row r="6250">
      <c r="A6250" s="32"/>
      <c r="T6250" s="31" t="s">
        <v>24271</v>
      </c>
      <c r="U6250" s="31" t="s">
        <v>24272</v>
      </c>
      <c r="V6250" s="32">
        <v>37438.0</v>
      </c>
    </row>
    <row r="6251">
      <c r="A6251" s="32"/>
      <c r="T6251" s="31" t="s">
        <v>24275</v>
      </c>
      <c r="U6251" s="31" t="s">
        <v>24276</v>
      </c>
      <c r="V6251" s="32">
        <v>37438.0</v>
      </c>
    </row>
    <row r="6252">
      <c r="A6252" s="32"/>
      <c r="T6252" s="31" t="s">
        <v>24279</v>
      </c>
      <c r="U6252" s="31" t="s">
        <v>24280</v>
      </c>
      <c r="V6252" s="32">
        <v>37438.0</v>
      </c>
    </row>
    <row r="6253">
      <c r="A6253" s="32"/>
      <c r="T6253" s="31" t="s">
        <v>24284</v>
      </c>
      <c r="U6253" s="31" t="s">
        <v>24285</v>
      </c>
      <c r="V6253" s="32">
        <v>37438.0</v>
      </c>
    </row>
    <row r="6254">
      <c r="A6254" s="32"/>
      <c r="T6254" s="31" t="s">
        <v>24288</v>
      </c>
      <c r="U6254" s="31" t="s">
        <v>24289</v>
      </c>
      <c r="V6254" s="32">
        <v>37438.0</v>
      </c>
    </row>
    <row r="6255">
      <c r="A6255" s="32"/>
      <c r="T6255" s="31" t="s">
        <v>24291</v>
      </c>
      <c r="U6255" s="31" t="s">
        <v>24292</v>
      </c>
      <c r="V6255" s="32">
        <v>37438.0</v>
      </c>
    </row>
    <row r="6256">
      <c r="A6256" s="32"/>
      <c r="T6256" s="31" t="s">
        <v>24295</v>
      </c>
      <c r="U6256" s="31" t="s">
        <v>24296</v>
      </c>
      <c r="V6256" s="32">
        <v>37438.0</v>
      </c>
    </row>
    <row r="6257">
      <c r="A6257" s="32"/>
      <c r="T6257" s="31" t="s">
        <v>24299</v>
      </c>
      <c r="U6257" s="31" t="s">
        <v>24300</v>
      </c>
      <c r="V6257" s="32">
        <v>37429.0</v>
      </c>
    </row>
    <row r="6258">
      <c r="A6258" s="32"/>
      <c r="T6258" s="31" t="s">
        <v>24303</v>
      </c>
      <c r="U6258" s="31" t="s">
        <v>24304</v>
      </c>
      <c r="V6258" s="32">
        <v>37429.0</v>
      </c>
    </row>
    <row r="6259">
      <c r="A6259" s="32"/>
      <c r="T6259" s="31" t="s">
        <v>24307</v>
      </c>
      <c r="U6259" s="31" t="s">
        <v>24308</v>
      </c>
      <c r="V6259" s="32">
        <v>37425.0</v>
      </c>
    </row>
    <row r="6260">
      <c r="A6260" s="32"/>
      <c r="T6260" s="31" t="s">
        <v>24311</v>
      </c>
      <c r="U6260" s="31" t="s">
        <v>24312</v>
      </c>
      <c r="V6260" s="32">
        <v>37408.0</v>
      </c>
    </row>
    <row r="6261">
      <c r="A6261" s="32"/>
      <c r="T6261" s="31" t="s">
        <v>24315</v>
      </c>
      <c r="U6261" s="31" t="s">
        <v>24316</v>
      </c>
      <c r="V6261" s="32">
        <v>37391.0</v>
      </c>
    </row>
    <row r="6262">
      <c r="A6262" s="32"/>
      <c r="T6262" s="31" t="s">
        <v>24320</v>
      </c>
      <c r="U6262" s="31" t="s">
        <v>24321</v>
      </c>
      <c r="V6262" s="32">
        <v>37377.0</v>
      </c>
    </row>
    <row r="6263">
      <c r="A6263" s="32"/>
      <c r="T6263" s="31" t="s">
        <v>24324</v>
      </c>
      <c r="U6263" s="31" t="s">
        <v>24325</v>
      </c>
      <c r="V6263" s="32">
        <v>37377.0</v>
      </c>
    </row>
    <row r="6264">
      <c r="A6264" s="32"/>
      <c r="T6264" s="31" t="s">
        <v>24328</v>
      </c>
      <c r="U6264" s="31" t="s">
        <v>24329</v>
      </c>
      <c r="V6264" s="32">
        <v>37377.0</v>
      </c>
    </row>
    <row r="6265">
      <c r="A6265" s="32"/>
      <c r="T6265" s="31" t="s">
        <v>24331</v>
      </c>
      <c r="U6265" s="31" t="s">
        <v>24332</v>
      </c>
      <c r="V6265" s="32">
        <v>37347.0</v>
      </c>
    </row>
    <row r="6266">
      <c r="A6266" s="32"/>
      <c r="T6266" s="31" t="s">
        <v>24335</v>
      </c>
      <c r="U6266" s="31" t="s">
        <v>24336</v>
      </c>
      <c r="V6266" s="32">
        <v>37347.0</v>
      </c>
    </row>
    <row r="6267">
      <c r="A6267" s="32"/>
      <c r="T6267" s="31" t="s">
        <v>24339</v>
      </c>
      <c r="U6267" s="31" t="s">
        <v>24340</v>
      </c>
      <c r="V6267" s="32">
        <v>37316.0</v>
      </c>
    </row>
    <row r="6268">
      <c r="A6268" s="32"/>
      <c r="T6268" s="31" t="s">
        <v>24344</v>
      </c>
      <c r="U6268" s="31" t="s">
        <v>24345</v>
      </c>
      <c r="V6268" s="32">
        <v>37316.0</v>
      </c>
    </row>
    <row r="6269">
      <c r="A6269" s="32"/>
      <c r="T6269" s="31" t="s">
        <v>24348</v>
      </c>
      <c r="U6269" s="31" t="s">
        <v>24349</v>
      </c>
      <c r="V6269" s="32">
        <v>37302.0</v>
      </c>
    </row>
    <row r="6270">
      <c r="A6270" s="32"/>
      <c r="T6270" s="31" t="s">
        <v>24352</v>
      </c>
      <c r="U6270" s="31" t="s">
        <v>24353</v>
      </c>
      <c r="V6270" s="32">
        <v>37288.0</v>
      </c>
    </row>
    <row r="6271">
      <c r="A6271" s="32"/>
      <c r="T6271" s="31" t="s">
        <v>24356</v>
      </c>
      <c r="U6271" s="31" t="s">
        <v>24280</v>
      </c>
      <c r="V6271" s="32">
        <v>37288.0</v>
      </c>
    </row>
    <row r="6272">
      <c r="A6272" s="32"/>
      <c r="T6272" s="31" t="s">
        <v>24359</v>
      </c>
      <c r="U6272" s="31" t="s">
        <v>24360</v>
      </c>
      <c r="V6272" s="32">
        <v>37288.0</v>
      </c>
    </row>
    <row r="6273">
      <c r="A6273" s="32"/>
      <c r="T6273" s="31" t="s">
        <v>24363</v>
      </c>
      <c r="U6273" s="31" t="s">
        <v>24364</v>
      </c>
      <c r="V6273" s="32">
        <v>37288.0</v>
      </c>
    </row>
    <row r="6274">
      <c r="A6274" s="32"/>
      <c r="T6274" s="31" t="s">
        <v>24367</v>
      </c>
      <c r="U6274" s="31" t="s">
        <v>24368</v>
      </c>
      <c r="V6274" s="32">
        <v>37257.0</v>
      </c>
    </row>
    <row r="6275">
      <c r="A6275" s="32"/>
      <c r="T6275" s="31" t="s">
        <v>24371</v>
      </c>
      <c r="U6275" s="31" t="s">
        <v>24372</v>
      </c>
      <c r="V6275" s="32">
        <v>37257.0</v>
      </c>
    </row>
    <row r="6276">
      <c r="A6276" s="32"/>
      <c r="T6276" s="31" t="s">
        <v>24374</v>
      </c>
      <c r="U6276" s="31" t="s">
        <v>24375</v>
      </c>
      <c r="V6276" s="32">
        <v>37257.0</v>
      </c>
    </row>
    <row r="6277">
      <c r="A6277" s="32"/>
      <c r="T6277" s="31" t="s">
        <v>24378</v>
      </c>
      <c r="U6277" s="31" t="s">
        <v>24379</v>
      </c>
      <c r="V6277" s="32">
        <v>37257.0</v>
      </c>
    </row>
    <row r="6278">
      <c r="A6278" s="32"/>
      <c r="T6278" s="31" t="s">
        <v>24382</v>
      </c>
      <c r="U6278" s="31" t="s">
        <v>24186</v>
      </c>
      <c r="V6278" s="32">
        <v>37257.0</v>
      </c>
    </row>
    <row r="6279">
      <c r="A6279" s="32"/>
      <c r="T6279" s="31" t="s">
        <v>24384</v>
      </c>
      <c r="U6279" s="31" t="s">
        <v>24385</v>
      </c>
      <c r="V6279" s="32">
        <v>37226.0</v>
      </c>
    </row>
    <row r="6280">
      <c r="A6280" s="32"/>
      <c r="T6280" s="31" t="s">
        <v>24389</v>
      </c>
      <c r="U6280" s="31" t="s">
        <v>24390</v>
      </c>
      <c r="V6280" s="32">
        <v>37226.0</v>
      </c>
    </row>
    <row r="6281">
      <c r="A6281" s="32"/>
      <c r="T6281" s="31" t="s">
        <v>24393</v>
      </c>
      <c r="U6281" s="31" t="s">
        <v>24394</v>
      </c>
      <c r="V6281" s="32">
        <v>37226.0</v>
      </c>
    </row>
    <row r="6282">
      <c r="A6282" s="32"/>
      <c r="T6282" s="31" t="s">
        <v>24397</v>
      </c>
      <c r="U6282" s="31" t="s">
        <v>24398</v>
      </c>
      <c r="V6282" s="32">
        <v>37226.0</v>
      </c>
    </row>
    <row r="6283">
      <c r="A6283" s="32"/>
      <c r="T6283" s="31" t="s">
        <v>24401</v>
      </c>
      <c r="U6283" s="31" t="s">
        <v>24402</v>
      </c>
      <c r="V6283" s="32">
        <v>37196.0</v>
      </c>
    </row>
    <row r="6284">
      <c r="A6284" s="32"/>
      <c r="T6284" s="31" t="s">
        <v>24405</v>
      </c>
      <c r="U6284" s="31" t="s">
        <v>24406</v>
      </c>
      <c r="V6284" s="32">
        <v>37191.0</v>
      </c>
    </row>
    <row r="6285">
      <c r="A6285" s="32"/>
      <c r="T6285" s="31" t="s">
        <v>24409</v>
      </c>
      <c r="U6285" s="31" t="s">
        <v>24410</v>
      </c>
      <c r="V6285" s="32">
        <v>37179.0</v>
      </c>
    </row>
    <row r="6286">
      <c r="A6286" s="32"/>
      <c r="T6286" s="31" t="s">
        <v>24413</v>
      </c>
      <c r="U6286" s="31" t="s">
        <v>24414</v>
      </c>
      <c r="V6286" s="32">
        <v>37173.0</v>
      </c>
    </row>
    <row r="6287">
      <c r="A6287" s="32"/>
      <c r="T6287" s="31" t="s">
        <v>24417</v>
      </c>
      <c r="U6287" s="31" t="s">
        <v>24418</v>
      </c>
      <c r="V6287" s="32">
        <v>37162.0</v>
      </c>
    </row>
    <row r="6288">
      <c r="A6288" s="32"/>
      <c r="T6288" s="31" t="s">
        <v>24421</v>
      </c>
      <c r="U6288" s="31" t="s">
        <v>24422</v>
      </c>
      <c r="V6288" s="32">
        <v>37135.0</v>
      </c>
    </row>
    <row r="6289">
      <c r="A6289" s="32"/>
      <c r="T6289" s="31" t="s">
        <v>24425</v>
      </c>
      <c r="U6289" s="31" t="s">
        <v>24426</v>
      </c>
      <c r="V6289" s="32">
        <v>37104.0</v>
      </c>
    </row>
    <row r="6290">
      <c r="A6290" s="32"/>
      <c r="T6290" s="31" t="s">
        <v>24429</v>
      </c>
      <c r="U6290" s="31" t="s">
        <v>24430</v>
      </c>
      <c r="V6290" s="32">
        <v>37104.0</v>
      </c>
    </row>
    <row r="6291">
      <c r="A6291" s="32"/>
      <c r="T6291" s="31" t="s">
        <v>24433</v>
      </c>
      <c r="U6291" s="31" t="s">
        <v>24402</v>
      </c>
      <c r="V6291" s="32">
        <v>37093.0</v>
      </c>
    </row>
    <row r="6292">
      <c r="A6292" s="32"/>
      <c r="T6292" s="31" t="s">
        <v>24436</v>
      </c>
      <c r="U6292" s="31" t="s">
        <v>24437</v>
      </c>
      <c r="V6292" s="32">
        <v>37068.0</v>
      </c>
    </row>
    <row r="6293">
      <c r="A6293" s="32"/>
      <c r="T6293" s="31" t="s">
        <v>24440</v>
      </c>
      <c r="U6293" s="31" t="s">
        <v>24441</v>
      </c>
      <c r="V6293" s="32">
        <v>37043.0</v>
      </c>
    </row>
    <row r="6294">
      <c r="A6294" s="32"/>
      <c r="T6294" s="31" t="s">
        <v>24445</v>
      </c>
      <c r="U6294" s="31" t="s">
        <v>24446</v>
      </c>
      <c r="V6294" s="32">
        <v>37043.0</v>
      </c>
    </row>
    <row r="6295">
      <c r="A6295" s="32"/>
      <c r="T6295" s="31" t="s">
        <v>24449</v>
      </c>
      <c r="U6295" s="31" t="s">
        <v>24450</v>
      </c>
      <c r="V6295" s="32">
        <v>37012.0</v>
      </c>
    </row>
    <row r="6296">
      <c r="A6296" s="32"/>
      <c r="T6296" s="31" t="s">
        <v>24454</v>
      </c>
      <c r="U6296" s="31" t="s">
        <v>24455</v>
      </c>
      <c r="V6296" s="32">
        <v>36982.0</v>
      </c>
    </row>
    <row r="6297">
      <c r="A6297" s="32"/>
      <c r="T6297" s="31" t="s">
        <v>24458</v>
      </c>
      <c r="U6297" s="31" t="s">
        <v>24459</v>
      </c>
      <c r="V6297" s="32">
        <v>36982.0</v>
      </c>
    </row>
    <row r="6298">
      <c r="A6298" s="32"/>
      <c r="T6298" s="31" t="s">
        <v>24462</v>
      </c>
      <c r="U6298" s="31" t="s">
        <v>24463</v>
      </c>
      <c r="V6298" s="32">
        <v>36982.0</v>
      </c>
    </row>
    <row r="6299">
      <c r="A6299" s="32"/>
      <c r="T6299" s="31" t="s">
        <v>24466</v>
      </c>
      <c r="U6299" s="31" t="s">
        <v>24467</v>
      </c>
      <c r="V6299" s="32">
        <v>36951.0</v>
      </c>
    </row>
    <row r="6300">
      <c r="A6300" s="32"/>
      <c r="T6300" s="31" t="s">
        <v>24470</v>
      </c>
      <c r="U6300" s="31" t="s">
        <v>24471</v>
      </c>
      <c r="V6300" s="32">
        <v>36923.0</v>
      </c>
    </row>
    <row r="6301">
      <c r="A6301" s="32"/>
      <c r="T6301" s="31" t="s">
        <v>24474</v>
      </c>
      <c r="U6301" s="31" t="s">
        <v>24475</v>
      </c>
      <c r="V6301" s="32">
        <v>36892.0</v>
      </c>
    </row>
    <row r="6302">
      <c r="A6302" s="32"/>
      <c r="T6302" s="31" t="s">
        <v>24478</v>
      </c>
      <c r="U6302" s="31" t="s">
        <v>24479</v>
      </c>
      <c r="V6302" s="32">
        <v>36892.0</v>
      </c>
    </row>
    <row r="6303">
      <c r="A6303" s="32"/>
      <c r="T6303" s="31" t="s">
        <v>24482</v>
      </c>
      <c r="U6303" s="31" t="s">
        <v>24483</v>
      </c>
      <c r="V6303" s="32">
        <v>36892.0</v>
      </c>
    </row>
    <row r="6304">
      <c r="A6304" s="32"/>
      <c r="T6304" s="31" t="s">
        <v>24486</v>
      </c>
      <c r="U6304" s="31" t="s">
        <v>24487</v>
      </c>
      <c r="V6304" s="32">
        <v>36886.0</v>
      </c>
    </row>
    <row r="6305">
      <c r="A6305" s="32"/>
      <c r="T6305" s="31" t="s">
        <v>24490</v>
      </c>
      <c r="U6305" s="31" t="s">
        <v>24491</v>
      </c>
      <c r="V6305" s="32">
        <v>36861.0</v>
      </c>
    </row>
    <row r="6306">
      <c r="A6306" s="32"/>
      <c r="T6306" s="31" t="s">
        <v>24494</v>
      </c>
      <c r="U6306" s="31" t="s">
        <v>24495</v>
      </c>
      <c r="V6306" s="32">
        <v>36802.0</v>
      </c>
    </row>
    <row r="6307">
      <c r="A6307" s="32"/>
      <c r="T6307" s="31" t="s">
        <v>24498</v>
      </c>
      <c r="U6307" s="31" t="s">
        <v>24499</v>
      </c>
      <c r="V6307" s="32">
        <v>36738.0</v>
      </c>
    </row>
    <row r="6308">
      <c r="A6308" s="32"/>
      <c r="T6308" s="31" t="s">
        <v>24502</v>
      </c>
      <c r="U6308" s="31" t="s">
        <v>24503</v>
      </c>
      <c r="V6308" s="32">
        <v>36701.0</v>
      </c>
    </row>
    <row r="6309">
      <c r="A6309" s="32"/>
      <c r="T6309" s="31" t="s">
        <v>24506</v>
      </c>
      <c r="U6309" s="31" t="s">
        <v>24507</v>
      </c>
      <c r="V6309" s="32">
        <v>36678.0</v>
      </c>
    </row>
    <row r="6310">
      <c r="A6310" s="32"/>
      <c r="T6310" s="31" t="s">
        <v>24510</v>
      </c>
      <c r="U6310" s="31" t="s">
        <v>24511</v>
      </c>
      <c r="V6310" s="32">
        <v>36647.0</v>
      </c>
    </row>
    <row r="6311">
      <c r="A6311" s="32"/>
      <c r="T6311" s="31" t="s">
        <v>24514</v>
      </c>
      <c r="U6311" s="31" t="s">
        <v>24515</v>
      </c>
      <c r="V6311" s="32">
        <v>36647.0</v>
      </c>
    </row>
    <row r="6312">
      <c r="A6312" s="32"/>
      <c r="T6312" s="31" t="s">
        <v>24518</v>
      </c>
      <c r="U6312" s="31" t="s">
        <v>24519</v>
      </c>
      <c r="V6312" s="32">
        <v>36624.0</v>
      </c>
    </row>
    <row r="6313">
      <c r="A6313" s="32"/>
      <c r="T6313" s="31" t="s">
        <v>24522</v>
      </c>
      <c r="U6313" s="31" t="s">
        <v>24523</v>
      </c>
      <c r="V6313" s="32">
        <v>36586.0</v>
      </c>
    </row>
    <row r="6314">
      <c r="A6314" s="32"/>
      <c r="T6314" s="31" t="s">
        <v>24526</v>
      </c>
      <c r="U6314" s="31" t="s">
        <v>24527</v>
      </c>
      <c r="V6314" s="32">
        <v>36586.0</v>
      </c>
    </row>
    <row r="6315">
      <c r="A6315" s="32"/>
      <c r="T6315" s="31" t="s">
        <v>24530</v>
      </c>
      <c r="U6315" s="31" t="s">
        <v>24531</v>
      </c>
      <c r="V6315" s="32">
        <v>36586.0</v>
      </c>
    </row>
    <row r="6316">
      <c r="A6316" s="32"/>
      <c r="T6316" s="31" t="s">
        <v>24534</v>
      </c>
      <c r="U6316" s="31" t="s">
        <v>24535</v>
      </c>
      <c r="V6316" s="32">
        <v>36557.0</v>
      </c>
    </row>
    <row r="6317">
      <c r="A6317" s="32"/>
      <c r="T6317" s="31" t="s">
        <v>24538</v>
      </c>
      <c r="U6317" s="31" t="s">
        <v>24539</v>
      </c>
      <c r="V6317" s="32">
        <v>36557.0</v>
      </c>
    </row>
    <row r="6318">
      <c r="A6318" s="32"/>
      <c r="T6318" s="31" t="s">
        <v>24542</v>
      </c>
      <c r="U6318" s="31" t="s">
        <v>24543</v>
      </c>
      <c r="V6318" s="32">
        <v>36498.0</v>
      </c>
    </row>
    <row r="6319">
      <c r="A6319" s="32"/>
      <c r="T6319" s="31" t="s">
        <v>24546</v>
      </c>
      <c r="U6319" s="31" t="s">
        <v>24547</v>
      </c>
      <c r="V6319" s="32">
        <v>36465.0</v>
      </c>
    </row>
    <row r="6320">
      <c r="A6320" s="32"/>
      <c r="T6320" s="31" t="s">
        <v>24550</v>
      </c>
      <c r="U6320" s="31" t="s">
        <v>24551</v>
      </c>
      <c r="V6320" s="32">
        <v>36434.0</v>
      </c>
    </row>
    <row r="6321">
      <c r="A6321" s="32"/>
      <c r="T6321" s="31" t="s">
        <v>24554</v>
      </c>
      <c r="U6321" s="31" t="s">
        <v>24555</v>
      </c>
      <c r="V6321" s="32">
        <v>36434.0</v>
      </c>
    </row>
    <row r="6322">
      <c r="A6322" s="32"/>
      <c r="T6322" s="31" t="s">
        <v>24558</v>
      </c>
      <c r="U6322" s="31" t="s">
        <v>24559</v>
      </c>
      <c r="V6322" s="32">
        <v>36427.0</v>
      </c>
    </row>
    <row r="6323">
      <c r="A6323" s="32"/>
      <c r="T6323" s="31" t="s">
        <v>24562</v>
      </c>
      <c r="U6323" s="31" t="s">
        <v>24563</v>
      </c>
      <c r="V6323" s="32">
        <v>36424.0</v>
      </c>
    </row>
    <row r="6324">
      <c r="A6324" s="32"/>
      <c r="T6324" s="31" t="s">
        <v>24566</v>
      </c>
      <c r="U6324" s="31" t="s">
        <v>24567</v>
      </c>
      <c r="V6324" s="32">
        <v>36404.0</v>
      </c>
    </row>
    <row r="6325">
      <c r="A6325" s="32"/>
      <c r="T6325" s="31" t="s">
        <v>24570</v>
      </c>
      <c r="U6325" s="31" t="s">
        <v>24571</v>
      </c>
      <c r="V6325" s="32">
        <v>36404.0</v>
      </c>
    </row>
    <row r="6326">
      <c r="A6326" s="32"/>
      <c r="T6326" s="31" t="s">
        <v>24574</v>
      </c>
      <c r="U6326" s="31" t="s">
        <v>24575</v>
      </c>
      <c r="V6326" s="32">
        <v>36403.0</v>
      </c>
    </row>
    <row r="6327">
      <c r="A6327" s="32"/>
      <c r="T6327" s="31" t="s">
        <v>24578</v>
      </c>
      <c r="U6327" s="31" t="s">
        <v>24579</v>
      </c>
      <c r="V6327" s="32">
        <v>36388.0</v>
      </c>
    </row>
    <row r="6328">
      <c r="A6328" s="32"/>
      <c r="T6328" s="31" t="s">
        <v>24582</v>
      </c>
      <c r="U6328" s="31" t="s">
        <v>24583</v>
      </c>
      <c r="V6328" s="32">
        <v>36356.0</v>
      </c>
    </row>
    <row r="6329">
      <c r="A6329" s="32"/>
      <c r="T6329" s="31" t="s">
        <v>24586</v>
      </c>
      <c r="U6329" s="31" t="s">
        <v>24587</v>
      </c>
      <c r="V6329" s="32">
        <v>36312.0</v>
      </c>
    </row>
    <row r="6330">
      <c r="A6330" s="32"/>
      <c r="T6330" s="31" t="s">
        <v>24590</v>
      </c>
      <c r="U6330" s="31" t="s">
        <v>24591</v>
      </c>
      <c r="V6330" s="32">
        <v>36281.0</v>
      </c>
    </row>
    <row r="6331">
      <c r="A6331" s="32"/>
      <c r="T6331" s="31" t="s">
        <v>24594</v>
      </c>
      <c r="U6331" s="31" t="s">
        <v>24595</v>
      </c>
      <c r="V6331" s="32">
        <v>36251.0</v>
      </c>
    </row>
    <row r="6332">
      <c r="A6332" s="32"/>
      <c r="T6332" s="31" t="s">
        <v>24599</v>
      </c>
      <c r="U6332" s="31" t="s">
        <v>24600</v>
      </c>
      <c r="V6332" s="32">
        <v>36251.0</v>
      </c>
    </row>
    <row r="6333">
      <c r="A6333" s="32"/>
      <c r="T6333" s="31" t="s">
        <v>24603</v>
      </c>
      <c r="U6333" s="31" t="s">
        <v>24604</v>
      </c>
      <c r="V6333" s="32">
        <v>36225.0</v>
      </c>
    </row>
    <row r="6334">
      <c r="A6334" s="32"/>
      <c r="T6334" s="31" t="s">
        <v>24607</v>
      </c>
      <c r="U6334" s="31" t="s">
        <v>24608</v>
      </c>
      <c r="V6334" s="32">
        <v>36220.0</v>
      </c>
    </row>
    <row r="6335">
      <c r="A6335" s="32"/>
      <c r="T6335" s="31" t="s">
        <v>24612</v>
      </c>
      <c r="U6335" s="31" t="s">
        <v>24613</v>
      </c>
      <c r="V6335" s="32">
        <v>36192.0</v>
      </c>
    </row>
    <row r="6336">
      <c r="A6336" s="32"/>
      <c r="T6336" s="31" t="s">
        <v>24616</v>
      </c>
      <c r="U6336" s="31" t="s">
        <v>24617</v>
      </c>
      <c r="V6336" s="32">
        <v>36100.0</v>
      </c>
    </row>
    <row r="6337">
      <c r="A6337" s="32"/>
      <c r="T6337" s="31" t="s">
        <v>24620</v>
      </c>
      <c r="U6337" s="31" t="s">
        <v>24621</v>
      </c>
      <c r="V6337" s="32">
        <v>36100.0</v>
      </c>
    </row>
    <row r="6338">
      <c r="A6338" s="32"/>
      <c r="T6338" s="31" t="s">
        <v>24625</v>
      </c>
      <c r="U6338" s="31" t="s">
        <v>24626</v>
      </c>
      <c r="V6338" s="32">
        <v>36100.0</v>
      </c>
    </row>
    <row r="6339">
      <c r="A6339" s="32"/>
      <c r="T6339" s="31" t="s">
        <v>24629</v>
      </c>
      <c r="U6339" s="31" t="s">
        <v>24630</v>
      </c>
      <c r="V6339" s="32">
        <v>36069.0</v>
      </c>
    </row>
    <row r="6340">
      <c r="A6340" s="32"/>
      <c r="T6340" s="31" t="s">
        <v>24633</v>
      </c>
      <c r="U6340" s="31" t="s">
        <v>24527</v>
      </c>
      <c r="V6340" s="32">
        <v>36053.0</v>
      </c>
    </row>
    <row r="6341">
      <c r="A6341" s="32"/>
      <c r="T6341" s="31" t="s">
        <v>24636</v>
      </c>
      <c r="U6341" s="31" t="s">
        <v>24637</v>
      </c>
      <c r="V6341" s="32">
        <v>35994.0</v>
      </c>
    </row>
    <row r="6342">
      <c r="A6342" s="32"/>
      <c r="T6342" s="31" t="s">
        <v>24640</v>
      </c>
      <c r="U6342" s="31" t="s">
        <v>24641</v>
      </c>
      <c r="V6342" s="32">
        <v>35977.0</v>
      </c>
    </row>
    <row r="6343">
      <c r="A6343" s="32"/>
      <c r="T6343" s="31" t="s">
        <v>24644</v>
      </c>
      <c r="U6343" s="31" t="s">
        <v>24645</v>
      </c>
      <c r="V6343" s="32">
        <v>35947.0</v>
      </c>
    </row>
    <row r="6344">
      <c r="A6344" s="32"/>
      <c r="T6344" s="31" t="s">
        <v>24648</v>
      </c>
      <c r="U6344" s="31" t="s">
        <v>22748</v>
      </c>
      <c r="V6344" s="32">
        <v>35916.0</v>
      </c>
    </row>
    <row r="6345">
      <c r="A6345" s="32"/>
      <c r="T6345" s="31" t="s">
        <v>24651</v>
      </c>
      <c r="U6345" s="31" t="s">
        <v>24652</v>
      </c>
      <c r="V6345" s="32">
        <v>35916.0</v>
      </c>
    </row>
    <row r="6346">
      <c r="A6346" s="32"/>
      <c r="T6346" s="31" t="s">
        <v>24655</v>
      </c>
      <c r="U6346" s="31" t="s">
        <v>24595</v>
      </c>
      <c r="V6346" s="32">
        <v>35855.0</v>
      </c>
    </row>
    <row r="6347">
      <c r="A6347" s="32"/>
      <c r="T6347" s="31" t="s">
        <v>24658</v>
      </c>
      <c r="U6347" s="31" t="s">
        <v>24659</v>
      </c>
      <c r="V6347" s="32">
        <v>35841.0</v>
      </c>
    </row>
    <row r="6348">
      <c r="A6348" s="32"/>
      <c r="T6348" s="31" t="s">
        <v>24662</v>
      </c>
      <c r="U6348" s="31" t="s">
        <v>24663</v>
      </c>
      <c r="V6348" s="32">
        <v>35827.0</v>
      </c>
    </row>
    <row r="6349">
      <c r="A6349" s="32"/>
      <c r="T6349" s="31" t="s">
        <v>24666</v>
      </c>
      <c r="U6349" s="31" t="s">
        <v>24667</v>
      </c>
      <c r="V6349" s="32">
        <v>35796.0</v>
      </c>
    </row>
    <row r="6350">
      <c r="A6350" s="32"/>
      <c r="T6350" s="31" t="s">
        <v>24670</v>
      </c>
      <c r="U6350" s="31" t="s">
        <v>24671</v>
      </c>
      <c r="V6350" s="32">
        <v>35765.0</v>
      </c>
    </row>
    <row r="6351">
      <c r="A6351" s="32"/>
      <c r="T6351" s="31" t="s">
        <v>24674</v>
      </c>
      <c r="U6351" s="31" t="s">
        <v>24675</v>
      </c>
      <c r="V6351" s="32">
        <v>35735.0</v>
      </c>
    </row>
    <row r="6352">
      <c r="A6352" s="32"/>
      <c r="T6352" s="31" t="s">
        <v>24677</v>
      </c>
      <c r="U6352" s="31" t="s">
        <v>22748</v>
      </c>
      <c r="V6352" s="32">
        <v>35602.0</v>
      </c>
    </row>
    <row r="6353">
      <c r="A6353" s="32"/>
      <c r="T6353" s="31" t="s">
        <v>24680</v>
      </c>
      <c r="U6353" s="31" t="s">
        <v>24681</v>
      </c>
      <c r="V6353" s="32">
        <v>35582.0</v>
      </c>
    </row>
    <row r="6354">
      <c r="A6354" s="32"/>
      <c r="T6354" s="31" t="s">
        <v>24684</v>
      </c>
      <c r="U6354" s="31" t="s">
        <v>24685</v>
      </c>
      <c r="V6354" s="32">
        <v>35521.0</v>
      </c>
    </row>
    <row r="6355">
      <c r="A6355" s="32"/>
      <c r="T6355" s="31" t="s">
        <v>24688</v>
      </c>
      <c r="U6355" s="31" t="s">
        <v>24689</v>
      </c>
      <c r="V6355" s="32">
        <v>34121.0</v>
      </c>
    </row>
    <row r="6356">
      <c r="A6356" s="32"/>
      <c r="T6356" s="31" t="s">
        <v>24693</v>
      </c>
      <c r="U6356" s="31" t="s">
        <v>24694</v>
      </c>
      <c r="V6356" s="32"/>
    </row>
    <row r="6357">
      <c r="A6357" s="32"/>
      <c r="T6357" s="31" t="s">
        <v>24697</v>
      </c>
      <c r="U6357" s="31" t="s">
        <v>24698</v>
      </c>
      <c r="V6357" s="32"/>
    </row>
    <row r="6358">
      <c r="A6358" s="32"/>
      <c r="T6358" s="31" t="s">
        <v>24701</v>
      </c>
      <c r="U6358" s="31" t="s">
        <v>24702</v>
      </c>
      <c r="V6358" s="32"/>
    </row>
    <row r="6359">
      <c r="A6359" s="32"/>
      <c r="T6359" s="31" t="s">
        <v>24705</v>
      </c>
      <c r="U6359" s="31" t="s">
        <v>24706</v>
      </c>
      <c r="V6359" s="32"/>
    </row>
    <row r="6360">
      <c r="A6360" s="32"/>
      <c r="T6360" s="31" t="s">
        <v>24709</v>
      </c>
      <c r="U6360" s="31" t="s">
        <v>11239</v>
      </c>
      <c r="V6360" s="32"/>
    </row>
    <row r="6361">
      <c r="A6361" s="32"/>
      <c r="T6361" s="31" t="s">
        <v>24712</v>
      </c>
      <c r="U6361" s="31" t="s">
        <v>24713</v>
      </c>
      <c r="V6361" s="32"/>
    </row>
    <row r="6362">
      <c r="A6362" s="32"/>
      <c r="T6362" s="31"/>
      <c r="U6362" s="31"/>
      <c r="V6362" s="32"/>
    </row>
    <row r="6363">
      <c r="A6363" s="32"/>
      <c r="T6363" s="31"/>
      <c r="U6363" s="31"/>
      <c r="V6363" s="32"/>
    </row>
    <row r="6364">
      <c r="A6364" s="32"/>
      <c r="T6364" s="31"/>
      <c r="U6364" s="31"/>
      <c r="V6364" s="32"/>
    </row>
    <row r="6365">
      <c r="A6365" s="32"/>
      <c r="T6365" s="31"/>
      <c r="U6365" s="31"/>
      <c r="V6365" s="32"/>
    </row>
    <row r="6366">
      <c r="A6366" s="32"/>
      <c r="T6366" s="31"/>
      <c r="U6366" s="31"/>
      <c r="V6366" s="32"/>
    </row>
    <row r="6367">
      <c r="A6367" s="32"/>
      <c r="T6367" s="31"/>
      <c r="U6367" s="31"/>
      <c r="V6367" s="32"/>
    </row>
    <row r="6368">
      <c r="A6368" s="32"/>
      <c r="T6368" s="31"/>
      <c r="U6368" s="31"/>
      <c r="V6368" s="32"/>
    </row>
    <row r="6369">
      <c r="A6369" s="32"/>
      <c r="T6369" s="31"/>
      <c r="U6369" s="31"/>
      <c r="V6369" s="32"/>
    </row>
    <row r="6370">
      <c r="A6370" s="32"/>
      <c r="T6370" s="31"/>
      <c r="U6370" s="31"/>
      <c r="V6370" s="32"/>
    </row>
    <row r="6371">
      <c r="A6371" s="32"/>
      <c r="T6371" s="31"/>
      <c r="U6371" s="31"/>
      <c r="V6371" s="32"/>
    </row>
    <row r="6372">
      <c r="A6372" s="32"/>
      <c r="T6372" s="31"/>
      <c r="U6372" s="31"/>
      <c r="V6372" s="32"/>
    </row>
    <row r="6373">
      <c r="A6373" s="32"/>
      <c r="T6373" s="31"/>
      <c r="U6373" s="31"/>
      <c r="V6373" s="32"/>
    </row>
    <row r="6374">
      <c r="A6374" s="32"/>
      <c r="T6374" s="31"/>
      <c r="U6374" s="31"/>
      <c r="V6374" s="32"/>
    </row>
    <row r="6375">
      <c r="A6375" s="32"/>
      <c r="T6375" s="31"/>
      <c r="U6375" s="31"/>
      <c r="V6375" s="32"/>
    </row>
    <row r="6376">
      <c r="A6376" s="32"/>
      <c r="T6376" s="31"/>
      <c r="U6376" s="31"/>
      <c r="V6376" s="32"/>
    </row>
    <row r="6377">
      <c r="A6377" s="32"/>
      <c r="T6377" s="31"/>
      <c r="U6377" s="31"/>
      <c r="V6377" s="32"/>
    </row>
    <row r="6378">
      <c r="A6378" s="32"/>
      <c r="T6378" s="31"/>
      <c r="U6378" s="31"/>
      <c r="V6378" s="32"/>
    </row>
    <row r="6379">
      <c r="A6379" s="32"/>
      <c r="T6379" s="31"/>
      <c r="U6379" s="31"/>
      <c r="V6379" s="32"/>
    </row>
    <row r="6380">
      <c r="A6380" s="32"/>
      <c r="T6380" s="31"/>
      <c r="U6380" s="31"/>
      <c r="V6380" s="32"/>
    </row>
    <row r="6381">
      <c r="A6381" s="32"/>
      <c r="T6381" s="31"/>
      <c r="U6381" s="31"/>
      <c r="V6381" s="32"/>
    </row>
    <row r="6382">
      <c r="A6382" s="32"/>
      <c r="T6382" s="31"/>
      <c r="U6382" s="31"/>
      <c r="V6382" s="32"/>
    </row>
    <row r="6383">
      <c r="A6383" s="32"/>
      <c r="T6383" s="31"/>
      <c r="U6383" s="31"/>
      <c r="V6383" s="32"/>
    </row>
    <row r="6384">
      <c r="A6384" s="32"/>
      <c r="T6384" s="31"/>
      <c r="U6384" s="31"/>
      <c r="V6384" s="32"/>
    </row>
    <row r="6385">
      <c r="A6385" s="32"/>
      <c r="T6385" s="31"/>
      <c r="U6385" s="31"/>
      <c r="V6385" s="32"/>
    </row>
    <row r="6386">
      <c r="A6386" s="32"/>
      <c r="T6386" s="31"/>
      <c r="U6386" s="31"/>
      <c r="V6386" s="32"/>
    </row>
    <row r="6387">
      <c r="A6387" s="32"/>
      <c r="T6387" s="31"/>
      <c r="U6387" s="31"/>
      <c r="V6387" s="32"/>
    </row>
    <row r="6388">
      <c r="A6388" s="32"/>
      <c r="T6388" s="31"/>
      <c r="U6388" s="31"/>
      <c r="V6388" s="32"/>
    </row>
    <row r="6389">
      <c r="A6389" s="32"/>
      <c r="T6389" s="31"/>
      <c r="U6389" s="31"/>
      <c r="V6389" s="32"/>
    </row>
    <row r="6390">
      <c r="A6390" s="32"/>
      <c r="T6390" s="31"/>
      <c r="U6390" s="31"/>
      <c r="V6390" s="32"/>
    </row>
    <row r="6391">
      <c r="A6391" s="32"/>
      <c r="T6391" s="31"/>
      <c r="U6391" s="31"/>
      <c r="V6391" s="32"/>
    </row>
    <row r="6392">
      <c r="A6392" s="32"/>
      <c r="T6392" s="31"/>
      <c r="U6392" s="31"/>
      <c r="V6392" s="32"/>
    </row>
    <row r="6393">
      <c r="A6393" s="32"/>
      <c r="T6393" s="31"/>
      <c r="U6393" s="31"/>
      <c r="V6393" s="32"/>
    </row>
    <row r="6394">
      <c r="A6394" s="32"/>
      <c r="T6394" s="31"/>
      <c r="U6394" s="31"/>
      <c r="V6394" s="32"/>
    </row>
    <row r="6395">
      <c r="A6395" s="32"/>
      <c r="T6395" s="31"/>
      <c r="U6395" s="31"/>
      <c r="V6395" s="32"/>
    </row>
    <row r="6396">
      <c r="A6396" s="32"/>
      <c r="T6396" s="31"/>
      <c r="U6396" s="31"/>
      <c r="V6396" s="32"/>
    </row>
    <row r="6397">
      <c r="A6397" s="32"/>
      <c r="T6397" s="31"/>
      <c r="U6397" s="31"/>
      <c r="V6397" s="32"/>
    </row>
    <row r="6398">
      <c r="A6398" s="32"/>
      <c r="T6398" s="31"/>
      <c r="U6398" s="31"/>
      <c r="V6398" s="32"/>
    </row>
    <row r="6399">
      <c r="A6399" s="32"/>
      <c r="T6399" s="31"/>
      <c r="U6399" s="31"/>
      <c r="V6399" s="32"/>
    </row>
    <row r="6400">
      <c r="A6400" s="32"/>
      <c r="T6400" s="31"/>
      <c r="U6400" s="31"/>
      <c r="V6400" s="32"/>
    </row>
    <row r="6401">
      <c r="A6401" s="32"/>
      <c r="T6401" s="31"/>
      <c r="U6401" s="31"/>
      <c r="V6401" s="32"/>
    </row>
    <row r="6402">
      <c r="A6402" s="32"/>
      <c r="T6402" s="31"/>
      <c r="U6402" s="31"/>
      <c r="V6402" s="32"/>
    </row>
    <row r="6403">
      <c r="A6403" s="32"/>
      <c r="T6403" s="31"/>
      <c r="U6403" s="31"/>
      <c r="V6403" s="32"/>
    </row>
    <row r="6404">
      <c r="A6404" s="32"/>
      <c r="T6404" s="31"/>
      <c r="U6404" s="31"/>
      <c r="V6404" s="32"/>
    </row>
    <row r="6405">
      <c r="A6405" s="32"/>
      <c r="T6405" s="31"/>
      <c r="U6405" s="31"/>
      <c r="V6405" s="32"/>
    </row>
    <row r="6406">
      <c r="A6406" s="32"/>
      <c r="T6406" s="31"/>
      <c r="U6406" s="31"/>
      <c r="V6406" s="32"/>
    </row>
    <row r="6407">
      <c r="A6407" s="32"/>
      <c r="T6407" s="31"/>
      <c r="U6407" s="31"/>
      <c r="V6407" s="32"/>
    </row>
    <row r="6408">
      <c r="A6408" s="32"/>
      <c r="T6408" s="31"/>
      <c r="U6408" s="31"/>
      <c r="V6408" s="32"/>
    </row>
    <row r="6409">
      <c r="A6409" s="32"/>
      <c r="T6409" s="31"/>
      <c r="U6409" s="31"/>
      <c r="V6409" s="32"/>
    </row>
    <row r="6410">
      <c r="A6410" s="32"/>
      <c r="T6410" s="31"/>
      <c r="U6410" s="31"/>
      <c r="V6410" s="32"/>
    </row>
    <row r="6411">
      <c r="A6411" s="32"/>
      <c r="T6411" s="31"/>
      <c r="U6411" s="31"/>
      <c r="V6411" s="32"/>
    </row>
    <row r="6412">
      <c r="A6412" s="32"/>
      <c r="T6412" s="31"/>
      <c r="U6412" s="31"/>
      <c r="V6412" s="32"/>
    </row>
    <row r="6413">
      <c r="A6413" s="32"/>
      <c r="T6413" s="31"/>
      <c r="U6413" s="31"/>
      <c r="V6413" s="32"/>
    </row>
    <row r="6414">
      <c r="A6414" s="32"/>
      <c r="T6414" s="31"/>
      <c r="U6414" s="31"/>
      <c r="V6414" s="32"/>
    </row>
    <row r="6415">
      <c r="A6415" s="32"/>
      <c r="T6415" s="31"/>
      <c r="U6415" s="31"/>
      <c r="V6415" s="32"/>
    </row>
    <row r="6416">
      <c r="A6416" s="32"/>
      <c r="T6416" s="31"/>
      <c r="U6416" s="31"/>
      <c r="V6416" s="32"/>
    </row>
    <row r="6417">
      <c r="A6417" s="32"/>
      <c r="T6417" s="31"/>
      <c r="U6417" s="31"/>
      <c r="V6417" s="32"/>
    </row>
    <row r="6418">
      <c r="A6418" s="32"/>
      <c r="T6418" s="31"/>
      <c r="U6418" s="31"/>
      <c r="V6418" s="32"/>
    </row>
    <row r="6419">
      <c r="A6419" s="32"/>
      <c r="T6419" s="31"/>
      <c r="U6419" s="31"/>
      <c r="V6419" s="32"/>
    </row>
    <row r="6420">
      <c r="A6420" s="32"/>
      <c r="T6420" s="31"/>
      <c r="U6420" s="31"/>
      <c r="V6420" s="32"/>
    </row>
    <row r="6421">
      <c r="A6421" s="32"/>
      <c r="T6421" s="31"/>
      <c r="U6421" s="31"/>
      <c r="V6421" s="32"/>
    </row>
    <row r="6422">
      <c r="A6422" s="32"/>
      <c r="T6422" s="31"/>
      <c r="U6422" s="31"/>
      <c r="V6422" s="32"/>
    </row>
    <row r="6423">
      <c r="A6423" s="32"/>
      <c r="T6423" s="31"/>
      <c r="U6423" s="31"/>
      <c r="V6423" s="32"/>
    </row>
    <row r="6424">
      <c r="A6424" s="32"/>
      <c r="T6424" s="31"/>
      <c r="U6424" s="31"/>
      <c r="V6424" s="32"/>
    </row>
    <row r="6425">
      <c r="A6425" s="32"/>
      <c r="T6425" s="31"/>
      <c r="U6425" s="31"/>
      <c r="V6425" s="32"/>
    </row>
    <row r="6426">
      <c r="A6426" s="32"/>
      <c r="T6426" s="31"/>
      <c r="U6426" s="31"/>
      <c r="V6426" s="32"/>
    </row>
    <row r="6427">
      <c r="A6427" s="32"/>
      <c r="T6427" s="31"/>
      <c r="U6427" s="31"/>
      <c r="V6427" s="32"/>
    </row>
    <row r="6428">
      <c r="A6428" s="32"/>
      <c r="T6428" s="31"/>
      <c r="U6428" s="31"/>
      <c r="V6428" s="32"/>
    </row>
    <row r="6429">
      <c r="A6429" s="32"/>
      <c r="T6429" s="31"/>
      <c r="U6429" s="31"/>
      <c r="V6429" s="32"/>
    </row>
    <row r="6430">
      <c r="A6430" s="32"/>
      <c r="T6430" s="31"/>
      <c r="U6430" s="31"/>
      <c r="V6430" s="32"/>
    </row>
    <row r="6431">
      <c r="A6431" s="32"/>
      <c r="T6431" s="31"/>
      <c r="U6431" s="31"/>
      <c r="V6431" s="32"/>
    </row>
    <row r="6432">
      <c r="A6432" s="32"/>
      <c r="T6432" s="31"/>
      <c r="U6432" s="31"/>
      <c r="V6432" s="32"/>
    </row>
    <row r="6433">
      <c r="A6433" s="32"/>
      <c r="T6433" s="31"/>
      <c r="U6433" s="31"/>
      <c r="V6433" s="32"/>
    </row>
    <row r="6434">
      <c r="A6434" s="32"/>
      <c r="T6434" s="31"/>
      <c r="U6434" s="31"/>
      <c r="V6434" s="32"/>
    </row>
    <row r="6435">
      <c r="A6435" s="32"/>
      <c r="T6435" s="31"/>
      <c r="U6435" s="31"/>
      <c r="V6435" s="32"/>
    </row>
    <row r="6436">
      <c r="A6436" s="32"/>
      <c r="T6436" s="31"/>
      <c r="U6436" s="31"/>
      <c r="V6436" s="32"/>
    </row>
    <row r="6437">
      <c r="A6437" s="32"/>
      <c r="T6437" s="31"/>
      <c r="U6437" s="31"/>
      <c r="V6437" s="32"/>
    </row>
    <row r="6438">
      <c r="A6438" s="32"/>
      <c r="T6438" s="31"/>
      <c r="U6438" s="31"/>
      <c r="V6438" s="32"/>
    </row>
    <row r="6439">
      <c r="A6439" s="32"/>
      <c r="T6439" s="31"/>
      <c r="U6439" s="31"/>
      <c r="V6439" s="32"/>
    </row>
    <row r="6440">
      <c r="A6440" s="32"/>
      <c r="T6440" s="31"/>
      <c r="U6440" s="31"/>
      <c r="V6440" s="32"/>
    </row>
    <row r="6441">
      <c r="A6441" s="32"/>
      <c r="T6441" s="31"/>
      <c r="U6441" s="31"/>
      <c r="V6441" s="32"/>
    </row>
    <row r="6442">
      <c r="A6442" s="32"/>
      <c r="T6442" s="31"/>
      <c r="U6442" s="31"/>
      <c r="V6442" s="32"/>
    </row>
    <row r="6443">
      <c r="A6443" s="32"/>
      <c r="T6443" s="31"/>
      <c r="U6443" s="31"/>
      <c r="V6443" s="32"/>
    </row>
    <row r="6444">
      <c r="A6444" s="32"/>
      <c r="T6444" s="31"/>
      <c r="U6444" s="31"/>
      <c r="V6444" s="32"/>
    </row>
    <row r="6445">
      <c r="A6445" s="32"/>
      <c r="T6445" s="31"/>
      <c r="U6445" s="31"/>
      <c r="V6445" s="32"/>
    </row>
    <row r="6446">
      <c r="A6446" s="32"/>
      <c r="T6446" s="31"/>
      <c r="U6446" s="31"/>
      <c r="V6446" s="32"/>
    </row>
    <row r="6447">
      <c r="A6447" s="32"/>
      <c r="T6447" s="31"/>
      <c r="U6447" s="31"/>
      <c r="V6447" s="32"/>
    </row>
    <row r="6448">
      <c r="A6448" s="32"/>
      <c r="T6448" s="31"/>
      <c r="U6448" s="31"/>
      <c r="V6448" s="32"/>
    </row>
    <row r="6449">
      <c r="A6449" s="32"/>
      <c r="T6449" s="31"/>
      <c r="U6449" s="31"/>
      <c r="V6449" s="32"/>
    </row>
    <row r="6450">
      <c r="A6450" s="32"/>
      <c r="T6450" s="31"/>
      <c r="U6450" s="31"/>
      <c r="V6450" s="32"/>
    </row>
    <row r="6451">
      <c r="A6451" s="32"/>
      <c r="T6451" s="31"/>
      <c r="U6451" s="31"/>
      <c r="V6451" s="32"/>
    </row>
    <row r="6452">
      <c r="A6452" s="32"/>
      <c r="T6452" s="31"/>
      <c r="U6452" s="31"/>
      <c r="V6452" s="32"/>
    </row>
    <row r="6453">
      <c r="A6453" s="32"/>
      <c r="T6453" s="31"/>
      <c r="U6453" s="31"/>
      <c r="V6453" s="32"/>
    </row>
    <row r="6454">
      <c r="A6454" s="32"/>
      <c r="T6454" s="31"/>
      <c r="U6454" s="31"/>
      <c r="V6454" s="32"/>
    </row>
    <row r="6455">
      <c r="A6455" s="32"/>
      <c r="T6455" s="31"/>
      <c r="U6455" s="31"/>
      <c r="V6455" s="32"/>
    </row>
    <row r="6456">
      <c r="A6456" s="32"/>
      <c r="T6456" s="31"/>
      <c r="U6456" s="31"/>
      <c r="V6456" s="32"/>
    </row>
    <row r="6457">
      <c r="A6457" s="32"/>
      <c r="T6457" s="31"/>
      <c r="U6457" s="31"/>
      <c r="V6457" s="32"/>
    </row>
    <row r="6458">
      <c r="A6458" s="32"/>
      <c r="T6458" s="31"/>
      <c r="U6458" s="31"/>
      <c r="V6458" s="32"/>
    </row>
    <row r="6459">
      <c r="A6459" s="32"/>
      <c r="T6459" s="31"/>
      <c r="U6459" s="31"/>
      <c r="V6459" s="32"/>
    </row>
    <row r="6460">
      <c r="A6460" s="32"/>
      <c r="T6460" s="31"/>
      <c r="U6460" s="31"/>
      <c r="V6460" s="32"/>
    </row>
    <row r="6461">
      <c r="A6461" s="32"/>
      <c r="T6461" s="31"/>
      <c r="U6461" s="31"/>
      <c r="V6461" s="32"/>
    </row>
    <row r="6462">
      <c r="A6462" s="32"/>
      <c r="T6462" s="31"/>
      <c r="U6462" s="31"/>
      <c r="V6462" s="32"/>
    </row>
    <row r="6463">
      <c r="A6463" s="32"/>
      <c r="T6463" s="31"/>
      <c r="U6463" s="31"/>
      <c r="V6463" s="32"/>
    </row>
    <row r="6464">
      <c r="A6464" s="32"/>
      <c r="T6464" s="31"/>
      <c r="U6464" s="31"/>
      <c r="V6464" s="32"/>
    </row>
    <row r="6465">
      <c r="A6465" s="32"/>
      <c r="T6465" s="31"/>
      <c r="U6465" s="31"/>
      <c r="V6465" s="32"/>
    </row>
    <row r="6466">
      <c r="A6466" s="32"/>
      <c r="T6466" s="31"/>
      <c r="U6466" s="31"/>
      <c r="V6466" s="32"/>
    </row>
    <row r="6467">
      <c r="A6467" s="32"/>
      <c r="T6467" s="31"/>
      <c r="U6467" s="31"/>
      <c r="V6467" s="32"/>
    </row>
    <row r="6468">
      <c r="A6468" s="32"/>
      <c r="T6468" s="31"/>
      <c r="U6468" s="31"/>
      <c r="V6468" s="32"/>
    </row>
    <row r="6469">
      <c r="A6469" s="32"/>
      <c r="T6469" s="31"/>
      <c r="U6469" s="31"/>
      <c r="V6469" s="32"/>
    </row>
    <row r="6470">
      <c r="A6470" s="32"/>
      <c r="T6470" s="31"/>
      <c r="U6470" s="31"/>
      <c r="V6470" s="32"/>
    </row>
    <row r="6471">
      <c r="A6471" s="32"/>
      <c r="T6471" s="31"/>
      <c r="U6471" s="31"/>
      <c r="V6471" s="32"/>
    </row>
    <row r="6472">
      <c r="A6472" s="32"/>
      <c r="T6472" s="31"/>
      <c r="U6472" s="31"/>
      <c r="V6472" s="32"/>
    </row>
    <row r="6473">
      <c r="A6473" s="32"/>
      <c r="T6473" s="31"/>
      <c r="U6473" s="31"/>
      <c r="V6473" s="32"/>
    </row>
    <row r="6474">
      <c r="A6474" s="32"/>
      <c r="T6474" s="31"/>
      <c r="U6474" s="31"/>
      <c r="V6474" s="32"/>
    </row>
    <row r="6475">
      <c r="A6475" s="32"/>
      <c r="T6475" s="31"/>
      <c r="U6475" s="31"/>
      <c r="V6475" s="32"/>
    </row>
    <row r="6476">
      <c r="A6476" s="32"/>
      <c r="T6476" s="31"/>
      <c r="U6476" s="31"/>
      <c r="V6476" s="32"/>
    </row>
    <row r="6477">
      <c r="A6477" s="32"/>
      <c r="T6477" s="31"/>
      <c r="U6477" s="31"/>
      <c r="V6477" s="32"/>
    </row>
    <row r="6478">
      <c r="A6478" s="32"/>
      <c r="T6478" s="31"/>
      <c r="U6478" s="31"/>
      <c r="V6478" s="32"/>
    </row>
    <row r="6479">
      <c r="A6479" s="32"/>
      <c r="T6479" s="31"/>
      <c r="U6479" s="31"/>
      <c r="V6479" s="32"/>
    </row>
    <row r="6480">
      <c r="A6480" s="32"/>
      <c r="T6480" s="31"/>
      <c r="U6480" s="31"/>
      <c r="V6480" s="32"/>
    </row>
    <row r="6481">
      <c r="A6481" s="32"/>
      <c r="T6481" s="31"/>
      <c r="U6481" s="31"/>
      <c r="V6481" s="32"/>
    </row>
    <row r="6482">
      <c r="A6482" s="32"/>
      <c r="T6482" s="31"/>
      <c r="U6482" s="31"/>
      <c r="V6482" s="32"/>
    </row>
    <row r="6483">
      <c r="A6483" s="32"/>
      <c r="T6483" s="31"/>
      <c r="U6483" s="31"/>
      <c r="V6483" s="32"/>
    </row>
    <row r="6484">
      <c r="A6484" s="32"/>
      <c r="T6484" s="31"/>
      <c r="U6484" s="31"/>
      <c r="V6484" s="32"/>
    </row>
    <row r="6485">
      <c r="A6485" s="32"/>
      <c r="T6485" s="31"/>
      <c r="U6485" s="31"/>
      <c r="V6485" s="32"/>
    </row>
    <row r="6486">
      <c r="A6486" s="32"/>
      <c r="T6486" s="31"/>
      <c r="U6486" s="31"/>
      <c r="V6486" s="32"/>
    </row>
    <row r="6487">
      <c r="A6487" s="32"/>
      <c r="T6487" s="31"/>
      <c r="U6487" s="31"/>
      <c r="V6487" s="32"/>
    </row>
    <row r="6488">
      <c r="A6488" s="32"/>
      <c r="T6488" s="31"/>
      <c r="U6488" s="31"/>
      <c r="V6488" s="32"/>
    </row>
    <row r="6489">
      <c r="A6489" s="32"/>
      <c r="T6489" s="31"/>
      <c r="U6489" s="31"/>
      <c r="V6489" s="32"/>
    </row>
    <row r="6490">
      <c r="A6490" s="32"/>
      <c r="T6490" s="31"/>
      <c r="U6490" s="31"/>
      <c r="V6490" s="32"/>
    </row>
    <row r="6491">
      <c r="A6491" s="32"/>
      <c r="T6491" s="31"/>
      <c r="U6491" s="31"/>
      <c r="V6491" s="32"/>
    </row>
    <row r="6492">
      <c r="A6492" s="32"/>
      <c r="T6492" s="31"/>
      <c r="U6492" s="31"/>
      <c r="V6492" s="32"/>
    </row>
    <row r="6493">
      <c r="A6493" s="32"/>
      <c r="T6493" s="31"/>
      <c r="U6493" s="31"/>
      <c r="V6493" s="32"/>
    </row>
    <row r="6494">
      <c r="A6494" s="32"/>
      <c r="T6494" s="31"/>
      <c r="U6494" s="31"/>
      <c r="V6494" s="32"/>
    </row>
    <row r="6495">
      <c r="A6495" s="32"/>
      <c r="T6495" s="31"/>
      <c r="U6495" s="31"/>
      <c r="V6495" s="32"/>
    </row>
    <row r="6496">
      <c r="A6496" s="32"/>
      <c r="T6496" s="31"/>
      <c r="U6496" s="31"/>
      <c r="V6496" s="32"/>
    </row>
    <row r="6497">
      <c r="A6497" s="32"/>
      <c r="T6497" s="31"/>
      <c r="U6497" s="31"/>
      <c r="V6497" s="32"/>
    </row>
    <row r="6498">
      <c r="A6498" s="32"/>
      <c r="T6498" s="31"/>
      <c r="U6498" s="31"/>
      <c r="V6498" s="32"/>
    </row>
    <row r="6499">
      <c r="A6499" s="32"/>
      <c r="T6499" s="31"/>
      <c r="U6499" s="31"/>
      <c r="V6499" s="32"/>
    </row>
    <row r="6500">
      <c r="A6500" s="32"/>
      <c r="T6500" s="31"/>
      <c r="U6500" s="31"/>
      <c r="V6500" s="32"/>
    </row>
    <row r="6501">
      <c r="A6501" s="32"/>
      <c r="T6501" s="31"/>
      <c r="U6501" s="31"/>
      <c r="V6501" s="32"/>
    </row>
    <row r="6502">
      <c r="A6502" s="32"/>
      <c r="T6502" s="31"/>
      <c r="U6502" s="31"/>
      <c r="V6502" s="32"/>
    </row>
    <row r="6503">
      <c r="A6503" s="32"/>
      <c r="T6503" s="31"/>
      <c r="U6503" s="31"/>
      <c r="V6503" s="32"/>
    </row>
    <row r="6504">
      <c r="A6504" s="32"/>
      <c r="T6504" s="31"/>
      <c r="U6504" s="31"/>
      <c r="V6504" s="32"/>
    </row>
    <row r="6505">
      <c r="A6505" s="32"/>
      <c r="T6505" s="31"/>
      <c r="U6505" s="31"/>
      <c r="V6505" s="32"/>
    </row>
    <row r="6506">
      <c r="A6506" s="32"/>
      <c r="T6506" s="31"/>
      <c r="U6506" s="31"/>
      <c r="V6506" s="32"/>
    </row>
    <row r="6507">
      <c r="A6507" s="32"/>
      <c r="T6507" s="31"/>
      <c r="U6507" s="31"/>
      <c r="V6507" s="32"/>
    </row>
    <row r="6508">
      <c r="A6508" s="32"/>
      <c r="T6508" s="31"/>
      <c r="U6508" s="31"/>
      <c r="V6508" s="32"/>
    </row>
    <row r="6509">
      <c r="A6509" s="32"/>
      <c r="T6509" s="31"/>
      <c r="U6509" s="31"/>
      <c r="V6509" s="32"/>
    </row>
    <row r="6510">
      <c r="A6510" s="32"/>
      <c r="T6510" s="31"/>
      <c r="U6510" s="31"/>
      <c r="V6510" s="32"/>
    </row>
    <row r="6511">
      <c r="A6511" s="32"/>
      <c r="T6511" s="31"/>
      <c r="U6511" s="31"/>
      <c r="V6511" s="32"/>
    </row>
    <row r="6512">
      <c r="A6512" s="32"/>
      <c r="T6512" s="31"/>
      <c r="U6512" s="31"/>
      <c r="V6512" s="32"/>
    </row>
    <row r="6513">
      <c r="A6513" s="32"/>
      <c r="T6513" s="31"/>
      <c r="U6513" s="31"/>
      <c r="V6513" s="32"/>
    </row>
    <row r="6514">
      <c r="A6514" s="32"/>
      <c r="T6514" s="31"/>
      <c r="U6514" s="31"/>
      <c r="V6514" s="32"/>
    </row>
    <row r="6515">
      <c r="A6515" s="32"/>
      <c r="T6515" s="31"/>
      <c r="U6515" s="31"/>
      <c r="V6515" s="32"/>
    </row>
    <row r="6516">
      <c r="A6516" s="32"/>
      <c r="T6516" s="31"/>
      <c r="U6516" s="31"/>
      <c r="V6516" s="32"/>
    </row>
    <row r="6517">
      <c r="A6517" s="32"/>
      <c r="T6517" s="31"/>
      <c r="U6517" s="31"/>
      <c r="V6517" s="32"/>
    </row>
    <row r="6518">
      <c r="A6518" s="32"/>
      <c r="T6518" s="31"/>
      <c r="U6518" s="31"/>
      <c r="V6518" s="32"/>
    </row>
    <row r="6519">
      <c r="A6519" s="32"/>
      <c r="T6519" s="31"/>
      <c r="U6519" s="31"/>
      <c r="V6519" s="32"/>
    </row>
    <row r="6520">
      <c r="A6520" s="32"/>
      <c r="T6520" s="31"/>
      <c r="U6520" s="31"/>
      <c r="V6520" s="32"/>
    </row>
    <row r="6521">
      <c r="A6521" s="32"/>
      <c r="T6521" s="31"/>
      <c r="U6521" s="31"/>
      <c r="V6521" s="32"/>
    </row>
    <row r="6522">
      <c r="A6522" s="32"/>
      <c r="T6522" s="31"/>
      <c r="U6522" s="31"/>
      <c r="V6522" s="32"/>
    </row>
    <row r="6523">
      <c r="A6523" s="32"/>
      <c r="T6523" s="31"/>
      <c r="U6523" s="31"/>
      <c r="V6523" s="32"/>
    </row>
    <row r="6524">
      <c r="A6524" s="32"/>
      <c r="T6524" s="31"/>
      <c r="U6524" s="31"/>
      <c r="V6524" s="32"/>
    </row>
    <row r="6525">
      <c r="A6525" s="32"/>
      <c r="T6525" s="31"/>
      <c r="U6525" s="31"/>
      <c r="V6525" s="32"/>
    </row>
    <row r="6526">
      <c r="A6526" s="32"/>
      <c r="T6526" s="31"/>
      <c r="U6526" s="31"/>
      <c r="V6526" s="32"/>
    </row>
    <row r="6527">
      <c r="A6527" s="32"/>
      <c r="T6527" s="31"/>
      <c r="U6527" s="31"/>
      <c r="V6527" s="32"/>
    </row>
    <row r="6528">
      <c r="A6528" s="32"/>
      <c r="T6528" s="31"/>
      <c r="U6528" s="31"/>
      <c r="V6528" s="32"/>
    </row>
    <row r="6529">
      <c r="A6529" s="32"/>
      <c r="T6529" s="31"/>
      <c r="U6529" s="31"/>
      <c r="V6529" s="32"/>
    </row>
    <row r="6530">
      <c r="A6530" s="32"/>
      <c r="T6530" s="31"/>
      <c r="U6530" s="31"/>
      <c r="V6530" s="32"/>
    </row>
    <row r="6531">
      <c r="A6531" s="32"/>
      <c r="T6531" s="31"/>
      <c r="U6531" s="31"/>
      <c r="V6531" s="32"/>
    </row>
    <row r="6532">
      <c r="A6532" s="32"/>
      <c r="T6532" s="31"/>
      <c r="U6532" s="31"/>
      <c r="V6532" s="32"/>
    </row>
    <row r="6533">
      <c r="A6533" s="32"/>
      <c r="T6533" s="31"/>
      <c r="U6533" s="31"/>
      <c r="V6533" s="32"/>
    </row>
    <row r="6534">
      <c r="A6534" s="32"/>
      <c r="T6534" s="31"/>
      <c r="U6534" s="31"/>
      <c r="V6534" s="32"/>
    </row>
    <row r="6535">
      <c r="A6535" s="32"/>
      <c r="T6535" s="31"/>
      <c r="U6535" s="31"/>
      <c r="V6535" s="32"/>
    </row>
    <row r="6536">
      <c r="A6536" s="32"/>
      <c r="T6536" s="31"/>
      <c r="U6536" s="31"/>
      <c r="V6536" s="32"/>
    </row>
    <row r="6537">
      <c r="A6537" s="32"/>
      <c r="T6537" s="31"/>
      <c r="U6537" s="31"/>
      <c r="V6537" s="32"/>
    </row>
    <row r="6538">
      <c r="A6538" s="32"/>
      <c r="T6538" s="31"/>
      <c r="U6538" s="31"/>
      <c r="V6538" s="32"/>
    </row>
    <row r="6539">
      <c r="A6539" s="32"/>
      <c r="T6539" s="31"/>
      <c r="U6539" s="31"/>
      <c r="V6539" s="32"/>
    </row>
    <row r="6540">
      <c r="A6540" s="32"/>
      <c r="T6540" s="31"/>
      <c r="U6540" s="31"/>
      <c r="V6540" s="32"/>
    </row>
    <row r="6541">
      <c r="A6541" s="32"/>
      <c r="T6541" s="31"/>
      <c r="U6541" s="31"/>
      <c r="V6541" s="32"/>
    </row>
    <row r="6542">
      <c r="A6542" s="32"/>
      <c r="T6542" s="31"/>
      <c r="U6542" s="31"/>
      <c r="V6542" s="32"/>
    </row>
    <row r="6543">
      <c r="A6543" s="32"/>
      <c r="T6543" s="31"/>
      <c r="U6543" s="31"/>
      <c r="V6543" s="32"/>
    </row>
    <row r="6544">
      <c r="A6544" s="32"/>
      <c r="T6544" s="31"/>
      <c r="U6544" s="31"/>
      <c r="V6544" s="32"/>
    </row>
    <row r="6545">
      <c r="A6545" s="32"/>
      <c r="T6545" s="31"/>
      <c r="U6545" s="31"/>
      <c r="V6545" s="32"/>
    </row>
    <row r="6546">
      <c r="A6546" s="32"/>
      <c r="T6546" s="31"/>
      <c r="U6546" s="31"/>
      <c r="V6546" s="32"/>
    </row>
    <row r="6547">
      <c r="A6547" s="32"/>
      <c r="T6547" s="31"/>
      <c r="U6547" s="31"/>
      <c r="V6547" s="32"/>
    </row>
    <row r="6548">
      <c r="A6548" s="32"/>
      <c r="T6548" s="31"/>
      <c r="U6548" s="31"/>
      <c r="V6548" s="32"/>
    </row>
    <row r="6549">
      <c r="A6549" s="32"/>
      <c r="T6549" s="31"/>
      <c r="U6549" s="31"/>
      <c r="V6549" s="32"/>
    </row>
    <row r="6550">
      <c r="A6550" s="32"/>
      <c r="T6550" s="31"/>
      <c r="U6550" s="31"/>
      <c r="V6550" s="32"/>
    </row>
    <row r="6551">
      <c r="A6551" s="32"/>
      <c r="T6551" s="31"/>
      <c r="U6551" s="31"/>
      <c r="V6551" s="32"/>
    </row>
    <row r="6552">
      <c r="A6552" s="32"/>
      <c r="T6552" s="31"/>
      <c r="U6552" s="31"/>
      <c r="V6552" s="32"/>
    </row>
    <row r="6553">
      <c r="A6553" s="32"/>
      <c r="T6553" s="31"/>
      <c r="U6553" s="31"/>
      <c r="V6553" s="32"/>
    </row>
    <row r="6554">
      <c r="A6554" s="32"/>
      <c r="T6554" s="31"/>
      <c r="U6554" s="31"/>
      <c r="V6554" s="32"/>
    </row>
    <row r="6555">
      <c r="A6555" s="32"/>
      <c r="T6555" s="31"/>
      <c r="U6555" s="31"/>
      <c r="V6555" s="32"/>
    </row>
    <row r="6556">
      <c r="A6556" s="32"/>
      <c r="T6556" s="31"/>
      <c r="U6556" s="31"/>
      <c r="V6556" s="32"/>
    </row>
    <row r="6557">
      <c r="A6557" s="32"/>
      <c r="T6557" s="31"/>
      <c r="U6557" s="31"/>
      <c r="V6557" s="32"/>
    </row>
    <row r="6558">
      <c r="A6558" s="32"/>
      <c r="T6558" s="31"/>
      <c r="U6558" s="31"/>
      <c r="V6558" s="32"/>
    </row>
    <row r="6559">
      <c r="A6559" s="32"/>
      <c r="T6559" s="31"/>
      <c r="U6559" s="31"/>
      <c r="V6559" s="32"/>
    </row>
    <row r="6560">
      <c r="A6560" s="32"/>
      <c r="T6560" s="31"/>
      <c r="U6560" s="31"/>
      <c r="V6560" s="32"/>
    </row>
    <row r="6561">
      <c r="A6561" s="32"/>
      <c r="T6561" s="31"/>
      <c r="U6561" s="31"/>
      <c r="V6561" s="32"/>
    </row>
    <row r="6562">
      <c r="A6562" s="32"/>
      <c r="T6562" s="31"/>
      <c r="U6562" s="31"/>
      <c r="V6562" s="32"/>
    </row>
    <row r="6563">
      <c r="A6563" s="32"/>
      <c r="T6563" s="31"/>
      <c r="U6563" s="31"/>
      <c r="V6563" s="32"/>
    </row>
    <row r="6564">
      <c r="A6564" s="32"/>
      <c r="T6564" s="31"/>
      <c r="U6564" s="31"/>
      <c r="V6564" s="32"/>
    </row>
    <row r="6565">
      <c r="A6565" s="32"/>
      <c r="T6565" s="31"/>
      <c r="U6565" s="31"/>
      <c r="V6565" s="32"/>
    </row>
    <row r="6566">
      <c r="A6566" s="32"/>
      <c r="T6566" s="31"/>
      <c r="U6566" s="31"/>
      <c r="V6566" s="32"/>
    </row>
    <row r="6567">
      <c r="A6567" s="32"/>
      <c r="T6567" s="31"/>
      <c r="U6567" s="31"/>
      <c r="V6567" s="32"/>
    </row>
    <row r="6568">
      <c r="A6568" s="32"/>
      <c r="T6568" s="31"/>
      <c r="U6568" s="31"/>
      <c r="V6568" s="32"/>
    </row>
    <row r="6569">
      <c r="A6569" s="32"/>
      <c r="T6569" s="31"/>
      <c r="U6569" s="31"/>
      <c r="V6569" s="32"/>
    </row>
    <row r="6570">
      <c r="A6570" s="32"/>
      <c r="T6570" s="31"/>
      <c r="U6570" s="31"/>
      <c r="V6570" s="32"/>
    </row>
    <row r="6571">
      <c r="A6571" s="32"/>
      <c r="T6571" s="31"/>
      <c r="U6571" s="31"/>
      <c r="V6571" s="32"/>
    </row>
    <row r="6572">
      <c r="A6572" s="32"/>
      <c r="T6572" s="31"/>
      <c r="U6572" s="31"/>
      <c r="V6572" s="32"/>
    </row>
    <row r="6573">
      <c r="A6573" s="32"/>
      <c r="T6573" s="31"/>
      <c r="U6573" s="31"/>
      <c r="V6573" s="32"/>
    </row>
    <row r="6574">
      <c r="A6574" s="32"/>
      <c r="T6574" s="31"/>
      <c r="U6574" s="31"/>
      <c r="V6574" s="32"/>
    </row>
    <row r="6575">
      <c r="A6575" s="32"/>
      <c r="T6575" s="31"/>
      <c r="U6575" s="31"/>
      <c r="V6575" s="32"/>
    </row>
    <row r="6576">
      <c r="A6576" s="32"/>
      <c r="T6576" s="31"/>
      <c r="U6576" s="31"/>
      <c r="V6576" s="32"/>
    </row>
    <row r="6577">
      <c r="A6577" s="32"/>
      <c r="T6577" s="31"/>
      <c r="U6577" s="31"/>
      <c r="V6577" s="32"/>
    </row>
    <row r="6578">
      <c r="A6578" s="32"/>
      <c r="T6578" s="31"/>
      <c r="U6578" s="31"/>
      <c r="V6578" s="32"/>
    </row>
    <row r="6579">
      <c r="A6579" s="32"/>
      <c r="T6579" s="31"/>
      <c r="U6579" s="31"/>
      <c r="V6579" s="32"/>
    </row>
    <row r="6580">
      <c r="A6580" s="32"/>
      <c r="T6580" s="31"/>
      <c r="U6580" s="31"/>
      <c r="V6580" s="32"/>
    </row>
    <row r="6581">
      <c r="A6581" s="32"/>
      <c r="T6581" s="31"/>
      <c r="U6581" s="31"/>
      <c r="V6581" s="32"/>
    </row>
    <row r="6582">
      <c r="A6582" s="32"/>
      <c r="T6582" s="31"/>
      <c r="U6582" s="31"/>
      <c r="V6582" s="32"/>
    </row>
    <row r="6583">
      <c r="A6583" s="32"/>
      <c r="T6583" s="31"/>
      <c r="U6583" s="31"/>
      <c r="V6583" s="32"/>
    </row>
    <row r="6584">
      <c r="A6584" s="32"/>
      <c r="T6584" s="31"/>
      <c r="U6584" s="31"/>
      <c r="V6584" s="32"/>
    </row>
    <row r="6585">
      <c r="A6585" s="32"/>
      <c r="T6585" s="31"/>
      <c r="U6585" s="31"/>
      <c r="V6585" s="32"/>
    </row>
    <row r="6586">
      <c r="A6586" s="32"/>
      <c r="T6586" s="31"/>
      <c r="U6586" s="31"/>
      <c r="V6586" s="32"/>
    </row>
    <row r="6587">
      <c r="A6587" s="32"/>
      <c r="T6587" s="31"/>
      <c r="U6587" s="31"/>
      <c r="V6587" s="32"/>
    </row>
    <row r="6588">
      <c r="A6588" s="32"/>
      <c r="T6588" s="31"/>
      <c r="U6588" s="31"/>
      <c r="V6588" s="32"/>
    </row>
    <row r="6589">
      <c r="A6589" s="32"/>
      <c r="T6589" s="31"/>
      <c r="U6589" s="31"/>
      <c r="V6589" s="32"/>
    </row>
    <row r="6590">
      <c r="A6590" s="32"/>
      <c r="T6590" s="31"/>
      <c r="U6590" s="31"/>
      <c r="V6590" s="32"/>
    </row>
    <row r="6591">
      <c r="A6591" s="32"/>
      <c r="T6591" s="31"/>
      <c r="U6591" s="31"/>
      <c r="V6591" s="32"/>
    </row>
    <row r="6592">
      <c r="A6592" s="32"/>
      <c r="T6592" s="31"/>
      <c r="U6592" s="31"/>
      <c r="V6592" s="32"/>
    </row>
    <row r="6593">
      <c r="A6593" s="32"/>
      <c r="T6593" s="31"/>
      <c r="U6593" s="31"/>
      <c r="V6593" s="32"/>
    </row>
    <row r="6594">
      <c r="A6594" s="32"/>
      <c r="T6594" s="31"/>
      <c r="U6594" s="31"/>
      <c r="V6594" s="32"/>
    </row>
    <row r="6595">
      <c r="A6595" s="32"/>
      <c r="T6595" s="31"/>
      <c r="U6595" s="31"/>
      <c r="V6595" s="32"/>
    </row>
    <row r="6596">
      <c r="A6596" s="32"/>
      <c r="T6596" s="31"/>
      <c r="U6596" s="31"/>
      <c r="V6596" s="32"/>
    </row>
    <row r="6597">
      <c r="A6597" s="32"/>
      <c r="T6597" s="31"/>
      <c r="U6597" s="31"/>
      <c r="V6597" s="32"/>
    </row>
    <row r="6598">
      <c r="A6598" s="32"/>
      <c r="T6598" s="31"/>
      <c r="U6598" s="31"/>
      <c r="V6598" s="32"/>
    </row>
    <row r="6599">
      <c r="A6599" s="32"/>
      <c r="T6599" s="31"/>
      <c r="U6599" s="31"/>
      <c r="V6599" s="32"/>
    </row>
    <row r="6600">
      <c r="A6600" s="32"/>
      <c r="T6600" s="31"/>
      <c r="U6600" s="31"/>
      <c r="V6600" s="32"/>
    </row>
    <row r="6601">
      <c r="A6601" s="32"/>
      <c r="T6601" s="31"/>
      <c r="U6601" s="31"/>
      <c r="V6601" s="32"/>
    </row>
    <row r="6602">
      <c r="A6602" s="32"/>
      <c r="T6602" s="31"/>
      <c r="U6602" s="31"/>
      <c r="V6602" s="32"/>
    </row>
    <row r="6603">
      <c r="A6603" s="32"/>
      <c r="T6603" s="31"/>
      <c r="U6603" s="31"/>
      <c r="V6603" s="32"/>
    </row>
    <row r="6604">
      <c r="A6604" s="32"/>
      <c r="T6604" s="31"/>
      <c r="U6604" s="31"/>
      <c r="V6604" s="32"/>
    </row>
    <row r="6605">
      <c r="A6605" s="32"/>
      <c r="T6605" s="31"/>
      <c r="U6605" s="31"/>
      <c r="V6605" s="32"/>
    </row>
    <row r="6606">
      <c r="A6606" s="32"/>
      <c r="T6606" s="31"/>
      <c r="U6606" s="31"/>
      <c r="V6606" s="32"/>
    </row>
    <row r="6607">
      <c r="A6607" s="32"/>
      <c r="T6607" s="31"/>
      <c r="U6607" s="31"/>
      <c r="V6607" s="32"/>
    </row>
    <row r="6608">
      <c r="A6608" s="32"/>
      <c r="T6608" s="31"/>
      <c r="U6608" s="31"/>
      <c r="V6608" s="32"/>
    </row>
    <row r="6609">
      <c r="A6609" s="32"/>
      <c r="T6609" s="31"/>
      <c r="U6609" s="31"/>
      <c r="V6609" s="32"/>
    </row>
    <row r="6610">
      <c r="A6610" s="32"/>
      <c r="T6610" s="31"/>
      <c r="U6610" s="31"/>
      <c r="V6610" s="32"/>
    </row>
    <row r="6611">
      <c r="A6611" s="32"/>
      <c r="T6611" s="31"/>
      <c r="U6611" s="31"/>
      <c r="V6611" s="32"/>
    </row>
    <row r="6612">
      <c r="A6612" s="32"/>
      <c r="T6612" s="31"/>
      <c r="U6612" s="31"/>
      <c r="V6612" s="32"/>
    </row>
    <row r="6613">
      <c r="A6613" s="32"/>
      <c r="T6613" s="31"/>
      <c r="U6613" s="31"/>
      <c r="V6613" s="32"/>
    </row>
    <row r="6614">
      <c r="A6614" s="32"/>
      <c r="T6614" s="31"/>
      <c r="U6614" s="31"/>
      <c r="V6614" s="32"/>
    </row>
    <row r="6615">
      <c r="A6615" s="32"/>
      <c r="T6615" s="31"/>
      <c r="U6615" s="31"/>
      <c r="V6615" s="32"/>
    </row>
    <row r="6616">
      <c r="A6616" s="32"/>
      <c r="T6616" s="31"/>
      <c r="U6616" s="31"/>
      <c r="V6616" s="32"/>
    </row>
    <row r="6617">
      <c r="A6617" s="32"/>
      <c r="T6617" s="31"/>
      <c r="U6617" s="31"/>
      <c r="V6617" s="32"/>
    </row>
    <row r="6618">
      <c r="A6618" s="32"/>
      <c r="T6618" s="31"/>
      <c r="U6618" s="31"/>
      <c r="V6618" s="32"/>
    </row>
    <row r="6619">
      <c r="A6619" s="32"/>
      <c r="T6619" s="31"/>
      <c r="U6619" s="31"/>
      <c r="V6619" s="32"/>
    </row>
    <row r="6620">
      <c r="A6620" s="32"/>
      <c r="T6620" s="31"/>
      <c r="U6620" s="31"/>
      <c r="V6620" s="32"/>
    </row>
    <row r="6621">
      <c r="A6621" s="32"/>
      <c r="T6621" s="31"/>
      <c r="U6621" s="31"/>
      <c r="V6621" s="32"/>
    </row>
    <row r="6622">
      <c r="A6622" s="32"/>
      <c r="T6622" s="31"/>
      <c r="U6622" s="31"/>
      <c r="V6622" s="32"/>
    </row>
    <row r="6623">
      <c r="A6623" s="32"/>
      <c r="T6623" s="31"/>
      <c r="U6623" s="31"/>
      <c r="V6623" s="32"/>
    </row>
    <row r="6624">
      <c r="A6624" s="32"/>
      <c r="T6624" s="31"/>
      <c r="U6624" s="31"/>
      <c r="V6624" s="32"/>
    </row>
    <row r="6625">
      <c r="A6625" s="32"/>
      <c r="T6625" s="31"/>
      <c r="U6625" s="31"/>
      <c r="V6625" s="32"/>
    </row>
    <row r="6626">
      <c r="A6626" s="32"/>
      <c r="T6626" s="31"/>
      <c r="U6626" s="31"/>
      <c r="V6626" s="32"/>
    </row>
    <row r="6627">
      <c r="A6627" s="32"/>
      <c r="T6627" s="31"/>
      <c r="U6627" s="31"/>
      <c r="V6627" s="32"/>
    </row>
    <row r="6628">
      <c r="A6628" s="32"/>
      <c r="T6628" s="31"/>
      <c r="U6628" s="31"/>
      <c r="V6628" s="32"/>
    </row>
    <row r="6629">
      <c r="A6629" s="32"/>
      <c r="T6629" s="31"/>
      <c r="U6629" s="31"/>
      <c r="V6629" s="32"/>
    </row>
    <row r="6630">
      <c r="A6630" s="32"/>
      <c r="T6630" s="31"/>
      <c r="U6630" s="31"/>
      <c r="V6630" s="32"/>
    </row>
    <row r="6631">
      <c r="A6631" s="32"/>
      <c r="T6631" s="31"/>
      <c r="U6631" s="31"/>
      <c r="V6631" s="32"/>
    </row>
    <row r="6632">
      <c r="A6632" s="32"/>
      <c r="T6632" s="31"/>
      <c r="U6632" s="31"/>
      <c r="V6632" s="32"/>
    </row>
    <row r="6633">
      <c r="A6633" s="32"/>
      <c r="T6633" s="31"/>
      <c r="U6633" s="31"/>
      <c r="V6633" s="32"/>
    </row>
    <row r="6634">
      <c r="A6634" s="32"/>
      <c r="T6634" s="31"/>
      <c r="U6634" s="31"/>
      <c r="V6634" s="32"/>
    </row>
    <row r="6635">
      <c r="A6635" s="32"/>
      <c r="T6635" s="31"/>
      <c r="U6635" s="31"/>
      <c r="V6635" s="32"/>
    </row>
    <row r="6636">
      <c r="A6636" s="32"/>
      <c r="T6636" s="31"/>
      <c r="U6636" s="31"/>
      <c r="V6636" s="32"/>
    </row>
    <row r="6637">
      <c r="A6637" s="32"/>
      <c r="T6637" s="31"/>
      <c r="U6637" s="31"/>
      <c r="V6637" s="32"/>
    </row>
    <row r="6638">
      <c r="A6638" s="32"/>
      <c r="T6638" s="31"/>
      <c r="U6638" s="31"/>
      <c r="V6638" s="32"/>
    </row>
    <row r="6639">
      <c r="A6639" s="32"/>
      <c r="T6639" s="31"/>
      <c r="U6639" s="31"/>
      <c r="V6639" s="32"/>
    </row>
    <row r="6640">
      <c r="A6640" s="32"/>
      <c r="T6640" s="31"/>
      <c r="U6640" s="31"/>
      <c r="V6640" s="32"/>
    </row>
    <row r="6641">
      <c r="A6641" s="32"/>
      <c r="T6641" s="31"/>
      <c r="U6641" s="31"/>
      <c r="V6641" s="32"/>
    </row>
    <row r="6642">
      <c r="A6642" s="32"/>
      <c r="T6642" s="31"/>
      <c r="U6642" s="31"/>
      <c r="V6642" s="32"/>
    </row>
    <row r="6643">
      <c r="A6643" s="32"/>
      <c r="T6643" s="31"/>
      <c r="U6643" s="31"/>
      <c r="V6643" s="32"/>
    </row>
    <row r="6644">
      <c r="A6644" s="32"/>
      <c r="T6644" s="31"/>
      <c r="U6644" s="31"/>
      <c r="V6644" s="32"/>
    </row>
    <row r="6645">
      <c r="A6645" s="32"/>
      <c r="T6645" s="31"/>
      <c r="U6645" s="31"/>
      <c r="V6645" s="32"/>
    </row>
    <row r="6646">
      <c r="A6646" s="32"/>
      <c r="T6646" s="31"/>
      <c r="U6646" s="31"/>
      <c r="V6646" s="32"/>
    </row>
    <row r="6647">
      <c r="A6647" s="32"/>
      <c r="T6647" s="31"/>
      <c r="U6647" s="31"/>
      <c r="V6647" s="32"/>
    </row>
    <row r="6648">
      <c r="A6648" s="32"/>
      <c r="T6648" s="31"/>
      <c r="U6648" s="31"/>
      <c r="V6648" s="32"/>
    </row>
    <row r="6649">
      <c r="A6649" s="32"/>
      <c r="T6649" s="31"/>
      <c r="U6649" s="31"/>
      <c r="V6649" s="32"/>
    </row>
    <row r="6650">
      <c r="A6650" s="32"/>
      <c r="T6650" s="31"/>
      <c r="U6650" s="31"/>
      <c r="V6650" s="32"/>
    </row>
    <row r="6651">
      <c r="A6651" s="32"/>
      <c r="T6651" s="31"/>
      <c r="U6651" s="31"/>
      <c r="V6651" s="32"/>
    </row>
    <row r="6652">
      <c r="A6652" s="32"/>
      <c r="T6652" s="31"/>
      <c r="U6652" s="31"/>
      <c r="V6652" s="32"/>
    </row>
    <row r="6653">
      <c r="A6653" s="32"/>
      <c r="T6653" s="31"/>
      <c r="U6653" s="31"/>
      <c r="V6653" s="32"/>
    </row>
    <row r="6654">
      <c r="A6654" s="32"/>
      <c r="T6654" s="31"/>
      <c r="U6654" s="31"/>
      <c r="V6654" s="32"/>
    </row>
    <row r="6655">
      <c r="A6655" s="32"/>
      <c r="T6655" s="31"/>
      <c r="U6655" s="31"/>
      <c r="V6655" s="32"/>
    </row>
    <row r="6656">
      <c r="A6656" s="32"/>
      <c r="T6656" s="31"/>
      <c r="U6656" s="31"/>
      <c r="V6656" s="32"/>
    </row>
    <row r="6657">
      <c r="A6657" s="32"/>
      <c r="T6657" s="31"/>
      <c r="U6657" s="31"/>
      <c r="V6657" s="32"/>
    </row>
    <row r="6658">
      <c r="A6658" s="32"/>
      <c r="T6658" s="31"/>
      <c r="U6658" s="31"/>
      <c r="V6658" s="32"/>
    </row>
    <row r="6659">
      <c r="A6659" s="32"/>
      <c r="T6659" s="31"/>
      <c r="U6659" s="31"/>
      <c r="V6659" s="32"/>
    </row>
    <row r="6660">
      <c r="A6660" s="32"/>
      <c r="T6660" s="31"/>
      <c r="U6660" s="31"/>
      <c r="V6660" s="32"/>
    </row>
    <row r="6661">
      <c r="A6661" s="32"/>
      <c r="T6661" s="31"/>
      <c r="U6661" s="31"/>
      <c r="V6661" s="32"/>
    </row>
    <row r="6662">
      <c r="A6662" s="32"/>
      <c r="T6662" s="31"/>
      <c r="U6662" s="31"/>
      <c r="V6662" s="32"/>
    </row>
    <row r="6663">
      <c r="A6663" s="32"/>
      <c r="T6663" s="31"/>
      <c r="U6663" s="31"/>
      <c r="V6663" s="32"/>
    </row>
    <row r="6664">
      <c r="A6664" s="32"/>
      <c r="T6664" s="31"/>
      <c r="U6664" s="31"/>
      <c r="V6664" s="32"/>
    </row>
    <row r="6665">
      <c r="A6665" s="32"/>
      <c r="T6665" s="31"/>
      <c r="U6665" s="31"/>
      <c r="V6665" s="32"/>
    </row>
    <row r="6666">
      <c r="A6666" s="32"/>
      <c r="T6666" s="31"/>
      <c r="U6666" s="31"/>
      <c r="V6666" s="32"/>
    </row>
    <row r="6667">
      <c r="A6667" s="32"/>
      <c r="T6667" s="31"/>
      <c r="U6667" s="31"/>
      <c r="V6667" s="32"/>
    </row>
    <row r="6668">
      <c r="A6668" s="32"/>
      <c r="T6668" s="31"/>
      <c r="U6668" s="31"/>
      <c r="V6668" s="32"/>
    </row>
    <row r="6669">
      <c r="A6669" s="32"/>
      <c r="T6669" s="31"/>
      <c r="U6669" s="31"/>
      <c r="V6669" s="32"/>
    </row>
    <row r="6670">
      <c r="A6670" s="32"/>
      <c r="T6670" s="31"/>
      <c r="U6670" s="31"/>
      <c r="V6670" s="32"/>
    </row>
    <row r="6671">
      <c r="A6671" s="32"/>
      <c r="T6671" s="31"/>
      <c r="U6671" s="31"/>
      <c r="V6671" s="32"/>
    </row>
    <row r="6672">
      <c r="A6672" s="32"/>
      <c r="T6672" s="31"/>
      <c r="U6672" s="31"/>
      <c r="V6672" s="32"/>
    </row>
    <row r="6673">
      <c r="A6673" s="32"/>
      <c r="T6673" s="31"/>
      <c r="U6673" s="31"/>
      <c r="V6673" s="32"/>
    </row>
    <row r="6674">
      <c r="A6674" s="32"/>
      <c r="T6674" s="31"/>
      <c r="U6674" s="31"/>
      <c r="V6674" s="32"/>
    </row>
    <row r="6675">
      <c r="A6675" s="32"/>
      <c r="T6675" s="31"/>
      <c r="U6675" s="31"/>
      <c r="V6675" s="32"/>
    </row>
    <row r="6676">
      <c r="A6676" s="32"/>
      <c r="T6676" s="31"/>
      <c r="U6676" s="31"/>
      <c r="V6676" s="32"/>
    </row>
    <row r="6677">
      <c r="A6677" s="32"/>
      <c r="T6677" s="31"/>
      <c r="U6677" s="31"/>
      <c r="V6677" s="32"/>
    </row>
    <row r="6678">
      <c r="A6678" s="32"/>
      <c r="T6678" s="31"/>
      <c r="U6678" s="31"/>
      <c r="V6678" s="32"/>
    </row>
    <row r="6679">
      <c r="A6679" s="32"/>
      <c r="T6679" s="31"/>
      <c r="U6679" s="31"/>
      <c r="V6679" s="32"/>
    </row>
    <row r="6680">
      <c r="A6680" s="32"/>
      <c r="T6680" s="31"/>
      <c r="U6680" s="31"/>
      <c r="V6680" s="32"/>
    </row>
    <row r="6681">
      <c r="A6681" s="32"/>
      <c r="T6681" s="31"/>
      <c r="U6681" s="31"/>
      <c r="V6681" s="32"/>
    </row>
    <row r="6682">
      <c r="A6682" s="32"/>
      <c r="T6682" s="31"/>
      <c r="U6682" s="31"/>
      <c r="V6682" s="32"/>
    </row>
    <row r="6683">
      <c r="A6683" s="32"/>
      <c r="T6683" s="31"/>
      <c r="U6683" s="31"/>
      <c r="V6683" s="32"/>
    </row>
    <row r="6684">
      <c r="A6684" s="32"/>
      <c r="T6684" s="31"/>
      <c r="U6684" s="31"/>
      <c r="V6684" s="32"/>
    </row>
    <row r="6685">
      <c r="A6685" s="32"/>
      <c r="T6685" s="31"/>
      <c r="U6685" s="31"/>
      <c r="V6685" s="32"/>
    </row>
    <row r="6686">
      <c r="A6686" s="32"/>
      <c r="T6686" s="31"/>
      <c r="U6686" s="31"/>
      <c r="V6686" s="32"/>
    </row>
    <row r="6687">
      <c r="A6687" s="32"/>
      <c r="T6687" s="31"/>
      <c r="U6687" s="31"/>
      <c r="V6687" s="32"/>
    </row>
    <row r="6688">
      <c r="A6688" s="32"/>
      <c r="T6688" s="31"/>
      <c r="U6688" s="31"/>
      <c r="V6688" s="32"/>
    </row>
    <row r="6689">
      <c r="A6689" s="32"/>
      <c r="T6689" s="31"/>
      <c r="U6689" s="31"/>
      <c r="V6689" s="32"/>
    </row>
    <row r="6690">
      <c r="A6690" s="32"/>
      <c r="T6690" s="31"/>
      <c r="U6690" s="31"/>
      <c r="V6690" s="32"/>
    </row>
    <row r="6691">
      <c r="A6691" s="32"/>
      <c r="T6691" s="31"/>
      <c r="U6691" s="31"/>
      <c r="V6691" s="32"/>
    </row>
    <row r="6692">
      <c r="A6692" s="32"/>
      <c r="T6692" s="31"/>
      <c r="U6692" s="31"/>
      <c r="V6692" s="32"/>
    </row>
    <row r="6693">
      <c r="A6693" s="32"/>
      <c r="T6693" s="31"/>
      <c r="U6693" s="31"/>
      <c r="V6693" s="32"/>
    </row>
    <row r="6694">
      <c r="A6694" s="32"/>
      <c r="T6694" s="31"/>
      <c r="U6694" s="31"/>
      <c r="V6694" s="32"/>
    </row>
    <row r="6695">
      <c r="A6695" s="32"/>
      <c r="T6695" s="31"/>
      <c r="U6695" s="31"/>
      <c r="V6695" s="32"/>
    </row>
    <row r="6696">
      <c r="A6696" s="32"/>
      <c r="T6696" s="31"/>
      <c r="U6696" s="31"/>
      <c r="V6696" s="32"/>
    </row>
    <row r="6697">
      <c r="A6697" s="32"/>
      <c r="T6697" s="31"/>
      <c r="U6697" s="31"/>
      <c r="V6697" s="32"/>
    </row>
    <row r="6698">
      <c r="A6698" s="32"/>
      <c r="T6698" s="31"/>
      <c r="U6698" s="31"/>
      <c r="V6698" s="32"/>
    </row>
    <row r="6699">
      <c r="A6699" s="32"/>
      <c r="T6699" s="31"/>
      <c r="U6699" s="31"/>
      <c r="V6699" s="32"/>
    </row>
    <row r="6700">
      <c r="A6700" s="32"/>
      <c r="T6700" s="31"/>
      <c r="U6700" s="31"/>
      <c r="V6700" s="32"/>
    </row>
    <row r="6701">
      <c r="A6701" s="32"/>
      <c r="T6701" s="31"/>
      <c r="U6701" s="31"/>
      <c r="V6701" s="32"/>
    </row>
    <row r="6702">
      <c r="A6702" s="32"/>
      <c r="T6702" s="31"/>
      <c r="U6702" s="31"/>
      <c r="V6702" s="32"/>
    </row>
    <row r="6703">
      <c r="A6703" s="32"/>
      <c r="T6703" s="31"/>
      <c r="U6703" s="31"/>
      <c r="V6703" s="32"/>
    </row>
    <row r="6704">
      <c r="A6704" s="32"/>
      <c r="T6704" s="31"/>
      <c r="U6704" s="31"/>
      <c r="V6704" s="32"/>
    </row>
    <row r="6705">
      <c r="A6705" s="32"/>
      <c r="T6705" s="31"/>
      <c r="U6705" s="31"/>
      <c r="V6705" s="32"/>
    </row>
    <row r="6706">
      <c r="A6706" s="32"/>
      <c r="T6706" s="31"/>
      <c r="U6706" s="31"/>
      <c r="V6706" s="32"/>
    </row>
    <row r="6707">
      <c r="A6707" s="32"/>
      <c r="T6707" s="31"/>
      <c r="U6707" s="31"/>
      <c r="V6707" s="32"/>
    </row>
    <row r="6708">
      <c r="A6708" s="32"/>
      <c r="T6708" s="31"/>
      <c r="U6708" s="31"/>
      <c r="V6708" s="32"/>
    </row>
    <row r="6709">
      <c r="A6709" s="32"/>
      <c r="T6709" s="31"/>
      <c r="U6709" s="31"/>
      <c r="V6709" s="32"/>
    </row>
    <row r="6710">
      <c r="A6710" s="32"/>
      <c r="T6710" s="31"/>
      <c r="U6710" s="31"/>
      <c r="V6710" s="32"/>
    </row>
    <row r="6711">
      <c r="A6711" s="32"/>
      <c r="T6711" s="31"/>
      <c r="U6711" s="31"/>
      <c r="V6711" s="32"/>
    </row>
    <row r="6712">
      <c r="A6712" s="32"/>
      <c r="T6712" s="31"/>
      <c r="U6712" s="31"/>
      <c r="V6712" s="32"/>
    </row>
    <row r="6713">
      <c r="A6713" s="32"/>
      <c r="T6713" s="31"/>
      <c r="U6713" s="31"/>
      <c r="V6713" s="32"/>
    </row>
    <row r="6714">
      <c r="A6714" s="32"/>
      <c r="T6714" s="31"/>
      <c r="U6714" s="31"/>
      <c r="V6714" s="32"/>
    </row>
    <row r="6715">
      <c r="A6715" s="32"/>
      <c r="T6715" s="31"/>
      <c r="U6715" s="31"/>
      <c r="V6715" s="32"/>
    </row>
    <row r="6716">
      <c r="A6716" s="32"/>
      <c r="T6716" s="31"/>
      <c r="U6716" s="31"/>
      <c r="V6716" s="32"/>
    </row>
    <row r="6717">
      <c r="A6717" s="32"/>
      <c r="T6717" s="31"/>
      <c r="U6717" s="31"/>
      <c r="V6717" s="32"/>
    </row>
    <row r="6718">
      <c r="A6718" s="32"/>
      <c r="T6718" s="31"/>
      <c r="U6718" s="31"/>
      <c r="V6718" s="32"/>
    </row>
    <row r="6719">
      <c r="A6719" s="32"/>
      <c r="T6719" s="31"/>
      <c r="U6719" s="31"/>
      <c r="V6719" s="32"/>
    </row>
    <row r="6720">
      <c r="A6720" s="32"/>
      <c r="T6720" s="31"/>
      <c r="U6720" s="31"/>
      <c r="V6720" s="32"/>
    </row>
    <row r="6721">
      <c r="A6721" s="32"/>
      <c r="T6721" s="31"/>
      <c r="U6721" s="31"/>
      <c r="V6721" s="32"/>
    </row>
    <row r="6722">
      <c r="A6722" s="32"/>
      <c r="T6722" s="31"/>
      <c r="U6722" s="31"/>
      <c r="V6722" s="32"/>
    </row>
    <row r="6723">
      <c r="A6723" s="32"/>
      <c r="T6723" s="31"/>
      <c r="U6723" s="31"/>
      <c r="V6723" s="32"/>
    </row>
    <row r="6724">
      <c r="A6724" s="32"/>
      <c r="T6724" s="31"/>
      <c r="U6724" s="31"/>
      <c r="V6724" s="32"/>
    </row>
    <row r="6725">
      <c r="A6725" s="32"/>
      <c r="T6725" s="31"/>
      <c r="U6725" s="31"/>
      <c r="V6725" s="32"/>
    </row>
    <row r="6726">
      <c r="A6726" s="32"/>
      <c r="T6726" s="31"/>
      <c r="U6726" s="31"/>
      <c r="V6726" s="32"/>
    </row>
    <row r="6727">
      <c r="A6727" s="32"/>
      <c r="T6727" s="31"/>
      <c r="U6727" s="31"/>
      <c r="V6727" s="32"/>
    </row>
    <row r="6728">
      <c r="A6728" s="32"/>
      <c r="T6728" s="31"/>
      <c r="U6728" s="31"/>
      <c r="V6728" s="32"/>
    </row>
    <row r="6729">
      <c r="A6729" s="32"/>
      <c r="T6729" s="31"/>
      <c r="U6729" s="31"/>
      <c r="V6729" s="32"/>
    </row>
    <row r="6730">
      <c r="A6730" s="32"/>
      <c r="T6730" s="31"/>
      <c r="U6730" s="31"/>
      <c r="V6730" s="32"/>
    </row>
    <row r="6731">
      <c r="A6731" s="32"/>
      <c r="T6731" s="31"/>
      <c r="U6731" s="31"/>
      <c r="V6731" s="32"/>
    </row>
    <row r="6732">
      <c r="A6732" s="32"/>
      <c r="T6732" s="31"/>
      <c r="U6732" s="31"/>
      <c r="V6732" s="32"/>
    </row>
    <row r="6733">
      <c r="A6733" s="32"/>
      <c r="T6733" s="31"/>
      <c r="U6733" s="31"/>
      <c r="V6733" s="32"/>
    </row>
    <row r="6734">
      <c r="A6734" s="32"/>
      <c r="T6734" s="31"/>
      <c r="U6734" s="31"/>
      <c r="V6734" s="32"/>
    </row>
    <row r="6735">
      <c r="A6735" s="32"/>
      <c r="T6735" s="31"/>
      <c r="U6735" s="31"/>
      <c r="V6735" s="32"/>
    </row>
    <row r="6736">
      <c r="A6736" s="32"/>
      <c r="T6736" s="31"/>
      <c r="U6736" s="31"/>
      <c r="V6736" s="32"/>
    </row>
    <row r="6737">
      <c r="A6737" s="32"/>
      <c r="T6737" s="31"/>
      <c r="U6737" s="31"/>
      <c r="V6737" s="32"/>
    </row>
    <row r="6738">
      <c r="A6738" s="32"/>
      <c r="T6738" s="31"/>
      <c r="U6738" s="31"/>
      <c r="V6738" s="32"/>
    </row>
    <row r="6739">
      <c r="A6739" s="32"/>
      <c r="T6739" s="31"/>
      <c r="U6739" s="31"/>
      <c r="V6739" s="32"/>
    </row>
    <row r="6740">
      <c r="A6740" s="32"/>
      <c r="T6740" s="31"/>
      <c r="U6740" s="31"/>
      <c r="V6740" s="32"/>
    </row>
    <row r="6741">
      <c r="A6741" s="32"/>
      <c r="T6741" s="31"/>
      <c r="U6741" s="31"/>
      <c r="V6741" s="32"/>
    </row>
    <row r="6742">
      <c r="A6742" s="32"/>
      <c r="T6742" s="31"/>
      <c r="U6742" s="31"/>
      <c r="V6742" s="32"/>
    </row>
    <row r="6743">
      <c r="A6743" s="32"/>
      <c r="T6743" s="31"/>
      <c r="U6743" s="31"/>
      <c r="V6743" s="32"/>
    </row>
    <row r="6744">
      <c r="A6744" s="32"/>
      <c r="T6744" s="31"/>
      <c r="U6744" s="31"/>
      <c r="V6744" s="32"/>
    </row>
    <row r="6745">
      <c r="A6745" s="32"/>
      <c r="T6745" s="31"/>
      <c r="U6745" s="31"/>
      <c r="V6745" s="32"/>
    </row>
    <row r="6746">
      <c r="A6746" s="32"/>
      <c r="T6746" s="31"/>
      <c r="U6746" s="31"/>
      <c r="V6746" s="32"/>
    </row>
    <row r="6747">
      <c r="A6747" s="32"/>
      <c r="T6747" s="31"/>
      <c r="U6747" s="31"/>
      <c r="V6747" s="32"/>
    </row>
    <row r="6748">
      <c r="A6748" s="32"/>
      <c r="T6748" s="31"/>
      <c r="U6748" s="31"/>
      <c r="V6748" s="32"/>
    </row>
    <row r="6749">
      <c r="A6749" s="32"/>
      <c r="T6749" s="31"/>
      <c r="U6749" s="31"/>
      <c r="V6749" s="32"/>
    </row>
    <row r="6750">
      <c r="A6750" s="32"/>
      <c r="T6750" s="31"/>
      <c r="U6750" s="31"/>
      <c r="V6750" s="32"/>
    </row>
    <row r="6751">
      <c r="A6751" s="32"/>
      <c r="T6751" s="31"/>
      <c r="U6751" s="31"/>
      <c r="V6751" s="32"/>
    </row>
    <row r="6752">
      <c r="A6752" s="32"/>
      <c r="T6752" s="31"/>
      <c r="U6752" s="31"/>
      <c r="V6752" s="32"/>
    </row>
    <row r="6753">
      <c r="A6753" s="32"/>
      <c r="T6753" s="31"/>
      <c r="U6753" s="31"/>
      <c r="V6753" s="32"/>
    </row>
    <row r="6754">
      <c r="A6754" s="32"/>
      <c r="T6754" s="31"/>
      <c r="U6754" s="31"/>
      <c r="V6754" s="32"/>
    </row>
    <row r="6755">
      <c r="A6755" s="32"/>
      <c r="T6755" s="31"/>
      <c r="U6755" s="31"/>
      <c r="V6755" s="32"/>
    </row>
    <row r="6756">
      <c r="A6756" s="32"/>
      <c r="T6756" s="31"/>
      <c r="U6756" s="31"/>
      <c r="V6756" s="32"/>
    </row>
    <row r="6757">
      <c r="A6757" s="32"/>
      <c r="T6757" s="31"/>
      <c r="U6757" s="31"/>
      <c r="V6757" s="32"/>
    </row>
    <row r="6758">
      <c r="A6758" s="32"/>
      <c r="T6758" s="31"/>
      <c r="U6758" s="31"/>
      <c r="V6758" s="32"/>
    </row>
    <row r="6759">
      <c r="A6759" s="32"/>
      <c r="T6759" s="31"/>
      <c r="U6759" s="31"/>
      <c r="V6759" s="32"/>
    </row>
    <row r="6760">
      <c r="A6760" s="32"/>
      <c r="T6760" s="31"/>
      <c r="U6760" s="31"/>
      <c r="V6760" s="32"/>
    </row>
    <row r="6761">
      <c r="A6761" s="32"/>
      <c r="T6761" s="31"/>
      <c r="U6761" s="31"/>
      <c r="V6761" s="32"/>
    </row>
    <row r="6762">
      <c r="A6762" s="32"/>
      <c r="T6762" s="31"/>
      <c r="U6762" s="31"/>
      <c r="V6762" s="32"/>
    </row>
    <row r="6763">
      <c r="A6763" s="32"/>
      <c r="T6763" s="31"/>
      <c r="U6763" s="31"/>
      <c r="V6763" s="32"/>
    </row>
    <row r="6764">
      <c r="A6764" s="32"/>
      <c r="T6764" s="31"/>
      <c r="U6764" s="31"/>
      <c r="V6764" s="32"/>
    </row>
    <row r="6765">
      <c r="A6765" s="32"/>
      <c r="T6765" s="31"/>
      <c r="U6765" s="31"/>
      <c r="V6765" s="32"/>
    </row>
    <row r="6766">
      <c r="A6766" s="32"/>
      <c r="T6766" s="31"/>
      <c r="U6766" s="31"/>
      <c r="V6766" s="32"/>
    </row>
    <row r="6767">
      <c r="A6767" s="32"/>
      <c r="T6767" s="31"/>
      <c r="U6767" s="31"/>
      <c r="V6767" s="32"/>
    </row>
    <row r="6768">
      <c r="A6768" s="32"/>
      <c r="T6768" s="31"/>
      <c r="U6768" s="31"/>
      <c r="V6768" s="32"/>
    </row>
    <row r="6769">
      <c r="A6769" s="32"/>
      <c r="T6769" s="31"/>
      <c r="U6769" s="31"/>
      <c r="V6769" s="32"/>
    </row>
    <row r="6770">
      <c r="A6770" s="32"/>
      <c r="T6770" s="31"/>
      <c r="U6770" s="31"/>
      <c r="V6770" s="32"/>
    </row>
    <row r="6771">
      <c r="A6771" s="32"/>
      <c r="T6771" s="31"/>
      <c r="U6771" s="31"/>
      <c r="V6771" s="32"/>
    </row>
    <row r="6772">
      <c r="A6772" s="32"/>
      <c r="T6772" s="31"/>
      <c r="U6772" s="31"/>
      <c r="V6772" s="32"/>
    </row>
    <row r="6773">
      <c r="A6773" s="32"/>
      <c r="T6773" s="31"/>
      <c r="U6773" s="31"/>
      <c r="V6773" s="32"/>
    </row>
    <row r="6774">
      <c r="A6774" s="32"/>
      <c r="T6774" s="31"/>
      <c r="U6774" s="31"/>
      <c r="V6774" s="32"/>
    </row>
    <row r="6775">
      <c r="A6775" s="32"/>
      <c r="T6775" s="31"/>
      <c r="U6775" s="31"/>
      <c r="V6775" s="32"/>
    </row>
    <row r="6776">
      <c r="A6776" s="32"/>
      <c r="T6776" s="31"/>
      <c r="U6776" s="31"/>
      <c r="V6776" s="32"/>
    </row>
    <row r="6777">
      <c r="A6777" s="32"/>
      <c r="T6777" s="31"/>
      <c r="U6777" s="31"/>
      <c r="V6777" s="32"/>
    </row>
    <row r="6778">
      <c r="A6778" s="32"/>
      <c r="T6778" s="31"/>
      <c r="U6778" s="31"/>
      <c r="V6778" s="32"/>
    </row>
    <row r="6779">
      <c r="A6779" s="32"/>
      <c r="T6779" s="31"/>
      <c r="U6779" s="31"/>
      <c r="V6779" s="32"/>
    </row>
    <row r="6780">
      <c r="A6780" s="32"/>
      <c r="T6780" s="31"/>
      <c r="U6780" s="31"/>
      <c r="V6780" s="32"/>
    </row>
    <row r="6781">
      <c r="A6781" s="32"/>
      <c r="T6781" s="31"/>
      <c r="U6781" s="31"/>
      <c r="V6781" s="32"/>
    </row>
    <row r="6782">
      <c r="A6782" s="32"/>
      <c r="T6782" s="31"/>
      <c r="U6782" s="31"/>
      <c r="V6782" s="32"/>
    </row>
    <row r="6783">
      <c r="A6783" s="32"/>
      <c r="T6783" s="31"/>
      <c r="U6783" s="31"/>
      <c r="V6783" s="32"/>
    </row>
    <row r="6784">
      <c r="A6784" s="32"/>
      <c r="T6784" s="31"/>
      <c r="U6784" s="31"/>
      <c r="V6784" s="32"/>
    </row>
    <row r="6785">
      <c r="A6785" s="32"/>
      <c r="T6785" s="31"/>
      <c r="U6785" s="31"/>
      <c r="V6785" s="32"/>
    </row>
    <row r="6786">
      <c r="A6786" s="32"/>
      <c r="T6786" s="31"/>
      <c r="U6786" s="31"/>
      <c r="V6786" s="32"/>
    </row>
    <row r="6787">
      <c r="A6787" s="32"/>
      <c r="T6787" s="31"/>
      <c r="U6787" s="31"/>
      <c r="V6787" s="32"/>
    </row>
    <row r="6788">
      <c r="A6788" s="32"/>
      <c r="T6788" s="31"/>
      <c r="U6788" s="31"/>
      <c r="V6788" s="32"/>
    </row>
    <row r="6789">
      <c r="A6789" s="32"/>
      <c r="T6789" s="31"/>
      <c r="U6789" s="31"/>
      <c r="V6789" s="32"/>
    </row>
    <row r="6790">
      <c r="A6790" s="32"/>
      <c r="T6790" s="31"/>
      <c r="U6790" s="31"/>
      <c r="V6790" s="32"/>
    </row>
    <row r="6791">
      <c r="A6791" s="32"/>
      <c r="T6791" s="31"/>
      <c r="U6791" s="31"/>
      <c r="V6791" s="32"/>
    </row>
    <row r="6792">
      <c r="A6792" s="32"/>
      <c r="T6792" s="31"/>
      <c r="U6792" s="31"/>
      <c r="V6792" s="32"/>
    </row>
    <row r="6793">
      <c r="A6793" s="32"/>
      <c r="T6793" s="31"/>
      <c r="U6793" s="31"/>
      <c r="V6793" s="32"/>
    </row>
    <row r="6794">
      <c r="A6794" s="32"/>
      <c r="T6794" s="31"/>
      <c r="U6794" s="31"/>
      <c r="V6794" s="32"/>
    </row>
    <row r="6795">
      <c r="A6795" s="32"/>
      <c r="T6795" s="31"/>
      <c r="U6795" s="31"/>
      <c r="V6795" s="32"/>
    </row>
    <row r="6796">
      <c r="A6796" s="32"/>
      <c r="T6796" s="31"/>
      <c r="U6796" s="31"/>
      <c r="V6796" s="32"/>
    </row>
    <row r="6797">
      <c r="A6797" s="32"/>
      <c r="T6797" s="31"/>
      <c r="U6797" s="31"/>
      <c r="V6797" s="32"/>
    </row>
    <row r="6798">
      <c r="A6798" s="32"/>
      <c r="T6798" s="31"/>
      <c r="U6798" s="31"/>
      <c r="V6798" s="32"/>
    </row>
    <row r="6799">
      <c r="A6799" s="32"/>
      <c r="T6799" s="31"/>
      <c r="U6799" s="31"/>
      <c r="V6799" s="32"/>
    </row>
    <row r="6800">
      <c r="A6800" s="32"/>
      <c r="T6800" s="31"/>
      <c r="U6800" s="31"/>
      <c r="V6800" s="32"/>
    </row>
    <row r="6801">
      <c r="A6801" s="32"/>
      <c r="T6801" s="31"/>
      <c r="U6801" s="31"/>
      <c r="V6801" s="32"/>
    </row>
    <row r="6802">
      <c r="A6802" s="32"/>
      <c r="T6802" s="31"/>
      <c r="U6802" s="31"/>
      <c r="V6802" s="32"/>
    </row>
    <row r="6803">
      <c r="A6803" s="32"/>
      <c r="T6803" s="31"/>
      <c r="U6803" s="31"/>
      <c r="V6803" s="32"/>
    </row>
    <row r="6804">
      <c r="A6804" s="32"/>
      <c r="T6804" s="31"/>
      <c r="U6804" s="31"/>
      <c r="V6804" s="32"/>
    </row>
    <row r="6805">
      <c r="A6805" s="32"/>
      <c r="T6805" s="31"/>
      <c r="U6805" s="31"/>
      <c r="V6805" s="32"/>
    </row>
    <row r="6806">
      <c r="A6806" s="32"/>
      <c r="T6806" s="31"/>
      <c r="U6806" s="31"/>
      <c r="V6806" s="32"/>
    </row>
    <row r="6807">
      <c r="A6807" s="32"/>
      <c r="T6807" s="31"/>
      <c r="U6807" s="31"/>
      <c r="V6807" s="32"/>
    </row>
    <row r="6808">
      <c r="A6808" s="32"/>
      <c r="T6808" s="31"/>
      <c r="U6808" s="31"/>
      <c r="V6808" s="32"/>
    </row>
    <row r="6809">
      <c r="A6809" s="32"/>
      <c r="T6809" s="31"/>
      <c r="U6809" s="31"/>
      <c r="V6809" s="32"/>
    </row>
    <row r="6810">
      <c r="A6810" s="32"/>
      <c r="T6810" s="31"/>
      <c r="U6810" s="31"/>
      <c r="V6810" s="32"/>
    </row>
    <row r="6811">
      <c r="A6811" s="32"/>
      <c r="T6811" s="31"/>
      <c r="U6811" s="31"/>
      <c r="V6811" s="32"/>
    </row>
    <row r="6812">
      <c r="A6812" s="32"/>
      <c r="T6812" s="31"/>
      <c r="U6812" s="31"/>
      <c r="V6812" s="32"/>
    </row>
    <row r="6813">
      <c r="A6813" s="32"/>
      <c r="T6813" s="31"/>
      <c r="U6813" s="31"/>
      <c r="V6813" s="32"/>
    </row>
    <row r="6814">
      <c r="A6814" s="32"/>
      <c r="T6814" s="31"/>
      <c r="U6814" s="31"/>
      <c r="V6814" s="32"/>
    </row>
    <row r="6815">
      <c r="A6815" s="32"/>
      <c r="T6815" s="31"/>
      <c r="U6815" s="31"/>
      <c r="V6815" s="32"/>
    </row>
    <row r="6816">
      <c r="A6816" s="32"/>
      <c r="T6816" s="31"/>
      <c r="U6816" s="31"/>
      <c r="V6816" s="32"/>
    </row>
    <row r="6817">
      <c r="A6817" s="32"/>
      <c r="T6817" s="31"/>
      <c r="U6817" s="31"/>
      <c r="V6817" s="32"/>
    </row>
    <row r="6818">
      <c r="A6818" s="32"/>
      <c r="T6818" s="31"/>
      <c r="U6818" s="31"/>
      <c r="V6818" s="32"/>
    </row>
    <row r="6819">
      <c r="A6819" s="32"/>
      <c r="T6819" s="31"/>
      <c r="U6819" s="31"/>
      <c r="V6819" s="32"/>
    </row>
    <row r="6820">
      <c r="A6820" s="32"/>
      <c r="T6820" s="31"/>
      <c r="U6820" s="31"/>
      <c r="V6820" s="32"/>
    </row>
    <row r="6821">
      <c r="A6821" s="32"/>
      <c r="T6821" s="31"/>
      <c r="U6821" s="31"/>
      <c r="V6821" s="32"/>
    </row>
    <row r="6822">
      <c r="A6822" s="32"/>
      <c r="T6822" s="31"/>
      <c r="U6822" s="31"/>
      <c r="V6822" s="32"/>
    </row>
    <row r="6823">
      <c r="A6823" s="32"/>
      <c r="T6823" s="31"/>
      <c r="U6823" s="31"/>
      <c r="V6823" s="32"/>
    </row>
    <row r="6824">
      <c r="A6824" s="32"/>
      <c r="T6824" s="31"/>
      <c r="U6824" s="31"/>
      <c r="V6824" s="32"/>
    </row>
    <row r="6825">
      <c r="A6825" s="32"/>
      <c r="T6825" s="31"/>
      <c r="U6825" s="31"/>
      <c r="V6825" s="32"/>
    </row>
    <row r="6826">
      <c r="A6826" s="32"/>
      <c r="T6826" s="31"/>
      <c r="U6826" s="31"/>
      <c r="V6826" s="32"/>
    </row>
    <row r="6827">
      <c r="A6827" s="32"/>
      <c r="T6827" s="31"/>
      <c r="U6827" s="31"/>
      <c r="V6827" s="32"/>
    </row>
    <row r="6828">
      <c r="A6828" s="32"/>
      <c r="T6828" s="31"/>
      <c r="U6828" s="31"/>
      <c r="V6828" s="32"/>
    </row>
    <row r="6829">
      <c r="A6829" s="32"/>
      <c r="T6829" s="31"/>
      <c r="U6829" s="31"/>
      <c r="V6829" s="32"/>
    </row>
    <row r="6830">
      <c r="A6830" s="32"/>
      <c r="T6830" s="31"/>
      <c r="U6830" s="31"/>
      <c r="V6830" s="32"/>
    </row>
    <row r="6831">
      <c r="A6831" s="32"/>
      <c r="T6831" s="31"/>
      <c r="U6831" s="31"/>
      <c r="V6831" s="32"/>
    </row>
    <row r="6832">
      <c r="A6832" s="32"/>
      <c r="T6832" s="31"/>
      <c r="U6832" s="31"/>
      <c r="V6832" s="32"/>
    </row>
    <row r="6833">
      <c r="A6833" s="32"/>
      <c r="T6833" s="31"/>
      <c r="U6833" s="31"/>
      <c r="V6833" s="32"/>
    </row>
    <row r="6834">
      <c r="A6834" s="32"/>
      <c r="T6834" s="31"/>
      <c r="U6834" s="31"/>
      <c r="V6834" s="32"/>
    </row>
    <row r="6835">
      <c r="A6835" s="32"/>
      <c r="T6835" s="31"/>
      <c r="U6835" s="31"/>
      <c r="V6835" s="32"/>
    </row>
    <row r="6836">
      <c r="A6836" s="32"/>
      <c r="T6836" s="31"/>
      <c r="U6836" s="31"/>
      <c r="V6836" s="32"/>
    </row>
    <row r="6837">
      <c r="A6837" s="32"/>
      <c r="T6837" s="31"/>
      <c r="U6837" s="31"/>
      <c r="V6837" s="32"/>
    </row>
    <row r="6838">
      <c r="A6838" s="32"/>
      <c r="T6838" s="31"/>
      <c r="U6838" s="31"/>
      <c r="V6838" s="32"/>
    </row>
    <row r="6839">
      <c r="A6839" s="32"/>
      <c r="T6839" s="31"/>
      <c r="U6839" s="31"/>
      <c r="V6839" s="32"/>
    </row>
    <row r="6840">
      <c r="A6840" s="32"/>
      <c r="T6840" s="31"/>
      <c r="U6840" s="31"/>
      <c r="V6840" s="32"/>
    </row>
    <row r="6841">
      <c r="A6841" s="32"/>
      <c r="T6841" s="31"/>
      <c r="U6841" s="31"/>
      <c r="V6841" s="32"/>
    </row>
    <row r="6842">
      <c r="A6842" s="32"/>
      <c r="T6842" s="31"/>
      <c r="U6842" s="31"/>
      <c r="V6842" s="32"/>
    </row>
    <row r="6843">
      <c r="A6843" s="32"/>
      <c r="T6843" s="31"/>
      <c r="U6843" s="31"/>
      <c r="V6843" s="32"/>
    </row>
    <row r="6844">
      <c r="A6844" s="32"/>
      <c r="T6844" s="31"/>
      <c r="U6844" s="31"/>
      <c r="V6844" s="32"/>
    </row>
    <row r="6845">
      <c r="A6845" s="32"/>
      <c r="T6845" s="31"/>
      <c r="U6845" s="31"/>
      <c r="V6845" s="32"/>
    </row>
    <row r="6846">
      <c r="A6846" s="32"/>
      <c r="T6846" s="31"/>
      <c r="U6846" s="31"/>
      <c r="V6846" s="32"/>
    </row>
    <row r="6847">
      <c r="A6847" s="32"/>
      <c r="T6847" s="31"/>
      <c r="U6847" s="31"/>
      <c r="V6847" s="32"/>
    </row>
    <row r="6848">
      <c r="A6848" s="32"/>
      <c r="T6848" s="31"/>
      <c r="U6848" s="31"/>
      <c r="V6848" s="32"/>
    </row>
    <row r="6849">
      <c r="A6849" s="32"/>
      <c r="T6849" s="31"/>
      <c r="U6849" s="31"/>
      <c r="V6849" s="32"/>
    </row>
    <row r="6850">
      <c r="A6850" s="32"/>
      <c r="T6850" s="31"/>
      <c r="U6850" s="31"/>
      <c r="V6850" s="32"/>
    </row>
    <row r="6851">
      <c r="A6851" s="32"/>
      <c r="T6851" s="31"/>
      <c r="U6851" s="31"/>
      <c r="V6851" s="32"/>
    </row>
    <row r="6852">
      <c r="A6852" s="32"/>
      <c r="T6852" s="31"/>
      <c r="U6852" s="31"/>
      <c r="V6852" s="32"/>
    </row>
    <row r="6853">
      <c r="A6853" s="32"/>
      <c r="T6853" s="31"/>
      <c r="U6853" s="31"/>
      <c r="V6853" s="32"/>
    </row>
    <row r="6854">
      <c r="A6854" s="32"/>
      <c r="T6854" s="31"/>
      <c r="U6854" s="31"/>
      <c r="V6854" s="32"/>
    </row>
    <row r="6855">
      <c r="A6855" s="32"/>
      <c r="T6855" s="31"/>
      <c r="U6855" s="31"/>
      <c r="V6855" s="32"/>
    </row>
    <row r="6856">
      <c r="A6856" s="32"/>
      <c r="T6856" s="31"/>
      <c r="U6856" s="31"/>
      <c r="V6856" s="32"/>
    </row>
    <row r="6857">
      <c r="A6857" s="32"/>
      <c r="T6857" s="31"/>
      <c r="U6857" s="31"/>
      <c r="V6857" s="32"/>
    </row>
    <row r="6858">
      <c r="A6858" s="32"/>
      <c r="T6858" s="31"/>
      <c r="U6858" s="31"/>
      <c r="V6858" s="32"/>
    </row>
    <row r="6859">
      <c r="A6859" s="32"/>
      <c r="T6859" s="31"/>
      <c r="U6859" s="31"/>
      <c r="V6859" s="32"/>
    </row>
    <row r="6860">
      <c r="A6860" s="32"/>
      <c r="T6860" s="31"/>
      <c r="U6860" s="31"/>
      <c r="V6860" s="32"/>
    </row>
    <row r="6861">
      <c r="A6861" s="32"/>
      <c r="T6861" s="31"/>
      <c r="U6861" s="31"/>
      <c r="V6861" s="32"/>
    </row>
    <row r="6862">
      <c r="A6862" s="32"/>
      <c r="T6862" s="31"/>
      <c r="U6862" s="31"/>
      <c r="V6862" s="32"/>
    </row>
    <row r="6863">
      <c r="A6863" s="32"/>
      <c r="T6863" s="31"/>
      <c r="U6863" s="31"/>
      <c r="V6863" s="32"/>
    </row>
    <row r="6864">
      <c r="A6864" s="32"/>
      <c r="T6864" s="31"/>
      <c r="U6864" s="31"/>
      <c r="V6864" s="32"/>
    </row>
    <row r="6865">
      <c r="A6865" s="32"/>
      <c r="T6865" s="31"/>
      <c r="U6865" s="31"/>
      <c r="V6865" s="32"/>
    </row>
    <row r="6866">
      <c r="A6866" s="32"/>
      <c r="T6866" s="31"/>
      <c r="U6866" s="31"/>
      <c r="V6866" s="32"/>
    </row>
    <row r="6867">
      <c r="A6867" s="32"/>
      <c r="T6867" s="31"/>
      <c r="U6867" s="31"/>
      <c r="V6867" s="32"/>
    </row>
    <row r="6868">
      <c r="A6868" s="32"/>
      <c r="T6868" s="31"/>
      <c r="U6868" s="31"/>
      <c r="V6868" s="32"/>
    </row>
    <row r="6869">
      <c r="A6869" s="32"/>
      <c r="T6869" s="31"/>
      <c r="U6869" s="31"/>
      <c r="V6869" s="32"/>
    </row>
    <row r="6870">
      <c r="A6870" s="32"/>
      <c r="T6870" s="31"/>
      <c r="U6870" s="31"/>
      <c r="V6870" s="32"/>
    </row>
    <row r="6871">
      <c r="A6871" s="32"/>
      <c r="T6871" s="31"/>
      <c r="U6871" s="31"/>
      <c r="V6871" s="32"/>
    </row>
    <row r="6872">
      <c r="A6872" s="32"/>
      <c r="T6872" s="31"/>
      <c r="U6872" s="31"/>
      <c r="V6872" s="32"/>
    </row>
    <row r="6873">
      <c r="A6873" s="32"/>
      <c r="T6873" s="31"/>
      <c r="U6873" s="31"/>
      <c r="V6873" s="32"/>
    </row>
    <row r="6874">
      <c r="A6874" s="32"/>
      <c r="T6874" s="31"/>
      <c r="U6874" s="31"/>
      <c r="V6874" s="32"/>
    </row>
    <row r="6875">
      <c r="A6875" s="32"/>
      <c r="T6875" s="31"/>
      <c r="U6875" s="31"/>
      <c r="V6875" s="32"/>
    </row>
    <row r="6876">
      <c r="A6876" s="32"/>
      <c r="T6876" s="31"/>
      <c r="U6876" s="31"/>
      <c r="V6876" s="32"/>
    </row>
    <row r="6877">
      <c r="A6877" s="32"/>
      <c r="T6877" s="31"/>
      <c r="U6877" s="31"/>
      <c r="V6877" s="32"/>
    </row>
    <row r="6878">
      <c r="A6878" s="32"/>
      <c r="T6878" s="31"/>
      <c r="U6878" s="31"/>
      <c r="V6878" s="32"/>
    </row>
    <row r="6879">
      <c r="A6879" s="32"/>
      <c r="T6879" s="31"/>
      <c r="U6879" s="31"/>
      <c r="V6879" s="32"/>
    </row>
    <row r="6880">
      <c r="A6880" s="32"/>
      <c r="T6880" s="31"/>
      <c r="U6880" s="31"/>
      <c r="V6880" s="32"/>
    </row>
    <row r="6881">
      <c r="A6881" s="32"/>
      <c r="T6881" s="31"/>
      <c r="U6881" s="31"/>
      <c r="V6881" s="32"/>
    </row>
    <row r="6882">
      <c r="A6882" s="32"/>
      <c r="T6882" s="31"/>
      <c r="U6882" s="31"/>
      <c r="V6882" s="32"/>
    </row>
    <row r="6883">
      <c r="A6883" s="32"/>
      <c r="T6883" s="31"/>
      <c r="U6883" s="31"/>
      <c r="V6883" s="32"/>
    </row>
    <row r="6884">
      <c r="A6884" s="32"/>
      <c r="T6884" s="31"/>
      <c r="U6884" s="31"/>
      <c r="V6884" s="32"/>
    </row>
    <row r="6885">
      <c r="A6885" s="32"/>
      <c r="T6885" s="31"/>
      <c r="U6885" s="31"/>
      <c r="V6885" s="32"/>
    </row>
    <row r="6886">
      <c r="A6886" s="32"/>
      <c r="T6886" s="31"/>
      <c r="U6886" s="31"/>
      <c r="V6886" s="32"/>
    </row>
    <row r="6887">
      <c r="A6887" s="32"/>
      <c r="T6887" s="31"/>
      <c r="U6887" s="31"/>
      <c r="V6887" s="32"/>
    </row>
    <row r="6888">
      <c r="A6888" s="32"/>
      <c r="T6888" s="31"/>
      <c r="U6888" s="31"/>
      <c r="V6888" s="32"/>
    </row>
    <row r="6889">
      <c r="A6889" s="32"/>
      <c r="T6889" s="31"/>
      <c r="U6889" s="31"/>
      <c r="V6889" s="32"/>
    </row>
    <row r="6890">
      <c r="A6890" s="32"/>
      <c r="T6890" s="31"/>
      <c r="U6890" s="31"/>
      <c r="V6890" s="32"/>
    </row>
    <row r="6891">
      <c r="A6891" s="32"/>
      <c r="T6891" s="31"/>
      <c r="U6891" s="31"/>
      <c r="V6891" s="32"/>
    </row>
    <row r="6892">
      <c r="A6892" s="32"/>
      <c r="T6892" s="31"/>
      <c r="U6892" s="31"/>
      <c r="V6892" s="32"/>
    </row>
    <row r="6893">
      <c r="A6893" s="32"/>
      <c r="T6893" s="31"/>
      <c r="U6893" s="31"/>
      <c r="V6893" s="32"/>
    </row>
    <row r="6894">
      <c r="A6894" s="32"/>
      <c r="T6894" s="31"/>
      <c r="U6894" s="31"/>
      <c r="V6894" s="32"/>
    </row>
    <row r="6895">
      <c r="A6895" s="32"/>
      <c r="T6895" s="31"/>
      <c r="U6895" s="31"/>
      <c r="V6895" s="32"/>
    </row>
    <row r="6896">
      <c r="A6896" s="32"/>
      <c r="T6896" s="31"/>
      <c r="U6896" s="31"/>
      <c r="V6896" s="32"/>
    </row>
    <row r="6897">
      <c r="A6897" s="32"/>
      <c r="T6897" s="31"/>
      <c r="U6897" s="31"/>
      <c r="V6897" s="32"/>
    </row>
    <row r="6898">
      <c r="A6898" s="32"/>
      <c r="T6898" s="31"/>
      <c r="U6898" s="31"/>
      <c r="V6898" s="32"/>
    </row>
    <row r="6899">
      <c r="A6899" s="32"/>
      <c r="T6899" s="31"/>
      <c r="U6899" s="31"/>
      <c r="V6899" s="32"/>
    </row>
    <row r="6900">
      <c r="A6900" s="32"/>
      <c r="T6900" s="31"/>
      <c r="U6900" s="31"/>
      <c r="V6900" s="32"/>
    </row>
    <row r="6901">
      <c r="A6901" s="32"/>
      <c r="T6901" s="31"/>
      <c r="U6901" s="31"/>
      <c r="V6901" s="32"/>
    </row>
    <row r="6902">
      <c r="A6902" s="32"/>
      <c r="T6902" s="31"/>
      <c r="U6902" s="31"/>
      <c r="V6902" s="32"/>
    </row>
    <row r="6903">
      <c r="A6903" s="32"/>
      <c r="T6903" s="31"/>
      <c r="U6903" s="31"/>
      <c r="V6903" s="32"/>
    </row>
    <row r="6904">
      <c r="A6904" s="32"/>
      <c r="T6904" s="31"/>
      <c r="U6904" s="31"/>
      <c r="V6904" s="32"/>
    </row>
    <row r="6905">
      <c r="A6905" s="32"/>
      <c r="T6905" s="31"/>
      <c r="U6905" s="31"/>
      <c r="V6905" s="32"/>
    </row>
    <row r="6906">
      <c r="A6906" s="32"/>
      <c r="T6906" s="31"/>
      <c r="U6906" s="31"/>
      <c r="V6906" s="32"/>
    </row>
    <row r="6907">
      <c r="A6907" s="32"/>
      <c r="T6907" s="31"/>
      <c r="U6907" s="31"/>
      <c r="V6907" s="32"/>
    </row>
    <row r="6908">
      <c r="A6908" s="32"/>
      <c r="T6908" s="31"/>
      <c r="U6908" s="31"/>
      <c r="V6908" s="32"/>
    </row>
    <row r="6909">
      <c r="A6909" s="32"/>
      <c r="T6909" s="31"/>
      <c r="U6909" s="31"/>
      <c r="V6909" s="32"/>
    </row>
    <row r="6910">
      <c r="A6910" s="32"/>
      <c r="T6910" s="31"/>
      <c r="U6910" s="31"/>
      <c r="V6910" s="32"/>
    </row>
    <row r="6911">
      <c r="A6911" s="32"/>
      <c r="T6911" s="31"/>
      <c r="U6911" s="31"/>
      <c r="V6911" s="32"/>
    </row>
    <row r="6912">
      <c r="A6912" s="32"/>
      <c r="T6912" s="31"/>
      <c r="U6912" s="31"/>
      <c r="V6912" s="32"/>
    </row>
    <row r="6913">
      <c r="A6913" s="32"/>
      <c r="T6913" s="31"/>
      <c r="U6913" s="31"/>
      <c r="V6913" s="32"/>
    </row>
    <row r="6914">
      <c r="A6914" s="32"/>
      <c r="T6914" s="31"/>
      <c r="U6914" s="31"/>
      <c r="V6914" s="32"/>
    </row>
    <row r="6915">
      <c r="A6915" s="32"/>
      <c r="T6915" s="31"/>
      <c r="U6915" s="31"/>
      <c r="V6915" s="32"/>
    </row>
    <row r="6916">
      <c r="A6916" s="32"/>
      <c r="T6916" s="31"/>
      <c r="U6916" s="31"/>
      <c r="V6916" s="32"/>
    </row>
    <row r="6917">
      <c r="A6917" s="32"/>
      <c r="T6917" s="31"/>
      <c r="U6917" s="31"/>
      <c r="V6917" s="32"/>
    </row>
    <row r="6918">
      <c r="A6918" s="32"/>
      <c r="T6918" s="31"/>
      <c r="U6918" s="31"/>
      <c r="V6918" s="32"/>
    </row>
    <row r="6919">
      <c r="A6919" s="32"/>
      <c r="T6919" s="31"/>
      <c r="U6919" s="31"/>
      <c r="V6919" s="32"/>
    </row>
    <row r="6920">
      <c r="A6920" s="32"/>
      <c r="T6920" s="31"/>
      <c r="U6920" s="31"/>
      <c r="V6920" s="32"/>
    </row>
    <row r="6921">
      <c r="A6921" s="32"/>
      <c r="T6921" s="31"/>
      <c r="U6921" s="31"/>
      <c r="V6921" s="32"/>
    </row>
    <row r="6922">
      <c r="A6922" s="32"/>
      <c r="T6922" s="31"/>
      <c r="U6922" s="31"/>
      <c r="V6922" s="32"/>
    </row>
    <row r="6923">
      <c r="A6923" s="32"/>
      <c r="T6923" s="31"/>
      <c r="U6923" s="31"/>
      <c r="V6923" s="32"/>
    </row>
    <row r="6924">
      <c r="A6924" s="32"/>
      <c r="T6924" s="31"/>
      <c r="U6924" s="31"/>
      <c r="V6924" s="32"/>
    </row>
    <row r="6925">
      <c r="A6925" s="32"/>
      <c r="T6925" s="31"/>
      <c r="U6925" s="31"/>
      <c r="V6925" s="32"/>
    </row>
    <row r="6926">
      <c r="A6926" s="32"/>
      <c r="T6926" s="31"/>
      <c r="U6926" s="31"/>
      <c r="V6926" s="32"/>
    </row>
    <row r="6927">
      <c r="A6927" s="32"/>
      <c r="T6927" s="31"/>
      <c r="U6927" s="31"/>
      <c r="V6927" s="32"/>
    </row>
    <row r="6928">
      <c r="A6928" s="32"/>
      <c r="T6928" s="31"/>
      <c r="U6928" s="31"/>
      <c r="V6928" s="32"/>
    </row>
    <row r="6929">
      <c r="A6929" s="32"/>
      <c r="T6929" s="31"/>
      <c r="U6929" s="31"/>
      <c r="V6929" s="32"/>
    </row>
    <row r="6930">
      <c r="A6930" s="32"/>
      <c r="T6930" s="31"/>
      <c r="U6930" s="31"/>
      <c r="V6930" s="32"/>
    </row>
    <row r="6931">
      <c r="A6931" s="32"/>
      <c r="T6931" s="31"/>
      <c r="U6931" s="31"/>
      <c r="V6931" s="32"/>
    </row>
    <row r="6932">
      <c r="A6932" s="32"/>
      <c r="T6932" s="31"/>
      <c r="U6932" s="31"/>
      <c r="V6932" s="32"/>
    </row>
    <row r="6933">
      <c r="A6933" s="32"/>
      <c r="T6933" s="31"/>
      <c r="U6933" s="31"/>
      <c r="V6933" s="32"/>
    </row>
    <row r="6934">
      <c r="A6934" s="32"/>
      <c r="T6934" s="31"/>
      <c r="U6934" s="31"/>
      <c r="V6934" s="32"/>
    </row>
    <row r="6935">
      <c r="A6935" s="32"/>
      <c r="T6935" s="31"/>
      <c r="U6935" s="31"/>
      <c r="V6935" s="32"/>
    </row>
    <row r="6936">
      <c r="A6936" s="32"/>
      <c r="T6936" s="31"/>
      <c r="U6936" s="31"/>
      <c r="V6936" s="32"/>
    </row>
    <row r="6937">
      <c r="A6937" s="32"/>
      <c r="T6937" s="31"/>
      <c r="U6937" s="31"/>
      <c r="V6937" s="32"/>
    </row>
    <row r="6938">
      <c r="A6938" s="32"/>
      <c r="T6938" s="31"/>
      <c r="U6938" s="31"/>
      <c r="V6938" s="32"/>
    </row>
    <row r="6939">
      <c r="A6939" s="32"/>
      <c r="T6939" s="31"/>
      <c r="U6939" s="31"/>
      <c r="V6939" s="32"/>
    </row>
    <row r="6940">
      <c r="A6940" s="32"/>
      <c r="T6940" s="31"/>
      <c r="U6940" s="31"/>
      <c r="V6940" s="32"/>
    </row>
    <row r="6941">
      <c r="A6941" s="32"/>
      <c r="T6941" s="31"/>
      <c r="U6941" s="31"/>
      <c r="V6941" s="32"/>
    </row>
    <row r="6942">
      <c r="A6942" s="32"/>
      <c r="T6942" s="31"/>
      <c r="U6942" s="31"/>
      <c r="V6942" s="32"/>
    </row>
    <row r="6943">
      <c r="A6943" s="32"/>
      <c r="T6943" s="31"/>
      <c r="U6943" s="31"/>
      <c r="V6943" s="32"/>
    </row>
    <row r="6944">
      <c r="A6944" s="32"/>
      <c r="T6944" s="31"/>
      <c r="U6944" s="31"/>
      <c r="V6944" s="32"/>
    </row>
    <row r="6945">
      <c r="A6945" s="32"/>
      <c r="T6945" s="31"/>
      <c r="U6945" s="31"/>
      <c r="V6945" s="32"/>
    </row>
    <row r="6946">
      <c r="A6946" s="32"/>
      <c r="T6946" s="31"/>
      <c r="U6946" s="31"/>
      <c r="V6946" s="32"/>
    </row>
    <row r="6947">
      <c r="A6947" s="32"/>
      <c r="T6947" s="31"/>
      <c r="U6947" s="31"/>
      <c r="V6947" s="32"/>
    </row>
    <row r="6948">
      <c r="A6948" s="32"/>
      <c r="T6948" s="31"/>
      <c r="U6948" s="31"/>
      <c r="V6948" s="32"/>
    </row>
    <row r="6949">
      <c r="A6949" s="32"/>
      <c r="T6949" s="31"/>
      <c r="U6949" s="31"/>
      <c r="V6949" s="32"/>
    </row>
    <row r="6950">
      <c r="A6950" s="32"/>
      <c r="T6950" s="31"/>
      <c r="U6950" s="31"/>
      <c r="V6950" s="32"/>
    </row>
    <row r="6951">
      <c r="A6951" s="32"/>
      <c r="T6951" s="31"/>
      <c r="U6951" s="31"/>
      <c r="V6951" s="32"/>
    </row>
    <row r="6952">
      <c r="A6952" s="32"/>
      <c r="T6952" s="31"/>
      <c r="U6952" s="31"/>
      <c r="V6952" s="32"/>
    </row>
    <row r="6953">
      <c r="A6953" s="32"/>
      <c r="T6953" s="31"/>
      <c r="U6953" s="31"/>
      <c r="V6953" s="32"/>
    </row>
    <row r="6954">
      <c r="A6954" s="32"/>
      <c r="T6954" s="31"/>
      <c r="U6954" s="31"/>
      <c r="V6954" s="32"/>
    </row>
    <row r="6955">
      <c r="A6955" s="32"/>
      <c r="T6955" s="31"/>
      <c r="U6955" s="31"/>
      <c r="V6955" s="32"/>
    </row>
    <row r="6956">
      <c r="A6956" s="32"/>
      <c r="T6956" s="31"/>
      <c r="U6956" s="31"/>
      <c r="V6956" s="32"/>
    </row>
    <row r="6957">
      <c r="A6957" s="32"/>
      <c r="T6957" s="31"/>
      <c r="U6957" s="31"/>
      <c r="V6957" s="32"/>
    </row>
    <row r="6958">
      <c r="A6958" s="32"/>
      <c r="T6958" s="31"/>
      <c r="U6958" s="31"/>
      <c r="V6958" s="32"/>
    </row>
    <row r="6959">
      <c r="A6959" s="32"/>
      <c r="T6959" s="31"/>
      <c r="U6959" s="31"/>
      <c r="V6959" s="32"/>
    </row>
    <row r="6960">
      <c r="A6960" s="32"/>
      <c r="T6960" s="31"/>
      <c r="U6960" s="31"/>
      <c r="V6960" s="32"/>
    </row>
    <row r="6961">
      <c r="A6961" s="32"/>
      <c r="T6961" s="31"/>
      <c r="U6961" s="31"/>
      <c r="V6961" s="32"/>
    </row>
    <row r="6962">
      <c r="A6962" s="32"/>
      <c r="T6962" s="31"/>
      <c r="U6962" s="31"/>
      <c r="V6962" s="32"/>
    </row>
    <row r="6963">
      <c r="A6963" s="32"/>
      <c r="T6963" s="31"/>
      <c r="U6963" s="31"/>
      <c r="V6963" s="32"/>
    </row>
    <row r="6964">
      <c r="A6964" s="32"/>
      <c r="T6964" s="31"/>
      <c r="U6964" s="31"/>
      <c r="V6964" s="32"/>
    </row>
    <row r="6965">
      <c r="A6965" s="32"/>
      <c r="T6965" s="31"/>
      <c r="U6965" s="31"/>
      <c r="V6965" s="32"/>
    </row>
    <row r="6966">
      <c r="A6966" s="32"/>
      <c r="T6966" s="31"/>
      <c r="U6966" s="31"/>
      <c r="V6966" s="32"/>
    </row>
    <row r="6967">
      <c r="A6967" s="32"/>
      <c r="T6967" s="31"/>
      <c r="U6967" s="31"/>
      <c r="V6967" s="32"/>
    </row>
    <row r="6968">
      <c r="A6968" s="32"/>
      <c r="T6968" s="31"/>
      <c r="U6968" s="31"/>
      <c r="V6968" s="32"/>
    </row>
    <row r="6969">
      <c r="A6969" s="32"/>
      <c r="T6969" s="31"/>
      <c r="U6969" s="31"/>
      <c r="V6969" s="32"/>
    </row>
    <row r="6970">
      <c r="A6970" s="32"/>
      <c r="T6970" s="31"/>
      <c r="U6970" s="31"/>
      <c r="V6970" s="32"/>
    </row>
    <row r="6971">
      <c r="A6971" s="32"/>
      <c r="T6971" s="31"/>
      <c r="U6971" s="31"/>
      <c r="V6971" s="32"/>
    </row>
    <row r="6972">
      <c r="A6972" s="32"/>
      <c r="T6972" s="31"/>
      <c r="U6972" s="31"/>
      <c r="V6972" s="32"/>
    </row>
    <row r="6973">
      <c r="A6973" s="32"/>
      <c r="T6973" s="31"/>
      <c r="U6973" s="31"/>
      <c r="V6973" s="32"/>
    </row>
    <row r="6974">
      <c r="A6974" s="32"/>
      <c r="T6974" s="31"/>
      <c r="U6974" s="31"/>
      <c r="V6974" s="32"/>
    </row>
    <row r="6975">
      <c r="A6975" s="32"/>
      <c r="T6975" s="31"/>
      <c r="U6975" s="31"/>
      <c r="V6975" s="32"/>
    </row>
    <row r="6976">
      <c r="A6976" s="32"/>
      <c r="T6976" s="31"/>
      <c r="U6976" s="31"/>
      <c r="V6976" s="32"/>
    </row>
    <row r="6977">
      <c r="A6977" s="32"/>
      <c r="T6977" s="31"/>
      <c r="U6977" s="31"/>
      <c r="V6977" s="32"/>
    </row>
    <row r="6978">
      <c r="A6978" s="32"/>
      <c r="T6978" s="31"/>
      <c r="U6978" s="31"/>
      <c r="V6978" s="32"/>
    </row>
    <row r="6979">
      <c r="A6979" s="32"/>
      <c r="T6979" s="31"/>
      <c r="U6979" s="31"/>
      <c r="V6979" s="32"/>
    </row>
    <row r="6980">
      <c r="A6980" s="32"/>
      <c r="T6980" s="31"/>
      <c r="U6980" s="31"/>
      <c r="V6980" s="32"/>
    </row>
    <row r="6981">
      <c r="A6981" s="32"/>
      <c r="T6981" s="31"/>
      <c r="U6981" s="31"/>
      <c r="V6981" s="32"/>
    </row>
    <row r="6982">
      <c r="A6982" s="32"/>
      <c r="T6982" s="31"/>
      <c r="U6982" s="31"/>
      <c r="V6982" s="32"/>
    </row>
    <row r="6983">
      <c r="A6983" s="32"/>
      <c r="T6983" s="31"/>
      <c r="U6983" s="31"/>
      <c r="V6983" s="32"/>
    </row>
    <row r="6984">
      <c r="A6984" s="32"/>
      <c r="T6984" s="31"/>
      <c r="U6984" s="31"/>
      <c r="V6984" s="32"/>
    </row>
    <row r="6985">
      <c r="A6985" s="32"/>
      <c r="T6985" s="31"/>
      <c r="U6985" s="31"/>
      <c r="V6985" s="32"/>
    </row>
    <row r="6986">
      <c r="A6986" s="32"/>
      <c r="T6986" s="31"/>
      <c r="U6986" s="31"/>
      <c r="V6986" s="32"/>
    </row>
    <row r="6987">
      <c r="A6987" s="32"/>
      <c r="T6987" s="31"/>
      <c r="U6987" s="31"/>
      <c r="V6987" s="32"/>
    </row>
    <row r="6988">
      <c r="A6988" s="32"/>
      <c r="T6988" s="31"/>
      <c r="U6988" s="31"/>
      <c r="V6988" s="32"/>
    </row>
    <row r="6989">
      <c r="A6989" s="32"/>
      <c r="T6989" s="31"/>
      <c r="U6989" s="31"/>
      <c r="V6989" s="32"/>
    </row>
    <row r="6990">
      <c r="A6990" s="32"/>
      <c r="T6990" s="31"/>
      <c r="U6990" s="31"/>
      <c r="V6990" s="32"/>
    </row>
    <row r="6991">
      <c r="A6991" s="32"/>
      <c r="T6991" s="31"/>
      <c r="U6991" s="31"/>
      <c r="V6991" s="32"/>
    </row>
    <row r="6992">
      <c r="A6992" s="32"/>
      <c r="T6992" s="31"/>
      <c r="U6992" s="31"/>
      <c r="V6992" s="32"/>
    </row>
    <row r="6993">
      <c r="A6993" s="32"/>
      <c r="T6993" s="31"/>
      <c r="U6993" s="31"/>
      <c r="V6993" s="32"/>
    </row>
    <row r="6994">
      <c r="A6994" s="32"/>
      <c r="T6994" s="31"/>
      <c r="U6994" s="31"/>
      <c r="V6994" s="32"/>
    </row>
    <row r="6995">
      <c r="A6995" s="32"/>
      <c r="T6995" s="31"/>
      <c r="U6995" s="31"/>
      <c r="V6995" s="32"/>
    </row>
    <row r="6996">
      <c r="A6996" s="32"/>
      <c r="T6996" s="31"/>
      <c r="U6996" s="31"/>
      <c r="V6996" s="32"/>
    </row>
    <row r="6997">
      <c r="A6997" s="32"/>
      <c r="T6997" s="31"/>
      <c r="U6997" s="31"/>
      <c r="V6997" s="32"/>
    </row>
    <row r="6998">
      <c r="A6998" s="32"/>
      <c r="T6998" s="31"/>
      <c r="U6998" s="31"/>
      <c r="V6998" s="32"/>
    </row>
    <row r="6999">
      <c r="A6999" s="32"/>
      <c r="T6999" s="31"/>
      <c r="U6999" s="31"/>
      <c r="V6999" s="32"/>
    </row>
    <row r="7000">
      <c r="A7000" s="32"/>
      <c r="T7000" s="31"/>
      <c r="U7000" s="31"/>
      <c r="V7000" s="32"/>
    </row>
    <row r="7001">
      <c r="A7001" s="32"/>
      <c r="T7001" s="31"/>
      <c r="U7001" s="31"/>
      <c r="V7001" s="32"/>
    </row>
    <row r="7002">
      <c r="A7002" s="32"/>
      <c r="T7002" s="31"/>
      <c r="U7002" s="31"/>
      <c r="V7002" s="32"/>
    </row>
    <row r="7003">
      <c r="A7003" s="32"/>
      <c r="T7003" s="31"/>
      <c r="U7003" s="31"/>
      <c r="V7003" s="32"/>
    </row>
    <row r="7004">
      <c r="A7004" s="32"/>
      <c r="T7004" s="31"/>
      <c r="U7004" s="31"/>
      <c r="V7004" s="32"/>
    </row>
    <row r="7005">
      <c r="A7005" s="32"/>
      <c r="T7005" s="31"/>
      <c r="U7005" s="31"/>
      <c r="V7005" s="32"/>
    </row>
    <row r="7006">
      <c r="A7006" s="32"/>
      <c r="T7006" s="31"/>
      <c r="U7006" s="31"/>
      <c r="V7006" s="32"/>
    </row>
    <row r="7007">
      <c r="A7007" s="32"/>
      <c r="T7007" s="31"/>
      <c r="U7007" s="31"/>
      <c r="V7007" s="32"/>
    </row>
    <row r="7008">
      <c r="A7008" s="32"/>
      <c r="T7008" s="31"/>
      <c r="U7008" s="31"/>
      <c r="V7008" s="32"/>
    </row>
    <row r="7009">
      <c r="A7009" s="32"/>
      <c r="T7009" s="31"/>
      <c r="U7009" s="31"/>
      <c r="V7009" s="32"/>
    </row>
    <row r="7010">
      <c r="A7010" s="32"/>
      <c r="T7010" s="31"/>
      <c r="U7010" s="31"/>
      <c r="V7010" s="32"/>
    </row>
    <row r="7011">
      <c r="A7011" s="32"/>
      <c r="T7011" s="31"/>
      <c r="U7011" s="31"/>
      <c r="V7011" s="32"/>
    </row>
    <row r="7012">
      <c r="A7012" s="32"/>
      <c r="T7012" s="31"/>
      <c r="U7012" s="31"/>
      <c r="V7012" s="32"/>
    </row>
    <row r="7013">
      <c r="A7013" s="32"/>
      <c r="T7013" s="31"/>
      <c r="U7013" s="31"/>
      <c r="V7013" s="32"/>
    </row>
    <row r="7014">
      <c r="A7014" s="32"/>
      <c r="T7014" s="31"/>
      <c r="U7014" s="31"/>
      <c r="V7014" s="32"/>
    </row>
    <row r="7015">
      <c r="A7015" s="32"/>
      <c r="T7015" s="31"/>
      <c r="U7015" s="31"/>
      <c r="V7015" s="32"/>
    </row>
    <row r="7016">
      <c r="A7016" s="32"/>
      <c r="T7016" s="31"/>
      <c r="U7016" s="31"/>
      <c r="V7016" s="32"/>
    </row>
    <row r="7017">
      <c r="A7017" s="32"/>
      <c r="T7017" s="31"/>
      <c r="U7017" s="31"/>
      <c r="V7017" s="32"/>
    </row>
    <row r="7018">
      <c r="A7018" s="32"/>
      <c r="T7018" s="31"/>
      <c r="U7018" s="31"/>
      <c r="V7018" s="32"/>
    </row>
    <row r="7019">
      <c r="A7019" s="32"/>
      <c r="T7019" s="31"/>
      <c r="U7019" s="31"/>
      <c r="V7019" s="32"/>
    </row>
    <row r="7020">
      <c r="A7020" s="32"/>
      <c r="T7020" s="31"/>
      <c r="U7020" s="31"/>
      <c r="V7020" s="32"/>
    </row>
    <row r="7021">
      <c r="A7021" s="32"/>
      <c r="T7021" s="31"/>
      <c r="U7021" s="31"/>
      <c r="V7021" s="32"/>
    </row>
    <row r="7022">
      <c r="A7022" s="32"/>
      <c r="T7022" s="31"/>
      <c r="U7022" s="31"/>
      <c r="V7022" s="32"/>
    </row>
    <row r="7023">
      <c r="A7023" s="32"/>
      <c r="T7023" s="31"/>
      <c r="U7023" s="31"/>
      <c r="V7023" s="32"/>
    </row>
    <row r="7024">
      <c r="A7024" s="32"/>
      <c r="T7024" s="31"/>
      <c r="U7024" s="31"/>
      <c r="V7024" s="32"/>
    </row>
    <row r="7025">
      <c r="A7025" s="32"/>
      <c r="T7025" s="31"/>
      <c r="U7025" s="31"/>
      <c r="V7025" s="32"/>
    </row>
    <row r="7026">
      <c r="A7026" s="32"/>
      <c r="T7026" s="31"/>
      <c r="U7026" s="31"/>
      <c r="V7026" s="32"/>
    </row>
    <row r="7027">
      <c r="A7027" s="32"/>
      <c r="T7027" s="31"/>
      <c r="U7027" s="31"/>
      <c r="V7027" s="32"/>
    </row>
    <row r="7028">
      <c r="A7028" s="32"/>
      <c r="T7028" s="31"/>
      <c r="U7028" s="31"/>
      <c r="V7028" s="32"/>
    </row>
    <row r="7029">
      <c r="A7029" s="32"/>
      <c r="T7029" s="31"/>
      <c r="U7029" s="31"/>
      <c r="V7029" s="32"/>
    </row>
    <row r="7030">
      <c r="A7030" s="32"/>
      <c r="T7030" s="31"/>
      <c r="U7030" s="31"/>
      <c r="V7030" s="32"/>
    </row>
    <row r="7031">
      <c r="A7031" s="32"/>
      <c r="T7031" s="31"/>
      <c r="U7031" s="31"/>
      <c r="V7031" s="32"/>
    </row>
    <row r="7032">
      <c r="A7032" s="32"/>
      <c r="T7032" s="31"/>
      <c r="U7032" s="31"/>
      <c r="V7032" s="32"/>
    </row>
    <row r="7033">
      <c r="A7033" s="32"/>
      <c r="T7033" s="31"/>
      <c r="U7033" s="31"/>
      <c r="V7033" s="32"/>
    </row>
    <row r="7034">
      <c r="A7034" s="32"/>
      <c r="T7034" s="31"/>
      <c r="U7034" s="31"/>
      <c r="V7034" s="32"/>
    </row>
    <row r="7035">
      <c r="A7035" s="32"/>
      <c r="T7035" s="31"/>
      <c r="U7035" s="31"/>
      <c r="V7035" s="32"/>
    </row>
    <row r="7036">
      <c r="A7036" s="32"/>
      <c r="T7036" s="31"/>
      <c r="U7036" s="31"/>
      <c r="V7036" s="32"/>
    </row>
    <row r="7037">
      <c r="A7037" s="32"/>
      <c r="T7037" s="31"/>
      <c r="U7037" s="31"/>
      <c r="V7037" s="32"/>
    </row>
    <row r="7038">
      <c r="A7038" s="32"/>
      <c r="T7038" s="31"/>
      <c r="U7038" s="31"/>
      <c r="V7038" s="32"/>
    </row>
    <row r="7039">
      <c r="A7039" s="32"/>
      <c r="T7039" s="31"/>
      <c r="U7039" s="31"/>
      <c r="V7039" s="32"/>
    </row>
    <row r="7040">
      <c r="A7040" s="32"/>
      <c r="T7040" s="31"/>
      <c r="U7040" s="31"/>
      <c r="V7040" s="32"/>
    </row>
    <row r="7041">
      <c r="A7041" s="32"/>
      <c r="T7041" s="31"/>
      <c r="U7041" s="31"/>
      <c r="V7041" s="32"/>
    </row>
    <row r="7042">
      <c r="A7042" s="32"/>
      <c r="T7042" s="31"/>
      <c r="U7042" s="31"/>
      <c r="V7042" s="32"/>
    </row>
    <row r="7043">
      <c r="A7043" s="32"/>
      <c r="T7043" s="31"/>
      <c r="U7043" s="31"/>
      <c r="V7043" s="32"/>
    </row>
    <row r="7044">
      <c r="A7044" s="32"/>
      <c r="T7044" s="31"/>
      <c r="U7044" s="31"/>
      <c r="V7044" s="32"/>
    </row>
    <row r="7045">
      <c r="A7045" s="32"/>
      <c r="T7045" s="31"/>
      <c r="U7045" s="31"/>
      <c r="V7045" s="32"/>
    </row>
    <row r="7046">
      <c r="A7046" s="32"/>
      <c r="T7046" s="31"/>
      <c r="U7046" s="31"/>
      <c r="V7046" s="32"/>
    </row>
    <row r="7047">
      <c r="A7047" s="32"/>
      <c r="T7047" s="31"/>
      <c r="U7047" s="31"/>
      <c r="V7047" s="32"/>
    </row>
    <row r="7048">
      <c r="A7048" s="32"/>
      <c r="T7048" s="31"/>
      <c r="U7048" s="31"/>
      <c r="V7048" s="32"/>
    </row>
    <row r="7049">
      <c r="A7049" s="32"/>
      <c r="T7049" s="31"/>
      <c r="U7049" s="31"/>
      <c r="V7049" s="32"/>
    </row>
    <row r="7050">
      <c r="A7050" s="32"/>
      <c r="T7050" s="31"/>
      <c r="U7050" s="31"/>
      <c r="V7050" s="32"/>
    </row>
    <row r="7051">
      <c r="A7051" s="32"/>
      <c r="T7051" s="31"/>
      <c r="U7051" s="31"/>
      <c r="V7051" s="32"/>
    </row>
    <row r="7052">
      <c r="A7052" s="32"/>
      <c r="T7052" s="31"/>
      <c r="U7052" s="31"/>
      <c r="V7052" s="32"/>
    </row>
    <row r="7053">
      <c r="A7053" s="32"/>
      <c r="T7053" s="31"/>
      <c r="U7053" s="31"/>
      <c r="V7053" s="32"/>
    </row>
    <row r="7054">
      <c r="A7054" s="32"/>
      <c r="T7054" s="31"/>
      <c r="U7054" s="31"/>
      <c r="V7054" s="32"/>
    </row>
    <row r="7055">
      <c r="A7055" s="32"/>
      <c r="T7055" s="31"/>
      <c r="U7055" s="31"/>
      <c r="V7055" s="32"/>
    </row>
    <row r="7056">
      <c r="A7056" s="32"/>
      <c r="T7056" s="31"/>
      <c r="U7056" s="31"/>
      <c r="V7056" s="32"/>
    </row>
    <row r="7057">
      <c r="A7057" s="32"/>
      <c r="T7057" s="31"/>
      <c r="U7057" s="31"/>
      <c r="V7057" s="32"/>
    </row>
    <row r="7058">
      <c r="A7058" s="32"/>
      <c r="T7058" s="31"/>
      <c r="U7058" s="31"/>
      <c r="V7058" s="32"/>
    </row>
    <row r="7059">
      <c r="A7059" s="32"/>
      <c r="T7059" s="31"/>
      <c r="U7059" s="31"/>
      <c r="V7059" s="32"/>
    </row>
    <row r="7060">
      <c r="A7060" s="32"/>
      <c r="T7060" s="31"/>
      <c r="U7060" s="31"/>
      <c r="V7060" s="32"/>
    </row>
    <row r="7061">
      <c r="A7061" s="32"/>
      <c r="T7061" s="31"/>
      <c r="U7061" s="31"/>
      <c r="V7061" s="32"/>
    </row>
    <row r="7062">
      <c r="A7062" s="32"/>
      <c r="T7062" s="31"/>
      <c r="U7062" s="31"/>
      <c r="V7062" s="32"/>
    </row>
    <row r="7063">
      <c r="A7063" s="32"/>
      <c r="T7063" s="31"/>
      <c r="U7063" s="31"/>
      <c r="V7063" s="32"/>
    </row>
    <row r="7064">
      <c r="A7064" s="32"/>
      <c r="T7064" s="31"/>
      <c r="U7064" s="31"/>
      <c r="V7064" s="32"/>
    </row>
    <row r="7065">
      <c r="A7065" s="32"/>
      <c r="T7065" s="31"/>
      <c r="U7065" s="31"/>
      <c r="V7065" s="32"/>
    </row>
    <row r="7066">
      <c r="A7066" s="32"/>
      <c r="T7066" s="31"/>
      <c r="U7066" s="31"/>
      <c r="V7066" s="32"/>
    </row>
    <row r="7067">
      <c r="A7067" s="32"/>
      <c r="T7067" s="31"/>
      <c r="U7067" s="31"/>
      <c r="V7067" s="32"/>
    </row>
    <row r="7068">
      <c r="A7068" s="32"/>
      <c r="T7068" s="31"/>
      <c r="U7068" s="31"/>
      <c r="V7068" s="32"/>
    </row>
    <row r="7069">
      <c r="A7069" s="32"/>
      <c r="T7069" s="31"/>
      <c r="U7069" s="31"/>
      <c r="V7069" s="32"/>
    </row>
    <row r="7070">
      <c r="A7070" s="32"/>
      <c r="T7070" s="31"/>
      <c r="U7070" s="31"/>
      <c r="V7070" s="32"/>
    </row>
    <row r="7071">
      <c r="A7071" s="32"/>
      <c r="T7071" s="31"/>
      <c r="U7071" s="31"/>
      <c r="V7071" s="32"/>
    </row>
    <row r="7072">
      <c r="A7072" s="32"/>
      <c r="T7072" s="31"/>
      <c r="U7072" s="31"/>
      <c r="V7072" s="32"/>
    </row>
    <row r="7073">
      <c r="A7073" s="32"/>
      <c r="T7073" s="31"/>
      <c r="U7073" s="31"/>
      <c r="V7073" s="32"/>
    </row>
    <row r="7074">
      <c r="A7074" s="32"/>
      <c r="T7074" s="31"/>
      <c r="U7074" s="31"/>
      <c r="V7074" s="32"/>
    </row>
    <row r="7075">
      <c r="A7075" s="32"/>
      <c r="T7075" s="31"/>
      <c r="U7075" s="31"/>
      <c r="V7075" s="32"/>
    </row>
    <row r="7076">
      <c r="A7076" s="32"/>
      <c r="T7076" s="31"/>
      <c r="U7076" s="31"/>
      <c r="V7076" s="32"/>
    </row>
    <row r="7077">
      <c r="A7077" s="32"/>
      <c r="T7077" s="31"/>
      <c r="U7077" s="31"/>
      <c r="V7077" s="32"/>
    </row>
    <row r="7078">
      <c r="A7078" s="32"/>
      <c r="T7078" s="31"/>
      <c r="U7078" s="31"/>
      <c r="V7078" s="32"/>
    </row>
    <row r="7079">
      <c r="A7079" s="32"/>
      <c r="T7079" s="31"/>
      <c r="U7079" s="31"/>
      <c r="V7079" s="32"/>
    </row>
    <row r="7080">
      <c r="A7080" s="32"/>
      <c r="T7080" s="31"/>
      <c r="U7080" s="31"/>
      <c r="V7080" s="32"/>
    </row>
    <row r="7081">
      <c r="A7081" s="32"/>
      <c r="T7081" s="31"/>
      <c r="U7081" s="31"/>
      <c r="V7081" s="32"/>
    </row>
    <row r="7082">
      <c r="A7082" s="32"/>
      <c r="T7082" s="31"/>
      <c r="U7082" s="31"/>
      <c r="V7082" s="32"/>
    </row>
    <row r="7083">
      <c r="A7083" s="32"/>
      <c r="T7083" s="31"/>
      <c r="U7083" s="31"/>
      <c r="V7083" s="32"/>
    </row>
    <row r="7084">
      <c r="A7084" s="32"/>
      <c r="T7084" s="31"/>
      <c r="U7084" s="31"/>
      <c r="V7084" s="32"/>
    </row>
    <row r="7085">
      <c r="A7085" s="32"/>
      <c r="T7085" s="31"/>
      <c r="U7085" s="31"/>
      <c r="V7085" s="32"/>
    </row>
    <row r="7086">
      <c r="A7086" s="32"/>
      <c r="T7086" s="31"/>
      <c r="U7086" s="31"/>
      <c r="V7086" s="32"/>
    </row>
    <row r="7087">
      <c r="A7087" s="32"/>
      <c r="T7087" s="31"/>
      <c r="U7087" s="31"/>
      <c r="V7087" s="32"/>
    </row>
    <row r="7088">
      <c r="A7088" s="32"/>
      <c r="T7088" s="31"/>
      <c r="U7088" s="31"/>
      <c r="V7088" s="32"/>
    </row>
    <row r="7089">
      <c r="A7089" s="32"/>
      <c r="T7089" s="31"/>
      <c r="U7089" s="31"/>
      <c r="V7089" s="32"/>
    </row>
    <row r="7090">
      <c r="A7090" s="32"/>
      <c r="T7090" s="31"/>
      <c r="U7090" s="31"/>
      <c r="V7090" s="32"/>
    </row>
    <row r="7091">
      <c r="A7091" s="32"/>
      <c r="T7091" s="31"/>
      <c r="U7091" s="31"/>
      <c r="V7091" s="32"/>
    </row>
    <row r="7092">
      <c r="A7092" s="32"/>
      <c r="T7092" s="31"/>
      <c r="U7092" s="31"/>
      <c r="V7092" s="32"/>
    </row>
    <row r="7093">
      <c r="A7093" s="32"/>
      <c r="T7093" s="31"/>
      <c r="U7093" s="31"/>
      <c r="V7093" s="32"/>
    </row>
    <row r="7094">
      <c r="A7094" s="32"/>
      <c r="T7094" s="31"/>
      <c r="U7094" s="31"/>
      <c r="V7094" s="32"/>
    </row>
    <row r="7095">
      <c r="A7095" s="32"/>
      <c r="T7095" s="31"/>
      <c r="U7095" s="31"/>
      <c r="V7095" s="32"/>
    </row>
    <row r="7096">
      <c r="A7096" s="32"/>
      <c r="T7096" s="31"/>
      <c r="U7096" s="31"/>
      <c r="V7096" s="32"/>
    </row>
    <row r="7097">
      <c r="A7097" s="32"/>
      <c r="T7097" s="31"/>
      <c r="U7097" s="31"/>
      <c r="V7097" s="32"/>
    </row>
    <row r="7098">
      <c r="A7098" s="32"/>
      <c r="T7098" s="31"/>
      <c r="U7098" s="31"/>
      <c r="V7098" s="32"/>
    </row>
    <row r="7099">
      <c r="A7099" s="32"/>
      <c r="T7099" s="31"/>
      <c r="U7099" s="31"/>
      <c r="V7099" s="32"/>
    </row>
    <row r="7100">
      <c r="A7100" s="32"/>
      <c r="T7100" s="31"/>
      <c r="U7100" s="31"/>
      <c r="V7100" s="32"/>
    </row>
    <row r="7101">
      <c r="A7101" s="32"/>
      <c r="T7101" s="31"/>
      <c r="U7101" s="31"/>
      <c r="V7101" s="32"/>
    </row>
    <row r="7102">
      <c r="A7102" s="32"/>
      <c r="T7102" s="31"/>
      <c r="U7102" s="31"/>
      <c r="V7102" s="32"/>
    </row>
    <row r="7103">
      <c r="A7103" s="32"/>
      <c r="T7103" s="31"/>
      <c r="U7103" s="31"/>
      <c r="V7103" s="32"/>
    </row>
    <row r="7104">
      <c r="A7104" s="32"/>
      <c r="T7104" s="31"/>
      <c r="U7104" s="31"/>
      <c r="V7104" s="32"/>
    </row>
    <row r="7105">
      <c r="A7105" s="32"/>
      <c r="T7105" s="31"/>
      <c r="U7105" s="31"/>
      <c r="V7105" s="32"/>
    </row>
    <row r="7106">
      <c r="A7106" s="32"/>
      <c r="T7106" s="31"/>
      <c r="U7106" s="31"/>
      <c r="V7106" s="32"/>
    </row>
    <row r="7107">
      <c r="A7107" s="32"/>
      <c r="T7107" s="31"/>
      <c r="U7107" s="31"/>
      <c r="V7107" s="32"/>
    </row>
    <row r="7108">
      <c r="A7108" s="32"/>
      <c r="T7108" s="31"/>
      <c r="U7108" s="31"/>
      <c r="V7108" s="32"/>
    </row>
    <row r="7109">
      <c r="A7109" s="32"/>
      <c r="T7109" s="31"/>
      <c r="U7109" s="31"/>
      <c r="V7109" s="32"/>
    </row>
    <row r="7110">
      <c r="A7110" s="32"/>
      <c r="T7110" s="31"/>
      <c r="U7110" s="31"/>
      <c r="V7110" s="32"/>
    </row>
    <row r="7111">
      <c r="A7111" s="32"/>
      <c r="T7111" s="31"/>
      <c r="U7111" s="31"/>
      <c r="V7111" s="32"/>
    </row>
    <row r="7112">
      <c r="A7112" s="32"/>
      <c r="T7112" s="31"/>
      <c r="U7112" s="31"/>
      <c r="V7112" s="32"/>
    </row>
    <row r="7113">
      <c r="A7113" s="32"/>
      <c r="T7113" s="31"/>
      <c r="U7113" s="31"/>
      <c r="V7113" s="32"/>
    </row>
    <row r="7114">
      <c r="A7114" s="32"/>
      <c r="T7114" s="31"/>
      <c r="U7114" s="31"/>
      <c r="V7114" s="32"/>
    </row>
    <row r="7115">
      <c r="A7115" s="32"/>
      <c r="T7115" s="31"/>
      <c r="U7115" s="31"/>
      <c r="V7115" s="32"/>
    </row>
    <row r="7116">
      <c r="A7116" s="32"/>
      <c r="T7116" s="31"/>
      <c r="U7116" s="31"/>
      <c r="V7116" s="32"/>
    </row>
    <row r="7117">
      <c r="A7117" s="32"/>
      <c r="T7117" s="31"/>
      <c r="U7117" s="31"/>
      <c r="V7117" s="32"/>
    </row>
    <row r="7118">
      <c r="A7118" s="32"/>
      <c r="T7118" s="31"/>
      <c r="U7118" s="31"/>
      <c r="V7118" s="32"/>
    </row>
    <row r="7119">
      <c r="A7119" s="32"/>
      <c r="T7119" s="31"/>
      <c r="U7119" s="31"/>
      <c r="V7119" s="32"/>
    </row>
    <row r="7120">
      <c r="A7120" s="32"/>
      <c r="T7120" s="31"/>
      <c r="U7120" s="31"/>
      <c r="V7120" s="32"/>
    </row>
    <row r="7121">
      <c r="A7121" s="32"/>
      <c r="T7121" s="31"/>
      <c r="U7121" s="31"/>
      <c r="V7121" s="32"/>
    </row>
    <row r="7122">
      <c r="A7122" s="32"/>
      <c r="T7122" s="31"/>
      <c r="U7122" s="31"/>
      <c r="V7122" s="32"/>
    </row>
    <row r="7123">
      <c r="A7123" s="32"/>
      <c r="T7123" s="31"/>
      <c r="U7123" s="31"/>
      <c r="V7123" s="32"/>
    </row>
    <row r="7124">
      <c r="A7124" s="32"/>
      <c r="T7124" s="31"/>
      <c r="U7124" s="31"/>
      <c r="V7124" s="32"/>
    </row>
    <row r="7125">
      <c r="A7125" s="32"/>
      <c r="T7125" s="31"/>
      <c r="U7125" s="31"/>
      <c r="V7125" s="32"/>
    </row>
    <row r="7126">
      <c r="A7126" s="32"/>
      <c r="T7126" s="31"/>
      <c r="U7126" s="31"/>
      <c r="V7126" s="32"/>
    </row>
    <row r="7127">
      <c r="A7127" s="32"/>
      <c r="T7127" s="31"/>
      <c r="U7127" s="31"/>
      <c r="V7127" s="32"/>
    </row>
    <row r="7128">
      <c r="A7128" s="32"/>
      <c r="T7128" s="31"/>
      <c r="U7128" s="31"/>
      <c r="V7128" s="32"/>
    </row>
    <row r="7129">
      <c r="A7129" s="32"/>
      <c r="T7129" s="31"/>
      <c r="U7129" s="31"/>
      <c r="V7129" s="32"/>
    </row>
    <row r="7130">
      <c r="A7130" s="32"/>
      <c r="T7130" s="31"/>
      <c r="U7130" s="31"/>
      <c r="V7130" s="32"/>
    </row>
    <row r="7131">
      <c r="A7131" s="32"/>
      <c r="T7131" s="31"/>
      <c r="U7131" s="31"/>
      <c r="V7131" s="32"/>
    </row>
    <row r="7132">
      <c r="A7132" s="32"/>
      <c r="T7132" s="31"/>
      <c r="U7132" s="31"/>
      <c r="V7132" s="32"/>
    </row>
    <row r="7133">
      <c r="A7133" s="32"/>
      <c r="T7133" s="31"/>
      <c r="U7133" s="31"/>
      <c r="V7133" s="32"/>
    </row>
    <row r="7134">
      <c r="A7134" s="32"/>
      <c r="T7134" s="31"/>
      <c r="U7134" s="31"/>
      <c r="V7134" s="32"/>
    </row>
    <row r="7135">
      <c r="A7135" s="32"/>
      <c r="T7135" s="31"/>
      <c r="U7135" s="31"/>
      <c r="V7135" s="32"/>
    </row>
    <row r="7136">
      <c r="A7136" s="32"/>
      <c r="T7136" s="31"/>
      <c r="U7136" s="31"/>
      <c r="V7136" s="32"/>
    </row>
    <row r="7137">
      <c r="A7137" s="32"/>
      <c r="T7137" s="31"/>
      <c r="U7137" s="31"/>
      <c r="V7137" s="32"/>
    </row>
    <row r="7138">
      <c r="A7138" s="32"/>
      <c r="T7138" s="31"/>
      <c r="U7138" s="31"/>
      <c r="V7138" s="32"/>
    </row>
    <row r="7139">
      <c r="A7139" s="32"/>
      <c r="T7139" s="31"/>
      <c r="U7139" s="31"/>
      <c r="V7139" s="32"/>
    </row>
    <row r="7140">
      <c r="A7140" s="32"/>
      <c r="T7140" s="31"/>
      <c r="U7140" s="31"/>
      <c r="V7140" s="32"/>
    </row>
    <row r="7141">
      <c r="A7141" s="32"/>
      <c r="T7141" s="31"/>
      <c r="U7141" s="31"/>
      <c r="V7141" s="32"/>
    </row>
    <row r="7142">
      <c r="A7142" s="32"/>
      <c r="T7142" s="31"/>
      <c r="U7142" s="31"/>
      <c r="V7142" s="32"/>
    </row>
    <row r="7143">
      <c r="A7143" s="32"/>
      <c r="T7143" s="31"/>
      <c r="U7143" s="31"/>
      <c r="V7143" s="32"/>
    </row>
    <row r="7144">
      <c r="A7144" s="32"/>
      <c r="T7144" s="31"/>
      <c r="U7144" s="31"/>
      <c r="V7144" s="32"/>
    </row>
    <row r="7145">
      <c r="A7145" s="32"/>
      <c r="T7145" s="31"/>
      <c r="U7145" s="31"/>
      <c r="V7145" s="32"/>
    </row>
    <row r="7146">
      <c r="A7146" s="32"/>
      <c r="T7146" s="31"/>
      <c r="U7146" s="31"/>
      <c r="V7146" s="32"/>
    </row>
    <row r="7147">
      <c r="A7147" s="32"/>
      <c r="T7147" s="31"/>
      <c r="U7147" s="31"/>
      <c r="V7147" s="32"/>
    </row>
    <row r="7148">
      <c r="A7148" s="32"/>
      <c r="T7148" s="31"/>
      <c r="U7148" s="31"/>
      <c r="V7148" s="32"/>
    </row>
    <row r="7149">
      <c r="A7149" s="32"/>
      <c r="T7149" s="31"/>
      <c r="U7149" s="31"/>
      <c r="V7149" s="32"/>
    </row>
    <row r="7150">
      <c r="A7150" s="32"/>
      <c r="T7150" s="31"/>
      <c r="U7150" s="31"/>
      <c r="V7150" s="32"/>
    </row>
    <row r="7151">
      <c r="A7151" s="32"/>
      <c r="T7151" s="31"/>
      <c r="U7151" s="31"/>
      <c r="V7151" s="32"/>
    </row>
    <row r="7152">
      <c r="A7152" s="32"/>
      <c r="T7152" s="31"/>
      <c r="U7152" s="31"/>
      <c r="V7152" s="32"/>
    </row>
    <row r="7153">
      <c r="A7153" s="32"/>
      <c r="T7153" s="31"/>
      <c r="U7153" s="31"/>
      <c r="V7153" s="32"/>
    </row>
    <row r="7154">
      <c r="A7154" s="32"/>
      <c r="T7154" s="31"/>
      <c r="U7154" s="31"/>
      <c r="V7154" s="32"/>
    </row>
    <row r="7155">
      <c r="A7155" s="32"/>
      <c r="T7155" s="31"/>
      <c r="U7155" s="31"/>
      <c r="V7155" s="32"/>
    </row>
    <row r="7156">
      <c r="A7156" s="32"/>
      <c r="T7156" s="31"/>
      <c r="U7156" s="31"/>
      <c r="V7156" s="32"/>
    </row>
    <row r="7157">
      <c r="A7157" s="32"/>
      <c r="T7157" s="31"/>
      <c r="U7157" s="31"/>
      <c r="V7157" s="32"/>
    </row>
    <row r="7158">
      <c r="A7158" s="32"/>
      <c r="T7158" s="31"/>
      <c r="U7158" s="31"/>
      <c r="V7158" s="32"/>
    </row>
    <row r="7159">
      <c r="A7159" s="32"/>
      <c r="T7159" s="31"/>
      <c r="U7159" s="31"/>
      <c r="V7159" s="32"/>
    </row>
    <row r="7160">
      <c r="A7160" s="32"/>
      <c r="T7160" s="31"/>
      <c r="U7160" s="31"/>
      <c r="V7160" s="32"/>
    </row>
    <row r="7161">
      <c r="A7161" s="32"/>
      <c r="T7161" s="31"/>
      <c r="U7161" s="31"/>
      <c r="V7161" s="32"/>
    </row>
    <row r="7162">
      <c r="A7162" s="32"/>
      <c r="T7162" s="31"/>
      <c r="U7162" s="31"/>
      <c r="V7162" s="32"/>
    </row>
    <row r="7163">
      <c r="A7163" s="32"/>
      <c r="T7163" s="31"/>
      <c r="U7163" s="31"/>
      <c r="V7163" s="32"/>
    </row>
    <row r="7164">
      <c r="A7164" s="32"/>
      <c r="T7164" s="31"/>
      <c r="U7164" s="31"/>
      <c r="V7164" s="32"/>
    </row>
    <row r="7165">
      <c r="A7165" s="32"/>
      <c r="T7165" s="31"/>
      <c r="U7165" s="31"/>
      <c r="V7165" s="32"/>
    </row>
    <row r="7166">
      <c r="A7166" s="32"/>
      <c r="T7166" s="31"/>
      <c r="U7166" s="31"/>
      <c r="V7166" s="32"/>
    </row>
    <row r="7167">
      <c r="A7167" s="32"/>
      <c r="T7167" s="31"/>
      <c r="U7167" s="31"/>
      <c r="V7167" s="32"/>
    </row>
    <row r="7168">
      <c r="A7168" s="32"/>
      <c r="T7168" s="31"/>
      <c r="U7168" s="31"/>
      <c r="V7168" s="32"/>
    </row>
    <row r="7169">
      <c r="A7169" s="32"/>
      <c r="T7169" s="31"/>
      <c r="U7169" s="31"/>
      <c r="V7169" s="32"/>
    </row>
    <row r="7170">
      <c r="A7170" s="32"/>
      <c r="T7170" s="31"/>
      <c r="U7170" s="31"/>
      <c r="V7170" s="32"/>
    </row>
    <row r="7171">
      <c r="A7171" s="32"/>
      <c r="T7171" s="31"/>
      <c r="U7171" s="31"/>
      <c r="V7171" s="32"/>
    </row>
    <row r="7172">
      <c r="A7172" s="32"/>
      <c r="T7172" s="31"/>
      <c r="U7172" s="31"/>
      <c r="V7172" s="32"/>
    </row>
    <row r="7173">
      <c r="A7173" s="32"/>
      <c r="T7173" s="31"/>
      <c r="U7173" s="31"/>
      <c r="V7173" s="32"/>
    </row>
    <row r="7174">
      <c r="A7174" s="32"/>
      <c r="T7174" s="31"/>
      <c r="U7174" s="31"/>
      <c r="V7174" s="32"/>
    </row>
    <row r="7175">
      <c r="A7175" s="32"/>
      <c r="T7175" s="31"/>
      <c r="U7175" s="31"/>
      <c r="V7175" s="32"/>
    </row>
    <row r="7176">
      <c r="A7176" s="32"/>
      <c r="T7176" s="31"/>
      <c r="U7176" s="31"/>
      <c r="V7176" s="32"/>
    </row>
    <row r="7177">
      <c r="A7177" s="32"/>
      <c r="T7177" s="31"/>
      <c r="U7177" s="31"/>
      <c r="V7177" s="32"/>
    </row>
    <row r="7178">
      <c r="A7178" s="32"/>
      <c r="T7178" s="31"/>
      <c r="U7178" s="31"/>
      <c r="V7178" s="32"/>
    </row>
    <row r="7179">
      <c r="A7179" s="32"/>
      <c r="T7179" s="31"/>
      <c r="U7179" s="31"/>
      <c r="V7179" s="32"/>
    </row>
    <row r="7180">
      <c r="A7180" s="32"/>
      <c r="T7180" s="31"/>
      <c r="U7180" s="31"/>
      <c r="V7180" s="32"/>
    </row>
    <row r="7181">
      <c r="A7181" s="32"/>
      <c r="T7181" s="31"/>
      <c r="U7181" s="31"/>
      <c r="V7181" s="32"/>
    </row>
    <row r="7182">
      <c r="A7182" s="32"/>
      <c r="T7182" s="31"/>
      <c r="U7182" s="31"/>
      <c r="V7182" s="32"/>
    </row>
    <row r="7183">
      <c r="A7183" s="32"/>
      <c r="T7183" s="31"/>
      <c r="U7183" s="31"/>
      <c r="V7183" s="32"/>
    </row>
    <row r="7184">
      <c r="A7184" s="32"/>
      <c r="T7184" s="31"/>
      <c r="U7184" s="31"/>
      <c r="V7184" s="32"/>
    </row>
    <row r="7185">
      <c r="A7185" s="32"/>
      <c r="T7185" s="31"/>
      <c r="U7185" s="31"/>
      <c r="V7185" s="32"/>
    </row>
    <row r="7186">
      <c r="A7186" s="32"/>
      <c r="T7186" s="31"/>
      <c r="U7186" s="31"/>
      <c r="V7186" s="32"/>
    </row>
    <row r="7187">
      <c r="A7187" s="32"/>
      <c r="T7187" s="31"/>
      <c r="U7187" s="31"/>
      <c r="V7187" s="32"/>
    </row>
    <row r="7188">
      <c r="A7188" s="32"/>
      <c r="T7188" s="31"/>
      <c r="U7188" s="31"/>
      <c r="V7188" s="32"/>
    </row>
    <row r="7189">
      <c r="A7189" s="32"/>
      <c r="T7189" s="31"/>
      <c r="U7189" s="31"/>
      <c r="V7189" s="32"/>
    </row>
    <row r="7190">
      <c r="A7190" s="32"/>
      <c r="T7190" s="31"/>
      <c r="U7190" s="31"/>
      <c r="V7190" s="32"/>
    </row>
    <row r="7191">
      <c r="A7191" s="32"/>
      <c r="T7191" s="31"/>
      <c r="U7191" s="31"/>
      <c r="V7191" s="32"/>
    </row>
    <row r="7192">
      <c r="A7192" s="32"/>
      <c r="T7192" s="31"/>
      <c r="U7192" s="31"/>
      <c r="V7192" s="32"/>
    </row>
    <row r="7193">
      <c r="A7193" s="32"/>
      <c r="T7193" s="31"/>
      <c r="U7193" s="31"/>
      <c r="V7193" s="32"/>
    </row>
    <row r="7194">
      <c r="A7194" s="32"/>
      <c r="T7194" s="31"/>
      <c r="U7194" s="31"/>
      <c r="V7194" s="32"/>
    </row>
    <row r="7195">
      <c r="A7195" s="32"/>
      <c r="T7195" s="31"/>
      <c r="U7195" s="31"/>
      <c r="V7195" s="32"/>
    </row>
    <row r="7196">
      <c r="A7196" s="32"/>
      <c r="T7196" s="31"/>
      <c r="U7196" s="31"/>
      <c r="V7196" s="32"/>
    </row>
    <row r="7197">
      <c r="A7197" s="32"/>
      <c r="T7197" s="31"/>
      <c r="U7197" s="31"/>
      <c r="V7197" s="32"/>
    </row>
    <row r="7198">
      <c r="A7198" s="32"/>
      <c r="T7198" s="31"/>
      <c r="U7198" s="31"/>
      <c r="V7198" s="32"/>
    </row>
    <row r="7199">
      <c r="A7199" s="32"/>
      <c r="T7199" s="31"/>
      <c r="U7199" s="31"/>
      <c r="V7199" s="32"/>
    </row>
    <row r="7200">
      <c r="A7200" s="32"/>
      <c r="T7200" s="31"/>
      <c r="U7200" s="31"/>
      <c r="V7200" s="32"/>
    </row>
    <row r="7201">
      <c r="A7201" s="32"/>
      <c r="T7201" s="31"/>
      <c r="U7201" s="31"/>
      <c r="V7201" s="32"/>
    </row>
    <row r="7202">
      <c r="A7202" s="32"/>
      <c r="T7202" s="31"/>
      <c r="U7202" s="31"/>
      <c r="V7202" s="32"/>
    </row>
    <row r="7203">
      <c r="A7203" s="32"/>
      <c r="T7203" s="31"/>
      <c r="U7203" s="31"/>
      <c r="V7203" s="32"/>
    </row>
    <row r="7204">
      <c r="A7204" s="32"/>
      <c r="T7204" s="31"/>
      <c r="U7204" s="31"/>
      <c r="V7204" s="32"/>
    </row>
    <row r="7205">
      <c r="A7205" s="32"/>
      <c r="T7205" s="31"/>
      <c r="U7205" s="31"/>
      <c r="V7205" s="32"/>
    </row>
    <row r="7206">
      <c r="A7206" s="32"/>
      <c r="T7206" s="31"/>
      <c r="U7206" s="31"/>
      <c r="V7206" s="32"/>
    </row>
    <row r="7207">
      <c r="A7207" s="32"/>
      <c r="T7207" s="31"/>
      <c r="U7207" s="31"/>
      <c r="V7207" s="32"/>
    </row>
    <row r="7208">
      <c r="A7208" s="32"/>
      <c r="T7208" s="31"/>
      <c r="U7208" s="31"/>
      <c r="V7208" s="32"/>
    </row>
    <row r="7209">
      <c r="A7209" s="32"/>
      <c r="T7209" s="31"/>
      <c r="U7209" s="31"/>
      <c r="V7209" s="32"/>
    </row>
    <row r="7210">
      <c r="A7210" s="32"/>
      <c r="T7210" s="31"/>
      <c r="U7210" s="31"/>
      <c r="V7210" s="32"/>
    </row>
    <row r="7211">
      <c r="A7211" s="32"/>
      <c r="T7211" s="31"/>
      <c r="U7211" s="31"/>
      <c r="V7211" s="32"/>
    </row>
    <row r="7212">
      <c r="A7212" s="32"/>
      <c r="T7212" s="31"/>
      <c r="U7212" s="31"/>
      <c r="V7212" s="32"/>
    </row>
    <row r="7213">
      <c r="A7213" s="32"/>
      <c r="T7213" s="31"/>
      <c r="U7213" s="31"/>
      <c r="V7213" s="32"/>
    </row>
    <row r="7214">
      <c r="A7214" s="32"/>
      <c r="T7214" s="31"/>
      <c r="U7214" s="31"/>
      <c r="V7214" s="32"/>
    </row>
    <row r="7215">
      <c r="A7215" s="32"/>
      <c r="T7215" s="31"/>
      <c r="U7215" s="31"/>
      <c r="V7215" s="32"/>
    </row>
    <row r="7216">
      <c r="A7216" s="32"/>
      <c r="T7216" s="31"/>
      <c r="U7216" s="31"/>
      <c r="V7216" s="32"/>
    </row>
    <row r="7217">
      <c r="A7217" s="32"/>
      <c r="T7217" s="31"/>
      <c r="U7217" s="31"/>
      <c r="V7217" s="32"/>
    </row>
    <row r="7218">
      <c r="A7218" s="32"/>
      <c r="T7218" s="31"/>
      <c r="U7218" s="31"/>
      <c r="V7218" s="32"/>
    </row>
    <row r="7219">
      <c r="A7219" s="32"/>
      <c r="T7219" s="31"/>
      <c r="U7219" s="31"/>
      <c r="V7219" s="32"/>
    </row>
    <row r="7220">
      <c r="A7220" s="32"/>
      <c r="T7220" s="31"/>
      <c r="U7220" s="31"/>
      <c r="V7220" s="32"/>
    </row>
    <row r="7221">
      <c r="A7221" s="32"/>
      <c r="T7221" s="31"/>
      <c r="U7221" s="31"/>
      <c r="V7221" s="32"/>
    </row>
    <row r="7222">
      <c r="A7222" s="32"/>
      <c r="T7222" s="31"/>
      <c r="U7222" s="31"/>
      <c r="V7222" s="32"/>
    </row>
    <row r="7223">
      <c r="A7223" s="32"/>
      <c r="T7223" s="31"/>
      <c r="U7223" s="31"/>
      <c r="V7223" s="32"/>
    </row>
    <row r="7224">
      <c r="A7224" s="32"/>
      <c r="T7224" s="31"/>
      <c r="U7224" s="31"/>
      <c r="V7224" s="32"/>
    </row>
    <row r="7225">
      <c r="A7225" s="32"/>
      <c r="T7225" s="31"/>
      <c r="U7225" s="31"/>
      <c r="V7225" s="32"/>
    </row>
    <row r="7226">
      <c r="A7226" s="32"/>
      <c r="T7226" s="31"/>
      <c r="U7226" s="31"/>
      <c r="V7226" s="32"/>
    </row>
    <row r="7227">
      <c r="A7227" s="32"/>
      <c r="T7227" s="31"/>
      <c r="U7227" s="31"/>
      <c r="V7227" s="32"/>
    </row>
    <row r="7228">
      <c r="A7228" s="32"/>
      <c r="T7228" s="31"/>
      <c r="U7228" s="31"/>
      <c r="V7228" s="32"/>
    </row>
    <row r="7229">
      <c r="A7229" s="32"/>
      <c r="T7229" s="31"/>
      <c r="U7229" s="31"/>
      <c r="V7229" s="32"/>
    </row>
    <row r="7230">
      <c r="A7230" s="32"/>
      <c r="T7230" s="31"/>
      <c r="U7230" s="31"/>
      <c r="V7230" s="32"/>
    </row>
    <row r="7231">
      <c r="A7231" s="32"/>
      <c r="T7231" s="31"/>
      <c r="U7231" s="31"/>
      <c r="V7231" s="32"/>
    </row>
    <row r="7232">
      <c r="A7232" s="32"/>
      <c r="T7232" s="31"/>
      <c r="U7232" s="31"/>
      <c r="V7232" s="32"/>
    </row>
    <row r="7233">
      <c r="A7233" s="32"/>
      <c r="T7233" s="31"/>
      <c r="U7233" s="31"/>
      <c r="V7233" s="32"/>
    </row>
    <row r="7234">
      <c r="A7234" s="32"/>
      <c r="T7234" s="31"/>
      <c r="U7234" s="31"/>
      <c r="V7234" s="32"/>
    </row>
    <row r="7235">
      <c r="A7235" s="32"/>
      <c r="T7235" s="31"/>
      <c r="U7235" s="31"/>
      <c r="V7235" s="32"/>
    </row>
    <row r="7236">
      <c r="A7236" s="32"/>
      <c r="T7236" s="31"/>
      <c r="U7236" s="31"/>
      <c r="V7236" s="32"/>
    </row>
    <row r="7237">
      <c r="A7237" s="32"/>
      <c r="T7237" s="31"/>
      <c r="U7237" s="31"/>
      <c r="V7237" s="32"/>
    </row>
    <row r="7238">
      <c r="A7238" s="32"/>
      <c r="T7238" s="31"/>
      <c r="U7238" s="31"/>
      <c r="V7238" s="32"/>
    </row>
    <row r="7239">
      <c r="A7239" s="32"/>
      <c r="T7239" s="31"/>
      <c r="U7239" s="31"/>
      <c r="V7239" s="32"/>
    </row>
    <row r="7240">
      <c r="A7240" s="32"/>
      <c r="T7240" s="31"/>
      <c r="U7240" s="31"/>
      <c r="V7240" s="32"/>
    </row>
    <row r="7241">
      <c r="A7241" s="32"/>
      <c r="T7241" s="31"/>
      <c r="U7241" s="31"/>
      <c r="V7241" s="32"/>
    </row>
    <row r="7242">
      <c r="A7242" s="32"/>
      <c r="T7242" s="31"/>
      <c r="U7242" s="31"/>
      <c r="V7242" s="32"/>
    </row>
    <row r="7243">
      <c r="A7243" s="32"/>
      <c r="T7243" s="31"/>
      <c r="U7243" s="31"/>
      <c r="V7243" s="32"/>
    </row>
    <row r="7244">
      <c r="A7244" s="32"/>
      <c r="T7244" s="31"/>
      <c r="U7244" s="31"/>
      <c r="V7244" s="32"/>
    </row>
    <row r="7245">
      <c r="A7245" s="32"/>
      <c r="T7245" s="31"/>
      <c r="U7245" s="31"/>
      <c r="V7245" s="32"/>
    </row>
    <row r="7246">
      <c r="A7246" s="32"/>
      <c r="T7246" s="31"/>
      <c r="U7246" s="31"/>
      <c r="V7246" s="32"/>
    </row>
    <row r="7247">
      <c r="A7247" s="32"/>
      <c r="T7247" s="31"/>
      <c r="U7247" s="31"/>
      <c r="V7247" s="32"/>
    </row>
    <row r="7248">
      <c r="A7248" s="32"/>
      <c r="T7248" s="31"/>
      <c r="U7248" s="31"/>
      <c r="V7248" s="32"/>
    </row>
    <row r="7249">
      <c r="A7249" s="32"/>
      <c r="T7249" s="31"/>
      <c r="U7249" s="31"/>
      <c r="V7249" s="32"/>
    </row>
    <row r="7250">
      <c r="A7250" s="32"/>
      <c r="T7250" s="31"/>
      <c r="U7250" s="31"/>
      <c r="V7250" s="32"/>
    </row>
    <row r="7251">
      <c r="A7251" s="32"/>
      <c r="T7251" s="31"/>
      <c r="U7251" s="31"/>
      <c r="V7251" s="32"/>
    </row>
    <row r="7252">
      <c r="A7252" s="32"/>
      <c r="T7252" s="31"/>
      <c r="U7252" s="31"/>
      <c r="V7252" s="32"/>
    </row>
    <row r="7253">
      <c r="A7253" s="32"/>
      <c r="T7253" s="31"/>
      <c r="U7253" s="31"/>
      <c r="V7253" s="32"/>
    </row>
    <row r="7254">
      <c r="A7254" s="32"/>
      <c r="T7254" s="31"/>
      <c r="U7254" s="31"/>
      <c r="V7254" s="32"/>
    </row>
    <row r="7255">
      <c r="A7255" s="32"/>
      <c r="T7255" s="31"/>
      <c r="U7255" s="31"/>
      <c r="V7255" s="32"/>
    </row>
    <row r="7256">
      <c r="A7256" s="32"/>
      <c r="T7256" s="31"/>
      <c r="U7256" s="31"/>
      <c r="V7256" s="32"/>
    </row>
    <row r="7257">
      <c r="A7257" s="32"/>
      <c r="T7257" s="31"/>
      <c r="U7257" s="31"/>
      <c r="V7257" s="32"/>
    </row>
    <row r="7258">
      <c r="A7258" s="32"/>
      <c r="T7258" s="31"/>
      <c r="U7258" s="31"/>
      <c r="V7258" s="32"/>
    </row>
    <row r="7259">
      <c r="A7259" s="32"/>
      <c r="T7259" s="31"/>
      <c r="U7259" s="31"/>
      <c r="V7259" s="32"/>
    </row>
    <row r="7260">
      <c r="A7260" s="32"/>
      <c r="T7260" s="31"/>
      <c r="U7260" s="31"/>
      <c r="V7260" s="32"/>
    </row>
    <row r="7261">
      <c r="A7261" s="32"/>
      <c r="T7261" s="31"/>
      <c r="U7261" s="31"/>
      <c r="V7261" s="32"/>
    </row>
    <row r="7262">
      <c r="A7262" s="32"/>
      <c r="T7262" s="31"/>
      <c r="U7262" s="31"/>
      <c r="V7262" s="32"/>
    </row>
    <row r="7263">
      <c r="A7263" s="32"/>
      <c r="T7263" s="31"/>
      <c r="U7263" s="31"/>
      <c r="V7263" s="32"/>
    </row>
    <row r="7264">
      <c r="A7264" s="32"/>
      <c r="T7264" s="31"/>
      <c r="U7264" s="31"/>
      <c r="V7264" s="32"/>
    </row>
    <row r="7265">
      <c r="A7265" s="32"/>
      <c r="T7265" s="31"/>
      <c r="U7265" s="31"/>
      <c r="V7265" s="32"/>
    </row>
    <row r="7266">
      <c r="A7266" s="32"/>
      <c r="T7266" s="31"/>
      <c r="U7266" s="31"/>
      <c r="V7266" s="32"/>
    </row>
    <row r="7267">
      <c r="A7267" s="32"/>
      <c r="T7267" s="31"/>
      <c r="U7267" s="31"/>
      <c r="V7267" s="32"/>
    </row>
    <row r="7268">
      <c r="A7268" s="32"/>
      <c r="T7268" s="31"/>
      <c r="U7268" s="31"/>
      <c r="V7268" s="32"/>
    </row>
    <row r="7269">
      <c r="A7269" s="32"/>
      <c r="T7269" s="31"/>
      <c r="U7269" s="31"/>
      <c r="V7269" s="32"/>
    </row>
    <row r="7270">
      <c r="A7270" s="32"/>
      <c r="T7270" s="31"/>
      <c r="U7270" s="31"/>
      <c r="V7270" s="32"/>
    </row>
    <row r="7271">
      <c r="A7271" s="32"/>
      <c r="T7271" s="31"/>
      <c r="U7271" s="31"/>
      <c r="V7271" s="32"/>
    </row>
    <row r="7272">
      <c r="A7272" s="32"/>
      <c r="T7272" s="31"/>
      <c r="U7272" s="31"/>
      <c r="V7272" s="32"/>
    </row>
    <row r="7273">
      <c r="A7273" s="32"/>
      <c r="T7273" s="31"/>
      <c r="U7273" s="31"/>
      <c r="V7273" s="32"/>
    </row>
    <row r="7274">
      <c r="A7274" s="32"/>
      <c r="T7274" s="31"/>
      <c r="U7274" s="31"/>
      <c r="V7274" s="32"/>
    </row>
    <row r="7275">
      <c r="A7275" s="32"/>
      <c r="T7275" s="31"/>
      <c r="U7275" s="31"/>
      <c r="V7275" s="32"/>
    </row>
    <row r="7276">
      <c r="A7276" s="32"/>
      <c r="T7276" s="31"/>
      <c r="U7276" s="31"/>
      <c r="V7276" s="32"/>
    </row>
    <row r="7277">
      <c r="A7277" s="32"/>
      <c r="T7277" s="31"/>
      <c r="U7277" s="31"/>
      <c r="V7277" s="32"/>
    </row>
    <row r="7278">
      <c r="A7278" s="32"/>
      <c r="T7278" s="31"/>
      <c r="U7278" s="31"/>
      <c r="V7278" s="32"/>
    </row>
    <row r="7279">
      <c r="A7279" s="32"/>
      <c r="T7279" s="31"/>
      <c r="U7279" s="31"/>
      <c r="V7279" s="32"/>
    </row>
    <row r="7280">
      <c r="A7280" s="32"/>
      <c r="T7280" s="31"/>
      <c r="U7280" s="31"/>
      <c r="V7280" s="32"/>
    </row>
    <row r="7281">
      <c r="A7281" s="32"/>
      <c r="T7281" s="31"/>
      <c r="U7281" s="31"/>
      <c r="V7281" s="32"/>
    </row>
    <row r="7282">
      <c r="A7282" s="32"/>
      <c r="T7282" s="31"/>
      <c r="U7282" s="31"/>
      <c r="V7282" s="32"/>
    </row>
    <row r="7283">
      <c r="A7283" s="32"/>
      <c r="T7283" s="31"/>
      <c r="U7283" s="31"/>
      <c r="V7283" s="32"/>
    </row>
    <row r="7284">
      <c r="A7284" s="32"/>
      <c r="T7284" s="31"/>
      <c r="U7284" s="31"/>
      <c r="V7284" s="32"/>
    </row>
    <row r="7285">
      <c r="A7285" s="32"/>
      <c r="T7285" s="31"/>
      <c r="U7285" s="31"/>
      <c r="V7285" s="32"/>
    </row>
    <row r="7286">
      <c r="A7286" s="32"/>
      <c r="T7286" s="31"/>
      <c r="U7286" s="31"/>
      <c r="V7286" s="32"/>
    </row>
    <row r="7287">
      <c r="A7287" s="32"/>
      <c r="T7287" s="31"/>
      <c r="U7287" s="31"/>
      <c r="V7287" s="32"/>
    </row>
    <row r="7288">
      <c r="A7288" s="32"/>
      <c r="T7288" s="31"/>
      <c r="U7288" s="31"/>
      <c r="V7288" s="32"/>
    </row>
    <row r="7289">
      <c r="A7289" s="32"/>
      <c r="T7289" s="31"/>
      <c r="U7289" s="31"/>
      <c r="V7289" s="32"/>
    </row>
    <row r="7290">
      <c r="A7290" s="32"/>
      <c r="T7290" s="31"/>
      <c r="U7290" s="31"/>
      <c r="V7290" s="32"/>
    </row>
    <row r="7291">
      <c r="A7291" s="32"/>
      <c r="T7291" s="31"/>
      <c r="U7291" s="31"/>
      <c r="V7291" s="32"/>
    </row>
    <row r="7292">
      <c r="A7292" s="32"/>
      <c r="T7292" s="31"/>
      <c r="U7292" s="31"/>
      <c r="V7292" s="32"/>
    </row>
    <row r="7293">
      <c r="A7293" s="32"/>
      <c r="T7293" s="31"/>
      <c r="U7293" s="31"/>
      <c r="V7293" s="32"/>
    </row>
    <row r="7294">
      <c r="A7294" s="32"/>
      <c r="T7294" s="31"/>
      <c r="U7294" s="31"/>
      <c r="V7294" s="32"/>
    </row>
    <row r="7295">
      <c r="A7295" s="32"/>
      <c r="T7295" s="31"/>
      <c r="U7295" s="31"/>
      <c r="V7295" s="32"/>
    </row>
    <row r="7296">
      <c r="A7296" s="32"/>
      <c r="T7296" s="31"/>
      <c r="U7296" s="31"/>
      <c r="V7296" s="32"/>
    </row>
    <row r="7297">
      <c r="A7297" s="32"/>
      <c r="T7297" s="31"/>
      <c r="U7297" s="31"/>
      <c r="V7297" s="32"/>
    </row>
    <row r="7298">
      <c r="A7298" s="32"/>
      <c r="T7298" s="31"/>
      <c r="U7298" s="31"/>
      <c r="V7298" s="32"/>
    </row>
    <row r="7299">
      <c r="A7299" s="32"/>
      <c r="T7299" s="31"/>
      <c r="U7299" s="31"/>
      <c r="V7299" s="32"/>
    </row>
    <row r="7300">
      <c r="A7300" s="32"/>
      <c r="T7300" s="31"/>
      <c r="U7300" s="31"/>
      <c r="V7300" s="32"/>
    </row>
    <row r="7301">
      <c r="A7301" s="32"/>
      <c r="T7301" s="31"/>
      <c r="U7301" s="31"/>
      <c r="V7301" s="32"/>
    </row>
    <row r="7302">
      <c r="A7302" s="32"/>
      <c r="T7302" s="31"/>
      <c r="U7302" s="31"/>
      <c r="V7302" s="32"/>
    </row>
    <row r="7303">
      <c r="A7303" s="32"/>
      <c r="T7303" s="31"/>
      <c r="U7303" s="31"/>
      <c r="V7303" s="32"/>
    </row>
    <row r="7304">
      <c r="A7304" s="32"/>
      <c r="T7304" s="31"/>
      <c r="U7304" s="31"/>
      <c r="V7304" s="32"/>
    </row>
    <row r="7305">
      <c r="A7305" s="32"/>
      <c r="T7305" s="31"/>
      <c r="U7305" s="31"/>
      <c r="V7305" s="32"/>
    </row>
    <row r="7306">
      <c r="A7306" s="32"/>
      <c r="T7306" s="31"/>
      <c r="U7306" s="31"/>
      <c r="V7306" s="32"/>
    </row>
    <row r="7307">
      <c r="A7307" s="32"/>
      <c r="T7307" s="31"/>
      <c r="U7307" s="31"/>
      <c r="V7307" s="32"/>
    </row>
    <row r="7308">
      <c r="A7308" s="32"/>
      <c r="T7308" s="31"/>
      <c r="U7308" s="31"/>
      <c r="V7308" s="32"/>
    </row>
    <row r="7309">
      <c r="A7309" s="32"/>
      <c r="T7309" s="31"/>
      <c r="U7309" s="31"/>
      <c r="V7309" s="32"/>
    </row>
    <row r="7310">
      <c r="A7310" s="32"/>
      <c r="T7310" s="31"/>
      <c r="U7310" s="31"/>
      <c r="V7310" s="32"/>
    </row>
    <row r="7311">
      <c r="A7311" s="32"/>
      <c r="T7311" s="31"/>
      <c r="U7311" s="31"/>
      <c r="V7311" s="32"/>
    </row>
    <row r="7312">
      <c r="A7312" s="32"/>
      <c r="T7312" s="31"/>
      <c r="U7312" s="31"/>
      <c r="V7312" s="32"/>
    </row>
    <row r="7313">
      <c r="A7313" s="32"/>
      <c r="T7313" s="31"/>
      <c r="U7313" s="31"/>
      <c r="V7313" s="32"/>
    </row>
    <row r="7314">
      <c r="A7314" s="32"/>
      <c r="T7314" s="31"/>
      <c r="U7314" s="31"/>
      <c r="V7314" s="32"/>
    </row>
    <row r="7315">
      <c r="A7315" s="32"/>
      <c r="T7315" s="31"/>
      <c r="U7315" s="31"/>
      <c r="V7315" s="32"/>
    </row>
    <row r="7316">
      <c r="A7316" s="32"/>
      <c r="T7316" s="31"/>
      <c r="U7316" s="31"/>
      <c r="V7316" s="32"/>
    </row>
    <row r="7317">
      <c r="A7317" s="32"/>
      <c r="T7317" s="31"/>
      <c r="U7317" s="31"/>
      <c r="V7317" s="32"/>
    </row>
    <row r="7318">
      <c r="A7318" s="32"/>
      <c r="T7318" s="31"/>
      <c r="U7318" s="31"/>
      <c r="V7318" s="32"/>
    </row>
    <row r="7319">
      <c r="A7319" s="32"/>
      <c r="T7319" s="31"/>
      <c r="U7319" s="31"/>
      <c r="V7319" s="32"/>
    </row>
    <row r="7320">
      <c r="A7320" s="32"/>
      <c r="T7320" s="31"/>
      <c r="U7320" s="31"/>
      <c r="V7320" s="32"/>
    </row>
    <row r="7321">
      <c r="A7321" s="32"/>
      <c r="T7321" s="31"/>
      <c r="U7321" s="31"/>
      <c r="V7321" s="32"/>
    </row>
    <row r="7322">
      <c r="A7322" s="32"/>
      <c r="T7322" s="31"/>
      <c r="U7322" s="31"/>
      <c r="V7322" s="32"/>
    </row>
    <row r="7323">
      <c r="A7323" s="32"/>
      <c r="T7323" s="31"/>
      <c r="U7323" s="31"/>
      <c r="V7323" s="32"/>
    </row>
    <row r="7324">
      <c r="A7324" s="32"/>
      <c r="T7324" s="31"/>
      <c r="U7324" s="31"/>
      <c r="V7324" s="32"/>
    </row>
    <row r="7325">
      <c r="A7325" s="32"/>
      <c r="T7325" s="31"/>
      <c r="U7325" s="31"/>
      <c r="V7325" s="32"/>
    </row>
    <row r="7326">
      <c r="A7326" s="32"/>
      <c r="T7326" s="31"/>
      <c r="U7326" s="31"/>
      <c r="V7326" s="32"/>
    </row>
    <row r="7327">
      <c r="A7327" s="32"/>
      <c r="T7327" s="31"/>
      <c r="U7327" s="31"/>
      <c r="V7327" s="32"/>
    </row>
    <row r="7328">
      <c r="A7328" s="32"/>
      <c r="T7328" s="31"/>
      <c r="U7328" s="31"/>
      <c r="V7328" s="32"/>
    </row>
    <row r="7329">
      <c r="A7329" s="32"/>
      <c r="T7329" s="31"/>
      <c r="U7329" s="31"/>
      <c r="V7329" s="32"/>
    </row>
    <row r="7330">
      <c r="A7330" s="32"/>
      <c r="T7330" s="31"/>
      <c r="U7330" s="31"/>
      <c r="V7330" s="32"/>
    </row>
    <row r="7331">
      <c r="A7331" s="32"/>
      <c r="T7331" s="31"/>
      <c r="U7331" s="31"/>
      <c r="V7331" s="32"/>
    </row>
    <row r="7332">
      <c r="A7332" s="32"/>
      <c r="T7332" s="31"/>
      <c r="U7332" s="31"/>
      <c r="V7332" s="32"/>
    </row>
    <row r="7333">
      <c r="A7333" s="32"/>
      <c r="T7333" s="31"/>
      <c r="U7333" s="31"/>
      <c r="V7333" s="32"/>
    </row>
    <row r="7334">
      <c r="A7334" s="32"/>
      <c r="T7334" s="31"/>
      <c r="U7334" s="31"/>
      <c r="V7334" s="32"/>
    </row>
    <row r="7335">
      <c r="A7335" s="32"/>
      <c r="T7335" s="31"/>
      <c r="U7335" s="31"/>
      <c r="V7335" s="32"/>
    </row>
    <row r="7336">
      <c r="A7336" s="32"/>
      <c r="T7336" s="31"/>
      <c r="U7336" s="31"/>
      <c r="V7336" s="32"/>
    </row>
    <row r="7337">
      <c r="A7337" s="32"/>
      <c r="T7337" s="31"/>
      <c r="U7337" s="31"/>
      <c r="V7337" s="32"/>
    </row>
    <row r="7338">
      <c r="A7338" s="32"/>
      <c r="T7338" s="31"/>
      <c r="U7338" s="31"/>
      <c r="V7338" s="32"/>
    </row>
    <row r="7339">
      <c r="A7339" s="32"/>
      <c r="T7339" s="31"/>
      <c r="U7339" s="31"/>
      <c r="V7339" s="32"/>
    </row>
    <row r="7340">
      <c r="A7340" s="32"/>
      <c r="T7340" s="31"/>
      <c r="U7340" s="31"/>
      <c r="V7340" s="32"/>
    </row>
    <row r="7341">
      <c r="A7341" s="32"/>
      <c r="T7341" s="31"/>
      <c r="U7341" s="31"/>
      <c r="V7341" s="32"/>
    </row>
    <row r="7342">
      <c r="A7342" s="32"/>
      <c r="T7342" s="31"/>
      <c r="U7342" s="31"/>
      <c r="V7342" s="32"/>
    </row>
    <row r="7343">
      <c r="A7343" s="32"/>
      <c r="T7343" s="31"/>
      <c r="U7343" s="31"/>
      <c r="V7343" s="32"/>
    </row>
    <row r="7344">
      <c r="A7344" s="32"/>
      <c r="T7344" s="31"/>
      <c r="U7344" s="31"/>
      <c r="V7344" s="32"/>
    </row>
    <row r="7345">
      <c r="A7345" s="32"/>
      <c r="T7345" s="31"/>
      <c r="U7345" s="31"/>
      <c r="V7345" s="32"/>
    </row>
    <row r="7346">
      <c r="A7346" s="32"/>
      <c r="T7346" s="31"/>
      <c r="U7346" s="31"/>
      <c r="V7346" s="32"/>
    </row>
    <row r="7347">
      <c r="A7347" s="32"/>
      <c r="T7347" s="31"/>
      <c r="U7347" s="31"/>
      <c r="V7347" s="32"/>
    </row>
    <row r="7348">
      <c r="A7348" s="32"/>
      <c r="T7348" s="31"/>
      <c r="U7348" s="31"/>
      <c r="V7348" s="32"/>
    </row>
    <row r="7349">
      <c r="A7349" s="32"/>
      <c r="T7349" s="31"/>
      <c r="U7349" s="31"/>
      <c r="V7349" s="32"/>
    </row>
    <row r="7350">
      <c r="A7350" s="32"/>
      <c r="T7350" s="31"/>
      <c r="U7350" s="31"/>
      <c r="V7350" s="32"/>
    </row>
    <row r="7351">
      <c r="A7351" s="32"/>
      <c r="T7351" s="31"/>
      <c r="U7351" s="31"/>
      <c r="V7351" s="32"/>
    </row>
    <row r="7352">
      <c r="A7352" s="32"/>
      <c r="T7352" s="31"/>
      <c r="U7352" s="31"/>
      <c r="V7352" s="32"/>
    </row>
    <row r="7353">
      <c r="A7353" s="32"/>
      <c r="T7353" s="31"/>
      <c r="U7353" s="31"/>
      <c r="V7353" s="32"/>
    </row>
    <row r="7354">
      <c r="A7354" s="32"/>
      <c r="T7354" s="31"/>
      <c r="U7354" s="31"/>
      <c r="V7354" s="32"/>
    </row>
    <row r="7355">
      <c r="A7355" s="32"/>
      <c r="T7355" s="31"/>
      <c r="U7355" s="31"/>
      <c r="V7355" s="32"/>
    </row>
    <row r="7356">
      <c r="A7356" s="32"/>
      <c r="T7356" s="31"/>
      <c r="U7356" s="31"/>
      <c r="V7356" s="32"/>
    </row>
    <row r="7357">
      <c r="A7357" s="32"/>
      <c r="T7357" s="31"/>
      <c r="U7357" s="31"/>
      <c r="V7357" s="32"/>
    </row>
    <row r="7358">
      <c r="A7358" s="32"/>
      <c r="T7358" s="31"/>
      <c r="U7358" s="31"/>
      <c r="V7358" s="32"/>
    </row>
    <row r="7359">
      <c r="A7359" s="32"/>
      <c r="T7359" s="31"/>
      <c r="U7359" s="31"/>
      <c r="V7359" s="32"/>
    </row>
    <row r="7360">
      <c r="A7360" s="32"/>
      <c r="T7360" s="31"/>
      <c r="U7360" s="31"/>
      <c r="V7360" s="32"/>
    </row>
    <row r="7361">
      <c r="A7361" s="32"/>
      <c r="T7361" s="31"/>
      <c r="U7361" s="31"/>
      <c r="V7361" s="32"/>
    </row>
    <row r="7362">
      <c r="A7362" s="32"/>
      <c r="T7362" s="31"/>
      <c r="U7362" s="31"/>
      <c r="V7362" s="32"/>
    </row>
    <row r="7363">
      <c r="A7363" s="32"/>
      <c r="T7363" s="31"/>
      <c r="U7363" s="31"/>
      <c r="V7363" s="32"/>
    </row>
    <row r="7364">
      <c r="A7364" s="32"/>
      <c r="T7364" s="31"/>
      <c r="U7364" s="31"/>
      <c r="V7364" s="32"/>
    </row>
    <row r="7365">
      <c r="A7365" s="32"/>
      <c r="T7365" s="31"/>
      <c r="U7365" s="31"/>
      <c r="V7365" s="32"/>
    </row>
    <row r="7366">
      <c r="A7366" s="32"/>
      <c r="T7366" s="31"/>
      <c r="U7366" s="31"/>
      <c r="V7366" s="32"/>
    </row>
    <row r="7367">
      <c r="A7367" s="32"/>
      <c r="T7367" s="31"/>
      <c r="U7367" s="31"/>
      <c r="V7367" s="32"/>
    </row>
    <row r="7368">
      <c r="A7368" s="32"/>
      <c r="T7368" s="31"/>
      <c r="U7368" s="31"/>
      <c r="V7368" s="32"/>
    </row>
    <row r="7369">
      <c r="A7369" s="32"/>
      <c r="T7369" s="31"/>
      <c r="U7369" s="31"/>
      <c r="V7369" s="32"/>
    </row>
    <row r="7370">
      <c r="A7370" s="32"/>
      <c r="T7370" s="31"/>
      <c r="U7370" s="31"/>
      <c r="V7370" s="32"/>
    </row>
    <row r="7371">
      <c r="A7371" s="32"/>
      <c r="T7371" s="31"/>
      <c r="U7371" s="31"/>
      <c r="V7371" s="32"/>
    </row>
    <row r="7372">
      <c r="A7372" s="32"/>
      <c r="T7372" s="31"/>
      <c r="U7372" s="31"/>
      <c r="V7372" s="32"/>
    </row>
    <row r="7373">
      <c r="A7373" s="32"/>
      <c r="T7373" s="31"/>
      <c r="U7373" s="31"/>
      <c r="V7373" s="32"/>
    </row>
    <row r="7374">
      <c r="A7374" s="32"/>
      <c r="T7374" s="31"/>
      <c r="U7374" s="31"/>
      <c r="V7374" s="32"/>
    </row>
    <row r="7375">
      <c r="A7375" s="32"/>
      <c r="T7375" s="31"/>
      <c r="U7375" s="31"/>
      <c r="V7375" s="32"/>
    </row>
    <row r="7376">
      <c r="A7376" s="32"/>
      <c r="T7376" s="31"/>
      <c r="U7376" s="31"/>
      <c r="V7376" s="32"/>
    </row>
    <row r="7377">
      <c r="A7377" s="32"/>
      <c r="T7377" s="31"/>
      <c r="U7377" s="31"/>
      <c r="V7377" s="32"/>
    </row>
    <row r="7378">
      <c r="A7378" s="32"/>
      <c r="T7378" s="31"/>
      <c r="U7378" s="31"/>
      <c r="V7378" s="32"/>
    </row>
    <row r="7379">
      <c r="A7379" s="32"/>
      <c r="T7379" s="31"/>
      <c r="U7379" s="31"/>
      <c r="V7379" s="32"/>
    </row>
    <row r="7380">
      <c r="A7380" s="32"/>
      <c r="T7380" s="31"/>
      <c r="U7380" s="31"/>
      <c r="V7380" s="32"/>
    </row>
    <row r="7381">
      <c r="A7381" s="32"/>
      <c r="T7381" s="31"/>
      <c r="U7381" s="31"/>
      <c r="V7381" s="32"/>
    </row>
    <row r="7382">
      <c r="A7382" s="32"/>
      <c r="T7382" s="31"/>
      <c r="U7382" s="31"/>
      <c r="V7382" s="32"/>
    </row>
    <row r="7383">
      <c r="A7383" s="32"/>
      <c r="T7383" s="31"/>
      <c r="U7383" s="31"/>
      <c r="V7383" s="32"/>
    </row>
    <row r="7384">
      <c r="A7384" s="32"/>
      <c r="T7384" s="31"/>
      <c r="U7384" s="31"/>
      <c r="V7384" s="32"/>
    </row>
    <row r="7385">
      <c r="A7385" s="32"/>
      <c r="T7385" s="31"/>
      <c r="U7385" s="31"/>
      <c r="V7385" s="32"/>
    </row>
    <row r="7386">
      <c r="A7386" s="32"/>
      <c r="T7386" s="31"/>
      <c r="U7386" s="31"/>
      <c r="V7386" s="32"/>
    </row>
    <row r="7387">
      <c r="A7387" s="32"/>
      <c r="T7387" s="31"/>
      <c r="U7387" s="31"/>
      <c r="V7387" s="32"/>
    </row>
    <row r="7388">
      <c r="A7388" s="32"/>
      <c r="T7388" s="31"/>
      <c r="U7388" s="31"/>
      <c r="V7388" s="32"/>
    </row>
    <row r="7389">
      <c r="A7389" s="32"/>
      <c r="T7389" s="31"/>
      <c r="U7389" s="31"/>
      <c r="V7389" s="32"/>
    </row>
    <row r="7390">
      <c r="A7390" s="32"/>
      <c r="T7390" s="31"/>
      <c r="U7390" s="31"/>
      <c r="V7390" s="32"/>
    </row>
    <row r="7391">
      <c r="A7391" s="32"/>
      <c r="T7391" s="31"/>
      <c r="U7391" s="31"/>
      <c r="V7391" s="32"/>
    </row>
    <row r="7392">
      <c r="A7392" s="32"/>
      <c r="T7392" s="31"/>
      <c r="U7392" s="31"/>
      <c r="V7392" s="32"/>
    </row>
    <row r="7393">
      <c r="A7393" s="32"/>
      <c r="T7393" s="31"/>
      <c r="U7393" s="31"/>
      <c r="V7393" s="32"/>
    </row>
    <row r="7394">
      <c r="A7394" s="32"/>
      <c r="T7394" s="31"/>
      <c r="U7394" s="31"/>
      <c r="V7394" s="32"/>
    </row>
    <row r="7395">
      <c r="A7395" s="32"/>
      <c r="T7395" s="31"/>
      <c r="U7395" s="31"/>
      <c r="V7395" s="32"/>
    </row>
    <row r="7396">
      <c r="A7396" s="32"/>
      <c r="T7396" s="31"/>
      <c r="U7396" s="31"/>
      <c r="V7396" s="32"/>
    </row>
    <row r="7397">
      <c r="A7397" s="32"/>
      <c r="T7397" s="31"/>
      <c r="U7397" s="31"/>
      <c r="V7397" s="32"/>
    </row>
    <row r="7398">
      <c r="A7398" s="32"/>
      <c r="T7398" s="31"/>
      <c r="U7398" s="31"/>
      <c r="V7398" s="32"/>
    </row>
    <row r="7399">
      <c r="A7399" s="32"/>
      <c r="T7399" s="31"/>
      <c r="U7399" s="31"/>
      <c r="V7399" s="32"/>
    </row>
    <row r="7400">
      <c r="A7400" s="32"/>
      <c r="T7400" s="31"/>
      <c r="U7400" s="31"/>
      <c r="V7400" s="32"/>
    </row>
    <row r="7401">
      <c r="A7401" s="32"/>
      <c r="T7401" s="31"/>
      <c r="U7401" s="31"/>
      <c r="V7401" s="32"/>
    </row>
    <row r="7402">
      <c r="A7402" s="32"/>
      <c r="T7402" s="31"/>
      <c r="U7402" s="31"/>
      <c r="V7402" s="32"/>
    </row>
    <row r="7403">
      <c r="A7403" s="32"/>
      <c r="T7403" s="31"/>
      <c r="U7403" s="31"/>
      <c r="V7403" s="32"/>
    </row>
    <row r="7404">
      <c r="A7404" s="32"/>
      <c r="T7404" s="31"/>
      <c r="U7404" s="31"/>
      <c r="V7404" s="32"/>
    </row>
    <row r="7405">
      <c r="A7405" s="32"/>
      <c r="T7405" s="31"/>
      <c r="U7405" s="31"/>
      <c r="V7405" s="32"/>
    </row>
    <row r="7406">
      <c r="A7406" s="32"/>
      <c r="T7406" s="31"/>
      <c r="U7406" s="31"/>
      <c r="V7406" s="32"/>
    </row>
    <row r="7407">
      <c r="A7407" s="32"/>
      <c r="T7407" s="31"/>
      <c r="U7407" s="31"/>
      <c r="V7407" s="32"/>
    </row>
    <row r="7408">
      <c r="A7408" s="32"/>
      <c r="T7408" s="31"/>
      <c r="U7408" s="31"/>
      <c r="V7408" s="32"/>
    </row>
    <row r="7409">
      <c r="A7409" s="32"/>
      <c r="T7409" s="31"/>
      <c r="U7409" s="31"/>
      <c r="V7409" s="32"/>
    </row>
    <row r="7410">
      <c r="A7410" s="32"/>
      <c r="T7410" s="31"/>
      <c r="U7410" s="31"/>
      <c r="V7410" s="32"/>
    </row>
    <row r="7411">
      <c r="A7411" s="32"/>
      <c r="T7411" s="31"/>
      <c r="U7411" s="31"/>
      <c r="V7411" s="32"/>
    </row>
    <row r="7412">
      <c r="A7412" s="32"/>
      <c r="T7412" s="31"/>
      <c r="U7412" s="31"/>
      <c r="V7412" s="32"/>
    </row>
    <row r="7413">
      <c r="A7413" s="32"/>
      <c r="T7413" s="31"/>
      <c r="U7413" s="31"/>
      <c r="V7413" s="32"/>
    </row>
    <row r="7414">
      <c r="A7414" s="32"/>
      <c r="T7414" s="31"/>
      <c r="U7414" s="31"/>
      <c r="V7414" s="32"/>
    </row>
    <row r="7415">
      <c r="A7415" s="32"/>
      <c r="T7415" s="31"/>
      <c r="U7415" s="31"/>
      <c r="V7415" s="32"/>
    </row>
    <row r="7416">
      <c r="A7416" s="32"/>
      <c r="T7416" s="31"/>
      <c r="U7416" s="31"/>
      <c r="V7416" s="32"/>
    </row>
    <row r="7417">
      <c r="A7417" s="32"/>
      <c r="T7417" s="31"/>
      <c r="U7417" s="31"/>
      <c r="V7417" s="32"/>
    </row>
    <row r="7418">
      <c r="A7418" s="32"/>
      <c r="T7418" s="31"/>
      <c r="U7418" s="31"/>
      <c r="V7418" s="32"/>
    </row>
    <row r="7419">
      <c r="A7419" s="32"/>
      <c r="T7419" s="31"/>
      <c r="U7419" s="31"/>
      <c r="V7419" s="32"/>
    </row>
    <row r="7420">
      <c r="A7420" s="32"/>
      <c r="T7420" s="31"/>
      <c r="U7420" s="31"/>
      <c r="V7420" s="32"/>
    </row>
    <row r="7421">
      <c r="A7421" s="32"/>
      <c r="T7421" s="31"/>
      <c r="U7421" s="31"/>
      <c r="V7421" s="32"/>
    </row>
    <row r="7422">
      <c r="A7422" s="32"/>
      <c r="T7422" s="31"/>
      <c r="U7422" s="31"/>
      <c r="V7422" s="32"/>
    </row>
    <row r="7423">
      <c r="A7423" s="32"/>
      <c r="T7423" s="31"/>
      <c r="U7423" s="31"/>
      <c r="V7423" s="32"/>
    </row>
    <row r="7424">
      <c r="A7424" s="32"/>
      <c r="T7424" s="31"/>
      <c r="U7424" s="31"/>
      <c r="V7424" s="32"/>
    </row>
    <row r="7425">
      <c r="A7425" s="32"/>
      <c r="T7425" s="31"/>
      <c r="U7425" s="31"/>
      <c r="V7425" s="32"/>
    </row>
    <row r="7426">
      <c r="A7426" s="32"/>
      <c r="T7426" s="31"/>
      <c r="U7426" s="31"/>
      <c r="V7426" s="32"/>
    </row>
    <row r="7427">
      <c r="A7427" s="32"/>
      <c r="T7427" s="31"/>
      <c r="U7427" s="31"/>
      <c r="V7427" s="32"/>
    </row>
    <row r="7428">
      <c r="A7428" s="32"/>
      <c r="T7428" s="31"/>
      <c r="U7428" s="31"/>
      <c r="V7428" s="32"/>
    </row>
    <row r="7429">
      <c r="A7429" s="32"/>
      <c r="T7429" s="31"/>
      <c r="U7429" s="31"/>
      <c r="V7429" s="32"/>
    </row>
    <row r="7430">
      <c r="A7430" s="32"/>
      <c r="T7430" s="31"/>
      <c r="U7430" s="31"/>
      <c r="V7430" s="32"/>
    </row>
    <row r="7431">
      <c r="A7431" s="32"/>
      <c r="T7431" s="31"/>
      <c r="U7431" s="31"/>
      <c r="V7431" s="32"/>
    </row>
    <row r="7432">
      <c r="A7432" s="32"/>
      <c r="T7432" s="31"/>
      <c r="U7432" s="31"/>
      <c r="V7432" s="32"/>
    </row>
    <row r="7433">
      <c r="A7433" s="32"/>
      <c r="T7433" s="31"/>
      <c r="U7433" s="31"/>
      <c r="V7433" s="32"/>
    </row>
    <row r="7434">
      <c r="A7434" s="32"/>
      <c r="T7434" s="31"/>
      <c r="U7434" s="31"/>
      <c r="V7434" s="32"/>
    </row>
    <row r="7435">
      <c r="A7435" s="32"/>
      <c r="T7435" s="31"/>
      <c r="U7435" s="31"/>
      <c r="V7435" s="32"/>
    </row>
    <row r="7436">
      <c r="A7436" s="32"/>
      <c r="T7436" s="31"/>
      <c r="U7436" s="31"/>
      <c r="V7436" s="32"/>
    </row>
    <row r="7437">
      <c r="A7437" s="32"/>
      <c r="T7437" s="31"/>
      <c r="U7437" s="31"/>
      <c r="V7437" s="32"/>
    </row>
    <row r="7438">
      <c r="A7438" s="32"/>
      <c r="T7438" s="31"/>
      <c r="U7438" s="31"/>
      <c r="V7438" s="32"/>
    </row>
    <row r="7439">
      <c r="A7439" s="32"/>
      <c r="T7439" s="31"/>
      <c r="U7439" s="31"/>
      <c r="V7439" s="32"/>
    </row>
    <row r="7440">
      <c r="A7440" s="32"/>
      <c r="T7440" s="31"/>
      <c r="U7440" s="31"/>
      <c r="V7440" s="32"/>
    </row>
    <row r="7441">
      <c r="A7441" s="32"/>
      <c r="T7441" s="31"/>
      <c r="U7441" s="31"/>
      <c r="V7441" s="32"/>
    </row>
    <row r="7442">
      <c r="A7442" s="32"/>
      <c r="T7442" s="31"/>
      <c r="U7442" s="31"/>
      <c r="V7442" s="32"/>
    </row>
    <row r="7443">
      <c r="A7443" s="32"/>
      <c r="T7443" s="31"/>
      <c r="U7443" s="31"/>
      <c r="V7443" s="32"/>
    </row>
    <row r="7444">
      <c r="A7444" s="32"/>
      <c r="T7444" s="31"/>
      <c r="U7444" s="31"/>
      <c r="V7444" s="32"/>
    </row>
    <row r="7445">
      <c r="A7445" s="32"/>
      <c r="T7445" s="31"/>
      <c r="U7445" s="31"/>
      <c r="V7445" s="32"/>
    </row>
    <row r="7446">
      <c r="A7446" s="32"/>
      <c r="T7446" s="31"/>
      <c r="U7446" s="31"/>
      <c r="V7446" s="32"/>
    </row>
    <row r="7447">
      <c r="A7447" s="32"/>
      <c r="T7447" s="31"/>
      <c r="U7447" s="31"/>
      <c r="V7447" s="32"/>
    </row>
    <row r="7448">
      <c r="A7448" s="32"/>
      <c r="T7448" s="31"/>
      <c r="U7448" s="31"/>
      <c r="V7448" s="32"/>
    </row>
    <row r="7449">
      <c r="A7449" s="32"/>
      <c r="T7449" s="31"/>
      <c r="U7449" s="31"/>
      <c r="V7449" s="32"/>
    </row>
    <row r="7450">
      <c r="A7450" s="32"/>
      <c r="T7450" s="31"/>
      <c r="U7450" s="31"/>
      <c r="V7450" s="32"/>
    </row>
    <row r="7451">
      <c r="A7451" s="32"/>
      <c r="T7451" s="31"/>
      <c r="U7451" s="31"/>
      <c r="V7451" s="32"/>
    </row>
    <row r="7452">
      <c r="A7452" s="32"/>
      <c r="T7452" s="31"/>
      <c r="U7452" s="31"/>
      <c r="V7452" s="32"/>
    </row>
    <row r="7453">
      <c r="A7453" s="32"/>
      <c r="T7453" s="31"/>
      <c r="U7453" s="31"/>
      <c r="V7453" s="32"/>
    </row>
    <row r="7454">
      <c r="A7454" s="32"/>
      <c r="T7454" s="31"/>
      <c r="U7454" s="31"/>
      <c r="V7454" s="32"/>
    </row>
    <row r="7455">
      <c r="A7455" s="32"/>
      <c r="T7455" s="31"/>
      <c r="U7455" s="31"/>
      <c r="V7455" s="32"/>
    </row>
    <row r="7456">
      <c r="A7456" s="32"/>
      <c r="T7456" s="31"/>
      <c r="U7456" s="31"/>
      <c r="V7456" s="32"/>
    </row>
    <row r="7457">
      <c r="A7457" s="32"/>
      <c r="T7457" s="31"/>
      <c r="U7457" s="31"/>
      <c r="V7457" s="32"/>
    </row>
    <row r="7458">
      <c r="A7458" s="32"/>
      <c r="T7458" s="31"/>
      <c r="U7458" s="31"/>
      <c r="V7458" s="32"/>
    </row>
    <row r="7459">
      <c r="A7459" s="32"/>
      <c r="T7459" s="31"/>
      <c r="U7459" s="31"/>
      <c r="V7459" s="32"/>
    </row>
    <row r="7460">
      <c r="A7460" s="32"/>
      <c r="T7460" s="31"/>
      <c r="U7460" s="31"/>
      <c r="V7460" s="32"/>
    </row>
    <row r="7461">
      <c r="A7461" s="32"/>
      <c r="T7461" s="31"/>
      <c r="U7461" s="31"/>
      <c r="V7461" s="32"/>
    </row>
    <row r="7462">
      <c r="A7462" s="32"/>
      <c r="T7462" s="31"/>
      <c r="U7462" s="31"/>
      <c r="V7462" s="32"/>
    </row>
    <row r="7463">
      <c r="A7463" s="32"/>
      <c r="T7463" s="31"/>
      <c r="U7463" s="31"/>
      <c r="V7463" s="32"/>
    </row>
    <row r="7464">
      <c r="A7464" s="32"/>
      <c r="T7464" s="31"/>
      <c r="U7464" s="31"/>
      <c r="V7464" s="32"/>
    </row>
    <row r="7465">
      <c r="A7465" s="32"/>
      <c r="T7465" s="31"/>
      <c r="U7465" s="31"/>
      <c r="V7465" s="32"/>
    </row>
    <row r="7466">
      <c r="A7466" s="32"/>
      <c r="T7466" s="31"/>
      <c r="U7466" s="31"/>
      <c r="V7466" s="32"/>
    </row>
    <row r="7467">
      <c r="A7467" s="32"/>
      <c r="T7467" s="31"/>
      <c r="U7467" s="31"/>
      <c r="V7467" s="32"/>
    </row>
    <row r="7468">
      <c r="A7468" s="32"/>
      <c r="T7468" s="31"/>
      <c r="U7468" s="31"/>
      <c r="V7468" s="32"/>
    </row>
    <row r="7469">
      <c r="A7469" s="32"/>
      <c r="T7469" s="31"/>
      <c r="U7469" s="31"/>
      <c r="V7469" s="32"/>
    </row>
    <row r="7470">
      <c r="A7470" s="32"/>
      <c r="T7470" s="31"/>
      <c r="U7470" s="31"/>
      <c r="V7470" s="32"/>
    </row>
    <row r="7471">
      <c r="A7471" s="32"/>
      <c r="T7471" s="31"/>
      <c r="U7471" s="31"/>
      <c r="V7471" s="32"/>
    </row>
    <row r="7472">
      <c r="A7472" s="32"/>
      <c r="T7472" s="31"/>
      <c r="U7472" s="31"/>
      <c r="V7472" s="32"/>
    </row>
    <row r="7473">
      <c r="A7473" s="32"/>
      <c r="T7473" s="31"/>
      <c r="U7473" s="31"/>
      <c r="V7473" s="32"/>
    </row>
    <row r="7474">
      <c r="A7474" s="32"/>
      <c r="T7474" s="31"/>
      <c r="U7474" s="31"/>
      <c r="V7474" s="32"/>
    </row>
    <row r="7475">
      <c r="A7475" s="32"/>
      <c r="T7475" s="31"/>
      <c r="U7475" s="31"/>
      <c r="V7475" s="32"/>
    </row>
    <row r="7476">
      <c r="A7476" s="32"/>
      <c r="T7476" s="31"/>
      <c r="U7476" s="31"/>
      <c r="V7476" s="32"/>
    </row>
    <row r="7477">
      <c r="A7477" s="32"/>
      <c r="T7477" s="31"/>
      <c r="U7477" s="31"/>
      <c r="V7477" s="32"/>
    </row>
    <row r="7478">
      <c r="A7478" s="32"/>
      <c r="T7478" s="31"/>
      <c r="U7478" s="31"/>
      <c r="V7478" s="32"/>
    </row>
    <row r="7479">
      <c r="A7479" s="32"/>
      <c r="T7479" s="31"/>
      <c r="U7479" s="31"/>
      <c r="V7479" s="32"/>
    </row>
    <row r="7480">
      <c r="A7480" s="32"/>
      <c r="T7480" s="31"/>
      <c r="U7480" s="31"/>
      <c r="V7480" s="32"/>
    </row>
    <row r="7481">
      <c r="A7481" s="32"/>
      <c r="T7481" s="31"/>
      <c r="U7481" s="31"/>
      <c r="V7481" s="32"/>
    </row>
    <row r="7482">
      <c r="A7482" s="32"/>
      <c r="T7482" s="31"/>
      <c r="U7482" s="31"/>
      <c r="V7482" s="32"/>
    </row>
    <row r="7483">
      <c r="A7483" s="32"/>
      <c r="T7483" s="31"/>
      <c r="U7483" s="31"/>
      <c r="V7483" s="32"/>
    </row>
    <row r="7484">
      <c r="A7484" s="32"/>
      <c r="T7484" s="31"/>
      <c r="U7484" s="31"/>
      <c r="V7484" s="32"/>
    </row>
    <row r="7485">
      <c r="A7485" s="32"/>
      <c r="T7485" s="31"/>
      <c r="U7485" s="31"/>
      <c r="V7485" s="32"/>
    </row>
    <row r="7486">
      <c r="A7486" s="32"/>
      <c r="T7486" s="31"/>
      <c r="U7486" s="31"/>
      <c r="V7486" s="32"/>
    </row>
    <row r="7487">
      <c r="A7487" s="32"/>
      <c r="T7487" s="31"/>
      <c r="U7487" s="31"/>
      <c r="V7487" s="32"/>
    </row>
    <row r="7488">
      <c r="A7488" s="32"/>
      <c r="T7488" s="31"/>
      <c r="U7488" s="31"/>
      <c r="V7488" s="32"/>
    </row>
    <row r="7489">
      <c r="A7489" s="32"/>
      <c r="T7489" s="31"/>
      <c r="U7489" s="31"/>
      <c r="V7489" s="32"/>
    </row>
    <row r="7490">
      <c r="A7490" s="32"/>
      <c r="T7490" s="31"/>
      <c r="U7490" s="31"/>
      <c r="V7490" s="32"/>
    </row>
    <row r="7491">
      <c r="A7491" s="32"/>
      <c r="T7491" s="31"/>
      <c r="U7491" s="31"/>
      <c r="V7491" s="32"/>
    </row>
    <row r="7492">
      <c r="A7492" s="32"/>
      <c r="T7492" s="31"/>
      <c r="U7492" s="31"/>
      <c r="V7492" s="32"/>
    </row>
    <row r="7493">
      <c r="A7493" s="32"/>
      <c r="T7493" s="31"/>
      <c r="U7493" s="31"/>
      <c r="V7493" s="32"/>
    </row>
    <row r="7494">
      <c r="A7494" s="32"/>
      <c r="T7494" s="31"/>
      <c r="U7494" s="31"/>
      <c r="V7494" s="32"/>
    </row>
    <row r="7495">
      <c r="A7495" s="32"/>
      <c r="T7495" s="31"/>
      <c r="U7495" s="31"/>
      <c r="V7495" s="32"/>
    </row>
    <row r="7496">
      <c r="A7496" s="32"/>
      <c r="T7496" s="31"/>
      <c r="U7496" s="31"/>
      <c r="V7496" s="32"/>
    </row>
    <row r="7497">
      <c r="A7497" s="32"/>
      <c r="T7497" s="31"/>
      <c r="U7497" s="31"/>
      <c r="V7497" s="32"/>
    </row>
    <row r="7498">
      <c r="A7498" s="32"/>
      <c r="T7498" s="31"/>
      <c r="U7498" s="31"/>
      <c r="V7498" s="32"/>
    </row>
    <row r="7499">
      <c r="A7499" s="32"/>
      <c r="T7499" s="31"/>
      <c r="U7499" s="31"/>
      <c r="V7499" s="32"/>
    </row>
    <row r="7500">
      <c r="A7500" s="32"/>
      <c r="T7500" s="31"/>
      <c r="U7500" s="31"/>
      <c r="V7500" s="32"/>
    </row>
    <row r="7501">
      <c r="A7501" s="32"/>
      <c r="T7501" s="31"/>
      <c r="U7501" s="31"/>
      <c r="V7501" s="32"/>
    </row>
    <row r="7502">
      <c r="A7502" s="32"/>
      <c r="T7502" s="31"/>
      <c r="U7502" s="31"/>
      <c r="V7502" s="32"/>
    </row>
    <row r="7503">
      <c r="A7503" s="32"/>
      <c r="T7503" s="31"/>
      <c r="U7503" s="31"/>
      <c r="V7503" s="32"/>
    </row>
    <row r="7504">
      <c r="A7504" s="32"/>
      <c r="T7504" s="31"/>
      <c r="U7504" s="31"/>
      <c r="V7504" s="32"/>
    </row>
    <row r="7505">
      <c r="A7505" s="32"/>
      <c r="T7505" s="31"/>
      <c r="U7505" s="31"/>
      <c r="V7505" s="32"/>
    </row>
    <row r="7506">
      <c r="A7506" s="32"/>
      <c r="T7506" s="31"/>
      <c r="U7506" s="31"/>
      <c r="V7506" s="32"/>
    </row>
    <row r="7507">
      <c r="A7507" s="32"/>
      <c r="T7507" s="31"/>
      <c r="U7507" s="31"/>
      <c r="V7507" s="32"/>
    </row>
    <row r="7508">
      <c r="A7508" s="32"/>
      <c r="T7508" s="31"/>
      <c r="U7508" s="31"/>
      <c r="V7508" s="32"/>
    </row>
    <row r="7509">
      <c r="A7509" s="32"/>
      <c r="T7509" s="31"/>
      <c r="U7509" s="31"/>
      <c r="V7509" s="32"/>
    </row>
    <row r="7510">
      <c r="A7510" s="32"/>
      <c r="T7510" s="31"/>
      <c r="U7510" s="31"/>
      <c r="V7510" s="32"/>
    </row>
    <row r="7511">
      <c r="A7511" s="32"/>
      <c r="T7511" s="31"/>
      <c r="U7511" s="31"/>
      <c r="V7511" s="32"/>
    </row>
    <row r="7512">
      <c r="A7512" s="32"/>
      <c r="T7512" s="31"/>
      <c r="U7512" s="31"/>
      <c r="V7512" s="32"/>
    </row>
    <row r="7513">
      <c r="A7513" s="32"/>
      <c r="T7513" s="31"/>
      <c r="U7513" s="31"/>
      <c r="V7513" s="32"/>
    </row>
    <row r="7514">
      <c r="A7514" s="32"/>
      <c r="T7514" s="31"/>
      <c r="U7514" s="31"/>
      <c r="V7514" s="32"/>
    </row>
    <row r="7515">
      <c r="A7515" s="32"/>
      <c r="T7515" s="31"/>
      <c r="U7515" s="31"/>
      <c r="V7515" s="32"/>
    </row>
    <row r="7516">
      <c r="A7516" s="32"/>
      <c r="T7516" s="31"/>
      <c r="U7516" s="31"/>
      <c r="V7516" s="32"/>
    </row>
    <row r="7517">
      <c r="A7517" s="32"/>
      <c r="T7517" s="31"/>
      <c r="U7517" s="31"/>
      <c r="V7517" s="32"/>
    </row>
    <row r="7518">
      <c r="A7518" s="32"/>
      <c r="T7518" s="31"/>
      <c r="U7518" s="31"/>
      <c r="V7518" s="32"/>
    </row>
    <row r="7519">
      <c r="A7519" s="32"/>
      <c r="T7519" s="31"/>
      <c r="U7519" s="31"/>
      <c r="V7519" s="32"/>
    </row>
    <row r="7520">
      <c r="A7520" s="32"/>
      <c r="T7520" s="31"/>
      <c r="U7520" s="31"/>
      <c r="V7520" s="32"/>
    </row>
    <row r="7521">
      <c r="A7521" s="32"/>
      <c r="T7521" s="31"/>
      <c r="U7521" s="31"/>
      <c r="V7521" s="32"/>
    </row>
    <row r="7522">
      <c r="A7522" s="32"/>
      <c r="T7522" s="31"/>
      <c r="U7522" s="31"/>
      <c r="V7522" s="32"/>
    </row>
    <row r="7523">
      <c r="A7523" s="32"/>
      <c r="T7523" s="31"/>
      <c r="U7523" s="31"/>
      <c r="V7523" s="32"/>
    </row>
    <row r="7524">
      <c r="A7524" s="32"/>
      <c r="T7524" s="31"/>
      <c r="U7524" s="31"/>
      <c r="V7524" s="32"/>
    </row>
    <row r="7525">
      <c r="A7525" s="32"/>
      <c r="T7525" s="31"/>
      <c r="U7525" s="31"/>
      <c r="V7525" s="32"/>
    </row>
    <row r="7526">
      <c r="A7526" s="32"/>
      <c r="T7526" s="31"/>
      <c r="U7526" s="31"/>
      <c r="V7526" s="32"/>
    </row>
    <row r="7527">
      <c r="A7527" s="32"/>
      <c r="T7527" s="31"/>
      <c r="U7527" s="31"/>
      <c r="V7527" s="32"/>
    </row>
    <row r="7528">
      <c r="A7528" s="32"/>
      <c r="T7528" s="31"/>
      <c r="U7528" s="31"/>
      <c r="V7528" s="32"/>
    </row>
    <row r="7529">
      <c r="A7529" s="32"/>
      <c r="T7529" s="31"/>
      <c r="U7529" s="31"/>
      <c r="V7529" s="32"/>
    </row>
    <row r="7530">
      <c r="A7530" s="32"/>
      <c r="T7530" s="31"/>
      <c r="U7530" s="31"/>
      <c r="V7530" s="32"/>
    </row>
    <row r="7531">
      <c r="A7531" s="32"/>
      <c r="T7531" s="31"/>
      <c r="U7531" s="31"/>
      <c r="V7531" s="32"/>
    </row>
    <row r="7532">
      <c r="A7532" s="32"/>
      <c r="T7532" s="31"/>
      <c r="U7532" s="31"/>
      <c r="V7532" s="32"/>
    </row>
    <row r="7533">
      <c r="A7533" s="32"/>
      <c r="T7533" s="31"/>
      <c r="U7533" s="31"/>
      <c r="V7533" s="32"/>
    </row>
    <row r="7534">
      <c r="A7534" s="32"/>
      <c r="T7534" s="31"/>
      <c r="U7534" s="31"/>
      <c r="V7534" s="32"/>
    </row>
    <row r="7535">
      <c r="A7535" s="32"/>
      <c r="T7535" s="31"/>
      <c r="U7535" s="31"/>
      <c r="V7535" s="32"/>
    </row>
    <row r="7536">
      <c r="A7536" s="32"/>
      <c r="T7536" s="31"/>
      <c r="U7536" s="31"/>
      <c r="V7536" s="32"/>
    </row>
    <row r="7537">
      <c r="A7537" s="32"/>
      <c r="T7537" s="31"/>
      <c r="U7537" s="31"/>
      <c r="V7537" s="32"/>
    </row>
    <row r="7538">
      <c r="A7538" s="32"/>
      <c r="T7538" s="31"/>
      <c r="U7538" s="31"/>
      <c r="V7538" s="32"/>
    </row>
    <row r="7539">
      <c r="A7539" s="32"/>
      <c r="T7539" s="31"/>
      <c r="U7539" s="31"/>
      <c r="V7539" s="32"/>
    </row>
    <row r="7540">
      <c r="A7540" s="32"/>
      <c r="T7540" s="31"/>
      <c r="U7540" s="31"/>
      <c r="V7540" s="32"/>
    </row>
    <row r="7541">
      <c r="A7541" s="32"/>
      <c r="T7541" s="31"/>
      <c r="U7541" s="31"/>
      <c r="V7541" s="32"/>
    </row>
    <row r="7542">
      <c r="A7542" s="32"/>
      <c r="T7542" s="31"/>
      <c r="U7542" s="31"/>
      <c r="V7542" s="32"/>
    </row>
    <row r="7543">
      <c r="A7543" s="32"/>
      <c r="T7543" s="31"/>
      <c r="U7543" s="31"/>
      <c r="V7543" s="32"/>
    </row>
    <row r="7544">
      <c r="A7544" s="32"/>
      <c r="T7544" s="31"/>
      <c r="U7544" s="31"/>
      <c r="V7544" s="32"/>
    </row>
    <row r="7545">
      <c r="A7545" s="32"/>
      <c r="T7545" s="31"/>
      <c r="U7545" s="31"/>
      <c r="V7545" s="32"/>
    </row>
    <row r="7546">
      <c r="A7546" s="32"/>
      <c r="T7546" s="31"/>
      <c r="U7546" s="31"/>
      <c r="V7546" s="32"/>
    </row>
    <row r="7547">
      <c r="A7547" s="32"/>
      <c r="T7547" s="31"/>
      <c r="U7547" s="31"/>
      <c r="V7547" s="32"/>
    </row>
    <row r="7548">
      <c r="A7548" s="32"/>
      <c r="T7548" s="31"/>
      <c r="U7548" s="31"/>
      <c r="V7548" s="32"/>
    </row>
    <row r="7549">
      <c r="A7549" s="32"/>
      <c r="T7549" s="31"/>
      <c r="U7549" s="31"/>
      <c r="V7549" s="32"/>
    </row>
    <row r="7550">
      <c r="A7550" s="32"/>
      <c r="T7550" s="31"/>
      <c r="U7550" s="31"/>
      <c r="V7550" s="32"/>
    </row>
    <row r="7551">
      <c r="A7551" s="32"/>
      <c r="T7551" s="31"/>
      <c r="U7551" s="31"/>
      <c r="V7551" s="32"/>
    </row>
    <row r="7552">
      <c r="A7552" s="32"/>
      <c r="T7552" s="31"/>
      <c r="U7552" s="31"/>
      <c r="V7552" s="32"/>
    </row>
    <row r="7553">
      <c r="A7553" s="32"/>
      <c r="T7553" s="31"/>
      <c r="U7553" s="31"/>
      <c r="V7553" s="32"/>
    </row>
    <row r="7554">
      <c r="A7554" s="32"/>
      <c r="T7554" s="31"/>
      <c r="U7554" s="31"/>
      <c r="V7554" s="32"/>
    </row>
    <row r="7555">
      <c r="A7555" s="32"/>
      <c r="T7555" s="31"/>
      <c r="U7555" s="31"/>
      <c r="V7555" s="32"/>
    </row>
    <row r="7556">
      <c r="A7556" s="32"/>
      <c r="T7556" s="31"/>
      <c r="U7556" s="31"/>
      <c r="V7556" s="32"/>
    </row>
    <row r="7557">
      <c r="A7557" s="32"/>
      <c r="T7557" s="31"/>
      <c r="U7557" s="31"/>
      <c r="V7557" s="32"/>
    </row>
    <row r="7558">
      <c r="A7558" s="32"/>
      <c r="T7558" s="31"/>
      <c r="U7558" s="31"/>
      <c r="V7558" s="32"/>
    </row>
    <row r="7559">
      <c r="A7559" s="32"/>
      <c r="T7559" s="31"/>
      <c r="U7559" s="31"/>
      <c r="V7559" s="32"/>
    </row>
    <row r="7560">
      <c r="A7560" s="32"/>
      <c r="T7560" s="31"/>
      <c r="U7560" s="31"/>
      <c r="V7560" s="32"/>
    </row>
    <row r="7561">
      <c r="A7561" s="32"/>
      <c r="T7561" s="31"/>
      <c r="U7561" s="31"/>
      <c r="V7561" s="32"/>
    </row>
    <row r="7562">
      <c r="A7562" s="32"/>
      <c r="T7562" s="31"/>
      <c r="U7562" s="31"/>
      <c r="V7562" s="32"/>
    </row>
    <row r="7563">
      <c r="A7563" s="32"/>
      <c r="T7563" s="31"/>
      <c r="U7563" s="31"/>
      <c r="V7563" s="32"/>
    </row>
    <row r="7564">
      <c r="A7564" s="32"/>
      <c r="T7564" s="31"/>
      <c r="U7564" s="31"/>
      <c r="V7564" s="32"/>
    </row>
    <row r="7565">
      <c r="A7565" s="32"/>
      <c r="T7565" s="31"/>
      <c r="U7565" s="31"/>
      <c r="V7565" s="32"/>
    </row>
    <row r="7566">
      <c r="A7566" s="32"/>
      <c r="T7566" s="31"/>
      <c r="U7566" s="31"/>
      <c r="V7566" s="32"/>
    </row>
    <row r="7567">
      <c r="A7567" s="32"/>
      <c r="T7567" s="31"/>
      <c r="U7567" s="31"/>
      <c r="V7567" s="32"/>
    </row>
    <row r="7568">
      <c r="A7568" s="32"/>
      <c r="T7568" s="31"/>
      <c r="U7568" s="31"/>
      <c r="V7568" s="32"/>
    </row>
    <row r="7569">
      <c r="A7569" s="32"/>
      <c r="T7569" s="31"/>
      <c r="U7569" s="31"/>
      <c r="V7569" s="32"/>
    </row>
    <row r="7570">
      <c r="A7570" s="32"/>
      <c r="T7570" s="31"/>
      <c r="U7570" s="31"/>
      <c r="V7570" s="32"/>
    </row>
    <row r="7571">
      <c r="A7571" s="32"/>
      <c r="T7571" s="31"/>
      <c r="U7571" s="31"/>
      <c r="V7571" s="32"/>
    </row>
    <row r="7572">
      <c r="A7572" s="32"/>
      <c r="T7572" s="31"/>
      <c r="U7572" s="31"/>
      <c r="V7572" s="32"/>
    </row>
    <row r="7573">
      <c r="A7573" s="32"/>
      <c r="T7573" s="31"/>
      <c r="U7573" s="31"/>
      <c r="V7573" s="32"/>
    </row>
    <row r="7574">
      <c r="A7574" s="32"/>
      <c r="T7574" s="31"/>
      <c r="U7574" s="31"/>
      <c r="V7574" s="32"/>
    </row>
    <row r="7575">
      <c r="A7575" s="32"/>
      <c r="T7575" s="31"/>
      <c r="U7575" s="31"/>
      <c r="V7575" s="32"/>
    </row>
    <row r="7576">
      <c r="A7576" s="32"/>
      <c r="T7576" s="31"/>
      <c r="U7576" s="31"/>
      <c r="V7576" s="32"/>
    </row>
    <row r="7577">
      <c r="A7577" s="32"/>
      <c r="T7577" s="31"/>
      <c r="U7577" s="31"/>
      <c r="V7577" s="32"/>
    </row>
    <row r="7578">
      <c r="A7578" s="32"/>
      <c r="T7578" s="31"/>
      <c r="U7578" s="31"/>
      <c r="V7578" s="32"/>
    </row>
    <row r="7579">
      <c r="A7579" s="32"/>
      <c r="T7579" s="31"/>
      <c r="U7579" s="31"/>
      <c r="V7579" s="32"/>
    </row>
    <row r="7580">
      <c r="A7580" s="32"/>
      <c r="T7580" s="31"/>
      <c r="U7580" s="31"/>
      <c r="V7580" s="32"/>
    </row>
    <row r="7581">
      <c r="A7581" s="32"/>
      <c r="T7581" s="31"/>
      <c r="U7581" s="31"/>
      <c r="V7581" s="32"/>
    </row>
    <row r="7582">
      <c r="A7582" s="32"/>
      <c r="T7582" s="31"/>
      <c r="U7582" s="31"/>
      <c r="V7582" s="32"/>
    </row>
    <row r="7583">
      <c r="A7583" s="32"/>
      <c r="T7583" s="31"/>
      <c r="U7583" s="31"/>
      <c r="V7583" s="32"/>
    </row>
    <row r="7584">
      <c r="A7584" s="32"/>
      <c r="T7584" s="31"/>
      <c r="U7584" s="31"/>
      <c r="V7584" s="32"/>
    </row>
    <row r="7585">
      <c r="A7585" s="32"/>
      <c r="T7585" s="31"/>
      <c r="U7585" s="31"/>
      <c r="V7585" s="32"/>
    </row>
    <row r="7586">
      <c r="A7586" s="32"/>
      <c r="T7586" s="31"/>
      <c r="U7586" s="31"/>
      <c r="V7586" s="32"/>
    </row>
    <row r="7587">
      <c r="A7587" s="32"/>
      <c r="T7587" s="31"/>
      <c r="U7587" s="31"/>
      <c r="V7587" s="32"/>
    </row>
    <row r="7588">
      <c r="A7588" s="32"/>
      <c r="T7588" s="31"/>
      <c r="U7588" s="31"/>
      <c r="V7588" s="32"/>
    </row>
    <row r="7589">
      <c r="A7589" s="32"/>
      <c r="T7589" s="31"/>
      <c r="U7589" s="31"/>
      <c r="V7589" s="32"/>
    </row>
    <row r="7590">
      <c r="A7590" s="32"/>
      <c r="T7590" s="31"/>
      <c r="U7590" s="31"/>
      <c r="V7590" s="32"/>
    </row>
    <row r="7591">
      <c r="A7591" s="32"/>
      <c r="T7591" s="31"/>
      <c r="U7591" s="31"/>
      <c r="V7591" s="32"/>
    </row>
    <row r="7592">
      <c r="A7592" s="32"/>
      <c r="T7592" s="31"/>
      <c r="U7592" s="31"/>
      <c r="V7592" s="32"/>
    </row>
    <row r="7593">
      <c r="A7593" s="32"/>
      <c r="T7593" s="31"/>
      <c r="U7593" s="31"/>
      <c r="V7593" s="32"/>
    </row>
    <row r="7594">
      <c r="A7594" s="32"/>
      <c r="T7594" s="31"/>
      <c r="U7594" s="31"/>
      <c r="V7594" s="32"/>
    </row>
    <row r="7595">
      <c r="A7595" s="32"/>
      <c r="T7595" s="31"/>
      <c r="U7595" s="31"/>
      <c r="V7595" s="32"/>
    </row>
    <row r="7596">
      <c r="A7596" s="32"/>
      <c r="T7596" s="31"/>
      <c r="U7596" s="31"/>
      <c r="V7596" s="32"/>
    </row>
    <row r="7597">
      <c r="A7597" s="32"/>
      <c r="T7597" s="31"/>
      <c r="U7597" s="31"/>
      <c r="V7597" s="32"/>
    </row>
    <row r="7598">
      <c r="A7598" s="32"/>
      <c r="T7598" s="31"/>
      <c r="U7598" s="31"/>
      <c r="V7598" s="32"/>
    </row>
    <row r="7599">
      <c r="A7599" s="32"/>
      <c r="T7599" s="31"/>
      <c r="U7599" s="31"/>
      <c r="V7599" s="32"/>
    </row>
    <row r="7600">
      <c r="A7600" s="32"/>
      <c r="T7600" s="31"/>
      <c r="U7600" s="31"/>
      <c r="V7600" s="32"/>
    </row>
    <row r="7601">
      <c r="A7601" s="32"/>
      <c r="T7601" s="31"/>
      <c r="U7601" s="31"/>
      <c r="V7601" s="32"/>
    </row>
    <row r="7602">
      <c r="A7602" s="32"/>
      <c r="T7602" s="31"/>
      <c r="U7602" s="31"/>
      <c r="V7602" s="32"/>
    </row>
    <row r="7603">
      <c r="A7603" s="32"/>
      <c r="T7603" s="31"/>
      <c r="U7603" s="31"/>
      <c r="V7603" s="32"/>
    </row>
    <row r="7604">
      <c r="A7604" s="32"/>
      <c r="T7604" s="31"/>
      <c r="U7604" s="31"/>
      <c r="V7604" s="32"/>
    </row>
    <row r="7605">
      <c r="A7605" s="32"/>
      <c r="T7605" s="31"/>
      <c r="U7605" s="31"/>
      <c r="V7605" s="32"/>
    </row>
    <row r="7606">
      <c r="A7606" s="32"/>
      <c r="T7606" s="31"/>
      <c r="U7606" s="31"/>
      <c r="V7606" s="32"/>
    </row>
    <row r="7607">
      <c r="A7607" s="32"/>
      <c r="T7607" s="31"/>
      <c r="U7607" s="31"/>
      <c r="V7607" s="32"/>
    </row>
    <row r="7608">
      <c r="A7608" s="32"/>
      <c r="T7608" s="31"/>
      <c r="U7608" s="31"/>
      <c r="V7608" s="32"/>
    </row>
    <row r="7609">
      <c r="A7609" s="32"/>
      <c r="T7609" s="31"/>
      <c r="U7609" s="31"/>
      <c r="V7609" s="32"/>
    </row>
    <row r="7610">
      <c r="A7610" s="32"/>
      <c r="T7610" s="31"/>
      <c r="U7610" s="31"/>
      <c r="V7610" s="32"/>
    </row>
    <row r="7611">
      <c r="A7611" s="32"/>
      <c r="T7611" s="31"/>
      <c r="U7611" s="31"/>
      <c r="V7611" s="32"/>
    </row>
    <row r="7612">
      <c r="A7612" s="32"/>
      <c r="T7612" s="31"/>
      <c r="U7612" s="31"/>
      <c r="V7612" s="32"/>
    </row>
    <row r="7613">
      <c r="A7613" s="32"/>
      <c r="T7613" s="31"/>
      <c r="U7613" s="31"/>
      <c r="V7613" s="32"/>
    </row>
    <row r="7614">
      <c r="A7614" s="32"/>
      <c r="T7614" s="31"/>
      <c r="U7614" s="31"/>
      <c r="V7614" s="32"/>
    </row>
    <row r="7615">
      <c r="A7615" s="32"/>
      <c r="T7615" s="31"/>
      <c r="U7615" s="31"/>
      <c r="V7615" s="32"/>
    </row>
    <row r="7616">
      <c r="A7616" s="32"/>
      <c r="T7616" s="31"/>
      <c r="U7616" s="31"/>
      <c r="V7616" s="32"/>
    </row>
    <row r="7617">
      <c r="A7617" s="32"/>
      <c r="T7617" s="31"/>
      <c r="U7617" s="31"/>
      <c r="V7617" s="32"/>
    </row>
    <row r="7618">
      <c r="A7618" s="32"/>
      <c r="T7618" s="31"/>
      <c r="U7618" s="31"/>
      <c r="V7618" s="32"/>
    </row>
    <row r="7619">
      <c r="A7619" s="32"/>
      <c r="T7619" s="31"/>
      <c r="U7619" s="31"/>
      <c r="V7619" s="32"/>
    </row>
    <row r="7620">
      <c r="A7620" s="32"/>
      <c r="T7620" s="31"/>
      <c r="U7620" s="31"/>
      <c r="V7620" s="32"/>
    </row>
    <row r="7621">
      <c r="A7621" s="32"/>
      <c r="T7621" s="31"/>
      <c r="U7621" s="31"/>
      <c r="V7621" s="32"/>
    </row>
    <row r="7622">
      <c r="A7622" s="32"/>
      <c r="T7622" s="31"/>
      <c r="U7622" s="31"/>
      <c r="V7622" s="32"/>
    </row>
    <row r="7623">
      <c r="A7623" s="32"/>
      <c r="T7623" s="31"/>
      <c r="U7623" s="31"/>
      <c r="V7623" s="32"/>
    </row>
    <row r="7624">
      <c r="A7624" s="32"/>
      <c r="T7624" s="31"/>
      <c r="U7624" s="31"/>
      <c r="V7624" s="32"/>
    </row>
    <row r="7625">
      <c r="A7625" s="32"/>
      <c r="T7625" s="31"/>
      <c r="U7625" s="31"/>
      <c r="V7625" s="32"/>
    </row>
    <row r="7626">
      <c r="A7626" s="32"/>
      <c r="T7626" s="31"/>
      <c r="U7626" s="31"/>
      <c r="V7626" s="32"/>
    </row>
    <row r="7627">
      <c r="A7627" s="32"/>
      <c r="T7627" s="31"/>
      <c r="U7627" s="31"/>
      <c r="V7627" s="32"/>
    </row>
    <row r="7628">
      <c r="A7628" s="32"/>
      <c r="T7628" s="31"/>
      <c r="U7628" s="31"/>
      <c r="V7628" s="32"/>
    </row>
    <row r="7629">
      <c r="A7629" s="32"/>
      <c r="T7629" s="31"/>
      <c r="U7629" s="31"/>
      <c r="V7629" s="32"/>
    </row>
    <row r="7630">
      <c r="A7630" s="32"/>
      <c r="T7630" s="31"/>
      <c r="U7630" s="31"/>
      <c r="V7630" s="32"/>
    </row>
    <row r="7631">
      <c r="A7631" s="32"/>
      <c r="T7631" s="31"/>
      <c r="U7631" s="31"/>
      <c r="V7631" s="32"/>
    </row>
    <row r="7632">
      <c r="A7632" s="32"/>
      <c r="T7632" s="31"/>
      <c r="U7632" s="31"/>
      <c r="V7632" s="32"/>
    </row>
    <row r="7633">
      <c r="A7633" s="32"/>
      <c r="T7633" s="31"/>
      <c r="U7633" s="31"/>
      <c r="V7633" s="32"/>
    </row>
    <row r="7634">
      <c r="A7634" s="32"/>
      <c r="T7634" s="31"/>
      <c r="U7634" s="31"/>
      <c r="V7634" s="32"/>
    </row>
    <row r="7635">
      <c r="A7635" s="32"/>
      <c r="T7635" s="31"/>
      <c r="U7635" s="31"/>
      <c r="V7635" s="32"/>
    </row>
    <row r="7636">
      <c r="A7636" s="32"/>
      <c r="T7636" s="31"/>
      <c r="U7636" s="31"/>
      <c r="V7636" s="32"/>
    </row>
    <row r="7637">
      <c r="A7637" s="32"/>
      <c r="T7637" s="31"/>
      <c r="U7637" s="31"/>
      <c r="V7637" s="32"/>
    </row>
    <row r="7638">
      <c r="A7638" s="32"/>
      <c r="T7638" s="31"/>
      <c r="U7638" s="31"/>
      <c r="V7638" s="32"/>
    </row>
    <row r="7639">
      <c r="A7639" s="32"/>
      <c r="T7639" s="31"/>
      <c r="U7639" s="31"/>
      <c r="V7639" s="32"/>
    </row>
    <row r="7640">
      <c r="A7640" s="32"/>
      <c r="T7640" s="31"/>
      <c r="U7640" s="31"/>
      <c r="V7640" s="32"/>
    </row>
    <row r="7641">
      <c r="A7641" s="32"/>
      <c r="T7641" s="31"/>
      <c r="U7641" s="31"/>
      <c r="V7641" s="32"/>
    </row>
    <row r="7642">
      <c r="A7642" s="32"/>
      <c r="T7642" s="31"/>
      <c r="U7642" s="31"/>
      <c r="V7642" s="32"/>
    </row>
    <row r="7643">
      <c r="A7643" s="32"/>
      <c r="T7643" s="31"/>
      <c r="U7643" s="31"/>
      <c r="V7643" s="32"/>
    </row>
    <row r="7644">
      <c r="A7644" s="32"/>
      <c r="T7644" s="31"/>
      <c r="U7644" s="31"/>
      <c r="V7644" s="32"/>
    </row>
    <row r="7645">
      <c r="A7645" s="32"/>
      <c r="T7645" s="31"/>
      <c r="U7645" s="31"/>
      <c r="V7645" s="32"/>
    </row>
    <row r="7646">
      <c r="A7646" s="32"/>
      <c r="T7646" s="31"/>
      <c r="U7646" s="31"/>
      <c r="V7646" s="32"/>
    </row>
    <row r="7647">
      <c r="A7647" s="32"/>
      <c r="T7647" s="31"/>
      <c r="U7647" s="31"/>
      <c r="V7647" s="32"/>
    </row>
    <row r="7648">
      <c r="A7648" s="32"/>
      <c r="T7648" s="31"/>
      <c r="U7648" s="31"/>
      <c r="V7648" s="32"/>
    </row>
    <row r="7649">
      <c r="A7649" s="32"/>
      <c r="T7649" s="31"/>
      <c r="U7649" s="31"/>
      <c r="V7649" s="32"/>
    </row>
    <row r="7650">
      <c r="A7650" s="32"/>
      <c r="T7650" s="31"/>
      <c r="U7650" s="31"/>
      <c r="V7650" s="32"/>
    </row>
    <row r="7651">
      <c r="A7651" s="32"/>
      <c r="T7651" s="31"/>
      <c r="U7651" s="31"/>
      <c r="V7651" s="32"/>
    </row>
    <row r="7652">
      <c r="A7652" s="32"/>
      <c r="T7652" s="31"/>
      <c r="U7652" s="31"/>
      <c r="V7652" s="32"/>
    </row>
    <row r="7653">
      <c r="A7653" s="32"/>
      <c r="T7653" s="31"/>
      <c r="U7653" s="31"/>
      <c r="V7653" s="32"/>
    </row>
    <row r="7654">
      <c r="A7654" s="32"/>
      <c r="T7654" s="31"/>
      <c r="U7654" s="31"/>
      <c r="V7654" s="32"/>
    </row>
    <row r="7655">
      <c r="A7655" s="32"/>
      <c r="T7655" s="31"/>
      <c r="U7655" s="31"/>
      <c r="V7655" s="32"/>
    </row>
    <row r="7656">
      <c r="A7656" s="32"/>
      <c r="T7656" s="31"/>
      <c r="U7656" s="31"/>
      <c r="V7656" s="32"/>
    </row>
    <row r="7657">
      <c r="A7657" s="32"/>
      <c r="T7657" s="31"/>
      <c r="U7657" s="31"/>
      <c r="V7657" s="32"/>
    </row>
    <row r="7658">
      <c r="A7658" s="32"/>
      <c r="T7658" s="31"/>
      <c r="U7658" s="31"/>
      <c r="V7658" s="32"/>
    </row>
    <row r="7659">
      <c r="A7659" s="32"/>
      <c r="T7659" s="31"/>
      <c r="U7659" s="31"/>
      <c r="V7659" s="32"/>
    </row>
    <row r="7660">
      <c r="A7660" s="32"/>
      <c r="T7660" s="31"/>
      <c r="U7660" s="31"/>
      <c r="V7660" s="32"/>
    </row>
    <row r="7661">
      <c r="A7661" s="32"/>
      <c r="T7661" s="31"/>
      <c r="U7661" s="31"/>
      <c r="V7661" s="32"/>
    </row>
    <row r="7662">
      <c r="A7662" s="32"/>
      <c r="T7662" s="31"/>
      <c r="U7662" s="31"/>
      <c r="V7662" s="32"/>
    </row>
    <row r="7663">
      <c r="A7663" s="32"/>
      <c r="T7663" s="31"/>
      <c r="U7663" s="31"/>
      <c r="V7663" s="32"/>
    </row>
    <row r="7664">
      <c r="A7664" s="32"/>
      <c r="T7664" s="31"/>
      <c r="U7664" s="31"/>
      <c r="V7664" s="32"/>
    </row>
    <row r="7665">
      <c r="A7665" s="32"/>
      <c r="T7665" s="31"/>
      <c r="U7665" s="31"/>
      <c r="V7665" s="32"/>
    </row>
    <row r="7666">
      <c r="A7666" s="32"/>
      <c r="T7666" s="31"/>
      <c r="U7666" s="31"/>
      <c r="V7666" s="32"/>
    </row>
    <row r="7667">
      <c r="A7667" s="32"/>
      <c r="T7667" s="31"/>
      <c r="U7667" s="31"/>
      <c r="V7667" s="32"/>
    </row>
    <row r="7668">
      <c r="A7668" s="32"/>
      <c r="T7668" s="31"/>
      <c r="U7668" s="31"/>
      <c r="V7668" s="32"/>
    </row>
    <row r="7669">
      <c r="A7669" s="32"/>
      <c r="T7669" s="31"/>
      <c r="U7669" s="31"/>
      <c r="V7669" s="32"/>
    </row>
    <row r="7670">
      <c r="A7670" s="32"/>
      <c r="T7670" s="31"/>
      <c r="U7670" s="31"/>
      <c r="V7670" s="32"/>
    </row>
    <row r="7671">
      <c r="A7671" s="32"/>
      <c r="T7671" s="31"/>
      <c r="U7671" s="31"/>
      <c r="V7671" s="32"/>
    </row>
    <row r="7672">
      <c r="A7672" s="32"/>
      <c r="T7672" s="31"/>
      <c r="U7672" s="31"/>
      <c r="V7672" s="32"/>
    </row>
    <row r="7673">
      <c r="A7673" s="32"/>
      <c r="T7673" s="31"/>
      <c r="U7673" s="31"/>
      <c r="V7673" s="32"/>
    </row>
    <row r="7674">
      <c r="A7674" s="32"/>
      <c r="T7674" s="31"/>
      <c r="U7674" s="31"/>
      <c r="V7674" s="32"/>
    </row>
    <row r="7675">
      <c r="A7675" s="32"/>
      <c r="T7675" s="31"/>
      <c r="U7675" s="31"/>
      <c r="V7675" s="32"/>
    </row>
    <row r="7676">
      <c r="A7676" s="32"/>
      <c r="T7676" s="31"/>
      <c r="U7676" s="31"/>
      <c r="V7676" s="32"/>
    </row>
    <row r="7677">
      <c r="A7677" s="32"/>
      <c r="T7677" s="31"/>
      <c r="U7677" s="31"/>
      <c r="V7677" s="32"/>
    </row>
    <row r="7678">
      <c r="A7678" s="32"/>
      <c r="T7678" s="31"/>
      <c r="U7678" s="31"/>
      <c r="V7678" s="32"/>
    </row>
    <row r="7679">
      <c r="A7679" s="32"/>
      <c r="T7679" s="31"/>
      <c r="U7679" s="31"/>
      <c r="V7679" s="32"/>
    </row>
    <row r="7680">
      <c r="A7680" s="32"/>
      <c r="T7680" s="31"/>
      <c r="U7680" s="31"/>
      <c r="V7680" s="32"/>
    </row>
    <row r="7681">
      <c r="A7681" s="32"/>
      <c r="T7681" s="31"/>
      <c r="U7681" s="31"/>
      <c r="V7681" s="32"/>
    </row>
    <row r="7682">
      <c r="A7682" s="32"/>
      <c r="T7682" s="31"/>
      <c r="U7682" s="31"/>
      <c r="V7682" s="32"/>
    </row>
    <row r="7683">
      <c r="A7683" s="32"/>
      <c r="T7683" s="31"/>
      <c r="U7683" s="31"/>
      <c r="V7683" s="32"/>
    </row>
    <row r="7684">
      <c r="A7684" s="32"/>
      <c r="T7684" s="31"/>
      <c r="U7684" s="31"/>
      <c r="V7684" s="32"/>
    </row>
    <row r="7685">
      <c r="A7685" s="32"/>
      <c r="T7685" s="31"/>
      <c r="U7685" s="31"/>
      <c r="V7685" s="32"/>
    </row>
    <row r="7686">
      <c r="A7686" s="32"/>
      <c r="T7686" s="31"/>
      <c r="U7686" s="31"/>
      <c r="V7686" s="32"/>
    </row>
    <row r="7687">
      <c r="A7687" s="32"/>
      <c r="T7687" s="31"/>
      <c r="U7687" s="31"/>
      <c r="V7687" s="32"/>
    </row>
    <row r="7688">
      <c r="A7688" s="32"/>
      <c r="T7688" s="31"/>
      <c r="U7688" s="31"/>
      <c r="V7688" s="32"/>
    </row>
    <row r="7689">
      <c r="A7689" s="32"/>
      <c r="T7689" s="31"/>
      <c r="U7689" s="31"/>
      <c r="V7689" s="32"/>
    </row>
    <row r="7690">
      <c r="A7690" s="32"/>
      <c r="T7690" s="31"/>
      <c r="U7690" s="31"/>
      <c r="V7690" s="32"/>
    </row>
    <row r="7691">
      <c r="A7691" s="32"/>
      <c r="T7691" s="31"/>
      <c r="U7691" s="31"/>
      <c r="V7691" s="32"/>
    </row>
    <row r="7692">
      <c r="A7692" s="32"/>
      <c r="T7692" s="31"/>
      <c r="U7692" s="31"/>
      <c r="V7692" s="32"/>
    </row>
    <row r="7693">
      <c r="A7693" s="32"/>
      <c r="T7693" s="31"/>
      <c r="U7693" s="31"/>
      <c r="V7693" s="32"/>
    </row>
    <row r="7694">
      <c r="A7694" s="32"/>
      <c r="T7694" s="31"/>
      <c r="U7694" s="31"/>
      <c r="V7694" s="32"/>
    </row>
    <row r="7695">
      <c r="A7695" s="32"/>
      <c r="T7695" s="31"/>
      <c r="U7695" s="31"/>
      <c r="V7695" s="32"/>
    </row>
    <row r="7696">
      <c r="A7696" s="32"/>
      <c r="T7696" s="31"/>
      <c r="U7696" s="31"/>
      <c r="V7696" s="32"/>
    </row>
    <row r="7697">
      <c r="A7697" s="32"/>
      <c r="T7697" s="31"/>
      <c r="U7697" s="31"/>
      <c r="V7697" s="32"/>
    </row>
    <row r="7698">
      <c r="A7698" s="32"/>
      <c r="T7698" s="31"/>
      <c r="U7698" s="31"/>
      <c r="V7698" s="32"/>
    </row>
    <row r="7699">
      <c r="A7699" s="32"/>
      <c r="T7699" s="31"/>
      <c r="U7699" s="31"/>
      <c r="V7699" s="32"/>
    </row>
    <row r="7700">
      <c r="A7700" s="32"/>
      <c r="T7700" s="31"/>
      <c r="U7700" s="31"/>
      <c r="V7700" s="32"/>
    </row>
    <row r="7701">
      <c r="A7701" s="32"/>
      <c r="T7701" s="31"/>
      <c r="U7701" s="31"/>
      <c r="V7701" s="32"/>
    </row>
    <row r="7702">
      <c r="A7702" s="32"/>
      <c r="T7702" s="31"/>
      <c r="U7702" s="31"/>
      <c r="V7702" s="32"/>
    </row>
    <row r="7703">
      <c r="A7703" s="32"/>
      <c r="T7703" s="31"/>
      <c r="U7703" s="31"/>
      <c r="V7703" s="32"/>
    </row>
    <row r="7704">
      <c r="A7704" s="32"/>
      <c r="T7704" s="31"/>
      <c r="U7704" s="31"/>
      <c r="V7704" s="32"/>
    </row>
    <row r="7705">
      <c r="A7705" s="32"/>
      <c r="T7705" s="31"/>
      <c r="U7705" s="31"/>
      <c r="V7705" s="32"/>
    </row>
    <row r="7706">
      <c r="A7706" s="32"/>
      <c r="T7706" s="31"/>
      <c r="U7706" s="31"/>
      <c r="V7706" s="32"/>
    </row>
    <row r="7707">
      <c r="A7707" s="32"/>
      <c r="T7707" s="31"/>
      <c r="U7707" s="31"/>
      <c r="V7707" s="32"/>
    </row>
    <row r="7708">
      <c r="A7708" s="32"/>
      <c r="T7708" s="31"/>
      <c r="U7708" s="31"/>
      <c r="V7708" s="32"/>
    </row>
    <row r="7709">
      <c r="A7709" s="32"/>
      <c r="T7709" s="31"/>
      <c r="U7709" s="31"/>
      <c r="V7709" s="32"/>
    </row>
    <row r="7710">
      <c r="A7710" s="32"/>
      <c r="T7710" s="31"/>
      <c r="U7710" s="31"/>
      <c r="V7710" s="32"/>
    </row>
    <row r="7711">
      <c r="A7711" s="32"/>
      <c r="T7711" s="31"/>
      <c r="U7711" s="31"/>
      <c r="V7711" s="32"/>
    </row>
    <row r="7712">
      <c r="A7712" s="32"/>
      <c r="T7712" s="31"/>
      <c r="U7712" s="31"/>
      <c r="V7712" s="32"/>
    </row>
    <row r="7713">
      <c r="A7713" s="32"/>
      <c r="T7713" s="31"/>
      <c r="U7713" s="31"/>
      <c r="V7713" s="32"/>
    </row>
    <row r="7714">
      <c r="A7714" s="32"/>
      <c r="T7714" s="31"/>
      <c r="U7714" s="31"/>
      <c r="V7714" s="32"/>
    </row>
    <row r="7715">
      <c r="A7715" s="32"/>
      <c r="T7715" s="31"/>
      <c r="U7715" s="31"/>
      <c r="V7715" s="32"/>
    </row>
    <row r="7716">
      <c r="A7716" s="32"/>
      <c r="T7716" s="31"/>
      <c r="U7716" s="31"/>
      <c r="V7716" s="32"/>
    </row>
    <row r="7717">
      <c r="A7717" s="32"/>
      <c r="T7717" s="31"/>
      <c r="U7717" s="31"/>
      <c r="V7717" s="32"/>
    </row>
    <row r="7718">
      <c r="A7718" s="32"/>
      <c r="T7718" s="31"/>
      <c r="U7718" s="31"/>
      <c r="V7718" s="32"/>
    </row>
    <row r="7719">
      <c r="A7719" s="32"/>
      <c r="T7719" s="31"/>
      <c r="U7719" s="31"/>
      <c r="V7719" s="32"/>
    </row>
    <row r="7720">
      <c r="A7720" s="32"/>
      <c r="T7720" s="31"/>
      <c r="U7720" s="31"/>
      <c r="V7720" s="32"/>
    </row>
    <row r="7721">
      <c r="A7721" s="32"/>
      <c r="T7721" s="31"/>
      <c r="U7721" s="31"/>
      <c r="V7721" s="32"/>
    </row>
    <row r="7722">
      <c r="A7722" s="32"/>
      <c r="T7722" s="31"/>
      <c r="U7722" s="31"/>
      <c r="V7722" s="32"/>
    </row>
    <row r="7723">
      <c r="A7723" s="32"/>
      <c r="T7723" s="31"/>
      <c r="U7723" s="31"/>
      <c r="V7723" s="32"/>
    </row>
    <row r="7724">
      <c r="A7724" s="32"/>
      <c r="T7724" s="31"/>
      <c r="U7724" s="31"/>
      <c r="V7724" s="32"/>
    </row>
    <row r="7725">
      <c r="A7725" s="32"/>
      <c r="T7725" s="31"/>
      <c r="U7725" s="31"/>
      <c r="V7725" s="32"/>
    </row>
    <row r="7726">
      <c r="A7726" s="32"/>
      <c r="T7726" s="31"/>
      <c r="U7726" s="31"/>
      <c r="V7726" s="32"/>
    </row>
    <row r="7727">
      <c r="A7727" s="32"/>
      <c r="T7727" s="31"/>
      <c r="U7727" s="31"/>
      <c r="V7727" s="32"/>
    </row>
    <row r="7728">
      <c r="A7728" s="32"/>
      <c r="T7728" s="31"/>
      <c r="U7728" s="31"/>
      <c r="V7728" s="32"/>
    </row>
    <row r="7729">
      <c r="A7729" s="32"/>
      <c r="T7729" s="31"/>
      <c r="U7729" s="31"/>
      <c r="V7729" s="32"/>
    </row>
    <row r="7730">
      <c r="A7730" s="32"/>
      <c r="T7730" s="31"/>
      <c r="U7730" s="31"/>
      <c r="V7730" s="32"/>
    </row>
    <row r="7731">
      <c r="A7731" s="32"/>
      <c r="T7731" s="31"/>
      <c r="U7731" s="31"/>
      <c r="V7731" s="32"/>
    </row>
    <row r="7732">
      <c r="A7732" s="32"/>
      <c r="T7732" s="31"/>
      <c r="U7732" s="31"/>
      <c r="V7732" s="32"/>
    </row>
    <row r="7733">
      <c r="A7733" s="32"/>
      <c r="T7733" s="31"/>
      <c r="U7733" s="31"/>
      <c r="V7733" s="32"/>
    </row>
    <row r="7734">
      <c r="A7734" s="32"/>
      <c r="T7734" s="31"/>
      <c r="U7734" s="31"/>
      <c r="V7734" s="32"/>
    </row>
    <row r="7735">
      <c r="A7735" s="32"/>
      <c r="T7735" s="31"/>
      <c r="U7735" s="31"/>
      <c r="V7735" s="32"/>
    </row>
    <row r="7736">
      <c r="A7736" s="32"/>
      <c r="T7736" s="31"/>
      <c r="U7736" s="31"/>
      <c r="V7736" s="32"/>
    </row>
    <row r="7737">
      <c r="A7737" s="32"/>
      <c r="T7737" s="31"/>
      <c r="U7737" s="31"/>
      <c r="V7737" s="32"/>
    </row>
    <row r="7738">
      <c r="A7738" s="32"/>
      <c r="T7738" s="31"/>
      <c r="U7738" s="31"/>
      <c r="V7738" s="32"/>
    </row>
    <row r="7739">
      <c r="A7739" s="32"/>
      <c r="T7739" s="31"/>
      <c r="U7739" s="31"/>
      <c r="V7739" s="32"/>
    </row>
    <row r="7740">
      <c r="A7740" s="32"/>
      <c r="T7740" s="31"/>
      <c r="U7740" s="31"/>
      <c r="V7740" s="32"/>
    </row>
    <row r="7741">
      <c r="A7741" s="32"/>
      <c r="T7741" s="31"/>
      <c r="U7741" s="31"/>
      <c r="V7741" s="32"/>
    </row>
    <row r="7742">
      <c r="A7742" s="32"/>
      <c r="T7742" s="31"/>
      <c r="U7742" s="31"/>
      <c r="V7742" s="32"/>
    </row>
    <row r="7743">
      <c r="A7743" s="32"/>
      <c r="T7743" s="31"/>
      <c r="U7743" s="31"/>
      <c r="V7743" s="32"/>
    </row>
    <row r="7744">
      <c r="A7744" s="32"/>
      <c r="T7744" s="31"/>
      <c r="U7744" s="31"/>
      <c r="V7744" s="32"/>
    </row>
    <row r="7745">
      <c r="A7745" s="32"/>
      <c r="T7745" s="31"/>
      <c r="U7745" s="31"/>
      <c r="V7745" s="32"/>
    </row>
    <row r="7746">
      <c r="A7746" s="32"/>
      <c r="T7746" s="31"/>
      <c r="U7746" s="31"/>
      <c r="V7746" s="32"/>
    </row>
    <row r="7747">
      <c r="A7747" s="32"/>
      <c r="T7747" s="31"/>
      <c r="U7747" s="31"/>
      <c r="V7747" s="32"/>
    </row>
    <row r="7748">
      <c r="A7748" s="32"/>
      <c r="T7748" s="31"/>
      <c r="U7748" s="31"/>
      <c r="V7748" s="32"/>
    </row>
    <row r="7749">
      <c r="A7749" s="32"/>
      <c r="T7749" s="31"/>
      <c r="U7749" s="31"/>
      <c r="V7749" s="32"/>
    </row>
    <row r="7750">
      <c r="A7750" s="32"/>
      <c r="T7750" s="31"/>
      <c r="U7750" s="31"/>
      <c r="V7750" s="32"/>
    </row>
    <row r="7751">
      <c r="A7751" s="32"/>
      <c r="T7751" s="31"/>
      <c r="U7751" s="31"/>
      <c r="V7751" s="32"/>
    </row>
    <row r="7752">
      <c r="A7752" s="32"/>
      <c r="T7752" s="31"/>
      <c r="U7752" s="31"/>
      <c r="V7752" s="32"/>
    </row>
    <row r="7753">
      <c r="A7753" s="32"/>
      <c r="T7753" s="31"/>
      <c r="U7753" s="31"/>
      <c r="V7753" s="32"/>
    </row>
    <row r="7754">
      <c r="A7754" s="32"/>
      <c r="T7754" s="31"/>
      <c r="U7754" s="31"/>
      <c r="V7754" s="32"/>
    </row>
    <row r="7755">
      <c r="A7755" s="32"/>
      <c r="T7755" s="31"/>
      <c r="U7755" s="31"/>
      <c r="V7755" s="32"/>
    </row>
    <row r="7756">
      <c r="A7756" s="32"/>
      <c r="T7756" s="31"/>
      <c r="U7756" s="31"/>
      <c r="V7756" s="32"/>
    </row>
    <row r="7757">
      <c r="A7757" s="32"/>
      <c r="T7757" s="31"/>
      <c r="U7757" s="31"/>
      <c r="V7757" s="32"/>
    </row>
    <row r="7758">
      <c r="A7758" s="32"/>
      <c r="T7758" s="31"/>
      <c r="U7758" s="31"/>
      <c r="V7758" s="32"/>
    </row>
    <row r="7759">
      <c r="A7759" s="32"/>
      <c r="T7759" s="31"/>
      <c r="U7759" s="31"/>
      <c r="V7759" s="32"/>
    </row>
    <row r="7760">
      <c r="A7760" s="32"/>
      <c r="T7760" s="31"/>
      <c r="U7760" s="31"/>
      <c r="V7760" s="32"/>
    </row>
    <row r="7761">
      <c r="A7761" s="32"/>
      <c r="T7761" s="31"/>
      <c r="U7761" s="31"/>
      <c r="V7761" s="32"/>
    </row>
    <row r="7762">
      <c r="A7762" s="32"/>
      <c r="T7762" s="31"/>
      <c r="U7762" s="31"/>
      <c r="V7762" s="32"/>
    </row>
    <row r="7763">
      <c r="A7763" s="32"/>
      <c r="T7763" s="31"/>
      <c r="U7763" s="31"/>
      <c r="V7763" s="32"/>
    </row>
    <row r="7764">
      <c r="A7764" s="32"/>
      <c r="T7764" s="31"/>
      <c r="U7764" s="31"/>
      <c r="V7764" s="32"/>
    </row>
    <row r="7765">
      <c r="A7765" s="32"/>
      <c r="T7765" s="31"/>
      <c r="U7765" s="31"/>
      <c r="V7765" s="32"/>
    </row>
    <row r="7766">
      <c r="A7766" s="32"/>
      <c r="T7766" s="31"/>
      <c r="U7766" s="31"/>
      <c r="V7766" s="32"/>
    </row>
    <row r="7767">
      <c r="A7767" s="32"/>
      <c r="T7767" s="31"/>
      <c r="U7767" s="31"/>
      <c r="V7767" s="32"/>
    </row>
    <row r="7768">
      <c r="A7768" s="32"/>
      <c r="T7768" s="31"/>
      <c r="U7768" s="31"/>
      <c r="V7768" s="32"/>
    </row>
    <row r="7769">
      <c r="A7769" s="32"/>
      <c r="T7769" s="31"/>
      <c r="U7769" s="31"/>
      <c r="V7769" s="32"/>
    </row>
    <row r="7770">
      <c r="A7770" s="32"/>
      <c r="T7770" s="31"/>
      <c r="U7770" s="31"/>
      <c r="V7770" s="32"/>
    </row>
    <row r="7771">
      <c r="A7771" s="32"/>
      <c r="T7771" s="31"/>
      <c r="U7771" s="31"/>
      <c r="V7771" s="32"/>
    </row>
    <row r="7772">
      <c r="A7772" s="32"/>
      <c r="T7772" s="31"/>
      <c r="U7772" s="31"/>
      <c r="V7772" s="32"/>
    </row>
    <row r="7773">
      <c r="A7773" s="32"/>
      <c r="T7773" s="31"/>
      <c r="U7773" s="31"/>
      <c r="V7773" s="32"/>
    </row>
    <row r="7774">
      <c r="A7774" s="32"/>
      <c r="T7774" s="31"/>
      <c r="U7774" s="31"/>
      <c r="V7774" s="32"/>
    </row>
    <row r="7775">
      <c r="A7775" s="32"/>
      <c r="T7775" s="31"/>
      <c r="U7775" s="31"/>
      <c r="V7775" s="32"/>
    </row>
    <row r="7776">
      <c r="A7776" s="32"/>
      <c r="T7776" s="31"/>
      <c r="U7776" s="31"/>
      <c r="V7776" s="32"/>
    </row>
    <row r="7777">
      <c r="A7777" s="32"/>
      <c r="T7777" s="31"/>
      <c r="U7777" s="31"/>
      <c r="V7777" s="32"/>
    </row>
    <row r="7778">
      <c r="A7778" s="32"/>
      <c r="T7778" s="31"/>
      <c r="U7778" s="31"/>
      <c r="V7778" s="32"/>
    </row>
    <row r="7779">
      <c r="A7779" s="32"/>
      <c r="T7779" s="31"/>
      <c r="U7779" s="31"/>
      <c r="V7779" s="32"/>
    </row>
    <row r="7780">
      <c r="A7780" s="32"/>
      <c r="T7780" s="31"/>
      <c r="U7780" s="31"/>
      <c r="V7780" s="32"/>
    </row>
    <row r="7781">
      <c r="A7781" s="32"/>
      <c r="T7781" s="31"/>
      <c r="U7781" s="31"/>
      <c r="V7781" s="32"/>
    </row>
    <row r="7782">
      <c r="A7782" s="32"/>
      <c r="T7782" s="31"/>
      <c r="U7782" s="31"/>
      <c r="V7782" s="32"/>
    </row>
    <row r="7783">
      <c r="A7783" s="32"/>
      <c r="T7783" s="31"/>
      <c r="U7783" s="31"/>
      <c r="V7783" s="32"/>
    </row>
    <row r="7784">
      <c r="A7784" s="32"/>
      <c r="T7784" s="31"/>
      <c r="U7784" s="31"/>
      <c r="V7784" s="32"/>
    </row>
    <row r="7785">
      <c r="A7785" s="32"/>
      <c r="T7785" s="31"/>
      <c r="U7785" s="31"/>
      <c r="V7785" s="32"/>
    </row>
    <row r="7786">
      <c r="A7786" s="32"/>
      <c r="T7786" s="31"/>
      <c r="U7786" s="31"/>
      <c r="V7786" s="32"/>
    </row>
    <row r="7787">
      <c r="A7787" s="32"/>
      <c r="T7787" s="31"/>
      <c r="U7787" s="31"/>
      <c r="V7787" s="32"/>
    </row>
    <row r="7788">
      <c r="A7788" s="32"/>
      <c r="T7788" s="31"/>
      <c r="U7788" s="31"/>
      <c r="V7788" s="32"/>
    </row>
    <row r="7789">
      <c r="A7789" s="32"/>
      <c r="T7789" s="31"/>
      <c r="U7789" s="31"/>
      <c r="V7789" s="32"/>
    </row>
    <row r="7790">
      <c r="A7790" s="32"/>
      <c r="T7790" s="31"/>
      <c r="U7790" s="31"/>
      <c r="V7790" s="32"/>
    </row>
    <row r="7791">
      <c r="A7791" s="32"/>
      <c r="T7791" s="31"/>
      <c r="U7791" s="31"/>
      <c r="V7791" s="32"/>
    </row>
    <row r="7792">
      <c r="A7792" s="32"/>
      <c r="T7792" s="31"/>
      <c r="U7792" s="31"/>
      <c r="V7792" s="32"/>
    </row>
    <row r="7793">
      <c r="A7793" s="32"/>
      <c r="T7793" s="31"/>
      <c r="U7793" s="31"/>
      <c r="V7793" s="32"/>
    </row>
    <row r="7794">
      <c r="A7794" s="32"/>
      <c r="T7794" s="31"/>
      <c r="U7794" s="31"/>
      <c r="V7794" s="32"/>
    </row>
    <row r="7795">
      <c r="A7795" s="32"/>
      <c r="T7795" s="31"/>
      <c r="U7795" s="31"/>
      <c r="V7795" s="32"/>
    </row>
    <row r="7796">
      <c r="A7796" s="32"/>
      <c r="T7796" s="31"/>
      <c r="U7796" s="31"/>
      <c r="V7796" s="32"/>
    </row>
    <row r="7797">
      <c r="A7797" s="32"/>
      <c r="T7797" s="31"/>
      <c r="U7797" s="31"/>
      <c r="V7797" s="32"/>
    </row>
    <row r="7798">
      <c r="A7798" s="32"/>
      <c r="T7798" s="31"/>
      <c r="U7798" s="31"/>
      <c r="V7798" s="32"/>
    </row>
    <row r="7799">
      <c r="A7799" s="32"/>
      <c r="T7799" s="31"/>
      <c r="U7799" s="31"/>
      <c r="V7799" s="32"/>
    </row>
    <row r="7800">
      <c r="A7800" s="32"/>
      <c r="T7800" s="31"/>
      <c r="U7800" s="31"/>
      <c r="V7800" s="32"/>
    </row>
    <row r="7801">
      <c r="A7801" s="32"/>
      <c r="T7801" s="31"/>
      <c r="U7801" s="31"/>
      <c r="V7801" s="32"/>
    </row>
    <row r="7802">
      <c r="A7802" s="32"/>
      <c r="T7802" s="31"/>
      <c r="U7802" s="31"/>
      <c r="V7802" s="32"/>
    </row>
    <row r="7803">
      <c r="A7803" s="32"/>
      <c r="T7803" s="31"/>
      <c r="U7803" s="31"/>
      <c r="V7803" s="32"/>
    </row>
    <row r="7804">
      <c r="A7804" s="32"/>
      <c r="T7804" s="31"/>
      <c r="U7804" s="31"/>
      <c r="V7804" s="32"/>
    </row>
    <row r="7805">
      <c r="A7805" s="32"/>
      <c r="T7805" s="31"/>
      <c r="U7805" s="31"/>
      <c r="V7805" s="32"/>
    </row>
    <row r="7806">
      <c r="A7806" s="32"/>
      <c r="T7806" s="31"/>
      <c r="U7806" s="31"/>
      <c r="V7806" s="32"/>
    </row>
    <row r="7807">
      <c r="A7807" s="32"/>
      <c r="T7807" s="31"/>
      <c r="U7807" s="31"/>
      <c r="V7807" s="32"/>
    </row>
    <row r="7808">
      <c r="A7808" s="32"/>
      <c r="T7808" s="31"/>
      <c r="U7808" s="31"/>
      <c r="V7808" s="32"/>
    </row>
    <row r="7809">
      <c r="A7809" s="32"/>
      <c r="T7809" s="31"/>
      <c r="U7809" s="31"/>
      <c r="V7809" s="32"/>
    </row>
    <row r="7810">
      <c r="A7810" s="32"/>
      <c r="T7810" s="31"/>
      <c r="U7810" s="31"/>
      <c r="V7810" s="32"/>
    </row>
    <row r="7811">
      <c r="A7811" s="32"/>
      <c r="T7811" s="31"/>
      <c r="U7811" s="31"/>
      <c r="V7811" s="32"/>
    </row>
    <row r="7812">
      <c r="A7812" s="32"/>
      <c r="T7812" s="31"/>
      <c r="U7812" s="31"/>
      <c r="V7812" s="32"/>
    </row>
    <row r="7813">
      <c r="A7813" s="32"/>
      <c r="T7813" s="31"/>
      <c r="U7813" s="31"/>
      <c r="V7813" s="32"/>
    </row>
    <row r="7814">
      <c r="A7814" s="32"/>
      <c r="T7814" s="31"/>
      <c r="U7814" s="31"/>
      <c r="V7814" s="32"/>
    </row>
    <row r="7815">
      <c r="A7815" s="32"/>
      <c r="T7815" s="31"/>
      <c r="U7815" s="31"/>
      <c r="V7815" s="32"/>
    </row>
    <row r="7816">
      <c r="A7816" s="32"/>
      <c r="T7816" s="31"/>
      <c r="U7816" s="31"/>
      <c r="V7816" s="32"/>
    </row>
    <row r="7817">
      <c r="A7817" s="32"/>
      <c r="T7817" s="31"/>
      <c r="U7817" s="31"/>
      <c r="V7817" s="32"/>
    </row>
    <row r="7818">
      <c r="A7818" s="32"/>
      <c r="T7818" s="31"/>
      <c r="U7818" s="31"/>
      <c r="V7818" s="32"/>
    </row>
    <row r="7819">
      <c r="A7819" s="32"/>
      <c r="T7819" s="31"/>
      <c r="U7819" s="31"/>
      <c r="V7819" s="32"/>
    </row>
    <row r="7820">
      <c r="A7820" s="32"/>
      <c r="T7820" s="31"/>
      <c r="U7820" s="31"/>
      <c r="V7820" s="32"/>
    </row>
    <row r="7821">
      <c r="A7821" s="32"/>
      <c r="T7821" s="31"/>
      <c r="U7821" s="31"/>
      <c r="V7821" s="32"/>
    </row>
    <row r="7822">
      <c r="A7822" s="32"/>
      <c r="T7822" s="31"/>
      <c r="U7822" s="31"/>
      <c r="V7822" s="32"/>
    </row>
    <row r="7823">
      <c r="A7823" s="32"/>
      <c r="T7823" s="31"/>
      <c r="U7823" s="31"/>
      <c r="V7823" s="32"/>
    </row>
    <row r="7824">
      <c r="A7824" s="32"/>
      <c r="T7824" s="31"/>
      <c r="U7824" s="31"/>
      <c r="V7824" s="32"/>
    </row>
    <row r="7825">
      <c r="A7825" s="32"/>
      <c r="T7825" s="31"/>
      <c r="U7825" s="31"/>
      <c r="V7825" s="32"/>
    </row>
    <row r="7826">
      <c r="A7826" s="32"/>
      <c r="T7826" s="31"/>
      <c r="U7826" s="31"/>
      <c r="V7826" s="32"/>
    </row>
    <row r="7827">
      <c r="A7827" s="32"/>
      <c r="T7827" s="31"/>
      <c r="U7827" s="31"/>
      <c r="V7827" s="32"/>
    </row>
    <row r="7828">
      <c r="A7828" s="32"/>
      <c r="T7828" s="31"/>
      <c r="U7828" s="31"/>
      <c r="V7828" s="32"/>
    </row>
    <row r="7829">
      <c r="A7829" s="32"/>
      <c r="T7829" s="31"/>
      <c r="U7829" s="31"/>
      <c r="V7829" s="32"/>
    </row>
    <row r="7830">
      <c r="A7830" s="32"/>
      <c r="T7830" s="31"/>
      <c r="U7830" s="31"/>
      <c r="V7830" s="32"/>
    </row>
    <row r="7831">
      <c r="A7831" s="32"/>
      <c r="T7831" s="31"/>
      <c r="U7831" s="31"/>
      <c r="V7831" s="32"/>
    </row>
    <row r="7832">
      <c r="A7832" s="32"/>
      <c r="T7832" s="31"/>
      <c r="U7832" s="31"/>
      <c r="V7832" s="32"/>
    </row>
    <row r="7833">
      <c r="A7833" s="32"/>
      <c r="T7833" s="31"/>
      <c r="U7833" s="31"/>
      <c r="V7833" s="32"/>
    </row>
    <row r="7834">
      <c r="A7834" s="32"/>
      <c r="T7834" s="31"/>
      <c r="U7834" s="31"/>
      <c r="V7834" s="32"/>
    </row>
    <row r="7835">
      <c r="A7835" s="32"/>
      <c r="T7835" s="31"/>
      <c r="U7835" s="31"/>
      <c r="V7835" s="32"/>
    </row>
    <row r="7836">
      <c r="A7836" s="32"/>
      <c r="T7836" s="31"/>
      <c r="U7836" s="31"/>
      <c r="V7836" s="32"/>
    </row>
    <row r="7837">
      <c r="A7837" s="32"/>
      <c r="T7837" s="31"/>
      <c r="U7837" s="31"/>
      <c r="V7837" s="32"/>
    </row>
    <row r="7838">
      <c r="A7838" s="32"/>
      <c r="T7838" s="31"/>
      <c r="U7838" s="31"/>
      <c r="V7838" s="32"/>
    </row>
    <row r="7839">
      <c r="A7839" s="32"/>
      <c r="T7839" s="31"/>
      <c r="U7839" s="31"/>
      <c r="V7839" s="32"/>
    </row>
    <row r="7840">
      <c r="A7840" s="32"/>
      <c r="T7840" s="31"/>
      <c r="U7840" s="31"/>
      <c r="V7840" s="32"/>
    </row>
    <row r="7841">
      <c r="A7841" s="32"/>
      <c r="T7841" s="31"/>
      <c r="U7841" s="31"/>
      <c r="V7841" s="32"/>
    </row>
    <row r="7842">
      <c r="A7842" s="32"/>
      <c r="T7842" s="31"/>
      <c r="U7842" s="31"/>
      <c r="V7842" s="32"/>
    </row>
    <row r="7843">
      <c r="A7843" s="32"/>
      <c r="T7843" s="31"/>
      <c r="U7843" s="31"/>
      <c r="V7843" s="32"/>
    </row>
    <row r="7844">
      <c r="A7844" s="32"/>
      <c r="T7844" s="31"/>
      <c r="U7844" s="31"/>
      <c r="V7844" s="32"/>
    </row>
    <row r="7845">
      <c r="A7845" s="32"/>
      <c r="T7845" s="31"/>
      <c r="U7845" s="31"/>
      <c r="V7845" s="32"/>
    </row>
    <row r="7846">
      <c r="A7846" s="32"/>
      <c r="T7846" s="31"/>
      <c r="U7846" s="31"/>
      <c r="V7846" s="32"/>
    </row>
    <row r="7847">
      <c r="A7847" s="32"/>
      <c r="T7847" s="31"/>
      <c r="U7847" s="31"/>
      <c r="V7847" s="32"/>
    </row>
    <row r="7848">
      <c r="A7848" s="32"/>
      <c r="T7848" s="31"/>
      <c r="U7848" s="31"/>
      <c r="V7848" s="32"/>
    </row>
    <row r="7849">
      <c r="A7849" s="32"/>
      <c r="T7849" s="31"/>
      <c r="U7849" s="31"/>
      <c r="V7849" s="32"/>
    </row>
    <row r="7850">
      <c r="A7850" s="32"/>
      <c r="T7850" s="31"/>
      <c r="U7850" s="31"/>
      <c r="V7850" s="32"/>
    </row>
    <row r="7851">
      <c r="A7851" s="32"/>
      <c r="T7851" s="31"/>
      <c r="U7851" s="31"/>
      <c r="V7851" s="32"/>
    </row>
    <row r="7852">
      <c r="A7852" s="32"/>
      <c r="T7852" s="31"/>
      <c r="U7852" s="31"/>
      <c r="V7852" s="32"/>
    </row>
    <row r="7853">
      <c r="A7853" s="32"/>
      <c r="T7853" s="31"/>
      <c r="U7853" s="31"/>
      <c r="V7853" s="32"/>
    </row>
    <row r="7854">
      <c r="A7854" s="32"/>
      <c r="T7854" s="31"/>
      <c r="U7854" s="31"/>
      <c r="V7854" s="32"/>
    </row>
    <row r="7855">
      <c r="A7855" s="32"/>
      <c r="T7855" s="31"/>
      <c r="U7855" s="31"/>
      <c r="V7855" s="32"/>
    </row>
    <row r="7856">
      <c r="A7856" s="32"/>
      <c r="T7856" s="31"/>
      <c r="U7856" s="31"/>
      <c r="V7856" s="32"/>
    </row>
    <row r="7857">
      <c r="A7857" s="32"/>
      <c r="T7857" s="31"/>
      <c r="U7857" s="31"/>
      <c r="V7857" s="32"/>
    </row>
    <row r="7858">
      <c r="A7858" s="32"/>
      <c r="T7858" s="31"/>
      <c r="U7858" s="31"/>
      <c r="V7858" s="32"/>
    </row>
    <row r="7859">
      <c r="A7859" s="32"/>
      <c r="T7859" s="31"/>
      <c r="U7859" s="31"/>
      <c r="V7859" s="32"/>
    </row>
    <row r="7860">
      <c r="A7860" s="32"/>
      <c r="T7860" s="31"/>
      <c r="U7860" s="31"/>
      <c r="V7860" s="32"/>
    </row>
    <row r="7861">
      <c r="A7861" s="32"/>
      <c r="T7861" s="31"/>
      <c r="U7861" s="31"/>
      <c r="V7861" s="32"/>
    </row>
    <row r="7862">
      <c r="A7862" s="32"/>
      <c r="T7862" s="31"/>
      <c r="U7862" s="31"/>
      <c r="V7862" s="32"/>
    </row>
    <row r="7863">
      <c r="A7863" s="32"/>
      <c r="T7863" s="31"/>
      <c r="U7863" s="31"/>
      <c r="V7863" s="32"/>
    </row>
    <row r="7864">
      <c r="A7864" s="32"/>
      <c r="T7864" s="31"/>
      <c r="U7864" s="31"/>
      <c r="V7864" s="32"/>
    </row>
    <row r="7865">
      <c r="A7865" s="32"/>
      <c r="T7865" s="31"/>
      <c r="U7865" s="31"/>
      <c r="V7865" s="32"/>
    </row>
    <row r="7866">
      <c r="A7866" s="32"/>
      <c r="T7866" s="31"/>
      <c r="U7866" s="31"/>
      <c r="V7866" s="32"/>
    </row>
    <row r="7867">
      <c r="A7867" s="32"/>
      <c r="T7867" s="31"/>
      <c r="U7867" s="31"/>
      <c r="V7867" s="32"/>
    </row>
    <row r="7868">
      <c r="A7868" s="32"/>
      <c r="T7868" s="31"/>
      <c r="U7868" s="31"/>
      <c r="V7868" s="32"/>
    </row>
    <row r="7869">
      <c r="A7869" s="32"/>
      <c r="T7869" s="31"/>
      <c r="U7869" s="31"/>
      <c r="V7869" s="32"/>
    </row>
    <row r="7870">
      <c r="A7870" s="32"/>
      <c r="T7870" s="31"/>
      <c r="U7870" s="31"/>
      <c r="V7870" s="32"/>
    </row>
    <row r="7871">
      <c r="A7871" s="32"/>
      <c r="T7871" s="31"/>
      <c r="U7871" s="31"/>
      <c r="V7871" s="32"/>
    </row>
    <row r="7872">
      <c r="A7872" s="32"/>
      <c r="T7872" s="31"/>
      <c r="U7872" s="31"/>
      <c r="V7872" s="32"/>
    </row>
    <row r="7873">
      <c r="A7873" s="32"/>
      <c r="T7873" s="31"/>
      <c r="U7873" s="31"/>
      <c r="V7873" s="32"/>
    </row>
    <row r="7874">
      <c r="A7874" s="32"/>
      <c r="T7874" s="31"/>
      <c r="U7874" s="31"/>
      <c r="V7874" s="32"/>
    </row>
    <row r="7875">
      <c r="A7875" s="32"/>
      <c r="T7875" s="31"/>
      <c r="U7875" s="31"/>
      <c r="V7875" s="32"/>
    </row>
    <row r="7876">
      <c r="A7876" s="32"/>
      <c r="T7876" s="31"/>
      <c r="U7876" s="31"/>
      <c r="V7876" s="32"/>
    </row>
    <row r="7877">
      <c r="A7877" s="32"/>
      <c r="T7877" s="31"/>
      <c r="U7877" s="31"/>
      <c r="V7877" s="32"/>
    </row>
    <row r="7878">
      <c r="A7878" s="32"/>
      <c r="T7878" s="31"/>
      <c r="U7878" s="31"/>
      <c r="V7878" s="32"/>
    </row>
    <row r="7879">
      <c r="A7879" s="32"/>
      <c r="T7879" s="31"/>
      <c r="U7879" s="31"/>
      <c r="V7879" s="32"/>
    </row>
    <row r="7880">
      <c r="A7880" s="32"/>
      <c r="T7880" s="31"/>
      <c r="U7880" s="31"/>
      <c r="V7880" s="32"/>
    </row>
    <row r="7881">
      <c r="A7881" s="32"/>
      <c r="T7881" s="31"/>
      <c r="U7881" s="31"/>
      <c r="V7881" s="32"/>
    </row>
    <row r="7882">
      <c r="A7882" s="32"/>
      <c r="T7882" s="31"/>
      <c r="U7882" s="31"/>
      <c r="V7882" s="32"/>
    </row>
    <row r="7883">
      <c r="A7883" s="32"/>
      <c r="T7883" s="31"/>
      <c r="U7883" s="31"/>
      <c r="V7883" s="32"/>
    </row>
    <row r="7884">
      <c r="A7884" s="32"/>
      <c r="T7884" s="31"/>
      <c r="U7884" s="31"/>
      <c r="V7884" s="32"/>
    </row>
    <row r="7885">
      <c r="A7885" s="32"/>
      <c r="T7885" s="31"/>
      <c r="U7885" s="31"/>
      <c r="V7885" s="32"/>
    </row>
    <row r="7886">
      <c r="A7886" s="32"/>
      <c r="T7886" s="31"/>
      <c r="U7886" s="31"/>
      <c r="V7886" s="32"/>
    </row>
    <row r="7887">
      <c r="A7887" s="32"/>
      <c r="T7887" s="31"/>
      <c r="U7887" s="31"/>
      <c r="V7887" s="32"/>
    </row>
    <row r="7888">
      <c r="A7888" s="32"/>
      <c r="T7888" s="31"/>
      <c r="U7888" s="31"/>
      <c r="V7888" s="32"/>
    </row>
    <row r="7889">
      <c r="A7889" s="32"/>
      <c r="T7889" s="31"/>
      <c r="U7889" s="31"/>
      <c r="V7889" s="32"/>
    </row>
    <row r="7890">
      <c r="A7890" s="32"/>
      <c r="T7890" s="31"/>
      <c r="U7890" s="31"/>
      <c r="V7890" s="32"/>
    </row>
    <row r="7891">
      <c r="A7891" s="32"/>
      <c r="T7891" s="31"/>
      <c r="U7891" s="31"/>
      <c r="V7891" s="32"/>
    </row>
    <row r="7892">
      <c r="A7892" s="32"/>
      <c r="T7892" s="31"/>
      <c r="U7892" s="31"/>
      <c r="V7892" s="32"/>
    </row>
    <row r="7893">
      <c r="A7893" s="32"/>
      <c r="T7893" s="31"/>
      <c r="U7893" s="31"/>
      <c r="V7893" s="32"/>
    </row>
    <row r="7894">
      <c r="A7894" s="32"/>
      <c r="T7894" s="31"/>
      <c r="U7894" s="31"/>
      <c r="V7894" s="32"/>
    </row>
    <row r="7895">
      <c r="A7895" s="32"/>
      <c r="T7895" s="31"/>
      <c r="U7895" s="31"/>
      <c r="V7895" s="32"/>
    </row>
    <row r="7896">
      <c r="A7896" s="32"/>
      <c r="T7896" s="31"/>
      <c r="U7896" s="31"/>
      <c r="V7896" s="32"/>
    </row>
    <row r="7897">
      <c r="A7897" s="32"/>
      <c r="T7897" s="31"/>
      <c r="U7897" s="31"/>
      <c r="V7897" s="32"/>
    </row>
    <row r="7898">
      <c r="A7898" s="32"/>
      <c r="T7898" s="31"/>
      <c r="U7898" s="31"/>
      <c r="V7898" s="32"/>
    </row>
    <row r="7899">
      <c r="A7899" s="32"/>
      <c r="T7899" s="31"/>
      <c r="U7899" s="31"/>
      <c r="V7899" s="32"/>
    </row>
    <row r="7900">
      <c r="A7900" s="32"/>
      <c r="T7900" s="31"/>
      <c r="U7900" s="31"/>
      <c r="V7900" s="32"/>
    </row>
    <row r="7901">
      <c r="A7901" s="32"/>
      <c r="T7901" s="31"/>
      <c r="U7901" s="31"/>
      <c r="V7901" s="32"/>
    </row>
    <row r="7902">
      <c r="A7902" s="32"/>
      <c r="T7902" s="31"/>
      <c r="U7902" s="31"/>
      <c r="V7902" s="32"/>
    </row>
    <row r="7903">
      <c r="A7903" s="32"/>
      <c r="T7903" s="31"/>
      <c r="U7903" s="31"/>
      <c r="V7903" s="32"/>
    </row>
    <row r="7904">
      <c r="A7904" s="32"/>
      <c r="T7904" s="31"/>
      <c r="U7904" s="31"/>
      <c r="V7904" s="32"/>
    </row>
    <row r="7905">
      <c r="A7905" s="32"/>
      <c r="T7905" s="31"/>
      <c r="U7905" s="31"/>
      <c r="V7905" s="32"/>
    </row>
    <row r="7906">
      <c r="A7906" s="32"/>
      <c r="T7906" s="31"/>
      <c r="U7906" s="31"/>
      <c r="V7906" s="32"/>
    </row>
    <row r="7907">
      <c r="A7907" s="32"/>
      <c r="T7907" s="31"/>
      <c r="U7907" s="31"/>
      <c r="V7907" s="32"/>
    </row>
    <row r="7908">
      <c r="A7908" s="32"/>
      <c r="T7908" s="31"/>
      <c r="U7908" s="31"/>
      <c r="V7908" s="32"/>
    </row>
    <row r="7909">
      <c r="A7909" s="32"/>
      <c r="T7909" s="31"/>
      <c r="U7909" s="31"/>
      <c r="V7909" s="32"/>
    </row>
    <row r="7910">
      <c r="A7910" s="32"/>
      <c r="T7910" s="31"/>
      <c r="U7910" s="31"/>
      <c r="V7910" s="32"/>
    </row>
    <row r="7911">
      <c r="A7911" s="32"/>
      <c r="T7911" s="31"/>
      <c r="U7911" s="31"/>
      <c r="V7911" s="32"/>
    </row>
    <row r="7912">
      <c r="A7912" s="32"/>
      <c r="T7912" s="31"/>
      <c r="U7912" s="31"/>
      <c r="V7912" s="32"/>
    </row>
    <row r="7913">
      <c r="A7913" s="32"/>
      <c r="T7913" s="31"/>
      <c r="U7913" s="31"/>
      <c r="V7913" s="32"/>
    </row>
    <row r="7914">
      <c r="A7914" s="32"/>
      <c r="T7914" s="31"/>
      <c r="U7914" s="31"/>
      <c r="V7914" s="32"/>
    </row>
    <row r="7915">
      <c r="A7915" s="32"/>
      <c r="T7915" s="31"/>
      <c r="U7915" s="31"/>
      <c r="V7915" s="32"/>
    </row>
    <row r="7916">
      <c r="A7916" s="32"/>
      <c r="T7916" s="31"/>
      <c r="U7916" s="31"/>
      <c r="V7916" s="32"/>
    </row>
    <row r="7917">
      <c r="A7917" s="32"/>
      <c r="T7917" s="31"/>
      <c r="U7917" s="31"/>
      <c r="V7917" s="32"/>
    </row>
    <row r="7918">
      <c r="A7918" s="32"/>
      <c r="T7918" s="31"/>
      <c r="U7918" s="31"/>
      <c r="V7918" s="32"/>
    </row>
    <row r="7919">
      <c r="A7919" s="32"/>
      <c r="T7919" s="31"/>
      <c r="U7919" s="31"/>
      <c r="V7919" s="32"/>
    </row>
    <row r="7920">
      <c r="A7920" s="32"/>
      <c r="T7920" s="31"/>
      <c r="U7920" s="31"/>
      <c r="V7920" s="32"/>
    </row>
    <row r="7921">
      <c r="A7921" s="32"/>
      <c r="T7921" s="31"/>
      <c r="U7921" s="31"/>
      <c r="V7921" s="32"/>
    </row>
    <row r="7922">
      <c r="A7922" s="32"/>
      <c r="T7922" s="31"/>
      <c r="U7922" s="31"/>
      <c r="V7922" s="32"/>
    </row>
    <row r="7923">
      <c r="A7923" s="32"/>
      <c r="T7923" s="31"/>
      <c r="U7923" s="31"/>
      <c r="V7923" s="32"/>
    </row>
    <row r="7924">
      <c r="A7924" s="32"/>
      <c r="T7924" s="31"/>
      <c r="U7924" s="31"/>
      <c r="V7924" s="32"/>
    </row>
    <row r="7925">
      <c r="A7925" s="32"/>
      <c r="T7925" s="31"/>
      <c r="U7925" s="31"/>
      <c r="V7925" s="32"/>
    </row>
    <row r="7926">
      <c r="A7926" s="32"/>
      <c r="T7926" s="31"/>
      <c r="U7926" s="31"/>
      <c r="V7926" s="32"/>
    </row>
    <row r="7927">
      <c r="A7927" s="32"/>
      <c r="T7927" s="31"/>
      <c r="U7927" s="31"/>
      <c r="V7927" s="32"/>
    </row>
    <row r="7928">
      <c r="A7928" s="32"/>
      <c r="T7928" s="31"/>
      <c r="U7928" s="31"/>
      <c r="V7928" s="32"/>
    </row>
    <row r="7929">
      <c r="A7929" s="32"/>
      <c r="T7929" s="31"/>
      <c r="U7929" s="31"/>
      <c r="V7929" s="32"/>
    </row>
    <row r="7930">
      <c r="A7930" s="32"/>
      <c r="T7930" s="31"/>
      <c r="U7930" s="31"/>
      <c r="V7930" s="32"/>
    </row>
    <row r="7931">
      <c r="A7931" s="32"/>
      <c r="T7931" s="31"/>
      <c r="U7931" s="31"/>
      <c r="V7931" s="32"/>
    </row>
    <row r="7932">
      <c r="A7932" s="32"/>
      <c r="T7932" s="31"/>
      <c r="U7932" s="31"/>
      <c r="V7932" s="32"/>
    </row>
    <row r="7933">
      <c r="A7933" s="32"/>
      <c r="T7933" s="31"/>
      <c r="U7933" s="31"/>
      <c r="V7933" s="32"/>
    </row>
    <row r="7934">
      <c r="A7934" s="32"/>
      <c r="T7934" s="31"/>
      <c r="U7934" s="31"/>
      <c r="V7934" s="32"/>
    </row>
    <row r="7935">
      <c r="A7935" s="32"/>
      <c r="T7935" s="31"/>
      <c r="U7935" s="31"/>
      <c r="V7935" s="32"/>
    </row>
    <row r="7936">
      <c r="A7936" s="32"/>
      <c r="T7936" s="31"/>
      <c r="U7936" s="31"/>
      <c r="V7936" s="32"/>
    </row>
    <row r="7937">
      <c r="A7937" s="32"/>
      <c r="T7937" s="31"/>
      <c r="U7937" s="31"/>
      <c r="V7937" s="32"/>
    </row>
    <row r="7938">
      <c r="A7938" s="32"/>
      <c r="T7938" s="31"/>
      <c r="U7938" s="31"/>
      <c r="V7938" s="32"/>
    </row>
    <row r="7939">
      <c r="A7939" s="32"/>
      <c r="T7939" s="31"/>
      <c r="U7939" s="31"/>
      <c r="V7939" s="32"/>
    </row>
    <row r="7940">
      <c r="A7940" s="32"/>
      <c r="T7940" s="31"/>
      <c r="U7940" s="31"/>
      <c r="V7940" s="32"/>
    </row>
    <row r="7941">
      <c r="A7941" s="32"/>
      <c r="T7941" s="31"/>
      <c r="U7941" s="31"/>
      <c r="V7941" s="32"/>
    </row>
    <row r="7942">
      <c r="A7942" s="32"/>
      <c r="T7942" s="31"/>
      <c r="U7942" s="31"/>
      <c r="V7942" s="32"/>
    </row>
    <row r="7943">
      <c r="A7943" s="32"/>
      <c r="T7943" s="31"/>
      <c r="U7943" s="31"/>
      <c r="V7943" s="32"/>
    </row>
    <row r="7944">
      <c r="A7944" s="32"/>
      <c r="T7944" s="31"/>
      <c r="U7944" s="31"/>
      <c r="V7944" s="32"/>
    </row>
    <row r="7945">
      <c r="A7945" s="32"/>
      <c r="T7945" s="31"/>
      <c r="U7945" s="31"/>
      <c r="V7945" s="32"/>
    </row>
    <row r="7946">
      <c r="A7946" s="32"/>
      <c r="T7946" s="31"/>
      <c r="U7946" s="31"/>
      <c r="V7946" s="32"/>
    </row>
    <row r="7947">
      <c r="A7947" s="32"/>
      <c r="T7947" s="31"/>
      <c r="U7947" s="31"/>
      <c r="V7947" s="32"/>
    </row>
    <row r="7948">
      <c r="A7948" s="32"/>
      <c r="T7948" s="31"/>
      <c r="U7948" s="31"/>
      <c r="V7948" s="32"/>
    </row>
    <row r="7949">
      <c r="A7949" s="32"/>
      <c r="T7949" s="31"/>
      <c r="U7949" s="31"/>
      <c r="V7949" s="32"/>
    </row>
    <row r="7950">
      <c r="A7950" s="32"/>
      <c r="T7950" s="31"/>
      <c r="U7950" s="31"/>
      <c r="V7950" s="32"/>
    </row>
    <row r="7951">
      <c r="A7951" s="32"/>
      <c r="T7951" s="31"/>
      <c r="U7951" s="31"/>
      <c r="V7951" s="32"/>
    </row>
    <row r="7952">
      <c r="A7952" s="32"/>
      <c r="T7952" s="31"/>
      <c r="U7952" s="31"/>
      <c r="V7952" s="32"/>
    </row>
    <row r="7953">
      <c r="A7953" s="32"/>
      <c r="T7953" s="31"/>
      <c r="U7953" s="31"/>
      <c r="V7953" s="32"/>
    </row>
    <row r="7954">
      <c r="A7954" s="32"/>
      <c r="T7954" s="31"/>
      <c r="U7954" s="31"/>
      <c r="V7954" s="32"/>
    </row>
    <row r="7955">
      <c r="A7955" s="32"/>
      <c r="T7955" s="31"/>
      <c r="U7955" s="31"/>
      <c r="V7955" s="32"/>
    </row>
    <row r="7956">
      <c r="A7956" s="32"/>
      <c r="T7956" s="31"/>
      <c r="U7956" s="31"/>
      <c r="V7956" s="32"/>
    </row>
    <row r="7957">
      <c r="A7957" s="32"/>
      <c r="T7957" s="31"/>
      <c r="U7957" s="31"/>
      <c r="V7957" s="32"/>
    </row>
    <row r="7958">
      <c r="A7958" s="32"/>
      <c r="T7958" s="31"/>
      <c r="U7958" s="31"/>
      <c r="V7958" s="32"/>
    </row>
    <row r="7959">
      <c r="A7959" s="32"/>
      <c r="T7959" s="31"/>
      <c r="U7959" s="31"/>
      <c r="V7959" s="32"/>
    </row>
    <row r="7960">
      <c r="A7960" s="32"/>
      <c r="T7960" s="31"/>
      <c r="U7960" s="31"/>
      <c r="V7960" s="32"/>
    </row>
    <row r="7961">
      <c r="A7961" s="32"/>
      <c r="T7961" s="31"/>
      <c r="U7961" s="31"/>
      <c r="V7961" s="32"/>
    </row>
    <row r="7962">
      <c r="A7962" s="32"/>
      <c r="T7962" s="31"/>
      <c r="U7962" s="31"/>
      <c r="V7962" s="32"/>
    </row>
    <row r="7963">
      <c r="A7963" s="32"/>
      <c r="T7963" s="31"/>
      <c r="U7963" s="31"/>
      <c r="V7963" s="32"/>
    </row>
    <row r="7964">
      <c r="A7964" s="32"/>
      <c r="T7964" s="31"/>
      <c r="U7964" s="31"/>
      <c r="V7964" s="32"/>
    </row>
    <row r="7965">
      <c r="A7965" s="32"/>
      <c r="T7965" s="31"/>
      <c r="U7965" s="31"/>
      <c r="V7965" s="32"/>
    </row>
    <row r="7966">
      <c r="A7966" s="32"/>
      <c r="T7966" s="31"/>
      <c r="U7966" s="31"/>
      <c r="V7966" s="32"/>
    </row>
    <row r="7967">
      <c r="A7967" s="32"/>
      <c r="T7967" s="31"/>
      <c r="U7967" s="31"/>
      <c r="V7967" s="32"/>
    </row>
    <row r="7968">
      <c r="A7968" s="32"/>
      <c r="T7968" s="31"/>
      <c r="U7968" s="31"/>
      <c r="V7968" s="32"/>
    </row>
    <row r="7969">
      <c r="A7969" s="32"/>
      <c r="T7969" s="31"/>
      <c r="U7969" s="31"/>
      <c r="V7969" s="32"/>
    </row>
    <row r="7970">
      <c r="A7970" s="32"/>
      <c r="T7970" s="31"/>
      <c r="U7970" s="31"/>
      <c r="V7970" s="32"/>
    </row>
    <row r="7971">
      <c r="A7971" s="32"/>
      <c r="T7971" s="31"/>
      <c r="U7971" s="31"/>
      <c r="V7971" s="32"/>
    </row>
    <row r="7972">
      <c r="A7972" s="32"/>
      <c r="T7972" s="31"/>
      <c r="U7972" s="31"/>
      <c r="V7972" s="32"/>
    </row>
    <row r="7973">
      <c r="A7973" s="32"/>
      <c r="T7973" s="31"/>
      <c r="U7973" s="31"/>
      <c r="V7973" s="32"/>
    </row>
    <row r="7974">
      <c r="A7974" s="32"/>
      <c r="T7974" s="31"/>
      <c r="U7974" s="31"/>
      <c r="V7974" s="32"/>
    </row>
    <row r="7975">
      <c r="A7975" s="32"/>
      <c r="T7975" s="31"/>
      <c r="U7975" s="31"/>
      <c r="V7975" s="32"/>
    </row>
    <row r="7976">
      <c r="A7976" s="32"/>
      <c r="T7976" s="31"/>
      <c r="U7976" s="31"/>
      <c r="V7976" s="32"/>
    </row>
    <row r="7977">
      <c r="A7977" s="32"/>
      <c r="T7977" s="31"/>
      <c r="U7977" s="31"/>
      <c r="V7977" s="32"/>
    </row>
    <row r="7978">
      <c r="A7978" s="32"/>
      <c r="T7978" s="31"/>
      <c r="U7978" s="31"/>
      <c r="V7978" s="32"/>
    </row>
    <row r="7979">
      <c r="A7979" s="32"/>
      <c r="T7979" s="31"/>
      <c r="U7979" s="31"/>
      <c r="V7979" s="32"/>
    </row>
    <row r="7980">
      <c r="A7980" s="32"/>
      <c r="T7980" s="31"/>
      <c r="U7980" s="31"/>
      <c r="V7980" s="32"/>
    </row>
    <row r="7981">
      <c r="A7981" s="32"/>
      <c r="T7981" s="31"/>
      <c r="U7981" s="31"/>
      <c r="V7981" s="32"/>
    </row>
    <row r="7982">
      <c r="A7982" s="32"/>
      <c r="T7982" s="31"/>
      <c r="U7982" s="31"/>
      <c r="V7982" s="32"/>
    </row>
    <row r="7983">
      <c r="A7983" s="32"/>
      <c r="T7983" s="31"/>
      <c r="U7983" s="31"/>
      <c r="V7983" s="32"/>
    </row>
    <row r="7984">
      <c r="A7984" s="32"/>
      <c r="T7984" s="31"/>
      <c r="U7984" s="31"/>
      <c r="V7984" s="32"/>
    </row>
    <row r="7985">
      <c r="A7985" s="32"/>
      <c r="T7985" s="31"/>
      <c r="U7985" s="31"/>
      <c r="V7985" s="32"/>
    </row>
    <row r="7986">
      <c r="A7986" s="32"/>
      <c r="T7986" s="31"/>
      <c r="U7986" s="31"/>
      <c r="V7986" s="32"/>
    </row>
    <row r="7987">
      <c r="A7987" s="32"/>
      <c r="T7987" s="31"/>
      <c r="U7987" s="31"/>
      <c r="V7987" s="32"/>
    </row>
    <row r="7988">
      <c r="A7988" s="32"/>
      <c r="T7988" s="31"/>
      <c r="U7988" s="31"/>
      <c r="V7988" s="32"/>
    </row>
    <row r="7989">
      <c r="A7989" s="32"/>
      <c r="T7989" s="31"/>
      <c r="U7989" s="31"/>
      <c r="V7989" s="32"/>
    </row>
    <row r="7990">
      <c r="A7990" s="32"/>
      <c r="T7990" s="31"/>
      <c r="U7990" s="31"/>
      <c r="V7990" s="32"/>
    </row>
    <row r="7991">
      <c r="A7991" s="32"/>
      <c r="T7991" s="31"/>
      <c r="U7991" s="31"/>
      <c r="V7991" s="32"/>
    </row>
    <row r="7992">
      <c r="A7992" s="32"/>
      <c r="T7992" s="31"/>
      <c r="U7992" s="31"/>
      <c r="V7992" s="32"/>
    </row>
    <row r="7993">
      <c r="A7993" s="32"/>
      <c r="T7993" s="31"/>
      <c r="U7993" s="31"/>
      <c r="V7993" s="32"/>
    </row>
    <row r="7994">
      <c r="A7994" s="32"/>
      <c r="T7994" s="31"/>
      <c r="U7994" s="31"/>
      <c r="V7994" s="32"/>
    </row>
    <row r="7995">
      <c r="A7995" s="32"/>
      <c r="T7995" s="31"/>
      <c r="U7995" s="31"/>
      <c r="V7995" s="32"/>
    </row>
    <row r="7996">
      <c r="A7996" s="32"/>
      <c r="T7996" s="31"/>
      <c r="U7996" s="31"/>
      <c r="V7996" s="32"/>
    </row>
    <row r="7997">
      <c r="A7997" s="32"/>
      <c r="T7997" s="31"/>
      <c r="U7997" s="31"/>
      <c r="V7997" s="32"/>
    </row>
    <row r="7998">
      <c r="A7998" s="32"/>
      <c r="T7998" s="31"/>
      <c r="U7998" s="31"/>
      <c r="V7998" s="32"/>
    </row>
    <row r="7999">
      <c r="A7999" s="32"/>
      <c r="T7999" s="31"/>
      <c r="U7999" s="31"/>
      <c r="V7999" s="32"/>
    </row>
    <row r="8000">
      <c r="A8000" s="32"/>
      <c r="T8000" s="31"/>
      <c r="U8000" s="31"/>
      <c r="V8000" s="32"/>
    </row>
    <row r="8001">
      <c r="A8001" s="32"/>
      <c r="T8001" s="31"/>
      <c r="U8001" s="31"/>
      <c r="V8001" s="32"/>
    </row>
    <row r="8002">
      <c r="A8002" s="32"/>
      <c r="T8002" s="31"/>
      <c r="U8002" s="31"/>
      <c r="V8002" s="32"/>
    </row>
    <row r="8003">
      <c r="A8003" s="32"/>
      <c r="T8003" s="31"/>
      <c r="U8003" s="31"/>
      <c r="V8003" s="32"/>
    </row>
    <row r="8004">
      <c r="A8004" s="32"/>
      <c r="T8004" s="31"/>
      <c r="U8004" s="31"/>
      <c r="V8004" s="32"/>
    </row>
    <row r="8005">
      <c r="A8005" s="32"/>
      <c r="T8005" s="31"/>
      <c r="U8005" s="31"/>
      <c r="V8005" s="32"/>
    </row>
    <row r="8006">
      <c r="A8006" s="32"/>
      <c r="T8006" s="31"/>
      <c r="U8006" s="31"/>
      <c r="V8006" s="32"/>
    </row>
    <row r="8007">
      <c r="A8007" s="32"/>
      <c r="T8007" s="31"/>
      <c r="U8007" s="31"/>
      <c r="V8007" s="32"/>
    </row>
    <row r="8008">
      <c r="A8008" s="32"/>
      <c r="T8008" s="31"/>
      <c r="U8008" s="31"/>
      <c r="V8008" s="32"/>
    </row>
    <row r="8009">
      <c r="A8009" s="32"/>
      <c r="T8009" s="31"/>
      <c r="U8009" s="31"/>
      <c r="V8009" s="32"/>
    </row>
    <row r="8010">
      <c r="A8010" s="32"/>
      <c r="T8010" s="31"/>
      <c r="U8010" s="31"/>
      <c r="V8010" s="32"/>
    </row>
    <row r="8011">
      <c r="A8011" s="32"/>
      <c r="T8011" s="31"/>
      <c r="U8011" s="31"/>
      <c r="V8011" s="32"/>
    </row>
    <row r="8012">
      <c r="A8012" s="32"/>
      <c r="T8012" s="31"/>
      <c r="U8012" s="31"/>
      <c r="V8012" s="32"/>
    </row>
    <row r="8013">
      <c r="A8013" s="32"/>
      <c r="T8013" s="31"/>
      <c r="U8013" s="31"/>
      <c r="V8013" s="32"/>
    </row>
    <row r="8014">
      <c r="A8014" s="32"/>
      <c r="T8014" s="31"/>
      <c r="U8014" s="31"/>
      <c r="V8014" s="32"/>
    </row>
    <row r="8015">
      <c r="A8015" s="32"/>
      <c r="T8015" s="31"/>
      <c r="U8015" s="31"/>
      <c r="V8015" s="32"/>
    </row>
    <row r="8016">
      <c r="A8016" s="32"/>
      <c r="T8016" s="31"/>
      <c r="U8016" s="31"/>
      <c r="V8016" s="32"/>
    </row>
    <row r="8017">
      <c r="A8017" s="32"/>
      <c r="T8017" s="31"/>
      <c r="U8017" s="31"/>
      <c r="V8017" s="32"/>
    </row>
    <row r="8018">
      <c r="A8018" s="32"/>
      <c r="T8018" s="31"/>
      <c r="U8018" s="31"/>
      <c r="V8018" s="32"/>
    </row>
    <row r="8019">
      <c r="A8019" s="32"/>
      <c r="T8019" s="31"/>
      <c r="U8019" s="31"/>
      <c r="V8019" s="32"/>
    </row>
    <row r="8020">
      <c r="A8020" s="32"/>
      <c r="T8020" s="31"/>
      <c r="U8020" s="31"/>
      <c r="V8020" s="32"/>
    </row>
    <row r="8021">
      <c r="A8021" s="32"/>
      <c r="T8021" s="31"/>
      <c r="U8021" s="31"/>
      <c r="V8021" s="32"/>
    </row>
    <row r="8022">
      <c r="A8022" s="32"/>
      <c r="T8022" s="31"/>
      <c r="U8022" s="31"/>
      <c r="V8022" s="32"/>
    </row>
    <row r="8023">
      <c r="A8023" s="32"/>
      <c r="T8023" s="31"/>
      <c r="U8023" s="31"/>
      <c r="V8023" s="32"/>
    </row>
    <row r="8024">
      <c r="A8024" s="32"/>
      <c r="T8024" s="31"/>
      <c r="U8024" s="31"/>
      <c r="V8024" s="32"/>
    </row>
    <row r="8025">
      <c r="A8025" s="32"/>
      <c r="T8025" s="31"/>
      <c r="U8025" s="31"/>
      <c r="V8025" s="32"/>
    </row>
    <row r="8026">
      <c r="A8026" s="32"/>
      <c r="T8026" s="31"/>
      <c r="U8026" s="31"/>
      <c r="V8026" s="32"/>
    </row>
    <row r="8027">
      <c r="A8027" s="32"/>
      <c r="T8027" s="31"/>
      <c r="U8027" s="31"/>
      <c r="V8027" s="32"/>
    </row>
    <row r="8028">
      <c r="A8028" s="32"/>
      <c r="T8028" s="31"/>
      <c r="U8028" s="31"/>
      <c r="V8028" s="32"/>
    </row>
    <row r="8029">
      <c r="A8029" s="32"/>
      <c r="T8029" s="31"/>
      <c r="U8029" s="31"/>
      <c r="V8029" s="32"/>
    </row>
    <row r="8030">
      <c r="A8030" s="32"/>
      <c r="T8030" s="31"/>
      <c r="U8030" s="31"/>
      <c r="V8030" s="32"/>
    </row>
    <row r="8031">
      <c r="A8031" s="32"/>
      <c r="T8031" s="31"/>
      <c r="U8031" s="31"/>
      <c r="V8031" s="32"/>
    </row>
    <row r="8032">
      <c r="A8032" s="32"/>
      <c r="T8032" s="31"/>
      <c r="U8032" s="31"/>
      <c r="V8032" s="32"/>
    </row>
    <row r="8033">
      <c r="A8033" s="32"/>
      <c r="T8033" s="31"/>
      <c r="U8033" s="31"/>
      <c r="V8033" s="32"/>
    </row>
    <row r="8034">
      <c r="A8034" s="32"/>
      <c r="T8034" s="31"/>
      <c r="U8034" s="31"/>
      <c r="V8034" s="32"/>
    </row>
    <row r="8035">
      <c r="A8035" s="32"/>
      <c r="T8035" s="31"/>
      <c r="U8035" s="31"/>
      <c r="V8035" s="32"/>
    </row>
    <row r="8036">
      <c r="A8036" s="32"/>
      <c r="T8036" s="31"/>
      <c r="U8036" s="31"/>
      <c r="V8036" s="32"/>
    </row>
    <row r="8037">
      <c r="A8037" s="32"/>
      <c r="T8037" s="31"/>
      <c r="U8037" s="31"/>
      <c r="V8037" s="32"/>
    </row>
    <row r="8038">
      <c r="A8038" s="32"/>
      <c r="T8038" s="31"/>
      <c r="U8038" s="31"/>
      <c r="V8038" s="32"/>
    </row>
    <row r="8039">
      <c r="A8039" s="32"/>
      <c r="T8039" s="31"/>
      <c r="U8039" s="31"/>
      <c r="V8039" s="32"/>
    </row>
    <row r="8040">
      <c r="A8040" s="32"/>
      <c r="T8040" s="31"/>
      <c r="U8040" s="31"/>
      <c r="V8040" s="32"/>
    </row>
    <row r="8041">
      <c r="A8041" s="32"/>
      <c r="T8041" s="31"/>
      <c r="U8041" s="31"/>
      <c r="V8041" s="32"/>
    </row>
    <row r="8042">
      <c r="A8042" s="32"/>
      <c r="T8042" s="31"/>
      <c r="U8042" s="31"/>
      <c r="V8042" s="32"/>
    </row>
    <row r="8043">
      <c r="A8043" s="32"/>
      <c r="T8043" s="31"/>
      <c r="U8043" s="31"/>
      <c r="V8043" s="32"/>
    </row>
    <row r="8044">
      <c r="A8044" s="32"/>
      <c r="T8044" s="31"/>
      <c r="U8044" s="31"/>
      <c r="V8044" s="32"/>
    </row>
    <row r="8045">
      <c r="A8045" s="32"/>
      <c r="T8045" s="31"/>
      <c r="U8045" s="31"/>
      <c r="V8045" s="32"/>
    </row>
    <row r="8046">
      <c r="A8046" s="32"/>
      <c r="T8046" s="31"/>
      <c r="U8046" s="31"/>
      <c r="V8046" s="32"/>
    </row>
    <row r="8047">
      <c r="A8047" s="32"/>
      <c r="T8047" s="31"/>
      <c r="U8047" s="31"/>
      <c r="V8047" s="32"/>
    </row>
    <row r="8048">
      <c r="A8048" s="32"/>
      <c r="T8048" s="31"/>
      <c r="U8048" s="31"/>
      <c r="V8048" s="32"/>
    </row>
    <row r="8049">
      <c r="A8049" s="32"/>
      <c r="T8049" s="31"/>
      <c r="U8049" s="31"/>
      <c r="V8049" s="32"/>
    </row>
    <row r="8050">
      <c r="A8050" s="32"/>
      <c r="T8050" s="31"/>
      <c r="U8050" s="31"/>
      <c r="V8050" s="32"/>
    </row>
    <row r="8051">
      <c r="A8051" s="32"/>
      <c r="T8051" s="31"/>
      <c r="U8051" s="31"/>
      <c r="V8051" s="32"/>
    </row>
    <row r="8052">
      <c r="A8052" s="32"/>
      <c r="T8052" s="31"/>
      <c r="U8052" s="31"/>
      <c r="V8052" s="32"/>
    </row>
    <row r="8053">
      <c r="A8053" s="32"/>
      <c r="T8053" s="31"/>
      <c r="U8053" s="31"/>
      <c r="V8053" s="32"/>
    </row>
    <row r="8054">
      <c r="A8054" s="32"/>
      <c r="T8054" s="31"/>
      <c r="U8054" s="31"/>
      <c r="V8054" s="32"/>
    </row>
    <row r="8055">
      <c r="A8055" s="32"/>
      <c r="T8055" s="31"/>
      <c r="U8055" s="31"/>
      <c r="V8055" s="32"/>
    </row>
    <row r="8056">
      <c r="A8056" s="32"/>
      <c r="T8056" s="31"/>
      <c r="U8056" s="31"/>
      <c r="V8056" s="32"/>
    </row>
    <row r="8057">
      <c r="A8057" s="32"/>
      <c r="T8057" s="31"/>
      <c r="U8057" s="31"/>
      <c r="V8057" s="32"/>
    </row>
    <row r="8058">
      <c r="A8058" s="32"/>
      <c r="T8058" s="31"/>
      <c r="U8058" s="31"/>
      <c r="V8058" s="32"/>
    </row>
    <row r="8059">
      <c r="A8059" s="32"/>
      <c r="T8059" s="31"/>
      <c r="U8059" s="31"/>
      <c r="V8059" s="32"/>
    </row>
    <row r="8060">
      <c r="A8060" s="32"/>
      <c r="T8060" s="31"/>
      <c r="U8060" s="31"/>
      <c r="V8060" s="32"/>
    </row>
    <row r="8061">
      <c r="A8061" s="32"/>
      <c r="T8061" s="31"/>
      <c r="U8061" s="31"/>
      <c r="V8061" s="32"/>
    </row>
    <row r="8062">
      <c r="A8062" s="32"/>
      <c r="T8062" s="31"/>
      <c r="U8062" s="31"/>
      <c r="V8062" s="32"/>
    </row>
    <row r="8063">
      <c r="A8063" s="32"/>
      <c r="T8063" s="31"/>
      <c r="U8063" s="31"/>
      <c r="V8063" s="32"/>
    </row>
    <row r="8064">
      <c r="A8064" s="32"/>
      <c r="T8064" s="31"/>
      <c r="U8064" s="31"/>
      <c r="V8064" s="32"/>
    </row>
    <row r="8065">
      <c r="A8065" s="32"/>
      <c r="T8065" s="31"/>
      <c r="U8065" s="31"/>
      <c r="V8065" s="32"/>
    </row>
    <row r="8066">
      <c r="A8066" s="32"/>
      <c r="T8066" s="31"/>
      <c r="U8066" s="31"/>
      <c r="V8066" s="32"/>
    </row>
    <row r="8067">
      <c r="A8067" s="32"/>
      <c r="T8067" s="31"/>
      <c r="U8067" s="31"/>
      <c r="V8067" s="32"/>
    </row>
    <row r="8068">
      <c r="A8068" s="32"/>
      <c r="T8068" s="31"/>
      <c r="U8068" s="31"/>
      <c r="V8068" s="32"/>
    </row>
    <row r="8069">
      <c r="A8069" s="32"/>
      <c r="T8069" s="31"/>
      <c r="U8069" s="31"/>
      <c r="V8069" s="32"/>
    </row>
    <row r="8070">
      <c r="A8070" s="32"/>
      <c r="T8070" s="31"/>
      <c r="U8070" s="31"/>
      <c r="V8070" s="32"/>
    </row>
    <row r="8071">
      <c r="A8071" s="32"/>
      <c r="T8071" s="31"/>
      <c r="U8071" s="31"/>
      <c r="V8071" s="32"/>
    </row>
    <row r="8072">
      <c r="A8072" s="32"/>
      <c r="T8072" s="31"/>
      <c r="U8072" s="31"/>
      <c r="V8072" s="32"/>
    </row>
    <row r="8073">
      <c r="A8073" s="32"/>
      <c r="T8073" s="31"/>
      <c r="U8073" s="31"/>
      <c r="V8073" s="32"/>
    </row>
    <row r="8074">
      <c r="A8074" s="32"/>
      <c r="T8074" s="31"/>
      <c r="U8074" s="31"/>
      <c r="V8074" s="32"/>
    </row>
    <row r="8075">
      <c r="A8075" s="32"/>
      <c r="T8075" s="31"/>
      <c r="U8075" s="31"/>
      <c r="V8075" s="32"/>
    </row>
    <row r="8076">
      <c r="A8076" s="32"/>
      <c r="T8076" s="31"/>
      <c r="U8076" s="31"/>
      <c r="V8076" s="32"/>
    </row>
    <row r="8077">
      <c r="A8077" s="32"/>
      <c r="T8077" s="31"/>
      <c r="U8077" s="31"/>
      <c r="V8077" s="32"/>
    </row>
    <row r="8078">
      <c r="A8078" s="32"/>
      <c r="T8078" s="31"/>
      <c r="U8078" s="31"/>
      <c r="V8078" s="32"/>
    </row>
    <row r="8079">
      <c r="A8079" s="32"/>
      <c r="T8079" s="31"/>
      <c r="U8079" s="31"/>
      <c r="V8079" s="32"/>
    </row>
    <row r="8080">
      <c r="A8080" s="32"/>
      <c r="T8080" s="31"/>
      <c r="U8080" s="31"/>
      <c r="V8080" s="32"/>
    </row>
    <row r="8081">
      <c r="A8081" s="32"/>
      <c r="T8081" s="31"/>
      <c r="U8081" s="31"/>
      <c r="V8081" s="32"/>
    </row>
    <row r="8082">
      <c r="A8082" s="32"/>
      <c r="T8082" s="31"/>
      <c r="U8082" s="31"/>
      <c r="V8082" s="32"/>
    </row>
    <row r="8083">
      <c r="A8083" s="32"/>
      <c r="T8083" s="31"/>
      <c r="U8083" s="31"/>
      <c r="V8083" s="32"/>
    </row>
    <row r="8084">
      <c r="A8084" s="32"/>
      <c r="T8084" s="31"/>
      <c r="U8084" s="31"/>
      <c r="V8084" s="32"/>
    </row>
    <row r="8085">
      <c r="A8085" s="32"/>
      <c r="T8085" s="31"/>
      <c r="U8085" s="31"/>
      <c r="V8085" s="32"/>
    </row>
    <row r="8086">
      <c r="A8086" s="32"/>
      <c r="T8086" s="31"/>
      <c r="U8086" s="31"/>
      <c r="V8086" s="32"/>
    </row>
    <row r="8087">
      <c r="A8087" s="32"/>
      <c r="T8087" s="31"/>
      <c r="U8087" s="31"/>
      <c r="V8087" s="32"/>
    </row>
    <row r="8088">
      <c r="A8088" s="32"/>
      <c r="T8088" s="31"/>
      <c r="U8088" s="31"/>
      <c r="V8088" s="32"/>
    </row>
    <row r="8089">
      <c r="A8089" s="32"/>
      <c r="T8089" s="31"/>
      <c r="U8089" s="31"/>
      <c r="V8089" s="32"/>
    </row>
    <row r="8090">
      <c r="A8090" s="32"/>
      <c r="T8090" s="31"/>
      <c r="U8090" s="31"/>
      <c r="V8090" s="32"/>
    </row>
    <row r="8091">
      <c r="A8091" s="32"/>
      <c r="T8091" s="31"/>
      <c r="U8091" s="31"/>
      <c r="V8091" s="32"/>
    </row>
    <row r="8092">
      <c r="A8092" s="32"/>
      <c r="T8092" s="31"/>
      <c r="U8092" s="31"/>
      <c r="V8092" s="32"/>
    </row>
    <row r="8093">
      <c r="A8093" s="32"/>
      <c r="T8093" s="31"/>
      <c r="U8093" s="31"/>
      <c r="V8093" s="32"/>
    </row>
    <row r="8094">
      <c r="A8094" s="32"/>
      <c r="T8094" s="31"/>
      <c r="U8094" s="31"/>
      <c r="V8094" s="32"/>
    </row>
    <row r="8095">
      <c r="A8095" s="32"/>
      <c r="T8095" s="31"/>
      <c r="U8095" s="31"/>
      <c r="V8095" s="32"/>
    </row>
    <row r="8096">
      <c r="A8096" s="32"/>
      <c r="T8096" s="31"/>
      <c r="U8096" s="31"/>
      <c r="V8096" s="32"/>
    </row>
    <row r="8097">
      <c r="A8097" s="32"/>
      <c r="T8097" s="31"/>
      <c r="U8097" s="31"/>
      <c r="V8097" s="32"/>
    </row>
    <row r="8098">
      <c r="A8098" s="32"/>
      <c r="T8098" s="31"/>
      <c r="U8098" s="31"/>
      <c r="V8098" s="32"/>
    </row>
    <row r="8099">
      <c r="A8099" s="32"/>
      <c r="T8099" s="31"/>
      <c r="U8099" s="31"/>
      <c r="V8099" s="32"/>
    </row>
    <row r="8100">
      <c r="A8100" s="32"/>
      <c r="T8100" s="31"/>
      <c r="U8100" s="31"/>
      <c r="V8100" s="32"/>
    </row>
    <row r="8101">
      <c r="A8101" s="32"/>
      <c r="T8101" s="31"/>
      <c r="U8101" s="31"/>
      <c r="V8101" s="32"/>
    </row>
    <row r="8102">
      <c r="A8102" s="32"/>
      <c r="T8102" s="31"/>
      <c r="U8102" s="31"/>
      <c r="V8102" s="32"/>
    </row>
    <row r="8103">
      <c r="A8103" s="32"/>
      <c r="T8103" s="31"/>
      <c r="U8103" s="31"/>
      <c r="V8103" s="32"/>
    </row>
    <row r="8104">
      <c r="A8104" s="32"/>
      <c r="T8104" s="31"/>
      <c r="U8104" s="31"/>
      <c r="V8104" s="32"/>
    </row>
    <row r="8105">
      <c r="A8105" s="32"/>
      <c r="T8105" s="31"/>
      <c r="U8105" s="31"/>
      <c r="V8105" s="32"/>
    </row>
    <row r="8106">
      <c r="A8106" s="32"/>
      <c r="T8106" s="31"/>
      <c r="U8106" s="31"/>
      <c r="V8106" s="32"/>
    </row>
    <row r="8107">
      <c r="A8107" s="32"/>
      <c r="T8107" s="31"/>
      <c r="U8107" s="31"/>
      <c r="V8107" s="32"/>
    </row>
    <row r="8108">
      <c r="A8108" s="32"/>
      <c r="T8108" s="31"/>
      <c r="U8108" s="31"/>
      <c r="V8108" s="32"/>
    </row>
    <row r="8109">
      <c r="A8109" s="32"/>
      <c r="T8109" s="31"/>
      <c r="U8109" s="31"/>
      <c r="V8109" s="32"/>
    </row>
    <row r="8110">
      <c r="A8110" s="32"/>
      <c r="T8110" s="31"/>
      <c r="U8110" s="31"/>
      <c r="V8110" s="32"/>
    </row>
    <row r="8111">
      <c r="A8111" s="32"/>
      <c r="T8111" s="31"/>
      <c r="U8111" s="31"/>
      <c r="V8111" s="32"/>
    </row>
    <row r="8112">
      <c r="A8112" s="32"/>
      <c r="T8112" s="31"/>
      <c r="U8112" s="31"/>
      <c r="V8112" s="32"/>
    </row>
    <row r="8113">
      <c r="A8113" s="32"/>
      <c r="T8113" s="31"/>
      <c r="U8113" s="31"/>
      <c r="V8113" s="32"/>
    </row>
    <row r="8114">
      <c r="A8114" s="32"/>
      <c r="T8114" s="31"/>
      <c r="U8114" s="31"/>
      <c r="V8114" s="32"/>
    </row>
    <row r="8115">
      <c r="A8115" s="32"/>
      <c r="T8115" s="31"/>
      <c r="U8115" s="31"/>
      <c r="V8115" s="32"/>
    </row>
    <row r="8116">
      <c r="A8116" s="32"/>
      <c r="T8116" s="31"/>
      <c r="U8116" s="31"/>
      <c r="V8116" s="32"/>
    </row>
    <row r="8117">
      <c r="A8117" s="32"/>
      <c r="T8117" s="31"/>
      <c r="U8117" s="31"/>
      <c r="V8117" s="32"/>
    </row>
    <row r="8118">
      <c r="A8118" s="32"/>
      <c r="T8118" s="31"/>
      <c r="U8118" s="31"/>
      <c r="V8118" s="32"/>
    </row>
    <row r="8119">
      <c r="A8119" s="32"/>
      <c r="T8119" s="31"/>
      <c r="U8119" s="31"/>
      <c r="V8119" s="32"/>
    </row>
    <row r="8120">
      <c r="A8120" s="32"/>
      <c r="T8120" s="31"/>
      <c r="U8120" s="31"/>
      <c r="V8120" s="32"/>
    </row>
    <row r="8121">
      <c r="A8121" s="32"/>
      <c r="T8121" s="31"/>
      <c r="U8121" s="31"/>
      <c r="V8121" s="32"/>
    </row>
    <row r="8122">
      <c r="A8122" s="32"/>
      <c r="T8122" s="31"/>
      <c r="U8122" s="31"/>
      <c r="V8122" s="32"/>
    </row>
    <row r="8123">
      <c r="A8123" s="32"/>
      <c r="T8123" s="31"/>
      <c r="U8123" s="31"/>
      <c r="V8123" s="32"/>
    </row>
    <row r="8124">
      <c r="A8124" s="32"/>
      <c r="T8124" s="31"/>
      <c r="U8124" s="31"/>
      <c r="V8124" s="32"/>
    </row>
    <row r="8125">
      <c r="A8125" s="32"/>
      <c r="T8125" s="31"/>
      <c r="U8125" s="31"/>
      <c r="V8125" s="32"/>
    </row>
    <row r="8126">
      <c r="A8126" s="32"/>
      <c r="T8126" s="31"/>
      <c r="U8126" s="31"/>
      <c r="V8126" s="32"/>
    </row>
    <row r="8127">
      <c r="A8127" s="32"/>
      <c r="T8127" s="31"/>
      <c r="U8127" s="31"/>
      <c r="V8127" s="32"/>
    </row>
    <row r="8128">
      <c r="A8128" s="32"/>
      <c r="T8128" s="31"/>
      <c r="U8128" s="31"/>
      <c r="V8128" s="32"/>
    </row>
    <row r="8129">
      <c r="A8129" s="32"/>
      <c r="T8129" s="31"/>
      <c r="U8129" s="31"/>
      <c r="V8129" s="32"/>
    </row>
    <row r="8130">
      <c r="A8130" s="32"/>
      <c r="T8130" s="31"/>
      <c r="U8130" s="31"/>
      <c r="V8130" s="32"/>
    </row>
    <row r="8131">
      <c r="A8131" s="32"/>
      <c r="T8131" s="31"/>
      <c r="U8131" s="31"/>
      <c r="V8131" s="32"/>
    </row>
    <row r="8132">
      <c r="A8132" s="32"/>
      <c r="T8132" s="31"/>
      <c r="U8132" s="31"/>
      <c r="V8132" s="32"/>
    </row>
    <row r="8133">
      <c r="A8133" s="32"/>
      <c r="T8133" s="31"/>
      <c r="U8133" s="31"/>
      <c r="V8133" s="32"/>
    </row>
    <row r="8134">
      <c r="A8134" s="32"/>
      <c r="T8134" s="31"/>
      <c r="U8134" s="31"/>
      <c r="V8134" s="32"/>
    </row>
    <row r="8135">
      <c r="A8135" s="32"/>
      <c r="T8135" s="31"/>
      <c r="U8135" s="31"/>
      <c r="V8135" s="32"/>
    </row>
    <row r="8136">
      <c r="A8136" s="32"/>
      <c r="T8136" s="31"/>
      <c r="U8136" s="31"/>
      <c r="V8136" s="32"/>
    </row>
    <row r="8137">
      <c r="A8137" s="32"/>
      <c r="T8137" s="31"/>
      <c r="U8137" s="31"/>
      <c r="V8137" s="32"/>
    </row>
    <row r="8138">
      <c r="A8138" s="32"/>
      <c r="T8138" s="31"/>
      <c r="U8138" s="31"/>
      <c r="V8138" s="32"/>
    </row>
    <row r="8139">
      <c r="A8139" s="32"/>
      <c r="T8139" s="31"/>
      <c r="U8139" s="31"/>
      <c r="V8139" s="32"/>
    </row>
    <row r="8140">
      <c r="A8140" s="32"/>
      <c r="T8140" s="31"/>
      <c r="U8140" s="31"/>
      <c r="V8140" s="32"/>
    </row>
    <row r="8141">
      <c r="A8141" s="32"/>
      <c r="T8141" s="31"/>
      <c r="U8141" s="31"/>
      <c r="V8141" s="32"/>
    </row>
    <row r="8142">
      <c r="A8142" s="32"/>
      <c r="T8142" s="31"/>
      <c r="U8142" s="31"/>
      <c r="V8142" s="32"/>
    </row>
    <row r="8143">
      <c r="A8143" s="32"/>
      <c r="T8143" s="31"/>
      <c r="U8143" s="31"/>
      <c r="V8143" s="32"/>
    </row>
    <row r="8144">
      <c r="A8144" s="32"/>
      <c r="T8144" s="31"/>
      <c r="U8144" s="31"/>
      <c r="V8144" s="32"/>
    </row>
    <row r="8145">
      <c r="A8145" s="32"/>
      <c r="T8145" s="31"/>
      <c r="U8145" s="31"/>
      <c r="V8145" s="32"/>
    </row>
    <row r="8146">
      <c r="A8146" s="32"/>
      <c r="T8146" s="31"/>
      <c r="U8146" s="31"/>
      <c r="V8146" s="32"/>
    </row>
    <row r="8147">
      <c r="A8147" s="32"/>
      <c r="T8147" s="31"/>
      <c r="U8147" s="31"/>
      <c r="V8147" s="32"/>
    </row>
    <row r="8148">
      <c r="A8148" s="32"/>
      <c r="T8148" s="31"/>
      <c r="U8148" s="31"/>
      <c r="V8148" s="32"/>
    </row>
    <row r="8149">
      <c r="A8149" s="32"/>
      <c r="T8149" s="31"/>
      <c r="U8149" s="31"/>
      <c r="V8149" s="32"/>
    </row>
    <row r="8150">
      <c r="A8150" s="32"/>
      <c r="T8150" s="31"/>
      <c r="U8150" s="31"/>
      <c r="V8150" s="32"/>
    </row>
    <row r="8151">
      <c r="A8151" s="32"/>
      <c r="T8151" s="31"/>
      <c r="U8151" s="31"/>
      <c r="V8151" s="32"/>
    </row>
    <row r="8152">
      <c r="A8152" s="32"/>
      <c r="T8152" s="31"/>
      <c r="U8152" s="31"/>
      <c r="V8152" s="32"/>
    </row>
    <row r="8153">
      <c r="A8153" s="32"/>
      <c r="T8153" s="31"/>
      <c r="U8153" s="31"/>
      <c r="V8153" s="32"/>
    </row>
    <row r="8154">
      <c r="A8154" s="32"/>
      <c r="T8154" s="31"/>
      <c r="U8154" s="31"/>
      <c r="V8154" s="32"/>
    </row>
    <row r="8155">
      <c r="A8155" s="32"/>
      <c r="T8155" s="31"/>
      <c r="U8155" s="31"/>
      <c r="V8155" s="32"/>
    </row>
    <row r="8156">
      <c r="A8156" s="32"/>
      <c r="T8156" s="31"/>
      <c r="U8156" s="31"/>
      <c r="V8156" s="32"/>
    </row>
    <row r="8157">
      <c r="A8157" s="32"/>
      <c r="T8157" s="31"/>
      <c r="U8157" s="31"/>
      <c r="V8157" s="32"/>
    </row>
    <row r="8158">
      <c r="A8158" s="32"/>
      <c r="T8158" s="31"/>
      <c r="U8158" s="31"/>
      <c r="V8158" s="32"/>
    </row>
    <row r="8159">
      <c r="A8159" s="32"/>
      <c r="T8159" s="31"/>
      <c r="U8159" s="31"/>
      <c r="V8159" s="32"/>
    </row>
    <row r="8160">
      <c r="A8160" s="32"/>
      <c r="T8160" s="31"/>
      <c r="U8160" s="31"/>
      <c r="V8160" s="32"/>
    </row>
    <row r="8161">
      <c r="A8161" s="32"/>
      <c r="T8161" s="31"/>
      <c r="U8161" s="31"/>
      <c r="V8161" s="32"/>
    </row>
    <row r="8162">
      <c r="A8162" s="32"/>
      <c r="T8162" s="31"/>
      <c r="U8162" s="31"/>
      <c r="V8162" s="32"/>
    </row>
    <row r="8163">
      <c r="A8163" s="32"/>
      <c r="T8163" s="31"/>
      <c r="U8163" s="31"/>
      <c r="V8163" s="32"/>
    </row>
    <row r="8164">
      <c r="A8164" s="32"/>
      <c r="T8164" s="31"/>
      <c r="U8164" s="31"/>
      <c r="V8164" s="32"/>
    </row>
    <row r="8165">
      <c r="A8165" s="32"/>
      <c r="T8165" s="31"/>
      <c r="U8165" s="31"/>
      <c r="V8165" s="32"/>
    </row>
    <row r="8166">
      <c r="A8166" s="32"/>
      <c r="T8166" s="31"/>
      <c r="U8166" s="31"/>
      <c r="V8166" s="32"/>
    </row>
    <row r="8167">
      <c r="A8167" s="32"/>
      <c r="T8167" s="31"/>
      <c r="U8167" s="31"/>
      <c r="V8167" s="32"/>
    </row>
    <row r="8168">
      <c r="A8168" s="32"/>
      <c r="T8168" s="31"/>
      <c r="U8168" s="31"/>
      <c r="V8168" s="32"/>
    </row>
    <row r="8169">
      <c r="A8169" s="32"/>
      <c r="T8169" s="31"/>
      <c r="U8169" s="31"/>
      <c r="V8169" s="32"/>
    </row>
    <row r="8170">
      <c r="A8170" s="32"/>
      <c r="T8170" s="31"/>
      <c r="U8170" s="31"/>
      <c r="V8170" s="32"/>
    </row>
    <row r="8171">
      <c r="A8171" s="32"/>
      <c r="T8171" s="31"/>
      <c r="U8171" s="31"/>
      <c r="V8171" s="32"/>
    </row>
    <row r="8172">
      <c r="A8172" s="32"/>
      <c r="T8172" s="31"/>
      <c r="U8172" s="31"/>
      <c r="V8172" s="32"/>
    </row>
    <row r="8173">
      <c r="A8173" s="32"/>
      <c r="T8173" s="31"/>
      <c r="U8173" s="31"/>
      <c r="V8173" s="32"/>
    </row>
    <row r="8174">
      <c r="A8174" s="32"/>
      <c r="T8174" s="31"/>
      <c r="U8174" s="31"/>
      <c r="V8174" s="32"/>
    </row>
    <row r="8175">
      <c r="A8175" s="32"/>
      <c r="T8175" s="31"/>
      <c r="U8175" s="31"/>
      <c r="V8175" s="32"/>
    </row>
    <row r="8176">
      <c r="A8176" s="32"/>
      <c r="T8176" s="31"/>
      <c r="U8176" s="31"/>
      <c r="V8176" s="32"/>
    </row>
    <row r="8177">
      <c r="A8177" s="32"/>
      <c r="T8177" s="31"/>
      <c r="U8177" s="31"/>
      <c r="V8177" s="32"/>
    </row>
    <row r="8178">
      <c r="A8178" s="32"/>
      <c r="T8178" s="31"/>
      <c r="U8178" s="31"/>
      <c r="V8178" s="32"/>
    </row>
    <row r="8179">
      <c r="A8179" s="32"/>
      <c r="T8179" s="31"/>
      <c r="U8179" s="31"/>
      <c r="V8179" s="32"/>
    </row>
    <row r="8180">
      <c r="A8180" s="32"/>
      <c r="T8180" s="31"/>
      <c r="U8180" s="31"/>
      <c r="V8180" s="32"/>
    </row>
    <row r="8181">
      <c r="A8181" s="32"/>
      <c r="T8181" s="31"/>
      <c r="U8181" s="31"/>
      <c r="V8181" s="32"/>
    </row>
    <row r="8182">
      <c r="A8182" s="32"/>
      <c r="T8182" s="31"/>
      <c r="U8182" s="31"/>
      <c r="V8182" s="32"/>
    </row>
    <row r="8183">
      <c r="A8183" s="32"/>
      <c r="T8183" s="31"/>
      <c r="U8183" s="31"/>
      <c r="V8183" s="32"/>
    </row>
    <row r="8184">
      <c r="A8184" s="32"/>
      <c r="T8184" s="31"/>
      <c r="U8184" s="31"/>
      <c r="V8184" s="32"/>
    </row>
    <row r="8185">
      <c r="A8185" s="32"/>
      <c r="T8185" s="31"/>
      <c r="U8185" s="31"/>
      <c r="V8185" s="32"/>
    </row>
    <row r="8186">
      <c r="A8186" s="32"/>
      <c r="T8186" s="31"/>
      <c r="U8186" s="31"/>
      <c r="V8186" s="32"/>
    </row>
    <row r="8187">
      <c r="A8187" s="32"/>
      <c r="T8187" s="31"/>
      <c r="U8187" s="31"/>
      <c r="V8187" s="32"/>
    </row>
    <row r="8188">
      <c r="A8188" s="32"/>
      <c r="T8188" s="31"/>
      <c r="U8188" s="31"/>
      <c r="V8188" s="32"/>
    </row>
    <row r="8189">
      <c r="A8189" s="32"/>
      <c r="T8189" s="31"/>
      <c r="U8189" s="31"/>
      <c r="V8189" s="32"/>
    </row>
    <row r="8190">
      <c r="A8190" s="32"/>
      <c r="T8190" s="31"/>
      <c r="U8190" s="31"/>
      <c r="V8190" s="32"/>
    </row>
    <row r="8191">
      <c r="A8191" s="32"/>
      <c r="T8191" s="31"/>
      <c r="U8191" s="31"/>
      <c r="V8191" s="32"/>
    </row>
    <row r="8192">
      <c r="A8192" s="32"/>
      <c r="T8192" s="31"/>
      <c r="U8192" s="31"/>
      <c r="V8192" s="32"/>
    </row>
    <row r="8193">
      <c r="A8193" s="32"/>
      <c r="T8193" s="31"/>
      <c r="U8193" s="31"/>
      <c r="V8193" s="32"/>
    </row>
    <row r="8194">
      <c r="A8194" s="32"/>
      <c r="T8194" s="31"/>
      <c r="U8194" s="31"/>
      <c r="V8194" s="32"/>
    </row>
    <row r="8195">
      <c r="A8195" s="32"/>
      <c r="T8195" s="31"/>
      <c r="U8195" s="31"/>
      <c r="V8195" s="32"/>
    </row>
    <row r="8196">
      <c r="A8196" s="32"/>
      <c r="T8196" s="31"/>
      <c r="U8196" s="31"/>
      <c r="V8196" s="32"/>
    </row>
    <row r="8197">
      <c r="A8197" s="32"/>
      <c r="T8197" s="31"/>
      <c r="U8197" s="31"/>
      <c r="V8197" s="32"/>
    </row>
    <row r="8198">
      <c r="A8198" s="32"/>
      <c r="T8198" s="31"/>
      <c r="U8198" s="31"/>
      <c r="V8198" s="32"/>
    </row>
    <row r="8199">
      <c r="A8199" s="32"/>
      <c r="T8199" s="31"/>
      <c r="U8199" s="31"/>
      <c r="V8199" s="32"/>
    </row>
    <row r="8200">
      <c r="A8200" s="32"/>
      <c r="T8200" s="31"/>
      <c r="U8200" s="31"/>
      <c r="V8200" s="32"/>
    </row>
    <row r="8201">
      <c r="A8201" s="32"/>
      <c r="T8201" s="31"/>
      <c r="U8201" s="31"/>
      <c r="V8201" s="32"/>
    </row>
    <row r="8202">
      <c r="A8202" s="32"/>
      <c r="T8202" s="31"/>
      <c r="U8202" s="31"/>
      <c r="V8202" s="32"/>
    </row>
    <row r="8203">
      <c r="A8203" s="32"/>
      <c r="T8203" s="31"/>
      <c r="U8203" s="31"/>
      <c r="V8203" s="32"/>
    </row>
    <row r="8204">
      <c r="A8204" s="32"/>
      <c r="T8204" s="31"/>
      <c r="U8204" s="31"/>
      <c r="V8204" s="32"/>
    </row>
    <row r="8205">
      <c r="A8205" s="32"/>
      <c r="T8205" s="31"/>
      <c r="U8205" s="31"/>
      <c r="V8205" s="32"/>
    </row>
    <row r="8206">
      <c r="A8206" s="32"/>
      <c r="T8206" s="31"/>
      <c r="U8206" s="31"/>
      <c r="V8206" s="32"/>
    </row>
    <row r="8207">
      <c r="A8207" s="32"/>
      <c r="T8207" s="31"/>
      <c r="U8207" s="31"/>
      <c r="V8207" s="32"/>
    </row>
    <row r="8208">
      <c r="A8208" s="32"/>
      <c r="T8208" s="31"/>
      <c r="U8208" s="31"/>
      <c r="V8208" s="32"/>
    </row>
    <row r="8209">
      <c r="A8209" s="32"/>
      <c r="T8209" s="31"/>
      <c r="U8209" s="31"/>
      <c r="V8209" s="32"/>
    </row>
    <row r="8210">
      <c r="A8210" s="32"/>
      <c r="T8210" s="31"/>
      <c r="U8210" s="31"/>
      <c r="V8210" s="32"/>
    </row>
    <row r="8211">
      <c r="A8211" s="32"/>
      <c r="T8211" s="31"/>
      <c r="U8211" s="31"/>
      <c r="V8211" s="32"/>
    </row>
    <row r="8212">
      <c r="A8212" s="32"/>
      <c r="T8212" s="31"/>
      <c r="U8212" s="31"/>
      <c r="V8212" s="32"/>
    </row>
    <row r="8213">
      <c r="A8213" s="32"/>
      <c r="T8213" s="31"/>
      <c r="U8213" s="31"/>
      <c r="V8213" s="32"/>
    </row>
    <row r="8214">
      <c r="A8214" s="32"/>
      <c r="T8214" s="31"/>
      <c r="U8214" s="31"/>
      <c r="V8214" s="32"/>
    </row>
    <row r="8215">
      <c r="A8215" s="32"/>
      <c r="T8215" s="31"/>
      <c r="U8215" s="31"/>
      <c r="V8215" s="32"/>
    </row>
    <row r="8216">
      <c r="A8216" s="32"/>
      <c r="T8216" s="31"/>
      <c r="U8216" s="31"/>
      <c r="V8216" s="32"/>
    </row>
    <row r="8217">
      <c r="A8217" s="32"/>
      <c r="T8217" s="31"/>
      <c r="U8217" s="31"/>
      <c r="V8217" s="32"/>
    </row>
    <row r="8218">
      <c r="A8218" s="32"/>
      <c r="T8218" s="31"/>
      <c r="U8218" s="31"/>
      <c r="V8218" s="32"/>
    </row>
    <row r="8219">
      <c r="A8219" s="32"/>
      <c r="T8219" s="31"/>
      <c r="U8219" s="31"/>
      <c r="V8219" s="32"/>
    </row>
    <row r="8220">
      <c r="A8220" s="32"/>
      <c r="T8220" s="31"/>
      <c r="U8220" s="31"/>
      <c r="V8220" s="32"/>
    </row>
    <row r="8221">
      <c r="A8221" s="32"/>
      <c r="T8221" s="31"/>
      <c r="U8221" s="31"/>
      <c r="V8221" s="32"/>
    </row>
    <row r="8222">
      <c r="A8222" s="32"/>
      <c r="T8222" s="31"/>
      <c r="U8222" s="31"/>
      <c r="V8222" s="32"/>
    </row>
    <row r="8223">
      <c r="A8223" s="32"/>
      <c r="T8223" s="31"/>
      <c r="U8223" s="31"/>
      <c r="V8223" s="32"/>
    </row>
    <row r="8224">
      <c r="A8224" s="32"/>
      <c r="T8224" s="31"/>
      <c r="U8224" s="31"/>
      <c r="V8224" s="32"/>
    </row>
    <row r="8225">
      <c r="A8225" s="32"/>
      <c r="T8225" s="31"/>
      <c r="U8225" s="31"/>
      <c r="V8225" s="32"/>
    </row>
    <row r="8226">
      <c r="A8226" s="32"/>
      <c r="T8226" s="31"/>
      <c r="U8226" s="31"/>
      <c r="V8226" s="32"/>
    </row>
    <row r="8227">
      <c r="A8227" s="32"/>
      <c r="T8227" s="31"/>
      <c r="U8227" s="31"/>
      <c r="V8227" s="32"/>
    </row>
    <row r="8228">
      <c r="A8228" s="32"/>
      <c r="T8228" s="31"/>
      <c r="U8228" s="31"/>
      <c r="V8228" s="32"/>
    </row>
    <row r="8229">
      <c r="A8229" s="32"/>
      <c r="T8229" s="31"/>
      <c r="U8229" s="31"/>
      <c r="V8229" s="32"/>
    </row>
    <row r="8230">
      <c r="A8230" s="32"/>
      <c r="T8230" s="31"/>
      <c r="U8230" s="31"/>
      <c r="V8230" s="32"/>
    </row>
    <row r="8231">
      <c r="A8231" s="32"/>
      <c r="T8231" s="31"/>
      <c r="U8231" s="31"/>
      <c r="V8231" s="32"/>
    </row>
    <row r="8232">
      <c r="A8232" s="32"/>
      <c r="T8232" s="31"/>
      <c r="U8232" s="31"/>
      <c r="V8232" s="32"/>
    </row>
    <row r="8233">
      <c r="A8233" s="32"/>
      <c r="T8233" s="31"/>
      <c r="U8233" s="31"/>
      <c r="V8233" s="32"/>
    </row>
    <row r="8234">
      <c r="A8234" s="32"/>
      <c r="T8234" s="31"/>
      <c r="U8234" s="31"/>
      <c r="V8234" s="32"/>
    </row>
    <row r="8235">
      <c r="A8235" s="32"/>
      <c r="T8235" s="31"/>
      <c r="U8235" s="31"/>
      <c r="V8235" s="32"/>
    </row>
    <row r="8236">
      <c r="A8236" s="32"/>
      <c r="T8236" s="31"/>
      <c r="U8236" s="31"/>
      <c r="V8236" s="32"/>
    </row>
    <row r="8237">
      <c r="A8237" s="32"/>
      <c r="T8237" s="31"/>
      <c r="U8237" s="31"/>
      <c r="V8237" s="32"/>
    </row>
    <row r="8238">
      <c r="A8238" s="32"/>
      <c r="T8238" s="31"/>
      <c r="U8238" s="31"/>
      <c r="V8238" s="32"/>
    </row>
    <row r="8239">
      <c r="A8239" s="32"/>
      <c r="T8239" s="31"/>
      <c r="U8239" s="31"/>
      <c r="V8239" s="32"/>
    </row>
    <row r="8240">
      <c r="A8240" s="32"/>
      <c r="T8240" s="31"/>
      <c r="U8240" s="31"/>
      <c r="V8240" s="32"/>
    </row>
    <row r="8241">
      <c r="A8241" s="32"/>
      <c r="T8241" s="31"/>
      <c r="U8241" s="31"/>
      <c r="V8241" s="32"/>
    </row>
    <row r="8242">
      <c r="A8242" s="32"/>
      <c r="T8242" s="31"/>
      <c r="U8242" s="31"/>
      <c r="V8242" s="32"/>
    </row>
    <row r="8243">
      <c r="A8243" s="32"/>
      <c r="T8243" s="31"/>
      <c r="U8243" s="31"/>
      <c r="V8243" s="32"/>
    </row>
    <row r="8244">
      <c r="A8244" s="32"/>
      <c r="T8244" s="31"/>
      <c r="U8244" s="31"/>
      <c r="V8244" s="32"/>
    </row>
    <row r="8245">
      <c r="A8245" s="32"/>
      <c r="T8245" s="31"/>
      <c r="U8245" s="31"/>
      <c r="V8245" s="32"/>
    </row>
    <row r="8246">
      <c r="A8246" s="32"/>
      <c r="T8246" s="31"/>
      <c r="U8246" s="31"/>
      <c r="V8246" s="32"/>
    </row>
    <row r="8247">
      <c r="A8247" s="32"/>
      <c r="T8247" s="31"/>
      <c r="U8247" s="31"/>
      <c r="V8247" s="32"/>
    </row>
    <row r="8248">
      <c r="A8248" s="32"/>
      <c r="T8248" s="31"/>
      <c r="U8248" s="31"/>
      <c r="V8248" s="32"/>
    </row>
    <row r="8249">
      <c r="A8249" s="32"/>
      <c r="T8249" s="31"/>
      <c r="U8249" s="31"/>
      <c r="V8249" s="32"/>
    </row>
    <row r="8250">
      <c r="A8250" s="32"/>
      <c r="T8250" s="31"/>
      <c r="U8250" s="31"/>
      <c r="V8250" s="32"/>
    </row>
    <row r="8251">
      <c r="A8251" s="32"/>
      <c r="T8251" s="31"/>
      <c r="U8251" s="31"/>
      <c r="V8251" s="32"/>
    </row>
    <row r="8252">
      <c r="A8252" s="32"/>
      <c r="T8252" s="31"/>
      <c r="U8252" s="31"/>
      <c r="V8252" s="32"/>
    </row>
    <row r="8253">
      <c r="A8253" s="32"/>
      <c r="T8253" s="31"/>
      <c r="U8253" s="31"/>
      <c r="V8253" s="32"/>
    </row>
    <row r="8254">
      <c r="A8254" s="32"/>
      <c r="T8254" s="31"/>
      <c r="U8254" s="31"/>
      <c r="V8254" s="32"/>
    </row>
    <row r="8255">
      <c r="A8255" s="32"/>
      <c r="T8255" s="31"/>
      <c r="U8255" s="31"/>
      <c r="V8255" s="32"/>
    </row>
    <row r="8256">
      <c r="A8256" s="32"/>
      <c r="T8256" s="31"/>
      <c r="U8256" s="31"/>
      <c r="V8256" s="32"/>
    </row>
    <row r="8257">
      <c r="A8257" s="32"/>
      <c r="T8257" s="31"/>
      <c r="U8257" s="31"/>
      <c r="V8257" s="32"/>
    </row>
    <row r="8258">
      <c r="A8258" s="32"/>
      <c r="T8258" s="31"/>
      <c r="U8258" s="31"/>
      <c r="V8258" s="32"/>
    </row>
    <row r="8259">
      <c r="A8259" s="32"/>
      <c r="T8259" s="31"/>
      <c r="U8259" s="31"/>
      <c r="V8259" s="32"/>
    </row>
    <row r="8260">
      <c r="A8260" s="32"/>
      <c r="T8260" s="31"/>
      <c r="U8260" s="31"/>
      <c r="V8260" s="32"/>
    </row>
    <row r="8261">
      <c r="A8261" s="32"/>
      <c r="T8261" s="31"/>
      <c r="U8261" s="31"/>
      <c r="V8261" s="32"/>
    </row>
    <row r="8262">
      <c r="A8262" s="32"/>
      <c r="T8262" s="31"/>
      <c r="U8262" s="31"/>
      <c r="V8262" s="32"/>
    </row>
    <row r="8263">
      <c r="A8263" s="32"/>
      <c r="T8263" s="31"/>
      <c r="U8263" s="31"/>
      <c r="V8263" s="32"/>
    </row>
    <row r="8264">
      <c r="A8264" s="32"/>
      <c r="T8264" s="31"/>
      <c r="U8264" s="31"/>
      <c r="V8264" s="32"/>
    </row>
    <row r="8265">
      <c r="A8265" s="32"/>
      <c r="T8265" s="31"/>
      <c r="U8265" s="31"/>
      <c r="V8265" s="32"/>
    </row>
    <row r="8266">
      <c r="A8266" s="32"/>
      <c r="T8266" s="31"/>
      <c r="U8266" s="31"/>
      <c r="V8266" s="32"/>
    </row>
    <row r="8267">
      <c r="A8267" s="32"/>
      <c r="T8267" s="31"/>
      <c r="U8267" s="31"/>
      <c r="V8267" s="32"/>
    </row>
    <row r="8268">
      <c r="A8268" s="32"/>
      <c r="T8268" s="31"/>
      <c r="U8268" s="31"/>
      <c r="V8268" s="32"/>
    </row>
    <row r="8269">
      <c r="A8269" s="32"/>
      <c r="T8269" s="31"/>
      <c r="U8269" s="31"/>
      <c r="V8269" s="32"/>
    </row>
    <row r="8270">
      <c r="A8270" s="32"/>
      <c r="T8270" s="31"/>
      <c r="U8270" s="31"/>
      <c r="V8270" s="32"/>
    </row>
    <row r="8271">
      <c r="A8271" s="32"/>
      <c r="T8271" s="31"/>
      <c r="U8271" s="31"/>
      <c r="V8271" s="32"/>
    </row>
    <row r="8272">
      <c r="A8272" s="32"/>
      <c r="T8272" s="31"/>
      <c r="U8272" s="31"/>
      <c r="V8272" s="32"/>
    </row>
    <row r="8273">
      <c r="A8273" s="32"/>
      <c r="T8273" s="31"/>
      <c r="U8273" s="31"/>
      <c r="V8273" s="32"/>
    </row>
    <row r="8274">
      <c r="A8274" s="32"/>
      <c r="T8274" s="31"/>
      <c r="U8274" s="31"/>
      <c r="V8274" s="32"/>
    </row>
    <row r="8275">
      <c r="A8275" s="32"/>
      <c r="T8275" s="31"/>
      <c r="U8275" s="31"/>
      <c r="V8275" s="32"/>
    </row>
    <row r="8276">
      <c r="A8276" s="32"/>
      <c r="T8276" s="31"/>
      <c r="U8276" s="31"/>
      <c r="V8276" s="32"/>
    </row>
    <row r="8277">
      <c r="A8277" s="32"/>
      <c r="T8277" s="31"/>
      <c r="U8277" s="31"/>
      <c r="V8277" s="32"/>
    </row>
    <row r="8278">
      <c r="A8278" s="32"/>
      <c r="T8278" s="31"/>
      <c r="U8278" s="31"/>
      <c r="V8278" s="32"/>
    </row>
    <row r="8279">
      <c r="A8279" s="32"/>
      <c r="T8279" s="31"/>
      <c r="U8279" s="31"/>
      <c r="V8279" s="32"/>
    </row>
    <row r="8280">
      <c r="A8280" s="32"/>
      <c r="T8280" s="31"/>
      <c r="U8280" s="31"/>
      <c r="V8280" s="32"/>
    </row>
    <row r="8281">
      <c r="A8281" s="32"/>
      <c r="T8281" s="31"/>
      <c r="U8281" s="31"/>
      <c r="V8281" s="32"/>
    </row>
    <row r="8282">
      <c r="A8282" s="32"/>
      <c r="T8282" s="31"/>
      <c r="U8282" s="31"/>
      <c r="V8282" s="32"/>
    </row>
    <row r="8283">
      <c r="A8283" s="32"/>
      <c r="T8283" s="31"/>
      <c r="U8283" s="31"/>
      <c r="V8283" s="32"/>
    </row>
    <row r="8284">
      <c r="A8284" s="32"/>
      <c r="T8284" s="31"/>
      <c r="U8284" s="31"/>
      <c r="V8284" s="32"/>
    </row>
    <row r="8285">
      <c r="A8285" s="32"/>
      <c r="T8285" s="31"/>
      <c r="U8285" s="31"/>
      <c r="V8285" s="32"/>
    </row>
    <row r="8286">
      <c r="A8286" s="32"/>
      <c r="T8286" s="31"/>
      <c r="U8286" s="31"/>
      <c r="V8286" s="32"/>
    </row>
    <row r="8287">
      <c r="A8287" s="32"/>
      <c r="T8287" s="31"/>
      <c r="U8287" s="31"/>
      <c r="V8287" s="32"/>
    </row>
    <row r="8288">
      <c r="A8288" s="32"/>
      <c r="T8288" s="31"/>
      <c r="U8288" s="31"/>
      <c r="V8288" s="32"/>
    </row>
    <row r="8289">
      <c r="A8289" s="32"/>
      <c r="T8289" s="31"/>
      <c r="U8289" s="31"/>
      <c r="V8289" s="32"/>
    </row>
    <row r="8290">
      <c r="A8290" s="32"/>
      <c r="T8290" s="31"/>
      <c r="U8290" s="31"/>
      <c r="V8290" s="32"/>
    </row>
    <row r="8291">
      <c r="A8291" s="32"/>
      <c r="T8291" s="31"/>
      <c r="U8291" s="31"/>
      <c r="V8291" s="32"/>
    </row>
    <row r="8292">
      <c r="A8292" s="32"/>
      <c r="T8292" s="31"/>
      <c r="U8292" s="31"/>
      <c r="V8292" s="32"/>
    </row>
    <row r="8293">
      <c r="A8293" s="32"/>
      <c r="T8293" s="31"/>
      <c r="U8293" s="31"/>
      <c r="V8293" s="32"/>
    </row>
    <row r="8294">
      <c r="A8294" s="32"/>
      <c r="T8294" s="31"/>
      <c r="U8294" s="31"/>
      <c r="V8294" s="32"/>
    </row>
    <row r="8295">
      <c r="A8295" s="32"/>
      <c r="T8295" s="31"/>
      <c r="U8295" s="31"/>
      <c r="V8295" s="32"/>
    </row>
    <row r="8296">
      <c r="A8296" s="32"/>
      <c r="T8296" s="31"/>
      <c r="U8296" s="31"/>
      <c r="V8296" s="32"/>
    </row>
    <row r="8297">
      <c r="A8297" s="32"/>
      <c r="T8297" s="31"/>
      <c r="U8297" s="31"/>
      <c r="V8297" s="32"/>
    </row>
    <row r="8298">
      <c r="A8298" s="32"/>
      <c r="T8298" s="31"/>
      <c r="U8298" s="31"/>
      <c r="V8298" s="32"/>
    </row>
    <row r="8299">
      <c r="A8299" s="32"/>
      <c r="T8299" s="31"/>
      <c r="U8299" s="31"/>
      <c r="V8299" s="32"/>
    </row>
    <row r="8300">
      <c r="A8300" s="32"/>
      <c r="T8300" s="31"/>
      <c r="U8300" s="31"/>
      <c r="V8300" s="32"/>
    </row>
    <row r="8301">
      <c r="A8301" s="32"/>
      <c r="T8301" s="31"/>
      <c r="U8301" s="31"/>
      <c r="V8301" s="32"/>
    </row>
    <row r="8302">
      <c r="A8302" s="32"/>
      <c r="T8302" s="31"/>
      <c r="U8302" s="31"/>
      <c r="V8302" s="32"/>
    </row>
    <row r="8303">
      <c r="A8303" s="32"/>
      <c r="T8303" s="31"/>
      <c r="U8303" s="31"/>
      <c r="V8303" s="32"/>
    </row>
    <row r="8304">
      <c r="A8304" s="32"/>
      <c r="T8304" s="31"/>
      <c r="U8304" s="31"/>
      <c r="V8304" s="32"/>
    </row>
    <row r="8305">
      <c r="A8305" s="32"/>
      <c r="T8305" s="31"/>
      <c r="U8305" s="31"/>
      <c r="V8305" s="32"/>
    </row>
    <row r="8306">
      <c r="A8306" s="32"/>
      <c r="T8306" s="31"/>
      <c r="U8306" s="31"/>
      <c r="V8306" s="32"/>
    </row>
    <row r="8307">
      <c r="A8307" s="32"/>
      <c r="T8307" s="31"/>
      <c r="U8307" s="31"/>
      <c r="V8307" s="32"/>
    </row>
    <row r="8308">
      <c r="A8308" s="32"/>
      <c r="T8308" s="31"/>
      <c r="U8308" s="31"/>
      <c r="V8308" s="32"/>
    </row>
    <row r="8309">
      <c r="A8309" s="32"/>
      <c r="T8309" s="31"/>
      <c r="U8309" s="31"/>
      <c r="V8309" s="32"/>
    </row>
    <row r="8310">
      <c r="A8310" s="32"/>
      <c r="T8310" s="31"/>
      <c r="U8310" s="31"/>
      <c r="V8310" s="32"/>
    </row>
    <row r="8311">
      <c r="A8311" s="32"/>
      <c r="T8311" s="31"/>
      <c r="U8311" s="31"/>
      <c r="V8311" s="32"/>
    </row>
    <row r="8312">
      <c r="A8312" s="32"/>
      <c r="T8312" s="31"/>
      <c r="U8312" s="31"/>
      <c r="V8312" s="32"/>
    </row>
    <row r="8313">
      <c r="A8313" s="32"/>
      <c r="T8313" s="31"/>
      <c r="U8313" s="31"/>
      <c r="V8313" s="32"/>
    </row>
    <row r="8314">
      <c r="A8314" s="32"/>
      <c r="T8314" s="31"/>
      <c r="U8314" s="31"/>
      <c r="V8314" s="32"/>
    </row>
    <row r="8315">
      <c r="A8315" s="32"/>
      <c r="T8315" s="31"/>
      <c r="U8315" s="31"/>
      <c r="V8315" s="32"/>
    </row>
    <row r="8316">
      <c r="A8316" s="32"/>
      <c r="T8316" s="31"/>
      <c r="U8316" s="31"/>
      <c r="V8316" s="32"/>
    </row>
    <row r="8317">
      <c r="A8317" s="32"/>
      <c r="T8317" s="31"/>
      <c r="U8317" s="31"/>
      <c r="V8317" s="32"/>
    </row>
    <row r="8318">
      <c r="A8318" s="32"/>
      <c r="T8318" s="31"/>
      <c r="U8318" s="31"/>
      <c r="V8318" s="32"/>
    </row>
    <row r="8319">
      <c r="A8319" s="32"/>
      <c r="T8319" s="31"/>
      <c r="U8319" s="31"/>
      <c r="V8319" s="32"/>
    </row>
    <row r="8320">
      <c r="A8320" s="32"/>
      <c r="T8320" s="31"/>
      <c r="U8320" s="31"/>
      <c r="V8320" s="32"/>
    </row>
    <row r="8321">
      <c r="A8321" s="32"/>
      <c r="T8321" s="31"/>
      <c r="U8321" s="31"/>
      <c r="V8321" s="32"/>
    </row>
    <row r="8322">
      <c r="A8322" s="32"/>
      <c r="T8322" s="31"/>
      <c r="U8322" s="31"/>
      <c r="V8322" s="32"/>
    </row>
    <row r="8323">
      <c r="A8323" s="32"/>
      <c r="T8323" s="31"/>
      <c r="U8323" s="31"/>
      <c r="V8323" s="32"/>
    </row>
    <row r="8324">
      <c r="A8324" s="32"/>
      <c r="T8324" s="31"/>
      <c r="U8324" s="31"/>
      <c r="V8324" s="32"/>
    </row>
    <row r="8325">
      <c r="A8325" s="32"/>
      <c r="T8325" s="31"/>
      <c r="U8325" s="31"/>
      <c r="V8325" s="32"/>
    </row>
    <row r="8326">
      <c r="A8326" s="32"/>
      <c r="T8326" s="31"/>
      <c r="U8326" s="31"/>
      <c r="V8326" s="32"/>
    </row>
    <row r="8327">
      <c r="A8327" s="32"/>
      <c r="T8327" s="31"/>
      <c r="U8327" s="31"/>
      <c r="V8327" s="32"/>
    </row>
    <row r="8328">
      <c r="A8328" s="32"/>
      <c r="T8328" s="31"/>
      <c r="U8328" s="31"/>
      <c r="V8328" s="32"/>
    </row>
    <row r="8329">
      <c r="A8329" s="32"/>
      <c r="T8329" s="31"/>
      <c r="U8329" s="31"/>
      <c r="V8329" s="32"/>
    </row>
    <row r="8330">
      <c r="A8330" s="32"/>
      <c r="T8330" s="31"/>
      <c r="U8330" s="31"/>
      <c r="V8330" s="32"/>
    </row>
    <row r="8331">
      <c r="A8331" s="32"/>
      <c r="T8331" s="31"/>
      <c r="U8331" s="31"/>
      <c r="V8331" s="32"/>
    </row>
    <row r="8332">
      <c r="A8332" s="32"/>
      <c r="T8332" s="31"/>
      <c r="U8332" s="31"/>
      <c r="V8332" s="32"/>
    </row>
    <row r="8333">
      <c r="A8333" s="32"/>
      <c r="T8333" s="31"/>
      <c r="U8333" s="31"/>
      <c r="V8333" s="32"/>
    </row>
    <row r="8334">
      <c r="A8334" s="32"/>
      <c r="T8334" s="31"/>
      <c r="U8334" s="31"/>
      <c r="V8334" s="32"/>
    </row>
    <row r="8335">
      <c r="A8335" s="32"/>
      <c r="T8335" s="31"/>
      <c r="U8335" s="31"/>
      <c r="V8335" s="32"/>
    </row>
    <row r="8336">
      <c r="A8336" s="32"/>
      <c r="T8336" s="31"/>
      <c r="U8336" s="31"/>
      <c r="V8336" s="32"/>
    </row>
    <row r="8337">
      <c r="A8337" s="32"/>
      <c r="T8337" s="31"/>
      <c r="U8337" s="31"/>
      <c r="V8337" s="32"/>
    </row>
    <row r="8338">
      <c r="A8338" s="32"/>
      <c r="T8338" s="31"/>
      <c r="U8338" s="31"/>
      <c r="V8338" s="32"/>
    </row>
    <row r="8339">
      <c r="A8339" s="32"/>
      <c r="T8339" s="31"/>
      <c r="U8339" s="31"/>
      <c r="V8339" s="32"/>
    </row>
    <row r="8340">
      <c r="A8340" s="32"/>
      <c r="T8340" s="31"/>
      <c r="U8340" s="31"/>
      <c r="V8340" s="32"/>
    </row>
    <row r="8341">
      <c r="A8341" s="32"/>
      <c r="T8341" s="31"/>
      <c r="U8341" s="31"/>
      <c r="V8341" s="32"/>
    </row>
    <row r="8342">
      <c r="A8342" s="32"/>
      <c r="T8342" s="31"/>
      <c r="U8342" s="31"/>
      <c r="V8342" s="32"/>
    </row>
    <row r="8343">
      <c r="A8343" s="32"/>
      <c r="T8343" s="31"/>
      <c r="U8343" s="31"/>
      <c r="V8343" s="32"/>
    </row>
    <row r="8344">
      <c r="A8344" s="32"/>
      <c r="T8344" s="31"/>
      <c r="U8344" s="31"/>
      <c r="V8344" s="32"/>
    </row>
    <row r="8345">
      <c r="A8345" s="32"/>
      <c r="T8345" s="31"/>
      <c r="U8345" s="31"/>
      <c r="V8345" s="32"/>
    </row>
    <row r="8346">
      <c r="A8346" s="32"/>
      <c r="T8346" s="31"/>
      <c r="U8346" s="31"/>
      <c r="V8346" s="32"/>
    </row>
    <row r="8347">
      <c r="A8347" s="32"/>
      <c r="T8347" s="31"/>
      <c r="U8347" s="31"/>
      <c r="V8347" s="32"/>
    </row>
    <row r="8348">
      <c r="A8348" s="32"/>
      <c r="T8348" s="31"/>
      <c r="U8348" s="31"/>
      <c r="V8348" s="32"/>
    </row>
    <row r="8349">
      <c r="A8349" s="32"/>
      <c r="T8349" s="31"/>
      <c r="U8349" s="31"/>
      <c r="V8349" s="32"/>
    </row>
    <row r="8350">
      <c r="A8350" s="32"/>
      <c r="T8350" s="31"/>
      <c r="U8350" s="31"/>
      <c r="V8350" s="32"/>
    </row>
    <row r="8351">
      <c r="A8351" s="32"/>
      <c r="T8351" s="31"/>
      <c r="U8351" s="31"/>
      <c r="V8351" s="32"/>
    </row>
    <row r="8352">
      <c r="A8352" s="32"/>
      <c r="T8352" s="31"/>
      <c r="U8352" s="31"/>
      <c r="V8352" s="32"/>
    </row>
    <row r="8353">
      <c r="A8353" s="32"/>
      <c r="T8353" s="31"/>
      <c r="U8353" s="31"/>
      <c r="V8353" s="32"/>
    </row>
    <row r="8354">
      <c r="A8354" s="32"/>
      <c r="T8354" s="31"/>
      <c r="U8354" s="31"/>
      <c r="V8354" s="32"/>
    </row>
    <row r="8355">
      <c r="A8355" s="32"/>
      <c r="T8355" s="31"/>
      <c r="U8355" s="31"/>
      <c r="V8355" s="32"/>
    </row>
    <row r="8356">
      <c r="A8356" s="32"/>
      <c r="T8356" s="31"/>
      <c r="U8356" s="31"/>
      <c r="V8356" s="32"/>
    </row>
    <row r="8357">
      <c r="A8357" s="32"/>
      <c r="T8357" s="31"/>
      <c r="U8357" s="31"/>
      <c r="V8357" s="32"/>
    </row>
    <row r="8358">
      <c r="A8358" s="32"/>
      <c r="T8358" s="31"/>
      <c r="U8358" s="31"/>
      <c r="V8358" s="32"/>
    </row>
    <row r="8359">
      <c r="A8359" s="32"/>
      <c r="T8359" s="31"/>
      <c r="U8359" s="31"/>
      <c r="V8359" s="32"/>
    </row>
    <row r="8360">
      <c r="A8360" s="32"/>
      <c r="T8360" s="31"/>
      <c r="U8360" s="31"/>
      <c r="V8360" s="32"/>
    </row>
    <row r="8361">
      <c r="A8361" s="32"/>
      <c r="T8361" s="31"/>
      <c r="U8361" s="31"/>
      <c r="V8361" s="32"/>
    </row>
    <row r="8362">
      <c r="A8362" s="32"/>
      <c r="T8362" s="31"/>
      <c r="U8362" s="31"/>
      <c r="V8362" s="32"/>
    </row>
    <row r="8363">
      <c r="A8363" s="32"/>
      <c r="T8363" s="31"/>
      <c r="U8363" s="31"/>
      <c r="V8363" s="32"/>
    </row>
    <row r="8364">
      <c r="A8364" s="32"/>
      <c r="T8364" s="31"/>
      <c r="U8364" s="31"/>
      <c r="V8364" s="32"/>
    </row>
    <row r="8365">
      <c r="A8365" s="32"/>
      <c r="T8365" s="31"/>
      <c r="U8365" s="31"/>
      <c r="V8365" s="32"/>
    </row>
    <row r="8366">
      <c r="A8366" s="32"/>
      <c r="T8366" s="31"/>
      <c r="U8366" s="31"/>
      <c r="V8366" s="32"/>
    </row>
    <row r="8367">
      <c r="A8367" s="32"/>
      <c r="T8367" s="31"/>
      <c r="U8367" s="31"/>
      <c r="V8367" s="32"/>
    </row>
    <row r="8368">
      <c r="A8368" s="32"/>
      <c r="T8368" s="31"/>
      <c r="U8368" s="31"/>
      <c r="V8368" s="32"/>
    </row>
    <row r="8369">
      <c r="A8369" s="32"/>
      <c r="T8369" s="31"/>
      <c r="U8369" s="31"/>
      <c r="V8369" s="32"/>
    </row>
    <row r="8370">
      <c r="A8370" s="32"/>
      <c r="T8370" s="31"/>
      <c r="U8370" s="31"/>
      <c r="V8370" s="32"/>
    </row>
    <row r="8371">
      <c r="A8371" s="32"/>
      <c r="T8371" s="31"/>
      <c r="U8371" s="31"/>
      <c r="V8371" s="32"/>
    </row>
    <row r="8372">
      <c r="A8372" s="32"/>
      <c r="T8372" s="31"/>
      <c r="U8372" s="31"/>
      <c r="V8372" s="32"/>
    </row>
    <row r="8373">
      <c r="A8373" s="32"/>
      <c r="T8373" s="31"/>
      <c r="U8373" s="31"/>
      <c r="V8373" s="32"/>
    </row>
    <row r="8374">
      <c r="A8374" s="32"/>
      <c r="T8374" s="31"/>
      <c r="U8374" s="31"/>
      <c r="V8374" s="32"/>
    </row>
    <row r="8375">
      <c r="A8375" s="32"/>
      <c r="T8375" s="31"/>
      <c r="U8375" s="31"/>
      <c r="V8375" s="32"/>
    </row>
    <row r="8376">
      <c r="A8376" s="32"/>
      <c r="T8376" s="31"/>
      <c r="U8376" s="31"/>
      <c r="V8376" s="32"/>
    </row>
    <row r="8377">
      <c r="A8377" s="32"/>
      <c r="T8377" s="31"/>
      <c r="U8377" s="31"/>
      <c r="V8377" s="32"/>
    </row>
    <row r="8378">
      <c r="A8378" s="32"/>
      <c r="T8378" s="31"/>
      <c r="U8378" s="31"/>
      <c r="V8378" s="32"/>
    </row>
    <row r="8379">
      <c r="A8379" s="32"/>
      <c r="T8379" s="31"/>
      <c r="U8379" s="31"/>
      <c r="V8379" s="32"/>
    </row>
    <row r="8380">
      <c r="A8380" s="32"/>
      <c r="T8380" s="31"/>
      <c r="U8380" s="31"/>
      <c r="V8380" s="32"/>
    </row>
    <row r="8381">
      <c r="A8381" s="32"/>
      <c r="T8381" s="31"/>
      <c r="U8381" s="31"/>
      <c r="V8381" s="32"/>
    </row>
    <row r="8382">
      <c r="A8382" s="32"/>
      <c r="T8382" s="31"/>
      <c r="U8382" s="31"/>
      <c r="V8382" s="32"/>
    </row>
    <row r="8383">
      <c r="A8383" s="32"/>
      <c r="T8383" s="31"/>
      <c r="U8383" s="31"/>
      <c r="V8383" s="32"/>
    </row>
    <row r="8384">
      <c r="A8384" s="32"/>
      <c r="T8384" s="31"/>
      <c r="U8384" s="31"/>
      <c r="V8384" s="32"/>
    </row>
    <row r="8385">
      <c r="A8385" s="32"/>
      <c r="T8385" s="31"/>
      <c r="U8385" s="31"/>
      <c r="V8385" s="32"/>
    </row>
    <row r="8386">
      <c r="A8386" s="32"/>
      <c r="T8386" s="31"/>
      <c r="U8386" s="31"/>
      <c r="V8386" s="32"/>
    </row>
    <row r="8387">
      <c r="A8387" s="32"/>
      <c r="T8387" s="31"/>
      <c r="U8387" s="31"/>
      <c r="V8387" s="32"/>
    </row>
    <row r="8388">
      <c r="A8388" s="32"/>
      <c r="T8388" s="31"/>
      <c r="U8388" s="31"/>
      <c r="V8388" s="32"/>
    </row>
    <row r="8389">
      <c r="A8389" s="32"/>
      <c r="T8389" s="31"/>
      <c r="U8389" s="31"/>
      <c r="V8389" s="32"/>
    </row>
    <row r="8390">
      <c r="A8390" s="32"/>
      <c r="T8390" s="31"/>
      <c r="U8390" s="31"/>
      <c r="V8390" s="32"/>
    </row>
    <row r="8391">
      <c r="A8391" s="32"/>
      <c r="T8391" s="31"/>
      <c r="U8391" s="31"/>
      <c r="V8391" s="32"/>
    </row>
    <row r="8392">
      <c r="A8392" s="32"/>
      <c r="T8392" s="31"/>
      <c r="U8392" s="31"/>
      <c r="V8392" s="32"/>
    </row>
    <row r="8393">
      <c r="A8393" s="32"/>
      <c r="T8393" s="31"/>
      <c r="U8393" s="31"/>
      <c r="V8393" s="32"/>
    </row>
    <row r="8394">
      <c r="A8394" s="32"/>
      <c r="T8394" s="31"/>
      <c r="U8394" s="31"/>
      <c r="V8394" s="32"/>
    </row>
    <row r="8395">
      <c r="A8395" s="32"/>
      <c r="T8395" s="31"/>
      <c r="U8395" s="31"/>
      <c r="V8395" s="32"/>
    </row>
    <row r="8396">
      <c r="A8396" s="32"/>
      <c r="T8396" s="31"/>
      <c r="U8396" s="31"/>
      <c r="V8396" s="32"/>
    </row>
    <row r="8397">
      <c r="A8397" s="32"/>
      <c r="T8397" s="31"/>
      <c r="U8397" s="31"/>
      <c r="V8397" s="32"/>
    </row>
    <row r="8398">
      <c r="A8398" s="32"/>
      <c r="T8398" s="31"/>
      <c r="U8398" s="31"/>
      <c r="V8398" s="32"/>
    </row>
    <row r="8399">
      <c r="A8399" s="32"/>
      <c r="T8399" s="31"/>
      <c r="U8399" s="31"/>
      <c r="V8399" s="32"/>
    </row>
    <row r="8400">
      <c r="A8400" s="32"/>
      <c r="T8400" s="31"/>
      <c r="U8400" s="31"/>
      <c r="V8400" s="32"/>
    </row>
    <row r="8401">
      <c r="A8401" s="32"/>
      <c r="T8401" s="31"/>
      <c r="U8401" s="31"/>
      <c r="V8401" s="32"/>
    </row>
    <row r="8402">
      <c r="A8402" s="32"/>
      <c r="T8402" s="31"/>
      <c r="U8402" s="31"/>
      <c r="V8402" s="32"/>
    </row>
    <row r="8403">
      <c r="A8403" s="32"/>
      <c r="T8403" s="31"/>
      <c r="U8403" s="31"/>
      <c r="V8403" s="32"/>
    </row>
    <row r="8404">
      <c r="A8404" s="32"/>
      <c r="T8404" s="31"/>
      <c r="U8404" s="31"/>
      <c r="V8404" s="32"/>
    </row>
    <row r="8405">
      <c r="A8405" s="32"/>
      <c r="T8405" s="31"/>
      <c r="U8405" s="31"/>
      <c r="V8405" s="32"/>
    </row>
    <row r="8406">
      <c r="A8406" s="32"/>
      <c r="T8406" s="31"/>
      <c r="U8406" s="31"/>
      <c r="V8406" s="32"/>
    </row>
    <row r="8407">
      <c r="A8407" s="32"/>
      <c r="T8407" s="31"/>
      <c r="U8407" s="31"/>
      <c r="V8407" s="32"/>
    </row>
    <row r="8408">
      <c r="A8408" s="32"/>
      <c r="T8408" s="31"/>
      <c r="U8408" s="31"/>
      <c r="V8408" s="32"/>
    </row>
    <row r="8409">
      <c r="A8409" s="32"/>
      <c r="T8409" s="31"/>
      <c r="U8409" s="31"/>
      <c r="V8409" s="32"/>
    </row>
    <row r="8410">
      <c r="A8410" s="32"/>
      <c r="T8410" s="31"/>
      <c r="U8410" s="31"/>
      <c r="V8410" s="32"/>
    </row>
    <row r="8411">
      <c r="A8411" s="32"/>
      <c r="T8411" s="31"/>
      <c r="U8411" s="31"/>
      <c r="V8411" s="32"/>
    </row>
    <row r="8412">
      <c r="A8412" s="32"/>
      <c r="T8412" s="31"/>
      <c r="U8412" s="31"/>
      <c r="V8412" s="32"/>
    </row>
    <row r="8413">
      <c r="A8413" s="32"/>
      <c r="T8413" s="31"/>
      <c r="U8413" s="31"/>
      <c r="V8413" s="32"/>
    </row>
    <row r="8414">
      <c r="A8414" s="32"/>
      <c r="T8414" s="31"/>
      <c r="U8414" s="31"/>
      <c r="V8414" s="32"/>
    </row>
    <row r="8415">
      <c r="A8415" s="32"/>
      <c r="T8415" s="31"/>
      <c r="U8415" s="31"/>
      <c r="V8415" s="32"/>
    </row>
    <row r="8416">
      <c r="A8416" s="32"/>
      <c r="T8416" s="31"/>
      <c r="U8416" s="31"/>
      <c r="V8416" s="32"/>
    </row>
    <row r="8417">
      <c r="A8417" s="32"/>
      <c r="T8417" s="31"/>
      <c r="U8417" s="31"/>
      <c r="V8417" s="32"/>
    </row>
    <row r="8418">
      <c r="A8418" s="32"/>
      <c r="T8418" s="31"/>
      <c r="U8418" s="31"/>
      <c r="V8418" s="32"/>
    </row>
    <row r="8419">
      <c r="A8419" s="32"/>
      <c r="T8419" s="31"/>
      <c r="U8419" s="31"/>
      <c r="V8419" s="32"/>
    </row>
    <row r="8420">
      <c r="A8420" s="32"/>
      <c r="T8420" s="31"/>
      <c r="U8420" s="31"/>
      <c r="V8420" s="32"/>
    </row>
    <row r="8421">
      <c r="A8421" s="32"/>
      <c r="T8421" s="31"/>
      <c r="U8421" s="31"/>
      <c r="V8421" s="32"/>
    </row>
    <row r="8422">
      <c r="A8422" s="32"/>
      <c r="T8422" s="31"/>
      <c r="U8422" s="31"/>
      <c r="V8422" s="32"/>
    </row>
    <row r="8423">
      <c r="A8423" s="32"/>
      <c r="T8423" s="31"/>
      <c r="U8423" s="31"/>
      <c r="V8423" s="32"/>
    </row>
    <row r="8424">
      <c r="A8424" s="32"/>
      <c r="T8424" s="31"/>
      <c r="U8424" s="31"/>
      <c r="V8424" s="32"/>
    </row>
    <row r="8425">
      <c r="A8425" s="32"/>
      <c r="T8425" s="31"/>
      <c r="U8425" s="31"/>
      <c r="V8425" s="32"/>
    </row>
    <row r="8426">
      <c r="A8426" s="32"/>
      <c r="T8426" s="31"/>
      <c r="U8426" s="31"/>
      <c r="V8426" s="32"/>
    </row>
    <row r="8427">
      <c r="A8427" s="32"/>
      <c r="T8427" s="31"/>
      <c r="U8427" s="31"/>
      <c r="V8427" s="32"/>
    </row>
    <row r="8428">
      <c r="A8428" s="32"/>
      <c r="T8428" s="31"/>
      <c r="U8428" s="31"/>
      <c r="V8428" s="32"/>
    </row>
    <row r="8429">
      <c r="A8429" s="32"/>
      <c r="T8429" s="31"/>
      <c r="U8429" s="31"/>
      <c r="V8429" s="32"/>
    </row>
    <row r="8430">
      <c r="A8430" s="32"/>
      <c r="T8430" s="31"/>
      <c r="U8430" s="31"/>
      <c r="V8430" s="32"/>
    </row>
    <row r="8431">
      <c r="A8431" s="32"/>
      <c r="T8431" s="31"/>
      <c r="U8431" s="31"/>
      <c r="V8431" s="32"/>
    </row>
    <row r="8432">
      <c r="A8432" s="32"/>
      <c r="T8432" s="31"/>
      <c r="U8432" s="31"/>
      <c r="V8432" s="32"/>
    </row>
    <row r="8433">
      <c r="A8433" s="32"/>
      <c r="T8433" s="31"/>
      <c r="U8433" s="31"/>
      <c r="V8433" s="32"/>
    </row>
    <row r="8434">
      <c r="A8434" s="32"/>
      <c r="T8434" s="31"/>
      <c r="U8434" s="31"/>
      <c r="V8434" s="32"/>
    </row>
    <row r="8435">
      <c r="A8435" s="32"/>
      <c r="T8435" s="31"/>
      <c r="U8435" s="31"/>
      <c r="V8435" s="32"/>
    </row>
    <row r="8436">
      <c r="A8436" s="32"/>
      <c r="T8436" s="31"/>
      <c r="U8436" s="31"/>
      <c r="V8436" s="32"/>
    </row>
    <row r="8437">
      <c r="A8437" s="32"/>
      <c r="T8437" s="31"/>
      <c r="U8437" s="31"/>
      <c r="V8437" s="32"/>
    </row>
    <row r="8438">
      <c r="A8438" s="32"/>
      <c r="T8438" s="31"/>
      <c r="U8438" s="31"/>
      <c r="V8438" s="32"/>
    </row>
    <row r="8439">
      <c r="A8439" s="32"/>
      <c r="T8439" s="31"/>
      <c r="U8439" s="31"/>
      <c r="V8439" s="32"/>
    </row>
    <row r="8440">
      <c r="A8440" s="32"/>
      <c r="T8440" s="31"/>
      <c r="U8440" s="31"/>
      <c r="V8440" s="32"/>
    </row>
    <row r="8441">
      <c r="A8441" s="32"/>
      <c r="T8441" s="31"/>
      <c r="U8441" s="31"/>
      <c r="V8441" s="32"/>
    </row>
    <row r="8442">
      <c r="A8442" s="32"/>
      <c r="T8442" s="31"/>
      <c r="U8442" s="31"/>
      <c r="V8442" s="32"/>
    </row>
    <row r="8443">
      <c r="A8443" s="32"/>
      <c r="T8443" s="31"/>
      <c r="U8443" s="31"/>
      <c r="V8443" s="32"/>
    </row>
    <row r="8444">
      <c r="A8444" s="32"/>
      <c r="T8444" s="31"/>
      <c r="U8444" s="31"/>
      <c r="V8444" s="32"/>
    </row>
    <row r="8445">
      <c r="A8445" s="32"/>
      <c r="T8445" s="31"/>
      <c r="U8445" s="31"/>
      <c r="V8445" s="32"/>
    </row>
    <row r="8446">
      <c r="A8446" s="32"/>
      <c r="T8446" s="31"/>
      <c r="U8446" s="31"/>
      <c r="V8446" s="32"/>
    </row>
    <row r="8447">
      <c r="A8447" s="32"/>
      <c r="T8447" s="31"/>
      <c r="U8447" s="31"/>
      <c r="V8447" s="32"/>
    </row>
    <row r="8448">
      <c r="A8448" s="32"/>
      <c r="T8448" s="31"/>
      <c r="U8448" s="31"/>
      <c r="V8448" s="32"/>
    </row>
    <row r="8449">
      <c r="A8449" s="32"/>
      <c r="T8449" s="31"/>
      <c r="U8449" s="31"/>
      <c r="V8449" s="32"/>
    </row>
    <row r="8450">
      <c r="A8450" s="32"/>
      <c r="T8450" s="31"/>
      <c r="U8450" s="31"/>
      <c r="V8450" s="32"/>
    </row>
    <row r="8451">
      <c r="A8451" s="32"/>
      <c r="T8451" s="31"/>
      <c r="U8451" s="31"/>
      <c r="V8451" s="32"/>
    </row>
    <row r="8452">
      <c r="A8452" s="32"/>
      <c r="T8452" s="31"/>
      <c r="U8452" s="31"/>
      <c r="V8452" s="32"/>
    </row>
    <row r="8453">
      <c r="A8453" s="32"/>
      <c r="T8453" s="31"/>
      <c r="U8453" s="31"/>
      <c r="V8453" s="32"/>
    </row>
    <row r="8454">
      <c r="A8454" s="32"/>
      <c r="T8454" s="31"/>
      <c r="U8454" s="31"/>
      <c r="V8454" s="32"/>
    </row>
    <row r="8455">
      <c r="A8455" s="32"/>
      <c r="T8455" s="31"/>
      <c r="U8455" s="31"/>
      <c r="V8455" s="32"/>
    </row>
    <row r="8456">
      <c r="A8456" s="32"/>
      <c r="T8456" s="31"/>
      <c r="U8456" s="31"/>
      <c r="V8456" s="32"/>
    </row>
    <row r="8457">
      <c r="A8457" s="32"/>
      <c r="T8457" s="31"/>
      <c r="U8457" s="31"/>
      <c r="V8457" s="32"/>
    </row>
    <row r="8458">
      <c r="A8458" s="32"/>
      <c r="T8458" s="31"/>
      <c r="U8458" s="31"/>
      <c r="V8458" s="32"/>
    </row>
    <row r="8459">
      <c r="A8459" s="32"/>
      <c r="T8459" s="31"/>
      <c r="U8459" s="31"/>
      <c r="V8459" s="32"/>
    </row>
    <row r="8460">
      <c r="A8460" s="32"/>
      <c r="T8460" s="31"/>
      <c r="U8460" s="31"/>
      <c r="V8460" s="32"/>
    </row>
    <row r="8461">
      <c r="A8461" s="32"/>
      <c r="T8461" s="31"/>
      <c r="U8461" s="31"/>
      <c r="V8461" s="32"/>
    </row>
    <row r="8462">
      <c r="A8462" s="32"/>
      <c r="T8462" s="31"/>
      <c r="U8462" s="31"/>
      <c r="V8462" s="32"/>
    </row>
    <row r="8463">
      <c r="A8463" s="32"/>
      <c r="T8463" s="31"/>
      <c r="U8463" s="31"/>
      <c r="V8463" s="32"/>
    </row>
    <row r="8464">
      <c r="A8464" s="32"/>
      <c r="T8464" s="31"/>
      <c r="U8464" s="31"/>
      <c r="V8464" s="32"/>
    </row>
    <row r="8465">
      <c r="A8465" s="32"/>
      <c r="T8465" s="31"/>
      <c r="U8465" s="31"/>
      <c r="V8465" s="32"/>
    </row>
    <row r="8466">
      <c r="A8466" s="32"/>
      <c r="T8466" s="31"/>
      <c r="U8466" s="31"/>
      <c r="V8466" s="32"/>
    </row>
    <row r="8467">
      <c r="A8467" s="32"/>
      <c r="T8467" s="31"/>
      <c r="U8467" s="31"/>
      <c r="V8467" s="32"/>
    </row>
    <row r="8468">
      <c r="A8468" s="32"/>
      <c r="T8468" s="31"/>
      <c r="U8468" s="31"/>
      <c r="V8468" s="32"/>
    </row>
    <row r="8469">
      <c r="A8469" s="32"/>
      <c r="T8469" s="31"/>
      <c r="U8469" s="31"/>
      <c r="V8469" s="32"/>
    </row>
    <row r="8470">
      <c r="A8470" s="32"/>
      <c r="T8470" s="31"/>
      <c r="U8470" s="31"/>
      <c r="V8470" s="32"/>
    </row>
    <row r="8471">
      <c r="A8471" s="32"/>
      <c r="T8471" s="31"/>
      <c r="U8471" s="31"/>
      <c r="V8471" s="32"/>
    </row>
    <row r="8472">
      <c r="A8472" s="32"/>
      <c r="T8472" s="31"/>
      <c r="U8472" s="31"/>
      <c r="V8472" s="32"/>
    </row>
    <row r="8473">
      <c r="A8473" s="32"/>
      <c r="T8473" s="31"/>
      <c r="U8473" s="31"/>
      <c r="V8473" s="32"/>
    </row>
    <row r="8474">
      <c r="A8474" s="32"/>
      <c r="T8474" s="31"/>
      <c r="U8474" s="31"/>
      <c r="V8474" s="32"/>
    </row>
    <row r="8475">
      <c r="A8475" s="32"/>
      <c r="T8475" s="31"/>
      <c r="U8475" s="31"/>
      <c r="V8475" s="32"/>
    </row>
    <row r="8476">
      <c r="A8476" s="32"/>
      <c r="T8476" s="31"/>
      <c r="U8476" s="31"/>
      <c r="V8476" s="32"/>
    </row>
    <row r="8477">
      <c r="A8477" s="32"/>
      <c r="T8477" s="31"/>
      <c r="U8477" s="31"/>
      <c r="V8477" s="32"/>
    </row>
    <row r="8478">
      <c r="A8478" s="32"/>
      <c r="T8478" s="31"/>
      <c r="U8478" s="31"/>
      <c r="V8478" s="32"/>
    </row>
    <row r="8479">
      <c r="A8479" s="32"/>
      <c r="T8479" s="31"/>
      <c r="U8479" s="31"/>
      <c r="V8479" s="32"/>
    </row>
    <row r="8480">
      <c r="A8480" s="32"/>
      <c r="T8480" s="31"/>
      <c r="U8480" s="31"/>
      <c r="V8480" s="32"/>
    </row>
    <row r="8481">
      <c r="A8481" s="32"/>
      <c r="T8481" s="31"/>
      <c r="U8481" s="31"/>
      <c r="V8481" s="32"/>
    </row>
    <row r="8482">
      <c r="A8482" s="32"/>
      <c r="T8482" s="31"/>
      <c r="U8482" s="31"/>
      <c r="V8482" s="32"/>
    </row>
    <row r="8483">
      <c r="A8483" s="32"/>
      <c r="T8483" s="31"/>
      <c r="U8483" s="31"/>
      <c r="V8483" s="32"/>
    </row>
    <row r="8484">
      <c r="A8484" s="32"/>
      <c r="T8484" s="31"/>
      <c r="U8484" s="31"/>
      <c r="V8484" s="32"/>
    </row>
    <row r="8485">
      <c r="A8485" s="32"/>
      <c r="T8485" s="31"/>
      <c r="U8485" s="31"/>
      <c r="V8485" s="32"/>
    </row>
    <row r="8486">
      <c r="A8486" s="32"/>
      <c r="T8486" s="31"/>
      <c r="U8486" s="31"/>
      <c r="V8486" s="32"/>
    </row>
    <row r="8487">
      <c r="A8487" s="32"/>
      <c r="T8487" s="31"/>
      <c r="U8487" s="31"/>
      <c r="V8487" s="32"/>
    </row>
    <row r="8488">
      <c r="A8488" s="32"/>
      <c r="T8488" s="31"/>
      <c r="U8488" s="31"/>
      <c r="V8488" s="32"/>
    </row>
    <row r="8489">
      <c r="A8489" s="32"/>
      <c r="T8489" s="31"/>
      <c r="U8489" s="31"/>
      <c r="V8489" s="32"/>
    </row>
    <row r="8490">
      <c r="A8490" s="32"/>
      <c r="T8490" s="31"/>
      <c r="U8490" s="31"/>
      <c r="V8490" s="32"/>
    </row>
    <row r="8491">
      <c r="A8491" s="32"/>
      <c r="T8491" s="31"/>
      <c r="U8491" s="31"/>
      <c r="V8491" s="32"/>
    </row>
    <row r="8492">
      <c r="A8492" s="32"/>
      <c r="T8492" s="31"/>
      <c r="U8492" s="31"/>
      <c r="V8492" s="32"/>
    </row>
    <row r="8493">
      <c r="A8493" s="32"/>
      <c r="T8493" s="31"/>
      <c r="U8493" s="31"/>
      <c r="V8493" s="32"/>
    </row>
    <row r="8494">
      <c r="A8494" s="32"/>
      <c r="T8494" s="31"/>
      <c r="U8494" s="31"/>
      <c r="V8494" s="32"/>
    </row>
    <row r="8495">
      <c r="A8495" s="32"/>
      <c r="T8495" s="31"/>
      <c r="U8495" s="31"/>
      <c r="V8495" s="32"/>
    </row>
    <row r="8496">
      <c r="A8496" s="32"/>
      <c r="T8496" s="31"/>
      <c r="U8496" s="31"/>
      <c r="V8496" s="32"/>
    </row>
    <row r="8497">
      <c r="A8497" s="32"/>
      <c r="T8497" s="31"/>
      <c r="U8497" s="31"/>
      <c r="V8497" s="32"/>
    </row>
    <row r="8498">
      <c r="A8498" s="32"/>
      <c r="T8498" s="31"/>
      <c r="U8498" s="31"/>
      <c r="V8498" s="32"/>
    </row>
    <row r="8499">
      <c r="A8499" s="32"/>
      <c r="T8499" s="31"/>
      <c r="U8499" s="31"/>
      <c r="V8499" s="32"/>
    </row>
    <row r="8500">
      <c r="A8500" s="32"/>
      <c r="T8500" s="31"/>
      <c r="U8500" s="31"/>
      <c r="V8500" s="32"/>
    </row>
    <row r="8501">
      <c r="A8501" s="32"/>
      <c r="T8501" s="31"/>
      <c r="U8501" s="31"/>
      <c r="V8501" s="32"/>
    </row>
    <row r="8502">
      <c r="A8502" s="32"/>
      <c r="T8502" s="31"/>
      <c r="U8502" s="31"/>
      <c r="V8502" s="32"/>
    </row>
    <row r="8503">
      <c r="A8503" s="32"/>
      <c r="T8503" s="31"/>
      <c r="U8503" s="31"/>
      <c r="V8503" s="32"/>
    </row>
    <row r="8504">
      <c r="A8504" s="32"/>
      <c r="T8504" s="31"/>
      <c r="U8504" s="31"/>
      <c r="V8504" s="32"/>
    </row>
    <row r="8505">
      <c r="A8505" s="32"/>
      <c r="T8505" s="31"/>
      <c r="U8505" s="31"/>
      <c r="V8505" s="32"/>
    </row>
    <row r="8506">
      <c r="A8506" s="32"/>
      <c r="T8506" s="31"/>
      <c r="U8506" s="31"/>
      <c r="V8506" s="32"/>
    </row>
    <row r="8507">
      <c r="A8507" s="32"/>
      <c r="T8507" s="31"/>
      <c r="U8507" s="31"/>
      <c r="V8507" s="32"/>
    </row>
    <row r="8508">
      <c r="A8508" s="32"/>
      <c r="T8508" s="31"/>
      <c r="U8508" s="31"/>
      <c r="V8508" s="32"/>
    </row>
    <row r="8509">
      <c r="A8509" s="32"/>
      <c r="T8509" s="31"/>
      <c r="U8509" s="31"/>
      <c r="V8509" s="32"/>
    </row>
    <row r="8510">
      <c r="A8510" s="32"/>
      <c r="T8510" s="31"/>
      <c r="U8510" s="31"/>
      <c r="V8510" s="32"/>
    </row>
    <row r="8511">
      <c r="A8511" s="32"/>
      <c r="T8511" s="31"/>
      <c r="U8511" s="31"/>
      <c r="V8511" s="32"/>
    </row>
    <row r="8512">
      <c r="A8512" s="32"/>
      <c r="T8512" s="31"/>
      <c r="U8512" s="31"/>
      <c r="V8512" s="32"/>
    </row>
    <row r="8513">
      <c r="A8513" s="32"/>
      <c r="T8513" s="31"/>
      <c r="U8513" s="31"/>
      <c r="V8513" s="32"/>
    </row>
    <row r="8514">
      <c r="A8514" s="32"/>
      <c r="T8514" s="31"/>
      <c r="U8514" s="31"/>
      <c r="V8514" s="32"/>
    </row>
    <row r="8515">
      <c r="A8515" s="32"/>
      <c r="T8515" s="31"/>
      <c r="U8515" s="31"/>
      <c r="V8515" s="32"/>
    </row>
    <row r="8516">
      <c r="A8516" s="32"/>
      <c r="T8516" s="31"/>
      <c r="U8516" s="31"/>
      <c r="V8516" s="32"/>
    </row>
    <row r="8517">
      <c r="A8517" s="32"/>
      <c r="T8517" s="31"/>
      <c r="U8517" s="31"/>
      <c r="V8517" s="32"/>
    </row>
    <row r="8518">
      <c r="A8518" s="32"/>
      <c r="T8518" s="31"/>
      <c r="U8518" s="31"/>
      <c r="V8518" s="32"/>
    </row>
    <row r="8519">
      <c r="A8519" s="32"/>
      <c r="T8519" s="31"/>
      <c r="U8519" s="31"/>
      <c r="V8519" s="32"/>
    </row>
    <row r="8520">
      <c r="A8520" s="32"/>
      <c r="T8520" s="31"/>
      <c r="U8520" s="31"/>
      <c r="V8520" s="32"/>
    </row>
    <row r="8521">
      <c r="A8521" s="32"/>
      <c r="T8521" s="31"/>
      <c r="U8521" s="31"/>
      <c r="V8521" s="32"/>
    </row>
    <row r="8522">
      <c r="A8522" s="32"/>
      <c r="T8522" s="31"/>
      <c r="U8522" s="31"/>
      <c r="V8522" s="32"/>
    </row>
    <row r="8523">
      <c r="A8523" s="32"/>
      <c r="T8523" s="31"/>
      <c r="U8523" s="31"/>
      <c r="V8523" s="32"/>
    </row>
    <row r="8524">
      <c r="A8524" s="32"/>
      <c r="T8524" s="31"/>
      <c r="U8524" s="31"/>
      <c r="V8524" s="32"/>
    </row>
    <row r="8525">
      <c r="A8525" s="32"/>
      <c r="T8525" s="31"/>
      <c r="U8525" s="31"/>
      <c r="V8525" s="32"/>
    </row>
    <row r="8526">
      <c r="A8526" s="32"/>
      <c r="T8526" s="31"/>
      <c r="U8526" s="31"/>
      <c r="V8526" s="32"/>
    </row>
    <row r="8527">
      <c r="A8527" s="32"/>
      <c r="T8527" s="31"/>
      <c r="U8527" s="31"/>
      <c r="V8527" s="32"/>
    </row>
    <row r="8528">
      <c r="A8528" s="32"/>
      <c r="T8528" s="31"/>
      <c r="U8528" s="31"/>
      <c r="V8528" s="32"/>
    </row>
    <row r="8529">
      <c r="A8529" s="32"/>
      <c r="T8529" s="31"/>
      <c r="U8529" s="31"/>
      <c r="V8529" s="32"/>
    </row>
    <row r="8530">
      <c r="A8530" s="32"/>
      <c r="T8530" s="31"/>
      <c r="U8530" s="31"/>
      <c r="V8530" s="32"/>
    </row>
    <row r="8531">
      <c r="A8531" s="32"/>
      <c r="T8531" s="31"/>
      <c r="U8531" s="31"/>
      <c r="V8531" s="32"/>
    </row>
    <row r="8532">
      <c r="A8532" s="32"/>
      <c r="T8532" s="31"/>
      <c r="U8532" s="31"/>
      <c r="V8532" s="32"/>
    </row>
    <row r="8533">
      <c r="A8533" s="32"/>
      <c r="T8533" s="31"/>
      <c r="U8533" s="31"/>
      <c r="V8533" s="32"/>
    </row>
    <row r="8534">
      <c r="A8534" s="32"/>
      <c r="T8534" s="31"/>
      <c r="U8534" s="31"/>
      <c r="V8534" s="32"/>
    </row>
    <row r="8535">
      <c r="A8535" s="32"/>
      <c r="T8535" s="31"/>
      <c r="U8535" s="31"/>
      <c r="V8535" s="32"/>
    </row>
    <row r="8536">
      <c r="A8536" s="32"/>
      <c r="T8536" s="31"/>
      <c r="U8536" s="31"/>
      <c r="V8536" s="32"/>
    </row>
    <row r="8537">
      <c r="A8537" s="32"/>
      <c r="T8537" s="31"/>
      <c r="U8537" s="31"/>
      <c r="V8537" s="32"/>
    </row>
    <row r="8538">
      <c r="A8538" s="32"/>
      <c r="T8538" s="31"/>
      <c r="U8538" s="31"/>
      <c r="V8538" s="32"/>
    </row>
    <row r="8539">
      <c r="A8539" s="32"/>
      <c r="T8539" s="31"/>
      <c r="U8539" s="31"/>
      <c r="V8539" s="32"/>
    </row>
    <row r="8540">
      <c r="A8540" s="32"/>
      <c r="T8540" s="31"/>
      <c r="U8540" s="31"/>
      <c r="V8540" s="32"/>
    </row>
    <row r="8541">
      <c r="A8541" s="32"/>
      <c r="T8541" s="31"/>
      <c r="U8541" s="31"/>
      <c r="V8541" s="32"/>
    </row>
    <row r="8542">
      <c r="A8542" s="32"/>
      <c r="T8542" s="31"/>
      <c r="U8542" s="31"/>
      <c r="V8542" s="32"/>
    </row>
    <row r="8543">
      <c r="A8543" s="32"/>
      <c r="T8543" s="31"/>
      <c r="U8543" s="31"/>
      <c r="V8543" s="32"/>
    </row>
    <row r="8544">
      <c r="A8544" s="32"/>
      <c r="T8544" s="31"/>
      <c r="U8544" s="31"/>
      <c r="V8544" s="32"/>
    </row>
    <row r="8545">
      <c r="A8545" s="32"/>
      <c r="T8545" s="31"/>
      <c r="U8545" s="31"/>
      <c r="V8545" s="32"/>
    </row>
    <row r="8546">
      <c r="A8546" s="32"/>
      <c r="T8546" s="31"/>
      <c r="U8546" s="31"/>
      <c r="V8546" s="32"/>
    </row>
    <row r="8547">
      <c r="A8547" s="32"/>
      <c r="T8547" s="31"/>
      <c r="U8547" s="31"/>
      <c r="V8547" s="32"/>
    </row>
    <row r="8548">
      <c r="A8548" s="32"/>
      <c r="T8548" s="31"/>
      <c r="U8548" s="31"/>
      <c r="V8548" s="32"/>
    </row>
    <row r="8549">
      <c r="A8549" s="32"/>
      <c r="T8549" s="31"/>
      <c r="U8549" s="31"/>
      <c r="V8549" s="32"/>
    </row>
    <row r="8550">
      <c r="A8550" s="32"/>
      <c r="T8550" s="31"/>
      <c r="U8550" s="31"/>
      <c r="V8550" s="32"/>
    </row>
    <row r="8551">
      <c r="A8551" s="32"/>
      <c r="T8551" s="31"/>
      <c r="U8551" s="31"/>
      <c r="V8551" s="32"/>
    </row>
    <row r="8552">
      <c r="A8552" s="32"/>
      <c r="T8552" s="31"/>
      <c r="U8552" s="31"/>
      <c r="V8552" s="32"/>
    </row>
    <row r="8553">
      <c r="A8553" s="32"/>
      <c r="T8553" s="31"/>
      <c r="U8553" s="31"/>
      <c r="V8553" s="32"/>
    </row>
    <row r="8554">
      <c r="A8554" s="32"/>
      <c r="T8554" s="31"/>
      <c r="U8554" s="31"/>
      <c r="V8554" s="32"/>
    </row>
    <row r="8555">
      <c r="A8555" s="32"/>
      <c r="T8555" s="31"/>
      <c r="U8555" s="31"/>
      <c r="V8555" s="32"/>
    </row>
    <row r="8556">
      <c r="A8556" s="32"/>
      <c r="T8556" s="31"/>
      <c r="U8556" s="31"/>
      <c r="V8556" s="32"/>
    </row>
    <row r="8557">
      <c r="A8557" s="32"/>
      <c r="T8557" s="31"/>
      <c r="U8557" s="31"/>
      <c r="V8557" s="32"/>
    </row>
    <row r="8558">
      <c r="A8558" s="32"/>
      <c r="T8558" s="31"/>
      <c r="U8558" s="31"/>
      <c r="V8558" s="32"/>
    </row>
    <row r="8559">
      <c r="A8559" s="32"/>
      <c r="T8559" s="31"/>
      <c r="U8559" s="31"/>
      <c r="V8559" s="32"/>
    </row>
    <row r="8560">
      <c r="A8560" s="32"/>
      <c r="T8560" s="31"/>
      <c r="U8560" s="31"/>
      <c r="V8560" s="32"/>
    </row>
    <row r="8561">
      <c r="A8561" s="32"/>
      <c r="T8561" s="31"/>
      <c r="U8561" s="31"/>
      <c r="V8561" s="32"/>
    </row>
    <row r="8562">
      <c r="A8562" s="32"/>
      <c r="T8562" s="31"/>
      <c r="U8562" s="31"/>
      <c r="V8562" s="32"/>
    </row>
    <row r="8563">
      <c r="A8563" s="32"/>
      <c r="T8563" s="31"/>
      <c r="U8563" s="31"/>
      <c r="V8563" s="32"/>
    </row>
    <row r="8564">
      <c r="A8564" s="32"/>
      <c r="T8564" s="31"/>
      <c r="U8564" s="31"/>
      <c r="V8564" s="32"/>
    </row>
    <row r="8565">
      <c r="A8565" s="32"/>
      <c r="T8565" s="31"/>
      <c r="U8565" s="31"/>
      <c r="V8565" s="32"/>
    </row>
    <row r="8566">
      <c r="A8566" s="32"/>
      <c r="T8566" s="31"/>
      <c r="U8566" s="31"/>
      <c r="V8566" s="32"/>
    </row>
    <row r="8567">
      <c r="A8567" s="32"/>
      <c r="T8567" s="31"/>
      <c r="U8567" s="31"/>
      <c r="V8567" s="32"/>
    </row>
    <row r="8568">
      <c r="A8568" s="32"/>
      <c r="T8568" s="31"/>
      <c r="U8568" s="31"/>
      <c r="V8568" s="32"/>
    </row>
    <row r="8569">
      <c r="A8569" s="32"/>
      <c r="T8569" s="31"/>
      <c r="U8569" s="31"/>
      <c r="V8569" s="32"/>
    </row>
    <row r="8570">
      <c r="A8570" s="32"/>
      <c r="T8570" s="31"/>
      <c r="U8570" s="31"/>
      <c r="V8570" s="32"/>
    </row>
    <row r="8571">
      <c r="A8571" s="32"/>
      <c r="T8571" s="31"/>
      <c r="U8571" s="31"/>
      <c r="V8571" s="32"/>
    </row>
    <row r="8572">
      <c r="A8572" s="32"/>
      <c r="T8572" s="31"/>
      <c r="U8572" s="31"/>
      <c r="V8572" s="32"/>
    </row>
    <row r="8573">
      <c r="A8573" s="32"/>
      <c r="T8573" s="31"/>
      <c r="U8573" s="31"/>
      <c r="V8573" s="32"/>
    </row>
    <row r="8574">
      <c r="A8574" s="32"/>
      <c r="T8574" s="31"/>
      <c r="U8574" s="31"/>
      <c r="V8574" s="32"/>
    </row>
    <row r="8575">
      <c r="A8575" s="32"/>
      <c r="T8575" s="31"/>
      <c r="U8575" s="31"/>
      <c r="V8575" s="32"/>
    </row>
    <row r="8576">
      <c r="A8576" s="32"/>
      <c r="T8576" s="31"/>
      <c r="U8576" s="31"/>
      <c r="V8576" s="32"/>
    </row>
    <row r="8577">
      <c r="A8577" s="32"/>
      <c r="T8577" s="31"/>
      <c r="U8577" s="31"/>
      <c r="V8577" s="32"/>
    </row>
    <row r="8578">
      <c r="A8578" s="32"/>
      <c r="T8578" s="31"/>
      <c r="U8578" s="31"/>
      <c r="V8578" s="32"/>
    </row>
    <row r="8579">
      <c r="A8579" s="32"/>
      <c r="T8579" s="31"/>
      <c r="U8579" s="31"/>
      <c r="V8579" s="32"/>
    </row>
    <row r="8580">
      <c r="A8580" s="32"/>
      <c r="T8580" s="31"/>
      <c r="U8580" s="31"/>
      <c r="V8580" s="32"/>
    </row>
    <row r="8581">
      <c r="A8581" s="32"/>
      <c r="T8581" s="31"/>
      <c r="U8581" s="31"/>
      <c r="V8581" s="32"/>
    </row>
    <row r="8582">
      <c r="A8582" s="32"/>
      <c r="T8582" s="31"/>
      <c r="U8582" s="31"/>
      <c r="V8582" s="32"/>
    </row>
    <row r="8583">
      <c r="A8583" s="32"/>
      <c r="T8583" s="31"/>
      <c r="U8583" s="31"/>
      <c r="V8583" s="32"/>
    </row>
    <row r="8584">
      <c r="A8584" s="32"/>
      <c r="T8584" s="31"/>
      <c r="U8584" s="31"/>
      <c r="V8584" s="32"/>
    </row>
    <row r="8585">
      <c r="A8585" s="32"/>
      <c r="T8585" s="31"/>
      <c r="U8585" s="31"/>
      <c r="V8585" s="32"/>
    </row>
    <row r="8586">
      <c r="A8586" s="32"/>
      <c r="T8586" s="31"/>
      <c r="U8586" s="31"/>
      <c r="V8586" s="32"/>
    </row>
    <row r="8587">
      <c r="A8587" s="32"/>
      <c r="T8587" s="31"/>
      <c r="U8587" s="31"/>
      <c r="V8587" s="32"/>
    </row>
    <row r="8588">
      <c r="A8588" s="32"/>
      <c r="T8588" s="31"/>
      <c r="U8588" s="31"/>
      <c r="V8588" s="32"/>
    </row>
    <row r="8589">
      <c r="A8589" s="32"/>
      <c r="T8589" s="31"/>
      <c r="U8589" s="31"/>
      <c r="V8589" s="32"/>
    </row>
    <row r="8590">
      <c r="A8590" s="32"/>
      <c r="T8590" s="31"/>
      <c r="U8590" s="31"/>
      <c r="V8590" s="32"/>
    </row>
    <row r="8591">
      <c r="A8591" s="32"/>
      <c r="T8591" s="31"/>
      <c r="U8591" s="31"/>
      <c r="V8591" s="32"/>
    </row>
    <row r="8592">
      <c r="A8592" s="32"/>
      <c r="T8592" s="31"/>
      <c r="U8592" s="31"/>
      <c r="V8592" s="32"/>
    </row>
    <row r="8593">
      <c r="A8593" s="32"/>
      <c r="T8593" s="31"/>
      <c r="U8593" s="31"/>
      <c r="V8593" s="32"/>
    </row>
    <row r="8594">
      <c r="A8594" s="32"/>
      <c r="T8594" s="31"/>
      <c r="U8594" s="31"/>
      <c r="V8594" s="32"/>
    </row>
    <row r="8595">
      <c r="A8595" s="32"/>
      <c r="T8595" s="31"/>
      <c r="U8595" s="31"/>
      <c r="V8595" s="32"/>
    </row>
    <row r="8596">
      <c r="A8596" s="32"/>
      <c r="T8596" s="31"/>
      <c r="U8596" s="31"/>
      <c r="V8596" s="32"/>
    </row>
    <row r="8597">
      <c r="A8597" s="32"/>
      <c r="T8597" s="31"/>
      <c r="U8597" s="31"/>
      <c r="V8597" s="32"/>
    </row>
    <row r="8598">
      <c r="A8598" s="32"/>
      <c r="T8598" s="31"/>
      <c r="U8598" s="31"/>
      <c r="V8598" s="32"/>
    </row>
    <row r="8599">
      <c r="A8599" s="32"/>
      <c r="T8599" s="31"/>
      <c r="U8599" s="31"/>
      <c r="V8599" s="32"/>
    </row>
    <row r="8600">
      <c r="A8600" s="32"/>
      <c r="T8600" s="31"/>
      <c r="U8600" s="31"/>
      <c r="V8600" s="32"/>
    </row>
    <row r="8601">
      <c r="A8601" s="32"/>
      <c r="T8601" s="31"/>
      <c r="U8601" s="31"/>
      <c r="V8601" s="32"/>
    </row>
    <row r="8602">
      <c r="A8602" s="32"/>
      <c r="T8602" s="31"/>
      <c r="U8602" s="31"/>
      <c r="V8602" s="32"/>
    </row>
    <row r="8603">
      <c r="A8603" s="32"/>
      <c r="T8603" s="31"/>
      <c r="U8603" s="31"/>
      <c r="V8603" s="32"/>
    </row>
    <row r="8604">
      <c r="A8604" s="32"/>
      <c r="T8604" s="31"/>
      <c r="U8604" s="31"/>
      <c r="V8604" s="32"/>
    </row>
    <row r="8605">
      <c r="A8605" s="32"/>
      <c r="T8605" s="31"/>
      <c r="U8605" s="31"/>
      <c r="V8605" s="32"/>
    </row>
    <row r="8606">
      <c r="A8606" s="32"/>
      <c r="T8606" s="31"/>
      <c r="U8606" s="31"/>
      <c r="V8606" s="32"/>
    </row>
    <row r="8607">
      <c r="A8607" s="32"/>
      <c r="T8607" s="31"/>
      <c r="U8607" s="31"/>
      <c r="V8607" s="32"/>
    </row>
    <row r="8608">
      <c r="A8608" s="32"/>
      <c r="T8608" s="31"/>
      <c r="U8608" s="31"/>
      <c r="V8608" s="32"/>
    </row>
    <row r="8609">
      <c r="A8609" s="32"/>
      <c r="T8609" s="31"/>
      <c r="U8609" s="31"/>
      <c r="V8609" s="32"/>
    </row>
    <row r="8610">
      <c r="A8610" s="32"/>
      <c r="T8610" s="31"/>
      <c r="U8610" s="31"/>
      <c r="V8610" s="32"/>
    </row>
    <row r="8611">
      <c r="A8611" s="32"/>
      <c r="T8611" s="31"/>
      <c r="U8611" s="31"/>
      <c r="V8611" s="32"/>
    </row>
    <row r="8612">
      <c r="A8612" s="32"/>
      <c r="T8612" s="31"/>
      <c r="U8612" s="31"/>
      <c r="V8612" s="32"/>
    </row>
    <row r="8613">
      <c r="A8613" s="32"/>
      <c r="T8613" s="31"/>
      <c r="U8613" s="31"/>
      <c r="V8613" s="32"/>
    </row>
    <row r="8614">
      <c r="A8614" s="32"/>
      <c r="T8614" s="31"/>
      <c r="U8614" s="31"/>
      <c r="V8614" s="32"/>
    </row>
    <row r="8615">
      <c r="A8615" s="32"/>
      <c r="T8615" s="31"/>
      <c r="U8615" s="31"/>
      <c r="V8615" s="32"/>
    </row>
    <row r="8616">
      <c r="A8616" s="32"/>
      <c r="T8616" s="31"/>
      <c r="U8616" s="31"/>
      <c r="V8616" s="32"/>
    </row>
    <row r="8617">
      <c r="A8617" s="32"/>
      <c r="T8617" s="31"/>
      <c r="U8617" s="31"/>
      <c r="V8617" s="32"/>
    </row>
    <row r="8618">
      <c r="A8618" s="32"/>
      <c r="T8618" s="31"/>
      <c r="U8618" s="31"/>
      <c r="V8618" s="32"/>
    </row>
    <row r="8619">
      <c r="A8619" s="32"/>
      <c r="T8619" s="31"/>
      <c r="U8619" s="31"/>
      <c r="V8619" s="32"/>
    </row>
    <row r="8620">
      <c r="A8620" s="32"/>
      <c r="T8620" s="31"/>
      <c r="U8620" s="31"/>
      <c r="V8620" s="32"/>
    </row>
    <row r="8621">
      <c r="A8621" s="32"/>
      <c r="T8621" s="31"/>
      <c r="U8621" s="31"/>
      <c r="V8621" s="32"/>
    </row>
    <row r="8622">
      <c r="A8622" s="32"/>
      <c r="T8622" s="31"/>
      <c r="U8622" s="31"/>
      <c r="V8622" s="32"/>
    </row>
    <row r="8623">
      <c r="A8623" s="32"/>
      <c r="T8623" s="31"/>
      <c r="U8623" s="31"/>
      <c r="V8623" s="32"/>
    </row>
    <row r="8624">
      <c r="A8624" s="32"/>
      <c r="T8624" s="31"/>
      <c r="U8624" s="31"/>
      <c r="V8624" s="32"/>
    </row>
    <row r="8625">
      <c r="A8625" s="32"/>
      <c r="T8625" s="31"/>
      <c r="U8625" s="31"/>
      <c r="V8625" s="32"/>
    </row>
    <row r="8626">
      <c r="A8626" s="32"/>
      <c r="T8626" s="31"/>
      <c r="U8626" s="31"/>
      <c r="V8626" s="32"/>
    </row>
    <row r="8627">
      <c r="A8627" s="32"/>
      <c r="T8627" s="31"/>
      <c r="U8627" s="31"/>
      <c r="V8627" s="32"/>
    </row>
    <row r="8628">
      <c r="A8628" s="32"/>
      <c r="T8628" s="31"/>
      <c r="U8628" s="31"/>
      <c r="V8628" s="32"/>
    </row>
    <row r="8629">
      <c r="A8629" s="32"/>
      <c r="T8629" s="31"/>
      <c r="U8629" s="31"/>
      <c r="V8629" s="32"/>
    </row>
    <row r="8630">
      <c r="A8630" s="32"/>
      <c r="T8630" s="31"/>
      <c r="U8630" s="31"/>
      <c r="V8630" s="32"/>
    </row>
    <row r="8631">
      <c r="A8631" s="32"/>
      <c r="T8631" s="31"/>
      <c r="U8631" s="31"/>
      <c r="V8631" s="32"/>
    </row>
    <row r="8632">
      <c r="A8632" s="32"/>
      <c r="T8632" s="31"/>
      <c r="U8632" s="31"/>
      <c r="V8632" s="32"/>
    </row>
    <row r="8633">
      <c r="A8633" s="32"/>
      <c r="T8633" s="31"/>
      <c r="U8633" s="31"/>
      <c r="V8633" s="32"/>
    </row>
    <row r="8634">
      <c r="A8634" s="32"/>
      <c r="T8634" s="31"/>
      <c r="U8634" s="31"/>
      <c r="V8634" s="32"/>
    </row>
    <row r="8635">
      <c r="A8635" s="32"/>
      <c r="T8635" s="31"/>
      <c r="U8635" s="31"/>
      <c r="V8635" s="32"/>
    </row>
    <row r="8636">
      <c r="A8636" s="32"/>
      <c r="T8636" s="31"/>
      <c r="U8636" s="31"/>
      <c r="V8636" s="32"/>
    </row>
    <row r="8637">
      <c r="A8637" s="32"/>
      <c r="T8637" s="31"/>
      <c r="U8637" s="31"/>
      <c r="V8637" s="32"/>
    </row>
    <row r="8638">
      <c r="A8638" s="32"/>
      <c r="T8638" s="31"/>
      <c r="U8638" s="31"/>
      <c r="V8638" s="32"/>
    </row>
    <row r="8639">
      <c r="A8639" s="32"/>
      <c r="T8639" s="31"/>
      <c r="U8639" s="31"/>
      <c r="V8639" s="32"/>
    </row>
    <row r="8640">
      <c r="A8640" s="32"/>
      <c r="T8640" s="31"/>
      <c r="U8640" s="31"/>
      <c r="V8640" s="32"/>
    </row>
    <row r="8641">
      <c r="A8641" s="32"/>
      <c r="T8641" s="31"/>
      <c r="U8641" s="31"/>
      <c r="V8641" s="32"/>
    </row>
    <row r="8642">
      <c r="A8642" s="32"/>
      <c r="T8642" s="31"/>
      <c r="U8642" s="31"/>
      <c r="V8642" s="32"/>
    </row>
    <row r="8643">
      <c r="A8643" s="32"/>
      <c r="T8643" s="31"/>
      <c r="U8643" s="31"/>
      <c r="V8643" s="32"/>
    </row>
    <row r="8644">
      <c r="A8644" s="32"/>
      <c r="T8644" s="31"/>
      <c r="U8644" s="31"/>
      <c r="V8644" s="32"/>
    </row>
    <row r="8645">
      <c r="A8645" s="32"/>
      <c r="T8645" s="31"/>
      <c r="U8645" s="31"/>
      <c r="V8645" s="32"/>
    </row>
    <row r="8646">
      <c r="A8646" s="32"/>
      <c r="T8646" s="31"/>
      <c r="U8646" s="31"/>
      <c r="V8646" s="32"/>
    </row>
    <row r="8647">
      <c r="A8647" s="32"/>
      <c r="T8647" s="31"/>
      <c r="U8647" s="31"/>
      <c r="V8647" s="32"/>
    </row>
    <row r="8648">
      <c r="A8648" s="32"/>
      <c r="T8648" s="31"/>
      <c r="U8648" s="31"/>
      <c r="V8648" s="32"/>
    </row>
    <row r="8649">
      <c r="A8649" s="32"/>
      <c r="T8649" s="31"/>
      <c r="U8649" s="31"/>
      <c r="V8649" s="32"/>
    </row>
    <row r="8650">
      <c r="A8650" s="32"/>
      <c r="T8650" s="31"/>
      <c r="U8650" s="31"/>
      <c r="V8650" s="32"/>
    </row>
    <row r="8651">
      <c r="A8651" s="32"/>
      <c r="T8651" s="31"/>
      <c r="U8651" s="31"/>
      <c r="V8651" s="32"/>
    </row>
    <row r="8652">
      <c r="A8652" s="32"/>
      <c r="T8652" s="31"/>
      <c r="U8652" s="31"/>
      <c r="V8652" s="32"/>
    </row>
    <row r="8653">
      <c r="A8653" s="32"/>
      <c r="T8653" s="31"/>
      <c r="U8653" s="31"/>
      <c r="V8653" s="32"/>
    </row>
    <row r="8654">
      <c r="A8654" s="32"/>
      <c r="T8654" s="31"/>
      <c r="U8654" s="31"/>
      <c r="V8654" s="32"/>
    </row>
    <row r="8655">
      <c r="A8655" s="32"/>
      <c r="T8655" s="31"/>
      <c r="U8655" s="31"/>
      <c r="V8655" s="32"/>
    </row>
    <row r="8656">
      <c r="A8656" s="32"/>
      <c r="T8656" s="31"/>
      <c r="U8656" s="31"/>
      <c r="V8656" s="32"/>
    </row>
    <row r="8657">
      <c r="A8657" s="32"/>
      <c r="T8657" s="31"/>
      <c r="U8657" s="31"/>
      <c r="V8657" s="32"/>
    </row>
    <row r="8658">
      <c r="A8658" s="32"/>
      <c r="T8658" s="31"/>
      <c r="U8658" s="31"/>
      <c r="V8658" s="32"/>
    </row>
    <row r="8659">
      <c r="A8659" s="32"/>
      <c r="T8659" s="31"/>
      <c r="U8659" s="31"/>
      <c r="V8659" s="32"/>
    </row>
    <row r="8660">
      <c r="A8660" s="32"/>
      <c r="T8660" s="31"/>
      <c r="U8660" s="31"/>
      <c r="V8660" s="32"/>
    </row>
    <row r="8661">
      <c r="A8661" s="32"/>
      <c r="T8661" s="31"/>
      <c r="U8661" s="31"/>
      <c r="V8661" s="32"/>
    </row>
    <row r="8662">
      <c r="A8662" s="32"/>
      <c r="T8662" s="31"/>
      <c r="U8662" s="31"/>
      <c r="V8662" s="32"/>
    </row>
    <row r="8663">
      <c r="A8663" s="32"/>
      <c r="T8663" s="31"/>
      <c r="U8663" s="31"/>
      <c r="V8663" s="32"/>
    </row>
    <row r="8664">
      <c r="A8664" s="32"/>
      <c r="T8664" s="31"/>
      <c r="U8664" s="31"/>
      <c r="V8664" s="32"/>
    </row>
    <row r="8665">
      <c r="A8665" s="32"/>
      <c r="T8665" s="31"/>
      <c r="U8665" s="31"/>
      <c r="V8665" s="32"/>
    </row>
    <row r="8666">
      <c r="A8666" s="32"/>
      <c r="T8666" s="31"/>
      <c r="U8666" s="31"/>
      <c r="V8666" s="32"/>
    </row>
    <row r="8667">
      <c r="A8667" s="32"/>
      <c r="T8667" s="31"/>
      <c r="U8667" s="31"/>
      <c r="V8667" s="32"/>
    </row>
    <row r="8668">
      <c r="A8668" s="32"/>
      <c r="T8668" s="31"/>
      <c r="U8668" s="31"/>
      <c r="V8668" s="32"/>
    </row>
    <row r="8669">
      <c r="A8669" s="32"/>
      <c r="T8669" s="31"/>
      <c r="U8669" s="31"/>
      <c r="V8669" s="32"/>
    </row>
    <row r="8670">
      <c r="A8670" s="32"/>
      <c r="T8670" s="31"/>
      <c r="U8670" s="31"/>
      <c r="V8670" s="32"/>
    </row>
    <row r="8671">
      <c r="A8671" s="32"/>
      <c r="T8671" s="31"/>
      <c r="U8671" s="31"/>
      <c r="V8671" s="32"/>
    </row>
    <row r="8672">
      <c r="A8672" s="32"/>
      <c r="T8672" s="31"/>
      <c r="U8672" s="31"/>
      <c r="V8672" s="32"/>
    </row>
    <row r="8673">
      <c r="A8673" s="32"/>
      <c r="T8673" s="31"/>
      <c r="U8673" s="31"/>
      <c r="V8673" s="32"/>
    </row>
    <row r="8674">
      <c r="A8674" s="32"/>
      <c r="T8674" s="31"/>
      <c r="U8674" s="31"/>
      <c r="V8674" s="32"/>
    </row>
    <row r="8675">
      <c r="A8675" s="32"/>
      <c r="T8675" s="31"/>
      <c r="U8675" s="31"/>
      <c r="V8675" s="32"/>
    </row>
    <row r="8676">
      <c r="A8676" s="32"/>
      <c r="T8676" s="31"/>
      <c r="U8676" s="31"/>
      <c r="V8676" s="32"/>
    </row>
    <row r="8677">
      <c r="A8677" s="32"/>
      <c r="T8677" s="31"/>
      <c r="U8677" s="31"/>
      <c r="V8677" s="32"/>
    </row>
    <row r="8678">
      <c r="A8678" s="32"/>
      <c r="T8678" s="31"/>
      <c r="U8678" s="31"/>
      <c r="V8678" s="32"/>
    </row>
    <row r="8679">
      <c r="A8679" s="32"/>
      <c r="T8679" s="31"/>
      <c r="U8679" s="31"/>
      <c r="V8679" s="32"/>
    </row>
    <row r="8680">
      <c r="A8680" s="32"/>
      <c r="T8680" s="31"/>
      <c r="U8680" s="31"/>
      <c r="V8680" s="32"/>
    </row>
    <row r="8681">
      <c r="A8681" s="32"/>
      <c r="T8681" s="31"/>
      <c r="U8681" s="31"/>
      <c r="V8681" s="32"/>
    </row>
    <row r="8682">
      <c r="A8682" s="32"/>
      <c r="T8682" s="31"/>
      <c r="U8682" s="31"/>
      <c r="V8682" s="32"/>
    </row>
    <row r="8683">
      <c r="A8683" s="32"/>
      <c r="T8683" s="31"/>
      <c r="U8683" s="31"/>
      <c r="V8683" s="32"/>
    </row>
    <row r="8684">
      <c r="A8684" s="32"/>
      <c r="T8684" s="31"/>
      <c r="U8684" s="31"/>
      <c r="V8684" s="32"/>
    </row>
    <row r="8685">
      <c r="A8685" s="32"/>
      <c r="T8685" s="31"/>
      <c r="U8685" s="31"/>
      <c r="V8685" s="32"/>
    </row>
    <row r="8686">
      <c r="A8686" s="32"/>
      <c r="T8686" s="31"/>
      <c r="U8686" s="31"/>
      <c r="V8686" s="32"/>
    </row>
    <row r="8687">
      <c r="A8687" s="32"/>
      <c r="T8687" s="31"/>
      <c r="U8687" s="31"/>
      <c r="V8687" s="32"/>
    </row>
    <row r="8688">
      <c r="A8688" s="32"/>
      <c r="T8688" s="31"/>
      <c r="U8688" s="31"/>
      <c r="V8688" s="32"/>
    </row>
    <row r="8689">
      <c r="A8689" s="32"/>
      <c r="T8689" s="31"/>
      <c r="U8689" s="31"/>
      <c r="V8689" s="32"/>
    </row>
    <row r="8690">
      <c r="A8690" s="32"/>
      <c r="T8690" s="31"/>
      <c r="U8690" s="31"/>
      <c r="V8690" s="32"/>
    </row>
    <row r="8691">
      <c r="A8691" s="32"/>
      <c r="T8691" s="31"/>
      <c r="U8691" s="31"/>
      <c r="V8691" s="32"/>
    </row>
    <row r="8692">
      <c r="A8692" s="32"/>
      <c r="T8692" s="31"/>
      <c r="U8692" s="31"/>
      <c r="V8692" s="32"/>
    </row>
    <row r="8693">
      <c r="A8693" s="32"/>
      <c r="T8693" s="31"/>
      <c r="U8693" s="31"/>
      <c r="V8693" s="32"/>
    </row>
    <row r="8694">
      <c r="A8694" s="32"/>
      <c r="T8694" s="31"/>
      <c r="U8694" s="31"/>
      <c r="V8694" s="32"/>
    </row>
    <row r="8695">
      <c r="A8695" s="32"/>
      <c r="T8695" s="31"/>
      <c r="U8695" s="31"/>
      <c r="V8695" s="32"/>
    </row>
    <row r="8696">
      <c r="A8696" s="32"/>
      <c r="T8696" s="31"/>
      <c r="U8696" s="31"/>
      <c r="V8696" s="32"/>
    </row>
    <row r="8697">
      <c r="A8697" s="32"/>
      <c r="T8697" s="31"/>
      <c r="U8697" s="31"/>
      <c r="V8697" s="32"/>
    </row>
    <row r="8698">
      <c r="A8698" s="32"/>
      <c r="T8698" s="31"/>
      <c r="U8698" s="31"/>
      <c r="V8698" s="32"/>
    </row>
    <row r="8699">
      <c r="A8699" s="32"/>
      <c r="T8699" s="31"/>
      <c r="U8699" s="31"/>
      <c r="V8699" s="32"/>
    </row>
    <row r="8700">
      <c r="A8700" s="32"/>
      <c r="T8700" s="31"/>
      <c r="U8700" s="31"/>
      <c r="V8700" s="32"/>
    </row>
    <row r="8701">
      <c r="A8701" s="32"/>
      <c r="T8701" s="31"/>
      <c r="U8701" s="31"/>
      <c r="V8701" s="32"/>
    </row>
    <row r="8702">
      <c r="A8702" s="32"/>
      <c r="T8702" s="31"/>
      <c r="U8702" s="31"/>
      <c r="V8702" s="32"/>
    </row>
    <row r="8703">
      <c r="A8703" s="32"/>
      <c r="T8703" s="31"/>
      <c r="U8703" s="31"/>
      <c r="V8703" s="32"/>
    </row>
    <row r="8704">
      <c r="A8704" s="32"/>
      <c r="T8704" s="31"/>
      <c r="U8704" s="31"/>
      <c r="V8704" s="32"/>
    </row>
    <row r="8705">
      <c r="A8705" s="32"/>
      <c r="T8705" s="31"/>
      <c r="U8705" s="31"/>
      <c r="V8705" s="32"/>
    </row>
    <row r="8706">
      <c r="A8706" s="32"/>
      <c r="T8706" s="31"/>
      <c r="U8706" s="31"/>
      <c r="V8706" s="32"/>
    </row>
    <row r="8707">
      <c r="A8707" s="32"/>
      <c r="T8707" s="31"/>
      <c r="U8707" s="31"/>
      <c r="V8707" s="32"/>
    </row>
    <row r="8708">
      <c r="A8708" s="32"/>
      <c r="T8708" s="31"/>
      <c r="U8708" s="31"/>
      <c r="V8708" s="32"/>
    </row>
    <row r="8709">
      <c r="A8709" s="32"/>
      <c r="T8709" s="31"/>
      <c r="U8709" s="31"/>
      <c r="V8709" s="32"/>
    </row>
    <row r="8710">
      <c r="A8710" s="32"/>
      <c r="T8710" s="31"/>
      <c r="U8710" s="31"/>
      <c r="V8710" s="32"/>
    </row>
    <row r="8711">
      <c r="A8711" s="32"/>
      <c r="T8711" s="31"/>
      <c r="U8711" s="31"/>
      <c r="V8711" s="32"/>
    </row>
    <row r="8712">
      <c r="A8712" s="32"/>
      <c r="T8712" s="31"/>
      <c r="U8712" s="31"/>
      <c r="V8712" s="32"/>
    </row>
    <row r="8713">
      <c r="A8713" s="32"/>
      <c r="T8713" s="31"/>
      <c r="U8713" s="31"/>
      <c r="V8713" s="32"/>
    </row>
    <row r="8714">
      <c r="A8714" s="32"/>
      <c r="T8714" s="31"/>
      <c r="U8714" s="31"/>
      <c r="V8714" s="32"/>
    </row>
    <row r="8715">
      <c r="A8715" s="32"/>
      <c r="T8715" s="31"/>
      <c r="U8715" s="31"/>
      <c r="V8715" s="32"/>
    </row>
    <row r="8716">
      <c r="A8716" s="32"/>
      <c r="T8716" s="31"/>
      <c r="U8716" s="31"/>
      <c r="V8716" s="32"/>
    </row>
    <row r="8717">
      <c r="A8717" s="32"/>
      <c r="T8717" s="31"/>
      <c r="U8717" s="31"/>
      <c r="V8717" s="32"/>
    </row>
    <row r="8718">
      <c r="A8718" s="32"/>
      <c r="T8718" s="31"/>
      <c r="U8718" s="31"/>
      <c r="V8718" s="32"/>
    </row>
    <row r="8719">
      <c r="A8719" s="32"/>
      <c r="T8719" s="31"/>
      <c r="U8719" s="31"/>
      <c r="V8719" s="32"/>
    </row>
    <row r="8720">
      <c r="A8720" s="32"/>
      <c r="T8720" s="31"/>
      <c r="U8720" s="31"/>
      <c r="V8720" s="32"/>
    </row>
    <row r="8721">
      <c r="A8721" s="32"/>
      <c r="T8721" s="31"/>
      <c r="U8721" s="31"/>
      <c r="V8721" s="32"/>
    </row>
    <row r="8722">
      <c r="A8722" s="32"/>
      <c r="T8722" s="31"/>
      <c r="U8722" s="31"/>
      <c r="V8722" s="32"/>
    </row>
    <row r="8723">
      <c r="A8723" s="32"/>
      <c r="T8723" s="31"/>
      <c r="U8723" s="31"/>
      <c r="V8723" s="32"/>
    </row>
    <row r="8724">
      <c r="A8724" s="32"/>
      <c r="T8724" s="31"/>
      <c r="U8724" s="31"/>
      <c r="V8724" s="32"/>
    </row>
    <row r="8725">
      <c r="A8725" s="32"/>
      <c r="T8725" s="31"/>
      <c r="U8725" s="31"/>
      <c r="V8725" s="32"/>
    </row>
    <row r="8726">
      <c r="A8726" s="32"/>
      <c r="T8726" s="31"/>
      <c r="U8726" s="31"/>
      <c r="V8726" s="32"/>
    </row>
    <row r="8727">
      <c r="A8727" s="32"/>
      <c r="T8727" s="31"/>
      <c r="U8727" s="31"/>
      <c r="V8727" s="32"/>
    </row>
    <row r="8728">
      <c r="A8728" s="32"/>
      <c r="T8728" s="31"/>
      <c r="U8728" s="31"/>
      <c r="V8728" s="32"/>
    </row>
    <row r="8729">
      <c r="A8729" s="32"/>
      <c r="T8729" s="31"/>
      <c r="U8729" s="31"/>
      <c r="V8729" s="32"/>
    </row>
    <row r="8730">
      <c r="A8730" s="32"/>
      <c r="T8730" s="31"/>
      <c r="U8730" s="31"/>
      <c r="V8730" s="32"/>
    </row>
    <row r="8731">
      <c r="A8731" s="32"/>
      <c r="T8731" s="31"/>
      <c r="U8731" s="31"/>
      <c r="V8731" s="32"/>
    </row>
    <row r="8732">
      <c r="A8732" s="32"/>
      <c r="T8732" s="31"/>
      <c r="U8732" s="31"/>
      <c r="V8732" s="32"/>
    </row>
    <row r="8733">
      <c r="A8733" s="32"/>
      <c r="T8733" s="31"/>
      <c r="U8733" s="31"/>
      <c r="V8733" s="32"/>
    </row>
    <row r="8734">
      <c r="A8734" s="32"/>
      <c r="T8734" s="31"/>
      <c r="U8734" s="31"/>
      <c r="V8734" s="32"/>
    </row>
    <row r="8735">
      <c r="A8735" s="32"/>
      <c r="T8735" s="31"/>
      <c r="U8735" s="31"/>
      <c r="V8735" s="32"/>
    </row>
    <row r="8736">
      <c r="A8736" s="32"/>
      <c r="T8736" s="31"/>
      <c r="U8736" s="31"/>
      <c r="V8736" s="32"/>
    </row>
    <row r="8737">
      <c r="A8737" s="32"/>
      <c r="T8737" s="31"/>
      <c r="U8737" s="31"/>
      <c r="V8737" s="32"/>
    </row>
    <row r="8738">
      <c r="A8738" s="32"/>
      <c r="T8738" s="31"/>
      <c r="U8738" s="31"/>
      <c r="V8738" s="32"/>
    </row>
    <row r="8739">
      <c r="A8739" s="32"/>
      <c r="T8739" s="31"/>
      <c r="U8739" s="31"/>
      <c r="V8739" s="32"/>
    </row>
    <row r="8740">
      <c r="A8740" s="32"/>
      <c r="T8740" s="31"/>
      <c r="U8740" s="31"/>
      <c r="V8740" s="32"/>
    </row>
    <row r="8741">
      <c r="A8741" s="32"/>
      <c r="T8741" s="31"/>
      <c r="U8741" s="31"/>
      <c r="V8741" s="32"/>
    </row>
    <row r="8742">
      <c r="A8742" s="32"/>
      <c r="T8742" s="31"/>
      <c r="U8742" s="31"/>
      <c r="V8742" s="32"/>
    </row>
    <row r="8743">
      <c r="A8743" s="32"/>
      <c r="T8743" s="31"/>
      <c r="U8743" s="31"/>
      <c r="V8743" s="32"/>
    </row>
    <row r="8744">
      <c r="A8744" s="32"/>
      <c r="T8744" s="31"/>
      <c r="U8744" s="31"/>
      <c r="V8744" s="32"/>
    </row>
    <row r="8745">
      <c r="A8745" s="32"/>
      <c r="T8745" s="31"/>
      <c r="U8745" s="31"/>
      <c r="V8745" s="32"/>
    </row>
    <row r="8746">
      <c r="A8746" s="32"/>
      <c r="T8746" s="31"/>
      <c r="U8746" s="31"/>
      <c r="V8746" s="32"/>
    </row>
    <row r="8747">
      <c r="A8747" s="32"/>
      <c r="T8747" s="31"/>
      <c r="U8747" s="31"/>
      <c r="V8747" s="32"/>
    </row>
    <row r="8748">
      <c r="A8748" s="32"/>
      <c r="T8748" s="31"/>
      <c r="U8748" s="31"/>
      <c r="V8748" s="32"/>
    </row>
    <row r="8749">
      <c r="A8749" s="32"/>
      <c r="T8749" s="31"/>
      <c r="U8749" s="31"/>
      <c r="V8749" s="32"/>
    </row>
    <row r="8750">
      <c r="A8750" s="32"/>
      <c r="T8750" s="31"/>
      <c r="U8750" s="31"/>
      <c r="V8750" s="32"/>
    </row>
    <row r="8751">
      <c r="A8751" s="32"/>
      <c r="T8751" s="31"/>
      <c r="U8751" s="31"/>
      <c r="V8751" s="32"/>
    </row>
    <row r="8752">
      <c r="A8752" s="32"/>
      <c r="T8752" s="31"/>
      <c r="U8752" s="31"/>
      <c r="V8752" s="32"/>
    </row>
    <row r="8753">
      <c r="A8753" s="32"/>
      <c r="T8753" s="31"/>
      <c r="U8753" s="31"/>
      <c r="V8753" s="32"/>
    </row>
    <row r="8754">
      <c r="A8754" s="32"/>
      <c r="T8754" s="31"/>
      <c r="U8754" s="31"/>
      <c r="V8754" s="32"/>
    </row>
    <row r="8755">
      <c r="A8755" s="32"/>
      <c r="T8755" s="31"/>
      <c r="U8755" s="31"/>
      <c r="V8755" s="32"/>
    </row>
    <row r="8756">
      <c r="A8756" s="32"/>
      <c r="T8756" s="31"/>
      <c r="U8756" s="31"/>
      <c r="V8756" s="32"/>
    </row>
    <row r="8757">
      <c r="A8757" s="32"/>
      <c r="T8757" s="31"/>
      <c r="U8757" s="31"/>
      <c r="V8757" s="32"/>
    </row>
    <row r="8758">
      <c r="A8758" s="32"/>
      <c r="T8758" s="31"/>
      <c r="U8758" s="31"/>
      <c r="V8758" s="32"/>
    </row>
    <row r="8759">
      <c r="A8759" s="32"/>
      <c r="T8759" s="31"/>
      <c r="U8759" s="31"/>
      <c r="V8759" s="32"/>
    </row>
    <row r="8760">
      <c r="A8760" s="32"/>
      <c r="T8760" s="31"/>
      <c r="U8760" s="31"/>
      <c r="V8760" s="32"/>
    </row>
    <row r="8761">
      <c r="A8761" s="32"/>
      <c r="T8761" s="31"/>
      <c r="U8761" s="31"/>
      <c r="V8761" s="32"/>
    </row>
    <row r="8762">
      <c r="A8762" s="32"/>
      <c r="T8762" s="31"/>
      <c r="U8762" s="31"/>
      <c r="V8762" s="32"/>
    </row>
    <row r="8763">
      <c r="A8763" s="32"/>
      <c r="T8763" s="31"/>
      <c r="U8763" s="31"/>
      <c r="V8763" s="32"/>
    </row>
    <row r="8764">
      <c r="A8764" s="32"/>
      <c r="T8764" s="31"/>
      <c r="U8764" s="31"/>
      <c r="V8764" s="32"/>
    </row>
    <row r="8765">
      <c r="A8765" s="32"/>
      <c r="T8765" s="31"/>
      <c r="U8765" s="31"/>
      <c r="V8765" s="32"/>
    </row>
    <row r="8766">
      <c r="A8766" s="32"/>
      <c r="T8766" s="31"/>
      <c r="U8766" s="31"/>
      <c r="V8766" s="32"/>
    </row>
    <row r="8767">
      <c r="A8767" s="32"/>
      <c r="T8767" s="31"/>
      <c r="U8767" s="31"/>
      <c r="V8767" s="32"/>
    </row>
    <row r="8768">
      <c r="A8768" s="32"/>
      <c r="T8768" s="31"/>
      <c r="U8768" s="31"/>
      <c r="V8768" s="32"/>
    </row>
    <row r="8769">
      <c r="A8769" s="32"/>
      <c r="T8769" s="31"/>
      <c r="U8769" s="31"/>
      <c r="V8769" s="32"/>
    </row>
    <row r="8770">
      <c r="A8770" s="32"/>
      <c r="T8770" s="31"/>
      <c r="U8770" s="31"/>
      <c r="V8770" s="32"/>
    </row>
    <row r="8771">
      <c r="A8771" s="32"/>
      <c r="T8771" s="31"/>
      <c r="U8771" s="31"/>
      <c r="V8771" s="32"/>
    </row>
    <row r="8772">
      <c r="A8772" s="32"/>
      <c r="T8772" s="31"/>
      <c r="U8772" s="31"/>
      <c r="V8772" s="32"/>
    </row>
    <row r="8773">
      <c r="A8773" s="32"/>
      <c r="T8773" s="31"/>
      <c r="U8773" s="31"/>
      <c r="V8773" s="32"/>
    </row>
    <row r="8774">
      <c r="A8774" s="32"/>
      <c r="T8774" s="31"/>
      <c r="U8774" s="31"/>
      <c r="V8774" s="32"/>
    </row>
    <row r="8775">
      <c r="A8775" s="32"/>
      <c r="T8775" s="31"/>
      <c r="U8775" s="31"/>
      <c r="V8775" s="32"/>
    </row>
    <row r="8776">
      <c r="A8776" s="32"/>
      <c r="T8776" s="31"/>
      <c r="U8776" s="31"/>
      <c r="V8776" s="32"/>
    </row>
    <row r="8777">
      <c r="A8777" s="32"/>
      <c r="T8777" s="31"/>
      <c r="U8777" s="31"/>
      <c r="V8777" s="32"/>
    </row>
    <row r="8778">
      <c r="A8778" s="32"/>
      <c r="T8778" s="31"/>
      <c r="U8778" s="31"/>
      <c r="V8778" s="32"/>
    </row>
    <row r="8779">
      <c r="A8779" s="32"/>
      <c r="T8779" s="31"/>
      <c r="U8779" s="31"/>
      <c r="V8779" s="32"/>
    </row>
    <row r="8780">
      <c r="A8780" s="32"/>
      <c r="T8780" s="31"/>
      <c r="U8780" s="31"/>
      <c r="V8780" s="32"/>
    </row>
    <row r="8781">
      <c r="A8781" s="32"/>
      <c r="T8781" s="31"/>
      <c r="U8781" s="31"/>
      <c r="V8781" s="32"/>
    </row>
    <row r="8782">
      <c r="A8782" s="32"/>
      <c r="T8782" s="31"/>
      <c r="U8782" s="31"/>
      <c r="V8782" s="32"/>
    </row>
    <row r="8783">
      <c r="A8783" s="32"/>
      <c r="T8783" s="31"/>
      <c r="U8783" s="31"/>
      <c r="V8783" s="32"/>
    </row>
    <row r="8784">
      <c r="A8784" s="32"/>
      <c r="T8784" s="31"/>
      <c r="U8784" s="31"/>
      <c r="V8784" s="32"/>
    </row>
    <row r="8785">
      <c r="A8785" s="32"/>
      <c r="T8785" s="31"/>
      <c r="U8785" s="31"/>
      <c r="V8785" s="32"/>
    </row>
    <row r="8786">
      <c r="A8786" s="32"/>
      <c r="T8786" s="31"/>
      <c r="U8786" s="31"/>
      <c r="V8786" s="32"/>
    </row>
    <row r="8787">
      <c r="A8787" s="32"/>
      <c r="T8787" s="31"/>
      <c r="U8787" s="31"/>
      <c r="V8787" s="32"/>
    </row>
    <row r="8788">
      <c r="A8788" s="32"/>
      <c r="T8788" s="31"/>
      <c r="U8788" s="31"/>
      <c r="V8788" s="32"/>
    </row>
    <row r="8789">
      <c r="A8789" s="32"/>
      <c r="T8789" s="31"/>
      <c r="U8789" s="31"/>
      <c r="V8789" s="32"/>
    </row>
    <row r="8790">
      <c r="A8790" s="32"/>
      <c r="T8790" s="31"/>
      <c r="U8790" s="31"/>
      <c r="V8790" s="32"/>
    </row>
    <row r="8791">
      <c r="A8791" s="32"/>
      <c r="T8791" s="31"/>
      <c r="U8791" s="31"/>
      <c r="V8791" s="32"/>
    </row>
    <row r="8792">
      <c r="A8792" s="32"/>
      <c r="T8792" s="31"/>
      <c r="U8792" s="31"/>
      <c r="V8792" s="32"/>
    </row>
    <row r="8793">
      <c r="A8793" s="32"/>
      <c r="T8793" s="31"/>
      <c r="U8793" s="31"/>
      <c r="V8793" s="32"/>
    </row>
    <row r="8794">
      <c r="A8794" s="32"/>
      <c r="T8794" s="31"/>
      <c r="U8794" s="31"/>
      <c r="V8794" s="32"/>
    </row>
    <row r="8795">
      <c r="A8795" s="32"/>
      <c r="T8795" s="31"/>
      <c r="U8795" s="31"/>
      <c r="V8795" s="32"/>
    </row>
    <row r="8796">
      <c r="A8796" s="32"/>
      <c r="T8796" s="31"/>
      <c r="U8796" s="31"/>
      <c r="V8796" s="32"/>
    </row>
    <row r="8797">
      <c r="A8797" s="32"/>
      <c r="T8797" s="31"/>
      <c r="U8797" s="31"/>
      <c r="V8797" s="32"/>
    </row>
    <row r="8798">
      <c r="A8798" s="32"/>
      <c r="T8798" s="31"/>
      <c r="U8798" s="31"/>
      <c r="V8798" s="32"/>
    </row>
    <row r="8799">
      <c r="A8799" s="32"/>
      <c r="T8799" s="31"/>
      <c r="U8799" s="31"/>
      <c r="V8799" s="32"/>
    </row>
    <row r="8800">
      <c r="A8800" s="32"/>
      <c r="T8800" s="31"/>
      <c r="U8800" s="31"/>
      <c r="V8800" s="32"/>
    </row>
    <row r="8801">
      <c r="A8801" s="32"/>
      <c r="T8801" s="31"/>
      <c r="U8801" s="31"/>
      <c r="V8801" s="32"/>
    </row>
    <row r="8802">
      <c r="A8802" s="32"/>
      <c r="T8802" s="31"/>
      <c r="U8802" s="31"/>
      <c r="V8802" s="32"/>
    </row>
    <row r="8803">
      <c r="A8803" s="32"/>
      <c r="T8803" s="31"/>
      <c r="U8803" s="31"/>
      <c r="V8803" s="32"/>
    </row>
    <row r="8804">
      <c r="A8804" s="32"/>
      <c r="T8804" s="31"/>
      <c r="U8804" s="31"/>
      <c r="V8804" s="32"/>
    </row>
    <row r="8805">
      <c r="A8805" s="32"/>
      <c r="T8805" s="31"/>
      <c r="U8805" s="31"/>
      <c r="V8805" s="32"/>
    </row>
    <row r="8806">
      <c r="A8806" s="32"/>
      <c r="T8806" s="31"/>
      <c r="U8806" s="31"/>
      <c r="V8806" s="32"/>
    </row>
    <row r="8807">
      <c r="A8807" s="32"/>
      <c r="T8807" s="31"/>
      <c r="U8807" s="31"/>
      <c r="V8807" s="32"/>
    </row>
    <row r="8808">
      <c r="A8808" s="32"/>
      <c r="T8808" s="31"/>
      <c r="U8808" s="31"/>
      <c r="V8808" s="32"/>
    </row>
    <row r="8809">
      <c r="A8809" s="32"/>
      <c r="T8809" s="31"/>
      <c r="U8809" s="31"/>
      <c r="V8809" s="32"/>
    </row>
    <row r="8810">
      <c r="A8810" s="32"/>
      <c r="T8810" s="31"/>
      <c r="U8810" s="31"/>
      <c r="V8810" s="32"/>
    </row>
    <row r="8811">
      <c r="A8811" s="32"/>
      <c r="T8811" s="31"/>
      <c r="U8811" s="31"/>
      <c r="V8811" s="32"/>
    </row>
    <row r="8812">
      <c r="A8812" s="32"/>
      <c r="T8812" s="31"/>
      <c r="U8812" s="31"/>
      <c r="V8812" s="32"/>
    </row>
    <row r="8813">
      <c r="A8813" s="32"/>
      <c r="T8813" s="31"/>
      <c r="U8813" s="31"/>
      <c r="V8813" s="32"/>
    </row>
    <row r="8814">
      <c r="A8814" s="32"/>
      <c r="T8814" s="31"/>
      <c r="U8814" s="31"/>
      <c r="V8814" s="32"/>
    </row>
    <row r="8815">
      <c r="A8815" s="32"/>
      <c r="T8815" s="31"/>
      <c r="U8815" s="31"/>
      <c r="V8815" s="32"/>
    </row>
    <row r="8816">
      <c r="A8816" s="32"/>
      <c r="T8816" s="31"/>
      <c r="U8816" s="31"/>
      <c r="V8816" s="32"/>
    </row>
    <row r="8817">
      <c r="A8817" s="32"/>
      <c r="T8817" s="31"/>
      <c r="U8817" s="31"/>
      <c r="V8817" s="32"/>
    </row>
    <row r="8818">
      <c r="A8818" s="32"/>
      <c r="T8818" s="31"/>
      <c r="U8818" s="31"/>
      <c r="V8818" s="32"/>
    </row>
    <row r="8819">
      <c r="A8819" s="32"/>
      <c r="T8819" s="31"/>
      <c r="U8819" s="31"/>
      <c r="V8819" s="32"/>
    </row>
    <row r="8820">
      <c r="A8820" s="32"/>
      <c r="T8820" s="31"/>
      <c r="U8820" s="31"/>
      <c r="V8820" s="32"/>
    </row>
    <row r="8821">
      <c r="A8821" s="32"/>
      <c r="T8821" s="31"/>
      <c r="U8821" s="31"/>
      <c r="V8821" s="32"/>
    </row>
    <row r="8822">
      <c r="A8822" s="32"/>
      <c r="T8822" s="31"/>
      <c r="U8822" s="31"/>
      <c r="V8822" s="32"/>
    </row>
    <row r="8823">
      <c r="A8823" s="32"/>
      <c r="T8823" s="31"/>
      <c r="U8823" s="31"/>
      <c r="V8823" s="32"/>
    </row>
    <row r="8824">
      <c r="A8824" s="32"/>
      <c r="T8824" s="31"/>
      <c r="U8824" s="31"/>
      <c r="V8824" s="32"/>
    </row>
    <row r="8825">
      <c r="A8825" s="32"/>
      <c r="T8825" s="31"/>
      <c r="U8825" s="31"/>
      <c r="V8825" s="32"/>
    </row>
    <row r="8826">
      <c r="A8826" s="32"/>
      <c r="T8826" s="31"/>
      <c r="U8826" s="31"/>
      <c r="V8826" s="32"/>
    </row>
    <row r="8827">
      <c r="A8827" s="32"/>
      <c r="T8827" s="31"/>
      <c r="U8827" s="31"/>
      <c r="V8827" s="32"/>
    </row>
    <row r="8828">
      <c r="A8828" s="32"/>
      <c r="T8828" s="31"/>
      <c r="U8828" s="31"/>
      <c r="V8828" s="32"/>
    </row>
    <row r="8829">
      <c r="A8829" s="32"/>
      <c r="T8829" s="31"/>
      <c r="U8829" s="31"/>
      <c r="V8829" s="32"/>
    </row>
    <row r="8830">
      <c r="A8830" s="32"/>
      <c r="T8830" s="31"/>
      <c r="U8830" s="31"/>
      <c r="V8830" s="32"/>
    </row>
    <row r="8831">
      <c r="A8831" s="32"/>
      <c r="T8831" s="31"/>
      <c r="U8831" s="31"/>
      <c r="V8831" s="32"/>
    </row>
    <row r="8832">
      <c r="A8832" s="32"/>
      <c r="T8832" s="31"/>
      <c r="U8832" s="31"/>
      <c r="V8832" s="32"/>
    </row>
    <row r="8833">
      <c r="A8833" s="32"/>
      <c r="T8833" s="31"/>
      <c r="U8833" s="31"/>
      <c r="V8833" s="32"/>
    </row>
    <row r="8834">
      <c r="A8834" s="32"/>
      <c r="T8834" s="31"/>
      <c r="U8834" s="31"/>
      <c r="V8834" s="32"/>
    </row>
    <row r="8835">
      <c r="A8835" s="32"/>
      <c r="T8835" s="31"/>
      <c r="U8835" s="31"/>
      <c r="V8835" s="32"/>
    </row>
    <row r="8836">
      <c r="A8836" s="32"/>
      <c r="T8836" s="31"/>
      <c r="U8836" s="31"/>
      <c r="V8836" s="32"/>
    </row>
    <row r="8837">
      <c r="A8837" s="32"/>
      <c r="T8837" s="31"/>
      <c r="U8837" s="31"/>
      <c r="V8837" s="32"/>
    </row>
    <row r="8838">
      <c r="A8838" s="32"/>
      <c r="T8838" s="31"/>
      <c r="U8838" s="31"/>
      <c r="V8838" s="32"/>
    </row>
    <row r="8839">
      <c r="A8839" s="32"/>
      <c r="T8839" s="31"/>
      <c r="U8839" s="31"/>
      <c r="V8839" s="32"/>
    </row>
    <row r="8840">
      <c r="A8840" s="32"/>
      <c r="T8840" s="31"/>
      <c r="U8840" s="31"/>
      <c r="V8840" s="32"/>
    </row>
    <row r="8841">
      <c r="A8841" s="32"/>
      <c r="T8841" s="31"/>
      <c r="U8841" s="31"/>
      <c r="V8841" s="32"/>
    </row>
    <row r="8842">
      <c r="A8842" s="32"/>
      <c r="T8842" s="31"/>
      <c r="U8842" s="31"/>
      <c r="V8842" s="32"/>
    </row>
    <row r="8843">
      <c r="A8843" s="32"/>
      <c r="T8843" s="31"/>
      <c r="U8843" s="31"/>
      <c r="V8843" s="32"/>
    </row>
    <row r="8844">
      <c r="A8844" s="32"/>
      <c r="T8844" s="31"/>
      <c r="U8844" s="31"/>
      <c r="V8844" s="32"/>
    </row>
    <row r="8845">
      <c r="A8845" s="32"/>
      <c r="T8845" s="31"/>
      <c r="U8845" s="31"/>
      <c r="V8845" s="32"/>
    </row>
    <row r="8846">
      <c r="A8846" s="32"/>
      <c r="T8846" s="31"/>
      <c r="U8846" s="31"/>
      <c r="V8846" s="32"/>
    </row>
    <row r="8847">
      <c r="A8847" s="32"/>
      <c r="T8847" s="31"/>
      <c r="U8847" s="31"/>
      <c r="V8847" s="32"/>
    </row>
    <row r="8848">
      <c r="A8848" s="32"/>
      <c r="T8848" s="31"/>
      <c r="U8848" s="31"/>
      <c r="V8848" s="32"/>
    </row>
    <row r="8849">
      <c r="A8849" s="32"/>
      <c r="T8849" s="31"/>
      <c r="U8849" s="31"/>
      <c r="V8849" s="32"/>
    </row>
    <row r="8850">
      <c r="A8850" s="32"/>
      <c r="T8850" s="31"/>
      <c r="U8850" s="31"/>
      <c r="V8850" s="32"/>
    </row>
    <row r="8851">
      <c r="A8851" s="32"/>
      <c r="T8851" s="31"/>
      <c r="U8851" s="31"/>
      <c r="V8851" s="32"/>
    </row>
    <row r="8852">
      <c r="A8852" s="32"/>
      <c r="T8852" s="31"/>
      <c r="U8852" s="31"/>
      <c r="V8852" s="32"/>
    </row>
    <row r="8853">
      <c r="A8853" s="32"/>
      <c r="T8853" s="31"/>
      <c r="U8853" s="31"/>
      <c r="V8853" s="32"/>
    </row>
    <row r="8854">
      <c r="A8854" s="32"/>
      <c r="T8854" s="31"/>
      <c r="U8854" s="31"/>
      <c r="V8854" s="32"/>
    </row>
    <row r="8855">
      <c r="A8855" s="32"/>
      <c r="T8855" s="31"/>
      <c r="U8855" s="31"/>
      <c r="V8855" s="32"/>
    </row>
    <row r="8856">
      <c r="A8856" s="32"/>
      <c r="T8856" s="31"/>
      <c r="U8856" s="31"/>
      <c r="V8856" s="32"/>
    </row>
    <row r="8857">
      <c r="A8857" s="32"/>
      <c r="T8857" s="31"/>
      <c r="U8857" s="31"/>
      <c r="V8857" s="32"/>
    </row>
    <row r="8858">
      <c r="A8858" s="32"/>
      <c r="T8858" s="31"/>
      <c r="U8858" s="31"/>
      <c r="V8858" s="32"/>
    </row>
    <row r="8859">
      <c r="A8859" s="32"/>
      <c r="T8859" s="31"/>
      <c r="U8859" s="31"/>
      <c r="V8859" s="32"/>
    </row>
    <row r="8860">
      <c r="A8860" s="32"/>
      <c r="T8860" s="31"/>
      <c r="U8860" s="31"/>
      <c r="V8860" s="32"/>
    </row>
    <row r="8861">
      <c r="A8861" s="32"/>
      <c r="T8861" s="31"/>
      <c r="U8861" s="31"/>
      <c r="V8861" s="32"/>
    </row>
    <row r="8862">
      <c r="A8862" s="32"/>
      <c r="T8862" s="31"/>
      <c r="U8862" s="31"/>
      <c r="V8862" s="32"/>
    </row>
    <row r="8863">
      <c r="A8863" s="32"/>
      <c r="T8863" s="31"/>
      <c r="U8863" s="31"/>
      <c r="V8863" s="32"/>
    </row>
    <row r="8864">
      <c r="A8864" s="32"/>
      <c r="T8864" s="31"/>
      <c r="U8864" s="31"/>
      <c r="V8864" s="32"/>
    </row>
    <row r="8865">
      <c r="A8865" s="32"/>
      <c r="T8865" s="31"/>
      <c r="U8865" s="31"/>
      <c r="V8865" s="32"/>
    </row>
    <row r="8866">
      <c r="A8866" s="32"/>
      <c r="T8866" s="31"/>
      <c r="U8866" s="31"/>
      <c r="V8866" s="32"/>
    </row>
    <row r="8867">
      <c r="A8867" s="32"/>
      <c r="T8867" s="31"/>
      <c r="U8867" s="31"/>
      <c r="V8867" s="32"/>
    </row>
    <row r="8868">
      <c r="A8868" s="32"/>
      <c r="T8868" s="31"/>
      <c r="U8868" s="31"/>
      <c r="V8868" s="32"/>
    </row>
    <row r="8869">
      <c r="A8869" s="32"/>
      <c r="T8869" s="31"/>
      <c r="U8869" s="31"/>
      <c r="V8869" s="32"/>
    </row>
    <row r="8870">
      <c r="A8870" s="32"/>
      <c r="T8870" s="31"/>
      <c r="U8870" s="31"/>
      <c r="V8870" s="32"/>
    </row>
    <row r="8871">
      <c r="A8871" s="32"/>
      <c r="T8871" s="31"/>
      <c r="U8871" s="31"/>
      <c r="V8871" s="32"/>
    </row>
    <row r="8872">
      <c r="A8872" s="32"/>
      <c r="T8872" s="31"/>
      <c r="U8872" s="31"/>
      <c r="V8872" s="32"/>
    </row>
    <row r="8873">
      <c r="A8873" s="32"/>
      <c r="T8873" s="31"/>
      <c r="U8873" s="31"/>
      <c r="V8873" s="32"/>
    </row>
    <row r="8874">
      <c r="A8874" s="32"/>
      <c r="T8874" s="31"/>
      <c r="U8874" s="31"/>
      <c r="V8874" s="32"/>
    </row>
    <row r="8875">
      <c r="A8875" s="32"/>
      <c r="T8875" s="31"/>
      <c r="U8875" s="31"/>
      <c r="V8875" s="32"/>
    </row>
    <row r="8876">
      <c r="A8876" s="32"/>
      <c r="T8876" s="31"/>
      <c r="U8876" s="31"/>
      <c r="V8876" s="32"/>
    </row>
    <row r="8877">
      <c r="A8877" s="32"/>
      <c r="T8877" s="31"/>
      <c r="U8877" s="31"/>
      <c r="V8877" s="32"/>
    </row>
    <row r="8878">
      <c r="A8878" s="32"/>
      <c r="T8878" s="31"/>
      <c r="U8878" s="31"/>
      <c r="V8878" s="32"/>
    </row>
    <row r="8879">
      <c r="A8879" s="32"/>
      <c r="T8879" s="31"/>
      <c r="U8879" s="31"/>
      <c r="V8879" s="32"/>
    </row>
    <row r="8880">
      <c r="A8880" s="32"/>
      <c r="T8880" s="31"/>
      <c r="U8880" s="31"/>
      <c r="V8880" s="32"/>
    </row>
    <row r="8881">
      <c r="A8881" s="32"/>
      <c r="T8881" s="31"/>
      <c r="U8881" s="31"/>
      <c r="V8881" s="32"/>
    </row>
    <row r="8882">
      <c r="A8882" s="32"/>
      <c r="T8882" s="31"/>
      <c r="U8882" s="31"/>
      <c r="V8882" s="32"/>
    </row>
    <row r="8883">
      <c r="A8883" s="32"/>
      <c r="T8883" s="31"/>
      <c r="U8883" s="31"/>
      <c r="V8883" s="32"/>
    </row>
    <row r="8884">
      <c r="A8884" s="32"/>
      <c r="T8884" s="31"/>
      <c r="U8884" s="31"/>
      <c r="V8884" s="32"/>
    </row>
    <row r="8885">
      <c r="A8885" s="32"/>
      <c r="T8885" s="31"/>
      <c r="U8885" s="31"/>
      <c r="V8885" s="32"/>
    </row>
    <row r="8886">
      <c r="A8886" s="32"/>
      <c r="T8886" s="31"/>
      <c r="U8886" s="31"/>
      <c r="V8886" s="32"/>
    </row>
    <row r="8887">
      <c r="A8887" s="32"/>
      <c r="T8887" s="31"/>
      <c r="U8887" s="31"/>
      <c r="V8887" s="32"/>
    </row>
    <row r="8888">
      <c r="A8888" s="32"/>
      <c r="T8888" s="31"/>
      <c r="U8888" s="31"/>
      <c r="V8888" s="32"/>
    </row>
    <row r="8889">
      <c r="A8889" s="32"/>
      <c r="T8889" s="31"/>
      <c r="U8889" s="31"/>
      <c r="V8889" s="32"/>
    </row>
    <row r="8890">
      <c r="A8890" s="32"/>
      <c r="T8890" s="31"/>
      <c r="U8890" s="31"/>
      <c r="V8890" s="32"/>
    </row>
    <row r="8891">
      <c r="A8891" s="32"/>
      <c r="T8891" s="31"/>
      <c r="U8891" s="31"/>
      <c r="V8891" s="32"/>
    </row>
    <row r="8892">
      <c r="A8892" s="32"/>
      <c r="T8892" s="31"/>
      <c r="U8892" s="31"/>
      <c r="V8892" s="32"/>
    </row>
    <row r="8893">
      <c r="A8893" s="32"/>
      <c r="T8893" s="31"/>
      <c r="U8893" s="31"/>
      <c r="V8893" s="32"/>
    </row>
    <row r="8894">
      <c r="A8894" s="32"/>
      <c r="T8894" s="31"/>
      <c r="U8894" s="31"/>
      <c r="V8894" s="32"/>
    </row>
    <row r="8895">
      <c r="A8895" s="32"/>
      <c r="T8895" s="31"/>
      <c r="U8895" s="31"/>
      <c r="V8895" s="32"/>
    </row>
    <row r="8896">
      <c r="A8896" s="32"/>
      <c r="T8896" s="31"/>
      <c r="U8896" s="31"/>
      <c r="V8896" s="32"/>
    </row>
    <row r="8897">
      <c r="A8897" s="32"/>
      <c r="T8897" s="31"/>
      <c r="U8897" s="31"/>
      <c r="V8897" s="32"/>
    </row>
    <row r="8898">
      <c r="A8898" s="32"/>
      <c r="T8898" s="31"/>
      <c r="U8898" s="31"/>
      <c r="V8898" s="32"/>
    </row>
    <row r="8899">
      <c r="A8899" s="32"/>
      <c r="T8899" s="31"/>
      <c r="U8899" s="31"/>
      <c r="V8899" s="32"/>
    </row>
    <row r="8900">
      <c r="A8900" s="32"/>
      <c r="T8900" s="31"/>
      <c r="U8900" s="31"/>
      <c r="V8900" s="32"/>
    </row>
    <row r="8901">
      <c r="A8901" s="32"/>
      <c r="T8901" s="31"/>
      <c r="U8901" s="31"/>
      <c r="V8901" s="32"/>
    </row>
    <row r="8902">
      <c r="A8902" s="32"/>
      <c r="T8902" s="31"/>
      <c r="U8902" s="31"/>
      <c r="V8902" s="32"/>
    </row>
    <row r="8903">
      <c r="A8903" s="32"/>
      <c r="T8903" s="31"/>
      <c r="U8903" s="31"/>
      <c r="V8903" s="32"/>
    </row>
    <row r="8904">
      <c r="A8904" s="32"/>
      <c r="T8904" s="31"/>
      <c r="U8904" s="31"/>
      <c r="V8904" s="32"/>
    </row>
    <row r="8905">
      <c r="A8905" s="32"/>
      <c r="T8905" s="31"/>
      <c r="U8905" s="31"/>
      <c r="V8905" s="32"/>
    </row>
    <row r="8906">
      <c r="A8906" s="32"/>
      <c r="T8906" s="31"/>
      <c r="U8906" s="31"/>
      <c r="V8906" s="32"/>
    </row>
    <row r="8907">
      <c r="A8907" s="32"/>
      <c r="T8907" s="31"/>
      <c r="U8907" s="31"/>
      <c r="V8907" s="32"/>
    </row>
    <row r="8908">
      <c r="A8908" s="32"/>
      <c r="T8908" s="31"/>
      <c r="U8908" s="31"/>
      <c r="V8908" s="32"/>
    </row>
    <row r="8909">
      <c r="A8909" s="32"/>
      <c r="T8909" s="31"/>
      <c r="U8909" s="31"/>
      <c r="V8909" s="32"/>
    </row>
    <row r="8910">
      <c r="A8910" s="32"/>
      <c r="T8910" s="31"/>
      <c r="U8910" s="31"/>
      <c r="V8910" s="32"/>
    </row>
    <row r="8911">
      <c r="A8911" s="32"/>
      <c r="T8911" s="31"/>
      <c r="U8911" s="31"/>
      <c r="V8911" s="32"/>
    </row>
    <row r="8912">
      <c r="A8912" s="32"/>
      <c r="T8912" s="31"/>
      <c r="U8912" s="31"/>
      <c r="V8912" s="32"/>
    </row>
    <row r="8913">
      <c r="A8913" s="32"/>
      <c r="T8913" s="31"/>
      <c r="U8913" s="31"/>
      <c r="V8913" s="32"/>
    </row>
    <row r="8914">
      <c r="A8914" s="32"/>
      <c r="T8914" s="31"/>
      <c r="U8914" s="31"/>
      <c r="V8914" s="32"/>
    </row>
    <row r="8915">
      <c r="A8915" s="32"/>
      <c r="T8915" s="31"/>
      <c r="U8915" s="31"/>
      <c r="V8915" s="32"/>
    </row>
    <row r="8916">
      <c r="A8916" s="32"/>
      <c r="T8916" s="31"/>
      <c r="U8916" s="31"/>
      <c r="V8916" s="32"/>
    </row>
    <row r="8917">
      <c r="A8917" s="32"/>
      <c r="T8917" s="31"/>
      <c r="U8917" s="31"/>
      <c r="V8917" s="32"/>
    </row>
    <row r="8918">
      <c r="A8918" s="32"/>
      <c r="T8918" s="31"/>
      <c r="U8918" s="31"/>
      <c r="V8918" s="32"/>
    </row>
    <row r="8919">
      <c r="A8919" s="32"/>
      <c r="T8919" s="31"/>
      <c r="U8919" s="31"/>
      <c r="V8919" s="32"/>
    </row>
    <row r="8920">
      <c r="A8920" s="32"/>
      <c r="T8920" s="31"/>
      <c r="U8920" s="31"/>
      <c r="V8920" s="32"/>
    </row>
    <row r="8921">
      <c r="A8921" s="32"/>
      <c r="T8921" s="31"/>
      <c r="U8921" s="31"/>
      <c r="V8921" s="32"/>
    </row>
    <row r="8922">
      <c r="A8922" s="32"/>
      <c r="T8922" s="31"/>
      <c r="U8922" s="31"/>
      <c r="V8922" s="32"/>
    </row>
    <row r="8923">
      <c r="A8923" s="32"/>
      <c r="T8923" s="31"/>
      <c r="U8923" s="31"/>
      <c r="V8923" s="32"/>
    </row>
    <row r="8924">
      <c r="A8924" s="32"/>
      <c r="T8924" s="31"/>
      <c r="U8924" s="31"/>
      <c r="V8924" s="32"/>
    </row>
    <row r="8925">
      <c r="A8925" s="32"/>
      <c r="T8925" s="31"/>
      <c r="U8925" s="31"/>
      <c r="V8925" s="32"/>
    </row>
    <row r="8926">
      <c r="A8926" s="32"/>
      <c r="T8926" s="31"/>
      <c r="U8926" s="31"/>
      <c r="V8926" s="32"/>
    </row>
    <row r="8927">
      <c r="A8927" s="32"/>
      <c r="T8927" s="31"/>
      <c r="U8927" s="31"/>
      <c r="V8927" s="32"/>
    </row>
    <row r="8928">
      <c r="A8928" s="32"/>
      <c r="T8928" s="31"/>
      <c r="U8928" s="31"/>
      <c r="V8928" s="32"/>
    </row>
    <row r="8929">
      <c r="A8929" s="32"/>
      <c r="T8929" s="31"/>
      <c r="U8929" s="31"/>
      <c r="V8929" s="32"/>
    </row>
    <row r="8930">
      <c r="A8930" s="32"/>
      <c r="T8930" s="31"/>
      <c r="U8930" s="31"/>
      <c r="V8930" s="32"/>
    </row>
    <row r="8931">
      <c r="A8931" s="32"/>
      <c r="T8931" s="31"/>
      <c r="U8931" s="31"/>
      <c r="V8931" s="32"/>
    </row>
    <row r="8932">
      <c r="A8932" s="32"/>
      <c r="T8932" s="31"/>
      <c r="U8932" s="31"/>
      <c r="V8932" s="32"/>
    </row>
    <row r="8933">
      <c r="A8933" s="32"/>
      <c r="T8933" s="31"/>
      <c r="U8933" s="31"/>
      <c r="V8933" s="32"/>
    </row>
    <row r="8934">
      <c r="A8934" s="32"/>
      <c r="T8934" s="31"/>
      <c r="U8934" s="31"/>
      <c r="V8934" s="32"/>
    </row>
    <row r="8935">
      <c r="A8935" s="32"/>
      <c r="T8935" s="31"/>
      <c r="U8935" s="31"/>
      <c r="V8935" s="32"/>
    </row>
    <row r="8936">
      <c r="A8936" s="32"/>
      <c r="T8936" s="31"/>
      <c r="U8936" s="31"/>
      <c r="V8936" s="32"/>
    </row>
    <row r="8937">
      <c r="A8937" s="32"/>
      <c r="T8937" s="31"/>
      <c r="U8937" s="31"/>
      <c r="V8937" s="32"/>
    </row>
    <row r="8938">
      <c r="A8938" s="32"/>
      <c r="T8938" s="31"/>
      <c r="U8938" s="31"/>
      <c r="V8938" s="32"/>
    </row>
    <row r="8939">
      <c r="A8939" s="32"/>
      <c r="T8939" s="31"/>
      <c r="U8939" s="31"/>
      <c r="V8939" s="32"/>
    </row>
    <row r="8940">
      <c r="A8940" s="32"/>
      <c r="T8940" s="31"/>
      <c r="U8940" s="31"/>
      <c r="V8940" s="32"/>
    </row>
    <row r="8941">
      <c r="A8941" s="32"/>
      <c r="T8941" s="31"/>
      <c r="U8941" s="31"/>
      <c r="V8941" s="32"/>
    </row>
    <row r="8942">
      <c r="A8942" s="32"/>
      <c r="T8942" s="31"/>
      <c r="U8942" s="31"/>
      <c r="V8942" s="32"/>
    </row>
    <row r="8943">
      <c r="A8943" s="32"/>
      <c r="T8943" s="31"/>
      <c r="U8943" s="31"/>
      <c r="V8943" s="32"/>
    </row>
    <row r="8944">
      <c r="A8944" s="32"/>
      <c r="T8944" s="31"/>
      <c r="U8944" s="31"/>
      <c r="V8944" s="32"/>
    </row>
    <row r="8945">
      <c r="A8945" s="32"/>
      <c r="T8945" s="31"/>
      <c r="U8945" s="31"/>
      <c r="V8945" s="32"/>
    </row>
    <row r="8946">
      <c r="A8946" s="32"/>
      <c r="T8946" s="31"/>
      <c r="U8946" s="31"/>
      <c r="V8946" s="32"/>
    </row>
    <row r="8947">
      <c r="A8947" s="32"/>
      <c r="T8947" s="31"/>
      <c r="U8947" s="31"/>
      <c r="V8947" s="32"/>
    </row>
    <row r="8948">
      <c r="A8948" s="32"/>
      <c r="T8948" s="31"/>
      <c r="U8948" s="31"/>
      <c r="V8948" s="32"/>
    </row>
    <row r="8949">
      <c r="A8949" s="32"/>
      <c r="T8949" s="31"/>
      <c r="U8949" s="31"/>
      <c r="V8949" s="32"/>
    </row>
    <row r="8950">
      <c r="A8950" s="32"/>
      <c r="T8950" s="31"/>
      <c r="U8950" s="31"/>
      <c r="V8950" s="32"/>
    </row>
    <row r="8951">
      <c r="A8951" s="32"/>
      <c r="T8951" s="31"/>
      <c r="U8951" s="31"/>
      <c r="V8951" s="32"/>
    </row>
    <row r="8952">
      <c r="A8952" s="32"/>
      <c r="T8952" s="31"/>
      <c r="U8952" s="31"/>
      <c r="V8952" s="32"/>
    </row>
    <row r="8953">
      <c r="A8953" s="32"/>
      <c r="T8953" s="31"/>
      <c r="U8953" s="31"/>
      <c r="V8953" s="32"/>
    </row>
    <row r="8954">
      <c r="A8954" s="32"/>
      <c r="T8954" s="31"/>
      <c r="U8954" s="31"/>
      <c r="V8954" s="32"/>
    </row>
    <row r="8955">
      <c r="A8955" s="32"/>
      <c r="T8955" s="31"/>
      <c r="U8955" s="31"/>
      <c r="V8955" s="32"/>
    </row>
    <row r="8956">
      <c r="A8956" s="32"/>
      <c r="T8956" s="31"/>
      <c r="U8956" s="31"/>
      <c r="V8956" s="32"/>
    </row>
    <row r="8957">
      <c r="A8957" s="32"/>
      <c r="T8957" s="31"/>
      <c r="U8957" s="31"/>
      <c r="V8957" s="32"/>
    </row>
    <row r="8958">
      <c r="A8958" s="32"/>
      <c r="T8958" s="31"/>
      <c r="U8958" s="31"/>
      <c r="V8958" s="32"/>
    </row>
    <row r="8959">
      <c r="A8959" s="32"/>
      <c r="T8959" s="31"/>
      <c r="U8959" s="31"/>
      <c r="V8959" s="32"/>
    </row>
    <row r="8960">
      <c r="A8960" s="32"/>
      <c r="T8960" s="31"/>
      <c r="U8960" s="31"/>
      <c r="V8960" s="32"/>
    </row>
    <row r="8961">
      <c r="A8961" s="32"/>
      <c r="T8961" s="31"/>
      <c r="U8961" s="31"/>
      <c r="V8961" s="32"/>
    </row>
    <row r="8962">
      <c r="A8962" s="32"/>
      <c r="T8962" s="31"/>
      <c r="U8962" s="31"/>
      <c r="V8962" s="32"/>
    </row>
    <row r="8963">
      <c r="A8963" s="32"/>
      <c r="T8963" s="31"/>
      <c r="U8963" s="31"/>
      <c r="V8963" s="32"/>
    </row>
    <row r="8964">
      <c r="A8964" s="32"/>
      <c r="T8964" s="31"/>
      <c r="U8964" s="31"/>
      <c r="V8964" s="32"/>
    </row>
    <row r="8965">
      <c r="A8965" s="32"/>
      <c r="T8965" s="31"/>
      <c r="U8965" s="31"/>
      <c r="V8965" s="32"/>
    </row>
    <row r="8966">
      <c r="A8966" s="32"/>
      <c r="T8966" s="31"/>
      <c r="U8966" s="31"/>
      <c r="V8966" s="32"/>
    </row>
    <row r="8967">
      <c r="A8967" s="32"/>
      <c r="T8967" s="31"/>
      <c r="U8967" s="31"/>
      <c r="V8967" s="32"/>
    </row>
    <row r="8968">
      <c r="A8968" s="32"/>
      <c r="T8968" s="31"/>
      <c r="U8968" s="31"/>
      <c r="V8968" s="32"/>
    </row>
    <row r="8969">
      <c r="A8969" s="32"/>
      <c r="T8969" s="31"/>
      <c r="U8969" s="31"/>
      <c r="V8969" s="32"/>
    </row>
    <row r="8970">
      <c r="A8970" s="32"/>
      <c r="T8970" s="31"/>
      <c r="U8970" s="31"/>
      <c r="V8970" s="32"/>
    </row>
    <row r="8971">
      <c r="A8971" s="32"/>
      <c r="T8971" s="31"/>
      <c r="U8971" s="31"/>
      <c r="V8971" s="32"/>
    </row>
    <row r="8972">
      <c r="A8972" s="32"/>
      <c r="T8972" s="31"/>
      <c r="U8972" s="31"/>
      <c r="V8972" s="32"/>
    </row>
    <row r="8973">
      <c r="A8973" s="32"/>
      <c r="T8973" s="31"/>
      <c r="U8973" s="31"/>
      <c r="V8973" s="32"/>
    </row>
    <row r="8974">
      <c r="A8974" s="32"/>
      <c r="T8974" s="31"/>
      <c r="U8974" s="31"/>
      <c r="V8974" s="32"/>
    </row>
    <row r="8975">
      <c r="A8975" s="32"/>
      <c r="T8975" s="31"/>
      <c r="U8975" s="31"/>
      <c r="V8975" s="32"/>
    </row>
    <row r="8976">
      <c r="A8976" s="32"/>
      <c r="T8976" s="31"/>
      <c r="U8976" s="31"/>
      <c r="V8976" s="32"/>
    </row>
    <row r="8977">
      <c r="A8977" s="32"/>
      <c r="T8977" s="31"/>
      <c r="U8977" s="31"/>
      <c r="V8977" s="32"/>
    </row>
    <row r="8978">
      <c r="A8978" s="32"/>
      <c r="T8978" s="31"/>
      <c r="U8978" s="31"/>
      <c r="V8978" s="32"/>
    </row>
    <row r="8979">
      <c r="A8979" s="32"/>
      <c r="T8979" s="31"/>
      <c r="U8979" s="31"/>
      <c r="V8979" s="32"/>
    </row>
    <row r="8980">
      <c r="A8980" s="32"/>
      <c r="T8980" s="31"/>
      <c r="U8980" s="31"/>
      <c r="V8980" s="32"/>
    </row>
    <row r="8981">
      <c r="A8981" s="32"/>
      <c r="T8981" s="31"/>
      <c r="U8981" s="31"/>
      <c r="V8981" s="32"/>
    </row>
    <row r="8982">
      <c r="A8982" s="32"/>
      <c r="T8982" s="31"/>
      <c r="U8982" s="31"/>
      <c r="V8982" s="32"/>
    </row>
    <row r="8983">
      <c r="A8983" s="32"/>
      <c r="T8983" s="31"/>
      <c r="U8983" s="31"/>
      <c r="V8983" s="32"/>
    </row>
    <row r="8984">
      <c r="A8984" s="32"/>
      <c r="T8984" s="31"/>
      <c r="U8984" s="31"/>
      <c r="V8984" s="32"/>
    </row>
    <row r="8985">
      <c r="A8985" s="32"/>
      <c r="T8985" s="31"/>
      <c r="U8985" s="31"/>
      <c r="V8985" s="32"/>
    </row>
    <row r="8986">
      <c r="A8986" s="32"/>
      <c r="T8986" s="31"/>
      <c r="U8986" s="31"/>
      <c r="V8986" s="32"/>
    </row>
    <row r="8987">
      <c r="A8987" s="32"/>
      <c r="T8987" s="31"/>
      <c r="U8987" s="31"/>
      <c r="V8987" s="32"/>
    </row>
    <row r="8988">
      <c r="A8988" s="32"/>
      <c r="T8988" s="31"/>
      <c r="U8988" s="31"/>
      <c r="V8988" s="32"/>
    </row>
    <row r="8989">
      <c r="A8989" s="32"/>
      <c r="T8989" s="31"/>
      <c r="U8989" s="31"/>
      <c r="V8989" s="32"/>
    </row>
    <row r="8990">
      <c r="A8990" s="32"/>
      <c r="T8990" s="31"/>
      <c r="U8990" s="31"/>
      <c r="V8990" s="32"/>
    </row>
    <row r="8991">
      <c r="A8991" s="32"/>
      <c r="T8991" s="31"/>
      <c r="U8991" s="31"/>
      <c r="V8991" s="32"/>
    </row>
    <row r="8992">
      <c r="A8992" s="32"/>
      <c r="T8992" s="31"/>
      <c r="U8992" s="31"/>
      <c r="V8992" s="32"/>
    </row>
    <row r="8993">
      <c r="A8993" s="32"/>
      <c r="T8993" s="31"/>
      <c r="U8993" s="31"/>
      <c r="V8993" s="32"/>
    </row>
    <row r="8994">
      <c r="A8994" s="32"/>
      <c r="T8994" s="31"/>
      <c r="U8994" s="31"/>
      <c r="V8994" s="32"/>
    </row>
    <row r="8995">
      <c r="A8995" s="32"/>
      <c r="T8995" s="31"/>
      <c r="U8995" s="31"/>
      <c r="V8995" s="32"/>
    </row>
    <row r="8996">
      <c r="A8996" s="32"/>
      <c r="T8996" s="31"/>
      <c r="U8996" s="31"/>
      <c r="V8996" s="32"/>
    </row>
    <row r="8997">
      <c r="A8997" s="32"/>
      <c r="T8997" s="31"/>
      <c r="U8997" s="31"/>
      <c r="V8997" s="32"/>
    </row>
    <row r="8998">
      <c r="A8998" s="32"/>
      <c r="T8998" s="31"/>
      <c r="U8998" s="31"/>
      <c r="V8998" s="32"/>
    </row>
    <row r="8999">
      <c r="A8999" s="32"/>
      <c r="T8999" s="31"/>
      <c r="U8999" s="31"/>
      <c r="V8999" s="32"/>
    </row>
    <row r="9000">
      <c r="A9000" s="32"/>
      <c r="T9000" s="31"/>
      <c r="U9000" s="31"/>
      <c r="V9000" s="32"/>
    </row>
    <row r="9001">
      <c r="A9001" s="32"/>
      <c r="T9001" s="31"/>
      <c r="U9001" s="31"/>
      <c r="V9001" s="32"/>
    </row>
    <row r="9002">
      <c r="A9002" s="32"/>
      <c r="T9002" s="31"/>
      <c r="U9002" s="31"/>
      <c r="V9002" s="32"/>
    </row>
    <row r="9003">
      <c r="A9003" s="32"/>
      <c r="T9003" s="31"/>
      <c r="U9003" s="31"/>
      <c r="V9003" s="32"/>
    </row>
    <row r="9004">
      <c r="A9004" s="32"/>
      <c r="T9004" s="31"/>
      <c r="U9004" s="31"/>
      <c r="V9004" s="32"/>
    </row>
    <row r="9005">
      <c r="A9005" s="32"/>
      <c r="T9005" s="31"/>
      <c r="U9005" s="31"/>
      <c r="V9005" s="32"/>
    </row>
    <row r="9006">
      <c r="A9006" s="32"/>
      <c r="T9006" s="31"/>
      <c r="U9006" s="31"/>
      <c r="V9006" s="32"/>
    </row>
    <row r="9007">
      <c r="A9007" s="32"/>
      <c r="T9007" s="31"/>
      <c r="U9007" s="31"/>
      <c r="V9007" s="32"/>
    </row>
    <row r="9008">
      <c r="A9008" s="32"/>
      <c r="T9008" s="31"/>
      <c r="U9008" s="31"/>
      <c r="V9008" s="32"/>
    </row>
    <row r="9009">
      <c r="A9009" s="32"/>
      <c r="T9009" s="31"/>
      <c r="U9009" s="31"/>
      <c r="V9009" s="32"/>
    </row>
    <row r="9010">
      <c r="A9010" s="32"/>
      <c r="T9010" s="31"/>
      <c r="U9010" s="31"/>
      <c r="V9010" s="32"/>
    </row>
    <row r="9011">
      <c r="A9011" s="32"/>
      <c r="T9011" s="31"/>
      <c r="U9011" s="31"/>
      <c r="V9011" s="32"/>
    </row>
    <row r="9012">
      <c r="A9012" s="32"/>
      <c r="T9012" s="31"/>
      <c r="U9012" s="31"/>
      <c r="V9012" s="32"/>
    </row>
    <row r="9013">
      <c r="A9013" s="32"/>
      <c r="T9013" s="31"/>
      <c r="U9013" s="31"/>
      <c r="V9013" s="32"/>
    </row>
    <row r="9014">
      <c r="A9014" s="32"/>
      <c r="T9014" s="31"/>
      <c r="U9014" s="31"/>
      <c r="V9014" s="32"/>
    </row>
    <row r="9015">
      <c r="A9015" s="32"/>
      <c r="T9015" s="31"/>
      <c r="U9015" s="31"/>
      <c r="V9015" s="32"/>
    </row>
    <row r="9016">
      <c r="A9016" s="32"/>
      <c r="T9016" s="31"/>
      <c r="U9016" s="31"/>
      <c r="V9016" s="32"/>
    </row>
    <row r="9017">
      <c r="A9017" s="32"/>
      <c r="T9017" s="31"/>
      <c r="U9017" s="31"/>
      <c r="V9017" s="32"/>
    </row>
    <row r="9018">
      <c r="A9018" s="32"/>
      <c r="T9018" s="31"/>
      <c r="U9018" s="31"/>
      <c r="V9018" s="32"/>
    </row>
    <row r="9019">
      <c r="A9019" s="32"/>
      <c r="T9019" s="31"/>
      <c r="U9019" s="31"/>
      <c r="V9019" s="32"/>
    </row>
    <row r="9020">
      <c r="A9020" s="32"/>
      <c r="T9020" s="31"/>
      <c r="U9020" s="31"/>
      <c r="V9020" s="32"/>
    </row>
    <row r="9021">
      <c r="A9021" s="32"/>
      <c r="T9021" s="31"/>
      <c r="U9021" s="31"/>
      <c r="V9021" s="32"/>
    </row>
    <row r="9022">
      <c r="A9022" s="32"/>
      <c r="T9022" s="31"/>
      <c r="U9022" s="31"/>
      <c r="V9022" s="32"/>
    </row>
    <row r="9023">
      <c r="A9023" s="32"/>
      <c r="T9023" s="31"/>
      <c r="U9023" s="31"/>
      <c r="V9023" s="32"/>
    </row>
    <row r="9024">
      <c r="A9024" s="32"/>
      <c r="T9024" s="31"/>
      <c r="U9024" s="31"/>
      <c r="V9024" s="32"/>
    </row>
    <row r="9025">
      <c r="A9025" s="32"/>
      <c r="T9025" s="31"/>
      <c r="U9025" s="31"/>
      <c r="V9025" s="32"/>
    </row>
    <row r="9026">
      <c r="A9026" s="32"/>
      <c r="T9026" s="31"/>
      <c r="U9026" s="31"/>
      <c r="V9026" s="32"/>
    </row>
    <row r="9027">
      <c r="A9027" s="32"/>
      <c r="T9027" s="31"/>
      <c r="U9027" s="31"/>
      <c r="V9027" s="32"/>
    </row>
    <row r="9028">
      <c r="A9028" s="32"/>
      <c r="T9028" s="31"/>
      <c r="U9028" s="31"/>
      <c r="V9028" s="32"/>
    </row>
    <row r="9029">
      <c r="A9029" s="32"/>
      <c r="T9029" s="31"/>
      <c r="U9029" s="31"/>
      <c r="V9029" s="32"/>
    </row>
    <row r="9030">
      <c r="A9030" s="32"/>
      <c r="T9030" s="31"/>
      <c r="U9030" s="31"/>
      <c r="V9030" s="32"/>
    </row>
    <row r="9031">
      <c r="A9031" s="32"/>
      <c r="T9031" s="31"/>
      <c r="U9031" s="31"/>
      <c r="V9031" s="32"/>
    </row>
    <row r="9032">
      <c r="A9032" s="32"/>
      <c r="T9032" s="31"/>
      <c r="U9032" s="31"/>
      <c r="V9032" s="32"/>
    </row>
    <row r="9033">
      <c r="A9033" s="32"/>
      <c r="T9033" s="31"/>
      <c r="U9033" s="31"/>
      <c r="V9033" s="32"/>
    </row>
    <row r="9034">
      <c r="A9034" s="32"/>
      <c r="T9034" s="31"/>
      <c r="U9034" s="31"/>
      <c r="V9034" s="32"/>
    </row>
    <row r="9035">
      <c r="A9035" s="32"/>
      <c r="T9035" s="31"/>
      <c r="U9035" s="31"/>
      <c r="V9035" s="32"/>
    </row>
    <row r="9036">
      <c r="A9036" s="32"/>
      <c r="T9036" s="31"/>
      <c r="U9036" s="31"/>
      <c r="V9036" s="32"/>
    </row>
    <row r="9037">
      <c r="A9037" s="32"/>
      <c r="T9037" s="31"/>
      <c r="U9037" s="31"/>
      <c r="V9037" s="32"/>
    </row>
    <row r="9038">
      <c r="A9038" s="32"/>
      <c r="T9038" s="31"/>
      <c r="U9038" s="31"/>
      <c r="V9038" s="32"/>
    </row>
    <row r="9039">
      <c r="A9039" s="32"/>
      <c r="T9039" s="31"/>
      <c r="U9039" s="31"/>
      <c r="V9039" s="32"/>
    </row>
    <row r="9040">
      <c r="A9040" s="32"/>
      <c r="T9040" s="31"/>
      <c r="U9040" s="31"/>
      <c r="V9040" s="32"/>
    </row>
    <row r="9041">
      <c r="A9041" s="32"/>
      <c r="T9041" s="31"/>
      <c r="U9041" s="31"/>
      <c r="V9041" s="32"/>
    </row>
    <row r="9042">
      <c r="A9042" s="32"/>
      <c r="T9042" s="31"/>
      <c r="U9042" s="31"/>
      <c r="V9042" s="32"/>
    </row>
    <row r="9043">
      <c r="A9043" s="32"/>
      <c r="T9043" s="31"/>
      <c r="U9043" s="31"/>
      <c r="V9043" s="32"/>
    </row>
    <row r="9044">
      <c r="A9044" s="32"/>
      <c r="T9044" s="31"/>
      <c r="U9044" s="31"/>
      <c r="V9044" s="32"/>
    </row>
    <row r="9045">
      <c r="A9045" s="32"/>
      <c r="T9045" s="31"/>
      <c r="U9045" s="31"/>
      <c r="V9045" s="32"/>
    </row>
    <row r="9046">
      <c r="A9046" s="32"/>
      <c r="T9046" s="31"/>
      <c r="U9046" s="31"/>
      <c r="V9046" s="32"/>
    </row>
    <row r="9047">
      <c r="A9047" s="32"/>
      <c r="T9047" s="31"/>
      <c r="U9047" s="31"/>
      <c r="V9047" s="32"/>
    </row>
    <row r="9048">
      <c r="A9048" s="32"/>
      <c r="T9048" s="31"/>
      <c r="U9048" s="31"/>
      <c r="V9048" s="32"/>
    </row>
    <row r="9049">
      <c r="A9049" s="32"/>
      <c r="T9049" s="31"/>
      <c r="U9049" s="31"/>
      <c r="V9049" s="32"/>
    </row>
    <row r="9050">
      <c r="A9050" s="32"/>
      <c r="T9050" s="31"/>
      <c r="U9050" s="31"/>
      <c r="V9050" s="32"/>
    </row>
    <row r="9051">
      <c r="A9051" s="32"/>
      <c r="T9051" s="31"/>
      <c r="U9051" s="31"/>
      <c r="V9051" s="32"/>
    </row>
    <row r="9052">
      <c r="A9052" s="32"/>
      <c r="T9052" s="31"/>
      <c r="U9052" s="31"/>
      <c r="V9052" s="32"/>
    </row>
    <row r="9053">
      <c r="A9053" s="32"/>
      <c r="T9053" s="31"/>
      <c r="U9053" s="31"/>
      <c r="V9053" s="32"/>
    </row>
    <row r="9054">
      <c r="A9054" s="32"/>
      <c r="T9054" s="31"/>
      <c r="U9054" s="31"/>
      <c r="V9054" s="32"/>
    </row>
    <row r="9055">
      <c r="A9055" s="32"/>
      <c r="T9055" s="31"/>
      <c r="U9055" s="31"/>
      <c r="V9055" s="32"/>
    </row>
    <row r="9056">
      <c r="A9056" s="32"/>
      <c r="T9056" s="31"/>
      <c r="U9056" s="31"/>
      <c r="V9056" s="32"/>
    </row>
    <row r="9057">
      <c r="A9057" s="32"/>
      <c r="T9057" s="31"/>
      <c r="U9057" s="31"/>
      <c r="V9057" s="32"/>
    </row>
    <row r="9058">
      <c r="A9058" s="32"/>
      <c r="T9058" s="31"/>
      <c r="U9058" s="31"/>
      <c r="V9058" s="32"/>
    </row>
    <row r="9059">
      <c r="A9059" s="32"/>
      <c r="T9059" s="31"/>
      <c r="U9059" s="31"/>
      <c r="V9059" s="32"/>
    </row>
    <row r="9060">
      <c r="A9060" s="32"/>
      <c r="T9060" s="31"/>
      <c r="U9060" s="31"/>
      <c r="V9060" s="32"/>
    </row>
    <row r="9061">
      <c r="A9061" s="32"/>
      <c r="T9061" s="31"/>
      <c r="U9061" s="31"/>
      <c r="V9061" s="32"/>
    </row>
    <row r="9062">
      <c r="A9062" s="32"/>
      <c r="T9062" s="31"/>
      <c r="U9062" s="31"/>
      <c r="V9062" s="32"/>
    </row>
    <row r="9063">
      <c r="A9063" s="32"/>
      <c r="T9063" s="31"/>
      <c r="U9063" s="31"/>
      <c r="V9063" s="32"/>
    </row>
    <row r="9064">
      <c r="A9064" s="32"/>
      <c r="T9064" s="31"/>
      <c r="U9064" s="31"/>
      <c r="V9064" s="32"/>
    </row>
    <row r="9065">
      <c r="A9065" s="32"/>
      <c r="T9065" s="31"/>
      <c r="U9065" s="31"/>
      <c r="V9065" s="32"/>
    </row>
    <row r="9066">
      <c r="A9066" s="32"/>
      <c r="T9066" s="31"/>
      <c r="U9066" s="31"/>
      <c r="V9066" s="32"/>
    </row>
    <row r="9067">
      <c r="A9067" s="32"/>
      <c r="T9067" s="31"/>
      <c r="U9067" s="31"/>
      <c r="V9067" s="32"/>
    </row>
    <row r="9068">
      <c r="A9068" s="32"/>
      <c r="T9068" s="31"/>
      <c r="U9068" s="31"/>
      <c r="V9068" s="32"/>
    </row>
    <row r="9069">
      <c r="A9069" s="32"/>
      <c r="T9069" s="31"/>
      <c r="U9069" s="31"/>
      <c r="V9069" s="32"/>
    </row>
    <row r="9070">
      <c r="A9070" s="32"/>
      <c r="T9070" s="31"/>
      <c r="U9070" s="31"/>
      <c r="V9070" s="32"/>
    </row>
    <row r="9071">
      <c r="A9071" s="32"/>
      <c r="T9071" s="31"/>
      <c r="U9071" s="31"/>
      <c r="V9071" s="32"/>
    </row>
    <row r="9072">
      <c r="A9072" s="32"/>
      <c r="T9072" s="31"/>
      <c r="U9072" s="31"/>
      <c r="V9072" s="32"/>
    </row>
    <row r="9073">
      <c r="A9073" s="32"/>
      <c r="T9073" s="31"/>
      <c r="U9073" s="31"/>
      <c r="V9073" s="32"/>
    </row>
    <row r="9074">
      <c r="A9074" s="32"/>
      <c r="T9074" s="31"/>
      <c r="U9074" s="31"/>
      <c r="V9074" s="32"/>
    </row>
    <row r="9075">
      <c r="A9075" s="32"/>
      <c r="T9075" s="31"/>
      <c r="U9075" s="31"/>
      <c r="V9075" s="32"/>
    </row>
    <row r="9076">
      <c r="A9076" s="32"/>
      <c r="T9076" s="31"/>
      <c r="U9076" s="31"/>
      <c r="V9076" s="32"/>
    </row>
    <row r="9077">
      <c r="A9077" s="32"/>
      <c r="T9077" s="31"/>
      <c r="U9077" s="31"/>
      <c r="V9077" s="32"/>
    </row>
    <row r="9078">
      <c r="A9078" s="32"/>
      <c r="T9078" s="31"/>
      <c r="U9078" s="31"/>
      <c r="V9078" s="32"/>
    </row>
    <row r="9079">
      <c r="A9079" s="32"/>
      <c r="T9079" s="31"/>
      <c r="U9079" s="31"/>
      <c r="V9079" s="32"/>
    </row>
    <row r="9080">
      <c r="A9080" s="32"/>
      <c r="T9080" s="31"/>
      <c r="U9080" s="31"/>
      <c r="V9080" s="32"/>
    </row>
    <row r="9081">
      <c r="A9081" s="32"/>
      <c r="T9081" s="31"/>
      <c r="U9081" s="31"/>
      <c r="V9081" s="32"/>
    </row>
    <row r="9082">
      <c r="A9082" s="32"/>
      <c r="T9082" s="31"/>
      <c r="U9082" s="31"/>
      <c r="V9082" s="32"/>
    </row>
    <row r="9083">
      <c r="A9083" s="32"/>
      <c r="T9083" s="31"/>
      <c r="U9083" s="31"/>
      <c r="V9083" s="32"/>
    </row>
    <row r="9084">
      <c r="A9084" s="32"/>
      <c r="T9084" s="31"/>
      <c r="U9084" s="31"/>
      <c r="V9084" s="32"/>
    </row>
    <row r="9085">
      <c r="A9085" s="32"/>
      <c r="T9085" s="31"/>
      <c r="U9085" s="31"/>
      <c r="V9085" s="32"/>
    </row>
    <row r="9086">
      <c r="A9086" s="32"/>
      <c r="T9086" s="31"/>
      <c r="U9086" s="31"/>
      <c r="V9086" s="32"/>
    </row>
    <row r="9087">
      <c r="A9087" s="32"/>
      <c r="T9087" s="31"/>
      <c r="U9087" s="31"/>
      <c r="V9087" s="32"/>
    </row>
    <row r="9088">
      <c r="A9088" s="32"/>
      <c r="T9088" s="31"/>
      <c r="U9088" s="31"/>
      <c r="V9088" s="32"/>
    </row>
    <row r="9089">
      <c r="A9089" s="32"/>
      <c r="T9089" s="31"/>
      <c r="U9089" s="31"/>
      <c r="V9089" s="32"/>
    </row>
    <row r="9090">
      <c r="A9090" s="32"/>
      <c r="T9090" s="31"/>
      <c r="U9090" s="31"/>
      <c r="V9090" s="32"/>
    </row>
    <row r="9091">
      <c r="A9091" s="32"/>
      <c r="T9091" s="31"/>
      <c r="U9091" s="31"/>
      <c r="V9091" s="32"/>
    </row>
    <row r="9092">
      <c r="A9092" s="32"/>
      <c r="T9092" s="31"/>
      <c r="U9092" s="31"/>
      <c r="V9092" s="32"/>
    </row>
    <row r="9093">
      <c r="A9093" s="32"/>
      <c r="T9093" s="31"/>
      <c r="U9093" s="31"/>
      <c r="V9093" s="32"/>
    </row>
    <row r="9094">
      <c r="A9094" s="32"/>
      <c r="T9094" s="31"/>
      <c r="U9094" s="31"/>
      <c r="V9094" s="32"/>
    </row>
    <row r="9095">
      <c r="A9095" s="32"/>
      <c r="T9095" s="31"/>
      <c r="U9095" s="31"/>
      <c r="V9095" s="32"/>
    </row>
    <row r="9096">
      <c r="A9096" s="32"/>
      <c r="T9096" s="31"/>
      <c r="U9096" s="31"/>
      <c r="V9096" s="32"/>
    </row>
    <row r="9097">
      <c r="A9097" s="32"/>
      <c r="T9097" s="31"/>
      <c r="U9097" s="31"/>
      <c r="V9097" s="32"/>
    </row>
    <row r="9098">
      <c r="A9098" s="32"/>
      <c r="T9098" s="31"/>
      <c r="U9098" s="31"/>
      <c r="V9098" s="32"/>
    </row>
    <row r="9099">
      <c r="A9099" s="32"/>
      <c r="T9099" s="31"/>
      <c r="U9099" s="31"/>
      <c r="V9099" s="32"/>
    </row>
    <row r="9100">
      <c r="A9100" s="32"/>
      <c r="T9100" s="31"/>
      <c r="U9100" s="31"/>
      <c r="V9100" s="32"/>
    </row>
    <row r="9101">
      <c r="A9101" s="32"/>
      <c r="T9101" s="31"/>
      <c r="U9101" s="31"/>
      <c r="V9101" s="32"/>
    </row>
    <row r="9102">
      <c r="A9102" s="32"/>
      <c r="T9102" s="31"/>
      <c r="U9102" s="31"/>
      <c r="V9102" s="32"/>
    </row>
    <row r="9103">
      <c r="A9103" s="32"/>
      <c r="T9103" s="31"/>
      <c r="U9103" s="31"/>
      <c r="V9103" s="32"/>
    </row>
    <row r="9104">
      <c r="A9104" s="32"/>
      <c r="T9104" s="31"/>
      <c r="U9104" s="31"/>
      <c r="V9104" s="32"/>
    </row>
    <row r="9105">
      <c r="A9105" s="32"/>
      <c r="T9105" s="31"/>
      <c r="U9105" s="31"/>
      <c r="V9105" s="32"/>
    </row>
    <row r="9106">
      <c r="A9106" s="32"/>
      <c r="T9106" s="31"/>
      <c r="U9106" s="31"/>
      <c r="V9106" s="32"/>
    </row>
    <row r="9107">
      <c r="A9107" s="32"/>
      <c r="T9107" s="31"/>
      <c r="U9107" s="31"/>
      <c r="V9107" s="32"/>
    </row>
    <row r="9108">
      <c r="A9108" s="32"/>
      <c r="T9108" s="31"/>
      <c r="U9108" s="31"/>
      <c r="V9108" s="32"/>
    </row>
    <row r="9109">
      <c r="A9109" s="32"/>
      <c r="T9109" s="31"/>
      <c r="U9109" s="31"/>
      <c r="V9109" s="32"/>
    </row>
    <row r="9110">
      <c r="A9110" s="32"/>
      <c r="T9110" s="31"/>
      <c r="U9110" s="31"/>
      <c r="V9110" s="32"/>
    </row>
    <row r="9111">
      <c r="A9111" s="32"/>
      <c r="T9111" s="31"/>
      <c r="U9111" s="31"/>
      <c r="V9111" s="32"/>
    </row>
    <row r="9112">
      <c r="A9112" s="32"/>
      <c r="T9112" s="31"/>
      <c r="U9112" s="31"/>
      <c r="V9112" s="32"/>
    </row>
    <row r="9113">
      <c r="A9113" s="32"/>
      <c r="T9113" s="31"/>
      <c r="U9113" s="31"/>
      <c r="V9113" s="32"/>
    </row>
    <row r="9114">
      <c r="A9114" s="32"/>
      <c r="T9114" s="31"/>
      <c r="U9114" s="31"/>
      <c r="V9114" s="32"/>
    </row>
    <row r="9115">
      <c r="A9115" s="32"/>
      <c r="T9115" s="31"/>
      <c r="U9115" s="31"/>
      <c r="V9115" s="32"/>
    </row>
    <row r="9116">
      <c r="A9116" s="32"/>
      <c r="T9116" s="31"/>
      <c r="U9116" s="31"/>
      <c r="V9116" s="32"/>
    </row>
    <row r="9117">
      <c r="A9117" s="32"/>
      <c r="T9117" s="31"/>
      <c r="U9117" s="31"/>
      <c r="V9117" s="32"/>
    </row>
    <row r="9118">
      <c r="A9118" s="32"/>
      <c r="T9118" s="31"/>
      <c r="U9118" s="31"/>
      <c r="V9118" s="32"/>
    </row>
    <row r="9119">
      <c r="A9119" s="32"/>
      <c r="T9119" s="31"/>
      <c r="U9119" s="31"/>
      <c r="V9119" s="32"/>
    </row>
    <row r="9120">
      <c r="A9120" s="32"/>
      <c r="T9120" s="31"/>
      <c r="U9120" s="31"/>
      <c r="V9120" s="32"/>
    </row>
    <row r="9121">
      <c r="A9121" s="32"/>
      <c r="T9121" s="31"/>
      <c r="U9121" s="31"/>
      <c r="V9121" s="32"/>
    </row>
    <row r="9122">
      <c r="A9122" s="32"/>
      <c r="T9122" s="31"/>
      <c r="U9122" s="31"/>
      <c r="V9122" s="32"/>
    </row>
    <row r="9123">
      <c r="A9123" s="32"/>
      <c r="T9123" s="31"/>
      <c r="U9123" s="31"/>
      <c r="V9123" s="32"/>
    </row>
    <row r="9124">
      <c r="A9124" s="32"/>
      <c r="T9124" s="31"/>
      <c r="U9124" s="31"/>
      <c r="V9124" s="32"/>
    </row>
    <row r="9125">
      <c r="A9125" s="32"/>
      <c r="T9125" s="31"/>
      <c r="U9125" s="31"/>
      <c r="V9125" s="32"/>
    </row>
    <row r="9126">
      <c r="A9126" s="32"/>
      <c r="T9126" s="31"/>
      <c r="U9126" s="31"/>
      <c r="V9126" s="32"/>
    </row>
    <row r="9127">
      <c r="A9127" s="32"/>
      <c r="T9127" s="31"/>
      <c r="U9127" s="31"/>
      <c r="V9127" s="32"/>
    </row>
    <row r="9128">
      <c r="A9128" s="32"/>
      <c r="T9128" s="31"/>
      <c r="U9128" s="31"/>
      <c r="V9128" s="32"/>
    </row>
    <row r="9129">
      <c r="A9129" s="32"/>
      <c r="T9129" s="31"/>
      <c r="U9129" s="31"/>
      <c r="V9129" s="32"/>
    </row>
    <row r="9130">
      <c r="A9130" s="32"/>
      <c r="T9130" s="31"/>
      <c r="U9130" s="31"/>
      <c r="V9130" s="32"/>
    </row>
    <row r="9131">
      <c r="A9131" s="32"/>
      <c r="T9131" s="31"/>
      <c r="U9131" s="31"/>
      <c r="V9131" s="32"/>
    </row>
    <row r="9132">
      <c r="A9132" s="32"/>
      <c r="T9132" s="31"/>
      <c r="U9132" s="31"/>
      <c r="V9132" s="32"/>
    </row>
    <row r="9133">
      <c r="A9133" s="32"/>
      <c r="T9133" s="31"/>
      <c r="U9133" s="31"/>
      <c r="V9133" s="32"/>
    </row>
    <row r="9134">
      <c r="A9134" s="32"/>
      <c r="T9134" s="31"/>
      <c r="U9134" s="31"/>
      <c r="V9134" s="32"/>
    </row>
    <row r="9135">
      <c r="A9135" s="32"/>
      <c r="T9135" s="31"/>
      <c r="U9135" s="31"/>
      <c r="V9135" s="32"/>
    </row>
    <row r="9136">
      <c r="A9136" s="32"/>
      <c r="T9136" s="31"/>
      <c r="U9136" s="31"/>
      <c r="V9136" s="32"/>
    </row>
    <row r="9137">
      <c r="A9137" s="32"/>
      <c r="T9137" s="31"/>
      <c r="U9137" s="31"/>
      <c r="V9137" s="32"/>
    </row>
    <row r="9138">
      <c r="A9138" s="32"/>
      <c r="T9138" s="31"/>
      <c r="U9138" s="31"/>
      <c r="V9138" s="32"/>
    </row>
    <row r="9139">
      <c r="A9139" s="32"/>
      <c r="T9139" s="31"/>
      <c r="U9139" s="31"/>
      <c r="V9139" s="32"/>
    </row>
    <row r="9140">
      <c r="A9140" s="32"/>
      <c r="T9140" s="31"/>
      <c r="U9140" s="31"/>
      <c r="V9140" s="32"/>
    </row>
    <row r="9141">
      <c r="A9141" s="32"/>
      <c r="T9141" s="31"/>
      <c r="U9141" s="31"/>
      <c r="V9141" s="32"/>
    </row>
    <row r="9142">
      <c r="A9142" s="32"/>
      <c r="T9142" s="31"/>
      <c r="U9142" s="31"/>
      <c r="V9142" s="32"/>
    </row>
    <row r="9143">
      <c r="A9143" s="32"/>
      <c r="T9143" s="31"/>
      <c r="U9143" s="31"/>
      <c r="V9143" s="32"/>
    </row>
    <row r="9144">
      <c r="A9144" s="32"/>
      <c r="T9144" s="31"/>
      <c r="U9144" s="31"/>
      <c r="V9144" s="32"/>
    </row>
    <row r="9145">
      <c r="A9145" s="32"/>
      <c r="T9145" s="31"/>
      <c r="U9145" s="31"/>
      <c r="V9145" s="32"/>
    </row>
    <row r="9146">
      <c r="A9146" s="32"/>
      <c r="T9146" s="31"/>
      <c r="U9146" s="31"/>
      <c r="V9146" s="32"/>
    </row>
    <row r="9147">
      <c r="A9147" s="32"/>
      <c r="T9147" s="31"/>
      <c r="U9147" s="31"/>
      <c r="V9147" s="32"/>
    </row>
    <row r="9148">
      <c r="A9148" s="32"/>
      <c r="T9148" s="31"/>
      <c r="U9148" s="31"/>
      <c r="V9148" s="32"/>
    </row>
    <row r="9149">
      <c r="A9149" s="32"/>
      <c r="T9149" s="31"/>
      <c r="U9149" s="31"/>
      <c r="V9149" s="32"/>
    </row>
    <row r="9150">
      <c r="A9150" s="32"/>
      <c r="T9150" s="31"/>
      <c r="U9150" s="31"/>
      <c r="V9150" s="32"/>
    </row>
    <row r="9151">
      <c r="A9151" s="32"/>
      <c r="T9151" s="31"/>
      <c r="U9151" s="31"/>
      <c r="V9151" s="32"/>
    </row>
    <row r="9152">
      <c r="A9152" s="32"/>
      <c r="T9152" s="31"/>
      <c r="U9152" s="31"/>
      <c r="V9152" s="32"/>
    </row>
    <row r="9153">
      <c r="A9153" s="32"/>
      <c r="T9153" s="31"/>
      <c r="U9153" s="31"/>
      <c r="V9153" s="32"/>
    </row>
    <row r="9154">
      <c r="A9154" s="32"/>
      <c r="T9154" s="31"/>
      <c r="U9154" s="31"/>
      <c r="V9154" s="32"/>
    </row>
    <row r="9155">
      <c r="A9155" s="32"/>
      <c r="T9155" s="31"/>
      <c r="U9155" s="31"/>
      <c r="V9155" s="32"/>
    </row>
    <row r="9156">
      <c r="A9156" s="32"/>
      <c r="T9156" s="31"/>
      <c r="U9156" s="31"/>
      <c r="V9156" s="32"/>
    </row>
    <row r="9157">
      <c r="A9157" s="32"/>
      <c r="T9157" s="31"/>
      <c r="U9157" s="31"/>
      <c r="V9157" s="32"/>
    </row>
    <row r="9158">
      <c r="A9158" s="32"/>
      <c r="T9158" s="31"/>
      <c r="U9158" s="31"/>
      <c r="V9158" s="32"/>
    </row>
    <row r="9159">
      <c r="A9159" s="32"/>
      <c r="T9159" s="31"/>
      <c r="U9159" s="31"/>
      <c r="V9159" s="32"/>
    </row>
    <row r="9160">
      <c r="A9160" s="32"/>
      <c r="T9160" s="31"/>
      <c r="U9160" s="31"/>
      <c r="V9160" s="32"/>
    </row>
    <row r="9161">
      <c r="A9161" s="32"/>
      <c r="T9161" s="31"/>
      <c r="U9161" s="31"/>
      <c r="V9161" s="32"/>
    </row>
    <row r="9162">
      <c r="A9162" s="32"/>
      <c r="T9162" s="31"/>
      <c r="U9162" s="31"/>
      <c r="V9162" s="32"/>
    </row>
    <row r="9163">
      <c r="A9163" s="32"/>
      <c r="T9163" s="31"/>
      <c r="U9163" s="31"/>
      <c r="V9163" s="32"/>
    </row>
    <row r="9164">
      <c r="A9164" s="32"/>
      <c r="T9164" s="31"/>
      <c r="U9164" s="31"/>
      <c r="V9164" s="32"/>
    </row>
    <row r="9165">
      <c r="A9165" s="32"/>
      <c r="T9165" s="31"/>
      <c r="U9165" s="31"/>
      <c r="V9165" s="32"/>
    </row>
    <row r="9166">
      <c r="A9166" s="32"/>
      <c r="T9166" s="31"/>
      <c r="U9166" s="31"/>
      <c r="V9166" s="32"/>
    </row>
    <row r="9167">
      <c r="A9167" s="32"/>
      <c r="T9167" s="31"/>
      <c r="U9167" s="31"/>
      <c r="V9167" s="32"/>
    </row>
    <row r="9168">
      <c r="A9168" s="32"/>
      <c r="T9168" s="31"/>
      <c r="U9168" s="31"/>
      <c r="V9168" s="32"/>
    </row>
    <row r="9169">
      <c r="A9169" s="32"/>
      <c r="T9169" s="31"/>
      <c r="U9169" s="31"/>
      <c r="V9169" s="32"/>
    </row>
    <row r="9170">
      <c r="A9170" s="32"/>
      <c r="T9170" s="31"/>
      <c r="U9170" s="31"/>
      <c r="V9170" s="32"/>
    </row>
    <row r="9171">
      <c r="A9171" s="32"/>
      <c r="T9171" s="31"/>
      <c r="U9171" s="31"/>
      <c r="V9171" s="32"/>
    </row>
    <row r="9172">
      <c r="A9172" s="32"/>
      <c r="T9172" s="31"/>
      <c r="U9172" s="31"/>
      <c r="V9172" s="32"/>
    </row>
    <row r="9173">
      <c r="A9173" s="32"/>
      <c r="T9173" s="31"/>
      <c r="U9173" s="31"/>
      <c r="V9173" s="32"/>
    </row>
    <row r="9174">
      <c r="A9174" s="32"/>
      <c r="T9174" s="31"/>
      <c r="U9174" s="31"/>
      <c r="V9174" s="32"/>
    </row>
    <row r="9175">
      <c r="A9175" s="32"/>
      <c r="T9175" s="31"/>
      <c r="U9175" s="31"/>
      <c r="V9175" s="32"/>
    </row>
    <row r="9176">
      <c r="A9176" s="32"/>
      <c r="T9176" s="31"/>
      <c r="U9176" s="31"/>
      <c r="V9176" s="32"/>
    </row>
    <row r="9177">
      <c r="A9177" s="32"/>
      <c r="T9177" s="31"/>
      <c r="U9177" s="31"/>
      <c r="V9177" s="32"/>
    </row>
    <row r="9178">
      <c r="A9178" s="32"/>
      <c r="T9178" s="31"/>
      <c r="U9178" s="31"/>
      <c r="V9178" s="32"/>
    </row>
    <row r="9179">
      <c r="A9179" s="32"/>
      <c r="T9179" s="31"/>
      <c r="U9179" s="31"/>
      <c r="V9179" s="32"/>
    </row>
    <row r="9180">
      <c r="A9180" s="32"/>
      <c r="T9180" s="31"/>
      <c r="U9180" s="31"/>
      <c r="V9180" s="32"/>
    </row>
    <row r="9181">
      <c r="A9181" s="32"/>
      <c r="T9181" s="31"/>
      <c r="U9181" s="31"/>
      <c r="V9181" s="32"/>
    </row>
    <row r="9182">
      <c r="A9182" s="32"/>
      <c r="T9182" s="31"/>
      <c r="U9182" s="31"/>
      <c r="V9182" s="32"/>
    </row>
    <row r="9183">
      <c r="A9183" s="32"/>
      <c r="T9183" s="31"/>
      <c r="U9183" s="31"/>
      <c r="V9183" s="32"/>
    </row>
    <row r="9184">
      <c r="A9184" s="32"/>
      <c r="T9184" s="31"/>
      <c r="U9184" s="31"/>
      <c r="V9184" s="32"/>
    </row>
    <row r="9185">
      <c r="A9185" s="32"/>
      <c r="T9185" s="31"/>
      <c r="U9185" s="31"/>
      <c r="V9185" s="32"/>
    </row>
    <row r="9186">
      <c r="A9186" s="32"/>
      <c r="T9186" s="31"/>
      <c r="U9186" s="31"/>
      <c r="V9186" s="32"/>
    </row>
    <row r="9187">
      <c r="A9187" s="32"/>
      <c r="T9187" s="31"/>
      <c r="U9187" s="31"/>
      <c r="V9187" s="32"/>
    </row>
    <row r="9188">
      <c r="A9188" s="32"/>
      <c r="T9188" s="31"/>
      <c r="U9188" s="31"/>
      <c r="V9188" s="32"/>
    </row>
    <row r="9189">
      <c r="A9189" s="32"/>
      <c r="T9189" s="31"/>
      <c r="U9189" s="31"/>
      <c r="V9189" s="32"/>
    </row>
    <row r="9190">
      <c r="A9190" s="32"/>
      <c r="T9190" s="31"/>
      <c r="U9190" s="31"/>
      <c r="V9190" s="32"/>
    </row>
    <row r="9191">
      <c r="A9191" s="32"/>
      <c r="T9191" s="31"/>
      <c r="U9191" s="31"/>
      <c r="V9191" s="32"/>
    </row>
    <row r="9192">
      <c r="A9192" s="32"/>
      <c r="T9192" s="31"/>
      <c r="U9192" s="31"/>
      <c r="V9192" s="32"/>
    </row>
    <row r="9193">
      <c r="A9193" s="32"/>
      <c r="T9193" s="31"/>
      <c r="U9193" s="31"/>
      <c r="V9193" s="32"/>
    </row>
    <row r="9194">
      <c r="A9194" s="32"/>
      <c r="T9194" s="31"/>
      <c r="U9194" s="31"/>
      <c r="V9194" s="32"/>
    </row>
    <row r="9195">
      <c r="A9195" s="32"/>
      <c r="T9195" s="31"/>
      <c r="U9195" s="31"/>
      <c r="V9195" s="32"/>
    </row>
    <row r="9196">
      <c r="A9196" s="32"/>
      <c r="T9196" s="31"/>
      <c r="U9196" s="31"/>
      <c r="V9196" s="32"/>
    </row>
    <row r="9197">
      <c r="A9197" s="32"/>
      <c r="T9197" s="31"/>
      <c r="U9197" s="31"/>
      <c r="V9197" s="32"/>
    </row>
    <row r="9198">
      <c r="A9198" s="32"/>
      <c r="T9198" s="31"/>
      <c r="U9198" s="31"/>
      <c r="V9198" s="32"/>
    </row>
    <row r="9199">
      <c r="A9199" s="32"/>
      <c r="T9199" s="31"/>
      <c r="U9199" s="31"/>
      <c r="V9199" s="32"/>
    </row>
    <row r="9200">
      <c r="A9200" s="32"/>
      <c r="T9200" s="31"/>
      <c r="U9200" s="31"/>
      <c r="V9200" s="32"/>
    </row>
    <row r="9201">
      <c r="A9201" s="32"/>
      <c r="T9201" s="31"/>
      <c r="U9201" s="31"/>
      <c r="V9201" s="32"/>
    </row>
    <row r="9202">
      <c r="A9202" s="32"/>
      <c r="T9202" s="31"/>
      <c r="U9202" s="31"/>
      <c r="V9202" s="32"/>
    </row>
    <row r="9203">
      <c r="A9203" s="32"/>
      <c r="T9203" s="31"/>
      <c r="U9203" s="31"/>
      <c r="V9203" s="32"/>
    </row>
    <row r="9204">
      <c r="A9204" s="32"/>
      <c r="T9204" s="31"/>
      <c r="U9204" s="31"/>
      <c r="V9204" s="32"/>
    </row>
    <row r="9205">
      <c r="A9205" s="32"/>
      <c r="T9205" s="31"/>
      <c r="U9205" s="31"/>
      <c r="V9205" s="32"/>
    </row>
    <row r="9206">
      <c r="A9206" s="32"/>
      <c r="T9206" s="31"/>
      <c r="U9206" s="31"/>
      <c r="V9206" s="32"/>
    </row>
    <row r="9207">
      <c r="A9207" s="32"/>
      <c r="T9207" s="31"/>
      <c r="U9207" s="31"/>
      <c r="V9207" s="32"/>
    </row>
    <row r="9208">
      <c r="A9208" s="32"/>
      <c r="T9208" s="31"/>
      <c r="U9208" s="31"/>
      <c r="V9208" s="32"/>
    </row>
    <row r="9209">
      <c r="A9209" s="32"/>
      <c r="T9209" s="31"/>
      <c r="U9209" s="31"/>
      <c r="V9209" s="32"/>
    </row>
    <row r="9210">
      <c r="A9210" s="32"/>
      <c r="T9210" s="31"/>
      <c r="U9210" s="31"/>
      <c r="V9210" s="32"/>
    </row>
    <row r="9211">
      <c r="A9211" s="32"/>
      <c r="T9211" s="31"/>
      <c r="U9211" s="31"/>
      <c r="V9211" s="32"/>
    </row>
    <row r="9212">
      <c r="A9212" s="32"/>
      <c r="T9212" s="31"/>
      <c r="U9212" s="31"/>
      <c r="V9212" s="32"/>
    </row>
    <row r="9213">
      <c r="A9213" s="32"/>
      <c r="T9213" s="31"/>
      <c r="U9213" s="31"/>
      <c r="V9213" s="32"/>
    </row>
    <row r="9214">
      <c r="A9214" s="32"/>
      <c r="T9214" s="31"/>
      <c r="U9214" s="31"/>
      <c r="V9214" s="32"/>
    </row>
    <row r="9215">
      <c r="A9215" s="32"/>
      <c r="T9215" s="31"/>
      <c r="U9215" s="31"/>
      <c r="V9215" s="32"/>
    </row>
    <row r="9216">
      <c r="A9216" s="32"/>
      <c r="T9216" s="31"/>
      <c r="U9216" s="31"/>
      <c r="V9216" s="32"/>
    </row>
    <row r="9217">
      <c r="A9217" s="32"/>
      <c r="T9217" s="31"/>
      <c r="U9217" s="31"/>
      <c r="V9217" s="32"/>
    </row>
    <row r="9218">
      <c r="A9218" s="32"/>
      <c r="T9218" s="31"/>
      <c r="U9218" s="31"/>
      <c r="V9218" s="32"/>
    </row>
    <row r="9219">
      <c r="A9219" s="32"/>
      <c r="T9219" s="31"/>
      <c r="U9219" s="31"/>
      <c r="V9219" s="32"/>
    </row>
    <row r="9220">
      <c r="A9220" s="32"/>
      <c r="T9220" s="31"/>
      <c r="U9220" s="31"/>
      <c r="V9220" s="32"/>
    </row>
    <row r="9221">
      <c r="A9221" s="32"/>
      <c r="T9221" s="31"/>
      <c r="U9221" s="31"/>
      <c r="V9221" s="32"/>
    </row>
    <row r="9222">
      <c r="A9222" s="32"/>
      <c r="T9222" s="31"/>
      <c r="U9222" s="31"/>
      <c r="V9222" s="32"/>
    </row>
    <row r="9223">
      <c r="A9223" s="32"/>
      <c r="T9223" s="31"/>
      <c r="U9223" s="31"/>
      <c r="V9223" s="32"/>
    </row>
    <row r="9224">
      <c r="A9224" s="32"/>
      <c r="T9224" s="31"/>
      <c r="U9224" s="31"/>
      <c r="V9224" s="32"/>
    </row>
    <row r="9225">
      <c r="A9225" s="32"/>
      <c r="T9225" s="31"/>
      <c r="U9225" s="31"/>
      <c r="V9225" s="32"/>
    </row>
    <row r="9226">
      <c r="A9226" s="32"/>
      <c r="T9226" s="31"/>
      <c r="U9226" s="31"/>
      <c r="V9226" s="32"/>
    </row>
    <row r="9227">
      <c r="A9227" s="32"/>
      <c r="T9227" s="31"/>
      <c r="U9227" s="31"/>
      <c r="V9227" s="32"/>
    </row>
    <row r="9228">
      <c r="A9228" s="32"/>
      <c r="T9228" s="31"/>
      <c r="U9228" s="31"/>
      <c r="V9228" s="32"/>
    </row>
    <row r="9229">
      <c r="A9229" s="32"/>
      <c r="T9229" s="31"/>
      <c r="U9229" s="31"/>
      <c r="V9229" s="32"/>
    </row>
    <row r="9230">
      <c r="A9230" s="32"/>
      <c r="T9230" s="31"/>
      <c r="U9230" s="31"/>
      <c r="V9230" s="32"/>
    </row>
    <row r="9231">
      <c r="A9231" s="32"/>
      <c r="T9231" s="31"/>
      <c r="U9231" s="31"/>
      <c r="V9231" s="32"/>
    </row>
    <row r="9232">
      <c r="A9232" s="32"/>
      <c r="T9232" s="31"/>
      <c r="U9232" s="31"/>
      <c r="V9232" s="32"/>
    </row>
    <row r="9233">
      <c r="A9233" s="32"/>
      <c r="T9233" s="31"/>
      <c r="U9233" s="31"/>
      <c r="V9233" s="32"/>
    </row>
    <row r="9234">
      <c r="A9234" s="32"/>
      <c r="T9234" s="31"/>
      <c r="U9234" s="31"/>
      <c r="V9234" s="32"/>
    </row>
    <row r="9235">
      <c r="A9235" s="32"/>
      <c r="T9235" s="31"/>
      <c r="U9235" s="31"/>
      <c r="V9235" s="32"/>
    </row>
    <row r="9236">
      <c r="A9236" s="32"/>
      <c r="T9236" s="31"/>
      <c r="U9236" s="31"/>
      <c r="V9236" s="32"/>
    </row>
    <row r="9237">
      <c r="A9237" s="32"/>
      <c r="T9237" s="31"/>
      <c r="U9237" s="31"/>
      <c r="V9237" s="32"/>
    </row>
    <row r="9238">
      <c r="A9238" s="32"/>
      <c r="T9238" s="31"/>
      <c r="U9238" s="31"/>
      <c r="V9238" s="32"/>
    </row>
    <row r="9239">
      <c r="A9239" s="32"/>
      <c r="T9239" s="31"/>
      <c r="U9239" s="31"/>
      <c r="V9239" s="32"/>
    </row>
    <row r="9240">
      <c r="A9240" s="32"/>
      <c r="T9240" s="31"/>
      <c r="U9240" s="31"/>
      <c r="V9240" s="32"/>
    </row>
    <row r="9241">
      <c r="A9241" s="32"/>
      <c r="T9241" s="31"/>
      <c r="U9241" s="31"/>
      <c r="V9241" s="32"/>
    </row>
    <row r="9242">
      <c r="A9242" s="32"/>
      <c r="T9242" s="31"/>
      <c r="U9242" s="31"/>
      <c r="V9242" s="32"/>
    </row>
    <row r="9243">
      <c r="A9243" s="32"/>
      <c r="T9243" s="31"/>
      <c r="U9243" s="31"/>
      <c r="V9243" s="32"/>
    </row>
    <row r="9244">
      <c r="A9244" s="32"/>
      <c r="T9244" s="31"/>
      <c r="U9244" s="31"/>
      <c r="V9244" s="32"/>
    </row>
    <row r="9245">
      <c r="A9245" s="32"/>
      <c r="T9245" s="31"/>
      <c r="U9245" s="31"/>
      <c r="V9245" s="32"/>
    </row>
    <row r="9246">
      <c r="A9246" s="32"/>
      <c r="T9246" s="31"/>
      <c r="U9246" s="31"/>
      <c r="V9246" s="32"/>
    </row>
    <row r="9247">
      <c r="A9247" s="32"/>
      <c r="T9247" s="31"/>
      <c r="U9247" s="31"/>
      <c r="V9247" s="32"/>
    </row>
    <row r="9248">
      <c r="A9248" s="32"/>
      <c r="T9248" s="31"/>
      <c r="U9248" s="31"/>
      <c r="V9248" s="32"/>
    </row>
    <row r="9249">
      <c r="A9249" s="32"/>
      <c r="T9249" s="31"/>
      <c r="U9249" s="31"/>
      <c r="V9249" s="32"/>
    </row>
    <row r="9250">
      <c r="A9250" s="32"/>
      <c r="T9250" s="31"/>
      <c r="U9250" s="31"/>
      <c r="V9250" s="32"/>
    </row>
    <row r="9251">
      <c r="A9251" s="32"/>
      <c r="T9251" s="31"/>
      <c r="U9251" s="31"/>
      <c r="V9251" s="32"/>
    </row>
    <row r="9252">
      <c r="A9252" s="32"/>
      <c r="T9252" s="31"/>
      <c r="U9252" s="31"/>
      <c r="V9252" s="32"/>
    </row>
    <row r="9253">
      <c r="A9253" s="32"/>
      <c r="T9253" s="31"/>
      <c r="U9253" s="31"/>
      <c r="V9253" s="32"/>
    </row>
    <row r="9254">
      <c r="A9254" s="32"/>
      <c r="T9254" s="31"/>
      <c r="U9254" s="31"/>
      <c r="V9254" s="32"/>
    </row>
    <row r="9255">
      <c r="A9255" s="32"/>
      <c r="T9255" s="31"/>
      <c r="U9255" s="31"/>
      <c r="V9255" s="32"/>
    </row>
    <row r="9256">
      <c r="A9256" s="32"/>
      <c r="T9256" s="31"/>
      <c r="U9256" s="31"/>
      <c r="V9256" s="32"/>
    </row>
    <row r="9257">
      <c r="A9257" s="32"/>
      <c r="T9257" s="31"/>
      <c r="U9257" s="31"/>
      <c r="V9257" s="32"/>
    </row>
    <row r="9258">
      <c r="A9258" s="32"/>
      <c r="T9258" s="31"/>
      <c r="U9258" s="31"/>
      <c r="V9258" s="32"/>
    </row>
    <row r="9259">
      <c r="A9259" s="32"/>
      <c r="T9259" s="31"/>
      <c r="U9259" s="31"/>
      <c r="V9259" s="32"/>
    </row>
    <row r="9260">
      <c r="A9260" s="32"/>
      <c r="T9260" s="31"/>
      <c r="U9260" s="31"/>
      <c r="V9260" s="32"/>
    </row>
    <row r="9261">
      <c r="A9261" s="32"/>
      <c r="T9261" s="31"/>
      <c r="U9261" s="31"/>
      <c r="V9261" s="32"/>
    </row>
    <row r="9262">
      <c r="A9262" s="32"/>
      <c r="T9262" s="31"/>
      <c r="U9262" s="31"/>
      <c r="V9262" s="32"/>
    </row>
    <row r="9263">
      <c r="A9263" s="32"/>
      <c r="T9263" s="31"/>
      <c r="U9263" s="31"/>
      <c r="V9263" s="32"/>
    </row>
    <row r="9264">
      <c r="A9264" s="32"/>
      <c r="T9264" s="31"/>
      <c r="U9264" s="31"/>
      <c r="V9264" s="32"/>
    </row>
    <row r="9265">
      <c r="A9265" s="32"/>
      <c r="T9265" s="31"/>
      <c r="U9265" s="31"/>
      <c r="V9265" s="32"/>
    </row>
    <row r="9266">
      <c r="A9266" s="32"/>
      <c r="T9266" s="31"/>
      <c r="U9266" s="31"/>
      <c r="V9266" s="32"/>
    </row>
    <row r="9267">
      <c r="A9267" s="32"/>
      <c r="T9267" s="31"/>
      <c r="U9267" s="31"/>
      <c r="V9267" s="32"/>
    </row>
    <row r="9268">
      <c r="A9268" s="32"/>
      <c r="T9268" s="31"/>
      <c r="U9268" s="31"/>
      <c r="V9268" s="32"/>
    </row>
    <row r="9269">
      <c r="A9269" s="32"/>
      <c r="T9269" s="31"/>
      <c r="U9269" s="31"/>
      <c r="V9269" s="32"/>
    </row>
    <row r="9270">
      <c r="A9270" s="32"/>
      <c r="T9270" s="31"/>
      <c r="U9270" s="31"/>
      <c r="V9270" s="32"/>
    </row>
    <row r="9271">
      <c r="A9271" s="32"/>
      <c r="T9271" s="31"/>
      <c r="U9271" s="31"/>
      <c r="V9271" s="32"/>
    </row>
    <row r="9272">
      <c r="A9272" s="32"/>
      <c r="T9272" s="31"/>
      <c r="U9272" s="31"/>
      <c r="V9272" s="32"/>
    </row>
    <row r="9273">
      <c r="A9273" s="32"/>
      <c r="T9273" s="31"/>
      <c r="U9273" s="31"/>
      <c r="V9273" s="32"/>
    </row>
    <row r="9274">
      <c r="A9274" s="32"/>
      <c r="T9274" s="31"/>
      <c r="U9274" s="31"/>
      <c r="V9274" s="32"/>
    </row>
    <row r="9275">
      <c r="A9275" s="32"/>
      <c r="T9275" s="31"/>
      <c r="U9275" s="31"/>
      <c r="V9275" s="32"/>
    </row>
    <row r="9276">
      <c r="A9276" s="32"/>
      <c r="T9276" s="31"/>
      <c r="U9276" s="31"/>
      <c r="V9276" s="32"/>
    </row>
    <row r="9277">
      <c r="A9277" s="32"/>
      <c r="T9277" s="31"/>
      <c r="U9277" s="31"/>
      <c r="V9277" s="32"/>
    </row>
    <row r="9278">
      <c r="A9278" s="32"/>
      <c r="T9278" s="31"/>
      <c r="U9278" s="31"/>
      <c r="V9278" s="32"/>
    </row>
    <row r="9279">
      <c r="A9279" s="32"/>
      <c r="T9279" s="31"/>
      <c r="U9279" s="31"/>
      <c r="V9279" s="32"/>
    </row>
    <row r="9280">
      <c r="A9280" s="32"/>
      <c r="T9280" s="31"/>
      <c r="U9280" s="31"/>
      <c r="V9280" s="32"/>
    </row>
    <row r="9281">
      <c r="A9281" s="32"/>
      <c r="T9281" s="31"/>
      <c r="U9281" s="31"/>
      <c r="V9281" s="32"/>
    </row>
    <row r="9282">
      <c r="A9282" s="32"/>
      <c r="T9282" s="31"/>
      <c r="U9282" s="31"/>
      <c r="V9282" s="32"/>
    </row>
    <row r="9283">
      <c r="A9283" s="32"/>
      <c r="T9283" s="31"/>
      <c r="U9283" s="31"/>
      <c r="V9283" s="32"/>
    </row>
    <row r="9284">
      <c r="A9284" s="32"/>
      <c r="T9284" s="31"/>
      <c r="U9284" s="31"/>
      <c r="V9284" s="32"/>
    </row>
    <row r="9285">
      <c r="A9285" s="32"/>
      <c r="T9285" s="31"/>
      <c r="U9285" s="31"/>
      <c r="V9285" s="32"/>
    </row>
    <row r="9286">
      <c r="A9286" s="32"/>
      <c r="T9286" s="31"/>
      <c r="U9286" s="31"/>
      <c r="V9286" s="32"/>
    </row>
    <row r="9287">
      <c r="A9287" s="32"/>
      <c r="T9287" s="31"/>
      <c r="U9287" s="31"/>
      <c r="V9287" s="32"/>
    </row>
    <row r="9288">
      <c r="A9288" s="32"/>
      <c r="T9288" s="31"/>
      <c r="U9288" s="31"/>
      <c r="V9288" s="32"/>
    </row>
    <row r="9289">
      <c r="A9289" s="32"/>
      <c r="T9289" s="31"/>
      <c r="U9289" s="31"/>
      <c r="V9289" s="32"/>
    </row>
    <row r="9290">
      <c r="A9290" s="32"/>
      <c r="T9290" s="31"/>
      <c r="U9290" s="31"/>
      <c r="V9290" s="32"/>
    </row>
    <row r="9291">
      <c r="A9291" s="32"/>
      <c r="T9291" s="31"/>
      <c r="U9291" s="31"/>
      <c r="V9291" s="32"/>
    </row>
    <row r="9292">
      <c r="A9292" s="32"/>
      <c r="T9292" s="31"/>
      <c r="U9292" s="31"/>
      <c r="V9292" s="32"/>
    </row>
    <row r="9293">
      <c r="A9293" s="32"/>
      <c r="T9293" s="31"/>
      <c r="U9293" s="31"/>
      <c r="V9293" s="32"/>
    </row>
    <row r="9294">
      <c r="A9294" s="32"/>
      <c r="T9294" s="31"/>
      <c r="U9294" s="31"/>
      <c r="V9294" s="32"/>
    </row>
    <row r="9295">
      <c r="A9295" s="32"/>
      <c r="T9295" s="31"/>
      <c r="U9295" s="31"/>
      <c r="V9295" s="32"/>
    </row>
    <row r="9296">
      <c r="A9296" s="32"/>
      <c r="T9296" s="31"/>
      <c r="U9296" s="31"/>
      <c r="V9296" s="32"/>
    </row>
    <row r="9297">
      <c r="A9297" s="32"/>
      <c r="T9297" s="31"/>
      <c r="U9297" s="31"/>
      <c r="V9297" s="32"/>
    </row>
    <row r="9298">
      <c r="A9298" s="32"/>
      <c r="T9298" s="31"/>
      <c r="U9298" s="31"/>
      <c r="V9298" s="32"/>
    </row>
    <row r="9299">
      <c r="A9299" s="32"/>
      <c r="T9299" s="31"/>
      <c r="U9299" s="31"/>
      <c r="V9299" s="32"/>
    </row>
    <row r="9300">
      <c r="A9300" s="32"/>
      <c r="T9300" s="31"/>
      <c r="U9300" s="31"/>
      <c r="V9300" s="32"/>
    </row>
    <row r="9301">
      <c r="A9301" s="32"/>
      <c r="T9301" s="31"/>
      <c r="U9301" s="31"/>
      <c r="V9301" s="32"/>
    </row>
    <row r="9302">
      <c r="A9302" s="32"/>
      <c r="T9302" s="31"/>
      <c r="U9302" s="31"/>
      <c r="V9302" s="32"/>
    </row>
    <row r="9303">
      <c r="A9303" s="32"/>
      <c r="T9303" s="31"/>
      <c r="U9303" s="31"/>
      <c r="V9303" s="32"/>
    </row>
    <row r="9304">
      <c r="A9304" s="32"/>
      <c r="T9304" s="31"/>
      <c r="U9304" s="31"/>
      <c r="V9304" s="32"/>
    </row>
    <row r="9305">
      <c r="A9305" s="32"/>
      <c r="T9305" s="31"/>
      <c r="U9305" s="31"/>
      <c r="V9305" s="32"/>
    </row>
    <row r="9306">
      <c r="A9306" s="32"/>
      <c r="T9306" s="31"/>
      <c r="U9306" s="31"/>
      <c r="V9306" s="32"/>
    </row>
    <row r="9307">
      <c r="A9307" s="32"/>
      <c r="T9307" s="31"/>
      <c r="U9307" s="31"/>
      <c r="V9307" s="32"/>
    </row>
    <row r="9308">
      <c r="A9308" s="32"/>
      <c r="T9308" s="31"/>
      <c r="U9308" s="31"/>
      <c r="V9308" s="32"/>
    </row>
    <row r="9309">
      <c r="A9309" s="32"/>
      <c r="T9309" s="31"/>
      <c r="U9309" s="31"/>
      <c r="V9309" s="32"/>
    </row>
    <row r="9310">
      <c r="A9310" s="32"/>
      <c r="T9310" s="31"/>
      <c r="U9310" s="31"/>
      <c r="V9310" s="32"/>
    </row>
    <row r="9311">
      <c r="A9311" s="32"/>
      <c r="T9311" s="31"/>
      <c r="U9311" s="31"/>
      <c r="V9311" s="32"/>
    </row>
    <row r="9312">
      <c r="A9312" s="32"/>
      <c r="T9312" s="31"/>
      <c r="U9312" s="31"/>
      <c r="V9312" s="32"/>
    </row>
    <row r="9313">
      <c r="A9313" s="32"/>
      <c r="T9313" s="31"/>
      <c r="U9313" s="31"/>
      <c r="V9313" s="32"/>
    </row>
    <row r="9314">
      <c r="A9314" s="32"/>
      <c r="T9314" s="31"/>
      <c r="U9314" s="31"/>
      <c r="V9314" s="32"/>
    </row>
    <row r="9315">
      <c r="A9315" s="32"/>
      <c r="T9315" s="31"/>
      <c r="U9315" s="31"/>
      <c r="V9315" s="32"/>
    </row>
    <row r="9316">
      <c r="A9316" s="32"/>
      <c r="T9316" s="31"/>
      <c r="U9316" s="31"/>
      <c r="V9316" s="32"/>
    </row>
    <row r="9317">
      <c r="A9317" s="32"/>
      <c r="T9317" s="31"/>
      <c r="U9317" s="31"/>
      <c r="V9317" s="32"/>
    </row>
    <row r="9318">
      <c r="A9318" s="32"/>
      <c r="T9318" s="31"/>
      <c r="U9318" s="31"/>
      <c r="V9318" s="32"/>
    </row>
    <row r="9319">
      <c r="A9319" s="32"/>
      <c r="T9319" s="31"/>
      <c r="U9319" s="31"/>
      <c r="V9319" s="32"/>
    </row>
    <row r="9320">
      <c r="A9320" s="32"/>
      <c r="T9320" s="31"/>
      <c r="U9320" s="31"/>
      <c r="V9320" s="32"/>
    </row>
    <row r="9321">
      <c r="A9321" s="32"/>
      <c r="T9321" s="31"/>
      <c r="U9321" s="31"/>
      <c r="V9321" s="32"/>
    </row>
    <row r="9322">
      <c r="A9322" s="32"/>
      <c r="T9322" s="31"/>
      <c r="U9322" s="31"/>
      <c r="V9322" s="32"/>
    </row>
    <row r="9323">
      <c r="A9323" s="32"/>
      <c r="T9323" s="31"/>
      <c r="U9323" s="31"/>
      <c r="V9323" s="32"/>
    </row>
    <row r="9324">
      <c r="A9324" s="32"/>
      <c r="T9324" s="31"/>
      <c r="U9324" s="31"/>
      <c r="V9324" s="32"/>
    </row>
    <row r="9325">
      <c r="A9325" s="32"/>
      <c r="T9325" s="31"/>
      <c r="U9325" s="31"/>
      <c r="V9325" s="32"/>
    </row>
    <row r="9326">
      <c r="A9326" s="32"/>
      <c r="T9326" s="31"/>
      <c r="U9326" s="31"/>
      <c r="V9326" s="32"/>
    </row>
    <row r="9327">
      <c r="A9327" s="32"/>
      <c r="T9327" s="31"/>
      <c r="U9327" s="31"/>
      <c r="V9327" s="32"/>
    </row>
    <row r="9328">
      <c r="A9328" s="32"/>
      <c r="T9328" s="31"/>
      <c r="U9328" s="31"/>
      <c r="V9328" s="32"/>
    </row>
    <row r="9329">
      <c r="A9329" s="32"/>
      <c r="T9329" s="31"/>
      <c r="U9329" s="31"/>
      <c r="V9329" s="32"/>
    </row>
    <row r="9330">
      <c r="A9330" s="32"/>
      <c r="T9330" s="31"/>
      <c r="U9330" s="31"/>
      <c r="V9330" s="32"/>
    </row>
    <row r="9331">
      <c r="A9331" s="32"/>
      <c r="T9331" s="31"/>
      <c r="U9331" s="31"/>
      <c r="V9331" s="32"/>
    </row>
    <row r="9332">
      <c r="A9332" s="32"/>
      <c r="T9332" s="31"/>
      <c r="U9332" s="31"/>
      <c r="V9332" s="32"/>
    </row>
    <row r="9333">
      <c r="A9333" s="32"/>
      <c r="T9333" s="31"/>
      <c r="U9333" s="31"/>
      <c r="V9333" s="32"/>
    </row>
    <row r="9334">
      <c r="A9334" s="32"/>
      <c r="T9334" s="31"/>
      <c r="U9334" s="31"/>
      <c r="V9334" s="32"/>
    </row>
    <row r="9335">
      <c r="A9335" s="32"/>
      <c r="T9335" s="31"/>
      <c r="U9335" s="31"/>
      <c r="V9335" s="32"/>
    </row>
    <row r="9336">
      <c r="A9336" s="32"/>
      <c r="T9336" s="31"/>
      <c r="U9336" s="31"/>
      <c r="V9336" s="32"/>
    </row>
    <row r="9337">
      <c r="A9337" s="32"/>
      <c r="T9337" s="31"/>
      <c r="U9337" s="31"/>
      <c r="V9337" s="32"/>
    </row>
    <row r="9338">
      <c r="A9338" s="32"/>
      <c r="T9338" s="31"/>
      <c r="U9338" s="31"/>
      <c r="V9338" s="32"/>
    </row>
    <row r="9339">
      <c r="A9339" s="32"/>
      <c r="T9339" s="31"/>
      <c r="U9339" s="31"/>
      <c r="V9339" s="32"/>
    </row>
    <row r="9340">
      <c r="A9340" s="32"/>
      <c r="T9340" s="31"/>
      <c r="U9340" s="31"/>
      <c r="V9340" s="32"/>
    </row>
    <row r="9341">
      <c r="A9341" s="32"/>
      <c r="T9341" s="31"/>
      <c r="U9341" s="31"/>
      <c r="V9341" s="32"/>
    </row>
    <row r="9342">
      <c r="A9342" s="32"/>
      <c r="T9342" s="31"/>
      <c r="U9342" s="31"/>
      <c r="V9342" s="32"/>
    </row>
    <row r="9343">
      <c r="A9343" s="32"/>
      <c r="T9343" s="31"/>
      <c r="U9343" s="31"/>
      <c r="V9343" s="32"/>
    </row>
    <row r="9344">
      <c r="A9344" s="32"/>
      <c r="T9344" s="31"/>
      <c r="U9344" s="31"/>
      <c r="V9344" s="32"/>
    </row>
    <row r="9345">
      <c r="A9345" s="32"/>
      <c r="T9345" s="31"/>
      <c r="U9345" s="31"/>
      <c r="V9345" s="32"/>
    </row>
    <row r="9346">
      <c r="A9346" s="32"/>
      <c r="T9346" s="31"/>
      <c r="U9346" s="31"/>
      <c r="V9346" s="32"/>
    </row>
    <row r="9347">
      <c r="A9347" s="32"/>
      <c r="T9347" s="31"/>
      <c r="U9347" s="31"/>
      <c r="V9347" s="32"/>
    </row>
    <row r="9348">
      <c r="A9348" s="32"/>
      <c r="T9348" s="31"/>
      <c r="U9348" s="31"/>
      <c r="V9348" s="32"/>
    </row>
    <row r="9349">
      <c r="A9349" s="32"/>
      <c r="T9349" s="31"/>
      <c r="U9349" s="31"/>
      <c r="V9349" s="32"/>
    </row>
    <row r="9350">
      <c r="A9350" s="32"/>
      <c r="T9350" s="31"/>
      <c r="U9350" s="31"/>
      <c r="V9350" s="32"/>
    </row>
    <row r="9351">
      <c r="A9351" s="32"/>
      <c r="T9351" s="31"/>
      <c r="U9351" s="31"/>
      <c r="V9351" s="32"/>
    </row>
    <row r="9352">
      <c r="A9352" s="32"/>
      <c r="T9352" s="31"/>
      <c r="U9352" s="31"/>
      <c r="V9352" s="32"/>
    </row>
    <row r="9353">
      <c r="A9353" s="32"/>
      <c r="T9353" s="31"/>
      <c r="U9353" s="31"/>
      <c r="V9353" s="32"/>
    </row>
    <row r="9354">
      <c r="A9354" s="32"/>
      <c r="T9354" s="31"/>
      <c r="U9354" s="31"/>
      <c r="V9354" s="32"/>
    </row>
    <row r="9355">
      <c r="A9355" s="32"/>
      <c r="T9355" s="31"/>
      <c r="U9355" s="31"/>
      <c r="V9355" s="32"/>
    </row>
    <row r="9356">
      <c r="A9356" s="32"/>
      <c r="T9356" s="31"/>
      <c r="U9356" s="31"/>
      <c r="V9356" s="32"/>
    </row>
    <row r="9357">
      <c r="A9357" s="32"/>
      <c r="T9357" s="31"/>
      <c r="U9357" s="31"/>
      <c r="V9357" s="32"/>
    </row>
    <row r="9358">
      <c r="A9358" s="32"/>
      <c r="T9358" s="31"/>
      <c r="U9358" s="31"/>
      <c r="V9358" s="32"/>
    </row>
    <row r="9359">
      <c r="A9359" s="32"/>
      <c r="T9359" s="31"/>
      <c r="U9359" s="31"/>
      <c r="V9359" s="32"/>
    </row>
    <row r="9360">
      <c r="A9360" s="32"/>
      <c r="T9360" s="31"/>
      <c r="U9360" s="31"/>
      <c r="V9360" s="32"/>
    </row>
    <row r="9361">
      <c r="A9361" s="32"/>
      <c r="T9361" s="31"/>
      <c r="U9361" s="31"/>
      <c r="V9361" s="32"/>
    </row>
    <row r="9362">
      <c r="A9362" s="32"/>
      <c r="T9362" s="31"/>
      <c r="U9362" s="31"/>
      <c r="V9362" s="32"/>
    </row>
    <row r="9363">
      <c r="A9363" s="32"/>
      <c r="T9363" s="31"/>
      <c r="U9363" s="31"/>
      <c r="V9363" s="32"/>
    </row>
    <row r="9364">
      <c r="A9364" s="32"/>
      <c r="T9364" s="31"/>
      <c r="U9364" s="31"/>
      <c r="V9364" s="32"/>
    </row>
    <row r="9365">
      <c r="A9365" s="32"/>
      <c r="T9365" s="31"/>
      <c r="U9365" s="31"/>
      <c r="V9365" s="32"/>
    </row>
    <row r="9366">
      <c r="A9366" s="32"/>
      <c r="T9366" s="31"/>
      <c r="U9366" s="31"/>
      <c r="V9366" s="32"/>
    </row>
    <row r="9367">
      <c r="A9367" s="32"/>
      <c r="T9367" s="31"/>
      <c r="U9367" s="31"/>
      <c r="V9367" s="32"/>
    </row>
    <row r="9368">
      <c r="A9368" s="32"/>
      <c r="T9368" s="31"/>
      <c r="U9368" s="31"/>
      <c r="V9368" s="32"/>
    </row>
    <row r="9369">
      <c r="A9369" s="32"/>
      <c r="T9369" s="31"/>
      <c r="U9369" s="31"/>
      <c r="V9369" s="32"/>
    </row>
    <row r="9370">
      <c r="A9370" s="32"/>
      <c r="T9370" s="31"/>
      <c r="U9370" s="31"/>
      <c r="V9370" s="32"/>
    </row>
    <row r="9371">
      <c r="A9371" s="32"/>
      <c r="T9371" s="31"/>
      <c r="U9371" s="31"/>
      <c r="V9371" s="32"/>
    </row>
    <row r="9372">
      <c r="A9372" s="32"/>
      <c r="T9372" s="31"/>
      <c r="U9372" s="31"/>
      <c r="V9372" s="32"/>
    </row>
    <row r="9373">
      <c r="A9373" s="32"/>
      <c r="T9373" s="31"/>
      <c r="U9373" s="31"/>
      <c r="V9373" s="32"/>
    </row>
    <row r="9374">
      <c r="A9374" s="32"/>
      <c r="T9374" s="31"/>
      <c r="U9374" s="31"/>
      <c r="V9374" s="32"/>
    </row>
    <row r="9375">
      <c r="A9375" s="32"/>
      <c r="T9375" s="31"/>
      <c r="U9375" s="31"/>
      <c r="V9375" s="32"/>
    </row>
    <row r="9376">
      <c r="A9376" s="32"/>
      <c r="T9376" s="31"/>
      <c r="U9376" s="31"/>
      <c r="V9376" s="32"/>
    </row>
    <row r="9377">
      <c r="A9377" s="32"/>
      <c r="T9377" s="31"/>
      <c r="U9377" s="31"/>
      <c r="V9377" s="32"/>
    </row>
    <row r="9378">
      <c r="A9378" s="32"/>
      <c r="T9378" s="31"/>
      <c r="U9378" s="31"/>
      <c r="V9378" s="32"/>
    </row>
    <row r="9379">
      <c r="A9379" s="32"/>
      <c r="T9379" s="31"/>
      <c r="U9379" s="31"/>
      <c r="V9379" s="32"/>
    </row>
    <row r="9380">
      <c r="A9380" s="32"/>
      <c r="T9380" s="31"/>
      <c r="U9380" s="31"/>
      <c r="V9380" s="32"/>
    </row>
    <row r="9381">
      <c r="A9381" s="32"/>
      <c r="T9381" s="31"/>
      <c r="U9381" s="31"/>
      <c r="V9381" s="32"/>
    </row>
    <row r="9382">
      <c r="A9382" s="32"/>
      <c r="T9382" s="31"/>
      <c r="U9382" s="31"/>
      <c r="V9382" s="32"/>
    </row>
    <row r="9383">
      <c r="A9383" s="32"/>
      <c r="T9383" s="31"/>
      <c r="U9383" s="31"/>
      <c r="V9383" s="32"/>
    </row>
    <row r="9384">
      <c r="A9384" s="32"/>
      <c r="T9384" s="31"/>
      <c r="U9384" s="31"/>
      <c r="V9384" s="32"/>
    </row>
    <row r="9385">
      <c r="A9385" s="32"/>
      <c r="T9385" s="31"/>
      <c r="U9385" s="31"/>
      <c r="V9385" s="32"/>
    </row>
    <row r="9386">
      <c r="A9386" s="32"/>
      <c r="T9386" s="31"/>
      <c r="U9386" s="31"/>
      <c r="V9386" s="32"/>
    </row>
    <row r="9387">
      <c r="A9387" s="32"/>
      <c r="T9387" s="31"/>
      <c r="U9387" s="31"/>
      <c r="V9387" s="32"/>
    </row>
    <row r="9388">
      <c r="A9388" s="32"/>
      <c r="T9388" s="31"/>
      <c r="U9388" s="31"/>
      <c r="V9388" s="32"/>
    </row>
    <row r="9389">
      <c r="A9389" s="32"/>
      <c r="T9389" s="31"/>
      <c r="U9389" s="31"/>
      <c r="V9389" s="32"/>
    </row>
    <row r="9390">
      <c r="A9390" s="32"/>
      <c r="T9390" s="31"/>
      <c r="U9390" s="31"/>
      <c r="V9390" s="32"/>
    </row>
    <row r="9391">
      <c r="A9391" s="32"/>
      <c r="T9391" s="31"/>
      <c r="U9391" s="31"/>
      <c r="V9391" s="32"/>
    </row>
    <row r="9392">
      <c r="A9392" s="32"/>
      <c r="T9392" s="31"/>
      <c r="U9392" s="31"/>
      <c r="V9392" s="32"/>
    </row>
    <row r="9393">
      <c r="A9393" s="32"/>
      <c r="T9393" s="31"/>
      <c r="U9393" s="31"/>
      <c r="V9393" s="32"/>
    </row>
    <row r="9394">
      <c r="A9394" s="32"/>
      <c r="T9394" s="31"/>
      <c r="U9394" s="31"/>
      <c r="V9394" s="32"/>
    </row>
    <row r="9395">
      <c r="A9395" s="32"/>
      <c r="T9395" s="31"/>
      <c r="U9395" s="31"/>
      <c r="V9395" s="32"/>
    </row>
    <row r="9396">
      <c r="A9396" s="32"/>
      <c r="T9396" s="31"/>
      <c r="U9396" s="31"/>
      <c r="V9396" s="32"/>
    </row>
    <row r="9397">
      <c r="A9397" s="32"/>
      <c r="T9397" s="31"/>
      <c r="U9397" s="31"/>
      <c r="V9397" s="32"/>
    </row>
    <row r="9398">
      <c r="A9398" s="32"/>
      <c r="T9398" s="31"/>
      <c r="U9398" s="31"/>
      <c r="V9398" s="32"/>
    </row>
    <row r="9399">
      <c r="A9399" s="32"/>
      <c r="T9399" s="31"/>
      <c r="U9399" s="31"/>
      <c r="V9399" s="32"/>
    </row>
    <row r="9400">
      <c r="A9400" s="32"/>
      <c r="T9400" s="31"/>
      <c r="U9400" s="31"/>
      <c r="V9400" s="32"/>
    </row>
    <row r="9401">
      <c r="A9401" s="32"/>
      <c r="T9401" s="31"/>
      <c r="U9401" s="31"/>
      <c r="V9401" s="32"/>
    </row>
    <row r="9402">
      <c r="A9402" s="32"/>
      <c r="T9402" s="31"/>
      <c r="U9402" s="31"/>
      <c r="V9402" s="32"/>
    </row>
    <row r="9403">
      <c r="A9403" s="32"/>
      <c r="T9403" s="31"/>
      <c r="U9403" s="31"/>
      <c r="V9403" s="32"/>
    </row>
    <row r="9404">
      <c r="A9404" s="32"/>
      <c r="T9404" s="31"/>
      <c r="U9404" s="31"/>
      <c r="V9404" s="32"/>
    </row>
    <row r="9405">
      <c r="A9405" s="32"/>
      <c r="T9405" s="31"/>
      <c r="U9405" s="31"/>
      <c r="V9405" s="32"/>
    </row>
    <row r="9406">
      <c r="A9406" s="32"/>
      <c r="T9406" s="31"/>
      <c r="U9406" s="31"/>
      <c r="V9406" s="32"/>
    </row>
    <row r="9407">
      <c r="A9407" s="32"/>
      <c r="T9407" s="31"/>
      <c r="U9407" s="31"/>
      <c r="V9407" s="32"/>
    </row>
    <row r="9408">
      <c r="A9408" s="32"/>
      <c r="T9408" s="31"/>
      <c r="U9408" s="31"/>
      <c r="V9408" s="32"/>
    </row>
    <row r="9409">
      <c r="A9409" s="32"/>
      <c r="T9409" s="31"/>
      <c r="U9409" s="31"/>
      <c r="V9409" s="32"/>
    </row>
    <row r="9410">
      <c r="A9410" s="32"/>
      <c r="T9410" s="31"/>
      <c r="U9410" s="31"/>
      <c r="V9410" s="32"/>
    </row>
    <row r="9411">
      <c r="A9411" s="32"/>
      <c r="T9411" s="31"/>
      <c r="U9411" s="31"/>
      <c r="V9411" s="32"/>
    </row>
    <row r="9412">
      <c r="A9412" s="32"/>
      <c r="T9412" s="31"/>
      <c r="U9412" s="31"/>
      <c r="V9412" s="32"/>
    </row>
    <row r="9413">
      <c r="A9413" s="32"/>
      <c r="T9413" s="31"/>
      <c r="U9413" s="31"/>
      <c r="V9413" s="32"/>
    </row>
    <row r="9414">
      <c r="A9414" s="32"/>
      <c r="T9414" s="31"/>
      <c r="U9414" s="31"/>
      <c r="V9414" s="32"/>
    </row>
    <row r="9415">
      <c r="A9415" s="32"/>
      <c r="T9415" s="31"/>
      <c r="U9415" s="31"/>
      <c r="V9415" s="32"/>
    </row>
    <row r="9416">
      <c r="A9416" s="32"/>
      <c r="T9416" s="31"/>
      <c r="U9416" s="31"/>
      <c r="V9416" s="46"/>
    </row>
    <row r="9417">
      <c r="A9417" s="32"/>
      <c r="T9417" s="31"/>
      <c r="U9417" s="31"/>
      <c r="V9417" s="47"/>
    </row>
    <row r="9418">
      <c r="A9418" s="32"/>
      <c r="T9418" s="31"/>
      <c r="U9418" s="31"/>
      <c r="V9418" s="47"/>
    </row>
    <row r="9419">
      <c r="A9419" s="32"/>
      <c r="T9419" s="31"/>
      <c r="U9419" s="31"/>
      <c r="V9419" s="47"/>
    </row>
    <row r="9420">
      <c r="A9420" s="32"/>
      <c r="T9420" s="31"/>
      <c r="U9420" s="31"/>
      <c r="V9420" s="47"/>
    </row>
    <row r="9421">
      <c r="A9421" s="32"/>
    </row>
    <row r="9422">
      <c r="A9422" s="32"/>
    </row>
    <row r="9423">
      <c r="A9423" s="32"/>
    </row>
    <row r="9424">
      <c r="A9424" s="32"/>
    </row>
    <row r="9425">
      <c r="A9425" s="32"/>
    </row>
    <row r="9426">
      <c r="A9426" s="32"/>
    </row>
    <row r="9427">
      <c r="A9427" s="32"/>
    </row>
    <row r="9428">
      <c r="A9428" s="32"/>
    </row>
    <row r="9429">
      <c r="A9429" s="32"/>
    </row>
    <row r="9430">
      <c r="A9430" s="32"/>
    </row>
    <row r="9431">
      <c r="A9431" s="32"/>
    </row>
    <row r="9432">
      <c r="A9432" s="32"/>
    </row>
    <row r="9433">
      <c r="A9433" s="32"/>
    </row>
    <row r="9434">
      <c r="A9434" s="32"/>
    </row>
    <row r="9435">
      <c r="A9435" s="32"/>
    </row>
    <row r="9436">
      <c r="A9436" s="32"/>
    </row>
    <row r="9437">
      <c r="A9437" s="32"/>
    </row>
    <row r="9438">
      <c r="A9438" s="32"/>
    </row>
    <row r="9439">
      <c r="A9439" s="32"/>
    </row>
    <row r="9440">
      <c r="A9440" s="32"/>
    </row>
    <row r="9441">
      <c r="A9441" s="32"/>
    </row>
    <row r="9442">
      <c r="A9442" s="32"/>
    </row>
    <row r="9443">
      <c r="A9443" s="32"/>
    </row>
    <row r="9444">
      <c r="A9444" s="32"/>
    </row>
    <row r="9445">
      <c r="A9445" s="32"/>
    </row>
    <row r="9446">
      <c r="A9446" s="32"/>
    </row>
    <row r="9447">
      <c r="A9447" s="32"/>
    </row>
    <row r="9448">
      <c r="A9448" s="32"/>
    </row>
    <row r="9449">
      <c r="A9449" s="32"/>
    </row>
    <row r="9450">
      <c r="A9450" s="32"/>
    </row>
    <row r="9451">
      <c r="A9451" s="32"/>
    </row>
    <row r="9452">
      <c r="A9452" s="32"/>
    </row>
    <row r="9453">
      <c r="A9453" s="32"/>
    </row>
    <row r="9454">
      <c r="A9454" s="32"/>
    </row>
    <row r="9455">
      <c r="A9455" s="32"/>
    </row>
    <row r="9456">
      <c r="A9456" s="32"/>
    </row>
    <row r="9457">
      <c r="A9457" s="32"/>
    </row>
    <row r="9458">
      <c r="A9458" s="32"/>
    </row>
    <row r="9459">
      <c r="A9459" s="32"/>
    </row>
    <row r="9460">
      <c r="A9460" s="32"/>
    </row>
    <row r="9461">
      <c r="A9461" s="32"/>
    </row>
    <row r="9462">
      <c r="A9462" s="32"/>
    </row>
    <row r="9463">
      <c r="A9463" s="32"/>
    </row>
    <row r="9464">
      <c r="A9464" s="32"/>
    </row>
    <row r="9465">
      <c r="A9465" s="32"/>
    </row>
    <row r="9466">
      <c r="A9466" s="32"/>
    </row>
    <row r="9467">
      <c r="A9467" s="32"/>
    </row>
    <row r="9468">
      <c r="A9468" s="32"/>
    </row>
    <row r="9469">
      <c r="A9469" s="32"/>
    </row>
    <row r="9470">
      <c r="A9470" s="32"/>
    </row>
    <row r="9471">
      <c r="A9471" s="32"/>
    </row>
    <row r="9472">
      <c r="A9472" s="32"/>
    </row>
    <row r="9473">
      <c r="A9473" s="32"/>
    </row>
    <row r="9474">
      <c r="A9474" s="32"/>
    </row>
    <row r="9475">
      <c r="A9475" s="32"/>
    </row>
    <row r="9476">
      <c r="A9476" s="32"/>
    </row>
    <row r="9477">
      <c r="A9477" s="32"/>
    </row>
    <row r="9478">
      <c r="A9478" s="32"/>
    </row>
    <row r="9479">
      <c r="A9479" s="32"/>
    </row>
    <row r="9480">
      <c r="A9480" s="32"/>
    </row>
    <row r="9481">
      <c r="A9481" s="32"/>
    </row>
    <row r="9482">
      <c r="A9482" s="32"/>
    </row>
    <row r="9483">
      <c r="A9483" s="32"/>
    </row>
    <row r="9484">
      <c r="A9484" s="32"/>
    </row>
    <row r="9485">
      <c r="A9485" s="32"/>
    </row>
    <row r="9486">
      <c r="A9486" s="32"/>
    </row>
    <row r="9487">
      <c r="A9487" s="32"/>
    </row>
    <row r="9488">
      <c r="A9488" s="32"/>
    </row>
    <row r="9489">
      <c r="A9489" s="32"/>
    </row>
    <row r="9490">
      <c r="A9490" s="32"/>
    </row>
    <row r="9491">
      <c r="A9491" s="32"/>
    </row>
    <row r="9492">
      <c r="A9492" s="32"/>
    </row>
    <row r="9493">
      <c r="A9493" s="32"/>
    </row>
    <row r="9494">
      <c r="A9494" s="32"/>
    </row>
    <row r="9495">
      <c r="A9495" s="32"/>
    </row>
    <row r="9496">
      <c r="A9496" s="32"/>
    </row>
    <row r="9497">
      <c r="A9497" s="32"/>
    </row>
    <row r="9498">
      <c r="A9498" s="32"/>
    </row>
    <row r="9499">
      <c r="A9499" s="32"/>
    </row>
    <row r="9500">
      <c r="A9500" s="32"/>
    </row>
    <row r="9501">
      <c r="A9501" s="32"/>
    </row>
    <row r="9502">
      <c r="A9502" s="32"/>
    </row>
    <row r="9503">
      <c r="A9503" s="32"/>
    </row>
    <row r="9504">
      <c r="A9504" s="32"/>
    </row>
    <row r="9505">
      <c r="A9505" s="32"/>
    </row>
    <row r="9506">
      <c r="A9506" s="32"/>
    </row>
    <row r="9507">
      <c r="A9507" s="32"/>
    </row>
    <row r="9508">
      <c r="A9508" s="32"/>
    </row>
    <row r="9509">
      <c r="A9509" s="32"/>
    </row>
    <row r="9510">
      <c r="A9510" s="32"/>
    </row>
    <row r="9511">
      <c r="A9511" s="32"/>
    </row>
    <row r="9512">
      <c r="A9512" s="32"/>
    </row>
    <row r="9513">
      <c r="A9513" s="32"/>
    </row>
    <row r="9514">
      <c r="A9514" s="32"/>
    </row>
    <row r="9515">
      <c r="A9515" s="32"/>
    </row>
    <row r="9516">
      <c r="A9516" s="32"/>
    </row>
    <row r="9517">
      <c r="A9517" s="32"/>
    </row>
    <row r="9518">
      <c r="A9518" s="32"/>
    </row>
    <row r="9519">
      <c r="A9519" s="32"/>
    </row>
    <row r="9520">
      <c r="A9520" s="32"/>
    </row>
    <row r="9521">
      <c r="A9521" s="32"/>
    </row>
    <row r="9522">
      <c r="A9522" s="32"/>
    </row>
    <row r="9523">
      <c r="A9523" s="32"/>
    </row>
    <row r="9524">
      <c r="A9524" s="32"/>
    </row>
    <row r="9525">
      <c r="A9525" s="32"/>
    </row>
    <row r="9526">
      <c r="A9526" s="32"/>
    </row>
    <row r="9527">
      <c r="A9527" s="32"/>
    </row>
    <row r="9528">
      <c r="A9528" s="32"/>
    </row>
    <row r="9529">
      <c r="A9529" s="32"/>
    </row>
    <row r="9530">
      <c r="A9530" s="32"/>
    </row>
    <row r="9531">
      <c r="A9531" s="32"/>
    </row>
    <row r="9532">
      <c r="A9532" s="32"/>
    </row>
    <row r="9533">
      <c r="A9533" s="32"/>
    </row>
    <row r="9534">
      <c r="A9534" s="32"/>
    </row>
    <row r="9535">
      <c r="A9535" s="32"/>
    </row>
    <row r="9536">
      <c r="A9536" s="32"/>
    </row>
    <row r="9537">
      <c r="A9537" s="32"/>
    </row>
    <row r="9538">
      <c r="A9538" s="32"/>
    </row>
    <row r="9539">
      <c r="A9539" s="32"/>
    </row>
    <row r="9540">
      <c r="A9540" s="32"/>
    </row>
    <row r="9541">
      <c r="A9541" s="32"/>
    </row>
    <row r="9542">
      <c r="A9542" s="32"/>
    </row>
    <row r="9543">
      <c r="A9543" s="32"/>
    </row>
    <row r="9544">
      <c r="A9544" s="32"/>
    </row>
    <row r="9545">
      <c r="A9545" s="32"/>
    </row>
    <row r="9546">
      <c r="A9546" s="32"/>
    </row>
    <row r="9547">
      <c r="A9547" s="32"/>
    </row>
    <row r="9548">
      <c r="A9548" s="32"/>
    </row>
    <row r="9549">
      <c r="A9549" s="32"/>
    </row>
    <row r="9550">
      <c r="A9550" s="32"/>
    </row>
    <row r="9551">
      <c r="A9551" s="32"/>
    </row>
    <row r="9552">
      <c r="A9552" s="32"/>
    </row>
    <row r="9553">
      <c r="A9553" s="32"/>
    </row>
    <row r="9554">
      <c r="A9554" s="32"/>
    </row>
    <row r="9555">
      <c r="A9555" s="32"/>
    </row>
    <row r="9556">
      <c r="A9556" s="32"/>
    </row>
    <row r="9557">
      <c r="A9557" s="32"/>
    </row>
    <row r="9558">
      <c r="A9558" s="32"/>
    </row>
    <row r="9559">
      <c r="A9559" s="32"/>
    </row>
    <row r="9560">
      <c r="A9560" s="32"/>
    </row>
    <row r="9561">
      <c r="A9561" s="32"/>
    </row>
    <row r="9562">
      <c r="A9562" s="32"/>
    </row>
    <row r="9563">
      <c r="A9563" s="32"/>
    </row>
    <row r="9564">
      <c r="A9564" s="32"/>
    </row>
    <row r="9565">
      <c r="A9565" s="32"/>
    </row>
    <row r="9566">
      <c r="A9566" s="32"/>
    </row>
    <row r="9567">
      <c r="A9567" s="32"/>
    </row>
    <row r="9568">
      <c r="A9568" s="32"/>
    </row>
    <row r="9569">
      <c r="A9569" s="32"/>
    </row>
    <row r="9570">
      <c r="A9570" s="32"/>
    </row>
    <row r="9571">
      <c r="A9571" s="32"/>
    </row>
    <row r="9572">
      <c r="A9572" s="32"/>
    </row>
    <row r="9573">
      <c r="A9573" s="32"/>
    </row>
    <row r="9574">
      <c r="A9574" s="32"/>
    </row>
    <row r="9575">
      <c r="A9575" s="32"/>
    </row>
    <row r="9576">
      <c r="A9576" s="32"/>
    </row>
    <row r="9577">
      <c r="A9577" s="32"/>
    </row>
    <row r="9578">
      <c r="A9578" s="32"/>
    </row>
    <row r="9579">
      <c r="A9579" s="32"/>
    </row>
    <row r="9580">
      <c r="A9580" s="32"/>
    </row>
    <row r="9581">
      <c r="A9581" s="32"/>
    </row>
    <row r="9582">
      <c r="A9582" s="32"/>
    </row>
    <row r="9583">
      <c r="A9583" s="32"/>
    </row>
    <row r="9584">
      <c r="A9584" s="32"/>
    </row>
    <row r="9585">
      <c r="A9585" s="32"/>
    </row>
    <row r="9586">
      <c r="A9586" s="32"/>
    </row>
    <row r="9587">
      <c r="A9587" s="32"/>
    </row>
    <row r="9588">
      <c r="A9588" s="32"/>
    </row>
    <row r="9589">
      <c r="A9589" s="32"/>
    </row>
    <row r="9590">
      <c r="A9590" s="32"/>
    </row>
    <row r="9591">
      <c r="A9591" s="32"/>
    </row>
    <row r="9592">
      <c r="A9592" s="32"/>
    </row>
    <row r="9593">
      <c r="A9593" s="32"/>
    </row>
    <row r="9594">
      <c r="A9594" s="32"/>
    </row>
    <row r="9595">
      <c r="A9595" s="32"/>
    </row>
    <row r="9596">
      <c r="A9596" s="32"/>
    </row>
    <row r="9597">
      <c r="A9597" s="32"/>
    </row>
    <row r="9598">
      <c r="A9598" s="32"/>
    </row>
    <row r="9599">
      <c r="A9599" s="32"/>
    </row>
    <row r="9600">
      <c r="A9600" s="32"/>
    </row>
    <row r="9601">
      <c r="A9601" s="32"/>
    </row>
    <row r="9602">
      <c r="A9602" s="32"/>
    </row>
    <row r="9603">
      <c r="A9603" s="32"/>
    </row>
    <row r="9604">
      <c r="A9604" s="32"/>
    </row>
    <row r="9605">
      <c r="A9605" s="32"/>
    </row>
    <row r="9606">
      <c r="A9606" s="32"/>
    </row>
    <row r="9607">
      <c r="A9607" s="32"/>
    </row>
    <row r="9608">
      <c r="A9608" s="32"/>
    </row>
    <row r="9609">
      <c r="A9609" s="32"/>
    </row>
    <row r="9610">
      <c r="A9610" s="32"/>
    </row>
    <row r="9611">
      <c r="A9611" s="32"/>
    </row>
    <row r="9612">
      <c r="A9612" s="32"/>
    </row>
    <row r="9613">
      <c r="A9613" s="32"/>
    </row>
    <row r="9614">
      <c r="A9614" s="32"/>
    </row>
    <row r="9615">
      <c r="A9615" s="32"/>
    </row>
    <row r="9616">
      <c r="A9616" s="32"/>
    </row>
    <row r="9617">
      <c r="A9617" s="32"/>
    </row>
    <row r="9618">
      <c r="A9618" s="32"/>
    </row>
    <row r="9619">
      <c r="A9619" s="32"/>
    </row>
    <row r="9620">
      <c r="A9620" s="32"/>
    </row>
    <row r="9621">
      <c r="A9621" s="32"/>
    </row>
    <row r="9622">
      <c r="A9622" s="32"/>
    </row>
    <row r="9623">
      <c r="A9623" s="32"/>
    </row>
    <row r="9624">
      <c r="A9624" s="32"/>
    </row>
    <row r="9625">
      <c r="A9625" s="32"/>
    </row>
    <row r="9626">
      <c r="A9626" s="32"/>
    </row>
    <row r="9627">
      <c r="A9627" s="32"/>
    </row>
    <row r="9628">
      <c r="A9628" s="32"/>
    </row>
    <row r="9629">
      <c r="A9629" s="32"/>
    </row>
    <row r="9630">
      <c r="A9630" s="32"/>
    </row>
    <row r="9631">
      <c r="A9631" s="32"/>
    </row>
    <row r="9632">
      <c r="A9632" s="32"/>
    </row>
    <row r="9633">
      <c r="A9633" s="32"/>
    </row>
    <row r="9634">
      <c r="A9634" s="32"/>
    </row>
    <row r="9635">
      <c r="A9635" s="32"/>
    </row>
    <row r="9636">
      <c r="A9636" s="32"/>
    </row>
    <row r="9637">
      <c r="A9637" s="32"/>
    </row>
    <row r="9638">
      <c r="A9638" s="32"/>
    </row>
    <row r="9639">
      <c r="A9639" s="32"/>
    </row>
    <row r="9640">
      <c r="A9640" s="32"/>
    </row>
    <row r="9641">
      <c r="A9641" s="32"/>
    </row>
    <row r="9642">
      <c r="A9642" s="32"/>
    </row>
    <row r="9643">
      <c r="A9643" s="32"/>
    </row>
    <row r="9644">
      <c r="A9644" s="32"/>
    </row>
    <row r="9645">
      <c r="A9645" s="32"/>
    </row>
    <row r="9646">
      <c r="A9646" s="32"/>
    </row>
    <row r="9647">
      <c r="A9647" s="32"/>
    </row>
    <row r="9648">
      <c r="A9648" s="32"/>
    </row>
    <row r="9649">
      <c r="A9649" s="32"/>
    </row>
    <row r="9650">
      <c r="A9650" s="32"/>
    </row>
    <row r="9651">
      <c r="A9651" s="32"/>
    </row>
    <row r="9652">
      <c r="A9652" s="32"/>
    </row>
    <row r="9653">
      <c r="A9653" s="32"/>
    </row>
    <row r="9654">
      <c r="A9654" s="32"/>
    </row>
    <row r="9655">
      <c r="A9655" s="32"/>
    </row>
    <row r="9656">
      <c r="A9656" s="32"/>
    </row>
    <row r="9657">
      <c r="A9657" s="32"/>
    </row>
    <row r="9658">
      <c r="A9658" s="32"/>
    </row>
    <row r="9659">
      <c r="A9659" s="32"/>
    </row>
    <row r="9660">
      <c r="A9660" s="32"/>
    </row>
    <row r="9661">
      <c r="A9661" s="32"/>
    </row>
    <row r="9662">
      <c r="A9662" s="32"/>
    </row>
    <row r="9663">
      <c r="A9663" s="32"/>
    </row>
    <row r="9664">
      <c r="A9664" s="32"/>
    </row>
    <row r="9665">
      <c r="A9665" s="32"/>
    </row>
    <row r="9666">
      <c r="A9666" s="32"/>
    </row>
    <row r="9667">
      <c r="A9667" s="32"/>
    </row>
    <row r="9668">
      <c r="A9668" s="32"/>
    </row>
    <row r="9669">
      <c r="A9669" s="32"/>
    </row>
    <row r="9670">
      <c r="A9670" s="32"/>
    </row>
    <row r="9671">
      <c r="A9671" s="32"/>
    </row>
    <row r="9672">
      <c r="A9672" s="32"/>
    </row>
    <row r="9673">
      <c r="A9673" s="32"/>
    </row>
    <row r="9674">
      <c r="A9674" s="32"/>
    </row>
    <row r="9675">
      <c r="A9675" s="32"/>
    </row>
    <row r="9676">
      <c r="A9676" s="32"/>
    </row>
    <row r="9677">
      <c r="A9677" s="32"/>
    </row>
    <row r="9678">
      <c r="A9678" s="32"/>
    </row>
    <row r="9679">
      <c r="A9679" s="32"/>
    </row>
    <row r="9680">
      <c r="A9680" s="32"/>
    </row>
    <row r="9681">
      <c r="A9681" s="32"/>
    </row>
    <row r="9682">
      <c r="A9682" s="32"/>
    </row>
    <row r="9683">
      <c r="A9683" s="32"/>
    </row>
    <row r="9684">
      <c r="A9684" s="32"/>
    </row>
    <row r="9685">
      <c r="A9685" s="32"/>
    </row>
    <row r="9686">
      <c r="A9686" s="32"/>
    </row>
    <row r="9687">
      <c r="A9687" s="32"/>
    </row>
    <row r="9688">
      <c r="A9688" s="32"/>
    </row>
    <row r="9689">
      <c r="A9689" s="32"/>
    </row>
    <row r="9690">
      <c r="A9690" s="32"/>
    </row>
    <row r="9691">
      <c r="A9691" s="32"/>
    </row>
    <row r="9692">
      <c r="A9692" s="32"/>
    </row>
    <row r="9693">
      <c r="A9693" s="32"/>
    </row>
    <row r="9694">
      <c r="A9694" s="32"/>
    </row>
    <row r="9695">
      <c r="A9695" s="32"/>
    </row>
    <row r="9696">
      <c r="A9696" s="32"/>
    </row>
    <row r="9697">
      <c r="A9697" s="32"/>
    </row>
    <row r="9698">
      <c r="A9698" s="32"/>
    </row>
    <row r="9699">
      <c r="A9699" s="32"/>
    </row>
    <row r="9700">
      <c r="A9700" s="32"/>
    </row>
    <row r="9701">
      <c r="A9701" s="32"/>
    </row>
    <row r="9702">
      <c r="A9702" s="32"/>
    </row>
    <row r="9703">
      <c r="A9703" s="32"/>
    </row>
    <row r="9704">
      <c r="A9704" s="32"/>
    </row>
    <row r="9705">
      <c r="A9705" s="32"/>
    </row>
    <row r="9706">
      <c r="A9706" s="32"/>
    </row>
    <row r="9707">
      <c r="A9707" s="32"/>
    </row>
    <row r="9708">
      <c r="A9708" s="32"/>
    </row>
    <row r="9709">
      <c r="A9709" s="32"/>
    </row>
    <row r="9710">
      <c r="A9710" s="32"/>
    </row>
    <row r="9711">
      <c r="A9711" s="32"/>
    </row>
    <row r="9712">
      <c r="A9712" s="32"/>
    </row>
    <row r="9713">
      <c r="A9713" s="32"/>
    </row>
    <row r="9714">
      <c r="A9714" s="32"/>
    </row>
    <row r="9715">
      <c r="A9715" s="32"/>
    </row>
    <row r="9716">
      <c r="A9716" s="32"/>
    </row>
    <row r="9717">
      <c r="A9717" s="32"/>
    </row>
    <row r="9718">
      <c r="A9718" s="32"/>
    </row>
    <row r="9719">
      <c r="A9719" s="32"/>
    </row>
    <row r="9720">
      <c r="A9720" s="32"/>
    </row>
    <row r="9721">
      <c r="A9721" s="32"/>
    </row>
    <row r="9722">
      <c r="A9722" s="32"/>
    </row>
    <row r="9723">
      <c r="A9723" s="32"/>
    </row>
    <row r="9724">
      <c r="A9724" s="32"/>
    </row>
    <row r="9725">
      <c r="A9725" s="32"/>
    </row>
    <row r="9726">
      <c r="A9726" s="32"/>
    </row>
    <row r="9727">
      <c r="A9727" s="32"/>
    </row>
    <row r="9728">
      <c r="A9728" s="32"/>
    </row>
    <row r="9729">
      <c r="A9729" s="32"/>
    </row>
    <row r="9730">
      <c r="A9730" s="32"/>
    </row>
    <row r="9731">
      <c r="A9731" s="32"/>
    </row>
    <row r="9732">
      <c r="A9732" s="32"/>
    </row>
    <row r="9733">
      <c r="A9733" s="32"/>
    </row>
    <row r="9734">
      <c r="A9734" s="32"/>
    </row>
    <row r="9735">
      <c r="A9735" s="32"/>
    </row>
    <row r="9736">
      <c r="A9736" s="32"/>
    </row>
    <row r="9737">
      <c r="A9737" s="32"/>
    </row>
    <row r="9738">
      <c r="A9738" s="32"/>
    </row>
    <row r="9739">
      <c r="A9739" s="32"/>
    </row>
    <row r="9740">
      <c r="A9740" s="32"/>
    </row>
    <row r="9741">
      <c r="A9741" s="32"/>
    </row>
    <row r="9742">
      <c r="A9742" s="32"/>
    </row>
    <row r="9743">
      <c r="A9743" s="32"/>
    </row>
    <row r="9744">
      <c r="A9744" s="32"/>
    </row>
    <row r="9745">
      <c r="A9745" s="32"/>
    </row>
    <row r="9746">
      <c r="A9746" s="32"/>
    </row>
    <row r="9747">
      <c r="A9747" s="32"/>
    </row>
    <row r="9748">
      <c r="A9748" s="32"/>
    </row>
    <row r="9749">
      <c r="A9749" s="32"/>
    </row>
    <row r="9750">
      <c r="A9750" s="32"/>
    </row>
    <row r="9751">
      <c r="A9751" s="32"/>
    </row>
    <row r="9752">
      <c r="A9752" s="32"/>
    </row>
    <row r="9753">
      <c r="A9753" s="32"/>
    </row>
    <row r="9754">
      <c r="A9754" s="32"/>
    </row>
    <row r="9755">
      <c r="A9755" s="32"/>
    </row>
    <row r="9756">
      <c r="A9756" s="32"/>
    </row>
    <row r="9757">
      <c r="A9757" s="32"/>
    </row>
    <row r="9758">
      <c r="A9758" s="32"/>
    </row>
    <row r="9759">
      <c r="A9759" s="32"/>
    </row>
    <row r="9760">
      <c r="A9760" s="32"/>
    </row>
    <row r="9761">
      <c r="A9761" s="32"/>
    </row>
    <row r="9762">
      <c r="A9762" s="32"/>
    </row>
    <row r="9763">
      <c r="A9763" s="32"/>
    </row>
    <row r="9764">
      <c r="A9764" s="32"/>
    </row>
    <row r="9765">
      <c r="A9765" s="32"/>
    </row>
    <row r="9766">
      <c r="A9766" s="32"/>
    </row>
    <row r="9767">
      <c r="A9767" s="32"/>
    </row>
    <row r="9768">
      <c r="A9768" s="32"/>
    </row>
    <row r="9769">
      <c r="A9769" s="32"/>
    </row>
    <row r="9770">
      <c r="A9770" s="32"/>
    </row>
    <row r="9771">
      <c r="A9771" s="32"/>
    </row>
    <row r="9772">
      <c r="A9772" s="32"/>
    </row>
    <row r="9773">
      <c r="A9773" s="32"/>
    </row>
    <row r="9774">
      <c r="A9774" s="32"/>
    </row>
    <row r="9775">
      <c r="A9775" s="32"/>
    </row>
    <row r="9776">
      <c r="A9776" s="32"/>
    </row>
    <row r="9777">
      <c r="A9777" s="32"/>
    </row>
    <row r="9778">
      <c r="A9778" s="32"/>
    </row>
    <row r="9779">
      <c r="A9779" s="32"/>
    </row>
    <row r="9780">
      <c r="A9780" s="32"/>
    </row>
    <row r="9781">
      <c r="A9781" s="32"/>
    </row>
    <row r="9782">
      <c r="A9782" s="32"/>
    </row>
    <row r="9783">
      <c r="A9783" s="32"/>
    </row>
    <row r="9784">
      <c r="A9784" s="32"/>
    </row>
    <row r="9785">
      <c r="A9785" s="32"/>
    </row>
    <row r="9786">
      <c r="A9786" s="32"/>
    </row>
    <row r="9787">
      <c r="A9787" s="32"/>
    </row>
    <row r="9788">
      <c r="A9788" s="32"/>
    </row>
    <row r="9789">
      <c r="A9789" s="32"/>
    </row>
    <row r="9790">
      <c r="A9790" s="32"/>
    </row>
    <row r="9791">
      <c r="A9791" s="32"/>
    </row>
    <row r="9792">
      <c r="A9792" s="32"/>
    </row>
    <row r="9793">
      <c r="A9793" s="32"/>
    </row>
    <row r="9794">
      <c r="A9794" s="32"/>
    </row>
    <row r="9795">
      <c r="A9795" s="32"/>
    </row>
    <row r="9796">
      <c r="A9796" s="32"/>
    </row>
    <row r="9797">
      <c r="A9797" s="32"/>
    </row>
    <row r="9798">
      <c r="A9798" s="32"/>
    </row>
    <row r="9799">
      <c r="A9799" s="32"/>
    </row>
    <row r="9800">
      <c r="A9800" s="32"/>
    </row>
    <row r="9801">
      <c r="A9801" s="32"/>
    </row>
    <row r="9802">
      <c r="A9802" s="32"/>
    </row>
    <row r="9803">
      <c r="A9803" s="32"/>
    </row>
    <row r="9804">
      <c r="A9804" s="32"/>
    </row>
    <row r="9805">
      <c r="A9805" s="32"/>
    </row>
    <row r="9806">
      <c r="A9806" s="32"/>
    </row>
    <row r="9807">
      <c r="A9807" s="32"/>
    </row>
    <row r="9808">
      <c r="A9808" s="32"/>
    </row>
    <row r="9809">
      <c r="A9809" s="32"/>
    </row>
    <row r="9810">
      <c r="A9810" s="32"/>
    </row>
    <row r="9811">
      <c r="A9811" s="32"/>
    </row>
    <row r="9812">
      <c r="A9812" s="32"/>
    </row>
    <row r="9813">
      <c r="A9813" s="32"/>
    </row>
    <row r="9814">
      <c r="A9814" s="32"/>
    </row>
    <row r="9815">
      <c r="A9815" s="32"/>
    </row>
    <row r="9816">
      <c r="A9816" s="32"/>
    </row>
    <row r="9817">
      <c r="A9817" s="32"/>
    </row>
    <row r="9818">
      <c r="A9818" s="32"/>
    </row>
    <row r="9819">
      <c r="A9819" s="32"/>
    </row>
    <row r="9820">
      <c r="A9820" s="32"/>
    </row>
    <row r="9821">
      <c r="A9821" s="32"/>
    </row>
    <row r="9822">
      <c r="A9822" s="32"/>
    </row>
    <row r="9823">
      <c r="A9823" s="32"/>
    </row>
    <row r="9824">
      <c r="A9824" s="32"/>
    </row>
    <row r="9825">
      <c r="A9825" s="32"/>
    </row>
    <row r="9826">
      <c r="A9826" s="32"/>
    </row>
    <row r="9827">
      <c r="A9827" s="32"/>
    </row>
    <row r="9828">
      <c r="A9828" s="32"/>
    </row>
    <row r="9829">
      <c r="A9829" s="32"/>
    </row>
    <row r="9830">
      <c r="A9830" s="32"/>
    </row>
    <row r="9831">
      <c r="A9831" s="32"/>
    </row>
    <row r="9832">
      <c r="A9832" s="32"/>
    </row>
    <row r="9833">
      <c r="A9833" s="32"/>
    </row>
    <row r="9834">
      <c r="A9834" s="32"/>
    </row>
    <row r="9835">
      <c r="A9835" s="32"/>
    </row>
    <row r="9836">
      <c r="A9836" s="32"/>
    </row>
    <row r="9837">
      <c r="A9837" s="32"/>
    </row>
    <row r="9838">
      <c r="A9838" s="32"/>
    </row>
    <row r="9839">
      <c r="A9839" s="32"/>
    </row>
    <row r="9840">
      <c r="A9840" s="32"/>
    </row>
    <row r="9841">
      <c r="A9841" s="32"/>
    </row>
    <row r="9842">
      <c r="A9842" s="32"/>
    </row>
    <row r="9843">
      <c r="A9843" s="32"/>
    </row>
    <row r="9844">
      <c r="A9844" s="32"/>
    </row>
    <row r="9845">
      <c r="A9845" s="32"/>
    </row>
    <row r="9846">
      <c r="A9846" s="32"/>
    </row>
    <row r="9847">
      <c r="A9847" s="32"/>
    </row>
    <row r="9848">
      <c r="A9848" s="32"/>
    </row>
    <row r="9849">
      <c r="A9849" s="32"/>
    </row>
    <row r="9850">
      <c r="A9850" s="32"/>
    </row>
    <row r="9851">
      <c r="A9851" s="32"/>
    </row>
    <row r="9852">
      <c r="A9852" s="32"/>
    </row>
    <row r="9853">
      <c r="A9853" s="32"/>
    </row>
    <row r="9854">
      <c r="A9854" s="32"/>
    </row>
    <row r="9855">
      <c r="A9855" s="32"/>
    </row>
    <row r="9856">
      <c r="A9856" s="32"/>
    </row>
    <row r="9857">
      <c r="A9857" s="32"/>
    </row>
    <row r="9858">
      <c r="A9858" s="32"/>
    </row>
    <row r="9859">
      <c r="A9859" s="32"/>
    </row>
    <row r="9860">
      <c r="A9860" s="32"/>
    </row>
    <row r="9861">
      <c r="A9861" s="32"/>
    </row>
    <row r="9862">
      <c r="A9862" s="32"/>
    </row>
    <row r="9863">
      <c r="A9863" s="32"/>
    </row>
    <row r="9864">
      <c r="A9864" s="32"/>
    </row>
    <row r="9865">
      <c r="A9865" s="32"/>
    </row>
    <row r="9866">
      <c r="A9866" s="32"/>
    </row>
    <row r="9867">
      <c r="A9867" s="32"/>
    </row>
    <row r="9868">
      <c r="A9868" s="32"/>
    </row>
    <row r="9869">
      <c r="A9869" s="32"/>
    </row>
    <row r="9870">
      <c r="A9870" s="32"/>
    </row>
    <row r="9871">
      <c r="A9871" s="32"/>
    </row>
    <row r="9872">
      <c r="A9872" s="32"/>
    </row>
    <row r="9873">
      <c r="A9873" s="32"/>
    </row>
    <row r="9874">
      <c r="A9874" s="32"/>
    </row>
    <row r="9875">
      <c r="A9875" s="32"/>
    </row>
    <row r="9876">
      <c r="A9876" s="32"/>
    </row>
    <row r="9877">
      <c r="A9877" s="32"/>
    </row>
    <row r="9878">
      <c r="A9878" s="32"/>
    </row>
    <row r="9879">
      <c r="A9879" s="32"/>
    </row>
    <row r="9880">
      <c r="A9880" s="32"/>
    </row>
    <row r="9881">
      <c r="A9881" s="32"/>
    </row>
    <row r="9882">
      <c r="A9882" s="32"/>
    </row>
    <row r="9883">
      <c r="A9883" s="32"/>
    </row>
    <row r="9884">
      <c r="A9884" s="32"/>
    </row>
    <row r="9885">
      <c r="A9885" s="32"/>
    </row>
    <row r="9886">
      <c r="A9886" s="32"/>
    </row>
    <row r="9887">
      <c r="A9887" s="32"/>
    </row>
    <row r="9888">
      <c r="A9888" s="32"/>
    </row>
    <row r="9889">
      <c r="A9889" s="32"/>
    </row>
    <row r="9890">
      <c r="A9890" s="32"/>
    </row>
    <row r="9891">
      <c r="A9891" s="32"/>
    </row>
    <row r="9892">
      <c r="A9892" s="32"/>
    </row>
    <row r="9893">
      <c r="A9893" s="32"/>
    </row>
    <row r="9894">
      <c r="A9894" s="32"/>
    </row>
    <row r="9895">
      <c r="A9895" s="32"/>
    </row>
    <row r="9896">
      <c r="A9896" s="32"/>
    </row>
    <row r="9897">
      <c r="A9897" s="32"/>
    </row>
    <row r="9898">
      <c r="A9898" s="32"/>
    </row>
    <row r="9899">
      <c r="A9899" s="32"/>
    </row>
    <row r="9900">
      <c r="A9900" s="32"/>
    </row>
    <row r="9901">
      <c r="A9901" s="32"/>
    </row>
    <row r="9902">
      <c r="A9902" s="32"/>
    </row>
    <row r="9903">
      <c r="A9903" s="32"/>
    </row>
    <row r="9904">
      <c r="A9904" s="32"/>
    </row>
    <row r="9905">
      <c r="A9905" s="32"/>
    </row>
    <row r="9906">
      <c r="A9906" s="32"/>
    </row>
    <row r="9907">
      <c r="A9907" s="32"/>
    </row>
    <row r="9908">
      <c r="A9908" s="32"/>
    </row>
    <row r="9909">
      <c r="A9909" s="32"/>
    </row>
    <row r="9910">
      <c r="A9910" s="32"/>
    </row>
    <row r="9911">
      <c r="A9911" s="32"/>
    </row>
    <row r="9912">
      <c r="A9912" s="32"/>
    </row>
    <row r="9913">
      <c r="A9913" s="32"/>
    </row>
    <row r="9914">
      <c r="A9914" s="32"/>
    </row>
    <row r="9915">
      <c r="A9915" s="32"/>
    </row>
    <row r="9916">
      <c r="A9916" s="32"/>
    </row>
    <row r="9917">
      <c r="A9917" s="32"/>
    </row>
  </sheetData>
  <mergeCells count="10">
    <mergeCell ref="AI2:AK2"/>
    <mergeCell ref="AL2:AN2"/>
    <mergeCell ref="A1:F1"/>
    <mergeCell ref="AC1:AN1"/>
    <mergeCell ref="I2:L2"/>
    <mergeCell ref="T2:V2"/>
    <mergeCell ref="X2:AA2"/>
    <mergeCell ref="AC2:AE2"/>
    <mergeCell ref="AF2:AH2"/>
    <mergeCell ref="A29:F29"/>
  </mergeCells>
  <drawing r:id="rId1"/>
</worksheet>
</file>